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SD" sheetId="1" r:id="rId4"/>
    <sheet state="visible" name="AUD" sheetId="2" r:id="rId5"/>
    <sheet state="visible" name="EUR" sheetId="3" r:id="rId6"/>
    <sheet state="visible" name="GBP" sheetId="4" r:id="rId7"/>
    <sheet state="visible" name="CHF" sheetId="5" r:id="rId8"/>
    <sheet state="visible" name="SGD" sheetId="6" r:id="rId9"/>
    <sheet state="visible" name="MYR" sheetId="7" r:id="rId10"/>
    <sheet state="visible" name="THB" sheetId="8" r:id="rId11"/>
    <sheet state="visible" name="VND" sheetId="9" r:id="rId12"/>
    <sheet state="visible" name="CNY" sheetId="10" r:id="rId13"/>
    <sheet state="visible" name="HKD" sheetId="11" r:id="rId14"/>
    <sheet state="visible" name="TWD" sheetId="12" r:id="rId15"/>
    <sheet state="visible" name="JPY" sheetId="13" r:id="rId16"/>
    <sheet state="visible" name="SAR" sheetId="14" r:id="rId17"/>
    <sheet state="visible" name="AED" sheetId="15" r:id="rId18"/>
    <sheet state="visible" name="KWD" sheetId="16" r:id="rId19"/>
    <sheet state="visible" name="ALL" sheetId="17" r:id="rId20"/>
  </sheets>
  <definedNames/>
  <calcPr/>
</workbook>
</file>

<file path=xl/sharedStrings.xml><?xml version="1.0" encoding="utf-8"?>
<sst xmlns="http://schemas.openxmlformats.org/spreadsheetml/2006/main" count="17" uniqueCount="17">
  <si>
    <t>Date</t>
  </si>
  <si>
    <t>USD</t>
  </si>
  <si>
    <t>AUD</t>
  </si>
  <si>
    <t>EUR</t>
  </si>
  <si>
    <t>GBP</t>
  </si>
  <si>
    <t>CHF</t>
  </si>
  <si>
    <t>SGD</t>
  </si>
  <si>
    <t>MYR</t>
  </si>
  <si>
    <t>THB</t>
  </si>
  <si>
    <t>VND</t>
  </si>
  <si>
    <t>CNY</t>
  </si>
  <si>
    <t>HKD</t>
  </si>
  <si>
    <t>TWD</t>
  </si>
  <si>
    <t>JPY</t>
  </si>
  <si>
    <t>SAR</t>
  </si>
  <si>
    <t>AED</t>
  </si>
  <si>
    <t>KWD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</si>
</sst>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dd/MM/yyyy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4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tr">
        <f>IFERROR(__xludf.DUMMYFUNCTION("googlefinance(""Currency:USDIDR"",""price"",""01/01/2010"",""28/04/2020"",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IFERROR(__xludf.DUMMYFUNCTION("""COMPUTED_VALUE"""),9385.6)</f>
        <v>9385.6</v>
      </c>
    </row>
    <row r="3">
      <c r="A3" s="3">
        <f>IFERROR(__xludf.DUMMYFUNCTION("""COMPUTED_VALUE"""),40182.99861111111)</f>
        <v>40182.99861</v>
      </c>
      <c r="B3" s="1">
        <f>IFERROR(__xludf.DUMMYFUNCTION("""COMPUTED_VALUE"""),9364.2)</f>
        <v>9364.2</v>
      </c>
    </row>
    <row r="4">
      <c r="A4" s="3">
        <f>IFERROR(__xludf.DUMMYFUNCTION("""COMPUTED_VALUE"""),40183.99861111111)</f>
        <v>40183.99861</v>
      </c>
      <c r="B4" s="1">
        <f>IFERROR(__xludf.DUMMYFUNCTION("""COMPUTED_VALUE"""),9305.2)</f>
        <v>9305.2</v>
      </c>
    </row>
    <row r="5">
      <c r="A5" s="3">
        <f>IFERROR(__xludf.DUMMYFUNCTION("""COMPUTED_VALUE"""),40184.99861111111)</f>
        <v>40184.99861</v>
      </c>
      <c r="B5" s="1">
        <f>IFERROR(__xludf.DUMMYFUNCTION("""COMPUTED_VALUE"""),9218.1)</f>
        <v>9218.1</v>
      </c>
    </row>
    <row r="6">
      <c r="A6" s="3">
        <f>IFERROR(__xludf.DUMMYFUNCTION("""COMPUTED_VALUE"""),40185.99861111111)</f>
        <v>40185.99861</v>
      </c>
      <c r="B6" s="1">
        <f>IFERROR(__xludf.DUMMYFUNCTION("""COMPUTED_VALUE"""),9272.5)</f>
        <v>9272.5</v>
      </c>
    </row>
    <row r="7">
      <c r="A7" s="3">
        <f>IFERROR(__xludf.DUMMYFUNCTION("""COMPUTED_VALUE"""),40186.99861111111)</f>
        <v>40186.99861</v>
      </c>
      <c r="B7" s="1">
        <f>IFERROR(__xludf.DUMMYFUNCTION("""COMPUTED_VALUE"""),9212.7)</f>
        <v>9212.7</v>
      </c>
    </row>
    <row r="8">
      <c r="A8" s="3">
        <f>IFERROR(__xludf.DUMMYFUNCTION("""COMPUTED_VALUE"""),40189.99861111111)</f>
        <v>40189.99861</v>
      </c>
      <c r="B8" s="1">
        <f>IFERROR(__xludf.DUMMYFUNCTION("""COMPUTED_VALUE"""),9148.1)</f>
        <v>9148.1</v>
      </c>
    </row>
    <row r="9">
      <c r="A9" s="3">
        <f>IFERROR(__xludf.DUMMYFUNCTION("""COMPUTED_VALUE"""),40190.99861111111)</f>
        <v>40190.99861</v>
      </c>
      <c r="B9" s="1">
        <f>IFERROR(__xludf.DUMMYFUNCTION("""COMPUTED_VALUE"""),9171.0)</f>
        <v>9171</v>
      </c>
    </row>
    <row r="10">
      <c r="A10" s="3">
        <f>IFERROR(__xludf.DUMMYFUNCTION("""COMPUTED_VALUE"""),40191.99861111111)</f>
        <v>40191.99861</v>
      </c>
      <c r="B10" s="1">
        <f>IFERROR(__xludf.DUMMYFUNCTION("""COMPUTED_VALUE"""),9141.0)</f>
        <v>9141</v>
      </c>
    </row>
    <row r="11">
      <c r="A11" s="3">
        <f>IFERROR(__xludf.DUMMYFUNCTION("""COMPUTED_VALUE"""),40192.99861111111)</f>
        <v>40192.99861</v>
      </c>
      <c r="B11" s="1">
        <f>IFERROR(__xludf.DUMMYFUNCTION("""COMPUTED_VALUE"""),9155.8)</f>
        <v>9155.8</v>
      </c>
    </row>
    <row r="12">
      <c r="A12" s="3">
        <f>IFERROR(__xludf.DUMMYFUNCTION("""COMPUTED_VALUE"""),40193.99861111111)</f>
        <v>40193.99861</v>
      </c>
      <c r="B12" s="1">
        <f>IFERROR(__xludf.DUMMYFUNCTION("""COMPUTED_VALUE"""),9226.1)</f>
        <v>9226.1</v>
      </c>
    </row>
    <row r="13">
      <c r="A13" s="3">
        <f>IFERROR(__xludf.DUMMYFUNCTION("""COMPUTED_VALUE"""),40196.99861111111)</f>
        <v>40196.99861</v>
      </c>
      <c r="B13" s="1">
        <f>IFERROR(__xludf.DUMMYFUNCTION("""COMPUTED_VALUE"""),9130.0)</f>
        <v>9130</v>
      </c>
    </row>
    <row r="14">
      <c r="A14" s="3">
        <f>IFERROR(__xludf.DUMMYFUNCTION("""COMPUTED_VALUE"""),40197.99861111111)</f>
        <v>40197.99861</v>
      </c>
      <c r="B14" s="1">
        <f>IFERROR(__xludf.DUMMYFUNCTION("""COMPUTED_VALUE"""),9229.95)</f>
        <v>9229.95</v>
      </c>
    </row>
    <row r="15">
      <c r="A15" s="3">
        <f>IFERROR(__xludf.DUMMYFUNCTION("""COMPUTED_VALUE"""),40198.99861111111)</f>
        <v>40198.99861</v>
      </c>
      <c r="B15" s="1">
        <f>IFERROR(__xludf.DUMMYFUNCTION("""COMPUTED_VALUE"""),9294.95)</f>
        <v>9294.95</v>
      </c>
    </row>
    <row r="16">
      <c r="A16" s="3">
        <f>IFERROR(__xludf.DUMMYFUNCTION("""COMPUTED_VALUE"""),40199.99861111111)</f>
        <v>40199.99861</v>
      </c>
      <c r="B16" s="1">
        <f>IFERROR(__xludf.DUMMYFUNCTION("""COMPUTED_VALUE"""),9183.0)</f>
        <v>9183</v>
      </c>
    </row>
    <row r="17">
      <c r="A17" s="3">
        <f>IFERROR(__xludf.DUMMYFUNCTION("""COMPUTED_VALUE"""),40200.99861111111)</f>
        <v>40200.99861</v>
      </c>
      <c r="B17" s="1">
        <f>IFERROR(__xludf.DUMMYFUNCTION("""COMPUTED_VALUE"""),9240.0)</f>
        <v>9240</v>
      </c>
    </row>
    <row r="18">
      <c r="A18" s="3">
        <f>IFERROR(__xludf.DUMMYFUNCTION("""COMPUTED_VALUE"""),40203.99861111111)</f>
        <v>40203.99861</v>
      </c>
      <c r="B18" s="1">
        <f>IFERROR(__xludf.DUMMYFUNCTION("""COMPUTED_VALUE"""),9319.95)</f>
        <v>9319.95</v>
      </c>
    </row>
    <row r="19">
      <c r="A19" s="3">
        <f>IFERROR(__xludf.DUMMYFUNCTION("""COMPUTED_VALUE"""),40204.99861111111)</f>
        <v>40204.99861</v>
      </c>
      <c r="B19" s="1">
        <f>IFERROR(__xludf.DUMMYFUNCTION("""COMPUTED_VALUE"""),9379.95)</f>
        <v>9379.95</v>
      </c>
    </row>
    <row r="20">
      <c r="A20" s="3">
        <f>IFERROR(__xludf.DUMMYFUNCTION("""COMPUTED_VALUE"""),40205.99861111111)</f>
        <v>40205.99861</v>
      </c>
      <c r="B20" s="1">
        <f>IFERROR(__xludf.DUMMYFUNCTION("""COMPUTED_VALUE"""),9399.95)</f>
        <v>9399.95</v>
      </c>
    </row>
    <row r="21">
      <c r="A21" s="3">
        <f>IFERROR(__xludf.DUMMYFUNCTION("""COMPUTED_VALUE"""),40206.99861111111)</f>
        <v>40206.99861</v>
      </c>
      <c r="B21" s="1">
        <f>IFERROR(__xludf.DUMMYFUNCTION("""COMPUTED_VALUE"""),9324.95)</f>
        <v>9324.95</v>
      </c>
    </row>
    <row r="22">
      <c r="A22" s="3">
        <f>IFERROR(__xludf.DUMMYFUNCTION("""COMPUTED_VALUE"""),40207.99861111111)</f>
        <v>40207.99861</v>
      </c>
      <c r="B22" s="1">
        <f>IFERROR(__xludf.DUMMYFUNCTION("""COMPUTED_VALUE"""),9250.0)</f>
        <v>9250</v>
      </c>
    </row>
    <row r="23">
      <c r="A23" s="3">
        <f>IFERROR(__xludf.DUMMYFUNCTION("""COMPUTED_VALUE"""),40210.99861111111)</f>
        <v>40210.99861</v>
      </c>
      <c r="B23" s="1">
        <f>IFERROR(__xludf.DUMMYFUNCTION("""COMPUTED_VALUE"""),9256.4)</f>
        <v>9256.4</v>
      </c>
    </row>
    <row r="24">
      <c r="A24" s="3">
        <f>IFERROR(__xludf.DUMMYFUNCTION("""COMPUTED_VALUE"""),40211.99861111111)</f>
        <v>40211.99861</v>
      </c>
      <c r="B24" s="1">
        <f>IFERROR(__xludf.DUMMYFUNCTION("""COMPUTED_VALUE"""),9313.7)</f>
        <v>9313.7</v>
      </c>
    </row>
    <row r="25">
      <c r="A25" s="3">
        <f>IFERROR(__xludf.DUMMYFUNCTION("""COMPUTED_VALUE"""),40212.99861111111)</f>
        <v>40212.99861</v>
      </c>
      <c r="B25" s="1">
        <f>IFERROR(__xludf.DUMMYFUNCTION("""COMPUTED_VALUE"""),9364.6)</f>
        <v>9364.6</v>
      </c>
    </row>
    <row r="26">
      <c r="A26" s="3">
        <f>IFERROR(__xludf.DUMMYFUNCTION("""COMPUTED_VALUE"""),40213.99861111111)</f>
        <v>40213.99861</v>
      </c>
      <c r="B26" s="1">
        <f>IFERROR(__xludf.DUMMYFUNCTION("""COMPUTED_VALUE"""),9386.9)</f>
        <v>9386.9</v>
      </c>
    </row>
    <row r="27">
      <c r="A27" s="3">
        <f>IFERROR(__xludf.DUMMYFUNCTION("""COMPUTED_VALUE"""),40214.99861111111)</f>
        <v>40214.99861</v>
      </c>
      <c r="B27" s="1">
        <f>IFERROR(__xludf.DUMMYFUNCTION("""COMPUTED_VALUE"""),9468.1)</f>
        <v>9468.1</v>
      </c>
    </row>
    <row r="28">
      <c r="A28" s="3">
        <f>IFERROR(__xludf.DUMMYFUNCTION("""COMPUTED_VALUE"""),40217.99861111111)</f>
        <v>40217.99861</v>
      </c>
      <c r="B28" s="1">
        <f>IFERROR(__xludf.DUMMYFUNCTION("""COMPUTED_VALUE"""),9484.5)</f>
        <v>9484.5</v>
      </c>
    </row>
    <row r="29">
      <c r="A29" s="3">
        <f>IFERROR(__xludf.DUMMYFUNCTION("""COMPUTED_VALUE"""),40218.99861111111)</f>
        <v>40218.99861</v>
      </c>
      <c r="B29" s="1">
        <f>IFERROR(__xludf.DUMMYFUNCTION("""COMPUTED_VALUE"""),9339.3)</f>
        <v>9339.3</v>
      </c>
    </row>
    <row r="30">
      <c r="A30" s="3">
        <f>IFERROR(__xludf.DUMMYFUNCTION("""COMPUTED_VALUE"""),40219.99861111111)</f>
        <v>40219.99861</v>
      </c>
      <c r="B30" s="1">
        <f>IFERROR(__xludf.DUMMYFUNCTION("""COMPUTED_VALUE"""),9314.4)</f>
        <v>9314.4</v>
      </c>
    </row>
    <row r="31">
      <c r="A31" s="3">
        <f>IFERROR(__xludf.DUMMYFUNCTION("""COMPUTED_VALUE"""),40220.99861111111)</f>
        <v>40220.99861</v>
      </c>
      <c r="B31" s="1">
        <f>IFERROR(__xludf.DUMMYFUNCTION("""COMPUTED_VALUE"""),9330.1)</f>
        <v>9330.1</v>
      </c>
    </row>
    <row r="32">
      <c r="A32" s="3">
        <f>IFERROR(__xludf.DUMMYFUNCTION("""COMPUTED_VALUE"""),40221.99861111111)</f>
        <v>40221.99861</v>
      </c>
      <c r="B32" s="1">
        <f>IFERROR(__xludf.DUMMYFUNCTION("""COMPUTED_VALUE"""),9323.7)</f>
        <v>9323.7</v>
      </c>
    </row>
    <row r="33">
      <c r="A33" s="3">
        <f>IFERROR(__xludf.DUMMYFUNCTION("""COMPUTED_VALUE"""),40224.99861111111)</f>
        <v>40224.99861</v>
      </c>
      <c r="B33" s="1">
        <f>IFERROR(__xludf.DUMMYFUNCTION("""COMPUTED_VALUE"""),9344.8)</f>
        <v>9344.8</v>
      </c>
    </row>
    <row r="34">
      <c r="A34" s="3">
        <f>IFERROR(__xludf.DUMMYFUNCTION("""COMPUTED_VALUE"""),40225.99861111111)</f>
        <v>40225.99861</v>
      </c>
      <c r="B34" s="1">
        <f>IFERROR(__xludf.DUMMYFUNCTION("""COMPUTED_VALUE"""),9292.9)</f>
        <v>9292.9</v>
      </c>
    </row>
    <row r="35">
      <c r="A35" s="3">
        <f>IFERROR(__xludf.DUMMYFUNCTION("""COMPUTED_VALUE"""),40226.99861111111)</f>
        <v>40226.99861</v>
      </c>
      <c r="B35" s="1">
        <f>IFERROR(__xludf.DUMMYFUNCTION("""COMPUTED_VALUE"""),9400.6)</f>
        <v>9400.6</v>
      </c>
    </row>
    <row r="36">
      <c r="A36" s="3">
        <f>IFERROR(__xludf.DUMMYFUNCTION("""COMPUTED_VALUE"""),40227.99861111111)</f>
        <v>40227.99861</v>
      </c>
      <c r="B36" s="1">
        <f>IFERROR(__xludf.DUMMYFUNCTION("""COMPUTED_VALUE"""),9499.8)</f>
        <v>9499.8</v>
      </c>
    </row>
    <row r="37">
      <c r="A37" s="3">
        <f>IFERROR(__xludf.DUMMYFUNCTION("""COMPUTED_VALUE"""),40228.99861111111)</f>
        <v>40228.99861</v>
      </c>
      <c r="B37" s="1">
        <f>IFERROR(__xludf.DUMMYFUNCTION("""COMPUTED_VALUE"""),9292.2)</f>
        <v>9292.2</v>
      </c>
    </row>
    <row r="38">
      <c r="A38" s="3">
        <f>IFERROR(__xludf.DUMMYFUNCTION("""COMPUTED_VALUE"""),40231.99861111111)</f>
        <v>40231.99861</v>
      </c>
      <c r="B38" s="1">
        <f>IFERROR(__xludf.DUMMYFUNCTION("""COMPUTED_VALUE"""),9281.7)</f>
        <v>9281.7</v>
      </c>
    </row>
    <row r="39">
      <c r="A39" s="3">
        <f>IFERROR(__xludf.DUMMYFUNCTION("""COMPUTED_VALUE"""),40232.99861111111)</f>
        <v>40232.99861</v>
      </c>
      <c r="B39" s="1">
        <f>IFERROR(__xludf.DUMMYFUNCTION("""COMPUTED_VALUE"""),9341.8)</f>
        <v>9341.8</v>
      </c>
    </row>
    <row r="40">
      <c r="A40" s="3">
        <f>IFERROR(__xludf.DUMMYFUNCTION("""COMPUTED_VALUE"""),40233.99861111111)</f>
        <v>40233.99861</v>
      </c>
      <c r="B40" s="1">
        <f>IFERROR(__xludf.DUMMYFUNCTION("""COMPUTED_VALUE"""),9352.3)</f>
        <v>9352.3</v>
      </c>
    </row>
    <row r="41">
      <c r="A41" s="3">
        <f>IFERROR(__xludf.DUMMYFUNCTION("""COMPUTED_VALUE"""),40234.99861111111)</f>
        <v>40234.99861</v>
      </c>
      <c r="B41" s="1">
        <f>IFERROR(__xludf.DUMMYFUNCTION("""COMPUTED_VALUE"""),9335.2)</f>
        <v>9335.2</v>
      </c>
    </row>
    <row r="42">
      <c r="A42" s="3">
        <f>IFERROR(__xludf.DUMMYFUNCTION("""COMPUTED_VALUE"""),40235.99861111111)</f>
        <v>40235.99861</v>
      </c>
      <c r="B42" s="1">
        <f>IFERROR(__xludf.DUMMYFUNCTION("""COMPUTED_VALUE"""),9340.0)</f>
        <v>9340</v>
      </c>
    </row>
    <row r="43">
      <c r="A43" s="3">
        <f>IFERROR(__xludf.DUMMYFUNCTION("""COMPUTED_VALUE"""),40238.99861111111)</f>
        <v>40238.99861</v>
      </c>
      <c r="B43" s="1">
        <f>IFERROR(__xludf.DUMMYFUNCTION("""COMPUTED_VALUE"""),9385.1)</f>
        <v>9385.1</v>
      </c>
    </row>
    <row r="44">
      <c r="A44" s="3">
        <f>IFERROR(__xludf.DUMMYFUNCTION("""COMPUTED_VALUE"""),40239.99861111111)</f>
        <v>40239.99861</v>
      </c>
      <c r="B44" s="1">
        <f>IFERROR(__xludf.DUMMYFUNCTION("""COMPUTED_VALUE"""),9184.4)</f>
        <v>9184.4</v>
      </c>
    </row>
    <row r="45">
      <c r="A45" s="3">
        <f>IFERROR(__xludf.DUMMYFUNCTION("""COMPUTED_VALUE"""),40240.99861111111)</f>
        <v>40240.99861</v>
      </c>
      <c r="B45" s="1">
        <f>IFERROR(__xludf.DUMMYFUNCTION("""COMPUTED_VALUE"""),9149.3)</f>
        <v>9149.3</v>
      </c>
    </row>
    <row r="46">
      <c r="A46" s="3">
        <f>IFERROR(__xludf.DUMMYFUNCTION("""COMPUTED_VALUE"""),40241.99861111111)</f>
        <v>40241.99861</v>
      </c>
      <c r="B46" s="1">
        <f>IFERROR(__xludf.DUMMYFUNCTION("""COMPUTED_VALUE"""),9328.9)</f>
        <v>9328.9</v>
      </c>
    </row>
    <row r="47">
      <c r="A47" s="3">
        <f>IFERROR(__xludf.DUMMYFUNCTION("""COMPUTED_VALUE"""),40242.99861111111)</f>
        <v>40242.99861</v>
      </c>
      <c r="B47" s="1">
        <f>IFERROR(__xludf.DUMMYFUNCTION("""COMPUTED_VALUE"""),9198.4)</f>
        <v>9198.4</v>
      </c>
    </row>
    <row r="48">
      <c r="A48" s="3">
        <f>IFERROR(__xludf.DUMMYFUNCTION("""COMPUTED_VALUE"""),40245.99861111111)</f>
        <v>40245.99861</v>
      </c>
      <c r="B48" s="1">
        <f>IFERROR(__xludf.DUMMYFUNCTION("""COMPUTED_VALUE"""),9180.0)</f>
        <v>9180</v>
      </c>
    </row>
    <row r="49">
      <c r="A49" s="3">
        <f>IFERROR(__xludf.DUMMYFUNCTION("""COMPUTED_VALUE"""),40246.99861111111)</f>
        <v>40246.99861</v>
      </c>
      <c r="B49" s="1">
        <f>IFERROR(__xludf.DUMMYFUNCTION("""COMPUTED_VALUE"""),9173.1)</f>
        <v>9173.1</v>
      </c>
    </row>
    <row r="50">
      <c r="A50" s="3">
        <f>IFERROR(__xludf.DUMMYFUNCTION("""COMPUTED_VALUE"""),40247.99861111111)</f>
        <v>40247.99861</v>
      </c>
      <c r="B50" s="1">
        <f>IFERROR(__xludf.DUMMYFUNCTION("""COMPUTED_VALUE"""),9169.9)</f>
        <v>9169.9</v>
      </c>
    </row>
    <row r="51">
      <c r="A51" s="3">
        <f>IFERROR(__xludf.DUMMYFUNCTION("""COMPUTED_VALUE"""),40248.99861111111)</f>
        <v>40248.99861</v>
      </c>
      <c r="B51" s="1">
        <f>IFERROR(__xludf.DUMMYFUNCTION("""COMPUTED_VALUE"""),9152.9)</f>
        <v>9152.9</v>
      </c>
    </row>
    <row r="52">
      <c r="A52" s="3">
        <f>IFERROR(__xludf.DUMMYFUNCTION("""COMPUTED_VALUE"""),40249.99861111111)</f>
        <v>40249.99861</v>
      </c>
      <c r="B52" s="1">
        <f>IFERROR(__xludf.DUMMYFUNCTION("""COMPUTED_VALUE"""),9144.7)</f>
        <v>9144.7</v>
      </c>
    </row>
    <row r="53">
      <c r="A53" s="3">
        <f>IFERROR(__xludf.DUMMYFUNCTION("""COMPUTED_VALUE"""),40252.99861111111)</f>
        <v>40252.99861</v>
      </c>
      <c r="B53" s="1">
        <f>IFERROR(__xludf.DUMMYFUNCTION("""COMPUTED_VALUE"""),9205.9)</f>
        <v>9205.9</v>
      </c>
    </row>
    <row r="54">
      <c r="A54" s="3">
        <f>IFERROR(__xludf.DUMMYFUNCTION("""COMPUTED_VALUE"""),40253.99861111111)</f>
        <v>40253.99861</v>
      </c>
      <c r="B54" s="1">
        <f>IFERROR(__xludf.DUMMYFUNCTION("""COMPUTED_VALUE"""),9151.8)</f>
        <v>9151.8</v>
      </c>
    </row>
    <row r="55">
      <c r="A55" s="3">
        <f>IFERROR(__xludf.DUMMYFUNCTION("""COMPUTED_VALUE"""),40254.99861111111)</f>
        <v>40254.99861</v>
      </c>
      <c r="B55" s="1">
        <f>IFERROR(__xludf.DUMMYFUNCTION("""COMPUTED_VALUE"""),9099.5)</f>
        <v>9099.5</v>
      </c>
    </row>
    <row r="56">
      <c r="A56" s="3">
        <f>IFERROR(__xludf.DUMMYFUNCTION("""COMPUTED_VALUE"""),40255.99861111111)</f>
        <v>40255.99861</v>
      </c>
      <c r="B56" s="1">
        <f>IFERROR(__xludf.DUMMYFUNCTION("""COMPUTED_VALUE"""),9120.3)</f>
        <v>9120.3</v>
      </c>
    </row>
    <row r="57">
      <c r="A57" s="3">
        <f>IFERROR(__xludf.DUMMYFUNCTION("""COMPUTED_VALUE"""),40256.99861111111)</f>
        <v>40256.99861</v>
      </c>
      <c r="B57" s="1">
        <f>IFERROR(__xludf.DUMMYFUNCTION("""COMPUTED_VALUE"""),9110.4)</f>
        <v>9110.4</v>
      </c>
    </row>
    <row r="58">
      <c r="A58" s="3">
        <f>IFERROR(__xludf.DUMMYFUNCTION("""COMPUTED_VALUE"""),40259.99861111111)</f>
        <v>40259.99861</v>
      </c>
      <c r="B58" s="1">
        <f>IFERROR(__xludf.DUMMYFUNCTION("""COMPUTED_VALUE"""),9115.4)</f>
        <v>9115.4</v>
      </c>
    </row>
    <row r="59">
      <c r="A59" s="3">
        <f>IFERROR(__xludf.DUMMYFUNCTION("""COMPUTED_VALUE"""),40260.99861111111)</f>
        <v>40260.99861</v>
      </c>
      <c r="B59" s="1">
        <f>IFERROR(__xludf.DUMMYFUNCTION("""COMPUTED_VALUE"""),9144.6)</f>
        <v>9144.6</v>
      </c>
    </row>
    <row r="60">
      <c r="A60" s="3">
        <f>IFERROR(__xludf.DUMMYFUNCTION("""COMPUTED_VALUE"""),40261.99861111111)</f>
        <v>40261.99861</v>
      </c>
      <c r="B60" s="1">
        <f>IFERROR(__xludf.DUMMYFUNCTION("""COMPUTED_VALUE"""),9114.7)</f>
        <v>9114.7</v>
      </c>
    </row>
    <row r="61">
      <c r="A61" s="3">
        <f>IFERROR(__xludf.DUMMYFUNCTION("""COMPUTED_VALUE"""),40262.99861111111)</f>
        <v>40262.99861</v>
      </c>
      <c r="B61" s="1">
        <f>IFERROR(__xludf.DUMMYFUNCTION("""COMPUTED_VALUE"""),9132.6)</f>
        <v>9132.6</v>
      </c>
    </row>
    <row r="62">
      <c r="A62" s="3">
        <f>IFERROR(__xludf.DUMMYFUNCTION("""COMPUTED_VALUE"""),40263.99861111111)</f>
        <v>40263.99861</v>
      </c>
      <c r="B62" s="1">
        <f>IFERROR(__xludf.DUMMYFUNCTION("""COMPUTED_VALUE"""),9112.9)</f>
        <v>9112.9</v>
      </c>
    </row>
    <row r="63">
      <c r="A63" s="3">
        <f>IFERROR(__xludf.DUMMYFUNCTION("""COMPUTED_VALUE"""),40266.99861111111)</f>
        <v>40266.99861</v>
      </c>
      <c r="B63" s="1">
        <f>IFERROR(__xludf.DUMMYFUNCTION("""COMPUTED_VALUE"""),9073.0)</f>
        <v>9073</v>
      </c>
    </row>
    <row r="64">
      <c r="A64" s="3">
        <f>IFERROR(__xludf.DUMMYFUNCTION("""COMPUTED_VALUE"""),40267.99861111111)</f>
        <v>40267.99861</v>
      </c>
      <c r="B64" s="1">
        <f>IFERROR(__xludf.DUMMYFUNCTION("""COMPUTED_VALUE"""),9075.4)</f>
        <v>9075.4</v>
      </c>
    </row>
    <row r="65">
      <c r="A65" s="3">
        <f>IFERROR(__xludf.DUMMYFUNCTION("""COMPUTED_VALUE"""),40268.99861111111)</f>
        <v>40268.99861</v>
      </c>
      <c r="B65" s="1">
        <f>IFERROR(__xludf.DUMMYFUNCTION("""COMPUTED_VALUE"""),9103.0)</f>
        <v>9103</v>
      </c>
    </row>
    <row r="66">
      <c r="A66" s="3">
        <f>IFERROR(__xludf.DUMMYFUNCTION("""COMPUTED_VALUE"""),40269.99861111111)</f>
        <v>40269.99861</v>
      </c>
      <c r="B66" s="1">
        <f>IFERROR(__xludf.DUMMYFUNCTION("""COMPUTED_VALUE"""),9041.4)</f>
        <v>9041.4</v>
      </c>
    </row>
    <row r="67">
      <c r="A67" s="3">
        <f>IFERROR(__xludf.DUMMYFUNCTION("""COMPUTED_VALUE"""),40270.99861111111)</f>
        <v>40270.99861</v>
      </c>
      <c r="B67" s="1">
        <f>IFERROR(__xludf.DUMMYFUNCTION("""COMPUTED_VALUE"""),9094.9)</f>
        <v>9094.9</v>
      </c>
    </row>
    <row r="68">
      <c r="A68" s="3">
        <f>IFERROR(__xludf.DUMMYFUNCTION("""COMPUTED_VALUE"""),40273.99861111111)</f>
        <v>40273.99861</v>
      </c>
      <c r="B68" s="1">
        <f>IFERROR(__xludf.DUMMYFUNCTION("""COMPUTED_VALUE"""),9052.8)</f>
        <v>9052.8</v>
      </c>
    </row>
    <row r="69">
      <c r="A69" s="3">
        <f>IFERROR(__xludf.DUMMYFUNCTION("""COMPUTED_VALUE"""),40274.99861111111)</f>
        <v>40274.99861</v>
      </c>
      <c r="B69" s="1">
        <f>IFERROR(__xludf.DUMMYFUNCTION("""COMPUTED_VALUE"""),9037.3)</f>
        <v>9037.3</v>
      </c>
    </row>
    <row r="70">
      <c r="A70" s="3">
        <f>IFERROR(__xludf.DUMMYFUNCTION("""COMPUTED_VALUE"""),40275.99861111111)</f>
        <v>40275.99861</v>
      </c>
      <c r="B70" s="1">
        <f>IFERROR(__xludf.DUMMYFUNCTION("""COMPUTED_VALUE"""),9054.5)</f>
        <v>9054.5</v>
      </c>
    </row>
    <row r="71">
      <c r="A71" s="3">
        <f>IFERROR(__xludf.DUMMYFUNCTION("""COMPUTED_VALUE"""),40276.99861111111)</f>
        <v>40276.99861</v>
      </c>
      <c r="B71" s="1">
        <f>IFERROR(__xludf.DUMMYFUNCTION("""COMPUTED_VALUE"""),9057.7)</f>
        <v>9057.7</v>
      </c>
    </row>
    <row r="72">
      <c r="A72" s="3">
        <f>IFERROR(__xludf.DUMMYFUNCTION("""COMPUTED_VALUE"""),40277.99861111111)</f>
        <v>40277.99861</v>
      </c>
      <c r="B72" s="1">
        <f>IFERROR(__xludf.DUMMYFUNCTION("""COMPUTED_VALUE"""),8992.9)</f>
        <v>8992.9</v>
      </c>
    </row>
    <row r="73">
      <c r="A73" s="3">
        <f>IFERROR(__xludf.DUMMYFUNCTION("""COMPUTED_VALUE"""),40280.99861111111)</f>
        <v>40280.99861</v>
      </c>
      <c r="B73" s="1">
        <f>IFERROR(__xludf.DUMMYFUNCTION("""COMPUTED_VALUE"""),9011.0)</f>
        <v>9011</v>
      </c>
    </row>
    <row r="74">
      <c r="A74" s="3">
        <f>IFERROR(__xludf.DUMMYFUNCTION("""COMPUTED_VALUE"""),40281.99861111111)</f>
        <v>40281.99861</v>
      </c>
      <c r="B74" s="1">
        <f>IFERROR(__xludf.DUMMYFUNCTION("""COMPUTED_VALUE"""),9009.5)</f>
        <v>9009.5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IFERROR(__xludf.DUMMYFUNCTION("""COMPUTED_VALUE"""),9011.4)</f>
        <v>9011.4</v>
      </c>
    </row>
    <row r="76">
      <c r="A76" s="3">
        <f>IFERROR(__xludf.DUMMYFUNCTION("""COMPUTED_VALUE"""),40283.99861111111)</f>
        <v>40283.99861</v>
      </c>
      <c r="B76" s="1">
        <f>IFERROR(__xludf.DUMMYFUNCTION("""COMPUTED_VALUE"""),9001.1)</f>
        <v>9001.1</v>
      </c>
    </row>
    <row r="77">
      <c r="A77" s="3">
        <f>IFERROR(__xludf.DUMMYFUNCTION("""COMPUTED_VALUE"""),40284.99861111111)</f>
        <v>40284.99861</v>
      </c>
      <c r="B77" s="1">
        <f>IFERROR(__xludf.DUMMYFUNCTION("""COMPUTED_VALUE"""),9006.1)</f>
        <v>9006.1</v>
      </c>
    </row>
    <row r="78">
      <c r="A78" s="3">
        <f>IFERROR(__xludf.DUMMYFUNCTION("""COMPUTED_VALUE"""),40287.99861111111)</f>
        <v>40287.99861</v>
      </c>
      <c r="B78" s="1">
        <f>IFERROR(__xludf.DUMMYFUNCTION("""COMPUTED_VALUE"""),9016.4)</f>
        <v>9016.4</v>
      </c>
    </row>
    <row r="79">
      <c r="A79" s="3">
        <f>IFERROR(__xludf.DUMMYFUNCTION("""COMPUTED_VALUE"""),40288.99861111111)</f>
        <v>40288.99861</v>
      </c>
      <c r="B79" s="1">
        <f>IFERROR(__xludf.DUMMYFUNCTION("""COMPUTED_VALUE"""),9017.8)</f>
        <v>9017.8</v>
      </c>
    </row>
    <row r="80">
      <c r="A80" s="3">
        <f>IFERROR(__xludf.DUMMYFUNCTION("""COMPUTED_VALUE"""),40289.99861111111)</f>
        <v>40289.99861</v>
      </c>
      <c r="B80" s="1">
        <f>IFERROR(__xludf.DUMMYFUNCTION("""COMPUTED_VALUE"""),9023.3)</f>
        <v>9023.3</v>
      </c>
    </row>
    <row r="81">
      <c r="A81" s="3">
        <f>IFERROR(__xludf.DUMMYFUNCTION("""COMPUTED_VALUE"""),40290.99861111111)</f>
        <v>40290.99861</v>
      </c>
      <c r="B81" s="1">
        <f>IFERROR(__xludf.DUMMYFUNCTION("""COMPUTED_VALUE"""),9104.3)</f>
        <v>9104.3</v>
      </c>
    </row>
    <row r="82">
      <c r="A82" s="3">
        <f>IFERROR(__xludf.DUMMYFUNCTION("""COMPUTED_VALUE"""),40291.99861111111)</f>
        <v>40291.99861</v>
      </c>
      <c r="B82" s="1">
        <f>IFERROR(__xludf.DUMMYFUNCTION("""COMPUTED_VALUE"""),9004.0)</f>
        <v>9004</v>
      </c>
    </row>
    <row r="83">
      <c r="A83" s="3">
        <f>IFERROR(__xludf.DUMMYFUNCTION("""COMPUTED_VALUE"""),40294.99861111111)</f>
        <v>40294.99861</v>
      </c>
      <c r="B83" s="1">
        <f>IFERROR(__xludf.DUMMYFUNCTION("""COMPUTED_VALUE"""),8961.9)</f>
        <v>8961.9</v>
      </c>
    </row>
    <row r="84">
      <c r="A84" s="3">
        <f>IFERROR(__xludf.DUMMYFUNCTION("""COMPUTED_VALUE"""),40295.99861111111)</f>
        <v>40295.99861</v>
      </c>
      <c r="B84" s="1">
        <f>IFERROR(__xludf.DUMMYFUNCTION("""COMPUTED_VALUE"""),9096.1)</f>
        <v>9096.1</v>
      </c>
    </row>
    <row r="85">
      <c r="A85" s="3">
        <f>IFERROR(__xludf.DUMMYFUNCTION("""COMPUTED_VALUE"""),40296.99861111111)</f>
        <v>40296.99861</v>
      </c>
      <c r="B85" s="1">
        <f>IFERROR(__xludf.DUMMYFUNCTION("""COMPUTED_VALUE"""),9022.4)</f>
        <v>9022.4</v>
      </c>
    </row>
    <row r="86">
      <c r="A86" s="3">
        <f>IFERROR(__xludf.DUMMYFUNCTION("""COMPUTED_VALUE"""),40297.99861111111)</f>
        <v>40297.99861</v>
      </c>
      <c r="B86" s="1">
        <f>IFERROR(__xludf.DUMMYFUNCTION("""COMPUTED_VALUE"""),9002.5)</f>
        <v>9002.5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IFERROR(__xludf.DUMMYFUNCTION("""COMPUTED_VALUE"""),9028.7)</f>
        <v>9028.7</v>
      </c>
    </row>
    <row r="88">
      <c r="A88" s="3">
        <f>IFERROR(__xludf.DUMMYFUNCTION("""COMPUTED_VALUE"""),40301.99861111111)</f>
        <v>40301.99861</v>
      </c>
      <c r="B88" s="1">
        <f>IFERROR(__xludf.DUMMYFUNCTION("""COMPUTED_VALUE"""),9021.1)</f>
        <v>9021.1</v>
      </c>
    </row>
    <row r="89">
      <c r="A89" s="3">
        <f>IFERROR(__xludf.DUMMYFUNCTION("""COMPUTED_VALUE"""),40302.99861111111)</f>
        <v>40302.99861</v>
      </c>
      <c r="B89" s="1">
        <f>IFERROR(__xludf.DUMMYFUNCTION("""COMPUTED_VALUE"""),9069.7)</f>
        <v>9069.7</v>
      </c>
    </row>
    <row r="90">
      <c r="A90" s="3">
        <f>IFERROR(__xludf.DUMMYFUNCTION("""COMPUTED_VALUE"""),40303.99861111111)</f>
        <v>40303.99861</v>
      </c>
      <c r="B90" s="1">
        <f>IFERROR(__xludf.DUMMYFUNCTION("""COMPUTED_VALUE"""),9116.5)</f>
        <v>9116.5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IFERROR(__xludf.DUMMYFUNCTION("""COMPUTED_VALUE"""),9273.4)</f>
        <v>9273.4</v>
      </c>
    </row>
    <row r="92">
      <c r="A92" s="3">
        <f>IFERROR(__xludf.DUMMYFUNCTION("""COMPUTED_VALUE"""),40305.99861111111)</f>
        <v>40305.99861</v>
      </c>
      <c r="B92" s="1">
        <f>IFERROR(__xludf.DUMMYFUNCTION("""COMPUTED_VALUE"""),9220.3)</f>
        <v>9220.3</v>
      </c>
    </row>
    <row r="93">
      <c r="A93" s="3">
        <f>IFERROR(__xludf.DUMMYFUNCTION("""COMPUTED_VALUE"""),40308.99861111111)</f>
        <v>40308.99861</v>
      </c>
      <c r="B93" s="1">
        <f>IFERROR(__xludf.DUMMYFUNCTION("""COMPUTED_VALUE"""),9203.2)</f>
        <v>9203.2</v>
      </c>
    </row>
    <row r="94">
      <c r="A94" s="3">
        <f>IFERROR(__xludf.DUMMYFUNCTION("""COMPUTED_VALUE"""),40309.99861111111)</f>
        <v>40309.99861</v>
      </c>
      <c r="B94" s="1">
        <f>IFERROR(__xludf.DUMMYFUNCTION("""COMPUTED_VALUE"""),9186.7)</f>
        <v>9186.7</v>
      </c>
    </row>
    <row r="95">
      <c r="A95" s="3">
        <f>IFERROR(__xludf.DUMMYFUNCTION("""COMPUTED_VALUE"""),40310.99861111111)</f>
        <v>40310.99861</v>
      </c>
      <c r="B95" s="1">
        <f>IFERROR(__xludf.DUMMYFUNCTION("""COMPUTED_VALUE"""),9179.0)</f>
        <v>9179</v>
      </c>
    </row>
    <row r="96">
      <c r="A96" s="3">
        <f>IFERROR(__xludf.DUMMYFUNCTION("""COMPUTED_VALUE"""),40311.99861111111)</f>
        <v>40311.99861</v>
      </c>
      <c r="B96" s="1">
        <f>IFERROR(__xludf.DUMMYFUNCTION("""COMPUTED_VALUE"""),9103.7)</f>
        <v>9103.7</v>
      </c>
    </row>
    <row r="97">
      <c r="A97" s="3">
        <f>IFERROR(__xludf.DUMMYFUNCTION("""COMPUTED_VALUE"""),40312.99861111111)</f>
        <v>40312.99861</v>
      </c>
      <c r="B97" s="1">
        <f>IFERROR(__xludf.DUMMYFUNCTION("""COMPUTED_VALUE"""),9104.2)</f>
        <v>9104.2</v>
      </c>
    </row>
    <row r="98">
      <c r="A98" s="3">
        <f>IFERROR(__xludf.DUMMYFUNCTION("""COMPUTED_VALUE"""),40315.99861111111)</f>
        <v>40315.99861</v>
      </c>
      <c r="B98" s="1">
        <f>IFERROR(__xludf.DUMMYFUNCTION("""COMPUTED_VALUE"""),9078.8)</f>
        <v>9078.8</v>
      </c>
    </row>
    <row r="99">
      <c r="A99" s="3">
        <f>IFERROR(__xludf.DUMMYFUNCTION("""COMPUTED_VALUE"""),40316.99861111111)</f>
        <v>40316.99861</v>
      </c>
      <c r="B99" s="1">
        <f>IFERROR(__xludf.DUMMYFUNCTION("""COMPUTED_VALUE"""),9283.5)</f>
        <v>9283.5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IFERROR(__xludf.DUMMYFUNCTION("""COMPUTED_VALUE"""),9123.9)</f>
        <v>9123.9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IFERROR(__xludf.DUMMYFUNCTION("""COMPUTED_VALUE"""),9121.1)</f>
        <v>9121.1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IFERROR(__xludf.DUMMYFUNCTION("""COMPUTED_VALUE"""),9260.6)</f>
        <v>9260.6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IFERROR(__xludf.DUMMYFUNCTION("""COMPUTED_VALUE"""),9282.4)</f>
        <v>9282.4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IFERROR(__xludf.DUMMYFUNCTION("""COMPUTED_VALUE"""),9283.9)</f>
        <v>9283.9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IFERROR(__xludf.DUMMYFUNCTION("""COMPUTED_VALUE"""),9376.2)</f>
        <v>9376.2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IFERROR(__xludf.DUMMYFUNCTION("""COMPUTED_VALUE"""),9215.0)</f>
        <v>9215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IFERROR(__xludf.DUMMYFUNCTION("""COMPUTED_VALUE"""),9295.6)</f>
        <v>9295.6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IFERROR(__xludf.DUMMYFUNCTION("""COMPUTED_VALUE"""),9284.6)</f>
        <v>9284.6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IFERROR(__xludf.DUMMYFUNCTION("""COMPUTED_VALUE"""),9245.1)</f>
        <v>9245.1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IFERROR(__xludf.DUMMYFUNCTION("""COMPUTED_VALUE"""),9242.1)</f>
        <v>9242.1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IFERROR(__xludf.DUMMYFUNCTION("""COMPUTED_VALUE"""),9237.5)</f>
        <v>9237.5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IFERROR(__xludf.DUMMYFUNCTION("""COMPUTED_VALUE"""),9282.7)</f>
        <v>9282.7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IFERROR(__xludf.DUMMYFUNCTION("""COMPUTED_VALUE"""),9318.1)</f>
        <v>9318.1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IFERROR(__xludf.DUMMYFUNCTION("""COMPUTED_VALUE"""),9223.4)</f>
        <v>9223.4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IFERROR(__xludf.DUMMYFUNCTION("""COMPUTED_VALUE"""),9281.2)</f>
        <v>9281.2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IFERROR(__xludf.DUMMYFUNCTION("""COMPUTED_VALUE"""),9193.4)</f>
        <v>9193.4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IFERROR(__xludf.DUMMYFUNCTION("""COMPUTED_VALUE"""),9196.6)</f>
        <v>9196.6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IFERROR(__xludf.DUMMYFUNCTION("""COMPUTED_VALUE"""),9205.2)</f>
        <v>9205.2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IFERROR(__xludf.DUMMYFUNCTION("""COMPUTED_VALUE"""),9141.0)</f>
        <v>9141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IFERROR(__xludf.DUMMYFUNCTION("""COMPUTED_VALUE"""),9163.3)</f>
        <v>9163.3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IFERROR(__xludf.DUMMYFUNCTION("""COMPUTED_VALUE"""),9142.9)</f>
        <v>9142.9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IFERROR(__xludf.DUMMYFUNCTION("""COMPUTED_VALUE"""),9071.5)</f>
        <v>9071.5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IFERROR(__xludf.DUMMYFUNCTION("""COMPUTED_VALUE"""),8997.9)</f>
        <v>8997.9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IFERROR(__xludf.DUMMYFUNCTION("""COMPUTED_VALUE"""),9012.0)</f>
        <v>9012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IFERROR(__xludf.DUMMYFUNCTION("""COMPUTED_VALUE"""),8979.5)</f>
        <v>8979.5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IFERROR(__xludf.DUMMYFUNCTION("""COMPUTED_VALUE"""),9065.5)</f>
        <v>9065.5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IFERROR(__xludf.DUMMYFUNCTION("""COMPUTED_VALUE"""),9065.6)</f>
        <v>9065.6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IFERROR(__xludf.DUMMYFUNCTION("""COMPUTED_VALUE"""),9059.1)</f>
        <v>9059.1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IFERROR(__xludf.DUMMYFUNCTION("""COMPUTED_VALUE"""),9077.1)</f>
        <v>9077.1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IFERROR(__xludf.DUMMYFUNCTION("""COMPUTED_VALUE"""),9044.8)</f>
        <v>9044.8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IFERROR(__xludf.DUMMYFUNCTION("""COMPUTED_VALUE"""),9035.7)</f>
        <v>9035.7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IFERROR(__xludf.DUMMYFUNCTION("""COMPUTED_VALUE"""),9062.7)</f>
        <v>9062.7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IFERROR(__xludf.DUMMYFUNCTION("""COMPUTED_VALUE"""),9085.1)</f>
        <v>9085.1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IFERROR(__xludf.DUMMYFUNCTION("""COMPUTED_VALUE"""),9023.6)</f>
        <v>9023.6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IFERROR(__xludf.DUMMYFUNCTION("""COMPUTED_VALUE"""),9060.3)</f>
        <v>9060.3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IFERROR(__xludf.DUMMYFUNCTION("""COMPUTED_VALUE"""),9044.9)</f>
        <v>9044.9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IFERROR(__xludf.DUMMYFUNCTION("""COMPUTED_VALUE"""),9034.1)</f>
        <v>9034.1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IFERROR(__xludf.DUMMYFUNCTION("""COMPUTED_VALUE"""),9072.1)</f>
        <v>9072.1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IFERROR(__xludf.DUMMYFUNCTION("""COMPUTED_VALUE"""),8977.9)</f>
        <v>8977.9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IFERROR(__xludf.DUMMYFUNCTION("""COMPUTED_VALUE"""),9018.8)</f>
        <v>9018.8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IFERROR(__xludf.DUMMYFUNCTION("""COMPUTED_VALUE"""),9037.4)</f>
        <v>9037.4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IFERROR(__xludf.DUMMYFUNCTION("""COMPUTED_VALUE"""),9034.0)</f>
        <v>9034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IFERROR(__xludf.DUMMYFUNCTION("""COMPUTED_VALUE"""),9079.5)</f>
        <v>9079.5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IFERROR(__xludf.DUMMYFUNCTION("""COMPUTED_VALUE"""),9037.7)</f>
        <v>9037.7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IFERROR(__xludf.DUMMYFUNCTION("""COMPUTED_VALUE"""),9090.6)</f>
        <v>9090.6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IFERROR(__xludf.DUMMYFUNCTION("""COMPUTED_VALUE"""),8995.5)</f>
        <v>8995.5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IFERROR(__xludf.DUMMYFUNCTION("""COMPUTED_VALUE"""),8977.5)</f>
        <v>8977.5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IFERROR(__xludf.DUMMYFUNCTION("""COMPUTED_VALUE"""),8917.1)</f>
        <v>8917.1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IFERROR(__xludf.DUMMYFUNCTION("""COMPUTED_VALUE"""),8921.9)</f>
        <v>8921.9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IFERROR(__xludf.DUMMYFUNCTION("""COMPUTED_VALUE"""),9025.0)</f>
        <v>9025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IFERROR(__xludf.DUMMYFUNCTION("""COMPUTED_VALUE"""),8970.6)</f>
        <v>8970.6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IFERROR(__xludf.DUMMYFUNCTION("""COMPUTED_VALUE"""),8923.6)</f>
        <v>8923.6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IFERROR(__xludf.DUMMYFUNCTION("""COMPUTED_VALUE"""),8831.8)</f>
        <v>8831.8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IFERROR(__xludf.DUMMYFUNCTION("""COMPUTED_VALUE"""),8798.3)</f>
        <v>8798.3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IFERROR(__xludf.DUMMYFUNCTION("""COMPUTED_VALUE"""),8943.0)</f>
        <v>8943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IFERROR(__xludf.DUMMYFUNCTION("""COMPUTED_VALUE"""),8927.4)</f>
        <v>8927.4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IFERROR(__xludf.DUMMYFUNCTION("""COMPUTED_VALUE"""),8865.0)</f>
        <v>8865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IFERROR(__xludf.DUMMYFUNCTION("""COMPUTED_VALUE"""),8936.3)</f>
        <v>8936.3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IFERROR(__xludf.DUMMYFUNCTION("""COMPUTED_VALUE"""),8881.3)</f>
        <v>8881.3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IFERROR(__xludf.DUMMYFUNCTION("""COMPUTED_VALUE"""),9006.4)</f>
        <v>9006.4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IFERROR(__xludf.DUMMYFUNCTION("""COMPUTED_VALUE"""),9025.8)</f>
        <v>9025.8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IFERROR(__xludf.DUMMYFUNCTION("""COMPUTED_VALUE"""),8967.9)</f>
        <v>8967.9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IFERROR(__xludf.DUMMYFUNCTION("""COMPUTED_VALUE"""),8923.7)</f>
        <v>8923.7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IFERROR(__xludf.DUMMYFUNCTION("""COMPUTED_VALUE"""),8878.4)</f>
        <v>8878.4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IFERROR(__xludf.DUMMYFUNCTION("""COMPUTED_VALUE"""),8897.4)</f>
        <v>8897.4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IFERROR(__xludf.DUMMYFUNCTION("""COMPUTED_VALUE"""),8928.6)</f>
        <v>8928.6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IFERROR(__xludf.DUMMYFUNCTION("""COMPUTED_VALUE"""),8998.3)</f>
        <v>8998.3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IFERROR(__xludf.DUMMYFUNCTION("""COMPUTED_VALUE"""),8867.0)</f>
        <v>8867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IFERROR(__xludf.DUMMYFUNCTION("""COMPUTED_VALUE"""),8977.45)</f>
        <v>8977.45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IFERROR(__xludf.DUMMYFUNCTION("""COMPUTED_VALUE"""),8878.0)</f>
        <v>8878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IFERROR(__xludf.DUMMYFUNCTION("""COMPUTED_VALUE"""),8987.45)</f>
        <v>8987.45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IFERROR(__xludf.DUMMYFUNCTION("""COMPUTED_VALUE"""),9014.95)</f>
        <v>9014.95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IFERROR(__xludf.DUMMYFUNCTION("""COMPUTED_VALUE"""),8918.0)</f>
        <v>8918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IFERROR(__xludf.DUMMYFUNCTION("""COMPUTED_VALUE"""),9014.2)</f>
        <v>9014.2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IFERROR(__xludf.DUMMYFUNCTION("""COMPUTED_VALUE"""),9006.8)</f>
        <v>9006.8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IFERROR(__xludf.DUMMYFUNCTION("""COMPUTED_VALUE"""),8990.4)</f>
        <v>8990.4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IFERROR(__xludf.DUMMYFUNCTION("""COMPUTED_VALUE"""),8980.9)</f>
        <v>8980.9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IFERROR(__xludf.DUMMYFUNCTION("""COMPUTED_VALUE"""),8998.3)</f>
        <v>8998.3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IFERROR(__xludf.DUMMYFUNCTION("""COMPUTED_VALUE"""),9031.7)</f>
        <v>9031.7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IFERROR(__xludf.DUMMYFUNCTION("""COMPUTED_VALUE"""),9004.5)</f>
        <v>9004.5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IFERROR(__xludf.DUMMYFUNCTION("""COMPUTED_VALUE"""),9030.0)</f>
        <v>9030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IFERROR(__xludf.DUMMYFUNCTION("""COMPUTED_VALUE"""),9021.2)</f>
        <v>9021.2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IFERROR(__xludf.DUMMYFUNCTION("""COMPUTED_VALUE"""),8997.8)</f>
        <v>8997.8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IFERROR(__xludf.DUMMYFUNCTION("""COMPUTED_VALUE"""),8987.3)</f>
        <v>8987.3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IFERROR(__xludf.DUMMYFUNCTION("""COMPUTED_VALUE"""),8975.6)</f>
        <v>8975.6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IFERROR(__xludf.DUMMYFUNCTION("""COMPUTED_VALUE"""),8930.0)</f>
        <v>8930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IFERROR(__xludf.DUMMYFUNCTION("""COMPUTED_VALUE"""),8975.8)</f>
        <v>8975.8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IFERROR(__xludf.DUMMYFUNCTION("""COMPUTED_VALUE"""),8982.2)</f>
        <v>8982.2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IFERROR(__xludf.DUMMYFUNCTION("""COMPUTED_VALUE"""),8874.4)</f>
        <v>8874.4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IFERROR(__xludf.DUMMYFUNCTION("""COMPUTED_VALUE"""),8918.4)</f>
        <v>8918.4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IFERROR(__xludf.DUMMYFUNCTION("""COMPUTED_VALUE"""),8967.3)</f>
        <v>8967.3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IFERROR(__xludf.DUMMYFUNCTION("""COMPUTED_VALUE"""),8851.0)</f>
        <v>8851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IFERROR(__xludf.DUMMYFUNCTION("""COMPUTED_VALUE"""),8969.5)</f>
        <v>8969.5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IFERROR(__xludf.DUMMYFUNCTION("""COMPUTED_VALUE"""),8950.6)</f>
        <v>8950.6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IFERROR(__xludf.DUMMYFUNCTION("""COMPUTED_VALUE"""),8931.8)</f>
        <v>8931.8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IFERROR(__xludf.DUMMYFUNCTION("""COMPUTED_VALUE"""),8935.7)</f>
        <v>8935.7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IFERROR(__xludf.DUMMYFUNCTION("""COMPUTED_VALUE"""),8920.7)</f>
        <v>8920.7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IFERROR(__xludf.DUMMYFUNCTION("""COMPUTED_VALUE"""),8933.0)</f>
        <v>8933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IFERROR(__xludf.DUMMYFUNCTION("""COMPUTED_VALUE"""),8829.1)</f>
        <v>8829.1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IFERROR(__xludf.DUMMYFUNCTION("""COMPUTED_VALUE"""),8872.8)</f>
        <v>8872.8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IFERROR(__xludf.DUMMYFUNCTION("""COMPUTED_VALUE"""),8912.8)</f>
        <v>8912.8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IFERROR(__xludf.DUMMYFUNCTION("""COMPUTED_VALUE"""),8917.9)</f>
        <v>8917.9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IFERROR(__xludf.DUMMYFUNCTION("""COMPUTED_VALUE"""),8995.3)</f>
        <v>8995.3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IFERROR(__xludf.DUMMYFUNCTION("""COMPUTED_VALUE"""),8910.3)</f>
        <v>8910.3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IFERROR(__xludf.DUMMYFUNCTION("""COMPUTED_VALUE"""),8878.7)</f>
        <v>8878.7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IFERROR(__xludf.DUMMYFUNCTION("""COMPUTED_VALUE"""),8904.2)</f>
        <v>8904.2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IFERROR(__xludf.DUMMYFUNCTION("""COMPUTED_VALUE"""),8942.9)</f>
        <v>8942.9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IFERROR(__xludf.DUMMYFUNCTION("""COMPUTED_VALUE"""),8946.7)</f>
        <v>8946.7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IFERROR(__xludf.DUMMYFUNCTION("""COMPUTED_VALUE"""),8968.1)</f>
        <v>8968.1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IFERROR(__xludf.DUMMYFUNCTION("""COMPUTED_VALUE"""),8817.9)</f>
        <v>8817.9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IFERROR(__xludf.DUMMYFUNCTION("""COMPUTED_VALUE"""),8849.5)</f>
        <v>8849.5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IFERROR(__xludf.DUMMYFUNCTION("""COMPUTED_VALUE"""),8918.6)</f>
        <v>8918.6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IFERROR(__xludf.DUMMYFUNCTION("""COMPUTED_VALUE"""),8927.0)</f>
        <v>8927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IFERROR(__xludf.DUMMYFUNCTION("""COMPUTED_VALUE"""),8914.7)</f>
        <v>8914.7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IFERROR(__xludf.DUMMYFUNCTION("""COMPUTED_VALUE"""),8924.6)</f>
        <v>8924.6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IFERROR(__xludf.DUMMYFUNCTION("""COMPUTED_VALUE"""),8827.6)</f>
        <v>8827.6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IFERROR(__xludf.DUMMYFUNCTION("""COMPUTED_VALUE"""),8932.0)</f>
        <v>8932</v>
      </c>
    </row>
    <row r="218">
      <c r="A218" s="3">
        <f>IFERROR(__xludf.DUMMYFUNCTION("""COMPUTED_VALUE"""),40481.99861111111)</f>
        <v>40481.99861</v>
      </c>
      <c r="B218" s="1">
        <f>IFERROR(__xludf.DUMMYFUNCTION("""COMPUTED_VALUE"""),8936.55)</f>
        <v>8936.55</v>
      </c>
    </row>
    <row r="219">
      <c r="A219" s="3">
        <f>IFERROR(__xludf.DUMMYFUNCTION("""COMPUTED_VALUE"""),40482.99861111111)</f>
        <v>40482.99861</v>
      </c>
      <c r="B219" s="1">
        <f>IFERROR(__xludf.DUMMYFUNCTION("""COMPUTED_VALUE"""),8928.571)</f>
        <v>8928.571</v>
      </c>
    </row>
    <row r="220">
      <c r="A220" s="3">
        <f>IFERROR(__xludf.DUMMYFUNCTION("""COMPUTED_VALUE"""),40483.99861111111)</f>
        <v>40483.99861</v>
      </c>
      <c r="B220" s="1">
        <f>IFERROR(__xludf.DUMMYFUNCTION("""COMPUTED_VALUE"""),8907.9)</f>
        <v>8907.9</v>
      </c>
    </row>
    <row r="221">
      <c r="A221" s="3">
        <f>IFERROR(__xludf.DUMMYFUNCTION("""COMPUTED_VALUE"""),40484.99861111111)</f>
        <v>40484.99861</v>
      </c>
      <c r="B221" s="1">
        <f>IFERROR(__xludf.DUMMYFUNCTION("""COMPUTED_VALUE"""),8826.5)</f>
        <v>8826.5</v>
      </c>
    </row>
    <row r="222">
      <c r="A222" s="3">
        <f>IFERROR(__xludf.DUMMYFUNCTION("""COMPUTED_VALUE"""),40485.99861111111)</f>
        <v>40485.99861</v>
      </c>
      <c r="B222" s="1">
        <f>IFERROR(__xludf.DUMMYFUNCTION("""COMPUTED_VALUE"""),8771.7)</f>
        <v>8771.7</v>
      </c>
    </row>
    <row r="223">
      <c r="A223" s="3">
        <f>IFERROR(__xludf.DUMMYFUNCTION("""COMPUTED_VALUE"""),40486.99861111111)</f>
        <v>40486.99861</v>
      </c>
      <c r="B223" s="1">
        <f>IFERROR(__xludf.DUMMYFUNCTION("""COMPUTED_VALUE"""),8909.95)</f>
        <v>8909.95</v>
      </c>
    </row>
    <row r="224">
      <c r="A224" s="3">
        <f>IFERROR(__xludf.DUMMYFUNCTION("""COMPUTED_VALUE"""),40487.99861111111)</f>
        <v>40487.99861</v>
      </c>
      <c r="B224" s="1">
        <f>IFERROR(__xludf.DUMMYFUNCTION("""COMPUTED_VALUE"""),8900.0)</f>
        <v>8900</v>
      </c>
    </row>
    <row r="225">
      <c r="A225" s="3">
        <f>IFERROR(__xludf.DUMMYFUNCTION("""COMPUTED_VALUE"""),40490.99861111111)</f>
        <v>40490.99861</v>
      </c>
      <c r="B225" s="1">
        <f>IFERROR(__xludf.DUMMYFUNCTION("""COMPUTED_VALUE"""),8904.45)</f>
        <v>8904.45</v>
      </c>
    </row>
    <row r="226">
      <c r="A226" s="3">
        <f>IFERROR(__xludf.DUMMYFUNCTION("""COMPUTED_VALUE"""),40491.99861111111)</f>
        <v>40491.99861</v>
      </c>
      <c r="B226" s="1">
        <f>IFERROR(__xludf.DUMMYFUNCTION("""COMPUTED_VALUE"""),8805.0)</f>
        <v>8805</v>
      </c>
    </row>
    <row r="227">
      <c r="A227" s="3">
        <f>IFERROR(__xludf.DUMMYFUNCTION("""COMPUTED_VALUE"""),40492.99861111111)</f>
        <v>40492.99861</v>
      </c>
      <c r="B227" s="1">
        <f>IFERROR(__xludf.DUMMYFUNCTION("""COMPUTED_VALUE"""),8779.6)</f>
        <v>8779.6</v>
      </c>
    </row>
    <row r="228">
      <c r="A228" s="3">
        <f>IFERROR(__xludf.DUMMYFUNCTION("""COMPUTED_VALUE"""),40493.99861111111)</f>
        <v>40493.99861</v>
      </c>
      <c r="B228" s="1">
        <f>IFERROR(__xludf.DUMMYFUNCTION("""COMPUTED_VALUE"""),8798.0)</f>
        <v>8798</v>
      </c>
    </row>
    <row r="229">
      <c r="A229" s="3">
        <f>IFERROR(__xludf.DUMMYFUNCTION("""COMPUTED_VALUE"""),40494.99861111111)</f>
        <v>40494.99861</v>
      </c>
      <c r="B229" s="1">
        <f>IFERROR(__xludf.DUMMYFUNCTION("""COMPUTED_VALUE"""),8924.45)</f>
        <v>8924.45</v>
      </c>
    </row>
    <row r="230">
      <c r="A230" s="3">
        <f>IFERROR(__xludf.DUMMYFUNCTION("""COMPUTED_VALUE"""),40497.99861111111)</f>
        <v>40497.99861</v>
      </c>
      <c r="B230" s="1">
        <f>IFERROR(__xludf.DUMMYFUNCTION("""COMPUTED_VALUE"""),8967.45)</f>
        <v>8967.45</v>
      </c>
    </row>
    <row r="231">
      <c r="A231" s="3">
        <f>IFERROR(__xludf.DUMMYFUNCTION("""COMPUTED_VALUE"""),40498.99861111111)</f>
        <v>40498.99861</v>
      </c>
      <c r="B231" s="1">
        <f>IFERROR(__xludf.DUMMYFUNCTION("""COMPUTED_VALUE"""),8856.0)</f>
        <v>8856</v>
      </c>
    </row>
    <row r="232">
      <c r="A232" s="3">
        <f>IFERROR(__xludf.DUMMYFUNCTION("""COMPUTED_VALUE"""),40499.99861111111)</f>
        <v>40499.99861</v>
      </c>
      <c r="B232" s="1">
        <f>IFERROR(__xludf.DUMMYFUNCTION("""COMPUTED_VALUE"""),8846.0)</f>
        <v>8846</v>
      </c>
    </row>
    <row r="233">
      <c r="A233" s="3">
        <f>IFERROR(__xludf.DUMMYFUNCTION("""COMPUTED_VALUE"""),40500.99861111111)</f>
        <v>40500.99861</v>
      </c>
      <c r="B233" s="1">
        <f>IFERROR(__xludf.DUMMYFUNCTION("""COMPUTED_VALUE"""),8843.0)</f>
        <v>8843</v>
      </c>
    </row>
    <row r="234">
      <c r="A234" s="3">
        <f>IFERROR(__xludf.DUMMYFUNCTION("""COMPUTED_VALUE"""),40501.99861111111)</f>
        <v>40501.99861</v>
      </c>
      <c r="B234" s="1">
        <f>IFERROR(__xludf.DUMMYFUNCTION("""COMPUTED_VALUE"""),8931.45)</f>
        <v>8931.45</v>
      </c>
    </row>
    <row r="235">
      <c r="A235" s="3">
        <f>IFERROR(__xludf.DUMMYFUNCTION("""COMPUTED_VALUE"""),40504.99861111111)</f>
        <v>40504.99861</v>
      </c>
      <c r="B235" s="1">
        <f>IFERROR(__xludf.DUMMYFUNCTION("""COMPUTED_VALUE"""),8929.45)</f>
        <v>8929.45</v>
      </c>
    </row>
    <row r="236">
      <c r="A236" s="3">
        <f>IFERROR(__xludf.DUMMYFUNCTION("""COMPUTED_VALUE"""),40505.99861111111)</f>
        <v>40505.99861</v>
      </c>
      <c r="B236" s="1">
        <f>IFERROR(__xludf.DUMMYFUNCTION("""COMPUTED_VALUE"""),8966.3)</f>
        <v>8966.3</v>
      </c>
    </row>
    <row r="237">
      <c r="A237" s="3">
        <f>IFERROR(__xludf.DUMMYFUNCTION("""COMPUTED_VALUE"""),40506.99861111111)</f>
        <v>40506.99861</v>
      </c>
      <c r="B237" s="1">
        <f>IFERROR(__xludf.DUMMYFUNCTION("""COMPUTED_VALUE"""),8962.45)</f>
        <v>8962.45</v>
      </c>
    </row>
    <row r="238">
      <c r="A238" s="3">
        <f>IFERROR(__xludf.DUMMYFUNCTION("""COMPUTED_VALUE"""),40507.99861111111)</f>
        <v>40507.99861</v>
      </c>
      <c r="B238" s="1">
        <f>IFERROR(__xludf.DUMMYFUNCTION("""COMPUTED_VALUE"""),8967.45)</f>
        <v>8967.45</v>
      </c>
    </row>
    <row r="239">
      <c r="A239" s="3">
        <f>IFERROR(__xludf.DUMMYFUNCTION("""COMPUTED_VALUE"""),40508.99861111111)</f>
        <v>40508.99861</v>
      </c>
      <c r="B239" s="1">
        <f>IFERROR(__xludf.DUMMYFUNCTION("""COMPUTED_VALUE"""),8898.0)</f>
        <v>8898</v>
      </c>
    </row>
    <row r="240">
      <c r="A240" s="3">
        <f>IFERROR(__xludf.DUMMYFUNCTION("""COMPUTED_VALUE"""),40511.99861111111)</f>
        <v>40511.99861</v>
      </c>
      <c r="B240" s="1">
        <f>IFERROR(__xludf.DUMMYFUNCTION("""COMPUTED_VALUE"""),9015.45)</f>
        <v>9015.45</v>
      </c>
    </row>
    <row r="241">
      <c r="A241" s="3">
        <f>IFERROR(__xludf.DUMMYFUNCTION("""COMPUTED_VALUE"""),40512.99861111111)</f>
        <v>40512.99861</v>
      </c>
      <c r="B241" s="1">
        <f>IFERROR(__xludf.DUMMYFUNCTION("""COMPUTED_VALUE"""),9033.95)</f>
        <v>9033.95</v>
      </c>
    </row>
    <row r="242">
      <c r="A242" s="3">
        <f>IFERROR(__xludf.DUMMYFUNCTION("""COMPUTED_VALUE"""),40513.99861111111)</f>
        <v>40513.99861</v>
      </c>
      <c r="B242" s="1">
        <f>IFERROR(__xludf.DUMMYFUNCTION("""COMPUTED_VALUE"""),9018.45)</f>
        <v>9018.45</v>
      </c>
    </row>
    <row r="243">
      <c r="A243" s="3">
        <f>IFERROR(__xludf.DUMMYFUNCTION("""COMPUTED_VALUE"""),40514.99861111111)</f>
        <v>40514.99861</v>
      </c>
      <c r="B243" s="1">
        <f>IFERROR(__xludf.DUMMYFUNCTION("""COMPUTED_VALUE"""),8916.0)</f>
        <v>8916</v>
      </c>
    </row>
    <row r="244">
      <c r="A244" s="3">
        <f>IFERROR(__xludf.DUMMYFUNCTION("""COMPUTED_VALUE"""),40515.99861111111)</f>
        <v>40515.99861</v>
      </c>
      <c r="B244" s="1">
        <f>IFERROR(__xludf.DUMMYFUNCTION("""COMPUTED_VALUE"""),8985.0)</f>
        <v>8985</v>
      </c>
    </row>
    <row r="245">
      <c r="A245" s="3">
        <f>IFERROR(__xludf.DUMMYFUNCTION("""COMPUTED_VALUE"""),40518.99861111111)</f>
        <v>40518.99861</v>
      </c>
      <c r="B245" s="1">
        <f>IFERROR(__xludf.DUMMYFUNCTION("""COMPUTED_VALUE"""),9009.95)</f>
        <v>9009.95</v>
      </c>
    </row>
    <row r="246">
      <c r="A246" s="3">
        <f>IFERROR(__xludf.DUMMYFUNCTION("""COMPUTED_VALUE"""),40519.99861111111)</f>
        <v>40519.99861</v>
      </c>
      <c r="B246" s="1">
        <f>IFERROR(__xludf.DUMMYFUNCTION("""COMPUTED_VALUE"""),8990.0)</f>
        <v>8990</v>
      </c>
    </row>
    <row r="247">
      <c r="A247" s="3">
        <f>IFERROR(__xludf.DUMMYFUNCTION("""COMPUTED_VALUE"""),40520.99861111111)</f>
        <v>40520.99861</v>
      </c>
      <c r="B247" s="1">
        <f>IFERROR(__xludf.DUMMYFUNCTION("""COMPUTED_VALUE"""),9020.0)</f>
        <v>9020</v>
      </c>
    </row>
    <row r="248">
      <c r="A248" s="3">
        <f>IFERROR(__xludf.DUMMYFUNCTION("""COMPUTED_VALUE"""),40521.99861111111)</f>
        <v>40521.99861</v>
      </c>
      <c r="B248" s="1">
        <f>IFERROR(__xludf.DUMMYFUNCTION("""COMPUTED_VALUE"""),9018.0)</f>
        <v>9018</v>
      </c>
    </row>
    <row r="249">
      <c r="A249" s="3">
        <f>IFERROR(__xludf.DUMMYFUNCTION("""COMPUTED_VALUE"""),40522.99861111111)</f>
        <v>40522.99861</v>
      </c>
      <c r="B249" s="1">
        <f>IFERROR(__xludf.DUMMYFUNCTION("""COMPUTED_VALUE"""),9015.0)</f>
        <v>9015</v>
      </c>
    </row>
    <row r="250">
      <c r="A250" s="3">
        <f>IFERROR(__xludf.DUMMYFUNCTION("""COMPUTED_VALUE"""),40525.99861111111)</f>
        <v>40525.99861</v>
      </c>
      <c r="B250" s="1">
        <f>IFERROR(__xludf.DUMMYFUNCTION("""COMPUTED_VALUE"""),9015.0)</f>
        <v>9015</v>
      </c>
    </row>
    <row r="251">
      <c r="A251" s="3">
        <f>IFERROR(__xludf.DUMMYFUNCTION("""COMPUTED_VALUE"""),40526.99861111111)</f>
        <v>40526.99861</v>
      </c>
      <c r="B251" s="1">
        <f>IFERROR(__xludf.DUMMYFUNCTION("""COMPUTED_VALUE"""),9009.45)</f>
        <v>9009.45</v>
      </c>
    </row>
    <row r="252">
      <c r="A252" s="3">
        <f>IFERROR(__xludf.DUMMYFUNCTION("""COMPUTED_VALUE"""),40527.99861111111)</f>
        <v>40527.99861</v>
      </c>
      <c r="B252" s="1">
        <f>IFERROR(__xludf.DUMMYFUNCTION("""COMPUTED_VALUE"""),9022.45)</f>
        <v>9022.45</v>
      </c>
    </row>
    <row r="253">
      <c r="A253" s="3">
        <f>IFERROR(__xludf.DUMMYFUNCTION("""COMPUTED_VALUE"""),40528.99861111111)</f>
        <v>40528.99861</v>
      </c>
      <c r="B253" s="1">
        <f>IFERROR(__xludf.DUMMYFUNCTION("""COMPUTED_VALUE"""),8938.0)</f>
        <v>8938</v>
      </c>
    </row>
    <row r="254">
      <c r="A254" s="3">
        <f>IFERROR(__xludf.DUMMYFUNCTION("""COMPUTED_VALUE"""),40529.99861111111)</f>
        <v>40529.99861</v>
      </c>
      <c r="B254" s="1">
        <f>IFERROR(__xludf.DUMMYFUNCTION("""COMPUTED_VALUE"""),9034.45)</f>
        <v>9034.45</v>
      </c>
    </row>
    <row r="255">
      <c r="A255" s="3">
        <f>IFERROR(__xludf.DUMMYFUNCTION("""COMPUTED_VALUE"""),40532.99861111111)</f>
        <v>40532.99861</v>
      </c>
      <c r="B255" s="1">
        <f>IFERROR(__xludf.DUMMYFUNCTION("""COMPUTED_VALUE"""),8943.0)</f>
        <v>8943</v>
      </c>
    </row>
    <row r="256">
      <c r="A256" s="3">
        <f>IFERROR(__xludf.DUMMYFUNCTION("""COMPUTED_VALUE"""),40533.99861111111)</f>
        <v>40533.99861</v>
      </c>
      <c r="B256" s="1">
        <f>IFERROR(__xludf.DUMMYFUNCTION("""COMPUTED_VALUE"""),9041.95)</f>
        <v>9041.95</v>
      </c>
    </row>
    <row r="257">
      <c r="A257" s="3">
        <f>IFERROR(__xludf.DUMMYFUNCTION("""COMPUTED_VALUE"""),40534.99861111111)</f>
        <v>40534.99861</v>
      </c>
      <c r="B257" s="1">
        <f>IFERROR(__xludf.DUMMYFUNCTION("""COMPUTED_VALUE"""),9041.6)</f>
        <v>9041.6</v>
      </c>
    </row>
    <row r="258">
      <c r="A258" s="3">
        <f>IFERROR(__xludf.DUMMYFUNCTION("""COMPUTED_VALUE"""),40535.99861111111)</f>
        <v>40535.99861</v>
      </c>
      <c r="B258" s="1">
        <f>IFERROR(__xludf.DUMMYFUNCTION("""COMPUTED_VALUE"""),9038.9)</f>
        <v>9038.9</v>
      </c>
    </row>
    <row r="259">
      <c r="A259" s="3">
        <f>IFERROR(__xludf.DUMMYFUNCTION("""COMPUTED_VALUE"""),40536.99861111111)</f>
        <v>40536.99861</v>
      </c>
      <c r="B259" s="1">
        <f>IFERROR(__xludf.DUMMYFUNCTION("""COMPUTED_VALUE"""),9032.0)</f>
        <v>9032</v>
      </c>
    </row>
    <row r="260">
      <c r="A260" s="3">
        <f>IFERROR(__xludf.DUMMYFUNCTION("""COMPUTED_VALUE"""),40539.99861111111)</f>
        <v>40539.99861</v>
      </c>
      <c r="B260" s="1">
        <f>IFERROR(__xludf.DUMMYFUNCTION("""COMPUTED_VALUE"""),8939.0)</f>
        <v>8939</v>
      </c>
    </row>
    <row r="261">
      <c r="A261" s="3">
        <f>IFERROR(__xludf.DUMMYFUNCTION("""COMPUTED_VALUE"""),40540.99861111111)</f>
        <v>40540.99861</v>
      </c>
      <c r="B261" s="1">
        <f>IFERROR(__xludf.DUMMYFUNCTION("""COMPUTED_VALUE"""),9017.45)</f>
        <v>9017.45</v>
      </c>
    </row>
    <row r="262">
      <c r="A262" s="3">
        <f>IFERROR(__xludf.DUMMYFUNCTION("""COMPUTED_VALUE"""),40541.99861111111)</f>
        <v>40541.99861</v>
      </c>
      <c r="B262" s="1">
        <f>IFERROR(__xludf.DUMMYFUNCTION("""COMPUTED_VALUE"""),9001.45)</f>
        <v>9001.45</v>
      </c>
    </row>
    <row r="263">
      <c r="A263" s="3">
        <f>IFERROR(__xludf.DUMMYFUNCTION("""COMPUTED_VALUE"""),40542.99861111111)</f>
        <v>40542.99861</v>
      </c>
      <c r="B263" s="1">
        <f>IFERROR(__xludf.DUMMYFUNCTION("""COMPUTED_VALUE"""),8886.0)</f>
        <v>8886</v>
      </c>
    </row>
    <row r="264">
      <c r="A264" s="3">
        <f>IFERROR(__xludf.DUMMYFUNCTION("""COMPUTED_VALUE"""),40543.99861111111)</f>
        <v>40543.99861</v>
      </c>
      <c r="B264" s="1">
        <f>IFERROR(__xludf.DUMMYFUNCTION("""COMPUTED_VALUE"""),9009.95)</f>
        <v>9009.95</v>
      </c>
    </row>
    <row r="265">
      <c r="A265" s="3">
        <f>IFERROR(__xludf.DUMMYFUNCTION("""COMPUTED_VALUE"""),40546.99861111111)</f>
        <v>40546.99861</v>
      </c>
      <c r="B265" s="1">
        <f>IFERROR(__xludf.DUMMYFUNCTION("""COMPUTED_VALUE"""),8989.95)</f>
        <v>8989.95</v>
      </c>
    </row>
    <row r="266">
      <c r="A266" s="3">
        <f>IFERROR(__xludf.DUMMYFUNCTION("""COMPUTED_VALUE"""),40547.99861111111)</f>
        <v>40547.99861</v>
      </c>
      <c r="B266" s="1">
        <f>IFERROR(__xludf.DUMMYFUNCTION("""COMPUTED_VALUE"""),8886.0)</f>
        <v>8886</v>
      </c>
    </row>
    <row r="267">
      <c r="A267" s="3">
        <f>IFERROR(__xludf.DUMMYFUNCTION("""COMPUTED_VALUE"""),40548.99861111111)</f>
        <v>40548.99861</v>
      </c>
      <c r="B267" s="1">
        <f>IFERROR(__xludf.DUMMYFUNCTION("""COMPUTED_VALUE"""),8983.95)</f>
        <v>8983.95</v>
      </c>
    </row>
    <row r="268">
      <c r="A268" s="3">
        <f>IFERROR(__xludf.DUMMYFUNCTION("""COMPUTED_VALUE"""),40549.99861111111)</f>
        <v>40549.99861</v>
      </c>
      <c r="B268" s="1">
        <f>IFERROR(__xludf.DUMMYFUNCTION("""COMPUTED_VALUE"""),9015.8)</f>
        <v>9015.8</v>
      </c>
    </row>
    <row r="269">
      <c r="A269" s="3">
        <f>IFERROR(__xludf.DUMMYFUNCTION("""COMPUTED_VALUE"""),40550.99861111111)</f>
        <v>40550.99861</v>
      </c>
      <c r="B269" s="1">
        <f>IFERROR(__xludf.DUMMYFUNCTION("""COMPUTED_VALUE"""),8907.0)</f>
        <v>8907</v>
      </c>
    </row>
    <row r="270">
      <c r="A270" s="3">
        <f>IFERROR(__xludf.DUMMYFUNCTION("""COMPUTED_VALUE"""),40553.99861111111)</f>
        <v>40553.99861</v>
      </c>
      <c r="B270" s="1">
        <f>IFERROR(__xludf.DUMMYFUNCTION("""COMPUTED_VALUE"""),9050.95)</f>
        <v>9050.95</v>
      </c>
    </row>
    <row r="271">
      <c r="A271" s="3">
        <f>IFERROR(__xludf.DUMMYFUNCTION("""COMPUTED_VALUE"""),40554.99861111111)</f>
        <v>40554.99861</v>
      </c>
      <c r="B271" s="1">
        <f>IFERROR(__xludf.DUMMYFUNCTION("""COMPUTED_VALUE"""),8935.7)</f>
        <v>8935.7</v>
      </c>
    </row>
    <row r="272">
      <c r="A272" s="3">
        <f>IFERROR(__xludf.DUMMYFUNCTION("""COMPUTED_VALUE"""),40555.99861111111)</f>
        <v>40555.99861</v>
      </c>
      <c r="B272" s="1">
        <f>IFERROR(__xludf.DUMMYFUNCTION("""COMPUTED_VALUE"""),9040.0)</f>
        <v>9040</v>
      </c>
    </row>
    <row r="273">
      <c r="A273" s="3">
        <f>IFERROR(__xludf.DUMMYFUNCTION("""COMPUTED_VALUE"""),40556.99861111111)</f>
        <v>40556.99861</v>
      </c>
      <c r="B273" s="1">
        <f>IFERROR(__xludf.DUMMYFUNCTION("""COMPUTED_VALUE"""),9049.95)</f>
        <v>9049.95</v>
      </c>
    </row>
    <row r="274">
      <c r="A274" s="3">
        <f>IFERROR(__xludf.DUMMYFUNCTION("""COMPUTED_VALUE"""),40557.99861111111)</f>
        <v>40557.99861</v>
      </c>
      <c r="B274" s="1">
        <f>IFERROR(__xludf.DUMMYFUNCTION("""COMPUTED_VALUE"""),9051.95)</f>
        <v>9051.95</v>
      </c>
    </row>
    <row r="275">
      <c r="A275" s="3">
        <f>IFERROR(__xludf.DUMMYFUNCTION("""COMPUTED_VALUE"""),40560.99861111111)</f>
        <v>40560.99861</v>
      </c>
      <c r="B275" s="1">
        <f>IFERROR(__xludf.DUMMYFUNCTION("""COMPUTED_VALUE"""),9060.0)</f>
        <v>9060</v>
      </c>
    </row>
    <row r="276">
      <c r="A276" s="3">
        <f>IFERROR(__xludf.DUMMYFUNCTION("""COMPUTED_VALUE"""),40561.99861111111)</f>
        <v>40561.99861</v>
      </c>
      <c r="B276" s="1">
        <f>IFERROR(__xludf.DUMMYFUNCTION("""COMPUTED_VALUE"""),9053.95)</f>
        <v>9053.95</v>
      </c>
    </row>
    <row r="277">
      <c r="A277" s="3">
        <f>IFERROR(__xludf.DUMMYFUNCTION("""COMPUTED_VALUE"""),40562.99861111111)</f>
        <v>40562.99861</v>
      </c>
      <c r="B277" s="1">
        <f>IFERROR(__xludf.DUMMYFUNCTION("""COMPUTED_VALUE"""),8948.0)</f>
        <v>8948</v>
      </c>
    </row>
    <row r="278">
      <c r="A278" s="3">
        <f>IFERROR(__xludf.DUMMYFUNCTION("""COMPUTED_VALUE"""),40563.99861111111)</f>
        <v>40563.99861</v>
      </c>
      <c r="B278" s="1">
        <f>IFERROR(__xludf.DUMMYFUNCTION("""COMPUTED_VALUE"""),8911.2)</f>
        <v>8911.2</v>
      </c>
    </row>
    <row r="279">
      <c r="A279" s="3">
        <f>IFERROR(__xludf.DUMMYFUNCTION("""COMPUTED_VALUE"""),40564.99861111111)</f>
        <v>40564.99861</v>
      </c>
      <c r="B279" s="1">
        <f>IFERROR(__xludf.DUMMYFUNCTION("""COMPUTED_VALUE"""),8827.5)</f>
        <v>8827.5</v>
      </c>
    </row>
    <row r="280">
      <c r="A280" s="3">
        <f>IFERROR(__xludf.DUMMYFUNCTION("""COMPUTED_VALUE"""),40567.99861111111)</f>
        <v>40567.99861</v>
      </c>
      <c r="B280" s="1">
        <f>IFERROR(__xludf.DUMMYFUNCTION("""COMPUTED_VALUE"""),9050.0)</f>
        <v>9050</v>
      </c>
    </row>
    <row r="281">
      <c r="A281" s="3">
        <f>IFERROR(__xludf.DUMMYFUNCTION("""COMPUTED_VALUE"""),40568.99861111111)</f>
        <v>40568.99861</v>
      </c>
      <c r="B281" s="1">
        <f>IFERROR(__xludf.DUMMYFUNCTION("""COMPUTED_VALUE"""),9036.45)</f>
        <v>9036.45</v>
      </c>
    </row>
    <row r="282">
      <c r="A282" s="3">
        <f>IFERROR(__xludf.DUMMYFUNCTION("""COMPUTED_VALUE"""),40569.99861111111)</f>
        <v>40569.99861</v>
      </c>
      <c r="B282" s="1">
        <f>IFERROR(__xludf.DUMMYFUNCTION("""COMPUTED_VALUE"""),8920.6)</f>
        <v>8920.6</v>
      </c>
    </row>
    <row r="283">
      <c r="A283" s="3">
        <f>IFERROR(__xludf.DUMMYFUNCTION("""COMPUTED_VALUE"""),40570.99861111111)</f>
        <v>40570.99861</v>
      </c>
      <c r="B283" s="1">
        <f>IFERROR(__xludf.DUMMYFUNCTION("""COMPUTED_VALUE"""),9026.95)</f>
        <v>9026.95</v>
      </c>
    </row>
    <row r="284">
      <c r="A284" s="3">
        <f>IFERROR(__xludf.DUMMYFUNCTION("""COMPUTED_VALUE"""),40571.99861111111)</f>
        <v>40571.99861</v>
      </c>
      <c r="B284" s="1">
        <f>IFERROR(__xludf.DUMMYFUNCTION("""COMPUTED_VALUE"""),9027.95)</f>
        <v>9027.95</v>
      </c>
    </row>
    <row r="285">
      <c r="A285" s="3">
        <f>IFERROR(__xludf.DUMMYFUNCTION("""COMPUTED_VALUE"""),40574.99861111111)</f>
        <v>40574.99861</v>
      </c>
      <c r="B285" s="1">
        <f>IFERROR(__xludf.DUMMYFUNCTION("""COMPUTED_VALUE"""),8958.0)</f>
        <v>8958</v>
      </c>
    </row>
    <row r="286">
      <c r="A286" s="3">
        <f>IFERROR(__xludf.DUMMYFUNCTION("""COMPUTED_VALUE"""),40575.99861111111)</f>
        <v>40575.99861</v>
      </c>
      <c r="B286" s="1">
        <f>IFERROR(__xludf.DUMMYFUNCTION("""COMPUTED_VALUE"""),9000.0)</f>
        <v>9000</v>
      </c>
    </row>
    <row r="287">
      <c r="A287" s="3">
        <f>IFERROR(__xludf.DUMMYFUNCTION("""COMPUTED_VALUE"""),40576.99861111111)</f>
        <v>40576.99861</v>
      </c>
      <c r="B287" s="1">
        <f>IFERROR(__xludf.DUMMYFUNCTION("""COMPUTED_VALUE"""),9020.95)</f>
        <v>9020.95</v>
      </c>
    </row>
    <row r="288">
      <c r="A288" s="3">
        <f>IFERROR(__xludf.DUMMYFUNCTION("""COMPUTED_VALUE"""),40577.99861111111)</f>
        <v>40577.99861</v>
      </c>
      <c r="B288" s="1">
        <f>IFERROR(__xludf.DUMMYFUNCTION("""COMPUTED_VALUE"""),8921.0)</f>
        <v>8921</v>
      </c>
    </row>
    <row r="289">
      <c r="A289" s="3">
        <f>IFERROR(__xludf.DUMMYFUNCTION("""COMPUTED_VALUE"""),40578.99861111111)</f>
        <v>40578.99861</v>
      </c>
      <c r="B289" s="1">
        <f>IFERROR(__xludf.DUMMYFUNCTION("""COMPUTED_VALUE"""),8992.45)</f>
        <v>8992.45</v>
      </c>
    </row>
    <row r="290">
      <c r="A290" s="3">
        <f>IFERROR(__xludf.DUMMYFUNCTION("""COMPUTED_VALUE"""),40581.99861111111)</f>
        <v>40581.99861</v>
      </c>
      <c r="B290" s="1">
        <f>IFERROR(__xludf.DUMMYFUNCTION("""COMPUTED_VALUE"""),8823.6)</f>
        <v>8823.6</v>
      </c>
    </row>
    <row r="291">
      <c r="A291" s="3">
        <f>IFERROR(__xludf.DUMMYFUNCTION("""COMPUTED_VALUE"""),40582.99861111111)</f>
        <v>40582.99861</v>
      </c>
      <c r="B291" s="1">
        <f>IFERROR(__xludf.DUMMYFUNCTION("""COMPUTED_VALUE"""),8900.0)</f>
        <v>8900</v>
      </c>
    </row>
    <row r="292">
      <c r="A292" s="3">
        <f>IFERROR(__xludf.DUMMYFUNCTION("""COMPUTED_VALUE"""),40583.99861111111)</f>
        <v>40583.99861</v>
      </c>
      <c r="B292" s="1">
        <f>IFERROR(__xludf.DUMMYFUNCTION("""COMPUTED_VALUE"""),8929.95)</f>
        <v>8929.95</v>
      </c>
    </row>
    <row r="293">
      <c r="A293" s="3">
        <f>IFERROR(__xludf.DUMMYFUNCTION("""COMPUTED_VALUE"""),40584.99861111111)</f>
        <v>40584.99861</v>
      </c>
      <c r="B293" s="1">
        <f>IFERROR(__xludf.DUMMYFUNCTION("""COMPUTED_VALUE"""),8925.0)</f>
        <v>8925</v>
      </c>
    </row>
    <row r="294">
      <c r="A294" s="3">
        <f>IFERROR(__xludf.DUMMYFUNCTION("""COMPUTED_VALUE"""),40585.99861111111)</f>
        <v>40585.99861</v>
      </c>
      <c r="B294" s="1">
        <f>IFERROR(__xludf.DUMMYFUNCTION("""COMPUTED_VALUE"""),8929.2)</f>
        <v>8929.2</v>
      </c>
    </row>
    <row r="295">
      <c r="A295" s="3">
        <f>IFERROR(__xludf.DUMMYFUNCTION("""COMPUTED_VALUE"""),40588.99861111111)</f>
        <v>40588.99861</v>
      </c>
      <c r="B295" s="1">
        <f>IFERROR(__xludf.DUMMYFUNCTION("""COMPUTED_VALUE"""),8914.45)</f>
        <v>8914.45</v>
      </c>
    </row>
    <row r="296">
      <c r="A296" s="3">
        <f>IFERROR(__xludf.DUMMYFUNCTION("""COMPUTED_VALUE"""),40589.99861111111)</f>
        <v>40589.99861</v>
      </c>
      <c r="B296" s="1">
        <f>IFERROR(__xludf.DUMMYFUNCTION("""COMPUTED_VALUE"""),8815.0)</f>
        <v>8815</v>
      </c>
    </row>
    <row r="297">
      <c r="A297" s="3">
        <f>IFERROR(__xludf.DUMMYFUNCTION("""COMPUTED_VALUE"""),40590.99861111111)</f>
        <v>40590.99861</v>
      </c>
      <c r="B297" s="1">
        <f>IFERROR(__xludf.DUMMYFUNCTION("""COMPUTED_VALUE"""),8894.95)</f>
        <v>8894.95</v>
      </c>
    </row>
    <row r="298">
      <c r="A298" s="3">
        <f>IFERROR(__xludf.DUMMYFUNCTION("""COMPUTED_VALUE"""),40591.99861111111)</f>
        <v>40591.99861</v>
      </c>
      <c r="B298" s="1">
        <f>IFERROR(__xludf.DUMMYFUNCTION("""COMPUTED_VALUE"""),8780.0)</f>
        <v>8780</v>
      </c>
    </row>
    <row r="299">
      <c r="A299" s="3">
        <f>IFERROR(__xludf.DUMMYFUNCTION("""COMPUTED_VALUE"""),40592.99861111111)</f>
        <v>40592.99861</v>
      </c>
      <c r="B299" s="1">
        <f>IFERROR(__xludf.DUMMYFUNCTION("""COMPUTED_VALUE"""),8857.45)</f>
        <v>8857.45</v>
      </c>
    </row>
    <row r="300">
      <c r="A300" s="3">
        <f>IFERROR(__xludf.DUMMYFUNCTION("""COMPUTED_VALUE"""),40595.99861111111)</f>
        <v>40595.99861</v>
      </c>
      <c r="B300" s="1">
        <f>IFERROR(__xludf.DUMMYFUNCTION("""COMPUTED_VALUE"""),8750.0)</f>
        <v>8750</v>
      </c>
    </row>
    <row r="301">
      <c r="A301" s="3">
        <f>IFERROR(__xludf.DUMMYFUNCTION("""COMPUTED_VALUE"""),40596.99861111111)</f>
        <v>40596.99861</v>
      </c>
      <c r="B301" s="1">
        <f>IFERROR(__xludf.DUMMYFUNCTION("""COMPUTED_VALUE"""),8876.45)</f>
        <v>8876.45</v>
      </c>
    </row>
    <row r="302">
      <c r="A302" s="3">
        <f>IFERROR(__xludf.DUMMYFUNCTION("""COMPUTED_VALUE"""),40597.99861111111)</f>
        <v>40597.99861</v>
      </c>
      <c r="B302" s="1">
        <f>IFERROR(__xludf.DUMMYFUNCTION("""COMPUTED_VALUE"""),8872.0)</f>
        <v>8872</v>
      </c>
    </row>
    <row r="303">
      <c r="A303" s="3">
        <f>IFERROR(__xludf.DUMMYFUNCTION("""COMPUTED_VALUE"""),40598.99861111111)</f>
        <v>40598.99861</v>
      </c>
      <c r="B303" s="1">
        <f>IFERROR(__xludf.DUMMYFUNCTION("""COMPUTED_VALUE"""),8865.0)</f>
        <v>8865</v>
      </c>
    </row>
    <row r="304">
      <c r="A304" s="3">
        <f>IFERROR(__xludf.DUMMYFUNCTION("""COMPUTED_VALUE"""),40599.99861111111)</f>
        <v>40599.99861</v>
      </c>
      <c r="B304" s="1">
        <f>IFERROR(__xludf.DUMMYFUNCTION("""COMPUTED_VALUE"""),8841.45)</f>
        <v>8841.45</v>
      </c>
    </row>
    <row r="305">
      <c r="A305" s="3">
        <f>IFERROR(__xludf.DUMMYFUNCTION("""COMPUTED_VALUE"""),40602.99861111111)</f>
        <v>40602.99861</v>
      </c>
      <c r="B305" s="1">
        <f>IFERROR(__xludf.DUMMYFUNCTION("""COMPUTED_VALUE"""),8821.45)</f>
        <v>8821.45</v>
      </c>
    </row>
    <row r="306">
      <c r="A306" s="3">
        <f>IFERROR(__xludf.DUMMYFUNCTION("""COMPUTED_VALUE"""),40603.99861111111)</f>
        <v>40603.99861</v>
      </c>
      <c r="B306" s="1">
        <f>IFERROR(__xludf.DUMMYFUNCTION("""COMPUTED_VALUE"""),8798.0)</f>
        <v>8798</v>
      </c>
    </row>
    <row r="307">
      <c r="A307" s="3">
        <f>IFERROR(__xludf.DUMMYFUNCTION("""COMPUTED_VALUE"""),40604.99861111111)</f>
        <v>40604.99861</v>
      </c>
      <c r="B307" s="1">
        <f>IFERROR(__xludf.DUMMYFUNCTION("""COMPUTED_VALUE"""),8812.45)</f>
        <v>8812.45</v>
      </c>
    </row>
    <row r="308">
      <c r="A308" s="3">
        <f>IFERROR(__xludf.DUMMYFUNCTION("""COMPUTED_VALUE"""),40605.99861111111)</f>
        <v>40605.99861</v>
      </c>
      <c r="B308" s="1">
        <f>IFERROR(__xludf.DUMMYFUNCTION("""COMPUTED_VALUE"""),8805.45)</f>
        <v>8805.45</v>
      </c>
    </row>
    <row r="309">
      <c r="A309" s="3">
        <f>IFERROR(__xludf.DUMMYFUNCTION("""COMPUTED_VALUE"""),40606.99861111111)</f>
        <v>40606.99861</v>
      </c>
      <c r="B309" s="1">
        <f>IFERROR(__xludf.DUMMYFUNCTION("""COMPUTED_VALUE"""),8762.9)</f>
        <v>8762.9</v>
      </c>
    </row>
    <row r="310">
      <c r="A310" s="3">
        <f>IFERROR(__xludf.DUMMYFUNCTION("""COMPUTED_VALUE"""),40609.99861111111)</f>
        <v>40609.99861</v>
      </c>
      <c r="B310" s="1">
        <f>IFERROR(__xludf.DUMMYFUNCTION("""COMPUTED_VALUE"""),8785.95)</f>
        <v>8785.95</v>
      </c>
    </row>
    <row r="311">
      <c r="A311" s="3">
        <f>IFERROR(__xludf.DUMMYFUNCTION("""COMPUTED_VALUE"""),40610.99861111111)</f>
        <v>40610.99861</v>
      </c>
      <c r="B311" s="1">
        <f>IFERROR(__xludf.DUMMYFUNCTION("""COMPUTED_VALUE"""),8786.0)</f>
        <v>8786</v>
      </c>
    </row>
    <row r="312">
      <c r="A312" s="3">
        <f>IFERROR(__xludf.DUMMYFUNCTION("""COMPUTED_VALUE"""),40611.99861111111)</f>
        <v>40611.99861</v>
      </c>
      <c r="B312" s="1">
        <f>IFERROR(__xludf.DUMMYFUNCTION("""COMPUTED_VALUE"""),8760.0)</f>
        <v>8760</v>
      </c>
    </row>
    <row r="313">
      <c r="A313" s="3">
        <f>IFERROR(__xludf.DUMMYFUNCTION("""COMPUTED_VALUE"""),40612.99861111111)</f>
        <v>40612.99861</v>
      </c>
      <c r="B313" s="1">
        <f>IFERROR(__xludf.DUMMYFUNCTION("""COMPUTED_VALUE"""),8783.45)</f>
        <v>8783.45</v>
      </c>
    </row>
    <row r="314">
      <c r="A314" s="3">
        <f>IFERROR(__xludf.DUMMYFUNCTION("""COMPUTED_VALUE"""),40613.99861111111)</f>
        <v>40613.99861</v>
      </c>
      <c r="B314" s="1">
        <f>IFERROR(__xludf.DUMMYFUNCTION("""COMPUTED_VALUE"""),8776.95)</f>
        <v>8776.95</v>
      </c>
    </row>
    <row r="315">
      <c r="A315" s="3">
        <f>IFERROR(__xludf.DUMMYFUNCTION("""COMPUTED_VALUE"""),40616.99861111111)</f>
        <v>40616.99861</v>
      </c>
      <c r="B315" s="1">
        <f>IFERROR(__xludf.DUMMYFUNCTION("""COMPUTED_VALUE"""),8762.45)</f>
        <v>8762.45</v>
      </c>
    </row>
    <row r="316">
      <c r="A316" s="3">
        <f>IFERROR(__xludf.DUMMYFUNCTION("""COMPUTED_VALUE"""),40617.99861111111)</f>
        <v>40617.99861</v>
      </c>
      <c r="B316" s="1">
        <f>IFERROR(__xludf.DUMMYFUNCTION("""COMPUTED_VALUE"""),8775.0)</f>
        <v>8775</v>
      </c>
    </row>
    <row r="317">
      <c r="A317" s="3">
        <f>IFERROR(__xludf.DUMMYFUNCTION("""COMPUTED_VALUE"""),40618.99861111111)</f>
        <v>40618.99861</v>
      </c>
      <c r="B317" s="1">
        <f>IFERROR(__xludf.DUMMYFUNCTION("""COMPUTED_VALUE"""),8760.5)</f>
        <v>8760.5</v>
      </c>
    </row>
    <row r="318">
      <c r="A318" s="3">
        <f>IFERROR(__xludf.DUMMYFUNCTION("""COMPUTED_VALUE"""),40619.99861111111)</f>
        <v>40619.99861</v>
      </c>
      <c r="B318" s="1">
        <f>IFERROR(__xludf.DUMMYFUNCTION("""COMPUTED_VALUE"""),8770.0)</f>
        <v>8770</v>
      </c>
    </row>
    <row r="319">
      <c r="A319" s="3">
        <f>IFERROR(__xludf.DUMMYFUNCTION("""COMPUTED_VALUE"""),40620.99861111111)</f>
        <v>40620.99861</v>
      </c>
      <c r="B319" s="1">
        <f>IFERROR(__xludf.DUMMYFUNCTION("""COMPUTED_VALUE"""),8745.0)</f>
        <v>8745</v>
      </c>
    </row>
    <row r="320">
      <c r="A320" s="3">
        <f>IFERROR(__xludf.DUMMYFUNCTION("""COMPUTED_VALUE"""),40623.99861111111)</f>
        <v>40623.99861</v>
      </c>
      <c r="B320" s="1">
        <f>IFERROR(__xludf.DUMMYFUNCTION("""COMPUTED_VALUE"""),8720.0)</f>
        <v>8720</v>
      </c>
    </row>
    <row r="321">
      <c r="A321" s="3">
        <f>IFERROR(__xludf.DUMMYFUNCTION("""COMPUTED_VALUE"""),40624.99861111111)</f>
        <v>40624.99861</v>
      </c>
      <c r="B321" s="1">
        <f>IFERROR(__xludf.DUMMYFUNCTION("""COMPUTED_VALUE"""),8721.0)</f>
        <v>8721</v>
      </c>
    </row>
    <row r="322">
      <c r="A322" s="3">
        <f>IFERROR(__xludf.DUMMYFUNCTION("""COMPUTED_VALUE"""),40625.99861111111)</f>
        <v>40625.99861</v>
      </c>
      <c r="B322" s="1">
        <f>IFERROR(__xludf.DUMMYFUNCTION("""COMPUTED_VALUE"""),8721.45)</f>
        <v>8721.45</v>
      </c>
    </row>
    <row r="323">
      <c r="A323" s="3">
        <f>IFERROR(__xludf.DUMMYFUNCTION("""COMPUTED_VALUE"""),40626.99861111111)</f>
        <v>40626.99861</v>
      </c>
      <c r="B323" s="1">
        <f>IFERROR(__xludf.DUMMYFUNCTION("""COMPUTED_VALUE"""),8710.0)</f>
        <v>8710</v>
      </c>
    </row>
    <row r="324">
      <c r="A324" s="3">
        <f>IFERROR(__xludf.DUMMYFUNCTION("""COMPUTED_VALUE"""),40627.99861111111)</f>
        <v>40627.99861</v>
      </c>
      <c r="B324" s="1">
        <f>IFERROR(__xludf.DUMMYFUNCTION("""COMPUTED_VALUE"""),8705.2)</f>
        <v>8705.2</v>
      </c>
    </row>
    <row r="325">
      <c r="A325" s="3">
        <f>IFERROR(__xludf.DUMMYFUNCTION("""COMPUTED_VALUE"""),40630.99861111111)</f>
        <v>40630.99861</v>
      </c>
      <c r="B325" s="1">
        <f>IFERROR(__xludf.DUMMYFUNCTION("""COMPUTED_VALUE"""),8718.2)</f>
        <v>8718.2</v>
      </c>
    </row>
    <row r="326">
      <c r="A326" s="3">
        <f>IFERROR(__xludf.DUMMYFUNCTION("""COMPUTED_VALUE"""),40631.99861111111)</f>
        <v>40631.99861</v>
      </c>
      <c r="B326" s="1">
        <f>IFERROR(__xludf.DUMMYFUNCTION("""COMPUTED_VALUE"""),8688.9)</f>
        <v>8688.9</v>
      </c>
    </row>
    <row r="327">
      <c r="A327" s="3">
        <f>IFERROR(__xludf.DUMMYFUNCTION("""COMPUTED_VALUE"""),40632.99861111111)</f>
        <v>40632.99861</v>
      </c>
      <c r="B327" s="1">
        <f>IFERROR(__xludf.DUMMYFUNCTION("""COMPUTED_VALUE"""),8699.7)</f>
        <v>8699.7</v>
      </c>
    </row>
    <row r="328">
      <c r="A328" s="3">
        <f>IFERROR(__xludf.DUMMYFUNCTION("""COMPUTED_VALUE"""),40633.99861111111)</f>
        <v>40633.99861</v>
      </c>
      <c r="B328" s="1">
        <f>IFERROR(__xludf.DUMMYFUNCTION("""COMPUTED_VALUE"""),8719.4)</f>
        <v>8719.4</v>
      </c>
    </row>
    <row r="329">
      <c r="A329" s="3">
        <f>IFERROR(__xludf.DUMMYFUNCTION("""COMPUTED_VALUE"""),40634.99861111111)</f>
        <v>40634.99861</v>
      </c>
      <c r="B329" s="1">
        <f>IFERROR(__xludf.DUMMYFUNCTION("""COMPUTED_VALUE"""),8664.7)</f>
        <v>8664.7</v>
      </c>
    </row>
    <row r="330">
      <c r="A330" s="3">
        <f>IFERROR(__xludf.DUMMYFUNCTION("""COMPUTED_VALUE"""),40635.99861111111)</f>
        <v>40635.99861</v>
      </c>
      <c r="B330" s="1">
        <f>IFERROR(__xludf.DUMMYFUNCTION("""COMPUTED_VALUE"""),8662.2)</f>
        <v>8662.2</v>
      </c>
    </row>
    <row r="331">
      <c r="A331" s="3">
        <f>IFERROR(__xludf.DUMMYFUNCTION("""COMPUTED_VALUE"""),40636.99861111111)</f>
        <v>40636.99861</v>
      </c>
      <c r="B331" s="1">
        <f>IFERROR(__xludf.DUMMYFUNCTION("""COMPUTED_VALUE"""),8667.5)</f>
        <v>8667.5</v>
      </c>
    </row>
    <row r="332">
      <c r="A332" s="3">
        <f>IFERROR(__xludf.DUMMYFUNCTION("""COMPUTED_VALUE"""),40637.99861111111)</f>
        <v>40637.99861</v>
      </c>
      <c r="B332" s="1">
        <f>IFERROR(__xludf.DUMMYFUNCTION("""COMPUTED_VALUE"""),8645.9)</f>
        <v>8645.9</v>
      </c>
    </row>
    <row r="333">
      <c r="A333" s="3">
        <f>IFERROR(__xludf.DUMMYFUNCTION("""COMPUTED_VALUE"""),40638.99861111111)</f>
        <v>40638.99861</v>
      </c>
      <c r="B333" s="1">
        <f>IFERROR(__xludf.DUMMYFUNCTION("""COMPUTED_VALUE"""),8653.3)</f>
        <v>8653.3</v>
      </c>
    </row>
    <row r="334">
      <c r="A334" s="3">
        <f>IFERROR(__xludf.DUMMYFUNCTION("""COMPUTED_VALUE"""),40639.99861111111)</f>
        <v>40639.99861</v>
      </c>
      <c r="B334" s="1">
        <f>IFERROR(__xludf.DUMMYFUNCTION("""COMPUTED_VALUE"""),8637.1)</f>
        <v>8637.1</v>
      </c>
    </row>
    <row r="335">
      <c r="A335" s="3">
        <f>IFERROR(__xludf.DUMMYFUNCTION("""COMPUTED_VALUE"""),40640.99861111111)</f>
        <v>40640.99861</v>
      </c>
      <c r="B335" s="1">
        <f>IFERROR(__xludf.DUMMYFUNCTION("""COMPUTED_VALUE"""),8643.1)</f>
        <v>8643.1</v>
      </c>
    </row>
    <row r="336">
      <c r="A336" s="3">
        <f>IFERROR(__xludf.DUMMYFUNCTION("""COMPUTED_VALUE"""),40641.99861111111)</f>
        <v>40641.99861</v>
      </c>
      <c r="B336" s="1">
        <f>IFERROR(__xludf.DUMMYFUNCTION("""COMPUTED_VALUE"""),8609.2)</f>
        <v>8609.2</v>
      </c>
    </row>
    <row r="337">
      <c r="A337" s="3">
        <f>IFERROR(__xludf.DUMMYFUNCTION("""COMPUTED_VALUE"""),40642.99861111111)</f>
        <v>40642.99861</v>
      </c>
      <c r="B337" s="1">
        <f>IFERROR(__xludf.DUMMYFUNCTION("""COMPUTED_VALUE"""),8631.9)</f>
        <v>8631.9</v>
      </c>
    </row>
    <row r="338">
      <c r="A338" s="3">
        <f>IFERROR(__xludf.DUMMYFUNCTION("""COMPUTED_VALUE"""),40643.99861111111)</f>
        <v>40643.99861</v>
      </c>
      <c r="B338" s="1">
        <f>IFERROR(__xludf.DUMMYFUNCTION("""COMPUTED_VALUE"""),8616.5)</f>
        <v>8616.5</v>
      </c>
    </row>
    <row r="339">
      <c r="A339" s="3">
        <f>IFERROR(__xludf.DUMMYFUNCTION("""COMPUTED_VALUE"""),40644.99861111111)</f>
        <v>40644.99861</v>
      </c>
      <c r="B339" s="1">
        <f>IFERROR(__xludf.DUMMYFUNCTION("""COMPUTED_VALUE"""),8655.5)</f>
        <v>8655.5</v>
      </c>
    </row>
    <row r="340">
      <c r="A340" s="3">
        <f>IFERROR(__xludf.DUMMYFUNCTION("""COMPUTED_VALUE"""),40645.99861111111)</f>
        <v>40645.99861</v>
      </c>
      <c r="B340" s="1">
        <f>IFERROR(__xludf.DUMMYFUNCTION("""COMPUTED_VALUE"""),8616.5)</f>
        <v>8616.5</v>
      </c>
    </row>
    <row r="341">
      <c r="A341" s="3">
        <f>IFERROR(__xludf.DUMMYFUNCTION("""COMPUTED_VALUE"""),40646.99861111111)</f>
        <v>40646.99861</v>
      </c>
      <c r="B341" s="1">
        <f>IFERROR(__xludf.DUMMYFUNCTION("""COMPUTED_VALUE"""),8668.5)</f>
        <v>8668.5</v>
      </c>
    </row>
    <row r="342">
      <c r="A342" s="3">
        <f>IFERROR(__xludf.DUMMYFUNCTION("""COMPUTED_VALUE"""),40647.99861111111)</f>
        <v>40647.99861</v>
      </c>
      <c r="B342" s="1">
        <f>IFERROR(__xludf.DUMMYFUNCTION("""COMPUTED_VALUE"""),8646.3)</f>
        <v>8646.3</v>
      </c>
    </row>
    <row r="343">
      <c r="A343" s="3">
        <f>IFERROR(__xludf.DUMMYFUNCTION("""COMPUTED_VALUE"""),40648.99861111111)</f>
        <v>40648.99861</v>
      </c>
      <c r="B343" s="1">
        <f>IFERROR(__xludf.DUMMYFUNCTION("""COMPUTED_VALUE"""),8669.4)</f>
        <v>8669.4</v>
      </c>
    </row>
    <row r="344">
      <c r="A344" s="3">
        <f>IFERROR(__xludf.DUMMYFUNCTION("""COMPUTED_VALUE"""),40649.99861111111)</f>
        <v>40649.99861</v>
      </c>
      <c r="B344" s="1">
        <f>IFERROR(__xludf.DUMMYFUNCTION("""COMPUTED_VALUE"""),8669.4)</f>
        <v>8669.4</v>
      </c>
    </row>
    <row r="345">
      <c r="A345" s="3">
        <f>IFERROR(__xludf.DUMMYFUNCTION("""COMPUTED_VALUE"""),40650.99861111111)</f>
        <v>40650.99861</v>
      </c>
      <c r="B345" s="1">
        <f>IFERROR(__xludf.DUMMYFUNCTION("""COMPUTED_VALUE"""),8638.6)</f>
        <v>8638.6</v>
      </c>
    </row>
    <row r="346">
      <c r="A346" s="3">
        <f>IFERROR(__xludf.DUMMYFUNCTION("""COMPUTED_VALUE"""),40651.99861111111)</f>
        <v>40651.99861</v>
      </c>
      <c r="B346" s="1">
        <f>IFERROR(__xludf.DUMMYFUNCTION("""COMPUTED_VALUE"""),8656.7)</f>
        <v>8656.7</v>
      </c>
    </row>
    <row r="347">
      <c r="A347" s="3">
        <f>IFERROR(__xludf.DUMMYFUNCTION("""COMPUTED_VALUE"""),40652.99861111111)</f>
        <v>40652.99861</v>
      </c>
      <c r="B347" s="1">
        <f>IFERROR(__xludf.DUMMYFUNCTION("""COMPUTED_VALUE"""),8667.4)</f>
        <v>8667.4</v>
      </c>
    </row>
    <row r="348">
      <c r="A348" s="3">
        <f>IFERROR(__xludf.DUMMYFUNCTION("""COMPUTED_VALUE"""),40653.99861111111)</f>
        <v>40653.99861</v>
      </c>
      <c r="B348" s="1">
        <f>IFERROR(__xludf.DUMMYFUNCTION("""COMPUTED_VALUE"""),8633.6)</f>
        <v>8633.6</v>
      </c>
    </row>
    <row r="349">
      <c r="A349" s="3">
        <f>IFERROR(__xludf.DUMMYFUNCTION("""COMPUTED_VALUE"""),40654.99861111111)</f>
        <v>40654.99861</v>
      </c>
      <c r="B349" s="1">
        <f>IFERROR(__xludf.DUMMYFUNCTION("""COMPUTED_VALUE"""),8640.3)</f>
        <v>8640.3</v>
      </c>
    </row>
    <row r="350">
      <c r="A350" s="3">
        <f>IFERROR(__xludf.DUMMYFUNCTION("""COMPUTED_VALUE"""),40655.99861111111)</f>
        <v>40655.99861</v>
      </c>
      <c r="B350" s="1">
        <f>IFERROR(__xludf.DUMMYFUNCTION("""COMPUTED_VALUE"""),8635.8)</f>
        <v>8635.8</v>
      </c>
    </row>
    <row r="351">
      <c r="A351" s="3">
        <f>IFERROR(__xludf.DUMMYFUNCTION("""COMPUTED_VALUE"""),40656.99861111111)</f>
        <v>40656.99861</v>
      </c>
      <c r="B351" s="1">
        <f>IFERROR(__xludf.DUMMYFUNCTION("""COMPUTED_VALUE"""),8635.8)</f>
        <v>8635.8</v>
      </c>
    </row>
    <row r="352">
      <c r="A352" s="3">
        <f>IFERROR(__xludf.DUMMYFUNCTION("""COMPUTED_VALUE"""),40657.99861111111)</f>
        <v>40657.99861</v>
      </c>
      <c r="B352" s="1">
        <f>IFERROR(__xludf.DUMMYFUNCTION("""COMPUTED_VALUE"""),8622.9)</f>
        <v>8622.9</v>
      </c>
    </row>
    <row r="353">
      <c r="A353" s="3">
        <f>IFERROR(__xludf.DUMMYFUNCTION("""COMPUTED_VALUE"""),40658.99861111111)</f>
        <v>40658.99861</v>
      </c>
      <c r="B353" s="1">
        <f>IFERROR(__xludf.DUMMYFUNCTION("""COMPUTED_VALUE"""),8623.2)</f>
        <v>8623.2</v>
      </c>
    </row>
    <row r="354">
      <c r="A354" s="3">
        <f>IFERROR(__xludf.DUMMYFUNCTION("""COMPUTED_VALUE"""),40659.99861111111)</f>
        <v>40659.99861</v>
      </c>
      <c r="B354" s="1">
        <f>IFERROR(__xludf.DUMMYFUNCTION("""COMPUTED_VALUE"""),8616.8)</f>
        <v>8616.8</v>
      </c>
    </row>
    <row r="355">
      <c r="A355" s="3">
        <f>IFERROR(__xludf.DUMMYFUNCTION("""COMPUTED_VALUE"""),40660.99861111111)</f>
        <v>40660.99861</v>
      </c>
      <c r="B355" s="1">
        <f>IFERROR(__xludf.DUMMYFUNCTION("""COMPUTED_VALUE"""),8567.8)</f>
        <v>8567.8</v>
      </c>
    </row>
    <row r="356">
      <c r="A356" s="3">
        <f>IFERROR(__xludf.DUMMYFUNCTION("""COMPUTED_VALUE"""),40661.99861111111)</f>
        <v>40661.99861</v>
      </c>
      <c r="B356" s="1">
        <f>IFERROR(__xludf.DUMMYFUNCTION("""COMPUTED_VALUE"""),8553.1)</f>
        <v>8553.1</v>
      </c>
    </row>
    <row r="357">
      <c r="A357" s="3">
        <f>IFERROR(__xludf.DUMMYFUNCTION("""COMPUTED_VALUE"""),40662.99861111111)</f>
        <v>40662.99861</v>
      </c>
      <c r="B357" s="1">
        <f>IFERROR(__xludf.DUMMYFUNCTION("""COMPUTED_VALUE"""),8569.7)</f>
        <v>8569.7</v>
      </c>
    </row>
    <row r="358">
      <c r="A358" s="3">
        <f>IFERROR(__xludf.DUMMYFUNCTION("""COMPUTED_VALUE"""),40663.99861111111)</f>
        <v>40663.99861</v>
      </c>
      <c r="B358" s="1">
        <f>IFERROR(__xludf.DUMMYFUNCTION("""COMPUTED_VALUE"""),8552.5)</f>
        <v>8552.5</v>
      </c>
    </row>
    <row r="359">
      <c r="A359" s="3">
        <f>IFERROR(__xludf.DUMMYFUNCTION("""COMPUTED_VALUE"""),40664.99861111111)</f>
        <v>40664.99861</v>
      </c>
      <c r="B359" s="1">
        <f>IFERROR(__xludf.DUMMYFUNCTION("""COMPUTED_VALUE"""),8568.4)</f>
        <v>8568.4</v>
      </c>
    </row>
    <row r="360">
      <c r="A360" s="3">
        <f>IFERROR(__xludf.DUMMYFUNCTION("""COMPUTED_VALUE"""),40665.99861111111)</f>
        <v>40665.99861</v>
      </c>
      <c r="B360" s="1">
        <f>IFERROR(__xludf.DUMMYFUNCTION("""COMPUTED_VALUE"""),8561.4)</f>
        <v>8561.4</v>
      </c>
    </row>
    <row r="361">
      <c r="A361" s="3">
        <f>IFERROR(__xludf.DUMMYFUNCTION("""COMPUTED_VALUE"""),40666.99861111111)</f>
        <v>40666.99861</v>
      </c>
      <c r="B361" s="1">
        <f>IFERROR(__xludf.DUMMYFUNCTION("""COMPUTED_VALUE"""),8559.5)</f>
        <v>8559.5</v>
      </c>
    </row>
    <row r="362">
      <c r="A362" s="3">
        <f>IFERROR(__xludf.DUMMYFUNCTION("""COMPUTED_VALUE"""),40667.99861111111)</f>
        <v>40667.99861</v>
      </c>
      <c r="B362" s="1">
        <f>IFERROR(__xludf.DUMMYFUNCTION("""COMPUTED_VALUE"""),8535.2)</f>
        <v>8535.2</v>
      </c>
    </row>
    <row r="363">
      <c r="A363" s="3">
        <f>IFERROR(__xludf.DUMMYFUNCTION("""COMPUTED_VALUE"""),40668.99861111111)</f>
        <v>40668.99861</v>
      </c>
      <c r="B363" s="1">
        <f>IFERROR(__xludf.DUMMYFUNCTION("""COMPUTED_VALUE"""),8581.3)</f>
        <v>8581.3</v>
      </c>
    </row>
    <row r="364">
      <c r="A364" s="3">
        <f>IFERROR(__xludf.DUMMYFUNCTION("""COMPUTED_VALUE"""),40669.99861111111)</f>
        <v>40669.99861</v>
      </c>
      <c r="B364" s="1">
        <f>IFERROR(__xludf.DUMMYFUNCTION("""COMPUTED_VALUE"""),8693.1)</f>
        <v>8693.1</v>
      </c>
    </row>
    <row r="365">
      <c r="A365" s="3">
        <f>IFERROR(__xludf.DUMMYFUNCTION("""COMPUTED_VALUE"""),40670.99861111111)</f>
        <v>40670.99861</v>
      </c>
      <c r="B365" s="1">
        <f>IFERROR(__xludf.DUMMYFUNCTION("""COMPUTED_VALUE"""),8534.6)</f>
        <v>8534.6</v>
      </c>
    </row>
    <row r="366">
      <c r="A366" s="3">
        <f>IFERROR(__xludf.DUMMYFUNCTION("""COMPUTED_VALUE"""),40671.99861111111)</f>
        <v>40671.99861</v>
      </c>
      <c r="B366" s="1">
        <f>IFERROR(__xludf.DUMMYFUNCTION("""COMPUTED_VALUE"""),8618.3)</f>
        <v>8618.3</v>
      </c>
    </row>
    <row r="367">
      <c r="A367" s="3">
        <f>IFERROR(__xludf.DUMMYFUNCTION("""COMPUTED_VALUE"""),40672.99861111111)</f>
        <v>40672.99861</v>
      </c>
      <c r="B367" s="1">
        <f>IFERROR(__xludf.DUMMYFUNCTION("""COMPUTED_VALUE"""),8522.0)</f>
        <v>8522</v>
      </c>
    </row>
    <row r="368">
      <c r="A368" s="3">
        <f>IFERROR(__xludf.DUMMYFUNCTION("""COMPUTED_VALUE"""),40673.99861111111)</f>
        <v>40673.99861</v>
      </c>
      <c r="B368" s="1">
        <f>IFERROR(__xludf.DUMMYFUNCTION("""COMPUTED_VALUE"""),8528.2)</f>
        <v>8528.2</v>
      </c>
    </row>
    <row r="369">
      <c r="A369" s="3">
        <f>IFERROR(__xludf.DUMMYFUNCTION("""COMPUTED_VALUE"""),40674.99861111111)</f>
        <v>40674.99861</v>
      </c>
      <c r="B369" s="1">
        <f>IFERROR(__xludf.DUMMYFUNCTION("""COMPUTED_VALUE"""),8586.6)</f>
        <v>8586.6</v>
      </c>
    </row>
    <row r="370">
      <c r="A370" s="3">
        <f>IFERROR(__xludf.DUMMYFUNCTION("""COMPUTED_VALUE"""),40675.99861111111)</f>
        <v>40675.99861</v>
      </c>
      <c r="B370" s="1">
        <f>IFERROR(__xludf.DUMMYFUNCTION("""COMPUTED_VALUE"""),8550.0)</f>
        <v>8550</v>
      </c>
    </row>
    <row r="371">
      <c r="A371" s="3">
        <f>IFERROR(__xludf.DUMMYFUNCTION("""COMPUTED_VALUE"""),40676.99861111111)</f>
        <v>40676.99861</v>
      </c>
      <c r="B371" s="1">
        <f>IFERROR(__xludf.DUMMYFUNCTION("""COMPUTED_VALUE"""),8606.3)</f>
        <v>8606.3</v>
      </c>
    </row>
    <row r="372">
      <c r="A372" s="3">
        <f>IFERROR(__xludf.DUMMYFUNCTION("""COMPUTED_VALUE"""),40677.99861111111)</f>
        <v>40677.99861</v>
      </c>
      <c r="B372" s="1">
        <f>IFERROR(__xludf.DUMMYFUNCTION("""COMPUTED_VALUE"""),8605.7)</f>
        <v>8605.7</v>
      </c>
    </row>
    <row r="373">
      <c r="A373" s="3">
        <f>IFERROR(__xludf.DUMMYFUNCTION("""COMPUTED_VALUE"""),40678.99861111111)</f>
        <v>40678.99861</v>
      </c>
      <c r="B373" s="1">
        <f>IFERROR(__xludf.DUMMYFUNCTION("""COMPUTED_VALUE"""),8553.0)</f>
        <v>8553</v>
      </c>
    </row>
    <row r="374">
      <c r="A374" s="3">
        <f>IFERROR(__xludf.DUMMYFUNCTION("""COMPUTED_VALUE"""),40679.99861111111)</f>
        <v>40679.99861</v>
      </c>
      <c r="B374" s="1">
        <f>IFERROR(__xludf.DUMMYFUNCTION("""COMPUTED_VALUE"""),8592.4)</f>
        <v>8592.4</v>
      </c>
    </row>
    <row r="375">
      <c r="A375" s="3">
        <f>IFERROR(__xludf.DUMMYFUNCTION("""COMPUTED_VALUE"""),40680.99861111111)</f>
        <v>40680.99861</v>
      </c>
      <c r="B375" s="1">
        <f>IFERROR(__xludf.DUMMYFUNCTION("""COMPUTED_VALUE"""),8377.9)</f>
        <v>8377.9</v>
      </c>
    </row>
    <row r="376">
      <c r="A376" s="3">
        <f>IFERROR(__xludf.DUMMYFUNCTION("""COMPUTED_VALUE"""),40681.99861111111)</f>
        <v>40681.99861</v>
      </c>
      <c r="B376" s="1">
        <f>IFERROR(__xludf.DUMMYFUNCTION("""COMPUTED_VALUE"""),8543.3)</f>
        <v>8543.3</v>
      </c>
    </row>
    <row r="377">
      <c r="A377" s="3">
        <f>IFERROR(__xludf.DUMMYFUNCTION("""COMPUTED_VALUE"""),40682.99861111111)</f>
        <v>40682.99861</v>
      </c>
      <c r="B377" s="1">
        <f>IFERROR(__xludf.DUMMYFUNCTION("""COMPUTED_VALUE"""),8552.0)</f>
        <v>8552</v>
      </c>
    </row>
    <row r="378">
      <c r="A378" s="3">
        <f>IFERROR(__xludf.DUMMYFUNCTION("""COMPUTED_VALUE"""),40683.99861111111)</f>
        <v>40683.99861</v>
      </c>
      <c r="B378" s="1">
        <f>IFERROR(__xludf.DUMMYFUNCTION("""COMPUTED_VALUE"""),8558.0)</f>
        <v>8558</v>
      </c>
    </row>
    <row r="379">
      <c r="A379" s="3">
        <f>IFERROR(__xludf.DUMMYFUNCTION("""COMPUTED_VALUE"""),40684.99861111111)</f>
        <v>40684.99861</v>
      </c>
      <c r="B379" s="1">
        <f>IFERROR(__xludf.DUMMYFUNCTION("""COMPUTED_VALUE"""),8419.5)</f>
        <v>8419.5</v>
      </c>
    </row>
    <row r="380">
      <c r="A380" s="3">
        <f>IFERROR(__xludf.DUMMYFUNCTION("""COMPUTED_VALUE"""),40685.99861111111)</f>
        <v>40685.99861</v>
      </c>
      <c r="B380" s="1">
        <f>IFERROR(__xludf.DUMMYFUNCTION("""COMPUTED_VALUE"""),8561.643)</f>
        <v>8561.643</v>
      </c>
    </row>
    <row r="381">
      <c r="A381" s="3">
        <f>IFERROR(__xludf.DUMMYFUNCTION("""COMPUTED_VALUE"""),40686.99861111111)</f>
        <v>40686.99861</v>
      </c>
      <c r="B381" s="1">
        <f>IFERROR(__xludf.DUMMYFUNCTION("""COMPUTED_VALUE"""),8600.0)</f>
        <v>8600</v>
      </c>
    </row>
    <row r="382">
      <c r="A382" s="3">
        <f>IFERROR(__xludf.DUMMYFUNCTION("""COMPUTED_VALUE"""),40687.99861111111)</f>
        <v>40687.99861</v>
      </c>
      <c r="B382" s="1">
        <f>IFERROR(__xludf.DUMMYFUNCTION("""COMPUTED_VALUE"""),8405.8)</f>
        <v>8405.8</v>
      </c>
    </row>
    <row r="383">
      <c r="A383" s="3">
        <f>IFERROR(__xludf.DUMMYFUNCTION("""COMPUTED_VALUE"""),40688.99861111111)</f>
        <v>40688.99861</v>
      </c>
      <c r="B383" s="1">
        <f>IFERROR(__xludf.DUMMYFUNCTION("""COMPUTED_VALUE"""),8591.95)</f>
        <v>8591.95</v>
      </c>
    </row>
    <row r="384">
      <c r="A384" s="3">
        <f>IFERROR(__xludf.DUMMYFUNCTION("""COMPUTED_VALUE"""),40689.99861111111)</f>
        <v>40689.99861</v>
      </c>
      <c r="B384" s="1">
        <f>IFERROR(__xludf.DUMMYFUNCTION("""COMPUTED_VALUE"""),8575.0)</f>
        <v>8575</v>
      </c>
    </row>
    <row r="385">
      <c r="A385" s="3">
        <f>IFERROR(__xludf.DUMMYFUNCTION("""COMPUTED_VALUE"""),40690.99861111111)</f>
        <v>40690.99861</v>
      </c>
      <c r="B385" s="1">
        <f>IFERROR(__xludf.DUMMYFUNCTION("""COMPUTED_VALUE"""),8559.95)</f>
        <v>8559.95</v>
      </c>
    </row>
    <row r="386">
      <c r="A386" s="3">
        <f>IFERROR(__xludf.DUMMYFUNCTION("""COMPUTED_VALUE"""),40691.99861111111)</f>
        <v>40691.99861</v>
      </c>
      <c r="B386" s="1">
        <f>IFERROR(__xludf.DUMMYFUNCTION("""COMPUTED_VALUE"""),8360.4)</f>
        <v>8360.4</v>
      </c>
    </row>
    <row r="387">
      <c r="A387" s="3">
        <f>IFERROR(__xludf.DUMMYFUNCTION("""COMPUTED_VALUE"""),40692.99861111111)</f>
        <v>40692.99861</v>
      </c>
      <c r="B387" s="1">
        <f>IFERROR(__xludf.DUMMYFUNCTION("""COMPUTED_VALUE"""),8559.95)</f>
        <v>8559.95</v>
      </c>
    </row>
    <row r="388">
      <c r="A388" s="3">
        <f>IFERROR(__xludf.DUMMYFUNCTION("""COMPUTED_VALUE"""),40693.99861111111)</f>
        <v>40693.99861</v>
      </c>
      <c r="B388" s="1">
        <f>IFERROR(__xludf.DUMMYFUNCTION("""COMPUTED_VALUE"""),8544.45)</f>
        <v>8544.45</v>
      </c>
    </row>
    <row r="389">
      <c r="A389" s="3">
        <f>IFERROR(__xludf.DUMMYFUNCTION("""COMPUTED_VALUE"""),40694.99861111111)</f>
        <v>40694.99861</v>
      </c>
      <c r="B389" s="1">
        <f>IFERROR(__xludf.DUMMYFUNCTION("""COMPUTED_VALUE"""),8537.9)</f>
        <v>8537.9</v>
      </c>
    </row>
    <row r="390">
      <c r="A390" s="3">
        <f>IFERROR(__xludf.DUMMYFUNCTION("""COMPUTED_VALUE"""),40695.99861111111)</f>
        <v>40695.99861</v>
      </c>
      <c r="B390" s="1">
        <f>IFERROR(__xludf.DUMMYFUNCTION("""COMPUTED_VALUE"""),8540.0)</f>
        <v>8540</v>
      </c>
    </row>
    <row r="391">
      <c r="A391" s="3">
        <f>IFERROR(__xludf.DUMMYFUNCTION("""COMPUTED_VALUE"""),40696.99861111111)</f>
        <v>40696.99861</v>
      </c>
      <c r="B391" s="1">
        <f>IFERROR(__xludf.DUMMYFUNCTION("""COMPUTED_VALUE"""),8540.1)</f>
        <v>8540.1</v>
      </c>
    </row>
    <row r="392">
      <c r="A392" s="3">
        <f>IFERROR(__xludf.DUMMYFUNCTION("""COMPUTED_VALUE"""),40697.99861111111)</f>
        <v>40697.99861</v>
      </c>
      <c r="B392" s="1">
        <f>IFERROR(__xludf.DUMMYFUNCTION("""COMPUTED_VALUE"""),8520.45)</f>
        <v>8520.45</v>
      </c>
    </row>
    <row r="393">
      <c r="A393" s="3">
        <f>IFERROR(__xludf.DUMMYFUNCTION("""COMPUTED_VALUE"""),40698.99861111111)</f>
        <v>40698.99861</v>
      </c>
      <c r="B393" s="1">
        <f>IFERROR(__xludf.DUMMYFUNCTION("""COMPUTED_VALUE"""),8517.887)</f>
        <v>8517.887</v>
      </c>
    </row>
    <row r="394">
      <c r="A394" s="3">
        <f>IFERROR(__xludf.DUMMYFUNCTION("""COMPUTED_VALUE"""),40699.99861111111)</f>
        <v>40699.99861</v>
      </c>
      <c r="B394" s="1">
        <f>IFERROR(__xludf.DUMMYFUNCTION("""COMPUTED_VALUE"""),8520.45)</f>
        <v>8520.45</v>
      </c>
    </row>
    <row r="395">
      <c r="A395" s="3">
        <f>IFERROR(__xludf.DUMMYFUNCTION("""COMPUTED_VALUE"""),40700.99861111111)</f>
        <v>40700.99861</v>
      </c>
      <c r="B395" s="1">
        <f>IFERROR(__xludf.DUMMYFUNCTION("""COMPUTED_VALUE"""),8500.0)</f>
        <v>8500</v>
      </c>
    </row>
    <row r="396">
      <c r="A396" s="3">
        <f>IFERROR(__xludf.DUMMYFUNCTION("""COMPUTED_VALUE"""),40701.99861111111)</f>
        <v>40701.99861</v>
      </c>
      <c r="B396" s="1">
        <f>IFERROR(__xludf.DUMMYFUNCTION("""COMPUTED_VALUE"""),8515.45)</f>
        <v>8515.45</v>
      </c>
    </row>
    <row r="397">
      <c r="A397" s="3">
        <f>IFERROR(__xludf.DUMMYFUNCTION("""COMPUTED_VALUE"""),40702.99861111111)</f>
        <v>40702.99861</v>
      </c>
      <c r="B397" s="1">
        <f>IFERROR(__xludf.DUMMYFUNCTION("""COMPUTED_VALUE"""),8490.6)</f>
        <v>8490.6</v>
      </c>
    </row>
    <row r="398">
      <c r="A398" s="3">
        <f>IFERROR(__xludf.DUMMYFUNCTION("""COMPUTED_VALUE"""),40703.99861111111)</f>
        <v>40703.99861</v>
      </c>
      <c r="B398" s="1">
        <f>IFERROR(__xludf.DUMMYFUNCTION("""COMPUTED_VALUE"""),8520.0)</f>
        <v>8520</v>
      </c>
    </row>
    <row r="399">
      <c r="A399" s="3">
        <f>IFERROR(__xludf.DUMMYFUNCTION("""COMPUTED_VALUE"""),40704.99861111111)</f>
        <v>40704.99861</v>
      </c>
      <c r="B399" s="1">
        <f>IFERROR(__xludf.DUMMYFUNCTION("""COMPUTED_VALUE"""),8528.9)</f>
        <v>8528.9</v>
      </c>
    </row>
    <row r="400">
      <c r="A400" s="3">
        <f>IFERROR(__xludf.DUMMYFUNCTION("""COMPUTED_VALUE"""),40705.99861111111)</f>
        <v>40705.99861</v>
      </c>
      <c r="B400" s="1">
        <f>IFERROR(__xludf.DUMMYFUNCTION("""COMPUTED_VALUE"""),8496.0)</f>
        <v>8496</v>
      </c>
    </row>
    <row r="401">
      <c r="A401" s="3">
        <f>IFERROR(__xludf.DUMMYFUNCTION("""COMPUTED_VALUE"""),40706.99861111111)</f>
        <v>40706.99861</v>
      </c>
      <c r="B401" s="1">
        <f>IFERROR(__xludf.DUMMYFUNCTION("""COMPUTED_VALUE"""),8517.45)</f>
        <v>8517.45</v>
      </c>
    </row>
    <row r="402">
      <c r="A402" s="3">
        <f>IFERROR(__xludf.DUMMYFUNCTION("""COMPUTED_VALUE"""),40707.99861111111)</f>
        <v>40707.99861</v>
      </c>
      <c r="B402" s="1">
        <f>IFERROR(__xludf.DUMMYFUNCTION("""COMPUTED_VALUE"""),8539.45)</f>
        <v>8539.45</v>
      </c>
    </row>
    <row r="403">
      <c r="A403" s="3">
        <f>IFERROR(__xludf.DUMMYFUNCTION("""COMPUTED_VALUE"""),40708.99861111111)</f>
        <v>40708.99861</v>
      </c>
      <c r="B403" s="1">
        <f>IFERROR(__xludf.DUMMYFUNCTION("""COMPUTED_VALUE"""),8533.95)</f>
        <v>8533.95</v>
      </c>
    </row>
    <row r="404">
      <c r="A404" s="3">
        <f>IFERROR(__xludf.DUMMYFUNCTION("""COMPUTED_VALUE"""),40709.99861111111)</f>
        <v>40709.99861</v>
      </c>
      <c r="B404" s="1">
        <f>IFERROR(__xludf.DUMMYFUNCTION("""COMPUTED_VALUE"""),8521.6)</f>
        <v>8521.6</v>
      </c>
    </row>
    <row r="405">
      <c r="A405" s="3">
        <f>IFERROR(__xludf.DUMMYFUNCTION("""COMPUTED_VALUE"""),40710.99861111111)</f>
        <v>40710.99861</v>
      </c>
      <c r="B405" s="1">
        <f>IFERROR(__xludf.DUMMYFUNCTION("""COMPUTED_VALUE"""),8610.0)</f>
        <v>8610</v>
      </c>
    </row>
    <row r="406">
      <c r="A406" s="3">
        <f>IFERROR(__xludf.DUMMYFUNCTION("""COMPUTED_VALUE"""),40711.99861111111)</f>
        <v>40711.99861</v>
      </c>
      <c r="B406" s="1">
        <f>IFERROR(__xludf.DUMMYFUNCTION("""COMPUTED_VALUE"""),8580.0)</f>
        <v>8580</v>
      </c>
    </row>
    <row r="407">
      <c r="A407" s="3">
        <f>IFERROR(__xludf.DUMMYFUNCTION("""COMPUTED_VALUE"""),40712.99861111111)</f>
        <v>40712.99861</v>
      </c>
      <c r="B407" s="1">
        <f>IFERROR(__xludf.DUMMYFUNCTION("""COMPUTED_VALUE"""),8386.8)</f>
        <v>8386.8</v>
      </c>
    </row>
    <row r="408">
      <c r="A408" s="3">
        <f>IFERROR(__xludf.DUMMYFUNCTION("""COMPUTED_VALUE"""),40713.99861111111)</f>
        <v>40713.99861</v>
      </c>
      <c r="B408" s="1">
        <f>IFERROR(__xludf.DUMMYFUNCTION("""COMPUTED_VALUE"""),8605.851)</f>
        <v>8605.851</v>
      </c>
    </row>
    <row r="409">
      <c r="A409" s="3">
        <f>IFERROR(__xludf.DUMMYFUNCTION("""COMPUTED_VALUE"""),40714.99861111111)</f>
        <v>40714.99861</v>
      </c>
      <c r="B409" s="1">
        <f>IFERROR(__xludf.DUMMYFUNCTION("""COMPUTED_VALUE"""),8611.4)</f>
        <v>8611.4</v>
      </c>
    </row>
    <row r="410">
      <c r="A410" s="3">
        <f>IFERROR(__xludf.DUMMYFUNCTION("""COMPUTED_VALUE"""),40715.99861111111)</f>
        <v>40715.99861</v>
      </c>
      <c r="B410" s="1">
        <f>IFERROR(__xludf.DUMMYFUNCTION("""COMPUTED_VALUE"""),8600.0)</f>
        <v>8600</v>
      </c>
    </row>
    <row r="411">
      <c r="A411" s="3">
        <f>IFERROR(__xludf.DUMMYFUNCTION("""COMPUTED_VALUE"""),40716.99861111111)</f>
        <v>40716.99861</v>
      </c>
      <c r="B411" s="1">
        <f>IFERROR(__xludf.DUMMYFUNCTION("""COMPUTED_VALUE"""),8580.0)</f>
        <v>8580</v>
      </c>
    </row>
    <row r="412">
      <c r="A412" s="3">
        <f>IFERROR(__xludf.DUMMYFUNCTION("""COMPUTED_VALUE"""),40717.99861111111)</f>
        <v>40717.99861</v>
      </c>
      <c r="B412" s="1">
        <f>IFERROR(__xludf.DUMMYFUNCTION("""COMPUTED_VALUE"""),8599.95)</f>
        <v>8599.95</v>
      </c>
    </row>
    <row r="413">
      <c r="A413" s="3">
        <f>IFERROR(__xludf.DUMMYFUNCTION("""COMPUTED_VALUE"""),40718.99861111111)</f>
        <v>40718.99861</v>
      </c>
      <c r="B413" s="1">
        <f>IFERROR(__xludf.DUMMYFUNCTION("""COMPUTED_VALUE"""),8575.0)</f>
        <v>8575</v>
      </c>
    </row>
    <row r="414">
      <c r="A414" s="3">
        <f>IFERROR(__xludf.DUMMYFUNCTION("""COMPUTED_VALUE"""),40719.99861111111)</f>
        <v>40719.99861</v>
      </c>
      <c r="B414" s="1">
        <f>IFERROR(__xludf.DUMMYFUNCTION("""COMPUTED_VALUE"""),8447.6)</f>
        <v>8447.6</v>
      </c>
    </row>
    <row r="415">
      <c r="A415" s="3">
        <f>IFERROR(__xludf.DUMMYFUNCTION("""COMPUTED_VALUE"""),40720.99861111111)</f>
        <v>40720.99861</v>
      </c>
      <c r="B415" s="1">
        <f>IFERROR(__xludf.DUMMYFUNCTION("""COMPUTED_VALUE"""),8599.95)</f>
        <v>8599.95</v>
      </c>
    </row>
    <row r="416">
      <c r="A416" s="3">
        <f>IFERROR(__xludf.DUMMYFUNCTION("""COMPUTED_VALUE"""),40721.99861111111)</f>
        <v>40721.99861</v>
      </c>
      <c r="B416" s="1">
        <f>IFERROR(__xludf.DUMMYFUNCTION("""COMPUTED_VALUE"""),8625.0)</f>
        <v>8625</v>
      </c>
    </row>
    <row r="417">
      <c r="A417" s="3">
        <f>IFERROR(__xludf.DUMMYFUNCTION("""COMPUTED_VALUE"""),40722.99861111111)</f>
        <v>40722.99861</v>
      </c>
      <c r="B417" s="1">
        <f>IFERROR(__xludf.DUMMYFUNCTION("""COMPUTED_VALUE"""),8620.0)</f>
        <v>8620</v>
      </c>
    </row>
    <row r="418">
      <c r="A418" s="3">
        <f>IFERROR(__xludf.DUMMYFUNCTION("""COMPUTED_VALUE"""),40723.99861111111)</f>
        <v>40723.99861</v>
      </c>
      <c r="B418" s="1">
        <f>IFERROR(__xludf.DUMMYFUNCTION("""COMPUTED_VALUE"""),8616.95)</f>
        <v>8616.95</v>
      </c>
    </row>
    <row r="419">
      <c r="A419" s="3">
        <f>IFERROR(__xludf.DUMMYFUNCTION("""COMPUTED_VALUE"""),40724.99861111111)</f>
        <v>40724.99861</v>
      </c>
      <c r="B419" s="1">
        <f>IFERROR(__xludf.DUMMYFUNCTION("""COMPUTED_VALUE"""),8568.0)</f>
        <v>8568</v>
      </c>
    </row>
    <row r="420">
      <c r="A420" s="3">
        <f>IFERROR(__xludf.DUMMYFUNCTION("""COMPUTED_VALUE"""),40725.99861111111)</f>
        <v>40725.99861</v>
      </c>
      <c r="B420" s="1">
        <f>IFERROR(__xludf.DUMMYFUNCTION("""COMPUTED_VALUE"""),8541.0)</f>
        <v>8541</v>
      </c>
    </row>
    <row r="421">
      <c r="A421" s="3">
        <f>IFERROR(__xludf.DUMMYFUNCTION("""COMPUTED_VALUE"""),40726.99861111111)</f>
        <v>40726.99861</v>
      </c>
      <c r="B421" s="1">
        <f>IFERROR(__xludf.DUMMYFUNCTION("""COMPUTED_VALUE"""),8374.9)</f>
        <v>8374.9</v>
      </c>
    </row>
    <row r="422">
      <c r="A422" s="3">
        <f>IFERROR(__xludf.DUMMYFUNCTION("""COMPUTED_VALUE"""),40727.99861111111)</f>
        <v>40727.99861</v>
      </c>
      <c r="B422" s="1">
        <f>IFERROR(__xludf.DUMMYFUNCTION("""COMPUTED_VALUE"""),8545.45)</f>
        <v>8545.45</v>
      </c>
    </row>
    <row r="423">
      <c r="A423" s="3">
        <f>IFERROR(__xludf.DUMMYFUNCTION("""COMPUTED_VALUE"""),40728.99861111111)</f>
        <v>40728.99861</v>
      </c>
      <c r="B423" s="1">
        <f>IFERROR(__xludf.DUMMYFUNCTION("""COMPUTED_VALUE"""),8522.45)</f>
        <v>8522.45</v>
      </c>
    </row>
    <row r="424">
      <c r="A424" s="3">
        <f>IFERROR(__xludf.DUMMYFUNCTION("""COMPUTED_VALUE"""),40729.99861111111)</f>
        <v>40729.99861</v>
      </c>
      <c r="B424" s="1">
        <f>IFERROR(__xludf.DUMMYFUNCTION("""COMPUTED_VALUE"""),8537.45)</f>
        <v>8537.45</v>
      </c>
    </row>
    <row r="425">
      <c r="A425" s="3">
        <f>IFERROR(__xludf.DUMMYFUNCTION("""COMPUTED_VALUE"""),40730.99861111111)</f>
        <v>40730.99861</v>
      </c>
      <c r="B425" s="1">
        <f>IFERROR(__xludf.DUMMYFUNCTION("""COMPUTED_VALUE"""),8535.3)</f>
        <v>8535.3</v>
      </c>
    </row>
    <row r="426">
      <c r="A426" s="3">
        <f>IFERROR(__xludf.DUMMYFUNCTION("""COMPUTED_VALUE"""),40731.99861111111)</f>
        <v>40731.99861</v>
      </c>
      <c r="B426" s="1">
        <f>IFERROR(__xludf.DUMMYFUNCTION("""COMPUTED_VALUE"""),8533.45)</f>
        <v>8533.45</v>
      </c>
    </row>
    <row r="427">
      <c r="A427" s="3">
        <f>IFERROR(__xludf.DUMMYFUNCTION("""COMPUTED_VALUE"""),40732.99861111111)</f>
        <v>40732.99861</v>
      </c>
      <c r="B427" s="1">
        <f>IFERROR(__xludf.DUMMYFUNCTION("""COMPUTED_VALUE"""),8512.45)</f>
        <v>8512.45</v>
      </c>
    </row>
    <row r="428">
      <c r="A428" s="3">
        <f>IFERROR(__xludf.DUMMYFUNCTION("""COMPUTED_VALUE"""),40733.99861111111)</f>
        <v>40733.99861</v>
      </c>
      <c r="B428" s="1">
        <f>IFERROR(__xludf.DUMMYFUNCTION("""COMPUTED_VALUE"""),8539.709)</f>
        <v>8539.709</v>
      </c>
    </row>
    <row r="429">
      <c r="A429" s="3">
        <f>IFERROR(__xludf.DUMMYFUNCTION("""COMPUTED_VALUE"""),40734.99861111111)</f>
        <v>40734.99861</v>
      </c>
      <c r="B429" s="1">
        <f>IFERROR(__xludf.DUMMYFUNCTION("""COMPUTED_VALUE"""),8512.45)</f>
        <v>8512.45</v>
      </c>
    </row>
    <row r="430">
      <c r="A430" s="3">
        <f>IFERROR(__xludf.DUMMYFUNCTION("""COMPUTED_VALUE"""),40735.99861111111)</f>
        <v>40735.99861</v>
      </c>
      <c r="B430" s="1">
        <f>IFERROR(__xludf.DUMMYFUNCTION("""COMPUTED_VALUE"""),8525.95)</f>
        <v>8525.95</v>
      </c>
    </row>
    <row r="431">
      <c r="A431" s="3">
        <f>IFERROR(__xludf.DUMMYFUNCTION("""COMPUTED_VALUE"""),40736.99861111111)</f>
        <v>40736.99861</v>
      </c>
      <c r="B431" s="1">
        <f>IFERROR(__xludf.DUMMYFUNCTION("""COMPUTED_VALUE"""),8566.95)</f>
        <v>8566.95</v>
      </c>
    </row>
    <row r="432">
      <c r="A432" s="3">
        <f>IFERROR(__xludf.DUMMYFUNCTION("""COMPUTED_VALUE"""),40737.99861111111)</f>
        <v>40737.99861</v>
      </c>
      <c r="B432" s="1">
        <f>IFERROR(__xludf.DUMMYFUNCTION("""COMPUTED_VALUE"""),8550.0)</f>
        <v>8550</v>
      </c>
    </row>
    <row r="433">
      <c r="A433" s="3">
        <f>IFERROR(__xludf.DUMMYFUNCTION("""COMPUTED_VALUE"""),40738.99861111111)</f>
        <v>40738.99861</v>
      </c>
      <c r="B433" s="1">
        <f>IFERROR(__xludf.DUMMYFUNCTION("""COMPUTED_VALUE"""),8531.95)</f>
        <v>8531.95</v>
      </c>
    </row>
    <row r="434">
      <c r="A434" s="3">
        <f>IFERROR(__xludf.DUMMYFUNCTION("""COMPUTED_VALUE"""),40739.99861111111)</f>
        <v>40739.99861</v>
      </c>
      <c r="B434" s="1">
        <f>IFERROR(__xludf.DUMMYFUNCTION("""COMPUTED_VALUE"""),8533.95)</f>
        <v>8533.95</v>
      </c>
    </row>
    <row r="435">
      <c r="A435" s="3">
        <f>IFERROR(__xludf.DUMMYFUNCTION("""COMPUTED_VALUE"""),40740.99861111111)</f>
        <v>40740.99861</v>
      </c>
      <c r="B435" s="1">
        <f>IFERROR(__xludf.DUMMYFUNCTION("""COMPUTED_VALUE"""),8366.1)</f>
        <v>8366.1</v>
      </c>
    </row>
    <row r="436">
      <c r="A436" s="3">
        <f>IFERROR(__xludf.DUMMYFUNCTION("""COMPUTED_VALUE"""),40741.99861111111)</f>
        <v>40741.99861</v>
      </c>
      <c r="B436" s="1">
        <f>IFERROR(__xludf.DUMMYFUNCTION("""COMPUTED_VALUE"""),8583.69)</f>
        <v>8583.69</v>
      </c>
    </row>
    <row r="437">
      <c r="A437" s="3">
        <f>IFERROR(__xludf.DUMMYFUNCTION("""COMPUTED_VALUE"""),40742.99861111111)</f>
        <v>40742.99861</v>
      </c>
      <c r="B437" s="1">
        <f>IFERROR(__xludf.DUMMYFUNCTION("""COMPUTED_VALUE"""),8563.6)</f>
        <v>8563.6</v>
      </c>
    </row>
    <row r="438">
      <c r="A438" s="3">
        <f>IFERROR(__xludf.DUMMYFUNCTION("""COMPUTED_VALUE"""),40743.99861111111)</f>
        <v>40743.99861</v>
      </c>
      <c r="B438" s="1">
        <f>IFERROR(__xludf.DUMMYFUNCTION("""COMPUTED_VALUE"""),8540.0)</f>
        <v>8540</v>
      </c>
    </row>
    <row r="439">
      <c r="A439" s="3">
        <f>IFERROR(__xludf.DUMMYFUNCTION("""COMPUTED_VALUE"""),40744.99861111111)</f>
        <v>40744.99861</v>
      </c>
      <c r="B439" s="1">
        <f>IFERROR(__xludf.DUMMYFUNCTION("""COMPUTED_VALUE"""),8530.0)</f>
        <v>8530</v>
      </c>
    </row>
    <row r="440">
      <c r="A440" s="3">
        <f>IFERROR(__xludf.DUMMYFUNCTION("""COMPUTED_VALUE"""),40745.99861111111)</f>
        <v>40745.99861</v>
      </c>
      <c r="B440" s="1">
        <f>IFERROR(__xludf.DUMMYFUNCTION("""COMPUTED_VALUE"""),8537.0)</f>
        <v>8537</v>
      </c>
    </row>
    <row r="441">
      <c r="A441" s="3">
        <f>IFERROR(__xludf.DUMMYFUNCTION("""COMPUTED_VALUE"""),40746.99861111111)</f>
        <v>40746.99861</v>
      </c>
      <c r="B441" s="1">
        <f>IFERROR(__xludf.DUMMYFUNCTION("""COMPUTED_VALUE"""),8525.0)</f>
        <v>8525</v>
      </c>
    </row>
    <row r="442">
      <c r="A442" s="3">
        <f>IFERROR(__xludf.DUMMYFUNCTION("""COMPUTED_VALUE"""),40747.99861111111)</f>
        <v>40747.99861</v>
      </c>
      <c r="B442" s="1">
        <f>IFERROR(__xludf.DUMMYFUNCTION("""COMPUTED_VALUE"""),8539.709)</f>
        <v>8539.709</v>
      </c>
    </row>
    <row r="443">
      <c r="A443" s="3">
        <f>IFERROR(__xludf.DUMMYFUNCTION("""COMPUTED_VALUE"""),40748.99861111111)</f>
        <v>40748.99861</v>
      </c>
      <c r="B443" s="1">
        <f>IFERROR(__xludf.DUMMYFUNCTION("""COMPUTED_VALUE"""),8526.95)</f>
        <v>8526.95</v>
      </c>
    </row>
    <row r="444">
      <c r="A444" s="3">
        <f>IFERROR(__xludf.DUMMYFUNCTION("""COMPUTED_VALUE"""),40749.99861111111)</f>
        <v>40749.99861</v>
      </c>
      <c r="B444" s="1">
        <f>IFERROR(__xludf.DUMMYFUNCTION("""COMPUTED_VALUE"""),8522.95)</f>
        <v>8522.95</v>
      </c>
    </row>
    <row r="445">
      <c r="A445" s="3">
        <f>IFERROR(__xludf.DUMMYFUNCTION("""COMPUTED_VALUE"""),40750.99861111111)</f>
        <v>40750.99861</v>
      </c>
      <c r="B445" s="1">
        <f>IFERROR(__xludf.DUMMYFUNCTION("""COMPUTED_VALUE"""),8500.0)</f>
        <v>8500</v>
      </c>
    </row>
    <row r="446">
      <c r="A446" s="3">
        <f>IFERROR(__xludf.DUMMYFUNCTION("""COMPUTED_VALUE"""),40751.99861111111)</f>
        <v>40751.99861</v>
      </c>
      <c r="B446" s="1">
        <f>IFERROR(__xludf.DUMMYFUNCTION("""COMPUTED_VALUE"""),8482.0)</f>
        <v>8482</v>
      </c>
    </row>
    <row r="447">
      <c r="A447" s="3">
        <f>IFERROR(__xludf.DUMMYFUNCTION("""COMPUTED_VALUE"""),40752.99861111111)</f>
        <v>40752.99861</v>
      </c>
      <c r="B447" s="1">
        <f>IFERROR(__xludf.DUMMYFUNCTION("""COMPUTED_VALUE"""),8495.0)</f>
        <v>8495</v>
      </c>
    </row>
    <row r="448">
      <c r="A448" s="3">
        <f>IFERROR(__xludf.DUMMYFUNCTION("""COMPUTED_VALUE"""),40753.99861111111)</f>
        <v>40753.99861</v>
      </c>
      <c r="B448" s="1">
        <f>IFERROR(__xludf.DUMMYFUNCTION("""COMPUTED_VALUE"""),8500.0)</f>
        <v>8500</v>
      </c>
    </row>
    <row r="449">
      <c r="A449" s="3">
        <f>IFERROR(__xludf.DUMMYFUNCTION("""COMPUTED_VALUE"""),40754.99861111111)</f>
        <v>40754.99861</v>
      </c>
      <c r="B449" s="1">
        <f>IFERROR(__xludf.DUMMYFUNCTION("""COMPUTED_VALUE"""),8256.5)</f>
        <v>8256.5</v>
      </c>
    </row>
    <row r="450">
      <c r="A450" s="3">
        <f>IFERROR(__xludf.DUMMYFUNCTION("""COMPUTED_VALUE"""),40755.99861111111)</f>
        <v>40755.99861</v>
      </c>
      <c r="B450" s="1">
        <f>IFERROR(__xludf.DUMMYFUNCTION("""COMPUTED_VALUE"""),8499.95)</f>
        <v>8499.95</v>
      </c>
    </row>
    <row r="451">
      <c r="A451" s="3">
        <f>IFERROR(__xludf.DUMMYFUNCTION("""COMPUTED_VALUE"""),40756.99861111111)</f>
        <v>40756.99861</v>
      </c>
      <c r="B451" s="1">
        <f>IFERROR(__xludf.DUMMYFUNCTION("""COMPUTED_VALUE"""),8433.6)</f>
        <v>8433.6</v>
      </c>
    </row>
    <row r="452">
      <c r="A452" s="3">
        <f>IFERROR(__xludf.DUMMYFUNCTION("""COMPUTED_VALUE"""),40757.99861111111)</f>
        <v>40757.99861</v>
      </c>
      <c r="B452" s="1">
        <f>IFERROR(__xludf.DUMMYFUNCTION("""COMPUTED_VALUE"""),8467.45)</f>
        <v>8467.45</v>
      </c>
    </row>
    <row r="453">
      <c r="A453" s="3">
        <f>IFERROR(__xludf.DUMMYFUNCTION("""COMPUTED_VALUE"""),40758.99861111111)</f>
        <v>40758.99861</v>
      </c>
      <c r="B453" s="1">
        <f>IFERROR(__xludf.DUMMYFUNCTION("""COMPUTED_VALUE"""),8325.2)</f>
        <v>8325.2</v>
      </c>
    </row>
    <row r="454">
      <c r="A454" s="3">
        <f>IFERROR(__xludf.DUMMYFUNCTION("""COMPUTED_VALUE"""),40759.99861111111)</f>
        <v>40759.99861</v>
      </c>
      <c r="B454" s="1">
        <f>IFERROR(__xludf.DUMMYFUNCTION("""COMPUTED_VALUE"""),8472.4)</f>
        <v>8472.4</v>
      </c>
    </row>
    <row r="455">
      <c r="A455" s="3">
        <f>IFERROR(__xludf.DUMMYFUNCTION("""COMPUTED_VALUE"""),40760.99861111111)</f>
        <v>40760.99861</v>
      </c>
      <c r="B455" s="1">
        <f>IFERROR(__xludf.DUMMYFUNCTION("""COMPUTED_VALUE"""),8514.95)</f>
        <v>8514.95</v>
      </c>
    </row>
    <row r="456">
      <c r="A456" s="3">
        <f>IFERROR(__xludf.DUMMYFUNCTION("""COMPUTED_VALUE"""),40761.99861111111)</f>
        <v>40761.99861</v>
      </c>
      <c r="B456" s="1">
        <f>IFERROR(__xludf.DUMMYFUNCTION("""COMPUTED_VALUE"""),8356.7)</f>
        <v>8356.7</v>
      </c>
    </row>
    <row r="457">
      <c r="A457" s="3">
        <f>IFERROR(__xludf.DUMMYFUNCTION("""COMPUTED_VALUE"""),40762.99861111111)</f>
        <v>40762.99861</v>
      </c>
      <c r="B457" s="1">
        <f>IFERROR(__xludf.DUMMYFUNCTION("""COMPUTED_VALUE"""),8514.95)</f>
        <v>8514.95</v>
      </c>
    </row>
    <row r="458">
      <c r="A458" s="3">
        <f>IFERROR(__xludf.DUMMYFUNCTION("""COMPUTED_VALUE"""),40763.99861111111)</f>
        <v>40763.99861</v>
      </c>
      <c r="B458" s="1">
        <f>IFERROR(__xludf.DUMMYFUNCTION("""COMPUTED_VALUE"""),8478.3)</f>
        <v>8478.3</v>
      </c>
    </row>
    <row r="459">
      <c r="A459" s="3">
        <f>IFERROR(__xludf.DUMMYFUNCTION("""COMPUTED_VALUE"""),40764.99861111111)</f>
        <v>40764.99861</v>
      </c>
      <c r="B459" s="1">
        <f>IFERROR(__xludf.DUMMYFUNCTION("""COMPUTED_VALUE"""),8517.6)</f>
        <v>8517.6</v>
      </c>
    </row>
    <row r="460">
      <c r="A460" s="3">
        <f>IFERROR(__xludf.DUMMYFUNCTION("""COMPUTED_VALUE"""),40765.99861111111)</f>
        <v>40765.99861</v>
      </c>
      <c r="B460" s="1">
        <f>IFERROR(__xludf.DUMMYFUNCTION("""COMPUTED_VALUE"""),8500.3)</f>
        <v>8500.3</v>
      </c>
    </row>
    <row r="461">
      <c r="A461" s="3">
        <f>IFERROR(__xludf.DUMMYFUNCTION("""COMPUTED_VALUE"""),40766.99861111111)</f>
        <v>40766.99861</v>
      </c>
      <c r="B461" s="1">
        <f>IFERROR(__xludf.DUMMYFUNCTION("""COMPUTED_VALUE"""),8509.3)</f>
        <v>8509.3</v>
      </c>
    </row>
    <row r="462">
      <c r="A462" s="3">
        <f>IFERROR(__xludf.DUMMYFUNCTION("""COMPUTED_VALUE"""),40770.99861111111)</f>
        <v>40770.99861</v>
      </c>
      <c r="B462" s="1">
        <f>IFERROR(__xludf.DUMMYFUNCTION("""COMPUTED_VALUE"""),8292.7)</f>
        <v>8292.7</v>
      </c>
    </row>
    <row r="463">
      <c r="A463" s="3">
        <f>IFERROR(__xludf.DUMMYFUNCTION("""COMPUTED_VALUE"""),40771.99861111111)</f>
        <v>40771.99861</v>
      </c>
      <c r="B463" s="1">
        <f>IFERROR(__xludf.DUMMYFUNCTION("""COMPUTED_VALUE"""),8358.7)</f>
        <v>8358.7</v>
      </c>
    </row>
    <row r="464">
      <c r="A464" s="3">
        <f>IFERROR(__xludf.DUMMYFUNCTION("""COMPUTED_VALUE"""),40772.99861111111)</f>
        <v>40772.99861</v>
      </c>
      <c r="B464" s="1">
        <f>IFERROR(__xludf.DUMMYFUNCTION("""COMPUTED_VALUE"""),8374.2)</f>
        <v>8374.2</v>
      </c>
    </row>
    <row r="465">
      <c r="A465" s="3">
        <f>IFERROR(__xludf.DUMMYFUNCTION("""COMPUTED_VALUE"""),40773.99861111111)</f>
        <v>40773.99861</v>
      </c>
      <c r="B465" s="1">
        <f>IFERROR(__xludf.DUMMYFUNCTION("""COMPUTED_VALUE"""),8560.0)</f>
        <v>8560</v>
      </c>
    </row>
    <row r="466">
      <c r="A466" s="3">
        <f>IFERROR(__xludf.DUMMYFUNCTION("""COMPUTED_VALUE"""),40774.99861111111)</f>
        <v>40774.99861</v>
      </c>
      <c r="B466" s="1">
        <f>IFERROR(__xludf.DUMMYFUNCTION("""COMPUTED_VALUE"""),8539.6)</f>
        <v>8539.6</v>
      </c>
    </row>
    <row r="467">
      <c r="A467" s="3">
        <f>IFERROR(__xludf.DUMMYFUNCTION("""COMPUTED_VALUE"""),40775.99861111111)</f>
        <v>40775.99861</v>
      </c>
      <c r="B467" s="1">
        <f>IFERROR(__xludf.DUMMYFUNCTION("""COMPUTED_VALUE"""),8339.3)</f>
        <v>8339.3</v>
      </c>
    </row>
    <row r="468">
      <c r="A468" s="3">
        <f>IFERROR(__xludf.DUMMYFUNCTION("""COMPUTED_VALUE"""),40776.99861111111)</f>
        <v>40776.99861</v>
      </c>
      <c r="B468" s="1">
        <f>IFERROR(__xludf.DUMMYFUNCTION("""COMPUTED_VALUE"""),8576.329)</f>
        <v>8576.329</v>
      </c>
    </row>
    <row r="469">
      <c r="A469" s="3">
        <f>IFERROR(__xludf.DUMMYFUNCTION("""COMPUTED_VALUE"""),40777.99861111111)</f>
        <v>40777.99861</v>
      </c>
      <c r="B469" s="1">
        <f>IFERROR(__xludf.DUMMYFUNCTION("""COMPUTED_VALUE"""),8537.0)</f>
        <v>8537</v>
      </c>
    </row>
    <row r="470">
      <c r="A470" s="3">
        <f>IFERROR(__xludf.DUMMYFUNCTION("""COMPUTED_VALUE"""),40778.99861111111)</f>
        <v>40778.99861</v>
      </c>
      <c r="B470" s="1">
        <f>IFERROR(__xludf.DUMMYFUNCTION("""COMPUTED_VALUE"""),8543.0)</f>
        <v>8543</v>
      </c>
    </row>
    <row r="471">
      <c r="A471" s="3">
        <f>IFERROR(__xludf.DUMMYFUNCTION("""COMPUTED_VALUE"""),40779.99861111111)</f>
        <v>40779.99861</v>
      </c>
      <c r="B471" s="1">
        <f>IFERROR(__xludf.DUMMYFUNCTION("""COMPUTED_VALUE"""),8550.0)</f>
        <v>8550</v>
      </c>
    </row>
    <row r="472">
      <c r="A472" s="3">
        <f>IFERROR(__xludf.DUMMYFUNCTION("""COMPUTED_VALUE"""),40780.99861111111)</f>
        <v>40780.99861</v>
      </c>
      <c r="B472" s="1">
        <f>IFERROR(__xludf.DUMMYFUNCTION("""COMPUTED_VALUE"""),8600.0)</f>
        <v>8600</v>
      </c>
    </row>
    <row r="473">
      <c r="A473" s="3">
        <f>IFERROR(__xludf.DUMMYFUNCTION("""COMPUTED_VALUE"""),40781.99861111111)</f>
        <v>40781.99861</v>
      </c>
      <c r="B473" s="1">
        <f>IFERROR(__xludf.DUMMYFUNCTION("""COMPUTED_VALUE"""),8544.0)</f>
        <v>8544</v>
      </c>
    </row>
    <row r="474">
      <c r="A474" s="3">
        <f>IFERROR(__xludf.DUMMYFUNCTION("""COMPUTED_VALUE"""),40782.99861111111)</f>
        <v>40782.99861</v>
      </c>
      <c r="B474" s="1">
        <f>IFERROR(__xludf.DUMMYFUNCTION("""COMPUTED_VALUE"""),8359.2)</f>
        <v>8359.2</v>
      </c>
    </row>
    <row r="475">
      <c r="A475" s="3">
        <f>IFERROR(__xludf.DUMMYFUNCTION("""COMPUTED_VALUE"""),40783.99861111111)</f>
        <v>40783.99861</v>
      </c>
      <c r="B475" s="1">
        <f>IFERROR(__xludf.DUMMYFUNCTION("""COMPUTED_VALUE"""),8532.95)</f>
        <v>8532.95</v>
      </c>
    </row>
    <row r="476">
      <c r="A476" s="3">
        <f>IFERROR(__xludf.DUMMYFUNCTION("""COMPUTED_VALUE"""),40784.99861111111)</f>
        <v>40784.99861</v>
      </c>
      <c r="B476" s="1">
        <f>IFERROR(__xludf.DUMMYFUNCTION("""COMPUTED_VALUE"""),8520.0)</f>
        <v>8520</v>
      </c>
    </row>
    <row r="477">
      <c r="A477" s="3">
        <f>IFERROR(__xludf.DUMMYFUNCTION("""COMPUTED_VALUE"""),40785.99861111111)</f>
        <v>40785.99861</v>
      </c>
      <c r="B477" s="1">
        <f>IFERROR(__xludf.DUMMYFUNCTION("""COMPUTED_VALUE"""),8532.95)</f>
        <v>8532.95</v>
      </c>
    </row>
    <row r="478">
      <c r="A478" s="3">
        <f>IFERROR(__xludf.DUMMYFUNCTION("""COMPUTED_VALUE"""),40786.99861111111)</f>
        <v>40786.99861</v>
      </c>
      <c r="B478" s="1">
        <f>IFERROR(__xludf.DUMMYFUNCTION("""COMPUTED_VALUE"""),8532.95)</f>
        <v>8532.95</v>
      </c>
    </row>
    <row r="479">
      <c r="A479" s="3">
        <f>IFERROR(__xludf.DUMMYFUNCTION("""COMPUTED_VALUE"""),40787.99861111111)</f>
        <v>40787.99861</v>
      </c>
      <c r="B479" s="1">
        <f>IFERROR(__xludf.DUMMYFUNCTION("""COMPUTED_VALUE"""),8490.0)</f>
        <v>8490</v>
      </c>
    </row>
    <row r="480">
      <c r="A480" s="3">
        <f>IFERROR(__xludf.DUMMYFUNCTION("""COMPUTED_VALUE"""),40788.99861111111)</f>
        <v>40788.99861</v>
      </c>
      <c r="B480" s="1">
        <f>IFERROR(__xludf.DUMMYFUNCTION("""COMPUTED_VALUE"""),8500.0)</f>
        <v>8500</v>
      </c>
    </row>
    <row r="481">
      <c r="A481" s="3">
        <f>IFERROR(__xludf.DUMMYFUNCTION("""COMPUTED_VALUE"""),40789.99861111111)</f>
        <v>40789.99861</v>
      </c>
      <c r="B481" s="1">
        <f>IFERROR(__xludf.DUMMYFUNCTION("""COMPUTED_VALUE"""),8402.0)</f>
        <v>8402</v>
      </c>
    </row>
    <row r="482">
      <c r="A482" s="3">
        <f>IFERROR(__xludf.DUMMYFUNCTION("""COMPUTED_VALUE"""),40790.99861111111)</f>
        <v>40790.99861</v>
      </c>
      <c r="B482" s="1">
        <f>IFERROR(__xludf.DUMMYFUNCTION("""COMPUTED_VALUE"""),8583.69)</f>
        <v>8583.69</v>
      </c>
    </row>
    <row r="483">
      <c r="A483" s="3">
        <f>IFERROR(__xludf.DUMMYFUNCTION("""COMPUTED_VALUE"""),40791.99861111111)</f>
        <v>40791.99861</v>
      </c>
      <c r="B483" s="1">
        <f>IFERROR(__xludf.DUMMYFUNCTION("""COMPUTED_VALUE"""),8379.5)</f>
        <v>8379.5</v>
      </c>
    </row>
    <row r="484">
      <c r="A484" s="3">
        <f>IFERROR(__xludf.DUMMYFUNCTION("""COMPUTED_VALUE"""),40792.99861111111)</f>
        <v>40792.99861</v>
      </c>
      <c r="B484" s="1">
        <f>IFERROR(__xludf.DUMMYFUNCTION("""COMPUTED_VALUE"""),8552.95)</f>
        <v>8552.95</v>
      </c>
    </row>
    <row r="485">
      <c r="A485" s="3">
        <f>IFERROR(__xludf.DUMMYFUNCTION("""COMPUTED_VALUE"""),40793.99861111111)</f>
        <v>40793.99861</v>
      </c>
      <c r="B485" s="1">
        <f>IFERROR(__xludf.DUMMYFUNCTION("""COMPUTED_VALUE"""),8535.0)</f>
        <v>8535</v>
      </c>
    </row>
    <row r="486">
      <c r="A486" s="3">
        <f>IFERROR(__xludf.DUMMYFUNCTION("""COMPUTED_VALUE"""),40794.99861111111)</f>
        <v>40794.99861</v>
      </c>
      <c r="B486" s="1">
        <f>IFERROR(__xludf.DUMMYFUNCTION("""COMPUTED_VALUE"""),8567.95)</f>
        <v>8567.95</v>
      </c>
    </row>
    <row r="487">
      <c r="A487" s="3">
        <f>IFERROR(__xludf.DUMMYFUNCTION("""COMPUTED_VALUE"""),40795.99861111111)</f>
        <v>40795.99861</v>
      </c>
      <c r="B487" s="1">
        <f>IFERROR(__xludf.DUMMYFUNCTION("""COMPUTED_VALUE"""),8569.95)</f>
        <v>8569.95</v>
      </c>
    </row>
    <row r="488">
      <c r="A488" s="3">
        <f>IFERROR(__xludf.DUMMYFUNCTION("""COMPUTED_VALUE"""),40796.99861111111)</f>
        <v>40796.99861</v>
      </c>
      <c r="B488" s="1">
        <f>IFERROR(__xludf.DUMMYFUNCTION("""COMPUTED_VALUE"""),8583.69)</f>
        <v>8583.69</v>
      </c>
    </row>
    <row r="489">
      <c r="A489" s="3">
        <f>IFERROR(__xludf.DUMMYFUNCTION("""COMPUTED_VALUE"""),40797.99861111111)</f>
        <v>40797.99861</v>
      </c>
      <c r="B489" s="1">
        <f>IFERROR(__xludf.DUMMYFUNCTION("""COMPUTED_VALUE"""),8491.7)</f>
        <v>8491.7</v>
      </c>
    </row>
    <row r="490">
      <c r="A490" s="3">
        <f>IFERROR(__xludf.DUMMYFUNCTION("""COMPUTED_VALUE"""),40798.99861111111)</f>
        <v>40798.99861</v>
      </c>
      <c r="B490" s="1">
        <f>IFERROR(__xludf.DUMMYFUNCTION("""COMPUTED_VALUE"""),8572.3)</f>
        <v>8572.3</v>
      </c>
    </row>
    <row r="491">
      <c r="A491" s="3">
        <f>IFERROR(__xludf.DUMMYFUNCTION("""COMPUTED_VALUE"""),40799.99861111111)</f>
        <v>40799.99861</v>
      </c>
      <c r="B491" s="1">
        <f>IFERROR(__xludf.DUMMYFUNCTION("""COMPUTED_VALUE"""),8631.0)</f>
        <v>8631</v>
      </c>
    </row>
    <row r="492">
      <c r="A492" s="3">
        <f>IFERROR(__xludf.DUMMYFUNCTION("""COMPUTED_VALUE"""),40800.99861111111)</f>
        <v>40800.99861</v>
      </c>
      <c r="B492" s="1">
        <f>IFERROR(__xludf.DUMMYFUNCTION("""COMPUTED_VALUE"""),8719.95)</f>
        <v>8719.95</v>
      </c>
    </row>
    <row r="493">
      <c r="A493" s="3">
        <f>IFERROR(__xludf.DUMMYFUNCTION("""COMPUTED_VALUE"""),40801.99861111111)</f>
        <v>40801.99861</v>
      </c>
      <c r="B493" s="1">
        <f>IFERROR(__xludf.DUMMYFUNCTION("""COMPUTED_VALUE"""),8809.0)</f>
        <v>8809</v>
      </c>
    </row>
    <row r="494">
      <c r="A494" s="3">
        <f>IFERROR(__xludf.DUMMYFUNCTION("""COMPUTED_VALUE"""),40802.99861111111)</f>
        <v>40802.99861</v>
      </c>
      <c r="B494" s="1">
        <f>IFERROR(__xludf.DUMMYFUNCTION("""COMPUTED_VALUE"""),8764.95)</f>
        <v>8764.95</v>
      </c>
    </row>
    <row r="495">
      <c r="A495" s="3">
        <f>IFERROR(__xludf.DUMMYFUNCTION("""COMPUTED_VALUE"""),40803.99861111111)</f>
        <v>40803.99861</v>
      </c>
      <c r="B495" s="1">
        <f>IFERROR(__xludf.DUMMYFUNCTION("""COMPUTED_VALUE"""),8810.572)</f>
        <v>8810.572</v>
      </c>
    </row>
    <row r="496">
      <c r="A496" s="3">
        <f>IFERROR(__xludf.DUMMYFUNCTION("""COMPUTED_VALUE"""),40804.99861111111)</f>
        <v>40804.99861</v>
      </c>
      <c r="B496" s="1">
        <f>IFERROR(__xludf.DUMMYFUNCTION("""COMPUTED_VALUE"""),8764.95)</f>
        <v>8764.95</v>
      </c>
    </row>
    <row r="497">
      <c r="A497" s="3">
        <f>IFERROR(__xludf.DUMMYFUNCTION("""COMPUTED_VALUE"""),40805.99861111111)</f>
        <v>40805.99861</v>
      </c>
      <c r="B497" s="1">
        <f>IFERROR(__xludf.DUMMYFUNCTION("""COMPUTED_VALUE"""),8822.4)</f>
        <v>8822.4</v>
      </c>
    </row>
    <row r="498">
      <c r="A498" s="3">
        <f>IFERROR(__xludf.DUMMYFUNCTION("""COMPUTED_VALUE"""),40806.99861111111)</f>
        <v>40806.99861</v>
      </c>
      <c r="B498" s="1">
        <f>IFERROR(__xludf.DUMMYFUNCTION("""COMPUTED_VALUE"""),8812.7)</f>
        <v>8812.7</v>
      </c>
    </row>
    <row r="499">
      <c r="A499" s="3">
        <f>IFERROR(__xludf.DUMMYFUNCTION("""COMPUTED_VALUE"""),40807.99861111111)</f>
        <v>40807.99861</v>
      </c>
      <c r="B499" s="1">
        <f>IFERROR(__xludf.DUMMYFUNCTION("""COMPUTED_VALUE"""),8840.9)</f>
        <v>8840.9</v>
      </c>
    </row>
    <row r="500">
      <c r="A500" s="3">
        <f>IFERROR(__xludf.DUMMYFUNCTION("""COMPUTED_VALUE"""),40808.99861111111)</f>
        <v>40808.99861</v>
      </c>
      <c r="B500" s="1">
        <f>IFERROR(__xludf.DUMMYFUNCTION("""COMPUTED_VALUE"""),8762.95)</f>
        <v>8762.95</v>
      </c>
    </row>
    <row r="501">
      <c r="A501" s="3">
        <f>IFERROR(__xludf.DUMMYFUNCTION("""COMPUTED_VALUE"""),40809.99861111111)</f>
        <v>40809.99861</v>
      </c>
      <c r="B501" s="1">
        <f>IFERROR(__xludf.DUMMYFUNCTION("""COMPUTED_VALUE"""),8752.6)</f>
        <v>8752.6</v>
      </c>
    </row>
    <row r="502">
      <c r="A502" s="3">
        <f>IFERROR(__xludf.DUMMYFUNCTION("""COMPUTED_VALUE"""),40810.99861111111)</f>
        <v>40810.99861</v>
      </c>
      <c r="B502" s="1">
        <f>IFERROR(__xludf.DUMMYFUNCTION("""COMPUTED_VALUE"""),8572.1)</f>
        <v>8572.1</v>
      </c>
    </row>
    <row r="503">
      <c r="A503" s="3">
        <f>IFERROR(__xludf.DUMMYFUNCTION("""COMPUTED_VALUE"""),40811.99861111111)</f>
        <v>40811.99861</v>
      </c>
      <c r="B503" s="1">
        <f>IFERROR(__xludf.DUMMYFUNCTION("""COMPUTED_VALUE"""),8779.95)</f>
        <v>8779.95</v>
      </c>
    </row>
    <row r="504">
      <c r="A504" s="3">
        <f>IFERROR(__xludf.DUMMYFUNCTION("""COMPUTED_VALUE"""),40812.99861111111)</f>
        <v>40812.99861</v>
      </c>
      <c r="B504" s="1">
        <f>IFERROR(__xludf.DUMMYFUNCTION("""COMPUTED_VALUE"""),9080.0)</f>
        <v>9080</v>
      </c>
    </row>
    <row r="505">
      <c r="A505" s="3">
        <f>IFERROR(__xludf.DUMMYFUNCTION("""COMPUTED_VALUE"""),40813.99861111111)</f>
        <v>40813.99861</v>
      </c>
      <c r="B505" s="1">
        <f>IFERROR(__xludf.DUMMYFUNCTION("""COMPUTED_VALUE"""),8904.95)</f>
        <v>8904.95</v>
      </c>
    </row>
    <row r="506">
      <c r="A506" s="3">
        <f>IFERROR(__xludf.DUMMYFUNCTION("""COMPUTED_VALUE"""),40814.99861111111)</f>
        <v>40814.99861</v>
      </c>
      <c r="B506" s="1">
        <f>IFERROR(__xludf.DUMMYFUNCTION("""COMPUTED_VALUE"""),8889.95)</f>
        <v>8889.95</v>
      </c>
    </row>
    <row r="507">
      <c r="A507" s="3">
        <f>IFERROR(__xludf.DUMMYFUNCTION("""COMPUTED_VALUE"""),40815.99861111111)</f>
        <v>40815.99861</v>
      </c>
      <c r="B507" s="1">
        <f>IFERROR(__xludf.DUMMYFUNCTION("""COMPUTED_VALUE"""),8952.6)</f>
        <v>8952.6</v>
      </c>
    </row>
    <row r="508">
      <c r="A508" s="3">
        <f>IFERROR(__xludf.DUMMYFUNCTION("""COMPUTED_VALUE"""),40816.99861111111)</f>
        <v>40816.99861</v>
      </c>
      <c r="B508" s="1">
        <f>IFERROR(__xludf.DUMMYFUNCTION("""COMPUTED_VALUE"""),8789.95)</f>
        <v>8789.95</v>
      </c>
    </row>
    <row r="509">
      <c r="A509" s="3">
        <f>IFERROR(__xludf.DUMMYFUNCTION("""COMPUTED_VALUE"""),40817.99861111111)</f>
        <v>40817.99861</v>
      </c>
      <c r="B509" s="1">
        <f>IFERROR(__xludf.DUMMYFUNCTION("""COMPUTED_VALUE"""),9057.971)</f>
        <v>9057.971</v>
      </c>
    </row>
    <row r="510">
      <c r="A510" s="3">
        <f>IFERROR(__xludf.DUMMYFUNCTION("""COMPUTED_VALUE"""),40818.99861111111)</f>
        <v>40818.99861</v>
      </c>
      <c r="B510" s="1">
        <f>IFERROR(__xludf.DUMMYFUNCTION("""COMPUTED_VALUE"""),8789.95)</f>
        <v>8789.95</v>
      </c>
    </row>
    <row r="511">
      <c r="A511" s="3">
        <f>IFERROR(__xludf.DUMMYFUNCTION("""COMPUTED_VALUE"""),40819.99861111111)</f>
        <v>40819.99861</v>
      </c>
      <c r="B511" s="1">
        <f>IFERROR(__xludf.DUMMYFUNCTION("""COMPUTED_VALUE"""),8897.45)</f>
        <v>8897.45</v>
      </c>
    </row>
    <row r="512">
      <c r="A512" s="3">
        <f>IFERROR(__xludf.DUMMYFUNCTION("""COMPUTED_VALUE"""),40820.99861111111)</f>
        <v>40820.99861</v>
      </c>
      <c r="B512" s="1">
        <f>IFERROR(__xludf.DUMMYFUNCTION("""COMPUTED_VALUE"""),8622.0)</f>
        <v>8622</v>
      </c>
    </row>
    <row r="513">
      <c r="A513" s="3">
        <f>IFERROR(__xludf.DUMMYFUNCTION("""COMPUTED_VALUE"""),40821.99861111111)</f>
        <v>40821.99861</v>
      </c>
      <c r="B513" s="1">
        <f>IFERROR(__xludf.DUMMYFUNCTION("""COMPUTED_VALUE"""),8956.3)</f>
        <v>8956.3</v>
      </c>
    </row>
    <row r="514">
      <c r="A514" s="3">
        <f>IFERROR(__xludf.DUMMYFUNCTION("""COMPUTED_VALUE"""),40822.99861111111)</f>
        <v>40822.99861</v>
      </c>
      <c r="B514" s="1">
        <f>IFERROR(__xludf.DUMMYFUNCTION("""COMPUTED_VALUE"""),8890.0)</f>
        <v>8890</v>
      </c>
    </row>
    <row r="515">
      <c r="A515" s="3">
        <f>IFERROR(__xludf.DUMMYFUNCTION("""COMPUTED_VALUE"""),40823.99861111111)</f>
        <v>40823.99861</v>
      </c>
      <c r="B515" s="1">
        <f>IFERROR(__xludf.DUMMYFUNCTION("""COMPUTED_VALUE"""),8897.45)</f>
        <v>8897.45</v>
      </c>
    </row>
    <row r="516">
      <c r="A516" s="3">
        <f>IFERROR(__xludf.DUMMYFUNCTION("""COMPUTED_VALUE"""),40824.99861111111)</f>
        <v>40824.99861</v>
      </c>
      <c r="B516" s="1">
        <f>IFERROR(__xludf.DUMMYFUNCTION("""COMPUTED_VALUE"""),9066.183)</f>
        <v>9066.183</v>
      </c>
    </row>
    <row r="517">
      <c r="A517" s="3">
        <f>IFERROR(__xludf.DUMMYFUNCTION("""COMPUTED_VALUE"""),40825.99861111111)</f>
        <v>40825.99861</v>
      </c>
      <c r="B517" s="1">
        <f>IFERROR(__xludf.DUMMYFUNCTION("""COMPUTED_VALUE"""),8897.45)</f>
        <v>8897.45</v>
      </c>
    </row>
    <row r="518">
      <c r="A518" s="3">
        <f>IFERROR(__xludf.DUMMYFUNCTION("""COMPUTED_VALUE"""),40826.99861111111)</f>
        <v>40826.99861</v>
      </c>
      <c r="B518" s="1">
        <f>IFERROR(__xludf.DUMMYFUNCTION("""COMPUTED_VALUE"""),8892.45)</f>
        <v>8892.45</v>
      </c>
    </row>
    <row r="519">
      <c r="A519" s="3">
        <f>IFERROR(__xludf.DUMMYFUNCTION("""COMPUTED_VALUE"""),40827.99861111111)</f>
        <v>40827.99861</v>
      </c>
      <c r="B519" s="1">
        <f>IFERROR(__xludf.DUMMYFUNCTION("""COMPUTED_VALUE"""),8717.0)</f>
        <v>8717</v>
      </c>
    </row>
    <row r="520">
      <c r="A520" s="3">
        <f>IFERROR(__xludf.DUMMYFUNCTION("""COMPUTED_VALUE"""),40828.99861111111)</f>
        <v>40828.99861</v>
      </c>
      <c r="B520" s="1">
        <f>IFERROR(__xludf.DUMMYFUNCTION("""COMPUTED_VALUE"""),8857.6)</f>
        <v>8857.6</v>
      </c>
    </row>
    <row r="521">
      <c r="A521" s="3">
        <f>IFERROR(__xludf.DUMMYFUNCTION("""COMPUTED_VALUE"""),40829.99861111111)</f>
        <v>40829.99861</v>
      </c>
      <c r="B521" s="1">
        <f>IFERROR(__xludf.DUMMYFUNCTION("""COMPUTED_VALUE"""),8869.95)</f>
        <v>8869.95</v>
      </c>
    </row>
    <row r="522">
      <c r="A522" s="3">
        <f>IFERROR(__xludf.DUMMYFUNCTION("""COMPUTED_VALUE"""),40830.99861111111)</f>
        <v>40830.99861</v>
      </c>
      <c r="B522" s="1">
        <f>IFERROR(__xludf.DUMMYFUNCTION("""COMPUTED_VALUE"""),8849.2)</f>
        <v>8849.2</v>
      </c>
    </row>
    <row r="523">
      <c r="A523" s="3">
        <f>IFERROR(__xludf.DUMMYFUNCTION("""COMPUTED_VALUE"""),40831.99861111111)</f>
        <v>40831.99861</v>
      </c>
      <c r="B523" s="1">
        <f>IFERROR(__xludf.DUMMYFUNCTION("""COMPUTED_VALUE"""),8637.6)</f>
        <v>8637.6</v>
      </c>
    </row>
    <row r="524">
      <c r="A524" s="3">
        <f>IFERROR(__xludf.DUMMYFUNCTION("""COMPUTED_VALUE"""),40832.99861111111)</f>
        <v>40832.99861</v>
      </c>
      <c r="B524" s="1">
        <f>IFERROR(__xludf.DUMMYFUNCTION("""COMPUTED_VALUE"""),8888.888)</f>
        <v>8888.888</v>
      </c>
    </row>
    <row r="525">
      <c r="A525" s="3">
        <f>IFERROR(__xludf.DUMMYFUNCTION("""COMPUTED_VALUE"""),40833.99861111111)</f>
        <v>40833.99861</v>
      </c>
      <c r="B525" s="1">
        <f>IFERROR(__xludf.DUMMYFUNCTION("""COMPUTED_VALUE"""),8880.2)</f>
        <v>8880.2</v>
      </c>
    </row>
    <row r="526">
      <c r="A526" s="3">
        <f>IFERROR(__xludf.DUMMYFUNCTION("""COMPUTED_VALUE"""),40834.99861111111)</f>
        <v>40834.99861</v>
      </c>
      <c r="B526" s="1">
        <f>IFERROR(__xludf.DUMMYFUNCTION("""COMPUTED_VALUE"""),8880.0)</f>
        <v>8880</v>
      </c>
    </row>
    <row r="527">
      <c r="A527" s="3">
        <f>IFERROR(__xludf.DUMMYFUNCTION("""COMPUTED_VALUE"""),40835.99861111111)</f>
        <v>40835.99861</v>
      </c>
      <c r="B527" s="1">
        <f>IFERROR(__xludf.DUMMYFUNCTION("""COMPUTED_VALUE"""),8840.8)</f>
        <v>8840.8</v>
      </c>
    </row>
    <row r="528">
      <c r="A528" s="3">
        <f>IFERROR(__xludf.DUMMYFUNCTION("""COMPUTED_VALUE"""),40836.99861111111)</f>
        <v>40836.99861</v>
      </c>
      <c r="B528" s="1">
        <f>IFERROR(__xludf.DUMMYFUNCTION("""COMPUTED_VALUE"""),8824.95)</f>
        <v>8824.95</v>
      </c>
    </row>
    <row r="529">
      <c r="A529" s="3">
        <f>IFERROR(__xludf.DUMMYFUNCTION("""COMPUTED_VALUE"""),40837.99861111111)</f>
        <v>40837.99861</v>
      </c>
      <c r="B529" s="1">
        <f>IFERROR(__xludf.DUMMYFUNCTION("""COMPUTED_VALUE"""),8850.0)</f>
        <v>8850</v>
      </c>
    </row>
    <row r="530">
      <c r="A530" s="3">
        <f>IFERROR(__xludf.DUMMYFUNCTION("""COMPUTED_VALUE"""),40838.99861111111)</f>
        <v>40838.99861</v>
      </c>
      <c r="B530" s="1">
        <f>IFERROR(__xludf.DUMMYFUNCTION("""COMPUTED_VALUE"""),8555.6)</f>
        <v>8555.6</v>
      </c>
    </row>
    <row r="531">
      <c r="A531" s="3">
        <f>IFERROR(__xludf.DUMMYFUNCTION("""COMPUTED_VALUE"""),40839.99861111111)</f>
        <v>40839.99861</v>
      </c>
      <c r="B531" s="1">
        <f>IFERROR(__xludf.DUMMYFUNCTION("""COMPUTED_VALUE"""),8859.95)</f>
        <v>8859.95</v>
      </c>
    </row>
    <row r="532">
      <c r="A532" s="3">
        <f>IFERROR(__xludf.DUMMYFUNCTION("""COMPUTED_VALUE"""),40840.99861111111)</f>
        <v>40840.99861</v>
      </c>
      <c r="B532" s="1">
        <f>IFERROR(__xludf.DUMMYFUNCTION("""COMPUTED_VALUE"""),8839.95)</f>
        <v>8839.95</v>
      </c>
    </row>
    <row r="533">
      <c r="A533" s="3">
        <f>IFERROR(__xludf.DUMMYFUNCTION("""COMPUTED_VALUE"""),40841.99861111111)</f>
        <v>40841.99861</v>
      </c>
      <c r="B533" s="1">
        <f>IFERROR(__xludf.DUMMYFUNCTION("""COMPUTED_VALUE"""),8849.95)</f>
        <v>8849.95</v>
      </c>
    </row>
    <row r="534">
      <c r="A534" s="3">
        <f>IFERROR(__xludf.DUMMYFUNCTION("""COMPUTED_VALUE"""),40842.99861111111)</f>
        <v>40842.99861</v>
      </c>
      <c r="B534" s="1">
        <f>IFERROR(__xludf.DUMMYFUNCTION("""COMPUTED_VALUE"""),8872.95)</f>
        <v>8872.95</v>
      </c>
    </row>
    <row r="535">
      <c r="A535" s="3">
        <f>IFERROR(__xludf.DUMMYFUNCTION("""COMPUTED_VALUE"""),40843.99861111111)</f>
        <v>40843.99861</v>
      </c>
      <c r="B535" s="1">
        <f>IFERROR(__xludf.DUMMYFUNCTION("""COMPUTED_VALUE"""),8854.6)</f>
        <v>8854.6</v>
      </c>
    </row>
    <row r="536">
      <c r="A536" s="3">
        <f>IFERROR(__xludf.DUMMYFUNCTION("""COMPUTED_VALUE"""),40844.99861111111)</f>
        <v>40844.99861</v>
      </c>
      <c r="B536" s="1">
        <f>IFERROR(__xludf.DUMMYFUNCTION("""COMPUTED_VALUE"""),8807.8)</f>
        <v>8807.8</v>
      </c>
    </row>
    <row r="537">
      <c r="A537" s="3">
        <f>IFERROR(__xludf.DUMMYFUNCTION("""COMPUTED_VALUE"""),40845.99861111111)</f>
        <v>40845.99861</v>
      </c>
      <c r="B537" s="1">
        <f>IFERROR(__xludf.DUMMYFUNCTION("""COMPUTED_VALUE"""),8818.342)</f>
        <v>8818.342</v>
      </c>
    </row>
    <row r="538">
      <c r="A538" s="3">
        <f>IFERROR(__xludf.DUMMYFUNCTION("""COMPUTED_VALUE"""),40846.99861111111)</f>
        <v>40846.99861</v>
      </c>
      <c r="B538" s="1">
        <f>IFERROR(__xludf.DUMMYFUNCTION("""COMPUTED_VALUE"""),8826.125)</f>
        <v>8826.125</v>
      </c>
    </row>
    <row r="539">
      <c r="A539" s="3">
        <f>IFERROR(__xludf.DUMMYFUNCTION("""COMPUTED_VALUE"""),40847.99861111111)</f>
        <v>40847.99861</v>
      </c>
      <c r="B539" s="1">
        <f>IFERROR(__xludf.DUMMYFUNCTION("""COMPUTED_VALUE"""),8825.6)</f>
        <v>8825.6</v>
      </c>
    </row>
    <row r="540">
      <c r="A540" s="3">
        <f>IFERROR(__xludf.DUMMYFUNCTION("""COMPUTED_VALUE"""),40848.99861111111)</f>
        <v>40848.99861</v>
      </c>
      <c r="B540" s="1">
        <f>IFERROR(__xludf.DUMMYFUNCTION("""COMPUTED_VALUE"""),8866.5)</f>
        <v>8866.5</v>
      </c>
    </row>
    <row r="541">
      <c r="A541" s="3">
        <f>IFERROR(__xludf.DUMMYFUNCTION("""COMPUTED_VALUE"""),40849.99861111111)</f>
        <v>40849.99861</v>
      </c>
      <c r="B541" s="1">
        <f>IFERROR(__xludf.DUMMYFUNCTION("""COMPUTED_VALUE"""),8900.7)</f>
        <v>8900.7</v>
      </c>
    </row>
    <row r="542">
      <c r="A542" s="3">
        <f>IFERROR(__xludf.DUMMYFUNCTION("""COMPUTED_VALUE"""),40850.99861111111)</f>
        <v>40850.99861</v>
      </c>
      <c r="B542" s="1">
        <f>IFERROR(__xludf.DUMMYFUNCTION("""COMPUTED_VALUE"""),8943.6)</f>
        <v>8943.6</v>
      </c>
    </row>
    <row r="543">
      <c r="A543" s="3">
        <f>IFERROR(__xludf.DUMMYFUNCTION("""COMPUTED_VALUE"""),40851.99861111111)</f>
        <v>40851.99861</v>
      </c>
      <c r="B543" s="1">
        <f>IFERROR(__xludf.DUMMYFUNCTION("""COMPUTED_VALUE"""),8945.0)</f>
        <v>8945</v>
      </c>
    </row>
    <row r="544">
      <c r="A544" s="3">
        <f>IFERROR(__xludf.DUMMYFUNCTION("""COMPUTED_VALUE"""),40852.99861111111)</f>
        <v>40852.99861</v>
      </c>
      <c r="B544" s="1">
        <f>IFERROR(__xludf.DUMMYFUNCTION("""COMPUTED_VALUE"""),8836.4)</f>
        <v>8836.4</v>
      </c>
    </row>
    <row r="545">
      <c r="A545" s="3">
        <f>IFERROR(__xludf.DUMMYFUNCTION("""COMPUTED_VALUE"""),40853.99861111111)</f>
        <v>40853.99861</v>
      </c>
      <c r="B545" s="1">
        <f>IFERROR(__xludf.DUMMYFUNCTION("""COMPUTED_VALUE"""),8949.95)</f>
        <v>8949.95</v>
      </c>
    </row>
    <row r="546">
      <c r="A546" s="3">
        <f>IFERROR(__xludf.DUMMYFUNCTION("""COMPUTED_VALUE"""),40854.99861111111)</f>
        <v>40854.99861</v>
      </c>
      <c r="B546" s="1">
        <f>IFERROR(__xludf.DUMMYFUNCTION("""COMPUTED_VALUE"""),8954.95)</f>
        <v>8954.95</v>
      </c>
    </row>
    <row r="547">
      <c r="A547" s="3">
        <f>IFERROR(__xludf.DUMMYFUNCTION("""COMPUTED_VALUE"""),40855.99861111111)</f>
        <v>40855.99861</v>
      </c>
      <c r="B547" s="1">
        <f>IFERROR(__xludf.DUMMYFUNCTION("""COMPUTED_VALUE"""),8915.0)</f>
        <v>8915</v>
      </c>
    </row>
    <row r="548">
      <c r="A548" s="3">
        <f>IFERROR(__xludf.DUMMYFUNCTION("""COMPUTED_VALUE"""),40856.99861111111)</f>
        <v>40856.99861</v>
      </c>
      <c r="B548" s="1">
        <f>IFERROR(__xludf.DUMMYFUNCTION("""COMPUTED_VALUE"""),8889.95)</f>
        <v>8889.95</v>
      </c>
    </row>
    <row r="549">
      <c r="A549" s="3">
        <f>IFERROR(__xludf.DUMMYFUNCTION("""COMPUTED_VALUE"""),40857.99861111111)</f>
        <v>40857.99861</v>
      </c>
      <c r="B549" s="1">
        <f>IFERROR(__xludf.DUMMYFUNCTION("""COMPUTED_VALUE"""),8969.95)</f>
        <v>8969.95</v>
      </c>
    </row>
    <row r="550">
      <c r="A550" s="3">
        <f>IFERROR(__xludf.DUMMYFUNCTION("""COMPUTED_VALUE"""),40858.99861111111)</f>
        <v>40858.99861</v>
      </c>
      <c r="B550" s="1">
        <f>IFERROR(__xludf.DUMMYFUNCTION("""COMPUTED_VALUE"""),8954.8)</f>
        <v>8954.8</v>
      </c>
    </row>
    <row r="551">
      <c r="A551" s="3">
        <f>IFERROR(__xludf.DUMMYFUNCTION("""COMPUTED_VALUE"""),40859.99861111111)</f>
        <v>40859.99861</v>
      </c>
      <c r="B551" s="1">
        <f>IFERROR(__xludf.DUMMYFUNCTION("""COMPUTED_VALUE"""),8960.573)</f>
        <v>8960.573</v>
      </c>
    </row>
    <row r="552">
      <c r="A552" s="3">
        <f>IFERROR(__xludf.DUMMYFUNCTION("""COMPUTED_VALUE"""),40860.99861111111)</f>
        <v>40860.99861</v>
      </c>
      <c r="B552" s="1">
        <f>IFERROR(__xludf.DUMMYFUNCTION("""COMPUTED_VALUE"""),8967.95)</f>
        <v>8967.95</v>
      </c>
    </row>
    <row r="553">
      <c r="A553" s="3">
        <f>IFERROR(__xludf.DUMMYFUNCTION("""COMPUTED_VALUE"""),40861.99861111111)</f>
        <v>40861.99861</v>
      </c>
      <c r="B553" s="1">
        <f>IFERROR(__xludf.DUMMYFUNCTION("""COMPUTED_VALUE"""),8964.95)</f>
        <v>8964.95</v>
      </c>
    </row>
    <row r="554">
      <c r="A554" s="3">
        <f>IFERROR(__xludf.DUMMYFUNCTION("""COMPUTED_VALUE"""),40862.99861111111)</f>
        <v>40862.99861</v>
      </c>
      <c r="B554" s="1">
        <f>IFERROR(__xludf.DUMMYFUNCTION("""COMPUTED_VALUE"""),8994.95)</f>
        <v>8994.95</v>
      </c>
    </row>
    <row r="555">
      <c r="A555" s="3">
        <f>IFERROR(__xludf.DUMMYFUNCTION("""COMPUTED_VALUE"""),40863.99861111111)</f>
        <v>40863.99861</v>
      </c>
      <c r="B555" s="1">
        <f>IFERROR(__xludf.DUMMYFUNCTION("""COMPUTED_VALUE"""),8993.45)</f>
        <v>8993.45</v>
      </c>
    </row>
    <row r="556">
      <c r="A556" s="3">
        <f>IFERROR(__xludf.DUMMYFUNCTION("""COMPUTED_VALUE"""),40864.99861111111)</f>
        <v>40864.99861</v>
      </c>
      <c r="B556" s="1">
        <f>IFERROR(__xludf.DUMMYFUNCTION("""COMPUTED_VALUE"""),8972.7)</f>
        <v>8972.7</v>
      </c>
    </row>
    <row r="557">
      <c r="A557" s="3">
        <f>IFERROR(__xludf.DUMMYFUNCTION("""COMPUTED_VALUE"""),40865.99861111111)</f>
        <v>40865.99861</v>
      </c>
      <c r="B557" s="1">
        <f>IFERROR(__xludf.DUMMYFUNCTION("""COMPUTED_VALUE"""),8991.5)</f>
        <v>8991.5</v>
      </c>
    </row>
    <row r="558">
      <c r="A558" s="3">
        <f>IFERROR(__xludf.DUMMYFUNCTION("""COMPUTED_VALUE"""),40866.99861111111)</f>
        <v>40866.99861</v>
      </c>
      <c r="B558" s="1">
        <f>IFERROR(__xludf.DUMMYFUNCTION("""COMPUTED_VALUE"""),8900.3)</f>
        <v>8900.3</v>
      </c>
    </row>
    <row r="559">
      <c r="A559" s="3">
        <f>IFERROR(__xludf.DUMMYFUNCTION("""COMPUTED_VALUE"""),40867.99861111111)</f>
        <v>40867.99861</v>
      </c>
      <c r="B559" s="1">
        <f>IFERROR(__xludf.DUMMYFUNCTION("""COMPUTED_VALUE"""),9019.95)</f>
        <v>9019.95</v>
      </c>
    </row>
    <row r="560">
      <c r="A560" s="3">
        <f>IFERROR(__xludf.DUMMYFUNCTION("""COMPUTED_VALUE"""),40868.99861111111)</f>
        <v>40868.99861</v>
      </c>
      <c r="B560" s="1">
        <f>IFERROR(__xludf.DUMMYFUNCTION("""COMPUTED_VALUE"""),9024.95)</f>
        <v>9024.95</v>
      </c>
    </row>
    <row r="561">
      <c r="A561" s="3">
        <f>IFERROR(__xludf.DUMMYFUNCTION("""COMPUTED_VALUE"""),40869.99861111111)</f>
        <v>40869.99861</v>
      </c>
      <c r="B561" s="1">
        <f>IFERROR(__xludf.DUMMYFUNCTION("""COMPUTED_VALUE"""),9044.95)</f>
        <v>9044.95</v>
      </c>
    </row>
    <row r="562">
      <c r="A562" s="3">
        <f>IFERROR(__xludf.DUMMYFUNCTION("""COMPUTED_VALUE"""),40870.99861111111)</f>
        <v>40870.99861</v>
      </c>
      <c r="B562" s="1">
        <f>IFERROR(__xludf.DUMMYFUNCTION("""COMPUTED_VALUE"""),9016.9)</f>
        <v>9016.9</v>
      </c>
    </row>
    <row r="563">
      <c r="A563" s="3">
        <f>IFERROR(__xludf.DUMMYFUNCTION("""COMPUTED_VALUE"""),40871.99861111111)</f>
        <v>40871.99861</v>
      </c>
      <c r="B563" s="1">
        <f>IFERROR(__xludf.DUMMYFUNCTION("""COMPUTED_VALUE"""),8962.4)</f>
        <v>8962.4</v>
      </c>
    </row>
    <row r="564">
      <c r="A564" s="3">
        <f>IFERROR(__xludf.DUMMYFUNCTION("""COMPUTED_VALUE"""),40872.99861111111)</f>
        <v>40872.99861</v>
      </c>
      <c r="B564" s="1">
        <f>IFERROR(__xludf.DUMMYFUNCTION("""COMPUTED_VALUE"""),9026.6)</f>
        <v>9026.6</v>
      </c>
    </row>
    <row r="565">
      <c r="A565" s="3">
        <f>IFERROR(__xludf.DUMMYFUNCTION("""COMPUTED_VALUE"""),40873.99861111111)</f>
        <v>40873.99861</v>
      </c>
      <c r="B565" s="1">
        <f>IFERROR(__xludf.DUMMYFUNCTION("""COMPUTED_VALUE"""),9033.5)</f>
        <v>9033.5</v>
      </c>
    </row>
    <row r="566">
      <c r="A566" s="3">
        <f>IFERROR(__xludf.DUMMYFUNCTION("""COMPUTED_VALUE"""),40874.99861111111)</f>
        <v>40874.99861</v>
      </c>
      <c r="B566" s="1">
        <f>IFERROR(__xludf.DUMMYFUNCTION("""COMPUTED_VALUE"""),9054.95)</f>
        <v>9054.95</v>
      </c>
    </row>
    <row r="567">
      <c r="A567" s="3">
        <f>IFERROR(__xludf.DUMMYFUNCTION("""COMPUTED_VALUE"""),40875.99861111111)</f>
        <v>40875.99861</v>
      </c>
      <c r="B567" s="1">
        <f>IFERROR(__xludf.DUMMYFUNCTION("""COMPUTED_VALUE"""),9114.95)</f>
        <v>9114.95</v>
      </c>
    </row>
    <row r="568">
      <c r="A568" s="3">
        <f>IFERROR(__xludf.DUMMYFUNCTION("""COMPUTED_VALUE"""),40876.99861111111)</f>
        <v>40876.99861</v>
      </c>
      <c r="B568" s="1">
        <f>IFERROR(__xludf.DUMMYFUNCTION("""COMPUTED_VALUE"""),9120.5)</f>
        <v>9120.5</v>
      </c>
    </row>
    <row r="569">
      <c r="A569" s="3">
        <f>IFERROR(__xludf.DUMMYFUNCTION("""COMPUTED_VALUE"""),40877.99861111111)</f>
        <v>40877.99861</v>
      </c>
      <c r="B569" s="1">
        <f>IFERROR(__xludf.DUMMYFUNCTION("""COMPUTED_VALUE"""),9076.7)</f>
        <v>9076.7</v>
      </c>
    </row>
    <row r="570">
      <c r="A570" s="3">
        <f>IFERROR(__xludf.DUMMYFUNCTION("""COMPUTED_VALUE"""),40878.99861111111)</f>
        <v>40878.99861</v>
      </c>
      <c r="B570" s="1">
        <f>IFERROR(__xludf.DUMMYFUNCTION("""COMPUTED_VALUE"""),8994.95)</f>
        <v>8994.95</v>
      </c>
    </row>
    <row r="571">
      <c r="A571" s="3">
        <f>IFERROR(__xludf.DUMMYFUNCTION("""COMPUTED_VALUE"""),40879.99861111111)</f>
        <v>40879.99861</v>
      </c>
      <c r="B571" s="1">
        <f>IFERROR(__xludf.DUMMYFUNCTION("""COMPUTED_VALUE"""),9015.0)</f>
        <v>9015</v>
      </c>
    </row>
    <row r="572">
      <c r="A572" s="3">
        <f>IFERROR(__xludf.DUMMYFUNCTION("""COMPUTED_VALUE"""),40880.99861111111)</f>
        <v>40880.99861</v>
      </c>
      <c r="B572" s="1">
        <f>IFERROR(__xludf.DUMMYFUNCTION("""COMPUTED_VALUE"""),8907.2)</f>
        <v>8907.2</v>
      </c>
    </row>
    <row r="573">
      <c r="A573" s="3">
        <f>IFERROR(__xludf.DUMMYFUNCTION("""COMPUTED_VALUE"""),40881.99861111111)</f>
        <v>40881.99861</v>
      </c>
      <c r="B573" s="1">
        <f>IFERROR(__xludf.DUMMYFUNCTION("""COMPUTED_VALUE"""),9014.95)</f>
        <v>9014.95</v>
      </c>
    </row>
    <row r="574">
      <c r="A574" s="3">
        <f>IFERROR(__xludf.DUMMYFUNCTION("""COMPUTED_VALUE"""),40882.99861111111)</f>
        <v>40882.99861</v>
      </c>
      <c r="B574" s="1">
        <f>IFERROR(__xludf.DUMMYFUNCTION("""COMPUTED_VALUE"""),9016.6)</f>
        <v>9016.6</v>
      </c>
    </row>
    <row r="575">
      <c r="A575" s="3">
        <f>IFERROR(__xludf.DUMMYFUNCTION("""COMPUTED_VALUE"""),40883.99861111111)</f>
        <v>40883.99861</v>
      </c>
      <c r="B575" s="1">
        <f>IFERROR(__xludf.DUMMYFUNCTION("""COMPUTED_VALUE"""),9034.95)</f>
        <v>9034.95</v>
      </c>
    </row>
    <row r="576">
      <c r="A576" s="3">
        <f>IFERROR(__xludf.DUMMYFUNCTION("""COMPUTED_VALUE"""),40884.99861111111)</f>
        <v>40884.99861</v>
      </c>
      <c r="B576" s="1">
        <f>IFERROR(__xludf.DUMMYFUNCTION("""COMPUTED_VALUE"""),9027.4)</f>
        <v>9027.4</v>
      </c>
    </row>
    <row r="577">
      <c r="A577" s="3">
        <f>IFERROR(__xludf.DUMMYFUNCTION("""COMPUTED_VALUE"""),40885.99861111111)</f>
        <v>40885.99861</v>
      </c>
      <c r="B577" s="1">
        <f>IFERROR(__xludf.DUMMYFUNCTION("""COMPUTED_VALUE"""),8994.95)</f>
        <v>8994.95</v>
      </c>
    </row>
    <row r="578">
      <c r="A578" s="3">
        <f>IFERROR(__xludf.DUMMYFUNCTION("""COMPUTED_VALUE"""),40886.99861111111)</f>
        <v>40886.99861</v>
      </c>
      <c r="B578" s="1">
        <f>IFERROR(__xludf.DUMMYFUNCTION("""COMPUTED_VALUE"""),9050.0)</f>
        <v>9050</v>
      </c>
    </row>
    <row r="579">
      <c r="A579" s="3">
        <f>IFERROR(__xludf.DUMMYFUNCTION("""COMPUTED_VALUE"""),40887.99861111111)</f>
        <v>40887.99861</v>
      </c>
      <c r="B579" s="1">
        <f>IFERROR(__xludf.DUMMYFUNCTION("""COMPUTED_VALUE"""),8902.6)</f>
        <v>8902.6</v>
      </c>
    </row>
    <row r="580">
      <c r="A580" s="3">
        <f>IFERROR(__xludf.DUMMYFUNCTION("""COMPUTED_VALUE"""),40888.99861111111)</f>
        <v>40888.99861</v>
      </c>
      <c r="B580" s="1">
        <f>IFERROR(__xludf.DUMMYFUNCTION("""COMPUTED_VALUE"""),9099.181)</f>
        <v>9099.181</v>
      </c>
    </row>
    <row r="581">
      <c r="A581" s="3">
        <f>IFERROR(__xludf.DUMMYFUNCTION("""COMPUTED_VALUE"""),40889.99861111111)</f>
        <v>40889.99861</v>
      </c>
      <c r="B581" s="1">
        <f>IFERROR(__xludf.DUMMYFUNCTION("""COMPUTED_VALUE"""),9049.95)</f>
        <v>9049.95</v>
      </c>
    </row>
    <row r="582">
      <c r="A582" s="3">
        <f>IFERROR(__xludf.DUMMYFUNCTION("""COMPUTED_VALUE"""),40890.99861111111)</f>
        <v>40890.99861</v>
      </c>
      <c r="B582" s="1">
        <f>IFERROR(__xludf.DUMMYFUNCTION("""COMPUTED_VALUE"""),9112.1)</f>
        <v>9112.1</v>
      </c>
    </row>
    <row r="583">
      <c r="A583" s="3">
        <f>IFERROR(__xludf.DUMMYFUNCTION("""COMPUTED_VALUE"""),40891.99861111111)</f>
        <v>40891.99861</v>
      </c>
      <c r="B583" s="1">
        <f>IFERROR(__xludf.DUMMYFUNCTION("""COMPUTED_VALUE"""),9100.0)</f>
        <v>9100</v>
      </c>
    </row>
    <row r="584">
      <c r="A584" s="3">
        <f>IFERROR(__xludf.DUMMYFUNCTION("""COMPUTED_VALUE"""),40892.99861111111)</f>
        <v>40892.99861</v>
      </c>
      <c r="B584" s="1">
        <f>IFERROR(__xludf.DUMMYFUNCTION("""COMPUTED_VALUE"""),9089.95)</f>
        <v>9089.95</v>
      </c>
    </row>
    <row r="585">
      <c r="A585" s="3">
        <f>IFERROR(__xludf.DUMMYFUNCTION("""COMPUTED_VALUE"""),40893.99861111111)</f>
        <v>40893.99861</v>
      </c>
      <c r="B585" s="1">
        <f>IFERROR(__xludf.DUMMYFUNCTION("""COMPUTED_VALUE"""),9072.4)</f>
        <v>9072.4</v>
      </c>
    </row>
    <row r="586">
      <c r="A586" s="3">
        <f>IFERROR(__xludf.DUMMYFUNCTION("""COMPUTED_VALUE"""),40894.99861111111)</f>
        <v>40894.99861</v>
      </c>
      <c r="B586" s="1">
        <f>IFERROR(__xludf.DUMMYFUNCTION("""COMPUTED_VALUE"""),9074.41)</f>
        <v>9074.41</v>
      </c>
    </row>
    <row r="587">
      <c r="A587" s="3">
        <f>IFERROR(__xludf.DUMMYFUNCTION("""COMPUTED_VALUE"""),40895.99861111111)</f>
        <v>40895.99861</v>
      </c>
      <c r="B587" s="1">
        <f>IFERROR(__xludf.DUMMYFUNCTION("""COMPUTED_VALUE"""),9016.5)</f>
        <v>9016.5</v>
      </c>
    </row>
    <row r="588">
      <c r="A588" s="3">
        <f>IFERROR(__xludf.DUMMYFUNCTION("""COMPUTED_VALUE"""),40896.99861111111)</f>
        <v>40896.99861</v>
      </c>
      <c r="B588" s="1">
        <f>IFERROR(__xludf.DUMMYFUNCTION("""COMPUTED_VALUE"""),9114.3)</f>
        <v>9114.3</v>
      </c>
    </row>
    <row r="589">
      <c r="A589" s="3">
        <f>IFERROR(__xludf.DUMMYFUNCTION("""COMPUTED_VALUE"""),40897.99861111111)</f>
        <v>40897.99861</v>
      </c>
      <c r="B589" s="1">
        <f>IFERROR(__xludf.DUMMYFUNCTION("""COMPUTED_VALUE"""),9047.6)</f>
        <v>9047.6</v>
      </c>
    </row>
    <row r="590">
      <c r="A590" s="3">
        <f>IFERROR(__xludf.DUMMYFUNCTION("""COMPUTED_VALUE"""),40898.99861111111)</f>
        <v>40898.99861</v>
      </c>
      <c r="B590" s="1">
        <f>IFERROR(__xludf.DUMMYFUNCTION("""COMPUTED_VALUE"""),9043.5)</f>
        <v>9043.5</v>
      </c>
    </row>
    <row r="591">
      <c r="A591" s="3">
        <f>IFERROR(__xludf.DUMMYFUNCTION("""COMPUTED_VALUE"""),40899.99861111111)</f>
        <v>40899.99861</v>
      </c>
      <c r="B591" s="1">
        <f>IFERROR(__xludf.DUMMYFUNCTION("""COMPUTED_VALUE"""),9136.5)</f>
        <v>9136.5</v>
      </c>
    </row>
    <row r="592">
      <c r="A592" s="3">
        <f>IFERROR(__xludf.DUMMYFUNCTION("""COMPUTED_VALUE"""),40900.99861111111)</f>
        <v>40900.99861</v>
      </c>
      <c r="B592" s="1">
        <f>IFERROR(__xludf.DUMMYFUNCTION("""COMPUTED_VALUE"""),9040.0)</f>
        <v>9040</v>
      </c>
    </row>
    <row r="593">
      <c r="A593" s="3">
        <f>IFERROR(__xludf.DUMMYFUNCTION("""COMPUTED_VALUE"""),40901.99861111111)</f>
        <v>40901.99861</v>
      </c>
      <c r="B593" s="1">
        <f>IFERROR(__xludf.DUMMYFUNCTION("""COMPUTED_VALUE"""),9038.4)</f>
        <v>9038.4</v>
      </c>
    </row>
    <row r="594">
      <c r="A594" s="3">
        <f>IFERROR(__xludf.DUMMYFUNCTION("""COMPUTED_VALUE"""),40902.99861111111)</f>
        <v>40902.99861</v>
      </c>
      <c r="B594" s="1">
        <f>IFERROR(__xludf.DUMMYFUNCTION("""COMPUTED_VALUE"""),9099.181)</f>
        <v>9099.181</v>
      </c>
    </row>
    <row r="595">
      <c r="A595" s="3">
        <f>IFERROR(__xludf.DUMMYFUNCTION("""COMPUTED_VALUE"""),40903.99861111111)</f>
        <v>40903.99861</v>
      </c>
      <c r="B595" s="1">
        <f>IFERROR(__xludf.DUMMYFUNCTION("""COMPUTED_VALUE"""),9090.909)</f>
        <v>9090.909</v>
      </c>
    </row>
    <row r="596">
      <c r="A596" s="3">
        <f>IFERROR(__xludf.DUMMYFUNCTION("""COMPUTED_VALUE"""),40904.99861111111)</f>
        <v>40904.99861</v>
      </c>
      <c r="B596" s="1">
        <f>IFERROR(__xludf.DUMMYFUNCTION("""COMPUTED_VALUE"""),9062.0)</f>
        <v>9062</v>
      </c>
    </row>
    <row r="597">
      <c r="A597" s="3">
        <f>IFERROR(__xludf.DUMMYFUNCTION("""COMPUTED_VALUE"""),40905.99861111111)</f>
        <v>40905.99861</v>
      </c>
      <c r="B597" s="1">
        <f>IFERROR(__xludf.DUMMYFUNCTION("""COMPUTED_VALUE"""),9044.4)</f>
        <v>9044.4</v>
      </c>
    </row>
    <row r="598">
      <c r="A598" s="3">
        <f>IFERROR(__xludf.DUMMYFUNCTION("""COMPUTED_VALUE"""),40906.99861111111)</f>
        <v>40906.99861</v>
      </c>
      <c r="B598" s="1">
        <f>IFERROR(__xludf.DUMMYFUNCTION("""COMPUTED_VALUE"""),8854.8)</f>
        <v>8854.8</v>
      </c>
    </row>
    <row r="599">
      <c r="A599" s="3">
        <f>IFERROR(__xludf.DUMMYFUNCTION("""COMPUTED_VALUE"""),40907.99861111111)</f>
        <v>40907.99861</v>
      </c>
      <c r="B599" s="1">
        <f>IFERROR(__xludf.DUMMYFUNCTION("""COMPUTED_VALUE"""),9060.0)</f>
        <v>9060</v>
      </c>
    </row>
    <row r="600">
      <c r="A600" s="3">
        <f>IFERROR(__xludf.DUMMYFUNCTION("""COMPUTED_VALUE"""),40908.99861111111)</f>
        <v>40908.99861</v>
      </c>
      <c r="B600" s="1">
        <f>IFERROR(__xludf.DUMMYFUNCTION("""COMPUTED_VALUE"""),9055.0)</f>
        <v>9055</v>
      </c>
    </row>
    <row r="601">
      <c r="A601" s="3">
        <f>IFERROR(__xludf.DUMMYFUNCTION("""COMPUTED_VALUE"""),40909.99861111111)</f>
        <v>40909.99861</v>
      </c>
      <c r="B601" s="1">
        <f>IFERROR(__xludf.DUMMYFUNCTION("""COMPUTED_VALUE"""),9107.468)</f>
        <v>9107.468</v>
      </c>
    </row>
    <row r="602">
      <c r="A602" s="3">
        <f>IFERROR(__xludf.DUMMYFUNCTION("""COMPUTED_VALUE"""),40910.99861111111)</f>
        <v>40910.99861</v>
      </c>
      <c r="B602" s="1">
        <f>IFERROR(__xludf.DUMMYFUNCTION("""COMPUTED_VALUE"""),8903.8)</f>
        <v>8903.8</v>
      </c>
    </row>
    <row r="603">
      <c r="A603" s="3">
        <f>IFERROR(__xludf.DUMMYFUNCTION("""COMPUTED_VALUE"""),40911.99861111111)</f>
        <v>40911.99861</v>
      </c>
      <c r="B603" s="1">
        <f>IFERROR(__xludf.DUMMYFUNCTION("""COMPUTED_VALUE"""),9115.0)</f>
        <v>9115</v>
      </c>
    </row>
    <row r="604">
      <c r="A604" s="3">
        <f>IFERROR(__xludf.DUMMYFUNCTION("""COMPUTED_VALUE"""),40912.99861111111)</f>
        <v>40912.99861</v>
      </c>
      <c r="B604" s="1">
        <f>IFERROR(__xludf.DUMMYFUNCTION("""COMPUTED_VALUE"""),9115.8)</f>
        <v>9115.8</v>
      </c>
    </row>
    <row r="605">
      <c r="A605" s="3">
        <f>IFERROR(__xludf.DUMMYFUNCTION("""COMPUTED_VALUE"""),40913.99861111111)</f>
        <v>40913.99861</v>
      </c>
      <c r="B605" s="1">
        <f>IFERROR(__xludf.DUMMYFUNCTION("""COMPUTED_VALUE"""),9110.0)</f>
        <v>9110</v>
      </c>
    </row>
    <row r="606">
      <c r="A606" s="3">
        <f>IFERROR(__xludf.DUMMYFUNCTION("""COMPUTED_VALUE"""),40914.99861111111)</f>
        <v>40914.99861</v>
      </c>
      <c r="B606" s="1">
        <f>IFERROR(__xludf.DUMMYFUNCTION("""COMPUTED_VALUE"""),9090.0)</f>
        <v>9090</v>
      </c>
    </row>
    <row r="607">
      <c r="A607" s="3">
        <f>IFERROR(__xludf.DUMMYFUNCTION("""COMPUTED_VALUE"""),40915.99861111111)</f>
        <v>40915.99861</v>
      </c>
      <c r="B607" s="1">
        <f>IFERROR(__xludf.DUMMYFUNCTION("""COMPUTED_VALUE"""),9058.4)</f>
        <v>9058.4</v>
      </c>
    </row>
    <row r="608">
      <c r="A608" s="3">
        <f>IFERROR(__xludf.DUMMYFUNCTION("""COMPUTED_VALUE"""),40916.99861111111)</f>
        <v>40916.99861</v>
      </c>
      <c r="B608" s="1">
        <f>IFERROR(__xludf.DUMMYFUNCTION("""COMPUTED_VALUE"""),9115.77)</f>
        <v>9115.77</v>
      </c>
    </row>
    <row r="609">
      <c r="A609" s="3">
        <f>IFERROR(__xludf.DUMMYFUNCTION("""COMPUTED_VALUE"""),40917.99861111111)</f>
        <v>40917.99861</v>
      </c>
      <c r="B609" s="1">
        <f>IFERROR(__xludf.DUMMYFUNCTION("""COMPUTED_VALUE"""),9146.0)</f>
        <v>9146</v>
      </c>
    </row>
    <row r="610">
      <c r="A610" s="3">
        <f>IFERROR(__xludf.DUMMYFUNCTION("""COMPUTED_VALUE"""),40918.99861111111)</f>
        <v>40918.99861</v>
      </c>
      <c r="B610" s="1">
        <f>IFERROR(__xludf.DUMMYFUNCTION("""COMPUTED_VALUE"""),9145.0)</f>
        <v>9145</v>
      </c>
    </row>
    <row r="611">
      <c r="A611" s="3">
        <f>IFERROR(__xludf.DUMMYFUNCTION("""COMPUTED_VALUE"""),40919.99861111111)</f>
        <v>40919.99861</v>
      </c>
      <c r="B611" s="1">
        <f>IFERROR(__xludf.DUMMYFUNCTION("""COMPUTED_VALUE"""),9190.0)</f>
        <v>9190</v>
      </c>
    </row>
    <row r="612">
      <c r="A612" s="3">
        <f>IFERROR(__xludf.DUMMYFUNCTION("""COMPUTED_VALUE"""),40920.99861111111)</f>
        <v>40920.99861</v>
      </c>
      <c r="B612" s="1">
        <f>IFERROR(__xludf.DUMMYFUNCTION("""COMPUTED_VALUE"""),9150.0)</f>
        <v>9150</v>
      </c>
    </row>
    <row r="613">
      <c r="A613" s="3">
        <f>IFERROR(__xludf.DUMMYFUNCTION("""COMPUTED_VALUE"""),40921.99861111111)</f>
        <v>40921.99861</v>
      </c>
      <c r="B613" s="1">
        <f>IFERROR(__xludf.DUMMYFUNCTION("""COMPUTED_VALUE"""),9078.0)</f>
        <v>9078</v>
      </c>
    </row>
    <row r="614">
      <c r="A614" s="3">
        <f>IFERROR(__xludf.DUMMYFUNCTION("""COMPUTED_VALUE"""),40922.99861111111)</f>
        <v>40922.99861</v>
      </c>
      <c r="B614" s="1">
        <f>IFERROR(__xludf.DUMMYFUNCTION("""COMPUTED_VALUE"""),9052.9)</f>
        <v>9052.9</v>
      </c>
    </row>
    <row r="615">
      <c r="A615" s="3">
        <f>IFERROR(__xludf.DUMMYFUNCTION("""COMPUTED_VALUE"""),40923.99861111111)</f>
        <v>40923.99861</v>
      </c>
      <c r="B615" s="1">
        <f>IFERROR(__xludf.DUMMYFUNCTION("""COMPUTED_VALUE"""),9115.77)</f>
        <v>9115.77</v>
      </c>
    </row>
    <row r="616">
      <c r="A616" s="3">
        <f>IFERROR(__xludf.DUMMYFUNCTION("""COMPUTED_VALUE"""),40924.99861111111)</f>
        <v>40924.99861</v>
      </c>
      <c r="B616" s="1">
        <f>IFERROR(__xludf.DUMMYFUNCTION("""COMPUTED_VALUE"""),9099.9)</f>
        <v>9099.9</v>
      </c>
    </row>
    <row r="617">
      <c r="A617" s="3">
        <f>IFERROR(__xludf.DUMMYFUNCTION("""COMPUTED_VALUE"""),40925.99861111111)</f>
        <v>40925.99861</v>
      </c>
      <c r="B617" s="1">
        <f>IFERROR(__xludf.DUMMYFUNCTION("""COMPUTED_VALUE"""),9070.0)</f>
        <v>9070</v>
      </c>
    </row>
    <row r="618">
      <c r="A618" s="3">
        <f>IFERROR(__xludf.DUMMYFUNCTION("""COMPUTED_VALUE"""),40926.99861111111)</f>
        <v>40926.99861</v>
      </c>
      <c r="B618" s="1">
        <f>IFERROR(__xludf.DUMMYFUNCTION("""COMPUTED_VALUE"""),9008.1)</f>
        <v>9008.1</v>
      </c>
    </row>
    <row r="619">
      <c r="A619" s="3">
        <f>IFERROR(__xludf.DUMMYFUNCTION("""COMPUTED_VALUE"""),40927.99861111111)</f>
        <v>40927.99861</v>
      </c>
      <c r="B619" s="1">
        <f>IFERROR(__xludf.DUMMYFUNCTION("""COMPUTED_VALUE"""),8945.0)</f>
        <v>8945</v>
      </c>
    </row>
    <row r="620">
      <c r="A620" s="3">
        <f>IFERROR(__xludf.DUMMYFUNCTION("""COMPUTED_VALUE"""),40928.99861111111)</f>
        <v>40928.99861</v>
      </c>
      <c r="B620" s="1">
        <f>IFERROR(__xludf.DUMMYFUNCTION("""COMPUTED_VALUE"""),8942.0)</f>
        <v>8942</v>
      </c>
    </row>
    <row r="621">
      <c r="A621" s="3">
        <f>IFERROR(__xludf.DUMMYFUNCTION("""COMPUTED_VALUE"""),40929.99861111111)</f>
        <v>40929.99861</v>
      </c>
      <c r="B621" s="1">
        <f>IFERROR(__xludf.DUMMYFUNCTION("""COMPUTED_VALUE"""),8920.0)</f>
        <v>8920</v>
      </c>
    </row>
    <row r="622">
      <c r="A622" s="3">
        <f>IFERROR(__xludf.DUMMYFUNCTION("""COMPUTED_VALUE"""),40930.99861111111)</f>
        <v>40930.99861</v>
      </c>
      <c r="B622" s="1">
        <f>IFERROR(__xludf.DUMMYFUNCTION("""COMPUTED_VALUE"""),8968.609)</f>
        <v>8968.609</v>
      </c>
    </row>
    <row r="623">
      <c r="A623" s="3">
        <f>IFERROR(__xludf.DUMMYFUNCTION("""COMPUTED_VALUE"""),40931.99861111111)</f>
        <v>40931.99861</v>
      </c>
      <c r="B623" s="1">
        <f>IFERROR(__xludf.DUMMYFUNCTION("""COMPUTED_VALUE"""),8920.0)</f>
        <v>8920</v>
      </c>
    </row>
    <row r="624">
      <c r="A624" s="3">
        <f>IFERROR(__xludf.DUMMYFUNCTION("""COMPUTED_VALUE"""),40932.99861111111)</f>
        <v>40932.99861</v>
      </c>
      <c r="B624" s="1">
        <f>IFERROR(__xludf.DUMMYFUNCTION("""COMPUTED_VALUE"""),8958.0)</f>
        <v>8958</v>
      </c>
    </row>
    <row r="625">
      <c r="A625" s="3">
        <f>IFERROR(__xludf.DUMMYFUNCTION("""COMPUTED_VALUE"""),40933.99861111111)</f>
        <v>40933.99861</v>
      </c>
      <c r="B625" s="1">
        <f>IFERROR(__xludf.DUMMYFUNCTION("""COMPUTED_VALUE"""),9050.6)</f>
        <v>9050.6</v>
      </c>
    </row>
    <row r="626">
      <c r="A626" s="3">
        <f>IFERROR(__xludf.DUMMYFUNCTION("""COMPUTED_VALUE"""),40934.99861111111)</f>
        <v>40934.99861</v>
      </c>
      <c r="B626" s="1">
        <f>IFERROR(__xludf.DUMMYFUNCTION("""COMPUTED_VALUE"""),8973.9)</f>
        <v>8973.9</v>
      </c>
    </row>
    <row r="627">
      <c r="A627" s="3">
        <f>IFERROR(__xludf.DUMMYFUNCTION("""COMPUTED_VALUE"""),40935.99861111111)</f>
        <v>40935.99861</v>
      </c>
      <c r="B627" s="1">
        <f>IFERROR(__xludf.DUMMYFUNCTION("""COMPUTED_VALUE"""),8977.3)</f>
        <v>8977.3</v>
      </c>
    </row>
    <row r="628">
      <c r="A628" s="3">
        <f>IFERROR(__xludf.DUMMYFUNCTION("""COMPUTED_VALUE"""),40936.99861111111)</f>
        <v>40936.99861</v>
      </c>
      <c r="B628" s="1">
        <f>IFERROR(__xludf.DUMMYFUNCTION("""COMPUTED_VALUE"""),8952.0)</f>
        <v>8952</v>
      </c>
    </row>
    <row r="629">
      <c r="A629" s="3">
        <f>IFERROR(__xludf.DUMMYFUNCTION("""COMPUTED_VALUE"""),40937.99861111111)</f>
        <v>40937.99861</v>
      </c>
      <c r="B629" s="1">
        <f>IFERROR(__xludf.DUMMYFUNCTION("""COMPUTED_VALUE"""),9000.9)</f>
        <v>9000.9</v>
      </c>
    </row>
    <row r="630">
      <c r="A630" s="3">
        <f>IFERROR(__xludf.DUMMYFUNCTION("""COMPUTED_VALUE"""),40938.99861111111)</f>
        <v>40938.99861</v>
      </c>
      <c r="B630" s="1">
        <f>IFERROR(__xludf.DUMMYFUNCTION("""COMPUTED_VALUE"""),8972.0)</f>
        <v>8972</v>
      </c>
    </row>
    <row r="631">
      <c r="A631" s="3">
        <f>IFERROR(__xludf.DUMMYFUNCTION("""COMPUTED_VALUE"""),40939.99861111111)</f>
        <v>40939.99861</v>
      </c>
      <c r="B631" s="1">
        <f>IFERROR(__xludf.DUMMYFUNCTION("""COMPUTED_VALUE"""),8981.9)</f>
        <v>8981.9</v>
      </c>
    </row>
    <row r="632">
      <c r="A632" s="3">
        <f>IFERROR(__xludf.DUMMYFUNCTION("""COMPUTED_VALUE"""),40940.99861111111)</f>
        <v>40940.99861</v>
      </c>
      <c r="B632" s="1">
        <f>IFERROR(__xludf.DUMMYFUNCTION("""COMPUTED_VALUE"""),8980.0)</f>
        <v>8980</v>
      </c>
    </row>
    <row r="633">
      <c r="A633" s="3">
        <f>IFERROR(__xludf.DUMMYFUNCTION("""COMPUTED_VALUE"""),40941.99861111111)</f>
        <v>40941.99861</v>
      </c>
      <c r="B633" s="1">
        <f>IFERROR(__xludf.DUMMYFUNCTION("""COMPUTED_VALUE"""),8958.8)</f>
        <v>8958.8</v>
      </c>
    </row>
    <row r="634">
      <c r="A634" s="3">
        <f>IFERROR(__xludf.DUMMYFUNCTION("""COMPUTED_VALUE"""),40942.99861111111)</f>
        <v>40942.99861</v>
      </c>
      <c r="B634" s="1">
        <f>IFERROR(__xludf.DUMMYFUNCTION("""COMPUTED_VALUE"""),8956.9)</f>
        <v>8956.9</v>
      </c>
    </row>
    <row r="635">
      <c r="A635" s="3">
        <f>IFERROR(__xludf.DUMMYFUNCTION("""COMPUTED_VALUE"""),40943.99861111111)</f>
        <v>40943.99861</v>
      </c>
      <c r="B635" s="1">
        <f>IFERROR(__xludf.DUMMYFUNCTION("""COMPUTED_VALUE"""),8928.1)</f>
        <v>8928.1</v>
      </c>
    </row>
    <row r="636">
      <c r="A636" s="3">
        <f>IFERROR(__xludf.DUMMYFUNCTION("""COMPUTED_VALUE"""),40944.99861111111)</f>
        <v>40944.99861</v>
      </c>
      <c r="B636" s="1">
        <f>IFERROR(__xludf.DUMMYFUNCTION("""COMPUTED_VALUE"""),8968.609)</f>
        <v>8968.609</v>
      </c>
    </row>
    <row r="637">
      <c r="A637" s="3">
        <f>IFERROR(__xludf.DUMMYFUNCTION("""COMPUTED_VALUE"""),40945.99861111111)</f>
        <v>40945.99861</v>
      </c>
      <c r="B637" s="1">
        <f>IFERROR(__xludf.DUMMYFUNCTION("""COMPUTED_VALUE"""),8984.0)</f>
        <v>8984</v>
      </c>
    </row>
    <row r="638">
      <c r="A638" s="3">
        <f>IFERROR(__xludf.DUMMYFUNCTION("""COMPUTED_VALUE"""),40946.99861111111)</f>
        <v>40946.99861</v>
      </c>
      <c r="B638" s="1">
        <f>IFERROR(__xludf.DUMMYFUNCTION("""COMPUTED_VALUE"""),8930.0)</f>
        <v>8930</v>
      </c>
    </row>
    <row r="639">
      <c r="A639" s="3">
        <f>IFERROR(__xludf.DUMMYFUNCTION("""COMPUTED_VALUE"""),40947.99861111111)</f>
        <v>40947.99861</v>
      </c>
      <c r="B639" s="1">
        <f>IFERROR(__xludf.DUMMYFUNCTION("""COMPUTED_VALUE"""),8851.5)</f>
        <v>8851.5</v>
      </c>
    </row>
    <row r="640">
      <c r="A640" s="3">
        <f>IFERROR(__xludf.DUMMYFUNCTION("""COMPUTED_VALUE"""),40948.99861111111)</f>
        <v>40948.99861</v>
      </c>
      <c r="B640" s="1">
        <f>IFERROR(__xludf.DUMMYFUNCTION("""COMPUTED_VALUE"""),8920.0)</f>
        <v>8920</v>
      </c>
    </row>
    <row r="641">
      <c r="A641" s="3">
        <f>IFERROR(__xludf.DUMMYFUNCTION("""COMPUTED_VALUE"""),40949.99861111111)</f>
        <v>40949.99861</v>
      </c>
      <c r="B641" s="1">
        <f>IFERROR(__xludf.DUMMYFUNCTION("""COMPUTED_VALUE"""),8965.0)</f>
        <v>8965</v>
      </c>
    </row>
    <row r="642">
      <c r="A642" s="3">
        <f>IFERROR(__xludf.DUMMYFUNCTION("""COMPUTED_VALUE"""),40950.99861111111)</f>
        <v>40950.99861</v>
      </c>
      <c r="B642" s="1">
        <f>IFERROR(__xludf.DUMMYFUNCTION("""COMPUTED_VALUE"""),8965.0)</f>
        <v>8965</v>
      </c>
    </row>
    <row r="643">
      <c r="A643" s="3">
        <f>IFERROR(__xludf.DUMMYFUNCTION("""COMPUTED_VALUE"""),40951.99861111111)</f>
        <v>40951.99861</v>
      </c>
      <c r="B643" s="1">
        <f>IFERROR(__xludf.DUMMYFUNCTION("""COMPUTED_VALUE"""),8965.0)</f>
        <v>8965</v>
      </c>
    </row>
    <row r="644">
      <c r="A644" s="3">
        <f>IFERROR(__xludf.DUMMYFUNCTION("""COMPUTED_VALUE"""),40952.99861111111)</f>
        <v>40952.99861</v>
      </c>
      <c r="B644" s="1">
        <f>IFERROR(__xludf.DUMMYFUNCTION("""COMPUTED_VALUE"""),8971.5)</f>
        <v>8971.5</v>
      </c>
    </row>
    <row r="645">
      <c r="A645" s="3">
        <f>IFERROR(__xludf.DUMMYFUNCTION("""COMPUTED_VALUE"""),40953.99861111111)</f>
        <v>40953.99861</v>
      </c>
      <c r="B645" s="1">
        <f>IFERROR(__xludf.DUMMYFUNCTION("""COMPUTED_VALUE"""),8998.0)</f>
        <v>8998</v>
      </c>
    </row>
    <row r="646">
      <c r="A646" s="3">
        <f>IFERROR(__xludf.DUMMYFUNCTION("""COMPUTED_VALUE"""),40954.99861111111)</f>
        <v>40954.99861</v>
      </c>
      <c r="B646" s="1">
        <f>IFERROR(__xludf.DUMMYFUNCTION("""COMPUTED_VALUE"""),8930.0)</f>
        <v>8930</v>
      </c>
    </row>
    <row r="647">
      <c r="A647" s="3">
        <f>IFERROR(__xludf.DUMMYFUNCTION("""COMPUTED_VALUE"""),40955.99861111111)</f>
        <v>40955.99861</v>
      </c>
      <c r="B647" s="1">
        <f>IFERROR(__xludf.DUMMYFUNCTION("""COMPUTED_VALUE"""),8980.0)</f>
        <v>8980</v>
      </c>
    </row>
    <row r="648">
      <c r="A648" s="3">
        <f>IFERROR(__xludf.DUMMYFUNCTION("""COMPUTED_VALUE"""),40956.99861111111)</f>
        <v>40956.99861</v>
      </c>
      <c r="B648" s="1">
        <f>IFERROR(__xludf.DUMMYFUNCTION("""COMPUTED_VALUE"""),9003.0)</f>
        <v>9003</v>
      </c>
    </row>
    <row r="649">
      <c r="A649" s="3">
        <f>IFERROR(__xludf.DUMMYFUNCTION("""COMPUTED_VALUE"""),40957.99861111111)</f>
        <v>40957.99861</v>
      </c>
      <c r="B649" s="1">
        <f>IFERROR(__xludf.DUMMYFUNCTION("""COMPUTED_VALUE"""),8983.2)</f>
        <v>8983.2</v>
      </c>
    </row>
    <row r="650">
      <c r="A650" s="3">
        <f>IFERROR(__xludf.DUMMYFUNCTION("""COMPUTED_VALUE"""),40958.99861111111)</f>
        <v>40958.99861</v>
      </c>
      <c r="B650" s="1">
        <f>IFERROR(__xludf.DUMMYFUNCTION("""COMPUTED_VALUE"""),8983.2)</f>
        <v>8983.2</v>
      </c>
    </row>
    <row r="651">
      <c r="A651" s="3">
        <f>IFERROR(__xludf.DUMMYFUNCTION("""COMPUTED_VALUE"""),40959.99861111111)</f>
        <v>40959.99861</v>
      </c>
      <c r="B651" s="1">
        <f>IFERROR(__xludf.DUMMYFUNCTION("""COMPUTED_VALUE"""),8971.6)</f>
        <v>8971.6</v>
      </c>
    </row>
    <row r="652">
      <c r="A652" s="3">
        <f>IFERROR(__xludf.DUMMYFUNCTION("""COMPUTED_VALUE"""),40960.99861111111)</f>
        <v>40960.99861</v>
      </c>
      <c r="B652" s="1">
        <f>IFERROR(__xludf.DUMMYFUNCTION("""COMPUTED_VALUE"""),9030.0)</f>
        <v>9030</v>
      </c>
    </row>
    <row r="653">
      <c r="A653" s="3">
        <f>IFERROR(__xludf.DUMMYFUNCTION("""COMPUTED_VALUE"""),40961.99861111111)</f>
        <v>40961.99861</v>
      </c>
      <c r="B653" s="1">
        <f>IFERROR(__xludf.DUMMYFUNCTION("""COMPUTED_VALUE"""),9040.0)</f>
        <v>9040</v>
      </c>
    </row>
    <row r="654">
      <c r="A654" s="3">
        <f>IFERROR(__xludf.DUMMYFUNCTION("""COMPUTED_VALUE"""),40962.99861111111)</f>
        <v>40962.99861</v>
      </c>
      <c r="B654" s="1">
        <f>IFERROR(__xludf.DUMMYFUNCTION("""COMPUTED_VALUE"""),9040.0)</f>
        <v>9040</v>
      </c>
    </row>
    <row r="655">
      <c r="A655" s="3">
        <f>IFERROR(__xludf.DUMMYFUNCTION("""COMPUTED_VALUE"""),40963.99861111111)</f>
        <v>40963.99861</v>
      </c>
      <c r="B655" s="1">
        <f>IFERROR(__xludf.DUMMYFUNCTION("""COMPUTED_VALUE"""),9040.0)</f>
        <v>9040</v>
      </c>
    </row>
    <row r="656">
      <c r="A656" s="3">
        <f>IFERROR(__xludf.DUMMYFUNCTION("""COMPUTED_VALUE"""),40964.99861111111)</f>
        <v>40964.99861</v>
      </c>
      <c r="B656" s="1">
        <f>IFERROR(__xludf.DUMMYFUNCTION("""COMPUTED_VALUE"""),9020.9)</f>
        <v>9020.9</v>
      </c>
    </row>
    <row r="657">
      <c r="A657" s="3">
        <f>IFERROR(__xludf.DUMMYFUNCTION("""COMPUTED_VALUE"""),40965.99861111111)</f>
        <v>40965.99861</v>
      </c>
      <c r="B657" s="1">
        <f>IFERROR(__xludf.DUMMYFUNCTION("""COMPUTED_VALUE"""),9066.183)</f>
        <v>9066.183</v>
      </c>
    </row>
    <row r="658">
      <c r="A658" s="3">
        <f>IFERROR(__xludf.DUMMYFUNCTION("""COMPUTED_VALUE"""),40966.99861111111)</f>
        <v>40966.99861</v>
      </c>
      <c r="B658" s="1">
        <f>IFERROR(__xludf.DUMMYFUNCTION("""COMPUTED_VALUE"""),9105.0)</f>
        <v>9105</v>
      </c>
    </row>
    <row r="659">
      <c r="A659" s="3">
        <f>IFERROR(__xludf.DUMMYFUNCTION("""COMPUTED_VALUE"""),40967.99861111111)</f>
        <v>40967.99861</v>
      </c>
      <c r="B659" s="1">
        <f>IFERROR(__xludf.DUMMYFUNCTION("""COMPUTED_VALUE"""),9005.0)</f>
        <v>9005</v>
      </c>
    </row>
    <row r="660">
      <c r="A660" s="3">
        <f>IFERROR(__xludf.DUMMYFUNCTION("""COMPUTED_VALUE"""),40968.99861111111)</f>
        <v>40968.99861</v>
      </c>
      <c r="B660" s="1">
        <f>IFERROR(__xludf.DUMMYFUNCTION("""COMPUTED_VALUE"""),9010.0)</f>
        <v>9010</v>
      </c>
    </row>
    <row r="661">
      <c r="A661" s="3">
        <f>IFERROR(__xludf.DUMMYFUNCTION("""COMPUTED_VALUE"""),40969.99861111111)</f>
        <v>40969.99861</v>
      </c>
      <c r="B661" s="1">
        <f>IFERROR(__xludf.DUMMYFUNCTION("""COMPUTED_VALUE"""),9055.0)</f>
        <v>9055</v>
      </c>
    </row>
    <row r="662">
      <c r="A662" s="3">
        <f>IFERROR(__xludf.DUMMYFUNCTION("""COMPUTED_VALUE"""),40970.99861111111)</f>
        <v>40970.99861</v>
      </c>
      <c r="B662" s="1">
        <f>IFERROR(__xludf.DUMMYFUNCTION("""COMPUTED_VALUE"""),9055.0)</f>
        <v>9055</v>
      </c>
    </row>
    <row r="663">
      <c r="A663" s="3">
        <f>IFERROR(__xludf.DUMMYFUNCTION("""COMPUTED_VALUE"""),40971.99861111111)</f>
        <v>40971.99861</v>
      </c>
      <c r="B663" s="1">
        <f>IFERROR(__xludf.DUMMYFUNCTION("""COMPUTED_VALUE"""),9055.0)</f>
        <v>9055</v>
      </c>
    </row>
    <row r="664">
      <c r="A664" s="3">
        <f>IFERROR(__xludf.DUMMYFUNCTION("""COMPUTED_VALUE"""),40972.99861111111)</f>
        <v>40972.99861</v>
      </c>
      <c r="B664" s="1">
        <f>IFERROR(__xludf.DUMMYFUNCTION("""COMPUTED_VALUE"""),9055.0)</f>
        <v>9055</v>
      </c>
    </row>
    <row r="665">
      <c r="A665" s="3">
        <f>IFERROR(__xludf.DUMMYFUNCTION("""COMPUTED_VALUE"""),40973.99861111111)</f>
        <v>40973.99861</v>
      </c>
      <c r="B665" s="1">
        <f>IFERROR(__xludf.DUMMYFUNCTION("""COMPUTED_VALUE"""),9113.0)</f>
        <v>9113</v>
      </c>
    </row>
    <row r="666">
      <c r="A666" s="3">
        <f>IFERROR(__xludf.DUMMYFUNCTION("""COMPUTED_VALUE"""),40974.99861111111)</f>
        <v>40974.99861</v>
      </c>
      <c r="B666" s="1">
        <f>IFERROR(__xludf.DUMMYFUNCTION("""COMPUTED_VALUE"""),9115.0)</f>
        <v>9115</v>
      </c>
    </row>
    <row r="667">
      <c r="A667" s="3">
        <f>IFERROR(__xludf.DUMMYFUNCTION("""COMPUTED_VALUE"""),40975.99861111111)</f>
        <v>40975.99861</v>
      </c>
      <c r="B667" s="1">
        <f>IFERROR(__xludf.DUMMYFUNCTION("""COMPUTED_VALUE"""),9085.0)</f>
        <v>9085</v>
      </c>
    </row>
    <row r="668">
      <c r="A668" s="3">
        <f>IFERROR(__xludf.DUMMYFUNCTION("""COMPUTED_VALUE"""),40976.99861111111)</f>
        <v>40976.99861</v>
      </c>
      <c r="B668" s="1">
        <f>IFERROR(__xludf.DUMMYFUNCTION("""COMPUTED_VALUE"""),9105.0)</f>
        <v>9105</v>
      </c>
    </row>
    <row r="669">
      <c r="A669" s="3">
        <f>IFERROR(__xludf.DUMMYFUNCTION("""COMPUTED_VALUE"""),40977.99861111111)</f>
        <v>40977.99861</v>
      </c>
      <c r="B669" s="1">
        <f>IFERROR(__xludf.DUMMYFUNCTION("""COMPUTED_VALUE"""),9105.0)</f>
        <v>9105</v>
      </c>
    </row>
    <row r="670">
      <c r="A670" s="3">
        <f>IFERROR(__xludf.DUMMYFUNCTION("""COMPUTED_VALUE"""),40978.99861111111)</f>
        <v>40978.99861</v>
      </c>
      <c r="B670" s="1">
        <f>IFERROR(__xludf.DUMMYFUNCTION("""COMPUTED_VALUE"""),9149.13)</f>
        <v>9149.13</v>
      </c>
    </row>
    <row r="671">
      <c r="A671" s="3">
        <f>IFERROR(__xludf.DUMMYFUNCTION("""COMPUTED_VALUE"""),40979.99861111111)</f>
        <v>40979.99861</v>
      </c>
      <c r="B671" s="1">
        <f>IFERROR(__xludf.DUMMYFUNCTION("""COMPUTED_VALUE"""),9132.45)</f>
        <v>9132.45</v>
      </c>
    </row>
    <row r="672">
      <c r="A672" s="3">
        <f>IFERROR(__xludf.DUMMYFUNCTION("""COMPUTED_VALUE"""),40980.99861111111)</f>
        <v>40980.99861</v>
      </c>
      <c r="B672" s="1">
        <f>IFERROR(__xludf.DUMMYFUNCTION("""COMPUTED_VALUE"""),9133.0)</f>
        <v>9133</v>
      </c>
    </row>
    <row r="673">
      <c r="A673" s="3">
        <f>IFERROR(__xludf.DUMMYFUNCTION("""COMPUTED_VALUE"""),40981.99861111111)</f>
        <v>40981.99861</v>
      </c>
      <c r="B673" s="1">
        <f>IFERROR(__xludf.DUMMYFUNCTION("""COMPUTED_VALUE"""),9133.0)</f>
        <v>9133</v>
      </c>
    </row>
    <row r="674">
      <c r="A674" s="3">
        <f>IFERROR(__xludf.DUMMYFUNCTION("""COMPUTED_VALUE"""),40982.99861111111)</f>
        <v>40982.99861</v>
      </c>
      <c r="B674" s="1">
        <f>IFERROR(__xludf.DUMMYFUNCTION("""COMPUTED_VALUE"""),9163.0)</f>
        <v>9163</v>
      </c>
    </row>
    <row r="675">
      <c r="A675" s="3">
        <f>IFERROR(__xludf.DUMMYFUNCTION("""COMPUTED_VALUE"""),40983.99861111111)</f>
        <v>40983.99861</v>
      </c>
      <c r="B675" s="1">
        <f>IFERROR(__xludf.DUMMYFUNCTION("""COMPUTED_VALUE"""),9163.0)</f>
        <v>9163</v>
      </c>
    </row>
    <row r="676">
      <c r="A676" s="3">
        <f>IFERROR(__xludf.DUMMYFUNCTION("""COMPUTED_VALUE"""),40984.99861111111)</f>
        <v>40984.99861</v>
      </c>
      <c r="B676" s="1">
        <f>IFERROR(__xludf.DUMMYFUNCTION("""COMPUTED_VALUE"""),9100.0)</f>
        <v>9100</v>
      </c>
    </row>
    <row r="677">
      <c r="A677" s="3">
        <f>IFERROR(__xludf.DUMMYFUNCTION("""COMPUTED_VALUE"""),40985.99861111111)</f>
        <v>40985.99861</v>
      </c>
      <c r="B677" s="1">
        <f>IFERROR(__xludf.DUMMYFUNCTION("""COMPUTED_VALUE"""),9086.1)</f>
        <v>9086.1</v>
      </c>
    </row>
    <row r="678">
      <c r="A678" s="3">
        <f>IFERROR(__xludf.DUMMYFUNCTION("""COMPUTED_VALUE"""),40986.99861111111)</f>
        <v>40986.99861</v>
      </c>
      <c r="B678" s="1">
        <f>IFERROR(__xludf.DUMMYFUNCTION("""COMPUTED_VALUE"""),9120.0)</f>
        <v>9120</v>
      </c>
    </row>
    <row r="679">
      <c r="A679" s="3">
        <f>IFERROR(__xludf.DUMMYFUNCTION("""COMPUTED_VALUE"""),40987.99861111111)</f>
        <v>40987.99861</v>
      </c>
      <c r="B679" s="1">
        <f>IFERROR(__xludf.DUMMYFUNCTION("""COMPUTED_VALUE"""),9110.0)</f>
        <v>9110</v>
      </c>
    </row>
    <row r="680">
      <c r="A680" s="3">
        <f>IFERROR(__xludf.DUMMYFUNCTION("""COMPUTED_VALUE"""),40988.99861111111)</f>
        <v>40988.99861</v>
      </c>
      <c r="B680" s="1">
        <f>IFERROR(__xludf.DUMMYFUNCTION("""COMPUTED_VALUE"""),9145.0)</f>
        <v>9145</v>
      </c>
    </row>
    <row r="681">
      <c r="A681" s="3">
        <f>IFERROR(__xludf.DUMMYFUNCTION("""COMPUTED_VALUE"""),40989.99861111111)</f>
        <v>40989.99861</v>
      </c>
      <c r="B681" s="1">
        <f>IFERROR(__xludf.DUMMYFUNCTION("""COMPUTED_VALUE"""),9145.0)</f>
        <v>9145</v>
      </c>
    </row>
    <row r="682">
      <c r="A682" s="3">
        <f>IFERROR(__xludf.DUMMYFUNCTION("""COMPUTED_VALUE"""),40990.99861111111)</f>
        <v>40990.99861</v>
      </c>
      <c r="B682" s="1">
        <f>IFERROR(__xludf.DUMMYFUNCTION("""COMPUTED_VALUE"""),9220.0)</f>
        <v>9220</v>
      </c>
    </row>
    <row r="683">
      <c r="A683" s="3">
        <f>IFERROR(__xludf.DUMMYFUNCTION("""COMPUTED_VALUE"""),40991.99861111111)</f>
        <v>40991.99861</v>
      </c>
      <c r="B683" s="1">
        <f>IFERROR(__xludf.DUMMYFUNCTION("""COMPUTED_VALUE"""),9145.0)</f>
        <v>9145</v>
      </c>
    </row>
    <row r="684">
      <c r="A684" s="3">
        <f>IFERROR(__xludf.DUMMYFUNCTION("""COMPUTED_VALUE"""),40992.99861111111)</f>
        <v>40992.99861</v>
      </c>
      <c r="B684" s="1">
        <f>IFERROR(__xludf.DUMMYFUNCTION("""COMPUTED_VALUE"""),8955.5)</f>
        <v>8955.5</v>
      </c>
    </row>
    <row r="685">
      <c r="A685" s="3">
        <f>IFERROR(__xludf.DUMMYFUNCTION("""COMPUTED_VALUE"""),40993.99861111111)</f>
        <v>40993.99861</v>
      </c>
      <c r="B685" s="1">
        <f>IFERROR(__xludf.DUMMYFUNCTION("""COMPUTED_VALUE"""),9150.0)</f>
        <v>9150</v>
      </c>
    </row>
    <row r="686">
      <c r="A686" s="3">
        <f>IFERROR(__xludf.DUMMYFUNCTION("""COMPUTED_VALUE"""),40994.99861111111)</f>
        <v>40994.99861</v>
      </c>
      <c r="B686" s="1">
        <f>IFERROR(__xludf.DUMMYFUNCTION("""COMPUTED_VALUE"""),9150.0)</f>
        <v>9150</v>
      </c>
    </row>
    <row r="687">
      <c r="A687" s="3">
        <f>IFERROR(__xludf.DUMMYFUNCTION("""COMPUTED_VALUE"""),40995.99861111111)</f>
        <v>40995.99861</v>
      </c>
      <c r="B687" s="1">
        <f>IFERROR(__xludf.DUMMYFUNCTION("""COMPUTED_VALUE"""),9150.0)</f>
        <v>9150</v>
      </c>
    </row>
    <row r="688">
      <c r="A688" s="3">
        <f>IFERROR(__xludf.DUMMYFUNCTION("""COMPUTED_VALUE"""),40996.99861111111)</f>
        <v>40996.99861</v>
      </c>
      <c r="B688" s="1">
        <f>IFERROR(__xludf.DUMMYFUNCTION("""COMPUTED_VALUE"""),9150.0)</f>
        <v>9150</v>
      </c>
    </row>
    <row r="689">
      <c r="A689" s="3">
        <f>IFERROR(__xludf.DUMMYFUNCTION("""COMPUTED_VALUE"""),40997.99861111111)</f>
        <v>40997.99861</v>
      </c>
      <c r="B689" s="1">
        <f>IFERROR(__xludf.DUMMYFUNCTION("""COMPUTED_VALUE"""),9150.0)</f>
        <v>9150</v>
      </c>
    </row>
    <row r="690">
      <c r="A690" s="3">
        <f>IFERROR(__xludf.DUMMYFUNCTION("""COMPUTED_VALUE"""),40998.99861111111)</f>
        <v>40998.99861</v>
      </c>
      <c r="B690" s="1">
        <f>IFERROR(__xludf.DUMMYFUNCTION("""COMPUTED_VALUE"""),9120.0)</f>
        <v>9120</v>
      </c>
    </row>
    <row r="691">
      <c r="A691" s="3">
        <f>IFERROR(__xludf.DUMMYFUNCTION("""COMPUTED_VALUE"""),40999.99861111111)</f>
        <v>40999.99861</v>
      </c>
      <c r="B691" s="1">
        <f>IFERROR(__xludf.DUMMYFUNCTION("""COMPUTED_VALUE"""),9112.0)</f>
        <v>9112</v>
      </c>
    </row>
    <row r="692">
      <c r="A692" s="3">
        <f>IFERROR(__xludf.DUMMYFUNCTION("""COMPUTED_VALUE"""),41000.99861111111)</f>
        <v>41000.99861</v>
      </c>
      <c r="B692" s="1">
        <f>IFERROR(__xludf.DUMMYFUNCTION("""COMPUTED_VALUE"""),9165.902)</f>
        <v>9165.902</v>
      </c>
    </row>
    <row r="693">
      <c r="A693" s="3">
        <f>IFERROR(__xludf.DUMMYFUNCTION("""COMPUTED_VALUE"""),41001.99861111111)</f>
        <v>41001.99861</v>
      </c>
      <c r="B693" s="1">
        <f>IFERROR(__xludf.DUMMYFUNCTION("""COMPUTED_VALUE"""),9118.0)</f>
        <v>9118</v>
      </c>
    </row>
    <row r="694">
      <c r="A694" s="3">
        <f>IFERROR(__xludf.DUMMYFUNCTION("""COMPUTED_VALUE"""),41002.99861111111)</f>
        <v>41002.99861</v>
      </c>
      <c r="B694" s="1">
        <f>IFERROR(__xludf.DUMMYFUNCTION("""COMPUTED_VALUE"""),9136.0)</f>
        <v>9136</v>
      </c>
    </row>
    <row r="695">
      <c r="A695" s="3">
        <f>IFERROR(__xludf.DUMMYFUNCTION("""COMPUTED_VALUE"""),41003.99861111111)</f>
        <v>41003.99861</v>
      </c>
      <c r="B695" s="1">
        <f>IFERROR(__xludf.DUMMYFUNCTION("""COMPUTED_VALUE"""),9133.0)</f>
        <v>9133</v>
      </c>
    </row>
    <row r="696">
      <c r="A696" s="3">
        <f>IFERROR(__xludf.DUMMYFUNCTION("""COMPUTED_VALUE"""),41004.99861111111)</f>
        <v>41004.99861</v>
      </c>
      <c r="B696" s="1">
        <f>IFERROR(__xludf.DUMMYFUNCTION("""COMPUTED_VALUE"""),9085.0)</f>
        <v>9085</v>
      </c>
    </row>
    <row r="697">
      <c r="A697" s="3">
        <f>IFERROR(__xludf.DUMMYFUNCTION("""COMPUTED_VALUE"""),41005.99861111111)</f>
        <v>41005.99861</v>
      </c>
      <c r="B697" s="1">
        <f>IFERROR(__xludf.DUMMYFUNCTION("""COMPUTED_VALUE"""),9200.1)</f>
        <v>9200.1</v>
      </c>
    </row>
    <row r="698">
      <c r="A698" s="3">
        <f>IFERROR(__xludf.DUMMYFUNCTION("""COMPUTED_VALUE"""),41006.99861111111)</f>
        <v>41006.99861</v>
      </c>
      <c r="B698" s="1">
        <f>IFERROR(__xludf.DUMMYFUNCTION("""COMPUTED_VALUE"""),9084.8)</f>
        <v>9084.8</v>
      </c>
    </row>
    <row r="699">
      <c r="A699" s="3">
        <f>IFERROR(__xludf.DUMMYFUNCTION("""COMPUTED_VALUE"""),41007.99861111111)</f>
        <v>41007.99861</v>
      </c>
      <c r="B699" s="1">
        <f>IFERROR(__xludf.DUMMYFUNCTION("""COMPUTED_VALUE"""),9085.0)</f>
        <v>9085</v>
      </c>
    </row>
    <row r="700">
      <c r="A700" s="3">
        <f>IFERROR(__xludf.DUMMYFUNCTION("""COMPUTED_VALUE"""),41008.99861111111)</f>
        <v>41008.99861</v>
      </c>
      <c r="B700" s="1">
        <f>IFERROR(__xludf.DUMMYFUNCTION("""COMPUTED_VALUE"""),9151.5)</f>
        <v>9151.5</v>
      </c>
    </row>
    <row r="701">
      <c r="A701" s="3">
        <f>IFERROR(__xludf.DUMMYFUNCTION("""COMPUTED_VALUE"""),41009.99861111111)</f>
        <v>41009.99861</v>
      </c>
      <c r="B701" s="1">
        <f>IFERROR(__xludf.DUMMYFUNCTION("""COMPUTED_VALUE"""),9149.0)</f>
        <v>9149</v>
      </c>
    </row>
    <row r="702">
      <c r="A702" s="3">
        <f>IFERROR(__xludf.DUMMYFUNCTION("""COMPUTED_VALUE"""),41010.99861111111)</f>
        <v>41010.99861</v>
      </c>
      <c r="B702" s="1">
        <f>IFERROR(__xludf.DUMMYFUNCTION("""COMPUTED_VALUE"""),9149.0)</f>
        <v>9149</v>
      </c>
    </row>
    <row r="703">
      <c r="A703" s="3">
        <f>IFERROR(__xludf.DUMMYFUNCTION("""COMPUTED_VALUE"""),41011.99861111111)</f>
        <v>41011.99861</v>
      </c>
      <c r="B703" s="1">
        <f>IFERROR(__xludf.DUMMYFUNCTION("""COMPUTED_VALUE"""),9149.0)</f>
        <v>9149</v>
      </c>
    </row>
    <row r="704">
      <c r="A704" s="3">
        <f>IFERROR(__xludf.DUMMYFUNCTION("""COMPUTED_VALUE"""),41012.99861111111)</f>
        <v>41012.99861</v>
      </c>
      <c r="B704" s="1">
        <f>IFERROR(__xludf.DUMMYFUNCTION("""COMPUTED_VALUE"""),9115.0)</f>
        <v>9115</v>
      </c>
    </row>
    <row r="705">
      <c r="A705" s="3">
        <f>IFERROR(__xludf.DUMMYFUNCTION("""COMPUTED_VALUE"""),41013.99861111111)</f>
        <v>41013.99861</v>
      </c>
      <c r="B705" s="1">
        <f>IFERROR(__xludf.DUMMYFUNCTION("""COMPUTED_VALUE"""),9026.3)</f>
        <v>9026.3</v>
      </c>
    </row>
    <row r="706">
      <c r="A706" s="3">
        <f>IFERROR(__xludf.DUMMYFUNCTION("""COMPUTED_VALUE"""),41014.99861111111)</f>
        <v>41014.99861</v>
      </c>
      <c r="B706" s="1">
        <f>IFERROR(__xludf.DUMMYFUNCTION("""COMPUTED_VALUE"""),9139.95)</f>
        <v>9139.95</v>
      </c>
    </row>
    <row r="707">
      <c r="A707" s="3">
        <f>IFERROR(__xludf.DUMMYFUNCTION("""COMPUTED_VALUE"""),41015.99861111111)</f>
        <v>41015.99861</v>
      </c>
      <c r="B707" s="1">
        <f>IFERROR(__xludf.DUMMYFUNCTION("""COMPUTED_VALUE"""),9155.0)</f>
        <v>9155</v>
      </c>
    </row>
    <row r="708">
      <c r="A708" s="3">
        <f>IFERROR(__xludf.DUMMYFUNCTION("""COMPUTED_VALUE"""),41016.99861111111)</f>
        <v>41016.99861</v>
      </c>
      <c r="B708" s="1">
        <f>IFERROR(__xludf.DUMMYFUNCTION("""COMPUTED_VALUE"""),9155.0)</f>
        <v>9155</v>
      </c>
    </row>
    <row r="709">
      <c r="A709" s="3">
        <f>IFERROR(__xludf.DUMMYFUNCTION("""COMPUTED_VALUE"""),41017.99861111111)</f>
        <v>41017.99861</v>
      </c>
      <c r="B709" s="1">
        <f>IFERROR(__xludf.DUMMYFUNCTION("""COMPUTED_VALUE"""),9155.0)</f>
        <v>9155</v>
      </c>
    </row>
    <row r="710">
      <c r="A710" s="3">
        <f>IFERROR(__xludf.DUMMYFUNCTION("""COMPUTED_VALUE"""),41018.99861111111)</f>
        <v>41018.99861</v>
      </c>
      <c r="B710" s="1">
        <f>IFERROR(__xludf.DUMMYFUNCTION("""COMPUTED_VALUE"""),9154.0)</f>
        <v>9154</v>
      </c>
    </row>
    <row r="711">
      <c r="A711" s="3">
        <f>IFERROR(__xludf.DUMMYFUNCTION("""COMPUTED_VALUE"""),41019.99861111111)</f>
        <v>41019.99861</v>
      </c>
      <c r="B711" s="1">
        <f>IFERROR(__xludf.DUMMYFUNCTION("""COMPUTED_VALUE"""),9154.0)</f>
        <v>9154</v>
      </c>
    </row>
    <row r="712">
      <c r="A712" s="3">
        <f>IFERROR(__xludf.DUMMYFUNCTION("""COMPUTED_VALUE"""),41020.99861111111)</f>
        <v>41020.99861</v>
      </c>
      <c r="B712" s="1">
        <f>IFERROR(__xludf.DUMMYFUNCTION("""COMPUTED_VALUE"""),9199.632)</f>
        <v>9199.632</v>
      </c>
    </row>
    <row r="713">
      <c r="A713" s="3">
        <f>IFERROR(__xludf.DUMMYFUNCTION("""COMPUTED_VALUE"""),41021.99861111111)</f>
        <v>41021.99861</v>
      </c>
      <c r="B713" s="1">
        <f>IFERROR(__xludf.DUMMYFUNCTION("""COMPUTED_VALUE"""),9143.7)</f>
        <v>9143.7</v>
      </c>
    </row>
    <row r="714">
      <c r="A714" s="3">
        <f>IFERROR(__xludf.DUMMYFUNCTION("""COMPUTED_VALUE"""),41022.99861111111)</f>
        <v>41022.99861</v>
      </c>
      <c r="B714" s="1">
        <f>IFERROR(__xludf.DUMMYFUNCTION("""COMPUTED_VALUE"""),9163.0)</f>
        <v>9163</v>
      </c>
    </row>
    <row r="715">
      <c r="A715" s="3">
        <f>IFERROR(__xludf.DUMMYFUNCTION("""COMPUTED_VALUE"""),41023.99861111111)</f>
        <v>41023.99861</v>
      </c>
      <c r="B715" s="1">
        <f>IFERROR(__xludf.DUMMYFUNCTION("""COMPUTED_VALUE"""),9163.0)</f>
        <v>9163</v>
      </c>
    </row>
    <row r="716">
      <c r="A716" s="3">
        <f>IFERROR(__xludf.DUMMYFUNCTION("""COMPUTED_VALUE"""),41024.99861111111)</f>
        <v>41024.99861</v>
      </c>
      <c r="B716" s="1">
        <f>IFERROR(__xludf.DUMMYFUNCTION("""COMPUTED_VALUE"""),9163.0)</f>
        <v>9163</v>
      </c>
    </row>
    <row r="717">
      <c r="A717" s="3">
        <f>IFERROR(__xludf.DUMMYFUNCTION("""COMPUTED_VALUE"""),41025.99861111111)</f>
        <v>41025.99861</v>
      </c>
      <c r="B717" s="1">
        <f>IFERROR(__xludf.DUMMYFUNCTION("""COMPUTED_VALUE"""),9156.7)</f>
        <v>9156.7</v>
      </c>
    </row>
    <row r="718">
      <c r="A718" s="3">
        <f>IFERROR(__xludf.DUMMYFUNCTION("""COMPUTED_VALUE"""),41026.99861111111)</f>
        <v>41026.99861</v>
      </c>
      <c r="B718" s="1">
        <f>IFERROR(__xludf.DUMMYFUNCTION("""COMPUTED_VALUE"""),9188.95)</f>
        <v>9188.95</v>
      </c>
    </row>
    <row r="719">
      <c r="A719" s="3">
        <f>IFERROR(__xludf.DUMMYFUNCTION("""COMPUTED_VALUE"""),41027.99861111111)</f>
        <v>41027.99861</v>
      </c>
      <c r="B719" s="1">
        <f>IFERROR(__xludf.DUMMYFUNCTION("""COMPUTED_VALUE"""),9191.176)</f>
        <v>9191.176</v>
      </c>
    </row>
    <row r="720">
      <c r="A720" s="3">
        <f>IFERROR(__xludf.DUMMYFUNCTION("""COMPUTED_VALUE"""),41029.99861111111)</f>
        <v>41029.99861</v>
      </c>
      <c r="B720" s="1">
        <f>IFERROR(__xludf.DUMMYFUNCTION("""COMPUTED_VALUE"""),9188.95)</f>
        <v>9188.95</v>
      </c>
    </row>
    <row r="721">
      <c r="A721" s="3">
        <f>IFERROR(__xludf.DUMMYFUNCTION("""COMPUTED_VALUE"""),41030.99861111111)</f>
        <v>41030.99861</v>
      </c>
      <c r="B721" s="1">
        <f>IFERROR(__xludf.DUMMYFUNCTION("""COMPUTED_VALUE"""),9181.3)</f>
        <v>9181.3</v>
      </c>
    </row>
    <row r="722">
      <c r="A722" s="3">
        <f>IFERROR(__xludf.DUMMYFUNCTION("""COMPUTED_VALUE"""),41031.99861111111)</f>
        <v>41031.99861</v>
      </c>
      <c r="B722" s="1">
        <f>IFERROR(__xludf.DUMMYFUNCTION("""COMPUTED_VALUE"""),9165.0)</f>
        <v>9165</v>
      </c>
    </row>
    <row r="723">
      <c r="A723" s="3">
        <f>IFERROR(__xludf.DUMMYFUNCTION("""COMPUTED_VALUE"""),41032.99861111111)</f>
        <v>41032.99861</v>
      </c>
      <c r="B723" s="1">
        <f>IFERROR(__xludf.DUMMYFUNCTION("""COMPUTED_VALUE"""),9165.0)</f>
        <v>9165</v>
      </c>
    </row>
    <row r="724">
      <c r="A724" s="3">
        <f>IFERROR(__xludf.DUMMYFUNCTION("""COMPUTED_VALUE"""),41033.99861111111)</f>
        <v>41033.99861</v>
      </c>
      <c r="B724" s="1">
        <f>IFERROR(__xludf.DUMMYFUNCTION("""COMPUTED_VALUE"""),9189.95)</f>
        <v>9189.95</v>
      </c>
    </row>
    <row r="725">
      <c r="A725" s="3">
        <f>IFERROR(__xludf.DUMMYFUNCTION("""COMPUTED_VALUE"""),41034.99861111111)</f>
        <v>41034.99861</v>
      </c>
      <c r="B725" s="1">
        <f>IFERROR(__xludf.DUMMYFUNCTION("""COMPUTED_VALUE"""),9049.3)</f>
        <v>9049.3</v>
      </c>
    </row>
    <row r="726">
      <c r="A726" s="3">
        <f>IFERROR(__xludf.DUMMYFUNCTION("""COMPUTED_VALUE"""),41035.99861111111)</f>
        <v>41035.99861</v>
      </c>
      <c r="B726" s="1">
        <f>IFERROR(__xludf.DUMMYFUNCTION("""COMPUTED_VALUE"""),9047.6)</f>
        <v>9047.6</v>
      </c>
    </row>
    <row r="727">
      <c r="A727" s="3">
        <f>IFERROR(__xludf.DUMMYFUNCTION("""COMPUTED_VALUE"""),41036.99861111111)</f>
        <v>41036.99861</v>
      </c>
      <c r="B727" s="1">
        <f>IFERROR(__xludf.DUMMYFUNCTION("""COMPUTED_VALUE"""),9170.0)</f>
        <v>9170</v>
      </c>
    </row>
    <row r="728">
      <c r="A728" s="3">
        <f>IFERROR(__xludf.DUMMYFUNCTION("""COMPUTED_VALUE"""),41037.99861111111)</f>
        <v>41037.99861</v>
      </c>
      <c r="B728" s="1">
        <f>IFERROR(__xludf.DUMMYFUNCTION("""COMPUTED_VALUE"""),9166.0)</f>
        <v>9166</v>
      </c>
    </row>
    <row r="729">
      <c r="A729" s="3">
        <f>IFERROR(__xludf.DUMMYFUNCTION("""COMPUTED_VALUE"""),41038.99861111111)</f>
        <v>41038.99861</v>
      </c>
      <c r="B729" s="1">
        <f>IFERROR(__xludf.DUMMYFUNCTION("""COMPUTED_VALUE"""),9213.0)</f>
        <v>9213</v>
      </c>
    </row>
    <row r="730">
      <c r="A730" s="3">
        <f>IFERROR(__xludf.DUMMYFUNCTION("""COMPUTED_VALUE"""),41039.99861111111)</f>
        <v>41039.99861</v>
      </c>
      <c r="B730" s="1">
        <f>IFERROR(__xludf.DUMMYFUNCTION("""COMPUTED_VALUE"""),9170.0)</f>
        <v>9170</v>
      </c>
    </row>
    <row r="731">
      <c r="A731" s="3">
        <f>IFERROR(__xludf.DUMMYFUNCTION("""COMPUTED_VALUE"""),41040.99861111111)</f>
        <v>41040.99861</v>
      </c>
      <c r="B731" s="1">
        <f>IFERROR(__xludf.DUMMYFUNCTION("""COMPUTED_VALUE"""),9183.0)</f>
        <v>9183</v>
      </c>
    </row>
    <row r="732">
      <c r="A732" s="3">
        <f>IFERROR(__xludf.DUMMYFUNCTION("""COMPUTED_VALUE"""),41041.99861111111)</f>
        <v>41041.99861</v>
      </c>
      <c r="B732" s="1">
        <f>IFERROR(__xludf.DUMMYFUNCTION("""COMPUTED_VALUE"""),9179.5)</f>
        <v>9179.5</v>
      </c>
    </row>
    <row r="733">
      <c r="A733" s="3">
        <f>IFERROR(__xludf.DUMMYFUNCTION("""COMPUTED_VALUE"""),41042.99861111111)</f>
        <v>41042.99861</v>
      </c>
      <c r="B733" s="1">
        <f>IFERROR(__xludf.DUMMYFUNCTION("""COMPUTED_VALUE"""),9165.0)</f>
        <v>9165</v>
      </c>
    </row>
    <row r="734">
      <c r="A734" s="3">
        <f>IFERROR(__xludf.DUMMYFUNCTION("""COMPUTED_VALUE"""),41043.99861111111)</f>
        <v>41043.99861</v>
      </c>
      <c r="B734" s="1">
        <f>IFERROR(__xludf.DUMMYFUNCTION("""COMPUTED_VALUE"""),9238.0)</f>
        <v>9238</v>
      </c>
    </row>
    <row r="735">
      <c r="A735" s="3">
        <f>IFERROR(__xludf.DUMMYFUNCTION("""COMPUTED_VALUE"""),41044.99861111111)</f>
        <v>41044.99861</v>
      </c>
      <c r="B735" s="1">
        <f>IFERROR(__xludf.DUMMYFUNCTION("""COMPUTED_VALUE"""),9238.0)</f>
        <v>9238</v>
      </c>
    </row>
    <row r="736">
      <c r="A736" s="3">
        <f>IFERROR(__xludf.DUMMYFUNCTION("""COMPUTED_VALUE"""),41045.99861111111)</f>
        <v>41045.99861</v>
      </c>
      <c r="B736" s="1">
        <f>IFERROR(__xludf.DUMMYFUNCTION("""COMPUTED_VALUE"""),9238.0)</f>
        <v>9238</v>
      </c>
    </row>
    <row r="737">
      <c r="A737" s="3">
        <f>IFERROR(__xludf.DUMMYFUNCTION("""COMPUTED_VALUE"""),41046.99861111111)</f>
        <v>41046.99861</v>
      </c>
      <c r="B737" s="1">
        <f>IFERROR(__xludf.DUMMYFUNCTION("""COMPUTED_VALUE"""),9217.0)</f>
        <v>9217</v>
      </c>
    </row>
    <row r="738">
      <c r="A738" s="3">
        <f>IFERROR(__xludf.DUMMYFUNCTION("""COMPUTED_VALUE"""),41047.99861111111)</f>
        <v>41047.99861</v>
      </c>
      <c r="B738" s="1">
        <f>IFERROR(__xludf.DUMMYFUNCTION("""COMPUTED_VALUE"""),9205.4)</f>
        <v>9205.4</v>
      </c>
    </row>
    <row r="739">
      <c r="A739" s="3">
        <f>IFERROR(__xludf.DUMMYFUNCTION("""COMPUTED_VALUE"""),41048.99861111111)</f>
        <v>41048.99861</v>
      </c>
      <c r="B739" s="1">
        <f>IFERROR(__xludf.DUMMYFUNCTION("""COMPUTED_VALUE"""),8995.2)</f>
        <v>8995.2</v>
      </c>
    </row>
    <row r="740">
      <c r="A740" s="3">
        <f>IFERROR(__xludf.DUMMYFUNCTION("""COMPUTED_VALUE"""),41049.99861111111)</f>
        <v>41049.99861</v>
      </c>
      <c r="B740" s="1">
        <f>IFERROR(__xludf.DUMMYFUNCTION("""COMPUTED_VALUE"""),9276.437)</f>
        <v>9276.437</v>
      </c>
    </row>
    <row r="741">
      <c r="A741" s="3">
        <f>IFERROR(__xludf.DUMMYFUNCTION("""COMPUTED_VALUE"""),41050.99861111111)</f>
        <v>41050.99861</v>
      </c>
      <c r="B741" s="1">
        <f>IFERROR(__xludf.DUMMYFUNCTION("""COMPUTED_VALUE"""),9243.0)</f>
        <v>9243</v>
      </c>
    </row>
    <row r="742">
      <c r="A742" s="3">
        <f>IFERROR(__xludf.DUMMYFUNCTION("""COMPUTED_VALUE"""),41051.99861111111)</f>
        <v>41051.99861</v>
      </c>
      <c r="B742" s="1">
        <f>IFERROR(__xludf.DUMMYFUNCTION("""COMPUTED_VALUE"""),9210.0)</f>
        <v>9210</v>
      </c>
    </row>
    <row r="743">
      <c r="A743" s="3">
        <f>IFERROR(__xludf.DUMMYFUNCTION("""COMPUTED_VALUE"""),41052.99861111111)</f>
        <v>41052.99861</v>
      </c>
      <c r="B743" s="1">
        <f>IFERROR(__xludf.DUMMYFUNCTION("""COMPUTED_VALUE"""),9255.0)</f>
        <v>9255</v>
      </c>
    </row>
    <row r="744">
      <c r="A744" s="3">
        <f>IFERROR(__xludf.DUMMYFUNCTION("""COMPUTED_VALUE"""),41053.99861111111)</f>
        <v>41053.99861</v>
      </c>
      <c r="B744" s="1">
        <f>IFERROR(__xludf.DUMMYFUNCTION("""COMPUTED_VALUE"""),9255.0)</f>
        <v>9255</v>
      </c>
    </row>
    <row r="745">
      <c r="A745" s="3">
        <f>IFERROR(__xludf.DUMMYFUNCTION("""COMPUTED_VALUE"""),41054.99861111111)</f>
        <v>41054.99861</v>
      </c>
      <c r="B745" s="1">
        <f>IFERROR(__xludf.DUMMYFUNCTION("""COMPUTED_VALUE"""),9265.0)</f>
        <v>9265</v>
      </c>
    </row>
    <row r="746">
      <c r="A746" s="3">
        <f>IFERROR(__xludf.DUMMYFUNCTION("""COMPUTED_VALUE"""),41055.99861111111)</f>
        <v>41055.99861</v>
      </c>
      <c r="B746" s="1">
        <f>IFERROR(__xludf.DUMMYFUNCTION("""COMPUTED_VALUE"""),9310.986)</f>
        <v>9310.986</v>
      </c>
    </row>
    <row r="747">
      <c r="A747" s="3">
        <f>IFERROR(__xludf.DUMMYFUNCTION("""COMPUTED_VALUE"""),41056.99861111111)</f>
        <v>41056.99861</v>
      </c>
      <c r="B747" s="1">
        <f>IFERROR(__xludf.DUMMYFUNCTION("""COMPUTED_VALUE"""),9287.45)</f>
        <v>9287.45</v>
      </c>
    </row>
    <row r="748">
      <c r="A748" s="3">
        <f>IFERROR(__xludf.DUMMYFUNCTION("""COMPUTED_VALUE"""),41057.99861111111)</f>
        <v>41057.99861</v>
      </c>
      <c r="B748" s="1">
        <f>IFERROR(__xludf.DUMMYFUNCTION("""COMPUTED_VALUE"""),9265.0)</f>
        <v>9265</v>
      </c>
    </row>
    <row r="749">
      <c r="A749" s="3">
        <f>IFERROR(__xludf.DUMMYFUNCTION("""COMPUTED_VALUE"""),41058.99861111111)</f>
        <v>41058.99861</v>
      </c>
      <c r="B749" s="1">
        <f>IFERROR(__xludf.DUMMYFUNCTION("""COMPUTED_VALUE"""),9370.0)</f>
        <v>9370</v>
      </c>
    </row>
    <row r="750">
      <c r="A750" s="3">
        <f>IFERROR(__xludf.DUMMYFUNCTION("""COMPUTED_VALUE"""),41059.99861111111)</f>
        <v>41059.99861</v>
      </c>
      <c r="B750" s="1">
        <f>IFERROR(__xludf.DUMMYFUNCTION("""COMPUTED_VALUE"""),9410.0)</f>
        <v>9410</v>
      </c>
    </row>
    <row r="751">
      <c r="A751" s="3">
        <f>IFERROR(__xludf.DUMMYFUNCTION("""COMPUTED_VALUE"""),41060.99861111111)</f>
        <v>41060.99861</v>
      </c>
      <c r="B751" s="1">
        <f>IFERROR(__xludf.DUMMYFUNCTION("""COMPUTED_VALUE"""),9375.0)</f>
        <v>9375</v>
      </c>
    </row>
    <row r="752">
      <c r="A752" s="3">
        <f>IFERROR(__xludf.DUMMYFUNCTION("""COMPUTED_VALUE"""),41061.99861111111)</f>
        <v>41061.99861</v>
      </c>
      <c r="B752" s="1">
        <f>IFERROR(__xludf.DUMMYFUNCTION("""COMPUTED_VALUE"""),9375.0)</f>
        <v>9375</v>
      </c>
    </row>
    <row r="753">
      <c r="A753" s="3">
        <f>IFERROR(__xludf.DUMMYFUNCTION("""COMPUTED_VALUE"""),41062.99861111111)</f>
        <v>41062.99861</v>
      </c>
      <c r="B753" s="1">
        <f>IFERROR(__xludf.DUMMYFUNCTION("""COMPUTED_VALUE"""),9425.07)</f>
        <v>9425.07</v>
      </c>
    </row>
    <row r="754">
      <c r="A754" s="3">
        <f>IFERROR(__xludf.DUMMYFUNCTION("""COMPUTED_VALUE"""),41063.99861111111)</f>
        <v>41063.99861</v>
      </c>
      <c r="B754" s="1">
        <f>IFERROR(__xludf.DUMMYFUNCTION("""COMPUTED_VALUE"""),9387.45)</f>
        <v>9387.45</v>
      </c>
    </row>
    <row r="755">
      <c r="A755" s="3">
        <f>IFERROR(__xludf.DUMMYFUNCTION("""COMPUTED_VALUE"""),41064.99861111111)</f>
        <v>41064.99861</v>
      </c>
      <c r="B755" s="1">
        <f>IFERROR(__xludf.DUMMYFUNCTION("""COMPUTED_VALUE"""),9375.0)</f>
        <v>9375</v>
      </c>
    </row>
    <row r="756">
      <c r="A756" s="3">
        <f>IFERROR(__xludf.DUMMYFUNCTION("""COMPUTED_VALUE"""),41065.99861111111)</f>
        <v>41065.99861</v>
      </c>
      <c r="B756" s="1">
        <f>IFERROR(__xludf.DUMMYFUNCTION("""COMPUTED_VALUE"""),9378.0)</f>
        <v>9378</v>
      </c>
    </row>
    <row r="757">
      <c r="A757" s="3">
        <f>IFERROR(__xludf.DUMMYFUNCTION("""COMPUTED_VALUE"""),41066.99861111111)</f>
        <v>41066.99861</v>
      </c>
      <c r="B757" s="1">
        <f>IFERROR(__xludf.DUMMYFUNCTION("""COMPUTED_VALUE"""),9275.0)</f>
        <v>9275</v>
      </c>
    </row>
    <row r="758">
      <c r="A758" s="3">
        <f>IFERROR(__xludf.DUMMYFUNCTION("""COMPUTED_VALUE"""),41067.99861111111)</f>
        <v>41067.99861</v>
      </c>
      <c r="B758" s="1">
        <f>IFERROR(__xludf.DUMMYFUNCTION("""COMPUTED_VALUE"""),9355.0)</f>
        <v>9355</v>
      </c>
    </row>
    <row r="759">
      <c r="A759" s="3">
        <f>IFERROR(__xludf.DUMMYFUNCTION("""COMPUTED_VALUE"""),41068.99861111111)</f>
        <v>41068.99861</v>
      </c>
      <c r="B759" s="1">
        <f>IFERROR(__xludf.DUMMYFUNCTION("""COMPUTED_VALUE"""),9360.0)</f>
        <v>9360</v>
      </c>
    </row>
    <row r="760">
      <c r="A760" s="3">
        <f>IFERROR(__xludf.DUMMYFUNCTION("""COMPUTED_VALUE"""),41069.99861111111)</f>
        <v>41069.99861</v>
      </c>
      <c r="B760" s="1">
        <f>IFERROR(__xludf.DUMMYFUNCTION("""COMPUTED_VALUE"""),9156.7)</f>
        <v>9156.7</v>
      </c>
    </row>
    <row r="761">
      <c r="A761" s="3">
        <f>IFERROR(__xludf.DUMMYFUNCTION("""COMPUTED_VALUE"""),41070.99861111111)</f>
        <v>41070.99861</v>
      </c>
      <c r="B761" s="1">
        <f>IFERROR(__xludf.DUMMYFUNCTION("""COMPUTED_VALUE"""),9384.95)</f>
        <v>9384.95</v>
      </c>
    </row>
    <row r="762">
      <c r="A762" s="3">
        <f>IFERROR(__xludf.DUMMYFUNCTION("""COMPUTED_VALUE"""),41071.99861111111)</f>
        <v>41071.99861</v>
      </c>
      <c r="B762" s="1">
        <f>IFERROR(__xludf.DUMMYFUNCTION("""COMPUTED_VALUE"""),9380.0)</f>
        <v>9380</v>
      </c>
    </row>
    <row r="763">
      <c r="A763" s="3">
        <f>IFERROR(__xludf.DUMMYFUNCTION("""COMPUTED_VALUE"""),41072.99861111111)</f>
        <v>41072.99861</v>
      </c>
      <c r="B763" s="1">
        <f>IFERROR(__xludf.DUMMYFUNCTION("""COMPUTED_VALUE"""),9405.0)</f>
        <v>9405</v>
      </c>
    </row>
    <row r="764">
      <c r="A764" s="3">
        <f>IFERROR(__xludf.DUMMYFUNCTION("""COMPUTED_VALUE"""),41073.99861111111)</f>
        <v>41073.99861</v>
      </c>
      <c r="B764" s="1">
        <f>IFERROR(__xludf.DUMMYFUNCTION("""COMPUTED_VALUE"""),9395.0)</f>
        <v>9395</v>
      </c>
    </row>
    <row r="765">
      <c r="A765" s="3">
        <f>IFERROR(__xludf.DUMMYFUNCTION("""COMPUTED_VALUE"""),41074.99861111111)</f>
        <v>41074.99861</v>
      </c>
      <c r="B765" s="1">
        <f>IFERROR(__xludf.DUMMYFUNCTION("""COMPUTED_VALUE"""),9395.0)</f>
        <v>9395</v>
      </c>
    </row>
    <row r="766">
      <c r="A766" s="3">
        <f>IFERROR(__xludf.DUMMYFUNCTION("""COMPUTED_VALUE"""),41075.99861111111)</f>
        <v>41075.99861</v>
      </c>
      <c r="B766" s="1">
        <f>IFERROR(__xludf.DUMMYFUNCTION("""COMPUTED_VALUE"""),9365.0)</f>
        <v>9365</v>
      </c>
    </row>
    <row r="767">
      <c r="A767" s="3">
        <f>IFERROR(__xludf.DUMMYFUNCTION("""COMPUTED_VALUE"""),41076.99861111111)</f>
        <v>41076.99861</v>
      </c>
      <c r="B767" s="1">
        <f>IFERROR(__xludf.DUMMYFUNCTION("""COMPUTED_VALUE"""),9293.0)</f>
        <v>9293</v>
      </c>
    </row>
    <row r="768">
      <c r="A768" s="3">
        <f>IFERROR(__xludf.DUMMYFUNCTION("""COMPUTED_VALUE"""),41077.99861111111)</f>
        <v>41077.99861</v>
      </c>
      <c r="B768" s="1">
        <f>IFERROR(__xludf.DUMMYFUNCTION("""COMPUTED_VALUE"""),9578.544)</f>
        <v>9578.544</v>
      </c>
    </row>
    <row r="769">
      <c r="A769" s="3">
        <f>IFERROR(__xludf.DUMMYFUNCTION("""COMPUTED_VALUE"""),41078.99861111111)</f>
        <v>41078.99861</v>
      </c>
      <c r="B769" s="1">
        <f>IFERROR(__xludf.DUMMYFUNCTION("""COMPUTED_VALUE"""),9357.3)</f>
        <v>9357.3</v>
      </c>
    </row>
    <row r="770">
      <c r="A770" s="3">
        <f>IFERROR(__xludf.DUMMYFUNCTION("""COMPUTED_VALUE"""),41079.99861111111)</f>
        <v>41079.99861</v>
      </c>
      <c r="B770" s="1">
        <f>IFERROR(__xludf.DUMMYFUNCTION("""COMPUTED_VALUE"""),9375.8)</f>
        <v>9375.8</v>
      </c>
    </row>
    <row r="771">
      <c r="A771" s="3">
        <f>IFERROR(__xludf.DUMMYFUNCTION("""COMPUTED_VALUE"""),41080.99861111111)</f>
        <v>41080.99861</v>
      </c>
      <c r="B771" s="1">
        <f>IFERROR(__xludf.DUMMYFUNCTION("""COMPUTED_VALUE"""),9390.3)</f>
        <v>9390.3</v>
      </c>
    </row>
    <row r="772">
      <c r="A772" s="3">
        <f>IFERROR(__xludf.DUMMYFUNCTION("""COMPUTED_VALUE"""),41081.99861111111)</f>
        <v>41081.99861</v>
      </c>
      <c r="B772" s="1">
        <f>IFERROR(__xludf.DUMMYFUNCTION("""COMPUTED_VALUE"""),9399.9)</f>
        <v>9399.9</v>
      </c>
    </row>
    <row r="773">
      <c r="A773" s="3">
        <f>IFERROR(__xludf.DUMMYFUNCTION("""COMPUTED_VALUE"""),41082.99861111111)</f>
        <v>41082.99861</v>
      </c>
      <c r="B773" s="1">
        <f>IFERROR(__xludf.DUMMYFUNCTION("""COMPUTED_VALUE"""),9413.0)</f>
        <v>9413</v>
      </c>
    </row>
    <row r="774">
      <c r="A774" s="3">
        <f>IFERROR(__xludf.DUMMYFUNCTION("""COMPUTED_VALUE"""),41083.99861111111)</f>
        <v>41083.99861</v>
      </c>
      <c r="B774" s="1">
        <f>IFERROR(__xludf.DUMMYFUNCTION("""COMPUTED_VALUE"""),9323.0)</f>
        <v>9323</v>
      </c>
    </row>
    <row r="775">
      <c r="A775" s="3">
        <f>IFERROR(__xludf.DUMMYFUNCTION("""COMPUTED_VALUE"""),41084.99861111111)</f>
        <v>41084.99861</v>
      </c>
      <c r="B775" s="1">
        <f>IFERROR(__xludf.DUMMYFUNCTION("""COMPUTED_VALUE"""),9437.45)</f>
        <v>9437.45</v>
      </c>
    </row>
    <row r="776">
      <c r="A776" s="3">
        <f>IFERROR(__xludf.DUMMYFUNCTION("""COMPUTED_VALUE"""),41085.99861111111)</f>
        <v>41085.99861</v>
      </c>
      <c r="B776" s="1">
        <f>IFERROR(__xludf.DUMMYFUNCTION("""COMPUTED_VALUE"""),9410.5)</f>
        <v>9410.5</v>
      </c>
    </row>
    <row r="777">
      <c r="A777" s="3">
        <f>IFERROR(__xludf.DUMMYFUNCTION("""COMPUTED_VALUE"""),41086.99861111111)</f>
        <v>41086.99861</v>
      </c>
      <c r="B777" s="1">
        <f>IFERROR(__xludf.DUMMYFUNCTION("""COMPUTED_VALUE"""),9410.2)</f>
        <v>9410.2</v>
      </c>
    </row>
    <row r="778">
      <c r="A778" s="3">
        <f>IFERROR(__xludf.DUMMYFUNCTION("""COMPUTED_VALUE"""),41087.99861111111)</f>
        <v>41087.99861</v>
      </c>
      <c r="B778" s="1">
        <f>IFERROR(__xludf.DUMMYFUNCTION("""COMPUTED_VALUE"""),9414.9)</f>
        <v>9414.9</v>
      </c>
    </row>
    <row r="779">
      <c r="A779" s="3">
        <f>IFERROR(__xludf.DUMMYFUNCTION("""COMPUTED_VALUE"""),41088.99861111111)</f>
        <v>41088.99861</v>
      </c>
      <c r="B779" s="1">
        <f>IFERROR(__xludf.DUMMYFUNCTION("""COMPUTED_VALUE"""),9414.6)</f>
        <v>9414.6</v>
      </c>
    </row>
    <row r="780">
      <c r="A780" s="3">
        <f>IFERROR(__xludf.DUMMYFUNCTION("""COMPUTED_VALUE"""),41089.99861111111)</f>
        <v>41089.99861</v>
      </c>
      <c r="B780" s="1">
        <f>IFERROR(__xludf.DUMMYFUNCTION("""COMPUTED_VALUE"""),9368.0)</f>
        <v>9368</v>
      </c>
    </row>
    <row r="781">
      <c r="A781" s="3">
        <f>IFERROR(__xludf.DUMMYFUNCTION("""COMPUTED_VALUE"""),41090.99861111111)</f>
        <v>41090.99861</v>
      </c>
      <c r="B781" s="1">
        <f>IFERROR(__xludf.DUMMYFUNCTION("""COMPUTED_VALUE"""),9368.0)</f>
        <v>9368</v>
      </c>
    </row>
    <row r="782">
      <c r="A782" s="3">
        <f>IFERROR(__xludf.DUMMYFUNCTION("""COMPUTED_VALUE"""),41091.99861111111)</f>
        <v>41091.99861</v>
      </c>
      <c r="B782" s="1">
        <f>IFERROR(__xludf.DUMMYFUNCTION("""COMPUTED_VALUE"""),9416.195)</f>
        <v>9416.195</v>
      </c>
    </row>
    <row r="783">
      <c r="A783" s="3">
        <f>IFERROR(__xludf.DUMMYFUNCTION("""COMPUTED_VALUE"""),41092.99861111111)</f>
        <v>41092.99861</v>
      </c>
      <c r="B783" s="1">
        <f>IFERROR(__xludf.DUMMYFUNCTION("""COMPUTED_VALUE"""),9382.45)</f>
        <v>9382.45</v>
      </c>
    </row>
    <row r="784">
      <c r="A784" s="3">
        <f>IFERROR(__xludf.DUMMYFUNCTION("""COMPUTED_VALUE"""),41093.99861111111)</f>
        <v>41093.99861</v>
      </c>
      <c r="B784" s="1">
        <f>IFERROR(__xludf.DUMMYFUNCTION("""COMPUTED_VALUE"""),9313.2)</f>
        <v>9313.2</v>
      </c>
    </row>
    <row r="785">
      <c r="A785" s="3">
        <f>IFERROR(__xludf.DUMMYFUNCTION("""COMPUTED_VALUE"""),41094.99861111111)</f>
        <v>41094.99861</v>
      </c>
      <c r="B785" s="1">
        <f>IFERROR(__xludf.DUMMYFUNCTION("""COMPUTED_VALUE"""),9332.1)</f>
        <v>9332.1</v>
      </c>
    </row>
    <row r="786">
      <c r="A786" s="3">
        <f>IFERROR(__xludf.DUMMYFUNCTION("""COMPUTED_VALUE"""),41095.99861111111)</f>
        <v>41095.99861</v>
      </c>
      <c r="B786" s="1">
        <f>IFERROR(__xludf.DUMMYFUNCTION("""COMPUTED_VALUE"""),9362.2)</f>
        <v>9362.2</v>
      </c>
    </row>
    <row r="787">
      <c r="A787" s="3">
        <f>IFERROR(__xludf.DUMMYFUNCTION("""COMPUTED_VALUE"""),41096.99861111111)</f>
        <v>41096.99861</v>
      </c>
      <c r="B787" s="1">
        <f>IFERROR(__xludf.DUMMYFUNCTION("""COMPUTED_VALUE"""),9417.0)</f>
        <v>9417</v>
      </c>
    </row>
    <row r="788">
      <c r="A788" s="3">
        <f>IFERROR(__xludf.DUMMYFUNCTION("""COMPUTED_VALUE"""),41097.99861111111)</f>
        <v>41097.99861</v>
      </c>
      <c r="B788" s="1">
        <f>IFERROR(__xludf.DUMMYFUNCTION("""COMPUTED_VALUE"""),9295.6)</f>
        <v>9295.6</v>
      </c>
    </row>
    <row r="789">
      <c r="A789" s="3">
        <f>IFERROR(__xludf.DUMMYFUNCTION("""COMPUTED_VALUE"""),41098.99861111111)</f>
        <v>41098.99861</v>
      </c>
      <c r="B789" s="1">
        <f>IFERROR(__xludf.DUMMYFUNCTION("""COMPUTED_VALUE"""),9441.95)</f>
        <v>9441.95</v>
      </c>
    </row>
    <row r="790">
      <c r="A790" s="3">
        <f>IFERROR(__xludf.DUMMYFUNCTION("""COMPUTED_VALUE"""),41099.99861111111)</f>
        <v>41099.99861</v>
      </c>
      <c r="B790" s="1">
        <f>IFERROR(__xludf.DUMMYFUNCTION("""COMPUTED_VALUE"""),9379.2)</f>
        <v>9379.2</v>
      </c>
    </row>
    <row r="791">
      <c r="A791" s="3">
        <f>IFERROR(__xludf.DUMMYFUNCTION("""COMPUTED_VALUE"""),41100.99861111111)</f>
        <v>41100.99861</v>
      </c>
      <c r="B791" s="1">
        <f>IFERROR(__xludf.DUMMYFUNCTION("""COMPUTED_VALUE"""),9398.6)</f>
        <v>9398.6</v>
      </c>
    </row>
    <row r="792">
      <c r="A792" s="3">
        <f>IFERROR(__xludf.DUMMYFUNCTION("""COMPUTED_VALUE"""),41101.99861111111)</f>
        <v>41101.99861</v>
      </c>
      <c r="B792" s="1">
        <f>IFERROR(__xludf.DUMMYFUNCTION("""COMPUTED_VALUE"""),9384.1)</f>
        <v>9384.1</v>
      </c>
    </row>
    <row r="793">
      <c r="A793" s="3">
        <f>IFERROR(__xludf.DUMMYFUNCTION("""COMPUTED_VALUE"""),41102.99861111111)</f>
        <v>41102.99861</v>
      </c>
      <c r="B793" s="1">
        <f>IFERROR(__xludf.DUMMYFUNCTION("""COMPUTED_VALUE"""),9414.4)</f>
        <v>9414.4</v>
      </c>
    </row>
    <row r="794">
      <c r="A794" s="3">
        <f>IFERROR(__xludf.DUMMYFUNCTION("""COMPUTED_VALUE"""),41103.99861111111)</f>
        <v>41103.99861</v>
      </c>
      <c r="B794" s="1">
        <f>IFERROR(__xludf.DUMMYFUNCTION("""COMPUTED_VALUE"""),9423.0)</f>
        <v>9423</v>
      </c>
    </row>
    <row r="795">
      <c r="A795" s="3">
        <f>IFERROR(__xludf.DUMMYFUNCTION("""COMPUTED_VALUE"""),41104.99861111111)</f>
        <v>41104.99861</v>
      </c>
      <c r="B795" s="1">
        <f>IFERROR(__xludf.DUMMYFUNCTION("""COMPUTED_VALUE"""),9423.0)</f>
        <v>9423</v>
      </c>
    </row>
    <row r="796">
      <c r="A796" s="3">
        <f>IFERROR(__xludf.DUMMYFUNCTION("""COMPUTED_VALUE"""),41105.99861111111)</f>
        <v>41105.99861</v>
      </c>
      <c r="B796" s="1">
        <f>IFERROR(__xludf.DUMMYFUNCTION("""COMPUTED_VALUE"""),9469.696)</f>
        <v>9469.696</v>
      </c>
    </row>
    <row r="797">
      <c r="A797" s="3">
        <f>IFERROR(__xludf.DUMMYFUNCTION("""COMPUTED_VALUE"""),41106.99861111111)</f>
        <v>41106.99861</v>
      </c>
      <c r="B797" s="1">
        <f>IFERROR(__xludf.DUMMYFUNCTION("""COMPUTED_VALUE"""),9420.3)</f>
        <v>9420.3</v>
      </c>
    </row>
    <row r="798">
      <c r="A798" s="3">
        <f>IFERROR(__xludf.DUMMYFUNCTION("""COMPUTED_VALUE"""),41107.99861111111)</f>
        <v>41107.99861</v>
      </c>
      <c r="B798" s="1">
        <f>IFERROR(__xludf.DUMMYFUNCTION("""COMPUTED_VALUE"""),9409.8)</f>
        <v>9409.8</v>
      </c>
    </row>
    <row r="799">
      <c r="A799" s="3">
        <f>IFERROR(__xludf.DUMMYFUNCTION("""COMPUTED_VALUE"""),41108.99861111111)</f>
        <v>41108.99861</v>
      </c>
      <c r="B799" s="1">
        <f>IFERROR(__xludf.DUMMYFUNCTION("""COMPUTED_VALUE"""),9419.0)</f>
        <v>9419</v>
      </c>
    </row>
    <row r="800">
      <c r="A800" s="3">
        <f>IFERROR(__xludf.DUMMYFUNCTION("""COMPUTED_VALUE"""),41109.99861111111)</f>
        <v>41109.99861</v>
      </c>
      <c r="B800" s="1">
        <f>IFERROR(__xludf.DUMMYFUNCTION("""COMPUTED_VALUE"""),9416.8)</f>
        <v>9416.8</v>
      </c>
    </row>
    <row r="801">
      <c r="A801" s="3">
        <f>IFERROR(__xludf.DUMMYFUNCTION("""COMPUTED_VALUE"""),41110.99861111111)</f>
        <v>41110.99861</v>
      </c>
      <c r="B801" s="1">
        <f>IFERROR(__xludf.DUMMYFUNCTION("""COMPUTED_VALUE"""),9425.0)</f>
        <v>9425</v>
      </c>
    </row>
    <row r="802">
      <c r="A802" s="3">
        <f>IFERROR(__xludf.DUMMYFUNCTION("""COMPUTED_VALUE"""),41111.99861111111)</f>
        <v>41111.99861</v>
      </c>
      <c r="B802" s="1">
        <f>IFERROR(__xludf.DUMMYFUNCTION("""COMPUTED_VALUE"""),9425.0)</f>
        <v>9425</v>
      </c>
    </row>
    <row r="803">
      <c r="A803" s="3">
        <f>IFERROR(__xludf.DUMMYFUNCTION("""COMPUTED_VALUE"""),41112.99861111111)</f>
        <v>41112.99861</v>
      </c>
      <c r="B803" s="1">
        <f>IFERROR(__xludf.DUMMYFUNCTION("""COMPUTED_VALUE"""),9478.672)</f>
        <v>9478.672</v>
      </c>
    </row>
    <row r="804">
      <c r="A804" s="3">
        <f>IFERROR(__xludf.DUMMYFUNCTION("""COMPUTED_VALUE"""),41113.99861111111)</f>
        <v>41113.99861</v>
      </c>
      <c r="B804" s="1">
        <f>IFERROR(__xludf.DUMMYFUNCTION("""COMPUTED_VALUE"""),9424.0)</f>
        <v>9424</v>
      </c>
    </row>
    <row r="805">
      <c r="A805" s="3">
        <f>IFERROR(__xludf.DUMMYFUNCTION("""COMPUTED_VALUE"""),41114.99861111111)</f>
        <v>41114.99861</v>
      </c>
      <c r="B805" s="1">
        <f>IFERROR(__xludf.DUMMYFUNCTION("""COMPUTED_VALUE"""),9435.2)</f>
        <v>9435.2</v>
      </c>
    </row>
    <row r="806">
      <c r="A806" s="3">
        <f>IFERROR(__xludf.DUMMYFUNCTION("""COMPUTED_VALUE"""),41115.99861111111)</f>
        <v>41115.99861</v>
      </c>
      <c r="B806" s="1">
        <f>IFERROR(__xludf.DUMMYFUNCTION("""COMPUTED_VALUE"""),9453.5)</f>
        <v>9453.5</v>
      </c>
    </row>
    <row r="807">
      <c r="A807" s="3">
        <f>IFERROR(__xludf.DUMMYFUNCTION("""COMPUTED_VALUE"""),41116.99861111111)</f>
        <v>41116.99861</v>
      </c>
      <c r="B807" s="1">
        <f>IFERROR(__xludf.DUMMYFUNCTION("""COMPUTED_VALUE"""),9446.6)</f>
        <v>9446.6</v>
      </c>
    </row>
    <row r="808">
      <c r="A808" s="3">
        <f>IFERROR(__xludf.DUMMYFUNCTION("""COMPUTED_VALUE"""),41117.99861111111)</f>
        <v>41117.99861</v>
      </c>
      <c r="B808" s="1">
        <f>IFERROR(__xludf.DUMMYFUNCTION("""COMPUTED_VALUE"""),9430.0)</f>
        <v>9430</v>
      </c>
    </row>
    <row r="809">
      <c r="A809" s="3">
        <f>IFERROR(__xludf.DUMMYFUNCTION("""COMPUTED_VALUE"""),41118.99861111111)</f>
        <v>41118.99861</v>
      </c>
      <c r="B809" s="1">
        <f>IFERROR(__xludf.DUMMYFUNCTION("""COMPUTED_VALUE"""),9478.672)</f>
        <v>9478.672</v>
      </c>
    </row>
    <row r="810">
      <c r="A810" s="3">
        <f>IFERROR(__xludf.DUMMYFUNCTION("""COMPUTED_VALUE"""),41119.99861111111)</f>
        <v>41119.99861</v>
      </c>
      <c r="B810" s="1">
        <f>IFERROR(__xludf.DUMMYFUNCTION("""COMPUTED_VALUE"""),9430.0)</f>
        <v>9430</v>
      </c>
    </row>
    <row r="811">
      <c r="A811" s="3">
        <f>IFERROR(__xludf.DUMMYFUNCTION("""COMPUTED_VALUE"""),41120.99861111111)</f>
        <v>41120.99861</v>
      </c>
      <c r="B811" s="1">
        <f>IFERROR(__xludf.DUMMYFUNCTION("""COMPUTED_VALUE"""),9424.0)</f>
        <v>9424</v>
      </c>
    </row>
    <row r="812">
      <c r="A812" s="3">
        <f>IFERROR(__xludf.DUMMYFUNCTION("""COMPUTED_VALUE"""),41121.99861111111)</f>
        <v>41121.99861</v>
      </c>
      <c r="B812" s="1">
        <f>IFERROR(__xludf.DUMMYFUNCTION("""COMPUTED_VALUE"""),9414.4)</f>
        <v>9414.4</v>
      </c>
    </row>
    <row r="813">
      <c r="A813" s="3">
        <f>IFERROR(__xludf.DUMMYFUNCTION("""COMPUTED_VALUE"""),41122.99861111111)</f>
        <v>41122.99861</v>
      </c>
      <c r="B813" s="1">
        <f>IFERROR(__xludf.DUMMYFUNCTION("""COMPUTED_VALUE"""),9412.6)</f>
        <v>9412.6</v>
      </c>
    </row>
    <row r="814">
      <c r="A814" s="3">
        <f>IFERROR(__xludf.DUMMYFUNCTION("""COMPUTED_VALUE"""),41123.99861111111)</f>
        <v>41123.99861</v>
      </c>
      <c r="B814" s="1">
        <f>IFERROR(__xludf.DUMMYFUNCTION("""COMPUTED_VALUE"""),9435.6)</f>
        <v>9435.6</v>
      </c>
    </row>
    <row r="815">
      <c r="A815" s="3">
        <f>IFERROR(__xludf.DUMMYFUNCTION("""COMPUTED_VALUE"""),41124.99861111111)</f>
        <v>41124.99861</v>
      </c>
      <c r="B815" s="1">
        <f>IFERROR(__xludf.DUMMYFUNCTION("""COMPUTED_VALUE"""),9443.0)</f>
        <v>9443</v>
      </c>
    </row>
    <row r="816">
      <c r="A816" s="3">
        <f>IFERROR(__xludf.DUMMYFUNCTION("""COMPUTED_VALUE"""),41125.99861111111)</f>
        <v>41125.99861</v>
      </c>
      <c r="B816" s="1">
        <f>IFERROR(__xludf.DUMMYFUNCTION("""COMPUTED_VALUE"""),9430.9)</f>
        <v>9430.9</v>
      </c>
    </row>
    <row r="817">
      <c r="A817" s="3">
        <f>IFERROR(__xludf.DUMMYFUNCTION("""COMPUTED_VALUE"""),41126.99861111111)</f>
        <v>41126.99861</v>
      </c>
      <c r="B817" s="1">
        <f>IFERROR(__xludf.DUMMYFUNCTION("""COMPUTED_VALUE"""),9487.666)</f>
        <v>9487.666</v>
      </c>
    </row>
    <row r="818">
      <c r="A818" s="3">
        <f>IFERROR(__xludf.DUMMYFUNCTION("""COMPUTED_VALUE"""),41127.99861111111)</f>
        <v>41127.99861</v>
      </c>
      <c r="B818" s="1">
        <f>IFERROR(__xludf.DUMMYFUNCTION("""COMPUTED_VALUE"""),9434.5)</f>
        <v>9434.5</v>
      </c>
    </row>
    <row r="819">
      <c r="A819" s="3">
        <f>IFERROR(__xludf.DUMMYFUNCTION("""COMPUTED_VALUE"""),41128.99861111111)</f>
        <v>41128.99861</v>
      </c>
      <c r="B819" s="1">
        <f>IFERROR(__xludf.DUMMYFUNCTION("""COMPUTED_VALUE"""),9470.0)</f>
        <v>9470</v>
      </c>
    </row>
    <row r="820">
      <c r="A820" s="3">
        <f>IFERROR(__xludf.DUMMYFUNCTION("""COMPUTED_VALUE"""),41129.99861111111)</f>
        <v>41129.99861</v>
      </c>
      <c r="B820" s="1">
        <f>IFERROR(__xludf.DUMMYFUNCTION("""COMPUTED_VALUE"""),9439.9)</f>
        <v>9439.9</v>
      </c>
    </row>
    <row r="821">
      <c r="A821" s="3">
        <f>IFERROR(__xludf.DUMMYFUNCTION("""COMPUTED_VALUE"""),41130.99861111111)</f>
        <v>41130.99861</v>
      </c>
      <c r="B821" s="1">
        <f>IFERROR(__xludf.DUMMYFUNCTION("""COMPUTED_VALUE"""),9440.9)</f>
        <v>9440.9</v>
      </c>
    </row>
    <row r="822">
      <c r="A822" s="3">
        <f>IFERROR(__xludf.DUMMYFUNCTION("""COMPUTED_VALUE"""),41131.99861111111)</f>
        <v>41131.99861</v>
      </c>
      <c r="B822" s="1">
        <f>IFERROR(__xludf.DUMMYFUNCTION("""COMPUTED_VALUE"""),9448.3)</f>
        <v>9448.3</v>
      </c>
    </row>
    <row r="823">
      <c r="A823" s="3">
        <f>IFERROR(__xludf.DUMMYFUNCTION("""COMPUTED_VALUE"""),41132.99861111111)</f>
        <v>41132.99861</v>
      </c>
      <c r="B823" s="1">
        <f>IFERROR(__xludf.DUMMYFUNCTION("""COMPUTED_VALUE"""),9453.0)</f>
        <v>9453</v>
      </c>
    </row>
    <row r="824">
      <c r="A824" s="3">
        <f>IFERROR(__xludf.DUMMYFUNCTION("""COMPUTED_VALUE"""),41133.99861111111)</f>
        <v>41133.99861</v>
      </c>
      <c r="B824" s="1">
        <f>IFERROR(__xludf.DUMMYFUNCTION("""COMPUTED_VALUE"""),9477.45)</f>
        <v>9477.45</v>
      </c>
    </row>
    <row r="825">
      <c r="A825" s="3">
        <f>IFERROR(__xludf.DUMMYFUNCTION("""COMPUTED_VALUE"""),41134.99861111111)</f>
        <v>41134.99861</v>
      </c>
      <c r="B825" s="1">
        <f>IFERROR(__xludf.DUMMYFUNCTION("""COMPUTED_VALUE"""),9454.4)</f>
        <v>9454.4</v>
      </c>
    </row>
    <row r="826">
      <c r="A826" s="3">
        <f>IFERROR(__xludf.DUMMYFUNCTION("""COMPUTED_VALUE"""),41135.99861111111)</f>
        <v>41135.99861</v>
      </c>
      <c r="B826" s="1">
        <f>IFERROR(__xludf.DUMMYFUNCTION("""COMPUTED_VALUE"""),9452.1)</f>
        <v>9452.1</v>
      </c>
    </row>
    <row r="827">
      <c r="A827" s="3">
        <f>IFERROR(__xludf.DUMMYFUNCTION("""COMPUTED_VALUE"""),41136.99861111111)</f>
        <v>41136.99861</v>
      </c>
      <c r="B827" s="1">
        <f>IFERROR(__xludf.DUMMYFUNCTION("""COMPUTED_VALUE"""),9467.6)</f>
        <v>9467.6</v>
      </c>
    </row>
    <row r="828">
      <c r="A828" s="3">
        <f>IFERROR(__xludf.DUMMYFUNCTION("""COMPUTED_VALUE"""),41137.99861111111)</f>
        <v>41137.99861</v>
      </c>
      <c r="B828" s="1">
        <f>IFERROR(__xludf.DUMMYFUNCTION("""COMPUTED_VALUE"""),9459.1)</f>
        <v>9459.1</v>
      </c>
    </row>
    <row r="829">
      <c r="A829" s="3">
        <f>IFERROR(__xludf.DUMMYFUNCTION("""COMPUTED_VALUE"""),41138.99861111111)</f>
        <v>41138.99861</v>
      </c>
      <c r="B829" s="1">
        <f>IFERROR(__xludf.DUMMYFUNCTION("""COMPUTED_VALUE"""),9465.0)</f>
        <v>9465</v>
      </c>
    </row>
    <row r="830">
      <c r="A830" s="3">
        <f>IFERROR(__xludf.DUMMYFUNCTION("""COMPUTED_VALUE"""),41139.99861111111)</f>
        <v>41139.99861</v>
      </c>
      <c r="B830" s="1">
        <f>IFERROR(__xludf.DUMMYFUNCTION("""COMPUTED_VALUE"""),9465.0)</f>
        <v>9465</v>
      </c>
    </row>
    <row r="831">
      <c r="A831" s="3">
        <f>IFERROR(__xludf.DUMMYFUNCTION("""COMPUTED_VALUE"""),41140.99861111111)</f>
        <v>41140.99861</v>
      </c>
      <c r="B831" s="1">
        <f>IFERROR(__xludf.DUMMYFUNCTION("""COMPUTED_VALUE"""),9489.95)</f>
        <v>9489.95</v>
      </c>
    </row>
    <row r="832">
      <c r="A832" s="3">
        <f>IFERROR(__xludf.DUMMYFUNCTION("""COMPUTED_VALUE"""),41141.99861111111)</f>
        <v>41141.99861</v>
      </c>
      <c r="B832" s="1">
        <f>IFERROR(__xludf.DUMMYFUNCTION("""COMPUTED_VALUE"""),9459.4)</f>
        <v>9459.4</v>
      </c>
    </row>
    <row r="833">
      <c r="A833" s="3">
        <f>IFERROR(__xludf.DUMMYFUNCTION("""COMPUTED_VALUE"""),41143.99861111111)</f>
        <v>41143.99861</v>
      </c>
      <c r="B833" s="1">
        <f>IFERROR(__xludf.DUMMYFUNCTION("""COMPUTED_VALUE"""),9465.0)</f>
        <v>9465</v>
      </c>
    </row>
    <row r="834">
      <c r="A834" s="3">
        <f>IFERROR(__xludf.DUMMYFUNCTION("""COMPUTED_VALUE"""),41144.99861111111)</f>
        <v>41144.99861</v>
      </c>
      <c r="B834" s="1">
        <f>IFERROR(__xludf.DUMMYFUNCTION("""COMPUTED_VALUE"""),9463.9)</f>
        <v>9463.9</v>
      </c>
    </row>
    <row r="835">
      <c r="A835" s="3">
        <f>IFERROR(__xludf.DUMMYFUNCTION("""COMPUTED_VALUE"""),41145.99861111111)</f>
        <v>41145.99861</v>
      </c>
      <c r="B835" s="1">
        <f>IFERROR(__xludf.DUMMYFUNCTION("""COMPUTED_VALUE"""),9480.0)</f>
        <v>9480</v>
      </c>
    </row>
    <row r="836">
      <c r="A836" s="3">
        <f>IFERROR(__xludf.DUMMYFUNCTION("""COMPUTED_VALUE"""),41146.99861111111)</f>
        <v>41146.99861</v>
      </c>
      <c r="B836" s="1">
        <f>IFERROR(__xludf.DUMMYFUNCTION("""COMPUTED_VALUE"""),9480.0)</f>
        <v>9480</v>
      </c>
    </row>
    <row r="837">
      <c r="A837" s="3">
        <f>IFERROR(__xludf.DUMMYFUNCTION("""COMPUTED_VALUE"""),41147.99861111111)</f>
        <v>41147.99861</v>
      </c>
      <c r="B837" s="1">
        <f>IFERROR(__xludf.DUMMYFUNCTION("""COMPUTED_VALUE"""),9532.888)</f>
        <v>9532.888</v>
      </c>
    </row>
    <row r="838">
      <c r="A838" s="3">
        <f>IFERROR(__xludf.DUMMYFUNCTION("""COMPUTED_VALUE"""),41148.99861111111)</f>
        <v>41148.99861</v>
      </c>
      <c r="B838" s="1">
        <f>IFERROR(__xludf.DUMMYFUNCTION("""COMPUTED_VALUE"""),9485.0)</f>
        <v>9485</v>
      </c>
    </row>
    <row r="839">
      <c r="A839" s="3">
        <f>IFERROR(__xludf.DUMMYFUNCTION("""COMPUTED_VALUE"""),41149.99861111111)</f>
        <v>41149.99861</v>
      </c>
      <c r="B839" s="1">
        <f>IFERROR(__xludf.DUMMYFUNCTION("""COMPUTED_VALUE"""),9504.9)</f>
        <v>9504.9</v>
      </c>
    </row>
    <row r="840">
      <c r="A840" s="3">
        <f>IFERROR(__xludf.DUMMYFUNCTION("""COMPUTED_VALUE"""),41150.99861111111)</f>
        <v>41150.99861</v>
      </c>
      <c r="B840" s="1">
        <f>IFERROR(__xludf.DUMMYFUNCTION("""COMPUTED_VALUE"""),9516.8)</f>
        <v>9516.8</v>
      </c>
    </row>
    <row r="841">
      <c r="A841" s="3">
        <f>IFERROR(__xludf.DUMMYFUNCTION("""COMPUTED_VALUE"""),41151.99861111111)</f>
        <v>41151.99861</v>
      </c>
      <c r="B841" s="1">
        <f>IFERROR(__xludf.DUMMYFUNCTION("""COMPUTED_VALUE"""),9514.6)</f>
        <v>9514.6</v>
      </c>
    </row>
    <row r="842">
      <c r="A842" s="3">
        <f>IFERROR(__xludf.DUMMYFUNCTION("""COMPUTED_VALUE"""),41152.99861111111)</f>
        <v>41152.99861</v>
      </c>
      <c r="B842" s="1">
        <f>IFERROR(__xludf.DUMMYFUNCTION("""COMPUTED_VALUE"""),9510.0)</f>
        <v>9510</v>
      </c>
    </row>
    <row r="843">
      <c r="A843" s="3">
        <f>IFERROR(__xludf.DUMMYFUNCTION("""COMPUTED_VALUE"""),41153.99861111111)</f>
        <v>41153.99861</v>
      </c>
      <c r="B843" s="1">
        <f>IFERROR(__xludf.DUMMYFUNCTION("""COMPUTED_VALUE"""),9510.0)</f>
        <v>9510</v>
      </c>
    </row>
    <row r="844">
      <c r="A844" s="3">
        <f>IFERROR(__xludf.DUMMYFUNCTION("""COMPUTED_VALUE"""),41154.99861111111)</f>
        <v>41154.99861</v>
      </c>
      <c r="B844" s="1">
        <f>IFERROR(__xludf.DUMMYFUNCTION("""COMPUTED_VALUE"""),9534.95)</f>
        <v>9534.95</v>
      </c>
    </row>
    <row r="845">
      <c r="A845" s="3">
        <f>IFERROR(__xludf.DUMMYFUNCTION("""COMPUTED_VALUE"""),41155.99861111111)</f>
        <v>41155.99861</v>
      </c>
      <c r="B845" s="1">
        <f>IFERROR(__xludf.DUMMYFUNCTION("""COMPUTED_VALUE"""),9505.5)</f>
        <v>9505.5</v>
      </c>
    </row>
    <row r="846">
      <c r="A846" s="3">
        <f>IFERROR(__xludf.DUMMYFUNCTION("""COMPUTED_VALUE"""),41156.99861111111)</f>
        <v>41156.99861</v>
      </c>
      <c r="B846" s="1">
        <f>IFERROR(__xludf.DUMMYFUNCTION("""COMPUTED_VALUE"""),9540.9)</f>
        <v>9540.9</v>
      </c>
    </row>
    <row r="847">
      <c r="A847" s="3">
        <f>IFERROR(__xludf.DUMMYFUNCTION("""COMPUTED_VALUE"""),41157.99861111111)</f>
        <v>41157.99861</v>
      </c>
      <c r="B847" s="1">
        <f>IFERROR(__xludf.DUMMYFUNCTION("""COMPUTED_VALUE"""),9540.6)</f>
        <v>9540.6</v>
      </c>
    </row>
    <row r="848">
      <c r="A848" s="3">
        <f>IFERROR(__xludf.DUMMYFUNCTION("""COMPUTED_VALUE"""),41158.99861111111)</f>
        <v>41158.99861</v>
      </c>
      <c r="B848" s="1">
        <f>IFERROR(__xludf.DUMMYFUNCTION("""COMPUTED_VALUE"""),9534.9)</f>
        <v>9534.9</v>
      </c>
    </row>
    <row r="849">
      <c r="A849" s="3">
        <f>IFERROR(__xludf.DUMMYFUNCTION("""COMPUTED_VALUE"""),41159.99861111111)</f>
        <v>41159.99861</v>
      </c>
      <c r="B849" s="1">
        <f>IFERROR(__xludf.DUMMYFUNCTION("""COMPUTED_VALUE"""),9545.0)</f>
        <v>9545</v>
      </c>
    </row>
    <row r="850">
      <c r="A850" s="3">
        <f>IFERROR(__xludf.DUMMYFUNCTION("""COMPUTED_VALUE"""),41160.99861111111)</f>
        <v>41160.99861</v>
      </c>
      <c r="B850" s="1">
        <f>IFERROR(__xludf.DUMMYFUNCTION("""COMPUTED_VALUE"""),9541.9)</f>
        <v>9541.9</v>
      </c>
    </row>
    <row r="851">
      <c r="A851" s="3">
        <f>IFERROR(__xludf.DUMMYFUNCTION("""COMPUTED_VALUE"""),41161.99861111111)</f>
        <v>41161.99861</v>
      </c>
      <c r="B851" s="1">
        <f>IFERROR(__xludf.DUMMYFUNCTION("""COMPUTED_VALUE"""),9615.384)</f>
        <v>9615.384</v>
      </c>
    </row>
    <row r="852">
      <c r="A852" s="3">
        <f>IFERROR(__xludf.DUMMYFUNCTION("""COMPUTED_VALUE"""),41162.99861111111)</f>
        <v>41162.99861</v>
      </c>
      <c r="B852" s="1">
        <f>IFERROR(__xludf.DUMMYFUNCTION("""COMPUTED_VALUE"""),9548.3)</f>
        <v>9548.3</v>
      </c>
    </row>
    <row r="853">
      <c r="A853" s="3">
        <f>IFERROR(__xludf.DUMMYFUNCTION("""COMPUTED_VALUE"""),41163.99861111111)</f>
        <v>41163.99861</v>
      </c>
      <c r="B853" s="1">
        <f>IFERROR(__xludf.DUMMYFUNCTION("""COMPUTED_VALUE"""),9547.9)</f>
        <v>9547.9</v>
      </c>
    </row>
    <row r="854">
      <c r="A854" s="3">
        <f>IFERROR(__xludf.DUMMYFUNCTION("""COMPUTED_VALUE"""),41164.99861111111)</f>
        <v>41164.99861</v>
      </c>
      <c r="B854" s="1">
        <f>IFERROR(__xludf.DUMMYFUNCTION("""COMPUTED_VALUE"""),9538.1)</f>
        <v>9538.1</v>
      </c>
    </row>
    <row r="855">
      <c r="A855" s="3">
        <f>IFERROR(__xludf.DUMMYFUNCTION("""COMPUTED_VALUE"""),41165.99861111111)</f>
        <v>41165.99861</v>
      </c>
      <c r="B855" s="1">
        <f>IFERROR(__xludf.DUMMYFUNCTION("""COMPUTED_VALUE"""),9548.9)</f>
        <v>9548.9</v>
      </c>
    </row>
    <row r="856">
      <c r="A856" s="3">
        <f>IFERROR(__xludf.DUMMYFUNCTION("""COMPUTED_VALUE"""),41166.99861111111)</f>
        <v>41166.99861</v>
      </c>
      <c r="B856" s="1">
        <f>IFERROR(__xludf.DUMMYFUNCTION("""COMPUTED_VALUE"""),9480.0)</f>
        <v>9480</v>
      </c>
    </row>
    <row r="857">
      <c r="A857" s="3">
        <f>IFERROR(__xludf.DUMMYFUNCTION("""COMPUTED_VALUE"""),41167.99861111111)</f>
        <v>41167.99861</v>
      </c>
      <c r="B857" s="1">
        <f>IFERROR(__xludf.DUMMYFUNCTION("""COMPUTED_VALUE"""),9307.3)</f>
        <v>9307.3</v>
      </c>
    </row>
    <row r="858">
      <c r="A858" s="3">
        <f>IFERROR(__xludf.DUMMYFUNCTION("""COMPUTED_VALUE"""),41168.99861111111)</f>
        <v>41168.99861</v>
      </c>
      <c r="B858" s="1">
        <f>IFERROR(__xludf.DUMMYFUNCTION("""COMPUTED_VALUE"""),9671.179)</f>
        <v>9671.179</v>
      </c>
    </row>
    <row r="859">
      <c r="A859" s="3">
        <f>IFERROR(__xludf.DUMMYFUNCTION("""COMPUTED_VALUE"""),41169.99861111111)</f>
        <v>41169.99861</v>
      </c>
      <c r="B859" s="1">
        <f>IFERROR(__xludf.DUMMYFUNCTION("""COMPUTED_VALUE"""),9433.5)</f>
        <v>9433.5</v>
      </c>
    </row>
    <row r="860">
      <c r="A860" s="3">
        <f>IFERROR(__xludf.DUMMYFUNCTION("""COMPUTED_VALUE"""),41170.99861111111)</f>
        <v>41170.99861</v>
      </c>
      <c r="B860" s="1">
        <f>IFERROR(__xludf.DUMMYFUNCTION("""COMPUTED_VALUE"""),9473.4)</f>
        <v>9473.4</v>
      </c>
    </row>
    <row r="861">
      <c r="A861" s="3">
        <f>IFERROR(__xludf.DUMMYFUNCTION("""COMPUTED_VALUE"""),41171.99861111111)</f>
        <v>41171.99861</v>
      </c>
      <c r="B861" s="1">
        <f>IFERROR(__xludf.DUMMYFUNCTION("""COMPUTED_VALUE"""),9508.7)</f>
        <v>9508.7</v>
      </c>
    </row>
    <row r="862">
      <c r="A862" s="3">
        <f>IFERROR(__xludf.DUMMYFUNCTION("""COMPUTED_VALUE"""),41172.99861111111)</f>
        <v>41172.99861</v>
      </c>
      <c r="B862" s="1">
        <f>IFERROR(__xludf.DUMMYFUNCTION("""COMPUTED_VALUE"""),9511.3)</f>
        <v>9511.3</v>
      </c>
    </row>
    <row r="863">
      <c r="A863" s="3">
        <f>IFERROR(__xludf.DUMMYFUNCTION("""COMPUTED_VALUE"""),41173.99861111111)</f>
        <v>41173.99861</v>
      </c>
      <c r="B863" s="1">
        <f>IFERROR(__xludf.DUMMYFUNCTION("""COMPUTED_VALUE"""),9520.0)</f>
        <v>9520</v>
      </c>
    </row>
    <row r="864">
      <c r="A864" s="3">
        <f>IFERROR(__xludf.DUMMYFUNCTION("""COMPUTED_VALUE"""),41174.99861111111)</f>
        <v>41174.99861</v>
      </c>
      <c r="B864" s="1">
        <f>IFERROR(__xludf.DUMMYFUNCTION("""COMPUTED_VALUE"""),9520.0)</f>
        <v>9520</v>
      </c>
    </row>
    <row r="865">
      <c r="A865" s="3">
        <f>IFERROR(__xludf.DUMMYFUNCTION("""COMPUTED_VALUE"""),41175.99861111111)</f>
        <v>41175.99861</v>
      </c>
      <c r="B865" s="1">
        <f>IFERROR(__xludf.DUMMYFUNCTION("""COMPUTED_VALUE"""),9578.544)</f>
        <v>9578.544</v>
      </c>
    </row>
    <row r="866">
      <c r="A866" s="3">
        <f>IFERROR(__xludf.DUMMYFUNCTION("""COMPUTED_VALUE"""),41176.99861111111)</f>
        <v>41176.99861</v>
      </c>
      <c r="B866" s="1">
        <f>IFERROR(__xludf.DUMMYFUNCTION("""COMPUTED_VALUE"""),9533.4)</f>
        <v>9533.4</v>
      </c>
    </row>
    <row r="867">
      <c r="A867" s="3">
        <f>IFERROR(__xludf.DUMMYFUNCTION("""COMPUTED_VALUE"""),41177.99861111111)</f>
        <v>41177.99861</v>
      </c>
      <c r="B867" s="1">
        <f>IFERROR(__xludf.DUMMYFUNCTION("""COMPUTED_VALUE"""),9546.2)</f>
        <v>9546.2</v>
      </c>
    </row>
    <row r="868">
      <c r="A868" s="3">
        <f>IFERROR(__xludf.DUMMYFUNCTION("""COMPUTED_VALUE"""),41178.99861111111)</f>
        <v>41178.99861</v>
      </c>
      <c r="B868" s="1">
        <f>IFERROR(__xludf.DUMMYFUNCTION("""COMPUTED_VALUE"""),9555.6)</f>
        <v>9555.6</v>
      </c>
    </row>
    <row r="869">
      <c r="A869" s="3">
        <f>IFERROR(__xludf.DUMMYFUNCTION("""COMPUTED_VALUE"""),41179.99861111111)</f>
        <v>41179.99861</v>
      </c>
      <c r="B869" s="1">
        <f>IFERROR(__xludf.DUMMYFUNCTION("""COMPUTED_VALUE"""),9546.6)</f>
        <v>9546.6</v>
      </c>
    </row>
    <row r="870">
      <c r="A870" s="3">
        <f>IFERROR(__xludf.DUMMYFUNCTION("""COMPUTED_VALUE"""),41180.99861111111)</f>
        <v>41180.99861</v>
      </c>
      <c r="B870" s="1">
        <f>IFERROR(__xludf.DUMMYFUNCTION("""COMPUTED_VALUE"""),9545.0)</f>
        <v>9545</v>
      </c>
    </row>
    <row r="871">
      <c r="A871" s="3">
        <f>IFERROR(__xludf.DUMMYFUNCTION("""COMPUTED_VALUE"""),41181.99861111111)</f>
        <v>41181.99861</v>
      </c>
      <c r="B871" s="1">
        <f>IFERROR(__xludf.DUMMYFUNCTION("""COMPUTED_VALUE"""),9545.0)</f>
        <v>9545</v>
      </c>
    </row>
    <row r="872">
      <c r="A872" s="3">
        <f>IFERROR(__xludf.DUMMYFUNCTION("""COMPUTED_VALUE"""),41182.99861111111)</f>
        <v>41182.99861</v>
      </c>
      <c r="B872" s="1">
        <f>IFERROR(__xludf.DUMMYFUNCTION("""COMPUTED_VALUE"""),9569.95)</f>
        <v>9569.95</v>
      </c>
    </row>
    <row r="873">
      <c r="A873" s="3">
        <f>IFERROR(__xludf.DUMMYFUNCTION("""COMPUTED_VALUE"""),41183.99861111111)</f>
        <v>41183.99861</v>
      </c>
      <c r="B873" s="1">
        <f>IFERROR(__xludf.DUMMYFUNCTION("""COMPUTED_VALUE"""),9550.5)</f>
        <v>9550.5</v>
      </c>
    </row>
    <row r="874">
      <c r="A874" s="3">
        <f>IFERROR(__xludf.DUMMYFUNCTION("""COMPUTED_VALUE"""),41184.99861111111)</f>
        <v>41184.99861</v>
      </c>
      <c r="B874" s="1">
        <f>IFERROR(__xludf.DUMMYFUNCTION("""COMPUTED_VALUE"""),9551.0)</f>
        <v>9551</v>
      </c>
    </row>
    <row r="875">
      <c r="A875" s="3">
        <f>IFERROR(__xludf.DUMMYFUNCTION("""COMPUTED_VALUE"""),41185.99861111111)</f>
        <v>41185.99861</v>
      </c>
      <c r="B875" s="1">
        <f>IFERROR(__xludf.DUMMYFUNCTION("""COMPUTED_VALUE"""),9555.9)</f>
        <v>9555.9</v>
      </c>
    </row>
    <row r="876">
      <c r="A876" s="3">
        <f>IFERROR(__xludf.DUMMYFUNCTION("""COMPUTED_VALUE"""),41186.99861111111)</f>
        <v>41186.99861</v>
      </c>
      <c r="B876" s="1">
        <f>IFERROR(__xludf.DUMMYFUNCTION("""COMPUTED_VALUE"""),9561.3)</f>
        <v>9561.3</v>
      </c>
    </row>
    <row r="877">
      <c r="A877" s="3">
        <f>IFERROR(__xludf.DUMMYFUNCTION("""COMPUTED_VALUE"""),41187.99861111111)</f>
        <v>41187.99861</v>
      </c>
      <c r="B877" s="1">
        <f>IFERROR(__xludf.DUMMYFUNCTION("""COMPUTED_VALUE"""),9564.0)</f>
        <v>9564</v>
      </c>
    </row>
    <row r="878">
      <c r="A878" s="3">
        <f>IFERROR(__xludf.DUMMYFUNCTION("""COMPUTED_VALUE"""),41188.99861111111)</f>
        <v>41188.99861</v>
      </c>
      <c r="B878" s="1">
        <f>IFERROR(__xludf.DUMMYFUNCTION("""COMPUTED_VALUE"""),9615.384)</f>
        <v>9615.384</v>
      </c>
    </row>
    <row r="879">
      <c r="A879" s="3">
        <f>IFERROR(__xludf.DUMMYFUNCTION("""COMPUTED_VALUE"""),41189.99861111111)</f>
        <v>41189.99861</v>
      </c>
      <c r="B879" s="1">
        <f>IFERROR(__xludf.DUMMYFUNCTION("""COMPUTED_VALUE"""),9407.2)</f>
        <v>9407.2</v>
      </c>
    </row>
    <row r="880">
      <c r="A880" s="3">
        <f>IFERROR(__xludf.DUMMYFUNCTION("""COMPUTED_VALUE"""),41190.99861111111)</f>
        <v>41190.99861</v>
      </c>
      <c r="B880" s="1">
        <f>IFERROR(__xludf.DUMMYFUNCTION("""COMPUTED_VALUE"""),9561.2)</f>
        <v>9561.2</v>
      </c>
    </row>
    <row r="881">
      <c r="A881" s="3">
        <f>IFERROR(__xludf.DUMMYFUNCTION("""COMPUTED_VALUE"""),41191.99861111111)</f>
        <v>41191.99861</v>
      </c>
      <c r="B881" s="1">
        <f>IFERROR(__xludf.DUMMYFUNCTION("""COMPUTED_VALUE"""),9563.7)</f>
        <v>9563.7</v>
      </c>
    </row>
    <row r="882">
      <c r="A882" s="3">
        <f>IFERROR(__xludf.DUMMYFUNCTION("""COMPUTED_VALUE"""),41192.99861111111)</f>
        <v>41192.99861</v>
      </c>
      <c r="B882" s="1">
        <f>IFERROR(__xludf.DUMMYFUNCTION("""COMPUTED_VALUE"""),9562.6)</f>
        <v>9562.6</v>
      </c>
    </row>
    <row r="883">
      <c r="A883" s="3">
        <f>IFERROR(__xludf.DUMMYFUNCTION("""COMPUTED_VALUE"""),41193.99861111111)</f>
        <v>41193.99861</v>
      </c>
      <c r="B883" s="1">
        <f>IFERROR(__xludf.DUMMYFUNCTION("""COMPUTED_VALUE"""),9554.1)</f>
        <v>9554.1</v>
      </c>
    </row>
    <row r="884">
      <c r="A884" s="3">
        <f>IFERROR(__xludf.DUMMYFUNCTION("""COMPUTED_VALUE"""),41194.99861111111)</f>
        <v>41194.99861</v>
      </c>
      <c r="B884" s="1">
        <f>IFERROR(__xludf.DUMMYFUNCTION("""COMPUTED_VALUE"""),9553.0)</f>
        <v>9553</v>
      </c>
    </row>
    <row r="885">
      <c r="A885" s="3">
        <f>IFERROR(__xludf.DUMMYFUNCTION("""COMPUTED_VALUE"""),41195.99861111111)</f>
        <v>41195.99861</v>
      </c>
      <c r="B885" s="1">
        <f>IFERROR(__xludf.DUMMYFUNCTION("""COMPUTED_VALUE"""),9553.0)</f>
        <v>9553</v>
      </c>
    </row>
    <row r="886">
      <c r="A886" s="3">
        <f>IFERROR(__xludf.DUMMYFUNCTION("""COMPUTED_VALUE"""),41196.99861111111)</f>
        <v>41196.99861</v>
      </c>
      <c r="B886" s="1">
        <f>IFERROR(__xludf.DUMMYFUNCTION("""COMPUTED_VALUE"""),9577.45)</f>
        <v>9577.45</v>
      </c>
    </row>
    <row r="887">
      <c r="A887" s="3">
        <f>IFERROR(__xludf.DUMMYFUNCTION("""COMPUTED_VALUE"""),41197.99861111111)</f>
        <v>41197.99861</v>
      </c>
      <c r="B887" s="1">
        <f>IFERROR(__xludf.DUMMYFUNCTION("""COMPUTED_VALUE"""),9560.6)</f>
        <v>9560.6</v>
      </c>
    </row>
    <row r="888">
      <c r="A888" s="3">
        <f>IFERROR(__xludf.DUMMYFUNCTION("""COMPUTED_VALUE"""),41198.99861111111)</f>
        <v>41198.99861</v>
      </c>
      <c r="B888" s="1">
        <f>IFERROR(__xludf.DUMMYFUNCTION("""COMPUTED_VALUE"""),9555.6)</f>
        <v>9555.6</v>
      </c>
    </row>
    <row r="889">
      <c r="A889" s="3">
        <f>IFERROR(__xludf.DUMMYFUNCTION("""COMPUTED_VALUE"""),41199.99861111111)</f>
        <v>41199.99861</v>
      </c>
      <c r="B889" s="1">
        <f>IFERROR(__xludf.DUMMYFUNCTION("""COMPUTED_VALUE"""),9549.0)</f>
        <v>9549</v>
      </c>
    </row>
    <row r="890">
      <c r="A890" s="3">
        <f>IFERROR(__xludf.DUMMYFUNCTION("""COMPUTED_VALUE"""),41200.99861111111)</f>
        <v>41200.99861</v>
      </c>
      <c r="B890" s="1">
        <f>IFERROR(__xludf.DUMMYFUNCTION("""COMPUTED_VALUE"""),9559.4)</f>
        <v>9559.4</v>
      </c>
    </row>
    <row r="891">
      <c r="A891" s="3">
        <f>IFERROR(__xludf.DUMMYFUNCTION("""COMPUTED_VALUE"""),41201.99861111111)</f>
        <v>41201.99861</v>
      </c>
      <c r="B891" s="1">
        <f>IFERROR(__xludf.DUMMYFUNCTION("""COMPUTED_VALUE"""),9568.0)</f>
        <v>9568</v>
      </c>
    </row>
    <row r="892">
      <c r="A892" s="3">
        <f>IFERROR(__xludf.DUMMYFUNCTION("""COMPUTED_VALUE"""),41202.99861111111)</f>
        <v>41202.99861</v>
      </c>
      <c r="B892" s="1">
        <f>IFERROR(__xludf.DUMMYFUNCTION("""COMPUTED_VALUE"""),9563.8)</f>
        <v>9563.8</v>
      </c>
    </row>
    <row r="893">
      <c r="A893" s="3">
        <f>IFERROR(__xludf.DUMMYFUNCTION("""COMPUTED_VALUE"""),41203.99861111111)</f>
        <v>41203.99861</v>
      </c>
      <c r="B893" s="1">
        <f>IFERROR(__xludf.DUMMYFUNCTION("""COMPUTED_VALUE"""),9592.45)</f>
        <v>9592.45</v>
      </c>
    </row>
    <row r="894">
      <c r="A894" s="3">
        <f>IFERROR(__xludf.DUMMYFUNCTION("""COMPUTED_VALUE"""),41204.99861111111)</f>
        <v>41204.99861</v>
      </c>
      <c r="B894" s="1">
        <f>IFERROR(__xludf.DUMMYFUNCTION("""COMPUTED_VALUE"""),9576.0)</f>
        <v>9576</v>
      </c>
    </row>
    <row r="895">
      <c r="A895" s="3">
        <f>IFERROR(__xludf.DUMMYFUNCTION("""COMPUTED_VALUE"""),41205.99861111111)</f>
        <v>41205.99861</v>
      </c>
      <c r="B895" s="1">
        <f>IFERROR(__xludf.DUMMYFUNCTION("""COMPUTED_VALUE"""),9578.0)</f>
        <v>9578</v>
      </c>
    </row>
    <row r="896">
      <c r="A896" s="3">
        <f>IFERROR(__xludf.DUMMYFUNCTION("""COMPUTED_VALUE"""),41206.99861111111)</f>
        <v>41206.99861</v>
      </c>
      <c r="B896" s="1">
        <f>IFERROR(__xludf.DUMMYFUNCTION("""COMPUTED_VALUE"""),9580.4)</f>
        <v>9580.4</v>
      </c>
    </row>
    <row r="897">
      <c r="A897" s="3">
        <f>IFERROR(__xludf.DUMMYFUNCTION("""COMPUTED_VALUE"""),41207.99861111111)</f>
        <v>41207.99861</v>
      </c>
      <c r="B897" s="1">
        <f>IFERROR(__xludf.DUMMYFUNCTION("""COMPUTED_VALUE"""),9575.8)</f>
        <v>9575.8</v>
      </c>
    </row>
    <row r="898">
      <c r="A898" s="3">
        <f>IFERROR(__xludf.DUMMYFUNCTION("""COMPUTED_VALUE"""),41208.99861111111)</f>
        <v>41208.99861</v>
      </c>
      <c r="B898" s="1">
        <f>IFERROR(__xludf.DUMMYFUNCTION("""COMPUTED_VALUE"""),9580.0)</f>
        <v>9580</v>
      </c>
    </row>
    <row r="899">
      <c r="A899" s="3">
        <f>IFERROR(__xludf.DUMMYFUNCTION("""COMPUTED_VALUE"""),41209.99861111111)</f>
        <v>41209.99861</v>
      </c>
      <c r="B899" s="1">
        <f>IFERROR(__xludf.DUMMYFUNCTION("""COMPUTED_VALUE"""),9580.0)</f>
        <v>9580</v>
      </c>
    </row>
    <row r="900">
      <c r="A900" s="3">
        <f>IFERROR(__xludf.DUMMYFUNCTION("""COMPUTED_VALUE"""),41210.99861111111)</f>
        <v>41210.99861</v>
      </c>
      <c r="B900" s="1">
        <f>IFERROR(__xludf.DUMMYFUNCTION("""COMPUTED_VALUE"""),9604.95)</f>
        <v>9604.95</v>
      </c>
    </row>
    <row r="901">
      <c r="A901" s="3">
        <f>IFERROR(__xludf.DUMMYFUNCTION("""COMPUTED_VALUE"""),41211.99861111111)</f>
        <v>41211.99861</v>
      </c>
      <c r="B901" s="1">
        <f>IFERROR(__xludf.DUMMYFUNCTION("""COMPUTED_VALUE"""),9575.6)</f>
        <v>9575.6</v>
      </c>
    </row>
    <row r="902">
      <c r="A902" s="3">
        <f>IFERROR(__xludf.DUMMYFUNCTION("""COMPUTED_VALUE"""),41212.99861111111)</f>
        <v>41212.99861</v>
      </c>
      <c r="B902" s="1">
        <f>IFERROR(__xludf.DUMMYFUNCTION("""COMPUTED_VALUE"""),9585.9)</f>
        <v>9585.9</v>
      </c>
    </row>
    <row r="903">
      <c r="A903" s="3">
        <f>IFERROR(__xludf.DUMMYFUNCTION("""COMPUTED_VALUE"""),41213.99861111111)</f>
        <v>41213.99861</v>
      </c>
      <c r="B903" s="1">
        <f>IFERROR(__xludf.DUMMYFUNCTION("""COMPUTED_VALUE"""),9576.0)</f>
        <v>9576</v>
      </c>
    </row>
    <row r="904">
      <c r="A904" s="3">
        <f>IFERROR(__xludf.DUMMYFUNCTION("""COMPUTED_VALUE"""),41214.99861111111)</f>
        <v>41214.99861</v>
      </c>
      <c r="B904" s="1">
        <f>IFERROR(__xludf.DUMMYFUNCTION("""COMPUTED_VALUE"""),9591.5)</f>
        <v>9591.5</v>
      </c>
    </row>
    <row r="905">
      <c r="A905" s="3">
        <f>IFERROR(__xludf.DUMMYFUNCTION("""COMPUTED_VALUE"""),41215.99861111111)</f>
        <v>41215.99861</v>
      </c>
      <c r="B905" s="1">
        <f>IFERROR(__xludf.DUMMYFUNCTION("""COMPUTED_VALUE"""),9585.2)</f>
        <v>9585.2</v>
      </c>
    </row>
    <row r="906">
      <c r="A906" s="3">
        <f>IFERROR(__xludf.DUMMYFUNCTION("""COMPUTED_VALUE"""),41216.99861111111)</f>
        <v>41216.99861</v>
      </c>
      <c r="B906" s="1">
        <f>IFERROR(__xludf.DUMMYFUNCTION("""COMPUTED_VALUE"""),9590.0)</f>
        <v>9590</v>
      </c>
    </row>
    <row r="907">
      <c r="A907" s="3">
        <f>IFERROR(__xludf.DUMMYFUNCTION("""COMPUTED_VALUE"""),41217.99861111111)</f>
        <v>41217.99861</v>
      </c>
      <c r="B907" s="1">
        <f>IFERROR(__xludf.DUMMYFUNCTION("""COMPUTED_VALUE"""),9569.2)</f>
        <v>9569.2</v>
      </c>
    </row>
    <row r="908">
      <c r="A908" s="3">
        <f>IFERROR(__xludf.DUMMYFUNCTION("""COMPUTED_VALUE"""),41218.99861111111)</f>
        <v>41218.99861</v>
      </c>
      <c r="B908" s="1">
        <f>IFERROR(__xludf.DUMMYFUNCTION("""COMPUTED_VALUE"""),9591.4)</f>
        <v>9591.4</v>
      </c>
    </row>
    <row r="909">
      <c r="A909" s="3">
        <f>IFERROR(__xludf.DUMMYFUNCTION("""COMPUTED_VALUE"""),41219.99861111111)</f>
        <v>41219.99861</v>
      </c>
      <c r="B909" s="1">
        <f>IFERROR(__xludf.DUMMYFUNCTION("""COMPUTED_VALUE"""),9590.6)</f>
        <v>9590.6</v>
      </c>
    </row>
    <row r="910">
      <c r="A910" s="3">
        <f>IFERROR(__xludf.DUMMYFUNCTION("""COMPUTED_VALUE"""),41220.99861111111)</f>
        <v>41220.99861</v>
      </c>
      <c r="B910" s="1">
        <f>IFERROR(__xludf.DUMMYFUNCTION("""COMPUTED_VALUE"""),9575.7)</f>
        <v>9575.7</v>
      </c>
    </row>
    <row r="911">
      <c r="A911" s="3">
        <f>IFERROR(__xludf.DUMMYFUNCTION("""COMPUTED_VALUE"""),41221.99861111111)</f>
        <v>41221.99861</v>
      </c>
      <c r="B911" s="1">
        <f>IFERROR(__xludf.DUMMYFUNCTION("""COMPUTED_VALUE"""),9601.8)</f>
        <v>9601.8</v>
      </c>
    </row>
    <row r="912">
      <c r="A912" s="3">
        <f>IFERROR(__xludf.DUMMYFUNCTION("""COMPUTED_VALUE"""),41222.99861111111)</f>
        <v>41222.99861</v>
      </c>
      <c r="B912" s="1">
        <f>IFERROR(__xludf.DUMMYFUNCTION("""COMPUTED_VALUE"""),9591.1)</f>
        <v>9591.1</v>
      </c>
    </row>
    <row r="913">
      <c r="A913" s="3">
        <f>IFERROR(__xludf.DUMMYFUNCTION("""COMPUTED_VALUE"""),41223.99861111111)</f>
        <v>41223.99861</v>
      </c>
      <c r="B913" s="1">
        <f>IFERROR(__xludf.DUMMYFUNCTION("""COMPUTED_VALUE"""),9595.0)</f>
        <v>9595</v>
      </c>
    </row>
    <row r="914">
      <c r="A914" s="3">
        <f>IFERROR(__xludf.DUMMYFUNCTION("""COMPUTED_VALUE"""),41224.99861111111)</f>
        <v>41224.99861</v>
      </c>
      <c r="B914" s="1">
        <f>IFERROR(__xludf.DUMMYFUNCTION("""COMPUTED_VALUE"""),9643.6)</f>
        <v>9643.6</v>
      </c>
    </row>
    <row r="915">
      <c r="A915" s="3">
        <f>IFERROR(__xludf.DUMMYFUNCTION("""COMPUTED_VALUE"""),41225.99861111111)</f>
        <v>41225.99861</v>
      </c>
      <c r="B915" s="1">
        <f>IFERROR(__xludf.DUMMYFUNCTION("""COMPUTED_VALUE"""),9590.1)</f>
        <v>9590.1</v>
      </c>
    </row>
    <row r="916">
      <c r="A916" s="3">
        <f>IFERROR(__xludf.DUMMYFUNCTION("""COMPUTED_VALUE"""),41226.99861111111)</f>
        <v>41226.99861</v>
      </c>
      <c r="B916" s="1">
        <f>IFERROR(__xludf.DUMMYFUNCTION("""COMPUTED_VALUE"""),9595.4)</f>
        <v>9595.4</v>
      </c>
    </row>
    <row r="917">
      <c r="A917" s="3">
        <f>IFERROR(__xludf.DUMMYFUNCTION("""COMPUTED_VALUE"""),41227.99861111111)</f>
        <v>41227.99861</v>
      </c>
      <c r="B917" s="1">
        <f>IFERROR(__xludf.DUMMYFUNCTION("""COMPUTED_VALUE"""),9595.3)</f>
        <v>9595.3</v>
      </c>
    </row>
    <row r="918">
      <c r="A918" s="3">
        <f>IFERROR(__xludf.DUMMYFUNCTION("""COMPUTED_VALUE"""),41228.99861111111)</f>
        <v>41228.99861</v>
      </c>
      <c r="B918" s="1">
        <f>IFERROR(__xludf.DUMMYFUNCTION("""COMPUTED_VALUE"""),9595.5)</f>
        <v>9595.5</v>
      </c>
    </row>
    <row r="919">
      <c r="A919" s="3">
        <f>IFERROR(__xludf.DUMMYFUNCTION("""COMPUTED_VALUE"""),41229.99861111111)</f>
        <v>41229.99861</v>
      </c>
      <c r="B919" s="1">
        <f>IFERROR(__xludf.DUMMYFUNCTION("""COMPUTED_VALUE"""),9597.3)</f>
        <v>9597.3</v>
      </c>
    </row>
    <row r="920">
      <c r="A920" s="3">
        <f>IFERROR(__xludf.DUMMYFUNCTION("""COMPUTED_VALUE"""),41230.99861111111)</f>
        <v>41230.99861</v>
      </c>
      <c r="B920" s="1">
        <f>IFERROR(__xludf.DUMMYFUNCTION("""COMPUTED_VALUE"""),9600.0)</f>
        <v>9600</v>
      </c>
    </row>
    <row r="921">
      <c r="A921" s="3">
        <f>IFERROR(__xludf.DUMMYFUNCTION("""COMPUTED_VALUE"""),41231.99861111111)</f>
        <v>41231.99861</v>
      </c>
      <c r="B921" s="1">
        <f>IFERROR(__xludf.DUMMYFUNCTION("""COMPUTED_VALUE"""),9624.95)</f>
        <v>9624.95</v>
      </c>
    </row>
    <row r="922">
      <c r="A922" s="3">
        <f>IFERROR(__xludf.DUMMYFUNCTION("""COMPUTED_VALUE"""),41232.99861111111)</f>
        <v>41232.99861</v>
      </c>
      <c r="B922" s="1">
        <f>IFERROR(__xludf.DUMMYFUNCTION("""COMPUTED_VALUE"""),9600.3)</f>
        <v>9600.3</v>
      </c>
    </row>
    <row r="923">
      <c r="A923" s="3">
        <f>IFERROR(__xludf.DUMMYFUNCTION("""COMPUTED_VALUE"""),41233.99861111111)</f>
        <v>41233.99861</v>
      </c>
      <c r="B923" s="1">
        <f>IFERROR(__xludf.DUMMYFUNCTION("""COMPUTED_VALUE"""),9603.9)</f>
        <v>9603.9</v>
      </c>
    </row>
    <row r="924">
      <c r="A924" s="3">
        <f>IFERROR(__xludf.DUMMYFUNCTION("""COMPUTED_VALUE"""),41234.99861111111)</f>
        <v>41234.99861</v>
      </c>
      <c r="B924" s="1">
        <f>IFERROR(__xludf.DUMMYFUNCTION("""COMPUTED_VALUE"""),9605.5)</f>
        <v>9605.5</v>
      </c>
    </row>
    <row r="925">
      <c r="A925" s="3">
        <f>IFERROR(__xludf.DUMMYFUNCTION("""COMPUTED_VALUE"""),41235.99861111111)</f>
        <v>41235.99861</v>
      </c>
      <c r="B925" s="1">
        <f>IFERROR(__xludf.DUMMYFUNCTION("""COMPUTED_VALUE"""),9598.0)</f>
        <v>9598</v>
      </c>
    </row>
    <row r="926">
      <c r="A926" s="3">
        <f>IFERROR(__xludf.DUMMYFUNCTION("""COMPUTED_VALUE"""),41236.99861111111)</f>
        <v>41236.99861</v>
      </c>
      <c r="B926" s="1">
        <f>IFERROR(__xludf.DUMMYFUNCTION("""COMPUTED_VALUE"""),9580.1)</f>
        <v>9580.1</v>
      </c>
    </row>
    <row r="927">
      <c r="A927" s="3">
        <f>IFERROR(__xludf.DUMMYFUNCTION("""COMPUTED_VALUE"""),41237.99861111111)</f>
        <v>41237.99861</v>
      </c>
      <c r="B927" s="1">
        <f>IFERROR(__xludf.DUMMYFUNCTION("""COMPUTED_VALUE"""),9579.0)</f>
        <v>9579</v>
      </c>
    </row>
    <row r="928">
      <c r="A928" s="3">
        <f>IFERROR(__xludf.DUMMYFUNCTION("""COMPUTED_VALUE"""),41238.99861111111)</f>
        <v>41238.99861</v>
      </c>
      <c r="B928" s="1">
        <f>IFERROR(__xludf.DUMMYFUNCTION("""COMPUTED_VALUE"""),9612.45)</f>
        <v>9612.45</v>
      </c>
    </row>
    <row r="929">
      <c r="A929" s="3">
        <f>IFERROR(__xludf.DUMMYFUNCTION("""COMPUTED_VALUE"""),41239.99861111111)</f>
        <v>41239.99861</v>
      </c>
      <c r="B929" s="1">
        <f>IFERROR(__xludf.DUMMYFUNCTION("""COMPUTED_VALUE"""),9571.1)</f>
        <v>9571.1</v>
      </c>
    </row>
    <row r="930">
      <c r="A930" s="3">
        <f>IFERROR(__xludf.DUMMYFUNCTION("""COMPUTED_VALUE"""),41240.99861111111)</f>
        <v>41240.99861</v>
      </c>
      <c r="B930" s="1">
        <f>IFERROR(__xludf.DUMMYFUNCTION("""COMPUTED_VALUE"""),9571.7)</f>
        <v>9571.7</v>
      </c>
    </row>
    <row r="931">
      <c r="A931" s="3">
        <f>IFERROR(__xludf.DUMMYFUNCTION("""COMPUTED_VALUE"""),41241.99861111111)</f>
        <v>41241.99861</v>
      </c>
      <c r="B931" s="1">
        <f>IFERROR(__xludf.DUMMYFUNCTION("""COMPUTED_VALUE"""),9571.5)</f>
        <v>9571.5</v>
      </c>
    </row>
    <row r="932">
      <c r="A932" s="3">
        <f>IFERROR(__xludf.DUMMYFUNCTION("""COMPUTED_VALUE"""),41242.99861111111)</f>
        <v>41242.99861</v>
      </c>
      <c r="B932" s="1">
        <f>IFERROR(__xludf.DUMMYFUNCTION("""COMPUTED_VALUE"""),9571.4)</f>
        <v>9571.4</v>
      </c>
    </row>
    <row r="933">
      <c r="A933" s="3">
        <f>IFERROR(__xludf.DUMMYFUNCTION("""COMPUTED_VALUE"""),41243.99861111111)</f>
        <v>41243.99861</v>
      </c>
      <c r="B933" s="1">
        <f>IFERROR(__xludf.DUMMYFUNCTION("""COMPUTED_VALUE"""),9579.5)</f>
        <v>9579.5</v>
      </c>
    </row>
    <row r="934">
      <c r="A934" s="3">
        <f>IFERROR(__xludf.DUMMYFUNCTION("""COMPUTED_VALUE"""),41244.99861111111)</f>
        <v>41244.99861</v>
      </c>
      <c r="B934" s="1">
        <f>IFERROR(__xludf.DUMMYFUNCTION("""COMPUTED_VALUE"""),9569.0)</f>
        <v>9569</v>
      </c>
    </row>
    <row r="935">
      <c r="A935" s="3">
        <f>IFERROR(__xludf.DUMMYFUNCTION("""COMPUTED_VALUE"""),41245.99861111111)</f>
        <v>41245.99861</v>
      </c>
      <c r="B935" s="1">
        <f>IFERROR(__xludf.DUMMYFUNCTION("""COMPUTED_VALUE"""),9615.384)</f>
        <v>9615.384</v>
      </c>
    </row>
    <row r="936">
      <c r="A936" s="3">
        <f>IFERROR(__xludf.DUMMYFUNCTION("""COMPUTED_VALUE"""),41246.99861111111)</f>
        <v>41246.99861</v>
      </c>
      <c r="B936" s="1">
        <f>IFERROR(__xludf.DUMMYFUNCTION("""COMPUTED_VALUE"""),9565.6)</f>
        <v>9565.6</v>
      </c>
    </row>
    <row r="937">
      <c r="A937" s="3">
        <f>IFERROR(__xludf.DUMMYFUNCTION("""COMPUTED_VALUE"""),41247.99861111111)</f>
        <v>41247.99861</v>
      </c>
      <c r="B937" s="1">
        <f>IFERROR(__xludf.DUMMYFUNCTION("""COMPUTED_VALUE"""),9573.6)</f>
        <v>9573.6</v>
      </c>
    </row>
    <row r="938">
      <c r="A938" s="3">
        <f>IFERROR(__xludf.DUMMYFUNCTION("""COMPUTED_VALUE"""),41248.99861111111)</f>
        <v>41248.99861</v>
      </c>
      <c r="B938" s="1">
        <f>IFERROR(__xludf.DUMMYFUNCTION("""COMPUTED_VALUE"""),9570.8)</f>
        <v>9570.8</v>
      </c>
    </row>
    <row r="939">
      <c r="A939" s="3">
        <f>IFERROR(__xludf.DUMMYFUNCTION("""COMPUTED_VALUE"""),41249.99861111111)</f>
        <v>41249.99861</v>
      </c>
      <c r="B939" s="1">
        <f>IFERROR(__xludf.DUMMYFUNCTION("""COMPUTED_VALUE"""),9580.9)</f>
        <v>9580.9</v>
      </c>
    </row>
    <row r="940">
      <c r="A940" s="3">
        <f>IFERROR(__xludf.DUMMYFUNCTION("""COMPUTED_VALUE"""),41250.99861111111)</f>
        <v>41250.99861</v>
      </c>
      <c r="B940" s="1">
        <f>IFERROR(__xludf.DUMMYFUNCTION("""COMPUTED_VALUE"""),9592.3)</f>
        <v>9592.3</v>
      </c>
    </row>
    <row r="941">
      <c r="A941" s="3">
        <f>IFERROR(__xludf.DUMMYFUNCTION("""COMPUTED_VALUE"""),41251.99861111111)</f>
        <v>41251.99861</v>
      </c>
      <c r="B941" s="1">
        <f>IFERROR(__xludf.DUMMYFUNCTION("""COMPUTED_VALUE"""),9595.0)</f>
        <v>9595</v>
      </c>
    </row>
    <row r="942">
      <c r="A942" s="3">
        <f>IFERROR(__xludf.DUMMYFUNCTION("""COMPUTED_VALUE"""),41252.99861111111)</f>
        <v>41252.99861</v>
      </c>
      <c r="B942" s="1">
        <f>IFERROR(__xludf.DUMMYFUNCTION("""COMPUTED_VALUE"""),9612.45)</f>
        <v>9612.45</v>
      </c>
    </row>
    <row r="943">
      <c r="A943" s="3">
        <f>IFERROR(__xludf.DUMMYFUNCTION("""COMPUTED_VALUE"""),41253.99861111111)</f>
        <v>41253.99861</v>
      </c>
      <c r="B943" s="1">
        <f>IFERROR(__xludf.DUMMYFUNCTION("""COMPUTED_VALUE"""),9600.8)</f>
        <v>9600.8</v>
      </c>
    </row>
    <row r="944">
      <c r="A944" s="3">
        <f>IFERROR(__xludf.DUMMYFUNCTION("""COMPUTED_VALUE"""),41254.99861111111)</f>
        <v>41254.99861</v>
      </c>
      <c r="B944" s="1">
        <f>IFERROR(__xludf.DUMMYFUNCTION("""COMPUTED_VALUE"""),9605.6)</f>
        <v>9605.6</v>
      </c>
    </row>
    <row r="945">
      <c r="A945" s="3">
        <f>IFERROR(__xludf.DUMMYFUNCTION("""COMPUTED_VALUE"""),41255.99861111111)</f>
        <v>41255.99861</v>
      </c>
      <c r="B945" s="1">
        <f>IFERROR(__xludf.DUMMYFUNCTION("""COMPUTED_VALUE"""),9601.8)</f>
        <v>9601.8</v>
      </c>
    </row>
    <row r="946">
      <c r="A946" s="3">
        <f>IFERROR(__xludf.DUMMYFUNCTION("""COMPUTED_VALUE"""),41256.99861111111)</f>
        <v>41256.99861</v>
      </c>
      <c r="B946" s="1">
        <f>IFERROR(__xludf.DUMMYFUNCTION("""COMPUTED_VALUE"""),9606.1)</f>
        <v>9606.1</v>
      </c>
    </row>
    <row r="947">
      <c r="A947" s="3">
        <f>IFERROR(__xludf.DUMMYFUNCTION("""COMPUTED_VALUE"""),41257.99861111111)</f>
        <v>41257.99861</v>
      </c>
      <c r="B947" s="1">
        <f>IFERROR(__xludf.DUMMYFUNCTION("""COMPUTED_VALUE"""),9609.0)</f>
        <v>9609</v>
      </c>
    </row>
    <row r="948">
      <c r="A948" s="3">
        <f>IFERROR(__xludf.DUMMYFUNCTION("""COMPUTED_VALUE"""),41258.99861111111)</f>
        <v>41258.99861</v>
      </c>
      <c r="B948" s="1">
        <f>IFERROR(__xludf.DUMMYFUNCTION("""COMPUTED_VALUE"""),9608.8)</f>
        <v>9608.8</v>
      </c>
    </row>
    <row r="949">
      <c r="A949" s="3">
        <f>IFERROR(__xludf.DUMMYFUNCTION("""COMPUTED_VALUE"""),41259.99861111111)</f>
        <v>41259.99861</v>
      </c>
      <c r="B949" s="1">
        <f>IFERROR(__xludf.DUMMYFUNCTION("""COMPUTED_VALUE"""),9612.45)</f>
        <v>9612.45</v>
      </c>
    </row>
    <row r="950">
      <c r="A950" s="3">
        <f>IFERROR(__xludf.DUMMYFUNCTION("""COMPUTED_VALUE"""),41260.99861111111)</f>
        <v>41260.99861</v>
      </c>
      <c r="B950" s="1">
        <f>IFERROR(__xludf.DUMMYFUNCTION("""COMPUTED_VALUE"""),9611.8)</f>
        <v>9611.8</v>
      </c>
    </row>
    <row r="951">
      <c r="A951" s="3">
        <f>IFERROR(__xludf.DUMMYFUNCTION("""COMPUTED_VALUE"""),41261.99861111111)</f>
        <v>41261.99861</v>
      </c>
      <c r="B951" s="1">
        <f>IFERROR(__xludf.DUMMYFUNCTION("""COMPUTED_VALUE"""),9615.7)</f>
        <v>9615.7</v>
      </c>
    </row>
    <row r="952">
      <c r="A952" s="3">
        <f>IFERROR(__xludf.DUMMYFUNCTION("""COMPUTED_VALUE"""),41262.99861111111)</f>
        <v>41262.99861</v>
      </c>
      <c r="B952" s="1">
        <f>IFERROR(__xludf.DUMMYFUNCTION("""COMPUTED_VALUE"""),9622.3)</f>
        <v>9622.3</v>
      </c>
    </row>
    <row r="953">
      <c r="A953" s="3">
        <f>IFERROR(__xludf.DUMMYFUNCTION("""COMPUTED_VALUE"""),41263.99861111111)</f>
        <v>41263.99861</v>
      </c>
      <c r="B953" s="1">
        <f>IFERROR(__xludf.DUMMYFUNCTION("""COMPUTED_VALUE"""),9624.0)</f>
        <v>9624</v>
      </c>
    </row>
    <row r="954">
      <c r="A954" s="3">
        <f>IFERROR(__xludf.DUMMYFUNCTION("""COMPUTED_VALUE"""),41264.99861111111)</f>
        <v>41264.99861</v>
      </c>
      <c r="B954" s="1">
        <f>IFERROR(__xludf.DUMMYFUNCTION("""COMPUTED_VALUE"""),9626.5)</f>
        <v>9626.5</v>
      </c>
    </row>
    <row r="955">
      <c r="A955" s="3">
        <f>IFERROR(__xludf.DUMMYFUNCTION("""COMPUTED_VALUE"""),41265.99861111111)</f>
        <v>41265.99861</v>
      </c>
      <c r="B955" s="1">
        <f>IFERROR(__xludf.DUMMYFUNCTION("""COMPUTED_VALUE"""),9610.0)</f>
        <v>9610</v>
      </c>
    </row>
    <row r="956">
      <c r="A956" s="3">
        <f>IFERROR(__xludf.DUMMYFUNCTION("""COMPUTED_VALUE"""),41266.99861111111)</f>
        <v>41266.99861</v>
      </c>
      <c r="B956" s="1">
        <f>IFERROR(__xludf.DUMMYFUNCTION("""COMPUTED_VALUE"""),9689.922)</f>
        <v>9689.922</v>
      </c>
    </row>
    <row r="957">
      <c r="A957" s="3">
        <f>IFERROR(__xludf.DUMMYFUNCTION("""COMPUTED_VALUE"""),41267.99861111111)</f>
        <v>41267.99861</v>
      </c>
      <c r="B957" s="1">
        <f>IFERROR(__xludf.DUMMYFUNCTION("""COMPUTED_VALUE"""),9632.8)</f>
        <v>9632.8</v>
      </c>
    </row>
    <row r="958">
      <c r="A958" s="3">
        <f>IFERROR(__xludf.DUMMYFUNCTION("""COMPUTED_VALUE"""),41268.99861111111)</f>
        <v>41268.99861</v>
      </c>
      <c r="B958" s="1">
        <f>IFERROR(__xludf.DUMMYFUNCTION("""COMPUTED_VALUE"""),9630.5)</f>
        <v>9630.5</v>
      </c>
    </row>
    <row r="959">
      <c r="A959" s="3">
        <f>IFERROR(__xludf.DUMMYFUNCTION("""COMPUTED_VALUE"""),41269.99861111111)</f>
        <v>41269.99861</v>
      </c>
      <c r="B959" s="1">
        <f>IFERROR(__xludf.DUMMYFUNCTION("""COMPUTED_VALUE"""),9629.0)</f>
        <v>9629</v>
      </c>
    </row>
    <row r="960">
      <c r="A960" s="3">
        <f>IFERROR(__xludf.DUMMYFUNCTION("""COMPUTED_VALUE"""),41270.99861111111)</f>
        <v>41270.99861</v>
      </c>
      <c r="B960" s="1">
        <f>IFERROR(__xludf.DUMMYFUNCTION("""COMPUTED_VALUE"""),9633.9)</f>
        <v>9633.9</v>
      </c>
    </row>
    <row r="961">
      <c r="A961" s="3">
        <f>IFERROR(__xludf.DUMMYFUNCTION("""COMPUTED_VALUE"""),41271.99861111111)</f>
        <v>41271.99861</v>
      </c>
      <c r="B961" s="1">
        <f>IFERROR(__xludf.DUMMYFUNCTION("""COMPUTED_VALUE"""),9630.0)</f>
        <v>9630</v>
      </c>
    </row>
    <row r="962">
      <c r="A962" s="3">
        <f>IFERROR(__xludf.DUMMYFUNCTION("""COMPUTED_VALUE"""),41272.99861111111)</f>
        <v>41272.99861</v>
      </c>
      <c r="B962" s="1">
        <f>IFERROR(__xludf.DUMMYFUNCTION("""COMPUTED_VALUE"""),9612.6)</f>
        <v>9612.6</v>
      </c>
    </row>
    <row r="963">
      <c r="A963" s="3">
        <f>IFERROR(__xludf.DUMMYFUNCTION("""COMPUTED_VALUE"""),41273.99861111111)</f>
        <v>41273.99861</v>
      </c>
      <c r="B963" s="1">
        <f>IFERROR(__xludf.DUMMYFUNCTION("""COMPUTED_VALUE"""),9612.45)</f>
        <v>9612.45</v>
      </c>
    </row>
    <row r="964">
      <c r="A964" s="3">
        <f>IFERROR(__xludf.DUMMYFUNCTION("""COMPUTED_VALUE"""),41274.99861111111)</f>
        <v>41274.99861</v>
      </c>
      <c r="B964" s="1">
        <f>IFERROR(__xludf.DUMMYFUNCTION("""COMPUTED_VALUE"""),9609.0)</f>
        <v>9609</v>
      </c>
    </row>
    <row r="965">
      <c r="A965" s="3">
        <f>IFERROR(__xludf.DUMMYFUNCTION("""COMPUTED_VALUE"""),41275.99861111111)</f>
        <v>41275.99861</v>
      </c>
      <c r="B965" s="1">
        <f>IFERROR(__xludf.DUMMYFUNCTION("""COMPUTED_VALUE"""),9609.0)</f>
        <v>9609</v>
      </c>
    </row>
    <row r="966">
      <c r="A966" s="3">
        <f>IFERROR(__xludf.DUMMYFUNCTION("""COMPUTED_VALUE"""),41276.99861111111)</f>
        <v>41276.99861</v>
      </c>
      <c r="B966" s="1">
        <f>IFERROR(__xludf.DUMMYFUNCTION("""COMPUTED_VALUE"""),9622.5)</f>
        <v>9622.5</v>
      </c>
    </row>
    <row r="967">
      <c r="A967" s="3">
        <f>IFERROR(__xludf.DUMMYFUNCTION("""COMPUTED_VALUE"""),41277.99861111111)</f>
        <v>41277.99861</v>
      </c>
      <c r="B967" s="1">
        <f>IFERROR(__xludf.DUMMYFUNCTION("""COMPUTED_VALUE"""),9626.3)</f>
        <v>9626.3</v>
      </c>
    </row>
    <row r="968">
      <c r="A968" s="3">
        <f>IFERROR(__xludf.DUMMYFUNCTION("""COMPUTED_VALUE"""),41278.99861111111)</f>
        <v>41278.99861</v>
      </c>
      <c r="B968" s="1">
        <f>IFERROR(__xludf.DUMMYFUNCTION("""COMPUTED_VALUE"""),9634.7)</f>
        <v>9634.7</v>
      </c>
    </row>
    <row r="969">
      <c r="A969" s="3">
        <f>IFERROR(__xludf.DUMMYFUNCTION("""COMPUTED_VALUE"""),41279.99861111111)</f>
        <v>41279.99861</v>
      </c>
      <c r="B969" s="1">
        <f>IFERROR(__xludf.DUMMYFUNCTION("""COMPUTED_VALUE"""),9770.0)</f>
        <v>9770</v>
      </c>
    </row>
    <row r="970">
      <c r="A970" s="3">
        <f>IFERROR(__xludf.DUMMYFUNCTION("""COMPUTED_VALUE"""),41280.99861111111)</f>
        <v>41280.99861</v>
      </c>
      <c r="B970" s="1">
        <f>IFERROR(__xludf.DUMMYFUNCTION("""COMPUTED_VALUE"""),9784.735)</f>
        <v>9784.735</v>
      </c>
    </row>
    <row r="971">
      <c r="A971" s="3">
        <f>IFERROR(__xludf.DUMMYFUNCTION("""COMPUTED_VALUE"""),41281.99861111111)</f>
        <v>41281.99861</v>
      </c>
      <c r="B971" s="1">
        <f>IFERROR(__xludf.DUMMYFUNCTION("""COMPUTED_VALUE"""),9639.1)</f>
        <v>9639.1</v>
      </c>
    </row>
    <row r="972">
      <c r="A972" s="3">
        <f>IFERROR(__xludf.DUMMYFUNCTION("""COMPUTED_VALUE"""),41282.99861111111)</f>
        <v>41282.99861</v>
      </c>
      <c r="B972" s="1">
        <f>IFERROR(__xludf.DUMMYFUNCTION("""COMPUTED_VALUE"""),9641.2)</f>
        <v>9641.2</v>
      </c>
    </row>
    <row r="973">
      <c r="A973" s="3">
        <f>IFERROR(__xludf.DUMMYFUNCTION("""COMPUTED_VALUE"""),41283.99861111111)</f>
        <v>41283.99861</v>
      </c>
      <c r="B973" s="1">
        <f>IFERROR(__xludf.DUMMYFUNCTION("""COMPUTED_VALUE"""),9632.1)</f>
        <v>9632.1</v>
      </c>
    </row>
    <row r="974">
      <c r="A974" s="3">
        <f>IFERROR(__xludf.DUMMYFUNCTION("""COMPUTED_VALUE"""),41284.99861111111)</f>
        <v>41284.99861</v>
      </c>
      <c r="B974" s="1">
        <f>IFERROR(__xludf.DUMMYFUNCTION("""COMPUTED_VALUE"""),9632.0)</f>
        <v>9632</v>
      </c>
    </row>
    <row r="975">
      <c r="A975" s="3">
        <f>IFERROR(__xludf.DUMMYFUNCTION("""COMPUTED_VALUE"""),41285.99861111111)</f>
        <v>41285.99861</v>
      </c>
      <c r="B975" s="1">
        <f>IFERROR(__xludf.DUMMYFUNCTION("""COMPUTED_VALUE"""),9605.4)</f>
        <v>9605.4</v>
      </c>
    </row>
    <row r="976">
      <c r="A976" s="3">
        <f>IFERROR(__xludf.DUMMYFUNCTION("""COMPUTED_VALUE"""),41286.99861111111)</f>
        <v>41286.99861</v>
      </c>
      <c r="B976" s="1">
        <f>IFERROR(__xludf.DUMMYFUNCTION("""COMPUTED_VALUE"""),9604.3)</f>
        <v>9604.3</v>
      </c>
    </row>
    <row r="977">
      <c r="A977" s="3">
        <f>IFERROR(__xludf.DUMMYFUNCTION("""COMPUTED_VALUE"""),41287.99861111111)</f>
        <v>41287.99861</v>
      </c>
      <c r="B977" s="1">
        <f>IFERROR(__xludf.DUMMYFUNCTION("""COMPUTED_VALUE"""),9612.45)</f>
        <v>9612.45</v>
      </c>
    </row>
    <row r="978">
      <c r="A978" s="3">
        <f>IFERROR(__xludf.DUMMYFUNCTION("""COMPUTED_VALUE"""),41288.99861111111)</f>
        <v>41288.99861</v>
      </c>
      <c r="B978" s="1">
        <f>IFERROR(__xludf.DUMMYFUNCTION("""COMPUTED_VALUE"""),9606.8)</f>
        <v>9606.8</v>
      </c>
    </row>
    <row r="979">
      <c r="A979" s="3">
        <f>IFERROR(__xludf.DUMMYFUNCTION("""COMPUTED_VALUE"""),41289.99861111111)</f>
        <v>41289.99861</v>
      </c>
      <c r="B979" s="1">
        <f>IFERROR(__xludf.DUMMYFUNCTION("""COMPUTED_VALUE"""),9621.6)</f>
        <v>9621.6</v>
      </c>
    </row>
    <row r="980">
      <c r="A980" s="3">
        <f>IFERROR(__xludf.DUMMYFUNCTION("""COMPUTED_VALUE"""),41290.99861111111)</f>
        <v>41290.99861</v>
      </c>
      <c r="B980" s="1">
        <f>IFERROR(__xludf.DUMMYFUNCTION("""COMPUTED_VALUE"""),9626.2)</f>
        <v>9626.2</v>
      </c>
    </row>
    <row r="981">
      <c r="A981" s="3">
        <f>IFERROR(__xludf.DUMMYFUNCTION("""COMPUTED_VALUE"""),41291.99861111111)</f>
        <v>41291.99861</v>
      </c>
      <c r="B981" s="1">
        <f>IFERROR(__xludf.DUMMYFUNCTION("""COMPUTED_VALUE"""),9621.8)</f>
        <v>9621.8</v>
      </c>
    </row>
    <row r="982">
      <c r="A982" s="3">
        <f>IFERROR(__xludf.DUMMYFUNCTION("""COMPUTED_VALUE"""),41292.99861111111)</f>
        <v>41292.99861</v>
      </c>
      <c r="B982" s="1">
        <f>IFERROR(__xludf.DUMMYFUNCTION("""COMPUTED_VALUE"""),9602.7)</f>
        <v>9602.7</v>
      </c>
    </row>
    <row r="983">
      <c r="A983" s="3">
        <f>IFERROR(__xludf.DUMMYFUNCTION("""COMPUTED_VALUE"""),41293.99861111111)</f>
        <v>41293.99861</v>
      </c>
      <c r="B983" s="1">
        <f>IFERROR(__xludf.DUMMYFUNCTION("""COMPUTED_VALUE"""),9599.8)</f>
        <v>9599.8</v>
      </c>
    </row>
    <row r="984">
      <c r="A984" s="3">
        <f>IFERROR(__xludf.DUMMYFUNCTION("""COMPUTED_VALUE"""),41294.99861111111)</f>
        <v>41294.99861</v>
      </c>
      <c r="B984" s="1">
        <f>IFERROR(__xludf.DUMMYFUNCTION("""COMPUTED_VALUE"""),9682.0)</f>
        <v>9682</v>
      </c>
    </row>
    <row r="985">
      <c r="A985" s="3">
        <f>IFERROR(__xludf.DUMMYFUNCTION("""COMPUTED_VALUE"""),41295.99861111111)</f>
        <v>41295.99861</v>
      </c>
      <c r="B985" s="1">
        <f>IFERROR(__xludf.DUMMYFUNCTION("""COMPUTED_VALUE"""),9589.4)</f>
        <v>9589.4</v>
      </c>
    </row>
    <row r="986">
      <c r="A986" s="3">
        <f>IFERROR(__xludf.DUMMYFUNCTION("""COMPUTED_VALUE"""),41296.99861111111)</f>
        <v>41296.99861</v>
      </c>
      <c r="B986" s="1">
        <f>IFERROR(__xludf.DUMMYFUNCTION("""COMPUTED_VALUE"""),9591.6)</f>
        <v>9591.6</v>
      </c>
    </row>
    <row r="987">
      <c r="A987" s="3">
        <f>IFERROR(__xludf.DUMMYFUNCTION("""COMPUTED_VALUE"""),41297.99861111111)</f>
        <v>41297.99861</v>
      </c>
      <c r="B987" s="1">
        <f>IFERROR(__xludf.DUMMYFUNCTION("""COMPUTED_VALUE"""),9596.9)</f>
        <v>9596.9</v>
      </c>
    </row>
    <row r="988">
      <c r="A988" s="3">
        <f>IFERROR(__xludf.DUMMYFUNCTION("""COMPUTED_VALUE"""),41298.99861111111)</f>
        <v>41298.99861</v>
      </c>
      <c r="B988" s="1">
        <f>IFERROR(__xludf.DUMMYFUNCTION("""COMPUTED_VALUE"""),9597.5)</f>
        <v>9597.5</v>
      </c>
    </row>
    <row r="989">
      <c r="A989" s="3">
        <f>IFERROR(__xludf.DUMMYFUNCTION("""COMPUTED_VALUE"""),41299.99861111111)</f>
        <v>41299.99861</v>
      </c>
      <c r="B989" s="1">
        <f>IFERROR(__xludf.DUMMYFUNCTION("""COMPUTED_VALUE"""),9622.4)</f>
        <v>9622.4</v>
      </c>
    </row>
    <row r="990">
      <c r="A990" s="3">
        <f>IFERROR(__xludf.DUMMYFUNCTION("""COMPUTED_VALUE"""),41300.99861111111)</f>
        <v>41300.99861</v>
      </c>
      <c r="B990" s="1">
        <f>IFERROR(__xludf.DUMMYFUNCTION("""COMPUTED_VALUE"""),9582.4)</f>
        <v>9582.4</v>
      </c>
    </row>
    <row r="991">
      <c r="A991" s="3">
        <f>IFERROR(__xludf.DUMMYFUNCTION("""COMPUTED_VALUE"""),41301.99861111111)</f>
        <v>41301.99861</v>
      </c>
      <c r="B991" s="1">
        <f>IFERROR(__xludf.DUMMYFUNCTION("""COMPUTED_VALUE"""),9612.45)</f>
        <v>9612.45</v>
      </c>
    </row>
    <row r="992">
      <c r="A992" s="3">
        <f>IFERROR(__xludf.DUMMYFUNCTION("""COMPUTED_VALUE"""),41302.99861111111)</f>
        <v>41302.99861</v>
      </c>
      <c r="B992" s="1">
        <f>IFERROR(__xludf.DUMMYFUNCTION("""COMPUTED_VALUE"""),9649.8)</f>
        <v>9649.8</v>
      </c>
    </row>
    <row r="993">
      <c r="A993" s="3">
        <f>IFERROR(__xludf.DUMMYFUNCTION("""COMPUTED_VALUE"""),41303.99861111111)</f>
        <v>41303.99861</v>
      </c>
      <c r="B993" s="1">
        <f>IFERROR(__xludf.DUMMYFUNCTION("""COMPUTED_VALUE"""),9650.0)</f>
        <v>9650</v>
      </c>
    </row>
    <row r="994">
      <c r="A994" s="3">
        <f>IFERROR(__xludf.DUMMYFUNCTION("""COMPUTED_VALUE"""),41304.99861111111)</f>
        <v>41304.99861</v>
      </c>
      <c r="B994" s="1">
        <f>IFERROR(__xludf.DUMMYFUNCTION("""COMPUTED_VALUE"""),9659.7)</f>
        <v>9659.7</v>
      </c>
    </row>
    <row r="995">
      <c r="A995" s="3">
        <f>IFERROR(__xludf.DUMMYFUNCTION("""COMPUTED_VALUE"""),41305.99861111111)</f>
        <v>41305.99861</v>
      </c>
      <c r="B995" s="1">
        <f>IFERROR(__xludf.DUMMYFUNCTION("""COMPUTED_VALUE"""),9669.9)</f>
        <v>9669.9</v>
      </c>
    </row>
    <row r="996">
      <c r="A996" s="3">
        <f>IFERROR(__xludf.DUMMYFUNCTION("""COMPUTED_VALUE"""),41306.99861111111)</f>
        <v>41306.99861</v>
      </c>
      <c r="B996" s="1">
        <f>IFERROR(__xludf.DUMMYFUNCTION("""COMPUTED_VALUE"""),9693.5)</f>
        <v>9693.5</v>
      </c>
    </row>
    <row r="997">
      <c r="A997" s="3">
        <f>IFERROR(__xludf.DUMMYFUNCTION("""COMPUTED_VALUE"""),41307.99861111111)</f>
        <v>41307.99861</v>
      </c>
      <c r="B997" s="1">
        <f>IFERROR(__xludf.DUMMYFUNCTION("""COMPUTED_VALUE"""),9746.588)</f>
        <v>9746.588</v>
      </c>
    </row>
    <row r="998">
      <c r="A998" s="3">
        <f>IFERROR(__xludf.DUMMYFUNCTION("""COMPUTED_VALUE"""),41308.99861111111)</f>
        <v>41308.99861</v>
      </c>
      <c r="B998" s="1">
        <f>IFERROR(__xludf.DUMMYFUNCTION("""COMPUTED_VALUE"""),9612.45)</f>
        <v>9612.45</v>
      </c>
    </row>
    <row r="999">
      <c r="A999" s="3">
        <f>IFERROR(__xludf.DUMMYFUNCTION("""COMPUTED_VALUE"""),41309.99861111111)</f>
        <v>41309.99861</v>
      </c>
      <c r="B999" s="1">
        <f>IFERROR(__xludf.DUMMYFUNCTION("""COMPUTED_VALUE"""),9642.7)</f>
        <v>9642.7</v>
      </c>
    </row>
    <row r="1000">
      <c r="A1000" s="3">
        <f>IFERROR(__xludf.DUMMYFUNCTION("""COMPUTED_VALUE"""),41310.99861111111)</f>
        <v>41310.99861</v>
      </c>
      <c r="B1000" s="1">
        <f>IFERROR(__xludf.DUMMYFUNCTION("""COMPUTED_VALUE"""),9647.9)</f>
        <v>9647.9</v>
      </c>
    </row>
    <row r="1001">
      <c r="A1001" s="3">
        <f>IFERROR(__xludf.DUMMYFUNCTION("""COMPUTED_VALUE"""),41311.99861111111)</f>
        <v>41311.99861</v>
      </c>
      <c r="B1001" s="1">
        <f>IFERROR(__xludf.DUMMYFUNCTION("""COMPUTED_VALUE"""),9682.1)</f>
        <v>9682.1</v>
      </c>
    </row>
    <row r="1002">
      <c r="A1002" s="3">
        <f>IFERROR(__xludf.DUMMYFUNCTION("""COMPUTED_VALUE"""),41312.99861111111)</f>
        <v>41312.99861</v>
      </c>
      <c r="B1002" s="1">
        <f>IFERROR(__xludf.DUMMYFUNCTION("""COMPUTED_VALUE"""),9666.0)</f>
        <v>9666</v>
      </c>
    </row>
    <row r="1003">
      <c r="A1003" s="3">
        <f>IFERROR(__xludf.DUMMYFUNCTION("""COMPUTED_VALUE"""),41313.99861111111)</f>
        <v>41313.99861</v>
      </c>
      <c r="B1003" s="1">
        <f>IFERROR(__xludf.DUMMYFUNCTION("""COMPUTED_VALUE"""),9639.9)</f>
        <v>9639.9</v>
      </c>
    </row>
    <row r="1004">
      <c r="A1004" s="3">
        <f>IFERROR(__xludf.DUMMYFUNCTION("""COMPUTED_VALUE"""),41314.99861111111)</f>
        <v>41314.99861</v>
      </c>
      <c r="B1004" s="1">
        <f>IFERROR(__xludf.DUMMYFUNCTION("""COMPUTED_VALUE"""),9637.9)</f>
        <v>9637.9</v>
      </c>
    </row>
    <row r="1005">
      <c r="A1005" s="3">
        <f>IFERROR(__xludf.DUMMYFUNCTION("""COMPUTED_VALUE"""),41315.99861111111)</f>
        <v>41315.99861</v>
      </c>
      <c r="B1005" s="1">
        <f>IFERROR(__xludf.DUMMYFUNCTION("""COMPUTED_VALUE"""),9612.45)</f>
        <v>9612.45</v>
      </c>
    </row>
    <row r="1006">
      <c r="A1006" s="3">
        <f>IFERROR(__xludf.DUMMYFUNCTION("""COMPUTED_VALUE"""),41316.99861111111)</f>
        <v>41316.99861</v>
      </c>
      <c r="B1006" s="1">
        <f>IFERROR(__xludf.DUMMYFUNCTION("""COMPUTED_VALUE"""),9593.1)</f>
        <v>9593.1</v>
      </c>
    </row>
    <row r="1007">
      <c r="A1007" s="3">
        <f>IFERROR(__xludf.DUMMYFUNCTION("""COMPUTED_VALUE"""),41317.99861111111)</f>
        <v>41317.99861</v>
      </c>
      <c r="B1007" s="1">
        <f>IFERROR(__xludf.DUMMYFUNCTION("""COMPUTED_VALUE"""),9617.7)</f>
        <v>9617.7</v>
      </c>
    </row>
    <row r="1008">
      <c r="A1008" s="3">
        <f>IFERROR(__xludf.DUMMYFUNCTION("""COMPUTED_VALUE"""),41318.99861111111)</f>
        <v>41318.99861</v>
      </c>
      <c r="B1008" s="1">
        <f>IFERROR(__xludf.DUMMYFUNCTION("""COMPUTED_VALUE"""),9618.5)</f>
        <v>9618.5</v>
      </c>
    </row>
    <row r="1009">
      <c r="A1009" s="3">
        <f>IFERROR(__xludf.DUMMYFUNCTION("""COMPUTED_VALUE"""),41319.99861111111)</f>
        <v>41319.99861</v>
      </c>
      <c r="B1009" s="1">
        <f>IFERROR(__xludf.DUMMYFUNCTION("""COMPUTED_VALUE"""),9631.6)</f>
        <v>9631.6</v>
      </c>
    </row>
    <row r="1010">
      <c r="A1010" s="3">
        <f>IFERROR(__xludf.DUMMYFUNCTION("""COMPUTED_VALUE"""),41320.99861111111)</f>
        <v>41320.99861</v>
      </c>
      <c r="B1010" s="1">
        <f>IFERROR(__xludf.DUMMYFUNCTION("""COMPUTED_VALUE"""),9638.2)</f>
        <v>9638.2</v>
      </c>
    </row>
    <row r="1011">
      <c r="A1011" s="3">
        <f>IFERROR(__xludf.DUMMYFUNCTION("""COMPUTED_VALUE"""),41321.99861111111)</f>
        <v>41321.99861</v>
      </c>
      <c r="B1011" s="1">
        <f>IFERROR(__xludf.DUMMYFUNCTION("""COMPUTED_VALUE"""),9645.0)</f>
        <v>9645</v>
      </c>
    </row>
    <row r="1012">
      <c r="A1012" s="3">
        <f>IFERROR(__xludf.DUMMYFUNCTION("""COMPUTED_VALUE"""),41322.99861111111)</f>
        <v>41322.99861</v>
      </c>
      <c r="B1012" s="1">
        <f>IFERROR(__xludf.DUMMYFUNCTION("""COMPUTED_VALUE"""),9699.321)</f>
        <v>9699.321</v>
      </c>
    </row>
    <row r="1013">
      <c r="A1013" s="3">
        <f>IFERROR(__xludf.DUMMYFUNCTION("""COMPUTED_VALUE"""),41323.99861111111)</f>
        <v>41323.99861</v>
      </c>
      <c r="B1013" s="1">
        <f>IFERROR(__xludf.DUMMYFUNCTION("""COMPUTED_VALUE"""),9653.6)</f>
        <v>9653.6</v>
      </c>
    </row>
    <row r="1014">
      <c r="A1014" s="3">
        <f>IFERROR(__xludf.DUMMYFUNCTION("""COMPUTED_VALUE"""),41324.99861111111)</f>
        <v>41324.99861</v>
      </c>
      <c r="B1014" s="1">
        <f>IFERROR(__xludf.DUMMYFUNCTION("""COMPUTED_VALUE"""),9674.9)</f>
        <v>9674.9</v>
      </c>
    </row>
    <row r="1015">
      <c r="A1015" s="3">
        <f>IFERROR(__xludf.DUMMYFUNCTION("""COMPUTED_VALUE"""),41325.99861111111)</f>
        <v>41325.99861</v>
      </c>
      <c r="B1015" s="1">
        <f>IFERROR(__xludf.DUMMYFUNCTION("""COMPUTED_VALUE"""),9655.5)</f>
        <v>9655.5</v>
      </c>
    </row>
    <row r="1016">
      <c r="A1016" s="3">
        <f>IFERROR(__xludf.DUMMYFUNCTION("""COMPUTED_VALUE"""),41326.99861111111)</f>
        <v>41326.99861</v>
      </c>
      <c r="B1016" s="1">
        <f>IFERROR(__xludf.DUMMYFUNCTION("""COMPUTED_VALUE"""),9674.5)</f>
        <v>9674.5</v>
      </c>
    </row>
    <row r="1017">
      <c r="A1017" s="3">
        <f>IFERROR(__xludf.DUMMYFUNCTION("""COMPUTED_VALUE"""),41327.99861111111)</f>
        <v>41327.99861</v>
      </c>
      <c r="B1017" s="1">
        <f>IFERROR(__xludf.DUMMYFUNCTION("""COMPUTED_VALUE"""),9675.5)</f>
        <v>9675.5</v>
      </c>
    </row>
    <row r="1018">
      <c r="A1018" s="3">
        <f>IFERROR(__xludf.DUMMYFUNCTION("""COMPUTED_VALUE"""),41328.99861111111)</f>
        <v>41328.99861</v>
      </c>
      <c r="B1018" s="1">
        <f>IFERROR(__xludf.DUMMYFUNCTION("""COMPUTED_VALUE"""),9684.0)</f>
        <v>9684</v>
      </c>
    </row>
    <row r="1019">
      <c r="A1019" s="3">
        <f>IFERROR(__xludf.DUMMYFUNCTION("""COMPUTED_VALUE"""),41329.99861111111)</f>
        <v>41329.99861</v>
      </c>
      <c r="B1019" s="1">
        <f>IFERROR(__xludf.DUMMYFUNCTION("""COMPUTED_VALUE"""),9737.098)</f>
        <v>9737.098</v>
      </c>
    </row>
    <row r="1020">
      <c r="A1020" s="3">
        <f>IFERROR(__xludf.DUMMYFUNCTION("""COMPUTED_VALUE"""),41330.99861111111)</f>
        <v>41330.99861</v>
      </c>
      <c r="B1020" s="1">
        <f>IFERROR(__xludf.DUMMYFUNCTION("""COMPUTED_VALUE"""),9676.4)</f>
        <v>9676.4</v>
      </c>
    </row>
    <row r="1021">
      <c r="A1021" s="3">
        <f>IFERROR(__xludf.DUMMYFUNCTION("""COMPUTED_VALUE"""),41331.99861111111)</f>
        <v>41331.99861</v>
      </c>
      <c r="B1021" s="1">
        <f>IFERROR(__xludf.DUMMYFUNCTION("""COMPUTED_VALUE"""),9678.5)</f>
        <v>9678.5</v>
      </c>
    </row>
    <row r="1022">
      <c r="A1022" s="3">
        <f>IFERROR(__xludf.DUMMYFUNCTION("""COMPUTED_VALUE"""),41332.99861111111)</f>
        <v>41332.99861</v>
      </c>
      <c r="B1022" s="1">
        <f>IFERROR(__xludf.DUMMYFUNCTION("""COMPUTED_VALUE"""),9657.3)</f>
        <v>9657.3</v>
      </c>
    </row>
    <row r="1023">
      <c r="A1023" s="3">
        <f>IFERROR(__xludf.DUMMYFUNCTION("""COMPUTED_VALUE"""),41333.99861111111)</f>
        <v>41333.99861</v>
      </c>
      <c r="B1023" s="1">
        <f>IFERROR(__xludf.DUMMYFUNCTION("""COMPUTED_VALUE"""),9633.8)</f>
        <v>9633.8</v>
      </c>
    </row>
    <row r="1024">
      <c r="A1024" s="3">
        <f>IFERROR(__xludf.DUMMYFUNCTION("""COMPUTED_VALUE"""),41334.99861111111)</f>
        <v>41334.99861</v>
      </c>
      <c r="B1024" s="1">
        <f>IFERROR(__xludf.DUMMYFUNCTION("""COMPUTED_VALUE"""),9647.7)</f>
        <v>9647.7</v>
      </c>
    </row>
    <row r="1025">
      <c r="A1025" s="3">
        <f>IFERROR(__xludf.DUMMYFUNCTION("""COMPUTED_VALUE"""),41335.99861111111)</f>
        <v>41335.99861</v>
      </c>
      <c r="B1025" s="1">
        <f>IFERROR(__xludf.DUMMYFUNCTION("""COMPUTED_VALUE"""),9653.0)</f>
        <v>9653</v>
      </c>
    </row>
    <row r="1026">
      <c r="A1026" s="3">
        <f>IFERROR(__xludf.DUMMYFUNCTION("""COMPUTED_VALUE"""),41336.99861111111)</f>
        <v>41336.99861</v>
      </c>
      <c r="B1026" s="1">
        <f>IFERROR(__xludf.DUMMYFUNCTION("""COMPUTED_VALUE"""),9612.45)</f>
        <v>9612.45</v>
      </c>
    </row>
    <row r="1027">
      <c r="A1027" s="3">
        <f>IFERROR(__xludf.DUMMYFUNCTION("""COMPUTED_VALUE"""),41337.99861111111)</f>
        <v>41337.99861</v>
      </c>
      <c r="B1027" s="1">
        <f>IFERROR(__xludf.DUMMYFUNCTION("""COMPUTED_VALUE"""),9677.5)</f>
        <v>9677.5</v>
      </c>
    </row>
    <row r="1028">
      <c r="A1028" s="3">
        <f>IFERROR(__xludf.DUMMYFUNCTION("""COMPUTED_VALUE"""),41338.99861111111)</f>
        <v>41338.99861</v>
      </c>
      <c r="B1028" s="1">
        <f>IFERROR(__xludf.DUMMYFUNCTION("""COMPUTED_VALUE"""),9663.8)</f>
        <v>9663.8</v>
      </c>
    </row>
    <row r="1029">
      <c r="A1029" s="3">
        <f>IFERROR(__xludf.DUMMYFUNCTION("""COMPUTED_VALUE"""),41339.99861111111)</f>
        <v>41339.99861</v>
      </c>
      <c r="B1029" s="1">
        <f>IFERROR(__xludf.DUMMYFUNCTION("""COMPUTED_VALUE"""),9658.8)</f>
        <v>9658.8</v>
      </c>
    </row>
    <row r="1030">
      <c r="A1030" s="3">
        <f>IFERROR(__xludf.DUMMYFUNCTION("""COMPUTED_VALUE"""),41340.99861111111)</f>
        <v>41340.99861</v>
      </c>
      <c r="B1030" s="1">
        <f>IFERROR(__xludf.DUMMYFUNCTION("""COMPUTED_VALUE"""),9663.9)</f>
        <v>9663.9</v>
      </c>
    </row>
    <row r="1031">
      <c r="A1031" s="3">
        <f>IFERROR(__xludf.DUMMYFUNCTION("""COMPUTED_VALUE"""),41341.99861111111)</f>
        <v>41341.99861</v>
      </c>
      <c r="B1031" s="1">
        <f>IFERROR(__xludf.DUMMYFUNCTION("""COMPUTED_VALUE"""),9650.9)</f>
        <v>9650.9</v>
      </c>
    </row>
    <row r="1032">
      <c r="A1032" s="3">
        <f>IFERROR(__xludf.DUMMYFUNCTION("""COMPUTED_VALUE"""),41342.99861111111)</f>
        <v>41342.99861</v>
      </c>
      <c r="B1032" s="1">
        <f>IFERROR(__xludf.DUMMYFUNCTION("""COMPUTED_VALUE"""),9650.1)</f>
        <v>9650.1</v>
      </c>
    </row>
    <row r="1033">
      <c r="A1033" s="3">
        <f>IFERROR(__xludf.DUMMYFUNCTION("""COMPUTED_VALUE"""),41343.99861111111)</f>
        <v>41343.99861</v>
      </c>
      <c r="B1033" s="1">
        <f>IFERROR(__xludf.DUMMYFUNCTION("""COMPUTED_VALUE"""),9612.45)</f>
        <v>9612.45</v>
      </c>
    </row>
    <row r="1034">
      <c r="A1034" s="3">
        <f>IFERROR(__xludf.DUMMYFUNCTION("""COMPUTED_VALUE"""),41344.99861111111)</f>
        <v>41344.99861</v>
      </c>
      <c r="B1034" s="1">
        <f>IFERROR(__xludf.DUMMYFUNCTION("""COMPUTED_VALUE"""),9668.6)</f>
        <v>9668.6</v>
      </c>
    </row>
    <row r="1035">
      <c r="A1035" s="3">
        <f>IFERROR(__xludf.DUMMYFUNCTION("""COMPUTED_VALUE"""),41345.99861111111)</f>
        <v>41345.99861</v>
      </c>
      <c r="B1035" s="1">
        <f>IFERROR(__xludf.DUMMYFUNCTION("""COMPUTED_VALUE"""),9668.0)</f>
        <v>9668</v>
      </c>
    </row>
    <row r="1036">
      <c r="A1036" s="3">
        <f>IFERROR(__xludf.DUMMYFUNCTION("""COMPUTED_VALUE"""),41346.99861111111)</f>
        <v>41346.99861</v>
      </c>
      <c r="B1036" s="1">
        <f>IFERROR(__xludf.DUMMYFUNCTION("""COMPUTED_VALUE"""),9661.8)</f>
        <v>9661.8</v>
      </c>
    </row>
    <row r="1037">
      <c r="A1037" s="3">
        <f>IFERROR(__xludf.DUMMYFUNCTION("""COMPUTED_VALUE"""),41347.99861111111)</f>
        <v>41347.99861</v>
      </c>
      <c r="B1037" s="1">
        <f>IFERROR(__xludf.DUMMYFUNCTION("""COMPUTED_VALUE"""),9673.4)</f>
        <v>9673.4</v>
      </c>
    </row>
    <row r="1038">
      <c r="A1038" s="3">
        <f>IFERROR(__xludf.DUMMYFUNCTION("""COMPUTED_VALUE"""),41348.99861111111)</f>
        <v>41348.99861</v>
      </c>
      <c r="B1038" s="1">
        <f>IFERROR(__xludf.DUMMYFUNCTION("""COMPUTED_VALUE"""),9678.3)</f>
        <v>9678.3</v>
      </c>
    </row>
    <row r="1039">
      <c r="A1039" s="3">
        <f>IFERROR(__xludf.DUMMYFUNCTION("""COMPUTED_VALUE"""),41349.99861111111)</f>
        <v>41349.99861</v>
      </c>
      <c r="B1039" s="1">
        <f>IFERROR(__xludf.DUMMYFUNCTION("""COMPUTED_VALUE"""),9675.8)</f>
        <v>9675.8</v>
      </c>
    </row>
    <row r="1040">
      <c r="A1040" s="3">
        <f>IFERROR(__xludf.DUMMYFUNCTION("""COMPUTED_VALUE"""),41350.99861111111)</f>
        <v>41350.99861</v>
      </c>
      <c r="B1040" s="1">
        <f>IFERROR(__xludf.DUMMYFUNCTION("""COMPUTED_VALUE"""),9737.098)</f>
        <v>9737.098</v>
      </c>
    </row>
    <row r="1041">
      <c r="A1041" s="3">
        <f>IFERROR(__xludf.DUMMYFUNCTION("""COMPUTED_VALUE"""),41351.99861111111)</f>
        <v>41351.99861</v>
      </c>
      <c r="B1041" s="1">
        <f>IFERROR(__xludf.DUMMYFUNCTION("""COMPUTED_VALUE"""),9682.0)</f>
        <v>9682</v>
      </c>
    </row>
    <row r="1042">
      <c r="A1042" s="3">
        <f>IFERROR(__xludf.DUMMYFUNCTION("""COMPUTED_VALUE"""),41352.99861111111)</f>
        <v>41352.99861</v>
      </c>
      <c r="B1042" s="1">
        <f>IFERROR(__xludf.DUMMYFUNCTION("""COMPUTED_VALUE"""),9682.7)</f>
        <v>9682.7</v>
      </c>
    </row>
    <row r="1043">
      <c r="A1043" s="3">
        <f>IFERROR(__xludf.DUMMYFUNCTION("""COMPUTED_VALUE"""),41353.99861111111)</f>
        <v>41353.99861</v>
      </c>
      <c r="B1043" s="1">
        <f>IFERROR(__xludf.DUMMYFUNCTION("""COMPUTED_VALUE"""),9695.2)</f>
        <v>9695.2</v>
      </c>
    </row>
    <row r="1044">
      <c r="A1044" s="3">
        <f>IFERROR(__xludf.DUMMYFUNCTION("""COMPUTED_VALUE"""),41354.99861111111)</f>
        <v>41354.99861</v>
      </c>
      <c r="B1044" s="1">
        <f>IFERROR(__xludf.DUMMYFUNCTION("""COMPUTED_VALUE"""),9703.2)</f>
        <v>9703.2</v>
      </c>
    </row>
    <row r="1045">
      <c r="A1045" s="3">
        <f>IFERROR(__xludf.DUMMYFUNCTION("""COMPUTED_VALUE"""),41355.99861111111)</f>
        <v>41355.99861</v>
      </c>
      <c r="B1045" s="1">
        <f>IFERROR(__xludf.DUMMYFUNCTION("""COMPUTED_VALUE"""),9713.6)</f>
        <v>9713.6</v>
      </c>
    </row>
    <row r="1046">
      <c r="A1046" s="3">
        <f>IFERROR(__xludf.DUMMYFUNCTION("""COMPUTED_VALUE"""),41356.99861111111)</f>
        <v>41356.99861</v>
      </c>
      <c r="B1046" s="1">
        <f>IFERROR(__xludf.DUMMYFUNCTION("""COMPUTED_VALUE"""),9718.0)</f>
        <v>9718</v>
      </c>
    </row>
    <row r="1047">
      <c r="A1047" s="3">
        <f>IFERROR(__xludf.DUMMYFUNCTION("""COMPUTED_VALUE"""),41357.99861111111)</f>
        <v>41357.99861</v>
      </c>
      <c r="B1047" s="1">
        <f>IFERROR(__xludf.DUMMYFUNCTION("""COMPUTED_VALUE"""),9612.45)</f>
        <v>9612.45</v>
      </c>
    </row>
    <row r="1048">
      <c r="A1048" s="3">
        <f>IFERROR(__xludf.DUMMYFUNCTION("""COMPUTED_VALUE"""),41358.99861111111)</f>
        <v>41358.99861</v>
      </c>
      <c r="B1048" s="1">
        <f>IFERROR(__xludf.DUMMYFUNCTION("""COMPUTED_VALUE"""),9705.0)</f>
        <v>9705</v>
      </c>
    </row>
    <row r="1049">
      <c r="A1049" s="3">
        <f>IFERROR(__xludf.DUMMYFUNCTION("""COMPUTED_VALUE"""),41359.99861111111)</f>
        <v>41359.99861</v>
      </c>
      <c r="B1049" s="1">
        <f>IFERROR(__xludf.DUMMYFUNCTION("""COMPUTED_VALUE"""),9702.8)</f>
        <v>9702.8</v>
      </c>
    </row>
    <row r="1050">
      <c r="A1050" s="3">
        <f>IFERROR(__xludf.DUMMYFUNCTION("""COMPUTED_VALUE"""),41360.99861111111)</f>
        <v>41360.99861</v>
      </c>
      <c r="B1050" s="1">
        <f>IFERROR(__xludf.DUMMYFUNCTION("""COMPUTED_VALUE"""),9694.8)</f>
        <v>9694.8</v>
      </c>
    </row>
    <row r="1051">
      <c r="A1051" s="3">
        <f>IFERROR(__xludf.DUMMYFUNCTION("""COMPUTED_VALUE"""),41361.99861111111)</f>
        <v>41361.99861</v>
      </c>
      <c r="B1051" s="1">
        <f>IFERROR(__xludf.DUMMYFUNCTION("""COMPUTED_VALUE"""),9688.6)</f>
        <v>9688.6</v>
      </c>
    </row>
    <row r="1052">
      <c r="A1052" s="3">
        <f>IFERROR(__xludf.DUMMYFUNCTION("""COMPUTED_VALUE"""),41362.99861111111)</f>
        <v>41362.99861</v>
      </c>
      <c r="B1052" s="1">
        <f>IFERROR(__xludf.DUMMYFUNCTION("""COMPUTED_VALUE"""),9683.0)</f>
        <v>9683</v>
      </c>
    </row>
    <row r="1053">
      <c r="A1053" s="3">
        <f>IFERROR(__xludf.DUMMYFUNCTION("""COMPUTED_VALUE"""),41363.99861111111)</f>
        <v>41363.99861</v>
      </c>
      <c r="B1053" s="1">
        <f>IFERROR(__xludf.DUMMYFUNCTION("""COMPUTED_VALUE"""),9693.0)</f>
        <v>9693</v>
      </c>
    </row>
    <row r="1054">
      <c r="A1054" s="3">
        <f>IFERROR(__xludf.DUMMYFUNCTION("""COMPUTED_VALUE"""),41364.99861111111)</f>
        <v>41364.99861</v>
      </c>
      <c r="B1054" s="1">
        <f>IFERROR(__xludf.DUMMYFUNCTION("""COMPUTED_VALUE"""),9612.45)</f>
        <v>9612.45</v>
      </c>
    </row>
    <row r="1055">
      <c r="A1055" s="3">
        <f>IFERROR(__xludf.DUMMYFUNCTION("""COMPUTED_VALUE"""),41365.99861111111)</f>
        <v>41365.99861</v>
      </c>
      <c r="B1055" s="1">
        <f>IFERROR(__xludf.DUMMYFUNCTION("""COMPUTED_VALUE"""),9715.0)</f>
        <v>9715</v>
      </c>
    </row>
    <row r="1056">
      <c r="A1056" s="3">
        <f>IFERROR(__xludf.DUMMYFUNCTION("""COMPUTED_VALUE"""),41366.99861111111)</f>
        <v>41366.99861</v>
      </c>
      <c r="B1056" s="1">
        <f>IFERROR(__xludf.DUMMYFUNCTION("""COMPUTED_VALUE"""),9708.5)</f>
        <v>9708.5</v>
      </c>
    </row>
    <row r="1057">
      <c r="A1057" s="3">
        <f>IFERROR(__xludf.DUMMYFUNCTION("""COMPUTED_VALUE"""),41367.99861111111)</f>
        <v>41367.99861</v>
      </c>
      <c r="B1057" s="1">
        <f>IFERROR(__xludf.DUMMYFUNCTION("""COMPUTED_VALUE"""),9717.7)</f>
        <v>9717.7</v>
      </c>
    </row>
    <row r="1058">
      <c r="A1058" s="3">
        <f>IFERROR(__xludf.DUMMYFUNCTION("""COMPUTED_VALUE"""),41368.99861111111)</f>
        <v>41368.99861</v>
      </c>
      <c r="B1058" s="1">
        <f>IFERROR(__xludf.DUMMYFUNCTION("""COMPUTED_VALUE"""),9719.5)</f>
        <v>9719.5</v>
      </c>
    </row>
    <row r="1059">
      <c r="A1059" s="3">
        <f>IFERROR(__xludf.DUMMYFUNCTION("""COMPUTED_VALUE"""),41369.99861111111)</f>
        <v>41369.99861</v>
      </c>
      <c r="B1059" s="1">
        <f>IFERROR(__xludf.DUMMYFUNCTION("""COMPUTED_VALUE"""),9780.3)</f>
        <v>9780.3</v>
      </c>
    </row>
    <row r="1060">
      <c r="A1060" s="3">
        <f>IFERROR(__xludf.DUMMYFUNCTION("""COMPUTED_VALUE"""),41370.99861111111)</f>
        <v>41370.99861</v>
      </c>
      <c r="B1060" s="1">
        <f>IFERROR(__xludf.DUMMYFUNCTION("""COMPUTED_VALUE"""),9842.519)</f>
        <v>9842.519</v>
      </c>
    </row>
    <row r="1061">
      <c r="A1061" s="3">
        <f>IFERROR(__xludf.DUMMYFUNCTION("""COMPUTED_VALUE"""),41371.99861111111)</f>
        <v>41371.99861</v>
      </c>
      <c r="B1061" s="1">
        <f>IFERROR(__xludf.DUMMYFUNCTION("""COMPUTED_VALUE"""),9728.3)</f>
        <v>9728.3</v>
      </c>
    </row>
    <row r="1062">
      <c r="A1062" s="3">
        <f>IFERROR(__xludf.DUMMYFUNCTION("""COMPUTED_VALUE"""),41372.99861111111)</f>
        <v>41372.99861</v>
      </c>
      <c r="B1062" s="1">
        <f>IFERROR(__xludf.DUMMYFUNCTION("""COMPUTED_VALUE"""),9719.9)</f>
        <v>9719.9</v>
      </c>
    </row>
    <row r="1063">
      <c r="A1063" s="3">
        <f>IFERROR(__xludf.DUMMYFUNCTION("""COMPUTED_VALUE"""),41373.99861111111)</f>
        <v>41373.99861</v>
      </c>
      <c r="B1063" s="1">
        <f>IFERROR(__xludf.DUMMYFUNCTION("""COMPUTED_VALUE"""),9691.5)</f>
        <v>9691.5</v>
      </c>
    </row>
    <row r="1064">
      <c r="A1064" s="3">
        <f>IFERROR(__xludf.DUMMYFUNCTION("""COMPUTED_VALUE"""),41374.99861111111)</f>
        <v>41374.99861</v>
      </c>
      <c r="B1064" s="1">
        <f>IFERROR(__xludf.DUMMYFUNCTION("""COMPUTED_VALUE"""),9661.7)</f>
        <v>9661.7</v>
      </c>
    </row>
    <row r="1065">
      <c r="A1065" s="3">
        <f>IFERROR(__xludf.DUMMYFUNCTION("""COMPUTED_VALUE"""),41375.99861111111)</f>
        <v>41375.99861</v>
      </c>
      <c r="B1065" s="1">
        <f>IFERROR(__xludf.DUMMYFUNCTION("""COMPUTED_VALUE"""),9674.9)</f>
        <v>9674.9</v>
      </c>
    </row>
    <row r="1066">
      <c r="A1066" s="3">
        <f>IFERROR(__xludf.DUMMYFUNCTION("""COMPUTED_VALUE"""),41376.99861111111)</f>
        <v>41376.99861</v>
      </c>
      <c r="B1066" s="1">
        <f>IFERROR(__xludf.DUMMYFUNCTION("""COMPUTED_VALUE"""),9685.0)</f>
        <v>9685</v>
      </c>
    </row>
    <row r="1067">
      <c r="A1067" s="3">
        <f>IFERROR(__xludf.DUMMYFUNCTION("""COMPUTED_VALUE"""),41377.99861111111)</f>
        <v>41377.99861</v>
      </c>
      <c r="B1067" s="1">
        <f>IFERROR(__xludf.DUMMYFUNCTION("""COMPUTED_VALUE"""),9688.0)</f>
        <v>9688</v>
      </c>
    </row>
    <row r="1068">
      <c r="A1068" s="3">
        <f>IFERROR(__xludf.DUMMYFUNCTION("""COMPUTED_VALUE"""),41378.99861111111)</f>
        <v>41378.99861</v>
      </c>
      <c r="B1068" s="1">
        <f>IFERROR(__xludf.DUMMYFUNCTION("""COMPUTED_VALUE"""),9683.5)</f>
        <v>9683.5</v>
      </c>
    </row>
    <row r="1069">
      <c r="A1069" s="3">
        <f>IFERROR(__xludf.DUMMYFUNCTION("""COMPUTED_VALUE"""),41379.99861111111)</f>
        <v>41379.99861</v>
      </c>
      <c r="B1069" s="1">
        <f>IFERROR(__xludf.DUMMYFUNCTION("""COMPUTED_VALUE"""),9682.8)</f>
        <v>9682.8</v>
      </c>
    </row>
    <row r="1070">
      <c r="A1070" s="3">
        <f>IFERROR(__xludf.DUMMYFUNCTION("""COMPUTED_VALUE"""),41380.99861111111)</f>
        <v>41380.99861</v>
      </c>
      <c r="B1070" s="1">
        <f>IFERROR(__xludf.DUMMYFUNCTION("""COMPUTED_VALUE"""),9690.3)</f>
        <v>9690.3</v>
      </c>
    </row>
    <row r="1071">
      <c r="A1071" s="3">
        <f>IFERROR(__xludf.DUMMYFUNCTION("""COMPUTED_VALUE"""),41381.99861111111)</f>
        <v>41381.99861</v>
      </c>
      <c r="B1071" s="1">
        <f>IFERROR(__xludf.DUMMYFUNCTION("""COMPUTED_VALUE"""),9682.8)</f>
        <v>9682.8</v>
      </c>
    </row>
    <row r="1072">
      <c r="A1072" s="3">
        <f>IFERROR(__xludf.DUMMYFUNCTION("""COMPUTED_VALUE"""),41382.99861111111)</f>
        <v>41382.99861</v>
      </c>
      <c r="B1072" s="1">
        <f>IFERROR(__xludf.DUMMYFUNCTION("""COMPUTED_VALUE"""),9684.9)</f>
        <v>9684.9</v>
      </c>
    </row>
    <row r="1073">
      <c r="A1073" s="3">
        <f>IFERROR(__xludf.DUMMYFUNCTION("""COMPUTED_VALUE"""),41383.99861111111)</f>
        <v>41383.99861</v>
      </c>
      <c r="B1073" s="1">
        <f>IFERROR(__xludf.DUMMYFUNCTION("""COMPUTED_VALUE"""),9686.6)</f>
        <v>9686.6</v>
      </c>
    </row>
    <row r="1074">
      <c r="A1074" s="3">
        <f>IFERROR(__xludf.DUMMYFUNCTION("""COMPUTED_VALUE"""),41384.99861111111)</f>
        <v>41384.99861</v>
      </c>
      <c r="B1074" s="1">
        <f>IFERROR(__xludf.DUMMYFUNCTION("""COMPUTED_VALUE"""),9746.588)</f>
        <v>9746.588</v>
      </c>
    </row>
    <row r="1075">
      <c r="A1075" s="3">
        <f>IFERROR(__xludf.DUMMYFUNCTION("""COMPUTED_VALUE"""),41385.99861111111)</f>
        <v>41385.99861</v>
      </c>
      <c r="B1075" s="1">
        <f>IFERROR(__xludf.DUMMYFUNCTION("""COMPUTED_VALUE"""),9688.0)</f>
        <v>9688</v>
      </c>
    </row>
    <row r="1076">
      <c r="A1076" s="3">
        <f>IFERROR(__xludf.DUMMYFUNCTION("""COMPUTED_VALUE"""),41386.99861111111)</f>
        <v>41386.99861</v>
      </c>
      <c r="B1076" s="1">
        <f>IFERROR(__xludf.DUMMYFUNCTION("""COMPUTED_VALUE"""),9689.5)</f>
        <v>9689.5</v>
      </c>
    </row>
    <row r="1077">
      <c r="A1077" s="3">
        <f>IFERROR(__xludf.DUMMYFUNCTION("""COMPUTED_VALUE"""),41387.99861111111)</f>
        <v>41387.99861</v>
      </c>
      <c r="B1077" s="1">
        <f>IFERROR(__xludf.DUMMYFUNCTION("""COMPUTED_VALUE"""),9694.7)</f>
        <v>9694.7</v>
      </c>
    </row>
    <row r="1078">
      <c r="A1078" s="3">
        <f>IFERROR(__xludf.DUMMYFUNCTION("""COMPUTED_VALUE"""),41388.99861111111)</f>
        <v>41388.99861</v>
      </c>
      <c r="B1078" s="1">
        <f>IFERROR(__xludf.DUMMYFUNCTION("""COMPUTED_VALUE"""),9688.8)</f>
        <v>9688.8</v>
      </c>
    </row>
    <row r="1079">
      <c r="A1079" s="3">
        <f>IFERROR(__xludf.DUMMYFUNCTION("""COMPUTED_VALUE"""),41389.99861111111)</f>
        <v>41389.99861</v>
      </c>
      <c r="B1079" s="1">
        <f>IFERROR(__xludf.DUMMYFUNCTION("""COMPUTED_VALUE"""),9689.7)</f>
        <v>9689.7</v>
      </c>
    </row>
    <row r="1080">
      <c r="A1080" s="3">
        <f>IFERROR(__xludf.DUMMYFUNCTION("""COMPUTED_VALUE"""),41390.99861111111)</f>
        <v>41390.99861</v>
      </c>
      <c r="B1080" s="1">
        <f>IFERROR(__xludf.DUMMYFUNCTION("""COMPUTED_VALUE"""),9696.0)</f>
        <v>9696</v>
      </c>
    </row>
    <row r="1081">
      <c r="A1081" s="3">
        <f>IFERROR(__xludf.DUMMYFUNCTION("""COMPUTED_VALUE"""),41391.99861111111)</f>
        <v>41391.99861</v>
      </c>
      <c r="B1081" s="1">
        <f>IFERROR(__xludf.DUMMYFUNCTION("""COMPUTED_VALUE"""),9692.2)</f>
        <v>9692.2</v>
      </c>
    </row>
    <row r="1082">
      <c r="A1082" s="3">
        <f>IFERROR(__xludf.DUMMYFUNCTION("""COMPUTED_VALUE"""),41392.99861111111)</f>
        <v>41392.99861</v>
      </c>
      <c r="B1082" s="1">
        <f>IFERROR(__xludf.DUMMYFUNCTION("""COMPUTED_VALUE"""),9612.45)</f>
        <v>9612.45</v>
      </c>
    </row>
    <row r="1083">
      <c r="A1083" s="3">
        <f>IFERROR(__xludf.DUMMYFUNCTION("""COMPUTED_VALUE"""),41393.99861111111)</f>
        <v>41393.99861</v>
      </c>
      <c r="B1083" s="1">
        <f>IFERROR(__xludf.DUMMYFUNCTION("""COMPUTED_VALUE"""),9691.4)</f>
        <v>9691.4</v>
      </c>
    </row>
    <row r="1084">
      <c r="A1084" s="3">
        <f>IFERROR(__xludf.DUMMYFUNCTION("""COMPUTED_VALUE"""),41394.99861111111)</f>
        <v>41394.99861</v>
      </c>
      <c r="B1084" s="1">
        <f>IFERROR(__xludf.DUMMYFUNCTION("""COMPUTED_VALUE"""),9693.9)</f>
        <v>9693.9</v>
      </c>
    </row>
    <row r="1085">
      <c r="A1085" s="3">
        <f>IFERROR(__xludf.DUMMYFUNCTION("""COMPUTED_VALUE"""),41395.99861111111)</f>
        <v>41395.99861</v>
      </c>
      <c r="B1085" s="1">
        <f>IFERROR(__xludf.DUMMYFUNCTION("""COMPUTED_VALUE"""),9693.7)</f>
        <v>9693.7</v>
      </c>
    </row>
    <row r="1086">
      <c r="A1086" s="3">
        <f>IFERROR(__xludf.DUMMYFUNCTION("""COMPUTED_VALUE"""),41396.99861111111)</f>
        <v>41396.99861</v>
      </c>
      <c r="B1086" s="1">
        <f>IFERROR(__xludf.DUMMYFUNCTION("""COMPUTED_VALUE"""),9709.4)</f>
        <v>9709.4</v>
      </c>
    </row>
    <row r="1087">
      <c r="A1087" s="3">
        <f>IFERROR(__xludf.DUMMYFUNCTION("""COMPUTED_VALUE"""),41397.99861111111)</f>
        <v>41397.99861</v>
      </c>
      <c r="B1087" s="1">
        <f>IFERROR(__xludf.DUMMYFUNCTION("""COMPUTED_VALUE"""),9704.2)</f>
        <v>9704.2</v>
      </c>
    </row>
    <row r="1088">
      <c r="A1088" s="3">
        <f>IFERROR(__xludf.DUMMYFUNCTION("""COMPUTED_VALUE"""),41398.99861111111)</f>
        <v>41398.99861</v>
      </c>
      <c r="B1088" s="1">
        <f>IFERROR(__xludf.DUMMYFUNCTION("""COMPUTED_VALUE"""),9710.0)</f>
        <v>9710</v>
      </c>
    </row>
    <row r="1089">
      <c r="A1089" s="3">
        <f>IFERROR(__xludf.DUMMYFUNCTION("""COMPUTED_VALUE"""),41399.99861111111)</f>
        <v>41399.99861</v>
      </c>
      <c r="B1089" s="1">
        <f>IFERROR(__xludf.DUMMYFUNCTION("""COMPUTED_VALUE"""),9612.45)</f>
        <v>9612.45</v>
      </c>
    </row>
    <row r="1090">
      <c r="A1090" s="3">
        <f>IFERROR(__xludf.DUMMYFUNCTION("""COMPUTED_VALUE"""),41400.99861111111)</f>
        <v>41400.99861</v>
      </c>
      <c r="B1090" s="1">
        <f>IFERROR(__xludf.DUMMYFUNCTION("""COMPUTED_VALUE"""),9705.5)</f>
        <v>9705.5</v>
      </c>
    </row>
    <row r="1091">
      <c r="A1091" s="3">
        <f>IFERROR(__xludf.DUMMYFUNCTION("""COMPUTED_VALUE"""),41401.99861111111)</f>
        <v>41401.99861</v>
      </c>
      <c r="B1091" s="1">
        <f>IFERROR(__xludf.DUMMYFUNCTION("""COMPUTED_VALUE"""),9706.7)</f>
        <v>9706.7</v>
      </c>
    </row>
    <row r="1092">
      <c r="A1092" s="3">
        <f>IFERROR(__xludf.DUMMYFUNCTION("""COMPUTED_VALUE"""),41402.99861111111)</f>
        <v>41402.99861</v>
      </c>
      <c r="B1092" s="1">
        <f>IFERROR(__xludf.DUMMYFUNCTION("""COMPUTED_VALUE"""),9705.0)</f>
        <v>9705</v>
      </c>
    </row>
    <row r="1093">
      <c r="A1093" s="3">
        <f>IFERROR(__xludf.DUMMYFUNCTION("""COMPUTED_VALUE"""),41403.99861111111)</f>
        <v>41403.99861</v>
      </c>
      <c r="B1093" s="1">
        <f>IFERROR(__xludf.DUMMYFUNCTION("""COMPUTED_VALUE"""),9700.9)</f>
        <v>9700.9</v>
      </c>
    </row>
    <row r="1094">
      <c r="A1094" s="3">
        <f>IFERROR(__xludf.DUMMYFUNCTION("""COMPUTED_VALUE"""),41404.99861111111)</f>
        <v>41404.99861</v>
      </c>
      <c r="B1094" s="1">
        <f>IFERROR(__xludf.DUMMYFUNCTION("""COMPUTED_VALUE"""),9709.0)</f>
        <v>9709</v>
      </c>
    </row>
    <row r="1095">
      <c r="A1095" s="3">
        <f>IFERROR(__xludf.DUMMYFUNCTION("""COMPUTED_VALUE"""),41405.99861111111)</f>
        <v>41405.99861</v>
      </c>
      <c r="B1095" s="1">
        <f>IFERROR(__xludf.DUMMYFUNCTION("""COMPUTED_VALUE"""),9709.0)</f>
        <v>9709</v>
      </c>
    </row>
    <row r="1096">
      <c r="A1096" s="3">
        <f>IFERROR(__xludf.DUMMYFUNCTION("""COMPUTED_VALUE"""),41406.99861111111)</f>
        <v>41406.99861</v>
      </c>
      <c r="B1096" s="1">
        <f>IFERROR(__xludf.DUMMYFUNCTION("""COMPUTED_VALUE"""),9756.097)</f>
        <v>9756.097</v>
      </c>
    </row>
    <row r="1097">
      <c r="A1097" s="3">
        <f>IFERROR(__xludf.DUMMYFUNCTION("""COMPUTED_VALUE"""),41407.99861111111)</f>
        <v>41407.99861</v>
      </c>
      <c r="B1097" s="1">
        <f>IFERROR(__xludf.DUMMYFUNCTION("""COMPUTED_VALUE"""),9708.8)</f>
        <v>9708.8</v>
      </c>
    </row>
    <row r="1098">
      <c r="A1098" s="3">
        <f>IFERROR(__xludf.DUMMYFUNCTION("""COMPUTED_VALUE"""),41408.99861111111)</f>
        <v>41408.99861</v>
      </c>
      <c r="B1098" s="1">
        <f>IFERROR(__xludf.DUMMYFUNCTION("""COMPUTED_VALUE"""),9707.6)</f>
        <v>9707.6</v>
      </c>
    </row>
    <row r="1099">
      <c r="A1099" s="3">
        <f>IFERROR(__xludf.DUMMYFUNCTION("""COMPUTED_VALUE"""),41409.99861111111)</f>
        <v>41409.99861</v>
      </c>
      <c r="B1099" s="1">
        <f>IFERROR(__xludf.DUMMYFUNCTION("""COMPUTED_VALUE"""),9718.2)</f>
        <v>9718.2</v>
      </c>
    </row>
    <row r="1100">
      <c r="A1100" s="3">
        <f>IFERROR(__xludf.DUMMYFUNCTION("""COMPUTED_VALUE"""),41410.99861111111)</f>
        <v>41410.99861</v>
      </c>
      <c r="B1100" s="1">
        <f>IFERROR(__xludf.DUMMYFUNCTION("""COMPUTED_VALUE"""),9721.1)</f>
        <v>9721.1</v>
      </c>
    </row>
    <row r="1101">
      <c r="A1101" s="3">
        <f>IFERROR(__xludf.DUMMYFUNCTION("""COMPUTED_VALUE"""),41411.99861111111)</f>
        <v>41411.99861</v>
      </c>
      <c r="B1101" s="1">
        <f>IFERROR(__xludf.DUMMYFUNCTION("""COMPUTED_VALUE"""),9731.0)</f>
        <v>9731</v>
      </c>
    </row>
    <row r="1102">
      <c r="A1102" s="3">
        <f>IFERROR(__xludf.DUMMYFUNCTION("""COMPUTED_VALUE"""),41412.99861111111)</f>
        <v>41412.99861</v>
      </c>
      <c r="B1102" s="1">
        <f>IFERROR(__xludf.DUMMYFUNCTION("""COMPUTED_VALUE"""),9731.0)</f>
        <v>9731</v>
      </c>
    </row>
    <row r="1103">
      <c r="A1103" s="3">
        <f>IFERROR(__xludf.DUMMYFUNCTION("""COMPUTED_VALUE"""),41413.99861111111)</f>
        <v>41413.99861</v>
      </c>
      <c r="B1103" s="1">
        <f>IFERROR(__xludf.DUMMYFUNCTION("""COMPUTED_VALUE"""),9731.0)</f>
        <v>9731</v>
      </c>
    </row>
    <row r="1104">
      <c r="A1104" s="3">
        <f>IFERROR(__xludf.DUMMYFUNCTION("""COMPUTED_VALUE"""),41414.99861111111)</f>
        <v>41414.99861</v>
      </c>
      <c r="B1104" s="1">
        <f>IFERROR(__xludf.DUMMYFUNCTION("""COMPUTED_VALUE"""),9729.1)</f>
        <v>9729.1</v>
      </c>
    </row>
    <row r="1105">
      <c r="A1105" s="3">
        <f>IFERROR(__xludf.DUMMYFUNCTION("""COMPUTED_VALUE"""),41415.99861111111)</f>
        <v>41415.99861</v>
      </c>
      <c r="B1105" s="1">
        <f>IFERROR(__xludf.DUMMYFUNCTION("""COMPUTED_VALUE"""),9734.1)</f>
        <v>9734.1</v>
      </c>
    </row>
    <row r="1106">
      <c r="A1106" s="3">
        <f>IFERROR(__xludf.DUMMYFUNCTION("""COMPUTED_VALUE"""),41416.99861111111)</f>
        <v>41416.99861</v>
      </c>
      <c r="B1106" s="1">
        <f>IFERROR(__xludf.DUMMYFUNCTION("""COMPUTED_VALUE"""),9736.3)</f>
        <v>9736.3</v>
      </c>
    </row>
    <row r="1107">
      <c r="A1107" s="3">
        <f>IFERROR(__xludf.DUMMYFUNCTION("""COMPUTED_VALUE"""),41417.99861111111)</f>
        <v>41417.99861</v>
      </c>
      <c r="B1107" s="1">
        <f>IFERROR(__xludf.DUMMYFUNCTION("""COMPUTED_VALUE"""),9742.6)</f>
        <v>9742.6</v>
      </c>
    </row>
    <row r="1108">
      <c r="A1108" s="3">
        <f>IFERROR(__xludf.DUMMYFUNCTION("""COMPUTED_VALUE"""),41418.99861111111)</f>
        <v>41418.99861</v>
      </c>
      <c r="B1108" s="1">
        <f>IFERROR(__xludf.DUMMYFUNCTION("""COMPUTED_VALUE"""),9748.0)</f>
        <v>9748</v>
      </c>
    </row>
    <row r="1109">
      <c r="A1109" s="3">
        <f>IFERROR(__xludf.DUMMYFUNCTION("""COMPUTED_VALUE"""),41419.99861111111)</f>
        <v>41419.99861</v>
      </c>
      <c r="B1109" s="1">
        <f>IFERROR(__xludf.DUMMYFUNCTION("""COMPUTED_VALUE"""),9744.0)</f>
        <v>9744</v>
      </c>
    </row>
    <row r="1110">
      <c r="A1110" s="3">
        <f>IFERROR(__xludf.DUMMYFUNCTION("""COMPUTED_VALUE"""),41420.99861111111)</f>
        <v>41420.99861</v>
      </c>
      <c r="B1110" s="1">
        <f>IFERROR(__xludf.DUMMYFUNCTION("""COMPUTED_VALUE"""),9803.921)</f>
        <v>9803.921</v>
      </c>
    </row>
    <row r="1111">
      <c r="A1111" s="3">
        <f>IFERROR(__xludf.DUMMYFUNCTION("""COMPUTED_VALUE"""),41421.99861111111)</f>
        <v>41421.99861</v>
      </c>
      <c r="B1111" s="1">
        <f>IFERROR(__xludf.DUMMYFUNCTION("""COMPUTED_VALUE"""),9760.7)</f>
        <v>9760.7</v>
      </c>
    </row>
    <row r="1112">
      <c r="A1112" s="3">
        <f>IFERROR(__xludf.DUMMYFUNCTION("""COMPUTED_VALUE"""),41422.99861111111)</f>
        <v>41422.99861</v>
      </c>
      <c r="B1112" s="1">
        <f>IFERROR(__xludf.DUMMYFUNCTION("""COMPUTED_VALUE"""),9763.6)</f>
        <v>9763.6</v>
      </c>
    </row>
    <row r="1113">
      <c r="A1113" s="3">
        <f>IFERROR(__xludf.DUMMYFUNCTION("""COMPUTED_VALUE"""),41423.99861111111)</f>
        <v>41423.99861</v>
      </c>
      <c r="B1113" s="1">
        <f>IFERROR(__xludf.DUMMYFUNCTION("""COMPUTED_VALUE"""),9772.8)</f>
        <v>9772.8</v>
      </c>
    </row>
    <row r="1114">
      <c r="A1114" s="3">
        <f>IFERROR(__xludf.DUMMYFUNCTION("""COMPUTED_VALUE"""),41424.99861111111)</f>
        <v>41424.99861</v>
      </c>
      <c r="B1114" s="1">
        <f>IFERROR(__xludf.DUMMYFUNCTION("""COMPUTED_VALUE"""),9776.3)</f>
        <v>9776.3</v>
      </c>
    </row>
    <row r="1115">
      <c r="A1115" s="3">
        <f>IFERROR(__xludf.DUMMYFUNCTION("""COMPUTED_VALUE"""),41425.99861111111)</f>
        <v>41425.99861</v>
      </c>
      <c r="B1115" s="1">
        <f>IFERROR(__xludf.DUMMYFUNCTION("""COMPUTED_VALUE"""),9770.0)</f>
        <v>9770</v>
      </c>
    </row>
    <row r="1116">
      <c r="A1116" s="3">
        <f>IFERROR(__xludf.DUMMYFUNCTION("""COMPUTED_VALUE"""),41426.99861111111)</f>
        <v>41426.99861</v>
      </c>
      <c r="B1116" s="1">
        <f>IFERROR(__xludf.DUMMYFUNCTION("""COMPUTED_VALUE"""),9823.182)</f>
        <v>9823.182</v>
      </c>
    </row>
    <row r="1117">
      <c r="A1117" s="3">
        <f>IFERROR(__xludf.DUMMYFUNCTION("""COMPUTED_VALUE"""),41427.99861111111)</f>
        <v>41427.99861</v>
      </c>
      <c r="B1117" s="1">
        <f>IFERROR(__xludf.DUMMYFUNCTION("""COMPUTED_VALUE"""),9612.45)</f>
        <v>9612.45</v>
      </c>
    </row>
    <row r="1118">
      <c r="A1118" s="3">
        <f>IFERROR(__xludf.DUMMYFUNCTION("""COMPUTED_VALUE"""),41428.99861111111)</f>
        <v>41428.99861</v>
      </c>
      <c r="B1118" s="1">
        <f>IFERROR(__xludf.DUMMYFUNCTION("""COMPUTED_VALUE"""),9776.2)</f>
        <v>9776.2</v>
      </c>
    </row>
    <row r="1119">
      <c r="A1119" s="3">
        <f>IFERROR(__xludf.DUMMYFUNCTION("""COMPUTED_VALUE"""),41429.99861111111)</f>
        <v>41429.99861</v>
      </c>
      <c r="B1119" s="1">
        <f>IFERROR(__xludf.DUMMYFUNCTION("""COMPUTED_VALUE"""),9770.7)</f>
        <v>9770.7</v>
      </c>
    </row>
    <row r="1120">
      <c r="A1120" s="3">
        <f>IFERROR(__xludf.DUMMYFUNCTION("""COMPUTED_VALUE"""),41430.99861111111)</f>
        <v>41430.99861</v>
      </c>
      <c r="B1120" s="1">
        <f>IFERROR(__xludf.DUMMYFUNCTION("""COMPUTED_VALUE"""),9763.9)</f>
        <v>9763.9</v>
      </c>
    </row>
    <row r="1121">
      <c r="A1121" s="3">
        <f>IFERROR(__xludf.DUMMYFUNCTION("""COMPUTED_VALUE"""),41431.99861111111)</f>
        <v>41431.99861</v>
      </c>
      <c r="B1121" s="1">
        <f>IFERROR(__xludf.DUMMYFUNCTION("""COMPUTED_VALUE"""),9763.9)</f>
        <v>9763.9</v>
      </c>
    </row>
    <row r="1122">
      <c r="A1122" s="3">
        <f>IFERROR(__xludf.DUMMYFUNCTION("""COMPUTED_VALUE"""),41432.99861111111)</f>
        <v>41432.99861</v>
      </c>
      <c r="B1122" s="1">
        <f>IFERROR(__xludf.DUMMYFUNCTION("""COMPUTED_VALUE"""),9780.0)</f>
        <v>9780</v>
      </c>
    </row>
    <row r="1123">
      <c r="A1123" s="3">
        <f>IFERROR(__xludf.DUMMYFUNCTION("""COMPUTED_VALUE"""),41433.99861111111)</f>
        <v>41433.99861</v>
      </c>
      <c r="B1123" s="1">
        <f>IFERROR(__xludf.DUMMYFUNCTION("""COMPUTED_VALUE"""),9820.7)</f>
        <v>9820.7</v>
      </c>
    </row>
    <row r="1124">
      <c r="A1124" s="3">
        <f>IFERROR(__xludf.DUMMYFUNCTION("""COMPUTED_VALUE"""),41434.99861111111)</f>
        <v>41434.99861</v>
      </c>
      <c r="B1124" s="1">
        <f>IFERROR(__xludf.DUMMYFUNCTION("""COMPUTED_VALUE"""),9780.0)</f>
        <v>9780</v>
      </c>
    </row>
    <row r="1125">
      <c r="A1125" s="3">
        <f>IFERROR(__xludf.DUMMYFUNCTION("""COMPUTED_VALUE"""),41435.99861111111)</f>
        <v>41435.99861</v>
      </c>
      <c r="B1125" s="1">
        <f>IFERROR(__xludf.DUMMYFUNCTION("""COMPUTED_VALUE"""),9784.2)</f>
        <v>9784.2</v>
      </c>
    </row>
    <row r="1126">
      <c r="A1126" s="3">
        <f>IFERROR(__xludf.DUMMYFUNCTION("""COMPUTED_VALUE"""),41436.99861111111)</f>
        <v>41436.99861</v>
      </c>
      <c r="B1126" s="1">
        <f>IFERROR(__xludf.DUMMYFUNCTION("""COMPUTED_VALUE"""),9797.3)</f>
        <v>9797.3</v>
      </c>
    </row>
    <row r="1127">
      <c r="A1127" s="3">
        <f>IFERROR(__xludf.DUMMYFUNCTION("""COMPUTED_VALUE"""),41437.99861111111)</f>
        <v>41437.99861</v>
      </c>
      <c r="B1127" s="1">
        <f>IFERROR(__xludf.DUMMYFUNCTION("""COMPUTED_VALUE"""),9831.3)</f>
        <v>9831.3</v>
      </c>
    </row>
    <row r="1128">
      <c r="A1128" s="3">
        <f>IFERROR(__xludf.DUMMYFUNCTION("""COMPUTED_VALUE"""),41438.99861111111)</f>
        <v>41438.99861</v>
      </c>
      <c r="B1128" s="1">
        <f>IFERROR(__xludf.DUMMYFUNCTION("""COMPUTED_VALUE"""),9854.5)</f>
        <v>9854.5</v>
      </c>
    </row>
    <row r="1129">
      <c r="A1129" s="3">
        <f>IFERROR(__xludf.DUMMYFUNCTION("""COMPUTED_VALUE"""),41439.99861111111)</f>
        <v>41439.99861</v>
      </c>
      <c r="B1129" s="1">
        <f>IFERROR(__xludf.DUMMYFUNCTION("""COMPUTED_VALUE"""),9848.0)</f>
        <v>9848</v>
      </c>
    </row>
    <row r="1130">
      <c r="A1130" s="3">
        <f>IFERROR(__xludf.DUMMYFUNCTION("""COMPUTED_VALUE"""),41440.99861111111)</f>
        <v>41440.99861</v>
      </c>
      <c r="B1130" s="1">
        <f>IFERROR(__xludf.DUMMYFUNCTION("""COMPUTED_VALUE"""),9751.1)</f>
        <v>9751.1</v>
      </c>
    </row>
    <row r="1131">
      <c r="A1131" s="3">
        <f>IFERROR(__xludf.DUMMYFUNCTION("""COMPUTED_VALUE"""),41441.99861111111)</f>
        <v>41441.99861</v>
      </c>
      <c r="B1131" s="1">
        <f>IFERROR(__xludf.DUMMYFUNCTION("""COMPUTED_VALUE"""),9612.45)</f>
        <v>9612.45</v>
      </c>
    </row>
    <row r="1132">
      <c r="A1132" s="3">
        <f>IFERROR(__xludf.DUMMYFUNCTION("""COMPUTED_VALUE"""),41442.99861111111)</f>
        <v>41442.99861</v>
      </c>
      <c r="B1132" s="1">
        <f>IFERROR(__xludf.DUMMYFUNCTION("""COMPUTED_VALUE"""),9860.1)</f>
        <v>9860.1</v>
      </c>
    </row>
    <row r="1133">
      <c r="A1133" s="3">
        <f>IFERROR(__xludf.DUMMYFUNCTION("""COMPUTED_VALUE"""),41443.99861111111)</f>
        <v>41443.99861</v>
      </c>
      <c r="B1133" s="1">
        <f>IFERROR(__xludf.DUMMYFUNCTION("""COMPUTED_VALUE"""),9877.2)</f>
        <v>9877.2</v>
      </c>
    </row>
    <row r="1134">
      <c r="A1134" s="3">
        <f>IFERROR(__xludf.DUMMYFUNCTION("""COMPUTED_VALUE"""),41444.99861111111)</f>
        <v>41444.99861</v>
      </c>
      <c r="B1134" s="1">
        <f>IFERROR(__xludf.DUMMYFUNCTION("""COMPUTED_VALUE"""),9880.2)</f>
        <v>9880.2</v>
      </c>
    </row>
    <row r="1135">
      <c r="A1135" s="3">
        <f>IFERROR(__xludf.DUMMYFUNCTION("""COMPUTED_VALUE"""),41445.99861111111)</f>
        <v>41445.99861</v>
      </c>
      <c r="B1135" s="1">
        <f>IFERROR(__xludf.DUMMYFUNCTION("""COMPUTED_VALUE"""),9897.4)</f>
        <v>9897.4</v>
      </c>
    </row>
    <row r="1136">
      <c r="A1136" s="3">
        <f>IFERROR(__xludf.DUMMYFUNCTION("""COMPUTED_VALUE"""),41446.99861111111)</f>
        <v>41446.99861</v>
      </c>
      <c r="B1136" s="1">
        <f>IFERROR(__xludf.DUMMYFUNCTION("""COMPUTED_VALUE"""),9920.0)</f>
        <v>9920</v>
      </c>
    </row>
    <row r="1137">
      <c r="A1137" s="3">
        <f>IFERROR(__xludf.DUMMYFUNCTION("""COMPUTED_VALUE"""),41447.99861111111)</f>
        <v>41447.99861</v>
      </c>
      <c r="B1137" s="1">
        <f>IFERROR(__xludf.DUMMYFUNCTION("""COMPUTED_VALUE"""),9898.7)</f>
        <v>9898.7</v>
      </c>
    </row>
    <row r="1138">
      <c r="A1138" s="3">
        <f>IFERROR(__xludf.DUMMYFUNCTION("""COMPUTED_VALUE"""),41448.99861111111)</f>
        <v>41448.99861</v>
      </c>
      <c r="B1138" s="1">
        <f>IFERROR(__xludf.DUMMYFUNCTION("""COMPUTED_VALUE"""),9612.45)</f>
        <v>9612.45</v>
      </c>
    </row>
    <row r="1139">
      <c r="A1139" s="3">
        <f>IFERROR(__xludf.DUMMYFUNCTION("""COMPUTED_VALUE"""),41449.99861111111)</f>
        <v>41449.99861</v>
      </c>
      <c r="B1139" s="1">
        <f>IFERROR(__xludf.DUMMYFUNCTION("""COMPUTED_VALUE"""),9901.8)</f>
        <v>9901.8</v>
      </c>
    </row>
    <row r="1140">
      <c r="A1140" s="3">
        <f>IFERROR(__xludf.DUMMYFUNCTION("""COMPUTED_VALUE"""),41450.99861111111)</f>
        <v>41450.99861</v>
      </c>
      <c r="B1140" s="1">
        <f>IFERROR(__xludf.DUMMYFUNCTION("""COMPUTED_VALUE"""),9892.0)</f>
        <v>9892</v>
      </c>
    </row>
    <row r="1141">
      <c r="A1141" s="3">
        <f>IFERROR(__xludf.DUMMYFUNCTION("""COMPUTED_VALUE"""),41451.99861111111)</f>
        <v>41451.99861</v>
      </c>
      <c r="B1141" s="1">
        <f>IFERROR(__xludf.DUMMYFUNCTION("""COMPUTED_VALUE"""),9895.8)</f>
        <v>9895.8</v>
      </c>
    </row>
    <row r="1142">
      <c r="A1142" s="3">
        <f>IFERROR(__xludf.DUMMYFUNCTION("""COMPUTED_VALUE"""),41452.99861111111)</f>
        <v>41452.99861</v>
      </c>
      <c r="B1142" s="1">
        <f>IFERROR(__xludf.DUMMYFUNCTION("""COMPUTED_VALUE"""),9897.2)</f>
        <v>9897.2</v>
      </c>
    </row>
    <row r="1143">
      <c r="A1143" s="3">
        <f>IFERROR(__xludf.DUMMYFUNCTION("""COMPUTED_VALUE"""),41453.99861111111)</f>
        <v>41453.99861</v>
      </c>
      <c r="B1143" s="1">
        <f>IFERROR(__xludf.DUMMYFUNCTION("""COMPUTED_VALUE"""),9900.0)</f>
        <v>9900</v>
      </c>
    </row>
    <row r="1144">
      <c r="A1144" s="3">
        <f>IFERROR(__xludf.DUMMYFUNCTION("""COMPUTED_VALUE"""),41454.99861111111)</f>
        <v>41454.99861</v>
      </c>
      <c r="B1144" s="1">
        <f>IFERROR(__xludf.DUMMYFUNCTION("""COMPUTED_VALUE"""),9900.0)</f>
        <v>9900</v>
      </c>
    </row>
    <row r="1145">
      <c r="A1145" s="3">
        <f>IFERROR(__xludf.DUMMYFUNCTION("""COMPUTED_VALUE"""),41455.99861111111)</f>
        <v>41455.99861</v>
      </c>
      <c r="B1145" s="1">
        <f>IFERROR(__xludf.DUMMYFUNCTION("""COMPUTED_VALUE"""),9612.45)</f>
        <v>9612.45</v>
      </c>
    </row>
    <row r="1146">
      <c r="A1146" s="3">
        <f>IFERROR(__xludf.DUMMYFUNCTION("""COMPUTED_VALUE"""),41456.99861111111)</f>
        <v>41456.99861</v>
      </c>
      <c r="B1146" s="1">
        <f>IFERROR(__xludf.DUMMYFUNCTION("""COMPUTED_VALUE"""),9898.2)</f>
        <v>9898.2</v>
      </c>
    </row>
    <row r="1147">
      <c r="A1147" s="3">
        <f>IFERROR(__xludf.DUMMYFUNCTION("""COMPUTED_VALUE"""),41457.99861111111)</f>
        <v>41457.99861</v>
      </c>
      <c r="B1147" s="1">
        <f>IFERROR(__xludf.DUMMYFUNCTION("""COMPUTED_VALUE"""),9903.8)</f>
        <v>9903.8</v>
      </c>
    </row>
    <row r="1148">
      <c r="A1148" s="3">
        <f>IFERROR(__xludf.DUMMYFUNCTION("""COMPUTED_VALUE"""),41458.99861111111)</f>
        <v>41458.99861</v>
      </c>
      <c r="B1148" s="1">
        <f>IFERROR(__xludf.DUMMYFUNCTION("""COMPUTED_VALUE"""),9910.7)</f>
        <v>9910.7</v>
      </c>
    </row>
    <row r="1149">
      <c r="A1149" s="3">
        <f>IFERROR(__xludf.DUMMYFUNCTION("""COMPUTED_VALUE"""),41459.99861111111)</f>
        <v>41459.99861</v>
      </c>
      <c r="B1149" s="1">
        <f>IFERROR(__xludf.DUMMYFUNCTION("""COMPUTED_VALUE"""),9911.0)</f>
        <v>9911</v>
      </c>
    </row>
    <row r="1150">
      <c r="A1150" s="3">
        <f>IFERROR(__xludf.DUMMYFUNCTION("""COMPUTED_VALUE"""),41460.99861111111)</f>
        <v>41460.99861</v>
      </c>
      <c r="B1150" s="1">
        <f>IFERROR(__xludf.DUMMYFUNCTION("""COMPUTED_VALUE"""),9918.0)</f>
        <v>9918</v>
      </c>
    </row>
    <row r="1151">
      <c r="A1151" s="3">
        <f>IFERROR(__xludf.DUMMYFUNCTION("""COMPUTED_VALUE"""),41461.99861111111)</f>
        <v>41461.99861</v>
      </c>
      <c r="B1151" s="1">
        <f>IFERROR(__xludf.DUMMYFUNCTION("""COMPUTED_VALUE"""),9918.0)</f>
        <v>9918</v>
      </c>
    </row>
    <row r="1152">
      <c r="A1152" s="3">
        <f>IFERROR(__xludf.DUMMYFUNCTION("""COMPUTED_VALUE"""),41462.99861111111)</f>
        <v>41462.99861</v>
      </c>
      <c r="B1152" s="1">
        <f>IFERROR(__xludf.DUMMYFUNCTION("""COMPUTED_VALUE"""),9918.0)</f>
        <v>9918</v>
      </c>
    </row>
    <row r="1153">
      <c r="A1153" s="3">
        <f>IFERROR(__xludf.DUMMYFUNCTION("""COMPUTED_VALUE"""),41463.99861111111)</f>
        <v>41463.99861</v>
      </c>
      <c r="B1153" s="1">
        <f>IFERROR(__xludf.DUMMYFUNCTION("""COMPUTED_VALUE"""),9926.8)</f>
        <v>9926.8</v>
      </c>
    </row>
    <row r="1154">
      <c r="A1154" s="3">
        <f>IFERROR(__xludf.DUMMYFUNCTION("""COMPUTED_VALUE"""),41464.99861111111)</f>
        <v>41464.99861</v>
      </c>
      <c r="B1154" s="1">
        <f>IFERROR(__xludf.DUMMYFUNCTION("""COMPUTED_VALUE"""),9928.8)</f>
        <v>9928.8</v>
      </c>
    </row>
    <row r="1155">
      <c r="A1155" s="3">
        <f>IFERROR(__xludf.DUMMYFUNCTION("""COMPUTED_VALUE"""),41465.99861111111)</f>
        <v>41465.99861</v>
      </c>
      <c r="B1155" s="1">
        <f>IFERROR(__xludf.DUMMYFUNCTION("""COMPUTED_VALUE"""),9929.5)</f>
        <v>9929.5</v>
      </c>
    </row>
    <row r="1156">
      <c r="A1156" s="3">
        <f>IFERROR(__xludf.DUMMYFUNCTION("""COMPUTED_VALUE"""),41466.99861111111)</f>
        <v>41466.99861</v>
      </c>
      <c r="B1156" s="1">
        <f>IFERROR(__xludf.DUMMYFUNCTION("""COMPUTED_VALUE"""),9941.2)</f>
        <v>9941.2</v>
      </c>
    </row>
    <row r="1157">
      <c r="A1157" s="3">
        <f>IFERROR(__xludf.DUMMYFUNCTION("""COMPUTED_VALUE"""),41467.99861111111)</f>
        <v>41467.99861</v>
      </c>
      <c r="B1157" s="1">
        <f>IFERROR(__xludf.DUMMYFUNCTION("""COMPUTED_VALUE"""),9968.0)</f>
        <v>9968</v>
      </c>
    </row>
    <row r="1158">
      <c r="A1158" s="3">
        <f>IFERROR(__xludf.DUMMYFUNCTION("""COMPUTED_VALUE"""),41468.99861111111)</f>
        <v>41468.99861</v>
      </c>
      <c r="B1158" s="1">
        <f>IFERROR(__xludf.DUMMYFUNCTION("""COMPUTED_VALUE"""),9925.8)</f>
        <v>9925.8</v>
      </c>
    </row>
    <row r="1159">
      <c r="A1159" s="3">
        <f>IFERROR(__xludf.DUMMYFUNCTION("""COMPUTED_VALUE"""),41469.99861111111)</f>
        <v>41469.99861</v>
      </c>
      <c r="B1159" s="1">
        <f>IFERROR(__xludf.DUMMYFUNCTION("""COMPUTED_VALUE"""),9612.45)</f>
        <v>9612.45</v>
      </c>
    </row>
    <row r="1160">
      <c r="A1160" s="3">
        <f>IFERROR(__xludf.DUMMYFUNCTION("""COMPUTED_VALUE"""),41470.99861111111)</f>
        <v>41470.99861</v>
      </c>
      <c r="B1160" s="1">
        <f>IFERROR(__xludf.DUMMYFUNCTION("""COMPUTED_VALUE"""),9989.2)</f>
        <v>9989.2</v>
      </c>
    </row>
    <row r="1161">
      <c r="A1161" s="3">
        <f>IFERROR(__xludf.DUMMYFUNCTION("""COMPUTED_VALUE"""),41471.99861111111)</f>
        <v>41471.99861</v>
      </c>
      <c r="B1161" s="1">
        <f>IFERROR(__xludf.DUMMYFUNCTION("""COMPUTED_VALUE"""),10007.0)</f>
        <v>10007</v>
      </c>
    </row>
    <row r="1162">
      <c r="A1162" s="3">
        <f>IFERROR(__xludf.DUMMYFUNCTION("""COMPUTED_VALUE"""),41472.99861111111)</f>
        <v>41472.99861</v>
      </c>
      <c r="B1162" s="1">
        <f>IFERROR(__xludf.DUMMYFUNCTION("""COMPUTED_VALUE"""),10017.0)</f>
        <v>10017</v>
      </c>
    </row>
    <row r="1163">
      <c r="A1163" s="3">
        <f>IFERROR(__xludf.DUMMYFUNCTION("""COMPUTED_VALUE"""),41473.99861111111)</f>
        <v>41473.99861</v>
      </c>
      <c r="B1163" s="1">
        <f>IFERROR(__xludf.DUMMYFUNCTION("""COMPUTED_VALUE"""),10032.0)</f>
        <v>10032</v>
      </c>
    </row>
    <row r="1164">
      <c r="A1164" s="3">
        <f>IFERROR(__xludf.DUMMYFUNCTION("""COMPUTED_VALUE"""),41474.99861111111)</f>
        <v>41474.99861</v>
      </c>
      <c r="B1164" s="1">
        <f>IFERROR(__xludf.DUMMYFUNCTION("""COMPUTED_VALUE"""),10080.0)</f>
        <v>10080</v>
      </c>
    </row>
    <row r="1165">
      <c r="A1165" s="3">
        <f>IFERROR(__xludf.DUMMYFUNCTION("""COMPUTED_VALUE"""),41475.99861111111)</f>
        <v>41475.99861</v>
      </c>
      <c r="B1165" s="1">
        <f>IFERROR(__xludf.DUMMYFUNCTION("""COMPUTED_VALUE"""),10053.0)</f>
        <v>10053</v>
      </c>
    </row>
    <row r="1166">
      <c r="A1166" s="3">
        <f>IFERROR(__xludf.DUMMYFUNCTION("""COMPUTED_VALUE"""),41476.99861111111)</f>
        <v>41476.99861</v>
      </c>
      <c r="B1166" s="1">
        <f>IFERROR(__xludf.DUMMYFUNCTION("""COMPUTED_VALUE"""),10053.0)</f>
        <v>10053</v>
      </c>
    </row>
    <row r="1167">
      <c r="A1167" s="3">
        <f>IFERROR(__xludf.DUMMYFUNCTION("""COMPUTED_VALUE"""),41477.99861111111)</f>
        <v>41477.99861</v>
      </c>
      <c r="B1167" s="1">
        <f>IFERROR(__xludf.DUMMYFUNCTION("""COMPUTED_VALUE"""),10037.0)</f>
        <v>10037</v>
      </c>
    </row>
    <row r="1168">
      <c r="A1168" s="3">
        <f>IFERROR(__xludf.DUMMYFUNCTION("""COMPUTED_VALUE"""),41478.99861111111)</f>
        <v>41478.99861</v>
      </c>
      <c r="B1168" s="1">
        <f>IFERROR(__xludf.DUMMYFUNCTION("""COMPUTED_VALUE"""),10172.0)</f>
        <v>10172</v>
      </c>
    </row>
    <row r="1169">
      <c r="A1169" s="3">
        <f>IFERROR(__xludf.DUMMYFUNCTION("""COMPUTED_VALUE"""),41479.99861111111)</f>
        <v>41479.99861</v>
      </c>
      <c r="B1169" s="1">
        <f>IFERROR(__xludf.DUMMYFUNCTION("""COMPUTED_VALUE"""),10231.0)</f>
        <v>10231</v>
      </c>
    </row>
    <row r="1170">
      <c r="A1170" s="3">
        <f>IFERROR(__xludf.DUMMYFUNCTION("""COMPUTED_VALUE"""),41480.99861111111)</f>
        <v>41480.99861</v>
      </c>
      <c r="B1170" s="1">
        <f>IFERROR(__xludf.DUMMYFUNCTION("""COMPUTED_VALUE"""),10239.0)</f>
        <v>10239</v>
      </c>
    </row>
    <row r="1171">
      <c r="A1171" s="3">
        <f>IFERROR(__xludf.DUMMYFUNCTION("""COMPUTED_VALUE"""),41481.99861111111)</f>
        <v>41481.99861</v>
      </c>
      <c r="B1171" s="1">
        <f>IFERROR(__xludf.DUMMYFUNCTION("""COMPUTED_VALUE"""),10233.0)</f>
        <v>10233</v>
      </c>
    </row>
    <row r="1172">
      <c r="A1172" s="3">
        <f>IFERROR(__xludf.DUMMYFUNCTION("""COMPUTED_VALUE"""),41482.99861111111)</f>
        <v>41482.99861</v>
      </c>
      <c r="B1172" s="1">
        <f>IFERROR(__xludf.DUMMYFUNCTION("""COMPUTED_VALUE"""),10240.0)</f>
        <v>10240</v>
      </c>
    </row>
    <row r="1173">
      <c r="A1173" s="3">
        <f>IFERROR(__xludf.DUMMYFUNCTION("""COMPUTED_VALUE"""),41483.99861111111)</f>
        <v>41483.99861</v>
      </c>
      <c r="B1173" s="1">
        <f>IFERROR(__xludf.DUMMYFUNCTION("""COMPUTED_VALUE"""),10269.0)</f>
        <v>10269</v>
      </c>
    </row>
    <row r="1174">
      <c r="A1174" s="3">
        <f>IFERROR(__xludf.DUMMYFUNCTION("""COMPUTED_VALUE"""),41484.99861111111)</f>
        <v>41484.99861</v>
      </c>
      <c r="B1174" s="1">
        <f>IFERROR(__xludf.DUMMYFUNCTION("""COMPUTED_VALUE"""),10244.0)</f>
        <v>10244</v>
      </c>
    </row>
    <row r="1175">
      <c r="A1175" s="3">
        <f>IFERROR(__xludf.DUMMYFUNCTION("""COMPUTED_VALUE"""),41485.99861111111)</f>
        <v>41485.99861</v>
      </c>
      <c r="B1175" s="1">
        <f>IFERROR(__xludf.DUMMYFUNCTION("""COMPUTED_VALUE"""),10244.0)</f>
        <v>10244</v>
      </c>
    </row>
    <row r="1176">
      <c r="A1176" s="3">
        <f>IFERROR(__xludf.DUMMYFUNCTION("""COMPUTED_VALUE"""),41486.99861111111)</f>
        <v>41486.99861</v>
      </c>
      <c r="B1176" s="1">
        <f>IFERROR(__xludf.DUMMYFUNCTION("""COMPUTED_VALUE"""),10250.0)</f>
        <v>10250</v>
      </c>
    </row>
    <row r="1177">
      <c r="A1177" s="3">
        <f>IFERROR(__xludf.DUMMYFUNCTION("""COMPUTED_VALUE"""),41487.99861111111)</f>
        <v>41487.99861</v>
      </c>
      <c r="B1177" s="1">
        <f>IFERROR(__xludf.DUMMYFUNCTION("""COMPUTED_VALUE"""),10252.0)</f>
        <v>10252</v>
      </c>
    </row>
    <row r="1178">
      <c r="A1178" s="3">
        <f>IFERROR(__xludf.DUMMYFUNCTION("""COMPUTED_VALUE"""),41488.99861111111)</f>
        <v>41488.99861</v>
      </c>
      <c r="B1178" s="1">
        <f>IFERROR(__xludf.DUMMYFUNCTION("""COMPUTED_VALUE"""),10270.0)</f>
        <v>10270</v>
      </c>
    </row>
    <row r="1179">
      <c r="A1179" s="3">
        <f>IFERROR(__xludf.DUMMYFUNCTION("""COMPUTED_VALUE"""),41489.99861111111)</f>
        <v>41489.99861</v>
      </c>
      <c r="B1179" s="1">
        <f>IFERROR(__xludf.DUMMYFUNCTION("""COMPUTED_VALUE"""),10260.0)</f>
        <v>10260</v>
      </c>
    </row>
    <row r="1180">
      <c r="A1180" s="3">
        <f>IFERROR(__xludf.DUMMYFUNCTION("""COMPUTED_VALUE"""),41490.99861111111)</f>
        <v>41490.99861</v>
      </c>
      <c r="B1180" s="1">
        <f>IFERROR(__xludf.DUMMYFUNCTION("""COMPUTED_VALUE"""),10229.0)</f>
        <v>10229</v>
      </c>
    </row>
    <row r="1181">
      <c r="A1181" s="3">
        <f>IFERROR(__xludf.DUMMYFUNCTION("""COMPUTED_VALUE"""),41491.99861111111)</f>
        <v>41491.99861</v>
      </c>
      <c r="B1181" s="1">
        <f>IFERROR(__xludf.DUMMYFUNCTION("""COMPUTED_VALUE"""),10256.0)</f>
        <v>10256</v>
      </c>
    </row>
    <row r="1182">
      <c r="A1182" s="3">
        <f>IFERROR(__xludf.DUMMYFUNCTION("""COMPUTED_VALUE"""),41492.99861111111)</f>
        <v>41492.99861</v>
      </c>
      <c r="B1182" s="1">
        <f>IFERROR(__xludf.DUMMYFUNCTION("""COMPUTED_VALUE"""),10257.0)</f>
        <v>10257</v>
      </c>
    </row>
    <row r="1183">
      <c r="A1183" s="3">
        <f>IFERROR(__xludf.DUMMYFUNCTION("""COMPUTED_VALUE"""),41493.99861111111)</f>
        <v>41493.99861</v>
      </c>
      <c r="B1183" s="1">
        <f>IFERROR(__xludf.DUMMYFUNCTION("""COMPUTED_VALUE"""),10258.0)</f>
        <v>10258</v>
      </c>
    </row>
    <row r="1184">
      <c r="A1184" s="3">
        <f>IFERROR(__xludf.DUMMYFUNCTION("""COMPUTED_VALUE"""),41494.99861111111)</f>
        <v>41494.99861</v>
      </c>
      <c r="B1184" s="1">
        <f>IFERROR(__xludf.DUMMYFUNCTION("""COMPUTED_VALUE"""),10257.0)</f>
        <v>10257</v>
      </c>
    </row>
    <row r="1185">
      <c r="A1185" s="3">
        <f>IFERROR(__xludf.DUMMYFUNCTION("""COMPUTED_VALUE"""),41495.99861111111)</f>
        <v>41495.99861</v>
      </c>
      <c r="B1185" s="1">
        <f>IFERROR(__xludf.DUMMYFUNCTION("""COMPUTED_VALUE"""),10260.0)</f>
        <v>10260</v>
      </c>
    </row>
    <row r="1186">
      <c r="A1186" s="3">
        <f>IFERROR(__xludf.DUMMYFUNCTION("""COMPUTED_VALUE"""),41496.99861111111)</f>
        <v>41496.99861</v>
      </c>
      <c r="B1186" s="1">
        <f>IFERROR(__xludf.DUMMYFUNCTION("""COMPUTED_VALUE"""),10270.0)</f>
        <v>10270</v>
      </c>
    </row>
    <row r="1187">
      <c r="A1187" s="3">
        <f>IFERROR(__xludf.DUMMYFUNCTION("""COMPUTED_VALUE"""),41497.99861111111)</f>
        <v>41497.99861</v>
      </c>
      <c r="B1187" s="1">
        <f>IFERROR(__xludf.DUMMYFUNCTION("""COMPUTED_VALUE"""),10269.0)</f>
        <v>10269</v>
      </c>
    </row>
    <row r="1188">
      <c r="A1188" s="3">
        <f>IFERROR(__xludf.DUMMYFUNCTION("""COMPUTED_VALUE"""),41498.99861111111)</f>
        <v>41498.99861</v>
      </c>
      <c r="B1188" s="1">
        <f>IFERROR(__xludf.DUMMYFUNCTION("""COMPUTED_VALUE"""),10262.0)</f>
        <v>10262</v>
      </c>
    </row>
    <row r="1189">
      <c r="A1189" s="3">
        <f>IFERROR(__xludf.DUMMYFUNCTION("""COMPUTED_VALUE"""),41499.99861111111)</f>
        <v>41499.99861</v>
      </c>
      <c r="B1189" s="1">
        <f>IFERROR(__xludf.DUMMYFUNCTION("""COMPUTED_VALUE"""),10304.0)</f>
        <v>10304</v>
      </c>
    </row>
    <row r="1190">
      <c r="A1190" s="3">
        <f>IFERROR(__xludf.DUMMYFUNCTION("""COMPUTED_VALUE"""),41500.99861111111)</f>
        <v>41500.99861</v>
      </c>
      <c r="B1190" s="1">
        <f>IFERROR(__xludf.DUMMYFUNCTION("""COMPUTED_VALUE"""),10299.0)</f>
        <v>10299</v>
      </c>
    </row>
    <row r="1191">
      <c r="A1191" s="3">
        <f>IFERROR(__xludf.DUMMYFUNCTION("""COMPUTED_VALUE"""),41501.99861111111)</f>
        <v>41501.99861</v>
      </c>
      <c r="B1191" s="1">
        <f>IFERROR(__xludf.DUMMYFUNCTION("""COMPUTED_VALUE"""),10323.0)</f>
        <v>10323</v>
      </c>
    </row>
    <row r="1192">
      <c r="A1192" s="3">
        <f>IFERROR(__xludf.DUMMYFUNCTION("""COMPUTED_VALUE"""),41502.99861111111)</f>
        <v>41502.99861</v>
      </c>
      <c r="B1192" s="1">
        <f>IFERROR(__xludf.DUMMYFUNCTION("""COMPUTED_VALUE"""),10360.0)</f>
        <v>10360</v>
      </c>
    </row>
    <row r="1193">
      <c r="A1193" s="3">
        <f>IFERROR(__xludf.DUMMYFUNCTION("""COMPUTED_VALUE"""),41503.99861111111)</f>
        <v>41503.99861</v>
      </c>
      <c r="B1193" s="1">
        <f>IFERROR(__xludf.DUMMYFUNCTION("""COMPUTED_VALUE"""),10356.0)</f>
        <v>10356</v>
      </c>
    </row>
    <row r="1194">
      <c r="A1194" s="3">
        <f>IFERROR(__xludf.DUMMYFUNCTION("""COMPUTED_VALUE"""),41504.99861111111)</f>
        <v>41504.99861</v>
      </c>
      <c r="B1194" s="1">
        <f>IFERROR(__xludf.DUMMYFUNCTION("""COMPUTED_VALUE"""),10368.0)</f>
        <v>10368</v>
      </c>
    </row>
    <row r="1195">
      <c r="A1195" s="3">
        <f>IFERROR(__xludf.DUMMYFUNCTION("""COMPUTED_VALUE"""),41505.99861111111)</f>
        <v>41505.99861</v>
      </c>
      <c r="B1195" s="1">
        <f>IFERROR(__xludf.DUMMYFUNCTION("""COMPUTED_VALUE"""),10461.0)</f>
        <v>10461</v>
      </c>
    </row>
    <row r="1196">
      <c r="A1196" s="3">
        <f>IFERROR(__xludf.DUMMYFUNCTION("""COMPUTED_VALUE"""),41506.99861111111)</f>
        <v>41506.99861</v>
      </c>
      <c r="B1196" s="1">
        <f>IFERROR(__xludf.DUMMYFUNCTION("""COMPUTED_VALUE"""),10657.0)</f>
        <v>10657</v>
      </c>
    </row>
    <row r="1197">
      <c r="A1197" s="3">
        <f>IFERROR(__xludf.DUMMYFUNCTION("""COMPUTED_VALUE"""),41507.99861111111)</f>
        <v>41507.99861</v>
      </c>
      <c r="B1197" s="1">
        <f>IFERROR(__xludf.DUMMYFUNCTION("""COMPUTED_VALUE"""),10748.0)</f>
        <v>10748</v>
      </c>
    </row>
    <row r="1198">
      <c r="A1198" s="3">
        <f>IFERROR(__xludf.DUMMYFUNCTION("""COMPUTED_VALUE"""),41508.99861111111)</f>
        <v>41508.99861</v>
      </c>
      <c r="B1198" s="1">
        <f>IFERROR(__xludf.DUMMYFUNCTION("""COMPUTED_VALUE"""),11032.0)</f>
        <v>11032</v>
      </c>
    </row>
    <row r="1199">
      <c r="A1199" s="3">
        <f>IFERROR(__xludf.DUMMYFUNCTION("""COMPUTED_VALUE"""),41509.99861111111)</f>
        <v>41509.99861</v>
      </c>
      <c r="B1199" s="1">
        <f>IFERROR(__xludf.DUMMYFUNCTION("""COMPUTED_VALUE"""),10750.0)</f>
        <v>10750</v>
      </c>
    </row>
    <row r="1200">
      <c r="A1200" s="3">
        <f>IFERROR(__xludf.DUMMYFUNCTION("""COMPUTED_VALUE"""),41510.99861111111)</f>
        <v>41510.99861</v>
      </c>
      <c r="B1200" s="1">
        <f>IFERROR(__xludf.DUMMYFUNCTION("""COMPUTED_VALUE"""),10750.0)</f>
        <v>10750</v>
      </c>
    </row>
    <row r="1201">
      <c r="A1201" s="3">
        <f>IFERROR(__xludf.DUMMYFUNCTION("""COMPUTED_VALUE"""),41511.99861111111)</f>
        <v>41511.99861</v>
      </c>
      <c r="B1201" s="1">
        <f>IFERROR(__xludf.DUMMYFUNCTION("""COMPUTED_VALUE"""),11005.0)</f>
        <v>11005</v>
      </c>
    </row>
    <row r="1202">
      <c r="A1202" s="3">
        <f>IFERROR(__xludf.DUMMYFUNCTION("""COMPUTED_VALUE"""),41512.99861111111)</f>
        <v>41512.99861</v>
      </c>
      <c r="B1202" s="1">
        <f>IFERROR(__xludf.DUMMYFUNCTION("""COMPUTED_VALUE"""),11104.0)</f>
        <v>11104</v>
      </c>
    </row>
    <row r="1203">
      <c r="A1203" s="3">
        <f>IFERROR(__xludf.DUMMYFUNCTION("""COMPUTED_VALUE"""),41513.99861111111)</f>
        <v>41513.99861</v>
      </c>
      <c r="B1203" s="1">
        <f>IFERROR(__xludf.DUMMYFUNCTION("""COMPUTED_VALUE"""),10897.0)</f>
        <v>10897</v>
      </c>
    </row>
    <row r="1204">
      <c r="A1204" s="3">
        <f>IFERROR(__xludf.DUMMYFUNCTION("""COMPUTED_VALUE"""),41514.99861111111)</f>
        <v>41514.99861</v>
      </c>
      <c r="B1204" s="1">
        <f>IFERROR(__xludf.DUMMYFUNCTION("""COMPUTED_VALUE"""),10917.0)</f>
        <v>10917</v>
      </c>
    </row>
    <row r="1205">
      <c r="A1205" s="3">
        <f>IFERROR(__xludf.DUMMYFUNCTION("""COMPUTED_VALUE"""),41515.99861111111)</f>
        <v>41515.99861</v>
      </c>
      <c r="B1205" s="1">
        <f>IFERROR(__xludf.DUMMYFUNCTION("""COMPUTED_VALUE"""),10907.0)</f>
        <v>10907</v>
      </c>
    </row>
    <row r="1206">
      <c r="A1206" s="3">
        <f>IFERROR(__xludf.DUMMYFUNCTION("""COMPUTED_VALUE"""),41516.99861111111)</f>
        <v>41516.99861</v>
      </c>
      <c r="B1206" s="1">
        <f>IFERROR(__xludf.DUMMYFUNCTION("""COMPUTED_VALUE"""),10887.0)</f>
        <v>10887</v>
      </c>
    </row>
    <row r="1207">
      <c r="A1207" s="3">
        <f>IFERROR(__xludf.DUMMYFUNCTION("""COMPUTED_VALUE"""),41517.99861111111)</f>
        <v>41517.99861</v>
      </c>
      <c r="B1207" s="1">
        <f>IFERROR(__xludf.DUMMYFUNCTION("""COMPUTED_VALUE"""),10895.0)</f>
        <v>10895</v>
      </c>
    </row>
    <row r="1208">
      <c r="A1208" s="3">
        <f>IFERROR(__xludf.DUMMYFUNCTION("""COMPUTED_VALUE"""),41518.99861111111)</f>
        <v>41518.99861</v>
      </c>
      <c r="B1208" s="1">
        <f>IFERROR(__xludf.DUMMYFUNCTION("""COMPUTED_VALUE"""),10895.0)</f>
        <v>10895</v>
      </c>
    </row>
    <row r="1209">
      <c r="A1209" s="3">
        <f>IFERROR(__xludf.DUMMYFUNCTION("""COMPUTED_VALUE"""),41519.99861111111)</f>
        <v>41519.99861</v>
      </c>
      <c r="B1209" s="1">
        <f>IFERROR(__xludf.DUMMYFUNCTION("""COMPUTED_VALUE"""),10948.0)</f>
        <v>10948</v>
      </c>
    </row>
    <row r="1210">
      <c r="A1210" s="3">
        <f>IFERROR(__xludf.DUMMYFUNCTION("""COMPUTED_VALUE"""),41520.99861111111)</f>
        <v>41520.99861</v>
      </c>
      <c r="B1210" s="1">
        <f>IFERROR(__xludf.DUMMYFUNCTION("""COMPUTED_VALUE"""),11037.0)</f>
        <v>11037</v>
      </c>
    </row>
    <row r="1211">
      <c r="A1211" s="3">
        <f>IFERROR(__xludf.DUMMYFUNCTION("""COMPUTED_VALUE"""),41521.99861111111)</f>
        <v>41521.99861</v>
      </c>
      <c r="B1211" s="1">
        <f>IFERROR(__xludf.DUMMYFUNCTION("""COMPUTED_VALUE"""),11097.0)</f>
        <v>11097</v>
      </c>
    </row>
    <row r="1212">
      <c r="A1212" s="3">
        <f>IFERROR(__xludf.DUMMYFUNCTION("""COMPUTED_VALUE"""),41522.99861111111)</f>
        <v>41522.99861</v>
      </c>
      <c r="B1212" s="1">
        <f>IFERROR(__xludf.DUMMYFUNCTION("""COMPUTED_VALUE"""),11097.0)</f>
        <v>11097</v>
      </c>
    </row>
    <row r="1213">
      <c r="A1213" s="3">
        <f>IFERROR(__xludf.DUMMYFUNCTION("""COMPUTED_VALUE"""),41523.99861111111)</f>
        <v>41523.99861</v>
      </c>
      <c r="B1213" s="1">
        <f>IFERROR(__xludf.DUMMYFUNCTION("""COMPUTED_VALUE"""),11147.0)</f>
        <v>11147</v>
      </c>
    </row>
    <row r="1214">
      <c r="A1214" s="3">
        <f>IFERROR(__xludf.DUMMYFUNCTION("""COMPUTED_VALUE"""),41524.99861111111)</f>
        <v>41524.99861</v>
      </c>
      <c r="B1214" s="1">
        <f>IFERROR(__xludf.DUMMYFUNCTION("""COMPUTED_VALUE"""),11150.0)</f>
        <v>11150</v>
      </c>
    </row>
    <row r="1215">
      <c r="A1215" s="3">
        <f>IFERROR(__xludf.DUMMYFUNCTION("""COMPUTED_VALUE"""),41525.99861111111)</f>
        <v>41525.99861</v>
      </c>
      <c r="B1215" s="1">
        <f>IFERROR(__xludf.DUMMYFUNCTION("""COMPUTED_VALUE"""),11150.0)</f>
        <v>11150</v>
      </c>
    </row>
    <row r="1216">
      <c r="A1216" s="3">
        <f>IFERROR(__xludf.DUMMYFUNCTION("""COMPUTED_VALUE"""),41526.99861111111)</f>
        <v>41526.99861</v>
      </c>
      <c r="B1216" s="1">
        <f>IFERROR(__xludf.DUMMYFUNCTION("""COMPUTED_VALUE"""),11132.0)</f>
        <v>11132</v>
      </c>
    </row>
    <row r="1217">
      <c r="A1217" s="3">
        <f>IFERROR(__xludf.DUMMYFUNCTION("""COMPUTED_VALUE"""),41527.99861111111)</f>
        <v>41527.99861</v>
      </c>
      <c r="B1217" s="1">
        <f>IFERROR(__xludf.DUMMYFUNCTION("""COMPUTED_VALUE"""),11210.0)</f>
        <v>11210</v>
      </c>
    </row>
    <row r="1218">
      <c r="A1218" s="3">
        <f>IFERROR(__xludf.DUMMYFUNCTION("""COMPUTED_VALUE"""),41528.99861111111)</f>
        <v>41528.99861</v>
      </c>
      <c r="B1218" s="1">
        <f>IFERROR(__xludf.DUMMYFUNCTION("""COMPUTED_VALUE"""),11316.0)</f>
        <v>11316</v>
      </c>
    </row>
    <row r="1219">
      <c r="A1219" s="3">
        <f>IFERROR(__xludf.DUMMYFUNCTION("""COMPUTED_VALUE"""),41529.99861111111)</f>
        <v>41529.99861</v>
      </c>
      <c r="B1219" s="1">
        <f>IFERROR(__xludf.DUMMYFUNCTION("""COMPUTED_VALUE"""),11322.0)</f>
        <v>11322</v>
      </c>
    </row>
    <row r="1220">
      <c r="A1220" s="3">
        <f>IFERROR(__xludf.DUMMYFUNCTION("""COMPUTED_VALUE"""),41530.99861111111)</f>
        <v>41530.99861</v>
      </c>
      <c r="B1220" s="1">
        <f>IFERROR(__xludf.DUMMYFUNCTION("""COMPUTED_VALUE"""),11381.0)</f>
        <v>11381</v>
      </c>
    </row>
    <row r="1221">
      <c r="A1221" s="3">
        <f>IFERROR(__xludf.DUMMYFUNCTION("""COMPUTED_VALUE"""),41531.99861111111)</f>
        <v>41531.99861</v>
      </c>
      <c r="B1221" s="1">
        <f>IFERROR(__xludf.DUMMYFUNCTION("""COMPUTED_VALUE"""),11381.0)</f>
        <v>11381</v>
      </c>
    </row>
    <row r="1222">
      <c r="A1222" s="3">
        <f>IFERROR(__xludf.DUMMYFUNCTION("""COMPUTED_VALUE"""),41532.99861111111)</f>
        <v>41532.99861</v>
      </c>
      <c r="B1222" s="1">
        <f>IFERROR(__xludf.DUMMYFUNCTION("""COMPUTED_VALUE"""),11381.0)</f>
        <v>11381</v>
      </c>
    </row>
    <row r="1223">
      <c r="A1223" s="3">
        <f>IFERROR(__xludf.DUMMYFUNCTION("""COMPUTED_VALUE"""),41533.99861111111)</f>
        <v>41533.99861</v>
      </c>
      <c r="B1223" s="1">
        <f>IFERROR(__xludf.DUMMYFUNCTION("""COMPUTED_VALUE"""),11349.0)</f>
        <v>11349</v>
      </c>
    </row>
    <row r="1224">
      <c r="A1224" s="3">
        <f>IFERROR(__xludf.DUMMYFUNCTION("""COMPUTED_VALUE"""),41534.99861111111)</f>
        <v>41534.99861</v>
      </c>
      <c r="B1224" s="1">
        <f>IFERROR(__xludf.DUMMYFUNCTION("""COMPUTED_VALUE"""),11417.0)</f>
        <v>11417</v>
      </c>
    </row>
    <row r="1225">
      <c r="A1225" s="3">
        <f>IFERROR(__xludf.DUMMYFUNCTION("""COMPUTED_VALUE"""),41535.99861111111)</f>
        <v>41535.99861</v>
      </c>
      <c r="B1225" s="1">
        <f>IFERROR(__xludf.DUMMYFUNCTION("""COMPUTED_VALUE"""),11448.0)</f>
        <v>11448</v>
      </c>
    </row>
    <row r="1226">
      <c r="A1226" s="3">
        <f>IFERROR(__xludf.DUMMYFUNCTION("""COMPUTED_VALUE"""),41536.99861111111)</f>
        <v>41536.99861</v>
      </c>
      <c r="B1226" s="1">
        <f>IFERROR(__xludf.DUMMYFUNCTION("""COMPUTED_VALUE"""),11255.0)</f>
        <v>11255</v>
      </c>
    </row>
    <row r="1227">
      <c r="A1227" s="3">
        <f>IFERROR(__xludf.DUMMYFUNCTION("""COMPUTED_VALUE"""),41537.99861111111)</f>
        <v>41537.99861</v>
      </c>
      <c r="B1227" s="1">
        <f>IFERROR(__xludf.DUMMYFUNCTION("""COMPUTED_VALUE"""),11322.0)</f>
        <v>11322</v>
      </c>
    </row>
    <row r="1228">
      <c r="A1228" s="3">
        <f>IFERROR(__xludf.DUMMYFUNCTION("""COMPUTED_VALUE"""),41538.99861111111)</f>
        <v>41538.99861</v>
      </c>
      <c r="B1228" s="1">
        <f>IFERROR(__xludf.DUMMYFUNCTION("""COMPUTED_VALUE"""),11325.0)</f>
        <v>11325</v>
      </c>
    </row>
    <row r="1229">
      <c r="A1229" s="3">
        <f>IFERROR(__xludf.DUMMYFUNCTION("""COMPUTED_VALUE"""),41539.99861111111)</f>
        <v>41539.99861</v>
      </c>
      <c r="B1229" s="1">
        <f>IFERROR(__xludf.DUMMYFUNCTION("""COMPUTED_VALUE"""),11350.0)</f>
        <v>11350</v>
      </c>
    </row>
    <row r="1230">
      <c r="A1230" s="3">
        <f>IFERROR(__xludf.DUMMYFUNCTION("""COMPUTED_VALUE"""),41540.99861111111)</f>
        <v>41540.99861</v>
      </c>
      <c r="B1230" s="1">
        <f>IFERROR(__xludf.DUMMYFUNCTION("""COMPUTED_VALUE"""),11417.0)</f>
        <v>11417</v>
      </c>
    </row>
    <row r="1231">
      <c r="A1231" s="3">
        <f>IFERROR(__xludf.DUMMYFUNCTION("""COMPUTED_VALUE"""),41541.99861111111)</f>
        <v>41541.99861</v>
      </c>
      <c r="B1231" s="1">
        <f>IFERROR(__xludf.DUMMYFUNCTION("""COMPUTED_VALUE"""),11445.0)</f>
        <v>11445</v>
      </c>
    </row>
    <row r="1232">
      <c r="A1232" s="3">
        <f>IFERROR(__xludf.DUMMYFUNCTION("""COMPUTED_VALUE"""),41542.99861111111)</f>
        <v>41542.99861</v>
      </c>
      <c r="B1232" s="1">
        <f>IFERROR(__xludf.DUMMYFUNCTION("""COMPUTED_VALUE"""),11458.0)</f>
        <v>11458</v>
      </c>
    </row>
    <row r="1233">
      <c r="A1233" s="3">
        <f>IFERROR(__xludf.DUMMYFUNCTION("""COMPUTED_VALUE"""),41543.99861111111)</f>
        <v>41543.99861</v>
      </c>
      <c r="B1233" s="1">
        <f>IFERROR(__xludf.DUMMYFUNCTION("""COMPUTED_VALUE"""),11430.0)</f>
        <v>11430</v>
      </c>
    </row>
    <row r="1234">
      <c r="A1234" s="3">
        <f>IFERROR(__xludf.DUMMYFUNCTION("""COMPUTED_VALUE"""),41544.99861111111)</f>
        <v>41544.99861</v>
      </c>
      <c r="B1234" s="1">
        <f>IFERROR(__xludf.DUMMYFUNCTION("""COMPUTED_VALUE"""),11509.0)</f>
        <v>11509</v>
      </c>
    </row>
    <row r="1235">
      <c r="A1235" s="3">
        <f>IFERROR(__xludf.DUMMYFUNCTION("""COMPUTED_VALUE"""),41545.99861111111)</f>
        <v>41545.99861</v>
      </c>
      <c r="B1235" s="1">
        <f>IFERROR(__xludf.DUMMYFUNCTION("""COMPUTED_VALUE"""),11560.69)</f>
        <v>11560.69</v>
      </c>
    </row>
    <row r="1236">
      <c r="A1236" s="3">
        <f>IFERROR(__xludf.DUMMYFUNCTION("""COMPUTED_VALUE"""),41546.99861111111)</f>
        <v>41546.99861</v>
      </c>
      <c r="B1236" s="1">
        <f>IFERROR(__xludf.DUMMYFUNCTION("""COMPUTED_VALUE"""),11509.0)</f>
        <v>11509</v>
      </c>
    </row>
    <row r="1237">
      <c r="A1237" s="3">
        <f>IFERROR(__xludf.DUMMYFUNCTION("""COMPUTED_VALUE"""),41547.99861111111)</f>
        <v>41547.99861</v>
      </c>
      <c r="B1237" s="1">
        <f>IFERROR(__xludf.DUMMYFUNCTION("""COMPUTED_VALUE"""),11552.0)</f>
        <v>11552</v>
      </c>
    </row>
    <row r="1238">
      <c r="A1238" s="3">
        <f>IFERROR(__xludf.DUMMYFUNCTION("""COMPUTED_VALUE"""),41548.99861111111)</f>
        <v>41548.99861</v>
      </c>
      <c r="B1238" s="1">
        <f>IFERROR(__xludf.DUMMYFUNCTION("""COMPUTED_VALUE"""),11477.0)</f>
        <v>11477</v>
      </c>
    </row>
    <row r="1239">
      <c r="A1239" s="3">
        <f>IFERROR(__xludf.DUMMYFUNCTION("""COMPUTED_VALUE"""),41549.99861111111)</f>
        <v>41549.99861</v>
      </c>
      <c r="B1239" s="1">
        <f>IFERROR(__xludf.DUMMYFUNCTION("""COMPUTED_VALUE"""),11502.0)</f>
        <v>11502</v>
      </c>
    </row>
    <row r="1240">
      <c r="A1240" s="3">
        <f>IFERROR(__xludf.DUMMYFUNCTION("""COMPUTED_VALUE"""),41550.99861111111)</f>
        <v>41550.99861</v>
      </c>
      <c r="B1240" s="1">
        <f>IFERROR(__xludf.DUMMYFUNCTION("""COMPUTED_VALUE"""),11503.0)</f>
        <v>11503</v>
      </c>
    </row>
    <row r="1241">
      <c r="A1241" s="3">
        <f>IFERROR(__xludf.DUMMYFUNCTION("""COMPUTED_VALUE"""),41551.99861111111)</f>
        <v>41551.99861</v>
      </c>
      <c r="B1241" s="1">
        <f>IFERROR(__xludf.DUMMYFUNCTION("""COMPUTED_VALUE"""),11491.0)</f>
        <v>11491</v>
      </c>
    </row>
    <row r="1242">
      <c r="A1242" s="3">
        <f>IFERROR(__xludf.DUMMYFUNCTION("""COMPUTED_VALUE"""),41552.99861111111)</f>
        <v>41552.99861</v>
      </c>
      <c r="B1242" s="1">
        <f>IFERROR(__xludf.DUMMYFUNCTION("""COMPUTED_VALUE"""),11498.0)</f>
        <v>11498</v>
      </c>
    </row>
    <row r="1243">
      <c r="A1243" s="3">
        <f>IFERROR(__xludf.DUMMYFUNCTION("""COMPUTED_VALUE"""),41553.99861111111)</f>
        <v>41553.99861</v>
      </c>
      <c r="B1243" s="1">
        <f>IFERROR(__xludf.DUMMYFUNCTION("""COMPUTED_VALUE"""),11490.0)</f>
        <v>11490</v>
      </c>
    </row>
    <row r="1244">
      <c r="A1244" s="3">
        <f>IFERROR(__xludf.DUMMYFUNCTION("""COMPUTED_VALUE"""),41554.99861111111)</f>
        <v>41554.99861</v>
      </c>
      <c r="B1244" s="1">
        <f>IFERROR(__xludf.DUMMYFUNCTION("""COMPUTED_VALUE"""),11497.0)</f>
        <v>11497</v>
      </c>
    </row>
    <row r="1245">
      <c r="A1245" s="3">
        <f>IFERROR(__xludf.DUMMYFUNCTION("""COMPUTED_VALUE"""),41555.99861111111)</f>
        <v>41555.99861</v>
      </c>
      <c r="B1245" s="1">
        <f>IFERROR(__xludf.DUMMYFUNCTION("""COMPUTED_VALUE"""),11488.0)</f>
        <v>11488</v>
      </c>
    </row>
    <row r="1246">
      <c r="A1246" s="3">
        <f>IFERROR(__xludf.DUMMYFUNCTION("""COMPUTED_VALUE"""),41556.99861111111)</f>
        <v>41556.99861</v>
      </c>
      <c r="B1246" s="1">
        <f>IFERROR(__xludf.DUMMYFUNCTION("""COMPUTED_VALUE"""),11505.0)</f>
        <v>11505</v>
      </c>
    </row>
    <row r="1247">
      <c r="A1247" s="3">
        <f>IFERROR(__xludf.DUMMYFUNCTION("""COMPUTED_VALUE"""),41557.99861111111)</f>
        <v>41557.99861</v>
      </c>
      <c r="B1247" s="1">
        <f>IFERROR(__xludf.DUMMYFUNCTION("""COMPUTED_VALUE"""),11463.0)</f>
        <v>11463</v>
      </c>
    </row>
    <row r="1248">
      <c r="A1248" s="3">
        <f>IFERROR(__xludf.DUMMYFUNCTION("""COMPUTED_VALUE"""),41558.99861111111)</f>
        <v>41558.99861</v>
      </c>
      <c r="B1248" s="1">
        <f>IFERROR(__xludf.DUMMYFUNCTION("""COMPUTED_VALUE"""),11340.0)</f>
        <v>11340</v>
      </c>
    </row>
    <row r="1249">
      <c r="A1249" s="3">
        <f>IFERROR(__xludf.DUMMYFUNCTION("""COMPUTED_VALUE"""),41559.99861111111)</f>
        <v>41559.99861</v>
      </c>
      <c r="B1249" s="1">
        <f>IFERROR(__xludf.DUMMYFUNCTION("""COMPUTED_VALUE"""),11340.0)</f>
        <v>11340</v>
      </c>
    </row>
    <row r="1250">
      <c r="A1250" s="3">
        <f>IFERROR(__xludf.DUMMYFUNCTION("""COMPUTED_VALUE"""),41560.99861111111)</f>
        <v>41560.99861</v>
      </c>
      <c r="B1250" s="1">
        <f>IFERROR(__xludf.DUMMYFUNCTION("""COMPUTED_VALUE"""),11340.0)</f>
        <v>11340</v>
      </c>
    </row>
    <row r="1251">
      <c r="A1251" s="3">
        <f>IFERROR(__xludf.DUMMYFUNCTION("""COMPUTED_VALUE"""),41561.99861111111)</f>
        <v>41561.99861</v>
      </c>
      <c r="B1251" s="1">
        <f>IFERROR(__xludf.DUMMYFUNCTION("""COMPUTED_VALUE"""),11337.0)</f>
        <v>11337</v>
      </c>
    </row>
    <row r="1252">
      <c r="A1252" s="3">
        <f>IFERROR(__xludf.DUMMYFUNCTION("""COMPUTED_VALUE"""),41562.99861111111)</f>
        <v>41562.99861</v>
      </c>
      <c r="B1252" s="1">
        <f>IFERROR(__xludf.DUMMYFUNCTION("""COMPUTED_VALUE"""),11337.0)</f>
        <v>11337</v>
      </c>
    </row>
    <row r="1253">
      <c r="A1253" s="3">
        <f>IFERROR(__xludf.DUMMYFUNCTION("""COMPUTED_VALUE"""),41563.99861111111)</f>
        <v>41563.99861</v>
      </c>
      <c r="B1253" s="1">
        <f>IFERROR(__xludf.DUMMYFUNCTION("""COMPUTED_VALUE"""),11336.0)</f>
        <v>11336</v>
      </c>
    </row>
    <row r="1254">
      <c r="A1254" s="3">
        <f>IFERROR(__xludf.DUMMYFUNCTION("""COMPUTED_VALUE"""),41564.99861111111)</f>
        <v>41564.99861</v>
      </c>
      <c r="B1254" s="1">
        <f>IFERROR(__xludf.DUMMYFUNCTION("""COMPUTED_VALUE"""),11302.0)</f>
        <v>11302</v>
      </c>
    </row>
    <row r="1255">
      <c r="A1255" s="3">
        <f>IFERROR(__xludf.DUMMYFUNCTION("""COMPUTED_VALUE"""),41565.99861111111)</f>
        <v>41565.99861</v>
      </c>
      <c r="B1255" s="1">
        <f>IFERROR(__xludf.DUMMYFUNCTION("""COMPUTED_VALUE"""),11298.0)</f>
        <v>11298</v>
      </c>
    </row>
    <row r="1256">
      <c r="A1256" s="3">
        <f>IFERROR(__xludf.DUMMYFUNCTION("""COMPUTED_VALUE"""),41566.99861111111)</f>
        <v>41566.99861</v>
      </c>
      <c r="B1256" s="1">
        <f>IFERROR(__xludf.DUMMYFUNCTION("""COMPUTED_VALUE"""),11298.0)</f>
        <v>11298</v>
      </c>
    </row>
    <row r="1257">
      <c r="A1257" s="3">
        <f>IFERROR(__xludf.DUMMYFUNCTION("""COMPUTED_VALUE"""),41567.99861111111)</f>
        <v>41567.99861</v>
      </c>
      <c r="B1257" s="1">
        <f>IFERROR(__xludf.DUMMYFUNCTION("""COMPUTED_VALUE"""),11298.0)</f>
        <v>11298</v>
      </c>
    </row>
    <row r="1258">
      <c r="A1258" s="3">
        <f>IFERROR(__xludf.DUMMYFUNCTION("""COMPUTED_VALUE"""),41568.99861111111)</f>
        <v>41568.99861</v>
      </c>
      <c r="B1258" s="1">
        <f>IFERROR(__xludf.DUMMYFUNCTION("""COMPUTED_VALUE"""),11308.0)</f>
        <v>11308</v>
      </c>
    </row>
    <row r="1259">
      <c r="A1259" s="3">
        <f>IFERROR(__xludf.DUMMYFUNCTION("""COMPUTED_VALUE"""),41569.99861111111)</f>
        <v>41569.99861</v>
      </c>
      <c r="B1259" s="1">
        <f>IFERROR(__xludf.DUMMYFUNCTION("""COMPUTED_VALUE"""),11264.0)</f>
        <v>11264</v>
      </c>
    </row>
    <row r="1260">
      <c r="A1260" s="3">
        <f>IFERROR(__xludf.DUMMYFUNCTION("""COMPUTED_VALUE"""),41570.99861111111)</f>
        <v>41570.99861</v>
      </c>
      <c r="B1260" s="1">
        <f>IFERROR(__xludf.DUMMYFUNCTION("""COMPUTED_VALUE"""),11244.0)</f>
        <v>11244</v>
      </c>
    </row>
    <row r="1261">
      <c r="A1261" s="3">
        <f>IFERROR(__xludf.DUMMYFUNCTION("""COMPUTED_VALUE"""),41571.99861111111)</f>
        <v>41571.99861</v>
      </c>
      <c r="B1261" s="1">
        <f>IFERROR(__xludf.DUMMYFUNCTION("""COMPUTED_VALUE"""),11128.0)</f>
        <v>11128</v>
      </c>
    </row>
    <row r="1262">
      <c r="A1262" s="3">
        <f>IFERROR(__xludf.DUMMYFUNCTION("""COMPUTED_VALUE"""),41572.99861111111)</f>
        <v>41572.99861</v>
      </c>
      <c r="B1262" s="1">
        <f>IFERROR(__xludf.DUMMYFUNCTION("""COMPUTED_VALUE"""),10990.0)</f>
        <v>10990</v>
      </c>
    </row>
    <row r="1263">
      <c r="A1263" s="3">
        <f>IFERROR(__xludf.DUMMYFUNCTION("""COMPUTED_VALUE"""),41573.99861111111)</f>
        <v>41573.99861</v>
      </c>
      <c r="B1263" s="1">
        <f>IFERROR(__xludf.DUMMYFUNCTION("""COMPUTED_VALUE"""),10990.0)</f>
        <v>10990</v>
      </c>
    </row>
    <row r="1264">
      <c r="A1264" s="3">
        <f>IFERROR(__xludf.DUMMYFUNCTION("""COMPUTED_VALUE"""),41574.99861111111)</f>
        <v>41574.99861</v>
      </c>
      <c r="B1264" s="1">
        <f>IFERROR(__xludf.DUMMYFUNCTION("""COMPUTED_VALUE"""),10990.0)</f>
        <v>10990</v>
      </c>
    </row>
    <row r="1265">
      <c r="A1265" s="3">
        <f>IFERROR(__xludf.DUMMYFUNCTION("""COMPUTED_VALUE"""),41575.99861111111)</f>
        <v>41575.99861</v>
      </c>
      <c r="B1265" s="1">
        <f>IFERROR(__xludf.DUMMYFUNCTION("""COMPUTED_VALUE"""),11025.0)</f>
        <v>11025</v>
      </c>
    </row>
    <row r="1266">
      <c r="A1266" s="3">
        <f>IFERROR(__xludf.DUMMYFUNCTION("""COMPUTED_VALUE"""),41576.99861111111)</f>
        <v>41576.99861</v>
      </c>
      <c r="B1266" s="1">
        <f>IFERROR(__xludf.DUMMYFUNCTION("""COMPUTED_VALUE"""),11075.0)</f>
        <v>11075</v>
      </c>
    </row>
    <row r="1267">
      <c r="A1267" s="3">
        <f>IFERROR(__xludf.DUMMYFUNCTION("""COMPUTED_VALUE"""),41577.99861111111)</f>
        <v>41577.99861</v>
      </c>
      <c r="B1267" s="1">
        <f>IFERROR(__xludf.DUMMYFUNCTION("""COMPUTED_VALUE"""),11147.0)</f>
        <v>11147</v>
      </c>
    </row>
    <row r="1268">
      <c r="A1268" s="3">
        <f>IFERROR(__xludf.DUMMYFUNCTION("""COMPUTED_VALUE"""),41578.99861111111)</f>
        <v>41578.99861</v>
      </c>
      <c r="B1268" s="1">
        <f>IFERROR(__xludf.DUMMYFUNCTION("""COMPUTED_VALUE"""),11245.0)</f>
        <v>11245</v>
      </c>
    </row>
    <row r="1269">
      <c r="A1269" s="3">
        <f>IFERROR(__xludf.DUMMYFUNCTION("""COMPUTED_VALUE"""),41579.99861111111)</f>
        <v>41579.99861</v>
      </c>
      <c r="B1269" s="1">
        <f>IFERROR(__xludf.DUMMYFUNCTION("""COMPUTED_VALUE"""),11308.0)</f>
        <v>11308</v>
      </c>
    </row>
    <row r="1270">
      <c r="A1270" s="3">
        <f>IFERROR(__xludf.DUMMYFUNCTION("""COMPUTED_VALUE"""),41580.99861111111)</f>
        <v>41580.99861</v>
      </c>
      <c r="B1270" s="1">
        <f>IFERROR(__xludf.DUMMYFUNCTION("""COMPUTED_VALUE"""),11308.0)</f>
        <v>11308</v>
      </c>
    </row>
    <row r="1271">
      <c r="A1271" s="3">
        <f>IFERROR(__xludf.DUMMYFUNCTION("""COMPUTED_VALUE"""),41581.99861111111)</f>
        <v>41581.99861</v>
      </c>
      <c r="B1271" s="1">
        <f>IFERROR(__xludf.DUMMYFUNCTION("""COMPUTED_VALUE"""),11363.63)</f>
        <v>11363.63</v>
      </c>
    </row>
    <row r="1272">
      <c r="A1272" s="3">
        <f>IFERROR(__xludf.DUMMYFUNCTION("""COMPUTED_VALUE"""),41582.99861111111)</f>
        <v>41582.99861</v>
      </c>
      <c r="B1272" s="1">
        <f>IFERROR(__xludf.DUMMYFUNCTION("""COMPUTED_VALUE"""),11327.0)</f>
        <v>11327</v>
      </c>
    </row>
    <row r="1273">
      <c r="A1273" s="3">
        <f>IFERROR(__xludf.DUMMYFUNCTION("""COMPUTED_VALUE"""),41583.99861111111)</f>
        <v>41583.99861</v>
      </c>
      <c r="B1273" s="1">
        <f>IFERROR(__xludf.DUMMYFUNCTION("""COMPUTED_VALUE"""),11330.0)</f>
        <v>11330</v>
      </c>
    </row>
    <row r="1274">
      <c r="A1274" s="3">
        <f>IFERROR(__xludf.DUMMYFUNCTION("""COMPUTED_VALUE"""),41584.99861111111)</f>
        <v>41584.99861</v>
      </c>
      <c r="B1274" s="1">
        <f>IFERROR(__xludf.DUMMYFUNCTION("""COMPUTED_VALUE"""),11380.0)</f>
        <v>11380</v>
      </c>
    </row>
    <row r="1275">
      <c r="A1275" s="3">
        <f>IFERROR(__xludf.DUMMYFUNCTION("""COMPUTED_VALUE"""),41585.99861111111)</f>
        <v>41585.99861</v>
      </c>
      <c r="B1275" s="1">
        <f>IFERROR(__xludf.DUMMYFUNCTION("""COMPUTED_VALUE"""),11362.0)</f>
        <v>11362</v>
      </c>
    </row>
    <row r="1276">
      <c r="A1276" s="3">
        <f>IFERROR(__xludf.DUMMYFUNCTION("""COMPUTED_VALUE"""),41586.99861111111)</f>
        <v>41586.99861</v>
      </c>
      <c r="B1276" s="1">
        <f>IFERROR(__xludf.DUMMYFUNCTION("""COMPUTED_VALUE"""),11382.0)</f>
        <v>11382</v>
      </c>
    </row>
    <row r="1277">
      <c r="A1277" s="3">
        <f>IFERROR(__xludf.DUMMYFUNCTION("""COMPUTED_VALUE"""),41587.99861111111)</f>
        <v>41587.99861</v>
      </c>
      <c r="B1277" s="1">
        <f>IFERROR(__xludf.DUMMYFUNCTION("""COMPUTED_VALUE"""),11441.64)</f>
        <v>11441.64</v>
      </c>
    </row>
    <row r="1278">
      <c r="A1278" s="3">
        <f>IFERROR(__xludf.DUMMYFUNCTION("""COMPUTED_VALUE"""),41588.99861111111)</f>
        <v>41588.99861</v>
      </c>
      <c r="B1278" s="1">
        <f>IFERROR(__xludf.DUMMYFUNCTION("""COMPUTED_VALUE"""),11379.0)</f>
        <v>11379</v>
      </c>
    </row>
    <row r="1279">
      <c r="A1279" s="3">
        <f>IFERROR(__xludf.DUMMYFUNCTION("""COMPUTED_VALUE"""),41589.99861111111)</f>
        <v>41589.99861</v>
      </c>
      <c r="B1279" s="1">
        <f>IFERROR(__xludf.DUMMYFUNCTION("""COMPUTED_VALUE"""),11532.0)</f>
        <v>11532</v>
      </c>
    </row>
    <row r="1280">
      <c r="A1280" s="3">
        <f>IFERROR(__xludf.DUMMYFUNCTION("""COMPUTED_VALUE"""),41590.99861111111)</f>
        <v>41590.99861</v>
      </c>
      <c r="B1280" s="1">
        <f>IFERROR(__xludf.DUMMYFUNCTION("""COMPUTED_VALUE"""),11565.0)</f>
        <v>11565</v>
      </c>
    </row>
    <row r="1281">
      <c r="A1281" s="3">
        <f>IFERROR(__xludf.DUMMYFUNCTION("""COMPUTED_VALUE"""),41591.99861111111)</f>
        <v>41591.99861</v>
      </c>
      <c r="B1281" s="1">
        <f>IFERROR(__xludf.DUMMYFUNCTION("""COMPUTED_VALUE"""),11577.0)</f>
        <v>11577</v>
      </c>
    </row>
    <row r="1282">
      <c r="A1282" s="3">
        <f>IFERROR(__xludf.DUMMYFUNCTION("""COMPUTED_VALUE"""),41592.99861111111)</f>
        <v>41592.99861</v>
      </c>
      <c r="B1282" s="1">
        <f>IFERROR(__xludf.DUMMYFUNCTION("""COMPUTED_VALUE"""),11514.0)</f>
        <v>11514</v>
      </c>
    </row>
    <row r="1283">
      <c r="A1283" s="3">
        <f>IFERROR(__xludf.DUMMYFUNCTION("""COMPUTED_VALUE"""),41593.99861111111)</f>
        <v>41593.99861</v>
      </c>
      <c r="B1283" s="1">
        <f>IFERROR(__xludf.DUMMYFUNCTION("""COMPUTED_VALUE"""),11595.0)</f>
        <v>11595</v>
      </c>
    </row>
    <row r="1284">
      <c r="A1284" s="3">
        <f>IFERROR(__xludf.DUMMYFUNCTION("""COMPUTED_VALUE"""),41594.99861111111)</f>
        <v>41594.99861</v>
      </c>
      <c r="B1284" s="1">
        <f>IFERROR(__xludf.DUMMYFUNCTION("""COMPUTED_VALUE"""),11641.44)</f>
        <v>11641.44</v>
      </c>
    </row>
    <row r="1285">
      <c r="A1285" s="3">
        <f>IFERROR(__xludf.DUMMYFUNCTION("""COMPUTED_VALUE"""),41595.99861111111)</f>
        <v>41595.99861</v>
      </c>
      <c r="B1285" s="1">
        <f>IFERROR(__xludf.DUMMYFUNCTION("""COMPUTED_VALUE"""),11595.0)</f>
        <v>11595</v>
      </c>
    </row>
    <row r="1286">
      <c r="A1286" s="3">
        <f>IFERROR(__xludf.DUMMYFUNCTION("""COMPUTED_VALUE"""),41596.99861111111)</f>
        <v>41596.99861</v>
      </c>
      <c r="B1286" s="1">
        <f>IFERROR(__xludf.DUMMYFUNCTION("""COMPUTED_VALUE"""),11605.0)</f>
        <v>11605</v>
      </c>
    </row>
    <row r="1287">
      <c r="A1287" s="3">
        <f>IFERROR(__xludf.DUMMYFUNCTION("""COMPUTED_VALUE"""),41597.99861111111)</f>
        <v>41597.99861</v>
      </c>
      <c r="B1287" s="1">
        <f>IFERROR(__xludf.DUMMYFUNCTION("""COMPUTED_VALUE"""),11570.0)</f>
        <v>11570</v>
      </c>
    </row>
    <row r="1288">
      <c r="A1288" s="3">
        <f>IFERROR(__xludf.DUMMYFUNCTION("""COMPUTED_VALUE"""),41598.99861111111)</f>
        <v>41598.99861</v>
      </c>
      <c r="B1288" s="1">
        <f>IFERROR(__xludf.DUMMYFUNCTION("""COMPUTED_VALUE"""),11629.0)</f>
        <v>11629</v>
      </c>
    </row>
    <row r="1289">
      <c r="A1289" s="3">
        <f>IFERROR(__xludf.DUMMYFUNCTION("""COMPUTED_VALUE"""),41599.99861111111)</f>
        <v>41599.99861</v>
      </c>
      <c r="B1289" s="1">
        <f>IFERROR(__xludf.DUMMYFUNCTION("""COMPUTED_VALUE"""),11674.0)</f>
        <v>11674</v>
      </c>
    </row>
    <row r="1290">
      <c r="A1290" s="3">
        <f>IFERROR(__xludf.DUMMYFUNCTION("""COMPUTED_VALUE"""),41600.99861111111)</f>
        <v>41600.99861</v>
      </c>
      <c r="B1290" s="1">
        <f>IFERROR(__xludf.DUMMYFUNCTION("""COMPUTED_VALUE"""),11667.0)</f>
        <v>11667</v>
      </c>
    </row>
    <row r="1291">
      <c r="A1291" s="3">
        <f>IFERROR(__xludf.DUMMYFUNCTION("""COMPUTED_VALUE"""),41601.99861111111)</f>
        <v>41601.99861</v>
      </c>
      <c r="B1291" s="1">
        <f>IFERROR(__xludf.DUMMYFUNCTION("""COMPUTED_VALUE"""),11667.0)</f>
        <v>11667</v>
      </c>
    </row>
    <row r="1292">
      <c r="A1292" s="3">
        <f>IFERROR(__xludf.DUMMYFUNCTION("""COMPUTED_VALUE"""),41602.99861111111)</f>
        <v>41602.99861</v>
      </c>
      <c r="B1292" s="1">
        <f>IFERROR(__xludf.DUMMYFUNCTION("""COMPUTED_VALUE"""),11667.0)</f>
        <v>11667</v>
      </c>
    </row>
    <row r="1293">
      <c r="A1293" s="3">
        <f>IFERROR(__xludf.DUMMYFUNCTION("""COMPUTED_VALUE"""),41603.99861111111)</f>
        <v>41603.99861</v>
      </c>
      <c r="B1293" s="1">
        <f>IFERROR(__xludf.DUMMYFUNCTION("""COMPUTED_VALUE"""),11719.0)</f>
        <v>11719</v>
      </c>
    </row>
    <row r="1294">
      <c r="A1294" s="3">
        <f>IFERROR(__xludf.DUMMYFUNCTION("""COMPUTED_VALUE"""),41604.99861111111)</f>
        <v>41604.99861</v>
      </c>
      <c r="B1294" s="1">
        <f>IFERROR(__xludf.DUMMYFUNCTION("""COMPUTED_VALUE"""),11750.0)</f>
        <v>11750</v>
      </c>
    </row>
    <row r="1295">
      <c r="A1295" s="3">
        <f>IFERROR(__xludf.DUMMYFUNCTION("""COMPUTED_VALUE"""),41605.99861111111)</f>
        <v>41605.99861</v>
      </c>
      <c r="B1295" s="1">
        <f>IFERROR(__xludf.DUMMYFUNCTION("""COMPUTED_VALUE"""),11880.0)</f>
        <v>11880</v>
      </c>
    </row>
    <row r="1296">
      <c r="A1296" s="3">
        <f>IFERROR(__xludf.DUMMYFUNCTION("""COMPUTED_VALUE"""),41606.99861111111)</f>
        <v>41606.99861</v>
      </c>
      <c r="B1296" s="1">
        <f>IFERROR(__xludf.DUMMYFUNCTION("""COMPUTED_VALUE"""),11880.0)</f>
        <v>11880</v>
      </c>
    </row>
    <row r="1297">
      <c r="A1297" s="3">
        <f>IFERROR(__xludf.DUMMYFUNCTION("""COMPUTED_VALUE"""),41607.99861111111)</f>
        <v>41607.99861</v>
      </c>
      <c r="B1297" s="1">
        <f>IFERROR(__xludf.DUMMYFUNCTION("""COMPUTED_VALUE"""),11858.0)</f>
        <v>11858</v>
      </c>
    </row>
    <row r="1298">
      <c r="A1298" s="3">
        <f>IFERROR(__xludf.DUMMYFUNCTION("""COMPUTED_VALUE"""),41608.99861111111)</f>
        <v>41608.99861</v>
      </c>
      <c r="B1298" s="1">
        <f>IFERROR(__xludf.DUMMYFUNCTION("""COMPUTED_VALUE"""),11625.0)</f>
        <v>11625</v>
      </c>
    </row>
    <row r="1299">
      <c r="A1299" s="3">
        <f>IFERROR(__xludf.DUMMYFUNCTION("""COMPUTED_VALUE"""),41609.99861111111)</f>
        <v>41609.99861</v>
      </c>
      <c r="B1299" s="1">
        <f>IFERROR(__xludf.DUMMYFUNCTION("""COMPUTED_VALUE"""),11625.0)</f>
        <v>11625</v>
      </c>
    </row>
    <row r="1300">
      <c r="A1300" s="3">
        <f>IFERROR(__xludf.DUMMYFUNCTION("""COMPUTED_VALUE"""),41610.99861111111)</f>
        <v>41610.99861</v>
      </c>
      <c r="B1300" s="1">
        <f>IFERROR(__xludf.DUMMYFUNCTION("""COMPUTED_VALUE"""),11885.0)</f>
        <v>11885</v>
      </c>
    </row>
    <row r="1301">
      <c r="A1301" s="3">
        <f>IFERROR(__xludf.DUMMYFUNCTION("""COMPUTED_VALUE"""),41611.99861111111)</f>
        <v>41611.99861</v>
      </c>
      <c r="B1301" s="1">
        <f>IFERROR(__xludf.DUMMYFUNCTION("""COMPUTED_VALUE"""),11885.0)</f>
        <v>11885</v>
      </c>
    </row>
    <row r="1302">
      <c r="A1302" s="3">
        <f>IFERROR(__xludf.DUMMYFUNCTION("""COMPUTED_VALUE"""),41612.99861111111)</f>
        <v>41612.99861</v>
      </c>
      <c r="B1302" s="1">
        <f>IFERROR(__xludf.DUMMYFUNCTION("""COMPUTED_VALUE"""),11972.0)</f>
        <v>11972</v>
      </c>
    </row>
    <row r="1303">
      <c r="A1303" s="3">
        <f>IFERROR(__xludf.DUMMYFUNCTION("""COMPUTED_VALUE"""),41613.99861111111)</f>
        <v>41613.99861</v>
      </c>
      <c r="B1303" s="1">
        <f>IFERROR(__xludf.DUMMYFUNCTION("""COMPUTED_VALUE"""),11975.0)</f>
        <v>11975</v>
      </c>
    </row>
    <row r="1304">
      <c r="A1304" s="3">
        <f>IFERROR(__xludf.DUMMYFUNCTION("""COMPUTED_VALUE"""),41614.99861111111)</f>
        <v>41614.99861</v>
      </c>
      <c r="B1304" s="1">
        <f>IFERROR(__xludf.DUMMYFUNCTION("""COMPUTED_VALUE"""),11950.0)</f>
        <v>11950</v>
      </c>
    </row>
    <row r="1305">
      <c r="A1305" s="3">
        <f>IFERROR(__xludf.DUMMYFUNCTION("""COMPUTED_VALUE"""),41615.99861111111)</f>
        <v>41615.99861</v>
      </c>
      <c r="B1305" s="1">
        <f>IFERROR(__xludf.DUMMYFUNCTION("""COMPUTED_VALUE"""),11678.0)</f>
        <v>11678</v>
      </c>
    </row>
    <row r="1306">
      <c r="A1306" s="3">
        <f>IFERROR(__xludf.DUMMYFUNCTION("""COMPUTED_VALUE"""),41616.99861111111)</f>
        <v>41616.99861</v>
      </c>
      <c r="B1306" s="1">
        <f>IFERROR(__xludf.DUMMYFUNCTION("""COMPUTED_VALUE"""),11678.0)</f>
        <v>11678</v>
      </c>
    </row>
    <row r="1307">
      <c r="A1307" s="3">
        <f>IFERROR(__xludf.DUMMYFUNCTION("""COMPUTED_VALUE"""),41617.99861111111)</f>
        <v>41617.99861</v>
      </c>
      <c r="B1307" s="1">
        <f>IFERROR(__xludf.DUMMYFUNCTION("""COMPUTED_VALUE"""),11813.0)</f>
        <v>11813</v>
      </c>
    </row>
    <row r="1308">
      <c r="A1308" s="3">
        <f>IFERROR(__xludf.DUMMYFUNCTION("""COMPUTED_VALUE"""),41618.99861111111)</f>
        <v>41618.99861</v>
      </c>
      <c r="B1308" s="1">
        <f>IFERROR(__xludf.DUMMYFUNCTION("""COMPUTED_VALUE"""),11834.0)</f>
        <v>11834</v>
      </c>
    </row>
    <row r="1309">
      <c r="A1309" s="3">
        <f>IFERROR(__xludf.DUMMYFUNCTION("""COMPUTED_VALUE"""),41619.99861111111)</f>
        <v>41619.99861</v>
      </c>
      <c r="B1309" s="1">
        <f>IFERROR(__xludf.DUMMYFUNCTION("""COMPUTED_VALUE"""),11878.0)</f>
        <v>11878</v>
      </c>
    </row>
    <row r="1310">
      <c r="A1310" s="3">
        <f>IFERROR(__xludf.DUMMYFUNCTION("""COMPUTED_VALUE"""),41620.99861111111)</f>
        <v>41620.99861</v>
      </c>
      <c r="B1310" s="1">
        <f>IFERROR(__xludf.DUMMYFUNCTION("""COMPUTED_VALUE"""),11999.0)</f>
        <v>11999</v>
      </c>
    </row>
    <row r="1311">
      <c r="A1311" s="3">
        <f>IFERROR(__xludf.DUMMYFUNCTION("""COMPUTED_VALUE"""),41621.99861111111)</f>
        <v>41621.99861</v>
      </c>
      <c r="B1311" s="1">
        <f>IFERROR(__xludf.DUMMYFUNCTION("""COMPUTED_VALUE"""),12019.0)</f>
        <v>12019</v>
      </c>
    </row>
    <row r="1312">
      <c r="A1312" s="3">
        <f>IFERROR(__xludf.DUMMYFUNCTION("""COMPUTED_VALUE"""),41622.99861111111)</f>
        <v>41622.99861</v>
      </c>
      <c r="B1312" s="1">
        <f>IFERROR(__xludf.DUMMYFUNCTION("""COMPUTED_VALUE"""),12019.23)</f>
        <v>12019.23</v>
      </c>
    </row>
    <row r="1313">
      <c r="A1313" s="3">
        <f>IFERROR(__xludf.DUMMYFUNCTION("""COMPUTED_VALUE"""),41623.99861111111)</f>
        <v>41623.99861</v>
      </c>
      <c r="B1313" s="1">
        <f>IFERROR(__xludf.DUMMYFUNCTION("""COMPUTED_VALUE"""),11988.0)</f>
        <v>11988</v>
      </c>
    </row>
    <row r="1314">
      <c r="A1314" s="3">
        <f>IFERROR(__xludf.DUMMYFUNCTION("""COMPUTED_VALUE"""),41624.99861111111)</f>
        <v>41624.99861</v>
      </c>
      <c r="B1314" s="1">
        <f>IFERROR(__xludf.DUMMYFUNCTION("""COMPUTED_VALUE"""),11964.0)</f>
        <v>11964</v>
      </c>
    </row>
    <row r="1315">
      <c r="A1315" s="3">
        <f>IFERROR(__xludf.DUMMYFUNCTION("""COMPUTED_VALUE"""),41625.99861111111)</f>
        <v>41625.99861</v>
      </c>
      <c r="B1315" s="1">
        <f>IFERROR(__xludf.DUMMYFUNCTION("""COMPUTED_VALUE"""),11984.0)</f>
        <v>11984</v>
      </c>
    </row>
    <row r="1316">
      <c r="A1316" s="3">
        <f>IFERROR(__xludf.DUMMYFUNCTION("""COMPUTED_VALUE"""),41626.99861111111)</f>
        <v>41626.99861</v>
      </c>
      <c r="B1316" s="1">
        <f>IFERROR(__xludf.DUMMYFUNCTION("""COMPUTED_VALUE"""),12012.0)</f>
        <v>12012</v>
      </c>
    </row>
    <row r="1317">
      <c r="A1317" s="3">
        <f>IFERROR(__xludf.DUMMYFUNCTION("""COMPUTED_VALUE"""),41627.99861111111)</f>
        <v>41627.99861</v>
      </c>
      <c r="B1317" s="1">
        <f>IFERROR(__xludf.DUMMYFUNCTION("""COMPUTED_VALUE"""),12118.0)</f>
        <v>12118</v>
      </c>
    </row>
    <row r="1318">
      <c r="A1318" s="3">
        <f>IFERROR(__xludf.DUMMYFUNCTION("""COMPUTED_VALUE"""),41628.99861111111)</f>
        <v>41628.99861</v>
      </c>
      <c r="B1318" s="1">
        <f>IFERROR(__xludf.DUMMYFUNCTION("""COMPUTED_VALUE"""),12153.0)</f>
        <v>12153</v>
      </c>
    </row>
    <row r="1319">
      <c r="A1319" s="3">
        <f>IFERROR(__xludf.DUMMYFUNCTION("""COMPUTED_VALUE"""),41629.99861111111)</f>
        <v>41629.99861</v>
      </c>
      <c r="B1319" s="1">
        <f>IFERROR(__xludf.DUMMYFUNCTION("""COMPUTED_VALUE"""),12150.66)</f>
        <v>12150.66</v>
      </c>
    </row>
    <row r="1320">
      <c r="A1320" s="3">
        <f>IFERROR(__xludf.DUMMYFUNCTION("""COMPUTED_VALUE"""),41630.99861111111)</f>
        <v>41630.99861</v>
      </c>
      <c r="B1320" s="1">
        <f>IFERROR(__xludf.DUMMYFUNCTION("""COMPUTED_VALUE"""),12153.0)</f>
        <v>12153</v>
      </c>
    </row>
    <row r="1321">
      <c r="A1321" s="3">
        <f>IFERROR(__xludf.DUMMYFUNCTION("""COMPUTED_VALUE"""),41631.99861111111)</f>
        <v>41631.99861</v>
      </c>
      <c r="B1321" s="1">
        <f>IFERROR(__xludf.DUMMYFUNCTION("""COMPUTED_VALUE"""),12147.0)</f>
        <v>12147</v>
      </c>
    </row>
    <row r="1322">
      <c r="A1322" s="3">
        <f>IFERROR(__xludf.DUMMYFUNCTION("""COMPUTED_VALUE"""),41632.99861111111)</f>
        <v>41632.99861</v>
      </c>
      <c r="B1322" s="1">
        <f>IFERROR(__xludf.DUMMYFUNCTION("""COMPUTED_VALUE"""),12148.0)</f>
        <v>12148</v>
      </c>
    </row>
    <row r="1323">
      <c r="A1323" s="3">
        <f>IFERROR(__xludf.DUMMYFUNCTION("""COMPUTED_VALUE"""),41633.99861111111)</f>
        <v>41633.99861</v>
      </c>
      <c r="B1323" s="1">
        <f>IFERROR(__xludf.DUMMYFUNCTION("""COMPUTED_VALUE"""),12148.0)</f>
        <v>12148</v>
      </c>
    </row>
    <row r="1324">
      <c r="A1324" s="3">
        <f>IFERROR(__xludf.DUMMYFUNCTION("""COMPUTED_VALUE"""),41634.99861111111)</f>
        <v>41634.99861</v>
      </c>
      <c r="B1324" s="1">
        <f>IFERROR(__xludf.DUMMYFUNCTION("""COMPUTED_VALUE"""),12148.0)</f>
        <v>12148</v>
      </c>
    </row>
    <row r="1325">
      <c r="A1325" s="3">
        <f>IFERROR(__xludf.DUMMYFUNCTION("""COMPUTED_VALUE"""),41635.99861111111)</f>
        <v>41635.99861</v>
      </c>
      <c r="B1325" s="1">
        <f>IFERROR(__xludf.DUMMYFUNCTION("""COMPUTED_VALUE"""),12142.0)</f>
        <v>12142</v>
      </c>
    </row>
    <row r="1326">
      <c r="A1326" s="3">
        <f>IFERROR(__xludf.DUMMYFUNCTION("""COMPUTED_VALUE"""),41636.99861111111)</f>
        <v>41636.99861</v>
      </c>
      <c r="B1326" s="1">
        <f>IFERROR(__xludf.DUMMYFUNCTION("""COMPUTED_VALUE"""),12150.66)</f>
        <v>12150.66</v>
      </c>
    </row>
    <row r="1327">
      <c r="A1327" s="3">
        <f>IFERROR(__xludf.DUMMYFUNCTION("""COMPUTED_VALUE"""),41637.99861111111)</f>
        <v>41637.99861</v>
      </c>
      <c r="B1327" s="1">
        <f>IFERROR(__xludf.DUMMYFUNCTION("""COMPUTED_VALUE"""),12142.0)</f>
        <v>12142</v>
      </c>
    </row>
    <row r="1328">
      <c r="A1328" s="3">
        <f>IFERROR(__xludf.DUMMYFUNCTION("""COMPUTED_VALUE"""),41638.99861111111)</f>
        <v>41638.99861</v>
      </c>
      <c r="B1328" s="1">
        <f>IFERROR(__xludf.DUMMYFUNCTION("""COMPUTED_VALUE"""),12208.0)</f>
        <v>12208</v>
      </c>
    </row>
    <row r="1329">
      <c r="A1329" s="3">
        <f>IFERROR(__xludf.DUMMYFUNCTION("""COMPUTED_VALUE"""),41639.99861111111)</f>
        <v>41639.99861</v>
      </c>
      <c r="B1329" s="1">
        <f>IFERROR(__xludf.DUMMYFUNCTION("""COMPUTED_VALUE"""),12158.0)</f>
        <v>12158</v>
      </c>
    </row>
    <row r="1330">
      <c r="A1330" s="3">
        <f>IFERROR(__xludf.DUMMYFUNCTION("""COMPUTED_VALUE"""),41640.99861111111)</f>
        <v>41640.99861</v>
      </c>
      <c r="B1330" s="1">
        <f>IFERROR(__xludf.DUMMYFUNCTION("""COMPUTED_VALUE"""),12158.0)</f>
        <v>12158</v>
      </c>
    </row>
    <row r="1331">
      <c r="A1331" s="3">
        <f>IFERROR(__xludf.DUMMYFUNCTION("""COMPUTED_VALUE"""),41641.99861111111)</f>
        <v>41641.99861</v>
      </c>
      <c r="B1331" s="1">
        <f>IFERROR(__xludf.DUMMYFUNCTION("""COMPUTED_VALUE"""),12102.0)</f>
        <v>12102</v>
      </c>
    </row>
    <row r="1332">
      <c r="A1332" s="3">
        <f>IFERROR(__xludf.DUMMYFUNCTION("""COMPUTED_VALUE"""),41642.99861111111)</f>
        <v>41642.99861</v>
      </c>
      <c r="B1332" s="1">
        <f>IFERROR(__xludf.DUMMYFUNCTION("""COMPUTED_VALUE"""),12108.0)</f>
        <v>12108</v>
      </c>
    </row>
    <row r="1333">
      <c r="A1333" s="3">
        <f>IFERROR(__xludf.DUMMYFUNCTION("""COMPUTED_VALUE"""),41643.99861111111)</f>
        <v>41643.99861</v>
      </c>
      <c r="B1333" s="1">
        <f>IFERROR(__xludf.DUMMYFUNCTION("""COMPUTED_VALUE"""),12106.53)</f>
        <v>12106.53</v>
      </c>
    </row>
    <row r="1334">
      <c r="A1334" s="3">
        <f>IFERROR(__xludf.DUMMYFUNCTION("""COMPUTED_VALUE"""),41644.99861111111)</f>
        <v>41644.99861</v>
      </c>
      <c r="B1334" s="1">
        <f>IFERROR(__xludf.DUMMYFUNCTION("""COMPUTED_VALUE"""),12112.0)</f>
        <v>12112</v>
      </c>
    </row>
    <row r="1335">
      <c r="A1335" s="3">
        <f>IFERROR(__xludf.DUMMYFUNCTION("""COMPUTED_VALUE"""),41645.99861111111)</f>
        <v>41645.99861</v>
      </c>
      <c r="B1335" s="1">
        <f>IFERROR(__xludf.DUMMYFUNCTION("""COMPUTED_VALUE"""),12133.0)</f>
        <v>12133</v>
      </c>
    </row>
    <row r="1336">
      <c r="A1336" s="3">
        <f>IFERROR(__xludf.DUMMYFUNCTION("""COMPUTED_VALUE"""),41646.99861111111)</f>
        <v>41646.99861</v>
      </c>
      <c r="B1336" s="1">
        <f>IFERROR(__xludf.DUMMYFUNCTION("""COMPUTED_VALUE"""),12065.0)</f>
        <v>12065</v>
      </c>
    </row>
    <row r="1337">
      <c r="A1337" s="3">
        <f>IFERROR(__xludf.DUMMYFUNCTION("""COMPUTED_VALUE"""),41647.99861111111)</f>
        <v>41647.99861</v>
      </c>
      <c r="B1337" s="1">
        <f>IFERROR(__xludf.DUMMYFUNCTION("""COMPUTED_VALUE"""),12077.0)</f>
        <v>12077</v>
      </c>
    </row>
    <row r="1338">
      <c r="A1338" s="3">
        <f>IFERROR(__xludf.DUMMYFUNCTION("""COMPUTED_VALUE"""),41648.99861111111)</f>
        <v>41648.99861</v>
      </c>
      <c r="B1338" s="1">
        <f>IFERROR(__xludf.DUMMYFUNCTION("""COMPUTED_VALUE"""),12032.0)</f>
        <v>12032</v>
      </c>
    </row>
    <row r="1339">
      <c r="A1339" s="3">
        <f>IFERROR(__xludf.DUMMYFUNCTION("""COMPUTED_VALUE"""),41649.99861111111)</f>
        <v>41649.99861</v>
      </c>
      <c r="B1339" s="1">
        <f>IFERROR(__xludf.DUMMYFUNCTION("""COMPUTED_VALUE"""),11824.0)</f>
        <v>11824</v>
      </c>
    </row>
    <row r="1340">
      <c r="A1340" s="3">
        <f>IFERROR(__xludf.DUMMYFUNCTION("""COMPUTED_VALUE"""),41650.99861111111)</f>
        <v>41650.99861</v>
      </c>
      <c r="B1340" s="1">
        <f>IFERROR(__xludf.DUMMYFUNCTION("""COMPUTED_VALUE"""),11820.33)</f>
        <v>11820.33</v>
      </c>
    </row>
    <row r="1341">
      <c r="A1341" s="3">
        <f>IFERROR(__xludf.DUMMYFUNCTION("""COMPUTED_VALUE"""),41651.99861111111)</f>
        <v>41651.99861</v>
      </c>
      <c r="B1341" s="1">
        <f>IFERROR(__xludf.DUMMYFUNCTION("""COMPUTED_VALUE"""),12017.0)</f>
        <v>12017</v>
      </c>
    </row>
    <row r="1342">
      <c r="A1342" s="3">
        <f>IFERROR(__xludf.DUMMYFUNCTION("""COMPUTED_VALUE"""),41652.99861111111)</f>
        <v>41652.99861</v>
      </c>
      <c r="B1342" s="1">
        <f>IFERROR(__xludf.DUMMYFUNCTION("""COMPUTED_VALUE"""),11812.0)</f>
        <v>11812</v>
      </c>
    </row>
    <row r="1343">
      <c r="A1343" s="3">
        <f>IFERROR(__xludf.DUMMYFUNCTION("""COMPUTED_VALUE"""),41653.99861111111)</f>
        <v>41653.99861</v>
      </c>
      <c r="B1343" s="1">
        <f>IFERROR(__xludf.DUMMYFUNCTION("""COMPUTED_VALUE"""),11801.0)</f>
        <v>11801</v>
      </c>
    </row>
    <row r="1344">
      <c r="A1344" s="3">
        <f>IFERROR(__xludf.DUMMYFUNCTION("""COMPUTED_VALUE"""),41654.99861111111)</f>
        <v>41654.99861</v>
      </c>
      <c r="B1344" s="1">
        <f>IFERROR(__xludf.DUMMYFUNCTION("""COMPUTED_VALUE"""),11828.0)</f>
        <v>11828</v>
      </c>
    </row>
    <row r="1345">
      <c r="A1345" s="3">
        <f>IFERROR(__xludf.DUMMYFUNCTION("""COMPUTED_VALUE"""),41655.99861111111)</f>
        <v>41655.99861</v>
      </c>
      <c r="B1345" s="1">
        <f>IFERROR(__xludf.DUMMYFUNCTION("""COMPUTED_VALUE"""),11878.0)</f>
        <v>11878</v>
      </c>
    </row>
    <row r="1346">
      <c r="A1346" s="3">
        <f>IFERROR(__xludf.DUMMYFUNCTION("""COMPUTED_VALUE"""),41656.99861111111)</f>
        <v>41656.99861</v>
      </c>
      <c r="B1346" s="1">
        <f>IFERROR(__xludf.DUMMYFUNCTION("""COMPUTED_VALUE"""),11858.0)</f>
        <v>11858</v>
      </c>
    </row>
    <row r="1347">
      <c r="A1347" s="3">
        <f>IFERROR(__xludf.DUMMYFUNCTION("""COMPUTED_VALUE"""),41657.99861111111)</f>
        <v>41657.99861</v>
      </c>
      <c r="B1347" s="1">
        <f>IFERROR(__xludf.DUMMYFUNCTION("""COMPUTED_VALUE"""),11862.39)</f>
        <v>11862.39</v>
      </c>
    </row>
    <row r="1348">
      <c r="A1348" s="3">
        <f>IFERROR(__xludf.DUMMYFUNCTION("""COMPUTED_VALUE"""),41658.99861111111)</f>
        <v>41658.99861</v>
      </c>
      <c r="B1348" s="1">
        <f>IFERROR(__xludf.DUMMYFUNCTION("""COMPUTED_VALUE"""),11858.0)</f>
        <v>11858</v>
      </c>
    </row>
    <row r="1349">
      <c r="A1349" s="3">
        <f>IFERROR(__xludf.DUMMYFUNCTION("""COMPUTED_VALUE"""),41659.99861111111)</f>
        <v>41659.99861</v>
      </c>
      <c r="B1349" s="1">
        <f>IFERROR(__xludf.DUMMYFUNCTION("""COMPUTED_VALUE"""),11897.0)</f>
        <v>11897</v>
      </c>
    </row>
    <row r="1350">
      <c r="A1350" s="3">
        <f>IFERROR(__xludf.DUMMYFUNCTION("""COMPUTED_VALUE"""),41660.99861111111)</f>
        <v>41660.99861</v>
      </c>
      <c r="B1350" s="1">
        <f>IFERROR(__xludf.DUMMYFUNCTION("""COMPUTED_VALUE"""),12062.0)</f>
        <v>12062</v>
      </c>
    </row>
    <row r="1351">
      <c r="A1351" s="3">
        <f>IFERROR(__xludf.DUMMYFUNCTION("""COMPUTED_VALUE"""),41661.99861111111)</f>
        <v>41661.99861</v>
      </c>
      <c r="B1351" s="1">
        <f>IFERROR(__xludf.DUMMYFUNCTION("""COMPUTED_VALUE"""),12052.0)</f>
        <v>12052</v>
      </c>
    </row>
    <row r="1352">
      <c r="A1352" s="3">
        <f>IFERROR(__xludf.DUMMYFUNCTION("""COMPUTED_VALUE"""),41662.99861111111)</f>
        <v>41662.99861</v>
      </c>
      <c r="B1352" s="1">
        <f>IFERROR(__xludf.DUMMYFUNCTION("""COMPUTED_VALUE"""),12093.0)</f>
        <v>12093</v>
      </c>
    </row>
    <row r="1353">
      <c r="A1353" s="3">
        <f>IFERROR(__xludf.DUMMYFUNCTION("""COMPUTED_VALUE"""),41663.99861111111)</f>
        <v>41663.99861</v>
      </c>
      <c r="B1353" s="1">
        <f>IFERROR(__xludf.DUMMYFUNCTION("""COMPUTED_VALUE"""),12127.0)</f>
        <v>12127</v>
      </c>
    </row>
    <row r="1354">
      <c r="A1354" s="3">
        <f>IFERROR(__xludf.DUMMYFUNCTION("""COMPUTED_VALUE"""),41664.99861111111)</f>
        <v>41664.99861</v>
      </c>
      <c r="B1354" s="1">
        <f>IFERROR(__xludf.DUMMYFUNCTION("""COMPUTED_VALUE"""),12135.92)</f>
        <v>12135.92</v>
      </c>
    </row>
    <row r="1355">
      <c r="A1355" s="3">
        <f>IFERROR(__xludf.DUMMYFUNCTION("""COMPUTED_VALUE"""),41665.99861111111)</f>
        <v>41665.99861</v>
      </c>
      <c r="B1355" s="1">
        <f>IFERROR(__xludf.DUMMYFUNCTION("""COMPUTED_VALUE"""),12127.0)</f>
        <v>12127</v>
      </c>
    </row>
    <row r="1356">
      <c r="A1356" s="3">
        <f>IFERROR(__xludf.DUMMYFUNCTION("""COMPUTED_VALUE"""),41666.99861111111)</f>
        <v>41666.99861</v>
      </c>
      <c r="B1356" s="1">
        <f>IFERROR(__xludf.DUMMYFUNCTION("""COMPUTED_VALUE"""),12197.0)</f>
        <v>12197</v>
      </c>
    </row>
    <row r="1357">
      <c r="A1357" s="3">
        <f>IFERROR(__xludf.DUMMYFUNCTION("""COMPUTED_VALUE"""),41667.99861111111)</f>
        <v>41667.99861</v>
      </c>
      <c r="B1357" s="1">
        <f>IFERROR(__xludf.DUMMYFUNCTION("""COMPUTED_VALUE"""),12093.0)</f>
        <v>12093</v>
      </c>
    </row>
    <row r="1358">
      <c r="A1358" s="3">
        <f>IFERROR(__xludf.DUMMYFUNCTION("""COMPUTED_VALUE"""),41668.99861111111)</f>
        <v>41668.99861</v>
      </c>
      <c r="B1358" s="1">
        <f>IFERROR(__xludf.DUMMYFUNCTION("""COMPUTED_VALUE"""),12087.0)</f>
        <v>12087</v>
      </c>
    </row>
    <row r="1359">
      <c r="A1359" s="3">
        <f>IFERROR(__xludf.DUMMYFUNCTION("""COMPUTED_VALUE"""),41669.99861111111)</f>
        <v>41669.99861</v>
      </c>
      <c r="B1359" s="1">
        <f>IFERROR(__xludf.DUMMYFUNCTION("""COMPUTED_VALUE"""),12143.0)</f>
        <v>12143</v>
      </c>
    </row>
    <row r="1360">
      <c r="A1360" s="3">
        <f>IFERROR(__xludf.DUMMYFUNCTION("""COMPUTED_VALUE"""),41670.99861111111)</f>
        <v>41670.99861</v>
      </c>
      <c r="B1360" s="1">
        <f>IFERROR(__xludf.DUMMYFUNCTION("""COMPUTED_VALUE"""),12150.0)</f>
        <v>12150</v>
      </c>
    </row>
    <row r="1361">
      <c r="A1361" s="3">
        <f>IFERROR(__xludf.DUMMYFUNCTION("""COMPUTED_VALUE"""),41671.99861111111)</f>
        <v>41671.99861</v>
      </c>
      <c r="B1361" s="1">
        <f>IFERROR(__xludf.DUMMYFUNCTION("""COMPUTED_VALUE"""),12180.26)</f>
        <v>12180.26</v>
      </c>
    </row>
    <row r="1362">
      <c r="A1362" s="3">
        <f>IFERROR(__xludf.DUMMYFUNCTION("""COMPUTED_VALUE"""),41672.99861111111)</f>
        <v>41672.99861</v>
      </c>
      <c r="B1362" s="1">
        <f>IFERROR(__xludf.DUMMYFUNCTION("""COMPUTED_VALUE"""),12150.0)</f>
        <v>12150</v>
      </c>
    </row>
    <row r="1363">
      <c r="A1363" s="3">
        <f>IFERROR(__xludf.DUMMYFUNCTION("""COMPUTED_VALUE"""),41673.99861111111)</f>
        <v>41673.99861</v>
      </c>
      <c r="B1363" s="1">
        <f>IFERROR(__xludf.DUMMYFUNCTION("""COMPUTED_VALUE"""),12093.0)</f>
        <v>12093</v>
      </c>
    </row>
    <row r="1364">
      <c r="A1364" s="3">
        <f>IFERROR(__xludf.DUMMYFUNCTION("""COMPUTED_VALUE"""),41674.99861111111)</f>
        <v>41674.99861</v>
      </c>
      <c r="B1364" s="1">
        <f>IFERROR(__xludf.DUMMYFUNCTION("""COMPUTED_VALUE"""),11981.0)</f>
        <v>11981</v>
      </c>
    </row>
    <row r="1365">
      <c r="A1365" s="3">
        <f>IFERROR(__xludf.DUMMYFUNCTION("""COMPUTED_VALUE"""),41675.99861111111)</f>
        <v>41675.99861</v>
      </c>
      <c r="B1365" s="1">
        <f>IFERROR(__xludf.DUMMYFUNCTION("""COMPUTED_VALUE"""),12020.0)</f>
        <v>12020</v>
      </c>
    </row>
    <row r="1366">
      <c r="A1366" s="3">
        <f>IFERROR(__xludf.DUMMYFUNCTION("""COMPUTED_VALUE"""),41676.99861111111)</f>
        <v>41676.99861</v>
      </c>
      <c r="B1366" s="1">
        <f>IFERROR(__xludf.DUMMYFUNCTION("""COMPUTED_VALUE"""),11940.0)</f>
        <v>11940</v>
      </c>
    </row>
    <row r="1367">
      <c r="A1367" s="3">
        <f>IFERROR(__xludf.DUMMYFUNCTION("""COMPUTED_VALUE"""),41677.99861111111)</f>
        <v>41677.99861</v>
      </c>
      <c r="B1367" s="1">
        <f>IFERROR(__xludf.DUMMYFUNCTION("""COMPUTED_VALUE"""),12001.0)</f>
        <v>12001</v>
      </c>
    </row>
    <row r="1368">
      <c r="A1368" s="3">
        <f>IFERROR(__xludf.DUMMYFUNCTION("""COMPUTED_VALUE"""),41678.99861111111)</f>
        <v>41678.99861</v>
      </c>
      <c r="B1368" s="1">
        <f>IFERROR(__xludf.DUMMYFUNCTION("""COMPUTED_VALUE"""),12019.23)</f>
        <v>12019.23</v>
      </c>
    </row>
    <row r="1369">
      <c r="A1369" s="3">
        <f>IFERROR(__xludf.DUMMYFUNCTION("""COMPUTED_VALUE"""),41679.99861111111)</f>
        <v>41679.99861</v>
      </c>
      <c r="B1369" s="1">
        <f>IFERROR(__xludf.DUMMYFUNCTION("""COMPUTED_VALUE"""),12001.0)</f>
        <v>12001</v>
      </c>
    </row>
    <row r="1370">
      <c r="A1370" s="3">
        <f>IFERROR(__xludf.DUMMYFUNCTION("""COMPUTED_VALUE"""),41680.99861111111)</f>
        <v>41680.99861</v>
      </c>
      <c r="B1370" s="1">
        <f>IFERROR(__xludf.DUMMYFUNCTION("""COMPUTED_VALUE"""),12026.0)</f>
        <v>12026</v>
      </c>
    </row>
    <row r="1371">
      <c r="A1371" s="3">
        <f>IFERROR(__xludf.DUMMYFUNCTION("""COMPUTED_VALUE"""),41681.99861111111)</f>
        <v>41681.99861</v>
      </c>
      <c r="B1371" s="1">
        <f>IFERROR(__xludf.DUMMYFUNCTION("""COMPUTED_VALUE"""),11990.0)</f>
        <v>11990</v>
      </c>
    </row>
    <row r="1372">
      <c r="A1372" s="3">
        <f>IFERROR(__xludf.DUMMYFUNCTION("""COMPUTED_VALUE"""),41682.99861111111)</f>
        <v>41682.99861</v>
      </c>
      <c r="B1372" s="1">
        <f>IFERROR(__xludf.DUMMYFUNCTION("""COMPUTED_VALUE"""),11931.0)</f>
        <v>11931</v>
      </c>
    </row>
    <row r="1373">
      <c r="A1373" s="3">
        <f>IFERROR(__xludf.DUMMYFUNCTION("""COMPUTED_VALUE"""),41683.99861111111)</f>
        <v>41683.99861</v>
      </c>
      <c r="B1373" s="1">
        <f>IFERROR(__xludf.DUMMYFUNCTION("""COMPUTED_VALUE"""),11876.0)</f>
        <v>11876</v>
      </c>
    </row>
    <row r="1374">
      <c r="A1374" s="3">
        <f>IFERROR(__xludf.DUMMYFUNCTION("""COMPUTED_VALUE"""),41684.99861111111)</f>
        <v>41684.99861</v>
      </c>
      <c r="B1374" s="1">
        <f>IFERROR(__xludf.DUMMYFUNCTION("""COMPUTED_VALUE"""),11606.0)</f>
        <v>11606</v>
      </c>
    </row>
    <row r="1375">
      <c r="A1375" s="3">
        <f>IFERROR(__xludf.DUMMYFUNCTION("""COMPUTED_VALUE"""),41685.99861111111)</f>
        <v>41685.99861</v>
      </c>
      <c r="B1375" s="1">
        <f>IFERROR(__xludf.DUMMYFUNCTION("""COMPUTED_VALUE"""),11627.9)</f>
        <v>11627.9</v>
      </c>
    </row>
    <row r="1376">
      <c r="A1376" s="3">
        <f>IFERROR(__xludf.DUMMYFUNCTION("""COMPUTED_VALUE"""),41686.99861111111)</f>
        <v>41686.99861</v>
      </c>
      <c r="B1376" s="1">
        <f>IFERROR(__xludf.DUMMYFUNCTION("""COMPUTED_VALUE"""),11686.0)</f>
        <v>11686</v>
      </c>
    </row>
    <row r="1377">
      <c r="A1377" s="3">
        <f>IFERROR(__xludf.DUMMYFUNCTION("""COMPUTED_VALUE"""),41687.99861111111)</f>
        <v>41687.99861</v>
      </c>
      <c r="B1377" s="1">
        <f>IFERROR(__xludf.DUMMYFUNCTION("""COMPUTED_VALUE"""),11631.0)</f>
        <v>11631</v>
      </c>
    </row>
    <row r="1378">
      <c r="A1378" s="3">
        <f>IFERROR(__xludf.DUMMYFUNCTION("""COMPUTED_VALUE"""),41688.99861111111)</f>
        <v>41688.99861</v>
      </c>
      <c r="B1378" s="1">
        <f>IFERROR(__xludf.DUMMYFUNCTION("""COMPUTED_VALUE"""),11840.0)</f>
        <v>11840</v>
      </c>
    </row>
    <row r="1379">
      <c r="A1379" s="3">
        <f>IFERROR(__xludf.DUMMYFUNCTION("""COMPUTED_VALUE"""),41689.99861111111)</f>
        <v>41689.99861</v>
      </c>
      <c r="B1379" s="1">
        <f>IFERROR(__xludf.DUMMYFUNCTION("""COMPUTED_VALUE"""),11671.0)</f>
        <v>11671</v>
      </c>
    </row>
    <row r="1380">
      <c r="A1380" s="3">
        <f>IFERROR(__xludf.DUMMYFUNCTION("""COMPUTED_VALUE"""),41690.99861111111)</f>
        <v>41690.99861</v>
      </c>
      <c r="B1380" s="1">
        <f>IFERROR(__xludf.DUMMYFUNCTION("""COMPUTED_VALUE"""),11761.0)</f>
        <v>11761</v>
      </c>
    </row>
    <row r="1381">
      <c r="A1381" s="3">
        <f>IFERROR(__xludf.DUMMYFUNCTION("""COMPUTED_VALUE"""),41691.99861111111)</f>
        <v>41691.99861</v>
      </c>
      <c r="B1381" s="1">
        <f>IFERROR(__xludf.DUMMYFUNCTION("""COMPUTED_VALUE"""),11681.0)</f>
        <v>11681</v>
      </c>
    </row>
    <row r="1382">
      <c r="A1382" s="3">
        <f>IFERROR(__xludf.DUMMYFUNCTION("""COMPUTED_VALUE"""),41692.99861111111)</f>
        <v>41692.99861</v>
      </c>
      <c r="B1382" s="1">
        <f>IFERROR(__xludf.DUMMYFUNCTION("""COMPUTED_VALUE"""),11695.9)</f>
        <v>11695.9</v>
      </c>
    </row>
    <row r="1383">
      <c r="A1383" s="3">
        <f>IFERROR(__xludf.DUMMYFUNCTION("""COMPUTED_VALUE"""),41693.99861111111)</f>
        <v>41693.99861</v>
      </c>
      <c r="B1383" s="1">
        <f>IFERROR(__xludf.DUMMYFUNCTION("""COMPUTED_VALUE"""),11681.0)</f>
        <v>11681</v>
      </c>
    </row>
    <row r="1384">
      <c r="A1384" s="3">
        <f>IFERROR(__xludf.DUMMYFUNCTION("""COMPUTED_VALUE"""),41694.99861111111)</f>
        <v>41694.99861</v>
      </c>
      <c r="B1384" s="1">
        <f>IFERROR(__xludf.DUMMYFUNCTION("""COMPUTED_VALUE"""),11576.0)</f>
        <v>11576</v>
      </c>
    </row>
    <row r="1385">
      <c r="A1385" s="3">
        <f>IFERROR(__xludf.DUMMYFUNCTION("""COMPUTED_VALUE"""),41695.99861111111)</f>
        <v>41695.99861</v>
      </c>
      <c r="B1385" s="1">
        <f>IFERROR(__xludf.DUMMYFUNCTION("""COMPUTED_VALUE"""),11620.0)</f>
        <v>11620</v>
      </c>
    </row>
    <row r="1386">
      <c r="A1386" s="3">
        <f>IFERROR(__xludf.DUMMYFUNCTION("""COMPUTED_VALUE"""),41696.99861111111)</f>
        <v>41696.99861</v>
      </c>
      <c r="B1386" s="1">
        <f>IFERROR(__xludf.DUMMYFUNCTION("""COMPUTED_VALUE"""),11666.0)</f>
        <v>11666</v>
      </c>
    </row>
    <row r="1387">
      <c r="A1387" s="3">
        <f>IFERROR(__xludf.DUMMYFUNCTION("""COMPUTED_VALUE"""),41697.99861111111)</f>
        <v>41697.99861</v>
      </c>
      <c r="B1387" s="1">
        <f>IFERROR(__xludf.DUMMYFUNCTION("""COMPUTED_VALUE"""),11601.0)</f>
        <v>11601</v>
      </c>
    </row>
    <row r="1388">
      <c r="A1388" s="3">
        <f>IFERROR(__xludf.DUMMYFUNCTION("""COMPUTED_VALUE"""),41698.99861111111)</f>
        <v>41698.99861</v>
      </c>
      <c r="B1388" s="1">
        <f>IFERROR(__xludf.DUMMYFUNCTION("""COMPUTED_VALUE"""),11569.0)</f>
        <v>11569</v>
      </c>
    </row>
    <row r="1389">
      <c r="A1389" s="3">
        <f>IFERROR(__xludf.DUMMYFUNCTION("""COMPUTED_VALUE"""),41699.99861111111)</f>
        <v>41699.99861</v>
      </c>
      <c r="B1389" s="1">
        <f>IFERROR(__xludf.DUMMYFUNCTION("""COMPUTED_VALUE"""),11587.48)</f>
        <v>11587.48</v>
      </c>
    </row>
    <row r="1390">
      <c r="A1390" s="3">
        <f>IFERROR(__xludf.DUMMYFUNCTION("""COMPUTED_VALUE"""),41700.99861111111)</f>
        <v>41700.99861</v>
      </c>
      <c r="B1390" s="1">
        <f>IFERROR(__xludf.DUMMYFUNCTION("""COMPUTED_VALUE"""),11569.0)</f>
        <v>11569</v>
      </c>
    </row>
    <row r="1391">
      <c r="A1391" s="3">
        <f>IFERROR(__xludf.DUMMYFUNCTION("""COMPUTED_VALUE"""),41701.99861111111)</f>
        <v>41701.99861</v>
      </c>
      <c r="B1391" s="1">
        <f>IFERROR(__xludf.DUMMYFUNCTION("""COMPUTED_VALUE"""),11656.0)</f>
        <v>11656</v>
      </c>
    </row>
    <row r="1392">
      <c r="A1392" s="3">
        <f>IFERROR(__xludf.DUMMYFUNCTION("""COMPUTED_VALUE"""),41702.99861111111)</f>
        <v>41702.99861</v>
      </c>
      <c r="B1392" s="1">
        <f>IFERROR(__xludf.DUMMYFUNCTION("""COMPUTED_VALUE"""),11566.0)</f>
        <v>11566</v>
      </c>
    </row>
    <row r="1393">
      <c r="A1393" s="3">
        <f>IFERROR(__xludf.DUMMYFUNCTION("""COMPUTED_VALUE"""),41703.99861111111)</f>
        <v>41703.99861</v>
      </c>
      <c r="B1393" s="1">
        <f>IFERROR(__xludf.DUMMYFUNCTION("""COMPUTED_VALUE"""),11571.0)</f>
        <v>11571</v>
      </c>
    </row>
    <row r="1394">
      <c r="A1394" s="3">
        <f>IFERROR(__xludf.DUMMYFUNCTION("""COMPUTED_VALUE"""),41704.99861111111)</f>
        <v>41704.99861</v>
      </c>
      <c r="B1394" s="1">
        <f>IFERROR(__xludf.DUMMYFUNCTION("""COMPUTED_VALUE"""),11410.0)</f>
        <v>11410</v>
      </c>
    </row>
    <row r="1395">
      <c r="A1395" s="3">
        <f>IFERROR(__xludf.DUMMYFUNCTION("""COMPUTED_VALUE"""),41705.99861111111)</f>
        <v>41705.99861</v>
      </c>
      <c r="B1395" s="1">
        <f>IFERROR(__xludf.DUMMYFUNCTION("""COMPUTED_VALUE"""),11386.0)</f>
        <v>11386</v>
      </c>
    </row>
    <row r="1396">
      <c r="A1396" s="3">
        <f>IFERROR(__xludf.DUMMYFUNCTION("""COMPUTED_VALUE"""),41706.99861111111)</f>
        <v>41706.99861</v>
      </c>
      <c r="B1396" s="1">
        <f>IFERROR(__xludf.DUMMYFUNCTION("""COMPUTED_VALUE"""),11402.5)</f>
        <v>11402.5</v>
      </c>
    </row>
    <row r="1397">
      <c r="A1397" s="3">
        <f>IFERROR(__xludf.DUMMYFUNCTION("""COMPUTED_VALUE"""),41707.99861111111)</f>
        <v>41707.99861</v>
      </c>
      <c r="B1397" s="1">
        <f>IFERROR(__xludf.DUMMYFUNCTION("""COMPUTED_VALUE"""),11386.0)</f>
        <v>11386</v>
      </c>
    </row>
    <row r="1398">
      <c r="A1398" s="3">
        <f>IFERROR(__xludf.DUMMYFUNCTION("""COMPUTED_VALUE"""),41708.99861111111)</f>
        <v>41708.99861</v>
      </c>
      <c r="B1398" s="1">
        <f>IFERROR(__xludf.DUMMYFUNCTION("""COMPUTED_VALUE"""),11430.0)</f>
        <v>11430</v>
      </c>
    </row>
    <row r="1399">
      <c r="A1399" s="3">
        <f>IFERROR(__xludf.DUMMYFUNCTION("""COMPUTED_VALUE"""),41709.99861111111)</f>
        <v>41709.99861</v>
      </c>
      <c r="B1399" s="1">
        <f>IFERROR(__xludf.DUMMYFUNCTION("""COMPUTED_VALUE"""),11485.0)</f>
        <v>11485</v>
      </c>
    </row>
    <row r="1400">
      <c r="A1400" s="3">
        <f>IFERROR(__xludf.DUMMYFUNCTION("""COMPUTED_VALUE"""),41710.99861111111)</f>
        <v>41710.99861</v>
      </c>
      <c r="B1400" s="1">
        <f>IFERROR(__xludf.DUMMYFUNCTION("""COMPUTED_VALUE"""),11435.0)</f>
        <v>11435</v>
      </c>
    </row>
    <row r="1401">
      <c r="A1401" s="3">
        <f>IFERROR(__xludf.DUMMYFUNCTION("""COMPUTED_VALUE"""),41711.99861111111)</f>
        <v>41711.99861</v>
      </c>
      <c r="B1401" s="1">
        <f>IFERROR(__xludf.DUMMYFUNCTION("""COMPUTED_VALUE"""),11421.0)</f>
        <v>11421</v>
      </c>
    </row>
    <row r="1402">
      <c r="A1402" s="3">
        <f>IFERROR(__xludf.DUMMYFUNCTION("""COMPUTED_VALUE"""),41712.99861111111)</f>
        <v>41712.99861</v>
      </c>
      <c r="B1402" s="1">
        <f>IFERROR(__xludf.DUMMYFUNCTION("""COMPUTED_VALUE"""),11296.0)</f>
        <v>11296</v>
      </c>
    </row>
    <row r="1403">
      <c r="A1403" s="3">
        <f>IFERROR(__xludf.DUMMYFUNCTION("""COMPUTED_VALUE"""),41713.99861111111)</f>
        <v>41713.99861</v>
      </c>
      <c r="B1403" s="1">
        <f>IFERROR(__xludf.DUMMYFUNCTION("""COMPUTED_VALUE"""),11312.21)</f>
        <v>11312.21</v>
      </c>
    </row>
    <row r="1404">
      <c r="A1404" s="3">
        <f>IFERROR(__xludf.DUMMYFUNCTION("""COMPUTED_VALUE"""),41714.99861111111)</f>
        <v>41714.99861</v>
      </c>
      <c r="B1404" s="1">
        <f>IFERROR(__xludf.DUMMYFUNCTION("""COMPUTED_VALUE"""),11296.0)</f>
        <v>11296</v>
      </c>
    </row>
    <row r="1405">
      <c r="A1405" s="3">
        <f>IFERROR(__xludf.DUMMYFUNCTION("""COMPUTED_VALUE"""),41715.99861111111)</f>
        <v>41715.99861</v>
      </c>
      <c r="B1405" s="1">
        <f>IFERROR(__xludf.DUMMYFUNCTION("""COMPUTED_VALUE"""),11286.0)</f>
        <v>11286</v>
      </c>
    </row>
    <row r="1406">
      <c r="A1406" s="3">
        <f>IFERROR(__xludf.DUMMYFUNCTION("""COMPUTED_VALUE"""),41716.99861111111)</f>
        <v>41716.99861</v>
      </c>
      <c r="B1406" s="1">
        <f>IFERROR(__xludf.DUMMYFUNCTION("""COMPUTED_VALUE"""),11325.0)</f>
        <v>11325</v>
      </c>
    </row>
    <row r="1407">
      <c r="A1407" s="3">
        <f>IFERROR(__xludf.DUMMYFUNCTION("""COMPUTED_VALUE"""),41717.99861111111)</f>
        <v>41717.99861</v>
      </c>
      <c r="B1407" s="1">
        <f>IFERROR(__xludf.DUMMYFUNCTION("""COMPUTED_VALUE"""),11310.0)</f>
        <v>11310</v>
      </c>
    </row>
    <row r="1408">
      <c r="A1408" s="3">
        <f>IFERROR(__xludf.DUMMYFUNCTION("""COMPUTED_VALUE"""),41718.99861111111)</f>
        <v>41718.99861</v>
      </c>
      <c r="B1408" s="1">
        <f>IFERROR(__xludf.DUMMYFUNCTION("""COMPUTED_VALUE"""),11435.0)</f>
        <v>11435</v>
      </c>
    </row>
    <row r="1409">
      <c r="A1409" s="3">
        <f>IFERROR(__xludf.DUMMYFUNCTION("""COMPUTED_VALUE"""),41719.99861111111)</f>
        <v>41719.99861</v>
      </c>
      <c r="B1409" s="1">
        <f>IFERROR(__xludf.DUMMYFUNCTION("""COMPUTED_VALUE"""),11401.0)</f>
        <v>11401</v>
      </c>
    </row>
    <row r="1410">
      <c r="A1410" s="3">
        <f>IFERROR(__xludf.DUMMYFUNCTION("""COMPUTED_VALUE"""),41720.99861111111)</f>
        <v>41720.99861</v>
      </c>
      <c r="B1410" s="1">
        <f>IFERROR(__xludf.DUMMYFUNCTION("""COMPUTED_VALUE"""),11415.52)</f>
        <v>11415.52</v>
      </c>
    </row>
    <row r="1411">
      <c r="A1411" s="3">
        <f>IFERROR(__xludf.DUMMYFUNCTION("""COMPUTED_VALUE"""),41721.99861111111)</f>
        <v>41721.99861</v>
      </c>
      <c r="B1411" s="1">
        <f>IFERROR(__xludf.DUMMYFUNCTION("""COMPUTED_VALUE"""),11401.0)</f>
        <v>11401</v>
      </c>
    </row>
    <row r="1412">
      <c r="A1412" s="3">
        <f>IFERROR(__xludf.DUMMYFUNCTION("""COMPUTED_VALUE"""),41722.99861111111)</f>
        <v>41722.99861</v>
      </c>
      <c r="B1412" s="1">
        <f>IFERROR(__xludf.DUMMYFUNCTION("""COMPUTED_VALUE"""),11361.0)</f>
        <v>11361</v>
      </c>
    </row>
    <row r="1413">
      <c r="A1413" s="3">
        <f>IFERROR(__xludf.DUMMYFUNCTION("""COMPUTED_VALUE"""),41723.99861111111)</f>
        <v>41723.99861</v>
      </c>
      <c r="B1413" s="1">
        <f>IFERROR(__xludf.DUMMYFUNCTION("""COMPUTED_VALUE"""),11381.0)</f>
        <v>11381</v>
      </c>
    </row>
    <row r="1414">
      <c r="A1414" s="3">
        <f>IFERROR(__xludf.DUMMYFUNCTION("""COMPUTED_VALUE"""),41724.99861111111)</f>
        <v>41724.99861</v>
      </c>
      <c r="B1414" s="1">
        <f>IFERROR(__xludf.DUMMYFUNCTION("""COMPUTED_VALUE"""),11435.0)</f>
        <v>11435</v>
      </c>
    </row>
    <row r="1415">
      <c r="A1415" s="3">
        <f>IFERROR(__xludf.DUMMYFUNCTION("""COMPUTED_VALUE"""),41725.99861111111)</f>
        <v>41725.99861</v>
      </c>
      <c r="B1415" s="1">
        <f>IFERROR(__xludf.DUMMYFUNCTION("""COMPUTED_VALUE"""),11381.0)</f>
        <v>11381</v>
      </c>
    </row>
    <row r="1416">
      <c r="A1416" s="3">
        <f>IFERROR(__xludf.DUMMYFUNCTION("""COMPUTED_VALUE"""),41726.99861111111)</f>
        <v>41726.99861</v>
      </c>
      <c r="B1416" s="1">
        <f>IFERROR(__xludf.DUMMYFUNCTION("""COMPUTED_VALUE"""),11305.0)</f>
        <v>11305</v>
      </c>
    </row>
    <row r="1417">
      <c r="A1417" s="3">
        <f>IFERROR(__xludf.DUMMYFUNCTION("""COMPUTED_VALUE"""),41727.99861111111)</f>
        <v>41727.99861</v>
      </c>
      <c r="B1417" s="1">
        <f>IFERROR(__xludf.DUMMYFUNCTION("""COMPUTED_VALUE"""),11325.02)</f>
        <v>11325.02</v>
      </c>
    </row>
    <row r="1418">
      <c r="A1418" s="3">
        <f>IFERROR(__xludf.DUMMYFUNCTION("""COMPUTED_VALUE"""),41728.99861111111)</f>
        <v>41728.99861</v>
      </c>
      <c r="B1418" s="1">
        <f>IFERROR(__xludf.DUMMYFUNCTION("""COMPUTED_VALUE"""),11305.0)</f>
        <v>11305</v>
      </c>
    </row>
    <row r="1419">
      <c r="A1419" s="3">
        <f>IFERROR(__xludf.DUMMYFUNCTION("""COMPUTED_VALUE"""),41729.99861111111)</f>
        <v>41729.99861</v>
      </c>
      <c r="B1419" s="1">
        <f>IFERROR(__xludf.DUMMYFUNCTION("""COMPUTED_VALUE"""),11255.0)</f>
        <v>11255</v>
      </c>
    </row>
    <row r="1420">
      <c r="A1420" s="3">
        <f>IFERROR(__xludf.DUMMYFUNCTION("""COMPUTED_VALUE"""),41730.99861111111)</f>
        <v>41730.99861</v>
      </c>
      <c r="B1420" s="1">
        <f>IFERROR(__xludf.DUMMYFUNCTION("""COMPUTED_VALUE"""),11258.0)</f>
        <v>11258</v>
      </c>
    </row>
    <row r="1421">
      <c r="A1421" s="3">
        <f>IFERROR(__xludf.DUMMYFUNCTION("""COMPUTED_VALUE"""),41731.99861111111)</f>
        <v>41731.99861</v>
      </c>
      <c r="B1421" s="1">
        <f>IFERROR(__xludf.DUMMYFUNCTION("""COMPUTED_VALUE"""),11275.0)</f>
        <v>11275</v>
      </c>
    </row>
    <row r="1422">
      <c r="A1422" s="3">
        <f>IFERROR(__xludf.DUMMYFUNCTION("""COMPUTED_VALUE"""),41732.99861111111)</f>
        <v>41732.99861</v>
      </c>
      <c r="B1422" s="1">
        <f>IFERROR(__xludf.DUMMYFUNCTION("""COMPUTED_VALUE"""),11335.0)</f>
        <v>11335</v>
      </c>
    </row>
    <row r="1423">
      <c r="A1423" s="3">
        <f>IFERROR(__xludf.DUMMYFUNCTION("""COMPUTED_VALUE"""),41733.99861111111)</f>
        <v>41733.99861</v>
      </c>
      <c r="B1423" s="1">
        <f>IFERROR(__xludf.DUMMYFUNCTION("""COMPUTED_VALUE"""),11310.0)</f>
        <v>11310</v>
      </c>
    </row>
    <row r="1424">
      <c r="A1424" s="3">
        <f>IFERROR(__xludf.DUMMYFUNCTION("""COMPUTED_VALUE"""),41734.99861111111)</f>
        <v>41734.99861</v>
      </c>
      <c r="B1424" s="1">
        <f>IFERROR(__xludf.DUMMYFUNCTION("""COMPUTED_VALUE"""),11325.02)</f>
        <v>11325.02</v>
      </c>
    </row>
    <row r="1425">
      <c r="A1425" s="3">
        <f>IFERROR(__xludf.DUMMYFUNCTION("""COMPUTED_VALUE"""),41735.99861111111)</f>
        <v>41735.99861</v>
      </c>
      <c r="B1425" s="1">
        <f>IFERROR(__xludf.DUMMYFUNCTION("""COMPUTED_VALUE"""),11310.0)</f>
        <v>11310</v>
      </c>
    </row>
    <row r="1426">
      <c r="A1426" s="3">
        <f>IFERROR(__xludf.DUMMYFUNCTION("""COMPUTED_VALUE"""),41736.99861111111)</f>
        <v>41736.99861</v>
      </c>
      <c r="B1426" s="1">
        <f>IFERROR(__xludf.DUMMYFUNCTION("""COMPUTED_VALUE"""),11295.0)</f>
        <v>11295</v>
      </c>
    </row>
    <row r="1427">
      <c r="A1427" s="3">
        <f>IFERROR(__xludf.DUMMYFUNCTION("""COMPUTED_VALUE"""),41737.99861111111)</f>
        <v>41737.99861</v>
      </c>
      <c r="B1427" s="1">
        <f>IFERROR(__xludf.DUMMYFUNCTION("""COMPUTED_VALUE"""),11260.0)</f>
        <v>11260</v>
      </c>
    </row>
    <row r="1428">
      <c r="A1428" s="3">
        <f>IFERROR(__xludf.DUMMYFUNCTION("""COMPUTED_VALUE"""),41738.99861111111)</f>
        <v>41738.99861</v>
      </c>
      <c r="B1428" s="1">
        <f>IFERROR(__xludf.DUMMYFUNCTION("""COMPUTED_VALUE"""),11270.0)</f>
        <v>11270</v>
      </c>
    </row>
    <row r="1429">
      <c r="A1429" s="3">
        <f>IFERROR(__xludf.DUMMYFUNCTION("""COMPUTED_VALUE"""),41739.99861111111)</f>
        <v>41739.99861</v>
      </c>
      <c r="B1429" s="1">
        <f>IFERROR(__xludf.DUMMYFUNCTION("""COMPUTED_VALUE"""),11345.0)</f>
        <v>11345</v>
      </c>
    </row>
    <row r="1430">
      <c r="A1430" s="3">
        <f>IFERROR(__xludf.DUMMYFUNCTION("""COMPUTED_VALUE"""),41740.99861111111)</f>
        <v>41740.99861</v>
      </c>
      <c r="B1430" s="1">
        <f>IFERROR(__xludf.DUMMYFUNCTION("""COMPUTED_VALUE"""),11395.0)</f>
        <v>11395</v>
      </c>
    </row>
    <row r="1431">
      <c r="A1431" s="3">
        <f>IFERROR(__xludf.DUMMYFUNCTION("""COMPUTED_VALUE"""),41741.99861111111)</f>
        <v>41741.99861</v>
      </c>
      <c r="B1431" s="1">
        <f>IFERROR(__xludf.DUMMYFUNCTION("""COMPUTED_VALUE"""),11415.52)</f>
        <v>11415.52</v>
      </c>
    </row>
    <row r="1432">
      <c r="A1432" s="3">
        <f>IFERROR(__xludf.DUMMYFUNCTION("""COMPUTED_VALUE"""),41742.99861111111)</f>
        <v>41742.99861</v>
      </c>
      <c r="B1432" s="1">
        <f>IFERROR(__xludf.DUMMYFUNCTION("""COMPUTED_VALUE"""),11395.0)</f>
        <v>11395</v>
      </c>
    </row>
    <row r="1433">
      <c r="A1433" s="3">
        <f>IFERROR(__xludf.DUMMYFUNCTION("""COMPUTED_VALUE"""),41743.99861111111)</f>
        <v>41743.99861</v>
      </c>
      <c r="B1433" s="1">
        <f>IFERROR(__xludf.DUMMYFUNCTION("""COMPUTED_VALUE"""),11436.0)</f>
        <v>11436</v>
      </c>
    </row>
    <row r="1434">
      <c r="A1434" s="3">
        <f>IFERROR(__xludf.DUMMYFUNCTION("""COMPUTED_VALUE"""),41744.99861111111)</f>
        <v>41744.99861</v>
      </c>
      <c r="B1434" s="1">
        <f>IFERROR(__xludf.DUMMYFUNCTION("""COMPUTED_VALUE"""),11450.0)</f>
        <v>11450</v>
      </c>
    </row>
    <row r="1435">
      <c r="A1435" s="3">
        <f>IFERROR(__xludf.DUMMYFUNCTION("""COMPUTED_VALUE"""),41745.99861111111)</f>
        <v>41745.99861</v>
      </c>
      <c r="B1435" s="1">
        <f>IFERROR(__xludf.DUMMYFUNCTION("""COMPUTED_VALUE"""),11405.0)</f>
        <v>11405</v>
      </c>
    </row>
    <row r="1436">
      <c r="A1436" s="3">
        <f>IFERROR(__xludf.DUMMYFUNCTION("""COMPUTED_VALUE"""),41746.99861111111)</f>
        <v>41746.99861</v>
      </c>
      <c r="B1436" s="1">
        <f>IFERROR(__xludf.DUMMYFUNCTION("""COMPUTED_VALUE"""),11445.0)</f>
        <v>11445</v>
      </c>
    </row>
    <row r="1437">
      <c r="A1437" s="3">
        <f>IFERROR(__xludf.DUMMYFUNCTION("""COMPUTED_VALUE"""),41747.99861111111)</f>
        <v>41747.99861</v>
      </c>
      <c r="B1437" s="1">
        <f>IFERROR(__xludf.DUMMYFUNCTION("""COMPUTED_VALUE"""),11445.0)</f>
        <v>11445</v>
      </c>
    </row>
    <row r="1438">
      <c r="A1438" s="3">
        <f>IFERROR(__xludf.DUMMYFUNCTION("""COMPUTED_VALUE"""),41748.99861111111)</f>
        <v>41748.99861</v>
      </c>
      <c r="B1438" s="1">
        <f>IFERROR(__xludf.DUMMYFUNCTION("""COMPUTED_VALUE"""),11467.88)</f>
        <v>11467.88</v>
      </c>
    </row>
    <row r="1439">
      <c r="A1439" s="3">
        <f>IFERROR(__xludf.DUMMYFUNCTION("""COMPUTED_VALUE"""),41749.99861111111)</f>
        <v>41749.99861</v>
      </c>
      <c r="B1439" s="1">
        <f>IFERROR(__xludf.DUMMYFUNCTION("""COMPUTED_VALUE"""),11445.0)</f>
        <v>11445</v>
      </c>
    </row>
    <row r="1440">
      <c r="A1440" s="3">
        <f>IFERROR(__xludf.DUMMYFUNCTION("""COMPUTED_VALUE"""),41750.99861111111)</f>
        <v>41750.99861</v>
      </c>
      <c r="B1440" s="1">
        <f>IFERROR(__xludf.DUMMYFUNCTION("""COMPUTED_VALUE"""),11435.0)</f>
        <v>11435</v>
      </c>
    </row>
    <row r="1441">
      <c r="A1441" s="3">
        <f>IFERROR(__xludf.DUMMYFUNCTION("""COMPUTED_VALUE"""),41751.99861111111)</f>
        <v>41751.99861</v>
      </c>
      <c r="B1441" s="1">
        <f>IFERROR(__xludf.DUMMYFUNCTION("""COMPUTED_VALUE"""),11540.0)</f>
        <v>11540</v>
      </c>
    </row>
    <row r="1442">
      <c r="A1442" s="3">
        <f>IFERROR(__xludf.DUMMYFUNCTION("""COMPUTED_VALUE"""),41752.99861111111)</f>
        <v>41752.99861</v>
      </c>
      <c r="B1442" s="1">
        <f>IFERROR(__xludf.DUMMYFUNCTION("""COMPUTED_VALUE"""),11620.0)</f>
        <v>11620</v>
      </c>
    </row>
    <row r="1443">
      <c r="A1443" s="3">
        <f>IFERROR(__xludf.DUMMYFUNCTION("""COMPUTED_VALUE"""),41753.99861111111)</f>
        <v>41753.99861</v>
      </c>
      <c r="B1443" s="1">
        <f>IFERROR(__xludf.DUMMYFUNCTION("""COMPUTED_VALUE"""),11595.0)</f>
        <v>11595</v>
      </c>
    </row>
    <row r="1444">
      <c r="A1444" s="3">
        <f>IFERROR(__xludf.DUMMYFUNCTION("""COMPUTED_VALUE"""),41754.99861111111)</f>
        <v>41754.99861</v>
      </c>
      <c r="B1444" s="1">
        <f>IFERROR(__xludf.DUMMYFUNCTION("""COMPUTED_VALUE"""),11565.0)</f>
        <v>11565</v>
      </c>
    </row>
    <row r="1445">
      <c r="A1445" s="3">
        <f>IFERROR(__xludf.DUMMYFUNCTION("""COMPUTED_VALUE"""),41755.99861111111)</f>
        <v>41755.99861</v>
      </c>
      <c r="B1445" s="1">
        <f>IFERROR(__xludf.DUMMYFUNCTION("""COMPUTED_VALUE"""),11560.69)</f>
        <v>11560.69</v>
      </c>
    </row>
    <row r="1446">
      <c r="A1446" s="3">
        <f>IFERROR(__xludf.DUMMYFUNCTION("""COMPUTED_VALUE"""),41756.99861111111)</f>
        <v>41756.99861</v>
      </c>
      <c r="B1446" s="1">
        <f>IFERROR(__xludf.DUMMYFUNCTION("""COMPUTED_VALUE"""),11565.0)</f>
        <v>11565</v>
      </c>
    </row>
    <row r="1447">
      <c r="A1447" s="3">
        <f>IFERROR(__xludf.DUMMYFUNCTION("""COMPUTED_VALUE"""),41757.99861111111)</f>
        <v>41757.99861</v>
      </c>
      <c r="B1447" s="1">
        <f>IFERROR(__xludf.DUMMYFUNCTION("""COMPUTED_VALUE"""),11585.0)</f>
        <v>11585</v>
      </c>
    </row>
    <row r="1448">
      <c r="A1448" s="3">
        <f>IFERROR(__xludf.DUMMYFUNCTION("""COMPUTED_VALUE"""),41758.99861111111)</f>
        <v>41758.99861</v>
      </c>
      <c r="B1448" s="1">
        <f>IFERROR(__xludf.DUMMYFUNCTION("""COMPUTED_VALUE"""),11545.0)</f>
        <v>11545</v>
      </c>
    </row>
    <row r="1449">
      <c r="A1449" s="3">
        <f>IFERROR(__xludf.DUMMYFUNCTION("""COMPUTED_VALUE"""),41759.99861111111)</f>
        <v>41759.99861</v>
      </c>
      <c r="B1449" s="1">
        <f>IFERROR(__xludf.DUMMYFUNCTION("""COMPUTED_VALUE"""),11545.0)</f>
        <v>11545</v>
      </c>
    </row>
    <row r="1450">
      <c r="A1450" s="3">
        <f>IFERROR(__xludf.DUMMYFUNCTION("""COMPUTED_VALUE"""),41760.99861111111)</f>
        <v>41760.99861</v>
      </c>
      <c r="B1450" s="1">
        <f>IFERROR(__xludf.DUMMYFUNCTION("""COMPUTED_VALUE"""),11545.0)</f>
        <v>11545</v>
      </c>
    </row>
    <row r="1451">
      <c r="A1451" s="3">
        <f>IFERROR(__xludf.DUMMYFUNCTION("""COMPUTED_VALUE"""),41761.99861111111)</f>
        <v>41761.99861</v>
      </c>
      <c r="B1451" s="1">
        <f>IFERROR(__xludf.DUMMYFUNCTION("""COMPUTED_VALUE"""),11515.0)</f>
        <v>11515</v>
      </c>
    </row>
    <row r="1452">
      <c r="A1452" s="3">
        <f>IFERROR(__xludf.DUMMYFUNCTION("""COMPUTED_VALUE"""),41762.99861111111)</f>
        <v>41762.99861</v>
      </c>
      <c r="B1452" s="1">
        <f>IFERROR(__xludf.DUMMYFUNCTION("""COMPUTED_VALUE"""),11534.02)</f>
        <v>11534.02</v>
      </c>
    </row>
    <row r="1453">
      <c r="A1453" s="3">
        <f>IFERROR(__xludf.DUMMYFUNCTION("""COMPUTED_VALUE"""),41763.99861111111)</f>
        <v>41763.99861</v>
      </c>
      <c r="B1453" s="1">
        <f>IFERROR(__xludf.DUMMYFUNCTION("""COMPUTED_VALUE"""),11515.0)</f>
        <v>11515</v>
      </c>
    </row>
    <row r="1454">
      <c r="A1454" s="3">
        <f>IFERROR(__xludf.DUMMYFUNCTION("""COMPUTED_VALUE"""),41764.99861111111)</f>
        <v>41764.99861</v>
      </c>
      <c r="B1454" s="1">
        <f>IFERROR(__xludf.DUMMYFUNCTION("""COMPUTED_VALUE"""),11505.0)</f>
        <v>11505</v>
      </c>
    </row>
    <row r="1455">
      <c r="A1455" s="3">
        <f>IFERROR(__xludf.DUMMYFUNCTION("""COMPUTED_VALUE"""),41765.99861111111)</f>
        <v>41765.99861</v>
      </c>
      <c r="B1455" s="1">
        <f>IFERROR(__xludf.DUMMYFUNCTION("""COMPUTED_VALUE"""),11510.0)</f>
        <v>11510</v>
      </c>
    </row>
    <row r="1456">
      <c r="A1456" s="3">
        <f>IFERROR(__xludf.DUMMYFUNCTION("""COMPUTED_VALUE"""),41766.99861111111)</f>
        <v>41766.99861</v>
      </c>
      <c r="B1456" s="1">
        <f>IFERROR(__xludf.DUMMYFUNCTION("""COMPUTED_VALUE"""),11570.0)</f>
        <v>11570</v>
      </c>
    </row>
    <row r="1457">
      <c r="A1457" s="3">
        <f>IFERROR(__xludf.DUMMYFUNCTION("""COMPUTED_VALUE"""),41767.99861111111)</f>
        <v>41767.99861</v>
      </c>
      <c r="B1457" s="1">
        <f>IFERROR(__xludf.DUMMYFUNCTION("""COMPUTED_VALUE"""),11525.0)</f>
        <v>11525</v>
      </c>
    </row>
    <row r="1458">
      <c r="A1458" s="3">
        <f>IFERROR(__xludf.DUMMYFUNCTION("""COMPUTED_VALUE"""),41768.99861111111)</f>
        <v>41768.99861</v>
      </c>
      <c r="B1458" s="1">
        <f>IFERROR(__xludf.DUMMYFUNCTION("""COMPUTED_VALUE"""),11535.0)</f>
        <v>11535</v>
      </c>
    </row>
    <row r="1459">
      <c r="A1459" s="3">
        <f>IFERROR(__xludf.DUMMYFUNCTION("""COMPUTED_VALUE"""),41769.99861111111)</f>
        <v>41769.99861</v>
      </c>
      <c r="B1459" s="1">
        <f>IFERROR(__xludf.DUMMYFUNCTION("""COMPUTED_VALUE"""),11560.69)</f>
        <v>11560.69</v>
      </c>
    </row>
    <row r="1460">
      <c r="A1460" s="3">
        <f>IFERROR(__xludf.DUMMYFUNCTION("""COMPUTED_VALUE"""),41770.99861111111)</f>
        <v>41770.99861</v>
      </c>
      <c r="B1460" s="1">
        <f>IFERROR(__xludf.DUMMYFUNCTION("""COMPUTED_VALUE"""),11465.0)</f>
        <v>11465</v>
      </c>
    </row>
    <row r="1461">
      <c r="A1461" s="3">
        <f>IFERROR(__xludf.DUMMYFUNCTION("""COMPUTED_VALUE"""),41771.99861111111)</f>
        <v>41771.99861</v>
      </c>
      <c r="B1461" s="1">
        <f>IFERROR(__xludf.DUMMYFUNCTION("""COMPUTED_VALUE"""),11520.0)</f>
        <v>11520</v>
      </c>
    </row>
    <row r="1462">
      <c r="A1462" s="3">
        <f>IFERROR(__xludf.DUMMYFUNCTION("""COMPUTED_VALUE"""),41772.99861111111)</f>
        <v>41772.99861</v>
      </c>
      <c r="B1462" s="1">
        <f>IFERROR(__xludf.DUMMYFUNCTION("""COMPUTED_VALUE"""),11485.0)</f>
        <v>11485</v>
      </c>
    </row>
    <row r="1463">
      <c r="A1463" s="3">
        <f>IFERROR(__xludf.DUMMYFUNCTION("""COMPUTED_VALUE"""),41773.99861111111)</f>
        <v>41773.99861</v>
      </c>
      <c r="B1463" s="1">
        <f>IFERROR(__xludf.DUMMYFUNCTION("""COMPUTED_VALUE"""),11405.0)</f>
        <v>11405</v>
      </c>
    </row>
    <row r="1464">
      <c r="A1464" s="3">
        <f>IFERROR(__xludf.DUMMYFUNCTION("""COMPUTED_VALUE"""),41774.99861111111)</f>
        <v>41774.99861</v>
      </c>
      <c r="B1464" s="1">
        <f>IFERROR(__xludf.DUMMYFUNCTION("""COMPUTED_VALUE"""),11385.0)</f>
        <v>11385</v>
      </c>
    </row>
    <row r="1465">
      <c r="A1465" s="3">
        <f>IFERROR(__xludf.DUMMYFUNCTION("""COMPUTED_VALUE"""),41775.99861111111)</f>
        <v>41775.99861</v>
      </c>
      <c r="B1465" s="1">
        <f>IFERROR(__xludf.DUMMYFUNCTION("""COMPUTED_VALUE"""),11320.0)</f>
        <v>11320</v>
      </c>
    </row>
    <row r="1466">
      <c r="A1466" s="3">
        <f>IFERROR(__xludf.DUMMYFUNCTION("""COMPUTED_VALUE"""),41776.99861111111)</f>
        <v>41776.99861</v>
      </c>
      <c r="B1466" s="1">
        <f>IFERROR(__xludf.DUMMYFUNCTION("""COMPUTED_VALUE"""),11350.73)</f>
        <v>11350.73</v>
      </c>
    </row>
    <row r="1467">
      <c r="A1467" s="3">
        <f>IFERROR(__xludf.DUMMYFUNCTION("""COMPUTED_VALUE"""),41777.99861111111)</f>
        <v>41777.99861</v>
      </c>
      <c r="B1467" s="1">
        <f>IFERROR(__xludf.DUMMYFUNCTION("""COMPUTED_VALUE"""),11390.0)</f>
        <v>11390</v>
      </c>
    </row>
    <row r="1468">
      <c r="A1468" s="3">
        <f>IFERROR(__xludf.DUMMYFUNCTION("""COMPUTED_VALUE"""),41778.99861111111)</f>
        <v>41778.99861</v>
      </c>
      <c r="B1468" s="1">
        <f>IFERROR(__xludf.DUMMYFUNCTION("""COMPUTED_VALUE"""),11420.0)</f>
        <v>11420</v>
      </c>
    </row>
    <row r="1469">
      <c r="A1469" s="3">
        <f>IFERROR(__xludf.DUMMYFUNCTION("""COMPUTED_VALUE"""),41779.99861111111)</f>
        <v>41779.99861</v>
      </c>
      <c r="B1469" s="1">
        <f>IFERROR(__xludf.DUMMYFUNCTION("""COMPUTED_VALUE"""),11460.0)</f>
        <v>11460</v>
      </c>
    </row>
    <row r="1470">
      <c r="A1470" s="3">
        <f>IFERROR(__xludf.DUMMYFUNCTION("""COMPUTED_VALUE"""),41780.99861111111)</f>
        <v>41780.99861</v>
      </c>
      <c r="B1470" s="1">
        <f>IFERROR(__xludf.DUMMYFUNCTION("""COMPUTED_VALUE"""),11495.0)</f>
        <v>11495</v>
      </c>
    </row>
    <row r="1471">
      <c r="A1471" s="3">
        <f>IFERROR(__xludf.DUMMYFUNCTION("""COMPUTED_VALUE"""),41781.99861111111)</f>
        <v>41781.99861</v>
      </c>
      <c r="B1471" s="1">
        <f>IFERROR(__xludf.DUMMYFUNCTION("""COMPUTED_VALUE"""),11510.0)</f>
        <v>11510</v>
      </c>
    </row>
    <row r="1472">
      <c r="A1472" s="3">
        <f>IFERROR(__xludf.DUMMYFUNCTION("""COMPUTED_VALUE"""),41782.99861111111)</f>
        <v>41782.99861</v>
      </c>
      <c r="B1472" s="1">
        <f>IFERROR(__xludf.DUMMYFUNCTION("""COMPUTED_VALUE"""),11595.0)</f>
        <v>11595</v>
      </c>
    </row>
    <row r="1473">
      <c r="A1473" s="3">
        <f>IFERROR(__xludf.DUMMYFUNCTION("""COMPUTED_VALUE"""),41783.99861111111)</f>
        <v>41783.99861</v>
      </c>
      <c r="B1473" s="1">
        <f>IFERROR(__xludf.DUMMYFUNCTION("""COMPUTED_VALUE"""),11560.69)</f>
        <v>11560.69</v>
      </c>
    </row>
    <row r="1474">
      <c r="A1474" s="3">
        <f>IFERROR(__xludf.DUMMYFUNCTION("""COMPUTED_VALUE"""),41784.99861111111)</f>
        <v>41784.99861</v>
      </c>
      <c r="B1474" s="1">
        <f>IFERROR(__xludf.DUMMYFUNCTION("""COMPUTED_VALUE"""),11595.0)</f>
        <v>11595</v>
      </c>
    </row>
    <row r="1475">
      <c r="A1475" s="3">
        <f>IFERROR(__xludf.DUMMYFUNCTION("""COMPUTED_VALUE"""),41785.99861111111)</f>
        <v>41785.99861</v>
      </c>
      <c r="B1475" s="1">
        <f>IFERROR(__xludf.DUMMYFUNCTION("""COMPUTED_VALUE"""),11560.0)</f>
        <v>11560</v>
      </c>
    </row>
    <row r="1476">
      <c r="A1476" s="3">
        <f>IFERROR(__xludf.DUMMYFUNCTION("""COMPUTED_VALUE"""),41786.99861111111)</f>
        <v>41786.99861</v>
      </c>
      <c r="B1476" s="1">
        <f>IFERROR(__xludf.DUMMYFUNCTION("""COMPUTED_VALUE"""),11560.0)</f>
        <v>11560</v>
      </c>
    </row>
    <row r="1477">
      <c r="A1477" s="3">
        <f>IFERROR(__xludf.DUMMYFUNCTION("""COMPUTED_VALUE"""),41787.99861111111)</f>
        <v>41787.99861</v>
      </c>
      <c r="B1477" s="1">
        <f>IFERROR(__xludf.DUMMYFUNCTION("""COMPUTED_VALUE"""),11630.0)</f>
        <v>11630</v>
      </c>
    </row>
    <row r="1478">
      <c r="A1478" s="3">
        <f>IFERROR(__xludf.DUMMYFUNCTION("""COMPUTED_VALUE"""),41788.99861111111)</f>
        <v>41788.99861</v>
      </c>
      <c r="B1478" s="1">
        <f>IFERROR(__xludf.DUMMYFUNCTION("""COMPUTED_VALUE"""),11595.0)</f>
        <v>11595</v>
      </c>
    </row>
    <row r="1479">
      <c r="A1479" s="3">
        <f>IFERROR(__xludf.DUMMYFUNCTION("""COMPUTED_VALUE"""),41789.99861111111)</f>
        <v>41789.99861</v>
      </c>
      <c r="B1479" s="1">
        <f>IFERROR(__xludf.DUMMYFUNCTION("""COMPUTED_VALUE"""),11660.0)</f>
        <v>11660</v>
      </c>
    </row>
    <row r="1480">
      <c r="A1480" s="3">
        <f>IFERROR(__xludf.DUMMYFUNCTION("""COMPUTED_VALUE"""),41790.99861111111)</f>
        <v>41790.99861</v>
      </c>
      <c r="B1480" s="1">
        <f>IFERROR(__xludf.DUMMYFUNCTION("""COMPUTED_VALUE"""),11695.9)</f>
        <v>11695.9</v>
      </c>
    </row>
    <row r="1481">
      <c r="A1481" s="3">
        <f>IFERROR(__xludf.DUMMYFUNCTION("""COMPUTED_VALUE"""),41791.99861111111)</f>
        <v>41791.99861</v>
      </c>
      <c r="B1481" s="1">
        <f>IFERROR(__xludf.DUMMYFUNCTION("""COMPUTED_VALUE"""),11695.9)</f>
        <v>11695.9</v>
      </c>
    </row>
    <row r="1482">
      <c r="A1482" s="3">
        <f>IFERROR(__xludf.DUMMYFUNCTION("""COMPUTED_VALUE"""),41792.99861111111)</f>
        <v>41792.99861</v>
      </c>
      <c r="B1482" s="1">
        <f>IFERROR(__xludf.DUMMYFUNCTION("""COMPUTED_VALUE"""),11760.0)</f>
        <v>11760</v>
      </c>
    </row>
    <row r="1483">
      <c r="A1483" s="3">
        <f>IFERROR(__xludf.DUMMYFUNCTION("""COMPUTED_VALUE"""),41793.99861111111)</f>
        <v>41793.99861</v>
      </c>
      <c r="B1483" s="1">
        <f>IFERROR(__xludf.DUMMYFUNCTION("""COMPUTED_VALUE"""),11770.0)</f>
        <v>11770</v>
      </c>
    </row>
    <row r="1484">
      <c r="A1484" s="3">
        <f>IFERROR(__xludf.DUMMYFUNCTION("""COMPUTED_VALUE"""),41794.99861111111)</f>
        <v>41794.99861</v>
      </c>
      <c r="B1484" s="1">
        <f>IFERROR(__xludf.DUMMYFUNCTION("""COMPUTED_VALUE"""),11875.0)</f>
        <v>11875</v>
      </c>
    </row>
    <row r="1485">
      <c r="A1485" s="3">
        <f>IFERROR(__xludf.DUMMYFUNCTION("""COMPUTED_VALUE"""),41795.99861111111)</f>
        <v>41795.99861</v>
      </c>
      <c r="B1485" s="1">
        <f>IFERROR(__xludf.DUMMYFUNCTION("""COMPUTED_VALUE"""),11845.0)</f>
        <v>11845</v>
      </c>
    </row>
    <row r="1486">
      <c r="A1486" s="3">
        <f>IFERROR(__xludf.DUMMYFUNCTION("""COMPUTED_VALUE"""),41796.99861111111)</f>
        <v>41796.99861</v>
      </c>
      <c r="B1486" s="1">
        <f>IFERROR(__xludf.DUMMYFUNCTION("""COMPUTED_VALUE"""),11815.0)</f>
        <v>11815</v>
      </c>
    </row>
    <row r="1487">
      <c r="A1487" s="3">
        <f>IFERROR(__xludf.DUMMYFUNCTION("""COMPUTED_VALUE"""),41797.99861111111)</f>
        <v>41797.99861</v>
      </c>
      <c r="B1487" s="1">
        <f>IFERROR(__xludf.DUMMYFUNCTION("""COMPUTED_VALUE"""),11834.31)</f>
        <v>11834.31</v>
      </c>
    </row>
    <row r="1488">
      <c r="A1488" s="3">
        <f>IFERROR(__xludf.DUMMYFUNCTION("""COMPUTED_VALUE"""),41798.99861111111)</f>
        <v>41798.99861</v>
      </c>
      <c r="B1488" s="1">
        <f>IFERROR(__xludf.DUMMYFUNCTION("""COMPUTED_VALUE"""),11834.31)</f>
        <v>11834.31</v>
      </c>
    </row>
    <row r="1489">
      <c r="A1489" s="3">
        <f>IFERROR(__xludf.DUMMYFUNCTION("""COMPUTED_VALUE"""),41799.99861111111)</f>
        <v>41799.99861</v>
      </c>
      <c r="B1489" s="1">
        <f>IFERROR(__xludf.DUMMYFUNCTION("""COMPUTED_VALUE"""),11775.0)</f>
        <v>11775</v>
      </c>
    </row>
    <row r="1490">
      <c r="A1490" s="3">
        <f>IFERROR(__xludf.DUMMYFUNCTION("""COMPUTED_VALUE"""),41800.99861111111)</f>
        <v>41800.99861</v>
      </c>
      <c r="B1490" s="1">
        <f>IFERROR(__xludf.DUMMYFUNCTION("""COMPUTED_VALUE"""),11815.0)</f>
        <v>11815</v>
      </c>
    </row>
    <row r="1491">
      <c r="A1491" s="3">
        <f>IFERROR(__xludf.DUMMYFUNCTION("""COMPUTED_VALUE"""),41801.99861111111)</f>
        <v>41801.99861</v>
      </c>
      <c r="B1491" s="1">
        <f>IFERROR(__xludf.DUMMYFUNCTION("""COMPUTED_VALUE"""),11805.0)</f>
        <v>11805</v>
      </c>
    </row>
    <row r="1492">
      <c r="A1492" s="3">
        <f>IFERROR(__xludf.DUMMYFUNCTION("""COMPUTED_VALUE"""),41802.99861111111)</f>
        <v>41802.99861</v>
      </c>
      <c r="B1492" s="1">
        <f>IFERROR(__xludf.DUMMYFUNCTION("""COMPUTED_VALUE"""),11780.0)</f>
        <v>11780</v>
      </c>
    </row>
    <row r="1493">
      <c r="A1493" s="3">
        <f>IFERROR(__xludf.DUMMYFUNCTION("""COMPUTED_VALUE"""),41803.99861111111)</f>
        <v>41803.99861</v>
      </c>
      <c r="B1493" s="1">
        <f>IFERROR(__xludf.DUMMYFUNCTION("""COMPUTED_VALUE"""),11785.0)</f>
        <v>11785</v>
      </c>
    </row>
    <row r="1494">
      <c r="A1494" s="3">
        <f>IFERROR(__xludf.DUMMYFUNCTION("""COMPUTED_VALUE"""),41804.99861111111)</f>
        <v>41804.99861</v>
      </c>
      <c r="B1494" s="1">
        <f>IFERROR(__xludf.DUMMYFUNCTION("""COMPUTED_VALUE"""),11806.37)</f>
        <v>11806.37</v>
      </c>
    </row>
    <row r="1495">
      <c r="A1495" s="3">
        <f>IFERROR(__xludf.DUMMYFUNCTION("""COMPUTED_VALUE"""),41805.99861111111)</f>
        <v>41805.99861</v>
      </c>
      <c r="B1495" s="1">
        <f>IFERROR(__xludf.DUMMYFUNCTION("""COMPUTED_VALUE"""),11806.37)</f>
        <v>11806.37</v>
      </c>
    </row>
    <row r="1496">
      <c r="A1496" s="3">
        <f>IFERROR(__xludf.DUMMYFUNCTION("""COMPUTED_VALUE"""),41806.99861111111)</f>
        <v>41806.99861</v>
      </c>
      <c r="B1496" s="1">
        <f>IFERROR(__xludf.DUMMYFUNCTION("""COMPUTED_VALUE"""),11815.0)</f>
        <v>11815</v>
      </c>
    </row>
    <row r="1497">
      <c r="A1497" s="3">
        <f>IFERROR(__xludf.DUMMYFUNCTION("""COMPUTED_VALUE"""),41807.99861111111)</f>
        <v>41807.99861</v>
      </c>
      <c r="B1497" s="1">
        <f>IFERROR(__xludf.DUMMYFUNCTION("""COMPUTED_VALUE"""),11885.0)</f>
        <v>11885</v>
      </c>
    </row>
    <row r="1498">
      <c r="A1498" s="3">
        <f>IFERROR(__xludf.DUMMYFUNCTION("""COMPUTED_VALUE"""),41808.99861111111)</f>
        <v>41808.99861</v>
      </c>
      <c r="B1498" s="1">
        <f>IFERROR(__xludf.DUMMYFUNCTION("""COMPUTED_VALUE"""),12005.0)</f>
        <v>12005</v>
      </c>
    </row>
    <row r="1499">
      <c r="A1499" s="3">
        <f>IFERROR(__xludf.DUMMYFUNCTION("""COMPUTED_VALUE"""),41809.99861111111)</f>
        <v>41809.99861</v>
      </c>
      <c r="B1499" s="1">
        <f>IFERROR(__xludf.DUMMYFUNCTION("""COMPUTED_VALUE"""),11915.0)</f>
        <v>11915</v>
      </c>
    </row>
    <row r="1500">
      <c r="A1500" s="3">
        <f>IFERROR(__xludf.DUMMYFUNCTION("""COMPUTED_VALUE"""),41810.99861111111)</f>
        <v>41810.99861</v>
      </c>
      <c r="B1500" s="1">
        <f>IFERROR(__xludf.DUMMYFUNCTION("""COMPUTED_VALUE"""),11950.0)</f>
        <v>11950</v>
      </c>
    </row>
    <row r="1501">
      <c r="A1501" s="3">
        <f>IFERROR(__xludf.DUMMYFUNCTION("""COMPUTED_VALUE"""),41811.99861111111)</f>
        <v>41811.99861</v>
      </c>
      <c r="B1501" s="1">
        <f>IFERROR(__xludf.DUMMYFUNCTION("""COMPUTED_VALUE"""),11976.04)</f>
        <v>11976.04</v>
      </c>
    </row>
    <row r="1502">
      <c r="A1502" s="3">
        <f>IFERROR(__xludf.DUMMYFUNCTION("""COMPUTED_VALUE"""),41812.99861111111)</f>
        <v>41812.99861</v>
      </c>
      <c r="B1502" s="1">
        <f>IFERROR(__xludf.DUMMYFUNCTION("""COMPUTED_VALUE"""),11976.04)</f>
        <v>11976.04</v>
      </c>
    </row>
    <row r="1503">
      <c r="A1503" s="3">
        <f>IFERROR(__xludf.DUMMYFUNCTION("""COMPUTED_VALUE"""),41813.99861111111)</f>
        <v>41813.99861</v>
      </c>
      <c r="B1503" s="1">
        <f>IFERROR(__xludf.DUMMYFUNCTION("""COMPUTED_VALUE"""),11988.0)</f>
        <v>11988</v>
      </c>
    </row>
    <row r="1504">
      <c r="A1504" s="3">
        <f>IFERROR(__xludf.DUMMYFUNCTION("""COMPUTED_VALUE"""),41814.99861111111)</f>
        <v>41814.99861</v>
      </c>
      <c r="B1504" s="1">
        <f>IFERROR(__xludf.DUMMYFUNCTION("""COMPUTED_VALUE"""),11995.0)</f>
        <v>11995</v>
      </c>
    </row>
    <row r="1505">
      <c r="A1505" s="3">
        <f>IFERROR(__xludf.DUMMYFUNCTION("""COMPUTED_VALUE"""),41815.99861111111)</f>
        <v>41815.99861</v>
      </c>
      <c r="B1505" s="1">
        <f>IFERROR(__xludf.DUMMYFUNCTION("""COMPUTED_VALUE"""),12090.0)</f>
        <v>12090</v>
      </c>
    </row>
    <row r="1506">
      <c r="A1506" s="3">
        <f>IFERROR(__xludf.DUMMYFUNCTION("""COMPUTED_VALUE"""),41816.99861111111)</f>
        <v>41816.99861</v>
      </c>
      <c r="B1506" s="1">
        <f>IFERROR(__xludf.DUMMYFUNCTION("""COMPUTED_VALUE"""),12090.0)</f>
        <v>12090</v>
      </c>
    </row>
    <row r="1507">
      <c r="A1507" s="3">
        <f>IFERROR(__xludf.DUMMYFUNCTION("""COMPUTED_VALUE"""),41817.99861111111)</f>
        <v>41817.99861</v>
      </c>
      <c r="B1507" s="1">
        <f>IFERROR(__xludf.DUMMYFUNCTION("""COMPUTED_VALUE"""),12020.0)</f>
        <v>12020</v>
      </c>
    </row>
    <row r="1508">
      <c r="A1508" s="3">
        <f>IFERROR(__xludf.DUMMYFUNCTION("""COMPUTED_VALUE"""),41818.99861111111)</f>
        <v>41818.99861</v>
      </c>
      <c r="B1508" s="1">
        <f>IFERROR(__xludf.DUMMYFUNCTION("""COMPUTED_VALUE"""),12019.23)</f>
        <v>12019.23</v>
      </c>
    </row>
    <row r="1509">
      <c r="A1509" s="3">
        <f>IFERROR(__xludf.DUMMYFUNCTION("""COMPUTED_VALUE"""),41819.99861111111)</f>
        <v>41819.99861</v>
      </c>
      <c r="B1509" s="1">
        <f>IFERROR(__xludf.DUMMYFUNCTION("""COMPUTED_VALUE"""),12019.23)</f>
        <v>12019.23</v>
      </c>
    </row>
    <row r="1510">
      <c r="A1510" s="3">
        <f>IFERROR(__xludf.DUMMYFUNCTION("""COMPUTED_VALUE"""),41820.99861111111)</f>
        <v>41820.99861</v>
      </c>
      <c r="B1510" s="1">
        <f>IFERROR(__xludf.DUMMYFUNCTION("""COMPUTED_VALUE"""),11885.0)</f>
        <v>11885</v>
      </c>
    </row>
    <row r="1511">
      <c r="A1511" s="3">
        <f>IFERROR(__xludf.DUMMYFUNCTION("""COMPUTED_VALUE"""),41821.99861111111)</f>
        <v>41821.99861</v>
      </c>
      <c r="B1511" s="1">
        <f>IFERROR(__xludf.DUMMYFUNCTION("""COMPUTED_VALUE"""),11900.0)</f>
        <v>11900</v>
      </c>
    </row>
    <row r="1512">
      <c r="A1512" s="3">
        <f>IFERROR(__xludf.DUMMYFUNCTION("""COMPUTED_VALUE"""),41822.99861111111)</f>
        <v>41822.99861</v>
      </c>
      <c r="B1512" s="1">
        <f>IFERROR(__xludf.DUMMYFUNCTION("""COMPUTED_VALUE"""),11900.0)</f>
        <v>11900</v>
      </c>
    </row>
    <row r="1513">
      <c r="A1513" s="3">
        <f>IFERROR(__xludf.DUMMYFUNCTION("""COMPUTED_VALUE"""),41823.99861111111)</f>
        <v>41823.99861</v>
      </c>
      <c r="B1513" s="1">
        <f>IFERROR(__xludf.DUMMYFUNCTION("""COMPUTED_VALUE"""),11905.0)</f>
        <v>11905</v>
      </c>
    </row>
    <row r="1514">
      <c r="A1514" s="3">
        <f>IFERROR(__xludf.DUMMYFUNCTION("""COMPUTED_VALUE"""),41824.99861111111)</f>
        <v>41824.99861</v>
      </c>
      <c r="B1514" s="1">
        <f>IFERROR(__xludf.DUMMYFUNCTION("""COMPUTED_VALUE"""),11860.0)</f>
        <v>11860</v>
      </c>
    </row>
    <row r="1515">
      <c r="A1515" s="3">
        <f>IFERROR(__xludf.DUMMYFUNCTION("""COMPUTED_VALUE"""),41825.99861111111)</f>
        <v>41825.99861</v>
      </c>
      <c r="B1515" s="1">
        <f>IFERROR(__xludf.DUMMYFUNCTION("""COMPUTED_VALUE"""),11876.48)</f>
        <v>11876.48</v>
      </c>
    </row>
    <row r="1516">
      <c r="A1516" s="3">
        <f>IFERROR(__xludf.DUMMYFUNCTION("""COMPUTED_VALUE"""),41826.99861111111)</f>
        <v>41826.99861</v>
      </c>
      <c r="B1516" s="1">
        <f>IFERROR(__xludf.DUMMYFUNCTION("""COMPUTED_VALUE"""),11876.48)</f>
        <v>11876.48</v>
      </c>
    </row>
    <row r="1517">
      <c r="A1517" s="3">
        <f>IFERROR(__xludf.DUMMYFUNCTION("""COMPUTED_VALUE"""),41827.99861111111)</f>
        <v>41827.99861</v>
      </c>
      <c r="B1517" s="1">
        <f>IFERROR(__xludf.DUMMYFUNCTION("""COMPUTED_VALUE"""),11725.0)</f>
        <v>11725</v>
      </c>
    </row>
    <row r="1518">
      <c r="A1518" s="3">
        <f>IFERROR(__xludf.DUMMYFUNCTION("""COMPUTED_VALUE"""),41828.99861111111)</f>
        <v>41828.99861</v>
      </c>
      <c r="B1518" s="1">
        <f>IFERROR(__xludf.DUMMYFUNCTION("""COMPUTED_VALUE"""),11665.0)</f>
        <v>11665</v>
      </c>
    </row>
    <row r="1519">
      <c r="A1519" s="3">
        <f>IFERROR(__xludf.DUMMYFUNCTION("""COMPUTED_VALUE"""),41829.99861111111)</f>
        <v>41829.99861</v>
      </c>
      <c r="B1519" s="1">
        <f>IFERROR(__xludf.DUMMYFUNCTION("""COMPUTED_VALUE"""),11615.0)</f>
        <v>11615</v>
      </c>
    </row>
    <row r="1520">
      <c r="A1520" s="3">
        <f>IFERROR(__xludf.DUMMYFUNCTION("""COMPUTED_VALUE"""),41830.99861111111)</f>
        <v>41830.99861</v>
      </c>
      <c r="B1520" s="1">
        <f>IFERROR(__xludf.DUMMYFUNCTION("""COMPUTED_VALUE"""),11570.0)</f>
        <v>11570</v>
      </c>
    </row>
    <row r="1521">
      <c r="A1521" s="3">
        <f>IFERROR(__xludf.DUMMYFUNCTION("""COMPUTED_VALUE"""),41831.99861111111)</f>
        <v>41831.99861</v>
      </c>
      <c r="B1521" s="1">
        <f>IFERROR(__xludf.DUMMYFUNCTION("""COMPUTED_VALUE"""),11605.0)</f>
        <v>11605</v>
      </c>
    </row>
    <row r="1522">
      <c r="A1522" s="3">
        <f>IFERROR(__xludf.DUMMYFUNCTION("""COMPUTED_VALUE"""),41832.99861111111)</f>
        <v>41832.99861</v>
      </c>
      <c r="B1522" s="1">
        <f>IFERROR(__xludf.DUMMYFUNCTION("""COMPUTED_VALUE"""),11641.44)</f>
        <v>11641.44</v>
      </c>
    </row>
    <row r="1523">
      <c r="A1523" s="3">
        <f>IFERROR(__xludf.DUMMYFUNCTION("""COMPUTED_VALUE"""),41833.99861111111)</f>
        <v>41833.99861</v>
      </c>
      <c r="B1523" s="1">
        <f>IFERROR(__xludf.DUMMYFUNCTION("""COMPUTED_VALUE"""),11641.44)</f>
        <v>11641.44</v>
      </c>
    </row>
    <row r="1524">
      <c r="A1524" s="3">
        <f>IFERROR(__xludf.DUMMYFUNCTION("""COMPUTED_VALUE"""),41834.99861111111)</f>
        <v>41834.99861</v>
      </c>
      <c r="B1524" s="1">
        <f>IFERROR(__xludf.DUMMYFUNCTION("""COMPUTED_VALUE"""),11660.0)</f>
        <v>11660</v>
      </c>
    </row>
    <row r="1525">
      <c r="A1525" s="3">
        <f>IFERROR(__xludf.DUMMYFUNCTION("""COMPUTED_VALUE"""),41835.99861111111)</f>
        <v>41835.99861</v>
      </c>
      <c r="B1525" s="1">
        <f>IFERROR(__xludf.DUMMYFUNCTION("""COMPUTED_VALUE"""),11720.0)</f>
        <v>11720</v>
      </c>
    </row>
    <row r="1526">
      <c r="A1526" s="3">
        <f>IFERROR(__xludf.DUMMYFUNCTION("""COMPUTED_VALUE"""),41836.99861111111)</f>
        <v>41836.99861</v>
      </c>
      <c r="B1526" s="1">
        <f>IFERROR(__xludf.DUMMYFUNCTION("""COMPUTED_VALUE"""),11642.0)</f>
        <v>11642</v>
      </c>
    </row>
    <row r="1527">
      <c r="A1527" s="3">
        <f>IFERROR(__xludf.DUMMYFUNCTION("""COMPUTED_VALUE"""),41837.99861111111)</f>
        <v>41837.99861</v>
      </c>
      <c r="B1527" s="1">
        <f>IFERROR(__xludf.DUMMYFUNCTION("""COMPUTED_VALUE"""),11660.0)</f>
        <v>11660</v>
      </c>
    </row>
    <row r="1528">
      <c r="A1528" s="3">
        <f>IFERROR(__xludf.DUMMYFUNCTION("""COMPUTED_VALUE"""),41838.99861111111)</f>
        <v>41838.99861</v>
      </c>
      <c r="B1528" s="1">
        <f>IFERROR(__xludf.DUMMYFUNCTION("""COMPUTED_VALUE"""),11615.0)</f>
        <v>11615</v>
      </c>
    </row>
    <row r="1529">
      <c r="A1529" s="3">
        <f>IFERROR(__xludf.DUMMYFUNCTION("""COMPUTED_VALUE"""),41839.99861111111)</f>
        <v>41839.99861</v>
      </c>
      <c r="B1529" s="1">
        <f>IFERROR(__xludf.DUMMYFUNCTION("""COMPUTED_VALUE"""),11641.44)</f>
        <v>11641.44</v>
      </c>
    </row>
    <row r="1530">
      <c r="A1530" s="3">
        <f>IFERROR(__xludf.DUMMYFUNCTION("""COMPUTED_VALUE"""),41840.99861111111)</f>
        <v>41840.99861</v>
      </c>
      <c r="B1530" s="1">
        <f>IFERROR(__xludf.DUMMYFUNCTION("""COMPUTED_VALUE"""),11641.44)</f>
        <v>11641.44</v>
      </c>
    </row>
    <row r="1531">
      <c r="A1531" s="3">
        <f>IFERROR(__xludf.DUMMYFUNCTION("""COMPUTED_VALUE"""),41841.99861111111)</f>
        <v>41841.99861</v>
      </c>
      <c r="B1531" s="1">
        <f>IFERROR(__xludf.DUMMYFUNCTION("""COMPUTED_VALUE"""),11560.0)</f>
        <v>11560</v>
      </c>
    </row>
    <row r="1532">
      <c r="A1532" s="3">
        <f>IFERROR(__xludf.DUMMYFUNCTION("""COMPUTED_VALUE"""),41842.99861111111)</f>
        <v>41842.99861</v>
      </c>
      <c r="B1532" s="1">
        <f>IFERROR(__xludf.DUMMYFUNCTION("""COMPUTED_VALUE"""),11580.0)</f>
        <v>11580</v>
      </c>
    </row>
    <row r="1533">
      <c r="A1533" s="3">
        <f>IFERROR(__xludf.DUMMYFUNCTION("""COMPUTED_VALUE"""),41843.99861111111)</f>
        <v>41843.99861</v>
      </c>
      <c r="B1533" s="1">
        <f>IFERROR(__xludf.DUMMYFUNCTION("""COMPUTED_VALUE"""),11485.0)</f>
        <v>11485</v>
      </c>
    </row>
    <row r="1534">
      <c r="A1534" s="3">
        <f>IFERROR(__xludf.DUMMYFUNCTION("""COMPUTED_VALUE"""),41844.99861111111)</f>
        <v>41844.99861</v>
      </c>
      <c r="B1534" s="1">
        <f>IFERROR(__xludf.DUMMYFUNCTION("""COMPUTED_VALUE"""),11552.0)</f>
        <v>11552</v>
      </c>
    </row>
    <row r="1535">
      <c r="A1535" s="3">
        <f>IFERROR(__xludf.DUMMYFUNCTION("""COMPUTED_VALUE"""),41845.99861111111)</f>
        <v>41845.99861</v>
      </c>
      <c r="B1535" s="1">
        <f>IFERROR(__xludf.DUMMYFUNCTION("""COMPUTED_VALUE"""),11561.0)</f>
        <v>11561</v>
      </c>
    </row>
    <row r="1536">
      <c r="A1536" s="3">
        <f>IFERROR(__xludf.DUMMYFUNCTION("""COMPUTED_VALUE"""),41846.99861111111)</f>
        <v>41846.99861</v>
      </c>
      <c r="B1536" s="1">
        <f>IFERROR(__xludf.DUMMYFUNCTION("""COMPUTED_VALUE"""),11587.48)</f>
        <v>11587.48</v>
      </c>
    </row>
    <row r="1537">
      <c r="A1537" s="3">
        <f>IFERROR(__xludf.DUMMYFUNCTION("""COMPUTED_VALUE"""),41847.99861111111)</f>
        <v>41847.99861</v>
      </c>
      <c r="B1537" s="1">
        <f>IFERROR(__xludf.DUMMYFUNCTION("""COMPUTED_VALUE"""),11587.48)</f>
        <v>11587.48</v>
      </c>
    </row>
    <row r="1538">
      <c r="A1538" s="3">
        <f>IFERROR(__xludf.DUMMYFUNCTION("""COMPUTED_VALUE"""),41848.99861111111)</f>
        <v>41848.99861</v>
      </c>
      <c r="B1538" s="1">
        <f>IFERROR(__xludf.DUMMYFUNCTION("""COMPUTED_VALUE"""),11561.0)</f>
        <v>11561</v>
      </c>
    </row>
    <row r="1539">
      <c r="A1539" s="3">
        <f>IFERROR(__xludf.DUMMYFUNCTION("""COMPUTED_VALUE"""),41849.99861111111)</f>
        <v>41849.99861</v>
      </c>
      <c r="B1539" s="1">
        <f>IFERROR(__xludf.DUMMYFUNCTION("""COMPUTED_VALUE"""),11561.0)</f>
        <v>11561</v>
      </c>
    </row>
    <row r="1540">
      <c r="A1540" s="3">
        <f>IFERROR(__xludf.DUMMYFUNCTION("""COMPUTED_VALUE"""),41850.99861111111)</f>
        <v>41850.99861</v>
      </c>
      <c r="B1540" s="1">
        <f>IFERROR(__xludf.DUMMYFUNCTION("""COMPUTED_VALUE"""),11561.0)</f>
        <v>11561</v>
      </c>
    </row>
    <row r="1541">
      <c r="A1541" s="3">
        <f>IFERROR(__xludf.DUMMYFUNCTION("""COMPUTED_VALUE"""),41851.99861111111)</f>
        <v>41851.99861</v>
      </c>
      <c r="B1541" s="1">
        <f>IFERROR(__xludf.DUMMYFUNCTION("""COMPUTED_VALUE"""),11761.0)</f>
        <v>11761</v>
      </c>
    </row>
    <row r="1542">
      <c r="A1542" s="3">
        <f>IFERROR(__xludf.DUMMYFUNCTION("""COMPUTED_VALUE"""),41852.99861111111)</f>
        <v>41852.99861</v>
      </c>
      <c r="B1542" s="1">
        <f>IFERROR(__xludf.DUMMYFUNCTION("""COMPUTED_VALUE"""),11861.0)</f>
        <v>11861</v>
      </c>
    </row>
    <row r="1543">
      <c r="A1543" s="3">
        <f>IFERROR(__xludf.DUMMYFUNCTION("""COMPUTED_VALUE"""),41853.99861111111)</f>
        <v>41853.99861</v>
      </c>
      <c r="B1543" s="1">
        <f>IFERROR(__xludf.DUMMYFUNCTION("""COMPUTED_VALUE"""),11806.37)</f>
        <v>11806.37</v>
      </c>
    </row>
    <row r="1544">
      <c r="A1544" s="3">
        <f>IFERROR(__xludf.DUMMYFUNCTION("""COMPUTED_VALUE"""),41854.99861111111)</f>
        <v>41854.99861</v>
      </c>
      <c r="B1544" s="1">
        <f>IFERROR(__xludf.DUMMYFUNCTION("""COMPUTED_VALUE"""),11876.48)</f>
        <v>11876.48</v>
      </c>
    </row>
    <row r="1545">
      <c r="A1545" s="3">
        <f>IFERROR(__xludf.DUMMYFUNCTION("""COMPUTED_VALUE"""),41855.99861111111)</f>
        <v>41855.99861</v>
      </c>
      <c r="B1545" s="1">
        <f>IFERROR(__xludf.DUMMYFUNCTION("""COMPUTED_VALUE"""),11755.0)</f>
        <v>11755</v>
      </c>
    </row>
    <row r="1546">
      <c r="A1546" s="3">
        <f>IFERROR(__xludf.DUMMYFUNCTION("""COMPUTED_VALUE"""),41856.99861111111)</f>
        <v>41856.99861</v>
      </c>
      <c r="B1546" s="1">
        <f>IFERROR(__xludf.DUMMYFUNCTION("""COMPUTED_VALUE"""),11675.0)</f>
        <v>11675</v>
      </c>
    </row>
    <row r="1547">
      <c r="A1547" s="3">
        <f>IFERROR(__xludf.DUMMYFUNCTION("""COMPUTED_VALUE"""),41857.99861111111)</f>
        <v>41857.99861</v>
      </c>
      <c r="B1547" s="1">
        <f>IFERROR(__xludf.DUMMYFUNCTION("""COMPUTED_VALUE"""),11758.0)</f>
        <v>11758</v>
      </c>
    </row>
    <row r="1548">
      <c r="A1548" s="3">
        <f>IFERROR(__xludf.DUMMYFUNCTION("""COMPUTED_VALUE"""),41858.99861111111)</f>
        <v>41858.99861</v>
      </c>
      <c r="B1548" s="1">
        <f>IFERROR(__xludf.DUMMYFUNCTION("""COMPUTED_VALUE"""),11807.0)</f>
        <v>11807</v>
      </c>
    </row>
    <row r="1549">
      <c r="A1549" s="3">
        <f>IFERROR(__xludf.DUMMYFUNCTION("""COMPUTED_VALUE"""),41859.99861111111)</f>
        <v>41859.99861</v>
      </c>
      <c r="B1549" s="1">
        <f>IFERROR(__xludf.DUMMYFUNCTION("""COMPUTED_VALUE"""),11745.0)</f>
        <v>11745</v>
      </c>
    </row>
    <row r="1550">
      <c r="A1550" s="3">
        <f>IFERROR(__xludf.DUMMYFUNCTION("""COMPUTED_VALUE"""),41860.99861111111)</f>
        <v>41860.99861</v>
      </c>
      <c r="B1550" s="1">
        <f>IFERROR(__xludf.DUMMYFUNCTION("""COMPUTED_VALUE"""),11806.37)</f>
        <v>11806.37</v>
      </c>
    </row>
    <row r="1551">
      <c r="A1551" s="3">
        <f>IFERROR(__xludf.DUMMYFUNCTION("""COMPUTED_VALUE"""),41861.99861111111)</f>
        <v>41861.99861</v>
      </c>
      <c r="B1551" s="1">
        <f>IFERROR(__xludf.DUMMYFUNCTION("""COMPUTED_VALUE"""),11820.33)</f>
        <v>11820.33</v>
      </c>
    </row>
    <row r="1552">
      <c r="A1552" s="3">
        <f>IFERROR(__xludf.DUMMYFUNCTION("""COMPUTED_VALUE"""),41862.99861111111)</f>
        <v>41862.99861</v>
      </c>
      <c r="B1552" s="1">
        <f>IFERROR(__xludf.DUMMYFUNCTION("""COMPUTED_VALUE"""),11700.0)</f>
        <v>11700</v>
      </c>
    </row>
    <row r="1553">
      <c r="A1553" s="3">
        <f>IFERROR(__xludf.DUMMYFUNCTION("""COMPUTED_VALUE"""),41863.99861111111)</f>
        <v>41863.99861</v>
      </c>
      <c r="B1553" s="1">
        <f>IFERROR(__xludf.DUMMYFUNCTION("""COMPUTED_VALUE"""),11680.0)</f>
        <v>11680</v>
      </c>
    </row>
    <row r="1554">
      <c r="A1554" s="3">
        <f>IFERROR(__xludf.DUMMYFUNCTION("""COMPUTED_VALUE"""),41864.99861111111)</f>
        <v>41864.99861</v>
      </c>
      <c r="B1554" s="1">
        <f>IFERROR(__xludf.DUMMYFUNCTION("""COMPUTED_VALUE"""),11683.0)</f>
        <v>11683</v>
      </c>
    </row>
    <row r="1555">
      <c r="A1555" s="3">
        <f>IFERROR(__xludf.DUMMYFUNCTION("""COMPUTED_VALUE"""),41865.99861111111)</f>
        <v>41865.99861</v>
      </c>
      <c r="B1555" s="1">
        <f>IFERROR(__xludf.DUMMYFUNCTION("""COMPUTED_VALUE"""),11670.0)</f>
        <v>11670</v>
      </c>
    </row>
    <row r="1556">
      <c r="A1556" s="3">
        <f>IFERROR(__xludf.DUMMYFUNCTION("""COMPUTED_VALUE"""),41866.99861111111)</f>
        <v>41866.99861</v>
      </c>
      <c r="B1556" s="1">
        <f>IFERROR(__xludf.DUMMYFUNCTION("""COMPUTED_VALUE"""),11667.0)</f>
        <v>11667</v>
      </c>
    </row>
    <row r="1557">
      <c r="A1557" s="3">
        <f>IFERROR(__xludf.DUMMYFUNCTION("""COMPUTED_VALUE"""),41867.99861111111)</f>
        <v>41867.99861</v>
      </c>
      <c r="B1557" s="1">
        <f>IFERROR(__xludf.DUMMYFUNCTION("""COMPUTED_VALUE"""),11682.24)</f>
        <v>11682.24</v>
      </c>
    </row>
    <row r="1558">
      <c r="A1558" s="3">
        <f>IFERROR(__xludf.DUMMYFUNCTION("""COMPUTED_VALUE"""),41868.99861111111)</f>
        <v>41868.99861</v>
      </c>
      <c r="B1558" s="1">
        <f>IFERROR(__xludf.DUMMYFUNCTION("""COMPUTED_VALUE"""),11682.24)</f>
        <v>11682.24</v>
      </c>
    </row>
    <row r="1559">
      <c r="A1559" s="3">
        <f>IFERROR(__xludf.DUMMYFUNCTION("""COMPUTED_VALUE"""),41869.99861111111)</f>
        <v>41869.99861</v>
      </c>
      <c r="B1559" s="1">
        <f>IFERROR(__xludf.DUMMYFUNCTION("""COMPUTED_VALUE"""),11680.0)</f>
        <v>11680</v>
      </c>
    </row>
    <row r="1560">
      <c r="A1560" s="3">
        <f>IFERROR(__xludf.DUMMYFUNCTION("""COMPUTED_VALUE"""),41870.99861111111)</f>
        <v>41870.99861</v>
      </c>
      <c r="B1560" s="1">
        <f>IFERROR(__xludf.DUMMYFUNCTION("""COMPUTED_VALUE"""),11663.0)</f>
        <v>11663</v>
      </c>
    </row>
    <row r="1561">
      <c r="A1561" s="3">
        <f>IFERROR(__xludf.DUMMYFUNCTION("""COMPUTED_VALUE"""),41871.99861111111)</f>
        <v>41871.99861</v>
      </c>
      <c r="B1561" s="1">
        <f>IFERROR(__xludf.DUMMYFUNCTION("""COMPUTED_VALUE"""),11700.0)</f>
        <v>11700</v>
      </c>
    </row>
    <row r="1562">
      <c r="A1562" s="3">
        <f>IFERROR(__xludf.DUMMYFUNCTION("""COMPUTED_VALUE"""),41872.99861111111)</f>
        <v>41872.99861</v>
      </c>
      <c r="B1562" s="1">
        <f>IFERROR(__xludf.DUMMYFUNCTION("""COMPUTED_VALUE"""),11688.0)</f>
        <v>11688</v>
      </c>
    </row>
    <row r="1563">
      <c r="A1563" s="3">
        <f>IFERROR(__xludf.DUMMYFUNCTION("""COMPUTED_VALUE"""),41873.99861111111)</f>
        <v>41873.99861</v>
      </c>
      <c r="B1563" s="1">
        <f>IFERROR(__xludf.DUMMYFUNCTION("""COMPUTED_VALUE"""),11660.0)</f>
        <v>11660</v>
      </c>
    </row>
    <row r="1564">
      <c r="A1564" s="3">
        <f>IFERROR(__xludf.DUMMYFUNCTION("""COMPUTED_VALUE"""),41874.99861111111)</f>
        <v>41874.99861</v>
      </c>
      <c r="B1564" s="1">
        <f>IFERROR(__xludf.DUMMYFUNCTION("""COMPUTED_VALUE"""),11682.24)</f>
        <v>11682.24</v>
      </c>
    </row>
    <row r="1565">
      <c r="A1565" s="3">
        <f>IFERROR(__xludf.DUMMYFUNCTION("""COMPUTED_VALUE"""),41875.99861111111)</f>
        <v>41875.99861</v>
      </c>
      <c r="B1565" s="1">
        <f>IFERROR(__xludf.DUMMYFUNCTION("""COMPUTED_VALUE"""),11682.24)</f>
        <v>11682.24</v>
      </c>
    </row>
    <row r="1566">
      <c r="A1566" s="3">
        <f>IFERROR(__xludf.DUMMYFUNCTION("""COMPUTED_VALUE"""),41876.99861111111)</f>
        <v>41876.99861</v>
      </c>
      <c r="B1566" s="1">
        <f>IFERROR(__xludf.DUMMYFUNCTION("""COMPUTED_VALUE"""),11698.0)</f>
        <v>11698</v>
      </c>
    </row>
    <row r="1567">
      <c r="A1567" s="3">
        <f>IFERROR(__xludf.DUMMYFUNCTION("""COMPUTED_VALUE"""),41877.99861111111)</f>
        <v>41877.99861</v>
      </c>
      <c r="B1567" s="1">
        <f>IFERROR(__xludf.DUMMYFUNCTION("""COMPUTED_VALUE"""),11698.0)</f>
        <v>11698</v>
      </c>
    </row>
    <row r="1568">
      <c r="A1568" s="3">
        <f>IFERROR(__xludf.DUMMYFUNCTION("""COMPUTED_VALUE"""),41878.99861111111)</f>
        <v>41878.99861</v>
      </c>
      <c r="B1568" s="1">
        <f>IFERROR(__xludf.DUMMYFUNCTION("""COMPUTED_VALUE"""),11665.0)</f>
        <v>11665</v>
      </c>
    </row>
    <row r="1569">
      <c r="A1569" s="3">
        <f>IFERROR(__xludf.DUMMYFUNCTION("""COMPUTED_VALUE"""),41879.99861111111)</f>
        <v>41879.99861</v>
      </c>
      <c r="B1569" s="1">
        <f>IFERROR(__xludf.DUMMYFUNCTION("""COMPUTED_VALUE"""),11715.0)</f>
        <v>11715</v>
      </c>
    </row>
    <row r="1570">
      <c r="A1570" s="3">
        <f>IFERROR(__xludf.DUMMYFUNCTION("""COMPUTED_VALUE"""),41880.99861111111)</f>
        <v>41880.99861</v>
      </c>
      <c r="B1570" s="1">
        <f>IFERROR(__xludf.DUMMYFUNCTION("""COMPUTED_VALUE"""),11694.0)</f>
        <v>11694</v>
      </c>
    </row>
    <row r="1571">
      <c r="A1571" s="3">
        <f>IFERROR(__xludf.DUMMYFUNCTION("""COMPUTED_VALUE"""),41881.99861111111)</f>
        <v>41881.99861</v>
      </c>
      <c r="B1571" s="1">
        <f>IFERROR(__xludf.DUMMYFUNCTION("""COMPUTED_VALUE"""),11709.6)</f>
        <v>11709.6</v>
      </c>
    </row>
    <row r="1572">
      <c r="A1572" s="3">
        <f>IFERROR(__xludf.DUMMYFUNCTION("""COMPUTED_VALUE"""),41882.99861111111)</f>
        <v>41882.99861</v>
      </c>
      <c r="B1572" s="1">
        <f>IFERROR(__xludf.DUMMYFUNCTION("""COMPUTED_VALUE"""),11709.6)</f>
        <v>11709.6</v>
      </c>
    </row>
    <row r="1573">
      <c r="A1573" s="3">
        <f>IFERROR(__xludf.DUMMYFUNCTION("""COMPUTED_VALUE"""),41883.99861111111)</f>
        <v>41883.99861</v>
      </c>
      <c r="B1573" s="1">
        <f>IFERROR(__xludf.DUMMYFUNCTION("""COMPUTED_VALUE"""),11708.0)</f>
        <v>11708</v>
      </c>
    </row>
    <row r="1574">
      <c r="A1574" s="3">
        <f>IFERROR(__xludf.DUMMYFUNCTION("""COMPUTED_VALUE"""),41884.99861111111)</f>
        <v>41884.99861</v>
      </c>
      <c r="B1574" s="1">
        <f>IFERROR(__xludf.DUMMYFUNCTION("""COMPUTED_VALUE"""),11743.0)</f>
        <v>11743</v>
      </c>
    </row>
    <row r="1575">
      <c r="A1575" s="3">
        <f>IFERROR(__xludf.DUMMYFUNCTION("""COMPUTED_VALUE"""),41885.99861111111)</f>
        <v>41885.99861</v>
      </c>
      <c r="B1575" s="1">
        <f>IFERROR(__xludf.DUMMYFUNCTION("""COMPUTED_VALUE"""),11767.0)</f>
        <v>11767</v>
      </c>
    </row>
    <row r="1576">
      <c r="A1576" s="3">
        <f>IFERROR(__xludf.DUMMYFUNCTION("""COMPUTED_VALUE"""),41886.99861111111)</f>
        <v>41886.99861</v>
      </c>
      <c r="B1576" s="1">
        <f>IFERROR(__xludf.DUMMYFUNCTION("""COMPUTED_VALUE"""),11741.0)</f>
        <v>11741</v>
      </c>
    </row>
    <row r="1577">
      <c r="A1577" s="3">
        <f>IFERROR(__xludf.DUMMYFUNCTION("""COMPUTED_VALUE"""),41887.99861111111)</f>
        <v>41887.99861</v>
      </c>
      <c r="B1577" s="1">
        <f>IFERROR(__xludf.DUMMYFUNCTION("""COMPUTED_VALUE"""),11722.0)</f>
        <v>11722</v>
      </c>
    </row>
    <row r="1578">
      <c r="A1578" s="3">
        <f>IFERROR(__xludf.DUMMYFUNCTION("""COMPUTED_VALUE"""),41888.99861111111)</f>
        <v>41888.99861</v>
      </c>
      <c r="B1578" s="1">
        <f>IFERROR(__xludf.DUMMYFUNCTION("""COMPUTED_VALUE"""),11737.08)</f>
        <v>11737.08</v>
      </c>
    </row>
    <row r="1579">
      <c r="A1579" s="3">
        <f>IFERROR(__xludf.DUMMYFUNCTION("""COMPUTED_VALUE"""),41889.99861111111)</f>
        <v>41889.99861</v>
      </c>
      <c r="B1579" s="1">
        <f>IFERROR(__xludf.DUMMYFUNCTION("""COMPUTED_VALUE"""),11737.08)</f>
        <v>11737.08</v>
      </c>
    </row>
    <row r="1580">
      <c r="A1580" s="3">
        <f>IFERROR(__xludf.DUMMYFUNCTION("""COMPUTED_VALUE"""),41890.99861111111)</f>
        <v>41890.99861</v>
      </c>
      <c r="B1580" s="1">
        <f>IFERROR(__xludf.DUMMYFUNCTION("""COMPUTED_VALUE"""),11713.0)</f>
        <v>11713</v>
      </c>
    </row>
    <row r="1581">
      <c r="A1581" s="3">
        <f>IFERROR(__xludf.DUMMYFUNCTION("""COMPUTED_VALUE"""),41891.99861111111)</f>
        <v>41891.99861</v>
      </c>
      <c r="B1581" s="1">
        <f>IFERROR(__xludf.DUMMYFUNCTION("""COMPUTED_VALUE"""),11802.0)</f>
        <v>11802</v>
      </c>
    </row>
    <row r="1582">
      <c r="A1582" s="3">
        <f>IFERROR(__xludf.DUMMYFUNCTION("""COMPUTED_VALUE"""),41892.99861111111)</f>
        <v>41892.99861</v>
      </c>
      <c r="B1582" s="1">
        <f>IFERROR(__xludf.DUMMYFUNCTION("""COMPUTED_VALUE"""),11815.0)</f>
        <v>11815</v>
      </c>
    </row>
    <row r="1583">
      <c r="A1583" s="3">
        <f>IFERROR(__xludf.DUMMYFUNCTION("""COMPUTED_VALUE"""),41893.99861111111)</f>
        <v>41893.99861</v>
      </c>
      <c r="B1583" s="1">
        <f>IFERROR(__xludf.DUMMYFUNCTION("""COMPUTED_VALUE"""),11830.0)</f>
        <v>11830</v>
      </c>
    </row>
    <row r="1584">
      <c r="A1584" s="3">
        <f>IFERROR(__xludf.DUMMYFUNCTION("""COMPUTED_VALUE"""),41894.99861111111)</f>
        <v>41894.99861</v>
      </c>
      <c r="B1584" s="1">
        <f>IFERROR(__xludf.DUMMYFUNCTION("""COMPUTED_VALUE"""),11885.0)</f>
        <v>11885</v>
      </c>
    </row>
    <row r="1585">
      <c r="A1585" s="3">
        <f>IFERROR(__xludf.DUMMYFUNCTION("""COMPUTED_VALUE"""),41895.99861111111)</f>
        <v>41895.99861</v>
      </c>
      <c r="B1585" s="1">
        <f>IFERROR(__xludf.DUMMYFUNCTION("""COMPUTED_VALUE"""),11904.76)</f>
        <v>11904.76</v>
      </c>
    </row>
    <row r="1586">
      <c r="A1586" s="3">
        <f>IFERROR(__xludf.DUMMYFUNCTION("""COMPUTED_VALUE"""),41896.99861111111)</f>
        <v>41896.99861</v>
      </c>
      <c r="B1586" s="1">
        <f>IFERROR(__xludf.DUMMYFUNCTION("""COMPUTED_VALUE"""),11904.76)</f>
        <v>11904.76</v>
      </c>
    </row>
    <row r="1587">
      <c r="A1587" s="3">
        <f>IFERROR(__xludf.DUMMYFUNCTION("""COMPUTED_VALUE"""),41897.99861111111)</f>
        <v>41897.99861</v>
      </c>
      <c r="B1587" s="1">
        <f>IFERROR(__xludf.DUMMYFUNCTION("""COMPUTED_VALUE"""),11935.0)</f>
        <v>11935</v>
      </c>
    </row>
    <row r="1588">
      <c r="A1588" s="3">
        <f>IFERROR(__xludf.DUMMYFUNCTION("""COMPUTED_VALUE"""),41898.99861111111)</f>
        <v>41898.99861</v>
      </c>
      <c r="B1588" s="1">
        <f>IFERROR(__xludf.DUMMYFUNCTION("""COMPUTED_VALUE"""),11985.0)</f>
        <v>11985</v>
      </c>
    </row>
    <row r="1589">
      <c r="A1589" s="3">
        <f>IFERROR(__xludf.DUMMYFUNCTION("""COMPUTED_VALUE"""),41899.99861111111)</f>
        <v>41899.99861</v>
      </c>
      <c r="B1589" s="1">
        <f>IFERROR(__xludf.DUMMYFUNCTION("""COMPUTED_VALUE"""),11962.0)</f>
        <v>11962</v>
      </c>
    </row>
    <row r="1590">
      <c r="A1590" s="3">
        <f>IFERROR(__xludf.DUMMYFUNCTION("""COMPUTED_VALUE"""),41900.99861111111)</f>
        <v>41900.99861</v>
      </c>
      <c r="B1590" s="1">
        <f>IFERROR(__xludf.DUMMYFUNCTION("""COMPUTED_VALUE"""),11969.0)</f>
        <v>11969</v>
      </c>
    </row>
    <row r="1591">
      <c r="A1591" s="3">
        <f>IFERROR(__xludf.DUMMYFUNCTION("""COMPUTED_VALUE"""),41901.99861111111)</f>
        <v>41901.99861</v>
      </c>
      <c r="B1591" s="1">
        <f>IFERROR(__xludf.DUMMYFUNCTION("""COMPUTED_VALUE"""),11983.0)</f>
        <v>11983</v>
      </c>
    </row>
    <row r="1592">
      <c r="A1592" s="3">
        <f>IFERROR(__xludf.DUMMYFUNCTION("""COMPUTED_VALUE"""),41902.99861111111)</f>
        <v>41902.99861</v>
      </c>
      <c r="B1592" s="1">
        <f>IFERROR(__xludf.DUMMYFUNCTION("""COMPUTED_VALUE"""),12004.8)</f>
        <v>12004.8</v>
      </c>
    </row>
    <row r="1593">
      <c r="A1593" s="3">
        <f>IFERROR(__xludf.DUMMYFUNCTION("""COMPUTED_VALUE"""),41903.99861111111)</f>
        <v>41903.99861</v>
      </c>
      <c r="B1593" s="1">
        <f>IFERROR(__xludf.DUMMYFUNCTION("""COMPUTED_VALUE"""),12004.8)</f>
        <v>12004.8</v>
      </c>
    </row>
    <row r="1594">
      <c r="A1594" s="3">
        <f>IFERROR(__xludf.DUMMYFUNCTION("""COMPUTED_VALUE"""),41904.99861111111)</f>
        <v>41904.99861</v>
      </c>
      <c r="B1594" s="1">
        <f>IFERROR(__xludf.DUMMYFUNCTION("""COMPUTED_VALUE"""),11988.0)</f>
        <v>11988</v>
      </c>
    </row>
    <row r="1595">
      <c r="A1595" s="3">
        <f>IFERROR(__xludf.DUMMYFUNCTION("""COMPUTED_VALUE"""),41905.99861111111)</f>
        <v>41905.99861</v>
      </c>
      <c r="B1595" s="1">
        <f>IFERROR(__xludf.DUMMYFUNCTION("""COMPUTED_VALUE"""),11970.0)</f>
        <v>11970</v>
      </c>
    </row>
    <row r="1596">
      <c r="A1596" s="3">
        <f>IFERROR(__xludf.DUMMYFUNCTION("""COMPUTED_VALUE"""),41906.99861111111)</f>
        <v>41906.99861</v>
      </c>
      <c r="B1596" s="1">
        <f>IFERROR(__xludf.DUMMYFUNCTION("""COMPUTED_VALUE"""),11943.0)</f>
        <v>11943</v>
      </c>
    </row>
    <row r="1597">
      <c r="A1597" s="3">
        <f>IFERROR(__xludf.DUMMYFUNCTION("""COMPUTED_VALUE"""),41907.99861111111)</f>
        <v>41907.99861</v>
      </c>
      <c r="B1597" s="1">
        <f>IFERROR(__xludf.DUMMYFUNCTION("""COMPUTED_VALUE"""),11978.0)</f>
        <v>11978</v>
      </c>
    </row>
    <row r="1598">
      <c r="A1598" s="3">
        <f>IFERROR(__xludf.DUMMYFUNCTION("""COMPUTED_VALUE"""),41908.99861111111)</f>
        <v>41908.99861</v>
      </c>
      <c r="B1598" s="1">
        <f>IFERROR(__xludf.DUMMYFUNCTION("""COMPUTED_VALUE"""),12050.0)</f>
        <v>12050</v>
      </c>
    </row>
    <row r="1599">
      <c r="A1599" s="3">
        <f>IFERROR(__xludf.DUMMYFUNCTION("""COMPUTED_VALUE"""),41909.99861111111)</f>
        <v>41909.99861</v>
      </c>
      <c r="B1599" s="1">
        <f>IFERROR(__xludf.DUMMYFUNCTION("""COMPUTED_VALUE"""),12062.72)</f>
        <v>12062.72</v>
      </c>
    </row>
    <row r="1600">
      <c r="A1600" s="3">
        <f>IFERROR(__xludf.DUMMYFUNCTION("""COMPUTED_VALUE"""),41910.99861111111)</f>
        <v>41910.99861</v>
      </c>
      <c r="B1600" s="1">
        <f>IFERROR(__xludf.DUMMYFUNCTION("""COMPUTED_VALUE"""),12062.72)</f>
        <v>12062.72</v>
      </c>
    </row>
    <row r="1601">
      <c r="A1601" s="3">
        <f>IFERROR(__xludf.DUMMYFUNCTION("""COMPUTED_VALUE"""),41911.99861111111)</f>
        <v>41911.99861</v>
      </c>
      <c r="B1601" s="1">
        <f>IFERROR(__xludf.DUMMYFUNCTION("""COMPUTED_VALUE"""),12142.0)</f>
        <v>12142</v>
      </c>
    </row>
    <row r="1602">
      <c r="A1602" s="3">
        <f>IFERROR(__xludf.DUMMYFUNCTION("""COMPUTED_VALUE"""),41912.99861111111)</f>
        <v>41912.99861</v>
      </c>
      <c r="B1602" s="1">
        <f>IFERROR(__xludf.DUMMYFUNCTION("""COMPUTED_VALUE"""),12175.0)</f>
        <v>12175</v>
      </c>
    </row>
    <row r="1603">
      <c r="A1603" s="3">
        <f>IFERROR(__xludf.DUMMYFUNCTION("""COMPUTED_VALUE"""),41913.99861111111)</f>
        <v>41913.99861</v>
      </c>
      <c r="B1603" s="1">
        <f>IFERROR(__xludf.DUMMYFUNCTION("""COMPUTED_VALUE"""),12130.0)</f>
        <v>12130</v>
      </c>
    </row>
    <row r="1604">
      <c r="A1604" s="3">
        <f>IFERROR(__xludf.DUMMYFUNCTION("""COMPUTED_VALUE"""),41914.99861111111)</f>
        <v>41914.99861</v>
      </c>
      <c r="B1604" s="1">
        <f>IFERROR(__xludf.DUMMYFUNCTION("""COMPUTED_VALUE"""),12112.0)</f>
        <v>12112</v>
      </c>
    </row>
    <row r="1605">
      <c r="A1605" s="3">
        <f>IFERROR(__xludf.DUMMYFUNCTION("""COMPUTED_VALUE"""),41915.99861111111)</f>
        <v>41915.99861</v>
      </c>
      <c r="B1605" s="1">
        <f>IFERROR(__xludf.DUMMYFUNCTION("""COMPUTED_VALUE"""),12181.0)</f>
        <v>12181</v>
      </c>
    </row>
    <row r="1606">
      <c r="A1606" s="3">
        <f>IFERROR(__xludf.DUMMYFUNCTION("""COMPUTED_VALUE"""),41916.99861111111)</f>
        <v>41916.99861</v>
      </c>
      <c r="B1606" s="1">
        <f>IFERROR(__xludf.DUMMYFUNCTION("""COMPUTED_VALUE"""),12195.12)</f>
        <v>12195.12</v>
      </c>
    </row>
    <row r="1607">
      <c r="A1607" s="3">
        <f>IFERROR(__xludf.DUMMYFUNCTION("""COMPUTED_VALUE"""),41917.99861111111)</f>
        <v>41917.99861</v>
      </c>
      <c r="B1607" s="1">
        <f>IFERROR(__xludf.DUMMYFUNCTION("""COMPUTED_VALUE"""),12195.12)</f>
        <v>12195.12</v>
      </c>
    </row>
    <row r="1608">
      <c r="A1608" s="3">
        <f>IFERROR(__xludf.DUMMYFUNCTION("""COMPUTED_VALUE"""),41918.99861111111)</f>
        <v>41918.99861</v>
      </c>
      <c r="B1608" s="1">
        <f>IFERROR(__xludf.DUMMYFUNCTION("""COMPUTED_VALUE"""),12147.0)</f>
        <v>12147</v>
      </c>
    </row>
    <row r="1609">
      <c r="A1609" s="3">
        <f>IFERROR(__xludf.DUMMYFUNCTION("""COMPUTED_VALUE"""),41919.99861111111)</f>
        <v>41919.99861</v>
      </c>
      <c r="B1609" s="1">
        <f>IFERROR(__xludf.DUMMYFUNCTION("""COMPUTED_VALUE"""),12218.0)</f>
        <v>12218</v>
      </c>
    </row>
    <row r="1610">
      <c r="A1610" s="3">
        <f>IFERROR(__xludf.DUMMYFUNCTION("""COMPUTED_VALUE"""),41920.99861111111)</f>
        <v>41920.99861</v>
      </c>
      <c r="B1610" s="1">
        <f>IFERROR(__xludf.DUMMYFUNCTION("""COMPUTED_VALUE"""),12210.0)</f>
        <v>12210</v>
      </c>
    </row>
    <row r="1611">
      <c r="A1611" s="3">
        <f>IFERROR(__xludf.DUMMYFUNCTION("""COMPUTED_VALUE"""),41921.99861111111)</f>
        <v>41921.99861</v>
      </c>
      <c r="B1611" s="1">
        <f>IFERROR(__xludf.DUMMYFUNCTION("""COMPUTED_VALUE"""),12192.0)</f>
        <v>12192</v>
      </c>
    </row>
    <row r="1612">
      <c r="A1612" s="3">
        <f>IFERROR(__xludf.DUMMYFUNCTION("""COMPUTED_VALUE"""),41922.99861111111)</f>
        <v>41922.99861</v>
      </c>
      <c r="B1612" s="1">
        <f>IFERROR(__xludf.DUMMYFUNCTION("""COMPUTED_VALUE"""),12210.0)</f>
        <v>12210</v>
      </c>
    </row>
    <row r="1613">
      <c r="A1613" s="3">
        <f>IFERROR(__xludf.DUMMYFUNCTION("""COMPUTED_VALUE"""),41923.99861111111)</f>
        <v>41923.99861</v>
      </c>
      <c r="B1613" s="1">
        <f>IFERROR(__xludf.DUMMYFUNCTION("""COMPUTED_VALUE"""),12224.93)</f>
        <v>12224.93</v>
      </c>
    </row>
    <row r="1614">
      <c r="A1614" s="3">
        <f>IFERROR(__xludf.DUMMYFUNCTION("""COMPUTED_VALUE"""),41924.99861111111)</f>
        <v>41924.99861</v>
      </c>
      <c r="B1614" s="1">
        <f>IFERROR(__xludf.DUMMYFUNCTION("""COMPUTED_VALUE"""),12224.93)</f>
        <v>12224.93</v>
      </c>
    </row>
    <row r="1615">
      <c r="A1615" s="3">
        <f>IFERROR(__xludf.DUMMYFUNCTION("""COMPUTED_VALUE"""),41925.99861111111)</f>
        <v>41925.99861</v>
      </c>
      <c r="B1615" s="1">
        <f>IFERROR(__xludf.DUMMYFUNCTION("""COMPUTED_VALUE"""),12200.0)</f>
        <v>12200</v>
      </c>
    </row>
    <row r="1616">
      <c r="A1616" s="3">
        <f>IFERROR(__xludf.DUMMYFUNCTION("""COMPUTED_VALUE"""),41926.99861111111)</f>
        <v>41926.99861</v>
      </c>
      <c r="B1616" s="1">
        <f>IFERROR(__xludf.DUMMYFUNCTION("""COMPUTED_VALUE"""),12198.0)</f>
        <v>12198</v>
      </c>
    </row>
    <row r="1617">
      <c r="A1617" s="3">
        <f>IFERROR(__xludf.DUMMYFUNCTION("""COMPUTED_VALUE"""),41927.99861111111)</f>
        <v>41927.99861</v>
      </c>
      <c r="B1617" s="1">
        <f>IFERROR(__xludf.DUMMYFUNCTION("""COMPUTED_VALUE"""),12227.0)</f>
        <v>12227</v>
      </c>
    </row>
    <row r="1618">
      <c r="A1618" s="3">
        <f>IFERROR(__xludf.DUMMYFUNCTION("""COMPUTED_VALUE"""),41928.99861111111)</f>
        <v>41928.99861</v>
      </c>
      <c r="B1618" s="1">
        <f>IFERROR(__xludf.DUMMYFUNCTION("""COMPUTED_VALUE"""),12210.0)</f>
        <v>12210</v>
      </c>
    </row>
    <row r="1619">
      <c r="A1619" s="3">
        <f>IFERROR(__xludf.DUMMYFUNCTION("""COMPUTED_VALUE"""),41929.99861111111)</f>
        <v>41929.99861</v>
      </c>
      <c r="B1619" s="1">
        <f>IFERROR(__xludf.DUMMYFUNCTION("""COMPUTED_VALUE"""),12102.0)</f>
        <v>12102</v>
      </c>
    </row>
    <row r="1620">
      <c r="A1620" s="3">
        <f>IFERROR(__xludf.DUMMYFUNCTION("""COMPUTED_VALUE"""),41930.99861111111)</f>
        <v>41930.99861</v>
      </c>
      <c r="B1620" s="1">
        <f>IFERROR(__xludf.DUMMYFUNCTION("""COMPUTED_VALUE"""),12121.21)</f>
        <v>12121.21</v>
      </c>
    </row>
    <row r="1621">
      <c r="A1621" s="3">
        <f>IFERROR(__xludf.DUMMYFUNCTION("""COMPUTED_VALUE"""),41931.99861111111)</f>
        <v>41931.99861</v>
      </c>
      <c r="B1621" s="1">
        <f>IFERROR(__xludf.DUMMYFUNCTION("""COMPUTED_VALUE"""),12121.21)</f>
        <v>12121.21</v>
      </c>
    </row>
    <row r="1622">
      <c r="A1622" s="3">
        <f>IFERROR(__xludf.DUMMYFUNCTION("""COMPUTED_VALUE"""),41932.99861111111)</f>
        <v>41932.99861</v>
      </c>
      <c r="B1622" s="1">
        <f>IFERROR(__xludf.DUMMYFUNCTION("""COMPUTED_VALUE"""),12018.0)</f>
        <v>12018</v>
      </c>
    </row>
    <row r="1623">
      <c r="A1623" s="3">
        <f>IFERROR(__xludf.DUMMYFUNCTION("""COMPUTED_VALUE"""),41933.99861111111)</f>
        <v>41933.99861</v>
      </c>
      <c r="B1623" s="1">
        <f>IFERROR(__xludf.DUMMYFUNCTION("""COMPUTED_VALUE"""),11987.0)</f>
        <v>11987</v>
      </c>
    </row>
    <row r="1624">
      <c r="A1624" s="3">
        <f>IFERROR(__xludf.DUMMYFUNCTION("""COMPUTED_VALUE"""),41934.99861111111)</f>
        <v>41934.99861</v>
      </c>
      <c r="B1624" s="1">
        <f>IFERROR(__xludf.DUMMYFUNCTION("""COMPUTED_VALUE"""),11980.0)</f>
        <v>11980</v>
      </c>
    </row>
    <row r="1625">
      <c r="A1625" s="3">
        <f>IFERROR(__xludf.DUMMYFUNCTION("""COMPUTED_VALUE"""),41935.99861111111)</f>
        <v>41935.99861</v>
      </c>
      <c r="B1625" s="1">
        <f>IFERROR(__xludf.DUMMYFUNCTION("""COMPUTED_VALUE"""),12055.0)</f>
        <v>12055</v>
      </c>
    </row>
    <row r="1626">
      <c r="A1626" s="3">
        <f>IFERROR(__xludf.DUMMYFUNCTION("""COMPUTED_VALUE"""),41936.99861111111)</f>
        <v>41936.99861</v>
      </c>
      <c r="B1626" s="1">
        <f>IFERROR(__xludf.DUMMYFUNCTION("""COMPUTED_VALUE"""),12075.0)</f>
        <v>12075</v>
      </c>
    </row>
    <row r="1627">
      <c r="A1627" s="3">
        <f>IFERROR(__xludf.DUMMYFUNCTION("""COMPUTED_VALUE"""),41937.99861111111)</f>
        <v>41937.99861</v>
      </c>
      <c r="B1627" s="1">
        <f>IFERROR(__xludf.DUMMYFUNCTION("""COMPUTED_VALUE"""),12091.89)</f>
        <v>12091.89</v>
      </c>
    </row>
    <row r="1628">
      <c r="A1628" s="3">
        <f>IFERROR(__xludf.DUMMYFUNCTION("""COMPUTED_VALUE"""),41938.99861111111)</f>
        <v>41938.99861</v>
      </c>
      <c r="B1628" s="1">
        <f>IFERROR(__xludf.DUMMYFUNCTION("""COMPUTED_VALUE"""),12091.89)</f>
        <v>12091.89</v>
      </c>
    </row>
    <row r="1629">
      <c r="A1629" s="3">
        <f>IFERROR(__xludf.DUMMYFUNCTION("""COMPUTED_VALUE"""),41939.99861111111)</f>
        <v>41939.99861</v>
      </c>
      <c r="B1629" s="1">
        <f>IFERROR(__xludf.DUMMYFUNCTION("""COMPUTED_VALUE"""),12100.0)</f>
        <v>12100</v>
      </c>
    </row>
    <row r="1630">
      <c r="A1630" s="3">
        <f>IFERROR(__xludf.DUMMYFUNCTION("""COMPUTED_VALUE"""),41940.99861111111)</f>
        <v>41940.99861</v>
      </c>
      <c r="B1630" s="1">
        <f>IFERROR(__xludf.DUMMYFUNCTION("""COMPUTED_VALUE"""),12137.0)</f>
        <v>12137</v>
      </c>
    </row>
    <row r="1631">
      <c r="A1631" s="3">
        <f>IFERROR(__xludf.DUMMYFUNCTION("""COMPUTED_VALUE"""),41941.99861111111)</f>
        <v>41941.99861</v>
      </c>
      <c r="B1631" s="1">
        <f>IFERROR(__xludf.DUMMYFUNCTION("""COMPUTED_VALUE"""),12092.0)</f>
        <v>12092</v>
      </c>
    </row>
    <row r="1632">
      <c r="A1632" s="3">
        <f>IFERROR(__xludf.DUMMYFUNCTION("""COMPUTED_VALUE"""),41942.99861111111)</f>
        <v>41942.99861</v>
      </c>
      <c r="B1632" s="1">
        <f>IFERROR(__xludf.DUMMYFUNCTION("""COMPUTED_VALUE"""),12150.0)</f>
        <v>12150</v>
      </c>
    </row>
    <row r="1633">
      <c r="A1633" s="3">
        <f>IFERROR(__xludf.DUMMYFUNCTION("""COMPUTED_VALUE"""),41943.99861111111)</f>
        <v>41943.99861</v>
      </c>
      <c r="B1633" s="1">
        <f>IFERROR(__xludf.DUMMYFUNCTION("""COMPUTED_VALUE"""),12070.0)</f>
        <v>12070</v>
      </c>
    </row>
    <row r="1634">
      <c r="A1634" s="3">
        <f>IFERROR(__xludf.DUMMYFUNCTION("""COMPUTED_VALUE"""),41944.99861111111)</f>
        <v>41944.99861</v>
      </c>
      <c r="B1634" s="1">
        <f>IFERROR(__xludf.DUMMYFUNCTION("""COMPUTED_VALUE"""),12091.89)</f>
        <v>12091.89</v>
      </c>
    </row>
    <row r="1635">
      <c r="A1635" s="3">
        <f>IFERROR(__xludf.DUMMYFUNCTION("""COMPUTED_VALUE"""),41945.99861111111)</f>
        <v>41945.99861</v>
      </c>
      <c r="B1635" s="1">
        <f>IFERROR(__xludf.DUMMYFUNCTION("""COMPUTED_VALUE"""),12091.89)</f>
        <v>12091.89</v>
      </c>
    </row>
    <row r="1636">
      <c r="A1636" s="3">
        <f>IFERROR(__xludf.DUMMYFUNCTION("""COMPUTED_VALUE"""),41946.99861111111)</f>
        <v>41946.99861</v>
      </c>
      <c r="B1636" s="1">
        <f>IFERROR(__xludf.DUMMYFUNCTION("""COMPUTED_VALUE"""),12107.0)</f>
        <v>12107</v>
      </c>
    </row>
    <row r="1637">
      <c r="A1637" s="3">
        <f>IFERROR(__xludf.DUMMYFUNCTION("""COMPUTED_VALUE"""),41947.99861111111)</f>
        <v>41947.99861</v>
      </c>
      <c r="B1637" s="1">
        <f>IFERROR(__xludf.DUMMYFUNCTION("""COMPUTED_VALUE"""),12110.0)</f>
        <v>12110</v>
      </c>
    </row>
    <row r="1638">
      <c r="A1638" s="3">
        <f>IFERROR(__xludf.DUMMYFUNCTION("""COMPUTED_VALUE"""),41948.99861111111)</f>
        <v>41948.99861</v>
      </c>
      <c r="B1638" s="1">
        <f>IFERROR(__xludf.DUMMYFUNCTION("""COMPUTED_VALUE"""),12175.0)</f>
        <v>12175</v>
      </c>
    </row>
    <row r="1639">
      <c r="A1639" s="3">
        <f>IFERROR(__xludf.DUMMYFUNCTION("""COMPUTED_VALUE"""),41949.99861111111)</f>
        <v>41949.99861</v>
      </c>
      <c r="B1639" s="1">
        <f>IFERROR(__xludf.DUMMYFUNCTION("""COMPUTED_VALUE"""),12150.0)</f>
        <v>12150</v>
      </c>
    </row>
    <row r="1640">
      <c r="A1640" s="3">
        <f>IFERROR(__xludf.DUMMYFUNCTION("""COMPUTED_VALUE"""),41950.99861111111)</f>
        <v>41950.99861</v>
      </c>
      <c r="B1640" s="1">
        <f>IFERROR(__xludf.DUMMYFUNCTION("""COMPUTED_VALUE"""),12175.0)</f>
        <v>12175</v>
      </c>
    </row>
    <row r="1641">
      <c r="A1641" s="3">
        <f>IFERROR(__xludf.DUMMYFUNCTION("""COMPUTED_VALUE"""),41951.99861111111)</f>
        <v>41951.99861</v>
      </c>
      <c r="B1641" s="1">
        <f>IFERROR(__xludf.DUMMYFUNCTION("""COMPUTED_VALUE"""),12195.12)</f>
        <v>12195.12</v>
      </c>
    </row>
    <row r="1642">
      <c r="A1642" s="3">
        <f>IFERROR(__xludf.DUMMYFUNCTION("""COMPUTED_VALUE"""),41952.99861111111)</f>
        <v>41952.99861</v>
      </c>
      <c r="B1642" s="1">
        <f>IFERROR(__xludf.DUMMYFUNCTION("""COMPUTED_VALUE"""),12195.12)</f>
        <v>12195.12</v>
      </c>
    </row>
    <row r="1643">
      <c r="A1643" s="3">
        <f>IFERROR(__xludf.DUMMYFUNCTION("""COMPUTED_VALUE"""),41953.99861111111)</f>
        <v>41953.99861</v>
      </c>
      <c r="B1643" s="1">
        <f>IFERROR(__xludf.DUMMYFUNCTION("""COMPUTED_VALUE"""),12155.0)</f>
        <v>12155</v>
      </c>
    </row>
    <row r="1644">
      <c r="A1644" s="3">
        <f>IFERROR(__xludf.DUMMYFUNCTION("""COMPUTED_VALUE"""),41954.99861111111)</f>
        <v>41954.99861</v>
      </c>
      <c r="B1644" s="1">
        <f>IFERROR(__xludf.DUMMYFUNCTION("""COMPUTED_VALUE"""),12128.0)</f>
        <v>12128</v>
      </c>
    </row>
    <row r="1645">
      <c r="A1645" s="3">
        <f>IFERROR(__xludf.DUMMYFUNCTION("""COMPUTED_VALUE"""),41955.99861111111)</f>
        <v>41955.99861</v>
      </c>
      <c r="B1645" s="1">
        <f>IFERROR(__xludf.DUMMYFUNCTION("""COMPUTED_VALUE"""),12187.0)</f>
        <v>12187</v>
      </c>
    </row>
    <row r="1646">
      <c r="A1646" s="3">
        <f>IFERROR(__xludf.DUMMYFUNCTION("""COMPUTED_VALUE"""),41956.99861111111)</f>
        <v>41956.99861</v>
      </c>
      <c r="B1646" s="1">
        <f>IFERROR(__xludf.DUMMYFUNCTION("""COMPUTED_VALUE"""),12187.0)</f>
        <v>12187</v>
      </c>
    </row>
    <row r="1647">
      <c r="A1647" s="3">
        <f>IFERROR(__xludf.DUMMYFUNCTION("""COMPUTED_VALUE"""),41957.99861111111)</f>
        <v>41957.99861</v>
      </c>
      <c r="B1647" s="1">
        <f>IFERROR(__xludf.DUMMYFUNCTION("""COMPUTED_VALUE"""),12200.0)</f>
        <v>12200</v>
      </c>
    </row>
    <row r="1648">
      <c r="A1648" s="3">
        <f>IFERROR(__xludf.DUMMYFUNCTION("""COMPUTED_VALUE"""),41958.99861111111)</f>
        <v>41958.99861</v>
      </c>
      <c r="B1648" s="1">
        <f>IFERROR(__xludf.DUMMYFUNCTION("""COMPUTED_VALUE"""),12224.93)</f>
        <v>12224.93</v>
      </c>
    </row>
    <row r="1649">
      <c r="A1649" s="3">
        <f>IFERROR(__xludf.DUMMYFUNCTION("""COMPUTED_VALUE"""),41959.99861111111)</f>
        <v>41959.99861</v>
      </c>
      <c r="B1649" s="1">
        <f>IFERROR(__xludf.DUMMYFUNCTION("""COMPUTED_VALUE"""),12224.93)</f>
        <v>12224.93</v>
      </c>
    </row>
    <row r="1650">
      <c r="A1650" s="3">
        <f>IFERROR(__xludf.DUMMYFUNCTION("""COMPUTED_VALUE"""),41960.99861111111)</f>
        <v>41960.99861</v>
      </c>
      <c r="B1650" s="1">
        <f>IFERROR(__xludf.DUMMYFUNCTION("""COMPUTED_VALUE"""),12195.0)</f>
        <v>12195</v>
      </c>
    </row>
    <row r="1651">
      <c r="A1651" s="3">
        <f>IFERROR(__xludf.DUMMYFUNCTION("""COMPUTED_VALUE"""),41961.99861111111)</f>
        <v>41961.99861</v>
      </c>
      <c r="B1651" s="1">
        <f>IFERROR(__xludf.DUMMYFUNCTION("""COMPUTED_VALUE"""),12125.0)</f>
        <v>12125</v>
      </c>
    </row>
    <row r="1652">
      <c r="A1652" s="3">
        <f>IFERROR(__xludf.DUMMYFUNCTION("""COMPUTED_VALUE"""),41962.99861111111)</f>
        <v>41962.99861</v>
      </c>
      <c r="B1652" s="1">
        <f>IFERROR(__xludf.DUMMYFUNCTION("""COMPUTED_VALUE"""),12102.0)</f>
        <v>12102</v>
      </c>
    </row>
    <row r="1653">
      <c r="A1653" s="3">
        <f>IFERROR(__xludf.DUMMYFUNCTION("""COMPUTED_VALUE"""),41963.99861111111)</f>
        <v>41963.99861</v>
      </c>
      <c r="B1653" s="1">
        <f>IFERROR(__xludf.DUMMYFUNCTION("""COMPUTED_VALUE"""),12133.0)</f>
        <v>12133</v>
      </c>
    </row>
    <row r="1654">
      <c r="A1654" s="3">
        <f>IFERROR(__xludf.DUMMYFUNCTION("""COMPUTED_VALUE"""),41964.99861111111)</f>
        <v>41964.99861</v>
      </c>
      <c r="B1654" s="1">
        <f>IFERROR(__xludf.DUMMYFUNCTION("""COMPUTED_VALUE"""),12133.0)</f>
        <v>12133</v>
      </c>
    </row>
    <row r="1655">
      <c r="A1655" s="3">
        <f>IFERROR(__xludf.DUMMYFUNCTION("""COMPUTED_VALUE"""),41965.99861111111)</f>
        <v>41965.99861</v>
      </c>
      <c r="B1655" s="1">
        <f>IFERROR(__xludf.DUMMYFUNCTION("""COMPUTED_VALUE"""),12254.9)</f>
        <v>12254.9</v>
      </c>
    </row>
    <row r="1656">
      <c r="A1656" s="3">
        <f>IFERROR(__xludf.DUMMYFUNCTION("""COMPUTED_VALUE"""),41966.99861111111)</f>
        <v>41966.99861</v>
      </c>
      <c r="B1656" s="1">
        <f>IFERROR(__xludf.DUMMYFUNCTION("""COMPUTED_VALUE"""),12150.66)</f>
        <v>12150.66</v>
      </c>
    </row>
    <row r="1657">
      <c r="A1657" s="3">
        <f>IFERROR(__xludf.DUMMYFUNCTION("""COMPUTED_VALUE"""),41967.99861111111)</f>
        <v>41967.99861</v>
      </c>
      <c r="B1657" s="1">
        <f>IFERROR(__xludf.DUMMYFUNCTION("""COMPUTED_VALUE"""),12133.0)</f>
        <v>12133</v>
      </c>
    </row>
    <row r="1658">
      <c r="A1658" s="3">
        <f>IFERROR(__xludf.DUMMYFUNCTION("""COMPUTED_VALUE"""),41968.99861111111)</f>
        <v>41968.99861</v>
      </c>
      <c r="B1658" s="1">
        <f>IFERROR(__xludf.DUMMYFUNCTION("""COMPUTED_VALUE"""),12133.0)</f>
        <v>12133</v>
      </c>
    </row>
    <row r="1659">
      <c r="A1659" s="3">
        <f>IFERROR(__xludf.DUMMYFUNCTION("""COMPUTED_VALUE"""),41969.99861111111)</f>
        <v>41969.99861</v>
      </c>
      <c r="B1659" s="1">
        <f>IFERROR(__xludf.DUMMYFUNCTION("""COMPUTED_VALUE"""),12175.0)</f>
        <v>12175</v>
      </c>
    </row>
    <row r="1660">
      <c r="A1660" s="3">
        <f>IFERROR(__xludf.DUMMYFUNCTION("""COMPUTED_VALUE"""),41970.99861111111)</f>
        <v>41970.99861</v>
      </c>
      <c r="B1660" s="1">
        <f>IFERROR(__xludf.DUMMYFUNCTION("""COMPUTED_VALUE"""),12175.0)</f>
        <v>12175</v>
      </c>
    </row>
    <row r="1661">
      <c r="A1661" s="3">
        <f>IFERROR(__xludf.DUMMYFUNCTION("""COMPUTED_VALUE"""),41971.99861111111)</f>
        <v>41971.99861</v>
      </c>
      <c r="B1661" s="1">
        <f>IFERROR(__xludf.DUMMYFUNCTION("""COMPUTED_VALUE"""),12175.0)</f>
        <v>12175</v>
      </c>
    </row>
    <row r="1662">
      <c r="A1662" s="3">
        <f>IFERROR(__xludf.DUMMYFUNCTION("""COMPUTED_VALUE"""),41972.99861111111)</f>
        <v>41972.99861</v>
      </c>
      <c r="B1662" s="1">
        <f>IFERROR(__xludf.DUMMYFUNCTION("""COMPUTED_VALUE"""),12195.12)</f>
        <v>12195.12</v>
      </c>
    </row>
    <row r="1663">
      <c r="A1663" s="3">
        <f>IFERROR(__xludf.DUMMYFUNCTION("""COMPUTED_VALUE"""),41973.99861111111)</f>
        <v>41973.99861</v>
      </c>
      <c r="B1663" s="1">
        <f>IFERROR(__xludf.DUMMYFUNCTION("""COMPUTED_VALUE"""),12195.12)</f>
        <v>12195.12</v>
      </c>
    </row>
    <row r="1664">
      <c r="A1664" s="3">
        <f>IFERROR(__xludf.DUMMYFUNCTION("""COMPUTED_VALUE"""),41974.99861111111)</f>
        <v>41974.99861</v>
      </c>
      <c r="B1664" s="1">
        <f>IFERROR(__xludf.DUMMYFUNCTION("""COMPUTED_VALUE"""),12285.0)</f>
        <v>12285</v>
      </c>
    </row>
    <row r="1665">
      <c r="A1665" s="3">
        <f>IFERROR(__xludf.DUMMYFUNCTION("""COMPUTED_VALUE"""),41975.99861111111)</f>
        <v>41975.99861</v>
      </c>
      <c r="B1665" s="1">
        <f>IFERROR(__xludf.DUMMYFUNCTION("""COMPUTED_VALUE"""),12285.0)</f>
        <v>12285</v>
      </c>
    </row>
    <row r="1666">
      <c r="A1666" s="3">
        <f>IFERROR(__xludf.DUMMYFUNCTION("""COMPUTED_VALUE"""),41976.99861111111)</f>
        <v>41976.99861</v>
      </c>
      <c r="B1666" s="1">
        <f>IFERROR(__xludf.DUMMYFUNCTION("""COMPUTED_VALUE"""),12285.0)</f>
        <v>12285</v>
      </c>
    </row>
    <row r="1667">
      <c r="A1667" s="3">
        <f>IFERROR(__xludf.DUMMYFUNCTION("""COMPUTED_VALUE"""),41977.99861111111)</f>
        <v>41977.99861</v>
      </c>
      <c r="B1667" s="1">
        <f>IFERROR(__xludf.DUMMYFUNCTION("""COMPUTED_VALUE"""),12285.0)</f>
        <v>12285</v>
      </c>
    </row>
    <row r="1668">
      <c r="A1668" s="3">
        <f>IFERROR(__xludf.DUMMYFUNCTION("""COMPUTED_VALUE"""),41978.99861111111)</f>
        <v>41978.99861</v>
      </c>
      <c r="B1668" s="1">
        <f>IFERROR(__xludf.DUMMYFUNCTION("""COMPUTED_VALUE"""),12285.0)</f>
        <v>12285</v>
      </c>
    </row>
    <row r="1669">
      <c r="A1669" s="3">
        <f>IFERROR(__xludf.DUMMYFUNCTION("""COMPUTED_VALUE"""),41979.99861111111)</f>
        <v>41979.99861</v>
      </c>
      <c r="B1669" s="1">
        <f>IFERROR(__xludf.DUMMYFUNCTION("""COMPUTED_VALUE"""),12406.94)</f>
        <v>12406.94</v>
      </c>
    </row>
    <row r="1670">
      <c r="A1670" s="3">
        <f>IFERROR(__xludf.DUMMYFUNCTION("""COMPUTED_VALUE"""),41980.99861111111)</f>
        <v>41980.99861</v>
      </c>
      <c r="B1670" s="1">
        <f>IFERROR(__xludf.DUMMYFUNCTION("""COMPUTED_VALUE"""),12300.12)</f>
        <v>12300.12</v>
      </c>
    </row>
    <row r="1671">
      <c r="A1671" s="3">
        <f>IFERROR(__xludf.DUMMYFUNCTION("""COMPUTED_VALUE"""),41981.99861111111)</f>
        <v>41981.99861</v>
      </c>
      <c r="B1671" s="1">
        <f>IFERROR(__xludf.DUMMYFUNCTION("""COMPUTED_VALUE"""),12285.0)</f>
        <v>12285</v>
      </c>
    </row>
    <row r="1672">
      <c r="A1672" s="3">
        <f>IFERROR(__xludf.DUMMYFUNCTION("""COMPUTED_VALUE"""),41982.99861111111)</f>
        <v>41982.99861</v>
      </c>
      <c r="B1672" s="1">
        <f>IFERROR(__xludf.DUMMYFUNCTION("""COMPUTED_VALUE"""),12285.0)</f>
        <v>12285</v>
      </c>
    </row>
    <row r="1673">
      <c r="A1673" s="3">
        <f>IFERROR(__xludf.DUMMYFUNCTION("""COMPUTED_VALUE"""),41983.99861111111)</f>
        <v>41983.99861</v>
      </c>
      <c r="B1673" s="1">
        <f>IFERROR(__xludf.DUMMYFUNCTION("""COMPUTED_VALUE"""),12285.0)</f>
        <v>12285</v>
      </c>
    </row>
    <row r="1674">
      <c r="A1674" s="3">
        <f>IFERROR(__xludf.DUMMYFUNCTION("""COMPUTED_VALUE"""),41984.99861111111)</f>
        <v>41984.99861</v>
      </c>
      <c r="B1674" s="1">
        <f>IFERROR(__xludf.DUMMYFUNCTION("""COMPUTED_VALUE"""),12463.0)</f>
        <v>12463</v>
      </c>
    </row>
    <row r="1675">
      <c r="A1675" s="3">
        <f>IFERROR(__xludf.DUMMYFUNCTION("""COMPUTED_VALUE"""),41985.99861111111)</f>
        <v>41985.99861</v>
      </c>
      <c r="B1675" s="1">
        <f>IFERROR(__xludf.DUMMYFUNCTION("""COMPUTED_VALUE"""),12612.0)</f>
        <v>12612</v>
      </c>
    </row>
    <row r="1676">
      <c r="A1676" s="3">
        <f>IFERROR(__xludf.DUMMYFUNCTION("""COMPUTED_VALUE"""),41986.99861111111)</f>
        <v>41986.99861</v>
      </c>
      <c r="B1676" s="1">
        <f>IFERROR(__xludf.DUMMYFUNCTION("""COMPUTED_VALUE"""),12626.26)</f>
        <v>12626.26</v>
      </c>
    </row>
    <row r="1677">
      <c r="A1677" s="3">
        <f>IFERROR(__xludf.DUMMYFUNCTION("""COMPUTED_VALUE"""),41987.99861111111)</f>
        <v>41987.99861</v>
      </c>
      <c r="B1677" s="1">
        <f>IFERROR(__xludf.DUMMYFUNCTION("""COMPUTED_VALUE"""),12626.26)</f>
        <v>12626.26</v>
      </c>
    </row>
    <row r="1678">
      <c r="A1678" s="3">
        <f>IFERROR(__xludf.DUMMYFUNCTION("""COMPUTED_VALUE"""),41988.99861111111)</f>
        <v>41988.99861</v>
      </c>
      <c r="B1678" s="1">
        <f>IFERROR(__xludf.DUMMYFUNCTION("""COMPUTED_VALUE"""),12850.0)</f>
        <v>12850</v>
      </c>
    </row>
    <row r="1679">
      <c r="A1679" s="3">
        <f>IFERROR(__xludf.DUMMYFUNCTION("""COMPUTED_VALUE"""),41989.99861111111)</f>
        <v>41989.99861</v>
      </c>
      <c r="B1679" s="1">
        <f>IFERROR(__xludf.DUMMYFUNCTION("""COMPUTED_VALUE"""),12705.0)</f>
        <v>12705</v>
      </c>
    </row>
    <row r="1680">
      <c r="A1680" s="3">
        <f>IFERROR(__xludf.DUMMYFUNCTION("""COMPUTED_VALUE"""),41990.99861111111)</f>
        <v>41990.99861</v>
      </c>
      <c r="B1680" s="1">
        <f>IFERROR(__xludf.DUMMYFUNCTION("""COMPUTED_VALUE"""),12673.0)</f>
        <v>12673</v>
      </c>
    </row>
    <row r="1681">
      <c r="A1681" s="3">
        <f>IFERROR(__xludf.DUMMYFUNCTION("""COMPUTED_VALUE"""),41991.99861111111)</f>
        <v>41991.99861</v>
      </c>
      <c r="B1681" s="1">
        <f>IFERROR(__xludf.DUMMYFUNCTION("""COMPUTED_VALUE"""),12480.0)</f>
        <v>12480</v>
      </c>
    </row>
    <row r="1682">
      <c r="A1682" s="3">
        <f>IFERROR(__xludf.DUMMYFUNCTION("""COMPUTED_VALUE"""),41992.99861111111)</f>
        <v>41992.99861</v>
      </c>
      <c r="B1682" s="1">
        <f>IFERROR(__xludf.DUMMYFUNCTION("""COMPUTED_VALUE"""),12367.0)</f>
        <v>12367</v>
      </c>
    </row>
    <row r="1683">
      <c r="A1683" s="3">
        <f>IFERROR(__xludf.DUMMYFUNCTION("""COMPUTED_VALUE"""),41993.99861111111)</f>
        <v>41993.99861</v>
      </c>
      <c r="B1683" s="1">
        <f>IFERROR(__xludf.DUMMYFUNCTION("""COMPUTED_VALUE"""),12422.36)</f>
        <v>12422.36</v>
      </c>
    </row>
    <row r="1684">
      <c r="A1684" s="3">
        <f>IFERROR(__xludf.DUMMYFUNCTION("""COMPUTED_VALUE"""),41994.99861111111)</f>
        <v>41994.99861</v>
      </c>
      <c r="B1684" s="1">
        <f>IFERROR(__xludf.DUMMYFUNCTION("""COMPUTED_VALUE"""),12422.36)</f>
        <v>12422.36</v>
      </c>
    </row>
    <row r="1685">
      <c r="A1685" s="3">
        <f>IFERROR(__xludf.DUMMYFUNCTION("""COMPUTED_VALUE"""),41995.99861111111)</f>
        <v>41995.99861</v>
      </c>
      <c r="B1685" s="1">
        <f>IFERROR(__xludf.DUMMYFUNCTION("""COMPUTED_VALUE"""),12460.0)</f>
        <v>12460</v>
      </c>
    </row>
    <row r="1686">
      <c r="A1686" s="3">
        <f>IFERROR(__xludf.DUMMYFUNCTION("""COMPUTED_VALUE"""),41996.99861111111)</f>
        <v>41996.99861</v>
      </c>
      <c r="B1686" s="1">
        <f>IFERROR(__xludf.DUMMYFUNCTION("""COMPUTED_VALUE"""),12415.0)</f>
        <v>12415</v>
      </c>
    </row>
    <row r="1687">
      <c r="A1687" s="3">
        <f>IFERROR(__xludf.DUMMYFUNCTION("""COMPUTED_VALUE"""),41997.99861111111)</f>
        <v>41997.99861</v>
      </c>
      <c r="B1687" s="1">
        <f>IFERROR(__xludf.DUMMYFUNCTION("""COMPUTED_VALUE"""),12470.0)</f>
        <v>12470</v>
      </c>
    </row>
    <row r="1688">
      <c r="A1688" s="3">
        <f>IFERROR(__xludf.DUMMYFUNCTION("""COMPUTED_VALUE"""),41998.99861111111)</f>
        <v>41998.99861</v>
      </c>
      <c r="B1688" s="1">
        <f>IFERROR(__xludf.DUMMYFUNCTION("""COMPUTED_VALUE"""),12470.0)</f>
        <v>12470</v>
      </c>
    </row>
    <row r="1689">
      <c r="A1689" s="3">
        <f>IFERROR(__xludf.DUMMYFUNCTION("""COMPUTED_VALUE"""),41999.99861111111)</f>
        <v>41999.99861</v>
      </c>
      <c r="B1689" s="1">
        <f>IFERROR(__xludf.DUMMYFUNCTION("""COMPUTED_VALUE"""),12410.0)</f>
        <v>12410</v>
      </c>
    </row>
    <row r="1690">
      <c r="A1690" s="3">
        <f>IFERROR(__xludf.DUMMYFUNCTION("""COMPUTED_VALUE"""),42000.99861111111)</f>
        <v>42000.99861</v>
      </c>
      <c r="B1690" s="1">
        <f>IFERROR(__xludf.DUMMYFUNCTION("""COMPUTED_VALUE"""),12405.0)</f>
        <v>12405</v>
      </c>
    </row>
    <row r="1691">
      <c r="A1691" s="3">
        <f>IFERROR(__xludf.DUMMYFUNCTION("""COMPUTED_VALUE"""),42001.99861111111)</f>
        <v>42001.99861</v>
      </c>
      <c r="B1691" s="1">
        <f>IFERROR(__xludf.DUMMYFUNCTION("""COMPUTED_VALUE"""),12453.3)</f>
        <v>12453.3</v>
      </c>
    </row>
    <row r="1692">
      <c r="A1692" s="3">
        <f>IFERROR(__xludf.DUMMYFUNCTION("""COMPUTED_VALUE"""),42002.99861111111)</f>
        <v>42002.99861</v>
      </c>
      <c r="B1692" s="1">
        <f>IFERROR(__xludf.DUMMYFUNCTION("""COMPUTED_VALUE"""),12410.0)</f>
        <v>12410</v>
      </c>
    </row>
    <row r="1693">
      <c r="A1693" s="3">
        <f>IFERROR(__xludf.DUMMYFUNCTION("""COMPUTED_VALUE"""),42003.99861111111)</f>
        <v>42003.99861</v>
      </c>
      <c r="B1693" s="1">
        <f>IFERROR(__xludf.DUMMYFUNCTION("""COMPUTED_VALUE"""),12420.0)</f>
        <v>12420</v>
      </c>
    </row>
    <row r="1694">
      <c r="A1694" s="3">
        <f>IFERROR(__xludf.DUMMYFUNCTION("""COMPUTED_VALUE"""),42004.99861111111)</f>
        <v>42004.99861</v>
      </c>
      <c r="B1694" s="1">
        <f>IFERROR(__xludf.DUMMYFUNCTION("""COMPUTED_VALUE"""),12390.0)</f>
        <v>12390</v>
      </c>
    </row>
    <row r="1695">
      <c r="A1695" s="3">
        <f>IFERROR(__xludf.DUMMYFUNCTION("""COMPUTED_VALUE"""),42005.99861111111)</f>
        <v>42005.99861</v>
      </c>
      <c r="B1695" s="1">
        <f>IFERROR(__xludf.DUMMYFUNCTION("""COMPUTED_VALUE"""),12390.0)</f>
        <v>12390</v>
      </c>
    </row>
    <row r="1696">
      <c r="A1696" s="3">
        <f>IFERROR(__xludf.DUMMYFUNCTION("""COMPUTED_VALUE"""),42006.99861111111)</f>
        <v>42006.99861</v>
      </c>
      <c r="B1696" s="1">
        <f>IFERROR(__xludf.DUMMYFUNCTION("""COMPUTED_VALUE"""),12480.0)</f>
        <v>12480</v>
      </c>
    </row>
    <row r="1697">
      <c r="A1697" s="3">
        <f>IFERROR(__xludf.DUMMYFUNCTION("""COMPUTED_VALUE"""),42007.99861111111)</f>
        <v>42007.99861</v>
      </c>
      <c r="B1697" s="1">
        <f>IFERROR(__xludf.DUMMYFUNCTION("""COMPUTED_VALUE"""),12547.05)</f>
        <v>12547.05</v>
      </c>
    </row>
    <row r="1698">
      <c r="A1698" s="3">
        <f>IFERROR(__xludf.DUMMYFUNCTION("""COMPUTED_VALUE"""),42008.99861111111)</f>
        <v>42008.99861</v>
      </c>
      <c r="B1698" s="1">
        <f>IFERROR(__xludf.DUMMYFUNCTION("""COMPUTED_VALUE"""),12547.05)</f>
        <v>12547.05</v>
      </c>
    </row>
    <row r="1699">
      <c r="A1699" s="3">
        <f>IFERROR(__xludf.DUMMYFUNCTION("""COMPUTED_VALUE"""),42009.99861111111)</f>
        <v>42009.99861</v>
      </c>
      <c r="B1699" s="1">
        <f>IFERROR(__xludf.DUMMYFUNCTION("""COMPUTED_VALUE"""),12625.0)</f>
        <v>12625</v>
      </c>
    </row>
    <row r="1700">
      <c r="A1700" s="3">
        <f>IFERROR(__xludf.DUMMYFUNCTION("""COMPUTED_VALUE"""),42010.99861111111)</f>
        <v>42010.99861</v>
      </c>
      <c r="B1700" s="1">
        <f>IFERROR(__xludf.DUMMYFUNCTION("""COMPUTED_VALUE"""),12635.0)</f>
        <v>12635</v>
      </c>
    </row>
    <row r="1701">
      <c r="A1701" s="3">
        <f>IFERROR(__xludf.DUMMYFUNCTION("""COMPUTED_VALUE"""),42011.99861111111)</f>
        <v>42011.99861</v>
      </c>
      <c r="B1701" s="1">
        <f>IFERROR(__xludf.DUMMYFUNCTION("""COMPUTED_VALUE"""),12720.0)</f>
        <v>12720</v>
      </c>
    </row>
    <row r="1702">
      <c r="A1702" s="3">
        <f>IFERROR(__xludf.DUMMYFUNCTION("""COMPUTED_VALUE"""),42012.99861111111)</f>
        <v>42012.99861</v>
      </c>
      <c r="B1702" s="1">
        <f>IFERROR(__xludf.DUMMYFUNCTION("""COMPUTED_VALUE"""),12610.0)</f>
        <v>12610</v>
      </c>
    </row>
    <row r="1703">
      <c r="A1703" s="3">
        <f>IFERROR(__xludf.DUMMYFUNCTION("""COMPUTED_VALUE"""),42013.99861111111)</f>
        <v>42013.99861</v>
      </c>
      <c r="B1703" s="1">
        <f>IFERROR(__xludf.DUMMYFUNCTION("""COMPUTED_VALUE"""),12565.0)</f>
        <v>12565</v>
      </c>
    </row>
    <row r="1704">
      <c r="A1704" s="3">
        <f>IFERROR(__xludf.DUMMYFUNCTION("""COMPUTED_VALUE"""),42014.99861111111)</f>
        <v>42014.99861</v>
      </c>
      <c r="B1704" s="1">
        <f>IFERROR(__xludf.DUMMYFUNCTION("""COMPUTED_VALUE"""),12804.09)</f>
        <v>12804.09</v>
      </c>
    </row>
    <row r="1705">
      <c r="A1705" s="3">
        <f>IFERROR(__xludf.DUMMYFUNCTION("""COMPUTED_VALUE"""),42015.99861111111)</f>
        <v>42015.99861</v>
      </c>
      <c r="B1705" s="1">
        <f>IFERROR(__xludf.DUMMYFUNCTION("""COMPUTED_VALUE"""),12787.72)</f>
        <v>12787.72</v>
      </c>
    </row>
    <row r="1706">
      <c r="A1706" s="3">
        <f>IFERROR(__xludf.DUMMYFUNCTION("""COMPUTED_VALUE"""),42016.99861111111)</f>
        <v>42016.99861</v>
      </c>
      <c r="B1706" s="1">
        <f>IFERROR(__xludf.DUMMYFUNCTION("""COMPUTED_VALUE"""),12558.0)</f>
        <v>12558</v>
      </c>
    </row>
    <row r="1707">
      <c r="A1707" s="3">
        <f>IFERROR(__xludf.DUMMYFUNCTION("""COMPUTED_VALUE"""),42017.99861111111)</f>
        <v>42017.99861</v>
      </c>
      <c r="B1707" s="1">
        <f>IFERROR(__xludf.DUMMYFUNCTION("""COMPUTED_VALUE"""),12587.0)</f>
        <v>12587</v>
      </c>
    </row>
    <row r="1708">
      <c r="A1708" s="3">
        <f>IFERROR(__xludf.DUMMYFUNCTION("""COMPUTED_VALUE"""),42018.99861111111)</f>
        <v>42018.99861</v>
      </c>
      <c r="B1708" s="1">
        <f>IFERROR(__xludf.DUMMYFUNCTION("""COMPUTED_VALUE"""),12555.0)</f>
        <v>12555</v>
      </c>
    </row>
    <row r="1709">
      <c r="A1709" s="3">
        <f>IFERROR(__xludf.DUMMYFUNCTION("""COMPUTED_VALUE"""),42019.99861111111)</f>
        <v>42019.99861</v>
      </c>
      <c r="B1709" s="1">
        <f>IFERROR(__xludf.DUMMYFUNCTION("""COMPUTED_VALUE"""),12469.0)</f>
        <v>12469</v>
      </c>
    </row>
    <row r="1710">
      <c r="A1710" s="3">
        <f>IFERROR(__xludf.DUMMYFUNCTION("""COMPUTED_VALUE"""),42020.99861111111)</f>
        <v>42020.99861</v>
      </c>
      <c r="B1710" s="1">
        <f>IFERROR(__xludf.DUMMYFUNCTION("""COMPUTED_VALUE"""),12580.0)</f>
        <v>12580</v>
      </c>
    </row>
    <row r="1711">
      <c r="A1711" s="3">
        <f>IFERROR(__xludf.DUMMYFUNCTION("""COMPUTED_VALUE"""),42021.99861111111)</f>
        <v>42021.99861</v>
      </c>
      <c r="B1711" s="1">
        <f>IFERROR(__xludf.DUMMYFUNCTION("""COMPUTED_VALUE"""),12820.51)</f>
        <v>12820.51</v>
      </c>
    </row>
    <row r="1712">
      <c r="A1712" s="3">
        <f>IFERROR(__xludf.DUMMYFUNCTION("""COMPUTED_VALUE"""),42022.99861111111)</f>
        <v>42022.99861</v>
      </c>
      <c r="B1712" s="1">
        <f>IFERROR(__xludf.DUMMYFUNCTION("""COMPUTED_VALUE"""),12804.09)</f>
        <v>12804.09</v>
      </c>
    </row>
    <row r="1713">
      <c r="A1713" s="3">
        <f>IFERROR(__xludf.DUMMYFUNCTION("""COMPUTED_VALUE"""),42023.99861111111)</f>
        <v>42023.99861</v>
      </c>
      <c r="B1713" s="1">
        <f>IFERROR(__xludf.DUMMYFUNCTION("""COMPUTED_VALUE"""),12630.0)</f>
        <v>12630</v>
      </c>
    </row>
    <row r="1714">
      <c r="A1714" s="3">
        <f>IFERROR(__xludf.DUMMYFUNCTION("""COMPUTED_VALUE"""),42024.99861111111)</f>
        <v>42024.99861</v>
      </c>
      <c r="B1714" s="1">
        <f>IFERROR(__xludf.DUMMYFUNCTION("""COMPUTED_VALUE"""),12562.0)</f>
        <v>12562</v>
      </c>
    </row>
    <row r="1715">
      <c r="A1715" s="3">
        <f>IFERROR(__xludf.DUMMYFUNCTION("""COMPUTED_VALUE"""),42025.99861111111)</f>
        <v>42025.99861</v>
      </c>
      <c r="B1715" s="1">
        <f>IFERROR(__xludf.DUMMYFUNCTION("""COMPUTED_VALUE"""),12465.0)</f>
        <v>12465</v>
      </c>
    </row>
    <row r="1716">
      <c r="A1716" s="3">
        <f>IFERROR(__xludf.DUMMYFUNCTION("""COMPUTED_VALUE"""),42026.99861111111)</f>
        <v>42026.99861</v>
      </c>
      <c r="B1716" s="1">
        <f>IFERROR(__xludf.DUMMYFUNCTION("""COMPUTED_VALUE"""),12405.0)</f>
        <v>12405</v>
      </c>
    </row>
    <row r="1717">
      <c r="A1717" s="3">
        <f>IFERROR(__xludf.DUMMYFUNCTION("""COMPUTED_VALUE"""),42027.99861111111)</f>
        <v>42027.99861</v>
      </c>
      <c r="B1717" s="1">
        <f>IFERROR(__xludf.DUMMYFUNCTION("""COMPUTED_VALUE"""),12423.0)</f>
        <v>12423</v>
      </c>
    </row>
    <row r="1718">
      <c r="A1718" s="3">
        <f>IFERROR(__xludf.DUMMYFUNCTION("""COMPUTED_VALUE"""),42028.99861111111)</f>
        <v>42028.99861</v>
      </c>
      <c r="B1718" s="1">
        <f>IFERROR(__xludf.DUMMYFUNCTION("""COMPUTED_VALUE"""),12515.64)</f>
        <v>12515.64</v>
      </c>
    </row>
    <row r="1719">
      <c r="A1719" s="3">
        <f>IFERROR(__xludf.DUMMYFUNCTION("""COMPUTED_VALUE"""),42029.99861111111)</f>
        <v>42029.99861</v>
      </c>
      <c r="B1719" s="1">
        <f>IFERROR(__xludf.DUMMYFUNCTION("""COMPUTED_VALUE"""),12515.64)</f>
        <v>12515.64</v>
      </c>
    </row>
    <row r="1720">
      <c r="A1720" s="3">
        <f>IFERROR(__xludf.DUMMYFUNCTION("""COMPUTED_VALUE"""),42030.99861111111)</f>
        <v>42030.99861</v>
      </c>
      <c r="B1720" s="1">
        <f>IFERROR(__xludf.DUMMYFUNCTION("""COMPUTED_VALUE"""),12487.0)</f>
        <v>12487</v>
      </c>
    </row>
    <row r="1721">
      <c r="A1721" s="3">
        <f>IFERROR(__xludf.DUMMYFUNCTION("""COMPUTED_VALUE"""),42031.99861111111)</f>
        <v>42031.99861</v>
      </c>
      <c r="B1721" s="1">
        <f>IFERROR(__xludf.DUMMYFUNCTION("""COMPUTED_VALUE"""),12450.0)</f>
        <v>12450</v>
      </c>
    </row>
    <row r="1722">
      <c r="A1722" s="3">
        <f>IFERROR(__xludf.DUMMYFUNCTION("""COMPUTED_VALUE"""),42032.99861111111)</f>
        <v>42032.99861</v>
      </c>
      <c r="B1722" s="1">
        <f>IFERROR(__xludf.DUMMYFUNCTION("""COMPUTED_VALUE"""),12455.0)</f>
        <v>12455</v>
      </c>
    </row>
    <row r="1723">
      <c r="A1723" s="3">
        <f>IFERROR(__xludf.DUMMYFUNCTION("""COMPUTED_VALUE"""),42033.99861111111)</f>
        <v>42033.99861</v>
      </c>
      <c r="B1723" s="1">
        <f>IFERROR(__xludf.DUMMYFUNCTION("""COMPUTED_VALUE"""),12570.0)</f>
        <v>12570</v>
      </c>
    </row>
    <row r="1724">
      <c r="A1724" s="3">
        <f>IFERROR(__xludf.DUMMYFUNCTION("""COMPUTED_VALUE"""),42034.99861111111)</f>
        <v>42034.99861</v>
      </c>
      <c r="B1724" s="1">
        <f>IFERROR(__xludf.DUMMYFUNCTION("""COMPUTED_VALUE"""),12730.0)</f>
        <v>12730</v>
      </c>
    </row>
    <row r="1725">
      <c r="A1725" s="3">
        <f>IFERROR(__xludf.DUMMYFUNCTION("""COMPUTED_VALUE"""),42035.99861111111)</f>
        <v>42035.99861</v>
      </c>
      <c r="B1725" s="1">
        <f>IFERROR(__xludf.DUMMYFUNCTION("""COMPUTED_VALUE"""),12787.72)</f>
        <v>12787.72</v>
      </c>
    </row>
    <row r="1726">
      <c r="A1726" s="3">
        <f>IFERROR(__xludf.DUMMYFUNCTION("""COMPUTED_VALUE"""),42036.99861111111)</f>
        <v>42036.99861</v>
      </c>
      <c r="B1726" s="1">
        <f>IFERROR(__xludf.DUMMYFUNCTION("""COMPUTED_VALUE"""),12787.72)</f>
        <v>12787.72</v>
      </c>
    </row>
    <row r="1727">
      <c r="A1727" s="3">
        <f>IFERROR(__xludf.DUMMYFUNCTION("""COMPUTED_VALUE"""),42037.99861111111)</f>
        <v>42037.99861</v>
      </c>
      <c r="B1727" s="1">
        <f>IFERROR(__xludf.DUMMYFUNCTION("""COMPUTED_VALUE"""),12645.0)</f>
        <v>12645</v>
      </c>
    </row>
    <row r="1728">
      <c r="A1728" s="3">
        <f>IFERROR(__xludf.DUMMYFUNCTION("""COMPUTED_VALUE"""),42038.99861111111)</f>
        <v>42038.99861</v>
      </c>
      <c r="B1728" s="1">
        <f>IFERROR(__xludf.DUMMYFUNCTION("""COMPUTED_VALUE"""),12575.0)</f>
        <v>12575</v>
      </c>
    </row>
    <row r="1729">
      <c r="A1729" s="3">
        <f>IFERROR(__xludf.DUMMYFUNCTION("""COMPUTED_VALUE"""),42039.99861111111)</f>
        <v>42039.99861</v>
      </c>
      <c r="B1729" s="1">
        <f>IFERROR(__xludf.DUMMYFUNCTION("""COMPUTED_VALUE"""),12625.0)</f>
        <v>12625</v>
      </c>
    </row>
    <row r="1730">
      <c r="A1730" s="3">
        <f>IFERROR(__xludf.DUMMYFUNCTION("""COMPUTED_VALUE"""),42040.99861111111)</f>
        <v>42040.99861</v>
      </c>
      <c r="B1730" s="1">
        <f>IFERROR(__xludf.DUMMYFUNCTION("""COMPUTED_VALUE"""),12587.0)</f>
        <v>12587</v>
      </c>
    </row>
    <row r="1731">
      <c r="A1731" s="3">
        <f>IFERROR(__xludf.DUMMYFUNCTION("""COMPUTED_VALUE"""),42041.99861111111)</f>
        <v>42041.99861</v>
      </c>
      <c r="B1731" s="1">
        <f>IFERROR(__xludf.DUMMYFUNCTION("""COMPUTED_VALUE"""),12633.0)</f>
        <v>12633</v>
      </c>
    </row>
    <row r="1732">
      <c r="A1732" s="3">
        <f>IFERROR(__xludf.DUMMYFUNCTION("""COMPUTED_VALUE"""),42042.99861111111)</f>
        <v>42042.99861</v>
      </c>
      <c r="B1732" s="1">
        <f>IFERROR(__xludf.DUMMYFUNCTION("""COMPUTED_VALUE"""),12953.36)</f>
        <v>12953.36</v>
      </c>
    </row>
    <row r="1733">
      <c r="A1733" s="3">
        <f>IFERROR(__xludf.DUMMYFUNCTION("""COMPUTED_VALUE"""),42043.99861111111)</f>
        <v>42043.99861</v>
      </c>
      <c r="B1733" s="1">
        <f>IFERROR(__xludf.DUMMYFUNCTION("""COMPUTED_VALUE"""),12953.36)</f>
        <v>12953.36</v>
      </c>
    </row>
    <row r="1734">
      <c r="A1734" s="3">
        <f>IFERROR(__xludf.DUMMYFUNCTION("""COMPUTED_VALUE"""),42044.99861111111)</f>
        <v>42044.99861</v>
      </c>
      <c r="B1734" s="1">
        <f>IFERROR(__xludf.DUMMYFUNCTION("""COMPUTED_VALUE"""),12665.0)</f>
        <v>12665</v>
      </c>
    </row>
    <row r="1735">
      <c r="A1735" s="3">
        <f>IFERROR(__xludf.DUMMYFUNCTION("""COMPUTED_VALUE"""),42045.99861111111)</f>
        <v>42045.99861</v>
      </c>
      <c r="B1735" s="1">
        <f>IFERROR(__xludf.DUMMYFUNCTION("""COMPUTED_VALUE"""),12727.0)</f>
        <v>12727</v>
      </c>
    </row>
    <row r="1736">
      <c r="A1736" s="3">
        <f>IFERROR(__xludf.DUMMYFUNCTION("""COMPUTED_VALUE"""),42046.99861111111)</f>
        <v>42046.99861</v>
      </c>
      <c r="B1736" s="1">
        <f>IFERROR(__xludf.DUMMYFUNCTION("""COMPUTED_VALUE"""),12805.0)</f>
        <v>12805</v>
      </c>
    </row>
    <row r="1737">
      <c r="A1737" s="3">
        <f>IFERROR(__xludf.DUMMYFUNCTION("""COMPUTED_VALUE"""),42047.99861111111)</f>
        <v>42047.99861</v>
      </c>
      <c r="B1737" s="1">
        <f>IFERROR(__xludf.DUMMYFUNCTION("""COMPUTED_VALUE"""),12770.0)</f>
        <v>12770</v>
      </c>
    </row>
    <row r="1738">
      <c r="A1738" s="3">
        <f>IFERROR(__xludf.DUMMYFUNCTION("""COMPUTED_VALUE"""),42048.99861111111)</f>
        <v>42048.99861</v>
      </c>
      <c r="B1738" s="1">
        <f>IFERROR(__xludf.DUMMYFUNCTION("""COMPUTED_VALUE"""),12677.0)</f>
        <v>12677</v>
      </c>
    </row>
    <row r="1739">
      <c r="A1739" s="3">
        <f>IFERROR(__xludf.DUMMYFUNCTION("""COMPUTED_VALUE"""),42049.99861111111)</f>
        <v>42049.99861</v>
      </c>
      <c r="B1739" s="1">
        <f>IFERROR(__xludf.DUMMYFUNCTION("""COMPUTED_VALUE"""),12804.09)</f>
        <v>12804.09</v>
      </c>
    </row>
    <row r="1740">
      <c r="A1740" s="3">
        <f>IFERROR(__xludf.DUMMYFUNCTION("""COMPUTED_VALUE"""),42050.99861111111)</f>
        <v>42050.99861</v>
      </c>
      <c r="B1740" s="1">
        <f>IFERROR(__xludf.DUMMYFUNCTION("""COMPUTED_VALUE"""),12787.72)</f>
        <v>12787.72</v>
      </c>
    </row>
    <row r="1741">
      <c r="A1741" s="3">
        <f>IFERROR(__xludf.DUMMYFUNCTION("""COMPUTED_VALUE"""),42051.99861111111)</f>
        <v>42051.99861</v>
      </c>
      <c r="B1741" s="1">
        <f>IFERROR(__xludf.DUMMYFUNCTION("""COMPUTED_VALUE"""),12615.0)</f>
        <v>12615</v>
      </c>
    </row>
    <row r="1742">
      <c r="A1742" s="3">
        <f>IFERROR(__xludf.DUMMYFUNCTION("""COMPUTED_VALUE"""),42052.99861111111)</f>
        <v>42052.99861</v>
      </c>
      <c r="B1742" s="1">
        <f>IFERROR(__xludf.DUMMYFUNCTION("""COMPUTED_VALUE"""),12772.0)</f>
        <v>12772</v>
      </c>
    </row>
    <row r="1743">
      <c r="A1743" s="3">
        <f>IFERROR(__xludf.DUMMYFUNCTION("""COMPUTED_VALUE"""),42053.99861111111)</f>
        <v>42053.99861</v>
      </c>
      <c r="B1743" s="1">
        <f>IFERROR(__xludf.DUMMYFUNCTION("""COMPUTED_VALUE"""),12810.0)</f>
        <v>12810</v>
      </c>
    </row>
    <row r="1744">
      <c r="A1744" s="3">
        <f>IFERROR(__xludf.DUMMYFUNCTION("""COMPUTED_VALUE"""),42054.99861111111)</f>
        <v>42054.99861</v>
      </c>
      <c r="B1744" s="1">
        <f>IFERROR(__xludf.DUMMYFUNCTION("""COMPUTED_VALUE"""),12885.0)</f>
        <v>12885</v>
      </c>
    </row>
    <row r="1745">
      <c r="A1745" s="3">
        <f>IFERROR(__xludf.DUMMYFUNCTION("""COMPUTED_VALUE"""),42055.99861111111)</f>
        <v>42055.99861</v>
      </c>
      <c r="B1745" s="1">
        <f>IFERROR(__xludf.DUMMYFUNCTION("""COMPUTED_VALUE"""),12813.0)</f>
        <v>12813</v>
      </c>
    </row>
    <row r="1746">
      <c r="A1746" s="3">
        <f>IFERROR(__xludf.DUMMYFUNCTION("""COMPUTED_VALUE"""),42056.99861111111)</f>
        <v>42056.99861</v>
      </c>
      <c r="B1746" s="1">
        <f>IFERROR(__xludf.DUMMYFUNCTION("""COMPUTED_VALUE"""),12870.01)</f>
        <v>12870.01</v>
      </c>
    </row>
    <row r="1747">
      <c r="A1747" s="3">
        <f>IFERROR(__xludf.DUMMYFUNCTION("""COMPUTED_VALUE"""),42057.99861111111)</f>
        <v>42057.99861</v>
      </c>
      <c r="B1747" s="1">
        <f>IFERROR(__xludf.DUMMYFUNCTION("""COMPUTED_VALUE"""),12870.01)</f>
        <v>12870.01</v>
      </c>
    </row>
    <row r="1748">
      <c r="A1748" s="3">
        <f>IFERROR(__xludf.DUMMYFUNCTION("""COMPUTED_VALUE"""),42058.99861111111)</f>
        <v>42058.99861</v>
      </c>
      <c r="B1748" s="1">
        <f>IFERROR(__xludf.DUMMYFUNCTION("""COMPUTED_VALUE"""),12860.0)</f>
        <v>12860</v>
      </c>
    </row>
    <row r="1749">
      <c r="A1749" s="3">
        <f>IFERROR(__xludf.DUMMYFUNCTION("""COMPUTED_VALUE"""),42059.99861111111)</f>
        <v>42059.99861</v>
      </c>
      <c r="B1749" s="1">
        <f>IFERROR(__xludf.DUMMYFUNCTION("""COMPUTED_VALUE"""),12797.0)</f>
        <v>12797</v>
      </c>
    </row>
    <row r="1750">
      <c r="A1750" s="3">
        <f>IFERROR(__xludf.DUMMYFUNCTION("""COMPUTED_VALUE"""),42060.99861111111)</f>
        <v>42060.99861</v>
      </c>
      <c r="B1750" s="1">
        <f>IFERROR(__xludf.DUMMYFUNCTION("""COMPUTED_VALUE"""),12855.0)</f>
        <v>12855</v>
      </c>
    </row>
    <row r="1751">
      <c r="A1751" s="3">
        <f>IFERROR(__xludf.DUMMYFUNCTION("""COMPUTED_VALUE"""),42061.99861111111)</f>
        <v>42061.99861</v>
      </c>
      <c r="B1751" s="1">
        <f>IFERROR(__xludf.DUMMYFUNCTION("""COMPUTED_VALUE"""),12857.0)</f>
        <v>12857</v>
      </c>
    </row>
    <row r="1752">
      <c r="A1752" s="3">
        <f>IFERROR(__xludf.DUMMYFUNCTION("""COMPUTED_VALUE"""),42062.99861111111)</f>
        <v>42062.99861</v>
      </c>
      <c r="B1752" s="1">
        <f>IFERROR(__xludf.DUMMYFUNCTION("""COMPUTED_VALUE"""),12978.0)</f>
        <v>12978</v>
      </c>
    </row>
    <row r="1753">
      <c r="A1753" s="3">
        <f>IFERROR(__xludf.DUMMYFUNCTION("""COMPUTED_VALUE"""),42063.99861111111)</f>
        <v>42063.99861</v>
      </c>
      <c r="B1753" s="1">
        <f>IFERROR(__xludf.DUMMYFUNCTION("""COMPUTED_VALUE"""),13003.9)</f>
        <v>13003.9</v>
      </c>
    </row>
    <row r="1754">
      <c r="A1754" s="3">
        <f>IFERROR(__xludf.DUMMYFUNCTION("""COMPUTED_VALUE"""),42064.99861111111)</f>
        <v>42064.99861</v>
      </c>
      <c r="B1754" s="1">
        <f>IFERROR(__xludf.DUMMYFUNCTION("""COMPUTED_VALUE"""),13003.9)</f>
        <v>13003.9</v>
      </c>
    </row>
    <row r="1755">
      <c r="A1755" s="3">
        <f>IFERROR(__xludf.DUMMYFUNCTION("""COMPUTED_VALUE"""),42065.99861111111)</f>
        <v>42065.99861</v>
      </c>
      <c r="B1755" s="1">
        <f>IFERROR(__xludf.DUMMYFUNCTION("""COMPUTED_VALUE"""),12995.0)</f>
        <v>12995</v>
      </c>
    </row>
    <row r="1756">
      <c r="A1756" s="3">
        <f>IFERROR(__xludf.DUMMYFUNCTION("""COMPUTED_VALUE"""),42066.99861111111)</f>
        <v>42066.99861</v>
      </c>
      <c r="B1756" s="1">
        <f>IFERROR(__xludf.DUMMYFUNCTION("""COMPUTED_VALUE"""),12970.0)</f>
        <v>12970</v>
      </c>
    </row>
    <row r="1757">
      <c r="A1757" s="3">
        <f>IFERROR(__xludf.DUMMYFUNCTION("""COMPUTED_VALUE"""),42067.99861111111)</f>
        <v>42067.99861</v>
      </c>
      <c r="B1757" s="1">
        <f>IFERROR(__xludf.DUMMYFUNCTION("""COMPUTED_VALUE"""),13015.0)</f>
        <v>13015</v>
      </c>
    </row>
    <row r="1758">
      <c r="A1758" s="3">
        <f>IFERROR(__xludf.DUMMYFUNCTION("""COMPUTED_VALUE"""),42068.99861111111)</f>
        <v>42068.99861</v>
      </c>
      <c r="B1758" s="1">
        <f>IFERROR(__xludf.DUMMYFUNCTION("""COMPUTED_VALUE"""),12900.0)</f>
        <v>12900</v>
      </c>
    </row>
    <row r="1759">
      <c r="A1759" s="3">
        <f>IFERROR(__xludf.DUMMYFUNCTION("""COMPUTED_VALUE"""),42069.99861111111)</f>
        <v>42069.99861</v>
      </c>
      <c r="B1759" s="1">
        <f>IFERROR(__xludf.DUMMYFUNCTION("""COMPUTED_VALUE"""),13030.0)</f>
        <v>13030</v>
      </c>
    </row>
    <row r="1760">
      <c r="A1760" s="3">
        <f>IFERROR(__xludf.DUMMYFUNCTION("""COMPUTED_VALUE"""),42070.99861111111)</f>
        <v>42070.99861</v>
      </c>
      <c r="B1760" s="1">
        <f>IFERROR(__xludf.DUMMYFUNCTION("""COMPUTED_VALUE"""),13227.51)</f>
        <v>13227.51</v>
      </c>
    </row>
    <row r="1761">
      <c r="A1761" s="3">
        <f>IFERROR(__xludf.DUMMYFUNCTION("""COMPUTED_VALUE"""),42071.99861111111)</f>
        <v>42071.99861</v>
      </c>
      <c r="B1761" s="1">
        <f>IFERROR(__xludf.DUMMYFUNCTION("""COMPUTED_VALUE"""),13227.51)</f>
        <v>13227.51</v>
      </c>
    </row>
    <row r="1762">
      <c r="A1762" s="3">
        <f>IFERROR(__xludf.DUMMYFUNCTION("""COMPUTED_VALUE"""),42072.99861111111)</f>
        <v>42072.99861</v>
      </c>
      <c r="B1762" s="1">
        <f>IFERROR(__xludf.DUMMYFUNCTION("""COMPUTED_VALUE"""),13073.0)</f>
        <v>13073</v>
      </c>
    </row>
    <row r="1763">
      <c r="A1763" s="3">
        <f>IFERROR(__xludf.DUMMYFUNCTION("""COMPUTED_VALUE"""),42073.99861111111)</f>
        <v>42073.99861</v>
      </c>
      <c r="B1763" s="1">
        <f>IFERROR(__xludf.DUMMYFUNCTION("""COMPUTED_VALUE"""),13070.0)</f>
        <v>13070</v>
      </c>
    </row>
    <row r="1764">
      <c r="A1764" s="3">
        <f>IFERROR(__xludf.DUMMYFUNCTION("""COMPUTED_VALUE"""),42074.99861111111)</f>
        <v>42074.99861</v>
      </c>
      <c r="B1764" s="1">
        <f>IFERROR(__xludf.DUMMYFUNCTION("""COMPUTED_VALUE"""),13175.0)</f>
        <v>13175</v>
      </c>
    </row>
    <row r="1765">
      <c r="A1765" s="3">
        <f>IFERROR(__xludf.DUMMYFUNCTION("""COMPUTED_VALUE"""),42075.99861111111)</f>
        <v>42075.99861</v>
      </c>
      <c r="B1765" s="1">
        <f>IFERROR(__xludf.DUMMYFUNCTION("""COMPUTED_VALUE"""),13170.0)</f>
        <v>13170</v>
      </c>
    </row>
    <row r="1766">
      <c r="A1766" s="3">
        <f>IFERROR(__xludf.DUMMYFUNCTION("""COMPUTED_VALUE"""),42076.99861111111)</f>
        <v>42076.99861</v>
      </c>
      <c r="B1766" s="1">
        <f>IFERROR(__xludf.DUMMYFUNCTION("""COMPUTED_VALUE"""),13185.0)</f>
        <v>13185</v>
      </c>
    </row>
    <row r="1767">
      <c r="A1767" s="3">
        <f>IFERROR(__xludf.DUMMYFUNCTION("""COMPUTED_VALUE"""),42077.99861111111)</f>
        <v>42077.99861</v>
      </c>
      <c r="B1767" s="1">
        <f>IFERROR(__xludf.DUMMYFUNCTION("""COMPUTED_VALUE"""),13280.21)</f>
        <v>13280.21</v>
      </c>
    </row>
    <row r="1768">
      <c r="A1768" s="3">
        <f>IFERROR(__xludf.DUMMYFUNCTION("""COMPUTED_VALUE"""),42078.99861111111)</f>
        <v>42078.99861</v>
      </c>
      <c r="B1768" s="1">
        <f>IFERROR(__xludf.DUMMYFUNCTION("""COMPUTED_VALUE"""),13280.21)</f>
        <v>13280.21</v>
      </c>
    </row>
    <row r="1769">
      <c r="A1769" s="3">
        <f>IFERROR(__xludf.DUMMYFUNCTION("""COMPUTED_VALUE"""),42079.99861111111)</f>
        <v>42079.99861</v>
      </c>
      <c r="B1769" s="1">
        <f>IFERROR(__xludf.DUMMYFUNCTION("""COMPUTED_VALUE"""),13195.0)</f>
        <v>13195</v>
      </c>
    </row>
    <row r="1770">
      <c r="A1770" s="3">
        <f>IFERROR(__xludf.DUMMYFUNCTION("""COMPUTED_VALUE"""),42080.99861111111)</f>
        <v>42080.99861</v>
      </c>
      <c r="B1770" s="1">
        <f>IFERROR(__xludf.DUMMYFUNCTION("""COMPUTED_VALUE"""),13120.0)</f>
        <v>13120</v>
      </c>
    </row>
    <row r="1771">
      <c r="A1771" s="3">
        <f>IFERROR(__xludf.DUMMYFUNCTION("""COMPUTED_VALUE"""),42081.99861111111)</f>
        <v>42081.99861</v>
      </c>
      <c r="B1771" s="1">
        <f>IFERROR(__xludf.DUMMYFUNCTION("""COMPUTED_VALUE"""),12880.0)</f>
        <v>12880</v>
      </c>
    </row>
    <row r="1772">
      <c r="A1772" s="3">
        <f>IFERROR(__xludf.DUMMYFUNCTION("""COMPUTED_VALUE"""),42082.99861111111)</f>
        <v>42082.99861</v>
      </c>
      <c r="B1772" s="1">
        <f>IFERROR(__xludf.DUMMYFUNCTION("""COMPUTED_VALUE"""),13058.0)</f>
        <v>13058</v>
      </c>
    </row>
    <row r="1773">
      <c r="A1773" s="3">
        <f>IFERROR(__xludf.DUMMYFUNCTION("""COMPUTED_VALUE"""),42083.99861111111)</f>
        <v>42083.99861</v>
      </c>
      <c r="B1773" s="1">
        <f>IFERROR(__xludf.DUMMYFUNCTION("""COMPUTED_VALUE"""),13025.0)</f>
        <v>13025</v>
      </c>
    </row>
    <row r="1774">
      <c r="A1774" s="3">
        <f>IFERROR(__xludf.DUMMYFUNCTION("""COMPUTED_VALUE"""),42084.99861111111)</f>
        <v>42084.99861</v>
      </c>
      <c r="B1774" s="1">
        <f>IFERROR(__xludf.DUMMYFUNCTION("""COMPUTED_VALUE"""),13037.8)</f>
        <v>13037.8</v>
      </c>
    </row>
    <row r="1775">
      <c r="A1775" s="3">
        <f>IFERROR(__xludf.DUMMYFUNCTION("""COMPUTED_VALUE"""),42085.99861111111)</f>
        <v>42085.99861</v>
      </c>
      <c r="B1775" s="1">
        <f>IFERROR(__xludf.DUMMYFUNCTION("""COMPUTED_VALUE"""),13037.8)</f>
        <v>13037.8</v>
      </c>
    </row>
    <row r="1776">
      <c r="A1776" s="3">
        <f>IFERROR(__xludf.DUMMYFUNCTION("""COMPUTED_VALUE"""),42086.99861111111)</f>
        <v>42086.99861</v>
      </c>
      <c r="B1776" s="1">
        <f>IFERROR(__xludf.DUMMYFUNCTION("""COMPUTED_VALUE"""),12943.0)</f>
        <v>12943</v>
      </c>
    </row>
    <row r="1777">
      <c r="A1777" s="3">
        <f>IFERROR(__xludf.DUMMYFUNCTION("""COMPUTED_VALUE"""),42087.99861111111)</f>
        <v>42087.99861</v>
      </c>
      <c r="B1777" s="1">
        <f>IFERROR(__xludf.DUMMYFUNCTION("""COMPUTED_VALUE"""),12905.0)</f>
        <v>12905</v>
      </c>
    </row>
    <row r="1778">
      <c r="A1778" s="3">
        <f>IFERROR(__xludf.DUMMYFUNCTION("""COMPUTED_VALUE"""),42088.99861111111)</f>
        <v>42088.99861</v>
      </c>
      <c r="B1778" s="1">
        <f>IFERROR(__xludf.DUMMYFUNCTION("""COMPUTED_VALUE"""),12930.0)</f>
        <v>12930</v>
      </c>
    </row>
    <row r="1779">
      <c r="A1779" s="3">
        <f>IFERROR(__xludf.DUMMYFUNCTION("""COMPUTED_VALUE"""),42089.99861111111)</f>
        <v>42089.99861</v>
      </c>
      <c r="B1779" s="1">
        <f>IFERROR(__xludf.DUMMYFUNCTION("""COMPUTED_VALUE"""),13010.0)</f>
        <v>13010</v>
      </c>
    </row>
    <row r="1780">
      <c r="A1780" s="3">
        <f>IFERROR(__xludf.DUMMYFUNCTION("""COMPUTED_VALUE"""),42090.99861111111)</f>
        <v>42090.99861</v>
      </c>
      <c r="B1780" s="1">
        <f>IFERROR(__xludf.DUMMYFUNCTION("""COMPUTED_VALUE"""),13035.0)</f>
        <v>13035</v>
      </c>
    </row>
    <row r="1781">
      <c r="A1781" s="3">
        <f>IFERROR(__xludf.DUMMYFUNCTION("""COMPUTED_VALUE"""),42091.99861111111)</f>
        <v>42091.99861</v>
      </c>
      <c r="B1781" s="1">
        <f>IFERROR(__xludf.DUMMYFUNCTION("""COMPUTED_VALUE"""),13140.6)</f>
        <v>13140.6</v>
      </c>
    </row>
    <row r="1782">
      <c r="A1782" s="3">
        <f>IFERROR(__xludf.DUMMYFUNCTION("""COMPUTED_VALUE"""),42092.99861111111)</f>
        <v>42092.99861</v>
      </c>
      <c r="B1782" s="1">
        <f>IFERROR(__xludf.DUMMYFUNCTION("""COMPUTED_VALUE"""),13140.6)</f>
        <v>13140.6</v>
      </c>
    </row>
    <row r="1783">
      <c r="A1783" s="3">
        <f>IFERROR(__xludf.DUMMYFUNCTION("""COMPUTED_VALUE"""),42093.99861111111)</f>
        <v>42093.99861</v>
      </c>
      <c r="B1783" s="1">
        <f>IFERROR(__xludf.DUMMYFUNCTION("""COMPUTED_VALUE"""),13087.0)</f>
        <v>13087</v>
      </c>
    </row>
    <row r="1784">
      <c r="A1784" s="3">
        <f>IFERROR(__xludf.DUMMYFUNCTION("""COMPUTED_VALUE"""),42094.99861111111)</f>
        <v>42094.99861</v>
      </c>
      <c r="B1784" s="1">
        <f>IFERROR(__xludf.DUMMYFUNCTION("""COMPUTED_VALUE"""),13060.0)</f>
        <v>13060</v>
      </c>
    </row>
    <row r="1785">
      <c r="A1785" s="3">
        <f>IFERROR(__xludf.DUMMYFUNCTION("""COMPUTED_VALUE"""),42095.99861111111)</f>
        <v>42095.99861</v>
      </c>
      <c r="B1785" s="1">
        <f>IFERROR(__xludf.DUMMYFUNCTION("""COMPUTED_VALUE"""),12958.0)</f>
        <v>12958</v>
      </c>
    </row>
    <row r="1786">
      <c r="A1786" s="3">
        <f>IFERROR(__xludf.DUMMYFUNCTION("""COMPUTED_VALUE"""),42096.99861111111)</f>
        <v>42096.99861</v>
      </c>
      <c r="B1786" s="1">
        <f>IFERROR(__xludf.DUMMYFUNCTION("""COMPUTED_VALUE"""),12985.0)</f>
        <v>12985</v>
      </c>
    </row>
    <row r="1787">
      <c r="A1787" s="3">
        <f>IFERROR(__xludf.DUMMYFUNCTION("""COMPUTED_VALUE"""),42097.99861111111)</f>
        <v>42097.99861</v>
      </c>
      <c r="B1787" s="1">
        <f>IFERROR(__xludf.DUMMYFUNCTION("""COMPUTED_VALUE"""),12965.0)</f>
        <v>12965</v>
      </c>
    </row>
    <row r="1788">
      <c r="A1788" s="3">
        <f>IFERROR(__xludf.DUMMYFUNCTION("""COMPUTED_VALUE"""),42098.99861111111)</f>
        <v>42098.99861</v>
      </c>
      <c r="B1788" s="1">
        <f>IFERROR(__xludf.DUMMYFUNCTION("""COMPUTED_VALUE"""),13003.9)</f>
        <v>13003.9</v>
      </c>
    </row>
    <row r="1789">
      <c r="A1789" s="3">
        <f>IFERROR(__xludf.DUMMYFUNCTION("""COMPUTED_VALUE"""),42099.99861111111)</f>
        <v>42099.99861</v>
      </c>
      <c r="B1789" s="1">
        <f>IFERROR(__xludf.DUMMYFUNCTION("""COMPUTED_VALUE"""),12970.16)</f>
        <v>12970.16</v>
      </c>
    </row>
    <row r="1790">
      <c r="A1790" s="3">
        <f>IFERROR(__xludf.DUMMYFUNCTION("""COMPUTED_VALUE"""),42100.99861111111)</f>
        <v>42100.99861</v>
      </c>
      <c r="B1790" s="1">
        <f>IFERROR(__xludf.DUMMYFUNCTION("""COMPUTED_VALUE"""),12945.0)</f>
        <v>12945</v>
      </c>
    </row>
    <row r="1791">
      <c r="A1791" s="3">
        <f>IFERROR(__xludf.DUMMYFUNCTION("""COMPUTED_VALUE"""),42101.99861111111)</f>
        <v>42101.99861</v>
      </c>
      <c r="B1791" s="1">
        <f>IFERROR(__xludf.DUMMYFUNCTION("""COMPUTED_VALUE"""),12995.0)</f>
        <v>12995</v>
      </c>
    </row>
    <row r="1792">
      <c r="A1792" s="3">
        <f>IFERROR(__xludf.DUMMYFUNCTION("""COMPUTED_VALUE"""),42102.99861111111)</f>
        <v>42102.99861</v>
      </c>
      <c r="B1792" s="1">
        <f>IFERROR(__xludf.DUMMYFUNCTION("""COMPUTED_VALUE"""),12925.0)</f>
        <v>12925</v>
      </c>
    </row>
    <row r="1793">
      <c r="A1793" s="3">
        <f>IFERROR(__xludf.DUMMYFUNCTION("""COMPUTED_VALUE"""),42103.99861111111)</f>
        <v>42103.99861</v>
      </c>
      <c r="B1793" s="1">
        <f>IFERROR(__xludf.DUMMYFUNCTION("""COMPUTED_VALUE"""),12935.0)</f>
        <v>12935</v>
      </c>
    </row>
    <row r="1794">
      <c r="A1794" s="3">
        <f>IFERROR(__xludf.DUMMYFUNCTION("""COMPUTED_VALUE"""),42104.99861111111)</f>
        <v>42104.99861</v>
      </c>
      <c r="B1794" s="1">
        <f>IFERROR(__xludf.DUMMYFUNCTION("""COMPUTED_VALUE"""),12890.0)</f>
        <v>12890</v>
      </c>
    </row>
    <row r="1795">
      <c r="A1795" s="3">
        <f>IFERROR(__xludf.DUMMYFUNCTION("""COMPUTED_VALUE"""),42105.99861111111)</f>
        <v>42105.99861</v>
      </c>
      <c r="B1795" s="1">
        <f>IFERROR(__xludf.DUMMYFUNCTION("""COMPUTED_VALUE"""),12936.61)</f>
        <v>12936.61</v>
      </c>
    </row>
    <row r="1796">
      <c r="A1796" s="3">
        <f>IFERROR(__xludf.DUMMYFUNCTION("""COMPUTED_VALUE"""),42106.99861111111)</f>
        <v>42106.99861</v>
      </c>
      <c r="B1796" s="1">
        <f>IFERROR(__xludf.DUMMYFUNCTION("""COMPUTED_VALUE"""),12936.61)</f>
        <v>12936.61</v>
      </c>
    </row>
    <row r="1797">
      <c r="A1797" s="3">
        <f>IFERROR(__xludf.DUMMYFUNCTION("""COMPUTED_VALUE"""),42107.99861111111)</f>
        <v>42107.99861</v>
      </c>
      <c r="B1797" s="1">
        <f>IFERROR(__xludf.DUMMYFUNCTION("""COMPUTED_VALUE"""),13045.0)</f>
        <v>13045</v>
      </c>
    </row>
    <row r="1798">
      <c r="A1798" s="3">
        <f>IFERROR(__xludf.DUMMYFUNCTION("""COMPUTED_VALUE"""),42108.99861111111)</f>
        <v>42108.99861</v>
      </c>
      <c r="B1798" s="1">
        <f>IFERROR(__xludf.DUMMYFUNCTION("""COMPUTED_VALUE"""),12975.0)</f>
        <v>12975</v>
      </c>
    </row>
    <row r="1799">
      <c r="A1799" s="3">
        <f>IFERROR(__xludf.DUMMYFUNCTION("""COMPUTED_VALUE"""),42109.99861111111)</f>
        <v>42109.99861</v>
      </c>
      <c r="B1799" s="1">
        <f>IFERROR(__xludf.DUMMYFUNCTION("""COMPUTED_VALUE"""),12897.0)</f>
        <v>12897</v>
      </c>
    </row>
    <row r="1800">
      <c r="A1800" s="3">
        <f>IFERROR(__xludf.DUMMYFUNCTION("""COMPUTED_VALUE"""),42110.99861111111)</f>
        <v>42110.99861</v>
      </c>
      <c r="B1800" s="1">
        <f>IFERROR(__xludf.DUMMYFUNCTION("""COMPUTED_VALUE"""),12820.0)</f>
        <v>12820</v>
      </c>
    </row>
    <row r="1801">
      <c r="A1801" s="3">
        <f>IFERROR(__xludf.DUMMYFUNCTION("""COMPUTED_VALUE"""),42111.99861111111)</f>
        <v>42111.99861</v>
      </c>
      <c r="B1801" s="1">
        <f>IFERROR(__xludf.DUMMYFUNCTION("""COMPUTED_VALUE"""),12800.0)</f>
        <v>12800</v>
      </c>
    </row>
    <row r="1802">
      <c r="A1802" s="3">
        <f>IFERROR(__xludf.DUMMYFUNCTION("""COMPUTED_VALUE"""),42112.99861111111)</f>
        <v>42112.99861</v>
      </c>
      <c r="B1802" s="1">
        <f>IFERROR(__xludf.DUMMYFUNCTION("""COMPUTED_VALUE"""),12836.97)</f>
        <v>12836.97</v>
      </c>
    </row>
    <row r="1803">
      <c r="A1803" s="3">
        <f>IFERROR(__xludf.DUMMYFUNCTION("""COMPUTED_VALUE"""),42113.99861111111)</f>
        <v>42113.99861</v>
      </c>
      <c r="B1803" s="1">
        <f>IFERROR(__xludf.DUMMYFUNCTION("""COMPUTED_VALUE"""),12886.59)</f>
        <v>12886.59</v>
      </c>
    </row>
    <row r="1804">
      <c r="A1804" s="3">
        <f>IFERROR(__xludf.DUMMYFUNCTION("""COMPUTED_VALUE"""),42114.99861111111)</f>
        <v>42114.99861</v>
      </c>
      <c r="B1804" s="1">
        <f>IFERROR(__xludf.DUMMYFUNCTION("""COMPUTED_VALUE"""),12970.0)</f>
        <v>12970</v>
      </c>
    </row>
    <row r="1805">
      <c r="A1805" s="3">
        <f>IFERROR(__xludf.DUMMYFUNCTION("""COMPUTED_VALUE"""),42115.99861111111)</f>
        <v>42115.99861</v>
      </c>
      <c r="B1805" s="1">
        <f>IFERROR(__xludf.DUMMYFUNCTION("""COMPUTED_VALUE"""),12925.0)</f>
        <v>12925</v>
      </c>
    </row>
    <row r="1806">
      <c r="A1806" s="3">
        <f>IFERROR(__xludf.DUMMYFUNCTION("""COMPUTED_VALUE"""),42116.99861111111)</f>
        <v>42116.99861</v>
      </c>
      <c r="B1806" s="1">
        <f>IFERROR(__xludf.DUMMYFUNCTION("""COMPUTED_VALUE"""),12900.0)</f>
        <v>12900</v>
      </c>
    </row>
    <row r="1807">
      <c r="A1807" s="3">
        <f>IFERROR(__xludf.DUMMYFUNCTION("""COMPUTED_VALUE"""),42117.99861111111)</f>
        <v>42117.99861</v>
      </c>
      <c r="B1807" s="1">
        <f>IFERROR(__xludf.DUMMYFUNCTION("""COMPUTED_VALUE"""),12930.0)</f>
        <v>12930</v>
      </c>
    </row>
    <row r="1808">
      <c r="A1808" s="3">
        <f>IFERROR(__xludf.DUMMYFUNCTION("""COMPUTED_VALUE"""),42118.99861111111)</f>
        <v>42118.99861</v>
      </c>
      <c r="B1808" s="1">
        <f>IFERROR(__xludf.DUMMYFUNCTION("""COMPUTED_VALUE"""),12942.0)</f>
        <v>12942</v>
      </c>
    </row>
    <row r="1809">
      <c r="A1809" s="3">
        <f>IFERROR(__xludf.DUMMYFUNCTION("""COMPUTED_VALUE"""),42119.99861111111)</f>
        <v>42119.99861</v>
      </c>
      <c r="B1809" s="1">
        <f>IFERROR(__xludf.DUMMYFUNCTION("""COMPUTED_VALUE"""),12970.16)</f>
        <v>12970.16</v>
      </c>
    </row>
    <row r="1810">
      <c r="A1810" s="3">
        <f>IFERROR(__xludf.DUMMYFUNCTION("""COMPUTED_VALUE"""),42120.99861111111)</f>
        <v>42120.99861</v>
      </c>
      <c r="B1810" s="1">
        <f>IFERROR(__xludf.DUMMYFUNCTION("""COMPUTED_VALUE"""),12970.16)</f>
        <v>12970.16</v>
      </c>
    </row>
    <row r="1811">
      <c r="A1811" s="3">
        <f>IFERROR(__xludf.DUMMYFUNCTION("""COMPUTED_VALUE"""),42121.99861111111)</f>
        <v>42121.99861</v>
      </c>
      <c r="B1811" s="1">
        <f>IFERROR(__xludf.DUMMYFUNCTION("""COMPUTED_VALUE"""),12927.0)</f>
        <v>12927</v>
      </c>
    </row>
    <row r="1812">
      <c r="A1812" s="3">
        <f>IFERROR(__xludf.DUMMYFUNCTION("""COMPUTED_VALUE"""),42122.99861111111)</f>
        <v>42122.99861</v>
      </c>
      <c r="B1812" s="1">
        <f>IFERROR(__xludf.DUMMYFUNCTION("""COMPUTED_VALUE"""),12935.0)</f>
        <v>12935</v>
      </c>
    </row>
    <row r="1813">
      <c r="A1813" s="3">
        <f>IFERROR(__xludf.DUMMYFUNCTION("""COMPUTED_VALUE"""),42123.99861111111)</f>
        <v>42123.99861</v>
      </c>
      <c r="B1813" s="1">
        <f>IFERROR(__xludf.DUMMYFUNCTION("""COMPUTED_VALUE"""),12915.0)</f>
        <v>12915</v>
      </c>
    </row>
    <row r="1814">
      <c r="A1814" s="3">
        <f>IFERROR(__xludf.DUMMYFUNCTION("""COMPUTED_VALUE"""),42124.99861111111)</f>
        <v>42124.99861</v>
      </c>
      <c r="B1814" s="1">
        <f>IFERROR(__xludf.DUMMYFUNCTION("""COMPUTED_VALUE"""),12957.0)</f>
        <v>12957</v>
      </c>
    </row>
    <row r="1815">
      <c r="A1815" s="3">
        <f>IFERROR(__xludf.DUMMYFUNCTION("""COMPUTED_VALUE"""),42125.99861111111)</f>
        <v>42125.99861</v>
      </c>
      <c r="B1815" s="1">
        <f>IFERROR(__xludf.DUMMYFUNCTION("""COMPUTED_VALUE"""),12975.0)</f>
        <v>12975</v>
      </c>
    </row>
    <row r="1816">
      <c r="A1816" s="3">
        <f>IFERROR(__xludf.DUMMYFUNCTION("""COMPUTED_VALUE"""),42126.99861111111)</f>
        <v>42126.99861</v>
      </c>
      <c r="B1816" s="1">
        <f>IFERROR(__xludf.DUMMYFUNCTION("""COMPUTED_VALUE"""),13071.89)</f>
        <v>13071.89</v>
      </c>
    </row>
    <row r="1817">
      <c r="A1817" s="3">
        <f>IFERROR(__xludf.DUMMYFUNCTION("""COMPUTED_VALUE"""),42127.99861111111)</f>
        <v>42127.99861</v>
      </c>
      <c r="B1817" s="1">
        <f>IFERROR(__xludf.DUMMYFUNCTION("""COMPUTED_VALUE"""),13037.8)</f>
        <v>13037.8</v>
      </c>
    </row>
    <row r="1818">
      <c r="A1818" s="3">
        <f>IFERROR(__xludf.DUMMYFUNCTION("""COMPUTED_VALUE"""),42128.99861111111)</f>
        <v>42128.99861</v>
      </c>
      <c r="B1818" s="1">
        <f>IFERROR(__xludf.DUMMYFUNCTION("""COMPUTED_VALUE"""),12860.0)</f>
        <v>12860</v>
      </c>
    </row>
    <row r="1819">
      <c r="A1819" s="3">
        <f>IFERROR(__xludf.DUMMYFUNCTION("""COMPUTED_VALUE"""),42129.99861111111)</f>
        <v>42129.99861</v>
      </c>
      <c r="B1819" s="1">
        <f>IFERROR(__xludf.DUMMYFUNCTION("""COMPUTED_VALUE"""),13005.0)</f>
        <v>13005</v>
      </c>
    </row>
    <row r="1820">
      <c r="A1820" s="3">
        <f>IFERROR(__xludf.DUMMYFUNCTION("""COMPUTED_VALUE"""),42130.99861111111)</f>
        <v>42130.99861</v>
      </c>
      <c r="B1820" s="1">
        <f>IFERROR(__xludf.DUMMYFUNCTION("""COMPUTED_VALUE"""),13004.0)</f>
        <v>13004</v>
      </c>
    </row>
    <row r="1821">
      <c r="A1821" s="3">
        <f>IFERROR(__xludf.DUMMYFUNCTION("""COMPUTED_VALUE"""),42131.99861111111)</f>
        <v>42131.99861</v>
      </c>
      <c r="B1821" s="1">
        <f>IFERROR(__xludf.DUMMYFUNCTION("""COMPUTED_VALUE"""),13095.0)</f>
        <v>13095</v>
      </c>
    </row>
    <row r="1822">
      <c r="A1822" s="3">
        <f>IFERROR(__xludf.DUMMYFUNCTION("""COMPUTED_VALUE"""),42132.99861111111)</f>
        <v>42132.99861</v>
      </c>
      <c r="B1822" s="1">
        <f>IFERROR(__xludf.DUMMYFUNCTION("""COMPUTED_VALUE"""),13047.0)</f>
        <v>13047</v>
      </c>
    </row>
    <row r="1823">
      <c r="A1823" s="3">
        <f>IFERROR(__xludf.DUMMYFUNCTION("""COMPUTED_VALUE"""),42133.99861111111)</f>
        <v>42133.99861</v>
      </c>
      <c r="B1823" s="1">
        <f>IFERROR(__xludf.DUMMYFUNCTION("""COMPUTED_VALUE"""),13157.89)</f>
        <v>13157.89</v>
      </c>
    </row>
    <row r="1824">
      <c r="A1824" s="3">
        <f>IFERROR(__xludf.DUMMYFUNCTION("""COMPUTED_VALUE"""),42134.99861111111)</f>
        <v>42134.99861</v>
      </c>
      <c r="B1824" s="1">
        <f>IFERROR(__xludf.DUMMYFUNCTION("""COMPUTED_VALUE"""),13157.89)</f>
        <v>13157.89</v>
      </c>
    </row>
    <row r="1825">
      <c r="A1825" s="3">
        <f>IFERROR(__xludf.DUMMYFUNCTION("""COMPUTED_VALUE"""),42135.99861111111)</f>
        <v>42135.99861</v>
      </c>
      <c r="B1825" s="1">
        <f>IFERROR(__xludf.DUMMYFUNCTION("""COMPUTED_VALUE"""),13170.0)</f>
        <v>13170</v>
      </c>
    </row>
    <row r="1826">
      <c r="A1826" s="3">
        <f>IFERROR(__xludf.DUMMYFUNCTION("""COMPUTED_VALUE"""),42136.99861111111)</f>
        <v>42136.99861</v>
      </c>
      <c r="B1826" s="1">
        <f>IFERROR(__xludf.DUMMYFUNCTION("""COMPUTED_VALUE"""),13145.0)</f>
        <v>13145</v>
      </c>
    </row>
    <row r="1827">
      <c r="A1827" s="3">
        <f>IFERROR(__xludf.DUMMYFUNCTION("""COMPUTED_VALUE"""),42137.99861111111)</f>
        <v>42137.99861</v>
      </c>
      <c r="B1827" s="1">
        <f>IFERROR(__xludf.DUMMYFUNCTION("""COMPUTED_VALUE"""),13102.0)</f>
        <v>13102</v>
      </c>
    </row>
    <row r="1828">
      <c r="A1828" s="3">
        <f>IFERROR(__xludf.DUMMYFUNCTION("""COMPUTED_VALUE"""),42138.99861111111)</f>
        <v>42138.99861</v>
      </c>
      <c r="B1828" s="1">
        <f>IFERROR(__xludf.DUMMYFUNCTION("""COMPUTED_VALUE"""),13013.0)</f>
        <v>13013</v>
      </c>
    </row>
    <row r="1829">
      <c r="A1829" s="3">
        <f>IFERROR(__xludf.DUMMYFUNCTION("""COMPUTED_VALUE"""),42139.99861111111)</f>
        <v>42139.99861</v>
      </c>
      <c r="B1829" s="1">
        <f>IFERROR(__xludf.DUMMYFUNCTION("""COMPUTED_VALUE"""),13047.0)</f>
        <v>13047</v>
      </c>
    </row>
    <row r="1830">
      <c r="A1830" s="3">
        <f>IFERROR(__xludf.DUMMYFUNCTION("""COMPUTED_VALUE"""),42140.99861111111)</f>
        <v>42140.99861</v>
      </c>
      <c r="B1830" s="1">
        <f>IFERROR(__xludf.DUMMYFUNCTION("""COMPUTED_VALUE"""),13071.89)</f>
        <v>13071.89</v>
      </c>
    </row>
    <row r="1831">
      <c r="A1831" s="3">
        <f>IFERROR(__xludf.DUMMYFUNCTION("""COMPUTED_VALUE"""),42141.99861111111)</f>
        <v>42141.99861</v>
      </c>
      <c r="B1831" s="1">
        <f>IFERROR(__xludf.DUMMYFUNCTION("""COMPUTED_VALUE"""),13071.89)</f>
        <v>13071.89</v>
      </c>
    </row>
    <row r="1832">
      <c r="A1832" s="3">
        <f>IFERROR(__xludf.DUMMYFUNCTION("""COMPUTED_VALUE"""),42142.99861111111)</f>
        <v>42142.99861</v>
      </c>
      <c r="B1832" s="1">
        <f>IFERROR(__xludf.DUMMYFUNCTION("""COMPUTED_VALUE"""),13162.0)</f>
        <v>13162</v>
      </c>
    </row>
    <row r="1833">
      <c r="A1833" s="3">
        <f>IFERROR(__xludf.DUMMYFUNCTION("""COMPUTED_VALUE"""),42143.99861111111)</f>
        <v>42143.99861</v>
      </c>
      <c r="B1833" s="1">
        <f>IFERROR(__xludf.DUMMYFUNCTION("""COMPUTED_VALUE"""),13168.0)</f>
        <v>13168</v>
      </c>
    </row>
    <row r="1834">
      <c r="A1834" s="3">
        <f>IFERROR(__xludf.DUMMYFUNCTION("""COMPUTED_VALUE"""),42144.99861111111)</f>
        <v>42144.99861</v>
      </c>
      <c r="B1834" s="1">
        <f>IFERROR(__xludf.DUMMYFUNCTION("""COMPUTED_VALUE"""),13015.0)</f>
        <v>13015</v>
      </c>
    </row>
    <row r="1835">
      <c r="A1835" s="3">
        <f>IFERROR(__xludf.DUMMYFUNCTION("""COMPUTED_VALUE"""),42145.99861111111)</f>
        <v>42145.99861</v>
      </c>
      <c r="B1835" s="1">
        <f>IFERROR(__xludf.DUMMYFUNCTION("""COMPUTED_VALUE"""),13108.0)</f>
        <v>13108</v>
      </c>
    </row>
    <row r="1836">
      <c r="A1836" s="3">
        <f>IFERROR(__xludf.DUMMYFUNCTION("""COMPUTED_VALUE"""),42146.99861111111)</f>
        <v>42146.99861</v>
      </c>
      <c r="B1836" s="1">
        <f>IFERROR(__xludf.DUMMYFUNCTION("""COMPUTED_VALUE"""),13140.0)</f>
        <v>13140</v>
      </c>
    </row>
    <row r="1837">
      <c r="A1837" s="3">
        <f>IFERROR(__xludf.DUMMYFUNCTION("""COMPUTED_VALUE"""),42147.99861111111)</f>
        <v>42147.99861</v>
      </c>
      <c r="B1837" s="1">
        <f>IFERROR(__xludf.DUMMYFUNCTION("""COMPUTED_VALUE"""),13175.23)</f>
        <v>13175.23</v>
      </c>
    </row>
    <row r="1838">
      <c r="A1838" s="3">
        <f>IFERROR(__xludf.DUMMYFUNCTION("""COMPUTED_VALUE"""),42149.99861111111)</f>
        <v>42149.99861</v>
      </c>
      <c r="B1838" s="1">
        <f>IFERROR(__xludf.DUMMYFUNCTION("""COMPUTED_VALUE"""),13173.0)</f>
        <v>13173</v>
      </c>
    </row>
    <row r="1839">
      <c r="A1839" s="3">
        <f>IFERROR(__xludf.DUMMYFUNCTION("""COMPUTED_VALUE"""),42150.99861111111)</f>
        <v>42150.99861</v>
      </c>
      <c r="B1839" s="1">
        <f>IFERROR(__xludf.DUMMYFUNCTION("""COMPUTED_VALUE"""),13217.0)</f>
        <v>13217</v>
      </c>
    </row>
    <row r="1840">
      <c r="A1840" s="3">
        <f>IFERROR(__xludf.DUMMYFUNCTION("""COMPUTED_VALUE"""),42151.99861111111)</f>
        <v>42151.99861</v>
      </c>
      <c r="B1840" s="1">
        <f>IFERROR(__xludf.DUMMYFUNCTION("""COMPUTED_VALUE"""),13170.0)</f>
        <v>13170</v>
      </c>
    </row>
    <row r="1841">
      <c r="A1841" s="3">
        <f>IFERROR(__xludf.DUMMYFUNCTION("""COMPUTED_VALUE"""),42152.99861111111)</f>
        <v>42152.99861</v>
      </c>
      <c r="B1841" s="1">
        <f>IFERROR(__xludf.DUMMYFUNCTION("""COMPUTED_VALUE"""),13165.0)</f>
        <v>13165</v>
      </c>
    </row>
    <row r="1842">
      <c r="A1842" s="3">
        <f>IFERROR(__xludf.DUMMYFUNCTION("""COMPUTED_VALUE"""),42153.99861111111)</f>
        <v>42153.99861</v>
      </c>
      <c r="B1842" s="1">
        <f>IFERROR(__xludf.DUMMYFUNCTION("""COMPUTED_VALUE"""),13200.0)</f>
        <v>13200</v>
      </c>
    </row>
    <row r="1843">
      <c r="A1843" s="3">
        <f>IFERROR(__xludf.DUMMYFUNCTION("""COMPUTED_VALUE"""),42156.99861111111)</f>
        <v>42156.99861</v>
      </c>
      <c r="B1843" s="1">
        <f>IFERROR(__xludf.DUMMYFUNCTION("""COMPUTED_VALUE"""),13188.0)</f>
        <v>13188</v>
      </c>
    </row>
    <row r="1844">
      <c r="A1844" s="3">
        <f>IFERROR(__xludf.DUMMYFUNCTION("""COMPUTED_VALUE"""),42157.99861111111)</f>
        <v>42157.99861</v>
      </c>
      <c r="B1844" s="1">
        <f>IFERROR(__xludf.DUMMYFUNCTION("""COMPUTED_VALUE"""),13150.0)</f>
        <v>13150</v>
      </c>
    </row>
    <row r="1845">
      <c r="A1845" s="3">
        <f>IFERROR(__xludf.DUMMYFUNCTION("""COMPUTED_VALUE"""),42158.99861111111)</f>
        <v>42158.99861</v>
      </c>
      <c r="B1845" s="1">
        <f>IFERROR(__xludf.DUMMYFUNCTION("""COMPUTED_VALUE"""),13230.0)</f>
        <v>13230</v>
      </c>
    </row>
    <row r="1846">
      <c r="A1846" s="3">
        <f>IFERROR(__xludf.DUMMYFUNCTION("""COMPUTED_VALUE"""),42159.99861111111)</f>
        <v>42159.99861</v>
      </c>
      <c r="B1846" s="1">
        <f>IFERROR(__xludf.DUMMYFUNCTION("""COMPUTED_VALUE"""),13275.0)</f>
        <v>13275</v>
      </c>
    </row>
    <row r="1847">
      <c r="A1847" s="3">
        <f>IFERROR(__xludf.DUMMYFUNCTION("""COMPUTED_VALUE"""),42160.99861111111)</f>
        <v>42160.99861</v>
      </c>
      <c r="B1847" s="1">
        <f>IFERROR(__xludf.DUMMYFUNCTION("""COMPUTED_VALUE"""),13388.0)</f>
        <v>13388</v>
      </c>
    </row>
    <row r="1848">
      <c r="A1848" s="3">
        <f>IFERROR(__xludf.DUMMYFUNCTION("""COMPUTED_VALUE"""),42163.99861111111)</f>
        <v>42163.99861</v>
      </c>
      <c r="B1848" s="1">
        <f>IFERROR(__xludf.DUMMYFUNCTION("""COMPUTED_VALUE"""),13310.0)</f>
        <v>13310</v>
      </c>
    </row>
    <row r="1849">
      <c r="A1849" s="3">
        <f>IFERROR(__xludf.DUMMYFUNCTION("""COMPUTED_VALUE"""),42164.99861111111)</f>
        <v>42164.99861</v>
      </c>
      <c r="B1849" s="1">
        <f>IFERROR(__xludf.DUMMYFUNCTION("""COMPUTED_VALUE"""),13345.0)</f>
        <v>13345</v>
      </c>
    </row>
    <row r="1850">
      <c r="A1850" s="3">
        <f>IFERROR(__xludf.DUMMYFUNCTION("""COMPUTED_VALUE"""),42165.99861111111)</f>
        <v>42165.99861</v>
      </c>
      <c r="B1850" s="1">
        <f>IFERROR(__xludf.DUMMYFUNCTION("""COMPUTED_VALUE"""),13205.0)</f>
        <v>13205</v>
      </c>
    </row>
    <row r="1851">
      <c r="A1851" s="3">
        <f>IFERROR(__xludf.DUMMYFUNCTION("""COMPUTED_VALUE"""),42166.99861111111)</f>
        <v>42166.99861</v>
      </c>
      <c r="B1851" s="1">
        <f>IFERROR(__xludf.DUMMYFUNCTION("""COMPUTED_VALUE"""),13230.0)</f>
        <v>13230</v>
      </c>
    </row>
    <row r="1852">
      <c r="A1852" s="3">
        <f>IFERROR(__xludf.DUMMYFUNCTION("""COMPUTED_VALUE"""),42167.99861111111)</f>
        <v>42167.99861</v>
      </c>
      <c r="B1852" s="1">
        <f>IFERROR(__xludf.DUMMYFUNCTION("""COMPUTED_VALUE"""),13315.0)</f>
        <v>13315</v>
      </c>
    </row>
    <row r="1853">
      <c r="A1853" s="3">
        <f>IFERROR(__xludf.DUMMYFUNCTION("""COMPUTED_VALUE"""),42170.99861111111)</f>
        <v>42170.99861</v>
      </c>
      <c r="B1853" s="1">
        <f>IFERROR(__xludf.DUMMYFUNCTION("""COMPUTED_VALUE"""),13320.0)</f>
        <v>13320</v>
      </c>
    </row>
    <row r="1854">
      <c r="A1854" s="3">
        <f>IFERROR(__xludf.DUMMYFUNCTION("""COMPUTED_VALUE"""),42171.99861111111)</f>
        <v>42171.99861</v>
      </c>
      <c r="B1854" s="1">
        <f>IFERROR(__xludf.DUMMYFUNCTION("""COMPUTED_VALUE"""),13340.0)</f>
        <v>13340</v>
      </c>
    </row>
    <row r="1855">
      <c r="A1855" s="3">
        <f>IFERROR(__xludf.DUMMYFUNCTION("""COMPUTED_VALUE"""),42172.99861111111)</f>
        <v>42172.99861</v>
      </c>
      <c r="B1855" s="1">
        <f>IFERROR(__xludf.DUMMYFUNCTION("""COMPUTED_VALUE"""),13330.0)</f>
        <v>13330</v>
      </c>
    </row>
    <row r="1856">
      <c r="A1856" s="3">
        <f>IFERROR(__xludf.DUMMYFUNCTION("""COMPUTED_VALUE"""),42173.99861111111)</f>
        <v>42173.99861</v>
      </c>
      <c r="B1856" s="1">
        <f>IFERROR(__xludf.DUMMYFUNCTION("""COMPUTED_VALUE"""),13290.0)</f>
        <v>13290</v>
      </c>
    </row>
    <row r="1857">
      <c r="A1857" s="3">
        <f>IFERROR(__xludf.DUMMYFUNCTION("""COMPUTED_VALUE"""),42174.99861111111)</f>
        <v>42174.99861</v>
      </c>
      <c r="B1857" s="1">
        <f>IFERROR(__xludf.DUMMYFUNCTION("""COMPUTED_VALUE"""),13310.0)</f>
        <v>13310</v>
      </c>
    </row>
    <row r="1858">
      <c r="A1858" s="3">
        <f>IFERROR(__xludf.DUMMYFUNCTION("""COMPUTED_VALUE"""),42177.99861111111)</f>
        <v>42177.99861</v>
      </c>
      <c r="B1858" s="1">
        <f>IFERROR(__xludf.DUMMYFUNCTION("""COMPUTED_VALUE"""),13302.0)</f>
        <v>13302</v>
      </c>
    </row>
    <row r="1859">
      <c r="A1859" s="3">
        <f>IFERROR(__xludf.DUMMYFUNCTION("""COMPUTED_VALUE"""),42178.99861111111)</f>
        <v>42178.99861</v>
      </c>
      <c r="B1859" s="1">
        <f>IFERROR(__xludf.DUMMYFUNCTION("""COMPUTED_VALUE"""),13250.0)</f>
        <v>13250</v>
      </c>
    </row>
    <row r="1860">
      <c r="A1860" s="3">
        <f>IFERROR(__xludf.DUMMYFUNCTION("""COMPUTED_VALUE"""),42179.99861111111)</f>
        <v>42179.99861</v>
      </c>
      <c r="B1860" s="1">
        <f>IFERROR(__xludf.DUMMYFUNCTION("""COMPUTED_VALUE"""),13290.0)</f>
        <v>13290</v>
      </c>
    </row>
    <row r="1861">
      <c r="A1861" s="3">
        <f>IFERROR(__xludf.DUMMYFUNCTION("""COMPUTED_VALUE"""),42180.99861111111)</f>
        <v>42180.99861</v>
      </c>
      <c r="B1861" s="1">
        <f>IFERROR(__xludf.DUMMYFUNCTION("""COMPUTED_VALUE"""),13303.0)</f>
        <v>13303</v>
      </c>
    </row>
    <row r="1862">
      <c r="A1862" s="3">
        <f>IFERROR(__xludf.DUMMYFUNCTION("""COMPUTED_VALUE"""),42181.99861111111)</f>
        <v>42181.99861</v>
      </c>
      <c r="B1862" s="1">
        <f>IFERROR(__xludf.DUMMYFUNCTION("""COMPUTED_VALUE"""),13322.0)</f>
        <v>13322</v>
      </c>
    </row>
    <row r="1863">
      <c r="A1863" s="3">
        <f>IFERROR(__xludf.DUMMYFUNCTION("""COMPUTED_VALUE"""),42184.99861111111)</f>
        <v>42184.99861</v>
      </c>
      <c r="B1863" s="1">
        <f>IFERROR(__xludf.DUMMYFUNCTION("""COMPUTED_VALUE"""),13322.0)</f>
        <v>13322</v>
      </c>
    </row>
    <row r="1864">
      <c r="A1864" s="3">
        <f>IFERROR(__xludf.DUMMYFUNCTION("""COMPUTED_VALUE"""),42185.99861111111)</f>
        <v>42185.99861</v>
      </c>
      <c r="B1864" s="1">
        <f>IFERROR(__xludf.DUMMYFUNCTION("""COMPUTED_VALUE"""),13342.0)</f>
        <v>13342</v>
      </c>
    </row>
    <row r="1865">
      <c r="A1865" s="3">
        <f>IFERROR(__xludf.DUMMYFUNCTION("""COMPUTED_VALUE"""),42186.99861111111)</f>
        <v>42186.99861</v>
      </c>
      <c r="B1865" s="1">
        <f>IFERROR(__xludf.DUMMYFUNCTION("""COMPUTED_VALUE"""),13318.0)</f>
        <v>13318</v>
      </c>
    </row>
    <row r="1866">
      <c r="A1866" s="3">
        <f>IFERROR(__xludf.DUMMYFUNCTION("""COMPUTED_VALUE"""),42187.99861111111)</f>
        <v>42187.99861</v>
      </c>
      <c r="B1866" s="1">
        <f>IFERROR(__xludf.DUMMYFUNCTION("""COMPUTED_VALUE"""),13260.0)</f>
        <v>13260</v>
      </c>
    </row>
    <row r="1867">
      <c r="A1867" s="3">
        <f>IFERROR(__xludf.DUMMYFUNCTION("""COMPUTED_VALUE"""),42188.99861111111)</f>
        <v>42188.99861</v>
      </c>
      <c r="B1867" s="1">
        <f>IFERROR(__xludf.DUMMYFUNCTION("""COMPUTED_VALUE"""),13340.0)</f>
        <v>13340</v>
      </c>
    </row>
    <row r="1868">
      <c r="A1868" s="3">
        <f>IFERROR(__xludf.DUMMYFUNCTION("""COMPUTED_VALUE"""),42191.99861111111)</f>
        <v>42191.99861</v>
      </c>
      <c r="B1868" s="1">
        <f>IFERROR(__xludf.DUMMYFUNCTION("""COMPUTED_VALUE"""),13340.0)</f>
        <v>13340</v>
      </c>
    </row>
    <row r="1869">
      <c r="A1869" s="3">
        <f>IFERROR(__xludf.DUMMYFUNCTION("""COMPUTED_VALUE"""),42192.99861111111)</f>
        <v>42192.99861</v>
      </c>
      <c r="B1869" s="1">
        <f>IFERROR(__xludf.DUMMYFUNCTION("""COMPUTED_VALUE"""),13325.0)</f>
        <v>13325</v>
      </c>
    </row>
    <row r="1870">
      <c r="A1870" s="3">
        <f>IFERROR(__xludf.DUMMYFUNCTION("""COMPUTED_VALUE"""),42193.99861111111)</f>
        <v>42193.99861</v>
      </c>
      <c r="B1870" s="1">
        <f>IFERROR(__xludf.DUMMYFUNCTION("""COMPUTED_VALUE"""),13335.0)</f>
        <v>13335</v>
      </c>
    </row>
    <row r="1871">
      <c r="A1871" s="3">
        <f>IFERROR(__xludf.DUMMYFUNCTION("""COMPUTED_VALUE"""),42194.99861111111)</f>
        <v>42194.99861</v>
      </c>
      <c r="B1871" s="1">
        <f>IFERROR(__xludf.DUMMYFUNCTION("""COMPUTED_VALUE"""),13303.0)</f>
        <v>13303</v>
      </c>
    </row>
    <row r="1872">
      <c r="A1872" s="3">
        <f>IFERROR(__xludf.DUMMYFUNCTION("""COMPUTED_VALUE"""),42195.99861111111)</f>
        <v>42195.99861</v>
      </c>
      <c r="B1872" s="1">
        <f>IFERROR(__xludf.DUMMYFUNCTION("""COMPUTED_VALUE"""),13278.0)</f>
        <v>13278</v>
      </c>
    </row>
    <row r="1873">
      <c r="A1873" s="3">
        <f>IFERROR(__xludf.DUMMYFUNCTION("""COMPUTED_VALUE"""),42198.99861111111)</f>
        <v>42198.99861</v>
      </c>
      <c r="B1873" s="1">
        <f>IFERROR(__xludf.DUMMYFUNCTION("""COMPUTED_VALUE"""),13280.0)</f>
        <v>13280</v>
      </c>
    </row>
    <row r="1874">
      <c r="A1874" s="3">
        <f>IFERROR(__xludf.DUMMYFUNCTION("""COMPUTED_VALUE"""),42199.99861111111)</f>
        <v>42199.99861</v>
      </c>
      <c r="B1874" s="1">
        <f>IFERROR(__xludf.DUMMYFUNCTION("""COMPUTED_VALUE"""),13305.0)</f>
        <v>13305</v>
      </c>
    </row>
    <row r="1875">
      <c r="A1875" s="3">
        <f>IFERROR(__xludf.DUMMYFUNCTION("""COMPUTED_VALUE"""),42200.99861111111)</f>
        <v>42200.99861</v>
      </c>
      <c r="B1875" s="1">
        <f>IFERROR(__xludf.DUMMYFUNCTION("""COMPUTED_VALUE"""),13338.0)</f>
        <v>13338</v>
      </c>
    </row>
    <row r="1876">
      <c r="A1876" s="3">
        <f>IFERROR(__xludf.DUMMYFUNCTION("""COMPUTED_VALUE"""),42201.99861111111)</f>
        <v>42201.99861</v>
      </c>
      <c r="B1876" s="1">
        <f>IFERROR(__xludf.DUMMYFUNCTION("""COMPUTED_VALUE"""),13331.0)</f>
        <v>13331</v>
      </c>
    </row>
    <row r="1877">
      <c r="A1877" s="3">
        <f>IFERROR(__xludf.DUMMYFUNCTION("""COMPUTED_VALUE"""),42202.99861111111)</f>
        <v>42202.99861</v>
      </c>
      <c r="B1877" s="1">
        <f>IFERROR(__xludf.DUMMYFUNCTION("""COMPUTED_VALUE"""),13350.0)</f>
        <v>13350</v>
      </c>
    </row>
    <row r="1878">
      <c r="A1878" s="3">
        <f>IFERROR(__xludf.DUMMYFUNCTION("""COMPUTED_VALUE"""),42205.99861111111)</f>
        <v>42205.99861</v>
      </c>
      <c r="B1878" s="1">
        <f>IFERROR(__xludf.DUMMYFUNCTION("""COMPUTED_VALUE"""),13340.0)</f>
        <v>13340</v>
      </c>
    </row>
    <row r="1879">
      <c r="A1879" s="3">
        <f>IFERROR(__xludf.DUMMYFUNCTION("""COMPUTED_VALUE"""),42206.99861111111)</f>
        <v>42206.99861</v>
      </c>
      <c r="B1879" s="1">
        <f>IFERROR(__xludf.DUMMYFUNCTION("""COMPUTED_VALUE"""),13335.0)</f>
        <v>13335</v>
      </c>
    </row>
    <row r="1880">
      <c r="A1880" s="3">
        <f>IFERROR(__xludf.DUMMYFUNCTION("""COMPUTED_VALUE"""),42207.99861111111)</f>
        <v>42207.99861</v>
      </c>
      <c r="B1880" s="1">
        <f>IFERROR(__xludf.DUMMYFUNCTION("""COMPUTED_VALUE"""),13400.0)</f>
        <v>13400</v>
      </c>
    </row>
    <row r="1881">
      <c r="A1881" s="3">
        <f>IFERROR(__xludf.DUMMYFUNCTION("""COMPUTED_VALUE"""),42208.99861111111)</f>
        <v>42208.99861</v>
      </c>
      <c r="B1881" s="1">
        <f>IFERROR(__xludf.DUMMYFUNCTION("""COMPUTED_VALUE"""),13430.0)</f>
        <v>13430</v>
      </c>
    </row>
    <row r="1882">
      <c r="A1882" s="3">
        <f>IFERROR(__xludf.DUMMYFUNCTION("""COMPUTED_VALUE"""),42209.99861111111)</f>
        <v>42209.99861</v>
      </c>
      <c r="B1882" s="1">
        <f>IFERROR(__xludf.DUMMYFUNCTION("""COMPUTED_VALUE"""),13430.0)</f>
        <v>13430</v>
      </c>
    </row>
    <row r="1883">
      <c r="A1883" s="3">
        <f>IFERROR(__xludf.DUMMYFUNCTION("""COMPUTED_VALUE"""),42212.99861111111)</f>
        <v>42212.99861</v>
      </c>
      <c r="B1883" s="1">
        <f>IFERROR(__xludf.DUMMYFUNCTION("""COMPUTED_VALUE"""),13465.0)</f>
        <v>13465</v>
      </c>
    </row>
    <row r="1884">
      <c r="A1884" s="3">
        <f>IFERROR(__xludf.DUMMYFUNCTION("""COMPUTED_VALUE"""),42213.99861111111)</f>
        <v>42213.99861</v>
      </c>
      <c r="B1884" s="1">
        <f>IFERROR(__xludf.DUMMYFUNCTION("""COMPUTED_VALUE"""),13290.0)</f>
        <v>13290</v>
      </c>
    </row>
    <row r="1885">
      <c r="A1885" s="3">
        <f>IFERROR(__xludf.DUMMYFUNCTION("""COMPUTED_VALUE"""),42214.99861111111)</f>
        <v>42214.99861</v>
      </c>
      <c r="B1885" s="1">
        <f>IFERROR(__xludf.DUMMYFUNCTION("""COMPUTED_VALUE"""),13460.0)</f>
        <v>13460</v>
      </c>
    </row>
    <row r="1886">
      <c r="A1886" s="3">
        <f>IFERROR(__xludf.DUMMYFUNCTION("""COMPUTED_VALUE"""),42215.99861111111)</f>
        <v>42215.99861</v>
      </c>
      <c r="B1886" s="1">
        <f>IFERROR(__xludf.DUMMYFUNCTION("""COMPUTED_VALUE"""),13492.0)</f>
        <v>13492</v>
      </c>
    </row>
    <row r="1887">
      <c r="A1887" s="3">
        <f>IFERROR(__xludf.DUMMYFUNCTION("""COMPUTED_VALUE"""),42216.99861111111)</f>
        <v>42216.99861</v>
      </c>
      <c r="B1887" s="1">
        <f>IFERROR(__xludf.DUMMYFUNCTION("""COMPUTED_VALUE"""),13425.0)</f>
        <v>13425</v>
      </c>
    </row>
    <row r="1888">
      <c r="A1888" s="3">
        <f>IFERROR(__xludf.DUMMYFUNCTION("""COMPUTED_VALUE"""),42219.99861111111)</f>
        <v>42219.99861</v>
      </c>
      <c r="B1888" s="1">
        <f>IFERROR(__xludf.DUMMYFUNCTION("""COMPUTED_VALUE"""),13440.0)</f>
        <v>13440</v>
      </c>
    </row>
    <row r="1889">
      <c r="A1889" s="3">
        <f>IFERROR(__xludf.DUMMYFUNCTION("""COMPUTED_VALUE"""),42220.99861111111)</f>
        <v>42220.99861</v>
      </c>
      <c r="B1889" s="1">
        <f>IFERROR(__xludf.DUMMYFUNCTION("""COMPUTED_VALUE"""),13485.0)</f>
        <v>13485</v>
      </c>
    </row>
    <row r="1890">
      <c r="A1890" s="3">
        <f>IFERROR(__xludf.DUMMYFUNCTION("""COMPUTED_VALUE"""),42221.99861111111)</f>
        <v>42221.99861</v>
      </c>
      <c r="B1890" s="1">
        <f>IFERROR(__xludf.DUMMYFUNCTION("""COMPUTED_VALUE"""),13517.0)</f>
        <v>13517</v>
      </c>
    </row>
    <row r="1891">
      <c r="A1891" s="3">
        <f>IFERROR(__xludf.DUMMYFUNCTION("""COMPUTED_VALUE"""),42222.99861111111)</f>
        <v>42222.99861</v>
      </c>
      <c r="B1891" s="1">
        <f>IFERROR(__xludf.DUMMYFUNCTION("""COMPUTED_VALUE"""),13465.0)</f>
        <v>13465</v>
      </c>
    </row>
    <row r="1892">
      <c r="A1892" s="3">
        <f>IFERROR(__xludf.DUMMYFUNCTION("""COMPUTED_VALUE"""),42223.99861111111)</f>
        <v>42223.99861</v>
      </c>
      <c r="B1892" s="1">
        <f>IFERROR(__xludf.DUMMYFUNCTION("""COMPUTED_VALUE"""),13483.0)</f>
        <v>13483</v>
      </c>
    </row>
    <row r="1893">
      <c r="A1893" s="3">
        <f>IFERROR(__xludf.DUMMYFUNCTION("""COMPUTED_VALUE"""),42226.99861111111)</f>
        <v>42226.99861</v>
      </c>
      <c r="B1893" s="1">
        <f>IFERROR(__xludf.DUMMYFUNCTION("""COMPUTED_VALUE"""),13467.0)</f>
        <v>13467</v>
      </c>
    </row>
    <row r="1894">
      <c r="A1894" s="3">
        <f>IFERROR(__xludf.DUMMYFUNCTION("""COMPUTED_VALUE"""),42227.99861111111)</f>
        <v>42227.99861</v>
      </c>
      <c r="B1894" s="1">
        <f>IFERROR(__xludf.DUMMYFUNCTION("""COMPUTED_VALUE"""),13605.0)</f>
        <v>13605</v>
      </c>
    </row>
    <row r="1895">
      <c r="A1895" s="3">
        <f>IFERROR(__xludf.DUMMYFUNCTION("""COMPUTED_VALUE"""),42228.99861111111)</f>
        <v>42228.99861</v>
      </c>
      <c r="B1895" s="1">
        <f>IFERROR(__xludf.DUMMYFUNCTION("""COMPUTED_VALUE"""),13745.0)</f>
        <v>13745</v>
      </c>
    </row>
    <row r="1896">
      <c r="A1896" s="3">
        <f>IFERROR(__xludf.DUMMYFUNCTION("""COMPUTED_VALUE"""),42229.99861111111)</f>
        <v>42229.99861</v>
      </c>
      <c r="B1896" s="1">
        <f>IFERROR(__xludf.DUMMYFUNCTION("""COMPUTED_VALUE"""),13675.0)</f>
        <v>13675</v>
      </c>
    </row>
    <row r="1897">
      <c r="A1897" s="3">
        <f>IFERROR(__xludf.DUMMYFUNCTION("""COMPUTED_VALUE"""),42230.99861111111)</f>
        <v>42230.99861</v>
      </c>
      <c r="B1897" s="1">
        <f>IFERROR(__xludf.DUMMYFUNCTION("""COMPUTED_VALUE"""),13715.0)</f>
        <v>13715</v>
      </c>
    </row>
    <row r="1898">
      <c r="A1898" s="3">
        <f>IFERROR(__xludf.DUMMYFUNCTION("""COMPUTED_VALUE"""),42233.99861111111)</f>
        <v>42233.99861</v>
      </c>
      <c r="B1898" s="1">
        <f>IFERROR(__xludf.DUMMYFUNCTION("""COMPUTED_VALUE"""),13830.0)</f>
        <v>13830</v>
      </c>
    </row>
    <row r="1899">
      <c r="A1899" s="3">
        <f>IFERROR(__xludf.DUMMYFUNCTION("""COMPUTED_VALUE"""),42234.99861111111)</f>
        <v>42234.99861</v>
      </c>
      <c r="B1899" s="1">
        <f>IFERROR(__xludf.DUMMYFUNCTION("""COMPUTED_VALUE"""),13828.0)</f>
        <v>13828</v>
      </c>
    </row>
    <row r="1900">
      <c r="A1900" s="3">
        <f>IFERROR(__xludf.DUMMYFUNCTION("""COMPUTED_VALUE"""),42235.99861111111)</f>
        <v>42235.99861</v>
      </c>
      <c r="B1900" s="1">
        <f>IFERROR(__xludf.DUMMYFUNCTION("""COMPUTED_VALUE"""),13748.0)</f>
        <v>13748</v>
      </c>
    </row>
    <row r="1901">
      <c r="A1901" s="3">
        <f>IFERROR(__xludf.DUMMYFUNCTION("""COMPUTED_VALUE"""),42236.99861111111)</f>
        <v>42236.99861</v>
      </c>
      <c r="B1901" s="1">
        <f>IFERROR(__xludf.DUMMYFUNCTION("""COMPUTED_VALUE"""),13885.0)</f>
        <v>13885</v>
      </c>
    </row>
    <row r="1902">
      <c r="A1902" s="3">
        <f>IFERROR(__xludf.DUMMYFUNCTION("""COMPUTED_VALUE"""),42237.99861111111)</f>
        <v>42237.99861</v>
      </c>
      <c r="B1902" s="1">
        <f>IFERROR(__xludf.DUMMYFUNCTION("""COMPUTED_VALUE"""),13815.0)</f>
        <v>13815</v>
      </c>
    </row>
    <row r="1903">
      <c r="A1903" s="3">
        <f>IFERROR(__xludf.DUMMYFUNCTION("""COMPUTED_VALUE"""),42240.99861111111)</f>
        <v>42240.99861</v>
      </c>
      <c r="B1903" s="1">
        <f>IFERROR(__xludf.DUMMYFUNCTION("""COMPUTED_VALUE"""),13915.0)</f>
        <v>13915</v>
      </c>
    </row>
    <row r="1904">
      <c r="A1904" s="3">
        <f>IFERROR(__xludf.DUMMYFUNCTION("""COMPUTED_VALUE"""),42241.99861111111)</f>
        <v>42241.99861</v>
      </c>
      <c r="B1904" s="1">
        <f>IFERROR(__xludf.DUMMYFUNCTION("""COMPUTED_VALUE"""),13800.0)</f>
        <v>13800</v>
      </c>
    </row>
    <row r="1905">
      <c r="A1905" s="3">
        <f>IFERROR(__xludf.DUMMYFUNCTION("""COMPUTED_VALUE"""),42242.99861111111)</f>
        <v>42242.99861</v>
      </c>
      <c r="B1905" s="1">
        <f>IFERROR(__xludf.DUMMYFUNCTION("""COMPUTED_VALUE"""),13960.0)</f>
        <v>13960</v>
      </c>
    </row>
    <row r="1906">
      <c r="A1906" s="3">
        <f>IFERROR(__xludf.DUMMYFUNCTION("""COMPUTED_VALUE"""),42243.99861111111)</f>
        <v>42243.99861</v>
      </c>
      <c r="B1906" s="1">
        <f>IFERROR(__xludf.DUMMYFUNCTION("""COMPUTED_VALUE"""),13795.0)</f>
        <v>13795</v>
      </c>
    </row>
    <row r="1907">
      <c r="A1907" s="3">
        <f>IFERROR(__xludf.DUMMYFUNCTION("""COMPUTED_VALUE"""),42244.99861111111)</f>
        <v>42244.99861</v>
      </c>
      <c r="B1907" s="1">
        <f>IFERROR(__xludf.DUMMYFUNCTION("""COMPUTED_VALUE"""),13910.0)</f>
        <v>13910</v>
      </c>
    </row>
    <row r="1908">
      <c r="A1908" s="3">
        <f>IFERROR(__xludf.DUMMYFUNCTION("""COMPUTED_VALUE"""),42247.99861111111)</f>
        <v>42247.99861</v>
      </c>
      <c r="B1908" s="1">
        <f>IFERROR(__xludf.DUMMYFUNCTION("""COMPUTED_VALUE"""),14000.0)</f>
        <v>14000</v>
      </c>
    </row>
    <row r="1909">
      <c r="A1909" s="3">
        <f>IFERROR(__xludf.DUMMYFUNCTION("""COMPUTED_VALUE"""),42248.99861111111)</f>
        <v>42248.99861</v>
      </c>
      <c r="B1909" s="1">
        <f>IFERROR(__xludf.DUMMYFUNCTION("""COMPUTED_VALUE"""),13988.0)</f>
        <v>13988</v>
      </c>
    </row>
    <row r="1910">
      <c r="A1910" s="3">
        <f>IFERROR(__xludf.DUMMYFUNCTION("""COMPUTED_VALUE"""),42249.99861111111)</f>
        <v>42249.99861</v>
      </c>
      <c r="B1910" s="1">
        <f>IFERROR(__xludf.DUMMYFUNCTION("""COMPUTED_VALUE"""),14050.0)</f>
        <v>14050</v>
      </c>
    </row>
    <row r="1911">
      <c r="A1911" s="3">
        <f>IFERROR(__xludf.DUMMYFUNCTION("""COMPUTED_VALUE"""),42250.99861111111)</f>
        <v>42250.99861</v>
      </c>
      <c r="B1911" s="1">
        <f>IFERROR(__xludf.DUMMYFUNCTION("""COMPUTED_VALUE"""),14065.0)</f>
        <v>14065</v>
      </c>
    </row>
    <row r="1912">
      <c r="A1912" s="3">
        <f>IFERROR(__xludf.DUMMYFUNCTION("""COMPUTED_VALUE"""),42251.99861111111)</f>
        <v>42251.99861</v>
      </c>
      <c r="B1912" s="1">
        <f>IFERROR(__xludf.DUMMYFUNCTION("""COMPUTED_VALUE"""),14190.0)</f>
        <v>14190</v>
      </c>
    </row>
    <row r="1913">
      <c r="A1913" s="3">
        <f>IFERROR(__xludf.DUMMYFUNCTION("""COMPUTED_VALUE"""),42254.99861111111)</f>
        <v>42254.99861</v>
      </c>
      <c r="B1913" s="1">
        <f>IFERROR(__xludf.DUMMYFUNCTION("""COMPUTED_VALUE"""),14275.0)</f>
        <v>14275</v>
      </c>
    </row>
    <row r="1914">
      <c r="A1914" s="3">
        <f>IFERROR(__xludf.DUMMYFUNCTION("""COMPUTED_VALUE"""),42255.99861111111)</f>
        <v>42255.99861</v>
      </c>
      <c r="B1914" s="1">
        <f>IFERROR(__xludf.DUMMYFUNCTION("""COMPUTED_VALUE"""),14160.0)</f>
        <v>14160</v>
      </c>
    </row>
    <row r="1915">
      <c r="A1915" s="3">
        <f>IFERROR(__xludf.DUMMYFUNCTION("""COMPUTED_VALUE"""),42256.99861111111)</f>
        <v>42256.99861</v>
      </c>
      <c r="B1915" s="1">
        <f>IFERROR(__xludf.DUMMYFUNCTION("""COMPUTED_VALUE"""),14250.0)</f>
        <v>14250</v>
      </c>
    </row>
    <row r="1916">
      <c r="A1916" s="3">
        <f>IFERROR(__xludf.DUMMYFUNCTION("""COMPUTED_VALUE"""),42257.99861111111)</f>
        <v>42257.99861</v>
      </c>
      <c r="B1916" s="1">
        <f>IFERROR(__xludf.DUMMYFUNCTION("""COMPUTED_VALUE"""),14235.0)</f>
        <v>14235</v>
      </c>
    </row>
    <row r="1917">
      <c r="A1917" s="3">
        <f>IFERROR(__xludf.DUMMYFUNCTION("""COMPUTED_VALUE"""),42258.99861111111)</f>
        <v>42258.99861</v>
      </c>
      <c r="B1917" s="1">
        <f>IFERROR(__xludf.DUMMYFUNCTION("""COMPUTED_VALUE"""),14270.0)</f>
        <v>14270</v>
      </c>
    </row>
    <row r="1918">
      <c r="A1918" s="3">
        <f>IFERROR(__xludf.DUMMYFUNCTION("""COMPUTED_VALUE"""),42261.99861111111)</f>
        <v>42261.99861</v>
      </c>
      <c r="B1918" s="1">
        <f>IFERROR(__xludf.DUMMYFUNCTION("""COMPUTED_VALUE"""),14310.0)</f>
        <v>14310</v>
      </c>
    </row>
    <row r="1919">
      <c r="A1919" s="3">
        <f>IFERROR(__xludf.DUMMYFUNCTION("""COMPUTED_VALUE"""),42262.99861111111)</f>
        <v>42262.99861</v>
      </c>
      <c r="B1919" s="1">
        <f>IFERROR(__xludf.DUMMYFUNCTION("""COMPUTED_VALUE"""),14400.0)</f>
        <v>14400</v>
      </c>
    </row>
    <row r="1920">
      <c r="A1920" s="3">
        <f>IFERROR(__xludf.DUMMYFUNCTION("""COMPUTED_VALUE"""),42263.99861111111)</f>
        <v>42263.99861</v>
      </c>
      <c r="B1920" s="1">
        <f>IFERROR(__xludf.DUMMYFUNCTION("""COMPUTED_VALUE"""),14377.0)</f>
        <v>14377</v>
      </c>
    </row>
    <row r="1921">
      <c r="A1921" s="3">
        <f>IFERROR(__xludf.DUMMYFUNCTION("""COMPUTED_VALUE"""),42264.99861111111)</f>
        <v>42264.99861</v>
      </c>
      <c r="B1921" s="1">
        <f>IFERROR(__xludf.DUMMYFUNCTION("""COMPUTED_VALUE"""),14225.0)</f>
        <v>14225</v>
      </c>
    </row>
    <row r="1922">
      <c r="A1922" s="3">
        <f>IFERROR(__xludf.DUMMYFUNCTION("""COMPUTED_VALUE"""),42265.99861111111)</f>
        <v>42265.99861</v>
      </c>
      <c r="B1922" s="1">
        <f>IFERROR(__xludf.DUMMYFUNCTION("""COMPUTED_VALUE"""),14403.0)</f>
        <v>14403</v>
      </c>
    </row>
    <row r="1923">
      <c r="A1923" s="3">
        <f>IFERROR(__xludf.DUMMYFUNCTION("""COMPUTED_VALUE"""),42268.99861111111)</f>
        <v>42268.99861</v>
      </c>
      <c r="B1923" s="1">
        <f>IFERROR(__xludf.DUMMYFUNCTION("""COMPUTED_VALUE"""),14470.0)</f>
        <v>14470</v>
      </c>
    </row>
    <row r="1924">
      <c r="A1924" s="3">
        <f>IFERROR(__xludf.DUMMYFUNCTION("""COMPUTED_VALUE"""),42269.99861111111)</f>
        <v>42269.99861</v>
      </c>
      <c r="B1924" s="1">
        <f>IFERROR(__xludf.DUMMYFUNCTION("""COMPUTED_VALUE"""),14595.0)</f>
        <v>14595</v>
      </c>
    </row>
    <row r="1925">
      <c r="A1925" s="3">
        <f>IFERROR(__xludf.DUMMYFUNCTION("""COMPUTED_VALUE"""),42270.99861111111)</f>
        <v>42270.99861</v>
      </c>
      <c r="B1925" s="1">
        <f>IFERROR(__xludf.DUMMYFUNCTION("""COMPUTED_VALUE"""),14640.0)</f>
        <v>14640</v>
      </c>
    </row>
    <row r="1926">
      <c r="A1926" s="3">
        <f>IFERROR(__xludf.DUMMYFUNCTION("""COMPUTED_VALUE"""),42271.99861111111)</f>
        <v>42271.99861</v>
      </c>
      <c r="B1926" s="1">
        <f>IFERROR(__xludf.DUMMYFUNCTION("""COMPUTED_VALUE"""),14670.0)</f>
        <v>14670</v>
      </c>
    </row>
    <row r="1927">
      <c r="A1927" s="3">
        <f>IFERROR(__xludf.DUMMYFUNCTION("""COMPUTED_VALUE"""),42272.99861111111)</f>
        <v>42272.99861</v>
      </c>
      <c r="B1927" s="1">
        <f>IFERROR(__xludf.DUMMYFUNCTION("""COMPUTED_VALUE"""),14617.0)</f>
        <v>14617</v>
      </c>
    </row>
    <row r="1928">
      <c r="A1928" s="3">
        <f>IFERROR(__xludf.DUMMYFUNCTION("""COMPUTED_VALUE"""),42275.99861111111)</f>
        <v>42275.99861</v>
      </c>
      <c r="B1928" s="1">
        <f>IFERROR(__xludf.DUMMYFUNCTION("""COMPUTED_VALUE"""),14697.0)</f>
        <v>14697</v>
      </c>
    </row>
    <row r="1929">
      <c r="A1929" s="3">
        <f>IFERROR(__xludf.DUMMYFUNCTION("""COMPUTED_VALUE"""),42276.99861111111)</f>
        <v>42276.99861</v>
      </c>
      <c r="B1929" s="1">
        <f>IFERROR(__xludf.DUMMYFUNCTION("""COMPUTED_VALUE"""),14680.0)</f>
        <v>14680</v>
      </c>
    </row>
    <row r="1930">
      <c r="A1930" s="3">
        <f>IFERROR(__xludf.DUMMYFUNCTION("""COMPUTED_VALUE"""),42277.99861111111)</f>
        <v>42277.99861</v>
      </c>
      <c r="B1930" s="1">
        <f>IFERROR(__xludf.DUMMYFUNCTION("""COMPUTED_VALUE"""),14552.0)</f>
        <v>14552</v>
      </c>
    </row>
    <row r="1931">
      <c r="A1931" s="3">
        <f>IFERROR(__xludf.DUMMYFUNCTION("""COMPUTED_VALUE"""),42278.99861111111)</f>
        <v>42278.99861</v>
      </c>
      <c r="B1931" s="1">
        <f>IFERROR(__xludf.DUMMYFUNCTION("""COMPUTED_VALUE"""),14665.0)</f>
        <v>14665</v>
      </c>
    </row>
    <row r="1932">
      <c r="A1932" s="3">
        <f>IFERROR(__xludf.DUMMYFUNCTION("""COMPUTED_VALUE"""),42279.99861111111)</f>
        <v>42279.99861</v>
      </c>
      <c r="B1932" s="1">
        <f>IFERROR(__xludf.DUMMYFUNCTION("""COMPUTED_VALUE"""),14605.0)</f>
        <v>14605</v>
      </c>
    </row>
    <row r="1933">
      <c r="A1933" s="3">
        <f>IFERROR(__xludf.DUMMYFUNCTION("""COMPUTED_VALUE"""),42282.99861111111)</f>
        <v>42282.99861</v>
      </c>
      <c r="B1933" s="1">
        <f>IFERROR(__xludf.DUMMYFUNCTION("""COMPUTED_VALUE"""),14433.0)</f>
        <v>14433</v>
      </c>
    </row>
    <row r="1934">
      <c r="A1934" s="3">
        <f>IFERROR(__xludf.DUMMYFUNCTION("""COMPUTED_VALUE"""),42283.99861111111)</f>
        <v>42283.99861</v>
      </c>
      <c r="B1934" s="1">
        <f>IFERROR(__xludf.DUMMYFUNCTION("""COMPUTED_VALUE"""),14060.0)</f>
        <v>14060</v>
      </c>
    </row>
    <row r="1935">
      <c r="A1935" s="3">
        <f>IFERROR(__xludf.DUMMYFUNCTION("""COMPUTED_VALUE"""),42284.99861111111)</f>
        <v>42284.99861</v>
      </c>
      <c r="B1935" s="1">
        <f>IFERROR(__xludf.DUMMYFUNCTION("""COMPUTED_VALUE"""),13865.0)</f>
        <v>13865</v>
      </c>
    </row>
    <row r="1936">
      <c r="A1936" s="3">
        <f>IFERROR(__xludf.DUMMYFUNCTION("""COMPUTED_VALUE"""),42285.99861111111)</f>
        <v>42285.99861</v>
      </c>
      <c r="B1936" s="1">
        <f>IFERROR(__xludf.DUMMYFUNCTION("""COMPUTED_VALUE"""),13410.0)</f>
        <v>13410</v>
      </c>
    </row>
    <row r="1937">
      <c r="A1937" s="3">
        <f>IFERROR(__xludf.DUMMYFUNCTION("""COMPUTED_VALUE"""),42286.99861111111)</f>
        <v>42286.99861</v>
      </c>
      <c r="B1937" s="1">
        <f>IFERROR(__xludf.DUMMYFUNCTION("""COMPUTED_VALUE"""),13320.0)</f>
        <v>13320</v>
      </c>
    </row>
    <row r="1938">
      <c r="A1938" s="3">
        <f>IFERROR(__xludf.DUMMYFUNCTION("""COMPUTED_VALUE"""),42289.99861111111)</f>
        <v>42289.99861</v>
      </c>
      <c r="B1938" s="1">
        <f>IFERROR(__xludf.DUMMYFUNCTION("""COMPUTED_VALUE"""),13502.0)</f>
        <v>13502</v>
      </c>
    </row>
    <row r="1939">
      <c r="A1939" s="3">
        <f>IFERROR(__xludf.DUMMYFUNCTION("""COMPUTED_VALUE"""),42290.99861111111)</f>
        <v>42290.99861</v>
      </c>
      <c r="B1939" s="1">
        <f>IFERROR(__xludf.DUMMYFUNCTION("""COMPUTED_VALUE"""),13650.0)</f>
        <v>13650</v>
      </c>
    </row>
    <row r="1940">
      <c r="A1940" s="3">
        <f>IFERROR(__xludf.DUMMYFUNCTION("""COMPUTED_VALUE"""),42291.99861111111)</f>
        <v>42291.99861</v>
      </c>
      <c r="B1940" s="1">
        <f>IFERROR(__xludf.DUMMYFUNCTION("""COMPUTED_VALUE"""),13260.0)</f>
        <v>13260</v>
      </c>
    </row>
    <row r="1941">
      <c r="A1941" s="3">
        <f>IFERROR(__xludf.DUMMYFUNCTION("""COMPUTED_VALUE"""),42292.99861111111)</f>
        <v>42292.99861</v>
      </c>
      <c r="B1941" s="1">
        <f>IFERROR(__xludf.DUMMYFUNCTION("""COMPUTED_VALUE"""),13400.0)</f>
        <v>13400</v>
      </c>
    </row>
    <row r="1942">
      <c r="A1942" s="3">
        <f>IFERROR(__xludf.DUMMYFUNCTION("""COMPUTED_VALUE"""),42293.99861111111)</f>
        <v>42293.99861</v>
      </c>
      <c r="B1942" s="1">
        <f>IFERROR(__xludf.DUMMYFUNCTION("""COMPUTED_VALUE"""),13475.0)</f>
        <v>13475</v>
      </c>
    </row>
    <row r="1943">
      <c r="A1943" s="3">
        <f>IFERROR(__xludf.DUMMYFUNCTION("""COMPUTED_VALUE"""),42296.99861111111)</f>
        <v>42296.99861</v>
      </c>
      <c r="B1943" s="1">
        <f>IFERROR(__xludf.DUMMYFUNCTION("""COMPUTED_VALUE"""),13650.0)</f>
        <v>13650</v>
      </c>
    </row>
    <row r="1944">
      <c r="A1944" s="3">
        <f>IFERROR(__xludf.DUMMYFUNCTION("""COMPUTED_VALUE"""),42297.99861111111)</f>
        <v>42297.99861</v>
      </c>
      <c r="B1944" s="1">
        <f>IFERROR(__xludf.DUMMYFUNCTION("""COMPUTED_VALUE"""),13733.0)</f>
        <v>13733</v>
      </c>
    </row>
    <row r="1945">
      <c r="A1945" s="3">
        <f>IFERROR(__xludf.DUMMYFUNCTION("""COMPUTED_VALUE"""),42298.99861111111)</f>
        <v>42298.99861</v>
      </c>
      <c r="B1945" s="1">
        <f>IFERROR(__xludf.DUMMYFUNCTION("""COMPUTED_VALUE"""),13700.0)</f>
        <v>13700</v>
      </c>
    </row>
    <row r="1946">
      <c r="A1946" s="3">
        <f>IFERROR(__xludf.DUMMYFUNCTION("""COMPUTED_VALUE"""),42299.99861111111)</f>
        <v>42299.99861</v>
      </c>
      <c r="B1946" s="1">
        <f>IFERROR(__xludf.DUMMYFUNCTION("""COMPUTED_VALUE"""),13478.0)</f>
        <v>13478</v>
      </c>
    </row>
    <row r="1947">
      <c r="A1947" s="3">
        <f>IFERROR(__xludf.DUMMYFUNCTION("""COMPUTED_VALUE"""),42300.99861111111)</f>
        <v>42300.99861</v>
      </c>
      <c r="B1947" s="1">
        <f>IFERROR(__xludf.DUMMYFUNCTION("""COMPUTED_VALUE"""),13520.0)</f>
        <v>13520</v>
      </c>
    </row>
    <row r="1948">
      <c r="A1948" s="3">
        <f>IFERROR(__xludf.DUMMYFUNCTION("""COMPUTED_VALUE"""),42303.99861111111)</f>
        <v>42303.99861</v>
      </c>
      <c r="B1948" s="1">
        <f>IFERROR(__xludf.DUMMYFUNCTION("""COMPUTED_VALUE"""),13610.0)</f>
        <v>13610</v>
      </c>
    </row>
    <row r="1949">
      <c r="A1949" s="3">
        <f>IFERROR(__xludf.DUMMYFUNCTION("""COMPUTED_VALUE"""),42304.99861111111)</f>
        <v>42304.99861</v>
      </c>
      <c r="B1949" s="1">
        <f>IFERROR(__xludf.DUMMYFUNCTION("""COMPUTED_VALUE"""),13650.0)</f>
        <v>13650</v>
      </c>
    </row>
    <row r="1950">
      <c r="A1950" s="3">
        <f>IFERROR(__xludf.DUMMYFUNCTION("""COMPUTED_VALUE"""),42305.99861111111)</f>
        <v>42305.99861</v>
      </c>
      <c r="B1950" s="1">
        <f>IFERROR(__xludf.DUMMYFUNCTION("""COMPUTED_VALUE"""),13602.0)</f>
        <v>13602</v>
      </c>
    </row>
    <row r="1951">
      <c r="A1951" s="3">
        <f>IFERROR(__xludf.DUMMYFUNCTION("""COMPUTED_VALUE"""),42306.99861111111)</f>
        <v>42306.99861</v>
      </c>
      <c r="B1951" s="1">
        <f>IFERROR(__xludf.DUMMYFUNCTION("""COMPUTED_VALUE"""),13602.0)</f>
        <v>13602</v>
      </c>
    </row>
    <row r="1952">
      <c r="A1952" s="3">
        <f>IFERROR(__xludf.DUMMYFUNCTION("""COMPUTED_VALUE"""),42307.99861111111)</f>
        <v>42307.99861</v>
      </c>
      <c r="B1952" s="1">
        <f>IFERROR(__xludf.DUMMYFUNCTION("""COMPUTED_VALUE"""),13630.0)</f>
        <v>13630</v>
      </c>
    </row>
    <row r="1953">
      <c r="A1953" s="3">
        <f>IFERROR(__xludf.DUMMYFUNCTION("""COMPUTED_VALUE"""),42308.99861111111)</f>
        <v>42308.99861</v>
      </c>
      <c r="B1953" s="1">
        <f>IFERROR(__xludf.DUMMYFUNCTION("""COMPUTED_VALUE"""),13793.1)</f>
        <v>13793.1</v>
      </c>
    </row>
    <row r="1954">
      <c r="A1954" s="3">
        <f>IFERROR(__xludf.DUMMYFUNCTION("""COMPUTED_VALUE"""),42310.99861111111)</f>
        <v>42310.99861</v>
      </c>
      <c r="B1954" s="1">
        <f>IFERROR(__xludf.DUMMYFUNCTION("""COMPUTED_VALUE"""),13580.0)</f>
        <v>13580</v>
      </c>
    </row>
    <row r="1955">
      <c r="A1955" s="3">
        <f>IFERROR(__xludf.DUMMYFUNCTION("""COMPUTED_VALUE"""),42311.99861111111)</f>
        <v>42311.99861</v>
      </c>
      <c r="B1955" s="1">
        <f>IFERROR(__xludf.DUMMYFUNCTION("""COMPUTED_VALUE"""),13395.0)</f>
        <v>13395</v>
      </c>
    </row>
    <row r="1956">
      <c r="A1956" s="3">
        <f>IFERROR(__xludf.DUMMYFUNCTION("""COMPUTED_VALUE"""),42312.99861111111)</f>
        <v>42312.99861</v>
      </c>
      <c r="B1956" s="1">
        <f>IFERROR(__xludf.DUMMYFUNCTION("""COMPUTED_VALUE"""),13455.0)</f>
        <v>13455</v>
      </c>
    </row>
    <row r="1957">
      <c r="A1957" s="3">
        <f>IFERROR(__xludf.DUMMYFUNCTION("""COMPUTED_VALUE"""),42313.99861111111)</f>
        <v>42313.99861</v>
      </c>
      <c r="B1957" s="1">
        <f>IFERROR(__xludf.DUMMYFUNCTION("""COMPUTED_VALUE"""),13525.0)</f>
        <v>13525</v>
      </c>
    </row>
    <row r="1958">
      <c r="A1958" s="3">
        <f>IFERROR(__xludf.DUMMYFUNCTION("""COMPUTED_VALUE"""),42314.99861111111)</f>
        <v>42314.99861</v>
      </c>
      <c r="B1958" s="1">
        <f>IFERROR(__xludf.DUMMYFUNCTION("""COMPUTED_VALUE"""),13610.0)</f>
        <v>13610</v>
      </c>
    </row>
    <row r="1959">
      <c r="A1959" s="3">
        <f>IFERROR(__xludf.DUMMYFUNCTION("""COMPUTED_VALUE"""),42315.99861111111)</f>
        <v>42315.99861</v>
      </c>
      <c r="B1959" s="1">
        <f>IFERROR(__xludf.DUMMYFUNCTION("""COMPUTED_VALUE"""),13717.42)</f>
        <v>13717.42</v>
      </c>
    </row>
    <row r="1960">
      <c r="A1960" s="3">
        <f>IFERROR(__xludf.DUMMYFUNCTION("""COMPUTED_VALUE"""),42317.99861111111)</f>
        <v>42317.99861</v>
      </c>
      <c r="B1960" s="1">
        <f>IFERROR(__xludf.DUMMYFUNCTION("""COMPUTED_VALUE"""),13645.0)</f>
        <v>13645</v>
      </c>
    </row>
    <row r="1961">
      <c r="A1961" s="3">
        <f>IFERROR(__xludf.DUMMYFUNCTION("""COMPUTED_VALUE"""),42318.99861111111)</f>
        <v>42318.99861</v>
      </c>
      <c r="B1961" s="1">
        <f>IFERROR(__xludf.DUMMYFUNCTION("""COMPUTED_VALUE"""),13560.0)</f>
        <v>13560</v>
      </c>
    </row>
    <row r="1962">
      <c r="A1962" s="3">
        <f>IFERROR(__xludf.DUMMYFUNCTION("""COMPUTED_VALUE"""),42319.99861111111)</f>
        <v>42319.99861</v>
      </c>
      <c r="B1962" s="1">
        <f>IFERROR(__xludf.DUMMYFUNCTION("""COMPUTED_VALUE"""),13525.0)</f>
        <v>13525</v>
      </c>
    </row>
    <row r="1963">
      <c r="A1963" s="3">
        <f>IFERROR(__xludf.DUMMYFUNCTION("""COMPUTED_VALUE"""),42320.99861111111)</f>
        <v>42320.99861</v>
      </c>
      <c r="B1963" s="1">
        <f>IFERROR(__xludf.DUMMYFUNCTION("""COMPUTED_VALUE"""),13610.0)</f>
        <v>13610</v>
      </c>
    </row>
    <row r="1964">
      <c r="A1964" s="3">
        <f>IFERROR(__xludf.DUMMYFUNCTION("""COMPUTED_VALUE"""),42321.99861111111)</f>
        <v>42321.99861</v>
      </c>
      <c r="B1964" s="1">
        <f>IFERROR(__xludf.DUMMYFUNCTION("""COMPUTED_VALUE"""),13743.0)</f>
        <v>13743</v>
      </c>
    </row>
    <row r="1965">
      <c r="A1965" s="3">
        <f>IFERROR(__xludf.DUMMYFUNCTION("""COMPUTED_VALUE"""),42322.99861111111)</f>
        <v>42322.99861</v>
      </c>
      <c r="B1965" s="1">
        <f>IFERROR(__xludf.DUMMYFUNCTION("""COMPUTED_VALUE"""),13623.97)</f>
        <v>13623.97</v>
      </c>
    </row>
    <row r="1966">
      <c r="A1966" s="3">
        <f>IFERROR(__xludf.DUMMYFUNCTION("""COMPUTED_VALUE"""),42324.99861111111)</f>
        <v>42324.99861</v>
      </c>
      <c r="B1966" s="1">
        <f>IFERROR(__xludf.DUMMYFUNCTION("""COMPUTED_VALUE"""),13708.0)</f>
        <v>13708</v>
      </c>
    </row>
    <row r="1967">
      <c r="A1967" s="3">
        <f>IFERROR(__xludf.DUMMYFUNCTION("""COMPUTED_VALUE"""),42325.99861111111)</f>
        <v>42325.99861</v>
      </c>
      <c r="B1967" s="1">
        <f>IFERROR(__xludf.DUMMYFUNCTION("""COMPUTED_VALUE"""),13720.0)</f>
        <v>13720</v>
      </c>
    </row>
    <row r="1968">
      <c r="A1968" s="3">
        <f>IFERROR(__xludf.DUMMYFUNCTION("""COMPUTED_VALUE"""),42326.99861111111)</f>
        <v>42326.99861</v>
      </c>
      <c r="B1968" s="1">
        <f>IFERROR(__xludf.DUMMYFUNCTION("""COMPUTED_VALUE"""),13705.0)</f>
        <v>13705</v>
      </c>
    </row>
    <row r="1969">
      <c r="A1969" s="3">
        <f>IFERROR(__xludf.DUMMYFUNCTION("""COMPUTED_VALUE"""),42327.99861111111)</f>
        <v>42327.99861</v>
      </c>
      <c r="B1969" s="1">
        <f>IFERROR(__xludf.DUMMYFUNCTION("""COMPUTED_VALUE"""),13655.0)</f>
        <v>13655</v>
      </c>
    </row>
    <row r="1970">
      <c r="A1970" s="3">
        <f>IFERROR(__xludf.DUMMYFUNCTION("""COMPUTED_VALUE"""),42328.99861111111)</f>
        <v>42328.99861</v>
      </c>
      <c r="B1970" s="1">
        <f>IFERROR(__xludf.DUMMYFUNCTION("""COMPUTED_VALUE"""),13540.0)</f>
        <v>13540</v>
      </c>
    </row>
    <row r="1971">
      <c r="A1971" s="3">
        <f>IFERROR(__xludf.DUMMYFUNCTION("""COMPUTED_VALUE"""),42330.99861111111)</f>
        <v>42330.99861</v>
      </c>
      <c r="B1971" s="1">
        <f>IFERROR(__xludf.DUMMYFUNCTION("""COMPUTED_VALUE"""),13736.26)</f>
        <v>13736.26</v>
      </c>
    </row>
    <row r="1972">
      <c r="A1972" s="3">
        <f>IFERROR(__xludf.DUMMYFUNCTION("""COMPUTED_VALUE"""),42331.99861111111)</f>
        <v>42331.99861</v>
      </c>
      <c r="B1972" s="1">
        <f>IFERROR(__xludf.DUMMYFUNCTION("""COMPUTED_VALUE"""),13665.0)</f>
        <v>13665</v>
      </c>
    </row>
    <row r="1973">
      <c r="A1973" s="3">
        <f>IFERROR(__xludf.DUMMYFUNCTION("""COMPUTED_VALUE"""),42332.99861111111)</f>
        <v>42332.99861</v>
      </c>
      <c r="B1973" s="1">
        <f>IFERROR(__xludf.DUMMYFUNCTION("""COMPUTED_VALUE"""),13620.0)</f>
        <v>13620</v>
      </c>
    </row>
    <row r="1974">
      <c r="A1974" s="3">
        <f>IFERROR(__xludf.DUMMYFUNCTION("""COMPUTED_VALUE"""),42333.99861111111)</f>
        <v>42333.99861</v>
      </c>
      <c r="B1974" s="1">
        <f>IFERROR(__xludf.DUMMYFUNCTION("""COMPUTED_VALUE"""),13590.0)</f>
        <v>13590</v>
      </c>
    </row>
    <row r="1975">
      <c r="A1975" s="3">
        <f>IFERROR(__xludf.DUMMYFUNCTION("""COMPUTED_VALUE"""),42334.99861111111)</f>
        <v>42334.99861</v>
      </c>
      <c r="B1975" s="1">
        <f>IFERROR(__xludf.DUMMYFUNCTION("""COMPUTED_VALUE"""),13735.0)</f>
        <v>13735</v>
      </c>
    </row>
    <row r="1976">
      <c r="A1976" s="3">
        <f>IFERROR(__xludf.DUMMYFUNCTION("""COMPUTED_VALUE"""),42335.99861111111)</f>
        <v>42335.99861</v>
      </c>
      <c r="B1976" s="1">
        <f>IFERROR(__xludf.DUMMYFUNCTION("""COMPUTED_VALUE"""),13638.0)</f>
        <v>13638</v>
      </c>
    </row>
    <row r="1977">
      <c r="A1977" s="3">
        <f>IFERROR(__xludf.DUMMYFUNCTION("""COMPUTED_VALUE"""),42336.99861111111)</f>
        <v>42336.99861</v>
      </c>
      <c r="B1977" s="1">
        <f>IFERROR(__xludf.DUMMYFUNCTION("""COMPUTED_VALUE"""),13986.01)</f>
        <v>13986.01</v>
      </c>
    </row>
    <row r="1978">
      <c r="A1978" s="3">
        <f>IFERROR(__xludf.DUMMYFUNCTION("""COMPUTED_VALUE"""),42338.99861111111)</f>
        <v>42338.99861</v>
      </c>
      <c r="B1978" s="1">
        <f>IFERROR(__xludf.DUMMYFUNCTION("""COMPUTED_VALUE"""),13883.0)</f>
        <v>13883</v>
      </c>
    </row>
    <row r="1979">
      <c r="A1979" s="3">
        <f>IFERROR(__xludf.DUMMYFUNCTION("""COMPUTED_VALUE"""),42339.99861111111)</f>
        <v>42339.99861</v>
      </c>
      <c r="B1979" s="1">
        <f>IFERROR(__xludf.DUMMYFUNCTION("""COMPUTED_VALUE"""),13820.0)</f>
        <v>13820</v>
      </c>
    </row>
    <row r="1980">
      <c r="A1980" s="3">
        <f>IFERROR(__xludf.DUMMYFUNCTION("""COMPUTED_VALUE"""),42340.99861111111)</f>
        <v>42340.99861</v>
      </c>
      <c r="B1980" s="1">
        <f>IFERROR(__xludf.DUMMYFUNCTION("""COMPUTED_VALUE"""),13807.0)</f>
        <v>13807</v>
      </c>
    </row>
    <row r="1981">
      <c r="A1981" s="3">
        <f>IFERROR(__xludf.DUMMYFUNCTION("""COMPUTED_VALUE"""),42341.99861111111)</f>
        <v>42341.99861</v>
      </c>
      <c r="B1981" s="1">
        <f>IFERROR(__xludf.DUMMYFUNCTION("""COMPUTED_VALUE"""),13695.0)</f>
        <v>13695</v>
      </c>
    </row>
    <row r="1982">
      <c r="A1982" s="3">
        <f>IFERROR(__xludf.DUMMYFUNCTION("""COMPUTED_VALUE"""),42342.99861111111)</f>
        <v>42342.99861</v>
      </c>
      <c r="B1982" s="1">
        <f>IFERROR(__xludf.DUMMYFUNCTION("""COMPUTED_VALUE"""),13758.0)</f>
        <v>13758</v>
      </c>
    </row>
    <row r="1983">
      <c r="A1983" s="3">
        <f>IFERROR(__xludf.DUMMYFUNCTION("""COMPUTED_VALUE"""),42343.99861111111)</f>
        <v>42343.99861</v>
      </c>
      <c r="B1983" s="1">
        <f>IFERROR(__xludf.DUMMYFUNCTION("""COMPUTED_VALUE"""),13850.41)</f>
        <v>13850.41</v>
      </c>
    </row>
    <row r="1984">
      <c r="A1984" s="3">
        <f>IFERROR(__xludf.DUMMYFUNCTION("""COMPUTED_VALUE"""),42345.99861111111)</f>
        <v>42345.99861</v>
      </c>
      <c r="B1984" s="1">
        <f>IFERROR(__xludf.DUMMYFUNCTION("""COMPUTED_VALUE"""),13870.0)</f>
        <v>13870</v>
      </c>
    </row>
    <row r="1985">
      <c r="A1985" s="3">
        <f>IFERROR(__xludf.DUMMYFUNCTION("""COMPUTED_VALUE"""),42346.99861111111)</f>
        <v>42346.99861</v>
      </c>
      <c r="B1985" s="1">
        <f>IFERROR(__xludf.DUMMYFUNCTION("""COMPUTED_VALUE"""),13979.0)</f>
        <v>13979</v>
      </c>
    </row>
    <row r="1986">
      <c r="A1986" s="3">
        <f>IFERROR(__xludf.DUMMYFUNCTION("""COMPUTED_VALUE"""),42347.99861111111)</f>
        <v>42347.99861</v>
      </c>
      <c r="B1986" s="1">
        <f>IFERROR(__xludf.DUMMYFUNCTION("""COMPUTED_VALUE"""),13920.0)</f>
        <v>13920</v>
      </c>
    </row>
    <row r="1987">
      <c r="A1987" s="3">
        <f>IFERROR(__xludf.DUMMYFUNCTION("""COMPUTED_VALUE"""),42348.99861111111)</f>
        <v>42348.99861</v>
      </c>
      <c r="B1987" s="1">
        <f>IFERROR(__xludf.DUMMYFUNCTION("""COMPUTED_VALUE"""),13925.0)</f>
        <v>13925</v>
      </c>
    </row>
    <row r="1988">
      <c r="A1988" s="3">
        <f>IFERROR(__xludf.DUMMYFUNCTION("""COMPUTED_VALUE"""),42349.99861111111)</f>
        <v>42349.99861</v>
      </c>
      <c r="B1988" s="1">
        <f>IFERROR(__xludf.DUMMYFUNCTION("""COMPUTED_VALUE"""),14130.0)</f>
        <v>14130</v>
      </c>
    </row>
    <row r="1989">
      <c r="A1989" s="3">
        <f>IFERROR(__xludf.DUMMYFUNCTION("""COMPUTED_VALUE"""),42350.99861111111)</f>
        <v>42350.99861</v>
      </c>
      <c r="B1989" s="1">
        <f>IFERROR(__xludf.DUMMYFUNCTION("""COMPUTED_VALUE"""),14204.54)</f>
        <v>14204.54</v>
      </c>
    </row>
    <row r="1990">
      <c r="A1990" s="3">
        <f>IFERROR(__xludf.DUMMYFUNCTION("""COMPUTED_VALUE"""),42352.99861111111)</f>
        <v>42352.99861</v>
      </c>
      <c r="B1990" s="1">
        <f>IFERROR(__xludf.DUMMYFUNCTION("""COMPUTED_VALUE"""),13997.0)</f>
        <v>13997</v>
      </c>
    </row>
    <row r="1991">
      <c r="A1991" s="3">
        <f>IFERROR(__xludf.DUMMYFUNCTION("""COMPUTED_VALUE"""),42353.99861111111)</f>
        <v>42353.99861</v>
      </c>
      <c r="B1991" s="1">
        <f>IFERROR(__xludf.DUMMYFUNCTION("""COMPUTED_VALUE"""),13970.0)</f>
        <v>13970</v>
      </c>
    </row>
    <row r="1992">
      <c r="A1992" s="3">
        <f>IFERROR(__xludf.DUMMYFUNCTION("""COMPUTED_VALUE"""),42354.99861111111)</f>
        <v>42354.99861</v>
      </c>
      <c r="B1992" s="1">
        <f>IFERROR(__xludf.DUMMYFUNCTION("""COMPUTED_VALUE"""),13760.0)</f>
        <v>13760</v>
      </c>
    </row>
    <row r="1993">
      <c r="A1993" s="3">
        <f>IFERROR(__xludf.DUMMYFUNCTION("""COMPUTED_VALUE"""),42355.99861111111)</f>
        <v>42355.99861</v>
      </c>
      <c r="B1993" s="1">
        <f>IFERROR(__xludf.DUMMYFUNCTION("""COMPUTED_VALUE"""),14020.0)</f>
        <v>14020</v>
      </c>
    </row>
    <row r="1994">
      <c r="A1994" s="3">
        <f>IFERROR(__xludf.DUMMYFUNCTION("""COMPUTED_VALUE"""),42356.99861111111)</f>
        <v>42356.99861</v>
      </c>
      <c r="B1994" s="1">
        <f>IFERROR(__xludf.DUMMYFUNCTION("""COMPUTED_VALUE"""),13865.0)</f>
        <v>13865</v>
      </c>
    </row>
    <row r="1995">
      <c r="A1995" s="3">
        <f>IFERROR(__xludf.DUMMYFUNCTION("""COMPUTED_VALUE"""),42357.99861111111)</f>
        <v>42357.99861</v>
      </c>
      <c r="B1995" s="1">
        <f>IFERROR(__xludf.DUMMYFUNCTION("""COMPUTED_VALUE"""),13947.0)</f>
        <v>13947</v>
      </c>
    </row>
    <row r="1996">
      <c r="A1996" s="3">
        <f>IFERROR(__xludf.DUMMYFUNCTION("""COMPUTED_VALUE"""),42359.99861111111)</f>
        <v>42359.99861</v>
      </c>
      <c r="B1996" s="1">
        <f>IFERROR(__xludf.DUMMYFUNCTION("""COMPUTED_VALUE"""),13760.0)</f>
        <v>13760</v>
      </c>
    </row>
    <row r="1997">
      <c r="A1997" s="3">
        <f>IFERROR(__xludf.DUMMYFUNCTION("""COMPUTED_VALUE"""),42360.99861111111)</f>
        <v>42360.99861</v>
      </c>
      <c r="B1997" s="1">
        <f>IFERROR(__xludf.DUMMYFUNCTION("""COMPUTED_VALUE"""),13645.0)</f>
        <v>13645</v>
      </c>
    </row>
    <row r="1998">
      <c r="A1998" s="3">
        <f>IFERROR(__xludf.DUMMYFUNCTION("""COMPUTED_VALUE"""),42361.99861111111)</f>
        <v>42361.99861</v>
      </c>
      <c r="B1998" s="1">
        <f>IFERROR(__xludf.DUMMYFUNCTION("""COMPUTED_VALUE"""),13625.0)</f>
        <v>13625</v>
      </c>
    </row>
    <row r="1999">
      <c r="A1999" s="3">
        <f>IFERROR(__xludf.DUMMYFUNCTION("""COMPUTED_VALUE"""),42362.99861111111)</f>
        <v>42362.99861</v>
      </c>
      <c r="B1999" s="1">
        <f>IFERROR(__xludf.DUMMYFUNCTION("""COMPUTED_VALUE"""),13630.0)</f>
        <v>13630</v>
      </c>
    </row>
    <row r="2000">
      <c r="A2000" s="3">
        <f>IFERROR(__xludf.DUMMYFUNCTION("""COMPUTED_VALUE"""),42363.99861111111)</f>
        <v>42363.99861</v>
      </c>
      <c r="B2000" s="1">
        <f>IFERROR(__xludf.DUMMYFUNCTION("""COMPUTED_VALUE"""),13630.0)</f>
        <v>13630</v>
      </c>
    </row>
    <row r="2001">
      <c r="A2001" s="3">
        <f>IFERROR(__xludf.DUMMYFUNCTION("""COMPUTED_VALUE"""),42364.99861111111)</f>
        <v>42364.99861</v>
      </c>
      <c r="B2001" s="1">
        <f>IFERROR(__xludf.DUMMYFUNCTION("""COMPUTED_VALUE"""),13661.2)</f>
        <v>13661.2</v>
      </c>
    </row>
    <row r="2002">
      <c r="A2002" s="3">
        <f>IFERROR(__xludf.DUMMYFUNCTION("""COMPUTED_VALUE"""),42366.99861111111)</f>
        <v>42366.99861</v>
      </c>
      <c r="B2002" s="1">
        <f>IFERROR(__xludf.DUMMYFUNCTION("""COMPUTED_VALUE"""),13495.0)</f>
        <v>13495</v>
      </c>
    </row>
    <row r="2003">
      <c r="A2003" s="3">
        <f>IFERROR(__xludf.DUMMYFUNCTION("""COMPUTED_VALUE"""),42367.99861111111)</f>
        <v>42367.99861</v>
      </c>
      <c r="B2003" s="1">
        <f>IFERROR(__xludf.DUMMYFUNCTION("""COMPUTED_VALUE"""),13682.0)</f>
        <v>13682</v>
      </c>
    </row>
    <row r="2004">
      <c r="A2004" s="3">
        <f>IFERROR(__xludf.DUMMYFUNCTION("""COMPUTED_VALUE"""),42368.99861111111)</f>
        <v>42368.99861</v>
      </c>
      <c r="B2004" s="1">
        <f>IFERROR(__xludf.DUMMYFUNCTION("""COMPUTED_VALUE"""),13845.0)</f>
        <v>13845</v>
      </c>
    </row>
    <row r="2005">
      <c r="A2005" s="3">
        <f>IFERROR(__xludf.DUMMYFUNCTION("""COMPUTED_VALUE"""),42369.99861111111)</f>
        <v>42369.99861</v>
      </c>
      <c r="B2005" s="1">
        <f>IFERROR(__xludf.DUMMYFUNCTION("""COMPUTED_VALUE"""),13775.0)</f>
        <v>13775</v>
      </c>
    </row>
    <row r="2006">
      <c r="A2006" s="3">
        <f>IFERROR(__xludf.DUMMYFUNCTION("""COMPUTED_VALUE"""),42370.99861111111)</f>
        <v>42370.99861</v>
      </c>
      <c r="B2006" s="1">
        <f>IFERROR(__xludf.DUMMYFUNCTION("""COMPUTED_VALUE"""),13775.0)</f>
        <v>13775</v>
      </c>
    </row>
    <row r="2007">
      <c r="A2007" s="3">
        <f>IFERROR(__xludf.DUMMYFUNCTION("""COMPUTED_VALUE"""),42371.99861111111)</f>
        <v>42371.99861</v>
      </c>
      <c r="B2007" s="1">
        <f>IFERROR(__xludf.DUMMYFUNCTION("""COMPUTED_VALUE"""),13812.15)</f>
        <v>13812.15</v>
      </c>
    </row>
    <row r="2008">
      <c r="A2008" s="3">
        <f>IFERROR(__xludf.DUMMYFUNCTION("""COMPUTED_VALUE"""),42372.99861111111)</f>
        <v>42372.99861</v>
      </c>
      <c r="B2008" s="1">
        <f>IFERROR(__xludf.DUMMYFUNCTION("""COMPUTED_VALUE"""),13812.15)</f>
        <v>13812.15</v>
      </c>
    </row>
    <row r="2009">
      <c r="A2009" s="3">
        <f>IFERROR(__xludf.DUMMYFUNCTION("""COMPUTED_VALUE"""),42373.99861111111)</f>
        <v>42373.99861</v>
      </c>
      <c r="B2009" s="1">
        <f>IFERROR(__xludf.DUMMYFUNCTION("""COMPUTED_VALUE"""),13957.0)</f>
        <v>13957</v>
      </c>
    </row>
    <row r="2010">
      <c r="A2010" s="3">
        <f>IFERROR(__xludf.DUMMYFUNCTION("""COMPUTED_VALUE"""),42374.99861111111)</f>
        <v>42374.99861</v>
      </c>
      <c r="B2010" s="1">
        <f>IFERROR(__xludf.DUMMYFUNCTION("""COMPUTED_VALUE"""),13805.0)</f>
        <v>13805</v>
      </c>
    </row>
    <row r="2011">
      <c r="A2011" s="3">
        <f>IFERROR(__xludf.DUMMYFUNCTION("""COMPUTED_VALUE"""),42375.99861111111)</f>
        <v>42375.99861</v>
      </c>
      <c r="B2011" s="1">
        <f>IFERROR(__xludf.DUMMYFUNCTION("""COMPUTED_VALUE"""),13905.0)</f>
        <v>13905</v>
      </c>
    </row>
    <row r="2012">
      <c r="A2012" s="3">
        <f>IFERROR(__xludf.DUMMYFUNCTION("""COMPUTED_VALUE"""),42376.99861111111)</f>
        <v>42376.99861</v>
      </c>
      <c r="B2012" s="1">
        <f>IFERROR(__xludf.DUMMYFUNCTION("""COMPUTED_VALUE"""),13930.0)</f>
        <v>13930</v>
      </c>
    </row>
    <row r="2013">
      <c r="A2013" s="3">
        <f>IFERROR(__xludf.DUMMYFUNCTION("""COMPUTED_VALUE"""),42377.99861111111)</f>
        <v>42377.99861</v>
      </c>
      <c r="B2013" s="1">
        <f>IFERROR(__xludf.DUMMYFUNCTION("""COMPUTED_VALUE"""),13890.0)</f>
        <v>13890</v>
      </c>
    </row>
    <row r="2014">
      <c r="A2014" s="3">
        <f>IFERROR(__xludf.DUMMYFUNCTION("""COMPUTED_VALUE"""),42378.99861111111)</f>
        <v>42378.99861</v>
      </c>
      <c r="B2014" s="1">
        <f>IFERROR(__xludf.DUMMYFUNCTION("""COMPUTED_VALUE"""),14064.69)</f>
        <v>14064.69</v>
      </c>
    </row>
    <row r="2015">
      <c r="A2015" s="3">
        <f>IFERROR(__xludf.DUMMYFUNCTION("""COMPUTED_VALUE"""),42379.99861111111)</f>
        <v>42379.99861</v>
      </c>
      <c r="B2015" s="1">
        <f>IFERROR(__xludf.DUMMYFUNCTION("""COMPUTED_VALUE"""),14044.94)</f>
        <v>14044.94</v>
      </c>
    </row>
    <row r="2016">
      <c r="A2016" s="3">
        <f>IFERROR(__xludf.DUMMYFUNCTION("""COMPUTED_VALUE"""),42380.99861111111)</f>
        <v>42380.99861</v>
      </c>
      <c r="B2016" s="1">
        <f>IFERROR(__xludf.DUMMYFUNCTION("""COMPUTED_VALUE"""),13805.0)</f>
        <v>13805</v>
      </c>
    </row>
    <row r="2017">
      <c r="A2017" s="3">
        <f>IFERROR(__xludf.DUMMYFUNCTION("""COMPUTED_VALUE"""),42381.99861111111)</f>
        <v>42381.99861</v>
      </c>
      <c r="B2017" s="1">
        <f>IFERROR(__xludf.DUMMYFUNCTION("""COMPUTED_VALUE"""),13795.0)</f>
        <v>13795</v>
      </c>
    </row>
    <row r="2018">
      <c r="A2018" s="3">
        <f>IFERROR(__xludf.DUMMYFUNCTION("""COMPUTED_VALUE"""),42382.99861111111)</f>
        <v>42382.99861</v>
      </c>
      <c r="B2018" s="1">
        <f>IFERROR(__xludf.DUMMYFUNCTION("""COMPUTED_VALUE"""),13847.0)</f>
        <v>13847</v>
      </c>
    </row>
    <row r="2019">
      <c r="A2019" s="3">
        <f>IFERROR(__xludf.DUMMYFUNCTION("""COMPUTED_VALUE"""),42383.99861111111)</f>
        <v>42383.99861</v>
      </c>
      <c r="B2019" s="1">
        <f>IFERROR(__xludf.DUMMYFUNCTION("""COMPUTED_VALUE"""),13825.0)</f>
        <v>13825</v>
      </c>
    </row>
    <row r="2020">
      <c r="A2020" s="3">
        <f>IFERROR(__xludf.DUMMYFUNCTION("""COMPUTED_VALUE"""),42384.99861111111)</f>
        <v>42384.99861</v>
      </c>
      <c r="B2020" s="1">
        <f>IFERROR(__xludf.DUMMYFUNCTION("""COMPUTED_VALUE"""),13973.0)</f>
        <v>13973</v>
      </c>
    </row>
    <row r="2021">
      <c r="A2021" s="3">
        <f>IFERROR(__xludf.DUMMYFUNCTION("""COMPUTED_VALUE"""),42385.99861111111)</f>
        <v>42385.99861</v>
      </c>
      <c r="B2021" s="1">
        <f>IFERROR(__xludf.DUMMYFUNCTION("""COMPUTED_VALUE"""),13986.01)</f>
        <v>13986.01</v>
      </c>
    </row>
    <row r="2022">
      <c r="A2022" s="3">
        <f>IFERROR(__xludf.DUMMYFUNCTION("""COMPUTED_VALUE"""),42386.99861111111)</f>
        <v>42386.99861</v>
      </c>
      <c r="B2022" s="1">
        <f>IFERROR(__xludf.DUMMYFUNCTION("""COMPUTED_VALUE"""),13986.01)</f>
        <v>13986.01</v>
      </c>
    </row>
    <row r="2023">
      <c r="A2023" s="3">
        <f>IFERROR(__xludf.DUMMYFUNCTION("""COMPUTED_VALUE"""),42387.99861111111)</f>
        <v>42387.99861</v>
      </c>
      <c r="B2023" s="1">
        <f>IFERROR(__xludf.DUMMYFUNCTION("""COMPUTED_VALUE"""),13925.0)</f>
        <v>13925</v>
      </c>
    </row>
    <row r="2024">
      <c r="A2024" s="3">
        <f>IFERROR(__xludf.DUMMYFUNCTION("""COMPUTED_VALUE"""),42388.99861111111)</f>
        <v>42388.99861</v>
      </c>
      <c r="B2024" s="1">
        <f>IFERROR(__xludf.DUMMYFUNCTION("""COMPUTED_VALUE"""),13830.0)</f>
        <v>13830</v>
      </c>
    </row>
    <row r="2025">
      <c r="A2025" s="3">
        <f>IFERROR(__xludf.DUMMYFUNCTION("""COMPUTED_VALUE"""),42389.99861111111)</f>
        <v>42389.99861</v>
      </c>
      <c r="B2025" s="1">
        <f>IFERROR(__xludf.DUMMYFUNCTION("""COMPUTED_VALUE"""),13825.0)</f>
        <v>13825</v>
      </c>
    </row>
    <row r="2026">
      <c r="A2026" s="3">
        <f>IFERROR(__xludf.DUMMYFUNCTION("""COMPUTED_VALUE"""),42390.99861111111)</f>
        <v>42390.99861</v>
      </c>
      <c r="B2026" s="1">
        <f>IFERROR(__xludf.DUMMYFUNCTION("""COMPUTED_VALUE"""),13769.0)</f>
        <v>13769</v>
      </c>
    </row>
    <row r="2027">
      <c r="A2027" s="3">
        <f>IFERROR(__xludf.DUMMYFUNCTION("""COMPUTED_VALUE"""),42391.99861111111)</f>
        <v>42391.99861</v>
      </c>
      <c r="B2027" s="1">
        <f>IFERROR(__xludf.DUMMYFUNCTION("""COMPUTED_VALUE"""),13747.0)</f>
        <v>13747</v>
      </c>
    </row>
    <row r="2028">
      <c r="A2028" s="3">
        <f>IFERROR(__xludf.DUMMYFUNCTION("""COMPUTED_VALUE"""),42392.99861111111)</f>
        <v>42392.99861</v>
      </c>
      <c r="B2028" s="1">
        <f>IFERROR(__xludf.DUMMYFUNCTION("""COMPUTED_VALUE"""),13850.41)</f>
        <v>13850.41</v>
      </c>
    </row>
    <row r="2029">
      <c r="A2029" s="3">
        <f>IFERROR(__xludf.DUMMYFUNCTION("""COMPUTED_VALUE"""),42393.99861111111)</f>
        <v>42393.99861</v>
      </c>
      <c r="B2029" s="1">
        <f>IFERROR(__xludf.DUMMYFUNCTION("""COMPUTED_VALUE"""),13850.41)</f>
        <v>13850.41</v>
      </c>
    </row>
    <row r="2030">
      <c r="A2030" s="3">
        <f>IFERROR(__xludf.DUMMYFUNCTION("""COMPUTED_VALUE"""),42394.99861111111)</f>
        <v>42394.99861</v>
      </c>
      <c r="B2030" s="1">
        <f>IFERROR(__xludf.DUMMYFUNCTION("""COMPUTED_VALUE"""),13830.0)</f>
        <v>13830</v>
      </c>
    </row>
    <row r="2031">
      <c r="A2031" s="3">
        <f>IFERROR(__xludf.DUMMYFUNCTION("""COMPUTED_VALUE"""),42395.99861111111)</f>
        <v>42395.99861</v>
      </c>
      <c r="B2031" s="1">
        <f>IFERROR(__xludf.DUMMYFUNCTION("""COMPUTED_VALUE"""),13880.0)</f>
        <v>13880</v>
      </c>
    </row>
    <row r="2032">
      <c r="A2032" s="3">
        <f>IFERROR(__xludf.DUMMYFUNCTION("""COMPUTED_VALUE"""),42396.99861111111)</f>
        <v>42396.99861</v>
      </c>
      <c r="B2032" s="1">
        <f>IFERROR(__xludf.DUMMYFUNCTION("""COMPUTED_VALUE"""),13802.0)</f>
        <v>13802</v>
      </c>
    </row>
    <row r="2033">
      <c r="A2033" s="3">
        <f>IFERROR(__xludf.DUMMYFUNCTION("""COMPUTED_VALUE"""),42397.99861111111)</f>
        <v>42397.99861</v>
      </c>
      <c r="B2033" s="1">
        <f>IFERROR(__xludf.DUMMYFUNCTION("""COMPUTED_VALUE"""),13765.0)</f>
        <v>13765</v>
      </c>
    </row>
    <row r="2034">
      <c r="A2034" s="3">
        <f>IFERROR(__xludf.DUMMYFUNCTION("""COMPUTED_VALUE"""),42398.99861111111)</f>
        <v>42398.99861</v>
      </c>
      <c r="B2034" s="1">
        <f>IFERROR(__xludf.DUMMYFUNCTION("""COMPUTED_VALUE"""),13675.0)</f>
        <v>13675</v>
      </c>
    </row>
    <row r="2035">
      <c r="A2035" s="3">
        <f>IFERROR(__xludf.DUMMYFUNCTION("""COMPUTED_VALUE"""),42399.99861111111)</f>
        <v>42399.99861</v>
      </c>
      <c r="B2035" s="1">
        <f>IFERROR(__xludf.DUMMYFUNCTION("""COMPUTED_VALUE"""),14084.5)</f>
        <v>14084.5</v>
      </c>
    </row>
    <row r="2036">
      <c r="A2036" s="3">
        <f>IFERROR(__xludf.DUMMYFUNCTION("""COMPUTED_VALUE"""),42400.99861111111)</f>
        <v>42400.99861</v>
      </c>
      <c r="B2036" s="1">
        <f>IFERROR(__xludf.DUMMYFUNCTION("""COMPUTED_VALUE"""),14104.37)</f>
        <v>14104.37</v>
      </c>
    </row>
    <row r="2037">
      <c r="A2037" s="3">
        <f>IFERROR(__xludf.DUMMYFUNCTION("""COMPUTED_VALUE"""),42401.99861111111)</f>
        <v>42401.99861</v>
      </c>
      <c r="B2037" s="1">
        <f>IFERROR(__xludf.DUMMYFUNCTION("""COMPUTED_VALUE"""),13630.0)</f>
        <v>13630</v>
      </c>
    </row>
    <row r="2038">
      <c r="A2038" s="3">
        <f>IFERROR(__xludf.DUMMYFUNCTION("""COMPUTED_VALUE"""),42402.99861111111)</f>
        <v>42402.99861</v>
      </c>
      <c r="B2038" s="1">
        <f>IFERROR(__xludf.DUMMYFUNCTION("""COMPUTED_VALUE"""),13730.0)</f>
        <v>13730</v>
      </c>
    </row>
    <row r="2039">
      <c r="A2039" s="3">
        <f>IFERROR(__xludf.DUMMYFUNCTION("""COMPUTED_VALUE"""),42403.99861111111)</f>
        <v>42403.99861</v>
      </c>
      <c r="B2039" s="1">
        <f>IFERROR(__xludf.DUMMYFUNCTION("""COMPUTED_VALUE"""),13582.0)</f>
        <v>13582</v>
      </c>
    </row>
    <row r="2040">
      <c r="A2040" s="3">
        <f>IFERROR(__xludf.DUMMYFUNCTION("""COMPUTED_VALUE"""),42404.99861111111)</f>
        <v>42404.99861</v>
      </c>
      <c r="B2040" s="1">
        <f>IFERROR(__xludf.DUMMYFUNCTION("""COMPUTED_VALUE"""),13612.0)</f>
        <v>13612</v>
      </c>
    </row>
    <row r="2041">
      <c r="A2041" s="3">
        <f>IFERROR(__xludf.DUMMYFUNCTION("""COMPUTED_VALUE"""),42405.99861111111)</f>
        <v>42405.99861</v>
      </c>
      <c r="B2041" s="1">
        <f>IFERROR(__xludf.DUMMYFUNCTION("""COMPUTED_VALUE"""),13585.0)</f>
        <v>13585</v>
      </c>
    </row>
    <row r="2042">
      <c r="A2042" s="3">
        <f>IFERROR(__xludf.DUMMYFUNCTION("""COMPUTED_VALUE"""),42406.99861111111)</f>
        <v>42406.99861</v>
      </c>
      <c r="B2042" s="1">
        <f>IFERROR(__xludf.DUMMYFUNCTION("""COMPUTED_VALUE"""),13605.44)</f>
        <v>13605.44</v>
      </c>
    </row>
    <row r="2043">
      <c r="A2043" s="3">
        <f>IFERROR(__xludf.DUMMYFUNCTION("""COMPUTED_VALUE"""),42407.99861111111)</f>
        <v>42407.99861</v>
      </c>
      <c r="B2043" s="1">
        <f>IFERROR(__xludf.DUMMYFUNCTION("""COMPUTED_VALUE"""),13623.97)</f>
        <v>13623.97</v>
      </c>
    </row>
    <row r="2044">
      <c r="A2044" s="3">
        <f>IFERROR(__xludf.DUMMYFUNCTION("""COMPUTED_VALUE"""),42408.99861111111)</f>
        <v>42408.99861</v>
      </c>
      <c r="B2044" s="1">
        <f>IFERROR(__xludf.DUMMYFUNCTION("""COMPUTED_VALUE"""),13676.0)</f>
        <v>13676</v>
      </c>
    </row>
    <row r="2045">
      <c r="A2045" s="3">
        <f>IFERROR(__xludf.DUMMYFUNCTION("""COMPUTED_VALUE"""),42409.99861111111)</f>
        <v>42409.99861</v>
      </c>
      <c r="B2045" s="1">
        <f>IFERROR(__xludf.DUMMYFUNCTION("""COMPUTED_VALUE"""),13560.0)</f>
        <v>13560</v>
      </c>
    </row>
    <row r="2046">
      <c r="A2046" s="3">
        <f>IFERROR(__xludf.DUMMYFUNCTION("""COMPUTED_VALUE"""),42410.99861111111)</f>
        <v>42410.99861</v>
      </c>
      <c r="B2046" s="1">
        <f>IFERROR(__xludf.DUMMYFUNCTION("""COMPUTED_VALUE"""),13455.0)</f>
        <v>13455</v>
      </c>
    </row>
    <row r="2047">
      <c r="A2047" s="3">
        <f>IFERROR(__xludf.DUMMYFUNCTION("""COMPUTED_VALUE"""),42411.99861111111)</f>
        <v>42411.99861</v>
      </c>
      <c r="B2047" s="1">
        <f>IFERROR(__xludf.DUMMYFUNCTION("""COMPUTED_VALUE"""),13480.0)</f>
        <v>13480</v>
      </c>
    </row>
    <row r="2048">
      <c r="A2048" s="3">
        <f>IFERROR(__xludf.DUMMYFUNCTION("""COMPUTED_VALUE"""),42412.99861111111)</f>
        <v>42412.99861</v>
      </c>
      <c r="B2048" s="1">
        <f>IFERROR(__xludf.DUMMYFUNCTION("""COMPUTED_VALUE"""),13465.0)</f>
        <v>13465</v>
      </c>
    </row>
    <row r="2049">
      <c r="A2049" s="3">
        <f>IFERROR(__xludf.DUMMYFUNCTION("""COMPUTED_VALUE"""),42413.99861111111)</f>
        <v>42413.99861</v>
      </c>
      <c r="B2049" s="1">
        <f>IFERROR(__xludf.DUMMYFUNCTION("""COMPUTED_VALUE"""),13550.13)</f>
        <v>13550.13</v>
      </c>
    </row>
    <row r="2050">
      <c r="A2050" s="3">
        <f>IFERROR(__xludf.DUMMYFUNCTION("""COMPUTED_VALUE"""),42414.99861111111)</f>
        <v>42414.99861</v>
      </c>
      <c r="B2050" s="1">
        <f>IFERROR(__xludf.DUMMYFUNCTION("""COMPUTED_VALUE"""),13550.13)</f>
        <v>13550.13</v>
      </c>
    </row>
    <row r="2051">
      <c r="A2051" s="3">
        <f>IFERROR(__xludf.DUMMYFUNCTION("""COMPUTED_VALUE"""),42415.99861111111)</f>
        <v>42415.99861</v>
      </c>
      <c r="B2051" s="1">
        <f>IFERROR(__xludf.DUMMYFUNCTION("""COMPUTED_VALUE"""),13275.0)</f>
        <v>13275</v>
      </c>
    </row>
    <row r="2052">
      <c r="A2052" s="3">
        <f>IFERROR(__xludf.DUMMYFUNCTION("""COMPUTED_VALUE"""),42416.99861111111)</f>
        <v>42416.99861</v>
      </c>
      <c r="B2052" s="1">
        <f>IFERROR(__xludf.DUMMYFUNCTION("""COMPUTED_VALUE"""),13397.0)</f>
        <v>13397</v>
      </c>
    </row>
    <row r="2053">
      <c r="A2053" s="3">
        <f>IFERROR(__xludf.DUMMYFUNCTION("""COMPUTED_VALUE"""),42417.99861111111)</f>
        <v>42417.99861</v>
      </c>
      <c r="B2053" s="1">
        <f>IFERROR(__xludf.DUMMYFUNCTION("""COMPUTED_VALUE"""),13500.0)</f>
        <v>13500</v>
      </c>
    </row>
    <row r="2054">
      <c r="A2054" s="3">
        <f>IFERROR(__xludf.DUMMYFUNCTION("""COMPUTED_VALUE"""),42418.99861111111)</f>
        <v>42418.99861</v>
      </c>
      <c r="B2054" s="1">
        <f>IFERROR(__xludf.DUMMYFUNCTION("""COMPUTED_VALUE"""),13415.0)</f>
        <v>13415</v>
      </c>
    </row>
    <row r="2055">
      <c r="A2055" s="3">
        <f>IFERROR(__xludf.DUMMYFUNCTION("""COMPUTED_VALUE"""),42419.99861111111)</f>
        <v>42419.99861</v>
      </c>
      <c r="B2055" s="1">
        <f>IFERROR(__xludf.DUMMYFUNCTION("""COMPUTED_VALUE"""),13427.0)</f>
        <v>13427</v>
      </c>
    </row>
    <row r="2056">
      <c r="A2056" s="3">
        <f>IFERROR(__xludf.DUMMYFUNCTION("""COMPUTED_VALUE"""),42420.99861111111)</f>
        <v>42420.99861</v>
      </c>
      <c r="B2056" s="1">
        <f>IFERROR(__xludf.DUMMYFUNCTION("""COMPUTED_VALUE"""),13531.79)</f>
        <v>13531.79</v>
      </c>
    </row>
    <row r="2057">
      <c r="A2057" s="3">
        <f>IFERROR(__xludf.DUMMYFUNCTION("""COMPUTED_VALUE"""),42421.99861111111)</f>
        <v>42421.99861</v>
      </c>
      <c r="B2057" s="1">
        <f>IFERROR(__xludf.DUMMYFUNCTION("""COMPUTED_VALUE"""),13531.79)</f>
        <v>13531.79</v>
      </c>
    </row>
    <row r="2058">
      <c r="A2058" s="3">
        <f>IFERROR(__xludf.DUMMYFUNCTION("""COMPUTED_VALUE"""),42422.99861111111)</f>
        <v>42422.99861</v>
      </c>
      <c r="B2058" s="1">
        <f>IFERROR(__xludf.DUMMYFUNCTION("""COMPUTED_VALUE"""),13385.0)</f>
        <v>13385</v>
      </c>
    </row>
    <row r="2059">
      <c r="A2059" s="3">
        <f>IFERROR(__xludf.DUMMYFUNCTION("""COMPUTED_VALUE"""),42423.99861111111)</f>
        <v>42423.99861</v>
      </c>
      <c r="B2059" s="1">
        <f>IFERROR(__xludf.DUMMYFUNCTION("""COMPUTED_VALUE"""),13410.0)</f>
        <v>13410</v>
      </c>
    </row>
    <row r="2060">
      <c r="A2060" s="3">
        <f>IFERROR(__xludf.DUMMYFUNCTION("""COMPUTED_VALUE"""),42424.99861111111)</f>
        <v>42424.99861</v>
      </c>
      <c r="B2060" s="1">
        <f>IFERROR(__xludf.DUMMYFUNCTION("""COMPUTED_VALUE"""),13385.0)</f>
        <v>13385</v>
      </c>
    </row>
    <row r="2061">
      <c r="A2061" s="3">
        <f>IFERROR(__xludf.DUMMYFUNCTION("""COMPUTED_VALUE"""),42425.99861111111)</f>
        <v>42425.99861</v>
      </c>
      <c r="B2061" s="1">
        <f>IFERROR(__xludf.DUMMYFUNCTION("""COMPUTED_VALUE"""),13430.0)</f>
        <v>13430</v>
      </c>
    </row>
    <row r="2062">
      <c r="A2062" s="3">
        <f>IFERROR(__xludf.DUMMYFUNCTION("""COMPUTED_VALUE"""),42426.99861111111)</f>
        <v>42426.99861</v>
      </c>
      <c r="B2062" s="1">
        <f>IFERROR(__xludf.DUMMYFUNCTION("""COMPUTED_VALUE"""),13425.0)</f>
        <v>13425</v>
      </c>
    </row>
    <row r="2063">
      <c r="A2063" s="3">
        <f>IFERROR(__xludf.DUMMYFUNCTION("""COMPUTED_VALUE"""),42427.99861111111)</f>
        <v>42427.99861</v>
      </c>
      <c r="B2063" s="1">
        <f>IFERROR(__xludf.DUMMYFUNCTION("""COMPUTED_VALUE"""),13440.86)</f>
        <v>13440.86</v>
      </c>
    </row>
    <row r="2064">
      <c r="A2064" s="3">
        <f>IFERROR(__xludf.DUMMYFUNCTION("""COMPUTED_VALUE"""),42428.99861111111)</f>
        <v>42428.99861</v>
      </c>
      <c r="B2064" s="1">
        <f>IFERROR(__xludf.DUMMYFUNCTION("""COMPUTED_VALUE"""),13440.86)</f>
        <v>13440.86</v>
      </c>
    </row>
    <row r="2065">
      <c r="A2065" s="3">
        <f>IFERROR(__xludf.DUMMYFUNCTION("""COMPUTED_VALUE"""),42429.99861111111)</f>
        <v>42429.99861</v>
      </c>
      <c r="B2065" s="1">
        <f>IFERROR(__xludf.DUMMYFUNCTION("""COMPUTED_VALUE"""),13365.0)</f>
        <v>13365</v>
      </c>
    </row>
    <row r="2066">
      <c r="A2066" s="3">
        <f>IFERROR(__xludf.DUMMYFUNCTION("""COMPUTED_VALUE"""),42430.99861111111)</f>
        <v>42430.99861</v>
      </c>
      <c r="B2066" s="1">
        <f>IFERROR(__xludf.DUMMYFUNCTION("""COMPUTED_VALUE"""),13246.0)</f>
        <v>13246</v>
      </c>
    </row>
    <row r="2067">
      <c r="A2067" s="3">
        <f>IFERROR(__xludf.DUMMYFUNCTION("""COMPUTED_VALUE"""),42431.99861111111)</f>
        <v>42431.99861</v>
      </c>
      <c r="B2067" s="1">
        <f>IFERROR(__xludf.DUMMYFUNCTION("""COMPUTED_VALUE"""),13249.0)</f>
        <v>13249</v>
      </c>
    </row>
    <row r="2068">
      <c r="A2068" s="3">
        <f>IFERROR(__xludf.DUMMYFUNCTION("""COMPUTED_VALUE"""),42432.99861111111)</f>
        <v>42432.99861</v>
      </c>
      <c r="B2068" s="1">
        <f>IFERROR(__xludf.DUMMYFUNCTION("""COMPUTED_VALUE"""),13140.0)</f>
        <v>13140</v>
      </c>
    </row>
    <row r="2069">
      <c r="A2069" s="3">
        <f>IFERROR(__xludf.DUMMYFUNCTION("""COMPUTED_VALUE"""),42433.99861111111)</f>
        <v>42433.99861</v>
      </c>
      <c r="B2069" s="1">
        <f>IFERROR(__xludf.DUMMYFUNCTION("""COMPUTED_VALUE"""),13028.0)</f>
        <v>13028</v>
      </c>
    </row>
    <row r="2070">
      <c r="A2070" s="3">
        <f>IFERROR(__xludf.DUMMYFUNCTION("""COMPUTED_VALUE"""),42434.99861111111)</f>
        <v>42434.99861</v>
      </c>
      <c r="B2070" s="1">
        <f>IFERROR(__xludf.DUMMYFUNCTION("""COMPUTED_VALUE"""),13315.57)</f>
        <v>13315.57</v>
      </c>
    </row>
    <row r="2071">
      <c r="A2071" s="3">
        <f>IFERROR(__xludf.DUMMYFUNCTION("""COMPUTED_VALUE"""),42435.99861111111)</f>
        <v>42435.99861</v>
      </c>
      <c r="B2071" s="1">
        <f>IFERROR(__xludf.DUMMYFUNCTION("""COMPUTED_VALUE"""),13333.33)</f>
        <v>13333.33</v>
      </c>
    </row>
    <row r="2072">
      <c r="A2072" s="3">
        <f>IFERROR(__xludf.DUMMYFUNCTION("""COMPUTED_VALUE"""),42436.99861111111)</f>
        <v>42436.99861</v>
      </c>
      <c r="B2072" s="1">
        <f>IFERROR(__xludf.DUMMYFUNCTION("""COMPUTED_VALUE"""),13000.0)</f>
        <v>13000</v>
      </c>
    </row>
    <row r="2073">
      <c r="A2073" s="3">
        <f>IFERROR(__xludf.DUMMYFUNCTION("""COMPUTED_VALUE"""),42437.99861111111)</f>
        <v>42437.99861</v>
      </c>
      <c r="B2073" s="1">
        <f>IFERROR(__xludf.DUMMYFUNCTION("""COMPUTED_VALUE"""),13181.0)</f>
        <v>13181</v>
      </c>
    </row>
    <row r="2074">
      <c r="A2074" s="3">
        <f>IFERROR(__xludf.DUMMYFUNCTION("""COMPUTED_VALUE"""),42438.99861111111)</f>
        <v>42438.99861</v>
      </c>
      <c r="B2074" s="1">
        <f>IFERROR(__xludf.DUMMYFUNCTION("""COMPUTED_VALUE"""),13100.0)</f>
        <v>13100</v>
      </c>
    </row>
    <row r="2075">
      <c r="A2075" s="3">
        <f>IFERROR(__xludf.DUMMYFUNCTION("""COMPUTED_VALUE"""),42439.99861111111)</f>
        <v>42439.99861</v>
      </c>
      <c r="B2075" s="1">
        <f>IFERROR(__xludf.DUMMYFUNCTION("""COMPUTED_VALUE"""),13130.0)</f>
        <v>13130</v>
      </c>
    </row>
    <row r="2076">
      <c r="A2076" s="3">
        <f>IFERROR(__xludf.DUMMYFUNCTION("""COMPUTED_VALUE"""),42440.99861111111)</f>
        <v>42440.99861</v>
      </c>
      <c r="B2076" s="1">
        <f>IFERROR(__xludf.DUMMYFUNCTION("""COMPUTED_VALUE"""),12943.0)</f>
        <v>12943</v>
      </c>
    </row>
    <row r="2077">
      <c r="A2077" s="3">
        <f>IFERROR(__xludf.DUMMYFUNCTION("""COMPUTED_VALUE"""),42441.99861111111)</f>
        <v>42441.99861</v>
      </c>
      <c r="B2077" s="1">
        <f>IFERROR(__xludf.DUMMYFUNCTION("""COMPUTED_VALUE"""),13037.8)</f>
        <v>13037.8</v>
      </c>
    </row>
    <row r="2078">
      <c r="A2078" s="3">
        <f>IFERROR(__xludf.DUMMYFUNCTION("""COMPUTED_VALUE"""),42442.99861111111)</f>
        <v>42442.99861</v>
      </c>
      <c r="B2078" s="1">
        <f>IFERROR(__xludf.DUMMYFUNCTION("""COMPUTED_VALUE"""),13037.8)</f>
        <v>13037.8</v>
      </c>
    </row>
    <row r="2079">
      <c r="A2079" s="3">
        <f>IFERROR(__xludf.DUMMYFUNCTION("""COMPUTED_VALUE"""),42443.99861111111)</f>
        <v>42443.99861</v>
      </c>
      <c r="B2079" s="1">
        <f>IFERROR(__xludf.DUMMYFUNCTION("""COMPUTED_VALUE"""),12980.0)</f>
        <v>12980</v>
      </c>
    </row>
    <row r="2080">
      <c r="A2080" s="3">
        <f>IFERROR(__xludf.DUMMYFUNCTION("""COMPUTED_VALUE"""),42444.99861111111)</f>
        <v>42444.99861</v>
      </c>
      <c r="B2080" s="1">
        <f>IFERROR(__xludf.DUMMYFUNCTION("""COMPUTED_VALUE"""),13123.0)</f>
        <v>13123</v>
      </c>
    </row>
    <row r="2081">
      <c r="A2081" s="3">
        <f>IFERROR(__xludf.DUMMYFUNCTION("""COMPUTED_VALUE"""),42445.99861111111)</f>
        <v>42445.99861</v>
      </c>
      <c r="B2081" s="1">
        <f>IFERROR(__xludf.DUMMYFUNCTION("""COMPUTED_VALUE"""),12770.0)</f>
        <v>12770</v>
      </c>
    </row>
    <row r="2082">
      <c r="A2082" s="3">
        <f>IFERROR(__xludf.DUMMYFUNCTION("""COMPUTED_VALUE"""),42446.99861111111)</f>
        <v>42446.99861</v>
      </c>
      <c r="B2082" s="1">
        <f>IFERROR(__xludf.DUMMYFUNCTION("""COMPUTED_VALUE"""),12935.0)</f>
        <v>12935</v>
      </c>
    </row>
    <row r="2083">
      <c r="A2083" s="3">
        <f>IFERROR(__xludf.DUMMYFUNCTION("""COMPUTED_VALUE"""),42447.99861111111)</f>
        <v>42447.99861</v>
      </c>
      <c r="B2083" s="1">
        <f>IFERROR(__xludf.DUMMYFUNCTION("""COMPUTED_VALUE"""),13038.0)</f>
        <v>13038</v>
      </c>
    </row>
    <row r="2084">
      <c r="A2084" s="3">
        <f>IFERROR(__xludf.DUMMYFUNCTION("""COMPUTED_VALUE"""),42448.99861111111)</f>
        <v>42448.99861</v>
      </c>
      <c r="B2084" s="1">
        <f>IFERROR(__xludf.DUMMYFUNCTION("""COMPUTED_VALUE"""),13140.6)</f>
        <v>13140.6</v>
      </c>
    </row>
    <row r="2085">
      <c r="A2085" s="3">
        <f>IFERROR(__xludf.DUMMYFUNCTION("""COMPUTED_VALUE"""),42449.99861111111)</f>
        <v>42449.99861</v>
      </c>
      <c r="B2085" s="1">
        <f>IFERROR(__xludf.DUMMYFUNCTION("""COMPUTED_VALUE"""),13140.6)</f>
        <v>13140.6</v>
      </c>
    </row>
    <row r="2086">
      <c r="A2086" s="3">
        <f>IFERROR(__xludf.DUMMYFUNCTION("""COMPUTED_VALUE"""),42450.99861111111)</f>
        <v>42450.99861</v>
      </c>
      <c r="B2086" s="1">
        <f>IFERROR(__xludf.DUMMYFUNCTION("""COMPUTED_VALUE"""),13183.0)</f>
        <v>13183</v>
      </c>
    </row>
    <row r="2087">
      <c r="A2087" s="3">
        <f>IFERROR(__xludf.DUMMYFUNCTION("""COMPUTED_VALUE"""),42451.99861111111)</f>
        <v>42451.99861</v>
      </c>
      <c r="B2087" s="1">
        <f>IFERROR(__xludf.DUMMYFUNCTION("""COMPUTED_VALUE"""),13101.0)</f>
        <v>13101</v>
      </c>
    </row>
    <row r="2088">
      <c r="A2088" s="3">
        <f>IFERROR(__xludf.DUMMYFUNCTION("""COMPUTED_VALUE"""),42452.99861111111)</f>
        <v>42452.99861</v>
      </c>
      <c r="B2088" s="1">
        <f>IFERROR(__xludf.DUMMYFUNCTION("""COMPUTED_VALUE"""),13215.0)</f>
        <v>13215</v>
      </c>
    </row>
    <row r="2089">
      <c r="A2089" s="3">
        <f>IFERROR(__xludf.DUMMYFUNCTION("""COMPUTED_VALUE"""),42453.99861111111)</f>
        <v>42453.99861</v>
      </c>
      <c r="B2089" s="1">
        <f>IFERROR(__xludf.DUMMYFUNCTION("""COMPUTED_VALUE"""),13233.0)</f>
        <v>13233</v>
      </c>
    </row>
    <row r="2090">
      <c r="A2090" s="3">
        <f>IFERROR(__xludf.DUMMYFUNCTION("""COMPUTED_VALUE"""),42454.99861111111)</f>
        <v>42454.99861</v>
      </c>
      <c r="B2090" s="1">
        <f>IFERROR(__xludf.DUMMYFUNCTION("""COMPUTED_VALUE"""),13170.0)</f>
        <v>13170</v>
      </c>
    </row>
    <row r="2091">
      <c r="A2091" s="3">
        <f>IFERROR(__xludf.DUMMYFUNCTION("""COMPUTED_VALUE"""),42455.99861111111)</f>
        <v>42455.99861</v>
      </c>
      <c r="B2091" s="1">
        <f>IFERROR(__xludf.DUMMYFUNCTION("""COMPUTED_VALUE"""),13280.21)</f>
        <v>13280.21</v>
      </c>
    </row>
    <row r="2092">
      <c r="A2092" s="3">
        <f>IFERROR(__xludf.DUMMYFUNCTION("""COMPUTED_VALUE"""),42456.99861111111)</f>
        <v>42456.99861</v>
      </c>
      <c r="B2092" s="1">
        <f>IFERROR(__xludf.DUMMYFUNCTION("""COMPUTED_VALUE"""),13280.21)</f>
        <v>13280.21</v>
      </c>
    </row>
    <row r="2093">
      <c r="A2093" s="3">
        <f>IFERROR(__xludf.DUMMYFUNCTION("""COMPUTED_VALUE"""),42457.99861111111)</f>
        <v>42457.99861</v>
      </c>
      <c r="B2093" s="1">
        <f>IFERROR(__xludf.DUMMYFUNCTION("""COMPUTED_VALUE"""),13278.0)</f>
        <v>13278</v>
      </c>
    </row>
    <row r="2094">
      <c r="A2094" s="3">
        <f>IFERROR(__xludf.DUMMYFUNCTION("""COMPUTED_VALUE"""),42458.99861111111)</f>
        <v>42458.99861</v>
      </c>
      <c r="B2094" s="1">
        <f>IFERROR(__xludf.DUMMYFUNCTION("""COMPUTED_VALUE"""),13180.0)</f>
        <v>13180</v>
      </c>
    </row>
    <row r="2095">
      <c r="A2095" s="3">
        <f>IFERROR(__xludf.DUMMYFUNCTION("""COMPUTED_VALUE"""),42459.99861111111)</f>
        <v>42459.99861</v>
      </c>
      <c r="B2095" s="1">
        <f>IFERROR(__xludf.DUMMYFUNCTION("""COMPUTED_VALUE"""),13240.0)</f>
        <v>13240</v>
      </c>
    </row>
    <row r="2096">
      <c r="A2096" s="3">
        <f>IFERROR(__xludf.DUMMYFUNCTION("""COMPUTED_VALUE"""),42460.99861111111)</f>
        <v>42460.99861</v>
      </c>
      <c r="B2096" s="1">
        <f>IFERROR(__xludf.DUMMYFUNCTION("""COMPUTED_VALUE"""),13158.0)</f>
        <v>13158</v>
      </c>
    </row>
    <row r="2097">
      <c r="A2097" s="3">
        <f>IFERROR(__xludf.DUMMYFUNCTION("""COMPUTED_VALUE"""),42461.99861111111)</f>
        <v>42461.99861</v>
      </c>
      <c r="B2097" s="1">
        <f>IFERROR(__xludf.DUMMYFUNCTION("""COMPUTED_VALUE"""),13127.0)</f>
        <v>13127</v>
      </c>
    </row>
    <row r="2098">
      <c r="A2098" s="3">
        <f>IFERROR(__xludf.DUMMYFUNCTION("""COMPUTED_VALUE"""),42462.99861111111)</f>
        <v>42462.99861</v>
      </c>
      <c r="B2098" s="1">
        <f>IFERROR(__xludf.DUMMYFUNCTION("""COMPUTED_VALUE"""),13140.6)</f>
        <v>13140.6</v>
      </c>
    </row>
    <row r="2099">
      <c r="A2099" s="3">
        <f>IFERROR(__xludf.DUMMYFUNCTION("""COMPUTED_VALUE"""),42463.99861111111)</f>
        <v>42463.99861</v>
      </c>
      <c r="B2099" s="1">
        <f>IFERROR(__xludf.DUMMYFUNCTION("""COMPUTED_VALUE"""),13140.6)</f>
        <v>13140.6</v>
      </c>
    </row>
    <row r="2100">
      <c r="A2100" s="3">
        <f>IFERROR(__xludf.DUMMYFUNCTION("""COMPUTED_VALUE"""),42464.99861111111)</f>
        <v>42464.99861</v>
      </c>
      <c r="B2100" s="1">
        <f>IFERROR(__xludf.DUMMYFUNCTION("""COMPUTED_VALUE"""),13140.0)</f>
        <v>13140</v>
      </c>
    </row>
    <row r="2101">
      <c r="A2101" s="3">
        <f>IFERROR(__xludf.DUMMYFUNCTION("""COMPUTED_VALUE"""),42465.99861111111)</f>
        <v>42465.99861</v>
      </c>
      <c r="B2101" s="1">
        <f>IFERROR(__xludf.DUMMYFUNCTION("""COMPUTED_VALUE"""),13210.0)</f>
        <v>13210</v>
      </c>
    </row>
    <row r="2102">
      <c r="A2102" s="3">
        <f>IFERROR(__xludf.DUMMYFUNCTION("""COMPUTED_VALUE"""),42466.99861111111)</f>
        <v>42466.99861</v>
      </c>
      <c r="B2102" s="1">
        <f>IFERROR(__xludf.DUMMYFUNCTION("""COMPUTED_VALUE"""),13172.0)</f>
        <v>13172</v>
      </c>
    </row>
    <row r="2103">
      <c r="A2103" s="3">
        <f>IFERROR(__xludf.DUMMYFUNCTION("""COMPUTED_VALUE"""),42467.99861111111)</f>
        <v>42467.99861</v>
      </c>
      <c r="B2103" s="1">
        <f>IFERROR(__xludf.DUMMYFUNCTION("""COMPUTED_VALUE"""),13172.0)</f>
        <v>13172</v>
      </c>
    </row>
    <row r="2104">
      <c r="A2104" s="3">
        <f>IFERROR(__xludf.DUMMYFUNCTION("""COMPUTED_VALUE"""),42468.99861111111)</f>
        <v>42468.99861</v>
      </c>
      <c r="B2104" s="1">
        <f>IFERROR(__xludf.DUMMYFUNCTION("""COMPUTED_VALUE"""),13115.0)</f>
        <v>13115</v>
      </c>
    </row>
    <row r="2105">
      <c r="A2105" s="3">
        <f>IFERROR(__xludf.DUMMYFUNCTION("""COMPUTED_VALUE"""),42469.99861111111)</f>
        <v>42469.99861</v>
      </c>
      <c r="B2105" s="1">
        <f>IFERROR(__xludf.DUMMYFUNCTION("""COMPUTED_VALUE"""),13140.6)</f>
        <v>13140.6</v>
      </c>
    </row>
    <row r="2106">
      <c r="A2106" s="3">
        <f>IFERROR(__xludf.DUMMYFUNCTION("""COMPUTED_VALUE"""),42470.99861111111)</f>
        <v>42470.99861</v>
      </c>
      <c r="B2106" s="1">
        <f>IFERROR(__xludf.DUMMYFUNCTION("""COMPUTED_VALUE"""),13140.6)</f>
        <v>13140.6</v>
      </c>
    </row>
    <row r="2107">
      <c r="A2107" s="3">
        <f>IFERROR(__xludf.DUMMYFUNCTION("""COMPUTED_VALUE"""),42471.99861111111)</f>
        <v>42471.99861</v>
      </c>
      <c r="B2107" s="1">
        <f>IFERROR(__xludf.DUMMYFUNCTION("""COMPUTED_VALUE"""),13095.0)</f>
        <v>13095</v>
      </c>
    </row>
    <row r="2108">
      <c r="A2108" s="3">
        <f>IFERROR(__xludf.DUMMYFUNCTION("""COMPUTED_VALUE"""),42472.99861111111)</f>
        <v>42472.99861</v>
      </c>
      <c r="B2108" s="1">
        <f>IFERROR(__xludf.DUMMYFUNCTION("""COMPUTED_VALUE"""),13073.0)</f>
        <v>13073</v>
      </c>
    </row>
    <row r="2109">
      <c r="A2109" s="3">
        <f>IFERROR(__xludf.DUMMYFUNCTION("""COMPUTED_VALUE"""),42473.99861111111)</f>
        <v>42473.99861</v>
      </c>
      <c r="B2109" s="1">
        <f>IFERROR(__xludf.DUMMYFUNCTION("""COMPUTED_VALUE"""),13145.0)</f>
        <v>13145</v>
      </c>
    </row>
    <row r="2110">
      <c r="A2110" s="3">
        <f>IFERROR(__xludf.DUMMYFUNCTION("""COMPUTED_VALUE"""),42474.99861111111)</f>
        <v>42474.99861</v>
      </c>
      <c r="B2110" s="1">
        <f>IFERROR(__xludf.DUMMYFUNCTION("""COMPUTED_VALUE"""),13172.0)</f>
        <v>13172</v>
      </c>
    </row>
    <row r="2111">
      <c r="A2111" s="3">
        <f>IFERROR(__xludf.DUMMYFUNCTION("""COMPUTED_VALUE"""),42475.99861111111)</f>
        <v>42475.99861</v>
      </c>
      <c r="B2111" s="1">
        <f>IFERROR(__xludf.DUMMYFUNCTION("""COMPUTED_VALUE"""),13130.0)</f>
        <v>13130</v>
      </c>
    </row>
    <row r="2112">
      <c r="A2112" s="3">
        <f>IFERROR(__xludf.DUMMYFUNCTION("""COMPUTED_VALUE"""),42476.99861111111)</f>
        <v>42476.99861</v>
      </c>
      <c r="B2112" s="1">
        <f>IFERROR(__xludf.DUMMYFUNCTION("""COMPUTED_VALUE"""),13227.51)</f>
        <v>13227.51</v>
      </c>
    </row>
    <row r="2113">
      <c r="A2113" s="3">
        <f>IFERROR(__xludf.DUMMYFUNCTION("""COMPUTED_VALUE"""),42477.99861111111)</f>
        <v>42477.99861</v>
      </c>
      <c r="B2113" s="1">
        <f>IFERROR(__xludf.DUMMYFUNCTION("""COMPUTED_VALUE"""),13227.51)</f>
        <v>13227.51</v>
      </c>
    </row>
    <row r="2114">
      <c r="A2114" s="3">
        <f>IFERROR(__xludf.DUMMYFUNCTION("""COMPUTED_VALUE"""),42478.99861111111)</f>
        <v>42478.99861</v>
      </c>
      <c r="B2114" s="1">
        <f>IFERROR(__xludf.DUMMYFUNCTION("""COMPUTED_VALUE"""),13104.0)</f>
        <v>13104</v>
      </c>
    </row>
    <row r="2115">
      <c r="A2115" s="3">
        <f>IFERROR(__xludf.DUMMYFUNCTION("""COMPUTED_VALUE"""),42479.99861111111)</f>
        <v>42479.99861</v>
      </c>
      <c r="B2115" s="1">
        <f>IFERROR(__xludf.DUMMYFUNCTION("""COMPUTED_VALUE"""),13086.0)</f>
        <v>13086</v>
      </c>
    </row>
    <row r="2116">
      <c r="A2116" s="3">
        <f>IFERROR(__xludf.DUMMYFUNCTION("""COMPUTED_VALUE"""),42480.99861111111)</f>
        <v>42480.99861</v>
      </c>
      <c r="B2116" s="1">
        <f>IFERROR(__xludf.DUMMYFUNCTION("""COMPUTED_VALUE"""),13166.0)</f>
        <v>13166</v>
      </c>
    </row>
    <row r="2117">
      <c r="A2117" s="3">
        <f>IFERROR(__xludf.DUMMYFUNCTION("""COMPUTED_VALUE"""),42481.99861111111)</f>
        <v>42481.99861</v>
      </c>
      <c r="B2117" s="1">
        <f>IFERROR(__xludf.DUMMYFUNCTION("""COMPUTED_VALUE"""),13172.0)</f>
        <v>13172</v>
      </c>
    </row>
    <row r="2118">
      <c r="A2118" s="3">
        <f>IFERROR(__xludf.DUMMYFUNCTION("""COMPUTED_VALUE"""),42482.99861111111)</f>
        <v>42482.99861</v>
      </c>
      <c r="B2118" s="1">
        <f>IFERROR(__xludf.DUMMYFUNCTION("""COMPUTED_VALUE"""),13195.0)</f>
        <v>13195</v>
      </c>
    </row>
    <row r="2119">
      <c r="A2119" s="3">
        <f>IFERROR(__xludf.DUMMYFUNCTION("""COMPUTED_VALUE"""),42483.99861111111)</f>
        <v>42483.99861</v>
      </c>
      <c r="B2119" s="1">
        <f>IFERROR(__xludf.DUMMYFUNCTION("""COMPUTED_VALUE"""),13227.51)</f>
        <v>13227.51</v>
      </c>
    </row>
    <row r="2120">
      <c r="A2120" s="3">
        <f>IFERROR(__xludf.DUMMYFUNCTION("""COMPUTED_VALUE"""),42484.99861111111)</f>
        <v>42484.99861</v>
      </c>
      <c r="B2120" s="1">
        <f>IFERROR(__xludf.DUMMYFUNCTION("""COMPUTED_VALUE"""),13210.03)</f>
        <v>13210.03</v>
      </c>
    </row>
    <row r="2121">
      <c r="A2121" s="3">
        <f>IFERROR(__xludf.DUMMYFUNCTION("""COMPUTED_VALUE"""),42485.99861111111)</f>
        <v>42485.99861</v>
      </c>
      <c r="B2121" s="1">
        <f>IFERROR(__xludf.DUMMYFUNCTION("""COMPUTED_VALUE"""),13190.0)</f>
        <v>13190</v>
      </c>
    </row>
    <row r="2122">
      <c r="A2122" s="3">
        <f>IFERROR(__xludf.DUMMYFUNCTION("""COMPUTED_VALUE"""),42486.99861111111)</f>
        <v>42486.99861</v>
      </c>
      <c r="B2122" s="1">
        <f>IFERROR(__xludf.DUMMYFUNCTION("""COMPUTED_VALUE"""),13160.0)</f>
        <v>13160</v>
      </c>
    </row>
    <row r="2123">
      <c r="A2123" s="3">
        <f>IFERROR(__xludf.DUMMYFUNCTION("""COMPUTED_VALUE"""),42487.99861111111)</f>
        <v>42487.99861</v>
      </c>
      <c r="B2123" s="1">
        <f>IFERROR(__xludf.DUMMYFUNCTION("""COMPUTED_VALUE"""),13155.0)</f>
        <v>13155</v>
      </c>
    </row>
    <row r="2124">
      <c r="A2124" s="3">
        <f>IFERROR(__xludf.DUMMYFUNCTION("""COMPUTED_VALUE"""),42488.99861111111)</f>
        <v>42488.99861</v>
      </c>
      <c r="B2124" s="1">
        <f>IFERROR(__xludf.DUMMYFUNCTION("""COMPUTED_VALUE"""),13170.0)</f>
        <v>13170</v>
      </c>
    </row>
    <row r="2125">
      <c r="A2125" s="3">
        <f>IFERROR(__xludf.DUMMYFUNCTION("""COMPUTED_VALUE"""),42489.99861111111)</f>
        <v>42489.99861</v>
      </c>
      <c r="B2125" s="1">
        <f>IFERROR(__xludf.DUMMYFUNCTION("""COMPUTED_VALUE"""),13175.0)</f>
        <v>13175</v>
      </c>
    </row>
    <row r="2126">
      <c r="A2126" s="3">
        <f>IFERROR(__xludf.DUMMYFUNCTION("""COMPUTED_VALUE"""),42490.99861111111)</f>
        <v>42490.99861</v>
      </c>
      <c r="B2126" s="1">
        <f>IFERROR(__xludf.DUMMYFUNCTION("""COMPUTED_VALUE"""),13210.03)</f>
        <v>13210.03</v>
      </c>
    </row>
    <row r="2127">
      <c r="A2127" s="3">
        <f>IFERROR(__xludf.DUMMYFUNCTION("""COMPUTED_VALUE"""),42491.99861111111)</f>
        <v>42491.99861</v>
      </c>
      <c r="B2127" s="1">
        <f>IFERROR(__xludf.DUMMYFUNCTION("""COMPUTED_VALUE"""),13210.03)</f>
        <v>13210.03</v>
      </c>
    </row>
    <row r="2128">
      <c r="A2128" s="3">
        <f>IFERROR(__xludf.DUMMYFUNCTION("""COMPUTED_VALUE"""),42492.99861111111)</f>
        <v>42492.99861</v>
      </c>
      <c r="B2128" s="1">
        <f>IFERROR(__xludf.DUMMYFUNCTION("""COMPUTED_VALUE"""),13095.0)</f>
        <v>13095</v>
      </c>
    </row>
    <row r="2129">
      <c r="A2129" s="3">
        <f>IFERROR(__xludf.DUMMYFUNCTION("""COMPUTED_VALUE"""),42493.99861111111)</f>
        <v>42493.99861</v>
      </c>
      <c r="B2129" s="1">
        <f>IFERROR(__xludf.DUMMYFUNCTION("""COMPUTED_VALUE"""),13185.0)</f>
        <v>13185</v>
      </c>
    </row>
    <row r="2130">
      <c r="A2130" s="3">
        <f>IFERROR(__xludf.DUMMYFUNCTION("""COMPUTED_VALUE"""),42494.99861111111)</f>
        <v>42494.99861</v>
      </c>
      <c r="B2130" s="1">
        <f>IFERROR(__xludf.DUMMYFUNCTION("""COMPUTED_VALUE"""),13350.0)</f>
        <v>13350</v>
      </c>
    </row>
    <row r="2131">
      <c r="A2131" s="3">
        <f>IFERROR(__xludf.DUMMYFUNCTION("""COMPUTED_VALUE"""),42495.99861111111)</f>
        <v>42495.99861</v>
      </c>
      <c r="B2131" s="1">
        <f>IFERROR(__xludf.DUMMYFUNCTION("""COMPUTED_VALUE"""),13345.0)</f>
        <v>13345</v>
      </c>
    </row>
    <row r="2132">
      <c r="A2132" s="3">
        <f>IFERROR(__xludf.DUMMYFUNCTION("""COMPUTED_VALUE"""),42496.99861111111)</f>
        <v>42496.99861</v>
      </c>
      <c r="B2132" s="1">
        <f>IFERROR(__xludf.DUMMYFUNCTION("""COMPUTED_VALUE"""),13310.0)</f>
        <v>13310</v>
      </c>
    </row>
    <row r="2133">
      <c r="A2133" s="3">
        <f>IFERROR(__xludf.DUMMYFUNCTION("""COMPUTED_VALUE"""),42497.99861111111)</f>
        <v>42497.99861</v>
      </c>
      <c r="B2133" s="1">
        <f>IFERROR(__xludf.DUMMYFUNCTION("""COMPUTED_VALUE"""),13404.82)</f>
        <v>13404.82</v>
      </c>
    </row>
    <row r="2134">
      <c r="A2134" s="3">
        <f>IFERROR(__xludf.DUMMYFUNCTION("""COMPUTED_VALUE"""),42498.99861111111)</f>
        <v>42498.99861</v>
      </c>
      <c r="B2134" s="1">
        <f>IFERROR(__xludf.DUMMYFUNCTION("""COMPUTED_VALUE"""),13404.82)</f>
        <v>13404.82</v>
      </c>
    </row>
    <row r="2135">
      <c r="A2135" s="3">
        <f>IFERROR(__xludf.DUMMYFUNCTION("""COMPUTED_VALUE"""),42499.99861111111)</f>
        <v>42499.99861</v>
      </c>
      <c r="B2135" s="1">
        <f>IFERROR(__xludf.DUMMYFUNCTION("""COMPUTED_VALUE"""),13377.0)</f>
        <v>13377</v>
      </c>
    </row>
    <row r="2136">
      <c r="A2136" s="3">
        <f>IFERROR(__xludf.DUMMYFUNCTION("""COMPUTED_VALUE"""),42500.99861111111)</f>
        <v>42500.99861</v>
      </c>
      <c r="B2136" s="1">
        <f>IFERROR(__xludf.DUMMYFUNCTION("""COMPUTED_VALUE"""),13298.0)</f>
        <v>13298</v>
      </c>
    </row>
    <row r="2137">
      <c r="A2137" s="3">
        <f>IFERROR(__xludf.DUMMYFUNCTION("""COMPUTED_VALUE"""),42501.99861111111)</f>
        <v>42501.99861</v>
      </c>
      <c r="B2137" s="1">
        <f>IFERROR(__xludf.DUMMYFUNCTION("""COMPUTED_VALUE"""),13247.0)</f>
        <v>13247</v>
      </c>
    </row>
    <row r="2138">
      <c r="A2138" s="3">
        <f>IFERROR(__xludf.DUMMYFUNCTION("""COMPUTED_VALUE"""),42502.99861111111)</f>
        <v>42502.99861</v>
      </c>
      <c r="B2138" s="1">
        <f>IFERROR(__xludf.DUMMYFUNCTION("""COMPUTED_VALUE"""),13255.0)</f>
        <v>13255</v>
      </c>
    </row>
    <row r="2139">
      <c r="A2139" s="3">
        <f>IFERROR(__xludf.DUMMYFUNCTION("""COMPUTED_VALUE"""),42503.99861111111)</f>
        <v>42503.99861</v>
      </c>
      <c r="B2139" s="1">
        <f>IFERROR(__xludf.DUMMYFUNCTION("""COMPUTED_VALUE"""),13332.0)</f>
        <v>13332</v>
      </c>
    </row>
    <row r="2140">
      <c r="A2140" s="3">
        <f>IFERROR(__xludf.DUMMYFUNCTION("""COMPUTED_VALUE"""),42504.99861111111)</f>
        <v>42504.99861</v>
      </c>
      <c r="B2140" s="1">
        <f>IFERROR(__xludf.DUMMYFUNCTION("""COMPUTED_VALUE"""),13333.33)</f>
        <v>13333.33</v>
      </c>
    </row>
    <row r="2141">
      <c r="A2141" s="3">
        <f>IFERROR(__xludf.DUMMYFUNCTION("""COMPUTED_VALUE"""),42505.99861111111)</f>
        <v>42505.99861</v>
      </c>
      <c r="B2141" s="1">
        <f>IFERROR(__xludf.DUMMYFUNCTION("""COMPUTED_VALUE"""),13315.57)</f>
        <v>13315.57</v>
      </c>
    </row>
    <row r="2142">
      <c r="A2142" s="3">
        <f>IFERROR(__xludf.DUMMYFUNCTION("""COMPUTED_VALUE"""),42506.99861111111)</f>
        <v>42506.99861</v>
      </c>
      <c r="B2142" s="1">
        <f>IFERROR(__xludf.DUMMYFUNCTION("""COMPUTED_VALUE"""),13320.0)</f>
        <v>13320</v>
      </c>
    </row>
    <row r="2143">
      <c r="A2143" s="3">
        <f>IFERROR(__xludf.DUMMYFUNCTION("""COMPUTED_VALUE"""),42507.99861111111)</f>
        <v>42507.99861</v>
      </c>
      <c r="B2143" s="1">
        <f>IFERROR(__xludf.DUMMYFUNCTION("""COMPUTED_VALUE"""),13318.0)</f>
        <v>13318</v>
      </c>
    </row>
    <row r="2144">
      <c r="A2144" s="3">
        <f>IFERROR(__xludf.DUMMYFUNCTION("""COMPUTED_VALUE"""),42508.99861111111)</f>
        <v>42508.99861</v>
      </c>
      <c r="B2144" s="1">
        <f>IFERROR(__xludf.DUMMYFUNCTION("""COMPUTED_VALUE"""),13435.0)</f>
        <v>13435</v>
      </c>
    </row>
    <row r="2145">
      <c r="A2145" s="3">
        <f>IFERROR(__xludf.DUMMYFUNCTION("""COMPUTED_VALUE"""),42509.99861111111)</f>
        <v>42509.99861</v>
      </c>
      <c r="B2145" s="1">
        <f>IFERROR(__xludf.DUMMYFUNCTION("""COMPUTED_VALUE"""),13595.0)</f>
        <v>13595</v>
      </c>
    </row>
    <row r="2146">
      <c r="A2146" s="3">
        <f>IFERROR(__xludf.DUMMYFUNCTION("""COMPUTED_VALUE"""),42510.99861111111)</f>
        <v>42510.99861</v>
      </c>
      <c r="B2146" s="1">
        <f>IFERROR(__xludf.DUMMYFUNCTION("""COMPUTED_VALUE"""),13605.0)</f>
        <v>13605</v>
      </c>
    </row>
    <row r="2147">
      <c r="A2147" s="3">
        <f>IFERROR(__xludf.DUMMYFUNCTION("""COMPUTED_VALUE"""),42511.99861111111)</f>
        <v>42511.99861</v>
      </c>
      <c r="B2147" s="1">
        <f>IFERROR(__xludf.DUMMYFUNCTION("""COMPUTED_VALUE"""),13623.97)</f>
        <v>13623.97</v>
      </c>
    </row>
    <row r="2148">
      <c r="A2148" s="3">
        <f>IFERROR(__xludf.DUMMYFUNCTION("""COMPUTED_VALUE"""),42512.99861111111)</f>
        <v>42512.99861</v>
      </c>
      <c r="B2148" s="1">
        <f>IFERROR(__xludf.DUMMYFUNCTION("""COMPUTED_VALUE"""),13623.97)</f>
        <v>13623.97</v>
      </c>
    </row>
    <row r="2149">
      <c r="A2149" s="3">
        <f>IFERROR(__xludf.DUMMYFUNCTION("""COMPUTED_VALUE"""),42513.99861111111)</f>
        <v>42513.99861</v>
      </c>
      <c r="B2149" s="1">
        <f>IFERROR(__xludf.DUMMYFUNCTION("""COMPUTED_VALUE"""),13540.0)</f>
        <v>13540</v>
      </c>
    </row>
    <row r="2150">
      <c r="A2150" s="3">
        <f>IFERROR(__xludf.DUMMYFUNCTION("""COMPUTED_VALUE"""),42514.99861111111)</f>
        <v>42514.99861</v>
      </c>
      <c r="B2150" s="1">
        <f>IFERROR(__xludf.DUMMYFUNCTION("""COMPUTED_VALUE"""),13570.0)</f>
        <v>13570</v>
      </c>
    </row>
    <row r="2151">
      <c r="A2151" s="3">
        <f>IFERROR(__xludf.DUMMYFUNCTION("""COMPUTED_VALUE"""),42515.99861111111)</f>
        <v>42515.99861</v>
      </c>
      <c r="B2151" s="1">
        <f>IFERROR(__xludf.DUMMYFUNCTION("""COMPUTED_VALUE"""),13608.0)</f>
        <v>13608</v>
      </c>
    </row>
    <row r="2152">
      <c r="A2152" s="3">
        <f>IFERROR(__xludf.DUMMYFUNCTION("""COMPUTED_VALUE"""),42516.99861111111)</f>
        <v>42516.99861</v>
      </c>
      <c r="B2152" s="1">
        <f>IFERROR(__xludf.DUMMYFUNCTION("""COMPUTED_VALUE"""),13549.0)</f>
        <v>13549</v>
      </c>
    </row>
    <row r="2153">
      <c r="A2153" s="3">
        <f>IFERROR(__xludf.DUMMYFUNCTION("""COMPUTED_VALUE"""),42517.99861111111)</f>
        <v>42517.99861</v>
      </c>
      <c r="B2153" s="1">
        <f>IFERROR(__xludf.DUMMYFUNCTION("""COMPUTED_VALUE"""),13560.0)</f>
        <v>13560</v>
      </c>
    </row>
    <row r="2154">
      <c r="A2154" s="3">
        <f>IFERROR(__xludf.DUMMYFUNCTION("""COMPUTED_VALUE"""),42518.99861111111)</f>
        <v>42518.99861</v>
      </c>
      <c r="B2154" s="1">
        <f>IFERROR(__xludf.DUMMYFUNCTION("""COMPUTED_VALUE"""),13736.26)</f>
        <v>13736.26</v>
      </c>
    </row>
    <row r="2155">
      <c r="A2155" s="3">
        <f>IFERROR(__xludf.DUMMYFUNCTION("""COMPUTED_VALUE"""),42519.99861111111)</f>
        <v>42519.99861</v>
      </c>
      <c r="B2155" s="1">
        <f>IFERROR(__xludf.DUMMYFUNCTION("""COMPUTED_VALUE"""),13736.26)</f>
        <v>13736.26</v>
      </c>
    </row>
    <row r="2156">
      <c r="A2156" s="3">
        <f>IFERROR(__xludf.DUMMYFUNCTION("""COMPUTED_VALUE"""),42520.99861111111)</f>
        <v>42520.99861</v>
      </c>
      <c r="B2156" s="1">
        <f>IFERROR(__xludf.DUMMYFUNCTION("""COMPUTED_VALUE"""),13631.0)</f>
        <v>13631</v>
      </c>
    </row>
    <row r="2157">
      <c r="A2157" s="3">
        <f>IFERROR(__xludf.DUMMYFUNCTION("""COMPUTED_VALUE"""),42521.99861111111)</f>
        <v>42521.99861</v>
      </c>
      <c r="B2157" s="1">
        <f>IFERROR(__xludf.DUMMYFUNCTION("""COMPUTED_VALUE"""),13643.0)</f>
        <v>13643</v>
      </c>
    </row>
    <row r="2158">
      <c r="A2158" s="3">
        <f>IFERROR(__xludf.DUMMYFUNCTION("""COMPUTED_VALUE"""),42522.99861111111)</f>
        <v>42522.99861</v>
      </c>
      <c r="B2158" s="1">
        <f>IFERROR(__xludf.DUMMYFUNCTION("""COMPUTED_VALUE"""),13610.0)</f>
        <v>13610</v>
      </c>
    </row>
    <row r="2159">
      <c r="A2159" s="3">
        <f>IFERROR(__xludf.DUMMYFUNCTION("""COMPUTED_VALUE"""),42523.99861111111)</f>
        <v>42523.99861</v>
      </c>
      <c r="B2159" s="1">
        <f>IFERROR(__xludf.DUMMYFUNCTION("""COMPUTED_VALUE"""),13610.0)</f>
        <v>13610</v>
      </c>
    </row>
    <row r="2160">
      <c r="A2160" s="3">
        <f>IFERROR(__xludf.DUMMYFUNCTION("""COMPUTED_VALUE"""),42524.99861111111)</f>
        <v>42524.99861</v>
      </c>
      <c r="B2160" s="1">
        <f>IFERROR(__xludf.DUMMYFUNCTION("""COMPUTED_VALUE"""),13418.0)</f>
        <v>13418</v>
      </c>
    </row>
    <row r="2161">
      <c r="A2161" s="3">
        <f>IFERROR(__xludf.DUMMYFUNCTION("""COMPUTED_VALUE"""),42525.99861111111)</f>
        <v>42525.99861</v>
      </c>
      <c r="B2161" s="1">
        <f>IFERROR(__xludf.DUMMYFUNCTION("""COMPUTED_VALUE"""),13458.95)</f>
        <v>13458.95</v>
      </c>
    </row>
    <row r="2162">
      <c r="A2162" s="3">
        <f>IFERROR(__xludf.DUMMYFUNCTION("""COMPUTED_VALUE"""),42526.99861111111)</f>
        <v>42526.99861</v>
      </c>
      <c r="B2162" s="1">
        <f>IFERROR(__xludf.DUMMYFUNCTION("""COMPUTED_VALUE"""),13477.08)</f>
        <v>13477.08</v>
      </c>
    </row>
    <row r="2163">
      <c r="A2163" s="3">
        <f>IFERROR(__xludf.DUMMYFUNCTION("""COMPUTED_VALUE"""),42527.99861111111)</f>
        <v>42527.99861</v>
      </c>
      <c r="B2163" s="1">
        <f>IFERROR(__xludf.DUMMYFUNCTION("""COMPUTED_VALUE"""),13347.0)</f>
        <v>13347</v>
      </c>
    </row>
    <row r="2164">
      <c r="A2164" s="3">
        <f>IFERROR(__xludf.DUMMYFUNCTION("""COMPUTED_VALUE"""),42528.99861111111)</f>
        <v>42528.99861</v>
      </c>
      <c r="B2164" s="1">
        <f>IFERROR(__xludf.DUMMYFUNCTION("""COMPUTED_VALUE"""),13227.0)</f>
        <v>13227</v>
      </c>
    </row>
    <row r="2165">
      <c r="A2165" s="3">
        <f>IFERROR(__xludf.DUMMYFUNCTION("""COMPUTED_VALUE"""),42529.99861111111)</f>
        <v>42529.99861</v>
      </c>
      <c r="B2165" s="1">
        <f>IFERROR(__xludf.DUMMYFUNCTION("""COMPUTED_VALUE"""),13205.0)</f>
        <v>13205</v>
      </c>
    </row>
    <row r="2166">
      <c r="A2166" s="3">
        <f>IFERROR(__xludf.DUMMYFUNCTION("""COMPUTED_VALUE"""),42530.99861111111)</f>
        <v>42530.99861</v>
      </c>
      <c r="B2166" s="1">
        <f>IFERROR(__xludf.DUMMYFUNCTION("""COMPUTED_VALUE"""),13250.0)</f>
        <v>13250</v>
      </c>
    </row>
    <row r="2167">
      <c r="A2167" s="3">
        <f>IFERROR(__xludf.DUMMYFUNCTION("""COMPUTED_VALUE"""),42531.99861111111)</f>
        <v>42531.99861</v>
      </c>
      <c r="B2167" s="1">
        <f>IFERROR(__xludf.DUMMYFUNCTION("""COMPUTED_VALUE"""),13326.0)</f>
        <v>13326</v>
      </c>
    </row>
    <row r="2168">
      <c r="A2168" s="3">
        <f>IFERROR(__xludf.DUMMYFUNCTION("""COMPUTED_VALUE"""),42532.99861111111)</f>
        <v>42532.99861</v>
      </c>
      <c r="B2168" s="1">
        <f>IFERROR(__xludf.DUMMYFUNCTION("""COMPUTED_VALUE"""),13351.13)</f>
        <v>13351.13</v>
      </c>
    </row>
    <row r="2169">
      <c r="A2169" s="3">
        <f>IFERROR(__xludf.DUMMYFUNCTION("""COMPUTED_VALUE"""),42533.99861111111)</f>
        <v>42533.99861</v>
      </c>
      <c r="B2169" s="1">
        <f>IFERROR(__xludf.DUMMYFUNCTION("""COMPUTED_VALUE"""),13368.98)</f>
        <v>13368.98</v>
      </c>
    </row>
    <row r="2170">
      <c r="A2170" s="3">
        <f>IFERROR(__xludf.DUMMYFUNCTION("""COMPUTED_VALUE"""),42534.99861111111)</f>
        <v>42534.99861</v>
      </c>
      <c r="B2170" s="1">
        <f>IFERROR(__xludf.DUMMYFUNCTION("""COMPUTED_VALUE"""),13321.0)</f>
        <v>13321</v>
      </c>
    </row>
    <row r="2171">
      <c r="A2171" s="3">
        <f>IFERROR(__xludf.DUMMYFUNCTION("""COMPUTED_VALUE"""),42535.99861111111)</f>
        <v>42535.99861</v>
      </c>
      <c r="B2171" s="1">
        <f>IFERROR(__xludf.DUMMYFUNCTION("""COMPUTED_VALUE"""),13350.0)</f>
        <v>13350</v>
      </c>
    </row>
    <row r="2172">
      <c r="A2172" s="3">
        <f>IFERROR(__xludf.DUMMYFUNCTION("""COMPUTED_VALUE"""),42536.99861111111)</f>
        <v>42536.99861</v>
      </c>
      <c r="B2172" s="1">
        <f>IFERROR(__xludf.DUMMYFUNCTION("""COMPUTED_VALUE"""),13320.0)</f>
        <v>13320</v>
      </c>
    </row>
    <row r="2173">
      <c r="A2173" s="3">
        <f>IFERROR(__xludf.DUMMYFUNCTION("""COMPUTED_VALUE"""),42537.99861111111)</f>
        <v>42537.99861</v>
      </c>
      <c r="B2173" s="1">
        <f>IFERROR(__xludf.DUMMYFUNCTION("""COMPUTED_VALUE"""),13386.0)</f>
        <v>13386</v>
      </c>
    </row>
    <row r="2174">
      <c r="A2174" s="3">
        <f>IFERROR(__xludf.DUMMYFUNCTION("""COMPUTED_VALUE"""),42538.99861111111)</f>
        <v>42538.99861</v>
      </c>
      <c r="B2174" s="1">
        <f>IFERROR(__xludf.DUMMYFUNCTION("""COMPUTED_VALUE"""),13332.0)</f>
        <v>13332</v>
      </c>
    </row>
    <row r="2175">
      <c r="A2175" s="3">
        <f>IFERROR(__xludf.DUMMYFUNCTION("""COMPUTED_VALUE"""),42539.99861111111)</f>
        <v>42539.99861</v>
      </c>
      <c r="B2175" s="1">
        <f>IFERROR(__xludf.DUMMYFUNCTION("""COMPUTED_VALUE"""),13333.33)</f>
        <v>13333.33</v>
      </c>
    </row>
    <row r="2176">
      <c r="A2176" s="3">
        <f>IFERROR(__xludf.DUMMYFUNCTION("""COMPUTED_VALUE"""),42540.99861111111)</f>
        <v>42540.99861</v>
      </c>
      <c r="B2176" s="1">
        <f>IFERROR(__xludf.DUMMYFUNCTION("""COMPUTED_VALUE"""),13333.33)</f>
        <v>13333.33</v>
      </c>
    </row>
    <row r="2177">
      <c r="A2177" s="3">
        <f>IFERROR(__xludf.DUMMYFUNCTION("""COMPUTED_VALUE"""),42541.99861111111)</f>
        <v>42541.99861</v>
      </c>
      <c r="B2177" s="1">
        <f>IFERROR(__xludf.DUMMYFUNCTION("""COMPUTED_VALUE"""),13250.0)</f>
        <v>13250</v>
      </c>
    </row>
    <row r="2178">
      <c r="A2178" s="3">
        <f>IFERROR(__xludf.DUMMYFUNCTION("""COMPUTED_VALUE"""),42542.99861111111)</f>
        <v>42542.99861</v>
      </c>
      <c r="B2178" s="1">
        <f>IFERROR(__xludf.DUMMYFUNCTION("""COMPUTED_VALUE"""),13255.0)</f>
        <v>13255</v>
      </c>
    </row>
    <row r="2179">
      <c r="A2179" s="3">
        <f>IFERROR(__xludf.DUMMYFUNCTION("""COMPUTED_VALUE"""),42543.99861111111)</f>
        <v>42543.99861</v>
      </c>
      <c r="B2179" s="1">
        <f>IFERROR(__xludf.DUMMYFUNCTION("""COMPUTED_VALUE"""),13195.0)</f>
        <v>13195</v>
      </c>
    </row>
    <row r="2180">
      <c r="A2180" s="3">
        <f>IFERROR(__xludf.DUMMYFUNCTION("""COMPUTED_VALUE"""),42544.99861111111)</f>
        <v>42544.99861</v>
      </c>
      <c r="B2180" s="1">
        <f>IFERROR(__xludf.DUMMYFUNCTION("""COMPUTED_VALUE"""),13250.0)</f>
        <v>13250</v>
      </c>
    </row>
    <row r="2181">
      <c r="A2181" s="3">
        <f>IFERROR(__xludf.DUMMYFUNCTION("""COMPUTED_VALUE"""),42545.99861111111)</f>
        <v>42545.99861</v>
      </c>
      <c r="B2181" s="1">
        <f>IFERROR(__xludf.DUMMYFUNCTION("""COMPUTED_VALUE"""),13375.0)</f>
        <v>13375</v>
      </c>
    </row>
    <row r="2182">
      <c r="A2182" s="3">
        <f>IFERROR(__xludf.DUMMYFUNCTION("""COMPUTED_VALUE"""),42546.99861111111)</f>
        <v>42546.99861</v>
      </c>
      <c r="B2182" s="1">
        <f>IFERROR(__xludf.DUMMYFUNCTION("""COMPUTED_VALUE"""),13477.08)</f>
        <v>13477.08</v>
      </c>
    </row>
    <row r="2183">
      <c r="A2183" s="3">
        <f>IFERROR(__xludf.DUMMYFUNCTION("""COMPUTED_VALUE"""),42547.99861111111)</f>
        <v>42547.99861</v>
      </c>
      <c r="B2183" s="1">
        <f>IFERROR(__xludf.DUMMYFUNCTION("""COMPUTED_VALUE"""),13605.44)</f>
        <v>13605.44</v>
      </c>
    </row>
    <row r="2184">
      <c r="A2184" s="3">
        <f>IFERROR(__xludf.DUMMYFUNCTION("""COMPUTED_VALUE"""),42548.99861111111)</f>
        <v>42548.99861</v>
      </c>
      <c r="B2184" s="1">
        <f>IFERROR(__xludf.DUMMYFUNCTION("""COMPUTED_VALUE"""),13385.0)</f>
        <v>13385</v>
      </c>
    </row>
    <row r="2185">
      <c r="A2185" s="3">
        <f>IFERROR(__xludf.DUMMYFUNCTION("""COMPUTED_VALUE"""),42549.99861111111)</f>
        <v>42549.99861</v>
      </c>
      <c r="B2185" s="1">
        <f>IFERROR(__xludf.DUMMYFUNCTION("""COMPUTED_VALUE"""),13160.0)</f>
        <v>13160</v>
      </c>
    </row>
    <row r="2186">
      <c r="A2186" s="3">
        <f>IFERROR(__xludf.DUMMYFUNCTION("""COMPUTED_VALUE"""),42550.99861111111)</f>
        <v>42550.99861</v>
      </c>
      <c r="B2186" s="1">
        <f>IFERROR(__xludf.DUMMYFUNCTION("""COMPUTED_VALUE"""),13139.0)</f>
        <v>13139</v>
      </c>
    </row>
    <row r="2187">
      <c r="A2187" s="3">
        <f>IFERROR(__xludf.DUMMYFUNCTION("""COMPUTED_VALUE"""),42551.99861111111)</f>
        <v>42551.99861</v>
      </c>
      <c r="B2187" s="1">
        <f>IFERROR(__xludf.DUMMYFUNCTION("""COMPUTED_VALUE"""),13177.0)</f>
        <v>13177</v>
      </c>
    </row>
    <row r="2188">
      <c r="A2188" s="3">
        <f>IFERROR(__xludf.DUMMYFUNCTION("""COMPUTED_VALUE"""),42552.99861111111)</f>
        <v>42552.99861</v>
      </c>
      <c r="B2188" s="1">
        <f>IFERROR(__xludf.DUMMYFUNCTION("""COMPUTED_VALUE"""),13115.0)</f>
        <v>13115</v>
      </c>
    </row>
    <row r="2189">
      <c r="A2189" s="3">
        <f>IFERROR(__xludf.DUMMYFUNCTION("""COMPUTED_VALUE"""),42553.99861111111)</f>
        <v>42553.99861</v>
      </c>
      <c r="B2189" s="1">
        <f>IFERROR(__xludf.DUMMYFUNCTION("""COMPUTED_VALUE"""),13123.35)</f>
        <v>13123.35</v>
      </c>
    </row>
    <row r="2190">
      <c r="A2190" s="3">
        <f>IFERROR(__xludf.DUMMYFUNCTION("""COMPUTED_VALUE"""),42554.99861111111)</f>
        <v>42554.99861</v>
      </c>
      <c r="B2190" s="1">
        <f>IFERROR(__xludf.DUMMYFUNCTION("""COMPUTED_VALUE"""),13123.35)</f>
        <v>13123.35</v>
      </c>
    </row>
    <row r="2191">
      <c r="A2191" s="3">
        <f>IFERROR(__xludf.DUMMYFUNCTION("""COMPUTED_VALUE"""),42555.99861111111)</f>
        <v>42555.99861</v>
      </c>
      <c r="B2191" s="1">
        <f>IFERROR(__xludf.DUMMYFUNCTION("""COMPUTED_VALUE"""),13060.0)</f>
        <v>13060</v>
      </c>
    </row>
    <row r="2192">
      <c r="A2192" s="3">
        <f>IFERROR(__xludf.DUMMYFUNCTION("""COMPUTED_VALUE"""),42556.99861111111)</f>
        <v>42556.99861</v>
      </c>
      <c r="B2192" s="1">
        <f>IFERROR(__xludf.DUMMYFUNCTION("""COMPUTED_VALUE"""),13160.0)</f>
        <v>13160</v>
      </c>
    </row>
    <row r="2193">
      <c r="A2193" s="3">
        <f>IFERROR(__xludf.DUMMYFUNCTION("""COMPUTED_VALUE"""),42557.99861111111)</f>
        <v>42557.99861</v>
      </c>
      <c r="B2193" s="1">
        <f>IFERROR(__xludf.DUMMYFUNCTION("""COMPUTED_VALUE"""),13212.0)</f>
        <v>13212</v>
      </c>
    </row>
    <row r="2194">
      <c r="A2194" s="3">
        <f>IFERROR(__xludf.DUMMYFUNCTION("""COMPUTED_VALUE"""),42558.99861111111)</f>
        <v>42558.99861</v>
      </c>
      <c r="B2194" s="1">
        <f>IFERROR(__xludf.DUMMYFUNCTION("""COMPUTED_VALUE"""),13100.0)</f>
        <v>13100</v>
      </c>
    </row>
    <row r="2195">
      <c r="A2195" s="3">
        <f>IFERROR(__xludf.DUMMYFUNCTION("""COMPUTED_VALUE"""),42559.99861111111)</f>
        <v>42559.99861</v>
      </c>
      <c r="B2195" s="1">
        <f>IFERROR(__xludf.DUMMYFUNCTION("""COMPUTED_VALUE"""),13105.0)</f>
        <v>13105</v>
      </c>
    </row>
    <row r="2196">
      <c r="A2196" s="3">
        <f>IFERROR(__xludf.DUMMYFUNCTION("""COMPUTED_VALUE"""),42560.99861111111)</f>
        <v>42560.99861</v>
      </c>
      <c r="B2196" s="1">
        <f>IFERROR(__xludf.DUMMYFUNCTION("""COMPUTED_VALUE"""),13140.6)</f>
        <v>13140.6</v>
      </c>
    </row>
    <row r="2197">
      <c r="A2197" s="3">
        <f>IFERROR(__xludf.DUMMYFUNCTION("""COMPUTED_VALUE"""),42561.99861111111)</f>
        <v>42561.99861</v>
      </c>
      <c r="B2197" s="1">
        <f>IFERROR(__xludf.DUMMYFUNCTION("""COMPUTED_VALUE"""),13140.6)</f>
        <v>13140.6</v>
      </c>
    </row>
    <row r="2198">
      <c r="A2198" s="3">
        <f>IFERROR(__xludf.DUMMYFUNCTION("""COMPUTED_VALUE"""),42562.99861111111)</f>
        <v>42562.99861</v>
      </c>
      <c r="B2198" s="1">
        <f>IFERROR(__xludf.DUMMYFUNCTION("""COMPUTED_VALUE"""),13120.0)</f>
        <v>13120</v>
      </c>
    </row>
    <row r="2199">
      <c r="A2199" s="3">
        <f>IFERROR(__xludf.DUMMYFUNCTION("""COMPUTED_VALUE"""),42563.99861111111)</f>
        <v>42563.99861</v>
      </c>
      <c r="B2199" s="1">
        <f>IFERROR(__xludf.DUMMYFUNCTION("""COMPUTED_VALUE"""),13075.0)</f>
        <v>13075</v>
      </c>
    </row>
    <row r="2200">
      <c r="A2200" s="3">
        <f>IFERROR(__xludf.DUMMYFUNCTION("""COMPUTED_VALUE"""),42564.99861111111)</f>
        <v>42564.99861</v>
      </c>
      <c r="B2200" s="1">
        <f>IFERROR(__xludf.DUMMYFUNCTION("""COMPUTED_VALUE"""),13015.0)</f>
        <v>13015</v>
      </c>
    </row>
    <row r="2201">
      <c r="A2201" s="3">
        <f>IFERROR(__xludf.DUMMYFUNCTION("""COMPUTED_VALUE"""),42565.99861111111)</f>
        <v>42565.99861</v>
      </c>
      <c r="B2201" s="1">
        <f>IFERROR(__xludf.DUMMYFUNCTION("""COMPUTED_VALUE"""),13020.0)</f>
        <v>13020</v>
      </c>
    </row>
    <row r="2202">
      <c r="A2202" s="3">
        <f>IFERROR(__xludf.DUMMYFUNCTION("""COMPUTED_VALUE"""),42566.99861111111)</f>
        <v>42566.99861</v>
      </c>
      <c r="B2202" s="1">
        <f>IFERROR(__xludf.DUMMYFUNCTION("""COMPUTED_VALUE"""),13062.0)</f>
        <v>13062</v>
      </c>
    </row>
    <row r="2203">
      <c r="A2203" s="3">
        <f>IFERROR(__xludf.DUMMYFUNCTION("""COMPUTED_VALUE"""),42567.99861111111)</f>
        <v>42567.99861</v>
      </c>
      <c r="B2203" s="1">
        <f>IFERROR(__xludf.DUMMYFUNCTION("""COMPUTED_VALUE"""),13157.89)</f>
        <v>13157.89</v>
      </c>
    </row>
    <row r="2204">
      <c r="A2204" s="3">
        <f>IFERROR(__xludf.DUMMYFUNCTION("""COMPUTED_VALUE"""),42568.99861111111)</f>
        <v>42568.99861</v>
      </c>
      <c r="B2204" s="1">
        <f>IFERROR(__xludf.DUMMYFUNCTION("""COMPUTED_VALUE"""),13157.89)</f>
        <v>13157.89</v>
      </c>
    </row>
    <row r="2205">
      <c r="A2205" s="3">
        <f>IFERROR(__xludf.DUMMYFUNCTION("""COMPUTED_VALUE"""),42569.99861111111)</f>
        <v>42569.99861</v>
      </c>
      <c r="B2205" s="1">
        <f>IFERROR(__xludf.DUMMYFUNCTION("""COMPUTED_VALUE"""),13078.0)</f>
        <v>13078</v>
      </c>
    </row>
    <row r="2206">
      <c r="A2206" s="3">
        <f>IFERROR(__xludf.DUMMYFUNCTION("""COMPUTED_VALUE"""),42570.99861111111)</f>
        <v>42570.99861</v>
      </c>
      <c r="B2206" s="1">
        <f>IFERROR(__xludf.DUMMYFUNCTION("""COMPUTED_VALUE"""),13093.0)</f>
        <v>13093</v>
      </c>
    </row>
    <row r="2207">
      <c r="A2207" s="3">
        <f>IFERROR(__xludf.DUMMYFUNCTION("""COMPUTED_VALUE"""),42571.99861111111)</f>
        <v>42571.99861</v>
      </c>
      <c r="B2207" s="1">
        <f>IFERROR(__xludf.DUMMYFUNCTION("""COMPUTED_VALUE"""),13105.0)</f>
        <v>13105</v>
      </c>
    </row>
    <row r="2208">
      <c r="A2208" s="3">
        <f>IFERROR(__xludf.DUMMYFUNCTION("""COMPUTED_VALUE"""),42572.99861111111)</f>
        <v>42572.99861</v>
      </c>
      <c r="B2208" s="1">
        <f>IFERROR(__xludf.DUMMYFUNCTION("""COMPUTED_VALUE"""),13111.0)</f>
        <v>13111</v>
      </c>
    </row>
    <row r="2209">
      <c r="A2209" s="3">
        <f>IFERROR(__xludf.DUMMYFUNCTION("""COMPUTED_VALUE"""),42573.99861111111)</f>
        <v>42573.99861</v>
      </c>
      <c r="B2209" s="1">
        <f>IFERROR(__xludf.DUMMYFUNCTION("""COMPUTED_VALUE"""),13113.0)</f>
        <v>13113</v>
      </c>
    </row>
    <row r="2210">
      <c r="A2210" s="3">
        <f>IFERROR(__xludf.DUMMYFUNCTION("""COMPUTED_VALUE"""),42574.99861111111)</f>
        <v>42574.99861</v>
      </c>
      <c r="B2210" s="1">
        <f>IFERROR(__xludf.DUMMYFUNCTION("""COMPUTED_VALUE"""),13123.35)</f>
        <v>13123.35</v>
      </c>
    </row>
    <row r="2211">
      <c r="A2211" s="3">
        <f>IFERROR(__xludf.DUMMYFUNCTION("""COMPUTED_VALUE"""),42575.99861111111)</f>
        <v>42575.99861</v>
      </c>
      <c r="B2211" s="1">
        <f>IFERROR(__xludf.DUMMYFUNCTION("""COMPUTED_VALUE"""),13123.35)</f>
        <v>13123.35</v>
      </c>
    </row>
    <row r="2212">
      <c r="A2212" s="3">
        <f>IFERROR(__xludf.DUMMYFUNCTION("""COMPUTED_VALUE"""),42576.99861111111)</f>
        <v>42576.99861</v>
      </c>
      <c r="B2212" s="1">
        <f>IFERROR(__xludf.DUMMYFUNCTION("""COMPUTED_VALUE"""),13095.0)</f>
        <v>13095</v>
      </c>
    </row>
    <row r="2213">
      <c r="A2213" s="3">
        <f>IFERROR(__xludf.DUMMYFUNCTION("""COMPUTED_VALUE"""),42577.99861111111)</f>
        <v>42577.99861</v>
      </c>
      <c r="B2213" s="1">
        <f>IFERROR(__xludf.DUMMYFUNCTION("""COMPUTED_VALUE"""),13162.0)</f>
        <v>13162</v>
      </c>
    </row>
    <row r="2214">
      <c r="A2214" s="3">
        <f>IFERROR(__xludf.DUMMYFUNCTION("""COMPUTED_VALUE"""),42578.99861111111)</f>
        <v>42578.99861</v>
      </c>
      <c r="B2214" s="1">
        <f>IFERROR(__xludf.DUMMYFUNCTION("""COMPUTED_VALUE"""),13098.0)</f>
        <v>13098</v>
      </c>
    </row>
    <row r="2215">
      <c r="A2215" s="3">
        <f>IFERROR(__xludf.DUMMYFUNCTION("""COMPUTED_VALUE"""),42579.99861111111)</f>
        <v>42579.99861</v>
      </c>
      <c r="B2215" s="1">
        <f>IFERROR(__xludf.DUMMYFUNCTION("""COMPUTED_VALUE"""),13058.0)</f>
        <v>13058</v>
      </c>
    </row>
    <row r="2216">
      <c r="A2216" s="3">
        <f>IFERROR(__xludf.DUMMYFUNCTION("""COMPUTED_VALUE"""),42580.99861111111)</f>
        <v>42580.99861</v>
      </c>
      <c r="B2216" s="1">
        <f>IFERROR(__xludf.DUMMYFUNCTION("""COMPUTED_VALUE"""),13020.0)</f>
        <v>13020</v>
      </c>
    </row>
    <row r="2217">
      <c r="A2217" s="3">
        <f>IFERROR(__xludf.DUMMYFUNCTION("""COMPUTED_VALUE"""),42581.99861111111)</f>
        <v>42581.99861</v>
      </c>
      <c r="B2217" s="1">
        <f>IFERROR(__xludf.DUMMYFUNCTION("""COMPUTED_VALUE"""),13123.35)</f>
        <v>13123.35</v>
      </c>
    </row>
    <row r="2218">
      <c r="A2218" s="3">
        <f>IFERROR(__xludf.DUMMYFUNCTION("""COMPUTED_VALUE"""),42582.99861111111)</f>
        <v>42582.99861</v>
      </c>
      <c r="B2218" s="1">
        <f>IFERROR(__xludf.DUMMYFUNCTION("""COMPUTED_VALUE"""),13123.35)</f>
        <v>13123.35</v>
      </c>
    </row>
    <row r="2219">
      <c r="A2219" s="3">
        <f>IFERROR(__xludf.DUMMYFUNCTION("""COMPUTED_VALUE"""),42583.99861111111)</f>
        <v>42583.99861</v>
      </c>
      <c r="B2219" s="1">
        <f>IFERROR(__xludf.DUMMYFUNCTION("""COMPUTED_VALUE"""),13010.0)</f>
        <v>13010</v>
      </c>
    </row>
    <row r="2220">
      <c r="A2220" s="3">
        <f>IFERROR(__xludf.DUMMYFUNCTION("""COMPUTED_VALUE"""),42584.99861111111)</f>
        <v>42584.99861</v>
      </c>
      <c r="B2220" s="1">
        <f>IFERROR(__xludf.DUMMYFUNCTION("""COMPUTED_VALUE"""),13092.0)</f>
        <v>13092</v>
      </c>
    </row>
    <row r="2221">
      <c r="A2221" s="3">
        <f>IFERROR(__xludf.DUMMYFUNCTION("""COMPUTED_VALUE"""),42585.99861111111)</f>
        <v>42585.99861</v>
      </c>
      <c r="B2221" s="1">
        <f>IFERROR(__xludf.DUMMYFUNCTION("""COMPUTED_VALUE"""),13140.0)</f>
        <v>13140</v>
      </c>
    </row>
    <row r="2222">
      <c r="A2222" s="3">
        <f>IFERROR(__xludf.DUMMYFUNCTION("""COMPUTED_VALUE"""),42586.99861111111)</f>
        <v>42586.99861</v>
      </c>
      <c r="B2222" s="1">
        <f>IFERROR(__xludf.DUMMYFUNCTION("""COMPUTED_VALUE"""),13103.0)</f>
        <v>13103</v>
      </c>
    </row>
    <row r="2223">
      <c r="A2223" s="3">
        <f>IFERROR(__xludf.DUMMYFUNCTION("""COMPUTED_VALUE"""),42587.99861111111)</f>
        <v>42587.99861</v>
      </c>
      <c r="B2223" s="1">
        <f>IFERROR(__xludf.DUMMYFUNCTION("""COMPUTED_VALUE"""),13122.0)</f>
        <v>13122</v>
      </c>
    </row>
    <row r="2224">
      <c r="A2224" s="3">
        <f>IFERROR(__xludf.DUMMYFUNCTION("""COMPUTED_VALUE"""),42588.99861111111)</f>
        <v>42588.99861</v>
      </c>
      <c r="B2224" s="1">
        <f>IFERROR(__xludf.DUMMYFUNCTION("""COMPUTED_VALUE"""),13140.6)</f>
        <v>13140.6</v>
      </c>
    </row>
    <row r="2225">
      <c r="A2225" s="3">
        <f>IFERROR(__xludf.DUMMYFUNCTION("""COMPUTED_VALUE"""),42589.99861111111)</f>
        <v>42589.99861</v>
      </c>
      <c r="B2225" s="1">
        <f>IFERROR(__xludf.DUMMYFUNCTION("""COMPUTED_VALUE"""),13140.6)</f>
        <v>13140.6</v>
      </c>
    </row>
    <row r="2226">
      <c r="A2226" s="3">
        <f>IFERROR(__xludf.DUMMYFUNCTION("""COMPUTED_VALUE"""),42590.99861111111)</f>
        <v>42590.99861</v>
      </c>
      <c r="B2226" s="1">
        <f>IFERROR(__xludf.DUMMYFUNCTION("""COMPUTED_VALUE"""),13105.0)</f>
        <v>13105</v>
      </c>
    </row>
    <row r="2227">
      <c r="A2227" s="3">
        <f>IFERROR(__xludf.DUMMYFUNCTION("""COMPUTED_VALUE"""),42591.99861111111)</f>
        <v>42591.99861</v>
      </c>
      <c r="B2227" s="1">
        <f>IFERROR(__xludf.DUMMYFUNCTION("""COMPUTED_VALUE"""),13101.0)</f>
        <v>13101</v>
      </c>
    </row>
    <row r="2228">
      <c r="A2228" s="3">
        <f>IFERROR(__xludf.DUMMYFUNCTION("""COMPUTED_VALUE"""),42592.99861111111)</f>
        <v>42592.99861</v>
      </c>
      <c r="B2228" s="1">
        <f>IFERROR(__xludf.DUMMYFUNCTION("""COMPUTED_VALUE"""),13083.0)</f>
        <v>13083</v>
      </c>
    </row>
    <row r="2229">
      <c r="A2229" s="3">
        <f>IFERROR(__xludf.DUMMYFUNCTION("""COMPUTED_VALUE"""),42593.99861111111)</f>
        <v>42593.99861</v>
      </c>
      <c r="B2229" s="1">
        <f>IFERROR(__xludf.DUMMYFUNCTION("""COMPUTED_VALUE"""),13098.0)</f>
        <v>13098</v>
      </c>
    </row>
    <row r="2230">
      <c r="A2230" s="3">
        <f>IFERROR(__xludf.DUMMYFUNCTION("""COMPUTED_VALUE"""),42594.99861111111)</f>
        <v>42594.99861</v>
      </c>
      <c r="B2230" s="1">
        <f>IFERROR(__xludf.DUMMYFUNCTION("""COMPUTED_VALUE"""),13111.0)</f>
        <v>13111</v>
      </c>
    </row>
    <row r="2231">
      <c r="A2231" s="3">
        <f>IFERROR(__xludf.DUMMYFUNCTION("""COMPUTED_VALUE"""),42595.99861111111)</f>
        <v>42595.99861</v>
      </c>
      <c r="B2231" s="1">
        <f>IFERROR(__xludf.DUMMYFUNCTION("""COMPUTED_VALUE"""),13123.35)</f>
        <v>13123.35</v>
      </c>
    </row>
    <row r="2232">
      <c r="A2232" s="3">
        <f>IFERROR(__xludf.DUMMYFUNCTION("""COMPUTED_VALUE"""),42596.99861111111)</f>
        <v>42596.99861</v>
      </c>
      <c r="B2232" s="1">
        <f>IFERROR(__xludf.DUMMYFUNCTION("""COMPUTED_VALUE"""),13106.0)</f>
        <v>13106</v>
      </c>
    </row>
    <row r="2233">
      <c r="A2233" s="3">
        <f>IFERROR(__xludf.DUMMYFUNCTION("""COMPUTED_VALUE"""),42597.99861111111)</f>
        <v>42597.99861</v>
      </c>
      <c r="B2233" s="1">
        <f>IFERROR(__xludf.DUMMYFUNCTION("""COMPUTED_VALUE"""),13062.0)</f>
        <v>13062</v>
      </c>
    </row>
    <row r="2234">
      <c r="A2234" s="3">
        <f>IFERROR(__xludf.DUMMYFUNCTION("""COMPUTED_VALUE"""),42598.99861111111)</f>
        <v>42598.99861</v>
      </c>
      <c r="B2234" s="1">
        <f>IFERROR(__xludf.DUMMYFUNCTION("""COMPUTED_VALUE"""),13111.0)</f>
        <v>13111</v>
      </c>
    </row>
    <row r="2235">
      <c r="A2235" s="3">
        <f>IFERROR(__xludf.DUMMYFUNCTION("""COMPUTED_VALUE"""),42599.99861111111)</f>
        <v>42599.99861</v>
      </c>
      <c r="B2235" s="1">
        <f>IFERROR(__xludf.DUMMYFUNCTION("""COMPUTED_VALUE"""),13115.0)</f>
        <v>13115</v>
      </c>
    </row>
    <row r="2236">
      <c r="A2236" s="3">
        <f>IFERROR(__xludf.DUMMYFUNCTION("""COMPUTED_VALUE"""),42600.99861111111)</f>
        <v>42600.99861</v>
      </c>
      <c r="B2236" s="1">
        <f>IFERROR(__xludf.DUMMYFUNCTION("""COMPUTED_VALUE"""),13109.0)</f>
        <v>13109</v>
      </c>
    </row>
    <row r="2237">
      <c r="A2237" s="3">
        <f>IFERROR(__xludf.DUMMYFUNCTION("""COMPUTED_VALUE"""),42601.99861111111)</f>
        <v>42601.99861</v>
      </c>
      <c r="B2237" s="1">
        <f>IFERROR(__xludf.DUMMYFUNCTION("""COMPUTED_VALUE"""),13140.0)</f>
        <v>13140</v>
      </c>
    </row>
    <row r="2238">
      <c r="A2238" s="3">
        <f>IFERROR(__xludf.DUMMYFUNCTION("""COMPUTED_VALUE"""),42602.99861111111)</f>
        <v>42602.99861</v>
      </c>
      <c r="B2238" s="1">
        <f>IFERROR(__xludf.DUMMYFUNCTION("""COMPUTED_VALUE"""),13175.23)</f>
        <v>13175.23</v>
      </c>
    </row>
    <row r="2239">
      <c r="A2239" s="3">
        <f>IFERROR(__xludf.DUMMYFUNCTION("""COMPUTED_VALUE"""),42603.99861111111)</f>
        <v>42603.99861</v>
      </c>
      <c r="B2239" s="1">
        <f>IFERROR(__xludf.DUMMYFUNCTION("""COMPUTED_VALUE"""),13179.0)</f>
        <v>13179</v>
      </c>
    </row>
    <row r="2240">
      <c r="A2240" s="3">
        <f>IFERROR(__xludf.DUMMYFUNCTION("""COMPUTED_VALUE"""),42604.99861111111)</f>
        <v>42604.99861</v>
      </c>
      <c r="B2240" s="1">
        <f>IFERROR(__xludf.DUMMYFUNCTION("""COMPUTED_VALUE"""),13209.0)</f>
        <v>13209</v>
      </c>
    </row>
    <row r="2241">
      <c r="A2241" s="3">
        <f>IFERROR(__xludf.DUMMYFUNCTION("""COMPUTED_VALUE"""),42605.99861111111)</f>
        <v>42605.99861</v>
      </c>
      <c r="B2241" s="1">
        <f>IFERROR(__xludf.DUMMYFUNCTION("""COMPUTED_VALUE"""),13234.0)</f>
        <v>13234</v>
      </c>
    </row>
    <row r="2242">
      <c r="A2242" s="3">
        <f>IFERROR(__xludf.DUMMYFUNCTION("""COMPUTED_VALUE"""),42606.99861111111)</f>
        <v>42606.99861</v>
      </c>
      <c r="B2242" s="1">
        <f>IFERROR(__xludf.DUMMYFUNCTION("""COMPUTED_VALUE"""),13258.0)</f>
        <v>13258</v>
      </c>
    </row>
    <row r="2243">
      <c r="A2243" s="3">
        <f>IFERROR(__xludf.DUMMYFUNCTION("""COMPUTED_VALUE"""),42607.99861111111)</f>
        <v>42607.99861</v>
      </c>
      <c r="B2243" s="1">
        <f>IFERROR(__xludf.DUMMYFUNCTION("""COMPUTED_VALUE"""),13246.0)</f>
        <v>13246</v>
      </c>
    </row>
    <row r="2244">
      <c r="A2244" s="3">
        <f>IFERROR(__xludf.DUMMYFUNCTION("""COMPUTED_VALUE"""),42608.99861111111)</f>
        <v>42608.99861</v>
      </c>
      <c r="B2244" s="1">
        <f>IFERROR(__xludf.DUMMYFUNCTION("""COMPUTED_VALUE"""),13294.0)</f>
        <v>13294</v>
      </c>
    </row>
    <row r="2245">
      <c r="A2245" s="3">
        <f>IFERROR(__xludf.DUMMYFUNCTION("""COMPUTED_VALUE"""),42609.99861111111)</f>
        <v>42609.99861</v>
      </c>
      <c r="B2245" s="1">
        <f>IFERROR(__xludf.DUMMYFUNCTION("""COMPUTED_VALUE"""),13315.57)</f>
        <v>13315.57</v>
      </c>
    </row>
    <row r="2246">
      <c r="A2246" s="3">
        <f>IFERROR(__xludf.DUMMYFUNCTION("""COMPUTED_VALUE"""),42610.99861111111)</f>
        <v>42610.99861</v>
      </c>
      <c r="B2246" s="1">
        <f>IFERROR(__xludf.DUMMYFUNCTION("""COMPUTED_VALUE"""),13310.0)</f>
        <v>13310</v>
      </c>
    </row>
    <row r="2247">
      <c r="A2247" s="3">
        <f>IFERROR(__xludf.DUMMYFUNCTION("""COMPUTED_VALUE"""),42611.99861111111)</f>
        <v>42611.99861</v>
      </c>
      <c r="B2247" s="1">
        <f>IFERROR(__xludf.DUMMYFUNCTION("""COMPUTED_VALUE"""),13248.0)</f>
        <v>13248</v>
      </c>
    </row>
    <row r="2248">
      <c r="A2248" s="3">
        <f>IFERROR(__xludf.DUMMYFUNCTION("""COMPUTED_VALUE"""),42612.99861111111)</f>
        <v>42612.99861</v>
      </c>
      <c r="B2248" s="1">
        <f>IFERROR(__xludf.DUMMYFUNCTION("""COMPUTED_VALUE"""),13283.0)</f>
        <v>13283</v>
      </c>
    </row>
    <row r="2249">
      <c r="A2249" s="3">
        <f>IFERROR(__xludf.DUMMYFUNCTION("""COMPUTED_VALUE"""),42613.99861111111)</f>
        <v>42613.99861</v>
      </c>
      <c r="B2249" s="1">
        <f>IFERROR(__xludf.DUMMYFUNCTION("""COMPUTED_VALUE"""),13280.0)</f>
        <v>13280</v>
      </c>
    </row>
    <row r="2250">
      <c r="A2250" s="3">
        <f>IFERROR(__xludf.DUMMYFUNCTION("""COMPUTED_VALUE"""),42614.99861111111)</f>
        <v>42614.99861</v>
      </c>
      <c r="B2250" s="1">
        <f>IFERROR(__xludf.DUMMYFUNCTION("""COMPUTED_VALUE"""),13273.0)</f>
        <v>13273</v>
      </c>
    </row>
    <row r="2251">
      <c r="A2251" s="3">
        <f>IFERROR(__xludf.DUMMYFUNCTION("""COMPUTED_VALUE"""),42615.99861111111)</f>
        <v>42615.99861</v>
      </c>
      <c r="B2251" s="1">
        <f>IFERROR(__xludf.DUMMYFUNCTION("""COMPUTED_VALUE"""),13195.0)</f>
        <v>13195</v>
      </c>
    </row>
    <row r="2252">
      <c r="A2252" s="3">
        <f>IFERROR(__xludf.DUMMYFUNCTION("""COMPUTED_VALUE"""),42616.99861111111)</f>
        <v>42616.99861</v>
      </c>
      <c r="B2252" s="1">
        <f>IFERROR(__xludf.DUMMYFUNCTION("""COMPUTED_VALUE"""),13195.0)</f>
        <v>13195</v>
      </c>
    </row>
    <row r="2253">
      <c r="A2253" s="3">
        <f>IFERROR(__xludf.DUMMYFUNCTION("""COMPUTED_VALUE"""),42617.99861111111)</f>
        <v>42617.99861</v>
      </c>
      <c r="B2253" s="1">
        <f>IFERROR(__xludf.DUMMYFUNCTION("""COMPUTED_VALUE"""),13195.0)</f>
        <v>13195</v>
      </c>
    </row>
    <row r="2254">
      <c r="A2254" s="3">
        <f>IFERROR(__xludf.DUMMYFUNCTION("""COMPUTED_VALUE"""),42618.99861111111)</f>
        <v>42618.99861</v>
      </c>
      <c r="B2254" s="1">
        <f>IFERROR(__xludf.DUMMYFUNCTION("""COMPUTED_VALUE"""),13125.0)</f>
        <v>13125</v>
      </c>
    </row>
    <row r="2255">
      <c r="A2255" s="3">
        <f>IFERROR(__xludf.DUMMYFUNCTION("""COMPUTED_VALUE"""),42619.99861111111)</f>
        <v>42619.99861</v>
      </c>
      <c r="B2255" s="1">
        <f>IFERROR(__xludf.DUMMYFUNCTION("""COMPUTED_VALUE"""),13058.0)</f>
        <v>13058</v>
      </c>
    </row>
    <row r="2256">
      <c r="A2256" s="3">
        <f>IFERROR(__xludf.DUMMYFUNCTION("""COMPUTED_VALUE"""),42620.99861111111)</f>
        <v>42620.99861</v>
      </c>
      <c r="B2256" s="1">
        <f>IFERROR(__xludf.DUMMYFUNCTION("""COMPUTED_VALUE"""),13070.0)</f>
        <v>13070</v>
      </c>
    </row>
    <row r="2257">
      <c r="A2257" s="3">
        <f>IFERROR(__xludf.DUMMYFUNCTION("""COMPUTED_VALUE"""),42621.99861111111)</f>
        <v>42621.99861</v>
      </c>
      <c r="B2257" s="1">
        <f>IFERROR(__xludf.DUMMYFUNCTION("""COMPUTED_VALUE"""),13071.0)</f>
        <v>13071</v>
      </c>
    </row>
    <row r="2258">
      <c r="A2258" s="3">
        <f>IFERROR(__xludf.DUMMYFUNCTION("""COMPUTED_VALUE"""),42622.99861111111)</f>
        <v>42622.99861</v>
      </c>
      <c r="B2258" s="1">
        <f>IFERROR(__xludf.DUMMYFUNCTION("""COMPUTED_VALUE"""),13177.0)</f>
        <v>13177</v>
      </c>
    </row>
    <row r="2259">
      <c r="A2259" s="3">
        <f>IFERROR(__xludf.DUMMYFUNCTION("""COMPUTED_VALUE"""),42623.99861111111)</f>
        <v>42623.99861</v>
      </c>
      <c r="B2259" s="1">
        <f>IFERROR(__xludf.DUMMYFUNCTION("""COMPUTED_VALUE"""),13167.0)</f>
        <v>13167</v>
      </c>
    </row>
    <row r="2260">
      <c r="A2260" s="3">
        <f>IFERROR(__xludf.DUMMYFUNCTION("""COMPUTED_VALUE"""),42624.99861111111)</f>
        <v>42624.99861</v>
      </c>
      <c r="B2260" s="1">
        <f>IFERROR(__xludf.DUMMYFUNCTION("""COMPUTED_VALUE"""),13176.0)</f>
        <v>13176</v>
      </c>
    </row>
    <row r="2261">
      <c r="A2261" s="3">
        <f>IFERROR(__xludf.DUMMYFUNCTION("""COMPUTED_VALUE"""),42625.99861111111)</f>
        <v>42625.99861</v>
      </c>
      <c r="B2261" s="1">
        <f>IFERROR(__xludf.DUMMYFUNCTION("""COMPUTED_VALUE"""),13172.0)</f>
        <v>13172</v>
      </c>
    </row>
    <row r="2262">
      <c r="A2262" s="3">
        <f>IFERROR(__xludf.DUMMYFUNCTION("""COMPUTED_VALUE"""),42626.99861111111)</f>
        <v>42626.99861</v>
      </c>
      <c r="B2262" s="1">
        <f>IFERROR(__xludf.DUMMYFUNCTION("""COMPUTED_VALUE"""),13241.0)</f>
        <v>13241</v>
      </c>
    </row>
    <row r="2263">
      <c r="A2263" s="3">
        <f>IFERROR(__xludf.DUMMYFUNCTION("""COMPUTED_VALUE"""),42627.99861111111)</f>
        <v>42627.99861</v>
      </c>
      <c r="B2263" s="1">
        <f>IFERROR(__xludf.DUMMYFUNCTION("""COMPUTED_VALUE"""),13191.0)</f>
        <v>13191</v>
      </c>
    </row>
    <row r="2264">
      <c r="A2264" s="3">
        <f>IFERROR(__xludf.DUMMYFUNCTION("""COMPUTED_VALUE"""),42628.99861111111)</f>
        <v>42628.99861</v>
      </c>
      <c r="B2264" s="1">
        <f>IFERROR(__xludf.DUMMYFUNCTION("""COMPUTED_VALUE"""),13144.0)</f>
        <v>13144</v>
      </c>
    </row>
    <row r="2265">
      <c r="A2265" s="3">
        <f>IFERROR(__xludf.DUMMYFUNCTION("""COMPUTED_VALUE"""),42629.99861111111)</f>
        <v>42629.99861</v>
      </c>
      <c r="B2265" s="1">
        <f>IFERROR(__xludf.DUMMYFUNCTION("""COMPUTED_VALUE"""),13163.0)</f>
        <v>13163</v>
      </c>
    </row>
    <row r="2266">
      <c r="A2266" s="3">
        <f>IFERROR(__xludf.DUMMYFUNCTION("""COMPUTED_VALUE"""),42630.99861111111)</f>
        <v>42630.99861</v>
      </c>
      <c r="B2266" s="1">
        <f>IFERROR(__xludf.DUMMYFUNCTION("""COMPUTED_VALUE"""),13175.23)</f>
        <v>13175.23</v>
      </c>
    </row>
    <row r="2267">
      <c r="A2267" s="3">
        <f>IFERROR(__xludf.DUMMYFUNCTION("""COMPUTED_VALUE"""),42631.99861111111)</f>
        <v>42631.99861</v>
      </c>
      <c r="B2267" s="1">
        <f>IFERROR(__xludf.DUMMYFUNCTION("""COMPUTED_VALUE"""),13163.0)</f>
        <v>13163</v>
      </c>
    </row>
    <row r="2268">
      <c r="A2268" s="3">
        <f>IFERROR(__xludf.DUMMYFUNCTION("""COMPUTED_VALUE"""),42632.99861111111)</f>
        <v>42632.99861</v>
      </c>
      <c r="B2268" s="1">
        <f>IFERROR(__xludf.DUMMYFUNCTION("""COMPUTED_VALUE"""),13139.0)</f>
        <v>13139</v>
      </c>
    </row>
    <row r="2269">
      <c r="A2269" s="3">
        <f>IFERROR(__xludf.DUMMYFUNCTION("""COMPUTED_VALUE"""),42633.99861111111)</f>
        <v>42633.99861</v>
      </c>
      <c r="B2269" s="1">
        <f>IFERROR(__xludf.DUMMYFUNCTION("""COMPUTED_VALUE"""),13158.0)</f>
        <v>13158</v>
      </c>
    </row>
    <row r="2270">
      <c r="A2270" s="3">
        <f>IFERROR(__xludf.DUMMYFUNCTION("""COMPUTED_VALUE"""),42634.99861111111)</f>
        <v>42634.99861</v>
      </c>
      <c r="B2270" s="1">
        <f>IFERROR(__xludf.DUMMYFUNCTION("""COMPUTED_VALUE"""),13058.0)</f>
        <v>13058</v>
      </c>
    </row>
    <row r="2271">
      <c r="A2271" s="3">
        <f>IFERROR(__xludf.DUMMYFUNCTION("""COMPUTED_VALUE"""),42635.99861111111)</f>
        <v>42635.99861</v>
      </c>
      <c r="B2271" s="1">
        <f>IFERROR(__xludf.DUMMYFUNCTION("""COMPUTED_VALUE"""),13062.0)</f>
        <v>13062</v>
      </c>
    </row>
    <row r="2272">
      <c r="A2272" s="3">
        <f>IFERROR(__xludf.DUMMYFUNCTION("""COMPUTED_VALUE"""),42636.99861111111)</f>
        <v>42636.99861</v>
      </c>
      <c r="B2272" s="1">
        <f>IFERROR(__xludf.DUMMYFUNCTION("""COMPUTED_VALUE"""),13081.0)</f>
        <v>13081</v>
      </c>
    </row>
    <row r="2273">
      <c r="A2273" s="3">
        <f>IFERROR(__xludf.DUMMYFUNCTION("""COMPUTED_VALUE"""),42637.99861111111)</f>
        <v>42637.99861</v>
      </c>
      <c r="B2273" s="1">
        <f>IFERROR(__xludf.DUMMYFUNCTION("""COMPUTED_VALUE"""),13078.0)</f>
        <v>13078</v>
      </c>
    </row>
    <row r="2274">
      <c r="A2274" s="3">
        <f>IFERROR(__xludf.DUMMYFUNCTION("""COMPUTED_VALUE"""),42638.99861111111)</f>
        <v>42638.99861</v>
      </c>
      <c r="B2274" s="1">
        <f>IFERROR(__xludf.DUMMYFUNCTION("""COMPUTED_VALUE"""),13053.0)</f>
        <v>13053</v>
      </c>
    </row>
    <row r="2275">
      <c r="A2275" s="3">
        <f>IFERROR(__xludf.DUMMYFUNCTION("""COMPUTED_VALUE"""),42639.99861111111)</f>
        <v>42639.99861</v>
      </c>
      <c r="B2275" s="1">
        <f>IFERROR(__xludf.DUMMYFUNCTION("""COMPUTED_VALUE"""),13039.0)</f>
        <v>13039</v>
      </c>
    </row>
    <row r="2276">
      <c r="A2276" s="3">
        <f>IFERROR(__xludf.DUMMYFUNCTION("""COMPUTED_VALUE"""),42640.99861111111)</f>
        <v>42640.99861</v>
      </c>
      <c r="B2276" s="1">
        <f>IFERROR(__xludf.DUMMYFUNCTION("""COMPUTED_VALUE"""),12917.0)</f>
        <v>12917</v>
      </c>
    </row>
    <row r="2277">
      <c r="A2277" s="3">
        <f>IFERROR(__xludf.DUMMYFUNCTION("""COMPUTED_VALUE"""),42641.99861111111)</f>
        <v>42641.99861</v>
      </c>
      <c r="B2277" s="1">
        <f>IFERROR(__xludf.DUMMYFUNCTION("""COMPUTED_VALUE"""),12921.0)</f>
        <v>12921</v>
      </c>
    </row>
    <row r="2278">
      <c r="A2278" s="3">
        <f>IFERROR(__xludf.DUMMYFUNCTION("""COMPUTED_VALUE"""),42642.99861111111)</f>
        <v>42642.99861</v>
      </c>
      <c r="B2278" s="1">
        <f>IFERROR(__xludf.DUMMYFUNCTION("""COMPUTED_VALUE"""),13003.0)</f>
        <v>13003</v>
      </c>
    </row>
    <row r="2279">
      <c r="A2279" s="3">
        <f>IFERROR(__xludf.DUMMYFUNCTION("""COMPUTED_VALUE"""),42643.99861111111)</f>
        <v>42643.99861</v>
      </c>
      <c r="B2279" s="1">
        <f>IFERROR(__xludf.DUMMYFUNCTION("""COMPUTED_VALUE"""),13014.0)</f>
        <v>13014</v>
      </c>
    </row>
    <row r="2280">
      <c r="A2280" s="3">
        <f>IFERROR(__xludf.DUMMYFUNCTION("""COMPUTED_VALUE"""),42644.99861111111)</f>
        <v>42644.99861</v>
      </c>
      <c r="B2280" s="1">
        <f>IFERROR(__xludf.DUMMYFUNCTION("""COMPUTED_VALUE"""),13012.0)</f>
        <v>13012</v>
      </c>
    </row>
    <row r="2281">
      <c r="A2281" s="3">
        <f>IFERROR(__xludf.DUMMYFUNCTION("""COMPUTED_VALUE"""),42645.99861111111)</f>
        <v>42645.99861</v>
      </c>
      <c r="B2281" s="1">
        <f>IFERROR(__xludf.DUMMYFUNCTION("""COMPUTED_VALUE"""),12966.0)</f>
        <v>12966</v>
      </c>
    </row>
    <row r="2282">
      <c r="A2282" s="3">
        <f>IFERROR(__xludf.DUMMYFUNCTION("""COMPUTED_VALUE"""),42646.99861111111)</f>
        <v>42646.99861</v>
      </c>
      <c r="B2282" s="1">
        <f>IFERROR(__xludf.DUMMYFUNCTION("""COMPUTED_VALUE"""),12962.0)</f>
        <v>12962</v>
      </c>
    </row>
    <row r="2283">
      <c r="A2283" s="3">
        <f>IFERROR(__xludf.DUMMYFUNCTION("""COMPUTED_VALUE"""),42647.99861111111)</f>
        <v>42647.99861</v>
      </c>
      <c r="B2283" s="1">
        <f>IFERROR(__xludf.DUMMYFUNCTION("""COMPUTED_VALUE"""),13031.0)</f>
        <v>13031</v>
      </c>
    </row>
    <row r="2284">
      <c r="A2284" s="3">
        <f>IFERROR(__xludf.DUMMYFUNCTION("""COMPUTED_VALUE"""),42648.99861111111)</f>
        <v>42648.99861</v>
      </c>
      <c r="B2284" s="1">
        <f>IFERROR(__xludf.DUMMYFUNCTION("""COMPUTED_VALUE"""),13014.0)</f>
        <v>13014</v>
      </c>
    </row>
    <row r="2285">
      <c r="A2285" s="3">
        <f>IFERROR(__xludf.DUMMYFUNCTION("""COMPUTED_VALUE"""),42649.99861111111)</f>
        <v>42649.99861</v>
      </c>
      <c r="B2285" s="1">
        <f>IFERROR(__xludf.DUMMYFUNCTION("""COMPUTED_VALUE"""),13005.0)</f>
        <v>13005</v>
      </c>
    </row>
    <row r="2286">
      <c r="A2286" s="3">
        <f>IFERROR(__xludf.DUMMYFUNCTION("""COMPUTED_VALUE"""),42650.99861111111)</f>
        <v>42650.99861</v>
      </c>
      <c r="B2286" s="1">
        <f>IFERROR(__xludf.DUMMYFUNCTION("""COMPUTED_VALUE"""),12971.0)</f>
        <v>12971</v>
      </c>
    </row>
    <row r="2287">
      <c r="A2287" s="3">
        <f>IFERROR(__xludf.DUMMYFUNCTION("""COMPUTED_VALUE"""),42651.99861111111)</f>
        <v>42651.99861</v>
      </c>
      <c r="B2287" s="1">
        <f>IFERROR(__xludf.DUMMYFUNCTION("""COMPUTED_VALUE"""),12970.16)</f>
        <v>12970.16</v>
      </c>
    </row>
    <row r="2288">
      <c r="A2288" s="3">
        <f>IFERROR(__xludf.DUMMYFUNCTION("""COMPUTED_VALUE"""),42652.99861111111)</f>
        <v>42652.99861</v>
      </c>
      <c r="B2288" s="1">
        <f>IFERROR(__xludf.DUMMYFUNCTION("""COMPUTED_VALUE"""),12967.0)</f>
        <v>12967</v>
      </c>
    </row>
    <row r="2289">
      <c r="A2289" s="3">
        <f>IFERROR(__xludf.DUMMYFUNCTION("""COMPUTED_VALUE"""),42653.99861111111)</f>
        <v>42653.99861</v>
      </c>
      <c r="B2289" s="1">
        <f>IFERROR(__xludf.DUMMYFUNCTION("""COMPUTED_VALUE"""),12926.0)</f>
        <v>12926</v>
      </c>
    </row>
    <row r="2290">
      <c r="A2290" s="3">
        <f>IFERROR(__xludf.DUMMYFUNCTION("""COMPUTED_VALUE"""),42654.99861111111)</f>
        <v>42654.99861</v>
      </c>
      <c r="B2290" s="1">
        <f>IFERROR(__xludf.DUMMYFUNCTION("""COMPUTED_VALUE"""),13068.0)</f>
        <v>13068</v>
      </c>
    </row>
    <row r="2291">
      <c r="A2291" s="3">
        <f>IFERROR(__xludf.DUMMYFUNCTION("""COMPUTED_VALUE"""),42655.99861111111)</f>
        <v>42655.99861</v>
      </c>
      <c r="B2291" s="1">
        <f>IFERROR(__xludf.DUMMYFUNCTION("""COMPUTED_VALUE"""),13019.0)</f>
        <v>13019</v>
      </c>
    </row>
    <row r="2292">
      <c r="A2292" s="3">
        <f>IFERROR(__xludf.DUMMYFUNCTION("""COMPUTED_VALUE"""),42656.99861111111)</f>
        <v>42656.99861</v>
      </c>
      <c r="B2292" s="1">
        <f>IFERROR(__xludf.DUMMYFUNCTION("""COMPUTED_VALUE"""),13044.0)</f>
        <v>13044</v>
      </c>
    </row>
    <row r="2293">
      <c r="A2293" s="3">
        <f>IFERROR(__xludf.DUMMYFUNCTION("""COMPUTED_VALUE"""),42657.99861111111)</f>
        <v>42657.99861</v>
      </c>
      <c r="B2293" s="1">
        <f>IFERROR(__xludf.DUMMYFUNCTION("""COMPUTED_VALUE"""),13069.0)</f>
        <v>13069</v>
      </c>
    </row>
    <row r="2294">
      <c r="A2294" s="3">
        <f>IFERROR(__xludf.DUMMYFUNCTION("""COMPUTED_VALUE"""),42658.99861111111)</f>
        <v>42658.99861</v>
      </c>
      <c r="B2294" s="1">
        <f>IFERROR(__xludf.DUMMYFUNCTION("""COMPUTED_VALUE"""),13078.0)</f>
        <v>13078</v>
      </c>
    </row>
    <row r="2295">
      <c r="A2295" s="3">
        <f>IFERROR(__xludf.DUMMYFUNCTION("""COMPUTED_VALUE"""),42659.99861111111)</f>
        <v>42659.99861</v>
      </c>
      <c r="B2295" s="1">
        <f>IFERROR(__xludf.DUMMYFUNCTION("""COMPUTED_VALUE"""),13092.0)</f>
        <v>13092</v>
      </c>
    </row>
    <row r="2296">
      <c r="A2296" s="3">
        <f>IFERROR(__xludf.DUMMYFUNCTION("""COMPUTED_VALUE"""),42660.99861111111)</f>
        <v>42660.99861</v>
      </c>
      <c r="B2296" s="1">
        <f>IFERROR(__xludf.DUMMYFUNCTION("""COMPUTED_VALUE"""),13051.0)</f>
        <v>13051</v>
      </c>
    </row>
    <row r="2297">
      <c r="A2297" s="3">
        <f>IFERROR(__xludf.DUMMYFUNCTION("""COMPUTED_VALUE"""),42661.99861111111)</f>
        <v>42661.99861</v>
      </c>
      <c r="B2297" s="1">
        <f>IFERROR(__xludf.DUMMYFUNCTION("""COMPUTED_VALUE"""),13020.0)</f>
        <v>13020</v>
      </c>
    </row>
    <row r="2298">
      <c r="A2298" s="3">
        <f>IFERROR(__xludf.DUMMYFUNCTION("""COMPUTED_VALUE"""),42662.99861111111)</f>
        <v>42662.99861</v>
      </c>
      <c r="B2298" s="1">
        <f>IFERROR(__xludf.DUMMYFUNCTION("""COMPUTED_VALUE"""),12972.0)</f>
        <v>12972</v>
      </c>
    </row>
    <row r="2299">
      <c r="A2299" s="3">
        <f>IFERROR(__xludf.DUMMYFUNCTION("""COMPUTED_VALUE"""),42663.99861111111)</f>
        <v>42663.99861</v>
      </c>
      <c r="B2299" s="1">
        <f>IFERROR(__xludf.DUMMYFUNCTION("""COMPUTED_VALUE"""),13005.0)</f>
        <v>13005</v>
      </c>
    </row>
    <row r="2300">
      <c r="A2300" s="3">
        <f>IFERROR(__xludf.DUMMYFUNCTION("""COMPUTED_VALUE"""),42664.99861111111)</f>
        <v>42664.99861</v>
      </c>
      <c r="B2300" s="1">
        <f>IFERROR(__xludf.DUMMYFUNCTION("""COMPUTED_VALUE"""),13023.0)</f>
        <v>13023</v>
      </c>
    </row>
    <row r="2301">
      <c r="A2301" s="3">
        <f>IFERROR(__xludf.DUMMYFUNCTION("""COMPUTED_VALUE"""),42665.99861111111)</f>
        <v>42665.99861</v>
      </c>
      <c r="B2301" s="1">
        <f>IFERROR(__xludf.DUMMYFUNCTION("""COMPUTED_VALUE"""),13046.0)</f>
        <v>13046</v>
      </c>
    </row>
    <row r="2302">
      <c r="A2302" s="3">
        <f>IFERROR(__xludf.DUMMYFUNCTION("""COMPUTED_VALUE"""),42666.99861111111)</f>
        <v>42666.99861</v>
      </c>
      <c r="B2302" s="1">
        <f>IFERROR(__xludf.DUMMYFUNCTION("""COMPUTED_VALUE"""),13050.0)</f>
        <v>13050</v>
      </c>
    </row>
    <row r="2303">
      <c r="A2303" s="3">
        <f>IFERROR(__xludf.DUMMYFUNCTION("""COMPUTED_VALUE"""),42667.99861111111)</f>
        <v>42667.99861</v>
      </c>
      <c r="B2303" s="1">
        <f>IFERROR(__xludf.DUMMYFUNCTION("""COMPUTED_VALUE"""),13012.0)</f>
        <v>13012</v>
      </c>
    </row>
    <row r="2304">
      <c r="A2304" s="3">
        <f>IFERROR(__xludf.DUMMYFUNCTION("""COMPUTED_VALUE"""),42668.99861111111)</f>
        <v>42668.99861</v>
      </c>
      <c r="B2304" s="1">
        <f>IFERROR(__xludf.DUMMYFUNCTION("""COMPUTED_VALUE"""),12976.0)</f>
        <v>12976</v>
      </c>
    </row>
    <row r="2305">
      <c r="A2305" s="3">
        <f>IFERROR(__xludf.DUMMYFUNCTION("""COMPUTED_VALUE"""),42669.99861111111)</f>
        <v>42669.99861</v>
      </c>
      <c r="B2305" s="1">
        <f>IFERROR(__xludf.DUMMYFUNCTION("""COMPUTED_VALUE"""),13024.0)</f>
        <v>13024</v>
      </c>
    </row>
    <row r="2306">
      <c r="A2306" s="3">
        <f>IFERROR(__xludf.DUMMYFUNCTION("""COMPUTED_VALUE"""),42670.99861111111)</f>
        <v>42670.99861</v>
      </c>
      <c r="B2306" s="1">
        <f>IFERROR(__xludf.DUMMYFUNCTION("""COMPUTED_VALUE"""),13053.0)</f>
        <v>13053</v>
      </c>
    </row>
    <row r="2307">
      <c r="A2307" s="3">
        <f>IFERROR(__xludf.DUMMYFUNCTION("""COMPUTED_VALUE"""),42671.99861111111)</f>
        <v>42671.99861</v>
      </c>
      <c r="B2307" s="1">
        <f>IFERROR(__xludf.DUMMYFUNCTION("""COMPUTED_VALUE"""),13063.0)</f>
        <v>13063</v>
      </c>
    </row>
    <row r="2308">
      <c r="A2308" s="3">
        <f>IFERROR(__xludf.DUMMYFUNCTION("""COMPUTED_VALUE"""),42672.99861111111)</f>
        <v>42672.99861</v>
      </c>
      <c r="B2308" s="1">
        <f>IFERROR(__xludf.DUMMYFUNCTION("""COMPUTED_VALUE"""),13063.0)</f>
        <v>13063</v>
      </c>
    </row>
    <row r="2309">
      <c r="A2309" s="3">
        <f>IFERROR(__xludf.DUMMYFUNCTION("""COMPUTED_VALUE"""),42673.99861111111)</f>
        <v>42673.99861</v>
      </c>
      <c r="B2309" s="1">
        <f>IFERROR(__xludf.DUMMYFUNCTION("""COMPUTED_VALUE"""),13063.0)</f>
        <v>13063</v>
      </c>
    </row>
    <row r="2310">
      <c r="A2310" s="3">
        <f>IFERROR(__xludf.DUMMYFUNCTION("""COMPUTED_VALUE"""),42674.99861111111)</f>
        <v>42674.99861</v>
      </c>
      <c r="B2310" s="1">
        <f>IFERROR(__xludf.DUMMYFUNCTION("""COMPUTED_VALUE"""),13013.0)</f>
        <v>13013</v>
      </c>
    </row>
    <row r="2311">
      <c r="A2311" s="3">
        <f>IFERROR(__xludf.DUMMYFUNCTION("""COMPUTED_VALUE"""),42675.99861111111)</f>
        <v>42675.99861</v>
      </c>
      <c r="B2311" s="1">
        <f>IFERROR(__xludf.DUMMYFUNCTION("""COMPUTED_VALUE"""),13038.0)</f>
        <v>13038</v>
      </c>
    </row>
    <row r="2312">
      <c r="A2312" s="3">
        <f>IFERROR(__xludf.DUMMYFUNCTION("""COMPUTED_VALUE"""),42676.99861111111)</f>
        <v>42676.99861</v>
      </c>
      <c r="B2312" s="1">
        <f>IFERROR(__xludf.DUMMYFUNCTION("""COMPUTED_VALUE"""),13046.0)</f>
        <v>13046</v>
      </c>
    </row>
    <row r="2313">
      <c r="A2313" s="3">
        <f>IFERROR(__xludf.DUMMYFUNCTION("""COMPUTED_VALUE"""),42677.99861111111)</f>
        <v>42677.99861</v>
      </c>
      <c r="B2313" s="1">
        <f>IFERROR(__xludf.DUMMYFUNCTION("""COMPUTED_VALUE"""),13068.0)</f>
        <v>13068</v>
      </c>
    </row>
    <row r="2314">
      <c r="A2314" s="3">
        <f>IFERROR(__xludf.DUMMYFUNCTION("""COMPUTED_VALUE"""),42678.99861111111)</f>
        <v>42678.99861</v>
      </c>
      <c r="B2314" s="1">
        <f>IFERROR(__xludf.DUMMYFUNCTION("""COMPUTED_VALUE"""),13113.0)</f>
        <v>13113</v>
      </c>
    </row>
    <row r="2315">
      <c r="A2315" s="3">
        <f>IFERROR(__xludf.DUMMYFUNCTION("""COMPUTED_VALUE"""),42679.99861111111)</f>
        <v>42679.99861</v>
      </c>
      <c r="B2315" s="1">
        <f>IFERROR(__xludf.DUMMYFUNCTION("""COMPUTED_VALUE"""),13113.0)</f>
        <v>13113</v>
      </c>
    </row>
    <row r="2316">
      <c r="A2316" s="3">
        <f>IFERROR(__xludf.DUMMYFUNCTION("""COMPUTED_VALUE"""),42680.99861111111)</f>
        <v>42680.99861</v>
      </c>
      <c r="B2316" s="1">
        <f>IFERROR(__xludf.DUMMYFUNCTION("""COMPUTED_VALUE"""),13115.0)</f>
        <v>13115</v>
      </c>
    </row>
    <row r="2317">
      <c r="A2317" s="3">
        <f>IFERROR(__xludf.DUMMYFUNCTION("""COMPUTED_VALUE"""),42681.99861111111)</f>
        <v>42681.99861</v>
      </c>
      <c r="B2317" s="1">
        <f>IFERROR(__xludf.DUMMYFUNCTION("""COMPUTED_VALUE"""),13087.0)</f>
        <v>13087</v>
      </c>
    </row>
    <row r="2318">
      <c r="A2318" s="3">
        <f>IFERROR(__xludf.DUMMYFUNCTION("""COMPUTED_VALUE"""),42682.99861111111)</f>
        <v>42682.99861</v>
      </c>
      <c r="B2318" s="1">
        <f>IFERROR(__xludf.DUMMYFUNCTION("""COMPUTED_VALUE"""),13041.0)</f>
        <v>13041</v>
      </c>
    </row>
    <row r="2319">
      <c r="A2319" s="3">
        <f>IFERROR(__xludf.DUMMYFUNCTION("""COMPUTED_VALUE"""),42683.99861111111)</f>
        <v>42683.99861</v>
      </c>
      <c r="B2319" s="1">
        <f>IFERROR(__xludf.DUMMYFUNCTION("""COMPUTED_VALUE"""),13137.0)</f>
        <v>13137</v>
      </c>
    </row>
    <row r="2320">
      <c r="A2320" s="3">
        <f>IFERROR(__xludf.DUMMYFUNCTION("""COMPUTED_VALUE"""),42684.99861111111)</f>
        <v>42684.99861</v>
      </c>
      <c r="B2320" s="1">
        <f>IFERROR(__xludf.DUMMYFUNCTION("""COMPUTED_VALUE"""),13588.0)</f>
        <v>13588</v>
      </c>
    </row>
    <row r="2321">
      <c r="A2321" s="3">
        <f>IFERROR(__xludf.DUMMYFUNCTION("""COMPUTED_VALUE"""),42685.99861111111)</f>
        <v>42685.99861</v>
      </c>
      <c r="B2321" s="1">
        <f>IFERROR(__xludf.DUMMYFUNCTION("""COMPUTED_VALUE"""),13358.0)</f>
        <v>13358</v>
      </c>
    </row>
    <row r="2322">
      <c r="A2322" s="3">
        <f>IFERROR(__xludf.DUMMYFUNCTION("""COMPUTED_VALUE"""),42686.99861111111)</f>
        <v>42686.99861</v>
      </c>
      <c r="B2322" s="1">
        <f>IFERROR(__xludf.DUMMYFUNCTION("""COMPUTED_VALUE"""),13513.51)</f>
        <v>13513.51</v>
      </c>
    </row>
    <row r="2323">
      <c r="A2323" s="3">
        <f>IFERROR(__xludf.DUMMYFUNCTION("""COMPUTED_VALUE"""),42687.99861111111)</f>
        <v>42687.99861</v>
      </c>
      <c r="B2323" s="1">
        <f>IFERROR(__xludf.DUMMYFUNCTION("""COMPUTED_VALUE"""),13342.0)</f>
        <v>13342</v>
      </c>
    </row>
    <row r="2324">
      <c r="A2324" s="3">
        <f>IFERROR(__xludf.DUMMYFUNCTION("""COMPUTED_VALUE"""),42688.99861111111)</f>
        <v>42688.99861</v>
      </c>
      <c r="B2324" s="1">
        <f>IFERROR(__xludf.DUMMYFUNCTION("""COMPUTED_VALUE"""),13459.0)</f>
        <v>13459</v>
      </c>
    </row>
    <row r="2325">
      <c r="A2325" s="3">
        <f>IFERROR(__xludf.DUMMYFUNCTION("""COMPUTED_VALUE"""),42689.99861111111)</f>
        <v>42689.99861</v>
      </c>
      <c r="B2325" s="1">
        <f>IFERROR(__xludf.DUMMYFUNCTION("""COMPUTED_VALUE"""),13313.0)</f>
        <v>13313</v>
      </c>
    </row>
    <row r="2326">
      <c r="A2326" s="3">
        <f>IFERROR(__xludf.DUMMYFUNCTION("""COMPUTED_VALUE"""),42690.99861111111)</f>
        <v>42690.99861</v>
      </c>
      <c r="B2326" s="1">
        <f>IFERROR(__xludf.DUMMYFUNCTION("""COMPUTED_VALUE"""),13368.0)</f>
        <v>13368</v>
      </c>
    </row>
    <row r="2327">
      <c r="A2327" s="3">
        <f>IFERROR(__xludf.DUMMYFUNCTION("""COMPUTED_VALUE"""),42691.99861111111)</f>
        <v>42691.99861</v>
      </c>
      <c r="B2327" s="1">
        <f>IFERROR(__xludf.DUMMYFUNCTION("""COMPUTED_VALUE"""),13411.0)</f>
        <v>13411</v>
      </c>
    </row>
    <row r="2328">
      <c r="A2328" s="3">
        <f>IFERROR(__xludf.DUMMYFUNCTION("""COMPUTED_VALUE"""),42692.99861111111)</f>
        <v>42692.99861</v>
      </c>
      <c r="B2328" s="1">
        <f>IFERROR(__xludf.DUMMYFUNCTION("""COMPUTED_VALUE"""),13363.0)</f>
        <v>13363</v>
      </c>
    </row>
    <row r="2329">
      <c r="A2329" s="3">
        <f>IFERROR(__xludf.DUMMYFUNCTION("""COMPUTED_VALUE"""),42693.99861111111)</f>
        <v>42693.99861</v>
      </c>
      <c r="B2329" s="1">
        <f>IFERROR(__xludf.DUMMYFUNCTION("""COMPUTED_VALUE"""),13368.98)</f>
        <v>13368.98</v>
      </c>
    </row>
    <row r="2330">
      <c r="A2330" s="3">
        <f>IFERROR(__xludf.DUMMYFUNCTION("""COMPUTED_VALUE"""),42694.99861111111)</f>
        <v>42694.99861</v>
      </c>
      <c r="B2330" s="1">
        <f>IFERROR(__xludf.DUMMYFUNCTION("""COMPUTED_VALUE"""),13479.0)</f>
        <v>13479</v>
      </c>
    </row>
    <row r="2331">
      <c r="A2331" s="3">
        <f>IFERROR(__xludf.DUMMYFUNCTION("""COMPUTED_VALUE"""),42695.99861111111)</f>
        <v>42695.99861</v>
      </c>
      <c r="B2331" s="1">
        <f>IFERROR(__xludf.DUMMYFUNCTION("""COMPUTED_VALUE"""),13412.0)</f>
        <v>13412</v>
      </c>
    </row>
    <row r="2332">
      <c r="A2332" s="3">
        <f>IFERROR(__xludf.DUMMYFUNCTION("""COMPUTED_VALUE"""),42696.99861111111)</f>
        <v>42696.99861</v>
      </c>
      <c r="B2332" s="1">
        <f>IFERROR(__xludf.DUMMYFUNCTION("""COMPUTED_VALUE"""),13432.0)</f>
        <v>13432</v>
      </c>
    </row>
    <row r="2333">
      <c r="A2333" s="3">
        <f>IFERROR(__xludf.DUMMYFUNCTION("""COMPUTED_VALUE"""),42697.99861111111)</f>
        <v>42697.99861</v>
      </c>
      <c r="B2333" s="1">
        <f>IFERROR(__xludf.DUMMYFUNCTION("""COMPUTED_VALUE"""),13607.0)</f>
        <v>13607</v>
      </c>
    </row>
    <row r="2334">
      <c r="A2334" s="3">
        <f>IFERROR(__xludf.DUMMYFUNCTION("""COMPUTED_VALUE"""),42698.99861111111)</f>
        <v>42698.99861</v>
      </c>
      <c r="B2334" s="1">
        <f>IFERROR(__xludf.DUMMYFUNCTION("""COMPUTED_VALUE"""),13558.0)</f>
        <v>13558</v>
      </c>
    </row>
    <row r="2335">
      <c r="A2335" s="3">
        <f>IFERROR(__xludf.DUMMYFUNCTION("""COMPUTED_VALUE"""),42699.99861111111)</f>
        <v>42699.99861</v>
      </c>
      <c r="B2335" s="1">
        <f>IFERROR(__xludf.DUMMYFUNCTION("""COMPUTED_VALUE"""),13531.0)</f>
        <v>13531</v>
      </c>
    </row>
    <row r="2336">
      <c r="A2336" s="3">
        <f>IFERROR(__xludf.DUMMYFUNCTION("""COMPUTED_VALUE"""),42700.99861111111)</f>
        <v>42700.99861</v>
      </c>
      <c r="B2336" s="1">
        <f>IFERROR(__xludf.DUMMYFUNCTION("""COMPUTED_VALUE"""),13531.79)</f>
        <v>13531.79</v>
      </c>
    </row>
    <row r="2337">
      <c r="A2337" s="3">
        <f>IFERROR(__xludf.DUMMYFUNCTION("""COMPUTED_VALUE"""),42701.99861111111)</f>
        <v>42701.99861</v>
      </c>
      <c r="B2337" s="1">
        <f>IFERROR(__xludf.DUMMYFUNCTION("""COMPUTED_VALUE"""),13480.0)</f>
        <v>13480</v>
      </c>
    </row>
    <row r="2338">
      <c r="A2338" s="3">
        <f>IFERROR(__xludf.DUMMYFUNCTION("""COMPUTED_VALUE"""),42702.99861111111)</f>
        <v>42702.99861</v>
      </c>
      <c r="B2338" s="1">
        <f>IFERROR(__xludf.DUMMYFUNCTION("""COMPUTED_VALUE"""),13479.0)</f>
        <v>13479</v>
      </c>
    </row>
    <row r="2339">
      <c r="A2339" s="3">
        <f>IFERROR(__xludf.DUMMYFUNCTION("""COMPUTED_VALUE"""),42703.99861111111)</f>
        <v>42703.99861</v>
      </c>
      <c r="B2339" s="1">
        <f>IFERROR(__xludf.DUMMYFUNCTION("""COMPUTED_VALUE"""),13502.0)</f>
        <v>13502</v>
      </c>
    </row>
    <row r="2340">
      <c r="A2340" s="3">
        <f>IFERROR(__xludf.DUMMYFUNCTION("""COMPUTED_VALUE"""),42704.99861111111)</f>
        <v>42704.99861</v>
      </c>
      <c r="B2340" s="1">
        <f>IFERROR(__xludf.DUMMYFUNCTION("""COMPUTED_VALUE"""),13572.0)</f>
        <v>13572</v>
      </c>
    </row>
    <row r="2341">
      <c r="A2341" s="3">
        <f>IFERROR(__xludf.DUMMYFUNCTION("""COMPUTED_VALUE"""),42705.99861111111)</f>
        <v>42705.99861</v>
      </c>
      <c r="B2341" s="1">
        <f>IFERROR(__xludf.DUMMYFUNCTION("""COMPUTED_VALUE"""),13518.0)</f>
        <v>13518</v>
      </c>
    </row>
    <row r="2342">
      <c r="A2342" s="3">
        <f>IFERROR(__xludf.DUMMYFUNCTION("""COMPUTED_VALUE"""),42706.99861111111)</f>
        <v>42706.99861</v>
      </c>
      <c r="B2342" s="1">
        <f>IFERROR(__xludf.DUMMYFUNCTION("""COMPUTED_VALUE"""),13460.0)</f>
        <v>13460</v>
      </c>
    </row>
    <row r="2343">
      <c r="A2343" s="3">
        <f>IFERROR(__xludf.DUMMYFUNCTION("""COMPUTED_VALUE"""),42707.99861111111)</f>
        <v>42707.99861</v>
      </c>
      <c r="B2343" s="1">
        <f>IFERROR(__xludf.DUMMYFUNCTION("""COMPUTED_VALUE"""),13477.08)</f>
        <v>13477.08</v>
      </c>
    </row>
    <row r="2344">
      <c r="A2344" s="3">
        <f>IFERROR(__xludf.DUMMYFUNCTION("""COMPUTED_VALUE"""),42708.99861111111)</f>
        <v>42708.99861</v>
      </c>
      <c r="B2344" s="1">
        <f>IFERROR(__xludf.DUMMYFUNCTION("""COMPUTED_VALUE"""),13640.0)</f>
        <v>13640</v>
      </c>
    </row>
    <row r="2345">
      <c r="A2345" s="3">
        <f>IFERROR(__xludf.DUMMYFUNCTION("""COMPUTED_VALUE"""),42709.99861111111)</f>
        <v>42709.99861</v>
      </c>
      <c r="B2345" s="1">
        <f>IFERROR(__xludf.DUMMYFUNCTION("""COMPUTED_VALUE"""),13436.0)</f>
        <v>13436</v>
      </c>
    </row>
    <row r="2346">
      <c r="A2346" s="3">
        <f>IFERROR(__xludf.DUMMYFUNCTION("""COMPUTED_VALUE"""),42710.99861111111)</f>
        <v>42710.99861</v>
      </c>
      <c r="B2346" s="1">
        <f>IFERROR(__xludf.DUMMYFUNCTION("""COMPUTED_VALUE"""),13296.0)</f>
        <v>13296</v>
      </c>
    </row>
    <row r="2347">
      <c r="A2347" s="3">
        <f>IFERROR(__xludf.DUMMYFUNCTION("""COMPUTED_VALUE"""),42711.99861111111)</f>
        <v>42711.99861</v>
      </c>
      <c r="B2347" s="1">
        <f>IFERROR(__xludf.DUMMYFUNCTION("""COMPUTED_VALUE"""),13277.0)</f>
        <v>13277</v>
      </c>
    </row>
    <row r="2348">
      <c r="A2348" s="3">
        <f>IFERROR(__xludf.DUMMYFUNCTION("""COMPUTED_VALUE"""),42712.99861111111)</f>
        <v>42712.99861</v>
      </c>
      <c r="B2348" s="1">
        <f>IFERROR(__xludf.DUMMYFUNCTION("""COMPUTED_VALUE"""),13306.0)</f>
        <v>13306</v>
      </c>
    </row>
    <row r="2349">
      <c r="A2349" s="3">
        <f>IFERROR(__xludf.DUMMYFUNCTION("""COMPUTED_VALUE"""),42713.99861111111)</f>
        <v>42713.99861</v>
      </c>
      <c r="B2349" s="1">
        <f>IFERROR(__xludf.DUMMYFUNCTION("""COMPUTED_VALUE"""),13345.0)</f>
        <v>13345</v>
      </c>
    </row>
    <row r="2350">
      <c r="A2350" s="3">
        <f>IFERROR(__xludf.DUMMYFUNCTION("""COMPUTED_VALUE"""),42714.99861111111)</f>
        <v>42714.99861</v>
      </c>
      <c r="B2350" s="1">
        <f>IFERROR(__xludf.DUMMYFUNCTION("""COMPUTED_VALUE"""),13351.13)</f>
        <v>13351.13</v>
      </c>
    </row>
    <row r="2351">
      <c r="A2351" s="3">
        <f>IFERROR(__xludf.DUMMYFUNCTION("""COMPUTED_VALUE"""),42715.99861111111)</f>
        <v>42715.99861</v>
      </c>
      <c r="B2351" s="1">
        <f>IFERROR(__xludf.DUMMYFUNCTION("""COMPUTED_VALUE"""),13357.0)</f>
        <v>13357</v>
      </c>
    </row>
    <row r="2352">
      <c r="A2352" s="3">
        <f>IFERROR(__xludf.DUMMYFUNCTION("""COMPUTED_VALUE"""),42716.99861111111)</f>
        <v>42716.99861</v>
      </c>
      <c r="B2352" s="1">
        <f>IFERROR(__xludf.DUMMYFUNCTION("""COMPUTED_VALUE"""),13278.0)</f>
        <v>13278</v>
      </c>
    </row>
    <row r="2353">
      <c r="A2353" s="3">
        <f>IFERROR(__xludf.DUMMYFUNCTION("""COMPUTED_VALUE"""),42717.99861111111)</f>
        <v>42717.99861</v>
      </c>
      <c r="B2353" s="1">
        <f>IFERROR(__xludf.DUMMYFUNCTION("""COMPUTED_VALUE"""),13280.0)</f>
        <v>13280</v>
      </c>
    </row>
    <row r="2354">
      <c r="A2354" s="3">
        <f>IFERROR(__xludf.DUMMYFUNCTION("""COMPUTED_VALUE"""),42718.99861111111)</f>
        <v>42718.99861</v>
      </c>
      <c r="B2354" s="1">
        <f>IFERROR(__xludf.DUMMYFUNCTION("""COMPUTED_VALUE"""),13418.0)</f>
        <v>13418</v>
      </c>
    </row>
    <row r="2355">
      <c r="A2355" s="3">
        <f>IFERROR(__xludf.DUMMYFUNCTION("""COMPUTED_VALUE"""),42719.99861111111)</f>
        <v>42719.99861</v>
      </c>
      <c r="B2355" s="1">
        <f>IFERROR(__xludf.DUMMYFUNCTION("""COMPUTED_VALUE"""),13411.0)</f>
        <v>13411</v>
      </c>
    </row>
    <row r="2356">
      <c r="A2356" s="3">
        <f>IFERROR(__xludf.DUMMYFUNCTION("""COMPUTED_VALUE"""),42720.99861111111)</f>
        <v>42720.99861</v>
      </c>
      <c r="B2356" s="1">
        <f>IFERROR(__xludf.DUMMYFUNCTION("""COMPUTED_VALUE"""),13409.0)</f>
        <v>13409</v>
      </c>
    </row>
    <row r="2357">
      <c r="A2357" s="3">
        <f>IFERROR(__xludf.DUMMYFUNCTION("""COMPUTED_VALUE"""),42721.99861111111)</f>
        <v>42721.99861</v>
      </c>
      <c r="B2357" s="1">
        <f>IFERROR(__xludf.DUMMYFUNCTION("""COMPUTED_VALUE"""),13409.0)</f>
        <v>13409</v>
      </c>
    </row>
    <row r="2358">
      <c r="A2358" s="3">
        <f>IFERROR(__xludf.DUMMYFUNCTION("""COMPUTED_VALUE"""),42722.99861111111)</f>
        <v>42722.99861</v>
      </c>
      <c r="B2358" s="1">
        <f>IFERROR(__xludf.DUMMYFUNCTION("""COMPUTED_VALUE"""),13383.0)</f>
        <v>13383</v>
      </c>
    </row>
    <row r="2359">
      <c r="A2359" s="3">
        <f>IFERROR(__xludf.DUMMYFUNCTION("""COMPUTED_VALUE"""),42723.99861111111)</f>
        <v>42723.99861</v>
      </c>
      <c r="B2359" s="1">
        <f>IFERROR(__xludf.DUMMYFUNCTION("""COMPUTED_VALUE"""),13370.0)</f>
        <v>13370</v>
      </c>
    </row>
    <row r="2360">
      <c r="A2360" s="3">
        <f>IFERROR(__xludf.DUMMYFUNCTION("""COMPUTED_VALUE"""),42724.99861111111)</f>
        <v>42724.99861</v>
      </c>
      <c r="B2360" s="1">
        <f>IFERROR(__xludf.DUMMYFUNCTION("""COMPUTED_VALUE"""),13421.0)</f>
        <v>13421</v>
      </c>
    </row>
    <row r="2361">
      <c r="A2361" s="3">
        <f>IFERROR(__xludf.DUMMYFUNCTION("""COMPUTED_VALUE"""),42725.99861111111)</f>
        <v>42725.99861</v>
      </c>
      <c r="B2361" s="1">
        <f>IFERROR(__xludf.DUMMYFUNCTION("""COMPUTED_VALUE"""),13439.0)</f>
        <v>13439</v>
      </c>
    </row>
    <row r="2362">
      <c r="A2362" s="3">
        <f>IFERROR(__xludf.DUMMYFUNCTION("""COMPUTED_VALUE"""),42726.99861111111)</f>
        <v>42726.99861</v>
      </c>
      <c r="B2362" s="1">
        <f>IFERROR(__xludf.DUMMYFUNCTION("""COMPUTED_VALUE"""),13449.0)</f>
        <v>13449</v>
      </c>
    </row>
    <row r="2363">
      <c r="A2363" s="3">
        <f>IFERROR(__xludf.DUMMYFUNCTION("""COMPUTED_VALUE"""),42727.99861111111)</f>
        <v>42727.99861</v>
      </c>
      <c r="B2363" s="1">
        <f>IFERROR(__xludf.DUMMYFUNCTION("""COMPUTED_VALUE"""),13433.0)</f>
        <v>13433</v>
      </c>
    </row>
    <row r="2364">
      <c r="A2364" s="3">
        <f>IFERROR(__xludf.DUMMYFUNCTION("""COMPUTED_VALUE"""),42728.99861111111)</f>
        <v>42728.99861</v>
      </c>
      <c r="B2364" s="1">
        <f>IFERROR(__xludf.DUMMYFUNCTION("""COMPUTED_VALUE"""),13433.0)</f>
        <v>13433</v>
      </c>
    </row>
    <row r="2365">
      <c r="A2365" s="3">
        <f>IFERROR(__xludf.DUMMYFUNCTION("""COMPUTED_VALUE"""),42729.99861111111)</f>
        <v>42729.99861</v>
      </c>
      <c r="B2365" s="1">
        <f>IFERROR(__xludf.DUMMYFUNCTION("""COMPUTED_VALUE"""),13442.0)</f>
        <v>13442</v>
      </c>
    </row>
    <row r="2366">
      <c r="A2366" s="3">
        <f>IFERROR(__xludf.DUMMYFUNCTION("""COMPUTED_VALUE"""),42730.99861111111)</f>
        <v>42730.99861</v>
      </c>
      <c r="B2366" s="1">
        <f>IFERROR(__xludf.DUMMYFUNCTION("""COMPUTED_VALUE"""),13442.0)</f>
        <v>13442</v>
      </c>
    </row>
    <row r="2367">
      <c r="A2367" s="3">
        <f>IFERROR(__xludf.DUMMYFUNCTION("""COMPUTED_VALUE"""),42731.99861111111)</f>
        <v>42731.99861</v>
      </c>
      <c r="B2367" s="1">
        <f>IFERROR(__xludf.DUMMYFUNCTION("""COMPUTED_VALUE"""),13429.0)</f>
        <v>13429</v>
      </c>
    </row>
    <row r="2368">
      <c r="A2368" s="3">
        <f>IFERROR(__xludf.DUMMYFUNCTION("""COMPUTED_VALUE"""),42732.99861111111)</f>
        <v>42732.99861</v>
      </c>
      <c r="B2368" s="1">
        <f>IFERROR(__xludf.DUMMYFUNCTION("""COMPUTED_VALUE"""),13490.0)</f>
        <v>13490</v>
      </c>
    </row>
    <row r="2369">
      <c r="A2369" s="3">
        <f>IFERROR(__xludf.DUMMYFUNCTION("""COMPUTED_VALUE"""),42733.99861111111)</f>
        <v>42733.99861</v>
      </c>
      <c r="B2369" s="1">
        <f>IFERROR(__xludf.DUMMYFUNCTION("""COMPUTED_VALUE"""),13466.0)</f>
        <v>13466</v>
      </c>
    </row>
    <row r="2370">
      <c r="A2370" s="3">
        <f>IFERROR(__xludf.DUMMYFUNCTION("""COMPUTED_VALUE"""),42734.99861111111)</f>
        <v>42734.99861</v>
      </c>
      <c r="B2370" s="1">
        <f>IFERROR(__xludf.DUMMYFUNCTION("""COMPUTED_VALUE"""),13518.0)</f>
        <v>13518</v>
      </c>
    </row>
    <row r="2371">
      <c r="A2371" s="3">
        <f>IFERROR(__xludf.DUMMYFUNCTION("""COMPUTED_VALUE"""),42735.99861111111)</f>
        <v>42735.99861</v>
      </c>
      <c r="B2371" s="1">
        <f>IFERROR(__xludf.DUMMYFUNCTION("""COMPUTED_VALUE"""),13518.0)</f>
        <v>13518</v>
      </c>
    </row>
    <row r="2372">
      <c r="A2372" s="3">
        <f>IFERROR(__xludf.DUMMYFUNCTION("""COMPUTED_VALUE"""),42736.99861111111)</f>
        <v>42736.99861</v>
      </c>
      <c r="B2372" s="1">
        <f>IFERROR(__xludf.DUMMYFUNCTION("""COMPUTED_VALUE"""),13512.0)</f>
        <v>13512</v>
      </c>
    </row>
    <row r="2373">
      <c r="A2373" s="3">
        <f>IFERROR(__xludf.DUMMYFUNCTION("""COMPUTED_VALUE"""),42737.99861111111)</f>
        <v>42737.99861</v>
      </c>
      <c r="B2373" s="1">
        <f>IFERROR(__xludf.DUMMYFUNCTION("""COMPUTED_VALUE"""),13506.0)</f>
        <v>13506</v>
      </c>
    </row>
    <row r="2374">
      <c r="A2374" s="3">
        <f>IFERROR(__xludf.DUMMYFUNCTION("""COMPUTED_VALUE"""),42738.99861111111)</f>
        <v>42738.99861</v>
      </c>
      <c r="B2374" s="1">
        <f>IFERROR(__xludf.DUMMYFUNCTION("""COMPUTED_VALUE"""),13443.0)</f>
        <v>13443</v>
      </c>
    </row>
    <row r="2375">
      <c r="A2375" s="3">
        <f>IFERROR(__xludf.DUMMYFUNCTION("""COMPUTED_VALUE"""),42739.99861111111)</f>
        <v>42739.99861</v>
      </c>
      <c r="B2375" s="1">
        <f>IFERROR(__xludf.DUMMYFUNCTION("""COMPUTED_VALUE"""),13348.0)</f>
        <v>13348</v>
      </c>
    </row>
    <row r="2376">
      <c r="A2376" s="3">
        <f>IFERROR(__xludf.DUMMYFUNCTION("""COMPUTED_VALUE"""),42740.99861111111)</f>
        <v>42740.99861</v>
      </c>
      <c r="B2376" s="1">
        <f>IFERROR(__xludf.DUMMYFUNCTION("""COMPUTED_VALUE"""),13319.0)</f>
        <v>13319</v>
      </c>
    </row>
    <row r="2377">
      <c r="A2377" s="3">
        <f>IFERROR(__xludf.DUMMYFUNCTION("""COMPUTED_VALUE"""),42741.99861111111)</f>
        <v>42741.99861</v>
      </c>
      <c r="B2377" s="1">
        <f>IFERROR(__xludf.DUMMYFUNCTION("""COMPUTED_VALUE"""),13342.0)</f>
        <v>13342</v>
      </c>
    </row>
    <row r="2378">
      <c r="A2378" s="3">
        <f>IFERROR(__xludf.DUMMYFUNCTION("""COMPUTED_VALUE"""),42742.99861111111)</f>
        <v>42742.99861</v>
      </c>
      <c r="B2378" s="1">
        <f>IFERROR(__xludf.DUMMYFUNCTION("""COMPUTED_VALUE"""),13342.0)</f>
        <v>13342</v>
      </c>
    </row>
    <row r="2379">
      <c r="A2379" s="3">
        <f>IFERROR(__xludf.DUMMYFUNCTION("""COMPUTED_VALUE"""),42743.99861111111)</f>
        <v>42743.99861</v>
      </c>
      <c r="B2379" s="1">
        <f>IFERROR(__xludf.DUMMYFUNCTION("""COMPUTED_VALUE"""),13351.0)</f>
        <v>13351</v>
      </c>
    </row>
    <row r="2380">
      <c r="A2380" s="3">
        <f>IFERROR(__xludf.DUMMYFUNCTION("""COMPUTED_VALUE"""),42744.99861111111)</f>
        <v>42744.99861</v>
      </c>
      <c r="B2380" s="1">
        <f>IFERROR(__xludf.DUMMYFUNCTION("""COMPUTED_VALUE"""),13314.0)</f>
        <v>13314</v>
      </c>
    </row>
    <row r="2381">
      <c r="A2381" s="3">
        <f>IFERROR(__xludf.DUMMYFUNCTION("""COMPUTED_VALUE"""),42745.99861111111)</f>
        <v>42745.99861</v>
      </c>
      <c r="B2381" s="1">
        <f>IFERROR(__xludf.DUMMYFUNCTION("""COMPUTED_VALUE"""),13291.0)</f>
        <v>13291</v>
      </c>
    </row>
    <row r="2382">
      <c r="A2382" s="3">
        <f>IFERROR(__xludf.DUMMYFUNCTION("""COMPUTED_VALUE"""),42746.99861111111)</f>
        <v>42746.99861</v>
      </c>
      <c r="B2382" s="1">
        <f>IFERROR(__xludf.DUMMYFUNCTION("""COMPUTED_VALUE"""),13241.0)</f>
        <v>13241</v>
      </c>
    </row>
    <row r="2383">
      <c r="A2383" s="3">
        <f>IFERROR(__xludf.DUMMYFUNCTION("""COMPUTED_VALUE"""),42747.99861111111)</f>
        <v>42747.99861</v>
      </c>
      <c r="B2383" s="1">
        <f>IFERROR(__xludf.DUMMYFUNCTION("""COMPUTED_VALUE"""),13258.0)</f>
        <v>13258</v>
      </c>
    </row>
    <row r="2384">
      <c r="A2384" s="3">
        <f>IFERROR(__xludf.DUMMYFUNCTION("""COMPUTED_VALUE"""),42748.99861111111)</f>
        <v>42748.99861</v>
      </c>
      <c r="B2384" s="1">
        <f>IFERROR(__xludf.DUMMYFUNCTION("""COMPUTED_VALUE"""),13313.0)</f>
        <v>13313</v>
      </c>
    </row>
    <row r="2385">
      <c r="A2385" s="3">
        <f>IFERROR(__xludf.DUMMYFUNCTION("""COMPUTED_VALUE"""),42749.99861111111)</f>
        <v>42749.99861</v>
      </c>
      <c r="B2385" s="1">
        <f>IFERROR(__xludf.DUMMYFUNCTION("""COMPUTED_VALUE"""),13313.0)</f>
        <v>13313</v>
      </c>
    </row>
    <row r="2386">
      <c r="A2386" s="3">
        <f>IFERROR(__xludf.DUMMYFUNCTION("""COMPUTED_VALUE"""),42750.99861111111)</f>
        <v>42750.99861</v>
      </c>
      <c r="B2386" s="1">
        <f>IFERROR(__xludf.DUMMYFUNCTION("""COMPUTED_VALUE"""),13313.0)</f>
        <v>13313</v>
      </c>
    </row>
    <row r="2387">
      <c r="A2387" s="3">
        <f>IFERROR(__xludf.DUMMYFUNCTION("""COMPUTED_VALUE"""),42751.99861111111)</f>
        <v>42751.99861</v>
      </c>
      <c r="B2387" s="1">
        <f>IFERROR(__xludf.DUMMYFUNCTION("""COMPUTED_VALUE"""),13349.0)</f>
        <v>13349</v>
      </c>
    </row>
    <row r="2388">
      <c r="A2388" s="3">
        <f>IFERROR(__xludf.DUMMYFUNCTION("""COMPUTED_VALUE"""),42752.99861111111)</f>
        <v>42752.99861</v>
      </c>
      <c r="B2388" s="1">
        <f>IFERROR(__xludf.DUMMYFUNCTION("""COMPUTED_VALUE"""),13296.0)</f>
        <v>13296</v>
      </c>
    </row>
    <row r="2389">
      <c r="A2389" s="3">
        <f>IFERROR(__xludf.DUMMYFUNCTION("""COMPUTED_VALUE"""),42753.99861111111)</f>
        <v>42753.99861</v>
      </c>
      <c r="B2389" s="1">
        <f>IFERROR(__xludf.DUMMYFUNCTION("""COMPUTED_VALUE"""),13370.0)</f>
        <v>13370</v>
      </c>
    </row>
    <row r="2390">
      <c r="A2390" s="3">
        <f>IFERROR(__xludf.DUMMYFUNCTION("""COMPUTED_VALUE"""),42754.99861111111)</f>
        <v>42754.99861</v>
      </c>
      <c r="B2390" s="1">
        <f>IFERROR(__xludf.DUMMYFUNCTION("""COMPUTED_VALUE"""),13378.0)</f>
        <v>13378</v>
      </c>
    </row>
    <row r="2391">
      <c r="A2391" s="3">
        <f>IFERROR(__xludf.DUMMYFUNCTION("""COMPUTED_VALUE"""),42755.99861111111)</f>
        <v>42755.99861</v>
      </c>
      <c r="B2391" s="1">
        <f>IFERROR(__xludf.DUMMYFUNCTION("""COMPUTED_VALUE"""),13393.0)</f>
        <v>13393</v>
      </c>
    </row>
    <row r="2392">
      <c r="A2392" s="3">
        <f>IFERROR(__xludf.DUMMYFUNCTION("""COMPUTED_VALUE"""),42756.99861111111)</f>
        <v>42756.99861</v>
      </c>
      <c r="B2392" s="1">
        <f>IFERROR(__xludf.DUMMYFUNCTION("""COMPUTED_VALUE"""),13393.0)</f>
        <v>13393</v>
      </c>
    </row>
    <row r="2393">
      <c r="A2393" s="3">
        <f>IFERROR(__xludf.DUMMYFUNCTION("""COMPUTED_VALUE"""),42757.99861111111)</f>
        <v>42757.99861</v>
      </c>
      <c r="B2393" s="1">
        <f>IFERROR(__xludf.DUMMYFUNCTION("""COMPUTED_VALUE"""),13406.0)</f>
        <v>13406</v>
      </c>
    </row>
    <row r="2394">
      <c r="A2394" s="3">
        <f>IFERROR(__xludf.DUMMYFUNCTION("""COMPUTED_VALUE"""),42758.99861111111)</f>
        <v>42758.99861</v>
      </c>
      <c r="B2394" s="1">
        <f>IFERROR(__xludf.DUMMYFUNCTION("""COMPUTED_VALUE"""),13345.0)</f>
        <v>13345</v>
      </c>
    </row>
    <row r="2395">
      <c r="A2395" s="3">
        <f>IFERROR(__xludf.DUMMYFUNCTION("""COMPUTED_VALUE"""),42759.99861111111)</f>
        <v>42759.99861</v>
      </c>
      <c r="B2395" s="1">
        <f>IFERROR(__xludf.DUMMYFUNCTION("""COMPUTED_VALUE"""),13342.0)</f>
        <v>13342</v>
      </c>
    </row>
    <row r="2396">
      <c r="A2396" s="3">
        <f>IFERROR(__xludf.DUMMYFUNCTION("""COMPUTED_VALUE"""),42760.99861111111)</f>
        <v>42760.99861</v>
      </c>
      <c r="B2396" s="1">
        <f>IFERROR(__xludf.DUMMYFUNCTION("""COMPUTED_VALUE"""),13316.0)</f>
        <v>13316</v>
      </c>
    </row>
    <row r="2397">
      <c r="A2397" s="3">
        <f>IFERROR(__xludf.DUMMYFUNCTION("""COMPUTED_VALUE"""),42761.99861111111)</f>
        <v>42761.99861</v>
      </c>
      <c r="B2397" s="1">
        <f>IFERROR(__xludf.DUMMYFUNCTION("""COMPUTED_VALUE"""),13387.0)</f>
        <v>13387</v>
      </c>
    </row>
    <row r="2398">
      <c r="A2398" s="3">
        <f>IFERROR(__xludf.DUMMYFUNCTION("""COMPUTED_VALUE"""),42762.99861111111)</f>
        <v>42762.99861</v>
      </c>
      <c r="B2398" s="1">
        <f>IFERROR(__xludf.DUMMYFUNCTION("""COMPUTED_VALUE"""),13357.0)</f>
        <v>13357</v>
      </c>
    </row>
    <row r="2399">
      <c r="A2399" s="3">
        <f>IFERROR(__xludf.DUMMYFUNCTION("""COMPUTED_VALUE"""),42763.99861111111)</f>
        <v>42763.99861</v>
      </c>
      <c r="B2399" s="1">
        <f>IFERROR(__xludf.DUMMYFUNCTION("""COMPUTED_VALUE"""),13368.98)</f>
        <v>13368.98</v>
      </c>
    </row>
    <row r="2400">
      <c r="A2400" s="3">
        <f>IFERROR(__xludf.DUMMYFUNCTION("""COMPUTED_VALUE"""),42764.99861111111)</f>
        <v>42764.99861</v>
      </c>
      <c r="B2400" s="1">
        <f>IFERROR(__xludf.DUMMYFUNCTION("""COMPUTED_VALUE"""),13326.0)</f>
        <v>13326</v>
      </c>
    </row>
    <row r="2401">
      <c r="A2401" s="3">
        <f>IFERROR(__xludf.DUMMYFUNCTION("""COMPUTED_VALUE"""),42765.99861111111)</f>
        <v>42765.99861</v>
      </c>
      <c r="B2401" s="1">
        <f>IFERROR(__xludf.DUMMYFUNCTION("""COMPUTED_VALUE"""),13338.0)</f>
        <v>13338</v>
      </c>
    </row>
    <row r="2402">
      <c r="A2402" s="3">
        <f>IFERROR(__xludf.DUMMYFUNCTION("""COMPUTED_VALUE"""),42766.99861111111)</f>
        <v>42766.99861</v>
      </c>
      <c r="B2402" s="1">
        <f>IFERROR(__xludf.DUMMYFUNCTION("""COMPUTED_VALUE"""),13345.0)</f>
        <v>13345</v>
      </c>
    </row>
    <row r="2403">
      <c r="A2403" s="3">
        <f>IFERROR(__xludf.DUMMYFUNCTION("""COMPUTED_VALUE"""),42767.99861111111)</f>
        <v>42767.99861</v>
      </c>
      <c r="B2403" s="1">
        <f>IFERROR(__xludf.DUMMYFUNCTION("""COMPUTED_VALUE"""),13360.0)</f>
        <v>13360</v>
      </c>
    </row>
    <row r="2404">
      <c r="A2404" s="3">
        <f>IFERROR(__xludf.DUMMYFUNCTION("""COMPUTED_VALUE"""),42768.99861111111)</f>
        <v>42768.99861</v>
      </c>
      <c r="B2404" s="1">
        <f>IFERROR(__xludf.DUMMYFUNCTION("""COMPUTED_VALUE"""),13346.0)</f>
        <v>13346</v>
      </c>
    </row>
    <row r="2405">
      <c r="A2405" s="3">
        <f>IFERROR(__xludf.DUMMYFUNCTION("""COMPUTED_VALUE"""),42769.99861111111)</f>
        <v>42769.99861</v>
      </c>
      <c r="B2405" s="1">
        <f>IFERROR(__xludf.DUMMYFUNCTION("""COMPUTED_VALUE"""),13318.0)</f>
        <v>13318</v>
      </c>
    </row>
    <row r="2406">
      <c r="A2406" s="3">
        <f>IFERROR(__xludf.DUMMYFUNCTION("""COMPUTED_VALUE"""),42770.99861111111)</f>
        <v>42770.99861</v>
      </c>
      <c r="B2406" s="1">
        <f>IFERROR(__xludf.DUMMYFUNCTION("""COMPUTED_VALUE"""),13333.33)</f>
        <v>13333.33</v>
      </c>
    </row>
    <row r="2407">
      <c r="A2407" s="3">
        <f>IFERROR(__xludf.DUMMYFUNCTION("""COMPUTED_VALUE"""),42771.99861111111)</f>
        <v>42771.99861</v>
      </c>
      <c r="B2407" s="1">
        <f>IFERROR(__xludf.DUMMYFUNCTION("""COMPUTED_VALUE"""),13338.0)</f>
        <v>13338</v>
      </c>
    </row>
    <row r="2408">
      <c r="A2408" s="3">
        <f>IFERROR(__xludf.DUMMYFUNCTION("""COMPUTED_VALUE"""),42772.99861111111)</f>
        <v>42772.99861</v>
      </c>
      <c r="B2408" s="1">
        <f>IFERROR(__xludf.DUMMYFUNCTION("""COMPUTED_VALUE"""),13326.0)</f>
        <v>13326</v>
      </c>
    </row>
    <row r="2409">
      <c r="A2409" s="3">
        <f>IFERROR(__xludf.DUMMYFUNCTION("""COMPUTED_VALUE"""),42773.99861111111)</f>
        <v>42773.99861</v>
      </c>
      <c r="B2409" s="1">
        <f>IFERROR(__xludf.DUMMYFUNCTION("""COMPUTED_VALUE"""),13310.0)</f>
        <v>13310</v>
      </c>
    </row>
    <row r="2410">
      <c r="A2410" s="3">
        <f>IFERROR(__xludf.DUMMYFUNCTION("""COMPUTED_VALUE"""),42774.99861111111)</f>
        <v>42774.99861</v>
      </c>
      <c r="B2410" s="1">
        <f>IFERROR(__xludf.DUMMYFUNCTION("""COMPUTED_VALUE"""),13302.0)</f>
        <v>13302</v>
      </c>
    </row>
    <row r="2411">
      <c r="A2411" s="3">
        <f>IFERROR(__xludf.DUMMYFUNCTION("""COMPUTED_VALUE"""),42775.99861111111)</f>
        <v>42775.99861</v>
      </c>
      <c r="B2411" s="1">
        <f>IFERROR(__xludf.DUMMYFUNCTION("""COMPUTED_VALUE"""),13288.0)</f>
        <v>13288</v>
      </c>
    </row>
    <row r="2412">
      <c r="A2412" s="3">
        <f>IFERROR(__xludf.DUMMYFUNCTION("""COMPUTED_VALUE"""),42776.99861111111)</f>
        <v>42776.99861</v>
      </c>
      <c r="B2412" s="1">
        <f>IFERROR(__xludf.DUMMYFUNCTION("""COMPUTED_VALUE"""),13313.0)</f>
        <v>13313</v>
      </c>
    </row>
    <row r="2413">
      <c r="A2413" s="3">
        <f>IFERROR(__xludf.DUMMYFUNCTION("""COMPUTED_VALUE"""),42777.99861111111)</f>
        <v>42777.99861</v>
      </c>
      <c r="B2413" s="1">
        <f>IFERROR(__xludf.DUMMYFUNCTION("""COMPUTED_VALUE"""),13333.33)</f>
        <v>13333.33</v>
      </c>
    </row>
    <row r="2414">
      <c r="A2414" s="3">
        <f>IFERROR(__xludf.DUMMYFUNCTION("""COMPUTED_VALUE"""),42778.99861111111)</f>
        <v>42778.99861</v>
      </c>
      <c r="B2414" s="1">
        <f>IFERROR(__xludf.DUMMYFUNCTION("""COMPUTED_VALUE"""),13335.0)</f>
        <v>13335</v>
      </c>
    </row>
    <row r="2415">
      <c r="A2415" s="3">
        <f>IFERROR(__xludf.DUMMYFUNCTION("""COMPUTED_VALUE"""),42779.99861111111)</f>
        <v>42779.99861</v>
      </c>
      <c r="B2415" s="1">
        <f>IFERROR(__xludf.DUMMYFUNCTION("""COMPUTED_VALUE"""),13323.0)</f>
        <v>13323</v>
      </c>
    </row>
    <row r="2416">
      <c r="A2416" s="3">
        <f>IFERROR(__xludf.DUMMYFUNCTION("""COMPUTED_VALUE"""),42780.99861111111)</f>
        <v>42780.99861</v>
      </c>
      <c r="B2416" s="1">
        <f>IFERROR(__xludf.DUMMYFUNCTION("""COMPUTED_VALUE"""),13321.0)</f>
        <v>13321</v>
      </c>
    </row>
    <row r="2417">
      <c r="A2417" s="3">
        <f>IFERROR(__xludf.DUMMYFUNCTION("""COMPUTED_VALUE"""),42781.99861111111)</f>
        <v>42781.99861</v>
      </c>
      <c r="B2417" s="1">
        <f>IFERROR(__xludf.DUMMYFUNCTION("""COMPUTED_VALUE"""),13316.0)</f>
        <v>13316</v>
      </c>
    </row>
    <row r="2418">
      <c r="A2418" s="3">
        <f>IFERROR(__xludf.DUMMYFUNCTION("""COMPUTED_VALUE"""),42782.99861111111)</f>
        <v>42782.99861</v>
      </c>
      <c r="B2418" s="1">
        <f>IFERROR(__xludf.DUMMYFUNCTION("""COMPUTED_VALUE"""),13321.0)</f>
        <v>13321</v>
      </c>
    </row>
    <row r="2419">
      <c r="A2419" s="3">
        <f>IFERROR(__xludf.DUMMYFUNCTION("""COMPUTED_VALUE"""),42783.99861111111)</f>
        <v>42783.99861</v>
      </c>
      <c r="B2419" s="1">
        <f>IFERROR(__xludf.DUMMYFUNCTION("""COMPUTED_VALUE"""),13338.0)</f>
        <v>13338</v>
      </c>
    </row>
    <row r="2420">
      <c r="A2420" s="3">
        <f>IFERROR(__xludf.DUMMYFUNCTION("""COMPUTED_VALUE"""),42784.99861111111)</f>
        <v>42784.99861</v>
      </c>
      <c r="B2420" s="1">
        <f>IFERROR(__xludf.DUMMYFUNCTION("""COMPUTED_VALUE"""),13351.13)</f>
        <v>13351.13</v>
      </c>
    </row>
    <row r="2421">
      <c r="A2421" s="3">
        <f>IFERROR(__xludf.DUMMYFUNCTION("""COMPUTED_VALUE"""),42785.99861111111)</f>
        <v>42785.99861</v>
      </c>
      <c r="B2421" s="1">
        <f>IFERROR(__xludf.DUMMYFUNCTION("""COMPUTED_VALUE"""),13350.0)</f>
        <v>13350</v>
      </c>
    </row>
    <row r="2422">
      <c r="A2422" s="3">
        <f>IFERROR(__xludf.DUMMYFUNCTION("""COMPUTED_VALUE"""),42786.99861111111)</f>
        <v>42786.99861</v>
      </c>
      <c r="B2422" s="1">
        <f>IFERROR(__xludf.DUMMYFUNCTION("""COMPUTED_VALUE"""),13347.0)</f>
        <v>13347</v>
      </c>
    </row>
    <row r="2423">
      <c r="A2423" s="3">
        <f>IFERROR(__xludf.DUMMYFUNCTION("""COMPUTED_VALUE"""),42787.99861111111)</f>
        <v>42787.99861</v>
      </c>
      <c r="B2423" s="1">
        <f>IFERROR(__xludf.DUMMYFUNCTION("""COMPUTED_VALUE"""),13358.0)</f>
        <v>13358</v>
      </c>
    </row>
    <row r="2424">
      <c r="A2424" s="3">
        <f>IFERROR(__xludf.DUMMYFUNCTION("""COMPUTED_VALUE"""),42788.99861111111)</f>
        <v>42788.99861</v>
      </c>
      <c r="B2424" s="1">
        <f>IFERROR(__xludf.DUMMYFUNCTION("""COMPUTED_VALUE"""),13338.0)</f>
        <v>13338</v>
      </c>
    </row>
    <row r="2425">
      <c r="A2425" s="3">
        <f>IFERROR(__xludf.DUMMYFUNCTION("""COMPUTED_VALUE"""),42789.99861111111)</f>
        <v>42789.99861</v>
      </c>
      <c r="B2425" s="1">
        <f>IFERROR(__xludf.DUMMYFUNCTION("""COMPUTED_VALUE"""),13325.0)</f>
        <v>13325</v>
      </c>
    </row>
    <row r="2426">
      <c r="A2426" s="3">
        <f>IFERROR(__xludf.DUMMYFUNCTION("""COMPUTED_VALUE"""),42790.99861111111)</f>
        <v>42790.99861</v>
      </c>
      <c r="B2426" s="1">
        <f>IFERROR(__xludf.DUMMYFUNCTION("""COMPUTED_VALUE"""),13323.0)</f>
        <v>13323</v>
      </c>
    </row>
    <row r="2427">
      <c r="A2427" s="3">
        <f>IFERROR(__xludf.DUMMYFUNCTION("""COMPUTED_VALUE"""),42791.99861111111)</f>
        <v>42791.99861</v>
      </c>
      <c r="B2427" s="1">
        <f>IFERROR(__xludf.DUMMYFUNCTION("""COMPUTED_VALUE"""),13323.0)</f>
        <v>13323</v>
      </c>
    </row>
    <row r="2428">
      <c r="A2428" s="3">
        <f>IFERROR(__xludf.DUMMYFUNCTION("""COMPUTED_VALUE"""),42792.99861111111)</f>
        <v>42792.99861</v>
      </c>
      <c r="B2428" s="1">
        <f>IFERROR(__xludf.DUMMYFUNCTION("""COMPUTED_VALUE"""),13324.0)</f>
        <v>13324</v>
      </c>
    </row>
    <row r="2429">
      <c r="A2429" s="3">
        <f>IFERROR(__xludf.DUMMYFUNCTION("""COMPUTED_VALUE"""),42793.99861111111)</f>
        <v>42793.99861</v>
      </c>
      <c r="B2429" s="1">
        <f>IFERROR(__xludf.DUMMYFUNCTION("""COMPUTED_VALUE"""),13339.0)</f>
        <v>13339</v>
      </c>
    </row>
    <row r="2430">
      <c r="A2430" s="3">
        <f>IFERROR(__xludf.DUMMYFUNCTION("""COMPUTED_VALUE"""),42794.99861111111)</f>
        <v>42794.99861</v>
      </c>
      <c r="B2430" s="1">
        <f>IFERROR(__xludf.DUMMYFUNCTION("""COMPUTED_VALUE"""),13391.0)</f>
        <v>13391</v>
      </c>
    </row>
    <row r="2431">
      <c r="A2431" s="3">
        <f>IFERROR(__xludf.DUMMYFUNCTION("""COMPUTED_VALUE"""),42795.99861111111)</f>
        <v>42795.99861</v>
      </c>
      <c r="B2431" s="1">
        <f>IFERROR(__xludf.DUMMYFUNCTION("""COMPUTED_VALUE"""),13392.0)</f>
        <v>13392</v>
      </c>
    </row>
    <row r="2432">
      <c r="A2432" s="3">
        <f>IFERROR(__xludf.DUMMYFUNCTION("""COMPUTED_VALUE"""),42796.99861111111)</f>
        <v>42796.99861</v>
      </c>
      <c r="B2432" s="1">
        <f>IFERROR(__xludf.DUMMYFUNCTION("""COMPUTED_VALUE"""),13373.0)</f>
        <v>13373</v>
      </c>
    </row>
    <row r="2433">
      <c r="A2433" s="3">
        <f>IFERROR(__xludf.DUMMYFUNCTION("""COMPUTED_VALUE"""),42797.99861111111)</f>
        <v>42797.99861</v>
      </c>
      <c r="B2433" s="1">
        <f>IFERROR(__xludf.DUMMYFUNCTION("""COMPUTED_VALUE"""),13316.0)</f>
        <v>13316</v>
      </c>
    </row>
    <row r="2434">
      <c r="A2434" s="3">
        <f>IFERROR(__xludf.DUMMYFUNCTION("""COMPUTED_VALUE"""),42798.99861111111)</f>
        <v>42798.99861</v>
      </c>
      <c r="B2434" s="1">
        <f>IFERROR(__xludf.DUMMYFUNCTION("""COMPUTED_VALUE"""),13333.33)</f>
        <v>13333.33</v>
      </c>
    </row>
    <row r="2435">
      <c r="A2435" s="3">
        <f>IFERROR(__xludf.DUMMYFUNCTION("""COMPUTED_VALUE"""),42799.99861111111)</f>
        <v>42799.99861</v>
      </c>
      <c r="B2435" s="1">
        <f>IFERROR(__xludf.DUMMYFUNCTION("""COMPUTED_VALUE"""),13278.0)</f>
        <v>13278</v>
      </c>
    </row>
    <row r="2436">
      <c r="A2436" s="3">
        <f>IFERROR(__xludf.DUMMYFUNCTION("""COMPUTED_VALUE"""),42800.99861111111)</f>
        <v>42800.99861</v>
      </c>
      <c r="B2436" s="1">
        <f>IFERROR(__xludf.DUMMYFUNCTION("""COMPUTED_VALUE"""),13342.0)</f>
        <v>13342</v>
      </c>
    </row>
    <row r="2437">
      <c r="A2437" s="3">
        <f>IFERROR(__xludf.DUMMYFUNCTION("""COMPUTED_VALUE"""),42801.99861111111)</f>
        <v>42801.99861</v>
      </c>
      <c r="B2437" s="1">
        <f>IFERROR(__xludf.DUMMYFUNCTION("""COMPUTED_VALUE"""),13336.0)</f>
        <v>13336</v>
      </c>
    </row>
    <row r="2438">
      <c r="A2438" s="3">
        <f>IFERROR(__xludf.DUMMYFUNCTION("""COMPUTED_VALUE"""),42802.99861111111)</f>
        <v>42802.99861</v>
      </c>
      <c r="B2438" s="1">
        <f>IFERROR(__xludf.DUMMYFUNCTION("""COMPUTED_VALUE"""),13368.0)</f>
        <v>13368</v>
      </c>
    </row>
    <row r="2439">
      <c r="A2439" s="3">
        <f>IFERROR(__xludf.DUMMYFUNCTION("""COMPUTED_VALUE"""),42803.99861111111)</f>
        <v>42803.99861</v>
      </c>
      <c r="B2439" s="1">
        <f>IFERROR(__xludf.DUMMYFUNCTION("""COMPUTED_VALUE"""),13403.0)</f>
        <v>13403</v>
      </c>
    </row>
    <row r="2440">
      <c r="A2440" s="3">
        <f>IFERROR(__xludf.DUMMYFUNCTION("""COMPUTED_VALUE"""),42804.99861111111)</f>
        <v>42804.99861</v>
      </c>
      <c r="B2440" s="1">
        <f>IFERROR(__xludf.DUMMYFUNCTION("""COMPUTED_VALUE"""),13349.0)</f>
        <v>13349</v>
      </c>
    </row>
    <row r="2441">
      <c r="A2441" s="3">
        <f>IFERROR(__xludf.DUMMYFUNCTION("""COMPUTED_VALUE"""),42806.99861111111)</f>
        <v>42806.99861</v>
      </c>
      <c r="B2441" s="1">
        <f>IFERROR(__xludf.DUMMYFUNCTION("""COMPUTED_VALUE"""),13346.0)</f>
        <v>13346</v>
      </c>
    </row>
    <row r="2442">
      <c r="A2442" s="3">
        <f>IFERROR(__xludf.DUMMYFUNCTION("""COMPUTED_VALUE"""),42807.99861111111)</f>
        <v>42807.99861</v>
      </c>
      <c r="B2442" s="1">
        <f>IFERROR(__xludf.DUMMYFUNCTION("""COMPUTED_VALUE"""),13372.0)</f>
        <v>13372</v>
      </c>
    </row>
    <row r="2443">
      <c r="A2443" s="3">
        <f>IFERROR(__xludf.DUMMYFUNCTION("""COMPUTED_VALUE"""),42808.99861111111)</f>
        <v>42808.99861</v>
      </c>
      <c r="B2443" s="1">
        <f>IFERROR(__xludf.DUMMYFUNCTION("""COMPUTED_VALUE"""),13390.0)</f>
        <v>13390</v>
      </c>
    </row>
    <row r="2444">
      <c r="A2444" s="3">
        <f>IFERROR(__xludf.DUMMYFUNCTION("""COMPUTED_VALUE"""),42809.99861111111)</f>
        <v>42809.99861</v>
      </c>
      <c r="B2444" s="1">
        <f>IFERROR(__xludf.DUMMYFUNCTION("""COMPUTED_VALUE"""),13217.0)</f>
        <v>13217</v>
      </c>
    </row>
    <row r="2445">
      <c r="A2445" s="3">
        <f>IFERROR(__xludf.DUMMYFUNCTION("""COMPUTED_VALUE"""),42810.99861111111)</f>
        <v>42810.99861</v>
      </c>
      <c r="B2445" s="1">
        <f>IFERROR(__xludf.DUMMYFUNCTION("""COMPUTED_VALUE"""),13283.0)</f>
        <v>13283</v>
      </c>
    </row>
    <row r="2446">
      <c r="A2446" s="3">
        <f>IFERROR(__xludf.DUMMYFUNCTION("""COMPUTED_VALUE"""),42811.99861111111)</f>
        <v>42811.99861</v>
      </c>
      <c r="B2446" s="1">
        <f>IFERROR(__xludf.DUMMYFUNCTION("""COMPUTED_VALUE"""),13340.0)</f>
        <v>13340</v>
      </c>
    </row>
    <row r="2447">
      <c r="A2447" s="3">
        <f>IFERROR(__xludf.DUMMYFUNCTION("""COMPUTED_VALUE"""),42812.99861111111)</f>
        <v>42812.99861</v>
      </c>
      <c r="B2447" s="1">
        <f>IFERROR(__xludf.DUMMYFUNCTION("""COMPUTED_VALUE"""),13340.0)</f>
        <v>13340</v>
      </c>
    </row>
    <row r="2448">
      <c r="A2448" s="3">
        <f>IFERROR(__xludf.DUMMYFUNCTION("""COMPUTED_VALUE"""),42813.99861111111)</f>
        <v>42813.99861</v>
      </c>
      <c r="B2448" s="1">
        <f>IFERROR(__xludf.DUMMYFUNCTION("""COMPUTED_VALUE"""),13330.0)</f>
        <v>13330</v>
      </c>
    </row>
    <row r="2449">
      <c r="A2449" s="3">
        <f>IFERROR(__xludf.DUMMYFUNCTION("""COMPUTED_VALUE"""),42814.99861111111)</f>
        <v>42814.99861</v>
      </c>
      <c r="B2449" s="1">
        <f>IFERROR(__xludf.DUMMYFUNCTION("""COMPUTED_VALUE"""),13332.0)</f>
        <v>13332</v>
      </c>
    </row>
    <row r="2450">
      <c r="A2450" s="3">
        <f>IFERROR(__xludf.DUMMYFUNCTION("""COMPUTED_VALUE"""),42815.99861111111)</f>
        <v>42815.99861</v>
      </c>
      <c r="B2450" s="1">
        <f>IFERROR(__xludf.DUMMYFUNCTION("""COMPUTED_VALUE"""),13308.0)</f>
        <v>13308</v>
      </c>
    </row>
    <row r="2451">
      <c r="A2451" s="3">
        <f>IFERROR(__xludf.DUMMYFUNCTION("""COMPUTED_VALUE"""),42816.99861111111)</f>
        <v>42816.99861</v>
      </c>
      <c r="B2451" s="1">
        <f>IFERROR(__xludf.DUMMYFUNCTION("""COMPUTED_VALUE"""),13327.0)</f>
        <v>13327</v>
      </c>
    </row>
    <row r="2452">
      <c r="A2452" s="3">
        <f>IFERROR(__xludf.DUMMYFUNCTION("""COMPUTED_VALUE"""),42817.99861111111)</f>
        <v>42817.99861</v>
      </c>
      <c r="B2452" s="1">
        <f>IFERROR(__xludf.DUMMYFUNCTION("""COMPUTED_VALUE"""),13318.0)</f>
        <v>13318</v>
      </c>
    </row>
    <row r="2453">
      <c r="A2453" s="3">
        <f>IFERROR(__xludf.DUMMYFUNCTION("""COMPUTED_VALUE"""),42818.99861111111)</f>
        <v>42818.99861</v>
      </c>
      <c r="B2453" s="1">
        <f>IFERROR(__xludf.DUMMYFUNCTION("""COMPUTED_VALUE"""),13293.0)</f>
        <v>13293</v>
      </c>
    </row>
    <row r="2454">
      <c r="A2454" s="3">
        <f>IFERROR(__xludf.DUMMYFUNCTION("""COMPUTED_VALUE"""),42819.99861111111)</f>
        <v>42819.99861</v>
      </c>
      <c r="B2454" s="1">
        <f>IFERROR(__xludf.DUMMYFUNCTION("""COMPUTED_VALUE"""),13293.0)</f>
        <v>13293</v>
      </c>
    </row>
    <row r="2455">
      <c r="A2455" s="3">
        <f>IFERROR(__xludf.DUMMYFUNCTION("""COMPUTED_VALUE"""),42820.99861111111)</f>
        <v>42820.99861</v>
      </c>
      <c r="B2455" s="1">
        <f>IFERROR(__xludf.DUMMYFUNCTION("""COMPUTED_VALUE"""),13320.0)</f>
        <v>13320</v>
      </c>
    </row>
    <row r="2456">
      <c r="A2456" s="3">
        <f>IFERROR(__xludf.DUMMYFUNCTION("""COMPUTED_VALUE"""),42821.99861111111)</f>
        <v>42821.99861</v>
      </c>
      <c r="B2456" s="1">
        <f>IFERROR(__xludf.DUMMYFUNCTION("""COMPUTED_VALUE"""),13308.0)</f>
        <v>13308</v>
      </c>
    </row>
    <row r="2457">
      <c r="A2457" s="3">
        <f>IFERROR(__xludf.DUMMYFUNCTION("""COMPUTED_VALUE"""),42822.99861111111)</f>
        <v>42822.99861</v>
      </c>
      <c r="B2457" s="1">
        <f>IFERROR(__xludf.DUMMYFUNCTION("""COMPUTED_VALUE"""),13309.0)</f>
        <v>13309</v>
      </c>
    </row>
    <row r="2458">
      <c r="A2458" s="3">
        <f>IFERROR(__xludf.DUMMYFUNCTION("""COMPUTED_VALUE"""),42823.99861111111)</f>
        <v>42823.99861</v>
      </c>
      <c r="B2458" s="1">
        <f>IFERROR(__xludf.DUMMYFUNCTION("""COMPUTED_VALUE"""),13303.0)</f>
        <v>13303</v>
      </c>
    </row>
    <row r="2459">
      <c r="A2459" s="3">
        <f>IFERROR(__xludf.DUMMYFUNCTION("""COMPUTED_VALUE"""),42824.99861111111)</f>
        <v>42824.99861</v>
      </c>
      <c r="B2459" s="1">
        <f>IFERROR(__xludf.DUMMYFUNCTION("""COMPUTED_VALUE"""),13299.0)</f>
        <v>13299</v>
      </c>
    </row>
    <row r="2460">
      <c r="A2460" s="3">
        <f>IFERROR(__xludf.DUMMYFUNCTION("""COMPUTED_VALUE"""),42825.99861111111)</f>
        <v>42825.99861</v>
      </c>
      <c r="B2460" s="1">
        <f>IFERROR(__xludf.DUMMYFUNCTION("""COMPUTED_VALUE"""),13321.0)</f>
        <v>13321</v>
      </c>
    </row>
    <row r="2461">
      <c r="A2461" s="3">
        <f>IFERROR(__xludf.DUMMYFUNCTION("""COMPUTED_VALUE"""),42826.99861111111)</f>
        <v>42826.99861</v>
      </c>
      <c r="B2461" s="1">
        <f>IFERROR(__xludf.DUMMYFUNCTION("""COMPUTED_VALUE"""),13568.52)</f>
        <v>13568.52</v>
      </c>
    </row>
    <row r="2462">
      <c r="A2462" s="3">
        <f>IFERROR(__xludf.DUMMYFUNCTION("""COMPUTED_VALUE"""),42827.99861111111)</f>
        <v>42827.99861</v>
      </c>
      <c r="B2462" s="1">
        <f>IFERROR(__xludf.DUMMYFUNCTION("""COMPUTED_VALUE"""),13335.0)</f>
        <v>13335</v>
      </c>
    </row>
    <row r="2463">
      <c r="A2463" s="3">
        <f>IFERROR(__xludf.DUMMYFUNCTION("""COMPUTED_VALUE"""),42828.99861111111)</f>
        <v>42828.99861</v>
      </c>
      <c r="B2463" s="1">
        <f>IFERROR(__xludf.DUMMYFUNCTION("""COMPUTED_VALUE"""),13316.0)</f>
        <v>13316</v>
      </c>
    </row>
    <row r="2464">
      <c r="A2464" s="3">
        <f>IFERROR(__xludf.DUMMYFUNCTION("""COMPUTED_VALUE"""),42829.99861111111)</f>
        <v>42829.99861</v>
      </c>
      <c r="B2464" s="1">
        <f>IFERROR(__xludf.DUMMYFUNCTION("""COMPUTED_VALUE"""),13332.0)</f>
        <v>13332</v>
      </c>
    </row>
    <row r="2465">
      <c r="A2465" s="3">
        <f>IFERROR(__xludf.DUMMYFUNCTION("""COMPUTED_VALUE"""),42830.99861111111)</f>
        <v>42830.99861</v>
      </c>
      <c r="B2465" s="1">
        <f>IFERROR(__xludf.DUMMYFUNCTION("""COMPUTED_VALUE"""),13323.0)</f>
        <v>13323</v>
      </c>
    </row>
    <row r="2466">
      <c r="A2466" s="3">
        <f>IFERROR(__xludf.DUMMYFUNCTION("""COMPUTED_VALUE"""),42831.99861111111)</f>
        <v>42831.99861</v>
      </c>
      <c r="B2466" s="1">
        <f>IFERROR(__xludf.DUMMYFUNCTION("""COMPUTED_VALUE"""),13353.0)</f>
        <v>13353</v>
      </c>
    </row>
    <row r="2467">
      <c r="A2467" s="3">
        <f>IFERROR(__xludf.DUMMYFUNCTION("""COMPUTED_VALUE"""),42832.99861111111)</f>
        <v>42832.99861</v>
      </c>
      <c r="B2467" s="1">
        <f>IFERROR(__xludf.DUMMYFUNCTION("""COMPUTED_VALUE"""),13335.0)</f>
        <v>13335</v>
      </c>
    </row>
    <row r="2468">
      <c r="A2468" s="3">
        <f>IFERROR(__xludf.DUMMYFUNCTION("""COMPUTED_VALUE"""),42833.99861111111)</f>
        <v>42833.99861</v>
      </c>
      <c r="B2468" s="1">
        <f>IFERROR(__xludf.DUMMYFUNCTION("""COMPUTED_VALUE"""),13351.13)</f>
        <v>13351.13</v>
      </c>
    </row>
    <row r="2469">
      <c r="A2469" s="3">
        <f>IFERROR(__xludf.DUMMYFUNCTION("""COMPUTED_VALUE"""),42834.99861111111)</f>
        <v>42834.99861</v>
      </c>
      <c r="B2469" s="1">
        <f>IFERROR(__xludf.DUMMYFUNCTION("""COMPUTED_VALUE"""),13373.0)</f>
        <v>13373</v>
      </c>
    </row>
    <row r="2470">
      <c r="A2470" s="3">
        <f>IFERROR(__xludf.DUMMYFUNCTION("""COMPUTED_VALUE"""),42835.99861111111)</f>
        <v>42835.99861</v>
      </c>
      <c r="B2470" s="1">
        <f>IFERROR(__xludf.DUMMYFUNCTION("""COMPUTED_VALUE"""),13271.0)</f>
        <v>13271</v>
      </c>
    </row>
    <row r="2471">
      <c r="A2471" s="3">
        <f>IFERROR(__xludf.DUMMYFUNCTION("""COMPUTED_VALUE"""),42836.99861111111)</f>
        <v>42836.99861</v>
      </c>
      <c r="B2471" s="1">
        <f>IFERROR(__xludf.DUMMYFUNCTION("""COMPUTED_VALUE"""),13291.0)</f>
        <v>13291</v>
      </c>
    </row>
    <row r="2472">
      <c r="A2472" s="3">
        <f>IFERROR(__xludf.DUMMYFUNCTION("""COMPUTED_VALUE"""),42837.99861111111)</f>
        <v>42837.99861</v>
      </c>
      <c r="B2472" s="1">
        <f>IFERROR(__xludf.DUMMYFUNCTION("""COMPUTED_VALUE"""),13277.0)</f>
        <v>13277</v>
      </c>
    </row>
    <row r="2473">
      <c r="A2473" s="3">
        <f>IFERROR(__xludf.DUMMYFUNCTION("""COMPUTED_VALUE"""),42838.99861111111)</f>
        <v>42838.99861</v>
      </c>
      <c r="B2473" s="1">
        <f>IFERROR(__xludf.DUMMYFUNCTION("""COMPUTED_VALUE"""),13276.0)</f>
        <v>13276</v>
      </c>
    </row>
    <row r="2474">
      <c r="A2474" s="3">
        <f>IFERROR(__xludf.DUMMYFUNCTION("""COMPUTED_VALUE"""),42839.99861111111)</f>
        <v>42839.99861</v>
      </c>
      <c r="B2474" s="1">
        <f>IFERROR(__xludf.DUMMYFUNCTION("""COMPUTED_VALUE"""),13281.0)</f>
        <v>13281</v>
      </c>
    </row>
    <row r="2475">
      <c r="A2475" s="3">
        <f>IFERROR(__xludf.DUMMYFUNCTION("""COMPUTED_VALUE"""),42840.99861111111)</f>
        <v>42840.99861</v>
      </c>
      <c r="B2475" s="1">
        <f>IFERROR(__xludf.DUMMYFUNCTION("""COMPUTED_VALUE"""),13282.0)</f>
        <v>13282</v>
      </c>
    </row>
    <row r="2476">
      <c r="A2476" s="3">
        <f>IFERROR(__xludf.DUMMYFUNCTION("""COMPUTED_VALUE"""),42841.99861111111)</f>
        <v>42841.99861</v>
      </c>
      <c r="B2476" s="1">
        <f>IFERROR(__xludf.DUMMYFUNCTION("""COMPUTED_VALUE"""),13287.0)</f>
        <v>13287</v>
      </c>
    </row>
    <row r="2477">
      <c r="A2477" s="3">
        <f>IFERROR(__xludf.DUMMYFUNCTION("""COMPUTED_VALUE"""),42842.99861111111)</f>
        <v>42842.99861</v>
      </c>
      <c r="B2477" s="1">
        <f>IFERROR(__xludf.DUMMYFUNCTION("""COMPUTED_VALUE"""),13279.0)</f>
        <v>13279</v>
      </c>
    </row>
    <row r="2478">
      <c r="A2478" s="3">
        <f>IFERROR(__xludf.DUMMYFUNCTION("""COMPUTED_VALUE"""),42843.99861111111)</f>
        <v>42843.99861</v>
      </c>
      <c r="B2478" s="1">
        <f>IFERROR(__xludf.DUMMYFUNCTION("""COMPUTED_VALUE"""),13296.0)</f>
        <v>13296</v>
      </c>
    </row>
    <row r="2479">
      <c r="A2479" s="3">
        <f>IFERROR(__xludf.DUMMYFUNCTION("""COMPUTED_VALUE"""),42844.99861111111)</f>
        <v>42844.99861</v>
      </c>
      <c r="B2479" s="1">
        <f>IFERROR(__xludf.DUMMYFUNCTION("""COMPUTED_VALUE"""),13343.0)</f>
        <v>13343</v>
      </c>
    </row>
    <row r="2480">
      <c r="A2480" s="3">
        <f>IFERROR(__xludf.DUMMYFUNCTION("""COMPUTED_VALUE"""),42845.99861111111)</f>
        <v>42845.99861</v>
      </c>
      <c r="B2480" s="1">
        <f>IFERROR(__xludf.DUMMYFUNCTION("""COMPUTED_VALUE"""),13317.0)</f>
        <v>13317</v>
      </c>
    </row>
    <row r="2481">
      <c r="A2481" s="3">
        <f>IFERROR(__xludf.DUMMYFUNCTION("""COMPUTED_VALUE"""),42846.99861111111)</f>
        <v>42846.99861</v>
      </c>
      <c r="B2481" s="1">
        <f>IFERROR(__xludf.DUMMYFUNCTION("""COMPUTED_VALUE"""),13292.0)</f>
        <v>13292</v>
      </c>
    </row>
    <row r="2482">
      <c r="A2482" s="3">
        <f>IFERROR(__xludf.DUMMYFUNCTION("""COMPUTED_VALUE"""),42847.99861111111)</f>
        <v>42847.99861</v>
      </c>
      <c r="B2482" s="1">
        <f>IFERROR(__xludf.DUMMYFUNCTION("""COMPUTED_VALUE"""),13297.87)</f>
        <v>13297.87</v>
      </c>
    </row>
    <row r="2483">
      <c r="A2483" s="3">
        <f>IFERROR(__xludf.DUMMYFUNCTION("""COMPUTED_VALUE"""),42848.99861111111)</f>
        <v>42848.99861</v>
      </c>
      <c r="B2483" s="1">
        <f>IFERROR(__xludf.DUMMYFUNCTION("""COMPUTED_VALUE"""),13105.0)</f>
        <v>13105</v>
      </c>
    </row>
    <row r="2484">
      <c r="A2484" s="3">
        <f>IFERROR(__xludf.DUMMYFUNCTION("""COMPUTED_VALUE"""),42849.99861111111)</f>
        <v>42849.99861</v>
      </c>
      <c r="B2484" s="1">
        <f>IFERROR(__xludf.DUMMYFUNCTION("""COMPUTED_VALUE"""),13124.0)</f>
        <v>13124</v>
      </c>
    </row>
    <row r="2485">
      <c r="A2485" s="3">
        <f>IFERROR(__xludf.DUMMYFUNCTION("""COMPUTED_VALUE"""),42850.99861111111)</f>
        <v>42850.99861</v>
      </c>
      <c r="B2485" s="1">
        <f>IFERROR(__xludf.DUMMYFUNCTION("""COMPUTED_VALUE"""),13303.0)</f>
        <v>13303</v>
      </c>
    </row>
    <row r="2486">
      <c r="A2486" s="3">
        <f>IFERROR(__xludf.DUMMYFUNCTION("""COMPUTED_VALUE"""),42851.99861111111)</f>
        <v>42851.99861</v>
      </c>
      <c r="B2486" s="1">
        <f>IFERROR(__xludf.DUMMYFUNCTION("""COMPUTED_VALUE"""),13261.0)</f>
        <v>13261</v>
      </c>
    </row>
    <row r="2487">
      <c r="A2487" s="3">
        <f>IFERROR(__xludf.DUMMYFUNCTION("""COMPUTED_VALUE"""),42852.99861111111)</f>
        <v>42852.99861</v>
      </c>
      <c r="B2487" s="1">
        <f>IFERROR(__xludf.DUMMYFUNCTION("""COMPUTED_VALUE"""),13351.0)</f>
        <v>13351</v>
      </c>
    </row>
    <row r="2488">
      <c r="A2488" s="3">
        <f>IFERROR(__xludf.DUMMYFUNCTION("""COMPUTED_VALUE"""),42853.99861111111)</f>
        <v>42853.99861</v>
      </c>
      <c r="B2488" s="1">
        <f>IFERROR(__xludf.DUMMYFUNCTION("""COMPUTED_VALUE"""),13344.0)</f>
        <v>13344</v>
      </c>
    </row>
    <row r="2489">
      <c r="A2489" s="3">
        <f>IFERROR(__xludf.DUMMYFUNCTION("""COMPUTED_VALUE"""),42854.99861111111)</f>
        <v>42854.99861</v>
      </c>
      <c r="B2489" s="1">
        <f>IFERROR(__xludf.DUMMYFUNCTION("""COMPUTED_VALUE"""),13351.13)</f>
        <v>13351.13</v>
      </c>
    </row>
    <row r="2490">
      <c r="A2490" s="3">
        <f>IFERROR(__xludf.DUMMYFUNCTION("""COMPUTED_VALUE"""),42855.99861111111)</f>
        <v>42855.99861</v>
      </c>
      <c r="B2490" s="1">
        <f>IFERROR(__xludf.DUMMYFUNCTION("""COMPUTED_VALUE"""),13322.0)</f>
        <v>13322</v>
      </c>
    </row>
    <row r="2491">
      <c r="A2491" s="3">
        <f>IFERROR(__xludf.DUMMYFUNCTION("""COMPUTED_VALUE"""),42856.99861111111)</f>
        <v>42856.99861</v>
      </c>
      <c r="B2491" s="1">
        <f>IFERROR(__xludf.DUMMYFUNCTION("""COMPUTED_VALUE"""),13325.0)</f>
        <v>13325</v>
      </c>
    </row>
    <row r="2492">
      <c r="A2492" s="3">
        <f>IFERROR(__xludf.DUMMYFUNCTION("""COMPUTED_VALUE"""),42857.99861111111)</f>
        <v>42857.99861</v>
      </c>
      <c r="B2492" s="1">
        <f>IFERROR(__xludf.DUMMYFUNCTION("""COMPUTED_VALUE"""),13295.0)</f>
        <v>13295</v>
      </c>
    </row>
    <row r="2493">
      <c r="A2493" s="3">
        <f>IFERROR(__xludf.DUMMYFUNCTION("""COMPUTED_VALUE"""),42858.99861111111)</f>
        <v>42858.99861</v>
      </c>
      <c r="B2493" s="1">
        <f>IFERROR(__xludf.DUMMYFUNCTION("""COMPUTED_VALUE"""),13304.0)</f>
        <v>13304</v>
      </c>
    </row>
    <row r="2494">
      <c r="A2494" s="3">
        <f>IFERROR(__xludf.DUMMYFUNCTION("""COMPUTED_VALUE"""),42859.99861111111)</f>
        <v>42859.99861</v>
      </c>
      <c r="B2494" s="1">
        <f>IFERROR(__xludf.DUMMYFUNCTION("""COMPUTED_VALUE"""),13340.0)</f>
        <v>13340</v>
      </c>
    </row>
    <row r="2495">
      <c r="A2495" s="3">
        <f>IFERROR(__xludf.DUMMYFUNCTION("""COMPUTED_VALUE"""),42860.99861111111)</f>
        <v>42860.99861</v>
      </c>
      <c r="B2495" s="1">
        <f>IFERROR(__xludf.DUMMYFUNCTION("""COMPUTED_VALUE"""),13315.0)</f>
        <v>13315</v>
      </c>
    </row>
    <row r="2496">
      <c r="A2496" s="3">
        <f>IFERROR(__xludf.DUMMYFUNCTION("""COMPUTED_VALUE"""),42861.99861111111)</f>
        <v>42861.99861</v>
      </c>
      <c r="B2496" s="1">
        <f>IFERROR(__xludf.DUMMYFUNCTION("""COMPUTED_VALUE"""),13333.33)</f>
        <v>13333.33</v>
      </c>
    </row>
    <row r="2497">
      <c r="A2497" s="3">
        <f>IFERROR(__xludf.DUMMYFUNCTION("""COMPUTED_VALUE"""),42862.99861111111)</f>
        <v>42862.99861</v>
      </c>
      <c r="B2497" s="1">
        <f>IFERROR(__xludf.DUMMYFUNCTION("""COMPUTED_VALUE"""),13333.33)</f>
        <v>13333.33</v>
      </c>
    </row>
    <row r="2498">
      <c r="A2498" s="3">
        <f>IFERROR(__xludf.DUMMYFUNCTION("""COMPUTED_VALUE"""),42863.99861111111)</f>
        <v>42863.99861</v>
      </c>
      <c r="B2498" s="1">
        <f>IFERROR(__xludf.DUMMYFUNCTION("""COMPUTED_VALUE"""),13324.0)</f>
        <v>13324</v>
      </c>
    </row>
    <row r="2499">
      <c r="A2499" s="3">
        <f>IFERROR(__xludf.DUMMYFUNCTION("""COMPUTED_VALUE"""),42864.99861111111)</f>
        <v>42864.99861</v>
      </c>
      <c r="B2499" s="1">
        <f>IFERROR(__xludf.DUMMYFUNCTION("""COMPUTED_VALUE"""),13359.0)</f>
        <v>13359</v>
      </c>
    </row>
    <row r="2500">
      <c r="A2500" s="3">
        <f>IFERROR(__xludf.DUMMYFUNCTION("""COMPUTED_VALUE"""),42865.99861111111)</f>
        <v>42865.99861</v>
      </c>
      <c r="B2500" s="1">
        <f>IFERROR(__xludf.DUMMYFUNCTION("""COMPUTED_VALUE"""),13353.0)</f>
        <v>13353</v>
      </c>
    </row>
    <row r="2501">
      <c r="A2501" s="3">
        <f>IFERROR(__xludf.DUMMYFUNCTION("""COMPUTED_VALUE"""),42866.99861111111)</f>
        <v>42866.99861</v>
      </c>
      <c r="B2501" s="1">
        <f>IFERROR(__xludf.DUMMYFUNCTION("""COMPUTED_VALUE"""),13312.0)</f>
        <v>13312</v>
      </c>
    </row>
    <row r="2502">
      <c r="A2502" s="3">
        <f>IFERROR(__xludf.DUMMYFUNCTION("""COMPUTED_VALUE"""),42867.99861111111)</f>
        <v>42867.99861</v>
      </c>
      <c r="B2502" s="1">
        <f>IFERROR(__xludf.DUMMYFUNCTION("""COMPUTED_VALUE"""),13315.0)</f>
        <v>13315</v>
      </c>
    </row>
    <row r="2503">
      <c r="A2503" s="3">
        <f>IFERROR(__xludf.DUMMYFUNCTION("""COMPUTED_VALUE"""),42868.99861111111)</f>
        <v>42868.99861</v>
      </c>
      <c r="B2503" s="1">
        <f>IFERROR(__xludf.DUMMYFUNCTION("""COMPUTED_VALUE"""),13333.33)</f>
        <v>13333.33</v>
      </c>
    </row>
    <row r="2504">
      <c r="A2504" s="3">
        <f>IFERROR(__xludf.DUMMYFUNCTION("""COMPUTED_VALUE"""),42869.99861111111)</f>
        <v>42869.99861</v>
      </c>
      <c r="B2504" s="1">
        <f>IFERROR(__xludf.DUMMYFUNCTION("""COMPUTED_VALUE"""),13323.0)</f>
        <v>13323</v>
      </c>
    </row>
    <row r="2505">
      <c r="A2505" s="3">
        <f>IFERROR(__xludf.DUMMYFUNCTION("""COMPUTED_VALUE"""),42870.99861111111)</f>
        <v>42870.99861</v>
      </c>
      <c r="B2505" s="1">
        <f>IFERROR(__xludf.DUMMYFUNCTION("""COMPUTED_VALUE"""),13285.0)</f>
        <v>13285</v>
      </c>
    </row>
    <row r="2506">
      <c r="A2506" s="3">
        <f>IFERROR(__xludf.DUMMYFUNCTION("""COMPUTED_VALUE"""),42871.99861111111)</f>
        <v>42871.99861</v>
      </c>
      <c r="B2506" s="1">
        <f>IFERROR(__xludf.DUMMYFUNCTION("""COMPUTED_VALUE"""),13274.0)</f>
        <v>13274</v>
      </c>
    </row>
    <row r="2507">
      <c r="A2507" s="3">
        <f>IFERROR(__xludf.DUMMYFUNCTION("""COMPUTED_VALUE"""),42872.99861111111)</f>
        <v>42872.99861</v>
      </c>
      <c r="B2507" s="1">
        <f>IFERROR(__xludf.DUMMYFUNCTION("""COMPUTED_VALUE"""),13318.0)</f>
        <v>13318</v>
      </c>
    </row>
    <row r="2508">
      <c r="A2508" s="3">
        <f>IFERROR(__xludf.DUMMYFUNCTION("""COMPUTED_VALUE"""),42873.99861111111)</f>
        <v>42873.99861</v>
      </c>
      <c r="B2508" s="1">
        <f>IFERROR(__xludf.DUMMYFUNCTION("""COMPUTED_VALUE"""),13399.0)</f>
        <v>13399</v>
      </c>
    </row>
    <row r="2509">
      <c r="A2509" s="3">
        <f>IFERROR(__xludf.DUMMYFUNCTION("""COMPUTED_VALUE"""),42874.99861111111)</f>
        <v>42874.99861</v>
      </c>
      <c r="B2509" s="1">
        <f>IFERROR(__xludf.DUMMYFUNCTION("""COMPUTED_VALUE"""),13322.0)</f>
        <v>13322</v>
      </c>
    </row>
    <row r="2510">
      <c r="A2510" s="3">
        <f>IFERROR(__xludf.DUMMYFUNCTION("""COMPUTED_VALUE"""),42875.99861111111)</f>
        <v>42875.99861</v>
      </c>
      <c r="B2510" s="1">
        <f>IFERROR(__xludf.DUMMYFUNCTION("""COMPUTED_VALUE"""),13333.33)</f>
        <v>13333.33</v>
      </c>
    </row>
    <row r="2511">
      <c r="A2511" s="3">
        <f>IFERROR(__xludf.DUMMYFUNCTION("""COMPUTED_VALUE"""),42876.99861111111)</f>
        <v>42876.99861</v>
      </c>
      <c r="B2511" s="1">
        <f>IFERROR(__xludf.DUMMYFUNCTION("""COMPUTED_VALUE"""),13328.0)</f>
        <v>13328</v>
      </c>
    </row>
    <row r="2512">
      <c r="A2512" s="3">
        <f>IFERROR(__xludf.DUMMYFUNCTION("""COMPUTED_VALUE"""),42877.99861111111)</f>
        <v>42877.99861</v>
      </c>
      <c r="B2512" s="1">
        <f>IFERROR(__xludf.DUMMYFUNCTION("""COMPUTED_VALUE"""),13296.0)</f>
        <v>13296</v>
      </c>
    </row>
    <row r="2513">
      <c r="A2513" s="3">
        <f>IFERROR(__xludf.DUMMYFUNCTION("""COMPUTED_VALUE"""),42878.99861111111)</f>
        <v>42878.99861</v>
      </c>
      <c r="B2513" s="1">
        <f>IFERROR(__xludf.DUMMYFUNCTION("""COMPUTED_VALUE"""),13296.0)</f>
        <v>13296</v>
      </c>
    </row>
    <row r="2514">
      <c r="A2514" s="3">
        <f>IFERROR(__xludf.DUMMYFUNCTION("""COMPUTED_VALUE"""),42879.99861111111)</f>
        <v>42879.99861</v>
      </c>
      <c r="B2514" s="1">
        <f>IFERROR(__xludf.DUMMYFUNCTION("""COMPUTED_VALUE"""),13302.0)</f>
        <v>13302</v>
      </c>
    </row>
    <row r="2515">
      <c r="A2515" s="3">
        <f>IFERROR(__xludf.DUMMYFUNCTION("""COMPUTED_VALUE"""),42880.99861111111)</f>
        <v>42880.99861</v>
      </c>
      <c r="B2515" s="1">
        <f>IFERROR(__xludf.DUMMYFUNCTION("""COMPUTED_VALUE"""),13302.0)</f>
        <v>13302</v>
      </c>
    </row>
    <row r="2516">
      <c r="A2516" s="3">
        <f>IFERROR(__xludf.DUMMYFUNCTION("""COMPUTED_VALUE"""),42881.99861111111)</f>
        <v>42881.99861</v>
      </c>
      <c r="B2516" s="1">
        <f>IFERROR(__xludf.DUMMYFUNCTION("""COMPUTED_VALUE"""),13295.0)</f>
        <v>13295</v>
      </c>
    </row>
    <row r="2517">
      <c r="A2517" s="3">
        <f>IFERROR(__xludf.DUMMYFUNCTION("""COMPUTED_VALUE"""),42882.99861111111)</f>
        <v>42882.99861</v>
      </c>
      <c r="B2517" s="1">
        <f>IFERROR(__xludf.DUMMYFUNCTION("""COMPUTED_VALUE"""),13288.0)</f>
        <v>13288</v>
      </c>
    </row>
    <row r="2518">
      <c r="A2518" s="3">
        <f>IFERROR(__xludf.DUMMYFUNCTION("""COMPUTED_VALUE"""),42883.99861111111)</f>
        <v>42883.99861</v>
      </c>
      <c r="B2518" s="1">
        <f>IFERROR(__xludf.DUMMYFUNCTION("""COMPUTED_VALUE"""),13288.0)</f>
        <v>13288</v>
      </c>
    </row>
    <row r="2519">
      <c r="A2519" s="3">
        <f>IFERROR(__xludf.DUMMYFUNCTION("""COMPUTED_VALUE"""),42884.99861111111)</f>
        <v>42884.99861</v>
      </c>
      <c r="B2519" s="1">
        <f>IFERROR(__xludf.DUMMYFUNCTION("""COMPUTED_VALUE"""),13315.0)</f>
        <v>13315</v>
      </c>
    </row>
    <row r="2520">
      <c r="A2520" s="3">
        <f>IFERROR(__xludf.DUMMYFUNCTION("""COMPUTED_VALUE"""),42885.99861111111)</f>
        <v>42885.99861</v>
      </c>
      <c r="B2520" s="1">
        <f>IFERROR(__xludf.DUMMYFUNCTION("""COMPUTED_VALUE"""),13319.0)</f>
        <v>13319</v>
      </c>
    </row>
    <row r="2521">
      <c r="A2521" s="3">
        <f>IFERROR(__xludf.DUMMYFUNCTION("""COMPUTED_VALUE"""),42886.99861111111)</f>
        <v>42886.99861</v>
      </c>
      <c r="B2521" s="1">
        <f>IFERROR(__xludf.DUMMYFUNCTION("""COMPUTED_VALUE"""),13294.0)</f>
        <v>13294</v>
      </c>
    </row>
    <row r="2522">
      <c r="A2522" s="3">
        <f>IFERROR(__xludf.DUMMYFUNCTION("""COMPUTED_VALUE"""),42887.99861111111)</f>
        <v>42887.99861</v>
      </c>
      <c r="B2522" s="1">
        <f>IFERROR(__xludf.DUMMYFUNCTION("""COMPUTED_VALUE"""),13288.0)</f>
        <v>13288</v>
      </c>
    </row>
    <row r="2523">
      <c r="A2523" s="3">
        <f>IFERROR(__xludf.DUMMYFUNCTION("""COMPUTED_VALUE"""),42888.99861111111)</f>
        <v>42888.99861</v>
      </c>
      <c r="B2523" s="1">
        <f>IFERROR(__xludf.DUMMYFUNCTION("""COMPUTED_VALUE"""),13286.0)</f>
        <v>13286</v>
      </c>
    </row>
    <row r="2524">
      <c r="A2524" s="3">
        <f>IFERROR(__xludf.DUMMYFUNCTION("""COMPUTED_VALUE"""),42889.99861111111)</f>
        <v>42889.99861</v>
      </c>
      <c r="B2524" s="1">
        <f>IFERROR(__xludf.DUMMYFUNCTION("""COMPUTED_VALUE"""),13304.0)</f>
        <v>13304</v>
      </c>
    </row>
    <row r="2525">
      <c r="A2525" s="3">
        <f>IFERROR(__xludf.DUMMYFUNCTION("""COMPUTED_VALUE"""),42890.99861111111)</f>
        <v>42890.99861</v>
      </c>
      <c r="B2525" s="1">
        <f>IFERROR(__xludf.DUMMYFUNCTION("""COMPUTED_VALUE"""),13304.0)</f>
        <v>13304</v>
      </c>
    </row>
    <row r="2526">
      <c r="A2526" s="3">
        <f>IFERROR(__xludf.DUMMYFUNCTION("""COMPUTED_VALUE"""),42891.99861111111)</f>
        <v>42891.99861</v>
      </c>
      <c r="B2526" s="1">
        <f>IFERROR(__xludf.DUMMYFUNCTION("""COMPUTED_VALUE"""),13283.0)</f>
        <v>13283</v>
      </c>
    </row>
    <row r="2527">
      <c r="A2527" s="3">
        <f>IFERROR(__xludf.DUMMYFUNCTION("""COMPUTED_VALUE"""),42892.99861111111)</f>
        <v>42892.99861</v>
      </c>
      <c r="B2527" s="1">
        <f>IFERROR(__xludf.DUMMYFUNCTION("""COMPUTED_VALUE"""),13259.0)</f>
        <v>13259</v>
      </c>
    </row>
    <row r="2528">
      <c r="A2528" s="3">
        <f>IFERROR(__xludf.DUMMYFUNCTION("""COMPUTED_VALUE"""),42893.99861111111)</f>
        <v>42893.99861</v>
      </c>
      <c r="B2528" s="1">
        <f>IFERROR(__xludf.DUMMYFUNCTION("""COMPUTED_VALUE"""),13313.0)</f>
        <v>13313</v>
      </c>
    </row>
    <row r="2529">
      <c r="A2529" s="3">
        <f>IFERROR(__xludf.DUMMYFUNCTION("""COMPUTED_VALUE"""),42894.99861111111)</f>
        <v>42894.99861</v>
      </c>
      <c r="B2529" s="1">
        <f>IFERROR(__xludf.DUMMYFUNCTION("""COMPUTED_VALUE"""),13293.0)</f>
        <v>13293</v>
      </c>
    </row>
    <row r="2530">
      <c r="A2530" s="3">
        <f>IFERROR(__xludf.DUMMYFUNCTION("""COMPUTED_VALUE"""),42895.99861111111)</f>
        <v>42895.99861</v>
      </c>
      <c r="B2530" s="1">
        <f>IFERROR(__xludf.DUMMYFUNCTION("""COMPUTED_VALUE"""),13289.0)</f>
        <v>13289</v>
      </c>
    </row>
    <row r="2531">
      <c r="A2531" s="3">
        <f>IFERROR(__xludf.DUMMYFUNCTION("""COMPUTED_VALUE"""),42896.99861111111)</f>
        <v>42896.99861</v>
      </c>
      <c r="B2531" s="1">
        <f>IFERROR(__xludf.DUMMYFUNCTION("""COMPUTED_VALUE"""),13281.0)</f>
        <v>13281</v>
      </c>
    </row>
    <row r="2532">
      <c r="A2532" s="3">
        <f>IFERROR(__xludf.DUMMYFUNCTION("""COMPUTED_VALUE"""),42897.99861111111)</f>
        <v>42897.99861</v>
      </c>
      <c r="B2532" s="1">
        <f>IFERROR(__xludf.DUMMYFUNCTION("""COMPUTED_VALUE"""),13295.0)</f>
        <v>13295</v>
      </c>
    </row>
    <row r="2533">
      <c r="A2533" s="3">
        <f>IFERROR(__xludf.DUMMYFUNCTION("""COMPUTED_VALUE"""),42898.99861111111)</f>
        <v>42898.99861</v>
      </c>
      <c r="B2533" s="1">
        <f>IFERROR(__xludf.DUMMYFUNCTION("""COMPUTED_VALUE"""),13314.0)</f>
        <v>13314</v>
      </c>
    </row>
    <row r="2534">
      <c r="A2534" s="3">
        <f>IFERROR(__xludf.DUMMYFUNCTION("""COMPUTED_VALUE"""),42899.99861111111)</f>
        <v>42899.99861</v>
      </c>
      <c r="B2534" s="1">
        <f>IFERROR(__xludf.DUMMYFUNCTION("""COMPUTED_VALUE"""),13282.0)</f>
        <v>13282</v>
      </c>
    </row>
    <row r="2535">
      <c r="A2535" s="3">
        <f>IFERROR(__xludf.DUMMYFUNCTION("""COMPUTED_VALUE"""),42900.99861111111)</f>
        <v>42900.99861</v>
      </c>
      <c r="B2535" s="1">
        <f>IFERROR(__xludf.DUMMYFUNCTION("""COMPUTED_VALUE"""),13286.0)</f>
        <v>13286</v>
      </c>
    </row>
    <row r="2536">
      <c r="A2536" s="3">
        <f>IFERROR(__xludf.DUMMYFUNCTION("""COMPUTED_VALUE"""),42901.99861111111)</f>
        <v>42901.99861</v>
      </c>
      <c r="B2536" s="1">
        <f>IFERROR(__xludf.DUMMYFUNCTION("""COMPUTED_VALUE"""),13294.0)</f>
        <v>13294</v>
      </c>
    </row>
    <row r="2537">
      <c r="A2537" s="3">
        <f>IFERROR(__xludf.DUMMYFUNCTION("""COMPUTED_VALUE"""),42902.99861111111)</f>
        <v>42902.99861</v>
      </c>
      <c r="B2537" s="1">
        <f>IFERROR(__xludf.DUMMYFUNCTION("""COMPUTED_VALUE"""),13290.0)</f>
        <v>13290</v>
      </c>
    </row>
    <row r="2538">
      <c r="A2538" s="3">
        <f>IFERROR(__xludf.DUMMYFUNCTION("""COMPUTED_VALUE"""),42903.99861111111)</f>
        <v>42903.99861</v>
      </c>
      <c r="B2538" s="1">
        <f>IFERROR(__xludf.DUMMYFUNCTION("""COMPUTED_VALUE"""),13288.0)</f>
        <v>13288</v>
      </c>
    </row>
    <row r="2539">
      <c r="A2539" s="3">
        <f>IFERROR(__xludf.DUMMYFUNCTION("""COMPUTED_VALUE"""),42904.99861111111)</f>
        <v>42904.99861</v>
      </c>
      <c r="B2539" s="1">
        <f>IFERROR(__xludf.DUMMYFUNCTION("""COMPUTED_VALUE"""),13277.0)</f>
        <v>13277</v>
      </c>
    </row>
    <row r="2540">
      <c r="A2540" s="3">
        <f>IFERROR(__xludf.DUMMYFUNCTION("""COMPUTED_VALUE"""),42905.99861111111)</f>
        <v>42905.99861</v>
      </c>
      <c r="B2540" s="1">
        <f>IFERROR(__xludf.DUMMYFUNCTION("""COMPUTED_VALUE"""),13286.0)</f>
        <v>13286</v>
      </c>
    </row>
    <row r="2541">
      <c r="A2541" s="3">
        <f>IFERROR(__xludf.DUMMYFUNCTION("""COMPUTED_VALUE"""),42906.99861111111)</f>
        <v>42906.99861</v>
      </c>
      <c r="B2541" s="1">
        <f>IFERROR(__xludf.DUMMYFUNCTION("""COMPUTED_VALUE"""),13291.0)</f>
        <v>13291</v>
      </c>
    </row>
    <row r="2542">
      <c r="A2542" s="3">
        <f>IFERROR(__xludf.DUMMYFUNCTION("""COMPUTED_VALUE"""),42907.99861111111)</f>
        <v>42907.99861</v>
      </c>
      <c r="B2542" s="1">
        <f>IFERROR(__xludf.DUMMYFUNCTION("""COMPUTED_VALUE"""),13301.0)</f>
        <v>13301</v>
      </c>
    </row>
    <row r="2543">
      <c r="A2543" s="3">
        <f>IFERROR(__xludf.DUMMYFUNCTION("""COMPUTED_VALUE"""),42908.99861111111)</f>
        <v>42908.99861</v>
      </c>
      <c r="B2543" s="1">
        <f>IFERROR(__xludf.DUMMYFUNCTION("""COMPUTED_VALUE"""),13341.0)</f>
        <v>13341</v>
      </c>
    </row>
    <row r="2544">
      <c r="A2544" s="3">
        <f>IFERROR(__xludf.DUMMYFUNCTION("""COMPUTED_VALUE"""),42909.99861111111)</f>
        <v>42909.99861</v>
      </c>
      <c r="B2544" s="1">
        <f>IFERROR(__xludf.DUMMYFUNCTION("""COMPUTED_VALUE"""),13309.0)</f>
        <v>13309</v>
      </c>
    </row>
    <row r="2545">
      <c r="A2545" s="3">
        <f>IFERROR(__xludf.DUMMYFUNCTION("""COMPUTED_VALUE"""),42910.99861111111)</f>
        <v>42910.99861</v>
      </c>
      <c r="B2545" s="1">
        <f>IFERROR(__xludf.DUMMYFUNCTION("""COMPUTED_VALUE"""),13315.57)</f>
        <v>13315.57</v>
      </c>
    </row>
    <row r="2546">
      <c r="A2546" s="3">
        <f>IFERROR(__xludf.DUMMYFUNCTION("""COMPUTED_VALUE"""),42911.99861111111)</f>
        <v>42911.99861</v>
      </c>
      <c r="B2546" s="1">
        <f>IFERROR(__xludf.DUMMYFUNCTION("""COMPUTED_VALUE"""),13284.0)</f>
        <v>13284</v>
      </c>
    </row>
    <row r="2547">
      <c r="A2547" s="3">
        <f>IFERROR(__xludf.DUMMYFUNCTION("""COMPUTED_VALUE"""),42912.99861111111)</f>
        <v>42912.99861</v>
      </c>
      <c r="B2547" s="1">
        <f>IFERROR(__xludf.DUMMYFUNCTION("""COMPUTED_VALUE"""),13318.0)</f>
        <v>13318</v>
      </c>
    </row>
    <row r="2548">
      <c r="A2548" s="3">
        <f>IFERROR(__xludf.DUMMYFUNCTION("""COMPUTED_VALUE"""),42913.99861111111)</f>
        <v>42913.99861</v>
      </c>
      <c r="B2548" s="1">
        <f>IFERROR(__xludf.DUMMYFUNCTION("""COMPUTED_VALUE"""),13308.0)</f>
        <v>13308</v>
      </c>
    </row>
    <row r="2549">
      <c r="A2549" s="3">
        <f>IFERROR(__xludf.DUMMYFUNCTION("""COMPUTED_VALUE"""),42914.99861111111)</f>
        <v>42914.99861</v>
      </c>
      <c r="B2549" s="1">
        <f>IFERROR(__xludf.DUMMYFUNCTION("""COMPUTED_VALUE"""),13296.0)</f>
        <v>13296</v>
      </c>
    </row>
    <row r="2550">
      <c r="A2550" s="3">
        <f>IFERROR(__xludf.DUMMYFUNCTION("""COMPUTED_VALUE"""),42915.99861111111)</f>
        <v>42915.99861</v>
      </c>
      <c r="B2550" s="1">
        <f>IFERROR(__xludf.DUMMYFUNCTION("""COMPUTED_VALUE"""),13278.0)</f>
        <v>13278</v>
      </c>
    </row>
    <row r="2551">
      <c r="A2551" s="3">
        <f>IFERROR(__xludf.DUMMYFUNCTION("""COMPUTED_VALUE"""),42916.99861111111)</f>
        <v>42916.99861</v>
      </c>
      <c r="B2551" s="1">
        <f>IFERROR(__xludf.DUMMYFUNCTION("""COMPUTED_VALUE"""),13313.0)</f>
        <v>13313</v>
      </c>
    </row>
    <row r="2552">
      <c r="A2552" s="3">
        <f>IFERROR(__xludf.DUMMYFUNCTION("""COMPUTED_VALUE"""),42917.99861111111)</f>
        <v>42917.99861</v>
      </c>
      <c r="B2552" s="1">
        <f>IFERROR(__xludf.DUMMYFUNCTION("""COMPUTED_VALUE"""),13295.0)</f>
        <v>13295</v>
      </c>
    </row>
    <row r="2553">
      <c r="A2553" s="3">
        <f>IFERROR(__xludf.DUMMYFUNCTION("""COMPUTED_VALUE"""),42918.99861111111)</f>
        <v>42918.99861</v>
      </c>
      <c r="B2553" s="1">
        <f>IFERROR(__xludf.DUMMYFUNCTION("""COMPUTED_VALUE"""),13298.0)</f>
        <v>13298</v>
      </c>
    </row>
    <row r="2554">
      <c r="A2554" s="3">
        <f>IFERROR(__xludf.DUMMYFUNCTION("""COMPUTED_VALUE"""),42919.99861111111)</f>
        <v>42919.99861</v>
      </c>
      <c r="B2554" s="1">
        <f>IFERROR(__xludf.DUMMYFUNCTION("""COMPUTED_VALUE"""),13364.0)</f>
        <v>13364</v>
      </c>
    </row>
    <row r="2555">
      <c r="A2555" s="3">
        <f>IFERROR(__xludf.DUMMYFUNCTION("""COMPUTED_VALUE"""),42920.99861111111)</f>
        <v>42920.99861</v>
      </c>
      <c r="B2555" s="1">
        <f>IFERROR(__xludf.DUMMYFUNCTION("""COMPUTED_VALUE"""),13351.0)</f>
        <v>13351</v>
      </c>
    </row>
    <row r="2556">
      <c r="A2556" s="3">
        <f>IFERROR(__xludf.DUMMYFUNCTION("""COMPUTED_VALUE"""),42921.99861111111)</f>
        <v>42921.99861</v>
      </c>
      <c r="B2556" s="1">
        <f>IFERROR(__xludf.DUMMYFUNCTION("""COMPUTED_VALUE"""),13363.0)</f>
        <v>13363</v>
      </c>
    </row>
    <row r="2557">
      <c r="A2557" s="3">
        <f>IFERROR(__xludf.DUMMYFUNCTION("""COMPUTED_VALUE"""),42922.99861111111)</f>
        <v>42922.99861</v>
      </c>
      <c r="B2557" s="1">
        <f>IFERROR(__xludf.DUMMYFUNCTION("""COMPUTED_VALUE"""),13383.0)</f>
        <v>13383</v>
      </c>
    </row>
    <row r="2558">
      <c r="A2558" s="3">
        <f>IFERROR(__xludf.DUMMYFUNCTION("""COMPUTED_VALUE"""),42923.99861111111)</f>
        <v>42923.99861</v>
      </c>
      <c r="B2558" s="1">
        <f>IFERROR(__xludf.DUMMYFUNCTION("""COMPUTED_VALUE"""),13405.0)</f>
        <v>13405</v>
      </c>
    </row>
    <row r="2559">
      <c r="A2559" s="3">
        <f>IFERROR(__xludf.DUMMYFUNCTION("""COMPUTED_VALUE"""),42924.99861111111)</f>
        <v>42924.99861</v>
      </c>
      <c r="B2559" s="1">
        <f>IFERROR(__xludf.DUMMYFUNCTION("""COMPUTED_VALUE"""),13422.81)</f>
        <v>13422.81</v>
      </c>
    </row>
    <row r="2560">
      <c r="A2560" s="3">
        <f>IFERROR(__xludf.DUMMYFUNCTION("""COMPUTED_VALUE"""),42925.99861111111)</f>
        <v>42925.99861</v>
      </c>
      <c r="B2560" s="1">
        <f>IFERROR(__xludf.DUMMYFUNCTION("""COMPUTED_VALUE"""),13408.0)</f>
        <v>13408</v>
      </c>
    </row>
    <row r="2561">
      <c r="A2561" s="3">
        <f>IFERROR(__xludf.DUMMYFUNCTION("""COMPUTED_VALUE"""),42926.99861111111)</f>
        <v>42926.99861</v>
      </c>
      <c r="B2561" s="1">
        <f>IFERROR(__xludf.DUMMYFUNCTION("""COMPUTED_VALUE"""),13388.0)</f>
        <v>13388</v>
      </c>
    </row>
    <row r="2562">
      <c r="A2562" s="3">
        <f>IFERROR(__xludf.DUMMYFUNCTION("""COMPUTED_VALUE"""),42927.99861111111)</f>
        <v>42927.99861</v>
      </c>
      <c r="B2562" s="1">
        <f>IFERROR(__xludf.DUMMYFUNCTION("""COMPUTED_VALUE"""),13349.0)</f>
        <v>13349</v>
      </c>
    </row>
    <row r="2563">
      <c r="A2563" s="3">
        <f>IFERROR(__xludf.DUMMYFUNCTION("""COMPUTED_VALUE"""),42928.99861111111)</f>
        <v>42928.99861</v>
      </c>
      <c r="B2563" s="1">
        <f>IFERROR(__xludf.DUMMYFUNCTION("""COMPUTED_VALUE"""),13363.0)</f>
        <v>13363</v>
      </c>
    </row>
    <row r="2564">
      <c r="A2564" s="3">
        <f>IFERROR(__xludf.DUMMYFUNCTION("""COMPUTED_VALUE"""),42929.99861111111)</f>
        <v>42929.99861</v>
      </c>
      <c r="B2564" s="1">
        <f>IFERROR(__xludf.DUMMYFUNCTION("""COMPUTED_VALUE"""),13341.0)</f>
        <v>13341</v>
      </c>
    </row>
    <row r="2565">
      <c r="A2565" s="3">
        <f>IFERROR(__xludf.DUMMYFUNCTION("""COMPUTED_VALUE"""),42930.99861111111)</f>
        <v>42930.99861</v>
      </c>
      <c r="B2565" s="1">
        <f>IFERROR(__xludf.DUMMYFUNCTION("""COMPUTED_VALUE"""),13295.0)</f>
        <v>13295</v>
      </c>
    </row>
    <row r="2566">
      <c r="A2566" s="3">
        <f>IFERROR(__xludf.DUMMYFUNCTION("""COMPUTED_VALUE"""),42931.99861111111)</f>
        <v>42931.99861</v>
      </c>
      <c r="B2566" s="1">
        <f>IFERROR(__xludf.DUMMYFUNCTION("""COMPUTED_VALUE"""),13297.87)</f>
        <v>13297.87</v>
      </c>
    </row>
    <row r="2567">
      <c r="A2567" s="3">
        <f>IFERROR(__xludf.DUMMYFUNCTION("""COMPUTED_VALUE"""),42932.99861111111)</f>
        <v>42932.99861</v>
      </c>
      <c r="B2567" s="1">
        <f>IFERROR(__xludf.DUMMYFUNCTION("""COMPUTED_VALUE"""),13332.0)</f>
        <v>13332</v>
      </c>
    </row>
    <row r="2568">
      <c r="A2568" s="3">
        <f>IFERROR(__xludf.DUMMYFUNCTION("""COMPUTED_VALUE"""),42933.99861111111)</f>
        <v>42933.99861</v>
      </c>
      <c r="B2568" s="1">
        <f>IFERROR(__xludf.DUMMYFUNCTION("""COMPUTED_VALUE"""),13321.0)</f>
        <v>13321</v>
      </c>
    </row>
    <row r="2569">
      <c r="A2569" s="3">
        <f>IFERROR(__xludf.DUMMYFUNCTION("""COMPUTED_VALUE"""),42934.99861111111)</f>
        <v>42934.99861</v>
      </c>
      <c r="B2569" s="1">
        <f>IFERROR(__xludf.DUMMYFUNCTION("""COMPUTED_VALUE"""),13302.0)</f>
        <v>13302</v>
      </c>
    </row>
    <row r="2570">
      <c r="A2570" s="3">
        <f>IFERROR(__xludf.DUMMYFUNCTION("""COMPUTED_VALUE"""),42935.99861111111)</f>
        <v>42935.99861</v>
      </c>
      <c r="B2570" s="1">
        <f>IFERROR(__xludf.DUMMYFUNCTION("""COMPUTED_VALUE"""),13309.0)</f>
        <v>13309</v>
      </c>
    </row>
    <row r="2571">
      <c r="A2571" s="3">
        <f>IFERROR(__xludf.DUMMYFUNCTION("""COMPUTED_VALUE"""),42936.99861111111)</f>
        <v>42936.99861</v>
      </c>
      <c r="B2571" s="1">
        <f>IFERROR(__xludf.DUMMYFUNCTION("""COMPUTED_VALUE"""),13303.0)</f>
        <v>13303</v>
      </c>
    </row>
    <row r="2572">
      <c r="A2572" s="3">
        <f>IFERROR(__xludf.DUMMYFUNCTION("""COMPUTED_VALUE"""),42937.99861111111)</f>
        <v>42937.99861</v>
      </c>
      <c r="B2572" s="1">
        <f>IFERROR(__xludf.DUMMYFUNCTION("""COMPUTED_VALUE"""),13321.0)</f>
        <v>13321</v>
      </c>
    </row>
    <row r="2573">
      <c r="A2573" s="3">
        <f>IFERROR(__xludf.DUMMYFUNCTION("""COMPUTED_VALUE"""),42938.99861111111)</f>
        <v>42938.99861</v>
      </c>
      <c r="B2573" s="1">
        <f>IFERROR(__xludf.DUMMYFUNCTION("""COMPUTED_VALUE"""),13322.0)</f>
        <v>13322</v>
      </c>
    </row>
    <row r="2574">
      <c r="A2574" s="3">
        <f>IFERROR(__xludf.DUMMYFUNCTION("""COMPUTED_VALUE"""),42939.99861111111)</f>
        <v>42939.99861</v>
      </c>
      <c r="B2574" s="1">
        <f>IFERROR(__xludf.DUMMYFUNCTION("""COMPUTED_VALUE"""),13265.0)</f>
        <v>13265</v>
      </c>
    </row>
    <row r="2575">
      <c r="A2575" s="3">
        <f>IFERROR(__xludf.DUMMYFUNCTION("""COMPUTED_VALUE"""),42940.99861111111)</f>
        <v>42940.99861</v>
      </c>
      <c r="B2575" s="1">
        <f>IFERROR(__xludf.DUMMYFUNCTION("""COMPUTED_VALUE"""),13316.0)</f>
        <v>13316</v>
      </c>
    </row>
    <row r="2576">
      <c r="A2576" s="3">
        <f>IFERROR(__xludf.DUMMYFUNCTION("""COMPUTED_VALUE"""),42941.99861111111)</f>
        <v>42941.99861</v>
      </c>
      <c r="B2576" s="1">
        <f>IFERROR(__xludf.DUMMYFUNCTION("""COMPUTED_VALUE"""),13328.0)</f>
        <v>13328</v>
      </c>
    </row>
    <row r="2577">
      <c r="A2577" s="3">
        <f>IFERROR(__xludf.DUMMYFUNCTION("""COMPUTED_VALUE"""),42942.99861111111)</f>
        <v>42942.99861</v>
      </c>
      <c r="B2577" s="1">
        <f>IFERROR(__xludf.DUMMYFUNCTION("""COMPUTED_VALUE"""),13329.0)</f>
        <v>13329</v>
      </c>
    </row>
    <row r="2578">
      <c r="A2578" s="3">
        <f>IFERROR(__xludf.DUMMYFUNCTION("""COMPUTED_VALUE"""),42943.99861111111)</f>
        <v>42943.99861</v>
      </c>
      <c r="B2578" s="1">
        <f>IFERROR(__xludf.DUMMYFUNCTION("""COMPUTED_VALUE"""),13311.0)</f>
        <v>13311</v>
      </c>
    </row>
    <row r="2579">
      <c r="A2579" s="3">
        <f>IFERROR(__xludf.DUMMYFUNCTION("""COMPUTED_VALUE"""),42944.99861111111)</f>
        <v>42944.99861</v>
      </c>
      <c r="B2579" s="1">
        <f>IFERROR(__xludf.DUMMYFUNCTION("""COMPUTED_VALUE"""),13335.0)</f>
        <v>13335</v>
      </c>
    </row>
    <row r="2580">
      <c r="A2580" s="3">
        <f>IFERROR(__xludf.DUMMYFUNCTION("""COMPUTED_VALUE"""),42945.99861111111)</f>
        <v>42945.99861</v>
      </c>
      <c r="B2580" s="1">
        <f>IFERROR(__xludf.DUMMYFUNCTION("""COMPUTED_VALUE"""),13320.0)</f>
        <v>13320</v>
      </c>
    </row>
    <row r="2581">
      <c r="A2581" s="3">
        <f>IFERROR(__xludf.DUMMYFUNCTION("""COMPUTED_VALUE"""),42946.99861111111)</f>
        <v>42946.99861</v>
      </c>
      <c r="B2581" s="1">
        <f>IFERROR(__xludf.DUMMYFUNCTION("""COMPUTED_VALUE"""),13320.0)</f>
        <v>13320</v>
      </c>
    </row>
    <row r="2582">
      <c r="A2582" s="3">
        <f>IFERROR(__xludf.DUMMYFUNCTION("""COMPUTED_VALUE"""),42947.99861111111)</f>
        <v>42947.99861</v>
      </c>
      <c r="B2582" s="1">
        <f>IFERROR(__xludf.DUMMYFUNCTION("""COMPUTED_VALUE"""),13318.0)</f>
        <v>13318</v>
      </c>
    </row>
    <row r="2583">
      <c r="A2583" s="3">
        <f>IFERROR(__xludf.DUMMYFUNCTION("""COMPUTED_VALUE"""),42948.99861111111)</f>
        <v>42948.99861</v>
      </c>
      <c r="B2583" s="1">
        <f>IFERROR(__xludf.DUMMYFUNCTION("""COMPUTED_VALUE"""),13317.0)</f>
        <v>13317</v>
      </c>
    </row>
    <row r="2584">
      <c r="A2584" s="3">
        <f>IFERROR(__xludf.DUMMYFUNCTION("""COMPUTED_VALUE"""),42949.99861111111)</f>
        <v>42949.99861</v>
      </c>
      <c r="B2584" s="1">
        <f>IFERROR(__xludf.DUMMYFUNCTION("""COMPUTED_VALUE"""),13317.0)</f>
        <v>13317</v>
      </c>
    </row>
    <row r="2585">
      <c r="A2585" s="3">
        <f>IFERROR(__xludf.DUMMYFUNCTION("""COMPUTED_VALUE"""),42950.99861111111)</f>
        <v>42950.99861</v>
      </c>
      <c r="B2585" s="1">
        <f>IFERROR(__xludf.DUMMYFUNCTION("""COMPUTED_VALUE"""),13319.0)</f>
        <v>13319</v>
      </c>
    </row>
    <row r="2586">
      <c r="A2586" s="3">
        <f>IFERROR(__xludf.DUMMYFUNCTION("""COMPUTED_VALUE"""),42951.99861111111)</f>
        <v>42951.99861</v>
      </c>
      <c r="B2586" s="1">
        <f>IFERROR(__xludf.DUMMYFUNCTION("""COMPUTED_VALUE"""),13312.0)</f>
        <v>13312</v>
      </c>
    </row>
    <row r="2587">
      <c r="A2587" s="3">
        <f>IFERROR(__xludf.DUMMYFUNCTION("""COMPUTED_VALUE"""),42952.99861111111)</f>
        <v>42952.99861</v>
      </c>
      <c r="B2587" s="1">
        <f>IFERROR(__xludf.DUMMYFUNCTION("""COMPUTED_VALUE"""),13333.33)</f>
        <v>13333.33</v>
      </c>
    </row>
    <row r="2588">
      <c r="A2588" s="3">
        <f>IFERROR(__xludf.DUMMYFUNCTION("""COMPUTED_VALUE"""),42953.99861111111)</f>
        <v>42953.99861</v>
      </c>
      <c r="B2588" s="1">
        <f>IFERROR(__xludf.DUMMYFUNCTION("""COMPUTED_VALUE"""),13309.0)</f>
        <v>13309</v>
      </c>
    </row>
    <row r="2589">
      <c r="A2589" s="3">
        <f>IFERROR(__xludf.DUMMYFUNCTION("""COMPUTED_VALUE"""),42954.99861111111)</f>
        <v>42954.99861</v>
      </c>
      <c r="B2589" s="1">
        <f>IFERROR(__xludf.DUMMYFUNCTION("""COMPUTED_VALUE"""),13315.0)</f>
        <v>13315</v>
      </c>
    </row>
    <row r="2590">
      <c r="A2590" s="3">
        <f>IFERROR(__xludf.DUMMYFUNCTION("""COMPUTED_VALUE"""),42955.99861111111)</f>
        <v>42955.99861</v>
      </c>
      <c r="B2590" s="1">
        <f>IFERROR(__xludf.DUMMYFUNCTION("""COMPUTED_VALUE"""),13306.0)</f>
        <v>13306</v>
      </c>
    </row>
    <row r="2591">
      <c r="A2591" s="3">
        <f>IFERROR(__xludf.DUMMYFUNCTION("""COMPUTED_VALUE"""),42956.99861111111)</f>
        <v>42956.99861</v>
      </c>
      <c r="B2591" s="1">
        <f>IFERROR(__xludf.DUMMYFUNCTION("""COMPUTED_VALUE"""),13326.0)</f>
        <v>13326</v>
      </c>
    </row>
    <row r="2592">
      <c r="A2592" s="3">
        <f>IFERROR(__xludf.DUMMYFUNCTION("""COMPUTED_VALUE"""),42957.99861111111)</f>
        <v>42957.99861</v>
      </c>
      <c r="B2592" s="1">
        <f>IFERROR(__xludf.DUMMYFUNCTION("""COMPUTED_VALUE"""),13327.0)</f>
        <v>13327</v>
      </c>
    </row>
    <row r="2593">
      <c r="A2593" s="3">
        <f>IFERROR(__xludf.DUMMYFUNCTION("""COMPUTED_VALUE"""),42958.99861111111)</f>
        <v>42958.99861</v>
      </c>
      <c r="B2593" s="1">
        <f>IFERROR(__xludf.DUMMYFUNCTION("""COMPUTED_VALUE"""),13349.0)</f>
        <v>13349</v>
      </c>
    </row>
    <row r="2594">
      <c r="A2594" s="3">
        <f>IFERROR(__xludf.DUMMYFUNCTION("""COMPUTED_VALUE"""),42959.99861111111)</f>
        <v>42959.99861</v>
      </c>
      <c r="B2594" s="1">
        <f>IFERROR(__xludf.DUMMYFUNCTION("""COMPUTED_VALUE"""),13351.0)</f>
        <v>13351</v>
      </c>
    </row>
    <row r="2595">
      <c r="A2595" s="3">
        <f>IFERROR(__xludf.DUMMYFUNCTION("""COMPUTED_VALUE"""),42960.99861111111)</f>
        <v>42960.99861</v>
      </c>
      <c r="B2595" s="1">
        <f>IFERROR(__xludf.DUMMYFUNCTION("""COMPUTED_VALUE"""),13351.0)</f>
        <v>13351</v>
      </c>
    </row>
    <row r="2596">
      <c r="A2596" s="3">
        <f>IFERROR(__xludf.DUMMYFUNCTION("""COMPUTED_VALUE"""),42961.99861111111)</f>
        <v>42961.99861</v>
      </c>
      <c r="B2596" s="1">
        <f>IFERROR(__xludf.DUMMYFUNCTION("""COMPUTED_VALUE"""),13342.0)</f>
        <v>13342</v>
      </c>
    </row>
    <row r="2597">
      <c r="A2597" s="3">
        <f>IFERROR(__xludf.DUMMYFUNCTION("""COMPUTED_VALUE"""),42962.99861111111)</f>
        <v>42962.99861</v>
      </c>
      <c r="B2597" s="1">
        <f>IFERROR(__xludf.DUMMYFUNCTION("""COMPUTED_VALUE"""),13354.0)</f>
        <v>13354</v>
      </c>
    </row>
    <row r="2598">
      <c r="A2598" s="3">
        <f>IFERROR(__xludf.DUMMYFUNCTION("""COMPUTED_VALUE"""),42963.99861111111)</f>
        <v>42963.99861</v>
      </c>
      <c r="B2598" s="1">
        <f>IFERROR(__xludf.DUMMYFUNCTION("""COMPUTED_VALUE"""),13350.0)</f>
        <v>13350</v>
      </c>
    </row>
    <row r="2599">
      <c r="A2599" s="3">
        <f>IFERROR(__xludf.DUMMYFUNCTION("""COMPUTED_VALUE"""),42964.99861111111)</f>
        <v>42964.99861</v>
      </c>
      <c r="B2599" s="1">
        <f>IFERROR(__xludf.DUMMYFUNCTION("""COMPUTED_VALUE"""),13372.0)</f>
        <v>13372</v>
      </c>
    </row>
    <row r="2600">
      <c r="A2600" s="3">
        <f>IFERROR(__xludf.DUMMYFUNCTION("""COMPUTED_VALUE"""),42965.99861111111)</f>
        <v>42965.99861</v>
      </c>
      <c r="B2600" s="1">
        <f>IFERROR(__xludf.DUMMYFUNCTION("""COMPUTED_VALUE"""),13358.0)</f>
        <v>13358</v>
      </c>
    </row>
    <row r="2601">
      <c r="A2601" s="3">
        <f>IFERROR(__xludf.DUMMYFUNCTION("""COMPUTED_VALUE"""),42966.99861111111)</f>
        <v>42966.99861</v>
      </c>
      <c r="B2601" s="1">
        <f>IFERROR(__xludf.DUMMYFUNCTION("""COMPUTED_VALUE"""),13355.0)</f>
        <v>13355</v>
      </c>
    </row>
    <row r="2602">
      <c r="A2602" s="3">
        <f>IFERROR(__xludf.DUMMYFUNCTION("""COMPUTED_VALUE"""),42967.99861111111)</f>
        <v>42967.99861</v>
      </c>
      <c r="B2602" s="1">
        <f>IFERROR(__xludf.DUMMYFUNCTION("""COMPUTED_VALUE"""),13355.0)</f>
        <v>13355</v>
      </c>
    </row>
    <row r="2603">
      <c r="A2603" s="3">
        <f>IFERROR(__xludf.DUMMYFUNCTION("""COMPUTED_VALUE"""),42968.99861111111)</f>
        <v>42968.99861</v>
      </c>
      <c r="B2603" s="1">
        <f>IFERROR(__xludf.DUMMYFUNCTION("""COMPUTED_VALUE"""),13344.0)</f>
        <v>13344</v>
      </c>
    </row>
    <row r="2604">
      <c r="A2604" s="3">
        <f>IFERROR(__xludf.DUMMYFUNCTION("""COMPUTED_VALUE"""),42969.99861111111)</f>
        <v>42969.99861</v>
      </c>
      <c r="B2604" s="1">
        <f>IFERROR(__xludf.DUMMYFUNCTION("""COMPUTED_VALUE"""),13325.0)</f>
        <v>13325</v>
      </c>
    </row>
    <row r="2605">
      <c r="A2605" s="3">
        <f>IFERROR(__xludf.DUMMYFUNCTION("""COMPUTED_VALUE"""),42970.99861111111)</f>
        <v>42970.99861</v>
      </c>
      <c r="B2605" s="1">
        <f>IFERROR(__xludf.DUMMYFUNCTION("""COMPUTED_VALUE"""),13351.0)</f>
        <v>13351</v>
      </c>
    </row>
    <row r="2606">
      <c r="A2606" s="3">
        <f>IFERROR(__xludf.DUMMYFUNCTION("""COMPUTED_VALUE"""),42971.99861111111)</f>
        <v>42971.99861</v>
      </c>
      <c r="B2606" s="1">
        <f>IFERROR(__xludf.DUMMYFUNCTION("""COMPUTED_VALUE"""),13333.0)</f>
        <v>13333</v>
      </c>
    </row>
    <row r="2607">
      <c r="A2607" s="3">
        <f>IFERROR(__xludf.DUMMYFUNCTION("""COMPUTED_VALUE"""),42972.99861111111)</f>
        <v>42972.99861</v>
      </c>
      <c r="B2607" s="1">
        <f>IFERROR(__xludf.DUMMYFUNCTION("""COMPUTED_VALUE"""),13341.0)</f>
        <v>13341</v>
      </c>
    </row>
    <row r="2608">
      <c r="A2608" s="3">
        <f>IFERROR(__xludf.DUMMYFUNCTION("""COMPUTED_VALUE"""),42973.99861111111)</f>
        <v>42973.99861</v>
      </c>
      <c r="B2608" s="1">
        <f>IFERROR(__xludf.DUMMYFUNCTION("""COMPUTED_VALUE"""),13341.0)</f>
        <v>13341</v>
      </c>
    </row>
    <row r="2609">
      <c r="A2609" s="3">
        <f>IFERROR(__xludf.DUMMYFUNCTION("""COMPUTED_VALUE"""),42974.99861111111)</f>
        <v>42974.99861</v>
      </c>
      <c r="B2609" s="1">
        <f>IFERROR(__xludf.DUMMYFUNCTION("""COMPUTED_VALUE"""),13339.0)</f>
        <v>13339</v>
      </c>
    </row>
    <row r="2610">
      <c r="A2610" s="3">
        <f>IFERROR(__xludf.DUMMYFUNCTION("""COMPUTED_VALUE"""),42975.99861111111)</f>
        <v>42975.99861</v>
      </c>
      <c r="B2610" s="1">
        <f>IFERROR(__xludf.DUMMYFUNCTION("""COMPUTED_VALUE"""),13303.0)</f>
        <v>13303</v>
      </c>
    </row>
    <row r="2611">
      <c r="A2611" s="3">
        <f>IFERROR(__xludf.DUMMYFUNCTION("""COMPUTED_VALUE"""),42976.99861111111)</f>
        <v>42976.99861</v>
      </c>
      <c r="B2611" s="1">
        <f>IFERROR(__xludf.DUMMYFUNCTION("""COMPUTED_VALUE"""),13333.0)</f>
        <v>13333</v>
      </c>
    </row>
    <row r="2612">
      <c r="A2612" s="3">
        <f>IFERROR(__xludf.DUMMYFUNCTION("""COMPUTED_VALUE"""),42977.99861111111)</f>
        <v>42977.99861</v>
      </c>
      <c r="B2612" s="1">
        <f>IFERROR(__xludf.DUMMYFUNCTION("""COMPUTED_VALUE"""),13334.0)</f>
        <v>13334</v>
      </c>
    </row>
    <row r="2613">
      <c r="A2613" s="3">
        <f>IFERROR(__xludf.DUMMYFUNCTION("""COMPUTED_VALUE"""),42978.99861111111)</f>
        <v>42978.99861</v>
      </c>
      <c r="B2613" s="1">
        <f>IFERROR(__xludf.DUMMYFUNCTION("""COMPUTED_VALUE"""),13321.0)</f>
        <v>13321</v>
      </c>
    </row>
    <row r="2614">
      <c r="A2614" s="3">
        <f>IFERROR(__xludf.DUMMYFUNCTION("""COMPUTED_VALUE"""),42979.99861111111)</f>
        <v>42979.99861</v>
      </c>
      <c r="B2614" s="1">
        <f>IFERROR(__xludf.DUMMYFUNCTION("""COMPUTED_VALUE"""),13333.0)</f>
        <v>13333</v>
      </c>
    </row>
    <row r="2615">
      <c r="A2615" s="3">
        <f>IFERROR(__xludf.DUMMYFUNCTION("""COMPUTED_VALUE"""),42980.99861111111)</f>
        <v>42980.99861</v>
      </c>
      <c r="B2615" s="1">
        <f>IFERROR(__xludf.DUMMYFUNCTION("""COMPUTED_VALUE"""),13335.0)</f>
        <v>13335</v>
      </c>
    </row>
    <row r="2616">
      <c r="A2616" s="3">
        <f>IFERROR(__xludf.DUMMYFUNCTION("""COMPUTED_VALUE"""),42981.99861111111)</f>
        <v>42981.99861</v>
      </c>
      <c r="B2616" s="1">
        <f>IFERROR(__xludf.DUMMYFUNCTION("""COMPUTED_VALUE"""),13331.0)</f>
        <v>13331</v>
      </c>
    </row>
    <row r="2617">
      <c r="A2617" s="3">
        <f>IFERROR(__xludf.DUMMYFUNCTION("""COMPUTED_VALUE"""),42982.99861111111)</f>
        <v>42982.99861</v>
      </c>
      <c r="B2617" s="1">
        <f>IFERROR(__xludf.DUMMYFUNCTION("""COMPUTED_VALUE"""),13353.0)</f>
        <v>13353</v>
      </c>
    </row>
    <row r="2618">
      <c r="A2618" s="3">
        <f>IFERROR(__xludf.DUMMYFUNCTION("""COMPUTED_VALUE"""),42983.99861111111)</f>
        <v>42983.99861</v>
      </c>
      <c r="B2618" s="1">
        <f>IFERROR(__xludf.DUMMYFUNCTION("""COMPUTED_VALUE"""),13333.0)</f>
        <v>13333</v>
      </c>
    </row>
    <row r="2619">
      <c r="A2619" s="3">
        <f>IFERROR(__xludf.DUMMYFUNCTION("""COMPUTED_VALUE"""),42984.99861111111)</f>
        <v>42984.99861</v>
      </c>
      <c r="B2619" s="1">
        <f>IFERROR(__xludf.DUMMYFUNCTION("""COMPUTED_VALUE"""),13339.0)</f>
        <v>13339</v>
      </c>
    </row>
    <row r="2620">
      <c r="A2620" s="3">
        <f>IFERROR(__xludf.DUMMYFUNCTION("""COMPUTED_VALUE"""),42985.99861111111)</f>
        <v>42985.99861</v>
      </c>
      <c r="B2620" s="1">
        <f>IFERROR(__xludf.DUMMYFUNCTION("""COMPUTED_VALUE"""),13289.0)</f>
        <v>13289</v>
      </c>
    </row>
    <row r="2621">
      <c r="A2621" s="3">
        <f>IFERROR(__xludf.DUMMYFUNCTION("""COMPUTED_VALUE"""),42986.99861111111)</f>
        <v>42986.99861</v>
      </c>
      <c r="B2621" s="1">
        <f>IFERROR(__xludf.DUMMYFUNCTION("""COMPUTED_VALUE"""),13197.0)</f>
        <v>13197</v>
      </c>
    </row>
    <row r="2622">
      <c r="A2622" s="3">
        <f>IFERROR(__xludf.DUMMYFUNCTION("""COMPUTED_VALUE"""),42987.99861111111)</f>
        <v>42987.99861</v>
      </c>
      <c r="B2622" s="1">
        <f>IFERROR(__xludf.DUMMYFUNCTION("""COMPUTED_VALUE"""),13195.0)</f>
        <v>13195</v>
      </c>
    </row>
    <row r="2623">
      <c r="A2623" s="3">
        <f>IFERROR(__xludf.DUMMYFUNCTION("""COMPUTED_VALUE"""),42988.99861111111)</f>
        <v>42988.99861</v>
      </c>
      <c r="B2623" s="1">
        <f>IFERROR(__xludf.DUMMYFUNCTION("""COMPUTED_VALUE"""),13197.0)</f>
        <v>13197</v>
      </c>
    </row>
    <row r="2624">
      <c r="A2624" s="3">
        <f>IFERROR(__xludf.DUMMYFUNCTION("""COMPUTED_VALUE"""),42989.99861111111)</f>
        <v>42989.99861</v>
      </c>
      <c r="B2624" s="1">
        <f>IFERROR(__xludf.DUMMYFUNCTION("""COMPUTED_VALUE"""),13176.0)</f>
        <v>13176</v>
      </c>
    </row>
    <row r="2625">
      <c r="A2625" s="3">
        <f>IFERROR(__xludf.DUMMYFUNCTION("""COMPUTED_VALUE"""),42990.99861111111)</f>
        <v>42990.99861</v>
      </c>
      <c r="B2625" s="1">
        <f>IFERROR(__xludf.DUMMYFUNCTION("""COMPUTED_VALUE"""),13208.0)</f>
        <v>13208</v>
      </c>
    </row>
    <row r="2626">
      <c r="A2626" s="3">
        <f>IFERROR(__xludf.DUMMYFUNCTION("""COMPUTED_VALUE"""),42991.99861111111)</f>
        <v>42991.99861</v>
      </c>
      <c r="B2626" s="1">
        <f>IFERROR(__xludf.DUMMYFUNCTION("""COMPUTED_VALUE"""),13242.0)</f>
        <v>13242</v>
      </c>
    </row>
    <row r="2627">
      <c r="A2627" s="3">
        <f>IFERROR(__xludf.DUMMYFUNCTION("""COMPUTED_VALUE"""),42992.99861111111)</f>
        <v>42992.99861</v>
      </c>
      <c r="B2627" s="1">
        <f>IFERROR(__xludf.DUMMYFUNCTION("""COMPUTED_VALUE"""),13262.0)</f>
        <v>13262</v>
      </c>
    </row>
    <row r="2628">
      <c r="A2628" s="3">
        <f>IFERROR(__xludf.DUMMYFUNCTION("""COMPUTED_VALUE"""),42993.99861111111)</f>
        <v>42993.99861</v>
      </c>
      <c r="B2628" s="1">
        <f>IFERROR(__xludf.DUMMYFUNCTION("""COMPUTED_VALUE"""),13246.0)</f>
        <v>13246</v>
      </c>
    </row>
    <row r="2629">
      <c r="A2629" s="3">
        <f>IFERROR(__xludf.DUMMYFUNCTION("""COMPUTED_VALUE"""),42994.99861111111)</f>
        <v>42994.99861</v>
      </c>
      <c r="B2629" s="1">
        <f>IFERROR(__xludf.DUMMYFUNCTION("""COMPUTED_VALUE"""),13262.59)</f>
        <v>13262.59</v>
      </c>
    </row>
    <row r="2630">
      <c r="A2630" s="3">
        <f>IFERROR(__xludf.DUMMYFUNCTION("""COMPUTED_VALUE"""),42995.99861111111)</f>
        <v>42995.99861</v>
      </c>
      <c r="B2630" s="1">
        <f>IFERROR(__xludf.DUMMYFUNCTION("""COMPUTED_VALUE"""),13252.0)</f>
        <v>13252</v>
      </c>
    </row>
    <row r="2631">
      <c r="A2631" s="3">
        <f>IFERROR(__xludf.DUMMYFUNCTION("""COMPUTED_VALUE"""),42996.99861111111)</f>
        <v>42996.99861</v>
      </c>
      <c r="B2631" s="1">
        <f>IFERROR(__xludf.DUMMYFUNCTION("""COMPUTED_VALUE"""),13268.0)</f>
        <v>13268</v>
      </c>
    </row>
    <row r="2632">
      <c r="A2632" s="3">
        <f>IFERROR(__xludf.DUMMYFUNCTION("""COMPUTED_VALUE"""),42997.99861111111)</f>
        <v>42997.99861</v>
      </c>
      <c r="B2632" s="1">
        <f>IFERROR(__xludf.DUMMYFUNCTION("""COMPUTED_VALUE"""),13256.0)</f>
        <v>13256</v>
      </c>
    </row>
    <row r="2633">
      <c r="A2633" s="3">
        <f>IFERROR(__xludf.DUMMYFUNCTION("""COMPUTED_VALUE"""),42998.99861111111)</f>
        <v>42998.99861</v>
      </c>
      <c r="B2633" s="1">
        <f>IFERROR(__xludf.DUMMYFUNCTION("""COMPUTED_VALUE"""),13273.0)</f>
        <v>13273</v>
      </c>
    </row>
    <row r="2634">
      <c r="A2634" s="3">
        <f>IFERROR(__xludf.DUMMYFUNCTION("""COMPUTED_VALUE"""),42999.99861111111)</f>
        <v>42999.99861</v>
      </c>
      <c r="B2634" s="1">
        <f>IFERROR(__xludf.DUMMYFUNCTION("""COMPUTED_VALUE"""),13273.0)</f>
        <v>13273</v>
      </c>
    </row>
    <row r="2635">
      <c r="A2635" s="3">
        <f>IFERROR(__xludf.DUMMYFUNCTION("""COMPUTED_VALUE"""),43000.99861111111)</f>
        <v>43000.99861</v>
      </c>
      <c r="B2635" s="1">
        <f>IFERROR(__xludf.DUMMYFUNCTION("""COMPUTED_VALUE"""),13290.0)</f>
        <v>13290</v>
      </c>
    </row>
    <row r="2636">
      <c r="A2636" s="3">
        <f>IFERROR(__xludf.DUMMYFUNCTION("""COMPUTED_VALUE"""),43001.99861111111)</f>
        <v>43001.99861</v>
      </c>
      <c r="B2636" s="1">
        <f>IFERROR(__xludf.DUMMYFUNCTION("""COMPUTED_VALUE"""),13297.87)</f>
        <v>13297.87</v>
      </c>
    </row>
    <row r="2637">
      <c r="A2637" s="3">
        <f>IFERROR(__xludf.DUMMYFUNCTION("""COMPUTED_VALUE"""),43002.99861111111)</f>
        <v>43002.99861</v>
      </c>
      <c r="B2637" s="1">
        <f>IFERROR(__xludf.DUMMYFUNCTION("""COMPUTED_VALUE"""),13306.0)</f>
        <v>13306</v>
      </c>
    </row>
    <row r="2638">
      <c r="A2638" s="3">
        <f>IFERROR(__xludf.DUMMYFUNCTION("""COMPUTED_VALUE"""),43003.99861111111)</f>
        <v>43003.99861</v>
      </c>
      <c r="B2638" s="1">
        <f>IFERROR(__xludf.DUMMYFUNCTION("""COMPUTED_VALUE"""),13319.0)</f>
        <v>13319</v>
      </c>
    </row>
    <row r="2639">
      <c r="A2639" s="3">
        <f>IFERROR(__xludf.DUMMYFUNCTION("""COMPUTED_VALUE"""),43004.99861111111)</f>
        <v>43004.99861</v>
      </c>
      <c r="B2639" s="1">
        <f>IFERROR(__xludf.DUMMYFUNCTION("""COMPUTED_VALUE"""),13375.0)</f>
        <v>13375</v>
      </c>
    </row>
    <row r="2640">
      <c r="A2640" s="3">
        <f>IFERROR(__xludf.DUMMYFUNCTION("""COMPUTED_VALUE"""),43005.99861111111)</f>
        <v>43005.99861</v>
      </c>
      <c r="B2640" s="1">
        <f>IFERROR(__xludf.DUMMYFUNCTION("""COMPUTED_VALUE"""),13433.0)</f>
        <v>13433</v>
      </c>
    </row>
    <row r="2641">
      <c r="A2641" s="3">
        <f>IFERROR(__xludf.DUMMYFUNCTION("""COMPUTED_VALUE"""),43006.99861111111)</f>
        <v>43006.99861</v>
      </c>
      <c r="B2641" s="1">
        <f>IFERROR(__xludf.DUMMYFUNCTION("""COMPUTED_VALUE"""),13508.0)</f>
        <v>13508</v>
      </c>
    </row>
    <row r="2642">
      <c r="A2642" s="3">
        <f>IFERROR(__xludf.DUMMYFUNCTION("""COMPUTED_VALUE"""),43007.99861111111)</f>
        <v>43007.99861</v>
      </c>
      <c r="B2642" s="1">
        <f>IFERROR(__xludf.DUMMYFUNCTION("""COMPUTED_VALUE"""),13460.0)</f>
        <v>13460</v>
      </c>
    </row>
    <row r="2643">
      <c r="A2643" s="3">
        <f>IFERROR(__xludf.DUMMYFUNCTION("""COMPUTED_VALUE"""),43008.99861111111)</f>
        <v>43008.99861</v>
      </c>
      <c r="B2643" s="1">
        <f>IFERROR(__xludf.DUMMYFUNCTION("""COMPUTED_VALUE"""),13477.08)</f>
        <v>13477.08</v>
      </c>
    </row>
    <row r="2644">
      <c r="A2644" s="3">
        <f>IFERROR(__xludf.DUMMYFUNCTION("""COMPUTED_VALUE"""),43009.99861111111)</f>
        <v>43009.99861</v>
      </c>
      <c r="B2644" s="1">
        <f>IFERROR(__xludf.DUMMYFUNCTION("""COMPUTED_VALUE"""),13465.0)</f>
        <v>13465</v>
      </c>
    </row>
    <row r="2645">
      <c r="A2645" s="3">
        <f>IFERROR(__xludf.DUMMYFUNCTION("""COMPUTED_VALUE"""),43010.99861111111)</f>
        <v>43010.99861</v>
      </c>
      <c r="B2645" s="1">
        <f>IFERROR(__xludf.DUMMYFUNCTION("""COMPUTED_VALUE"""),13531.0)</f>
        <v>13531</v>
      </c>
    </row>
    <row r="2646">
      <c r="A2646" s="3">
        <f>IFERROR(__xludf.DUMMYFUNCTION("""COMPUTED_VALUE"""),43011.99861111111)</f>
        <v>43011.99861</v>
      </c>
      <c r="B2646" s="1">
        <f>IFERROR(__xludf.DUMMYFUNCTION("""COMPUTED_VALUE"""),13536.0)</f>
        <v>13536</v>
      </c>
    </row>
    <row r="2647">
      <c r="A2647" s="3">
        <f>IFERROR(__xludf.DUMMYFUNCTION("""COMPUTED_VALUE"""),43012.99861111111)</f>
        <v>43012.99861</v>
      </c>
      <c r="B2647" s="1">
        <f>IFERROR(__xludf.DUMMYFUNCTION("""COMPUTED_VALUE"""),13470.0)</f>
        <v>13470</v>
      </c>
    </row>
    <row r="2648">
      <c r="A2648" s="3">
        <f>IFERROR(__xludf.DUMMYFUNCTION("""COMPUTED_VALUE"""),43013.99861111111)</f>
        <v>43013.99861</v>
      </c>
      <c r="B2648" s="1">
        <f>IFERROR(__xludf.DUMMYFUNCTION("""COMPUTED_VALUE"""),13451.0)</f>
        <v>13451</v>
      </c>
    </row>
    <row r="2649">
      <c r="A2649" s="3">
        <f>IFERROR(__xludf.DUMMYFUNCTION("""COMPUTED_VALUE"""),43014.99861111111)</f>
        <v>43014.99861</v>
      </c>
      <c r="B2649" s="1">
        <f>IFERROR(__xludf.DUMMYFUNCTION("""COMPUTED_VALUE"""),13502.0)</f>
        <v>13502</v>
      </c>
    </row>
    <row r="2650">
      <c r="A2650" s="3">
        <f>IFERROR(__xludf.DUMMYFUNCTION("""COMPUTED_VALUE"""),43015.99861111111)</f>
        <v>43015.99861</v>
      </c>
      <c r="B2650" s="1">
        <f>IFERROR(__xludf.DUMMYFUNCTION("""COMPUTED_VALUE"""),13497.0)</f>
        <v>13497</v>
      </c>
    </row>
    <row r="2651">
      <c r="A2651" s="3">
        <f>IFERROR(__xludf.DUMMYFUNCTION("""COMPUTED_VALUE"""),43016.99861111111)</f>
        <v>43016.99861</v>
      </c>
      <c r="B2651" s="1">
        <f>IFERROR(__xludf.DUMMYFUNCTION("""COMPUTED_VALUE"""),13497.0)</f>
        <v>13497</v>
      </c>
    </row>
    <row r="2652">
      <c r="A2652" s="3">
        <f>IFERROR(__xludf.DUMMYFUNCTION("""COMPUTED_VALUE"""),43017.99861111111)</f>
        <v>43017.99861</v>
      </c>
      <c r="B2652" s="1">
        <f>IFERROR(__xludf.DUMMYFUNCTION("""COMPUTED_VALUE"""),13510.0)</f>
        <v>13510</v>
      </c>
    </row>
    <row r="2653">
      <c r="A2653" s="3">
        <f>IFERROR(__xludf.DUMMYFUNCTION("""COMPUTED_VALUE"""),43018.99861111111)</f>
        <v>43018.99861</v>
      </c>
      <c r="B2653" s="1">
        <f>IFERROR(__xludf.DUMMYFUNCTION("""COMPUTED_VALUE"""),13510.0)</f>
        <v>13510</v>
      </c>
    </row>
    <row r="2654">
      <c r="A2654" s="3">
        <f>IFERROR(__xludf.DUMMYFUNCTION("""COMPUTED_VALUE"""),43019.99861111111)</f>
        <v>43019.99861</v>
      </c>
      <c r="B2654" s="1">
        <f>IFERROR(__xludf.DUMMYFUNCTION("""COMPUTED_VALUE"""),13510.0)</f>
        <v>13510</v>
      </c>
    </row>
    <row r="2655">
      <c r="A2655" s="3">
        <f>IFERROR(__xludf.DUMMYFUNCTION("""COMPUTED_VALUE"""),43020.99861111111)</f>
        <v>43020.99861</v>
      </c>
      <c r="B2655" s="1">
        <f>IFERROR(__xludf.DUMMYFUNCTION("""COMPUTED_VALUE"""),13498.0)</f>
        <v>13498</v>
      </c>
    </row>
    <row r="2656">
      <c r="A2656" s="3">
        <f>IFERROR(__xludf.DUMMYFUNCTION("""COMPUTED_VALUE"""),43021.99861111111)</f>
        <v>43021.99861</v>
      </c>
      <c r="B2656" s="1">
        <f>IFERROR(__xludf.DUMMYFUNCTION("""COMPUTED_VALUE"""),13430.0)</f>
        <v>13430</v>
      </c>
    </row>
    <row r="2657">
      <c r="A2657" s="3">
        <f>IFERROR(__xludf.DUMMYFUNCTION("""COMPUTED_VALUE"""),43022.99861111111)</f>
        <v>43022.99861</v>
      </c>
      <c r="B2657" s="1">
        <f>IFERROR(__xludf.DUMMYFUNCTION("""COMPUTED_VALUE"""),13492.0)</f>
        <v>13492</v>
      </c>
    </row>
    <row r="2658">
      <c r="A2658" s="3">
        <f>IFERROR(__xludf.DUMMYFUNCTION("""COMPUTED_VALUE"""),43023.99861111111)</f>
        <v>43023.99861</v>
      </c>
      <c r="B2658" s="1">
        <f>IFERROR(__xludf.DUMMYFUNCTION("""COMPUTED_VALUE"""),13492.0)</f>
        <v>13492</v>
      </c>
    </row>
    <row r="2659">
      <c r="A2659" s="3">
        <f>IFERROR(__xludf.DUMMYFUNCTION("""COMPUTED_VALUE"""),43024.99861111111)</f>
        <v>43024.99861</v>
      </c>
      <c r="B2659" s="1">
        <f>IFERROR(__xludf.DUMMYFUNCTION("""COMPUTED_VALUE"""),13476.0)</f>
        <v>13476</v>
      </c>
    </row>
    <row r="2660">
      <c r="A2660" s="3">
        <f>IFERROR(__xludf.DUMMYFUNCTION("""COMPUTED_VALUE"""),43025.99861111111)</f>
        <v>43025.99861</v>
      </c>
      <c r="B2660" s="1">
        <f>IFERROR(__xludf.DUMMYFUNCTION("""COMPUTED_VALUE"""),13495.0)</f>
        <v>13495</v>
      </c>
    </row>
    <row r="2661">
      <c r="A2661" s="3">
        <f>IFERROR(__xludf.DUMMYFUNCTION("""COMPUTED_VALUE"""),43026.99861111111)</f>
        <v>43026.99861</v>
      </c>
      <c r="B2661" s="1">
        <f>IFERROR(__xludf.DUMMYFUNCTION("""COMPUTED_VALUE"""),13510.0)</f>
        <v>13510</v>
      </c>
    </row>
    <row r="2662">
      <c r="A2662" s="3">
        <f>IFERROR(__xludf.DUMMYFUNCTION("""COMPUTED_VALUE"""),43027.99861111111)</f>
        <v>43027.99861</v>
      </c>
      <c r="B2662" s="1">
        <f>IFERROR(__xludf.DUMMYFUNCTION("""COMPUTED_VALUE"""),13490.0)</f>
        <v>13490</v>
      </c>
    </row>
    <row r="2663">
      <c r="A2663" s="3">
        <f>IFERROR(__xludf.DUMMYFUNCTION("""COMPUTED_VALUE"""),43028.99861111111)</f>
        <v>43028.99861</v>
      </c>
      <c r="B2663" s="1">
        <f>IFERROR(__xludf.DUMMYFUNCTION("""COMPUTED_VALUE"""),13516.0)</f>
        <v>13516</v>
      </c>
    </row>
    <row r="2664">
      <c r="A2664" s="3">
        <f>IFERROR(__xludf.DUMMYFUNCTION("""COMPUTED_VALUE"""),43029.99861111111)</f>
        <v>43029.99861</v>
      </c>
      <c r="B2664" s="1">
        <f>IFERROR(__xludf.DUMMYFUNCTION("""COMPUTED_VALUE"""),13516.0)</f>
        <v>13516</v>
      </c>
    </row>
    <row r="2665">
      <c r="A2665" s="3">
        <f>IFERROR(__xludf.DUMMYFUNCTION("""COMPUTED_VALUE"""),43030.99861111111)</f>
        <v>43030.99861</v>
      </c>
      <c r="B2665" s="1">
        <f>IFERROR(__xludf.DUMMYFUNCTION("""COMPUTED_VALUE"""),13516.0)</f>
        <v>13516</v>
      </c>
    </row>
    <row r="2666">
      <c r="A2666" s="3">
        <f>IFERROR(__xludf.DUMMYFUNCTION("""COMPUTED_VALUE"""),43031.99861111111)</f>
        <v>43031.99861</v>
      </c>
      <c r="B2666" s="1">
        <f>IFERROR(__xludf.DUMMYFUNCTION("""COMPUTED_VALUE"""),13535.0)</f>
        <v>13535</v>
      </c>
    </row>
    <row r="2667">
      <c r="A2667" s="3">
        <f>IFERROR(__xludf.DUMMYFUNCTION("""COMPUTED_VALUE"""),43032.99861111111)</f>
        <v>43032.99861</v>
      </c>
      <c r="B2667" s="1">
        <f>IFERROR(__xludf.DUMMYFUNCTION("""COMPUTED_VALUE"""),13525.0)</f>
        <v>13525</v>
      </c>
    </row>
    <row r="2668">
      <c r="A2668" s="3">
        <f>IFERROR(__xludf.DUMMYFUNCTION("""COMPUTED_VALUE"""),43033.99861111111)</f>
        <v>43033.99861</v>
      </c>
      <c r="B2668" s="1">
        <f>IFERROR(__xludf.DUMMYFUNCTION("""COMPUTED_VALUE"""),13572.0)</f>
        <v>13572</v>
      </c>
    </row>
    <row r="2669">
      <c r="A2669" s="3">
        <f>IFERROR(__xludf.DUMMYFUNCTION("""COMPUTED_VALUE"""),43034.99861111111)</f>
        <v>43034.99861</v>
      </c>
      <c r="B2669" s="1">
        <f>IFERROR(__xludf.DUMMYFUNCTION("""COMPUTED_VALUE"""),13643.0)</f>
        <v>13643</v>
      </c>
    </row>
    <row r="2670">
      <c r="A2670" s="3">
        <f>IFERROR(__xludf.DUMMYFUNCTION("""COMPUTED_VALUE"""),43035.99861111111)</f>
        <v>43035.99861</v>
      </c>
      <c r="B2670" s="1">
        <f>IFERROR(__xludf.DUMMYFUNCTION("""COMPUTED_VALUE"""),13591.0)</f>
        <v>13591</v>
      </c>
    </row>
    <row r="2671">
      <c r="A2671" s="3">
        <f>IFERROR(__xludf.DUMMYFUNCTION("""COMPUTED_VALUE"""),43036.99861111111)</f>
        <v>43036.99861</v>
      </c>
      <c r="B2671" s="1">
        <f>IFERROR(__xludf.DUMMYFUNCTION("""COMPUTED_VALUE"""),13605.44)</f>
        <v>13605.44</v>
      </c>
    </row>
    <row r="2672">
      <c r="A2672" s="3">
        <f>IFERROR(__xludf.DUMMYFUNCTION("""COMPUTED_VALUE"""),43037.99861111111)</f>
        <v>43037.99861</v>
      </c>
      <c r="B2672" s="1">
        <f>IFERROR(__xludf.DUMMYFUNCTION("""COMPUTED_VALUE"""),13588.0)</f>
        <v>13588</v>
      </c>
    </row>
    <row r="2673">
      <c r="A2673" s="3">
        <f>IFERROR(__xludf.DUMMYFUNCTION("""COMPUTED_VALUE"""),43038.99861111111)</f>
        <v>43038.99861</v>
      </c>
      <c r="B2673" s="1">
        <f>IFERROR(__xludf.DUMMYFUNCTION("""COMPUTED_VALUE"""),13574.0)</f>
        <v>13574</v>
      </c>
    </row>
    <row r="2674">
      <c r="A2674" s="3">
        <f>IFERROR(__xludf.DUMMYFUNCTION("""COMPUTED_VALUE"""),43039.99861111111)</f>
        <v>43039.99861</v>
      </c>
      <c r="B2674" s="1">
        <f>IFERROR(__xludf.DUMMYFUNCTION("""COMPUTED_VALUE"""),13554.0)</f>
        <v>13554</v>
      </c>
    </row>
    <row r="2675">
      <c r="A2675" s="3">
        <f>IFERROR(__xludf.DUMMYFUNCTION("""COMPUTED_VALUE"""),43040.99861111111)</f>
        <v>43040.99861</v>
      </c>
      <c r="B2675" s="1">
        <f>IFERROR(__xludf.DUMMYFUNCTION("""COMPUTED_VALUE"""),13553.0)</f>
        <v>13553</v>
      </c>
    </row>
    <row r="2676">
      <c r="A2676" s="3">
        <f>IFERROR(__xludf.DUMMYFUNCTION("""COMPUTED_VALUE"""),43041.99861111111)</f>
        <v>43041.99861</v>
      </c>
      <c r="B2676" s="1">
        <f>IFERROR(__xludf.DUMMYFUNCTION("""COMPUTED_VALUE"""),13543.0)</f>
        <v>13543</v>
      </c>
    </row>
    <row r="2677">
      <c r="A2677" s="3">
        <f>IFERROR(__xludf.DUMMYFUNCTION("""COMPUTED_VALUE"""),43042.99861111111)</f>
        <v>43042.99861</v>
      </c>
      <c r="B2677" s="1">
        <f>IFERROR(__xludf.DUMMYFUNCTION("""COMPUTED_VALUE"""),13480.0)</f>
        <v>13480</v>
      </c>
    </row>
    <row r="2678">
      <c r="A2678" s="3">
        <f>IFERROR(__xludf.DUMMYFUNCTION("""COMPUTED_VALUE"""),43043.99861111111)</f>
        <v>43043.99861</v>
      </c>
      <c r="B2678" s="1">
        <f>IFERROR(__xludf.DUMMYFUNCTION("""COMPUTED_VALUE"""),13480.0)</f>
        <v>13480</v>
      </c>
    </row>
    <row r="2679">
      <c r="A2679" s="3">
        <f>IFERROR(__xludf.DUMMYFUNCTION("""COMPUTED_VALUE"""),43044.99861111111)</f>
        <v>43044.99861</v>
      </c>
      <c r="B2679" s="1">
        <f>IFERROR(__xludf.DUMMYFUNCTION("""COMPUTED_VALUE"""),13480.0)</f>
        <v>13480</v>
      </c>
    </row>
    <row r="2680">
      <c r="A2680" s="3">
        <f>IFERROR(__xludf.DUMMYFUNCTION("""COMPUTED_VALUE"""),43045.99861111111)</f>
        <v>43045.99861</v>
      </c>
      <c r="B2680" s="1">
        <f>IFERROR(__xludf.DUMMYFUNCTION("""COMPUTED_VALUE"""),13483.0)</f>
        <v>13483</v>
      </c>
    </row>
    <row r="2681">
      <c r="A2681" s="3">
        <f>IFERROR(__xludf.DUMMYFUNCTION("""COMPUTED_VALUE"""),43046.99861111111)</f>
        <v>43046.99861</v>
      </c>
      <c r="B2681" s="1">
        <f>IFERROR(__xludf.DUMMYFUNCTION("""COMPUTED_VALUE"""),13514.0)</f>
        <v>13514</v>
      </c>
    </row>
    <row r="2682">
      <c r="A2682" s="3">
        <f>IFERROR(__xludf.DUMMYFUNCTION("""COMPUTED_VALUE"""),43047.99861111111)</f>
        <v>43047.99861</v>
      </c>
      <c r="B2682" s="1">
        <f>IFERROR(__xludf.DUMMYFUNCTION("""COMPUTED_VALUE"""),13503.0)</f>
        <v>13503</v>
      </c>
    </row>
    <row r="2683">
      <c r="A2683" s="3">
        <f>IFERROR(__xludf.DUMMYFUNCTION("""COMPUTED_VALUE"""),43048.99861111111)</f>
        <v>43048.99861</v>
      </c>
      <c r="B2683" s="1">
        <f>IFERROR(__xludf.DUMMYFUNCTION("""COMPUTED_VALUE"""),13527.0)</f>
        <v>13527</v>
      </c>
    </row>
    <row r="2684">
      <c r="A2684" s="3">
        <f>IFERROR(__xludf.DUMMYFUNCTION("""COMPUTED_VALUE"""),43049.99861111111)</f>
        <v>43049.99861</v>
      </c>
      <c r="B2684" s="1">
        <f>IFERROR(__xludf.DUMMYFUNCTION("""COMPUTED_VALUE"""),13542.0)</f>
        <v>13542</v>
      </c>
    </row>
    <row r="2685">
      <c r="A2685" s="3">
        <f>IFERROR(__xludf.DUMMYFUNCTION("""COMPUTED_VALUE"""),43050.99861111111)</f>
        <v>43050.99861</v>
      </c>
      <c r="B2685" s="1">
        <f>IFERROR(__xludf.DUMMYFUNCTION("""COMPUTED_VALUE"""),13550.13)</f>
        <v>13550.13</v>
      </c>
    </row>
    <row r="2686">
      <c r="A2686" s="3">
        <f>IFERROR(__xludf.DUMMYFUNCTION("""COMPUTED_VALUE"""),43051.99861111111)</f>
        <v>43051.99861</v>
      </c>
      <c r="B2686" s="1">
        <f>IFERROR(__xludf.DUMMYFUNCTION("""COMPUTED_VALUE"""),13512.0)</f>
        <v>13512</v>
      </c>
    </row>
    <row r="2687">
      <c r="A2687" s="3">
        <f>IFERROR(__xludf.DUMMYFUNCTION("""COMPUTED_VALUE"""),43052.99861111111)</f>
        <v>43052.99861</v>
      </c>
      <c r="B2687" s="1">
        <f>IFERROR(__xludf.DUMMYFUNCTION("""COMPUTED_VALUE"""),13553.0)</f>
        <v>13553</v>
      </c>
    </row>
    <row r="2688">
      <c r="A2688" s="3">
        <f>IFERROR(__xludf.DUMMYFUNCTION("""COMPUTED_VALUE"""),43053.99861111111)</f>
        <v>43053.99861</v>
      </c>
      <c r="B2688" s="1">
        <f>IFERROR(__xludf.DUMMYFUNCTION("""COMPUTED_VALUE"""),13545.0)</f>
        <v>13545</v>
      </c>
    </row>
    <row r="2689">
      <c r="A2689" s="3">
        <f>IFERROR(__xludf.DUMMYFUNCTION("""COMPUTED_VALUE"""),43054.99861111111)</f>
        <v>43054.99861</v>
      </c>
      <c r="B2689" s="1">
        <f>IFERROR(__xludf.DUMMYFUNCTION("""COMPUTED_VALUE"""),13535.0)</f>
        <v>13535</v>
      </c>
    </row>
    <row r="2690">
      <c r="A2690" s="3">
        <f>IFERROR(__xludf.DUMMYFUNCTION("""COMPUTED_VALUE"""),43055.99861111111)</f>
        <v>43055.99861</v>
      </c>
      <c r="B2690" s="1">
        <f>IFERROR(__xludf.DUMMYFUNCTION("""COMPUTED_VALUE"""),13514.0)</f>
        <v>13514</v>
      </c>
    </row>
    <row r="2691">
      <c r="A2691" s="3">
        <f>IFERROR(__xludf.DUMMYFUNCTION("""COMPUTED_VALUE"""),43056.99861111111)</f>
        <v>43056.99861</v>
      </c>
      <c r="B2691" s="1">
        <f>IFERROR(__xludf.DUMMYFUNCTION("""COMPUTED_VALUE"""),13508.0)</f>
        <v>13508</v>
      </c>
    </row>
    <row r="2692">
      <c r="A2692" s="3">
        <f>IFERROR(__xludf.DUMMYFUNCTION("""COMPUTED_VALUE"""),43057.99861111111)</f>
        <v>43057.99861</v>
      </c>
      <c r="B2692" s="1">
        <f>IFERROR(__xludf.DUMMYFUNCTION("""COMPUTED_VALUE"""),13513.51)</f>
        <v>13513.51</v>
      </c>
    </row>
    <row r="2693">
      <c r="A2693" s="3">
        <f>IFERROR(__xludf.DUMMYFUNCTION("""COMPUTED_VALUE"""),43058.99861111111)</f>
        <v>43058.99861</v>
      </c>
      <c r="B2693" s="1">
        <f>IFERROR(__xludf.DUMMYFUNCTION("""COMPUTED_VALUE"""),13508.0)</f>
        <v>13508</v>
      </c>
    </row>
    <row r="2694">
      <c r="A2694" s="3">
        <f>IFERROR(__xludf.DUMMYFUNCTION("""COMPUTED_VALUE"""),43059.99861111111)</f>
        <v>43059.99861</v>
      </c>
      <c r="B2694" s="1">
        <f>IFERROR(__xludf.DUMMYFUNCTION("""COMPUTED_VALUE"""),13525.0)</f>
        <v>13525</v>
      </c>
    </row>
    <row r="2695">
      <c r="A2695" s="3">
        <f>IFERROR(__xludf.DUMMYFUNCTION("""COMPUTED_VALUE"""),43060.99861111111)</f>
        <v>43060.99861</v>
      </c>
      <c r="B2695" s="1">
        <f>IFERROR(__xludf.DUMMYFUNCTION("""COMPUTED_VALUE"""),13519.0)</f>
        <v>13519</v>
      </c>
    </row>
    <row r="2696">
      <c r="A2696" s="3">
        <f>IFERROR(__xludf.DUMMYFUNCTION("""COMPUTED_VALUE"""),43061.99861111111)</f>
        <v>43061.99861</v>
      </c>
      <c r="B2696" s="1">
        <f>IFERROR(__xludf.DUMMYFUNCTION("""COMPUTED_VALUE"""),13491.0)</f>
        <v>13491</v>
      </c>
    </row>
    <row r="2697">
      <c r="A2697" s="3">
        <f>IFERROR(__xludf.DUMMYFUNCTION("""COMPUTED_VALUE"""),43062.99861111111)</f>
        <v>43062.99861</v>
      </c>
      <c r="B2697" s="1">
        <f>IFERROR(__xludf.DUMMYFUNCTION("""COMPUTED_VALUE"""),13489.0)</f>
        <v>13489</v>
      </c>
    </row>
    <row r="2698">
      <c r="A2698" s="3">
        <f>IFERROR(__xludf.DUMMYFUNCTION("""COMPUTED_VALUE"""),43063.99861111111)</f>
        <v>43063.99861</v>
      </c>
      <c r="B2698" s="1">
        <f>IFERROR(__xludf.DUMMYFUNCTION("""COMPUTED_VALUE"""),13498.0)</f>
        <v>13498</v>
      </c>
    </row>
    <row r="2699">
      <c r="A2699" s="3">
        <f>IFERROR(__xludf.DUMMYFUNCTION("""COMPUTED_VALUE"""),43064.99861111111)</f>
        <v>43064.99861</v>
      </c>
      <c r="B2699" s="1">
        <f>IFERROR(__xludf.DUMMYFUNCTION("""COMPUTED_VALUE"""),13498.0)</f>
        <v>13498</v>
      </c>
    </row>
    <row r="2700">
      <c r="A2700" s="3">
        <f>IFERROR(__xludf.DUMMYFUNCTION("""COMPUTED_VALUE"""),43065.99861111111)</f>
        <v>43065.99861</v>
      </c>
      <c r="B2700" s="1">
        <f>IFERROR(__xludf.DUMMYFUNCTION("""COMPUTED_VALUE"""),13498.0)</f>
        <v>13498</v>
      </c>
    </row>
    <row r="2701">
      <c r="A2701" s="3">
        <f>IFERROR(__xludf.DUMMYFUNCTION("""COMPUTED_VALUE"""),43066.99861111111)</f>
        <v>43066.99861</v>
      </c>
      <c r="B2701" s="1">
        <f>IFERROR(__xludf.DUMMYFUNCTION("""COMPUTED_VALUE"""),13511.0)</f>
        <v>13511</v>
      </c>
    </row>
    <row r="2702">
      <c r="A2702" s="3">
        <f>IFERROR(__xludf.DUMMYFUNCTION("""COMPUTED_VALUE"""),43067.99861111111)</f>
        <v>43067.99861</v>
      </c>
      <c r="B2702" s="1">
        <f>IFERROR(__xludf.DUMMYFUNCTION("""COMPUTED_VALUE"""),13500.0)</f>
        <v>13500</v>
      </c>
    </row>
    <row r="2703">
      <c r="A2703" s="3">
        <f>IFERROR(__xludf.DUMMYFUNCTION("""COMPUTED_VALUE"""),43068.99861111111)</f>
        <v>43068.99861</v>
      </c>
      <c r="B2703" s="1">
        <f>IFERROR(__xludf.DUMMYFUNCTION("""COMPUTED_VALUE"""),13504.0)</f>
        <v>13504</v>
      </c>
    </row>
    <row r="2704">
      <c r="A2704" s="3">
        <f>IFERROR(__xludf.DUMMYFUNCTION("""COMPUTED_VALUE"""),43069.99861111111)</f>
        <v>43069.99861</v>
      </c>
      <c r="B2704" s="1">
        <f>IFERROR(__xludf.DUMMYFUNCTION("""COMPUTED_VALUE"""),13541.0)</f>
        <v>13541</v>
      </c>
    </row>
    <row r="2705">
      <c r="A2705" s="3">
        <f>IFERROR(__xludf.DUMMYFUNCTION("""COMPUTED_VALUE"""),43070.99861111111)</f>
        <v>43070.99861</v>
      </c>
      <c r="B2705" s="1">
        <f>IFERROR(__xludf.DUMMYFUNCTION("""COMPUTED_VALUE"""),13526.0)</f>
        <v>13526</v>
      </c>
    </row>
    <row r="2706">
      <c r="A2706" s="3">
        <f>IFERROR(__xludf.DUMMYFUNCTION("""COMPUTED_VALUE"""),43071.99861111111)</f>
        <v>43071.99861</v>
      </c>
      <c r="B2706" s="1">
        <f>IFERROR(__xludf.DUMMYFUNCTION("""COMPUTED_VALUE"""),13531.79)</f>
        <v>13531.79</v>
      </c>
    </row>
    <row r="2707">
      <c r="A2707" s="3">
        <f>IFERROR(__xludf.DUMMYFUNCTION("""COMPUTED_VALUE"""),43072.99861111111)</f>
        <v>43072.99861</v>
      </c>
      <c r="B2707" s="1">
        <f>IFERROR(__xludf.DUMMYFUNCTION("""COMPUTED_VALUE"""),13560.0)</f>
        <v>13560</v>
      </c>
    </row>
    <row r="2708">
      <c r="A2708" s="3">
        <f>IFERROR(__xludf.DUMMYFUNCTION("""COMPUTED_VALUE"""),43073.99861111111)</f>
        <v>43073.99861</v>
      </c>
      <c r="B2708" s="1">
        <f>IFERROR(__xludf.DUMMYFUNCTION("""COMPUTED_VALUE"""),13494.0)</f>
        <v>13494</v>
      </c>
    </row>
    <row r="2709">
      <c r="A2709" s="3">
        <f>IFERROR(__xludf.DUMMYFUNCTION("""COMPUTED_VALUE"""),43074.99861111111)</f>
        <v>43074.99861</v>
      </c>
      <c r="B2709" s="1">
        <f>IFERROR(__xludf.DUMMYFUNCTION("""COMPUTED_VALUE"""),13513.0)</f>
        <v>13513</v>
      </c>
    </row>
    <row r="2710">
      <c r="A2710" s="3">
        <f>IFERROR(__xludf.DUMMYFUNCTION("""COMPUTED_VALUE"""),43075.99861111111)</f>
        <v>43075.99861</v>
      </c>
      <c r="B2710" s="1">
        <f>IFERROR(__xludf.DUMMYFUNCTION("""COMPUTED_VALUE"""),13534.0)</f>
        <v>13534</v>
      </c>
    </row>
    <row r="2711">
      <c r="A2711" s="3">
        <f>IFERROR(__xludf.DUMMYFUNCTION("""COMPUTED_VALUE"""),43076.99861111111)</f>
        <v>43076.99861</v>
      </c>
      <c r="B2711" s="1">
        <f>IFERROR(__xludf.DUMMYFUNCTION("""COMPUTED_VALUE"""),13553.0)</f>
        <v>13553</v>
      </c>
    </row>
    <row r="2712">
      <c r="A2712" s="3">
        <f>IFERROR(__xludf.DUMMYFUNCTION("""COMPUTED_VALUE"""),43077.99861111111)</f>
        <v>43077.99861</v>
      </c>
      <c r="B2712" s="1">
        <f>IFERROR(__xludf.DUMMYFUNCTION("""COMPUTED_VALUE"""),13538.0)</f>
        <v>13538</v>
      </c>
    </row>
    <row r="2713">
      <c r="A2713" s="3">
        <f>IFERROR(__xludf.DUMMYFUNCTION("""COMPUTED_VALUE"""),43078.99861111111)</f>
        <v>43078.99861</v>
      </c>
      <c r="B2713" s="1">
        <f>IFERROR(__xludf.DUMMYFUNCTION("""COMPUTED_VALUE"""),13538.0)</f>
        <v>13538</v>
      </c>
    </row>
    <row r="2714">
      <c r="A2714" s="3">
        <f>IFERROR(__xludf.DUMMYFUNCTION("""COMPUTED_VALUE"""),43079.99861111111)</f>
        <v>43079.99861</v>
      </c>
      <c r="B2714" s="1">
        <f>IFERROR(__xludf.DUMMYFUNCTION("""COMPUTED_VALUE"""),13507.0)</f>
        <v>13507</v>
      </c>
    </row>
    <row r="2715">
      <c r="A2715" s="3">
        <f>IFERROR(__xludf.DUMMYFUNCTION("""COMPUTED_VALUE"""),43080.99861111111)</f>
        <v>43080.99861</v>
      </c>
      <c r="B2715" s="1">
        <f>IFERROR(__xludf.DUMMYFUNCTION("""COMPUTED_VALUE"""),13552.0)</f>
        <v>13552</v>
      </c>
    </row>
    <row r="2716">
      <c r="A2716" s="3">
        <f>IFERROR(__xludf.DUMMYFUNCTION("""COMPUTED_VALUE"""),43081.99861111111)</f>
        <v>43081.99861</v>
      </c>
      <c r="B2716" s="1">
        <f>IFERROR(__xludf.DUMMYFUNCTION("""COMPUTED_VALUE"""),13551.0)</f>
        <v>13551</v>
      </c>
    </row>
    <row r="2717">
      <c r="A2717" s="3">
        <f>IFERROR(__xludf.DUMMYFUNCTION("""COMPUTED_VALUE"""),43082.99861111111)</f>
        <v>43082.99861</v>
      </c>
      <c r="B2717" s="1">
        <f>IFERROR(__xludf.DUMMYFUNCTION("""COMPUTED_VALUE"""),13540.0)</f>
        <v>13540</v>
      </c>
    </row>
    <row r="2718">
      <c r="A2718" s="3">
        <f>IFERROR(__xludf.DUMMYFUNCTION("""COMPUTED_VALUE"""),43083.99861111111)</f>
        <v>43083.99861</v>
      </c>
      <c r="B2718" s="1">
        <f>IFERROR(__xludf.DUMMYFUNCTION("""COMPUTED_VALUE"""),13554.0)</f>
        <v>13554</v>
      </c>
    </row>
    <row r="2719">
      <c r="A2719" s="3">
        <f>IFERROR(__xludf.DUMMYFUNCTION("""COMPUTED_VALUE"""),43084.99861111111)</f>
        <v>43084.99861</v>
      </c>
      <c r="B2719" s="1">
        <f>IFERROR(__xludf.DUMMYFUNCTION("""COMPUTED_VALUE"""),13568.0)</f>
        <v>13568</v>
      </c>
    </row>
    <row r="2720">
      <c r="A2720" s="3">
        <f>IFERROR(__xludf.DUMMYFUNCTION("""COMPUTED_VALUE"""),43085.99861111111)</f>
        <v>43085.99861</v>
      </c>
      <c r="B2720" s="1">
        <f>IFERROR(__xludf.DUMMYFUNCTION("""COMPUTED_VALUE"""),13586.95)</f>
        <v>13586.95</v>
      </c>
    </row>
    <row r="2721">
      <c r="A2721" s="3">
        <f>IFERROR(__xludf.DUMMYFUNCTION("""COMPUTED_VALUE"""),43086.99861111111)</f>
        <v>43086.99861</v>
      </c>
      <c r="B2721" s="1">
        <f>IFERROR(__xludf.DUMMYFUNCTION("""COMPUTED_VALUE"""),13568.0)</f>
        <v>13568</v>
      </c>
    </row>
    <row r="2722">
      <c r="A2722" s="3">
        <f>IFERROR(__xludf.DUMMYFUNCTION("""COMPUTED_VALUE"""),43087.99861111111)</f>
        <v>43087.99861</v>
      </c>
      <c r="B2722" s="1">
        <f>IFERROR(__xludf.DUMMYFUNCTION("""COMPUTED_VALUE"""),13580.0)</f>
        <v>13580</v>
      </c>
    </row>
    <row r="2723">
      <c r="A2723" s="3">
        <f>IFERROR(__xludf.DUMMYFUNCTION("""COMPUTED_VALUE"""),43088.99861111111)</f>
        <v>43088.99861</v>
      </c>
      <c r="B2723" s="1">
        <f>IFERROR(__xludf.DUMMYFUNCTION("""COMPUTED_VALUE"""),13575.0)</f>
        <v>13575</v>
      </c>
    </row>
    <row r="2724">
      <c r="A2724" s="3">
        <f>IFERROR(__xludf.DUMMYFUNCTION("""COMPUTED_VALUE"""),43089.99861111111)</f>
        <v>43089.99861</v>
      </c>
      <c r="B2724" s="1">
        <f>IFERROR(__xludf.DUMMYFUNCTION("""COMPUTED_VALUE"""),13573.0)</f>
        <v>13573</v>
      </c>
    </row>
    <row r="2725">
      <c r="A2725" s="3">
        <f>IFERROR(__xludf.DUMMYFUNCTION("""COMPUTED_VALUE"""),43090.99861111111)</f>
        <v>43090.99861</v>
      </c>
      <c r="B2725" s="1">
        <f>IFERROR(__xludf.DUMMYFUNCTION("""COMPUTED_VALUE"""),13562.0)</f>
        <v>13562</v>
      </c>
    </row>
    <row r="2726">
      <c r="A2726" s="3">
        <f>IFERROR(__xludf.DUMMYFUNCTION("""COMPUTED_VALUE"""),43091.99861111111)</f>
        <v>43091.99861</v>
      </c>
      <c r="B2726" s="1">
        <f>IFERROR(__xludf.DUMMYFUNCTION("""COMPUTED_VALUE"""),13547.0)</f>
        <v>13547</v>
      </c>
    </row>
    <row r="2727">
      <c r="A2727" s="3">
        <f>IFERROR(__xludf.DUMMYFUNCTION("""COMPUTED_VALUE"""),43092.99861111111)</f>
        <v>43092.99861</v>
      </c>
      <c r="B2727" s="1">
        <f>IFERROR(__xludf.DUMMYFUNCTION("""COMPUTED_VALUE"""),13547.0)</f>
        <v>13547</v>
      </c>
    </row>
    <row r="2728">
      <c r="A2728" s="3">
        <f>IFERROR(__xludf.DUMMYFUNCTION("""COMPUTED_VALUE"""),43093.99861111111)</f>
        <v>43093.99861</v>
      </c>
      <c r="B2728" s="1">
        <f>IFERROR(__xludf.DUMMYFUNCTION("""COMPUTED_VALUE"""),13551.0)</f>
        <v>13551</v>
      </c>
    </row>
    <row r="2729">
      <c r="A2729" s="3">
        <f>IFERROR(__xludf.DUMMYFUNCTION("""COMPUTED_VALUE"""),43094.99861111111)</f>
        <v>43094.99861</v>
      </c>
      <c r="B2729" s="1">
        <f>IFERROR(__xludf.DUMMYFUNCTION("""COMPUTED_VALUE"""),13532.0)</f>
        <v>13532</v>
      </c>
    </row>
    <row r="2730">
      <c r="A2730" s="3">
        <f>IFERROR(__xludf.DUMMYFUNCTION("""COMPUTED_VALUE"""),43095.99861111111)</f>
        <v>43095.99861</v>
      </c>
      <c r="B2730" s="1">
        <f>IFERROR(__xludf.DUMMYFUNCTION("""COMPUTED_VALUE"""),13552.0)</f>
        <v>13552</v>
      </c>
    </row>
    <row r="2731">
      <c r="A2731" s="3">
        <f>IFERROR(__xludf.DUMMYFUNCTION("""COMPUTED_VALUE"""),43096.99861111111)</f>
        <v>43096.99861</v>
      </c>
      <c r="B2731" s="1">
        <f>IFERROR(__xludf.DUMMYFUNCTION("""COMPUTED_VALUE"""),13558.0)</f>
        <v>13558</v>
      </c>
    </row>
    <row r="2732">
      <c r="A2732" s="3">
        <f>IFERROR(__xludf.DUMMYFUNCTION("""COMPUTED_VALUE"""),43097.99861111111)</f>
        <v>43097.99861</v>
      </c>
      <c r="B2732" s="1">
        <f>IFERROR(__xludf.DUMMYFUNCTION("""COMPUTED_VALUE"""),13558.0)</f>
        <v>13558</v>
      </c>
    </row>
    <row r="2733">
      <c r="A2733" s="3">
        <f>IFERROR(__xludf.DUMMYFUNCTION("""COMPUTED_VALUE"""),43098.99861111111)</f>
        <v>43098.99861</v>
      </c>
      <c r="B2733" s="1">
        <f>IFERROR(__xludf.DUMMYFUNCTION("""COMPUTED_VALUE"""),13500.0)</f>
        <v>13500</v>
      </c>
    </row>
    <row r="2734">
      <c r="A2734" s="3">
        <f>IFERROR(__xludf.DUMMYFUNCTION("""COMPUTED_VALUE"""),43099.99861111111)</f>
        <v>43099.99861</v>
      </c>
      <c r="B2734" s="1">
        <f>IFERROR(__xludf.DUMMYFUNCTION("""COMPUTED_VALUE"""),13477.0)</f>
        <v>13477</v>
      </c>
    </row>
    <row r="2735">
      <c r="A2735" s="3">
        <f>IFERROR(__xludf.DUMMYFUNCTION("""COMPUTED_VALUE"""),43100.99861111111)</f>
        <v>43100.99861</v>
      </c>
      <c r="B2735" s="1">
        <f>IFERROR(__xludf.DUMMYFUNCTION("""COMPUTED_VALUE"""),13542.0)</f>
        <v>13542</v>
      </c>
    </row>
    <row r="2736">
      <c r="A2736" s="3">
        <f>IFERROR(__xludf.DUMMYFUNCTION("""COMPUTED_VALUE"""),43101.99861111111)</f>
        <v>43101.99861</v>
      </c>
      <c r="B2736" s="1">
        <f>IFERROR(__xludf.DUMMYFUNCTION("""COMPUTED_VALUE"""),13550.0)</f>
        <v>13550</v>
      </c>
    </row>
    <row r="2737">
      <c r="A2737" s="3">
        <f>IFERROR(__xludf.DUMMYFUNCTION("""COMPUTED_VALUE"""),43102.99861111111)</f>
        <v>43102.99861</v>
      </c>
      <c r="B2737" s="1">
        <f>IFERROR(__xludf.DUMMYFUNCTION("""COMPUTED_VALUE"""),13496.0)</f>
        <v>13496</v>
      </c>
    </row>
    <row r="2738">
      <c r="A2738" s="3">
        <f>IFERROR(__xludf.DUMMYFUNCTION("""COMPUTED_VALUE"""),43103.99861111111)</f>
        <v>43103.99861</v>
      </c>
      <c r="B2738" s="1">
        <f>IFERROR(__xludf.DUMMYFUNCTION("""COMPUTED_VALUE"""),13468.0)</f>
        <v>13468</v>
      </c>
    </row>
    <row r="2739">
      <c r="A2739" s="3">
        <f>IFERROR(__xludf.DUMMYFUNCTION("""COMPUTED_VALUE"""),43104.99861111111)</f>
        <v>43104.99861</v>
      </c>
      <c r="B2739" s="1">
        <f>IFERROR(__xludf.DUMMYFUNCTION("""COMPUTED_VALUE"""),13415.0)</f>
        <v>13415</v>
      </c>
    </row>
    <row r="2740">
      <c r="A2740" s="3">
        <f>IFERROR(__xludf.DUMMYFUNCTION("""COMPUTED_VALUE"""),43105.99861111111)</f>
        <v>43105.99861</v>
      </c>
      <c r="B2740" s="1">
        <f>IFERROR(__xludf.DUMMYFUNCTION("""COMPUTED_VALUE"""),13411.0)</f>
        <v>13411</v>
      </c>
    </row>
    <row r="2741">
      <c r="A2741" s="3">
        <f>IFERROR(__xludf.DUMMYFUNCTION("""COMPUTED_VALUE"""),43106.99861111111)</f>
        <v>43106.99861</v>
      </c>
      <c r="B2741" s="1">
        <f>IFERROR(__xludf.DUMMYFUNCTION("""COMPUTED_VALUE"""),13422.81)</f>
        <v>13422.81</v>
      </c>
    </row>
    <row r="2742">
      <c r="A2742" s="3">
        <f>IFERROR(__xludf.DUMMYFUNCTION("""COMPUTED_VALUE"""),43107.99861111111)</f>
        <v>43107.99861</v>
      </c>
      <c r="B2742" s="1">
        <f>IFERROR(__xludf.DUMMYFUNCTION("""COMPUTED_VALUE"""),13427.0)</f>
        <v>13427</v>
      </c>
    </row>
    <row r="2743">
      <c r="A2743" s="3">
        <f>IFERROR(__xludf.DUMMYFUNCTION("""COMPUTED_VALUE"""),43108.99861111111)</f>
        <v>43108.99861</v>
      </c>
      <c r="B2743" s="1">
        <f>IFERROR(__xludf.DUMMYFUNCTION("""COMPUTED_VALUE"""),13427.0)</f>
        <v>13427</v>
      </c>
    </row>
    <row r="2744">
      <c r="A2744" s="3">
        <f>IFERROR(__xludf.DUMMYFUNCTION("""COMPUTED_VALUE"""),43109.99861111111)</f>
        <v>43109.99861</v>
      </c>
      <c r="B2744" s="1">
        <f>IFERROR(__xludf.DUMMYFUNCTION("""COMPUTED_VALUE"""),13430.0)</f>
        <v>13430</v>
      </c>
    </row>
    <row r="2745">
      <c r="A2745" s="3">
        <f>IFERROR(__xludf.DUMMYFUNCTION("""COMPUTED_VALUE"""),43110.99861111111)</f>
        <v>43110.99861</v>
      </c>
      <c r="B2745" s="1">
        <f>IFERROR(__xludf.DUMMYFUNCTION("""COMPUTED_VALUE"""),13441.0)</f>
        <v>13441</v>
      </c>
    </row>
    <row r="2746">
      <c r="A2746" s="3">
        <f>IFERROR(__xludf.DUMMYFUNCTION("""COMPUTED_VALUE"""),43111.99861111111)</f>
        <v>43111.99861</v>
      </c>
      <c r="B2746" s="1">
        <f>IFERROR(__xludf.DUMMYFUNCTION("""COMPUTED_VALUE"""),13393.0)</f>
        <v>13393</v>
      </c>
    </row>
    <row r="2747">
      <c r="A2747" s="3">
        <f>IFERROR(__xludf.DUMMYFUNCTION("""COMPUTED_VALUE"""),43112.99861111111)</f>
        <v>43112.99861</v>
      </c>
      <c r="B2747" s="1">
        <f>IFERROR(__xludf.DUMMYFUNCTION("""COMPUTED_VALUE"""),13320.0)</f>
        <v>13320</v>
      </c>
    </row>
    <row r="2748">
      <c r="A2748" s="3">
        <f>IFERROR(__xludf.DUMMYFUNCTION("""COMPUTED_VALUE"""),43113.99861111111)</f>
        <v>43113.99861</v>
      </c>
      <c r="B2748" s="1">
        <f>IFERROR(__xludf.DUMMYFUNCTION("""COMPUTED_VALUE"""),13295.0)</f>
        <v>13295</v>
      </c>
    </row>
    <row r="2749">
      <c r="A2749" s="3">
        <f>IFERROR(__xludf.DUMMYFUNCTION("""COMPUTED_VALUE"""),43114.99861111111)</f>
        <v>43114.99861</v>
      </c>
      <c r="B2749" s="1">
        <f>IFERROR(__xludf.DUMMYFUNCTION("""COMPUTED_VALUE"""),13295.0)</f>
        <v>13295</v>
      </c>
    </row>
    <row r="2750">
      <c r="A2750" s="3">
        <f>IFERROR(__xludf.DUMMYFUNCTION("""COMPUTED_VALUE"""),43115.99861111111)</f>
        <v>43115.99861</v>
      </c>
      <c r="B2750" s="1">
        <f>IFERROR(__xludf.DUMMYFUNCTION("""COMPUTED_VALUE"""),13305.0)</f>
        <v>13305</v>
      </c>
    </row>
    <row r="2751">
      <c r="A2751" s="3">
        <f>IFERROR(__xludf.DUMMYFUNCTION("""COMPUTED_VALUE"""),43116.99861111111)</f>
        <v>43116.99861</v>
      </c>
      <c r="B2751" s="1">
        <f>IFERROR(__xludf.DUMMYFUNCTION("""COMPUTED_VALUE"""),13306.0)</f>
        <v>13306</v>
      </c>
    </row>
    <row r="2752">
      <c r="A2752" s="3">
        <f>IFERROR(__xludf.DUMMYFUNCTION("""COMPUTED_VALUE"""),43117.99861111111)</f>
        <v>43117.99861</v>
      </c>
      <c r="B2752" s="1">
        <f>IFERROR(__xludf.DUMMYFUNCTION("""COMPUTED_VALUE"""),13336.0)</f>
        <v>13336</v>
      </c>
    </row>
    <row r="2753">
      <c r="A2753" s="3">
        <f>IFERROR(__xludf.DUMMYFUNCTION("""COMPUTED_VALUE"""),43118.99861111111)</f>
        <v>43118.99861</v>
      </c>
      <c r="B2753" s="1">
        <f>IFERROR(__xludf.DUMMYFUNCTION("""COMPUTED_VALUE"""),13334.0)</f>
        <v>13334</v>
      </c>
    </row>
    <row r="2754">
      <c r="A2754" s="3">
        <f>IFERROR(__xludf.DUMMYFUNCTION("""COMPUTED_VALUE"""),43119.99861111111)</f>
        <v>43119.99861</v>
      </c>
      <c r="B2754" s="1">
        <f>IFERROR(__xludf.DUMMYFUNCTION("""COMPUTED_VALUE"""),13315.0)</f>
        <v>13315</v>
      </c>
    </row>
    <row r="2755">
      <c r="A2755" s="3">
        <f>IFERROR(__xludf.DUMMYFUNCTION("""COMPUTED_VALUE"""),43120.99861111111)</f>
        <v>43120.99861</v>
      </c>
      <c r="B2755" s="1">
        <f>IFERROR(__xludf.DUMMYFUNCTION("""COMPUTED_VALUE"""),13333.33)</f>
        <v>13333.33</v>
      </c>
    </row>
    <row r="2756">
      <c r="A2756" s="3">
        <f>IFERROR(__xludf.DUMMYFUNCTION("""COMPUTED_VALUE"""),43121.99861111111)</f>
        <v>43121.99861</v>
      </c>
      <c r="B2756" s="1">
        <f>IFERROR(__xludf.DUMMYFUNCTION("""COMPUTED_VALUE"""),13325.0)</f>
        <v>13325</v>
      </c>
    </row>
    <row r="2757">
      <c r="A2757" s="3">
        <f>IFERROR(__xludf.DUMMYFUNCTION("""COMPUTED_VALUE"""),43122.99861111111)</f>
        <v>43122.99861</v>
      </c>
      <c r="B2757" s="1">
        <f>IFERROR(__xludf.DUMMYFUNCTION("""COMPUTED_VALUE"""),13342.0)</f>
        <v>13342</v>
      </c>
    </row>
    <row r="2758">
      <c r="A2758" s="3">
        <f>IFERROR(__xludf.DUMMYFUNCTION("""COMPUTED_VALUE"""),43123.99861111111)</f>
        <v>43123.99861</v>
      </c>
      <c r="B2758" s="1">
        <f>IFERROR(__xludf.DUMMYFUNCTION("""COMPUTED_VALUE"""),13336.0)</f>
        <v>13336</v>
      </c>
    </row>
    <row r="2759">
      <c r="A2759" s="3">
        <f>IFERROR(__xludf.DUMMYFUNCTION("""COMPUTED_VALUE"""),43124.99861111111)</f>
        <v>43124.99861</v>
      </c>
      <c r="B2759" s="1">
        <f>IFERROR(__xludf.DUMMYFUNCTION("""COMPUTED_VALUE"""),13298.0)</f>
        <v>13298</v>
      </c>
    </row>
    <row r="2760">
      <c r="A2760" s="3">
        <f>IFERROR(__xludf.DUMMYFUNCTION("""COMPUTED_VALUE"""),43125.99861111111)</f>
        <v>43125.99861</v>
      </c>
      <c r="B2760" s="1">
        <f>IFERROR(__xludf.DUMMYFUNCTION("""COMPUTED_VALUE"""),13299.0)</f>
        <v>13299</v>
      </c>
    </row>
    <row r="2761">
      <c r="A2761" s="3">
        <f>IFERROR(__xludf.DUMMYFUNCTION("""COMPUTED_VALUE"""),43126.99861111111)</f>
        <v>43126.99861</v>
      </c>
      <c r="B2761" s="1">
        <f>IFERROR(__xludf.DUMMYFUNCTION("""COMPUTED_VALUE"""),13301.0)</f>
        <v>13301</v>
      </c>
    </row>
    <row r="2762">
      <c r="A2762" s="3">
        <f>IFERROR(__xludf.DUMMYFUNCTION("""COMPUTED_VALUE"""),43127.99861111111)</f>
        <v>43127.99861</v>
      </c>
      <c r="B2762" s="1">
        <f>IFERROR(__xludf.DUMMYFUNCTION("""COMPUTED_VALUE"""),13315.57)</f>
        <v>13315.57</v>
      </c>
    </row>
    <row r="2763">
      <c r="A2763" s="3">
        <f>IFERROR(__xludf.DUMMYFUNCTION("""COMPUTED_VALUE"""),43128.99861111111)</f>
        <v>43128.99861</v>
      </c>
      <c r="B2763" s="1">
        <f>IFERROR(__xludf.DUMMYFUNCTION("""COMPUTED_VALUE"""),13296.0)</f>
        <v>13296</v>
      </c>
    </row>
    <row r="2764">
      <c r="A2764" s="3">
        <f>IFERROR(__xludf.DUMMYFUNCTION("""COMPUTED_VALUE"""),43129.99861111111)</f>
        <v>43129.99861</v>
      </c>
      <c r="B2764" s="1">
        <f>IFERROR(__xludf.DUMMYFUNCTION("""COMPUTED_VALUE"""),13367.0)</f>
        <v>13367</v>
      </c>
    </row>
    <row r="2765">
      <c r="A2765" s="3">
        <f>IFERROR(__xludf.DUMMYFUNCTION("""COMPUTED_VALUE"""),43130.99861111111)</f>
        <v>43130.99861</v>
      </c>
      <c r="B2765" s="1">
        <f>IFERROR(__xludf.DUMMYFUNCTION("""COMPUTED_VALUE"""),13421.0)</f>
        <v>13421</v>
      </c>
    </row>
    <row r="2766">
      <c r="A2766" s="3">
        <f>IFERROR(__xludf.DUMMYFUNCTION("""COMPUTED_VALUE"""),43131.99861111111)</f>
        <v>43131.99861</v>
      </c>
      <c r="B2766" s="1">
        <f>IFERROR(__xludf.DUMMYFUNCTION("""COMPUTED_VALUE"""),13383.0)</f>
        <v>13383</v>
      </c>
    </row>
    <row r="2767">
      <c r="A2767" s="3">
        <f>IFERROR(__xludf.DUMMYFUNCTION("""COMPUTED_VALUE"""),43132.99861111111)</f>
        <v>43132.99861</v>
      </c>
      <c r="B2767" s="1">
        <f>IFERROR(__xludf.DUMMYFUNCTION("""COMPUTED_VALUE"""),13386.0)</f>
        <v>13386</v>
      </c>
    </row>
    <row r="2768">
      <c r="A2768" s="3">
        <f>IFERROR(__xludf.DUMMYFUNCTION("""COMPUTED_VALUE"""),43133.99861111111)</f>
        <v>43133.99861</v>
      </c>
      <c r="B2768" s="1">
        <f>IFERROR(__xludf.DUMMYFUNCTION("""COMPUTED_VALUE"""),13411.0)</f>
        <v>13411</v>
      </c>
    </row>
    <row r="2769">
      <c r="A2769" s="3">
        <f>IFERROR(__xludf.DUMMYFUNCTION("""COMPUTED_VALUE"""),43134.99861111111)</f>
        <v>43134.99861</v>
      </c>
      <c r="B2769" s="1">
        <f>IFERROR(__xludf.DUMMYFUNCTION("""COMPUTED_VALUE"""),13411.0)</f>
        <v>13411</v>
      </c>
    </row>
    <row r="2770">
      <c r="A2770" s="3">
        <f>IFERROR(__xludf.DUMMYFUNCTION("""COMPUTED_VALUE"""),43135.99861111111)</f>
        <v>43135.99861</v>
      </c>
      <c r="B2770" s="1">
        <f>IFERROR(__xludf.DUMMYFUNCTION("""COMPUTED_VALUE"""),13411.0)</f>
        <v>13411</v>
      </c>
    </row>
    <row r="2771">
      <c r="A2771" s="3">
        <f>IFERROR(__xludf.DUMMYFUNCTION("""COMPUTED_VALUE"""),43136.99861111111)</f>
        <v>43136.99861</v>
      </c>
      <c r="B2771" s="1">
        <f>IFERROR(__xludf.DUMMYFUNCTION("""COMPUTED_VALUE"""),13564.0)</f>
        <v>13564</v>
      </c>
    </row>
    <row r="2772">
      <c r="A2772" s="3">
        <f>IFERROR(__xludf.DUMMYFUNCTION("""COMPUTED_VALUE"""),43137.99861111111)</f>
        <v>43137.99861</v>
      </c>
      <c r="B2772" s="1">
        <f>IFERROR(__xludf.DUMMYFUNCTION("""COMPUTED_VALUE"""),13544.0)</f>
        <v>13544</v>
      </c>
    </row>
    <row r="2773">
      <c r="A2773" s="3">
        <f>IFERROR(__xludf.DUMMYFUNCTION("""COMPUTED_VALUE"""),43138.99861111111)</f>
        <v>43138.99861</v>
      </c>
      <c r="B2773" s="1">
        <f>IFERROR(__xludf.DUMMYFUNCTION("""COMPUTED_VALUE"""),13641.0)</f>
        <v>13641</v>
      </c>
    </row>
    <row r="2774">
      <c r="A2774" s="3">
        <f>IFERROR(__xludf.DUMMYFUNCTION("""COMPUTED_VALUE"""),43139.99861111111)</f>
        <v>43139.99861</v>
      </c>
      <c r="B2774" s="1">
        <f>IFERROR(__xludf.DUMMYFUNCTION("""COMPUTED_VALUE"""),13598.0)</f>
        <v>13598</v>
      </c>
    </row>
    <row r="2775">
      <c r="A2775" s="3">
        <f>IFERROR(__xludf.DUMMYFUNCTION("""COMPUTED_VALUE"""),43140.99861111111)</f>
        <v>43140.99861</v>
      </c>
      <c r="B2775" s="1">
        <f>IFERROR(__xludf.DUMMYFUNCTION("""COMPUTED_VALUE"""),13606.0)</f>
        <v>13606</v>
      </c>
    </row>
    <row r="2776">
      <c r="A2776" s="3">
        <f>IFERROR(__xludf.DUMMYFUNCTION("""COMPUTED_VALUE"""),43141.99861111111)</f>
        <v>43141.99861</v>
      </c>
      <c r="B2776" s="1">
        <f>IFERROR(__xludf.DUMMYFUNCTION("""COMPUTED_VALUE"""),13606.0)</f>
        <v>13606</v>
      </c>
    </row>
    <row r="2777">
      <c r="A2777" s="3">
        <f>IFERROR(__xludf.DUMMYFUNCTION("""COMPUTED_VALUE"""),43142.99861111111)</f>
        <v>43142.99861</v>
      </c>
      <c r="B2777" s="1">
        <f>IFERROR(__xludf.DUMMYFUNCTION("""COMPUTED_VALUE"""),13610.0)</f>
        <v>13610</v>
      </c>
    </row>
    <row r="2778">
      <c r="A2778" s="3">
        <f>IFERROR(__xludf.DUMMYFUNCTION("""COMPUTED_VALUE"""),43143.99861111111)</f>
        <v>43143.99861</v>
      </c>
      <c r="B2778" s="1">
        <f>IFERROR(__xludf.DUMMYFUNCTION("""COMPUTED_VALUE"""),13643.0)</f>
        <v>13643</v>
      </c>
    </row>
    <row r="2779">
      <c r="A2779" s="3">
        <f>IFERROR(__xludf.DUMMYFUNCTION("""COMPUTED_VALUE"""),43144.99861111111)</f>
        <v>43144.99861</v>
      </c>
      <c r="B2779" s="1">
        <f>IFERROR(__xludf.DUMMYFUNCTION("""COMPUTED_VALUE"""),13640.0)</f>
        <v>13640</v>
      </c>
    </row>
    <row r="2780">
      <c r="A2780" s="3">
        <f>IFERROR(__xludf.DUMMYFUNCTION("""COMPUTED_VALUE"""),43145.99861111111)</f>
        <v>43145.99861</v>
      </c>
      <c r="B2780" s="1">
        <f>IFERROR(__xludf.DUMMYFUNCTION("""COMPUTED_VALUE"""),13622.0)</f>
        <v>13622</v>
      </c>
    </row>
    <row r="2781">
      <c r="A2781" s="3">
        <f>IFERROR(__xludf.DUMMYFUNCTION("""COMPUTED_VALUE"""),43146.99861111111)</f>
        <v>43146.99861</v>
      </c>
      <c r="B2781" s="1">
        <f>IFERROR(__xludf.DUMMYFUNCTION("""COMPUTED_VALUE"""),13552.0)</f>
        <v>13552</v>
      </c>
    </row>
    <row r="2782">
      <c r="A2782" s="3">
        <f>IFERROR(__xludf.DUMMYFUNCTION("""COMPUTED_VALUE"""),43147.99861111111)</f>
        <v>43147.99861</v>
      </c>
      <c r="B2782" s="1">
        <f>IFERROR(__xludf.DUMMYFUNCTION("""COMPUTED_VALUE"""),13552.0)</f>
        <v>13552</v>
      </c>
    </row>
    <row r="2783">
      <c r="A2783" s="3">
        <f>IFERROR(__xludf.DUMMYFUNCTION("""COMPUTED_VALUE"""),43148.99861111111)</f>
        <v>43148.99861</v>
      </c>
      <c r="B2783" s="1">
        <f>IFERROR(__xludf.DUMMYFUNCTION("""COMPUTED_VALUE"""),13552.0)</f>
        <v>13552</v>
      </c>
    </row>
    <row r="2784">
      <c r="A2784" s="3">
        <f>IFERROR(__xludf.DUMMYFUNCTION("""COMPUTED_VALUE"""),43149.99861111111)</f>
        <v>43149.99861</v>
      </c>
      <c r="B2784" s="1">
        <f>IFERROR(__xludf.DUMMYFUNCTION("""COMPUTED_VALUE"""),13552.0)</f>
        <v>13552</v>
      </c>
    </row>
    <row r="2785">
      <c r="A2785" s="3">
        <f>IFERROR(__xludf.DUMMYFUNCTION("""COMPUTED_VALUE"""),43150.99861111111)</f>
        <v>43150.99861</v>
      </c>
      <c r="B2785" s="1">
        <f>IFERROR(__xludf.DUMMYFUNCTION("""COMPUTED_VALUE"""),13554.0)</f>
        <v>13554</v>
      </c>
    </row>
    <row r="2786">
      <c r="A2786" s="3">
        <f>IFERROR(__xludf.DUMMYFUNCTION("""COMPUTED_VALUE"""),43151.99861111111)</f>
        <v>43151.99861</v>
      </c>
      <c r="B2786" s="1">
        <f>IFERROR(__xludf.DUMMYFUNCTION("""COMPUTED_VALUE"""),13608.0)</f>
        <v>13608</v>
      </c>
    </row>
    <row r="2787">
      <c r="A2787" s="3">
        <f>IFERROR(__xludf.DUMMYFUNCTION("""COMPUTED_VALUE"""),43152.99861111111)</f>
        <v>43152.99861</v>
      </c>
      <c r="B2787" s="1">
        <f>IFERROR(__xludf.DUMMYFUNCTION("""COMPUTED_VALUE"""),13612.0)</f>
        <v>13612</v>
      </c>
    </row>
    <row r="2788">
      <c r="A2788" s="3">
        <f>IFERROR(__xludf.DUMMYFUNCTION("""COMPUTED_VALUE"""),43153.99861111111)</f>
        <v>43153.99861</v>
      </c>
      <c r="B2788" s="1">
        <f>IFERROR(__xludf.DUMMYFUNCTION("""COMPUTED_VALUE"""),13676.0)</f>
        <v>13676</v>
      </c>
    </row>
    <row r="2789">
      <c r="A2789" s="3">
        <f>IFERROR(__xludf.DUMMYFUNCTION("""COMPUTED_VALUE"""),43154.99861111111)</f>
        <v>43154.99861</v>
      </c>
      <c r="B2789" s="1">
        <f>IFERROR(__xludf.DUMMYFUNCTION("""COMPUTED_VALUE"""),13652.0)</f>
        <v>13652</v>
      </c>
    </row>
    <row r="2790">
      <c r="A2790" s="3">
        <f>IFERROR(__xludf.DUMMYFUNCTION("""COMPUTED_VALUE"""),43155.99861111111)</f>
        <v>43155.99861</v>
      </c>
      <c r="B2790" s="1">
        <f>IFERROR(__xludf.DUMMYFUNCTION("""COMPUTED_VALUE"""),13652.0)</f>
        <v>13652</v>
      </c>
    </row>
    <row r="2791">
      <c r="A2791" s="3">
        <f>IFERROR(__xludf.DUMMYFUNCTION("""COMPUTED_VALUE"""),43156.99861111111)</f>
        <v>43156.99861</v>
      </c>
      <c r="B2791" s="1">
        <f>IFERROR(__xludf.DUMMYFUNCTION("""COMPUTED_VALUE"""),13661.2)</f>
        <v>13661.2</v>
      </c>
    </row>
    <row r="2792">
      <c r="A2792" s="3">
        <f>IFERROR(__xludf.DUMMYFUNCTION("""COMPUTED_VALUE"""),43157.99861111111)</f>
        <v>43157.99861</v>
      </c>
      <c r="B2792" s="1">
        <f>IFERROR(__xludf.DUMMYFUNCTION("""COMPUTED_VALUE"""),13651.0)</f>
        <v>13651</v>
      </c>
    </row>
    <row r="2793">
      <c r="A2793" s="3">
        <f>IFERROR(__xludf.DUMMYFUNCTION("""COMPUTED_VALUE"""),43158.99861111111)</f>
        <v>43158.99861</v>
      </c>
      <c r="B2793" s="1">
        <f>IFERROR(__xludf.DUMMYFUNCTION("""COMPUTED_VALUE"""),13694.0)</f>
        <v>13694</v>
      </c>
    </row>
    <row r="2794">
      <c r="A2794" s="3">
        <f>IFERROR(__xludf.DUMMYFUNCTION("""COMPUTED_VALUE"""),43159.99861111111)</f>
        <v>43159.99861</v>
      </c>
      <c r="B2794" s="1">
        <f>IFERROR(__xludf.DUMMYFUNCTION("""COMPUTED_VALUE"""),13756.0)</f>
        <v>13756</v>
      </c>
    </row>
    <row r="2795">
      <c r="A2795" s="3">
        <f>IFERROR(__xludf.DUMMYFUNCTION("""COMPUTED_VALUE"""),43160.99861111111)</f>
        <v>43160.99861</v>
      </c>
      <c r="B2795" s="1">
        <f>IFERROR(__xludf.DUMMYFUNCTION("""COMPUTED_VALUE"""),13741.0)</f>
        <v>13741</v>
      </c>
    </row>
    <row r="2796">
      <c r="A2796" s="3">
        <f>IFERROR(__xludf.DUMMYFUNCTION("""COMPUTED_VALUE"""),43161.99861111111)</f>
        <v>43161.99861</v>
      </c>
      <c r="B2796" s="1">
        <f>IFERROR(__xludf.DUMMYFUNCTION("""COMPUTED_VALUE"""),13751.0)</f>
        <v>13751</v>
      </c>
    </row>
    <row r="2797">
      <c r="A2797" s="3">
        <f>IFERROR(__xludf.DUMMYFUNCTION("""COMPUTED_VALUE"""),43162.99861111111)</f>
        <v>43162.99861</v>
      </c>
      <c r="B2797" s="1">
        <f>IFERROR(__xludf.DUMMYFUNCTION("""COMPUTED_VALUE"""),13751.0)</f>
        <v>13751</v>
      </c>
    </row>
    <row r="2798">
      <c r="A2798" s="3">
        <f>IFERROR(__xludf.DUMMYFUNCTION("""COMPUTED_VALUE"""),43163.99861111111)</f>
        <v>43163.99861</v>
      </c>
      <c r="B2798" s="1">
        <f>IFERROR(__xludf.DUMMYFUNCTION("""COMPUTED_VALUE"""),13751.0)</f>
        <v>13751</v>
      </c>
    </row>
    <row r="2799">
      <c r="A2799" s="3">
        <f>IFERROR(__xludf.DUMMYFUNCTION("""COMPUTED_VALUE"""),43164.99861111111)</f>
        <v>43164.99861</v>
      </c>
      <c r="B2799" s="1">
        <f>IFERROR(__xludf.DUMMYFUNCTION("""COMPUTED_VALUE"""),13737.0)</f>
        <v>13737</v>
      </c>
    </row>
    <row r="2800">
      <c r="A2800" s="3">
        <f>IFERROR(__xludf.DUMMYFUNCTION("""COMPUTED_VALUE"""),43165.99861111111)</f>
        <v>43165.99861</v>
      </c>
      <c r="B2800" s="1">
        <f>IFERROR(__xludf.DUMMYFUNCTION("""COMPUTED_VALUE"""),13759.0)</f>
        <v>13759</v>
      </c>
    </row>
    <row r="2801">
      <c r="A2801" s="3">
        <f>IFERROR(__xludf.DUMMYFUNCTION("""COMPUTED_VALUE"""),43166.99861111111)</f>
        <v>43166.99861</v>
      </c>
      <c r="B2801" s="1">
        <f>IFERROR(__xludf.DUMMYFUNCTION("""COMPUTED_VALUE"""),13745.0)</f>
        <v>13745</v>
      </c>
    </row>
    <row r="2802">
      <c r="A2802" s="3">
        <f>IFERROR(__xludf.DUMMYFUNCTION("""COMPUTED_VALUE"""),43167.99861111111)</f>
        <v>43167.99861</v>
      </c>
      <c r="B2802" s="1">
        <f>IFERROR(__xludf.DUMMYFUNCTION("""COMPUTED_VALUE"""),13786.0)</f>
        <v>13786</v>
      </c>
    </row>
    <row r="2803">
      <c r="A2803" s="3">
        <f>IFERROR(__xludf.DUMMYFUNCTION("""COMPUTED_VALUE"""),43168.99861111111)</f>
        <v>43168.99861</v>
      </c>
      <c r="B2803" s="1">
        <f>IFERROR(__xludf.DUMMYFUNCTION("""COMPUTED_VALUE"""),13770.0)</f>
        <v>13770</v>
      </c>
    </row>
    <row r="2804">
      <c r="A2804" s="3">
        <f>IFERROR(__xludf.DUMMYFUNCTION("""COMPUTED_VALUE"""),43169.99861111111)</f>
        <v>43169.99861</v>
      </c>
      <c r="B2804" s="1">
        <f>IFERROR(__xludf.DUMMYFUNCTION("""COMPUTED_VALUE"""),13793.1)</f>
        <v>13793.1</v>
      </c>
    </row>
    <row r="2805">
      <c r="A2805" s="3">
        <f>IFERROR(__xludf.DUMMYFUNCTION("""COMPUTED_VALUE"""),43170.99861111111)</f>
        <v>43170.99861</v>
      </c>
      <c r="B2805" s="1">
        <f>IFERROR(__xludf.DUMMYFUNCTION("""COMPUTED_VALUE"""),13772.0)</f>
        <v>13772</v>
      </c>
    </row>
    <row r="2806">
      <c r="A2806" s="3">
        <f>IFERROR(__xludf.DUMMYFUNCTION("""COMPUTED_VALUE"""),43171.99861111111)</f>
        <v>43171.99861</v>
      </c>
      <c r="B2806" s="1">
        <f>IFERROR(__xludf.DUMMYFUNCTION("""COMPUTED_VALUE"""),13755.0)</f>
        <v>13755</v>
      </c>
    </row>
    <row r="2807">
      <c r="A2807" s="3">
        <f>IFERROR(__xludf.DUMMYFUNCTION("""COMPUTED_VALUE"""),43172.99861111111)</f>
        <v>43172.99861</v>
      </c>
      <c r="B2807" s="1">
        <f>IFERROR(__xludf.DUMMYFUNCTION("""COMPUTED_VALUE"""),13740.0)</f>
        <v>13740</v>
      </c>
    </row>
    <row r="2808">
      <c r="A2808" s="3">
        <f>IFERROR(__xludf.DUMMYFUNCTION("""COMPUTED_VALUE"""),43173.99861111111)</f>
        <v>43173.99861</v>
      </c>
      <c r="B2808" s="1">
        <f>IFERROR(__xludf.DUMMYFUNCTION("""COMPUTED_VALUE"""),13725.0)</f>
        <v>13725</v>
      </c>
    </row>
    <row r="2809">
      <c r="A2809" s="3">
        <f>IFERROR(__xludf.DUMMYFUNCTION("""COMPUTED_VALUE"""),43174.99861111111)</f>
        <v>43174.99861</v>
      </c>
      <c r="B2809" s="1">
        <f>IFERROR(__xludf.DUMMYFUNCTION("""COMPUTED_VALUE"""),13758.0)</f>
        <v>13758</v>
      </c>
    </row>
    <row r="2810">
      <c r="A2810" s="3">
        <f>IFERROR(__xludf.DUMMYFUNCTION("""COMPUTED_VALUE"""),43175.99861111111)</f>
        <v>43175.99861</v>
      </c>
      <c r="B2810" s="1">
        <f>IFERROR(__xludf.DUMMYFUNCTION("""COMPUTED_VALUE"""),13744.0)</f>
        <v>13744</v>
      </c>
    </row>
    <row r="2811">
      <c r="A2811" s="3">
        <f>IFERROR(__xludf.DUMMYFUNCTION("""COMPUTED_VALUE"""),43176.99861111111)</f>
        <v>43176.99861</v>
      </c>
      <c r="B2811" s="1">
        <f>IFERROR(__xludf.DUMMYFUNCTION("""COMPUTED_VALUE"""),13755.15)</f>
        <v>13755.15</v>
      </c>
    </row>
    <row r="2812">
      <c r="A2812" s="3">
        <f>IFERROR(__xludf.DUMMYFUNCTION("""COMPUTED_VALUE"""),43177.99861111111)</f>
        <v>43177.99861</v>
      </c>
      <c r="B2812" s="1">
        <f>IFERROR(__xludf.DUMMYFUNCTION("""COMPUTED_VALUE"""),13748.0)</f>
        <v>13748</v>
      </c>
    </row>
    <row r="2813">
      <c r="A2813" s="3">
        <f>IFERROR(__xludf.DUMMYFUNCTION("""COMPUTED_VALUE"""),43178.99861111111)</f>
        <v>43178.99861</v>
      </c>
      <c r="B2813" s="1">
        <f>IFERROR(__xludf.DUMMYFUNCTION("""COMPUTED_VALUE"""),13771.0)</f>
        <v>13771</v>
      </c>
    </row>
    <row r="2814">
      <c r="A2814" s="3">
        <f>IFERROR(__xludf.DUMMYFUNCTION("""COMPUTED_VALUE"""),43179.99861111111)</f>
        <v>43179.99861</v>
      </c>
      <c r="B2814" s="1">
        <f>IFERROR(__xludf.DUMMYFUNCTION("""COMPUTED_VALUE"""),13743.0)</f>
        <v>13743</v>
      </c>
    </row>
    <row r="2815">
      <c r="A2815" s="3">
        <f>IFERROR(__xludf.DUMMYFUNCTION("""COMPUTED_VALUE"""),43180.99861111111)</f>
        <v>43180.99861</v>
      </c>
      <c r="B2815" s="1">
        <f>IFERROR(__xludf.DUMMYFUNCTION("""COMPUTED_VALUE"""),13705.0)</f>
        <v>13705</v>
      </c>
    </row>
    <row r="2816">
      <c r="A2816" s="3">
        <f>IFERROR(__xludf.DUMMYFUNCTION("""COMPUTED_VALUE"""),43181.99861111111)</f>
        <v>43181.99861</v>
      </c>
      <c r="B2816" s="1">
        <f>IFERROR(__xludf.DUMMYFUNCTION("""COMPUTED_VALUE"""),13754.0)</f>
        <v>13754</v>
      </c>
    </row>
    <row r="2817">
      <c r="A2817" s="3">
        <f>IFERROR(__xludf.DUMMYFUNCTION("""COMPUTED_VALUE"""),43182.99861111111)</f>
        <v>43182.99861</v>
      </c>
      <c r="B2817" s="1">
        <f>IFERROR(__xludf.DUMMYFUNCTION("""COMPUTED_VALUE"""),13777.0)</f>
        <v>13777</v>
      </c>
    </row>
    <row r="2818">
      <c r="A2818" s="3">
        <f>IFERROR(__xludf.DUMMYFUNCTION("""COMPUTED_VALUE"""),43183.99861111111)</f>
        <v>43183.99861</v>
      </c>
      <c r="B2818" s="1">
        <f>IFERROR(__xludf.DUMMYFUNCTION("""COMPUTED_VALUE"""),13777.0)</f>
        <v>13777</v>
      </c>
    </row>
    <row r="2819">
      <c r="A2819" s="3">
        <f>IFERROR(__xludf.DUMMYFUNCTION("""COMPUTED_VALUE"""),43184.99861111111)</f>
        <v>43184.99861</v>
      </c>
      <c r="B2819" s="1">
        <f>IFERROR(__xludf.DUMMYFUNCTION("""COMPUTED_VALUE"""),13762.0)</f>
        <v>13762</v>
      </c>
    </row>
    <row r="2820">
      <c r="A2820" s="3">
        <f>IFERROR(__xludf.DUMMYFUNCTION("""COMPUTED_VALUE"""),43185.99861111111)</f>
        <v>43185.99861</v>
      </c>
      <c r="B2820" s="1">
        <f>IFERROR(__xludf.DUMMYFUNCTION("""COMPUTED_VALUE"""),13718.0)</f>
        <v>13718</v>
      </c>
    </row>
    <row r="2821">
      <c r="A2821" s="3">
        <f>IFERROR(__xludf.DUMMYFUNCTION("""COMPUTED_VALUE"""),43186.99861111111)</f>
        <v>43186.99861</v>
      </c>
      <c r="B2821" s="1">
        <f>IFERROR(__xludf.DUMMYFUNCTION("""COMPUTED_VALUE"""),13740.0)</f>
        <v>13740</v>
      </c>
    </row>
    <row r="2822">
      <c r="A2822" s="3">
        <f>IFERROR(__xludf.DUMMYFUNCTION("""COMPUTED_VALUE"""),43187.99861111111)</f>
        <v>43187.99861</v>
      </c>
      <c r="B2822" s="1">
        <f>IFERROR(__xludf.DUMMYFUNCTION("""COMPUTED_VALUE"""),13756.0)</f>
        <v>13756</v>
      </c>
    </row>
    <row r="2823">
      <c r="A2823" s="3">
        <f>IFERROR(__xludf.DUMMYFUNCTION("""COMPUTED_VALUE"""),43188.99861111111)</f>
        <v>43188.99861</v>
      </c>
      <c r="B2823" s="1">
        <f>IFERROR(__xludf.DUMMYFUNCTION("""COMPUTED_VALUE"""),13757.0)</f>
        <v>13757</v>
      </c>
    </row>
    <row r="2824">
      <c r="A2824" s="3">
        <f>IFERROR(__xludf.DUMMYFUNCTION("""COMPUTED_VALUE"""),43189.99861111111)</f>
        <v>43189.99861</v>
      </c>
      <c r="B2824" s="1">
        <f>IFERROR(__xludf.DUMMYFUNCTION("""COMPUTED_VALUE"""),13736.0)</f>
        <v>13736</v>
      </c>
    </row>
    <row r="2825">
      <c r="A2825" s="3">
        <f>IFERROR(__xludf.DUMMYFUNCTION("""COMPUTED_VALUE"""),43190.99861111111)</f>
        <v>43190.99861</v>
      </c>
      <c r="B2825" s="1">
        <f>IFERROR(__xludf.DUMMYFUNCTION("""COMPUTED_VALUE"""),13748.0)</f>
        <v>13748</v>
      </c>
    </row>
    <row r="2826">
      <c r="A2826" s="3">
        <f>IFERROR(__xludf.DUMMYFUNCTION("""COMPUTED_VALUE"""),43191.99861111111)</f>
        <v>43191.99861</v>
      </c>
      <c r="B2826" s="1">
        <f>IFERROR(__xludf.DUMMYFUNCTION("""COMPUTED_VALUE"""),13768.0)</f>
        <v>13768</v>
      </c>
    </row>
    <row r="2827">
      <c r="A2827" s="3">
        <f>IFERROR(__xludf.DUMMYFUNCTION("""COMPUTED_VALUE"""),43192.99861111111)</f>
        <v>43192.99861</v>
      </c>
      <c r="B2827" s="1">
        <f>IFERROR(__xludf.DUMMYFUNCTION("""COMPUTED_VALUE"""),13748.0)</f>
        <v>13748</v>
      </c>
    </row>
    <row r="2828">
      <c r="A2828" s="3">
        <f>IFERROR(__xludf.DUMMYFUNCTION("""COMPUTED_VALUE"""),43193.99861111111)</f>
        <v>43193.99861</v>
      </c>
      <c r="B2828" s="1">
        <f>IFERROR(__xludf.DUMMYFUNCTION("""COMPUTED_VALUE"""),13741.0)</f>
        <v>13741</v>
      </c>
    </row>
    <row r="2829">
      <c r="A2829" s="3">
        <f>IFERROR(__xludf.DUMMYFUNCTION("""COMPUTED_VALUE"""),43194.99861111111)</f>
        <v>43194.99861</v>
      </c>
      <c r="B2829" s="1">
        <f>IFERROR(__xludf.DUMMYFUNCTION("""COMPUTED_VALUE"""),13751.0)</f>
        <v>13751</v>
      </c>
    </row>
    <row r="2830">
      <c r="A2830" s="3">
        <f>IFERROR(__xludf.DUMMYFUNCTION("""COMPUTED_VALUE"""),43195.99861111111)</f>
        <v>43195.99861</v>
      </c>
      <c r="B2830" s="1">
        <f>IFERROR(__xludf.DUMMYFUNCTION("""COMPUTED_VALUE"""),13760.0)</f>
        <v>13760</v>
      </c>
    </row>
    <row r="2831">
      <c r="A2831" s="3">
        <f>IFERROR(__xludf.DUMMYFUNCTION("""COMPUTED_VALUE"""),43196.99861111111)</f>
        <v>43196.99861</v>
      </c>
      <c r="B2831" s="1">
        <f>IFERROR(__xludf.DUMMYFUNCTION("""COMPUTED_VALUE"""),13763.0)</f>
        <v>13763</v>
      </c>
    </row>
    <row r="2832">
      <c r="A2832" s="3">
        <f>IFERROR(__xludf.DUMMYFUNCTION("""COMPUTED_VALUE"""),43197.99861111111)</f>
        <v>43197.99861</v>
      </c>
      <c r="B2832" s="1">
        <f>IFERROR(__xludf.DUMMYFUNCTION("""COMPUTED_VALUE"""),13763.0)</f>
        <v>13763</v>
      </c>
    </row>
    <row r="2833">
      <c r="A2833" s="3">
        <f>IFERROR(__xludf.DUMMYFUNCTION("""COMPUTED_VALUE"""),43198.99861111111)</f>
        <v>43198.99861</v>
      </c>
      <c r="B2833" s="1">
        <f>IFERROR(__xludf.DUMMYFUNCTION("""COMPUTED_VALUE"""),13763.0)</f>
        <v>13763</v>
      </c>
    </row>
    <row r="2834">
      <c r="A2834" s="3">
        <f>IFERROR(__xludf.DUMMYFUNCTION("""COMPUTED_VALUE"""),43199.99861111111)</f>
        <v>43199.99861</v>
      </c>
      <c r="B2834" s="1">
        <f>IFERROR(__xludf.DUMMYFUNCTION("""COMPUTED_VALUE"""),13768.0)</f>
        <v>13768</v>
      </c>
    </row>
    <row r="2835">
      <c r="A2835" s="3">
        <f>IFERROR(__xludf.DUMMYFUNCTION("""COMPUTED_VALUE"""),43200.99861111111)</f>
        <v>43200.99861</v>
      </c>
      <c r="B2835" s="1">
        <f>IFERROR(__xludf.DUMMYFUNCTION("""COMPUTED_VALUE"""),13742.1)</f>
        <v>13742.1</v>
      </c>
    </row>
    <row r="2836">
      <c r="A2836" s="3">
        <f>IFERROR(__xludf.DUMMYFUNCTION("""COMPUTED_VALUE"""),43201.99861111111)</f>
        <v>43201.99861</v>
      </c>
      <c r="B2836" s="1">
        <f>IFERROR(__xludf.DUMMYFUNCTION("""COMPUTED_VALUE"""),13753.5)</f>
        <v>13753.5</v>
      </c>
    </row>
    <row r="2837">
      <c r="A2837" s="3">
        <f>IFERROR(__xludf.DUMMYFUNCTION("""COMPUTED_VALUE"""),43202.99861111111)</f>
        <v>43202.99861</v>
      </c>
      <c r="B2837" s="1">
        <f>IFERROR(__xludf.DUMMYFUNCTION("""COMPUTED_VALUE"""),13767.0)</f>
        <v>13767</v>
      </c>
    </row>
    <row r="2838">
      <c r="A2838" s="3">
        <f>IFERROR(__xludf.DUMMYFUNCTION("""COMPUTED_VALUE"""),43203.99861111111)</f>
        <v>43203.99861</v>
      </c>
      <c r="B2838" s="1">
        <f>IFERROR(__xludf.DUMMYFUNCTION("""COMPUTED_VALUE"""),13769.0)</f>
        <v>13769</v>
      </c>
    </row>
    <row r="2839">
      <c r="A2839" s="3">
        <f>IFERROR(__xludf.DUMMYFUNCTION("""COMPUTED_VALUE"""),43204.99861111111)</f>
        <v>43204.99861</v>
      </c>
      <c r="B2839" s="1">
        <f>IFERROR(__xludf.DUMMYFUNCTION("""COMPUTED_VALUE"""),13736.26)</f>
        <v>13736.26</v>
      </c>
    </row>
    <row r="2840">
      <c r="A2840" s="3">
        <f>IFERROR(__xludf.DUMMYFUNCTION("""COMPUTED_VALUE"""),43205.99861111111)</f>
        <v>43205.99861</v>
      </c>
      <c r="B2840" s="1">
        <f>IFERROR(__xludf.DUMMYFUNCTION("""COMPUTED_VALUE"""),13733.0)</f>
        <v>13733</v>
      </c>
    </row>
    <row r="2841">
      <c r="A2841" s="3">
        <f>IFERROR(__xludf.DUMMYFUNCTION("""COMPUTED_VALUE"""),43206.99861111111)</f>
        <v>43206.99861</v>
      </c>
      <c r="B2841" s="1">
        <f>IFERROR(__xludf.DUMMYFUNCTION("""COMPUTED_VALUE"""),13766.0)</f>
        <v>13766</v>
      </c>
    </row>
    <row r="2842">
      <c r="A2842" s="3">
        <f>IFERROR(__xludf.DUMMYFUNCTION("""COMPUTED_VALUE"""),43207.99861111111)</f>
        <v>43207.99861</v>
      </c>
      <c r="B2842" s="1">
        <f>IFERROR(__xludf.DUMMYFUNCTION("""COMPUTED_VALUE"""),13757.0)</f>
        <v>13757</v>
      </c>
    </row>
    <row r="2843">
      <c r="A2843" s="3">
        <f>IFERROR(__xludf.DUMMYFUNCTION("""COMPUTED_VALUE"""),43208.99861111111)</f>
        <v>43208.99861</v>
      </c>
      <c r="B2843" s="1">
        <f>IFERROR(__xludf.DUMMYFUNCTION("""COMPUTED_VALUE"""),13769.0)</f>
        <v>13769</v>
      </c>
    </row>
    <row r="2844">
      <c r="A2844" s="3">
        <f>IFERROR(__xludf.DUMMYFUNCTION("""COMPUTED_VALUE"""),43209.99861111111)</f>
        <v>43209.99861</v>
      </c>
      <c r="B2844" s="1">
        <f>IFERROR(__xludf.DUMMYFUNCTION("""COMPUTED_VALUE"""),13800.0)</f>
        <v>13800</v>
      </c>
    </row>
    <row r="2845">
      <c r="A2845" s="3">
        <f>IFERROR(__xludf.DUMMYFUNCTION("""COMPUTED_VALUE"""),43210.99861111111)</f>
        <v>43210.99861</v>
      </c>
      <c r="B2845" s="1">
        <f>IFERROR(__xludf.DUMMYFUNCTION("""COMPUTED_VALUE"""),13843.0)</f>
        <v>13843</v>
      </c>
    </row>
    <row r="2846">
      <c r="A2846" s="3">
        <f>IFERROR(__xludf.DUMMYFUNCTION("""COMPUTED_VALUE"""),43211.99861111111)</f>
        <v>43211.99861</v>
      </c>
      <c r="B2846" s="1">
        <f>IFERROR(__xludf.DUMMYFUNCTION("""COMPUTED_VALUE"""),13850.41)</f>
        <v>13850.41</v>
      </c>
    </row>
    <row r="2847">
      <c r="A2847" s="3">
        <f>IFERROR(__xludf.DUMMYFUNCTION("""COMPUTED_VALUE"""),43212.99861111111)</f>
        <v>43212.99861</v>
      </c>
      <c r="B2847" s="1">
        <f>IFERROR(__xludf.DUMMYFUNCTION("""COMPUTED_VALUE"""),13899.0)</f>
        <v>13899</v>
      </c>
    </row>
    <row r="2848">
      <c r="A2848" s="3">
        <f>IFERROR(__xludf.DUMMYFUNCTION("""COMPUTED_VALUE"""),43213.99861111111)</f>
        <v>43213.99861</v>
      </c>
      <c r="B2848" s="1">
        <f>IFERROR(__xludf.DUMMYFUNCTION("""COMPUTED_VALUE"""),13961.0)</f>
        <v>13961</v>
      </c>
    </row>
    <row r="2849">
      <c r="A2849" s="3">
        <f>IFERROR(__xludf.DUMMYFUNCTION("""COMPUTED_VALUE"""),43214.99861111111)</f>
        <v>43214.99861</v>
      </c>
      <c r="B2849" s="1">
        <f>IFERROR(__xludf.DUMMYFUNCTION("""COMPUTED_VALUE"""),13872.0)</f>
        <v>13872</v>
      </c>
    </row>
    <row r="2850">
      <c r="A2850" s="3">
        <f>IFERROR(__xludf.DUMMYFUNCTION("""COMPUTED_VALUE"""),43215.99861111111)</f>
        <v>43215.99861</v>
      </c>
      <c r="B2850" s="1">
        <f>IFERROR(__xludf.DUMMYFUNCTION("""COMPUTED_VALUE"""),13919.0)</f>
        <v>13919</v>
      </c>
    </row>
    <row r="2851">
      <c r="A2851" s="3">
        <f>IFERROR(__xludf.DUMMYFUNCTION("""COMPUTED_VALUE"""),43216.99861111111)</f>
        <v>43216.99861</v>
      </c>
      <c r="B2851" s="1">
        <f>IFERROR(__xludf.DUMMYFUNCTION("""COMPUTED_VALUE"""),13879.0)</f>
        <v>13879</v>
      </c>
    </row>
    <row r="2852">
      <c r="A2852" s="3">
        <f>IFERROR(__xludf.DUMMYFUNCTION("""COMPUTED_VALUE"""),43217.99861111111)</f>
        <v>43217.99861</v>
      </c>
      <c r="B2852" s="1">
        <f>IFERROR(__xludf.DUMMYFUNCTION("""COMPUTED_VALUE"""),13838.0)</f>
        <v>13838</v>
      </c>
    </row>
    <row r="2853">
      <c r="A2853" s="3">
        <f>IFERROR(__xludf.DUMMYFUNCTION("""COMPUTED_VALUE"""),43218.99861111111)</f>
        <v>43218.99861</v>
      </c>
      <c r="B2853" s="1">
        <f>IFERROR(__xludf.DUMMYFUNCTION("""COMPUTED_VALUE"""),13850.41)</f>
        <v>13850.41</v>
      </c>
    </row>
    <row r="2854">
      <c r="A2854" s="3">
        <f>IFERROR(__xludf.DUMMYFUNCTION("""COMPUTED_VALUE"""),43219.99861111111)</f>
        <v>43219.99861</v>
      </c>
      <c r="B2854" s="1">
        <f>IFERROR(__xludf.DUMMYFUNCTION("""COMPUTED_VALUE"""),13870.0)</f>
        <v>13870</v>
      </c>
    </row>
    <row r="2855">
      <c r="A2855" s="3">
        <f>IFERROR(__xludf.DUMMYFUNCTION("""COMPUTED_VALUE"""),43220.99861111111)</f>
        <v>43220.99861</v>
      </c>
      <c r="B2855" s="1">
        <f>IFERROR(__xludf.DUMMYFUNCTION("""COMPUTED_VALUE"""),13901.0)</f>
        <v>13901</v>
      </c>
    </row>
    <row r="2856">
      <c r="A2856" s="3">
        <f>IFERROR(__xludf.DUMMYFUNCTION("""COMPUTED_VALUE"""),43221.99861111111)</f>
        <v>43221.99861</v>
      </c>
      <c r="B2856" s="1">
        <f>IFERROR(__xludf.DUMMYFUNCTION("""COMPUTED_VALUE"""),13982.3)</f>
        <v>13982.3</v>
      </c>
    </row>
    <row r="2857">
      <c r="A2857" s="3">
        <f>IFERROR(__xludf.DUMMYFUNCTION("""COMPUTED_VALUE"""),43222.99861111111)</f>
        <v>43222.99861</v>
      </c>
      <c r="B2857" s="1">
        <f>IFERROR(__xludf.DUMMYFUNCTION("""COMPUTED_VALUE"""),14002.3)</f>
        <v>14002.3</v>
      </c>
    </row>
    <row r="2858">
      <c r="A2858" s="3">
        <f>IFERROR(__xludf.DUMMYFUNCTION("""COMPUTED_VALUE"""),43223.99861111111)</f>
        <v>43223.99861</v>
      </c>
      <c r="B2858" s="1">
        <f>IFERROR(__xludf.DUMMYFUNCTION("""COMPUTED_VALUE"""),13931.0)</f>
        <v>13931</v>
      </c>
    </row>
    <row r="2859">
      <c r="A2859" s="3">
        <f>IFERROR(__xludf.DUMMYFUNCTION("""COMPUTED_VALUE"""),43224.99861111111)</f>
        <v>43224.99861</v>
      </c>
      <c r="B2859" s="1">
        <f>IFERROR(__xludf.DUMMYFUNCTION("""COMPUTED_VALUE"""),13929.3)</f>
        <v>13929.3</v>
      </c>
    </row>
    <row r="2860">
      <c r="A2860" s="3">
        <f>IFERROR(__xludf.DUMMYFUNCTION("""COMPUTED_VALUE"""),43225.99861111111)</f>
        <v>43225.99861</v>
      </c>
      <c r="B2860" s="1">
        <f>IFERROR(__xludf.DUMMYFUNCTION("""COMPUTED_VALUE"""),13927.57)</f>
        <v>13927.57</v>
      </c>
    </row>
    <row r="2861">
      <c r="A2861" s="3">
        <f>IFERROR(__xludf.DUMMYFUNCTION("""COMPUTED_VALUE"""),43226.99861111111)</f>
        <v>43226.99861</v>
      </c>
      <c r="B2861" s="1">
        <f>IFERROR(__xludf.DUMMYFUNCTION("""COMPUTED_VALUE"""),13933.0)</f>
        <v>13933</v>
      </c>
    </row>
    <row r="2862">
      <c r="A2862" s="3">
        <f>IFERROR(__xludf.DUMMYFUNCTION("""COMPUTED_VALUE"""),43227.99861111111)</f>
        <v>43227.99861</v>
      </c>
      <c r="B2862" s="1">
        <f>IFERROR(__xludf.DUMMYFUNCTION("""COMPUTED_VALUE"""),14268.5)</f>
        <v>14268.5</v>
      </c>
    </row>
    <row r="2863">
      <c r="A2863" s="3">
        <f>IFERROR(__xludf.DUMMYFUNCTION("""COMPUTED_VALUE"""),43228.99861111111)</f>
        <v>43228.99861</v>
      </c>
      <c r="B2863" s="1">
        <f>IFERROR(__xludf.DUMMYFUNCTION("""COMPUTED_VALUE"""),14264.1)</f>
        <v>14264.1</v>
      </c>
    </row>
    <row r="2864">
      <c r="A2864" s="3">
        <f>IFERROR(__xludf.DUMMYFUNCTION("""COMPUTED_VALUE"""),43229.99861111111)</f>
        <v>43229.99861</v>
      </c>
      <c r="B2864" s="1">
        <f>IFERROR(__xludf.DUMMYFUNCTION("""COMPUTED_VALUE"""),14073.0)</f>
        <v>14073</v>
      </c>
    </row>
    <row r="2865">
      <c r="A2865" s="3">
        <f>IFERROR(__xludf.DUMMYFUNCTION("""COMPUTED_VALUE"""),43230.99861111111)</f>
        <v>43230.99861</v>
      </c>
      <c r="B2865" s="1">
        <f>IFERROR(__xludf.DUMMYFUNCTION("""COMPUTED_VALUE"""),14073.0)</f>
        <v>14073</v>
      </c>
    </row>
    <row r="2866">
      <c r="A2866" s="3">
        <f>IFERROR(__xludf.DUMMYFUNCTION("""COMPUTED_VALUE"""),43231.99861111111)</f>
        <v>43231.99861</v>
      </c>
      <c r="B2866" s="1">
        <f>IFERROR(__xludf.DUMMYFUNCTION("""COMPUTED_VALUE"""),13940.0)</f>
        <v>13940</v>
      </c>
    </row>
    <row r="2867">
      <c r="A2867" s="3">
        <f>IFERROR(__xludf.DUMMYFUNCTION("""COMPUTED_VALUE"""),43232.99861111111)</f>
        <v>43232.99861</v>
      </c>
      <c r="B2867" s="1">
        <f>IFERROR(__xludf.DUMMYFUNCTION("""COMPUTED_VALUE"""),13943.0)</f>
        <v>13943</v>
      </c>
    </row>
    <row r="2868">
      <c r="A2868" s="3">
        <f>IFERROR(__xludf.DUMMYFUNCTION("""COMPUTED_VALUE"""),43233.99861111111)</f>
        <v>43233.99861</v>
      </c>
      <c r="B2868" s="1">
        <f>IFERROR(__xludf.DUMMYFUNCTION("""COMPUTED_VALUE"""),13943.0)</f>
        <v>13943</v>
      </c>
    </row>
    <row r="2869">
      <c r="A2869" s="3">
        <f>IFERROR(__xludf.DUMMYFUNCTION("""COMPUTED_VALUE"""),43234.99861111111)</f>
        <v>43234.99861</v>
      </c>
      <c r="B2869" s="1">
        <f>IFERROR(__xludf.DUMMYFUNCTION("""COMPUTED_VALUE"""),13963.0)</f>
        <v>13963</v>
      </c>
    </row>
    <row r="2870">
      <c r="A2870" s="3">
        <f>IFERROR(__xludf.DUMMYFUNCTION("""COMPUTED_VALUE"""),43235.99861111111)</f>
        <v>43235.99861</v>
      </c>
      <c r="B2870" s="1">
        <f>IFERROR(__xludf.DUMMYFUNCTION("""COMPUTED_VALUE"""),14030.0)</f>
        <v>14030</v>
      </c>
    </row>
    <row r="2871">
      <c r="A2871" s="3">
        <f>IFERROR(__xludf.DUMMYFUNCTION("""COMPUTED_VALUE"""),43236.99861111111)</f>
        <v>43236.99861</v>
      </c>
      <c r="B2871" s="1">
        <f>IFERROR(__xludf.DUMMYFUNCTION("""COMPUTED_VALUE"""),14149.2)</f>
        <v>14149.2</v>
      </c>
    </row>
    <row r="2872">
      <c r="A2872" s="3">
        <f>IFERROR(__xludf.DUMMYFUNCTION("""COMPUTED_VALUE"""),43237.99861111111)</f>
        <v>43237.99861</v>
      </c>
      <c r="B2872" s="1">
        <f>IFERROR(__xludf.DUMMYFUNCTION("""COMPUTED_VALUE"""),14153.5)</f>
        <v>14153.5</v>
      </c>
    </row>
    <row r="2873">
      <c r="A2873" s="3">
        <f>IFERROR(__xludf.DUMMYFUNCTION("""COMPUTED_VALUE"""),43238.99861111111)</f>
        <v>43238.99861</v>
      </c>
      <c r="B2873" s="1">
        <f>IFERROR(__xludf.DUMMYFUNCTION("""COMPUTED_VALUE"""),14134.0)</f>
        <v>14134</v>
      </c>
    </row>
    <row r="2874">
      <c r="A2874" s="3">
        <f>IFERROR(__xludf.DUMMYFUNCTION("""COMPUTED_VALUE"""),43239.99861111111)</f>
        <v>43239.99861</v>
      </c>
      <c r="B2874" s="1">
        <f>IFERROR(__xludf.DUMMYFUNCTION("""COMPUTED_VALUE"""),14134.0)</f>
        <v>14134</v>
      </c>
    </row>
    <row r="2875">
      <c r="A2875" s="3">
        <f>IFERROR(__xludf.DUMMYFUNCTION("""COMPUTED_VALUE"""),43240.99861111111)</f>
        <v>43240.99861</v>
      </c>
      <c r="B2875" s="1">
        <f>IFERROR(__xludf.DUMMYFUNCTION("""COMPUTED_VALUE"""),14163.0)</f>
        <v>14163</v>
      </c>
    </row>
    <row r="2876">
      <c r="A2876" s="3">
        <f>IFERROR(__xludf.DUMMYFUNCTION("""COMPUTED_VALUE"""),43241.99861111111)</f>
        <v>43241.99861</v>
      </c>
      <c r="B2876" s="1">
        <f>IFERROR(__xludf.DUMMYFUNCTION("""COMPUTED_VALUE"""),14220.0)</f>
        <v>14220</v>
      </c>
    </row>
    <row r="2877">
      <c r="A2877" s="3">
        <f>IFERROR(__xludf.DUMMYFUNCTION("""COMPUTED_VALUE"""),43242.99861111111)</f>
        <v>43242.99861</v>
      </c>
      <c r="B2877" s="1">
        <f>IFERROR(__xludf.DUMMYFUNCTION("""COMPUTED_VALUE"""),14200.8)</f>
        <v>14200.8</v>
      </c>
    </row>
    <row r="2878">
      <c r="A2878" s="3">
        <f>IFERROR(__xludf.DUMMYFUNCTION("""COMPUTED_VALUE"""),43243.99861111111)</f>
        <v>43243.99861</v>
      </c>
      <c r="B2878" s="1">
        <f>IFERROR(__xludf.DUMMYFUNCTION("""COMPUTED_VALUE"""),14169.0)</f>
        <v>14169</v>
      </c>
    </row>
    <row r="2879">
      <c r="A2879" s="3">
        <f>IFERROR(__xludf.DUMMYFUNCTION("""COMPUTED_VALUE"""),43244.99861111111)</f>
        <v>43244.99861</v>
      </c>
      <c r="B2879" s="1">
        <f>IFERROR(__xludf.DUMMYFUNCTION("""COMPUTED_VALUE"""),14124.0)</f>
        <v>14124</v>
      </c>
    </row>
    <row r="2880">
      <c r="A2880" s="3">
        <f>IFERROR(__xludf.DUMMYFUNCTION("""COMPUTED_VALUE"""),43245.99861111111)</f>
        <v>43245.99861</v>
      </c>
      <c r="B2880" s="1">
        <f>IFERROR(__xludf.DUMMYFUNCTION("""COMPUTED_VALUE"""),14110.0)</f>
        <v>14110</v>
      </c>
    </row>
    <row r="2881">
      <c r="A2881" s="3">
        <f>IFERROR(__xludf.DUMMYFUNCTION("""COMPUTED_VALUE"""),43246.99861111111)</f>
        <v>43246.99861</v>
      </c>
      <c r="B2881" s="1">
        <f>IFERROR(__xludf.DUMMYFUNCTION("""COMPUTED_VALUE"""),14046.0)</f>
        <v>14046</v>
      </c>
    </row>
    <row r="2882">
      <c r="A2882" s="3">
        <f>IFERROR(__xludf.DUMMYFUNCTION("""COMPUTED_VALUE"""),43247.99861111111)</f>
        <v>43247.99861</v>
      </c>
      <c r="B2882" s="1">
        <f>IFERROR(__xludf.DUMMYFUNCTION("""COMPUTED_VALUE"""),14078.0)</f>
        <v>14078</v>
      </c>
    </row>
    <row r="2883">
      <c r="A2883" s="3">
        <f>IFERROR(__xludf.DUMMYFUNCTION("""COMPUTED_VALUE"""),43248.99861111111)</f>
        <v>43248.99861</v>
      </c>
      <c r="B2883" s="1">
        <f>IFERROR(__xludf.DUMMYFUNCTION("""COMPUTED_VALUE"""),14010.0)</f>
        <v>14010</v>
      </c>
    </row>
    <row r="2884">
      <c r="A2884" s="3">
        <f>IFERROR(__xludf.DUMMYFUNCTION("""COMPUTED_VALUE"""),43249.99861111111)</f>
        <v>43249.99861</v>
      </c>
      <c r="B2884" s="1">
        <f>IFERROR(__xludf.DUMMYFUNCTION("""COMPUTED_VALUE"""),14029.0)</f>
        <v>14029</v>
      </c>
    </row>
    <row r="2885">
      <c r="A2885" s="3">
        <f>IFERROR(__xludf.DUMMYFUNCTION("""COMPUTED_VALUE"""),43250.99861111111)</f>
        <v>43250.99861</v>
      </c>
      <c r="B2885" s="1">
        <f>IFERROR(__xludf.DUMMYFUNCTION("""COMPUTED_VALUE"""),13977.0)</f>
        <v>13977</v>
      </c>
    </row>
    <row r="2886">
      <c r="A2886" s="3">
        <f>IFERROR(__xludf.DUMMYFUNCTION("""COMPUTED_VALUE"""),43251.99861111111)</f>
        <v>43251.99861</v>
      </c>
      <c r="B2886" s="1">
        <f>IFERROR(__xludf.DUMMYFUNCTION("""COMPUTED_VALUE"""),13880.0)</f>
        <v>13880</v>
      </c>
    </row>
    <row r="2887">
      <c r="A2887" s="3">
        <f>IFERROR(__xludf.DUMMYFUNCTION("""COMPUTED_VALUE"""),43252.99861111111)</f>
        <v>43252.99861</v>
      </c>
      <c r="B2887" s="1">
        <f>IFERROR(__xludf.DUMMYFUNCTION("""COMPUTED_VALUE"""),13822.0)</f>
        <v>13822</v>
      </c>
    </row>
    <row r="2888">
      <c r="A2888" s="3">
        <f>IFERROR(__xludf.DUMMYFUNCTION("""COMPUTED_VALUE"""),43253.99861111111)</f>
        <v>43253.99861</v>
      </c>
      <c r="B2888" s="1">
        <f>IFERROR(__xludf.DUMMYFUNCTION("""COMPUTED_VALUE"""),13831.25)</f>
        <v>13831.25</v>
      </c>
    </row>
    <row r="2889">
      <c r="A2889" s="3">
        <f>IFERROR(__xludf.DUMMYFUNCTION("""COMPUTED_VALUE"""),43254.99861111111)</f>
        <v>43254.99861</v>
      </c>
      <c r="B2889" s="1">
        <f>IFERROR(__xludf.DUMMYFUNCTION("""COMPUTED_VALUE"""),13938.0)</f>
        <v>13938</v>
      </c>
    </row>
    <row r="2890">
      <c r="A2890" s="3">
        <f>IFERROR(__xludf.DUMMYFUNCTION("""COMPUTED_VALUE"""),43255.99861111111)</f>
        <v>43255.99861</v>
      </c>
      <c r="B2890" s="1">
        <f>IFERROR(__xludf.DUMMYFUNCTION("""COMPUTED_VALUE"""),13860.0)</f>
        <v>13860</v>
      </c>
    </row>
    <row r="2891">
      <c r="A2891" s="3">
        <f>IFERROR(__xludf.DUMMYFUNCTION("""COMPUTED_VALUE"""),43256.99861111111)</f>
        <v>43256.99861</v>
      </c>
      <c r="B2891" s="1">
        <f>IFERROR(__xludf.DUMMYFUNCTION("""COMPUTED_VALUE"""),13870.0)</f>
        <v>13870</v>
      </c>
    </row>
    <row r="2892">
      <c r="A2892" s="3">
        <f>IFERROR(__xludf.DUMMYFUNCTION("""COMPUTED_VALUE"""),43257.99861111111)</f>
        <v>43257.99861</v>
      </c>
      <c r="B2892" s="1">
        <f>IFERROR(__xludf.DUMMYFUNCTION("""COMPUTED_VALUE"""),13822.0)</f>
        <v>13822</v>
      </c>
    </row>
    <row r="2893">
      <c r="A2893" s="3">
        <f>IFERROR(__xludf.DUMMYFUNCTION("""COMPUTED_VALUE"""),43258.99861111111)</f>
        <v>43258.99861</v>
      </c>
      <c r="B2893" s="1">
        <f>IFERROR(__xludf.DUMMYFUNCTION("""COMPUTED_VALUE"""),13863.0)</f>
        <v>13863</v>
      </c>
    </row>
    <row r="2894">
      <c r="A2894" s="3">
        <f>IFERROR(__xludf.DUMMYFUNCTION("""COMPUTED_VALUE"""),43259.99861111111)</f>
        <v>43259.99861</v>
      </c>
      <c r="B2894" s="1">
        <f>IFERROR(__xludf.DUMMYFUNCTION("""COMPUTED_VALUE"""),13933.0)</f>
        <v>13933</v>
      </c>
    </row>
    <row r="2895">
      <c r="A2895" s="3">
        <f>IFERROR(__xludf.DUMMYFUNCTION("""COMPUTED_VALUE"""),43260.99861111111)</f>
        <v>43260.99861</v>
      </c>
      <c r="B2895" s="1">
        <f>IFERROR(__xludf.DUMMYFUNCTION("""COMPUTED_VALUE"""),13947.0)</f>
        <v>13947</v>
      </c>
    </row>
    <row r="2896">
      <c r="A2896" s="3">
        <f>IFERROR(__xludf.DUMMYFUNCTION("""COMPUTED_VALUE"""),43261.99861111111)</f>
        <v>43261.99861</v>
      </c>
      <c r="B2896" s="1">
        <f>IFERROR(__xludf.DUMMYFUNCTION("""COMPUTED_VALUE"""),13866.0)</f>
        <v>13866</v>
      </c>
    </row>
    <row r="2897">
      <c r="A2897" s="3">
        <f>IFERROR(__xludf.DUMMYFUNCTION("""COMPUTED_VALUE"""),43262.99861111111)</f>
        <v>43262.99861</v>
      </c>
      <c r="B2897" s="1">
        <f>IFERROR(__xludf.DUMMYFUNCTION("""COMPUTED_VALUE"""),13923.0)</f>
        <v>13923</v>
      </c>
    </row>
    <row r="2898">
      <c r="A2898" s="3">
        <f>IFERROR(__xludf.DUMMYFUNCTION("""COMPUTED_VALUE"""),43263.99861111111)</f>
        <v>43263.99861</v>
      </c>
      <c r="B2898" s="1">
        <f>IFERROR(__xludf.DUMMYFUNCTION("""COMPUTED_VALUE"""),13923.0)</f>
        <v>13923</v>
      </c>
    </row>
    <row r="2899">
      <c r="A2899" s="3">
        <f>IFERROR(__xludf.DUMMYFUNCTION("""COMPUTED_VALUE"""),43264.99861111111)</f>
        <v>43264.99861</v>
      </c>
      <c r="B2899" s="1">
        <f>IFERROR(__xludf.DUMMYFUNCTION("""COMPUTED_VALUE"""),13923.0)</f>
        <v>13923</v>
      </c>
    </row>
    <row r="2900">
      <c r="A2900" s="3">
        <f>IFERROR(__xludf.DUMMYFUNCTION("""COMPUTED_VALUE"""),43265.99861111111)</f>
        <v>43265.99861</v>
      </c>
      <c r="B2900" s="1">
        <f>IFERROR(__xludf.DUMMYFUNCTION("""COMPUTED_VALUE"""),14121.4)</f>
        <v>14121.4</v>
      </c>
    </row>
    <row r="2901">
      <c r="A2901" s="3">
        <f>IFERROR(__xludf.DUMMYFUNCTION("""COMPUTED_VALUE"""),43266.99861111111)</f>
        <v>43266.99861</v>
      </c>
      <c r="B2901" s="1">
        <f>IFERROR(__xludf.DUMMYFUNCTION("""COMPUTED_VALUE"""),14069.8)</f>
        <v>14069.8</v>
      </c>
    </row>
    <row r="2902">
      <c r="A2902" s="3">
        <f>IFERROR(__xludf.DUMMYFUNCTION("""COMPUTED_VALUE"""),43267.99861111111)</f>
        <v>43267.99861</v>
      </c>
      <c r="B2902" s="1">
        <f>IFERROR(__xludf.DUMMYFUNCTION("""COMPUTED_VALUE"""),13908.2)</f>
        <v>13908.2</v>
      </c>
    </row>
    <row r="2903">
      <c r="A2903" s="3">
        <f>IFERROR(__xludf.DUMMYFUNCTION("""COMPUTED_VALUE"""),43268.99861111111)</f>
        <v>43268.99861</v>
      </c>
      <c r="B2903" s="1">
        <f>IFERROR(__xludf.DUMMYFUNCTION("""COMPUTED_VALUE"""),13923.0)</f>
        <v>13923</v>
      </c>
    </row>
    <row r="2904">
      <c r="A2904" s="3">
        <f>IFERROR(__xludf.DUMMYFUNCTION("""COMPUTED_VALUE"""),43269.99861111111)</f>
        <v>43269.99861</v>
      </c>
      <c r="B2904" s="1">
        <f>IFERROR(__xludf.DUMMYFUNCTION("""COMPUTED_VALUE"""),13923.0)</f>
        <v>13923</v>
      </c>
    </row>
    <row r="2905">
      <c r="A2905" s="3">
        <f>IFERROR(__xludf.DUMMYFUNCTION("""COMPUTED_VALUE"""),43270.99861111111)</f>
        <v>43270.99861</v>
      </c>
      <c r="B2905" s="1">
        <f>IFERROR(__xludf.DUMMYFUNCTION("""COMPUTED_VALUE"""),13923.0)</f>
        <v>13923</v>
      </c>
    </row>
    <row r="2906">
      <c r="A2906" s="3">
        <f>IFERROR(__xludf.DUMMYFUNCTION("""COMPUTED_VALUE"""),43271.99861111111)</f>
        <v>43271.99861</v>
      </c>
      <c r="B2906" s="1">
        <f>IFERROR(__xludf.DUMMYFUNCTION("""COMPUTED_VALUE"""),13923.0)</f>
        <v>13923</v>
      </c>
    </row>
    <row r="2907">
      <c r="A2907" s="3">
        <f>IFERROR(__xludf.DUMMYFUNCTION("""COMPUTED_VALUE"""),43272.99861111111)</f>
        <v>43272.99861</v>
      </c>
      <c r="B2907" s="1">
        <f>IFERROR(__xludf.DUMMYFUNCTION("""COMPUTED_VALUE"""),14088.0)</f>
        <v>14088</v>
      </c>
    </row>
    <row r="2908">
      <c r="A2908" s="3">
        <f>IFERROR(__xludf.DUMMYFUNCTION("""COMPUTED_VALUE"""),43273.99861111111)</f>
        <v>43273.99861</v>
      </c>
      <c r="B2908" s="1">
        <f>IFERROR(__xludf.DUMMYFUNCTION("""COMPUTED_VALUE"""),14087.8)</f>
        <v>14087.8</v>
      </c>
    </row>
    <row r="2909">
      <c r="A2909" s="3">
        <f>IFERROR(__xludf.DUMMYFUNCTION("""COMPUTED_VALUE"""),43274.99861111111)</f>
        <v>43274.99861</v>
      </c>
      <c r="B2909" s="1">
        <f>IFERROR(__xludf.DUMMYFUNCTION("""COMPUTED_VALUE"""),14064.69)</f>
        <v>14064.69</v>
      </c>
    </row>
    <row r="2910">
      <c r="A2910" s="3">
        <f>IFERROR(__xludf.DUMMYFUNCTION("""COMPUTED_VALUE"""),43275.99861111111)</f>
        <v>43275.99861</v>
      </c>
      <c r="B2910" s="1">
        <f>IFERROR(__xludf.DUMMYFUNCTION("""COMPUTED_VALUE"""),14073.0)</f>
        <v>14073</v>
      </c>
    </row>
    <row r="2911">
      <c r="A2911" s="3">
        <f>IFERROR(__xludf.DUMMYFUNCTION("""COMPUTED_VALUE"""),43276.99861111111)</f>
        <v>43276.99861</v>
      </c>
      <c r="B2911" s="1">
        <f>IFERROR(__xludf.DUMMYFUNCTION("""COMPUTED_VALUE"""),14148.0)</f>
        <v>14148</v>
      </c>
    </row>
    <row r="2912">
      <c r="A2912" s="3">
        <f>IFERROR(__xludf.DUMMYFUNCTION("""COMPUTED_VALUE"""),43277.99861111111)</f>
        <v>43277.99861</v>
      </c>
      <c r="B2912" s="1">
        <f>IFERROR(__xludf.DUMMYFUNCTION("""COMPUTED_VALUE"""),14188.0)</f>
        <v>14188</v>
      </c>
    </row>
    <row r="2913">
      <c r="A2913" s="3">
        <f>IFERROR(__xludf.DUMMYFUNCTION("""COMPUTED_VALUE"""),43278.99861111111)</f>
        <v>43278.99861</v>
      </c>
      <c r="B2913" s="1">
        <f>IFERROR(__xludf.DUMMYFUNCTION("""COMPUTED_VALUE"""),14235.0)</f>
        <v>14235</v>
      </c>
    </row>
    <row r="2914">
      <c r="A2914" s="3">
        <f>IFERROR(__xludf.DUMMYFUNCTION("""COMPUTED_VALUE"""),43279.99861111111)</f>
        <v>43279.99861</v>
      </c>
      <c r="B2914" s="1">
        <f>IFERROR(__xludf.DUMMYFUNCTION("""COMPUTED_VALUE"""),14350.0)</f>
        <v>14350</v>
      </c>
    </row>
    <row r="2915">
      <c r="A2915" s="3">
        <f>IFERROR(__xludf.DUMMYFUNCTION("""COMPUTED_VALUE"""),43280.99861111111)</f>
        <v>43280.99861</v>
      </c>
      <c r="B2915" s="1">
        <f>IFERROR(__xludf.DUMMYFUNCTION("""COMPUTED_VALUE"""),14273.0)</f>
        <v>14273</v>
      </c>
    </row>
    <row r="2916">
      <c r="A2916" s="3">
        <f>IFERROR(__xludf.DUMMYFUNCTION("""COMPUTED_VALUE"""),43281.99861111111)</f>
        <v>43281.99861</v>
      </c>
      <c r="B2916" s="1">
        <f>IFERROR(__xludf.DUMMYFUNCTION("""COMPUTED_VALUE"""),14273.0)</f>
        <v>14273</v>
      </c>
    </row>
    <row r="2917">
      <c r="A2917" s="3">
        <f>IFERROR(__xludf.DUMMYFUNCTION("""COMPUTED_VALUE"""),43282.99861111111)</f>
        <v>43282.99861</v>
      </c>
      <c r="B2917" s="1">
        <f>IFERROR(__xludf.DUMMYFUNCTION("""COMPUTED_VALUE"""),14317.0)</f>
        <v>14317</v>
      </c>
    </row>
    <row r="2918">
      <c r="A2918" s="3">
        <f>IFERROR(__xludf.DUMMYFUNCTION("""COMPUTED_VALUE"""),43283.99861111111)</f>
        <v>43283.99861</v>
      </c>
      <c r="B2918" s="1">
        <f>IFERROR(__xludf.DUMMYFUNCTION("""COMPUTED_VALUE"""),14347.0)</f>
        <v>14347</v>
      </c>
    </row>
    <row r="2919">
      <c r="A2919" s="3">
        <f>IFERROR(__xludf.DUMMYFUNCTION("""COMPUTED_VALUE"""),43284.99861111111)</f>
        <v>43284.99861</v>
      </c>
      <c r="B2919" s="1">
        <f>IFERROR(__xludf.DUMMYFUNCTION("""COMPUTED_VALUE"""),14353.0)</f>
        <v>14353</v>
      </c>
    </row>
    <row r="2920">
      <c r="A2920" s="3">
        <f>IFERROR(__xludf.DUMMYFUNCTION("""COMPUTED_VALUE"""),43285.99861111111)</f>
        <v>43285.99861</v>
      </c>
      <c r="B2920" s="1">
        <f>IFERROR(__xludf.DUMMYFUNCTION("""COMPUTED_VALUE"""),14400.0)</f>
        <v>14400</v>
      </c>
    </row>
    <row r="2921">
      <c r="A2921" s="3">
        <f>IFERROR(__xludf.DUMMYFUNCTION("""COMPUTED_VALUE"""),43286.99861111111)</f>
        <v>43286.99861</v>
      </c>
      <c r="B2921" s="1">
        <f>IFERROR(__xludf.DUMMYFUNCTION("""COMPUTED_VALUE"""),14378.8)</f>
        <v>14378.8</v>
      </c>
    </row>
    <row r="2922">
      <c r="A2922" s="3">
        <f>IFERROR(__xludf.DUMMYFUNCTION("""COMPUTED_VALUE"""),43287.99861111111)</f>
        <v>43287.99861</v>
      </c>
      <c r="B2922" s="1">
        <f>IFERROR(__xludf.DUMMYFUNCTION("""COMPUTED_VALUE"""),14337.0)</f>
        <v>14337</v>
      </c>
    </row>
    <row r="2923">
      <c r="A2923" s="3">
        <f>IFERROR(__xludf.DUMMYFUNCTION("""COMPUTED_VALUE"""),43288.99861111111)</f>
        <v>43288.99861</v>
      </c>
      <c r="B2923" s="1">
        <f>IFERROR(__xludf.DUMMYFUNCTION("""COMPUTED_VALUE"""),14337.0)</f>
        <v>14337</v>
      </c>
    </row>
    <row r="2924">
      <c r="A2924" s="3">
        <f>IFERROR(__xludf.DUMMYFUNCTION("""COMPUTED_VALUE"""),43289.99861111111)</f>
        <v>43289.99861</v>
      </c>
      <c r="B2924" s="1">
        <f>IFERROR(__xludf.DUMMYFUNCTION("""COMPUTED_VALUE"""),14307.0)</f>
        <v>14307</v>
      </c>
    </row>
    <row r="2925">
      <c r="A2925" s="3">
        <f>IFERROR(__xludf.DUMMYFUNCTION("""COMPUTED_VALUE"""),43290.99861111111)</f>
        <v>43290.99861</v>
      </c>
      <c r="B2925" s="1">
        <f>IFERROR(__xludf.DUMMYFUNCTION("""COMPUTED_VALUE"""),14311.0)</f>
        <v>14311</v>
      </c>
    </row>
    <row r="2926">
      <c r="A2926" s="3">
        <f>IFERROR(__xludf.DUMMYFUNCTION("""COMPUTED_VALUE"""),43291.99861111111)</f>
        <v>43291.99861</v>
      </c>
      <c r="B2926" s="1">
        <f>IFERROR(__xludf.DUMMYFUNCTION("""COMPUTED_VALUE"""),14375.0)</f>
        <v>14375</v>
      </c>
    </row>
    <row r="2927">
      <c r="A2927" s="3">
        <f>IFERROR(__xludf.DUMMYFUNCTION("""COMPUTED_VALUE"""),43292.99861111111)</f>
        <v>43292.99861</v>
      </c>
      <c r="B2927" s="1">
        <f>IFERROR(__xludf.DUMMYFUNCTION("""COMPUTED_VALUE"""),14378.0)</f>
        <v>14378</v>
      </c>
    </row>
    <row r="2928">
      <c r="A2928" s="3">
        <f>IFERROR(__xludf.DUMMYFUNCTION("""COMPUTED_VALUE"""),43293.99861111111)</f>
        <v>43293.99861</v>
      </c>
      <c r="B2928" s="1">
        <f>IFERROR(__xludf.DUMMYFUNCTION("""COMPUTED_VALUE"""),14385.0)</f>
        <v>14385</v>
      </c>
    </row>
    <row r="2929">
      <c r="A2929" s="3">
        <f>IFERROR(__xludf.DUMMYFUNCTION("""COMPUTED_VALUE"""),43294.99861111111)</f>
        <v>43294.99861</v>
      </c>
      <c r="B2929" s="1">
        <f>IFERROR(__xludf.DUMMYFUNCTION("""COMPUTED_VALUE"""),14372.7)</f>
        <v>14372.7</v>
      </c>
    </row>
    <row r="2930">
      <c r="A2930" s="3">
        <f>IFERROR(__xludf.DUMMYFUNCTION("""COMPUTED_VALUE"""),43295.99861111111)</f>
        <v>43295.99861</v>
      </c>
      <c r="B2930" s="1">
        <f>IFERROR(__xludf.DUMMYFUNCTION("""COMPUTED_VALUE"""),14373.0)</f>
        <v>14373</v>
      </c>
    </row>
    <row r="2931">
      <c r="A2931" s="3">
        <f>IFERROR(__xludf.DUMMYFUNCTION("""COMPUTED_VALUE"""),43296.99861111111)</f>
        <v>43296.99861</v>
      </c>
      <c r="B2931" s="1">
        <f>IFERROR(__xludf.DUMMYFUNCTION("""COMPUTED_VALUE"""),14373.0)</f>
        <v>14373</v>
      </c>
    </row>
    <row r="2932">
      <c r="A2932" s="3">
        <f>IFERROR(__xludf.DUMMYFUNCTION("""COMPUTED_VALUE"""),43297.99861111111)</f>
        <v>43297.99861</v>
      </c>
      <c r="B2932" s="1">
        <f>IFERROR(__xludf.DUMMYFUNCTION("""COMPUTED_VALUE"""),14365.5)</f>
        <v>14365.5</v>
      </c>
    </row>
    <row r="2933">
      <c r="A2933" s="3">
        <f>IFERROR(__xludf.DUMMYFUNCTION("""COMPUTED_VALUE"""),43298.99861111111)</f>
        <v>43298.99861</v>
      </c>
      <c r="B2933" s="1">
        <f>IFERROR(__xludf.DUMMYFUNCTION("""COMPUTED_VALUE"""),14377.0)</f>
        <v>14377</v>
      </c>
    </row>
    <row r="2934">
      <c r="A2934" s="3">
        <f>IFERROR(__xludf.DUMMYFUNCTION("""COMPUTED_VALUE"""),43299.99861111111)</f>
        <v>43299.99861</v>
      </c>
      <c r="B2934" s="1">
        <f>IFERROR(__xludf.DUMMYFUNCTION("""COMPUTED_VALUE"""),14441.0)</f>
        <v>14441</v>
      </c>
    </row>
    <row r="2935">
      <c r="A2935" s="3">
        <f>IFERROR(__xludf.DUMMYFUNCTION("""COMPUTED_VALUE"""),43300.99861111111)</f>
        <v>43300.99861</v>
      </c>
      <c r="B2935" s="1">
        <f>IFERROR(__xludf.DUMMYFUNCTION("""COMPUTED_VALUE"""),14468.0)</f>
        <v>14468</v>
      </c>
    </row>
    <row r="2936">
      <c r="A2936" s="3">
        <f>IFERROR(__xludf.DUMMYFUNCTION("""COMPUTED_VALUE"""),43301.99861111111)</f>
        <v>43301.99861</v>
      </c>
      <c r="B2936" s="1">
        <f>IFERROR(__xludf.DUMMYFUNCTION("""COMPUTED_VALUE"""),14484.7)</f>
        <v>14484.7</v>
      </c>
    </row>
    <row r="2937">
      <c r="A2937" s="3">
        <f>IFERROR(__xludf.DUMMYFUNCTION("""COMPUTED_VALUE"""),43302.99861111111)</f>
        <v>43302.99861</v>
      </c>
      <c r="B2937" s="1">
        <f>IFERROR(__xludf.DUMMYFUNCTION("""COMPUTED_VALUE"""),14497.37)</f>
        <v>14497.37</v>
      </c>
    </row>
    <row r="2938">
      <c r="A2938" s="3">
        <f>IFERROR(__xludf.DUMMYFUNCTION("""COMPUTED_VALUE"""),43303.99861111111)</f>
        <v>43303.99861</v>
      </c>
      <c r="B2938" s="1">
        <f>IFERROR(__xludf.DUMMYFUNCTION("""COMPUTED_VALUE"""),14473.0)</f>
        <v>14473</v>
      </c>
    </row>
    <row r="2939">
      <c r="A2939" s="3">
        <f>IFERROR(__xludf.DUMMYFUNCTION("""COMPUTED_VALUE"""),43304.99861111111)</f>
        <v>43304.99861</v>
      </c>
      <c r="B2939" s="1">
        <f>IFERROR(__xludf.DUMMYFUNCTION("""COMPUTED_VALUE"""),14567.5)</f>
        <v>14567.5</v>
      </c>
    </row>
    <row r="2940">
      <c r="A2940" s="3">
        <f>IFERROR(__xludf.DUMMYFUNCTION("""COMPUTED_VALUE"""),43305.99861111111)</f>
        <v>43305.99861</v>
      </c>
      <c r="B2940" s="1">
        <f>IFERROR(__xludf.DUMMYFUNCTION("""COMPUTED_VALUE"""),14543.3)</f>
        <v>14543.3</v>
      </c>
    </row>
    <row r="2941">
      <c r="A2941" s="3">
        <f>IFERROR(__xludf.DUMMYFUNCTION("""COMPUTED_VALUE"""),43306.99861111111)</f>
        <v>43306.99861</v>
      </c>
      <c r="B2941" s="1">
        <f>IFERROR(__xludf.DUMMYFUNCTION("""COMPUTED_VALUE"""),14465.0)</f>
        <v>14465</v>
      </c>
    </row>
    <row r="2942">
      <c r="A2942" s="3">
        <f>IFERROR(__xludf.DUMMYFUNCTION("""COMPUTED_VALUE"""),43307.99861111111)</f>
        <v>43307.99861</v>
      </c>
      <c r="B2942" s="1">
        <f>IFERROR(__xludf.DUMMYFUNCTION("""COMPUTED_VALUE"""),14525.0)</f>
        <v>14525</v>
      </c>
    </row>
    <row r="2943">
      <c r="A2943" s="3">
        <f>IFERROR(__xludf.DUMMYFUNCTION("""COMPUTED_VALUE"""),43308.99861111111)</f>
        <v>43308.99861</v>
      </c>
      <c r="B2943" s="1">
        <f>IFERROR(__xludf.DUMMYFUNCTION("""COMPUTED_VALUE"""),14374.2)</f>
        <v>14374.2</v>
      </c>
    </row>
    <row r="2944">
      <c r="A2944" s="3">
        <f>IFERROR(__xludf.DUMMYFUNCTION("""COMPUTED_VALUE"""),43309.99861111111)</f>
        <v>43309.99861</v>
      </c>
      <c r="B2944" s="1">
        <f>IFERROR(__xludf.DUMMYFUNCTION("""COMPUTED_VALUE"""),14379.79)</f>
        <v>14379.79</v>
      </c>
    </row>
    <row r="2945">
      <c r="A2945" s="3">
        <f>IFERROR(__xludf.DUMMYFUNCTION("""COMPUTED_VALUE"""),43310.99861111111)</f>
        <v>43310.99861</v>
      </c>
      <c r="B2945" s="1">
        <f>IFERROR(__xludf.DUMMYFUNCTION("""COMPUTED_VALUE"""),14411.0)</f>
        <v>14411</v>
      </c>
    </row>
    <row r="2946">
      <c r="A2946" s="3">
        <f>IFERROR(__xludf.DUMMYFUNCTION("""COMPUTED_VALUE"""),43311.99861111111)</f>
        <v>43311.99861</v>
      </c>
      <c r="B2946" s="1">
        <f>IFERROR(__xludf.DUMMYFUNCTION("""COMPUTED_VALUE"""),14403.0)</f>
        <v>14403</v>
      </c>
    </row>
    <row r="2947">
      <c r="A2947" s="3">
        <f>IFERROR(__xludf.DUMMYFUNCTION("""COMPUTED_VALUE"""),43312.99861111111)</f>
        <v>43312.99861</v>
      </c>
      <c r="B2947" s="1">
        <f>IFERROR(__xludf.DUMMYFUNCTION("""COMPUTED_VALUE"""),14409.2)</f>
        <v>14409.2</v>
      </c>
    </row>
    <row r="2948">
      <c r="A2948" s="3">
        <f>IFERROR(__xludf.DUMMYFUNCTION("""COMPUTED_VALUE"""),43313.99861111111)</f>
        <v>43313.99861</v>
      </c>
      <c r="B2948" s="1">
        <f>IFERROR(__xludf.DUMMYFUNCTION("""COMPUTED_VALUE"""),14489.0)</f>
        <v>14489</v>
      </c>
    </row>
    <row r="2949">
      <c r="A2949" s="3">
        <f>IFERROR(__xludf.DUMMYFUNCTION("""COMPUTED_VALUE"""),43314.99861111111)</f>
        <v>43314.99861</v>
      </c>
      <c r="B2949" s="1">
        <f>IFERROR(__xludf.DUMMYFUNCTION("""COMPUTED_VALUE"""),14521.0)</f>
        <v>14521</v>
      </c>
    </row>
    <row r="2950">
      <c r="A2950" s="3">
        <f>IFERROR(__xludf.DUMMYFUNCTION("""COMPUTED_VALUE"""),43315.99861111111)</f>
        <v>43315.99861</v>
      </c>
      <c r="B2950" s="1">
        <f>IFERROR(__xludf.DUMMYFUNCTION("""COMPUTED_VALUE"""),14473.6)</f>
        <v>14473.6</v>
      </c>
    </row>
    <row r="2951">
      <c r="A2951" s="3">
        <f>IFERROR(__xludf.DUMMYFUNCTION("""COMPUTED_VALUE"""),43316.99861111111)</f>
        <v>43316.99861</v>
      </c>
      <c r="B2951" s="1">
        <f>IFERROR(__xludf.DUMMYFUNCTION("""COMPUTED_VALUE"""),14508.1)</f>
        <v>14508.1</v>
      </c>
    </row>
    <row r="2952">
      <c r="A2952" s="3">
        <f>IFERROR(__xludf.DUMMYFUNCTION("""COMPUTED_VALUE"""),43317.99861111111)</f>
        <v>43317.99861</v>
      </c>
      <c r="B2952" s="1">
        <f>IFERROR(__xludf.DUMMYFUNCTION("""COMPUTED_VALUE"""),14486.0)</f>
        <v>14486</v>
      </c>
    </row>
    <row r="2953">
      <c r="A2953" s="3">
        <f>IFERROR(__xludf.DUMMYFUNCTION("""COMPUTED_VALUE"""),43318.99861111111)</f>
        <v>43318.99861</v>
      </c>
      <c r="B2953" s="1">
        <f>IFERROR(__xludf.DUMMYFUNCTION("""COMPUTED_VALUE"""),14543.3)</f>
        <v>14543.3</v>
      </c>
    </row>
    <row r="2954">
      <c r="A2954" s="3">
        <f>IFERROR(__xludf.DUMMYFUNCTION("""COMPUTED_VALUE"""),43319.99861111111)</f>
        <v>43319.99861</v>
      </c>
      <c r="B2954" s="1">
        <f>IFERROR(__xludf.DUMMYFUNCTION("""COMPUTED_VALUE"""),14422.0)</f>
        <v>14422</v>
      </c>
    </row>
    <row r="2955">
      <c r="A2955" s="3">
        <f>IFERROR(__xludf.DUMMYFUNCTION("""COMPUTED_VALUE"""),43320.99861111111)</f>
        <v>43320.99861</v>
      </c>
      <c r="B2955" s="1">
        <f>IFERROR(__xludf.DUMMYFUNCTION("""COMPUTED_VALUE"""),14398.0)</f>
        <v>14398</v>
      </c>
    </row>
    <row r="2956">
      <c r="A2956" s="3">
        <f>IFERROR(__xludf.DUMMYFUNCTION("""COMPUTED_VALUE"""),43321.99861111111)</f>
        <v>43321.99861</v>
      </c>
      <c r="B2956" s="1">
        <f>IFERROR(__xludf.DUMMYFUNCTION("""COMPUTED_VALUE"""),14472.0)</f>
        <v>14472</v>
      </c>
    </row>
    <row r="2957">
      <c r="A2957" s="3">
        <f>IFERROR(__xludf.DUMMYFUNCTION("""COMPUTED_VALUE"""),43322.99861111111)</f>
        <v>43322.99861</v>
      </c>
      <c r="B2957" s="1">
        <f>IFERROR(__xludf.DUMMYFUNCTION("""COMPUTED_VALUE"""),14478.0)</f>
        <v>14478</v>
      </c>
    </row>
    <row r="2958">
      <c r="A2958" s="3">
        <f>IFERROR(__xludf.DUMMYFUNCTION("""COMPUTED_VALUE"""),43323.99861111111)</f>
        <v>43323.99861</v>
      </c>
      <c r="B2958" s="1">
        <f>IFERROR(__xludf.DUMMYFUNCTION("""COMPUTED_VALUE"""),14491.91)</f>
        <v>14491.91</v>
      </c>
    </row>
    <row r="2959">
      <c r="A2959" s="3">
        <f>IFERROR(__xludf.DUMMYFUNCTION("""COMPUTED_VALUE"""),43324.99861111111)</f>
        <v>43324.99861</v>
      </c>
      <c r="B2959" s="1">
        <f>IFERROR(__xludf.DUMMYFUNCTION("""COMPUTED_VALUE"""),14473.0)</f>
        <v>14473</v>
      </c>
    </row>
    <row r="2960">
      <c r="A2960" s="3">
        <f>IFERROR(__xludf.DUMMYFUNCTION("""COMPUTED_VALUE"""),43325.99861111111)</f>
        <v>43325.99861</v>
      </c>
      <c r="B2960" s="1">
        <f>IFERROR(__xludf.DUMMYFUNCTION("""COMPUTED_VALUE"""),14594.0)</f>
        <v>14594</v>
      </c>
    </row>
    <row r="2961">
      <c r="A2961" s="3">
        <f>IFERROR(__xludf.DUMMYFUNCTION("""COMPUTED_VALUE"""),43326.99861111111)</f>
        <v>43326.99861</v>
      </c>
      <c r="B2961" s="1">
        <f>IFERROR(__xludf.DUMMYFUNCTION("""COMPUTED_VALUE"""),14642.0)</f>
        <v>14642</v>
      </c>
    </row>
    <row r="2962">
      <c r="A2962" s="3">
        <f>IFERROR(__xludf.DUMMYFUNCTION("""COMPUTED_VALUE"""),43327.99861111111)</f>
        <v>43327.99861</v>
      </c>
      <c r="B2962" s="1">
        <f>IFERROR(__xludf.DUMMYFUNCTION("""COMPUTED_VALUE"""),14555.8)</f>
        <v>14555.8</v>
      </c>
    </row>
    <row r="2963">
      <c r="A2963" s="3">
        <f>IFERROR(__xludf.DUMMYFUNCTION("""COMPUTED_VALUE"""),43328.99861111111)</f>
        <v>43328.99861</v>
      </c>
      <c r="B2963" s="1">
        <f>IFERROR(__xludf.DUMMYFUNCTION("""COMPUTED_VALUE"""),14598.6)</f>
        <v>14598.6</v>
      </c>
    </row>
    <row r="2964">
      <c r="A2964" s="3">
        <f>IFERROR(__xludf.DUMMYFUNCTION("""COMPUTED_VALUE"""),43329.99861111111)</f>
        <v>43329.99861</v>
      </c>
      <c r="B2964" s="1">
        <f>IFERROR(__xludf.DUMMYFUNCTION("""COMPUTED_VALUE"""),14578.0)</f>
        <v>14578</v>
      </c>
    </row>
    <row r="2965">
      <c r="A2965" s="3">
        <f>IFERROR(__xludf.DUMMYFUNCTION("""COMPUTED_VALUE"""),43330.99861111111)</f>
        <v>43330.99861</v>
      </c>
      <c r="B2965" s="1">
        <f>IFERROR(__xludf.DUMMYFUNCTION("""COMPUTED_VALUE"""),14579.59)</f>
        <v>14579.59</v>
      </c>
    </row>
    <row r="2966">
      <c r="A2966" s="3">
        <f>IFERROR(__xludf.DUMMYFUNCTION("""COMPUTED_VALUE"""),43331.99861111111)</f>
        <v>43331.99861</v>
      </c>
      <c r="B2966" s="1">
        <f>IFERROR(__xludf.DUMMYFUNCTION("""COMPUTED_VALUE"""),14572.0)</f>
        <v>14572</v>
      </c>
    </row>
    <row r="2967">
      <c r="A2967" s="3">
        <f>IFERROR(__xludf.DUMMYFUNCTION("""COMPUTED_VALUE"""),43332.99861111111)</f>
        <v>43332.99861</v>
      </c>
      <c r="B2967" s="1">
        <f>IFERROR(__xludf.DUMMYFUNCTION("""COMPUTED_VALUE"""),14562.0)</f>
        <v>14562</v>
      </c>
    </row>
    <row r="2968">
      <c r="A2968" s="3">
        <f>IFERROR(__xludf.DUMMYFUNCTION("""COMPUTED_VALUE"""),43333.99861111111)</f>
        <v>43333.99861</v>
      </c>
      <c r="B2968" s="1">
        <f>IFERROR(__xludf.DUMMYFUNCTION("""COMPUTED_VALUE"""),14570.0)</f>
        <v>14570</v>
      </c>
    </row>
    <row r="2969">
      <c r="A2969" s="3">
        <f>IFERROR(__xludf.DUMMYFUNCTION("""COMPUTED_VALUE"""),43334.99861111111)</f>
        <v>43334.99861</v>
      </c>
      <c r="B2969" s="1">
        <f>IFERROR(__xludf.DUMMYFUNCTION("""COMPUTED_VALUE"""),14572.0)</f>
        <v>14572</v>
      </c>
    </row>
    <row r="2970">
      <c r="A2970" s="3">
        <f>IFERROR(__xludf.DUMMYFUNCTION("""COMPUTED_VALUE"""),43335.99861111111)</f>
        <v>43335.99861</v>
      </c>
      <c r="B2970" s="1">
        <f>IFERROR(__xludf.DUMMYFUNCTION("""COMPUTED_VALUE"""),14664.0)</f>
        <v>14664</v>
      </c>
    </row>
    <row r="2971">
      <c r="A2971" s="3">
        <f>IFERROR(__xludf.DUMMYFUNCTION("""COMPUTED_VALUE"""),43336.99861111111)</f>
        <v>43336.99861</v>
      </c>
      <c r="B2971" s="1">
        <f>IFERROR(__xludf.DUMMYFUNCTION("""COMPUTED_VALUE"""),14573.0)</f>
        <v>14573</v>
      </c>
    </row>
    <row r="2972">
      <c r="A2972" s="3">
        <f>IFERROR(__xludf.DUMMYFUNCTION("""COMPUTED_VALUE"""),43337.99861111111)</f>
        <v>43337.99861</v>
      </c>
      <c r="B2972" s="1">
        <f>IFERROR(__xludf.DUMMYFUNCTION("""COMPUTED_VALUE"""),14587.04)</f>
        <v>14587.04</v>
      </c>
    </row>
    <row r="2973">
      <c r="A2973" s="3">
        <f>IFERROR(__xludf.DUMMYFUNCTION("""COMPUTED_VALUE"""),43338.99861111111)</f>
        <v>43338.99861</v>
      </c>
      <c r="B2973" s="1">
        <f>IFERROR(__xludf.DUMMYFUNCTION("""COMPUTED_VALUE"""),14559.0)</f>
        <v>14559</v>
      </c>
    </row>
    <row r="2974">
      <c r="A2974" s="3">
        <f>IFERROR(__xludf.DUMMYFUNCTION("""COMPUTED_VALUE"""),43339.99861111111)</f>
        <v>43339.99861</v>
      </c>
      <c r="B2974" s="1">
        <f>IFERROR(__xludf.DUMMYFUNCTION("""COMPUTED_VALUE"""),14551.0)</f>
        <v>14551</v>
      </c>
    </row>
    <row r="2975">
      <c r="A2975" s="3">
        <f>IFERROR(__xludf.DUMMYFUNCTION("""COMPUTED_VALUE"""),43340.99861111111)</f>
        <v>43340.99861</v>
      </c>
      <c r="B2975" s="1">
        <f>IFERROR(__xludf.DUMMYFUNCTION("""COMPUTED_VALUE"""),14653.0)</f>
        <v>14653</v>
      </c>
    </row>
    <row r="2976">
      <c r="A2976" s="3">
        <f>IFERROR(__xludf.DUMMYFUNCTION("""COMPUTED_VALUE"""),43341.99861111111)</f>
        <v>43341.99861</v>
      </c>
      <c r="B2976" s="1">
        <f>IFERROR(__xludf.DUMMYFUNCTION("""COMPUTED_VALUE"""),14618.0)</f>
        <v>14618</v>
      </c>
    </row>
    <row r="2977">
      <c r="A2977" s="3">
        <f>IFERROR(__xludf.DUMMYFUNCTION("""COMPUTED_VALUE"""),43342.99861111111)</f>
        <v>43342.99861</v>
      </c>
      <c r="B2977" s="1">
        <f>IFERROR(__xludf.DUMMYFUNCTION("""COMPUTED_VALUE"""),14751.0)</f>
        <v>14751</v>
      </c>
    </row>
    <row r="2978">
      <c r="A2978" s="3">
        <f>IFERROR(__xludf.DUMMYFUNCTION("""COMPUTED_VALUE"""),43343.99861111111)</f>
        <v>43343.99861</v>
      </c>
      <c r="B2978" s="1">
        <f>IFERROR(__xludf.DUMMYFUNCTION("""COMPUTED_VALUE"""),14725.0)</f>
        <v>14725</v>
      </c>
    </row>
    <row r="2979">
      <c r="A2979" s="3">
        <f>IFERROR(__xludf.DUMMYFUNCTION("""COMPUTED_VALUE"""),43344.99861111111)</f>
        <v>43344.99861</v>
      </c>
      <c r="B2979" s="1">
        <f>IFERROR(__xludf.DUMMYFUNCTION("""COMPUTED_VALUE"""),14723.0)</f>
        <v>14723</v>
      </c>
    </row>
    <row r="2980">
      <c r="A2980" s="3">
        <f>IFERROR(__xludf.DUMMYFUNCTION("""COMPUTED_VALUE"""),43345.99861111111)</f>
        <v>43345.99861</v>
      </c>
      <c r="B2980" s="1">
        <f>IFERROR(__xludf.DUMMYFUNCTION("""COMPUTED_VALUE"""),14723.0)</f>
        <v>14723</v>
      </c>
    </row>
    <row r="2981">
      <c r="A2981" s="3">
        <f>IFERROR(__xludf.DUMMYFUNCTION("""COMPUTED_VALUE"""),43346.99861111111)</f>
        <v>43346.99861</v>
      </c>
      <c r="B2981" s="1">
        <f>IFERROR(__xludf.DUMMYFUNCTION("""COMPUTED_VALUE"""),14832.0)</f>
        <v>14832</v>
      </c>
    </row>
    <row r="2982">
      <c r="A2982" s="3">
        <f>IFERROR(__xludf.DUMMYFUNCTION("""COMPUTED_VALUE"""),43347.99861111111)</f>
        <v>43347.99861</v>
      </c>
      <c r="B2982" s="1">
        <f>IFERROR(__xludf.DUMMYFUNCTION("""COMPUTED_VALUE"""),14930.0)</f>
        <v>14930</v>
      </c>
    </row>
    <row r="2983">
      <c r="A2983" s="3">
        <f>IFERROR(__xludf.DUMMYFUNCTION("""COMPUTED_VALUE"""),43348.99861111111)</f>
        <v>43348.99861</v>
      </c>
      <c r="B2983" s="1">
        <f>IFERROR(__xludf.DUMMYFUNCTION("""COMPUTED_VALUE"""),14979.9)</f>
        <v>14979.9</v>
      </c>
    </row>
    <row r="2984">
      <c r="A2984" s="3">
        <f>IFERROR(__xludf.DUMMYFUNCTION("""COMPUTED_VALUE"""),43349.99861111111)</f>
        <v>43349.99861</v>
      </c>
      <c r="B2984" s="1">
        <f>IFERROR(__xludf.DUMMYFUNCTION("""COMPUTED_VALUE"""),14893.0)</f>
        <v>14893</v>
      </c>
    </row>
    <row r="2985">
      <c r="A2985" s="3">
        <f>IFERROR(__xludf.DUMMYFUNCTION("""COMPUTED_VALUE"""),43350.99861111111)</f>
        <v>43350.99861</v>
      </c>
      <c r="B2985" s="1">
        <f>IFERROR(__xludf.DUMMYFUNCTION("""COMPUTED_VALUE"""),14974.5)</f>
        <v>14974.5</v>
      </c>
    </row>
    <row r="2986">
      <c r="A2986" s="3">
        <f>IFERROR(__xludf.DUMMYFUNCTION("""COMPUTED_VALUE"""),43351.99861111111)</f>
        <v>43351.99861</v>
      </c>
      <c r="B2986" s="1">
        <f>IFERROR(__xludf.DUMMYFUNCTION("""COMPUTED_VALUE"""),14813.0)</f>
        <v>14813</v>
      </c>
    </row>
    <row r="2987">
      <c r="A2987" s="3">
        <f>IFERROR(__xludf.DUMMYFUNCTION("""COMPUTED_VALUE"""),43352.99861111111)</f>
        <v>43352.99861</v>
      </c>
      <c r="B2987" s="1">
        <f>IFERROR(__xludf.DUMMYFUNCTION("""COMPUTED_VALUE"""),14813.0)</f>
        <v>14813</v>
      </c>
    </row>
    <row r="2988">
      <c r="A2988" s="3">
        <f>IFERROR(__xludf.DUMMYFUNCTION("""COMPUTED_VALUE"""),43353.99861111111)</f>
        <v>43353.99861</v>
      </c>
      <c r="B2988" s="1">
        <f>IFERROR(__xludf.DUMMYFUNCTION("""COMPUTED_VALUE"""),14844.5)</f>
        <v>14844.5</v>
      </c>
    </row>
    <row r="2989">
      <c r="A2989" s="3">
        <f>IFERROR(__xludf.DUMMYFUNCTION("""COMPUTED_VALUE"""),43354.99861111111)</f>
        <v>43354.99861</v>
      </c>
      <c r="B2989" s="1">
        <f>IFERROR(__xludf.DUMMYFUNCTION("""COMPUTED_VALUE"""),14837.0)</f>
        <v>14837</v>
      </c>
    </row>
    <row r="2990">
      <c r="A2990" s="3">
        <f>IFERROR(__xludf.DUMMYFUNCTION("""COMPUTED_VALUE"""),43355.99861111111)</f>
        <v>43355.99861</v>
      </c>
      <c r="B2990" s="1">
        <f>IFERROR(__xludf.DUMMYFUNCTION("""COMPUTED_VALUE"""),14807.0)</f>
        <v>14807</v>
      </c>
    </row>
    <row r="2991">
      <c r="A2991" s="3">
        <f>IFERROR(__xludf.DUMMYFUNCTION("""COMPUTED_VALUE"""),43356.99861111111)</f>
        <v>43356.99861</v>
      </c>
      <c r="B2991" s="1">
        <f>IFERROR(__xludf.DUMMYFUNCTION("""COMPUTED_VALUE"""),14740.0)</f>
        <v>14740</v>
      </c>
    </row>
    <row r="2992">
      <c r="A2992" s="3">
        <f>IFERROR(__xludf.DUMMYFUNCTION("""COMPUTED_VALUE"""),43357.99861111111)</f>
        <v>43357.99861</v>
      </c>
      <c r="B2992" s="1">
        <f>IFERROR(__xludf.DUMMYFUNCTION("""COMPUTED_VALUE"""),14801.0)</f>
        <v>14801</v>
      </c>
    </row>
    <row r="2993">
      <c r="A2993" s="3">
        <f>IFERROR(__xludf.DUMMYFUNCTION("""COMPUTED_VALUE"""),43358.99861111111)</f>
        <v>43358.99861</v>
      </c>
      <c r="B2993" s="1">
        <f>IFERROR(__xludf.DUMMYFUNCTION("""COMPUTED_VALUE"""),14807.57)</f>
        <v>14807.57</v>
      </c>
    </row>
    <row r="2994">
      <c r="A2994" s="3">
        <f>IFERROR(__xludf.DUMMYFUNCTION("""COMPUTED_VALUE"""),43359.99861111111)</f>
        <v>43359.99861</v>
      </c>
      <c r="B2994" s="1">
        <f>IFERROR(__xludf.DUMMYFUNCTION("""COMPUTED_VALUE"""),14807.0)</f>
        <v>14807</v>
      </c>
    </row>
    <row r="2995">
      <c r="A2995" s="3">
        <f>IFERROR(__xludf.DUMMYFUNCTION("""COMPUTED_VALUE"""),43360.99861111111)</f>
        <v>43360.99861</v>
      </c>
      <c r="B2995" s="1">
        <f>IFERROR(__xludf.DUMMYFUNCTION("""COMPUTED_VALUE"""),14907.1)</f>
        <v>14907.1</v>
      </c>
    </row>
    <row r="2996">
      <c r="A2996" s="3">
        <f>IFERROR(__xludf.DUMMYFUNCTION("""COMPUTED_VALUE"""),43361.99861111111)</f>
        <v>43361.99861</v>
      </c>
      <c r="B2996" s="1">
        <f>IFERROR(__xludf.DUMMYFUNCTION("""COMPUTED_VALUE"""),14867.0)</f>
        <v>14867</v>
      </c>
    </row>
    <row r="2997">
      <c r="A2997" s="3">
        <f>IFERROR(__xludf.DUMMYFUNCTION("""COMPUTED_VALUE"""),43362.99861111111)</f>
        <v>43362.99861</v>
      </c>
      <c r="B2997" s="1">
        <f>IFERROR(__xludf.DUMMYFUNCTION("""COMPUTED_VALUE"""),14880.0)</f>
        <v>14880</v>
      </c>
    </row>
    <row r="2998">
      <c r="A2998" s="3">
        <f>IFERROR(__xludf.DUMMYFUNCTION("""COMPUTED_VALUE"""),43363.99861111111)</f>
        <v>43363.99861</v>
      </c>
      <c r="B2998" s="1">
        <f>IFERROR(__xludf.DUMMYFUNCTION("""COMPUTED_VALUE"""),14832.0)</f>
        <v>14832</v>
      </c>
    </row>
    <row r="2999">
      <c r="A2999" s="3">
        <f>IFERROR(__xludf.DUMMYFUNCTION("""COMPUTED_VALUE"""),43364.99861111111)</f>
        <v>43364.99861</v>
      </c>
      <c r="B2999" s="1">
        <f>IFERROR(__xludf.DUMMYFUNCTION("""COMPUTED_VALUE"""),14855.0)</f>
        <v>14855</v>
      </c>
    </row>
    <row r="3000">
      <c r="A3000" s="3">
        <f>IFERROR(__xludf.DUMMYFUNCTION("""COMPUTED_VALUE"""),43365.99861111111)</f>
        <v>43365.99861</v>
      </c>
      <c r="B3000" s="1">
        <f>IFERROR(__xludf.DUMMYFUNCTION("""COMPUTED_VALUE"""),14812.0)</f>
        <v>14812</v>
      </c>
    </row>
    <row r="3001">
      <c r="A3001" s="3">
        <f>IFERROR(__xludf.DUMMYFUNCTION("""COMPUTED_VALUE"""),43366.99861111111)</f>
        <v>43366.99861</v>
      </c>
      <c r="B3001" s="1">
        <f>IFERROR(__xludf.DUMMYFUNCTION("""COMPUTED_VALUE"""),14812.0)</f>
        <v>14812</v>
      </c>
    </row>
    <row r="3002">
      <c r="A3002" s="3">
        <f>IFERROR(__xludf.DUMMYFUNCTION("""COMPUTED_VALUE"""),43367.99861111111)</f>
        <v>43367.99861</v>
      </c>
      <c r="B3002" s="1">
        <f>IFERROR(__xludf.DUMMYFUNCTION("""COMPUTED_VALUE"""),14861.0)</f>
        <v>14861</v>
      </c>
    </row>
    <row r="3003">
      <c r="A3003" s="3">
        <f>IFERROR(__xludf.DUMMYFUNCTION("""COMPUTED_VALUE"""),43368.99861111111)</f>
        <v>43368.99861</v>
      </c>
      <c r="B3003" s="1">
        <f>IFERROR(__xludf.DUMMYFUNCTION("""COMPUTED_VALUE"""),15021.5)</f>
        <v>15021.5</v>
      </c>
    </row>
    <row r="3004">
      <c r="A3004" s="3">
        <f>IFERROR(__xludf.DUMMYFUNCTION("""COMPUTED_VALUE"""),43369.99861111111)</f>
        <v>43369.99861</v>
      </c>
      <c r="B3004" s="1">
        <f>IFERROR(__xludf.DUMMYFUNCTION("""COMPUTED_VALUE"""),14985.0)</f>
        <v>14985</v>
      </c>
    </row>
    <row r="3005">
      <c r="A3005" s="3">
        <f>IFERROR(__xludf.DUMMYFUNCTION("""COMPUTED_VALUE"""),43370.99861111111)</f>
        <v>43370.99861</v>
      </c>
      <c r="B3005" s="1">
        <f>IFERROR(__xludf.DUMMYFUNCTION("""COMPUTED_VALUE"""),14918.8)</f>
        <v>14918.8</v>
      </c>
    </row>
    <row r="3006">
      <c r="A3006" s="3">
        <f>IFERROR(__xludf.DUMMYFUNCTION("""COMPUTED_VALUE"""),43371.99861111111)</f>
        <v>43371.99861</v>
      </c>
      <c r="B3006" s="1">
        <f>IFERROR(__xludf.DUMMYFUNCTION("""COMPUTED_VALUE"""),14890.0)</f>
        <v>14890</v>
      </c>
    </row>
    <row r="3007">
      <c r="A3007" s="3">
        <f>IFERROR(__xludf.DUMMYFUNCTION("""COMPUTED_VALUE"""),43372.99861111111)</f>
        <v>43372.99861</v>
      </c>
      <c r="B3007" s="1">
        <f>IFERROR(__xludf.DUMMYFUNCTION("""COMPUTED_VALUE"""),14904.01)</f>
        <v>14904.01</v>
      </c>
    </row>
    <row r="3008">
      <c r="A3008" s="3">
        <f>IFERROR(__xludf.DUMMYFUNCTION("""COMPUTED_VALUE"""),43373.99861111111)</f>
        <v>43373.99861</v>
      </c>
      <c r="B3008" s="1">
        <f>IFERROR(__xludf.DUMMYFUNCTION("""COMPUTED_VALUE"""),14902.0)</f>
        <v>14902</v>
      </c>
    </row>
    <row r="3009">
      <c r="A3009" s="3">
        <f>IFERROR(__xludf.DUMMYFUNCTION("""COMPUTED_VALUE"""),43374.99861111111)</f>
        <v>43374.99861</v>
      </c>
      <c r="B3009" s="1">
        <f>IFERROR(__xludf.DUMMYFUNCTION("""COMPUTED_VALUE"""),15053.3)</f>
        <v>15053.3</v>
      </c>
    </row>
    <row r="3010">
      <c r="A3010" s="3">
        <f>IFERROR(__xludf.DUMMYFUNCTION("""COMPUTED_VALUE"""),43375.99861111111)</f>
        <v>43375.99861</v>
      </c>
      <c r="B3010" s="1">
        <f>IFERROR(__xludf.DUMMYFUNCTION("""COMPUTED_VALUE"""),15038.0)</f>
        <v>15038</v>
      </c>
    </row>
    <row r="3011">
      <c r="A3011" s="3">
        <f>IFERROR(__xludf.DUMMYFUNCTION("""COMPUTED_VALUE"""),43376.99861111111)</f>
        <v>43376.99861</v>
      </c>
      <c r="B3011" s="1">
        <f>IFERROR(__xludf.DUMMYFUNCTION("""COMPUTED_VALUE"""),15139.2)</f>
        <v>15139.2</v>
      </c>
    </row>
    <row r="3012">
      <c r="A3012" s="3">
        <f>IFERROR(__xludf.DUMMYFUNCTION("""COMPUTED_VALUE"""),43377.99861111111)</f>
        <v>43377.99861</v>
      </c>
      <c r="B3012" s="1">
        <f>IFERROR(__xludf.DUMMYFUNCTION("""COMPUTED_VALUE"""),15408.9)</f>
        <v>15408.9</v>
      </c>
    </row>
    <row r="3013">
      <c r="A3013" s="3">
        <f>IFERROR(__xludf.DUMMYFUNCTION("""COMPUTED_VALUE"""),43378.99861111111)</f>
        <v>43378.99861</v>
      </c>
      <c r="B3013" s="1">
        <f>IFERROR(__xludf.DUMMYFUNCTION("""COMPUTED_VALUE"""),15107.5)</f>
        <v>15107.5</v>
      </c>
    </row>
    <row r="3014">
      <c r="A3014" s="3">
        <f>IFERROR(__xludf.DUMMYFUNCTION("""COMPUTED_VALUE"""),43379.99861111111)</f>
        <v>43379.99861</v>
      </c>
      <c r="B3014" s="1">
        <f>IFERROR(__xludf.DUMMYFUNCTION("""COMPUTED_VALUE"""),15197.56)</f>
        <v>15197.56</v>
      </c>
    </row>
    <row r="3015">
      <c r="A3015" s="3">
        <f>IFERROR(__xludf.DUMMYFUNCTION("""COMPUTED_VALUE"""),43380.99861111111)</f>
        <v>43380.99861</v>
      </c>
      <c r="B3015" s="1">
        <f>IFERROR(__xludf.DUMMYFUNCTION("""COMPUTED_VALUE"""),15173.0)</f>
        <v>15173</v>
      </c>
    </row>
    <row r="3016">
      <c r="A3016" s="3">
        <f>IFERROR(__xludf.DUMMYFUNCTION("""COMPUTED_VALUE"""),43381.99861111111)</f>
        <v>43381.99861</v>
      </c>
      <c r="B3016" s="1">
        <f>IFERROR(__xludf.DUMMYFUNCTION("""COMPUTED_VALUE"""),15400.0)</f>
        <v>15400</v>
      </c>
    </row>
    <row r="3017">
      <c r="A3017" s="3">
        <f>IFERROR(__xludf.DUMMYFUNCTION("""COMPUTED_VALUE"""),43382.99861111111)</f>
        <v>43382.99861</v>
      </c>
      <c r="B3017" s="1">
        <f>IFERROR(__xludf.DUMMYFUNCTION("""COMPUTED_VALUE"""),15223.0)</f>
        <v>15223</v>
      </c>
    </row>
    <row r="3018">
      <c r="A3018" s="3">
        <f>IFERROR(__xludf.DUMMYFUNCTION("""COMPUTED_VALUE"""),43383.99861111111)</f>
        <v>43383.99861</v>
      </c>
      <c r="B3018" s="1">
        <f>IFERROR(__xludf.DUMMYFUNCTION("""COMPUTED_VALUE"""),15196.0)</f>
        <v>15196</v>
      </c>
    </row>
    <row r="3019">
      <c r="A3019" s="3">
        <f>IFERROR(__xludf.DUMMYFUNCTION("""COMPUTED_VALUE"""),43384.99861111111)</f>
        <v>43384.99861</v>
      </c>
      <c r="B3019" s="1">
        <f>IFERROR(__xludf.DUMMYFUNCTION("""COMPUTED_VALUE"""),15299.2)</f>
        <v>15299.2</v>
      </c>
    </row>
    <row r="3020">
      <c r="A3020" s="3">
        <f>IFERROR(__xludf.DUMMYFUNCTION("""COMPUTED_VALUE"""),43385.99861111111)</f>
        <v>43385.99861</v>
      </c>
      <c r="B3020" s="1">
        <f>IFERROR(__xludf.DUMMYFUNCTION("""COMPUTED_VALUE"""),15183.5)</f>
        <v>15183.5</v>
      </c>
    </row>
    <row r="3021">
      <c r="A3021" s="3">
        <f>IFERROR(__xludf.DUMMYFUNCTION("""COMPUTED_VALUE"""),43386.99861111111)</f>
        <v>43386.99861</v>
      </c>
      <c r="B3021" s="1">
        <f>IFERROR(__xludf.DUMMYFUNCTION("""COMPUTED_VALUE"""),15192.48)</f>
        <v>15192.48</v>
      </c>
    </row>
    <row r="3022">
      <c r="A3022" s="3">
        <f>IFERROR(__xludf.DUMMYFUNCTION("""COMPUTED_VALUE"""),43387.99861111111)</f>
        <v>43387.99861</v>
      </c>
      <c r="B3022" s="1">
        <f>IFERROR(__xludf.DUMMYFUNCTION("""COMPUTED_VALUE"""),15198.0)</f>
        <v>15198</v>
      </c>
    </row>
    <row r="3023">
      <c r="A3023" s="3">
        <f>IFERROR(__xludf.DUMMYFUNCTION("""COMPUTED_VALUE"""),43388.99861111111)</f>
        <v>43388.99861</v>
      </c>
      <c r="B3023" s="1">
        <f>IFERROR(__xludf.DUMMYFUNCTION("""COMPUTED_VALUE"""),15193.8)</f>
        <v>15193.8</v>
      </c>
    </row>
    <row r="3024">
      <c r="A3024" s="3">
        <f>IFERROR(__xludf.DUMMYFUNCTION("""COMPUTED_VALUE"""),43389.99861111111)</f>
        <v>43389.99861</v>
      </c>
      <c r="B3024" s="1">
        <f>IFERROR(__xludf.DUMMYFUNCTION("""COMPUTED_VALUE"""),15193.0)</f>
        <v>15193</v>
      </c>
    </row>
    <row r="3025">
      <c r="A3025" s="3">
        <f>IFERROR(__xludf.DUMMYFUNCTION("""COMPUTED_VALUE"""),43390.99861111111)</f>
        <v>43390.99861</v>
      </c>
      <c r="B3025" s="1">
        <f>IFERROR(__xludf.DUMMYFUNCTION("""COMPUTED_VALUE"""),15264.3)</f>
        <v>15264.3</v>
      </c>
    </row>
    <row r="3026">
      <c r="A3026" s="3">
        <f>IFERROR(__xludf.DUMMYFUNCTION("""COMPUTED_VALUE"""),43391.99861111111)</f>
        <v>43391.99861</v>
      </c>
      <c r="B3026" s="1">
        <f>IFERROR(__xludf.DUMMYFUNCTION("""COMPUTED_VALUE"""),15328.5)</f>
        <v>15328.5</v>
      </c>
    </row>
    <row r="3027">
      <c r="A3027" s="3">
        <f>IFERROR(__xludf.DUMMYFUNCTION("""COMPUTED_VALUE"""),43392.99861111111)</f>
        <v>43392.99861</v>
      </c>
      <c r="B3027" s="1">
        <f>IFERROR(__xludf.DUMMYFUNCTION("""COMPUTED_VALUE"""),15171.5)</f>
        <v>15171.5</v>
      </c>
    </row>
    <row r="3028">
      <c r="A3028" s="3">
        <f>IFERROR(__xludf.DUMMYFUNCTION("""COMPUTED_VALUE"""),43393.99861111111)</f>
        <v>43393.99861</v>
      </c>
      <c r="B3028" s="1">
        <f>IFERROR(__xludf.DUMMYFUNCTION("""COMPUTED_VALUE"""),15157.94)</f>
        <v>15157.94</v>
      </c>
    </row>
    <row r="3029">
      <c r="A3029" s="3">
        <f>IFERROR(__xludf.DUMMYFUNCTION("""COMPUTED_VALUE"""),43394.99861111111)</f>
        <v>43394.99861</v>
      </c>
      <c r="B3029" s="1">
        <f>IFERROR(__xludf.DUMMYFUNCTION("""COMPUTED_VALUE"""),15181.0)</f>
        <v>15181</v>
      </c>
    </row>
    <row r="3030">
      <c r="A3030" s="3">
        <f>IFERROR(__xludf.DUMMYFUNCTION("""COMPUTED_VALUE"""),43395.99861111111)</f>
        <v>43395.99861</v>
      </c>
      <c r="B3030" s="1">
        <f>IFERROR(__xludf.DUMMYFUNCTION("""COMPUTED_VALUE"""),15264.7)</f>
        <v>15264.7</v>
      </c>
    </row>
    <row r="3031">
      <c r="A3031" s="3">
        <f>IFERROR(__xludf.DUMMYFUNCTION("""COMPUTED_VALUE"""),43396.99861111111)</f>
        <v>43396.99861</v>
      </c>
      <c r="B3031" s="1">
        <f>IFERROR(__xludf.DUMMYFUNCTION("""COMPUTED_VALUE"""),15183.0)</f>
        <v>15183</v>
      </c>
    </row>
    <row r="3032">
      <c r="A3032" s="3">
        <f>IFERROR(__xludf.DUMMYFUNCTION("""COMPUTED_VALUE"""),43397.99861111111)</f>
        <v>43397.99861</v>
      </c>
      <c r="B3032" s="1">
        <f>IFERROR(__xludf.DUMMYFUNCTION("""COMPUTED_VALUE"""),15269.5)</f>
        <v>15269.5</v>
      </c>
    </row>
    <row r="3033">
      <c r="A3033" s="3">
        <f>IFERROR(__xludf.DUMMYFUNCTION("""COMPUTED_VALUE"""),43398.99861111111)</f>
        <v>43398.99861</v>
      </c>
      <c r="B3033" s="1">
        <f>IFERROR(__xludf.DUMMYFUNCTION("""COMPUTED_VALUE"""),15257.3)</f>
        <v>15257.3</v>
      </c>
    </row>
    <row r="3034">
      <c r="A3034" s="3">
        <f>IFERROR(__xludf.DUMMYFUNCTION("""COMPUTED_VALUE"""),43399.99861111111)</f>
        <v>43399.99861</v>
      </c>
      <c r="B3034" s="1">
        <f>IFERROR(__xludf.DUMMYFUNCTION("""COMPUTED_VALUE"""),15190.6)</f>
        <v>15190.6</v>
      </c>
    </row>
    <row r="3035">
      <c r="A3035" s="3">
        <f>IFERROR(__xludf.DUMMYFUNCTION("""COMPUTED_VALUE"""),43400.99861111111)</f>
        <v>43400.99861</v>
      </c>
      <c r="B3035" s="1">
        <f>IFERROR(__xludf.DUMMYFUNCTION("""COMPUTED_VALUE"""),15210.0)</f>
        <v>15210</v>
      </c>
    </row>
    <row r="3036">
      <c r="A3036" s="3">
        <f>IFERROR(__xludf.DUMMYFUNCTION("""COMPUTED_VALUE"""),43401.99861111111)</f>
        <v>43401.99861</v>
      </c>
      <c r="B3036" s="1">
        <f>IFERROR(__xludf.DUMMYFUNCTION("""COMPUTED_VALUE"""),15210.0)</f>
        <v>15210</v>
      </c>
    </row>
    <row r="3037">
      <c r="A3037" s="3">
        <f>IFERROR(__xludf.DUMMYFUNCTION("""COMPUTED_VALUE"""),43402.99861111111)</f>
        <v>43402.99861</v>
      </c>
      <c r="B3037" s="1">
        <f>IFERROR(__xludf.DUMMYFUNCTION("""COMPUTED_VALUE"""),15297.8)</f>
        <v>15297.8</v>
      </c>
    </row>
    <row r="3038">
      <c r="A3038" s="3">
        <f>IFERROR(__xludf.DUMMYFUNCTION("""COMPUTED_VALUE"""),43403.99861111111)</f>
        <v>43403.99861</v>
      </c>
      <c r="B3038" s="1">
        <f>IFERROR(__xludf.DUMMYFUNCTION("""COMPUTED_VALUE"""),15273.1)</f>
        <v>15273.1</v>
      </c>
    </row>
    <row r="3039">
      <c r="A3039" s="3">
        <f>IFERROR(__xludf.DUMMYFUNCTION("""COMPUTED_VALUE"""),43404.99861111111)</f>
        <v>43404.99861</v>
      </c>
      <c r="B3039" s="1">
        <f>IFERROR(__xludf.DUMMYFUNCTION("""COMPUTED_VALUE"""),15196.0)</f>
        <v>15196</v>
      </c>
    </row>
    <row r="3040">
      <c r="A3040" s="3">
        <f>IFERROR(__xludf.DUMMYFUNCTION("""COMPUTED_VALUE"""),43405.99861111111)</f>
        <v>43405.99861</v>
      </c>
      <c r="B3040" s="1">
        <f>IFERROR(__xludf.DUMMYFUNCTION("""COMPUTED_VALUE"""),15068.7)</f>
        <v>15068.7</v>
      </c>
    </row>
    <row r="3041">
      <c r="A3041" s="3">
        <f>IFERROR(__xludf.DUMMYFUNCTION("""COMPUTED_VALUE"""),43406.99861111111)</f>
        <v>43406.99861</v>
      </c>
      <c r="B3041" s="1">
        <f>IFERROR(__xludf.DUMMYFUNCTION("""COMPUTED_VALUE"""),14946.0)</f>
        <v>14946</v>
      </c>
    </row>
    <row r="3042">
      <c r="A3042" s="3">
        <f>IFERROR(__xludf.DUMMYFUNCTION("""COMPUTED_VALUE"""),43407.99861111111)</f>
        <v>43407.99861</v>
      </c>
      <c r="B3042" s="1">
        <f>IFERROR(__xludf.DUMMYFUNCTION("""COMPUTED_VALUE"""),14962.44)</f>
        <v>14962.44</v>
      </c>
    </row>
    <row r="3043">
      <c r="A3043" s="3">
        <f>IFERROR(__xludf.DUMMYFUNCTION("""COMPUTED_VALUE"""),43408.99861111111)</f>
        <v>43408.99861</v>
      </c>
      <c r="B3043" s="1">
        <f>IFERROR(__xludf.DUMMYFUNCTION("""COMPUTED_VALUE"""),14946.0)</f>
        <v>14946</v>
      </c>
    </row>
    <row r="3044">
      <c r="A3044" s="3">
        <f>IFERROR(__xludf.DUMMYFUNCTION("""COMPUTED_VALUE"""),43409.99861111111)</f>
        <v>43409.99861</v>
      </c>
      <c r="B3044" s="1">
        <f>IFERROR(__xludf.DUMMYFUNCTION("""COMPUTED_VALUE"""),14921.6)</f>
        <v>14921.6</v>
      </c>
    </row>
    <row r="3045">
      <c r="A3045" s="3">
        <f>IFERROR(__xludf.DUMMYFUNCTION("""COMPUTED_VALUE"""),43410.99861111111)</f>
        <v>43410.99861</v>
      </c>
      <c r="B3045" s="1">
        <f>IFERROR(__xludf.DUMMYFUNCTION("""COMPUTED_VALUE"""),14830.0)</f>
        <v>14830</v>
      </c>
    </row>
    <row r="3046">
      <c r="A3046" s="3">
        <f>IFERROR(__xludf.DUMMYFUNCTION("""COMPUTED_VALUE"""),43411.99861111111)</f>
        <v>43411.99861</v>
      </c>
      <c r="B3046" s="1">
        <f>IFERROR(__xludf.DUMMYFUNCTION("""COMPUTED_VALUE"""),14598.9)</f>
        <v>14598.9</v>
      </c>
    </row>
    <row r="3047">
      <c r="A3047" s="3">
        <f>IFERROR(__xludf.DUMMYFUNCTION("""COMPUTED_VALUE"""),43412.99861111111)</f>
        <v>43412.99861</v>
      </c>
      <c r="B3047" s="1">
        <f>IFERROR(__xludf.DUMMYFUNCTION("""COMPUTED_VALUE"""),14720.0)</f>
        <v>14720</v>
      </c>
    </row>
    <row r="3048">
      <c r="A3048" s="3">
        <f>IFERROR(__xludf.DUMMYFUNCTION("""COMPUTED_VALUE"""),43413.99861111111)</f>
        <v>43413.99861</v>
      </c>
      <c r="B3048" s="1">
        <f>IFERROR(__xludf.DUMMYFUNCTION("""COMPUTED_VALUE"""),14678.0)</f>
        <v>14678</v>
      </c>
    </row>
    <row r="3049">
      <c r="A3049" s="3">
        <f>IFERROR(__xludf.DUMMYFUNCTION("""COMPUTED_VALUE"""),43414.99861111111)</f>
        <v>43414.99861</v>
      </c>
      <c r="B3049" s="1">
        <f>IFERROR(__xludf.DUMMYFUNCTION("""COMPUTED_VALUE"""),14678.0)</f>
        <v>14678</v>
      </c>
    </row>
    <row r="3050">
      <c r="A3050" s="3">
        <f>IFERROR(__xludf.DUMMYFUNCTION("""COMPUTED_VALUE"""),43415.99861111111)</f>
        <v>43415.99861</v>
      </c>
      <c r="B3050" s="1">
        <f>IFERROR(__xludf.DUMMYFUNCTION("""COMPUTED_VALUE"""),14678.0)</f>
        <v>14678</v>
      </c>
    </row>
    <row r="3051">
      <c r="A3051" s="3">
        <f>IFERROR(__xludf.DUMMYFUNCTION("""COMPUTED_VALUE"""),43416.99861111111)</f>
        <v>43416.99861</v>
      </c>
      <c r="B3051" s="1">
        <f>IFERROR(__xludf.DUMMYFUNCTION("""COMPUTED_VALUE"""),14808.0)</f>
        <v>14808</v>
      </c>
    </row>
    <row r="3052">
      <c r="A3052" s="3">
        <f>IFERROR(__xludf.DUMMYFUNCTION("""COMPUTED_VALUE"""),43417.99861111111)</f>
        <v>43417.99861</v>
      </c>
      <c r="B3052" s="1">
        <f>IFERROR(__xludf.DUMMYFUNCTION("""COMPUTED_VALUE"""),14794.3)</f>
        <v>14794.3</v>
      </c>
    </row>
    <row r="3053">
      <c r="A3053" s="3">
        <f>IFERROR(__xludf.DUMMYFUNCTION("""COMPUTED_VALUE"""),43418.99861111111)</f>
        <v>43418.99861</v>
      </c>
      <c r="B3053" s="1">
        <f>IFERROR(__xludf.DUMMYFUNCTION("""COMPUTED_VALUE"""),14813.3)</f>
        <v>14813.3</v>
      </c>
    </row>
    <row r="3054">
      <c r="A3054" s="3">
        <f>IFERROR(__xludf.DUMMYFUNCTION("""COMPUTED_VALUE"""),43419.99861111111)</f>
        <v>43419.99861</v>
      </c>
      <c r="B3054" s="1">
        <f>IFERROR(__xludf.DUMMYFUNCTION("""COMPUTED_VALUE"""),14562.2)</f>
        <v>14562.2</v>
      </c>
    </row>
    <row r="3055">
      <c r="A3055" s="3">
        <f>IFERROR(__xludf.DUMMYFUNCTION("""COMPUTED_VALUE"""),43420.99861111111)</f>
        <v>43420.99861</v>
      </c>
      <c r="B3055" s="1">
        <f>IFERROR(__xludf.DUMMYFUNCTION("""COMPUTED_VALUE"""),14605.0)</f>
        <v>14605</v>
      </c>
    </row>
    <row r="3056">
      <c r="A3056" s="3">
        <f>IFERROR(__xludf.DUMMYFUNCTION("""COMPUTED_VALUE"""),43421.99861111111)</f>
        <v>43421.99861</v>
      </c>
      <c r="B3056" s="1">
        <f>IFERROR(__xludf.DUMMYFUNCTION("""COMPUTED_VALUE"""),14605.0)</f>
        <v>14605</v>
      </c>
    </row>
    <row r="3057">
      <c r="A3057" s="3">
        <f>IFERROR(__xludf.DUMMYFUNCTION("""COMPUTED_VALUE"""),43422.99861111111)</f>
        <v>43422.99861</v>
      </c>
      <c r="B3057" s="1">
        <f>IFERROR(__xludf.DUMMYFUNCTION("""COMPUTED_VALUE"""),14605.0)</f>
        <v>14605</v>
      </c>
    </row>
    <row r="3058">
      <c r="A3058" s="3">
        <f>IFERROR(__xludf.DUMMYFUNCTION("""COMPUTED_VALUE"""),43423.99861111111)</f>
        <v>43423.99861</v>
      </c>
      <c r="B3058" s="1">
        <f>IFERROR(__xludf.DUMMYFUNCTION("""COMPUTED_VALUE"""),14652.7)</f>
        <v>14652.7</v>
      </c>
    </row>
    <row r="3059">
      <c r="A3059" s="3">
        <f>IFERROR(__xludf.DUMMYFUNCTION("""COMPUTED_VALUE"""),43424.99861111111)</f>
        <v>43424.99861</v>
      </c>
      <c r="B3059" s="1">
        <f>IFERROR(__xludf.DUMMYFUNCTION("""COMPUTED_VALUE"""),14664.3)</f>
        <v>14664.3</v>
      </c>
    </row>
    <row r="3060">
      <c r="A3060" s="3">
        <f>IFERROR(__xludf.DUMMYFUNCTION("""COMPUTED_VALUE"""),43425.99861111111)</f>
        <v>43425.99861</v>
      </c>
      <c r="B3060" s="1">
        <f>IFERROR(__xludf.DUMMYFUNCTION("""COMPUTED_VALUE"""),14630.0)</f>
        <v>14630</v>
      </c>
    </row>
    <row r="3061">
      <c r="A3061" s="3">
        <f>IFERROR(__xludf.DUMMYFUNCTION("""COMPUTED_VALUE"""),43426.99861111111)</f>
        <v>43426.99861</v>
      </c>
      <c r="B3061" s="1">
        <f>IFERROR(__xludf.DUMMYFUNCTION("""COMPUTED_VALUE"""),14600.0)</f>
        <v>14600</v>
      </c>
    </row>
    <row r="3062">
      <c r="A3062" s="3">
        <f>IFERROR(__xludf.DUMMYFUNCTION("""COMPUTED_VALUE"""),43427.99861111111)</f>
        <v>43427.99861</v>
      </c>
      <c r="B3062" s="1">
        <f>IFERROR(__xludf.DUMMYFUNCTION("""COMPUTED_VALUE"""),14533.0)</f>
        <v>14533</v>
      </c>
    </row>
    <row r="3063">
      <c r="A3063" s="3">
        <f>IFERROR(__xludf.DUMMYFUNCTION("""COMPUTED_VALUE"""),43428.99861111111)</f>
        <v>43428.99861</v>
      </c>
      <c r="B3063" s="1">
        <f>IFERROR(__xludf.DUMMYFUNCTION("""COMPUTED_VALUE"""),14546.93)</f>
        <v>14546.93</v>
      </c>
    </row>
    <row r="3064">
      <c r="A3064" s="3">
        <f>IFERROR(__xludf.DUMMYFUNCTION("""COMPUTED_VALUE"""),43429.99861111111)</f>
        <v>43429.99861</v>
      </c>
      <c r="B3064" s="1">
        <f>IFERROR(__xludf.DUMMYFUNCTION("""COMPUTED_VALUE"""),14533.0)</f>
        <v>14533</v>
      </c>
    </row>
    <row r="3065">
      <c r="A3065" s="3">
        <f>IFERROR(__xludf.DUMMYFUNCTION("""COMPUTED_VALUE"""),43430.99861111111)</f>
        <v>43430.99861</v>
      </c>
      <c r="B3065" s="1">
        <f>IFERROR(__xludf.DUMMYFUNCTION("""COMPUTED_VALUE"""),14526.9)</f>
        <v>14526.9</v>
      </c>
    </row>
    <row r="3066">
      <c r="A3066" s="3">
        <f>IFERROR(__xludf.DUMMYFUNCTION("""COMPUTED_VALUE"""),43431.99861111111)</f>
        <v>43431.99861</v>
      </c>
      <c r="B3066" s="1">
        <f>IFERROR(__xludf.DUMMYFUNCTION("""COMPUTED_VALUE"""),14575.5)</f>
        <v>14575.5</v>
      </c>
    </row>
    <row r="3067">
      <c r="A3067" s="3">
        <f>IFERROR(__xludf.DUMMYFUNCTION("""COMPUTED_VALUE"""),43432.99861111111)</f>
        <v>43432.99861</v>
      </c>
      <c r="B3067" s="1">
        <f>IFERROR(__xludf.DUMMYFUNCTION("""COMPUTED_VALUE"""),14459.8)</f>
        <v>14459.8</v>
      </c>
    </row>
    <row r="3068">
      <c r="A3068" s="3">
        <f>IFERROR(__xludf.DUMMYFUNCTION("""COMPUTED_VALUE"""),43433.99861111111)</f>
        <v>43433.99861</v>
      </c>
      <c r="B3068" s="1">
        <f>IFERROR(__xludf.DUMMYFUNCTION("""COMPUTED_VALUE"""),14356.0)</f>
        <v>14356</v>
      </c>
    </row>
    <row r="3069">
      <c r="A3069" s="3">
        <f>IFERROR(__xludf.DUMMYFUNCTION("""COMPUTED_VALUE"""),43434.99861111111)</f>
        <v>43434.99861</v>
      </c>
      <c r="B3069" s="1">
        <f>IFERROR(__xludf.DUMMYFUNCTION("""COMPUTED_VALUE"""),14320.5)</f>
        <v>14320.5</v>
      </c>
    </row>
    <row r="3070">
      <c r="A3070" s="3">
        <f>IFERROR(__xludf.DUMMYFUNCTION("""COMPUTED_VALUE"""),43435.99861111111)</f>
        <v>43435.99861</v>
      </c>
      <c r="B3070" s="1">
        <f>IFERROR(__xludf.DUMMYFUNCTION("""COMPUTED_VALUE"""),14392.42)</f>
        <v>14392.42</v>
      </c>
    </row>
    <row r="3071">
      <c r="A3071" s="3">
        <f>IFERROR(__xludf.DUMMYFUNCTION("""COMPUTED_VALUE"""),43436.99861111111)</f>
        <v>43436.99861</v>
      </c>
      <c r="B3071" s="1">
        <f>IFERROR(__xludf.DUMMYFUNCTION("""COMPUTED_VALUE"""),14296.0)</f>
        <v>14296</v>
      </c>
    </row>
    <row r="3072">
      <c r="A3072" s="3">
        <f>IFERROR(__xludf.DUMMYFUNCTION("""COMPUTED_VALUE"""),43437.99861111111)</f>
        <v>43437.99861</v>
      </c>
      <c r="B3072" s="1">
        <f>IFERROR(__xludf.DUMMYFUNCTION("""COMPUTED_VALUE"""),14339.0)</f>
        <v>14339</v>
      </c>
    </row>
    <row r="3073">
      <c r="A3073" s="3">
        <f>IFERROR(__xludf.DUMMYFUNCTION("""COMPUTED_VALUE"""),43438.99861111111)</f>
        <v>43438.99861</v>
      </c>
      <c r="B3073" s="1">
        <f>IFERROR(__xludf.DUMMYFUNCTION("""COMPUTED_VALUE"""),14448.6)</f>
        <v>14448.6</v>
      </c>
    </row>
    <row r="3074">
      <c r="A3074" s="3">
        <f>IFERROR(__xludf.DUMMYFUNCTION("""COMPUTED_VALUE"""),43439.99861111111)</f>
        <v>43439.99861</v>
      </c>
      <c r="B3074" s="1">
        <f>IFERROR(__xludf.DUMMYFUNCTION("""COMPUTED_VALUE"""),14431.6)</f>
        <v>14431.6</v>
      </c>
    </row>
    <row r="3075">
      <c r="A3075" s="3">
        <f>IFERROR(__xludf.DUMMYFUNCTION("""COMPUTED_VALUE"""),43440.99861111111)</f>
        <v>43440.99861</v>
      </c>
      <c r="B3075" s="1">
        <f>IFERROR(__xludf.DUMMYFUNCTION("""COMPUTED_VALUE"""),14528.0)</f>
        <v>14528</v>
      </c>
    </row>
    <row r="3076">
      <c r="A3076" s="3">
        <f>IFERROR(__xludf.DUMMYFUNCTION("""COMPUTED_VALUE"""),43441.99861111111)</f>
        <v>43441.99861</v>
      </c>
      <c r="B3076" s="1">
        <f>IFERROR(__xludf.DUMMYFUNCTION("""COMPUTED_VALUE"""),14540.7)</f>
        <v>14540.7</v>
      </c>
    </row>
    <row r="3077">
      <c r="A3077" s="3">
        <f>IFERROR(__xludf.DUMMYFUNCTION("""COMPUTED_VALUE"""),43442.99861111111)</f>
        <v>43442.99861</v>
      </c>
      <c r="B3077" s="1">
        <f>IFERROR(__xludf.DUMMYFUNCTION("""COMPUTED_VALUE"""),14485.4)</f>
        <v>14485.4</v>
      </c>
    </row>
    <row r="3078">
      <c r="A3078" s="3">
        <f>IFERROR(__xludf.DUMMYFUNCTION("""COMPUTED_VALUE"""),43443.99861111111)</f>
        <v>43443.99861</v>
      </c>
      <c r="B3078" s="1">
        <f>IFERROR(__xludf.DUMMYFUNCTION("""COMPUTED_VALUE"""),14463.0)</f>
        <v>14463</v>
      </c>
    </row>
    <row r="3079">
      <c r="A3079" s="3">
        <f>IFERROR(__xludf.DUMMYFUNCTION("""COMPUTED_VALUE"""),43444.99861111111)</f>
        <v>43444.99861</v>
      </c>
      <c r="B3079" s="1">
        <f>IFERROR(__xludf.DUMMYFUNCTION("""COMPUTED_VALUE"""),14548.0)</f>
        <v>14548</v>
      </c>
    </row>
    <row r="3080">
      <c r="A3080" s="3">
        <f>IFERROR(__xludf.DUMMYFUNCTION("""COMPUTED_VALUE"""),43445.99861111111)</f>
        <v>43445.99861</v>
      </c>
      <c r="B3080" s="1">
        <f>IFERROR(__xludf.DUMMYFUNCTION("""COMPUTED_VALUE"""),14637.4)</f>
        <v>14637.4</v>
      </c>
    </row>
    <row r="3081">
      <c r="A3081" s="3">
        <f>IFERROR(__xludf.DUMMYFUNCTION("""COMPUTED_VALUE"""),43446.99861111111)</f>
        <v>43446.99861</v>
      </c>
      <c r="B3081" s="1">
        <f>IFERROR(__xludf.DUMMYFUNCTION("""COMPUTED_VALUE"""),14579.8)</f>
        <v>14579.8</v>
      </c>
    </row>
    <row r="3082">
      <c r="A3082" s="3">
        <f>IFERROR(__xludf.DUMMYFUNCTION("""COMPUTED_VALUE"""),43447.99861111111)</f>
        <v>43447.99861</v>
      </c>
      <c r="B3082" s="1">
        <f>IFERROR(__xludf.DUMMYFUNCTION("""COMPUTED_VALUE"""),14550.0)</f>
        <v>14550</v>
      </c>
    </row>
    <row r="3083">
      <c r="A3083" s="3">
        <f>IFERROR(__xludf.DUMMYFUNCTION("""COMPUTED_VALUE"""),43448.99861111111)</f>
        <v>43448.99861</v>
      </c>
      <c r="B3083" s="1">
        <f>IFERROR(__xludf.DUMMYFUNCTION("""COMPUTED_VALUE"""),14575.0)</f>
        <v>14575</v>
      </c>
    </row>
    <row r="3084">
      <c r="A3084" s="3">
        <f>IFERROR(__xludf.DUMMYFUNCTION("""COMPUTED_VALUE"""),43449.99861111111)</f>
        <v>43449.99861</v>
      </c>
      <c r="B3084" s="1">
        <f>IFERROR(__xludf.DUMMYFUNCTION("""COMPUTED_VALUE"""),14578.95)</f>
        <v>14578.95</v>
      </c>
    </row>
    <row r="3085">
      <c r="A3085" s="3">
        <f>IFERROR(__xludf.DUMMYFUNCTION("""COMPUTED_VALUE"""),43450.99861111111)</f>
        <v>43450.99861</v>
      </c>
      <c r="B3085" s="1">
        <f>IFERROR(__xludf.DUMMYFUNCTION("""COMPUTED_VALUE"""),14578.0)</f>
        <v>14578</v>
      </c>
    </row>
    <row r="3086">
      <c r="A3086" s="3">
        <f>IFERROR(__xludf.DUMMYFUNCTION("""COMPUTED_VALUE"""),43451.99861111111)</f>
        <v>43451.99861</v>
      </c>
      <c r="B3086" s="1">
        <f>IFERROR(__xludf.DUMMYFUNCTION("""COMPUTED_VALUE"""),14588.7)</f>
        <v>14588.7</v>
      </c>
    </row>
    <row r="3087">
      <c r="A3087" s="3">
        <f>IFERROR(__xludf.DUMMYFUNCTION("""COMPUTED_VALUE"""),43452.99861111111)</f>
        <v>43452.99861</v>
      </c>
      <c r="B3087" s="1">
        <f>IFERROR(__xludf.DUMMYFUNCTION("""COMPUTED_VALUE"""),14490.0)</f>
        <v>14490</v>
      </c>
    </row>
    <row r="3088">
      <c r="A3088" s="3">
        <f>IFERROR(__xludf.DUMMYFUNCTION("""COMPUTED_VALUE"""),43453.99861111111)</f>
        <v>43453.99861</v>
      </c>
      <c r="B3088" s="1">
        <f>IFERROR(__xludf.DUMMYFUNCTION("""COMPUTED_VALUE"""),14493.0)</f>
        <v>14493</v>
      </c>
    </row>
    <row r="3089">
      <c r="A3089" s="3">
        <f>IFERROR(__xludf.DUMMYFUNCTION("""COMPUTED_VALUE"""),43454.99861111111)</f>
        <v>43454.99861</v>
      </c>
      <c r="B3089" s="1">
        <f>IFERROR(__xludf.DUMMYFUNCTION("""COMPUTED_VALUE"""),14534.8)</f>
        <v>14534.8</v>
      </c>
    </row>
    <row r="3090">
      <c r="A3090" s="3">
        <f>IFERROR(__xludf.DUMMYFUNCTION("""COMPUTED_VALUE"""),43455.99861111111)</f>
        <v>43455.99861</v>
      </c>
      <c r="B3090" s="1">
        <f>IFERROR(__xludf.DUMMYFUNCTION("""COMPUTED_VALUE"""),14548.0)</f>
        <v>14548</v>
      </c>
    </row>
    <row r="3091">
      <c r="A3091" s="3">
        <f>IFERROR(__xludf.DUMMYFUNCTION("""COMPUTED_VALUE"""),43456.99861111111)</f>
        <v>43456.99861</v>
      </c>
      <c r="B3091" s="1">
        <f>IFERROR(__xludf.DUMMYFUNCTION("""COMPUTED_VALUE"""),14548.0)</f>
        <v>14548</v>
      </c>
    </row>
    <row r="3092">
      <c r="A3092" s="3">
        <f>IFERROR(__xludf.DUMMYFUNCTION("""COMPUTED_VALUE"""),43457.99861111111)</f>
        <v>43457.99861</v>
      </c>
      <c r="B3092" s="1">
        <f>IFERROR(__xludf.DUMMYFUNCTION("""COMPUTED_VALUE"""),14548.0)</f>
        <v>14548</v>
      </c>
    </row>
    <row r="3093">
      <c r="A3093" s="3">
        <f>IFERROR(__xludf.DUMMYFUNCTION("""COMPUTED_VALUE"""),43458.99861111111)</f>
        <v>43458.99861</v>
      </c>
      <c r="B3093" s="1">
        <f>IFERROR(__xludf.DUMMYFUNCTION("""COMPUTED_VALUE"""),14548.0)</f>
        <v>14548</v>
      </c>
    </row>
    <row r="3094">
      <c r="A3094" s="3">
        <f>IFERROR(__xludf.DUMMYFUNCTION("""COMPUTED_VALUE"""),43459.99861111111)</f>
        <v>43459.99861</v>
      </c>
      <c r="B3094" s="1">
        <f>IFERROR(__xludf.DUMMYFUNCTION("""COMPUTED_VALUE"""),14710.0)</f>
        <v>14710</v>
      </c>
    </row>
    <row r="3095">
      <c r="A3095" s="3">
        <f>IFERROR(__xludf.DUMMYFUNCTION("""COMPUTED_VALUE"""),43460.99861111111)</f>
        <v>43460.99861</v>
      </c>
      <c r="B3095" s="1">
        <f>IFERROR(__xludf.DUMMYFUNCTION("""COMPUTED_VALUE"""),14609.4)</f>
        <v>14609.4</v>
      </c>
    </row>
    <row r="3096">
      <c r="A3096" s="3">
        <f>IFERROR(__xludf.DUMMYFUNCTION("""COMPUTED_VALUE"""),43461.99861111111)</f>
        <v>43461.99861</v>
      </c>
      <c r="B3096" s="1">
        <f>IFERROR(__xludf.DUMMYFUNCTION("""COMPUTED_VALUE"""),14561.6)</f>
        <v>14561.6</v>
      </c>
    </row>
    <row r="3097">
      <c r="A3097" s="3">
        <f>IFERROR(__xludf.DUMMYFUNCTION("""COMPUTED_VALUE"""),43462.99861111111)</f>
        <v>43462.99861</v>
      </c>
      <c r="B3097" s="1">
        <f>IFERROR(__xludf.DUMMYFUNCTION("""COMPUTED_VALUE"""),14560.0)</f>
        <v>14560</v>
      </c>
    </row>
    <row r="3098">
      <c r="A3098" s="3">
        <f>IFERROR(__xludf.DUMMYFUNCTION("""COMPUTED_VALUE"""),43463.99861111111)</f>
        <v>43463.99861</v>
      </c>
      <c r="B3098" s="1">
        <f>IFERROR(__xludf.DUMMYFUNCTION("""COMPUTED_VALUE"""),14574.92)</f>
        <v>14574.92</v>
      </c>
    </row>
    <row r="3099">
      <c r="A3099" s="3">
        <f>IFERROR(__xludf.DUMMYFUNCTION("""COMPUTED_VALUE"""),43464.99861111111)</f>
        <v>43464.99861</v>
      </c>
      <c r="B3099" s="1">
        <f>IFERROR(__xludf.DUMMYFUNCTION("""COMPUTED_VALUE"""),14553.0)</f>
        <v>14553</v>
      </c>
    </row>
    <row r="3100">
      <c r="A3100" s="3">
        <f>IFERROR(__xludf.DUMMYFUNCTION("""COMPUTED_VALUE"""),43465.99861111111)</f>
        <v>43465.99861</v>
      </c>
      <c r="B3100" s="1">
        <f>IFERROR(__xludf.DUMMYFUNCTION("""COMPUTED_VALUE"""),14460.0)</f>
        <v>14460</v>
      </c>
    </row>
    <row r="3101">
      <c r="A3101" s="3">
        <f>IFERROR(__xludf.DUMMYFUNCTION("""COMPUTED_VALUE"""),43466.99861111111)</f>
        <v>43466.99861</v>
      </c>
      <c r="B3101" s="1">
        <f>IFERROR(__xludf.DUMMYFUNCTION("""COMPUTED_VALUE"""),14460.0)</f>
        <v>14460</v>
      </c>
    </row>
    <row r="3102">
      <c r="A3102" s="3">
        <f>IFERROR(__xludf.DUMMYFUNCTION("""COMPUTED_VALUE"""),43467.99861111111)</f>
        <v>43467.99861</v>
      </c>
      <c r="B3102" s="1">
        <f>IFERROR(__xludf.DUMMYFUNCTION("""COMPUTED_VALUE"""),14409.7)</f>
        <v>14409.7</v>
      </c>
    </row>
    <row r="3103">
      <c r="A3103" s="3">
        <f>IFERROR(__xludf.DUMMYFUNCTION("""COMPUTED_VALUE"""),43468.99861111111)</f>
        <v>43468.99861</v>
      </c>
      <c r="B3103" s="1">
        <f>IFERROR(__xludf.DUMMYFUNCTION("""COMPUTED_VALUE"""),14375.4)</f>
        <v>14375.4</v>
      </c>
    </row>
    <row r="3104">
      <c r="A3104" s="3">
        <f>IFERROR(__xludf.DUMMYFUNCTION("""COMPUTED_VALUE"""),43469.99861111111)</f>
        <v>43469.99861</v>
      </c>
      <c r="B3104" s="1">
        <f>IFERROR(__xludf.DUMMYFUNCTION("""COMPUTED_VALUE"""),14225.5)</f>
        <v>14225.5</v>
      </c>
    </row>
    <row r="3105">
      <c r="A3105" s="3">
        <f>IFERROR(__xludf.DUMMYFUNCTION("""COMPUTED_VALUE"""),43470.99861111111)</f>
        <v>43470.99861</v>
      </c>
      <c r="B3105" s="1">
        <f>IFERROR(__xludf.DUMMYFUNCTION("""COMPUTED_VALUE"""),14219.0)</f>
        <v>14219</v>
      </c>
    </row>
    <row r="3106">
      <c r="A3106" s="3">
        <f>IFERROR(__xludf.DUMMYFUNCTION("""COMPUTED_VALUE"""),43471.99861111111)</f>
        <v>43471.99861</v>
      </c>
      <c r="B3106" s="1">
        <f>IFERROR(__xludf.DUMMYFUNCTION("""COMPUTED_VALUE"""),14267.0)</f>
        <v>14267</v>
      </c>
    </row>
    <row r="3107">
      <c r="A3107" s="3">
        <f>IFERROR(__xludf.DUMMYFUNCTION("""COMPUTED_VALUE"""),43472.99861111111)</f>
        <v>43472.99861</v>
      </c>
      <c r="B3107" s="1">
        <f>IFERROR(__xludf.DUMMYFUNCTION("""COMPUTED_VALUE"""),14083.0)</f>
        <v>14083</v>
      </c>
    </row>
    <row r="3108">
      <c r="A3108" s="3">
        <f>IFERROR(__xludf.DUMMYFUNCTION("""COMPUTED_VALUE"""),43473.99861111111)</f>
        <v>43473.99861</v>
      </c>
      <c r="B3108" s="1">
        <f>IFERROR(__xludf.DUMMYFUNCTION("""COMPUTED_VALUE"""),14138.0)</f>
        <v>14138</v>
      </c>
    </row>
    <row r="3109">
      <c r="A3109" s="3">
        <f>IFERROR(__xludf.DUMMYFUNCTION("""COMPUTED_VALUE"""),43474.99861111111)</f>
        <v>43474.99861</v>
      </c>
      <c r="B3109" s="1">
        <f>IFERROR(__xludf.DUMMYFUNCTION("""COMPUTED_VALUE"""),14130.0)</f>
        <v>14130</v>
      </c>
    </row>
    <row r="3110">
      <c r="A3110" s="3">
        <f>IFERROR(__xludf.DUMMYFUNCTION("""COMPUTED_VALUE"""),43475.99861111111)</f>
        <v>43475.99861</v>
      </c>
      <c r="B3110" s="1">
        <f>IFERROR(__xludf.DUMMYFUNCTION("""COMPUTED_VALUE"""),14048.0)</f>
        <v>14048</v>
      </c>
    </row>
    <row r="3111">
      <c r="A3111" s="3">
        <f>IFERROR(__xludf.DUMMYFUNCTION("""COMPUTED_VALUE"""),43476.99861111111)</f>
        <v>43476.99861</v>
      </c>
      <c r="B3111" s="1">
        <f>IFERROR(__xludf.DUMMYFUNCTION("""COMPUTED_VALUE"""),14080.5)</f>
        <v>14080.5</v>
      </c>
    </row>
    <row r="3112">
      <c r="A3112" s="3">
        <f>IFERROR(__xludf.DUMMYFUNCTION("""COMPUTED_VALUE"""),43477.99861111111)</f>
        <v>43477.99861</v>
      </c>
      <c r="B3112" s="1">
        <f>IFERROR(__xludf.DUMMYFUNCTION("""COMPUTED_VALUE"""),14038.0)</f>
        <v>14038</v>
      </c>
    </row>
    <row r="3113">
      <c r="A3113" s="3">
        <f>IFERROR(__xludf.DUMMYFUNCTION("""COMPUTED_VALUE"""),43478.99861111111)</f>
        <v>43478.99861</v>
      </c>
      <c r="B3113" s="1">
        <f>IFERROR(__xludf.DUMMYFUNCTION("""COMPUTED_VALUE"""),14038.0)</f>
        <v>14038</v>
      </c>
    </row>
    <row r="3114">
      <c r="A3114" s="3">
        <f>IFERROR(__xludf.DUMMYFUNCTION("""COMPUTED_VALUE"""),43479.99861111111)</f>
        <v>43479.99861</v>
      </c>
      <c r="B3114" s="1">
        <f>IFERROR(__xludf.DUMMYFUNCTION("""COMPUTED_VALUE"""),14117.0)</f>
        <v>14117</v>
      </c>
    </row>
    <row r="3115">
      <c r="A3115" s="3">
        <f>IFERROR(__xludf.DUMMYFUNCTION("""COMPUTED_VALUE"""),43480.99861111111)</f>
        <v>43480.99861</v>
      </c>
      <c r="B3115" s="1">
        <f>IFERROR(__xludf.DUMMYFUNCTION("""COMPUTED_VALUE"""),14111.0)</f>
        <v>14111</v>
      </c>
    </row>
    <row r="3116">
      <c r="A3116" s="3">
        <f>IFERROR(__xludf.DUMMYFUNCTION("""COMPUTED_VALUE"""),43481.99861111111)</f>
        <v>43481.99861</v>
      </c>
      <c r="B3116" s="1">
        <f>IFERROR(__xludf.DUMMYFUNCTION("""COMPUTED_VALUE"""),14140.0)</f>
        <v>14140</v>
      </c>
    </row>
    <row r="3117">
      <c r="A3117" s="3">
        <f>IFERROR(__xludf.DUMMYFUNCTION("""COMPUTED_VALUE"""),43482.99861111111)</f>
        <v>43482.99861</v>
      </c>
      <c r="B3117" s="1">
        <f>IFERROR(__xludf.DUMMYFUNCTION("""COMPUTED_VALUE"""),14173.0)</f>
        <v>14173</v>
      </c>
    </row>
    <row r="3118">
      <c r="A3118" s="3">
        <f>IFERROR(__xludf.DUMMYFUNCTION("""COMPUTED_VALUE"""),43483.99861111111)</f>
        <v>43483.99861</v>
      </c>
      <c r="B3118" s="1">
        <f>IFERROR(__xludf.DUMMYFUNCTION("""COMPUTED_VALUE"""),14231.0)</f>
        <v>14231</v>
      </c>
    </row>
    <row r="3119">
      <c r="A3119" s="3">
        <f>IFERROR(__xludf.DUMMYFUNCTION("""COMPUTED_VALUE"""),43484.99861111111)</f>
        <v>43484.99861</v>
      </c>
      <c r="B3119" s="1">
        <f>IFERROR(__xludf.DUMMYFUNCTION("""COMPUTED_VALUE"""),14161.29)</f>
        <v>14161.29</v>
      </c>
    </row>
    <row r="3120">
      <c r="A3120" s="3">
        <f>IFERROR(__xludf.DUMMYFUNCTION("""COMPUTED_VALUE"""),43485.99861111111)</f>
        <v>43485.99861</v>
      </c>
      <c r="B3120" s="1">
        <f>IFERROR(__xludf.DUMMYFUNCTION("""COMPUTED_VALUE"""),14168.0)</f>
        <v>14168</v>
      </c>
    </row>
    <row r="3121">
      <c r="A3121" s="3">
        <f>IFERROR(__xludf.DUMMYFUNCTION("""COMPUTED_VALUE"""),43486.99861111111)</f>
        <v>43486.99861</v>
      </c>
      <c r="B3121" s="1">
        <f>IFERROR(__xludf.DUMMYFUNCTION("""COMPUTED_VALUE"""),14307.0)</f>
        <v>14307</v>
      </c>
    </row>
    <row r="3122">
      <c r="A3122" s="3">
        <f>IFERROR(__xludf.DUMMYFUNCTION("""COMPUTED_VALUE"""),43487.99861111111)</f>
        <v>43487.99861</v>
      </c>
      <c r="B3122" s="1">
        <f>IFERROR(__xludf.DUMMYFUNCTION("""COMPUTED_VALUE"""),14208.0)</f>
        <v>14208</v>
      </c>
    </row>
    <row r="3123">
      <c r="A3123" s="3">
        <f>IFERROR(__xludf.DUMMYFUNCTION("""COMPUTED_VALUE"""),43488.99861111111)</f>
        <v>43488.99861</v>
      </c>
      <c r="B3123" s="1">
        <f>IFERROR(__xludf.DUMMYFUNCTION("""COMPUTED_VALUE"""),14130.9)</f>
        <v>14130.9</v>
      </c>
    </row>
    <row r="3124">
      <c r="A3124" s="3">
        <f>IFERROR(__xludf.DUMMYFUNCTION("""COMPUTED_VALUE"""),43489.99861111111)</f>
        <v>43489.99861</v>
      </c>
      <c r="B3124" s="1">
        <f>IFERROR(__xludf.DUMMYFUNCTION("""COMPUTED_VALUE"""),14189.0)</f>
        <v>14189</v>
      </c>
    </row>
    <row r="3125">
      <c r="A3125" s="3">
        <f>IFERROR(__xludf.DUMMYFUNCTION("""COMPUTED_VALUE"""),43490.99861111111)</f>
        <v>43490.99861</v>
      </c>
      <c r="B3125" s="1">
        <f>IFERROR(__xludf.DUMMYFUNCTION("""COMPUTED_VALUE"""),14065.5)</f>
        <v>14065.5</v>
      </c>
    </row>
    <row r="3126">
      <c r="A3126" s="3">
        <f>IFERROR(__xludf.DUMMYFUNCTION("""COMPUTED_VALUE"""),43491.99861111111)</f>
        <v>43491.99861</v>
      </c>
      <c r="B3126" s="1">
        <f>IFERROR(__xludf.DUMMYFUNCTION("""COMPUTED_VALUE"""),14065.68)</f>
        <v>14065.68</v>
      </c>
    </row>
    <row r="3127">
      <c r="A3127" s="3">
        <f>IFERROR(__xludf.DUMMYFUNCTION("""COMPUTED_VALUE"""),43492.99861111111)</f>
        <v>43492.99861</v>
      </c>
      <c r="B3127" s="1">
        <f>IFERROR(__xludf.DUMMYFUNCTION("""COMPUTED_VALUE"""),14078.0)</f>
        <v>14078</v>
      </c>
    </row>
    <row r="3128">
      <c r="A3128" s="3">
        <f>IFERROR(__xludf.DUMMYFUNCTION("""COMPUTED_VALUE"""),43493.99861111111)</f>
        <v>43493.99861</v>
      </c>
      <c r="B3128" s="1">
        <f>IFERROR(__xludf.DUMMYFUNCTION("""COMPUTED_VALUE"""),14063.0)</f>
        <v>14063</v>
      </c>
    </row>
    <row r="3129">
      <c r="A3129" s="3">
        <f>IFERROR(__xludf.DUMMYFUNCTION("""COMPUTED_VALUE"""),43494.99861111111)</f>
        <v>43494.99861</v>
      </c>
      <c r="B3129" s="1">
        <f>IFERROR(__xludf.DUMMYFUNCTION("""COMPUTED_VALUE"""),14074.0)</f>
        <v>14074</v>
      </c>
    </row>
    <row r="3130">
      <c r="A3130" s="3">
        <f>IFERROR(__xludf.DUMMYFUNCTION("""COMPUTED_VALUE"""),43495.99861111111)</f>
        <v>43495.99861</v>
      </c>
      <c r="B3130" s="1">
        <f>IFERROR(__xludf.DUMMYFUNCTION("""COMPUTED_VALUE"""),14033.0)</f>
        <v>14033</v>
      </c>
    </row>
    <row r="3131">
      <c r="A3131" s="3">
        <f>IFERROR(__xludf.DUMMYFUNCTION("""COMPUTED_VALUE"""),43496.99861111111)</f>
        <v>43496.99861</v>
      </c>
      <c r="B3131" s="1">
        <f>IFERROR(__xludf.DUMMYFUNCTION("""COMPUTED_VALUE"""),13966.0)</f>
        <v>13966</v>
      </c>
    </row>
    <row r="3132">
      <c r="A3132" s="3">
        <f>IFERROR(__xludf.DUMMYFUNCTION("""COMPUTED_VALUE"""),43497.99861111111)</f>
        <v>43497.99861</v>
      </c>
      <c r="B3132" s="1">
        <f>IFERROR(__xludf.DUMMYFUNCTION("""COMPUTED_VALUE"""),13930.0)</f>
        <v>13930</v>
      </c>
    </row>
    <row r="3133">
      <c r="A3133" s="3">
        <f>IFERROR(__xludf.DUMMYFUNCTION("""COMPUTED_VALUE"""),43498.99861111111)</f>
        <v>43498.99861</v>
      </c>
      <c r="B3133" s="1">
        <f>IFERROR(__xludf.DUMMYFUNCTION("""COMPUTED_VALUE"""),13949.91)</f>
        <v>13949.91</v>
      </c>
    </row>
    <row r="3134">
      <c r="A3134" s="3">
        <f>IFERROR(__xludf.DUMMYFUNCTION("""COMPUTED_VALUE"""),43499.99861111111)</f>
        <v>43499.99861</v>
      </c>
      <c r="B3134" s="1">
        <f>IFERROR(__xludf.DUMMYFUNCTION("""COMPUTED_VALUE"""),13933.0)</f>
        <v>13933</v>
      </c>
    </row>
    <row r="3135">
      <c r="A3135" s="3">
        <f>IFERROR(__xludf.DUMMYFUNCTION("""COMPUTED_VALUE"""),43500.99861111111)</f>
        <v>43500.99861</v>
      </c>
      <c r="B3135" s="1">
        <f>IFERROR(__xludf.DUMMYFUNCTION("""COMPUTED_VALUE"""),13957.5)</f>
        <v>13957.5</v>
      </c>
    </row>
    <row r="3136">
      <c r="A3136" s="3">
        <f>IFERROR(__xludf.DUMMYFUNCTION("""COMPUTED_VALUE"""),43501.99861111111)</f>
        <v>43501.99861</v>
      </c>
      <c r="B3136" s="1">
        <f>IFERROR(__xludf.DUMMYFUNCTION("""COMPUTED_VALUE"""),13950.5)</f>
        <v>13950.5</v>
      </c>
    </row>
    <row r="3137">
      <c r="A3137" s="3">
        <f>IFERROR(__xludf.DUMMYFUNCTION("""COMPUTED_VALUE"""),43502.99861111111)</f>
        <v>43502.99861</v>
      </c>
      <c r="B3137" s="1">
        <f>IFERROR(__xludf.DUMMYFUNCTION("""COMPUTED_VALUE"""),13915.0)</f>
        <v>13915</v>
      </c>
    </row>
    <row r="3138">
      <c r="A3138" s="3">
        <f>IFERROR(__xludf.DUMMYFUNCTION("""COMPUTED_VALUE"""),43503.99861111111)</f>
        <v>43503.99861</v>
      </c>
      <c r="B3138" s="1">
        <f>IFERROR(__xludf.DUMMYFUNCTION("""COMPUTED_VALUE"""),13966.0)</f>
        <v>13966</v>
      </c>
    </row>
    <row r="3139">
      <c r="A3139" s="3">
        <f>IFERROR(__xludf.DUMMYFUNCTION("""COMPUTED_VALUE"""),43504.99861111111)</f>
        <v>43504.99861</v>
      </c>
      <c r="B3139" s="1">
        <f>IFERROR(__xludf.DUMMYFUNCTION("""COMPUTED_VALUE"""),14030.7)</f>
        <v>14030.7</v>
      </c>
    </row>
    <row r="3140">
      <c r="A3140" s="3">
        <f>IFERROR(__xludf.DUMMYFUNCTION("""COMPUTED_VALUE"""),43505.99861111111)</f>
        <v>43505.99861</v>
      </c>
      <c r="B3140" s="1">
        <f>IFERROR(__xludf.DUMMYFUNCTION("""COMPUTED_VALUE"""),14032.33)</f>
        <v>14032.33</v>
      </c>
    </row>
    <row r="3141">
      <c r="A3141" s="3">
        <f>IFERROR(__xludf.DUMMYFUNCTION("""COMPUTED_VALUE"""),43506.99861111111)</f>
        <v>43506.99861</v>
      </c>
      <c r="B3141" s="1">
        <f>IFERROR(__xludf.DUMMYFUNCTION("""COMPUTED_VALUE"""),13958.0)</f>
        <v>13958</v>
      </c>
    </row>
    <row r="3142">
      <c r="A3142" s="3">
        <f>IFERROR(__xludf.DUMMYFUNCTION("""COMPUTED_VALUE"""),43507.99861111111)</f>
        <v>43507.99861</v>
      </c>
      <c r="B3142" s="1">
        <f>IFERROR(__xludf.DUMMYFUNCTION("""COMPUTED_VALUE"""),14033.0)</f>
        <v>14033</v>
      </c>
    </row>
    <row r="3143">
      <c r="A3143" s="3">
        <f>IFERROR(__xludf.DUMMYFUNCTION("""COMPUTED_VALUE"""),43508.99861111111)</f>
        <v>43508.99861</v>
      </c>
      <c r="B3143" s="1">
        <f>IFERROR(__xludf.DUMMYFUNCTION("""COMPUTED_VALUE"""),14012.7)</f>
        <v>14012.7</v>
      </c>
    </row>
    <row r="3144">
      <c r="A3144" s="3">
        <f>IFERROR(__xludf.DUMMYFUNCTION("""COMPUTED_VALUE"""),43509.99861111111)</f>
        <v>43509.99861</v>
      </c>
      <c r="B3144" s="1">
        <f>IFERROR(__xludf.DUMMYFUNCTION("""COMPUTED_VALUE"""),14151.0)</f>
        <v>14151</v>
      </c>
    </row>
    <row r="3145">
      <c r="A3145" s="3">
        <f>IFERROR(__xludf.DUMMYFUNCTION("""COMPUTED_VALUE"""),43510.99861111111)</f>
        <v>43510.99861</v>
      </c>
      <c r="B3145" s="1">
        <f>IFERROR(__xludf.DUMMYFUNCTION("""COMPUTED_VALUE"""),14083.0)</f>
        <v>14083</v>
      </c>
    </row>
    <row r="3146">
      <c r="A3146" s="3">
        <f>IFERROR(__xludf.DUMMYFUNCTION("""COMPUTED_VALUE"""),43511.99861111111)</f>
        <v>43511.99861</v>
      </c>
      <c r="B3146" s="1">
        <f>IFERROR(__xludf.DUMMYFUNCTION("""COMPUTED_VALUE"""),14104.2)</f>
        <v>14104.2</v>
      </c>
    </row>
    <row r="3147">
      <c r="A3147" s="3">
        <f>IFERROR(__xludf.DUMMYFUNCTION("""COMPUTED_VALUE"""),43512.99861111111)</f>
        <v>43512.99861</v>
      </c>
      <c r="B3147" s="1">
        <f>IFERROR(__xludf.DUMMYFUNCTION("""COMPUTED_VALUE"""),14136.0)</f>
        <v>14136</v>
      </c>
    </row>
    <row r="3148">
      <c r="A3148" s="3">
        <f>IFERROR(__xludf.DUMMYFUNCTION("""COMPUTED_VALUE"""),43513.99861111111)</f>
        <v>43513.99861</v>
      </c>
      <c r="B3148" s="1">
        <f>IFERROR(__xludf.DUMMYFUNCTION("""COMPUTED_VALUE"""),14136.0)</f>
        <v>14136</v>
      </c>
    </row>
    <row r="3149">
      <c r="A3149" s="3">
        <f>IFERROR(__xludf.DUMMYFUNCTION("""COMPUTED_VALUE"""),43514.99861111111)</f>
        <v>43514.99861</v>
      </c>
      <c r="B3149" s="1">
        <f>IFERROR(__xludf.DUMMYFUNCTION("""COMPUTED_VALUE"""),14192.5)</f>
        <v>14192.5</v>
      </c>
    </row>
    <row r="3150">
      <c r="A3150" s="3">
        <f>IFERROR(__xludf.DUMMYFUNCTION("""COMPUTED_VALUE"""),43515.99861111111)</f>
        <v>43515.99861</v>
      </c>
      <c r="B3150" s="1">
        <f>IFERROR(__xludf.DUMMYFUNCTION("""COMPUTED_VALUE"""),14096.5)</f>
        <v>14096.5</v>
      </c>
    </row>
    <row r="3151">
      <c r="A3151" s="3">
        <f>IFERROR(__xludf.DUMMYFUNCTION("""COMPUTED_VALUE"""),43516.99861111111)</f>
        <v>43516.99861</v>
      </c>
      <c r="B3151" s="1">
        <f>IFERROR(__xludf.DUMMYFUNCTION("""COMPUTED_VALUE"""),14033.0)</f>
        <v>14033</v>
      </c>
    </row>
    <row r="3152">
      <c r="A3152" s="3">
        <f>IFERROR(__xludf.DUMMYFUNCTION("""COMPUTED_VALUE"""),43517.99861111111)</f>
        <v>43517.99861</v>
      </c>
      <c r="B3152" s="1">
        <f>IFERROR(__xludf.DUMMYFUNCTION("""COMPUTED_VALUE"""),14120.0)</f>
        <v>14120</v>
      </c>
    </row>
    <row r="3153">
      <c r="A3153" s="3">
        <f>IFERROR(__xludf.DUMMYFUNCTION("""COMPUTED_VALUE"""),43518.99861111111)</f>
        <v>43518.99861</v>
      </c>
      <c r="B3153" s="1">
        <f>IFERROR(__xludf.DUMMYFUNCTION("""COMPUTED_VALUE"""),14014.7)</f>
        <v>14014.7</v>
      </c>
    </row>
    <row r="3154">
      <c r="A3154" s="3">
        <f>IFERROR(__xludf.DUMMYFUNCTION("""COMPUTED_VALUE"""),43519.99861111111)</f>
        <v>43519.99861</v>
      </c>
      <c r="B3154" s="1">
        <f>IFERROR(__xludf.DUMMYFUNCTION("""COMPUTED_VALUE"""),14015.5)</f>
        <v>14015.5</v>
      </c>
    </row>
    <row r="3155">
      <c r="A3155" s="3">
        <f>IFERROR(__xludf.DUMMYFUNCTION("""COMPUTED_VALUE"""),43520.99861111111)</f>
        <v>43520.99861</v>
      </c>
      <c r="B3155" s="1">
        <f>IFERROR(__xludf.DUMMYFUNCTION("""COMPUTED_VALUE"""),14051.0)</f>
        <v>14051</v>
      </c>
    </row>
    <row r="3156">
      <c r="A3156" s="3">
        <f>IFERROR(__xludf.DUMMYFUNCTION("""COMPUTED_VALUE"""),43521.99861111111)</f>
        <v>43521.99861</v>
      </c>
      <c r="B3156" s="1">
        <f>IFERROR(__xludf.DUMMYFUNCTION("""COMPUTED_VALUE"""),14011.0)</f>
        <v>14011</v>
      </c>
    </row>
    <row r="3157">
      <c r="A3157" s="3">
        <f>IFERROR(__xludf.DUMMYFUNCTION("""COMPUTED_VALUE"""),43522.99861111111)</f>
        <v>43522.99861</v>
      </c>
      <c r="B3157" s="1">
        <f>IFERROR(__xludf.DUMMYFUNCTION("""COMPUTED_VALUE"""),13960.0)</f>
        <v>13960</v>
      </c>
    </row>
    <row r="3158">
      <c r="A3158" s="3">
        <f>IFERROR(__xludf.DUMMYFUNCTION("""COMPUTED_VALUE"""),43523.99861111111)</f>
        <v>43523.99861</v>
      </c>
      <c r="B3158" s="1">
        <f>IFERROR(__xludf.DUMMYFUNCTION("""COMPUTED_VALUE"""),14015.0)</f>
        <v>14015</v>
      </c>
    </row>
    <row r="3159">
      <c r="A3159" s="3">
        <f>IFERROR(__xludf.DUMMYFUNCTION("""COMPUTED_VALUE"""),43524.99861111111)</f>
        <v>43524.99861</v>
      </c>
      <c r="B3159" s="1">
        <f>IFERROR(__xludf.DUMMYFUNCTION("""COMPUTED_VALUE"""),14194.0)</f>
        <v>14194</v>
      </c>
    </row>
    <row r="3160">
      <c r="A3160" s="3">
        <f>IFERROR(__xludf.DUMMYFUNCTION("""COMPUTED_VALUE"""),43525.99861111111)</f>
        <v>43525.99861</v>
      </c>
      <c r="B3160" s="1">
        <f>IFERROR(__xludf.DUMMYFUNCTION("""COMPUTED_VALUE"""),14173.5)</f>
        <v>14173.5</v>
      </c>
    </row>
    <row r="3161">
      <c r="A3161" s="3">
        <f>IFERROR(__xludf.DUMMYFUNCTION("""COMPUTED_VALUE"""),43526.99861111111)</f>
        <v>43526.99861</v>
      </c>
      <c r="B3161" s="1">
        <f>IFERROR(__xludf.DUMMYFUNCTION("""COMPUTED_VALUE"""),14108.0)</f>
        <v>14108</v>
      </c>
    </row>
    <row r="3162">
      <c r="A3162" s="3">
        <f>IFERROR(__xludf.DUMMYFUNCTION("""COMPUTED_VALUE"""),43527.99861111111)</f>
        <v>43527.99861</v>
      </c>
      <c r="B3162" s="1">
        <f>IFERROR(__xludf.DUMMYFUNCTION("""COMPUTED_VALUE"""),14115.0)</f>
        <v>14115</v>
      </c>
    </row>
    <row r="3163">
      <c r="A3163" s="3">
        <f>IFERROR(__xludf.DUMMYFUNCTION("""COMPUTED_VALUE"""),43528.99861111111)</f>
        <v>43528.99861</v>
      </c>
      <c r="B3163" s="1">
        <f>IFERROR(__xludf.DUMMYFUNCTION("""COMPUTED_VALUE"""),14212.5)</f>
        <v>14212.5</v>
      </c>
    </row>
    <row r="3164">
      <c r="A3164" s="3">
        <f>IFERROR(__xludf.DUMMYFUNCTION("""COMPUTED_VALUE"""),43529.99861111111)</f>
        <v>43529.99861</v>
      </c>
      <c r="B3164" s="1">
        <f>IFERROR(__xludf.DUMMYFUNCTION("""COMPUTED_VALUE"""),14154.5)</f>
        <v>14154.5</v>
      </c>
    </row>
    <row r="3165">
      <c r="A3165" s="3">
        <f>IFERROR(__xludf.DUMMYFUNCTION("""COMPUTED_VALUE"""),43530.99861111111)</f>
        <v>43530.99861</v>
      </c>
      <c r="B3165" s="1">
        <f>IFERROR(__xludf.DUMMYFUNCTION("""COMPUTED_VALUE"""),14218.5)</f>
        <v>14218.5</v>
      </c>
    </row>
    <row r="3166">
      <c r="A3166" s="3">
        <f>IFERROR(__xludf.DUMMYFUNCTION("""COMPUTED_VALUE"""),43531.99861111111)</f>
        <v>43531.99861</v>
      </c>
      <c r="B3166" s="1">
        <f>IFERROR(__xludf.DUMMYFUNCTION("""COMPUTED_VALUE"""),14242.3)</f>
        <v>14242.3</v>
      </c>
    </row>
    <row r="3167">
      <c r="A3167" s="3">
        <f>IFERROR(__xludf.DUMMYFUNCTION("""COMPUTED_VALUE"""),43532.99861111111)</f>
        <v>43532.99861</v>
      </c>
      <c r="B3167" s="1">
        <f>IFERROR(__xludf.DUMMYFUNCTION("""COMPUTED_VALUE"""),14310.0)</f>
        <v>14310</v>
      </c>
    </row>
    <row r="3168">
      <c r="A3168" s="3">
        <f>IFERROR(__xludf.DUMMYFUNCTION("""COMPUTED_VALUE"""),43533.99861111111)</f>
        <v>43533.99861</v>
      </c>
      <c r="B3168" s="1">
        <f>IFERROR(__xludf.DUMMYFUNCTION("""COMPUTED_VALUE"""),14310.0)</f>
        <v>14310</v>
      </c>
    </row>
    <row r="3169">
      <c r="A3169" s="3">
        <f>IFERROR(__xludf.DUMMYFUNCTION("""COMPUTED_VALUE"""),43534.99861111111)</f>
        <v>43534.99861</v>
      </c>
      <c r="B3169" s="1">
        <f>IFERROR(__xludf.DUMMYFUNCTION("""COMPUTED_VALUE"""),14310.0)</f>
        <v>14310</v>
      </c>
    </row>
    <row r="3170">
      <c r="A3170" s="3">
        <f>IFERROR(__xludf.DUMMYFUNCTION("""COMPUTED_VALUE"""),43535.99861111111)</f>
        <v>43535.99861</v>
      </c>
      <c r="B3170" s="1">
        <f>IFERROR(__xludf.DUMMYFUNCTION("""COMPUTED_VALUE"""),14290.0)</f>
        <v>14290</v>
      </c>
    </row>
    <row r="3171">
      <c r="A3171" s="3">
        <f>IFERROR(__xludf.DUMMYFUNCTION("""COMPUTED_VALUE"""),43536.99861111111)</f>
        <v>43536.99861</v>
      </c>
      <c r="B3171" s="1">
        <f>IFERROR(__xludf.DUMMYFUNCTION("""COMPUTED_VALUE"""),14265.0)</f>
        <v>14265</v>
      </c>
    </row>
    <row r="3172">
      <c r="A3172" s="3">
        <f>IFERROR(__xludf.DUMMYFUNCTION("""COMPUTED_VALUE"""),43537.99861111111)</f>
        <v>43537.99861</v>
      </c>
      <c r="B3172" s="1">
        <f>IFERROR(__xludf.DUMMYFUNCTION("""COMPUTED_VALUE"""),14265.0)</f>
        <v>14265</v>
      </c>
    </row>
    <row r="3173">
      <c r="A3173" s="3">
        <f>IFERROR(__xludf.DUMMYFUNCTION("""COMPUTED_VALUE"""),43538.99861111111)</f>
        <v>43538.99861</v>
      </c>
      <c r="B3173" s="1">
        <f>IFERROR(__xludf.DUMMYFUNCTION("""COMPUTED_VALUE"""),14294.0)</f>
        <v>14294</v>
      </c>
    </row>
    <row r="3174">
      <c r="A3174" s="3">
        <f>IFERROR(__xludf.DUMMYFUNCTION("""COMPUTED_VALUE"""),43539.99861111111)</f>
        <v>43539.99861</v>
      </c>
      <c r="B3174" s="1">
        <f>IFERROR(__xludf.DUMMYFUNCTION("""COMPUTED_VALUE"""),14269.0)</f>
        <v>14269</v>
      </c>
    </row>
    <row r="3175">
      <c r="A3175" s="3">
        <f>IFERROR(__xludf.DUMMYFUNCTION("""COMPUTED_VALUE"""),43540.99861111111)</f>
        <v>43540.99861</v>
      </c>
      <c r="B3175" s="1">
        <f>IFERROR(__xludf.DUMMYFUNCTION("""COMPUTED_VALUE"""),14255.0)</f>
        <v>14255</v>
      </c>
    </row>
    <row r="3176">
      <c r="A3176" s="3">
        <f>IFERROR(__xludf.DUMMYFUNCTION("""COMPUTED_VALUE"""),43541.99861111111)</f>
        <v>43541.99861</v>
      </c>
      <c r="B3176" s="1">
        <f>IFERROR(__xludf.DUMMYFUNCTION("""COMPUTED_VALUE"""),14259.0)</f>
        <v>14259</v>
      </c>
    </row>
    <row r="3177">
      <c r="A3177" s="3">
        <f>IFERROR(__xludf.DUMMYFUNCTION("""COMPUTED_VALUE"""),43542.99861111111)</f>
        <v>43542.99861</v>
      </c>
      <c r="B3177" s="1">
        <f>IFERROR(__xludf.DUMMYFUNCTION("""COMPUTED_VALUE"""),14258.0)</f>
        <v>14258</v>
      </c>
    </row>
    <row r="3178">
      <c r="A3178" s="3">
        <f>IFERROR(__xludf.DUMMYFUNCTION("""COMPUTED_VALUE"""),43543.99861111111)</f>
        <v>43543.99861</v>
      </c>
      <c r="B3178" s="1">
        <f>IFERROR(__xludf.DUMMYFUNCTION("""COMPUTED_VALUE"""),14230.0)</f>
        <v>14230</v>
      </c>
    </row>
    <row r="3179">
      <c r="A3179" s="3">
        <f>IFERROR(__xludf.DUMMYFUNCTION("""COMPUTED_VALUE"""),43544.99861111111)</f>
        <v>43544.99861</v>
      </c>
      <c r="B3179" s="1">
        <f>IFERROR(__xludf.DUMMYFUNCTION("""COMPUTED_VALUE"""),14062.0)</f>
        <v>14062</v>
      </c>
    </row>
    <row r="3180">
      <c r="A3180" s="3">
        <f>IFERROR(__xludf.DUMMYFUNCTION("""COMPUTED_VALUE"""),43545.99861111111)</f>
        <v>43545.99861</v>
      </c>
      <c r="B3180" s="1">
        <f>IFERROR(__xludf.DUMMYFUNCTION("""COMPUTED_VALUE"""),14140.0)</f>
        <v>14140</v>
      </c>
    </row>
    <row r="3181">
      <c r="A3181" s="3">
        <f>IFERROR(__xludf.DUMMYFUNCTION("""COMPUTED_VALUE"""),43546.99861111111)</f>
        <v>43546.99861</v>
      </c>
      <c r="B3181" s="1">
        <f>IFERROR(__xludf.DUMMYFUNCTION("""COMPUTED_VALUE"""),14307.5)</f>
        <v>14307.5</v>
      </c>
    </row>
    <row r="3182">
      <c r="A3182" s="3">
        <f>IFERROR(__xludf.DUMMYFUNCTION("""COMPUTED_VALUE"""),43547.99861111111)</f>
        <v>43547.99861</v>
      </c>
      <c r="B3182" s="1">
        <f>IFERROR(__xludf.DUMMYFUNCTION("""COMPUTED_VALUE"""),14307.5)</f>
        <v>14307.5</v>
      </c>
    </row>
    <row r="3183">
      <c r="A3183" s="3">
        <f>IFERROR(__xludf.DUMMYFUNCTION("""COMPUTED_VALUE"""),43548.99861111111)</f>
        <v>43548.99861</v>
      </c>
      <c r="B3183" s="1">
        <f>IFERROR(__xludf.DUMMYFUNCTION("""COMPUTED_VALUE"""),14165.0)</f>
        <v>14165</v>
      </c>
    </row>
    <row r="3184">
      <c r="A3184" s="3">
        <f>IFERROR(__xludf.DUMMYFUNCTION("""COMPUTED_VALUE"""),43549.99861111111)</f>
        <v>43549.99861</v>
      </c>
      <c r="B3184" s="1">
        <f>IFERROR(__xludf.DUMMYFUNCTION("""COMPUTED_VALUE"""),14180.0)</f>
        <v>14180</v>
      </c>
    </row>
    <row r="3185">
      <c r="A3185" s="3">
        <f>IFERROR(__xludf.DUMMYFUNCTION("""COMPUTED_VALUE"""),43550.99861111111)</f>
        <v>43550.99861</v>
      </c>
      <c r="B3185" s="1">
        <f>IFERROR(__xludf.DUMMYFUNCTION("""COMPUTED_VALUE"""),14170.0)</f>
        <v>14170</v>
      </c>
    </row>
    <row r="3186">
      <c r="A3186" s="3">
        <f>IFERROR(__xludf.DUMMYFUNCTION("""COMPUTED_VALUE"""),43551.99861111111)</f>
        <v>43551.99861</v>
      </c>
      <c r="B3186" s="1">
        <f>IFERROR(__xludf.DUMMYFUNCTION("""COMPUTED_VALUE"""),14350.0)</f>
        <v>14350</v>
      </c>
    </row>
    <row r="3187">
      <c r="A3187" s="3">
        <f>IFERROR(__xludf.DUMMYFUNCTION("""COMPUTED_VALUE"""),43552.99861111111)</f>
        <v>43552.99861</v>
      </c>
      <c r="B3187" s="1">
        <f>IFERROR(__xludf.DUMMYFUNCTION("""COMPUTED_VALUE"""),14242.0)</f>
        <v>14242</v>
      </c>
    </row>
    <row r="3188">
      <c r="A3188" s="3">
        <f>IFERROR(__xludf.DUMMYFUNCTION("""COMPUTED_VALUE"""),43553.99861111111)</f>
        <v>43553.99861</v>
      </c>
      <c r="B3188" s="1">
        <f>IFERROR(__xludf.DUMMYFUNCTION("""COMPUTED_VALUE"""),14313.0)</f>
        <v>14313</v>
      </c>
    </row>
    <row r="3189">
      <c r="A3189" s="3">
        <f>IFERROR(__xludf.DUMMYFUNCTION("""COMPUTED_VALUE"""),43554.99861111111)</f>
        <v>43554.99861</v>
      </c>
      <c r="B3189" s="1">
        <f>IFERROR(__xludf.DUMMYFUNCTION("""COMPUTED_VALUE"""),14240.0)</f>
        <v>14240</v>
      </c>
    </row>
    <row r="3190">
      <c r="A3190" s="3">
        <f>IFERROR(__xludf.DUMMYFUNCTION("""COMPUTED_VALUE"""),43555.99861111111)</f>
        <v>43555.99861</v>
      </c>
      <c r="B3190" s="1">
        <f>IFERROR(__xludf.DUMMYFUNCTION("""COMPUTED_VALUE"""),14240.0)</f>
        <v>14240</v>
      </c>
    </row>
    <row r="3191">
      <c r="A3191" s="3">
        <f>IFERROR(__xludf.DUMMYFUNCTION("""COMPUTED_VALUE"""),43556.99861111111)</f>
        <v>43556.99861</v>
      </c>
      <c r="B3191" s="1">
        <f>IFERROR(__xludf.DUMMYFUNCTION("""COMPUTED_VALUE"""),14246.0)</f>
        <v>14246</v>
      </c>
    </row>
    <row r="3192">
      <c r="A3192" s="3">
        <f>IFERROR(__xludf.DUMMYFUNCTION("""COMPUTED_VALUE"""),43557.99861111111)</f>
        <v>43557.99861</v>
      </c>
      <c r="B3192" s="1">
        <f>IFERROR(__xludf.DUMMYFUNCTION("""COMPUTED_VALUE"""),14220.0)</f>
        <v>14220</v>
      </c>
    </row>
    <row r="3193">
      <c r="A3193" s="3">
        <f>IFERROR(__xludf.DUMMYFUNCTION("""COMPUTED_VALUE"""),43558.99861111111)</f>
        <v>43558.99861</v>
      </c>
      <c r="B3193" s="1">
        <f>IFERROR(__xludf.DUMMYFUNCTION("""COMPUTED_VALUE"""),14220.0)</f>
        <v>14220</v>
      </c>
    </row>
    <row r="3194">
      <c r="A3194" s="3">
        <f>IFERROR(__xludf.DUMMYFUNCTION("""COMPUTED_VALUE"""),43559.99861111111)</f>
        <v>43559.99861</v>
      </c>
      <c r="B3194" s="1">
        <f>IFERROR(__xludf.DUMMYFUNCTION("""COMPUTED_VALUE"""),14158.0)</f>
        <v>14158</v>
      </c>
    </row>
    <row r="3195">
      <c r="A3195" s="3">
        <f>IFERROR(__xludf.DUMMYFUNCTION("""COMPUTED_VALUE"""),43560.99861111111)</f>
        <v>43560.99861</v>
      </c>
      <c r="B3195" s="1">
        <f>IFERROR(__xludf.DUMMYFUNCTION("""COMPUTED_VALUE"""),14117.0)</f>
        <v>14117</v>
      </c>
    </row>
    <row r="3196">
      <c r="A3196" s="3">
        <f>IFERROR(__xludf.DUMMYFUNCTION("""COMPUTED_VALUE"""),43561.99861111111)</f>
        <v>43561.99861</v>
      </c>
      <c r="B3196" s="1">
        <f>IFERROR(__xludf.DUMMYFUNCTION("""COMPUTED_VALUE"""),14117.0)</f>
        <v>14117</v>
      </c>
    </row>
    <row r="3197">
      <c r="A3197" s="3">
        <f>IFERROR(__xludf.DUMMYFUNCTION("""COMPUTED_VALUE"""),43562.99861111111)</f>
        <v>43562.99861</v>
      </c>
      <c r="B3197" s="1">
        <f>IFERROR(__xludf.DUMMYFUNCTION("""COMPUTED_VALUE"""),14118.0)</f>
        <v>14118</v>
      </c>
    </row>
    <row r="3198">
      <c r="A3198" s="3">
        <f>IFERROR(__xludf.DUMMYFUNCTION("""COMPUTED_VALUE"""),43563.99861111111)</f>
        <v>43563.99861</v>
      </c>
      <c r="B3198" s="1">
        <f>IFERROR(__xludf.DUMMYFUNCTION("""COMPUTED_VALUE"""),14198.0)</f>
        <v>14198</v>
      </c>
    </row>
    <row r="3199">
      <c r="A3199" s="3">
        <f>IFERROR(__xludf.DUMMYFUNCTION("""COMPUTED_VALUE"""),43564.99861111111)</f>
        <v>43564.99861</v>
      </c>
      <c r="B3199" s="1">
        <f>IFERROR(__xludf.DUMMYFUNCTION("""COMPUTED_VALUE"""),14143.0)</f>
        <v>14143</v>
      </c>
    </row>
    <row r="3200">
      <c r="A3200" s="3">
        <f>IFERROR(__xludf.DUMMYFUNCTION("""COMPUTED_VALUE"""),43565.99861111111)</f>
        <v>43565.99861</v>
      </c>
      <c r="B3200" s="1">
        <f>IFERROR(__xludf.DUMMYFUNCTION("""COMPUTED_VALUE"""),14183.0)</f>
        <v>14183</v>
      </c>
    </row>
    <row r="3201">
      <c r="A3201" s="3">
        <f>IFERROR(__xludf.DUMMYFUNCTION("""COMPUTED_VALUE"""),43566.99861111111)</f>
        <v>43566.99861</v>
      </c>
      <c r="B3201" s="1">
        <f>IFERROR(__xludf.DUMMYFUNCTION("""COMPUTED_VALUE"""),14145.0)</f>
        <v>14145</v>
      </c>
    </row>
    <row r="3202">
      <c r="A3202" s="3">
        <f>IFERROR(__xludf.DUMMYFUNCTION("""COMPUTED_VALUE"""),43567.99861111111)</f>
        <v>43567.99861</v>
      </c>
      <c r="B3202" s="1">
        <f>IFERROR(__xludf.DUMMYFUNCTION("""COMPUTED_VALUE"""),14115.0)</f>
        <v>14115</v>
      </c>
    </row>
    <row r="3203">
      <c r="A3203" s="3">
        <f>IFERROR(__xludf.DUMMYFUNCTION("""COMPUTED_VALUE"""),43568.99861111111)</f>
        <v>43568.99861</v>
      </c>
      <c r="B3203" s="1">
        <f>IFERROR(__xludf.DUMMYFUNCTION("""COMPUTED_VALUE"""),14093.0)</f>
        <v>14093</v>
      </c>
    </row>
    <row r="3204">
      <c r="A3204" s="3">
        <f>IFERROR(__xludf.DUMMYFUNCTION("""COMPUTED_VALUE"""),43569.99861111111)</f>
        <v>43569.99861</v>
      </c>
      <c r="B3204" s="1">
        <f>IFERROR(__xludf.DUMMYFUNCTION("""COMPUTED_VALUE"""),14093.0)</f>
        <v>14093</v>
      </c>
    </row>
    <row r="3205">
      <c r="A3205" s="3">
        <f>IFERROR(__xludf.DUMMYFUNCTION("""COMPUTED_VALUE"""),43570.99861111111)</f>
        <v>43570.99861</v>
      </c>
      <c r="B3205" s="1">
        <f>IFERROR(__xludf.DUMMYFUNCTION("""COMPUTED_VALUE"""),14158.5)</f>
        <v>14158.5</v>
      </c>
    </row>
    <row r="3206">
      <c r="A3206" s="3">
        <f>IFERROR(__xludf.DUMMYFUNCTION("""COMPUTED_VALUE"""),43571.99861111111)</f>
        <v>43571.99861</v>
      </c>
      <c r="B3206" s="1">
        <f>IFERROR(__xludf.DUMMYFUNCTION("""COMPUTED_VALUE"""),14085.0)</f>
        <v>14085</v>
      </c>
    </row>
    <row r="3207">
      <c r="A3207" s="3">
        <f>IFERROR(__xludf.DUMMYFUNCTION("""COMPUTED_VALUE"""),43572.99861111111)</f>
        <v>43572.99861</v>
      </c>
      <c r="B3207" s="1">
        <f>IFERROR(__xludf.DUMMYFUNCTION("""COMPUTED_VALUE"""),14085.0)</f>
        <v>14085</v>
      </c>
    </row>
    <row r="3208">
      <c r="A3208" s="3">
        <f>IFERROR(__xludf.DUMMYFUNCTION("""COMPUTED_VALUE"""),43573.99861111111)</f>
        <v>43573.99861</v>
      </c>
      <c r="B3208" s="1">
        <f>IFERROR(__xludf.DUMMYFUNCTION("""COMPUTED_VALUE"""),14043.0)</f>
        <v>14043</v>
      </c>
    </row>
    <row r="3209">
      <c r="A3209" s="3">
        <f>IFERROR(__xludf.DUMMYFUNCTION("""COMPUTED_VALUE"""),43574.99861111111)</f>
        <v>43574.99861</v>
      </c>
      <c r="B3209" s="1">
        <f>IFERROR(__xludf.DUMMYFUNCTION("""COMPUTED_VALUE"""),14038.5)</f>
        <v>14038.5</v>
      </c>
    </row>
    <row r="3210">
      <c r="A3210" s="3">
        <f>IFERROR(__xludf.DUMMYFUNCTION("""COMPUTED_VALUE"""),43575.99861111111)</f>
        <v>43575.99861</v>
      </c>
      <c r="B3210" s="1">
        <f>IFERROR(__xludf.DUMMYFUNCTION("""COMPUTED_VALUE"""),14038.5)</f>
        <v>14038.5</v>
      </c>
    </row>
    <row r="3211">
      <c r="A3211" s="3">
        <f>IFERROR(__xludf.DUMMYFUNCTION("""COMPUTED_VALUE"""),43576.99861111111)</f>
        <v>43576.99861</v>
      </c>
      <c r="B3211" s="1">
        <f>IFERROR(__xludf.DUMMYFUNCTION("""COMPUTED_VALUE"""),14043.0)</f>
        <v>14043</v>
      </c>
    </row>
    <row r="3212">
      <c r="A3212" s="3">
        <f>IFERROR(__xludf.DUMMYFUNCTION("""COMPUTED_VALUE"""),43577.99861111111)</f>
        <v>43577.99861</v>
      </c>
      <c r="B3212" s="1">
        <f>IFERROR(__xludf.DUMMYFUNCTION("""COMPUTED_VALUE"""),14068.0)</f>
        <v>14068</v>
      </c>
    </row>
    <row r="3213">
      <c r="A3213" s="3">
        <f>IFERROR(__xludf.DUMMYFUNCTION("""COMPUTED_VALUE"""),43578.99861111111)</f>
        <v>43578.99861</v>
      </c>
      <c r="B3213" s="1">
        <f>IFERROR(__xludf.DUMMYFUNCTION("""COMPUTED_VALUE"""),14068.0)</f>
        <v>14068</v>
      </c>
    </row>
    <row r="3214">
      <c r="A3214" s="3">
        <f>IFERROR(__xludf.DUMMYFUNCTION("""COMPUTED_VALUE"""),43579.99861111111)</f>
        <v>43579.99861</v>
      </c>
      <c r="B3214" s="1">
        <f>IFERROR(__xludf.DUMMYFUNCTION("""COMPUTED_VALUE"""),14161.0)</f>
        <v>14161</v>
      </c>
    </row>
    <row r="3215">
      <c r="A3215" s="3">
        <f>IFERROR(__xludf.DUMMYFUNCTION("""COMPUTED_VALUE"""),43580.99861111111)</f>
        <v>43580.99861</v>
      </c>
      <c r="B3215" s="1">
        <f>IFERROR(__xludf.DUMMYFUNCTION("""COMPUTED_VALUE"""),14309.5)</f>
        <v>14309.5</v>
      </c>
    </row>
    <row r="3216">
      <c r="A3216" s="3">
        <f>IFERROR(__xludf.DUMMYFUNCTION("""COMPUTED_VALUE"""),43581.99861111111)</f>
        <v>43581.99861</v>
      </c>
      <c r="B3216" s="1">
        <f>IFERROR(__xludf.DUMMYFUNCTION("""COMPUTED_VALUE"""),14186.5)</f>
        <v>14186.5</v>
      </c>
    </row>
    <row r="3217">
      <c r="A3217" s="3">
        <f>IFERROR(__xludf.DUMMYFUNCTION("""COMPUTED_VALUE"""),43582.99861111111)</f>
        <v>43582.99861</v>
      </c>
      <c r="B3217" s="1">
        <f>IFERROR(__xludf.DUMMYFUNCTION("""COMPUTED_VALUE"""),14186.5)</f>
        <v>14186.5</v>
      </c>
    </row>
    <row r="3218">
      <c r="A3218" s="3">
        <f>IFERROR(__xludf.DUMMYFUNCTION("""COMPUTED_VALUE"""),43583.99861111111)</f>
        <v>43583.99861</v>
      </c>
      <c r="B3218" s="1">
        <f>IFERROR(__xludf.DUMMYFUNCTION("""COMPUTED_VALUE"""),14172.0)</f>
        <v>14172</v>
      </c>
    </row>
    <row r="3219">
      <c r="A3219" s="3">
        <f>IFERROR(__xludf.DUMMYFUNCTION("""COMPUTED_VALUE"""),43584.99861111111)</f>
        <v>43584.99861</v>
      </c>
      <c r="B3219" s="1">
        <f>IFERROR(__xludf.DUMMYFUNCTION("""COMPUTED_VALUE"""),14198.0)</f>
        <v>14198</v>
      </c>
    </row>
    <row r="3220">
      <c r="A3220" s="3">
        <f>IFERROR(__xludf.DUMMYFUNCTION("""COMPUTED_VALUE"""),43585.99861111111)</f>
        <v>43585.99861</v>
      </c>
      <c r="B3220" s="1">
        <f>IFERROR(__xludf.DUMMYFUNCTION("""COMPUTED_VALUE"""),14250.0)</f>
        <v>14250</v>
      </c>
    </row>
    <row r="3221">
      <c r="A3221" s="3">
        <f>IFERROR(__xludf.DUMMYFUNCTION("""COMPUTED_VALUE"""),43586.99861111111)</f>
        <v>43586.99861</v>
      </c>
      <c r="B3221" s="1">
        <f>IFERROR(__xludf.DUMMYFUNCTION("""COMPUTED_VALUE"""),14245.05)</f>
        <v>14245.05</v>
      </c>
    </row>
    <row r="3222">
      <c r="A3222" s="3">
        <f>IFERROR(__xludf.DUMMYFUNCTION("""COMPUTED_VALUE"""),43587.99861111111)</f>
        <v>43587.99861</v>
      </c>
      <c r="B3222" s="1">
        <f>IFERROR(__xludf.DUMMYFUNCTION("""COMPUTED_VALUE"""),14250.0)</f>
        <v>14250</v>
      </c>
    </row>
    <row r="3223">
      <c r="A3223" s="3">
        <f>IFERROR(__xludf.DUMMYFUNCTION("""COMPUTED_VALUE"""),43588.99861111111)</f>
        <v>43588.99861</v>
      </c>
      <c r="B3223" s="1">
        <f>IFERROR(__xludf.DUMMYFUNCTION("""COMPUTED_VALUE"""),14202.0)</f>
        <v>14202</v>
      </c>
    </row>
    <row r="3224">
      <c r="A3224" s="3">
        <f>IFERROR(__xludf.DUMMYFUNCTION("""COMPUTED_VALUE"""),43589.99861111111)</f>
        <v>43589.99861</v>
      </c>
      <c r="B3224" s="1">
        <f>IFERROR(__xludf.DUMMYFUNCTION("""COMPUTED_VALUE"""),14202.0)</f>
        <v>14202</v>
      </c>
    </row>
    <row r="3225">
      <c r="A3225" s="3">
        <f>IFERROR(__xludf.DUMMYFUNCTION("""COMPUTED_VALUE"""),43590.99861111111)</f>
        <v>43590.99861</v>
      </c>
      <c r="B3225" s="1">
        <f>IFERROR(__xludf.DUMMYFUNCTION("""COMPUTED_VALUE"""),14237.0)</f>
        <v>14237</v>
      </c>
    </row>
    <row r="3226">
      <c r="A3226" s="3">
        <f>IFERROR(__xludf.DUMMYFUNCTION("""COMPUTED_VALUE"""),43591.99861111111)</f>
        <v>43591.99861</v>
      </c>
      <c r="B3226" s="1">
        <f>IFERROR(__xludf.DUMMYFUNCTION("""COMPUTED_VALUE"""),14293.0)</f>
        <v>14293</v>
      </c>
    </row>
    <row r="3227">
      <c r="A3227" s="3">
        <f>IFERROR(__xludf.DUMMYFUNCTION("""COMPUTED_VALUE"""),43592.99861111111)</f>
        <v>43592.99861</v>
      </c>
      <c r="B3227" s="1">
        <f>IFERROR(__xludf.DUMMYFUNCTION("""COMPUTED_VALUE"""),14352.5)</f>
        <v>14352.5</v>
      </c>
    </row>
    <row r="3228">
      <c r="A3228" s="3">
        <f>IFERROR(__xludf.DUMMYFUNCTION("""COMPUTED_VALUE"""),43593.99861111111)</f>
        <v>43593.99861</v>
      </c>
      <c r="B3228" s="1">
        <f>IFERROR(__xludf.DUMMYFUNCTION("""COMPUTED_VALUE"""),14295.0)</f>
        <v>14295</v>
      </c>
    </row>
    <row r="3229">
      <c r="A3229" s="3">
        <f>IFERROR(__xludf.DUMMYFUNCTION("""COMPUTED_VALUE"""),43594.99861111111)</f>
        <v>43594.99861</v>
      </c>
      <c r="B3229" s="1">
        <f>IFERROR(__xludf.DUMMYFUNCTION("""COMPUTED_VALUE"""),14350.0)</f>
        <v>14350</v>
      </c>
    </row>
    <row r="3230">
      <c r="A3230" s="3">
        <f>IFERROR(__xludf.DUMMYFUNCTION("""COMPUTED_VALUE"""),43595.99861111111)</f>
        <v>43595.99861</v>
      </c>
      <c r="B3230" s="1">
        <f>IFERROR(__xludf.DUMMYFUNCTION("""COMPUTED_VALUE"""),14319.5)</f>
        <v>14319.5</v>
      </c>
    </row>
    <row r="3231">
      <c r="A3231" s="3">
        <f>IFERROR(__xludf.DUMMYFUNCTION("""COMPUTED_VALUE"""),43596.99861111111)</f>
        <v>43596.99861</v>
      </c>
      <c r="B3231" s="1">
        <f>IFERROR(__xludf.DUMMYFUNCTION("""COMPUTED_VALUE"""),14319.5)</f>
        <v>14319.5</v>
      </c>
    </row>
    <row r="3232">
      <c r="A3232" s="3">
        <f>IFERROR(__xludf.DUMMYFUNCTION("""COMPUTED_VALUE"""),43597.99861111111)</f>
        <v>43597.99861</v>
      </c>
      <c r="B3232" s="1">
        <f>IFERROR(__xludf.DUMMYFUNCTION("""COMPUTED_VALUE"""),14325.0)</f>
        <v>14325</v>
      </c>
    </row>
    <row r="3233">
      <c r="A3233" s="3">
        <f>IFERROR(__xludf.DUMMYFUNCTION("""COMPUTED_VALUE"""),43598.99861111111)</f>
        <v>43598.99861</v>
      </c>
      <c r="B3233" s="1">
        <f>IFERROR(__xludf.DUMMYFUNCTION("""COMPUTED_VALUE"""),14501.9)</f>
        <v>14501.9</v>
      </c>
    </row>
    <row r="3234">
      <c r="A3234" s="3">
        <f>IFERROR(__xludf.DUMMYFUNCTION("""COMPUTED_VALUE"""),43599.99861111111)</f>
        <v>43599.99861</v>
      </c>
      <c r="B3234" s="1">
        <f>IFERROR(__xludf.DUMMYFUNCTION("""COMPUTED_VALUE"""),14430.0)</f>
        <v>14430</v>
      </c>
    </row>
    <row r="3235">
      <c r="A3235" s="3">
        <f>IFERROR(__xludf.DUMMYFUNCTION("""COMPUTED_VALUE"""),43600.99861111111)</f>
        <v>43600.99861</v>
      </c>
      <c r="B3235" s="1">
        <f>IFERROR(__xludf.DUMMYFUNCTION("""COMPUTED_VALUE"""),14543.0)</f>
        <v>14543</v>
      </c>
    </row>
    <row r="3236">
      <c r="A3236" s="3">
        <f>IFERROR(__xludf.DUMMYFUNCTION("""COMPUTED_VALUE"""),43601.99861111111)</f>
        <v>43601.99861</v>
      </c>
      <c r="B3236" s="1">
        <f>IFERROR(__xludf.DUMMYFUNCTION("""COMPUTED_VALUE"""),14572.5)</f>
        <v>14572.5</v>
      </c>
    </row>
    <row r="3237">
      <c r="A3237" s="3">
        <f>IFERROR(__xludf.DUMMYFUNCTION("""COMPUTED_VALUE"""),43602.99861111111)</f>
        <v>43602.99861</v>
      </c>
      <c r="B3237" s="1">
        <f>IFERROR(__xludf.DUMMYFUNCTION("""COMPUTED_VALUE"""),14510.0)</f>
        <v>14510</v>
      </c>
    </row>
    <row r="3238">
      <c r="A3238" s="3">
        <f>IFERROR(__xludf.DUMMYFUNCTION("""COMPUTED_VALUE"""),43603.99861111111)</f>
        <v>43603.99861</v>
      </c>
      <c r="B3238" s="1">
        <f>IFERROR(__xludf.DUMMYFUNCTION("""COMPUTED_VALUE"""),14510.0)</f>
        <v>14510</v>
      </c>
    </row>
    <row r="3239">
      <c r="A3239" s="3">
        <f>IFERROR(__xludf.DUMMYFUNCTION("""COMPUTED_VALUE"""),43604.99861111111)</f>
        <v>43604.99861</v>
      </c>
      <c r="B3239" s="1">
        <f>IFERROR(__xludf.DUMMYFUNCTION("""COMPUTED_VALUE"""),14450.0)</f>
        <v>14450</v>
      </c>
    </row>
    <row r="3240">
      <c r="A3240" s="3">
        <f>IFERROR(__xludf.DUMMYFUNCTION("""COMPUTED_VALUE"""),43605.99861111111)</f>
        <v>43605.99861</v>
      </c>
      <c r="B3240" s="1">
        <f>IFERROR(__xludf.DUMMYFUNCTION("""COMPUTED_VALUE"""),14455.0)</f>
        <v>14455</v>
      </c>
    </row>
    <row r="3241">
      <c r="A3241" s="3">
        <f>IFERROR(__xludf.DUMMYFUNCTION("""COMPUTED_VALUE"""),43606.99861111111)</f>
        <v>43606.99861</v>
      </c>
      <c r="B3241" s="1">
        <f>IFERROR(__xludf.DUMMYFUNCTION("""COMPUTED_VALUE"""),14456.0)</f>
        <v>14456</v>
      </c>
    </row>
    <row r="3242">
      <c r="A3242" s="3">
        <f>IFERROR(__xludf.DUMMYFUNCTION("""COMPUTED_VALUE"""),43607.99861111111)</f>
        <v>43607.99861</v>
      </c>
      <c r="B3242" s="1">
        <f>IFERROR(__xludf.DUMMYFUNCTION("""COMPUTED_VALUE"""),14525.0)</f>
        <v>14525</v>
      </c>
    </row>
    <row r="3243">
      <c r="A3243" s="3">
        <f>IFERROR(__xludf.DUMMYFUNCTION("""COMPUTED_VALUE"""),43608.99861111111)</f>
        <v>43608.99861</v>
      </c>
      <c r="B3243" s="1">
        <f>IFERROR(__xludf.DUMMYFUNCTION("""COMPUTED_VALUE"""),14460.0)</f>
        <v>14460</v>
      </c>
    </row>
    <row r="3244">
      <c r="A3244" s="3">
        <f>IFERROR(__xludf.DUMMYFUNCTION("""COMPUTED_VALUE"""),43609.99861111111)</f>
        <v>43609.99861</v>
      </c>
      <c r="B3244" s="1">
        <f>IFERROR(__xludf.DUMMYFUNCTION("""COMPUTED_VALUE"""),14395.0)</f>
        <v>14395</v>
      </c>
    </row>
    <row r="3245">
      <c r="A3245" s="3">
        <f>IFERROR(__xludf.DUMMYFUNCTION("""COMPUTED_VALUE"""),43610.99861111111)</f>
        <v>43610.99861</v>
      </c>
      <c r="B3245" s="1">
        <f>IFERROR(__xludf.DUMMYFUNCTION("""COMPUTED_VALUE"""),14395.0)</f>
        <v>14395</v>
      </c>
    </row>
    <row r="3246">
      <c r="A3246" s="3">
        <f>IFERROR(__xludf.DUMMYFUNCTION("""COMPUTED_VALUE"""),43611.99861111111)</f>
        <v>43611.99861</v>
      </c>
      <c r="B3246" s="1">
        <f>IFERROR(__xludf.DUMMYFUNCTION("""COMPUTED_VALUE"""),14393.0)</f>
        <v>14393</v>
      </c>
    </row>
    <row r="3247">
      <c r="A3247" s="3">
        <f>IFERROR(__xludf.DUMMYFUNCTION("""COMPUTED_VALUE"""),43612.99861111111)</f>
        <v>43612.99861</v>
      </c>
      <c r="B3247" s="1">
        <f>IFERROR(__xludf.DUMMYFUNCTION("""COMPUTED_VALUE"""),14455.0)</f>
        <v>14455</v>
      </c>
    </row>
    <row r="3248">
      <c r="A3248" s="3">
        <f>IFERROR(__xludf.DUMMYFUNCTION("""COMPUTED_VALUE"""),43613.99861111111)</f>
        <v>43613.99861</v>
      </c>
      <c r="B3248" s="1">
        <f>IFERROR(__xludf.DUMMYFUNCTION("""COMPUTED_VALUE"""),14471.0)</f>
        <v>14471</v>
      </c>
    </row>
    <row r="3249">
      <c r="A3249" s="3">
        <f>IFERROR(__xludf.DUMMYFUNCTION("""COMPUTED_VALUE"""),43614.99861111111)</f>
        <v>43614.99861</v>
      </c>
      <c r="B3249" s="1">
        <f>IFERROR(__xludf.DUMMYFUNCTION("""COMPUTED_VALUE"""),14400.0)</f>
        <v>14400</v>
      </c>
    </row>
    <row r="3250">
      <c r="A3250" s="3">
        <f>IFERROR(__xludf.DUMMYFUNCTION("""COMPUTED_VALUE"""),43615.99861111111)</f>
        <v>43615.99861</v>
      </c>
      <c r="B3250" s="1">
        <f>IFERROR(__xludf.DUMMYFUNCTION("""COMPUTED_VALUE"""),14408.0)</f>
        <v>14408</v>
      </c>
    </row>
    <row r="3251">
      <c r="A3251" s="3">
        <f>IFERROR(__xludf.DUMMYFUNCTION("""COMPUTED_VALUE"""),43616.99861111111)</f>
        <v>43616.99861</v>
      </c>
      <c r="B3251" s="1">
        <f>IFERROR(__xludf.DUMMYFUNCTION("""COMPUTED_VALUE"""),14285.5)</f>
        <v>14285.5</v>
      </c>
    </row>
    <row r="3252">
      <c r="A3252" s="3">
        <f>IFERROR(__xludf.DUMMYFUNCTION("""COMPUTED_VALUE"""),43617.99861111111)</f>
        <v>43617.99861</v>
      </c>
      <c r="B3252" s="1">
        <f>IFERROR(__xludf.DUMMYFUNCTION("""COMPUTED_VALUE"""),14285.5)</f>
        <v>14285.5</v>
      </c>
    </row>
    <row r="3253">
      <c r="A3253" s="3">
        <f>IFERROR(__xludf.DUMMYFUNCTION("""COMPUTED_VALUE"""),43618.99861111111)</f>
        <v>43618.99861</v>
      </c>
      <c r="B3253" s="1">
        <f>IFERROR(__xludf.DUMMYFUNCTION("""COMPUTED_VALUE"""),14275.0)</f>
        <v>14275</v>
      </c>
    </row>
    <row r="3254">
      <c r="A3254" s="3">
        <f>IFERROR(__xludf.DUMMYFUNCTION("""COMPUTED_VALUE"""),43619.99861111111)</f>
        <v>43619.99861</v>
      </c>
      <c r="B3254" s="1">
        <f>IFERROR(__xludf.DUMMYFUNCTION("""COMPUTED_VALUE"""),14240.0)</f>
        <v>14240</v>
      </c>
    </row>
    <row r="3255">
      <c r="A3255" s="3">
        <f>IFERROR(__xludf.DUMMYFUNCTION("""COMPUTED_VALUE"""),43620.99861111111)</f>
        <v>43620.99861</v>
      </c>
      <c r="B3255" s="1">
        <f>IFERROR(__xludf.DUMMYFUNCTION("""COMPUTED_VALUE"""),14270.0)</f>
        <v>14270</v>
      </c>
    </row>
    <row r="3256">
      <c r="A3256" s="3">
        <f>IFERROR(__xludf.DUMMYFUNCTION("""COMPUTED_VALUE"""),43621.99861111111)</f>
        <v>43621.99861</v>
      </c>
      <c r="B3256" s="1">
        <f>IFERROR(__xludf.DUMMYFUNCTION("""COMPUTED_VALUE"""),14286.5)</f>
        <v>14286.5</v>
      </c>
    </row>
    <row r="3257">
      <c r="A3257" s="3">
        <f>IFERROR(__xludf.DUMMYFUNCTION("""COMPUTED_VALUE"""),43622.99861111111)</f>
        <v>43622.99861</v>
      </c>
      <c r="B3257" s="1">
        <f>IFERROR(__xludf.DUMMYFUNCTION("""COMPUTED_VALUE"""),14262.5)</f>
        <v>14262.5</v>
      </c>
    </row>
    <row r="3258">
      <c r="A3258" s="3">
        <f>IFERROR(__xludf.DUMMYFUNCTION("""COMPUTED_VALUE"""),43623.99861111111)</f>
        <v>43623.99861</v>
      </c>
      <c r="B3258" s="1">
        <f>IFERROR(__xludf.DUMMYFUNCTION("""COMPUTED_VALUE"""),14222.0)</f>
        <v>14222</v>
      </c>
    </row>
    <row r="3259">
      <c r="A3259" s="3">
        <f>IFERROR(__xludf.DUMMYFUNCTION("""COMPUTED_VALUE"""),43624.99861111111)</f>
        <v>43624.99861</v>
      </c>
      <c r="B3259" s="1">
        <f>IFERROR(__xludf.DUMMYFUNCTION("""COMPUTED_VALUE"""),14222.0)</f>
        <v>14222</v>
      </c>
    </row>
    <row r="3260">
      <c r="A3260" s="3">
        <f>IFERROR(__xludf.DUMMYFUNCTION("""COMPUTED_VALUE"""),43625.99861111111)</f>
        <v>43625.99861</v>
      </c>
      <c r="B3260" s="1">
        <f>IFERROR(__xludf.DUMMYFUNCTION("""COMPUTED_VALUE"""),14275.0)</f>
        <v>14275</v>
      </c>
    </row>
    <row r="3261">
      <c r="A3261" s="3">
        <f>IFERROR(__xludf.DUMMYFUNCTION("""COMPUTED_VALUE"""),43626.99861111111)</f>
        <v>43626.99861</v>
      </c>
      <c r="B3261" s="1">
        <f>IFERROR(__xludf.DUMMYFUNCTION("""COMPUTED_VALUE"""),14313.0)</f>
        <v>14313</v>
      </c>
    </row>
    <row r="3262">
      <c r="A3262" s="3">
        <f>IFERROR(__xludf.DUMMYFUNCTION("""COMPUTED_VALUE"""),43627.99861111111)</f>
        <v>43627.99861</v>
      </c>
      <c r="B3262" s="1">
        <f>IFERROR(__xludf.DUMMYFUNCTION("""COMPUTED_VALUE"""),14297.5)</f>
        <v>14297.5</v>
      </c>
    </row>
    <row r="3263">
      <c r="A3263" s="3">
        <f>IFERROR(__xludf.DUMMYFUNCTION("""COMPUTED_VALUE"""),43628.99861111111)</f>
        <v>43628.99861</v>
      </c>
      <c r="B3263" s="1">
        <f>IFERROR(__xludf.DUMMYFUNCTION("""COMPUTED_VALUE"""),14263.0)</f>
        <v>14263</v>
      </c>
    </row>
    <row r="3264">
      <c r="A3264" s="3">
        <f>IFERROR(__xludf.DUMMYFUNCTION("""COMPUTED_VALUE"""),43629.99861111111)</f>
        <v>43629.99861</v>
      </c>
      <c r="B3264" s="1">
        <f>IFERROR(__xludf.DUMMYFUNCTION("""COMPUTED_VALUE"""),14280.0)</f>
        <v>14280</v>
      </c>
    </row>
    <row r="3265">
      <c r="A3265" s="3">
        <f>IFERROR(__xludf.DUMMYFUNCTION("""COMPUTED_VALUE"""),43630.99861111111)</f>
        <v>43630.99861</v>
      </c>
      <c r="B3265" s="1">
        <f>IFERROR(__xludf.DUMMYFUNCTION("""COMPUTED_VALUE"""),14356.5)</f>
        <v>14356.5</v>
      </c>
    </row>
    <row r="3266">
      <c r="A3266" s="3">
        <f>IFERROR(__xludf.DUMMYFUNCTION("""COMPUTED_VALUE"""),43631.99861111111)</f>
        <v>43631.99861</v>
      </c>
      <c r="B3266" s="1">
        <f>IFERROR(__xludf.DUMMYFUNCTION("""COMPUTED_VALUE"""),14356.5)</f>
        <v>14356.5</v>
      </c>
    </row>
    <row r="3267">
      <c r="A3267" s="3">
        <f>IFERROR(__xludf.DUMMYFUNCTION("""COMPUTED_VALUE"""),43632.99861111111)</f>
        <v>43632.99861</v>
      </c>
      <c r="B3267" s="1">
        <f>IFERROR(__xludf.DUMMYFUNCTION("""COMPUTED_VALUE"""),14325.0)</f>
        <v>14325</v>
      </c>
    </row>
    <row r="3268">
      <c r="A3268" s="3">
        <f>IFERROR(__xludf.DUMMYFUNCTION("""COMPUTED_VALUE"""),43633.99861111111)</f>
        <v>43633.99861</v>
      </c>
      <c r="B3268" s="1">
        <f>IFERROR(__xludf.DUMMYFUNCTION("""COMPUTED_VALUE"""),14416.5)</f>
        <v>14416.5</v>
      </c>
    </row>
    <row r="3269">
      <c r="A3269" s="3">
        <f>IFERROR(__xludf.DUMMYFUNCTION("""COMPUTED_VALUE"""),43634.99861111111)</f>
        <v>43634.99861</v>
      </c>
      <c r="B3269" s="1">
        <f>IFERROR(__xludf.DUMMYFUNCTION("""COMPUTED_VALUE"""),14292.5)</f>
        <v>14292.5</v>
      </c>
    </row>
    <row r="3270">
      <c r="A3270" s="3">
        <f>IFERROR(__xludf.DUMMYFUNCTION("""COMPUTED_VALUE"""),43635.99861111111)</f>
        <v>43635.99861</v>
      </c>
      <c r="B3270" s="1">
        <f>IFERROR(__xludf.DUMMYFUNCTION("""COMPUTED_VALUE"""),14290.5)</f>
        <v>14290.5</v>
      </c>
    </row>
    <row r="3271">
      <c r="A3271" s="3">
        <f>IFERROR(__xludf.DUMMYFUNCTION("""COMPUTED_VALUE"""),43636.99861111111)</f>
        <v>43636.99861</v>
      </c>
      <c r="B3271" s="1">
        <f>IFERROR(__xludf.DUMMYFUNCTION("""COMPUTED_VALUE"""),14145.0)</f>
        <v>14145</v>
      </c>
    </row>
    <row r="3272">
      <c r="A3272" s="3">
        <f>IFERROR(__xludf.DUMMYFUNCTION("""COMPUTED_VALUE"""),43637.99861111111)</f>
        <v>43637.99861</v>
      </c>
      <c r="B3272" s="1">
        <f>IFERROR(__xludf.DUMMYFUNCTION("""COMPUTED_VALUE"""),14125.0)</f>
        <v>14125</v>
      </c>
    </row>
    <row r="3273">
      <c r="A3273" s="3">
        <f>IFERROR(__xludf.DUMMYFUNCTION("""COMPUTED_VALUE"""),43638.99861111111)</f>
        <v>43638.99861</v>
      </c>
      <c r="B3273" s="1">
        <f>IFERROR(__xludf.DUMMYFUNCTION("""COMPUTED_VALUE"""),14125.0)</f>
        <v>14125</v>
      </c>
    </row>
    <row r="3274">
      <c r="A3274" s="3">
        <f>IFERROR(__xludf.DUMMYFUNCTION("""COMPUTED_VALUE"""),43639.99861111111)</f>
        <v>43639.99861</v>
      </c>
      <c r="B3274" s="1">
        <f>IFERROR(__xludf.DUMMYFUNCTION("""COMPUTED_VALUE"""),14155.0)</f>
        <v>14155</v>
      </c>
    </row>
    <row r="3275">
      <c r="A3275" s="3">
        <f>IFERROR(__xludf.DUMMYFUNCTION("""COMPUTED_VALUE"""),43640.99861111111)</f>
        <v>43640.99861</v>
      </c>
      <c r="B3275" s="1">
        <f>IFERROR(__xludf.DUMMYFUNCTION("""COMPUTED_VALUE"""),14186.0)</f>
        <v>14186</v>
      </c>
    </row>
    <row r="3276">
      <c r="A3276" s="3">
        <f>IFERROR(__xludf.DUMMYFUNCTION("""COMPUTED_VALUE"""),43641.99861111111)</f>
        <v>43641.99861</v>
      </c>
      <c r="B3276" s="1">
        <f>IFERROR(__xludf.DUMMYFUNCTION("""COMPUTED_VALUE"""),14125.0)</f>
        <v>14125</v>
      </c>
    </row>
    <row r="3277">
      <c r="A3277" s="3">
        <f>IFERROR(__xludf.DUMMYFUNCTION("""COMPUTED_VALUE"""),43642.99861111111)</f>
        <v>43642.99861</v>
      </c>
      <c r="B3277" s="1">
        <f>IFERROR(__xludf.DUMMYFUNCTION("""COMPUTED_VALUE"""),14218.5)</f>
        <v>14218.5</v>
      </c>
    </row>
    <row r="3278">
      <c r="A3278" s="3">
        <f>IFERROR(__xludf.DUMMYFUNCTION("""COMPUTED_VALUE"""),43643.99861111111)</f>
        <v>43643.99861</v>
      </c>
      <c r="B3278" s="1">
        <f>IFERROR(__xludf.DUMMYFUNCTION("""COMPUTED_VALUE"""),14187.5)</f>
        <v>14187.5</v>
      </c>
    </row>
    <row r="3279">
      <c r="A3279" s="3">
        <f>IFERROR(__xludf.DUMMYFUNCTION("""COMPUTED_VALUE"""),43644.99861111111)</f>
        <v>43644.99861</v>
      </c>
      <c r="B3279" s="1">
        <f>IFERROR(__xludf.DUMMYFUNCTION("""COMPUTED_VALUE"""),14124.55)</f>
        <v>14124.55</v>
      </c>
    </row>
    <row r="3280">
      <c r="A3280" s="3">
        <f>IFERROR(__xludf.DUMMYFUNCTION("""COMPUTED_VALUE"""),43645.99861111111)</f>
        <v>43645.99861</v>
      </c>
      <c r="B3280" s="1">
        <f>IFERROR(__xludf.DUMMYFUNCTION("""COMPUTED_VALUE"""),14124.55)</f>
        <v>14124.55</v>
      </c>
    </row>
    <row r="3281">
      <c r="A3281" s="3">
        <f>IFERROR(__xludf.DUMMYFUNCTION("""COMPUTED_VALUE"""),43646.99861111111)</f>
        <v>43646.99861</v>
      </c>
      <c r="B3281" s="1">
        <f>IFERROR(__xludf.DUMMYFUNCTION("""COMPUTED_VALUE"""),14128.0)</f>
        <v>14128</v>
      </c>
    </row>
    <row r="3282">
      <c r="A3282" s="3">
        <f>IFERROR(__xludf.DUMMYFUNCTION("""COMPUTED_VALUE"""),43647.99861111111)</f>
        <v>43647.99861</v>
      </c>
      <c r="B3282" s="1">
        <f>IFERROR(__xludf.DUMMYFUNCTION("""COMPUTED_VALUE"""),14153.0)</f>
        <v>14153</v>
      </c>
    </row>
    <row r="3283">
      <c r="A3283" s="3">
        <f>IFERROR(__xludf.DUMMYFUNCTION("""COMPUTED_VALUE"""),43648.99861111111)</f>
        <v>43648.99861</v>
      </c>
      <c r="B3283" s="1">
        <f>IFERROR(__xludf.DUMMYFUNCTION("""COMPUTED_VALUE"""),14199.0)</f>
        <v>14199</v>
      </c>
    </row>
    <row r="3284">
      <c r="A3284" s="3">
        <f>IFERROR(__xludf.DUMMYFUNCTION("""COMPUTED_VALUE"""),43649.99861111111)</f>
        <v>43649.99861</v>
      </c>
      <c r="B3284" s="1">
        <f>IFERROR(__xludf.DUMMYFUNCTION("""COMPUTED_VALUE"""),14182.5)</f>
        <v>14182.5</v>
      </c>
    </row>
    <row r="3285">
      <c r="A3285" s="3">
        <f>IFERROR(__xludf.DUMMYFUNCTION("""COMPUTED_VALUE"""),43650.99861111111)</f>
        <v>43650.99861</v>
      </c>
      <c r="B3285" s="1">
        <f>IFERROR(__xludf.DUMMYFUNCTION("""COMPUTED_VALUE"""),14173.5)</f>
        <v>14173.5</v>
      </c>
    </row>
    <row r="3286">
      <c r="A3286" s="3">
        <f>IFERROR(__xludf.DUMMYFUNCTION("""COMPUTED_VALUE"""),43651.99861111111)</f>
        <v>43651.99861</v>
      </c>
      <c r="B3286" s="1">
        <f>IFERROR(__xludf.DUMMYFUNCTION("""COMPUTED_VALUE"""),14083.0)</f>
        <v>14083</v>
      </c>
    </row>
    <row r="3287">
      <c r="A3287" s="3">
        <f>IFERROR(__xludf.DUMMYFUNCTION("""COMPUTED_VALUE"""),43652.99861111111)</f>
        <v>43652.99861</v>
      </c>
      <c r="B3287" s="1">
        <f>IFERROR(__xludf.DUMMYFUNCTION("""COMPUTED_VALUE"""),14083.0)</f>
        <v>14083</v>
      </c>
    </row>
    <row r="3288">
      <c r="A3288" s="3">
        <f>IFERROR(__xludf.DUMMYFUNCTION("""COMPUTED_VALUE"""),43653.99861111111)</f>
        <v>43653.99861</v>
      </c>
      <c r="B3288" s="1">
        <f>IFERROR(__xludf.DUMMYFUNCTION("""COMPUTED_VALUE"""),14083.0)</f>
        <v>14083</v>
      </c>
    </row>
    <row r="3289">
      <c r="A3289" s="3">
        <f>IFERROR(__xludf.DUMMYFUNCTION("""COMPUTED_VALUE"""),43654.99861111111)</f>
        <v>43654.99861</v>
      </c>
      <c r="B3289" s="1">
        <f>IFERROR(__xludf.DUMMYFUNCTION("""COMPUTED_VALUE"""),14191.0)</f>
        <v>14191</v>
      </c>
    </row>
    <row r="3290">
      <c r="A3290" s="3">
        <f>IFERROR(__xludf.DUMMYFUNCTION("""COMPUTED_VALUE"""),43655.99861111111)</f>
        <v>43655.99861</v>
      </c>
      <c r="B3290" s="1">
        <f>IFERROR(__xludf.DUMMYFUNCTION("""COMPUTED_VALUE"""),14240.0)</f>
        <v>14240</v>
      </c>
    </row>
    <row r="3291">
      <c r="A3291" s="3">
        <f>IFERROR(__xludf.DUMMYFUNCTION("""COMPUTED_VALUE"""),43656.99861111111)</f>
        <v>43656.99861</v>
      </c>
      <c r="B3291" s="1">
        <f>IFERROR(__xludf.DUMMYFUNCTION("""COMPUTED_VALUE"""),14165.5)</f>
        <v>14165.5</v>
      </c>
    </row>
    <row r="3292">
      <c r="A3292" s="3">
        <f>IFERROR(__xludf.DUMMYFUNCTION("""COMPUTED_VALUE"""),43657.99861111111)</f>
        <v>43657.99861</v>
      </c>
      <c r="B3292" s="1">
        <f>IFERROR(__xludf.DUMMYFUNCTION("""COMPUTED_VALUE"""),14128.0)</f>
        <v>14128</v>
      </c>
    </row>
    <row r="3293">
      <c r="A3293" s="3">
        <f>IFERROR(__xludf.DUMMYFUNCTION("""COMPUTED_VALUE"""),43658.99861111111)</f>
        <v>43658.99861</v>
      </c>
      <c r="B3293" s="1">
        <f>IFERROR(__xludf.DUMMYFUNCTION("""COMPUTED_VALUE"""),13980.55)</f>
        <v>13980.55</v>
      </c>
    </row>
    <row r="3294">
      <c r="A3294" s="3">
        <f>IFERROR(__xludf.DUMMYFUNCTION("""COMPUTED_VALUE"""),43659.99861111111)</f>
        <v>43659.99861</v>
      </c>
      <c r="B3294" s="1">
        <f>IFERROR(__xludf.DUMMYFUNCTION("""COMPUTED_VALUE"""),13980.55)</f>
        <v>13980.55</v>
      </c>
    </row>
    <row r="3295">
      <c r="A3295" s="3">
        <f>IFERROR(__xludf.DUMMYFUNCTION("""COMPUTED_VALUE"""),43660.99861111111)</f>
        <v>43660.99861</v>
      </c>
      <c r="B3295" s="1">
        <f>IFERROR(__xludf.DUMMYFUNCTION("""COMPUTED_VALUE"""),14007.0)</f>
        <v>14007</v>
      </c>
    </row>
    <row r="3296">
      <c r="A3296" s="3">
        <f>IFERROR(__xludf.DUMMYFUNCTION("""COMPUTED_VALUE"""),43661.99861111111)</f>
        <v>43661.99861</v>
      </c>
      <c r="B3296" s="1">
        <f>IFERROR(__xludf.DUMMYFUNCTION("""COMPUTED_VALUE"""),13987.5)</f>
        <v>13987.5</v>
      </c>
    </row>
    <row r="3297">
      <c r="A3297" s="3">
        <f>IFERROR(__xludf.DUMMYFUNCTION("""COMPUTED_VALUE"""),43662.99861111111)</f>
        <v>43662.99861</v>
      </c>
      <c r="B3297" s="1">
        <f>IFERROR(__xludf.DUMMYFUNCTION("""COMPUTED_VALUE"""),14012.5)</f>
        <v>14012.5</v>
      </c>
    </row>
    <row r="3298">
      <c r="A3298" s="3">
        <f>IFERROR(__xludf.DUMMYFUNCTION("""COMPUTED_VALUE"""),43663.99861111111)</f>
        <v>43663.99861</v>
      </c>
      <c r="B3298" s="1">
        <f>IFERROR(__xludf.DUMMYFUNCTION("""COMPUTED_VALUE"""),14027.0)</f>
        <v>14027</v>
      </c>
    </row>
    <row r="3299">
      <c r="A3299" s="3">
        <f>IFERROR(__xludf.DUMMYFUNCTION("""COMPUTED_VALUE"""),43664.99861111111)</f>
        <v>43664.99861</v>
      </c>
      <c r="B3299" s="1">
        <f>IFERROR(__xludf.DUMMYFUNCTION("""COMPUTED_VALUE"""),13974.0)</f>
        <v>13974</v>
      </c>
    </row>
    <row r="3300">
      <c r="A3300" s="3">
        <f>IFERROR(__xludf.DUMMYFUNCTION("""COMPUTED_VALUE"""),43665.99861111111)</f>
        <v>43665.99861</v>
      </c>
      <c r="B3300" s="1">
        <f>IFERROR(__xludf.DUMMYFUNCTION("""COMPUTED_VALUE"""),13920.0)</f>
        <v>13920</v>
      </c>
    </row>
    <row r="3301">
      <c r="A3301" s="3">
        <f>IFERROR(__xludf.DUMMYFUNCTION("""COMPUTED_VALUE"""),43666.99861111111)</f>
        <v>43666.99861</v>
      </c>
      <c r="B3301" s="1">
        <f>IFERROR(__xludf.DUMMYFUNCTION("""COMPUTED_VALUE"""),13920.0)</f>
        <v>13920</v>
      </c>
    </row>
    <row r="3302">
      <c r="A3302" s="3">
        <f>IFERROR(__xludf.DUMMYFUNCTION("""COMPUTED_VALUE"""),43667.99861111111)</f>
        <v>43667.99861</v>
      </c>
      <c r="B3302" s="1">
        <f>IFERROR(__xludf.DUMMYFUNCTION("""COMPUTED_VALUE"""),13948.0)</f>
        <v>13948</v>
      </c>
    </row>
    <row r="3303">
      <c r="A3303" s="3">
        <f>IFERROR(__xludf.DUMMYFUNCTION("""COMPUTED_VALUE"""),43668.99861111111)</f>
        <v>43668.99861</v>
      </c>
      <c r="B3303" s="1">
        <f>IFERROR(__xludf.DUMMYFUNCTION("""COMPUTED_VALUE"""),14001.0)</f>
        <v>14001</v>
      </c>
    </row>
    <row r="3304">
      <c r="A3304" s="3">
        <f>IFERROR(__xludf.DUMMYFUNCTION("""COMPUTED_VALUE"""),43669.99861111111)</f>
        <v>43669.99861</v>
      </c>
      <c r="B3304" s="1">
        <f>IFERROR(__xludf.DUMMYFUNCTION("""COMPUTED_VALUE"""),14046.0)</f>
        <v>14046</v>
      </c>
    </row>
    <row r="3305">
      <c r="A3305" s="3">
        <f>IFERROR(__xludf.DUMMYFUNCTION("""COMPUTED_VALUE"""),43670.99861111111)</f>
        <v>43670.99861</v>
      </c>
      <c r="B3305" s="1">
        <f>IFERROR(__xludf.DUMMYFUNCTION("""COMPUTED_VALUE"""),14031.5)</f>
        <v>14031.5</v>
      </c>
    </row>
    <row r="3306">
      <c r="A3306" s="3">
        <f>IFERROR(__xludf.DUMMYFUNCTION("""COMPUTED_VALUE"""),43671.99861111111)</f>
        <v>43671.99861</v>
      </c>
      <c r="B3306" s="1">
        <f>IFERROR(__xludf.DUMMYFUNCTION("""COMPUTED_VALUE"""),14056.7)</f>
        <v>14056.7</v>
      </c>
    </row>
    <row r="3307">
      <c r="A3307" s="3">
        <f>IFERROR(__xludf.DUMMYFUNCTION("""COMPUTED_VALUE"""),43672.99861111111)</f>
        <v>43672.99861</v>
      </c>
      <c r="B3307" s="1">
        <f>IFERROR(__xludf.DUMMYFUNCTION("""COMPUTED_VALUE"""),14000.7)</f>
        <v>14000.7</v>
      </c>
    </row>
    <row r="3308">
      <c r="A3308" s="3">
        <f>IFERROR(__xludf.DUMMYFUNCTION("""COMPUTED_VALUE"""),43673.99861111111)</f>
        <v>43673.99861</v>
      </c>
      <c r="B3308" s="1">
        <f>IFERROR(__xludf.DUMMYFUNCTION("""COMPUTED_VALUE"""),14000.7)</f>
        <v>14000.7</v>
      </c>
    </row>
    <row r="3309">
      <c r="A3309" s="3">
        <f>IFERROR(__xludf.DUMMYFUNCTION("""COMPUTED_VALUE"""),43674.99861111111)</f>
        <v>43674.99861</v>
      </c>
      <c r="B3309" s="1">
        <f>IFERROR(__xludf.DUMMYFUNCTION("""COMPUTED_VALUE"""),14004.0)</f>
        <v>14004</v>
      </c>
    </row>
    <row r="3310">
      <c r="A3310" s="3">
        <f>IFERROR(__xludf.DUMMYFUNCTION("""COMPUTED_VALUE"""),43675.99861111111)</f>
        <v>43675.99861</v>
      </c>
      <c r="B3310" s="1">
        <f>IFERROR(__xludf.DUMMYFUNCTION("""COMPUTED_VALUE"""),14070.0)</f>
        <v>14070</v>
      </c>
    </row>
    <row r="3311">
      <c r="A3311" s="3">
        <f>IFERROR(__xludf.DUMMYFUNCTION("""COMPUTED_VALUE"""),43676.99861111111)</f>
        <v>43676.99861</v>
      </c>
      <c r="B3311" s="1">
        <f>IFERROR(__xludf.DUMMYFUNCTION("""COMPUTED_VALUE"""),14070.4)</f>
        <v>14070.4</v>
      </c>
    </row>
    <row r="3312">
      <c r="A3312" s="3">
        <f>IFERROR(__xludf.DUMMYFUNCTION("""COMPUTED_VALUE"""),43677.99861111111)</f>
        <v>43677.99861</v>
      </c>
      <c r="B3312" s="1">
        <f>IFERROR(__xludf.DUMMYFUNCTION("""COMPUTED_VALUE"""),14180.0)</f>
        <v>14180</v>
      </c>
    </row>
    <row r="3313">
      <c r="A3313" s="3">
        <f>IFERROR(__xludf.DUMMYFUNCTION("""COMPUTED_VALUE"""),43678.99861111111)</f>
        <v>43678.99861</v>
      </c>
      <c r="B3313" s="1">
        <f>IFERROR(__xludf.DUMMYFUNCTION("""COMPUTED_VALUE"""),14342.0)</f>
        <v>14342</v>
      </c>
    </row>
    <row r="3314">
      <c r="A3314" s="3">
        <f>IFERROR(__xludf.DUMMYFUNCTION("""COMPUTED_VALUE"""),43679.99861111111)</f>
        <v>43679.99861</v>
      </c>
      <c r="B3314" s="1">
        <f>IFERROR(__xludf.DUMMYFUNCTION("""COMPUTED_VALUE"""),14231.75)</f>
        <v>14231.75</v>
      </c>
    </row>
    <row r="3315">
      <c r="A3315" s="3">
        <f>IFERROR(__xludf.DUMMYFUNCTION("""COMPUTED_VALUE"""),43680.99861111111)</f>
        <v>43680.99861</v>
      </c>
      <c r="B3315" s="1">
        <f>IFERROR(__xludf.DUMMYFUNCTION("""COMPUTED_VALUE"""),14231.75)</f>
        <v>14231.75</v>
      </c>
    </row>
    <row r="3316">
      <c r="A3316" s="3">
        <f>IFERROR(__xludf.DUMMYFUNCTION("""COMPUTED_VALUE"""),43681.99861111111)</f>
        <v>43681.99861</v>
      </c>
      <c r="B3316" s="1">
        <f>IFERROR(__xludf.DUMMYFUNCTION("""COMPUTED_VALUE"""),14180.0)</f>
        <v>14180</v>
      </c>
    </row>
    <row r="3317">
      <c r="A3317" s="3">
        <f>IFERROR(__xludf.DUMMYFUNCTION("""COMPUTED_VALUE"""),43682.99861111111)</f>
        <v>43682.99861</v>
      </c>
      <c r="B3317" s="1">
        <f>IFERROR(__xludf.DUMMYFUNCTION("""COMPUTED_VALUE"""),14255.0)</f>
        <v>14255</v>
      </c>
    </row>
    <row r="3318">
      <c r="A3318" s="3">
        <f>IFERROR(__xludf.DUMMYFUNCTION("""COMPUTED_VALUE"""),43683.99861111111)</f>
        <v>43683.99861</v>
      </c>
      <c r="B3318" s="1">
        <f>IFERROR(__xludf.DUMMYFUNCTION("""COMPUTED_VALUE"""),14265.0)</f>
        <v>14265</v>
      </c>
    </row>
    <row r="3319">
      <c r="A3319" s="3">
        <f>IFERROR(__xludf.DUMMYFUNCTION("""COMPUTED_VALUE"""),43684.99861111111)</f>
        <v>43684.99861</v>
      </c>
      <c r="B3319" s="1">
        <f>IFERROR(__xludf.DUMMYFUNCTION("""COMPUTED_VALUE"""),14278.5)</f>
        <v>14278.5</v>
      </c>
    </row>
    <row r="3320">
      <c r="A3320" s="3">
        <f>IFERROR(__xludf.DUMMYFUNCTION("""COMPUTED_VALUE"""),43685.99861111111)</f>
        <v>43685.99861</v>
      </c>
      <c r="B3320" s="1">
        <f>IFERROR(__xludf.DUMMYFUNCTION("""COMPUTED_VALUE"""),14242.5)</f>
        <v>14242.5</v>
      </c>
    </row>
    <row r="3321">
      <c r="A3321" s="3">
        <f>IFERROR(__xludf.DUMMYFUNCTION("""COMPUTED_VALUE"""),43686.99861111111)</f>
        <v>43686.99861</v>
      </c>
      <c r="B3321" s="1">
        <f>IFERROR(__xludf.DUMMYFUNCTION("""COMPUTED_VALUE"""),14190.0)</f>
        <v>14190</v>
      </c>
    </row>
    <row r="3322">
      <c r="A3322" s="3">
        <f>IFERROR(__xludf.DUMMYFUNCTION("""COMPUTED_VALUE"""),43687.99861111111)</f>
        <v>43687.99861</v>
      </c>
      <c r="B3322" s="1">
        <f>IFERROR(__xludf.DUMMYFUNCTION("""COMPUTED_VALUE"""),14190.0)</f>
        <v>14190</v>
      </c>
    </row>
    <row r="3323">
      <c r="A3323" s="3">
        <f>IFERROR(__xludf.DUMMYFUNCTION("""COMPUTED_VALUE"""),43688.99861111111)</f>
        <v>43688.99861</v>
      </c>
      <c r="B3323" s="1">
        <f>IFERROR(__xludf.DUMMYFUNCTION("""COMPUTED_VALUE"""),14190.0)</f>
        <v>14190</v>
      </c>
    </row>
    <row r="3324">
      <c r="A3324" s="3">
        <f>IFERROR(__xludf.DUMMYFUNCTION("""COMPUTED_VALUE"""),43689.99861111111)</f>
        <v>43689.99861</v>
      </c>
      <c r="B3324" s="1">
        <f>IFERROR(__xludf.DUMMYFUNCTION("""COMPUTED_VALUE"""),14248.0)</f>
        <v>14248</v>
      </c>
    </row>
    <row r="3325">
      <c r="A3325" s="3">
        <f>IFERROR(__xludf.DUMMYFUNCTION("""COMPUTED_VALUE"""),43690.99861111111)</f>
        <v>43690.99861</v>
      </c>
      <c r="B3325" s="1">
        <f>IFERROR(__xludf.DUMMYFUNCTION("""COMPUTED_VALUE"""),14236.8)</f>
        <v>14236.8</v>
      </c>
    </row>
    <row r="3326">
      <c r="A3326" s="3">
        <f>IFERROR(__xludf.DUMMYFUNCTION("""COMPUTED_VALUE"""),43691.99861111111)</f>
        <v>43691.99861</v>
      </c>
      <c r="B3326" s="1">
        <f>IFERROR(__xludf.DUMMYFUNCTION("""COMPUTED_VALUE"""),14245.0)</f>
        <v>14245</v>
      </c>
    </row>
    <row r="3327">
      <c r="A3327" s="3">
        <f>IFERROR(__xludf.DUMMYFUNCTION("""COMPUTED_VALUE"""),43692.99861111111)</f>
        <v>43692.99861</v>
      </c>
      <c r="B3327" s="1">
        <f>IFERROR(__xludf.DUMMYFUNCTION("""COMPUTED_VALUE"""),14354.0)</f>
        <v>14354</v>
      </c>
    </row>
    <row r="3328">
      <c r="A3328" s="3">
        <f>IFERROR(__xludf.DUMMYFUNCTION("""COMPUTED_VALUE"""),43693.99861111111)</f>
        <v>43693.99861</v>
      </c>
      <c r="B3328" s="1">
        <f>IFERROR(__xludf.DUMMYFUNCTION("""COMPUTED_VALUE"""),14223.05)</f>
        <v>14223.05</v>
      </c>
    </row>
    <row r="3329">
      <c r="A3329" s="3">
        <f>IFERROR(__xludf.DUMMYFUNCTION("""COMPUTED_VALUE"""),43694.99861111111)</f>
        <v>43694.99861</v>
      </c>
      <c r="B3329" s="1">
        <f>IFERROR(__xludf.DUMMYFUNCTION("""COMPUTED_VALUE"""),14223.05)</f>
        <v>14223.05</v>
      </c>
    </row>
    <row r="3330">
      <c r="A3330" s="3">
        <f>IFERROR(__xludf.DUMMYFUNCTION("""COMPUTED_VALUE"""),43695.99861111111)</f>
        <v>43695.99861</v>
      </c>
      <c r="B3330" s="1">
        <f>IFERROR(__xludf.DUMMYFUNCTION("""COMPUTED_VALUE"""),14235.0)</f>
        <v>14235</v>
      </c>
    </row>
    <row r="3331">
      <c r="A3331" s="3">
        <f>IFERROR(__xludf.DUMMYFUNCTION("""COMPUTED_VALUE"""),43696.99861111111)</f>
        <v>43696.99861</v>
      </c>
      <c r="B3331" s="1">
        <f>IFERROR(__xludf.DUMMYFUNCTION("""COMPUTED_VALUE"""),14268.95)</f>
        <v>14268.95</v>
      </c>
    </row>
    <row r="3332">
      <c r="A3332" s="3">
        <f>IFERROR(__xludf.DUMMYFUNCTION("""COMPUTED_VALUE"""),43697.99861111111)</f>
        <v>43697.99861</v>
      </c>
      <c r="B3332" s="1">
        <f>IFERROR(__xludf.DUMMYFUNCTION("""COMPUTED_VALUE"""),14330.1)</f>
        <v>14330.1</v>
      </c>
    </row>
    <row r="3333">
      <c r="A3333" s="3">
        <f>IFERROR(__xludf.DUMMYFUNCTION("""COMPUTED_VALUE"""),43698.99861111111)</f>
        <v>43698.99861</v>
      </c>
      <c r="B3333" s="1">
        <f>IFERROR(__xludf.DUMMYFUNCTION("""COMPUTED_VALUE"""),14287.5)</f>
        <v>14287.5</v>
      </c>
    </row>
    <row r="3334">
      <c r="A3334" s="3">
        <f>IFERROR(__xludf.DUMMYFUNCTION("""COMPUTED_VALUE"""),43699.99861111111)</f>
        <v>43699.99861</v>
      </c>
      <c r="B3334" s="1">
        <f>IFERROR(__xludf.DUMMYFUNCTION("""COMPUTED_VALUE"""),14235.0)</f>
        <v>14235</v>
      </c>
    </row>
    <row r="3335">
      <c r="A3335" s="3">
        <f>IFERROR(__xludf.DUMMYFUNCTION("""COMPUTED_VALUE"""),43700.99861111111)</f>
        <v>43700.99861</v>
      </c>
      <c r="B3335" s="1">
        <f>IFERROR(__xludf.DUMMYFUNCTION("""COMPUTED_VALUE"""),14284.05)</f>
        <v>14284.05</v>
      </c>
    </row>
    <row r="3336">
      <c r="A3336" s="3">
        <f>IFERROR(__xludf.DUMMYFUNCTION("""COMPUTED_VALUE"""),43701.99861111111)</f>
        <v>43701.99861</v>
      </c>
      <c r="B3336" s="1">
        <f>IFERROR(__xludf.DUMMYFUNCTION("""COMPUTED_VALUE"""),14284.05)</f>
        <v>14284.05</v>
      </c>
    </row>
    <row r="3337">
      <c r="A3337" s="3">
        <f>IFERROR(__xludf.DUMMYFUNCTION("""COMPUTED_VALUE"""),43702.99861111111)</f>
        <v>43702.99861</v>
      </c>
      <c r="B3337" s="1">
        <f>IFERROR(__xludf.DUMMYFUNCTION("""COMPUTED_VALUE"""),14213.0)</f>
        <v>14213</v>
      </c>
    </row>
    <row r="3338">
      <c r="A3338" s="3">
        <f>IFERROR(__xludf.DUMMYFUNCTION("""COMPUTED_VALUE"""),43703.99861111111)</f>
        <v>43703.99861</v>
      </c>
      <c r="B3338" s="1">
        <f>IFERROR(__xludf.DUMMYFUNCTION("""COMPUTED_VALUE"""),14258.6)</f>
        <v>14258.6</v>
      </c>
    </row>
    <row r="3339">
      <c r="A3339" s="3">
        <f>IFERROR(__xludf.DUMMYFUNCTION("""COMPUTED_VALUE"""),43704.99861111111)</f>
        <v>43704.99861</v>
      </c>
      <c r="B3339" s="1">
        <f>IFERROR(__xludf.DUMMYFUNCTION("""COMPUTED_VALUE"""),14347.8)</f>
        <v>14347.8</v>
      </c>
    </row>
    <row r="3340">
      <c r="A3340" s="3">
        <f>IFERROR(__xludf.DUMMYFUNCTION("""COMPUTED_VALUE"""),43705.99861111111)</f>
        <v>43705.99861</v>
      </c>
      <c r="B3340" s="1">
        <f>IFERROR(__xludf.DUMMYFUNCTION("""COMPUTED_VALUE"""),14315.3)</f>
        <v>14315.3</v>
      </c>
    </row>
    <row r="3341">
      <c r="A3341" s="3">
        <f>IFERROR(__xludf.DUMMYFUNCTION("""COMPUTED_VALUE"""),43706.99861111111)</f>
        <v>43706.99861</v>
      </c>
      <c r="B3341" s="1">
        <f>IFERROR(__xludf.DUMMYFUNCTION("""COMPUTED_VALUE"""),14238.0)</f>
        <v>14238</v>
      </c>
    </row>
    <row r="3342">
      <c r="A3342" s="3">
        <f>IFERROR(__xludf.DUMMYFUNCTION("""COMPUTED_VALUE"""),43707.99861111111)</f>
        <v>43707.99861</v>
      </c>
      <c r="B3342" s="1">
        <f>IFERROR(__xludf.DUMMYFUNCTION("""COMPUTED_VALUE"""),14187.0)</f>
        <v>14187</v>
      </c>
    </row>
    <row r="3343">
      <c r="A3343" s="3">
        <f>IFERROR(__xludf.DUMMYFUNCTION("""COMPUTED_VALUE"""),43708.99861111111)</f>
        <v>43708.99861</v>
      </c>
      <c r="B3343" s="1">
        <f>IFERROR(__xludf.DUMMYFUNCTION("""COMPUTED_VALUE"""),14187.0)</f>
        <v>14187</v>
      </c>
    </row>
    <row r="3344">
      <c r="A3344" s="3">
        <f>IFERROR(__xludf.DUMMYFUNCTION("""COMPUTED_VALUE"""),43709.99861111111)</f>
        <v>43709.99861</v>
      </c>
      <c r="B3344" s="1">
        <f>IFERROR(__xludf.DUMMYFUNCTION("""COMPUTED_VALUE"""),14185.0)</f>
        <v>14185</v>
      </c>
    </row>
    <row r="3345">
      <c r="A3345" s="3">
        <f>IFERROR(__xludf.DUMMYFUNCTION("""COMPUTED_VALUE"""),43710.99861111111)</f>
        <v>43710.99861</v>
      </c>
      <c r="B3345" s="1">
        <f>IFERROR(__xludf.DUMMYFUNCTION("""COMPUTED_VALUE"""),14276.5)</f>
        <v>14276.5</v>
      </c>
    </row>
    <row r="3346">
      <c r="A3346" s="3">
        <f>IFERROR(__xludf.DUMMYFUNCTION("""COMPUTED_VALUE"""),43711.99861111111)</f>
        <v>43711.99861</v>
      </c>
      <c r="B3346" s="1">
        <f>IFERROR(__xludf.DUMMYFUNCTION("""COMPUTED_VALUE"""),14264.7)</f>
        <v>14264.7</v>
      </c>
    </row>
    <row r="3347">
      <c r="A3347" s="3">
        <f>IFERROR(__xludf.DUMMYFUNCTION("""COMPUTED_VALUE"""),43712.99861111111)</f>
        <v>43712.99861</v>
      </c>
      <c r="B3347" s="1">
        <f>IFERROR(__xludf.DUMMYFUNCTION("""COMPUTED_VALUE"""),14192.5)</f>
        <v>14192.5</v>
      </c>
    </row>
    <row r="3348">
      <c r="A3348" s="3">
        <f>IFERROR(__xludf.DUMMYFUNCTION("""COMPUTED_VALUE"""),43713.99861111111)</f>
        <v>43713.99861</v>
      </c>
      <c r="B3348" s="1">
        <f>IFERROR(__xludf.DUMMYFUNCTION("""COMPUTED_VALUE"""),14176.3)</f>
        <v>14176.3</v>
      </c>
    </row>
    <row r="3349">
      <c r="A3349" s="3">
        <f>IFERROR(__xludf.DUMMYFUNCTION("""COMPUTED_VALUE"""),43714.99861111111)</f>
        <v>43714.99861</v>
      </c>
      <c r="B3349" s="1">
        <f>IFERROR(__xludf.DUMMYFUNCTION("""COMPUTED_VALUE"""),14067.15)</f>
        <v>14067.15</v>
      </c>
    </row>
    <row r="3350">
      <c r="A3350" s="3">
        <f>IFERROR(__xludf.DUMMYFUNCTION("""COMPUTED_VALUE"""),43715.99861111111)</f>
        <v>43715.99861</v>
      </c>
      <c r="B3350" s="1">
        <f>IFERROR(__xludf.DUMMYFUNCTION("""COMPUTED_VALUE"""),14067.15)</f>
        <v>14067.15</v>
      </c>
    </row>
    <row r="3351">
      <c r="A3351" s="3">
        <f>IFERROR(__xludf.DUMMYFUNCTION("""COMPUTED_VALUE"""),43716.99861111111)</f>
        <v>43716.99861</v>
      </c>
      <c r="B3351" s="1">
        <f>IFERROR(__xludf.DUMMYFUNCTION("""COMPUTED_VALUE"""),14095.0)</f>
        <v>14095</v>
      </c>
    </row>
    <row r="3352">
      <c r="A3352" s="3">
        <f>IFERROR(__xludf.DUMMYFUNCTION("""COMPUTED_VALUE"""),43717.99861111111)</f>
        <v>43717.99861</v>
      </c>
      <c r="B3352" s="1">
        <f>IFERROR(__xludf.DUMMYFUNCTION("""COMPUTED_VALUE"""),14031.0)</f>
        <v>14031</v>
      </c>
    </row>
    <row r="3353">
      <c r="A3353" s="3">
        <f>IFERROR(__xludf.DUMMYFUNCTION("""COMPUTED_VALUE"""),43718.99861111111)</f>
        <v>43718.99861</v>
      </c>
      <c r="B3353" s="1">
        <f>IFERROR(__xludf.DUMMYFUNCTION("""COMPUTED_VALUE"""),14099.8)</f>
        <v>14099.8</v>
      </c>
    </row>
    <row r="3354">
      <c r="A3354" s="3">
        <f>IFERROR(__xludf.DUMMYFUNCTION("""COMPUTED_VALUE"""),43719.99861111111)</f>
        <v>43719.99861</v>
      </c>
      <c r="B3354" s="1">
        <f>IFERROR(__xludf.DUMMYFUNCTION("""COMPUTED_VALUE"""),14112.4)</f>
        <v>14112.4</v>
      </c>
    </row>
    <row r="3355">
      <c r="A3355" s="3">
        <f>IFERROR(__xludf.DUMMYFUNCTION("""COMPUTED_VALUE"""),43720.99861111111)</f>
        <v>43720.99861</v>
      </c>
      <c r="B3355" s="1">
        <f>IFERROR(__xludf.DUMMYFUNCTION("""COMPUTED_VALUE"""),13990.0)</f>
        <v>13990</v>
      </c>
    </row>
    <row r="3356">
      <c r="A3356" s="3">
        <f>IFERROR(__xludf.DUMMYFUNCTION("""COMPUTED_VALUE"""),43721.99861111111)</f>
        <v>43721.99861</v>
      </c>
      <c r="B3356" s="1">
        <f>IFERROR(__xludf.DUMMYFUNCTION("""COMPUTED_VALUE"""),13965.0)</f>
        <v>13965</v>
      </c>
    </row>
    <row r="3357">
      <c r="A3357" s="3">
        <f>IFERROR(__xludf.DUMMYFUNCTION("""COMPUTED_VALUE"""),43722.99861111111)</f>
        <v>43722.99861</v>
      </c>
      <c r="B3357" s="1">
        <f>IFERROR(__xludf.DUMMYFUNCTION("""COMPUTED_VALUE"""),13965.0)</f>
        <v>13965</v>
      </c>
    </row>
    <row r="3358">
      <c r="A3358" s="3">
        <f>IFERROR(__xludf.DUMMYFUNCTION("""COMPUTED_VALUE"""),43723.99861111111)</f>
        <v>43723.99861</v>
      </c>
      <c r="B3358" s="1">
        <f>IFERROR(__xludf.DUMMYFUNCTION("""COMPUTED_VALUE"""),13965.0)</f>
        <v>13965</v>
      </c>
    </row>
    <row r="3359">
      <c r="A3359" s="3">
        <f>IFERROR(__xludf.DUMMYFUNCTION("""COMPUTED_VALUE"""),43724.99861111111)</f>
        <v>43724.99861</v>
      </c>
      <c r="B3359" s="1">
        <f>IFERROR(__xludf.DUMMYFUNCTION("""COMPUTED_VALUE"""),14174.3)</f>
        <v>14174.3</v>
      </c>
    </row>
    <row r="3360">
      <c r="A3360" s="3">
        <f>IFERROR(__xludf.DUMMYFUNCTION("""COMPUTED_VALUE"""),43725.99861111111)</f>
        <v>43725.99861</v>
      </c>
      <c r="B3360" s="1">
        <f>IFERROR(__xludf.DUMMYFUNCTION("""COMPUTED_VALUE"""),14130.8)</f>
        <v>14130.8</v>
      </c>
    </row>
    <row r="3361">
      <c r="A3361" s="3">
        <f>IFERROR(__xludf.DUMMYFUNCTION("""COMPUTED_VALUE"""),43726.99861111111)</f>
        <v>43726.99861</v>
      </c>
      <c r="B3361" s="1">
        <f>IFERROR(__xludf.DUMMYFUNCTION("""COMPUTED_VALUE"""),14130.0)</f>
        <v>14130</v>
      </c>
    </row>
    <row r="3362">
      <c r="A3362" s="3">
        <f>IFERROR(__xludf.DUMMYFUNCTION("""COMPUTED_VALUE"""),43727.99861111111)</f>
        <v>43727.99861</v>
      </c>
      <c r="B3362" s="1">
        <f>IFERROR(__xludf.DUMMYFUNCTION("""COMPUTED_VALUE"""),14162.0)</f>
        <v>14162</v>
      </c>
    </row>
    <row r="3363">
      <c r="A3363" s="3">
        <f>IFERROR(__xludf.DUMMYFUNCTION("""COMPUTED_VALUE"""),43728.99861111111)</f>
        <v>43728.99861</v>
      </c>
      <c r="B3363" s="1">
        <f>IFERROR(__xludf.DUMMYFUNCTION("""COMPUTED_VALUE"""),14105.3)</f>
        <v>14105.3</v>
      </c>
    </row>
    <row r="3364">
      <c r="A3364" s="3">
        <f>IFERROR(__xludf.DUMMYFUNCTION("""COMPUTED_VALUE"""),43729.99861111111)</f>
        <v>43729.99861</v>
      </c>
      <c r="B3364" s="1">
        <f>IFERROR(__xludf.DUMMYFUNCTION("""COMPUTED_VALUE"""),14105.3)</f>
        <v>14105.3</v>
      </c>
    </row>
    <row r="3365">
      <c r="A3365" s="3">
        <f>IFERROR(__xludf.DUMMYFUNCTION("""COMPUTED_VALUE"""),43730.99861111111)</f>
        <v>43730.99861</v>
      </c>
      <c r="B3365" s="1">
        <f>IFERROR(__xludf.DUMMYFUNCTION("""COMPUTED_VALUE"""),14055.0)</f>
        <v>14055</v>
      </c>
    </row>
    <row r="3366">
      <c r="A3366" s="3">
        <f>IFERROR(__xludf.DUMMYFUNCTION("""COMPUTED_VALUE"""),43731.99861111111)</f>
        <v>43731.99861</v>
      </c>
      <c r="B3366" s="1">
        <f>IFERROR(__xludf.DUMMYFUNCTION("""COMPUTED_VALUE"""),14085.0)</f>
        <v>14085</v>
      </c>
    </row>
    <row r="3367">
      <c r="A3367" s="3">
        <f>IFERROR(__xludf.DUMMYFUNCTION("""COMPUTED_VALUE"""),43732.99861111111)</f>
        <v>43732.99861</v>
      </c>
      <c r="B3367" s="1">
        <f>IFERROR(__xludf.DUMMYFUNCTION("""COMPUTED_VALUE"""),14181.3)</f>
        <v>14181.3</v>
      </c>
    </row>
    <row r="3368">
      <c r="A3368" s="3">
        <f>IFERROR(__xludf.DUMMYFUNCTION("""COMPUTED_VALUE"""),43733.99861111111)</f>
        <v>43733.99861</v>
      </c>
      <c r="B3368" s="1">
        <f>IFERROR(__xludf.DUMMYFUNCTION("""COMPUTED_VALUE"""),14150.0)</f>
        <v>14150</v>
      </c>
    </row>
    <row r="3369">
      <c r="A3369" s="3">
        <f>IFERROR(__xludf.DUMMYFUNCTION("""COMPUTED_VALUE"""),43734.99861111111)</f>
        <v>43734.99861</v>
      </c>
      <c r="B3369" s="1">
        <f>IFERROR(__xludf.DUMMYFUNCTION("""COMPUTED_VALUE"""),14240.8)</f>
        <v>14240.8</v>
      </c>
    </row>
    <row r="3370">
      <c r="A3370" s="3">
        <f>IFERROR(__xludf.DUMMYFUNCTION("""COMPUTED_VALUE"""),43735.99861111111)</f>
        <v>43735.99861</v>
      </c>
      <c r="B3370" s="1">
        <f>IFERROR(__xludf.DUMMYFUNCTION("""COMPUTED_VALUE"""),14194.8)</f>
        <v>14194.8</v>
      </c>
    </row>
    <row r="3371">
      <c r="A3371" s="3">
        <f>IFERROR(__xludf.DUMMYFUNCTION("""COMPUTED_VALUE"""),43736.99861111111)</f>
        <v>43736.99861</v>
      </c>
      <c r="B3371" s="1">
        <f>IFERROR(__xludf.DUMMYFUNCTION("""COMPUTED_VALUE"""),14194.8)</f>
        <v>14194.8</v>
      </c>
    </row>
    <row r="3372">
      <c r="A3372" s="3">
        <f>IFERROR(__xludf.DUMMYFUNCTION("""COMPUTED_VALUE"""),43737.99861111111)</f>
        <v>43737.99861</v>
      </c>
      <c r="B3372" s="1">
        <f>IFERROR(__xludf.DUMMYFUNCTION("""COMPUTED_VALUE"""),14165.0)</f>
        <v>14165</v>
      </c>
    </row>
    <row r="3373">
      <c r="A3373" s="3">
        <f>IFERROR(__xludf.DUMMYFUNCTION("""COMPUTED_VALUE"""),43738.99861111111)</f>
        <v>43738.99861</v>
      </c>
      <c r="B3373" s="1">
        <f>IFERROR(__xludf.DUMMYFUNCTION("""COMPUTED_VALUE"""),14223.4)</f>
        <v>14223.4</v>
      </c>
    </row>
    <row r="3374">
      <c r="A3374" s="3">
        <f>IFERROR(__xludf.DUMMYFUNCTION("""COMPUTED_VALUE"""),43739.99861111111)</f>
        <v>43739.99861</v>
      </c>
      <c r="B3374" s="1">
        <f>IFERROR(__xludf.DUMMYFUNCTION("""COMPUTED_VALUE"""),14213.0)</f>
        <v>14213</v>
      </c>
    </row>
    <row r="3375">
      <c r="A3375" s="3">
        <f>IFERROR(__xludf.DUMMYFUNCTION("""COMPUTED_VALUE"""),43740.99861111111)</f>
        <v>43740.99861</v>
      </c>
      <c r="B3375" s="1">
        <f>IFERROR(__xludf.DUMMYFUNCTION("""COMPUTED_VALUE"""),14195.0)</f>
        <v>14195</v>
      </c>
    </row>
    <row r="3376">
      <c r="A3376" s="3">
        <f>IFERROR(__xludf.DUMMYFUNCTION("""COMPUTED_VALUE"""),43741.99861111111)</f>
        <v>43741.99861</v>
      </c>
      <c r="B3376" s="1">
        <f>IFERROR(__xludf.DUMMYFUNCTION("""COMPUTED_VALUE"""),14196.5)</f>
        <v>14196.5</v>
      </c>
    </row>
    <row r="3377">
      <c r="A3377" s="3">
        <f>IFERROR(__xludf.DUMMYFUNCTION("""COMPUTED_VALUE"""),43742.99861111111)</f>
        <v>43742.99861</v>
      </c>
      <c r="B3377" s="1">
        <f>IFERROR(__xludf.DUMMYFUNCTION("""COMPUTED_VALUE"""),14134.0)</f>
        <v>14134</v>
      </c>
    </row>
    <row r="3378">
      <c r="A3378" s="3">
        <f>IFERROR(__xludf.DUMMYFUNCTION("""COMPUTED_VALUE"""),43743.99861111111)</f>
        <v>43743.99861</v>
      </c>
      <c r="B3378" s="1">
        <f>IFERROR(__xludf.DUMMYFUNCTION("""COMPUTED_VALUE"""),14134.0)</f>
        <v>14134</v>
      </c>
    </row>
    <row r="3379">
      <c r="A3379" s="3">
        <f>IFERROR(__xludf.DUMMYFUNCTION("""COMPUTED_VALUE"""),43744.99861111111)</f>
        <v>43744.99861</v>
      </c>
      <c r="B3379" s="1">
        <f>IFERROR(__xludf.DUMMYFUNCTION("""COMPUTED_VALUE"""),14135.0)</f>
        <v>14135</v>
      </c>
    </row>
    <row r="3380">
      <c r="A3380" s="3">
        <f>IFERROR(__xludf.DUMMYFUNCTION("""COMPUTED_VALUE"""),43745.99861111111)</f>
        <v>43745.99861</v>
      </c>
      <c r="B3380" s="1">
        <f>IFERROR(__xludf.DUMMYFUNCTION("""COMPUTED_VALUE"""),14243.5)</f>
        <v>14243.5</v>
      </c>
    </row>
    <row r="3381">
      <c r="A3381" s="3">
        <f>IFERROR(__xludf.DUMMYFUNCTION("""COMPUTED_VALUE"""),43746.99861111111)</f>
        <v>43746.99861</v>
      </c>
      <c r="B3381" s="1">
        <f>IFERROR(__xludf.DUMMYFUNCTION("""COMPUTED_VALUE"""),14213.0)</f>
        <v>14213</v>
      </c>
    </row>
    <row r="3382">
      <c r="A3382" s="3">
        <f>IFERROR(__xludf.DUMMYFUNCTION("""COMPUTED_VALUE"""),43747.99861111111)</f>
        <v>43747.99861</v>
      </c>
      <c r="B3382" s="1">
        <f>IFERROR(__xludf.DUMMYFUNCTION("""COMPUTED_VALUE"""),14170.0)</f>
        <v>14170</v>
      </c>
    </row>
    <row r="3383">
      <c r="A3383" s="3">
        <f>IFERROR(__xludf.DUMMYFUNCTION("""COMPUTED_VALUE"""),43748.99861111111)</f>
        <v>43748.99861</v>
      </c>
      <c r="B3383" s="1">
        <f>IFERROR(__xludf.DUMMYFUNCTION("""COMPUTED_VALUE"""),14152.0)</f>
        <v>14152</v>
      </c>
    </row>
    <row r="3384">
      <c r="A3384" s="3">
        <f>IFERROR(__xludf.DUMMYFUNCTION("""COMPUTED_VALUE"""),43749.99861111111)</f>
        <v>43749.99861</v>
      </c>
      <c r="B3384" s="1">
        <f>IFERROR(__xludf.DUMMYFUNCTION("""COMPUTED_VALUE"""),14133.05)</f>
        <v>14133.05</v>
      </c>
    </row>
    <row r="3385">
      <c r="A3385" s="3">
        <f>IFERROR(__xludf.DUMMYFUNCTION("""COMPUTED_VALUE"""),43750.99861111111)</f>
        <v>43750.99861</v>
      </c>
      <c r="B3385" s="1">
        <f>IFERROR(__xludf.DUMMYFUNCTION("""COMPUTED_VALUE"""),14133.05)</f>
        <v>14133.05</v>
      </c>
    </row>
    <row r="3386">
      <c r="A3386" s="3">
        <f>IFERROR(__xludf.DUMMYFUNCTION("""COMPUTED_VALUE"""),43751.99861111111)</f>
        <v>43751.99861</v>
      </c>
      <c r="B3386" s="1">
        <f>IFERROR(__xludf.DUMMYFUNCTION("""COMPUTED_VALUE"""),14128.0)</f>
        <v>14128</v>
      </c>
    </row>
    <row r="3387">
      <c r="A3387" s="3">
        <f>IFERROR(__xludf.DUMMYFUNCTION("""COMPUTED_VALUE"""),43752.99861111111)</f>
        <v>43752.99861</v>
      </c>
      <c r="B3387" s="1">
        <f>IFERROR(__xludf.DUMMYFUNCTION("""COMPUTED_VALUE"""),14113.0)</f>
        <v>14113</v>
      </c>
    </row>
    <row r="3388">
      <c r="A3388" s="3">
        <f>IFERROR(__xludf.DUMMYFUNCTION("""COMPUTED_VALUE"""),43753.99861111111)</f>
        <v>43753.99861</v>
      </c>
      <c r="B3388" s="1">
        <f>IFERROR(__xludf.DUMMYFUNCTION("""COMPUTED_VALUE"""),14220.0)</f>
        <v>14220</v>
      </c>
    </row>
    <row r="3389">
      <c r="A3389" s="3">
        <f>IFERROR(__xludf.DUMMYFUNCTION("""COMPUTED_VALUE"""),43754.99861111111)</f>
        <v>43754.99861</v>
      </c>
      <c r="B3389" s="1">
        <f>IFERROR(__xludf.DUMMYFUNCTION("""COMPUTED_VALUE"""),14228.0)</f>
        <v>14228</v>
      </c>
    </row>
    <row r="3390">
      <c r="A3390" s="3">
        <f>IFERROR(__xludf.DUMMYFUNCTION("""COMPUTED_VALUE"""),43755.99861111111)</f>
        <v>43755.99861</v>
      </c>
      <c r="B3390" s="1">
        <f>IFERROR(__xludf.DUMMYFUNCTION("""COMPUTED_VALUE"""),14188.5)</f>
        <v>14188.5</v>
      </c>
    </row>
    <row r="3391">
      <c r="A3391" s="3">
        <f>IFERROR(__xludf.DUMMYFUNCTION("""COMPUTED_VALUE"""),43756.99861111111)</f>
        <v>43756.99861</v>
      </c>
      <c r="B3391" s="1">
        <f>IFERROR(__xludf.DUMMYFUNCTION("""COMPUTED_VALUE"""),14127.5)</f>
        <v>14127.5</v>
      </c>
    </row>
    <row r="3392">
      <c r="A3392" s="3">
        <f>IFERROR(__xludf.DUMMYFUNCTION("""COMPUTED_VALUE"""),43757.99861111111)</f>
        <v>43757.99861</v>
      </c>
      <c r="B3392" s="1">
        <f>IFERROR(__xludf.DUMMYFUNCTION("""COMPUTED_VALUE"""),14127.5)</f>
        <v>14127.5</v>
      </c>
    </row>
    <row r="3393">
      <c r="A3393" s="3">
        <f>IFERROR(__xludf.DUMMYFUNCTION("""COMPUTED_VALUE"""),43758.99861111111)</f>
        <v>43758.99861</v>
      </c>
      <c r="B3393" s="1">
        <f>IFERROR(__xludf.DUMMYFUNCTION("""COMPUTED_VALUE"""),14145.0)</f>
        <v>14145</v>
      </c>
    </row>
    <row r="3394">
      <c r="A3394" s="3">
        <f>IFERROR(__xludf.DUMMYFUNCTION("""COMPUTED_VALUE"""),43759.99861111111)</f>
        <v>43759.99861</v>
      </c>
      <c r="B3394" s="1">
        <f>IFERROR(__xludf.DUMMYFUNCTION("""COMPUTED_VALUE"""),14106.5)</f>
        <v>14106.5</v>
      </c>
    </row>
    <row r="3395">
      <c r="A3395" s="3">
        <f>IFERROR(__xludf.DUMMYFUNCTION("""COMPUTED_VALUE"""),43760.99861111111)</f>
        <v>43760.99861</v>
      </c>
      <c r="B3395" s="1">
        <f>IFERROR(__xludf.DUMMYFUNCTION("""COMPUTED_VALUE"""),14048.5)</f>
        <v>14048.5</v>
      </c>
    </row>
    <row r="3396">
      <c r="A3396" s="3">
        <f>IFERROR(__xludf.DUMMYFUNCTION("""COMPUTED_VALUE"""),43761.99861111111)</f>
        <v>43761.99861</v>
      </c>
      <c r="B3396" s="1">
        <f>IFERROR(__xludf.DUMMYFUNCTION("""COMPUTED_VALUE"""),14012.0)</f>
        <v>14012</v>
      </c>
    </row>
    <row r="3397">
      <c r="A3397" s="3">
        <f>IFERROR(__xludf.DUMMYFUNCTION("""COMPUTED_VALUE"""),43762.99861111111)</f>
        <v>43762.99861</v>
      </c>
      <c r="B3397" s="1">
        <f>IFERROR(__xludf.DUMMYFUNCTION("""COMPUTED_VALUE"""),14093.5)</f>
        <v>14093.5</v>
      </c>
    </row>
    <row r="3398">
      <c r="A3398" s="3">
        <f>IFERROR(__xludf.DUMMYFUNCTION("""COMPUTED_VALUE"""),43763.99861111111)</f>
        <v>43763.99861</v>
      </c>
      <c r="B3398" s="1">
        <f>IFERROR(__xludf.DUMMYFUNCTION("""COMPUTED_VALUE"""),14035.0)</f>
        <v>14035</v>
      </c>
    </row>
    <row r="3399">
      <c r="A3399" s="3">
        <f>IFERROR(__xludf.DUMMYFUNCTION("""COMPUTED_VALUE"""),43764.99861111111)</f>
        <v>43764.99861</v>
      </c>
      <c r="B3399" s="1">
        <f>IFERROR(__xludf.DUMMYFUNCTION("""COMPUTED_VALUE"""),14035.0)</f>
        <v>14035</v>
      </c>
    </row>
    <row r="3400">
      <c r="A3400" s="3">
        <f>IFERROR(__xludf.DUMMYFUNCTION("""COMPUTED_VALUE"""),43765.99861111111)</f>
        <v>43765.99861</v>
      </c>
      <c r="B3400" s="1">
        <f>IFERROR(__xludf.DUMMYFUNCTION("""COMPUTED_VALUE"""),14035.0)</f>
        <v>14035</v>
      </c>
    </row>
    <row r="3401">
      <c r="A3401" s="3">
        <f>IFERROR(__xludf.DUMMYFUNCTION("""COMPUTED_VALUE"""),43766.99861111111)</f>
        <v>43766.99861</v>
      </c>
      <c r="B3401" s="1">
        <f>IFERROR(__xludf.DUMMYFUNCTION("""COMPUTED_VALUE"""),14025.0)</f>
        <v>14025</v>
      </c>
    </row>
    <row r="3402">
      <c r="A3402" s="3">
        <f>IFERROR(__xludf.DUMMYFUNCTION("""COMPUTED_VALUE"""),43767.99861111111)</f>
        <v>43767.99861</v>
      </c>
      <c r="B3402" s="1">
        <f>IFERROR(__xludf.DUMMYFUNCTION("""COMPUTED_VALUE"""),14074.0)</f>
        <v>14074</v>
      </c>
    </row>
    <row r="3403">
      <c r="A3403" s="3">
        <f>IFERROR(__xludf.DUMMYFUNCTION("""COMPUTED_VALUE"""),43768.99861111111)</f>
        <v>43768.99861</v>
      </c>
      <c r="B3403" s="1">
        <f>IFERROR(__xludf.DUMMYFUNCTION("""COMPUTED_VALUE"""),14064.0)</f>
        <v>14064</v>
      </c>
    </row>
    <row r="3404">
      <c r="A3404" s="3">
        <f>IFERROR(__xludf.DUMMYFUNCTION("""COMPUTED_VALUE"""),43769.99861111111)</f>
        <v>43769.99861</v>
      </c>
      <c r="B3404" s="1">
        <f>IFERROR(__xludf.DUMMYFUNCTION("""COMPUTED_VALUE"""),14127.5)</f>
        <v>14127.5</v>
      </c>
    </row>
    <row r="3405">
      <c r="A3405" s="3">
        <f>IFERROR(__xludf.DUMMYFUNCTION("""COMPUTED_VALUE"""),43770.99861111111)</f>
        <v>43770.99861</v>
      </c>
      <c r="B3405" s="1">
        <f>IFERROR(__xludf.DUMMYFUNCTION("""COMPUTED_VALUE"""),13989.0)</f>
        <v>13989</v>
      </c>
    </row>
    <row r="3406">
      <c r="A3406" s="3">
        <f>IFERROR(__xludf.DUMMYFUNCTION("""COMPUTED_VALUE"""),43771.99861111111)</f>
        <v>43771.99861</v>
      </c>
      <c r="B3406" s="1">
        <f>IFERROR(__xludf.DUMMYFUNCTION("""COMPUTED_VALUE"""),13989.0)</f>
        <v>13989</v>
      </c>
    </row>
    <row r="3407">
      <c r="A3407" s="3">
        <f>IFERROR(__xludf.DUMMYFUNCTION("""COMPUTED_VALUE"""),43772.99861111111)</f>
        <v>43772.99861</v>
      </c>
      <c r="B3407" s="1">
        <f>IFERROR(__xludf.DUMMYFUNCTION("""COMPUTED_VALUE"""),14021.0)</f>
        <v>14021</v>
      </c>
    </row>
    <row r="3408">
      <c r="A3408" s="3">
        <f>IFERROR(__xludf.DUMMYFUNCTION("""COMPUTED_VALUE"""),43773.99861111111)</f>
        <v>43773.99861</v>
      </c>
      <c r="B3408" s="1">
        <f>IFERROR(__xludf.DUMMYFUNCTION("""COMPUTED_VALUE"""),14062.0)</f>
        <v>14062</v>
      </c>
    </row>
    <row r="3409">
      <c r="A3409" s="3">
        <f>IFERROR(__xludf.DUMMYFUNCTION("""COMPUTED_VALUE"""),43774.99861111111)</f>
        <v>43774.99861</v>
      </c>
      <c r="B3409" s="1">
        <f>IFERROR(__xludf.DUMMYFUNCTION("""COMPUTED_VALUE"""),14032.5)</f>
        <v>14032.5</v>
      </c>
    </row>
    <row r="3410">
      <c r="A3410" s="3">
        <f>IFERROR(__xludf.DUMMYFUNCTION("""COMPUTED_VALUE"""),43775.99861111111)</f>
        <v>43775.99861</v>
      </c>
      <c r="B3410" s="1">
        <f>IFERROR(__xludf.DUMMYFUNCTION("""COMPUTED_VALUE"""),14015.0)</f>
        <v>14015</v>
      </c>
    </row>
    <row r="3411">
      <c r="A3411" s="3">
        <f>IFERROR(__xludf.DUMMYFUNCTION("""COMPUTED_VALUE"""),43776.99861111111)</f>
        <v>43776.99861</v>
      </c>
      <c r="B3411" s="1">
        <f>IFERROR(__xludf.DUMMYFUNCTION("""COMPUTED_VALUE"""),14069.5)</f>
        <v>14069.5</v>
      </c>
    </row>
    <row r="3412">
      <c r="A3412" s="3">
        <f>IFERROR(__xludf.DUMMYFUNCTION("""COMPUTED_VALUE"""),43777.99861111111)</f>
        <v>43777.99861</v>
      </c>
      <c r="B3412" s="1">
        <f>IFERROR(__xludf.DUMMYFUNCTION("""COMPUTED_VALUE"""),14014.5)</f>
        <v>14014.5</v>
      </c>
    </row>
    <row r="3413">
      <c r="A3413" s="3">
        <f>IFERROR(__xludf.DUMMYFUNCTION("""COMPUTED_VALUE"""),43778.99861111111)</f>
        <v>43778.99861</v>
      </c>
      <c r="B3413" s="1">
        <f>IFERROR(__xludf.DUMMYFUNCTION("""COMPUTED_VALUE"""),14014.5)</f>
        <v>14014.5</v>
      </c>
    </row>
    <row r="3414">
      <c r="A3414" s="3">
        <f>IFERROR(__xludf.DUMMYFUNCTION("""COMPUTED_VALUE"""),43779.99861111111)</f>
        <v>43779.99861</v>
      </c>
      <c r="B3414" s="1">
        <f>IFERROR(__xludf.DUMMYFUNCTION("""COMPUTED_VALUE"""),14018.58)</f>
        <v>14018.58</v>
      </c>
    </row>
    <row r="3415">
      <c r="A3415" s="3">
        <f>IFERROR(__xludf.DUMMYFUNCTION("""COMPUTED_VALUE"""),43780.99861111111)</f>
        <v>43780.99861</v>
      </c>
      <c r="B3415" s="1">
        <f>IFERROR(__xludf.DUMMYFUNCTION("""COMPUTED_VALUE"""),14001.73)</f>
        <v>14001.73</v>
      </c>
    </row>
    <row r="3416">
      <c r="A3416" s="3">
        <f>IFERROR(__xludf.DUMMYFUNCTION("""COMPUTED_VALUE"""),43781.99861111111)</f>
        <v>43781.99861</v>
      </c>
      <c r="B3416" s="1">
        <f>IFERROR(__xludf.DUMMYFUNCTION("""COMPUTED_VALUE"""),14060.25)</f>
        <v>14060.25</v>
      </c>
    </row>
    <row r="3417">
      <c r="A3417" s="3">
        <f>IFERROR(__xludf.DUMMYFUNCTION("""COMPUTED_VALUE"""),43782.99861111111)</f>
        <v>43782.99861</v>
      </c>
      <c r="B3417" s="1">
        <f>IFERROR(__xludf.DUMMYFUNCTION("""COMPUTED_VALUE"""),14080.62)</f>
        <v>14080.62</v>
      </c>
    </row>
    <row r="3418">
      <c r="A3418" s="3">
        <f>IFERROR(__xludf.DUMMYFUNCTION("""COMPUTED_VALUE"""),43783.99861111111)</f>
        <v>43783.99861</v>
      </c>
      <c r="B3418" s="1">
        <f>IFERROR(__xludf.DUMMYFUNCTION("""COMPUTED_VALUE"""),14085.0)</f>
        <v>14085</v>
      </c>
    </row>
    <row r="3419">
      <c r="A3419" s="3">
        <f>IFERROR(__xludf.DUMMYFUNCTION("""COMPUTED_VALUE"""),43784.99861111111)</f>
        <v>43784.99861</v>
      </c>
      <c r="B3419" s="1">
        <f>IFERROR(__xludf.DUMMYFUNCTION("""COMPUTED_VALUE"""),14072.39)</f>
        <v>14072.39</v>
      </c>
    </row>
    <row r="3420">
      <c r="A3420" s="3">
        <f>IFERROR(__xludf.DUMMYFUNCTION("""COMPUTED_VALUE"""),43785.99861111111)</f>
        <v>43785.99861</v>
      </c>
      <c r="B3420" s="1">
        <f>IFERROR(__xludf.DUMMYFUNCTION("""COMPUTED_VALUE"""),14073.46)</f>
        <v>14073.46</v>
      </c>
    </row>
    <row r="3421">
      <c r="A3421" s="3">
        <f>IFERROR(__xludf.DUMMYFUNCTION("""COMPUTED_VALUE"""),43786.99861111111)</f>
        <v>43786.99861</v>
      </c>
      <c r="B3421" s="1">
        <f>IFERROR(__xludf.DUMMYFUNCTION("""COMPUTED_VALUE"""),14048.42)</f>
        <v>14048.42</v>
      </c>
    </row>
    <row r="3422">
      <c r="A3422" s="3">
        <f>IFERROR(__xludf.DUMMYFUNCTION("""COMPUTED_VALUE"""),43787.99861111111)</f>
        <v>43787.99861</v>
      </c>
      <c r="B3422" s="1">
        <f>IFERROR(__xludf.DUMMYFUNCTION("""COMPUTED_VALUE"""),14061.25)</f>
        <v>14061.25</v>
      </c>
    </row>
    <row r="3423">
      <c r="A3423" s="3">
        <f>IFERROR(__xludf.DUMMYFUNCTION("""COMPUTED_VALUE"""),43788.99861111111)</f>
        <v>43788.99861</v>
      </c>
      <c r="B3423" s="1">
        <f>IFERROR(__xludf.DUMMYFUNCTION("""COMPUTED_VALUE"""),14090.0)</f>
        <v>14090</v>
      </c>
    </row>
    <row r="3424">
      <c r="A3424" s="3">
        <f>IFERROR(__xludf.DUMMYFUNCTION("""COMPUTED_VALUE"""),43789.99861111111)</f>
        <v>43789.99861</v>
      </c>
      <c r="B3424" s="1">
        <f>IFERROR(__xludf.DUMMYFUNCTION("""COMPUTED_VALUE"""),14039.79)</f>
        <v>14039.79</v>
      </c>
    </row>
    <row r="3425">
      <c r="A3425" s="3">
        <f>IFERROR(__xludf.DUMMYFUNCTION("""COMPUTED_VALUE"""),43790.99861111111)</f>
        <v>43790.99861</v>
      </c>
      <c r="B3425" s="1">
        <f>IFERROR(__xludf.DUMMYFUNCTION("""COMPUTED_VALUE"""),14077.0)</f>
        <v>14077</v>
      </c>
    </row>
    <row r="3426">
      <c r="A3426" s="3">
        <f>IFERROR(__xludf.DUMMYFUNCTION("""COMPUTED_VALUE"""),43791.99861111111)</f>
        <v>43791.99861</v>
      </c>
      <c r="B3426" s="1">
        <f>IFERROR(__xludf.DUMMYFUNCTION("""COMPUTED_VALUE"""),14090.74)</f>
        <v>14090.74</v>
      </c>
    </row>
    <row r="3427">
      <c r="A3427" s="3">
        <f>IFERROR(__xludf.DUMMYFUNCTION("""COMPUTED_VALUE"""),43792.99861111111)</f>
        <v>43792.99861</v>
      </c>
      <c r="B3427" s="1">
        <f>IFERROR(__xludf.DUMMYFUNCTION("""COMPUTED_VALUE"""),14090.74)</f>
        <v>14090.74</v>
      </c>
    </row>
    <row r="3428">
      <c r="A3428" s="3">
        <f>IFERROR(__xludf.DUMMYFUNCTION("""COMPUTED_VALUE"""),43793.99861111111)</f>
        <v>43793.99861</v>
      </c>
      <c r="B3428" s="1">
        <f>IFERROR(__xludf.DUMMYFUNCTION("""COMPUTED_VALUE"""),14087.55)</f>
        <v>14087.55</v>
      </c>
    </row>
    <row r="3429">
      <c r="A3429" s="3">
        <f>IFERROR(__xludf.DUMMYFUNCTION("""COMPUTED_VALUE"""),43794.99861111111)</f>
        <v>43794.99861</v>
      </c>
      <c r="B3429" s="1">
        <f>IFERROR(__xludf.DUMMYFUNCTION("""COMPUTED_VALUE"""),14068.29)</f>
        <v>14068.29</v>
      </c>
    </row>
    <row r="3430">
      <c r="A3430" s="3">
        <f>IFERROR(__xludf.DUMMYFUNCTION("""COMPUTED_VALUE"""),43795.99861111111)</f>
        <v>43795.99861</v>
      </c>
      <c r="B3430" s="1">
        <f>IFERROR(__xludf.DUMMYFUNCTION("""COMPUTED_VALUE"""),14085.0)</f>
        <v>14085</v>
      </c>
    </row>
    <row r="3431">
      <c r="A3431" s="3">
        <f>IFERROR(__xludf.DUMMYFUNCTION("""COMPUTED_VALUE"""),43796.99861111111)</f>
        <v>43796.99861</v>
      </c>
      <c r="B3431" s="1">
        <f>IFERROR(__xludf.DUMMYFUNCTION("""COMPUTED_VALUE"""),14092.4)</f>
        <v>14092.4</v>
      </c>
    </row>
    <row r="3432">
      <c r="A3432" s="3">
        <f>IFERROR(__xludf.DUMMYFUNCTION("""COMPUTED_VALUE"""),43797.99861111111)</f>
        <v>43797.99861</v>
      </c>
      <c r="B3432" s="1">
        <f>IFERROR(__xludf.DUMMYFUNCTION("""COMPUTED_VALUE"""),14077.98)</f>
        <v>14077.98</v>
      </c>
    </row>
    <row r="3433">
      <c r="A3433" s="3">
        <f>IFERROR(__xludf.DUMMYFUNCTION("""COMPUTED_VALUE"""),43798.99861111111)</f>
        <v>43798.99861</v>
      </c>
      <c r="B3433" s="1">
        <f>IFERROR(__xludf.DUMMYFUNCTION("""COMPUTED_VALUE"""),14086.2)</f>
        <v>14086.2</v>
      </c>
    </row>
    <row r="3434">
      <c r="A3434" s="3">
        <f>IFERROR(__xludf.DUMMYFUNCTION("""COMPUTED_VALUE"""),43799.99861111111)</f>
        <v>43799.99861</v>
      </c>
      <c r="B3434" s="1">
        <f>IFERROR(__xludf.DUMMYFUNCTION("""COMPUTED_VALUE"""),14085.85)</f>
        <v>14085.85</v>
      </c>
    </row>
    <row r="3435">
      <c r="A3435" s="3">
        <f>IFERROR(__xludf.DUMMYFUNCTION("""COMPUTED_VALUE"""),43800.99861111111)</f>
        <v>43800.99861</v>
      </c>
      <c r="B3435" s="1">
        <f>IFERROR(__xludf.DUMMYFUNCTION("""COMPUTED_VALUE"""),14077.09)</f>
        <v>14077.09</v>
      </c>
    </row>
    <row r="3436">
      <c r="A3436" s="3">
        <f>IFERROR(__xludf.DUMMYFUNCTION("""COMPUTED_VALUE"""),43801.99861111111)</f>
        <v>43801.99861</v>
      </c>
      <c r="B3436" s="1">
        <f>IFERROR(__xludf.DUMMYFUNCTION("""COMPUTED_VALUE"""),14127.79)</f>
        <v>14127.79</v>
      </c>
    </row>
    <row r="3437">
      <c r="A3437" s="3">
        <f>IFERROR(__xludf.DUMMYFUNCTION("""COMPUTED_VALUE"""),43802.99861111111)</f>
        <v>43802.99861</v>
      </c>
      <c r="B3437" s="1">
        <f>IFERROR(__xludf.DUMMYFUNCTION("""COMPUTED_VALUE"""),14105.0)</f>
        <v>14105</v>
      </c>
    </row>
    <row r="3438">
      <c r="A3438" s="3">
        <f>IFERROR(__xludf.DUMMYFUNCTION("""COMPUTED_VALUE"""),43803.99861111111)</f>
        <v>43803.99861</v>
      </c>
      <c r="B3438" s="1">
        <f>IFERROR(__xludf.DUMMYFUNCTION("""COMPUTED_VALUE"""),14000.15)</f>
        <v>14000.15</v>
      </c>
    </row>
    <row r="3439">
      <c r="A3439" s="3">
        <f>IFERROR(__xludf.DUMMYFUNCTION("""COMPUTED_VALUE"""),43804.99861111111)</f>
        <v>43804.99861</v>
      </c>
      <c r="B3439" s="1">
        <f>IFERROR(__xludf.DUMMYFUNCTION("""COMPUTED_VALUE"""),13970.95)</f>
        <v>13970.95</v>
      </c>
    </row>
    <row r="3440">
      <c r="A3440" s="3">
        <f>IFERROR(__xludf.DUMMYFUNCTION("""COMPUTED_VALUE"""),43805.99861111111)</f>
        <v>43805.99861</v>
      </c>
      <c r="B3440" s="1">
        <f>IFERROR(__xludf.DUMMYFUNCTION("""COMPUTED_VALUE"""),14023.9)</f>
        <v>14023.9</v>
      </c>
    </row>
    <row r="3441">
      <c r="A3441" s="3">
        <f>IFERROR(__xludf.DUMMYFUNCTION("""COMPUTED_VALUE"""),43806.99861111111)</f>
        <v>43806.99861</v>
      </c>
      <c r="B3441" s="1">
        <f>IFERROR(__xludf.DUMMYFUNCTION("""COMPUTED_VALUE"""),14023.9)</f>
        <v>14023.9</v>
      </c>
    </row>
    <row r="3442">
      <c r="A3442" s="3">
        <f>IFERROR(__xludf.DUMMYFUNCTION("""COMPUTED_VALUE"""),43807.99861111111)</f>
        <v>43807.99861</v>
      </c>
      <c r="B3442" s="1">
        <f>IFERROR(__xludf.DUMMYFUNCTION("""COMPUTED_VALUE"""),14026.9)</f>
        <v>14026.9</v>
      </c>
    </row>
    <row r="3443">
      <c r="A3443" s="3">
        <f>IFERROR(__xludf.DUMMYFUNCTION("""COMPUTED_VALUE"""),43808.99861111111)</f>
        <v>43808.99861</v>
      </c>
      <c r="B3443" s="1">
        <f>IFERROR(__xludf.DUMMYFUNCTION("""COMPUTED_VALUE"""),14009.12)</f>
        <v>14009.12</v>
      </c>
    </row>
    <row r="3444">
      <c r="A3444" s="3">
        <f>IFERROR(__xludf.DUMMYFUNCTION("""COMPUTED_VALUE"""),43809.99861111111)</f>
        <v>43809.99861</v>
      </c>
      <c r="B3444" s="1">
        <f>IFERROR(__xludf.DUMMYFUNCTION("""COMPUTED_VALUE"""),14025.0)</f>
        <v>14025</v>
      </c>
    </row>
    <row r="3445">
      <c r="A3445" s="3">
        <f>IFERROR(__xludf.DUMMYFUNCTION("""COMPUTED_VALUE"""),43810.99861111111)</f>
        <v>43810.99861</v>
      </c>
      <c r="B3445" s="1">
        <f>IFERROR(__xludf.DUMMYFUNCTION("""COMPUTED_VALUE"""),13981.1)</f>
        <v>13981.1</v>
      </c>
    </row>
    <row r="3446">
      <c r="A3446" s="3">
        <f>IFERROR(__xludf.DUMMYFUNCTION("""COMPUTED_VALUE"""),43811.99861111111)</f>
        <v>43811.99861</v>
      </c>
      <c r="B3446" s="1">
        <f>IFERROR(__xludf.DUMMYFUNCTION("""COMPUTED_VALUE"""),14025.0)</f>
        <v>14025</v>
      </c>
    </row>
    <row r="3447">
      <c r="A3447" s="3">
        <f>IFERROR(__xludf.DUMMYFUNCTION("""COMPUTED_VALUE"""),43812.99861111111)</f>
        <v>43812.99861</v>
      </c>
      <c r="B3447" s="1">
        <f>IFERROR(__xludf.DUMMYFUNCTION("""COMPUTED_VALUE"""),13973.6)</f>
        <v>13973.6</v>
      </c>
    </row>
    <row r="3448">
      <c r="A3448" s="3">
        <f>IFERROR(__xludf.DUMMYFUNCTION("""COMPUTED_VALUE"""),43813.99861111111)</f>
        <v>43813.99861</v>
      </c>
      <c r="B3448" s="1">
        <f>IFERROR(__xludf.DUMMYFUNCTION("""COMPUTED_VALUE"""),13973.6)</f>
        <v>13973.6</v>
      </c>
    </row>
    <row r="3449">
      <c r="A3449" s="3">
        <f>IFERROR(__xludf.DUMMYFUNCTION("""COMPUTED_VALUE"""),43814.99861111111)</f>
        <v>43814.99861</v>
      </c>
      <c r="B3449" s="1">
        <f>IFERROR(__xludf.DUMMYFUNCTION("""COMPUTED_VALUE"""),13973.02)</f>
        <v>13973.02</v>
      </c>
    </row>
    <row r="3450">
      <c r="A3450" s="3">
        <f>IFERROR(__xludf.DUMMYFUNCTION("""COMPUTED_VALUE"""),43815.99861111111)</f>
        <v>43815.99861</v>
      </c>
      <c r="B3450" s="1">
        <f>IFERROR(__xludf.DUMMYFUNCTION("""COMPUTED_VALUE"""),14013.9)</f>
        <v>14013.9</v>
      </c>
    </row>
    <row r="3451">
      <c r="A3451" s="3">
        <f>IFERROR(__xludf.DUMMYFUNCTION("""COMPUTED_VALUE"""),43816.99861111111)</f>
        <v>43816.99861</v>
      </c>
      <c r="B3451" s="1">
        <f>IFERROR(__xludf.DUMMYFUNCTION("""COMPUTED_VALUE"""),14028.0)</f>
        <v>14028</v>
      </c>
    </row>
    <row r="3452">
      <c r="A3452" s="3">
        <f>IFERROR(__xludf.DUMMYFUNCTION("""COMPUTED_VALUE"""),43817.99861111111)</f>
        <v>43817.99861</v>
      </c>
      <c r="B3452" s="1">
        <f>IFERROR(__xludf.DUMMYFUNCTION("""COMPUTED_VALUE"""),13971.42)</f>
        <v>13971.42</v>
      </c>
    </row>
    <row r="3453">
      <c r="A3453" s="3">
        <f>IFERROR(__xludf.DUMMYFUNCTION("""COMPUTED_VALUE"""),43818.99861111111)</f>
        <v>43818.99861</v>
      </c>
      <c r="B3453" s="1">
        <f>IFERROR(__xludf.DUMMYFUNCTION("""COMPUTED_VALUE"""),13982.74)</f>
        <v>13982.74</v>
      </c>
    </row>
    <row r="3454">
      <c r="A3454" s="3">
        <f>IFERROR(__xludf.DUMMYFUNCTION("""COMPUTED_VALUE"""),43819.99861111111)</f>
        <v>43819.99861</v>
      </c>
      <c r="B3454" s="1">
        <f>IFERROR(__xludf.DUMMYFUNCTION("""COMPUTED_VALUE"""),13966.78)</f>
        <v>13966.78</v>
      </c>
    </row>
    <row r="3455">
      <c r="A3455" s="3">
        <f>IFERROR(__xludf.DUMMYFUNCTION("""COMPUTED_VALUE"""),43820.99861111111)</f>
        <v>43820.99861</v>
      </c>
      <c r="B3455" s="1">
        <f>IFERROR(__xludf.DUMMYFUNCTION("""COMPUTED_VALUE"""),13966.78)</f>
        <v>13966.78</v>
      </c>
    </row>
    <row r="3456">
      <c r="A3456" s="3">
        <f>IFERROR(__xludf.DUMMYFUNCTION("""COMPUTED_VALUE"""),43821.99861111111)</f>
        <v>43821.99861</v>
      </c>
      <c r="B3456" s="1">
        <f>IFERROR(__xludf.DUMMYFUNCTION("""COMPUTED_VALUE"""),13962.09)</f>
        <v>13962.09</v>
      </c>
    </row>
    <row r="3457">
      <c r="A3457" s="3">
        <f>IFERROR(__xludf.DUMMYFUNCTION("""COMPUTED_VALUE"""),43822.99861111111)</f>
        <v>43822.99861</v>
      </c>
      <c r="B3457" s="1">
        <f>IFERROR(__xludf.DUMMYFUNCTION("""COMPUTED_VALUE"""),13960.13)</f>
        <v>13960.13</v>
      </c>
    </row>
    <row r="3458">
      <c r="A3458" s="3">
        <f>IFERROR(__xludf.DUMMYFUNCTION("""COMPUTED_VALUE"""),43823.99861111111)</f>
        <v>43823.99861</v>
      </c>
      <c r="B3458" s="1">
        <f>IFERROR(__xludf.DUMMYFUNCTION("""COMPUTED_VALUE"""),13968.0)</f>
        <v>13968</v>
      </c>
    </row>
    <row r="3459">
      <c r="A3459" s="3">
        <f>IFERROR(__xludf.DUMMYFUNCTION("""COMPUTED_VALUE"""),43824.99861111111)</f>
        <v>43824.99861</v>
      </c>
      <c r="B3459" s="1">
        <f>IFERROR(__xludf.DUMMYFUNCTION("""COMPUTED_VALUE"""),13940.77)</f>
        <v>13940.77</v>
      </c>
    </row>
    <row r="3460">
      <c r="A3460" s="3">
        <f>IFERROR(__xludf.DUMMYFUNCTION("""COMPUTED_VALUE"""),43825.99861111111)</f>
        <v>43825.99861</v>
      </c>
      <c r="B3460" s="1">
        <f>IFERROR(__xludf.DUMMYFUNCTION("""COMPUTED_VALUE"""),13981.5)</f>
        <v>13981.5</v>
      </c>
    </row>
    <row r="3461">
      <c r="A3461" s="3">
        <f>IFERROR(__xludf.DUMMYFUNCTION("""COMPUTED_VALUE"""),43826.99861111111)</f>
        <v>43826.99861</v>
      </c>
      <c r="B3461" s="1">
        <f>IFERROR(__xludf.DUMMYFUNCTION("""COMPUTED_VALUE"""),13956.17)</f>
        <v>13956.17</v>
      </c>
    </row>
    <row r="3462">
      <c r="A3462" s="3">
        <f>IFERROR(__xludf.DUMMYFUNCTION("""COMPUTED_VALUE"""),43827.99861111111)</f>
        <v>43827.99861</v>
      </c>
      <c r="B3462" s="1">
        <f>IFERROR(__xludf.DUMMYFUNCTION("""COMPUTED_VALUE"""),13956.17)</f>
        <v>13956.17</v>
      </c>
    </row>
    <row r="3463">
      <c r="A3463" s="3">
        <f>IFERROR(__xludf.DUMMYFUNCTION("""COMPUTED_VALUE"""),43828.99861111111)</f>
        <v>43828.99861</v>
      </c>
      <c r="B3463" s="1">
        <f>IFERROR(__xludf.DUMMYFUNCTION("""COMPUTED_VALUE"""),13958.32)</f>
        <v>13958.32</v>
      </c>
    </row>
    <row r="3464">
      <c r="A3464" s="3">
        <f>IFERROR(__xludf.DUMMYFUNCTION("""COMPUTED_VALUE"""),43829.99861111111)</f>
        <v>43829.99861</v>
      </c>
      <c r="B3464" s="1">
        <f>IFERROR(__xludf.DUMMYFUNCTION("""COMPUTED_VALUE"""),13926.0)</f>
        <v>13926</v>
      </c>
    </row>
    <row r="3465">
      <c r="A3465" s="3">
        <f>IFERROR(__xludf.DUMMYFUNCTION("""COMPUTED_VALUE"""),43830.99861111111)</f>
        <v>43830.99861</v>
      </c>
      <c r="B3465" s="1">
        <f>IFERROR(__xludf.DUMMYFUNCTION("""COMPUTED_VALUE"""),13883.0)</f>
        <v>13883</v>
      </c>
    </row>
    <row r="3466">
      <c r="A3466" s="3">
        <f>IFERROR(__xludf.DUMMYFUNCTION("""COMPUTED_VALUE"""),43831.99861111111)</f>
        <v>43831.99861</v>
      </c>
      <c r="B3466" s="1">
        <f>IFERROR(__xludf.DUMMYFUNCTION("""COMPUTED_VALUE"""),13892.59)</f>
        <v>13892.59</v>
      </c>
    </row>
    <row r="3467">
      <c r="A3467" s="3">
        <f>IFERROR(__xludf.DUMMYFUNCTION("""COMPUTED_VALUE"""),43832.99861111111)</f>
        <v>43832.99861</v>
      </c>
      <c r="B3467" s="1">
        <f>IFERROR(__xludf.DUMMYFUNCTION("""COMPUTED_VALUE"""),13889.26)</f>
        <v>13889.26</v>
      </c>
    </row>
    <row r="3468">
      <c r="A3468" s="3">
        <f>IFERROR(__xludf.DUMMYFUNCTION("""COMPUTED_VALUE"""),43833.99861111111)</f>
        <v>43833.99861</v>
      </c>
      <c r="B3468" s="1">
        <f>IFERROR(__xludf.DUMMYFUNCTION("""COMPUTED_VALUE"""),13940.18)</f>
        <v>13940.18</v>
      </c>
    </row>
    <row r="3469">
      <c r="A3469" s="3">
        <f>IFERROR(__xludf.DUMMYFUNCTION("""COMPUTED_VALUE"""),43834.99861111111)</f>
        <v>43834.99861</v>
      </c>
      <c r="B3469" s="1">
        <f>IFERROR(__xludf.DUMMYFUNCTION("""COMPUTED_VALUE"""),13940.18)</f>
        <v>13940.18</v>
      </c>
    </row>
    <row r="3470">
      <c r="A3470" s="3">
        <f>IFERROR(__xludf.DUMMYFUNCTION("""COMPUTED_VALUE"""),43835.99861111111)</f>
        <v>43835.99861</v>
      </c>
      <c r="B3470" s="1">
        <f>IFERROR(__xludf.DUMMYFUNCTION("""COMPUTED_VALUE"""),13938.8)</f>
        <v>13938.8</v>
      </c>
    </row>
    <row r="3471">
      <c r="A3471" s="3">
        <f>IFERROR(__xludf.DUMMYFUNCTION("""COMPUTED_VALUE"""),43836.99861111111)</f>
        <v>43836.99861</v>
      </c>
      <c r="B3471" s="1">
        <f>IFERROR(__xludf.DUMMYFUNCTION("""COMPUTED_VALUE"""),13924.5)</f>
        <v>13924.5</v>
      </c>
    </row>
    <row r="3472">
      <c r="A3472" s="3">
        <f>IFERROR(__xludf.DUMMYFUNCTION("""COMPUTED_VALUE"""),43837.99861111111)</f>
        <v>43837.99861</v>
      </c>
      <c r="B3472" s="1">
        <f>IFERROR(__xludf.DUMMYFUNCTION("""COMPUTED_VALUE"""),13871.09)</f>
        <v>13871.09</v>
      </c>
    </row>
    <row r="3473">
      <c r="A3473" s="3">
        <f>IFERROR(__xludf.DUMMYFUNCTION("""COMPUTED_VALUE"""),43838.99861111111)</f>
        <v>43838.99861</v>
      </c>
      <c r="B3473" s="1">
        <f>IFERROR(__xludf.DUMMYFUNCTION("""COMPUTED_VALUE"""),13904.04)</f>
        <v>13904.04</v>
      </c>
    </row>
    <row r="3474">
      <c r="A3474" s="3">
        <f>IFERROR(__xludf.DUMMYFUNCTION("""COMPUTED_VALUE"""),43839.99861111111)</f>
        <v>43839.99861</v>
      </c>
      <c r="B3474" s="1">
        <f>IFERROR(__xludf.DUMMYFUNCTION("""COMPUTED_VALUE"""),13832.06)</f>
        <v>13832.06</v>
      </c>
    </row>
    <row r="3475">
      <c r="A3475" s="3">
        <f>IFERROR(__xludf.DUMMYFUNCTION("""COMPUTED_VALUE"""),43840.99861111111)</f>
        <v>43840.99861</v>
      </c>
      <c r="B3475" s="1">
        <f>IFERROR(__xludf.DUMMYFUNCTION("""COMPUTED_VALUE"""),13757.23)</f>
        <v>13757.23</v>
      </c>
    </row>
    <row r="3476">
      <c r="A3476" s="3">
        <f>IFERROR(__xludf.DUMMYFUNCTION("""COMPUTED_VALUE"""),43841.99861111111)</f>
        <v>43841.99861</v>
      </c>
      <c r="B3476" s="1">
        <f>IFERROR(__xludf.DUMMYFUNCTION("""COMPUTED_VALUE"""),13757.23)</f>
        <v>13757.23</v>
      </c>
    </row>
    <row r="3477">
      <c r="A3477" s="3">
        <f>IFERROR(__xludf.DUMMYFUNCTION("""COMPUTED_VALUE"""),43842.99861111111)</f>
        <v>43842.99861</v>
      </c>
      <c r="B3477" s="1">
        <f>IFERROR(__xludf.DUMMYFUNCTION("""COMPUTED_VALUE"""),13729.27)</f>
        <v>13729.27</v>
      </c>
    </row>
    <row r="3478">
      <c r="A3478" s="3">
        <f>IFERROR(__xludf.DUMMYFUNCTION("""COMPUTED_VALUE"""),43843.99861111111)</f>
        <v>43843.99861</v>
      </c>
      <c r="B3478" s="1">
        <f>IFERROR(__xludf.DUMMYFUNCTION("""COMPUTED_VALUE"""),13668.0)</f>
        <v>13668</v>
      </c>
    </row>
    <row r="3479">
      <c r="A3479" s="3">
        <f>IFERROR(__xludf.DUMMYFUNCTION("""COMPUTED_VALUE"""),43844.99861111111)</f>
        <v>43844.99861</v>
      </c>
      <c r="B3479" s="1">
        <f>IFERROR(__xludf.DUMMYFUNCTION("""COMPUTED_VALUE"""),13672.53)</f>
        <v>13672.53</v>
      </c>
    </row>
    <row r="3480">
      <c r="A3480" s="3">
        <f>IFERROR(__xludf.DUMMYFUNCTION("""COMPUTED_VALUE"""),43845.99861111111)</f>
        <v>43845.99861</v>
      </c>
      <c r="B3480" s="1">
        <f>IFERROR(__xludf.DUMMYFUNCTION("""COMPUTED_VALUE"""),13669.58)</f>
        <v>13669.58</v>
      </c>
    </row>
    <row r="3481">
      <c r="A3481" s="3">
        <f>IFERROR(__xludf.DUMMYFUNCTION("""COMPUTED_VALUE"""),43846.99861111111)</f>
        <v>43846.99861</v>
      </c>
      <c r="B3481" s="1">
        <f>IFERROR(__xludf.DUMMYFUNCTION("""COMPUTED_VALUE"""),13630.0)</f>
        <v>13630</v>
      </c>
    </row>
    <row r="3482">
      <c r="A3482" s="3">
        <f>IFERROR(__xludf.DUMMYFUNCTION("""COMPUTED_VALUE"""),43847.99861111111)</f>
        <v>43847.99861</v>
      </c>
      <c r="B3482" s="1">
        <f>IFERROR(__xludf.DUMMYFUNCTION("""COMPUTED_VALUE"""),13648.0)</f>
        <v>13648</v>
      </c>
    </row>
    <row r="3483">
      <c r="A3483" s="3">
        <f>IFERROR(__xludf.DUMMYFUNCTION("""COMPUTED_VALUE"""),43848.99861111111)</f>
        <v>43848.99861</v>
      </c>
      <c r="B3483" s="1">
        <f>IFERROR(__xludf.DUMMYFUNCTION("""COMPUTED_VALUE"""),13648.0)</f>
        <v>13648</v>
      </c>
    </row>
    <row r="3484">
      <c r="A3484" s="3">
        <f>IFERROR(__xludf.DUMMYFUNCTION("""COMPUTED_VALUE"""),43849.99861111111)</f>
        <v>43849.99861</v>
      </c>
      <c r="B3484" s="1">
        <f>IFERROR(__xludf.DUMMYFUNCTION("""COMPUTED_VALUE"""),13664.37)</f>
        <v>13664.37</v>
      </c>
    </row>
    <row r="3485">
      <c r="A3485" s="3">
        <f>IFERROR(__xludf.DUMMYFUNCTION("""COMPUTED_VALUE"""),43850.99861111111)</f>
        <v>43850.99861</v>
      </c>
      <c r="B3485" s="1">
        <f>IFERROR(__xludf.DUMMYFUNCTION("""COMPUTED_VALUE"""),13622.0)</f>
        <v>13622</v>
      </c>
    </row>
    <row r="3486">
      <c r="A3486" s="3">
        <f>IFERROR(__xludf.DUMMYFUNCTION("""COMPUTED_VALUE"""),43851.99861111111)</f>
        <v>43851.99861</v>
      </c>
      <c r="B3486" s="1">
        <f>IFERROR(__xludf.DUMMYFUNCTION("""COMPUTED_VALUE"""),13660.19)</f>
        <v>13660.19</v>
      </c>
    </row>
    <row r="3487">
      <c r="A3487" s="3">
        <f>IFERROR(__xludf.DUMMYFUNCTION("""COMPUTED_VALUE"""),43852.99861111111)</f>
        <v>43852.99861</v>
      </c>
      <c r="B3487" s="1">
        <f>IFERROR(__xludf.DUMMYFUNCTION("""COMPUTED_VALUE"""),13630.89)</f>
        <v>13630.89</v>
      </c>
    </row>
    <row r="3488">
      <c r="A3488" s="3">
        <f>IFERROR(__xludf.DUMMYFUNCTION("""COMPUTED_VALUE"""),43853.99861111111)</f>
        <v>43853.99861</v>
      </c>
      <c r="B3488" s="1">
        <f>IFERROR(__xludf.DUMMYFUNCTION("""COMPUTED_VALUE"""),13613.71)</f>
        <v>13613.71</v>
      </c>
    </row>
    <row r="3489">
      <c r="A3489" s="3">
        <f>IFERROR(__xludf.DUMMYFUNCTION("""COMPUTED_VALUE"""),43854.99861111111)</f>
        <v>43854.99861</v>
      </c>
      <c r="B3489" s="1">
        <f>IFERROR(__xludf.DUMMYFUNCTION("""COMPUTED_VALUE"""),13609.55)</f>
        <v>13609.55</v>
      </c>
    </row>
    <row r="3490">
      <c r="A3490" s="3">
        <f>IFERROR(__xludf.DUMMYFUNCTION("""COMPUTED_VALUE"""),43855.99861111111)</f>
        <v>43855.99861</v>
      </c>
      <c r="B3490" s="1">
        <f>IFERROR(__xludf.DUMMYFUNCTION("""COMPUTED_VALUE"""),13609.55)</f>
        <v>13609.55</v>
      </c>
    </row>
    <row r="3491">
      <c r="A3491" s="3">
        <f>IFERROR(__xludf.DUMMYFUNCTION("""COMPUTED_VALUE"""),43856.99861111111)</f>
        <v>43856.99861</v>
      </c>
      <c r="B3491" s="1">
        <f>IFERROR(__xludf.DUMMYFUNCTION("""COMPUTED_VALUE"""),13716.51)</f>
        <v>13716.51</v>
      </c>
    </row>
    <row r="3492">
      <c r="A3492" s="3">
        <f>IFERROR(__xludf.DUMMYFUNCTION("""COMPUTED_VALUE"""),43857.99861111111)</f>
        <v>43857.99861</v>
      </c>
      <c r="B3492" s="1">
        <f>IFERROR(__xludf.DUMMYFUNCTION("""COMPUTED_VALUE"""),13217.78)</f>
        <v>13217.78</v>
      </c>
    </row>
    <row r="3493">
      <c r="A3493" s="3">
        <f>IFERROR(__xludf.DUMMYFUNCTION("""COMPUTED_VALUE"""),43858.99861111111)</f>
        <v>43858.99861</v>
      </c>
      <c r="B3493" s="1">
        <f>IFERROR(__xludf.DUMMYFUNCTION("""COMPUTED_VALUE"""),13637.0)</f>
        <v>13637</v>
      </c>
    </row>
    <row r="3494">
      <c r="A3494" s="3">
        <f>IFERROR(__xludf.DUMMYFUNCTION("""COMPUTED_VALUE"""),43859.99861111111)</f>
        <v>43859.99861</v>
      </c>
      <c r="B3494" s="1">
        <f>IFERROR(__xludf.DUMMYFUNCTION("""COMPUTED_VALUE"""),13657.5)</f>
        <v>13657.5</v>
      </c>
    </row>
    <row r="3495">
      <c r="A3495" s="3">
        <f>IFERROR(__xludf.DUMMYFUNCTION("""COMPUTED_VALUE"""),43860.99861111111)</f>
        <v>43860.99861</v>
      </c>
      <c r="B3495" s="1">
        <f>IFERROR(__xludf.DUMMYFUNCTION("""COMPUTED_VALUE"""),13647.71)</f>
        <v>13647.71</v>
      </c>
    </row>
    <row r="3496">
      <c r="A3496" s="3">
        <f>IFERROR(__xludf.DUMMYFUNCTION("""COMPUTED_VALUE"""),43861.99861111111)</f>
        <v>43861.99861</v>
      </c>
      <c r="B3496" s="1">
        <f>IFERROR(__xludf.DUMMYFUNCTION("""COMPUTED_VALUE"""),13772.2)</f>
        <v>13772.2</v>
      </c>
    </row>
    <row r="3497">
      <c r="A3497" s="3">
        <f>IFERROR(__xludf.DUMMYFUNCTION("""COMPUTED_VALUE"""),43862.99861111111)</f>
        <v>43862.99861</v>
      </c>
      <c r="B3497" s="1">
        <f>IFERROR(__xludf.DUMMYFUNCTION("""COMPUTED_VALUE"""),13772.2)</f>
        <v>13772.2</v>
      </c>
    </row>
    <row r="3498">
      <c r="A3498" s="3">
        <f>IFERROR(__xludf.DUMMYFUNCTION("""COMPUTED_VALUE"""),43863.99861111111)</f>
        <v>43863.99861</v>
      </c>
      <c r="B3498" s="1">
        <f>IFERROR(__xludf.DUMMYFUNCTION("""COMPUTED_VALUE"""),13637.63)</f>
        <v>13637.63</v>
      </c>
    </row>
    <row r="3499">
      <c r="A3499" s="3">
        <f>IFERROR(__xludf.DUMMYFUNCTION("""COMPUTED_VALUE"""),43864.99861111111)</f>
        <v>43864.99861</v>
      </c>
      <c r="B3499" s="1">
        <f>IFERROR(__xludf.DUMMYFUNCTION("""COMPUTED_VALUE"""),13738.0)</f>
        <v>13738</v>
      </c>
    </row>
    <row r="3500">
      <c r="A3500" s="3">
        <f>IFERROR(__xludf.DUMMYFUNCTION("""COMPUTED_VALUE"""),43865.99861111111)</f>
        <v>43865.99861</v>
      </c>
      <c r="B3500" s="1">
        <f>IFERROR(__xludf.DUMMYFUNCTION("""COMPUTED_VALUE"""),13706.93)</f>
        <v>13706.93</v>
      </c>
    </row>
    <row r="3501">
      <c r="A3501" s="3">
        <f>IFERROR(__xludf.DUMMYFUNCTION("""COMPUTED_VALUE"""),43866.99861111111)</f>
        <v>43866.99861</v>
      </c>
      <c r="B3501" s="1">
        <f>IFERROR(__xludf.DUMMYFUNCTION("""COMPUTED_VALUE"""),13672.81)</f>
        <v>13672.81</v>
      </c>
    </row>
    <row r="3502">
      <c r="A3502" s="3">
        <f>IFERROR(__xludf.DUMMYFUNCTION("""COMPUTED_VALUE"""),43867.99861111111)</f>
        <v>43867.99861</v>
      </c>
      <c r="B3502" s="1">
        <f>IFERROR(__xludf.DUMMYFUNCTION("""COMPUTED_VALUE"""),13702.0)</f>
        <v>13702</v>
      </c>
    </row>
    <row r="3503">
      <c r="A3503" s="3">
        <f>IFERROR(__xludf.DUMMYFUNCTION("""COMPUTED_VALUE"""),43868.99861111111)</f>
        <v>43868.99861</v>
      </c>
      <c r="B3503" s="1">
        <f>IFERROR(__xludf.DUMMYFUNCTION("""COMPUTED_VALUE"""),13681.72)</f>
        <v>13681.72</v>
      </c>
    </row>
    <row r="3504">
      <c r="A3504" s="3">
        <f>IFERROR(__xludf.DUMMYFUNCTION("""COMPUTED_VALUE"""),43869.99861111111)</f>
        <v>43869.99861</v>
      </c>
      <c r="B3504" s="1">
        <f>IFERROR(__xludf.DUMMYFUNCTION("""COMPUTED_VALUE"""),13681.72)</f>
        <v>13681.72</v>
      </c>
    </row>
    <row r="3505">
      <c r="A3505" s="3">
        <f>IFERROR(__xludf.DUMMYFUNCTION("""COMPUTED_VALUE"""),43870.99861111111)</f>
        <v>43870.99861</v>
      </c>
      <c r="B3505" s="1">
        <f>IFERROR(__xludf.DUMMYFUNCTION("""COMPUTED_VALUE"""),13680.42)</f>
        <v>13680.42</v>
      </c>
    </row>
    <row r="3506">
      <c r="A3506" s="3">
        <f>IFERROR(__xludf.DUMMYFUNCTION("""COMPUTED_VALUE"""),43871.99861111111)</f>
        <v>43871.99861</v>
      </c>
      <c r="B3506" s="1">
        <f>IFERROR(__xludf.DUMMYFUNCTION("""COMPUTED_VALUE"""),13705.58)</f>
        <v>13705.58</v>
      </c>
    </row>
    <row r="3507">
      <c r="A3507" s="3">
        <f>IFERROR(__xludf.DUMMYFUNCTION("""COMPUTED_VALUE"""),43872.99861111111)</f>
        <v>43872.99861</v>
      </c>
      <c r="B3507" s="1">
        <f>IFERROR(__xludf.DUMMYFUNCTION("""COMPUTED_VALUE"""),13662.13)</f>
        <v>13662.13</v>
      </c>
    </row>
    <row r="3508">
      <c r="A3508" s="3">
        <f>IFERROR(__xludf.DUMMYFUNCTION("""COMPUTED_VALUE"""),43873.99861111111)</f>
        <v>43873.99861</v>
      </c>
      <c r="B3508" s="1">
        <f>IFERROR(__xludf.DUMMYFUNCTION("""COMPUTED_VALUE"""),13712.3)</f>
        <v>13712.3</v>
      </c>
    </row>
    <row r="3509">
      <c r="A3509" s="3">
        <f>IFERROR(__xludf.DUMMYFUNCTION("""COMPUTED_VALUE"""),43874.99861111111)</f>
        <v>43874.99861</v>
      </c>
      <c r="B3509" s="1">
        <f>IFERROR(__xludf.DUMMYFUNCTION("""COMPUTED_VALUE"""),13747.0)</f>
        <v>13747</v>
      </c>
    </row>
    <row r="3510">
      <c r="A3510" s="3">
        <f>IFERROR(__xludf.DUMMYFUNCTION("""COMPUTED_VALUE"""),43875.99861111111)</f>
        <v>43875.99861</v>
      </c>
      <c r="B3510" s="1">
        <f>IFERROR(__xludf.DUMMYFUNCTION("""COMPUTED_VALUE"""),13693.75)</f>
        <v>13693.75</v>
      </c>
    </row>
    <row r="3511">
      <c r="A3511" s="3">
        <f>IFERROR(__xludf.DUMMYFUNCTION("""COMPUTED_VALUE"""),43876.99861111111)</f>
        <v>43876.99861</v>
      </c>
      <c r="B3511" s="1">
        <f>IFERROR(__xludf.DUMMYFUNCTION("""COMPUTED_VALUE"""),13693.75)</f>
        <v>13693.75</v>
      </c>
    </row>
    <row r="3512">
      <c r="A3512" s="3">
        <f>IFERROR(__xludf.DUMMYFUNCTION("""COMPUTED_VALUE"""),43877.99861111111)</f>
        <v>43877.99861</v>
      </c>
      <c r="B3512" s="1">
        <f>IFERROR(__xludf.DUMMYFUNCTION("""COMPUTED_VALUE"""),13685.91)</f>
        <v>13685.91</v>
      </c>
    </row>
    <row r="3513">
      <c r="A3513" s="3">
        <f>IFERROR(__xludf.DUMMYFUNCTION("""COMPUTED_VALUE"""),43878.99861111111)</f>
        <v>43878.99861</v>
      </c>
      <c r="B3513" s="1">
        <f>IFERROR(__xludf.DUMMYFUNCTION("""COMPUTED_VALUE"""),13727.5)</f>
        <v>13727.5</v>
      </c>
    </row>
    <row r="3514">
      <c r="A3514" s="3">
        <f>IFERROR(__xludf.DUMMYFUNCTION("""COMPUTED_VALUE"""),43879.99861111111)</f>
        <v>43879.99861</v>
      </c>
      <c r="B3514" s="1">
        <f>IFERROR(__xludf.DUMMYFUNCTION("""COMPUTED_VALUE"""),13772.0)</f>
        <v>13772</v>
      </c>
    </row>
    <row r="3515">
      <c r="A3515" s="3">
        <f>IFERROR(__xludf.DUMMYFUNCTION("""COMPUTED_VALUE"""),43880.99861111111)</f>
        <v>43880.99861</v>
      </c>
      <c r="B3515" s="1">
        <f>IFERROR(__xludf.DUMMYFUNCTION("""COMPUTED_VALUE"""),13667.02)</f>
        <v>13667.02</v>
      </c>
    </row>
    <row r="3516">
      <c r="A3516" s="3">
        <f>IFERROR(__xludf.DUMMYFUNCTION("""COMPUTED_VALUE"""),43881.99861111111)</f>
        <v>43881.99861</v>
      </c>
      <c r="B3516" s="1">
        <f>IFERROR(__xludf.DUMMYFUNCTION("""COMPUTED_VALUE"""),13708.02)</f>
        <v>13708.02</v>
      </c>
    </row>
    <row r="3517">
      <c r="A3517" s="3">
        <f>IFERROR(__xludf.DUMMYFUNCTION("""COMPUTED_VALUE"""),43882.99861111111)</f>
        <v>43882.99861</v>
      </c>
      <c r="B3517" s="1">
        <f>IFERROR(__xludf.DUMMYFUNCTION("""COMPUTED_VALUE"""),13775.27)</f>
        <v>13775.27</v>
      </c>
    </row>
    <row r="3518">
      <c r="A3518" s="3">
        <f>IFERROR(__xludf.DUMMYFUNCTION("""COMPUTED_VALUE"""),43883.99861111111)</f>
        <v>43883.99861</v>
      </c>
      <c r="B3518" s="1">
        <f>IFERROR(__xludf.DUMMYFUNCTION("""COMPUTED_VALUE"""),13775.27)</f>
        <v>13775.27</v>
      </c>
    </row>
    <row r="3519">
      <c r="A3519" s="3">
        <f>IFERROR(__xludf.DUMMYFUNCTION("""COMPUTED_VALUE"""),43884.99861111111)</f>
        <v>43884.99861</v>
      </c>
      <c r="B3519" s="1">
        <f>IFERROR(__xludf.DUMMYFUNCTION("""COMPUTED_VALUE"""),13776.1)</f>
        <v>13776.1</v>
      </c>
    </row>
    <row r="3520">
      <c r="A3520" s="3">
        <f>IFERROR(__xludf.DUMMYFUNCTION("""COMPUTED_VALUE"""),43885.99861111111)</f>
        <v>43885.99861</v>
      </c>
      <c r="B3520" s="1">
        <f>IFERROR(__xludf.DUMMYFUNCTION("""COMPUTED_VALUE"""),13884.34)</f>
        <v>13884.34</v>
      </c>
    </row>
    <row r="3521">
      <c r="A3521" s="3">
        <f>IFERROR(__xludf.DUMMYFUNCTION("""COMPUTED_VALUE"""),43886.99861111111)</f>
        <v>43886.99861</v>
      </c>
      <c r="B3521" s="1">
        <f>IFERROR(__xludf.DUMMYFUNCTION("""COMPUTED_VALUE"""),14060.5)</f>
        <v>14060.5</v>
      </c>
    </row>
    <row r="3522">
      <c r="A3522" s="3">
        <f>IFERROR(__xludf.DUMMYFUNCTION("""COMPUTED_VALUE"""),43887.99861111111)</f>
        <v>43887.99861</v>
      </c>
      <c r="B3522" s="1">
        <f>IFERROR(__xludf.DUMMYFUNCTION("""COMPUTED_VALUE"""),13938.0)</f>
        <v>13938</v>
      </c>
    </row>
    <row r="3523">
      <c r="A3523" s="3">
        <f>IFERROR(__xludf.DUMMYFUNCTION("""COMPUTED_VALUE"""),43888.99861111111)</f>
        <v>43888.99861</v>
      </c>
      <c r="B3523" s="1">
        <f>IFERROR(__xludf.DUMMYFUNCTION("""COMPUTED_VALUE"""),14320.0)</f>
        <v>14320</v>
      </c>
    </row>
    <row r="3524">
      <c r="A3524" s="3">
        <f>IFERROR(__xludf.DUMMYFUNCTION("""COMPUTED_VALUE"""),43889.99861111111)</f>
        <v>43889.99861</v>
      </c>
      <c r="B3524" s="1">
        <f>IFERROR(__xludf.DUMMYFUNCTION("""COMPUTED_VALUE"""),14314.0)</f>
        <v>14314</v>
      </c>
    </row>
    <row r="3525">
      <c r="A3525" s="3">
        <f>IFERROR(__xludf.DUMMYFUNCTION("""COMPUTED_VALUE"""),43890.99861111111)</f>
        <v>43890.99861</v>
      </c>
      <c r="B3525" s="1">
        <f>IFERROR(__xludf.DUMMYFUNCTION("""COMPUTED_VALUE"""),14314.0)</f>
        <v>14314</v>
      </c>
    </row>
    <row r="3526">
      <c r="A3526" s="3">
        <f>IFERROR(__xludf.DUMMYFUNCTION("""COMPUTED_VALUE"""),43891.99861111111)</f>
        <v>43891.99861</v>
      </c>
      <c r="B3526" s="1">
        <f>IFERROR(__xludf.DUMMYFUNCTION("""COMPUTED_VALUE"""),13976.5)</f>
        <v>13976.5</v>
      </c>
    </row>
    <row r="3527">
      <c r="A3527" s="3">
        <f>IFERROR(__xludf.DUMMYFUNCTION("""COMPUTED_VALUE"""),43892.99861111111)</f>
        <v>43892.99861</v>
      </c>
      <c r="B3527" s="1">
        <f>IFERROR(__xludf.DUMMYFUNCTION("""COMPUTED_VALUE"""),14230.0)</f>
        <v>14230</v>
      </c>
    </row>
    <row r="3528">
      <c r="A3528" s="3">
        <f>IFERROR(__xludf.DUMMYFUNCTION("""COMPUTED_VALUE"""),43893.99861111111)</f>
        <v>43893.99861</v>
      </c>
      <c r="B3528" s="1">
        <f>IFERROR(__xludf.DUMMYFUNCTION("""COMPUTED_VALUE"""),14199.55)</f>
        <v>14199.55</v>
      </c>
    </row>
    <row r="3529">
      <c r="A3529" s="3">
        <f>IFERROR(__xludf.DUMMYFUNCTION("""COMPUTED_VALUE"""),43894.99861111111)</f>
        <v>43894.99861</v>
      </c>
      <c r="B3529" s="1">
        <f>IFERROR(__xludf.DUMMYFUNCTION("""COMPUTED_VALUE"""),14160.15)</f>
        <v>14160.15</v>
      </c>
    </row>
    <row r="3530">
      <c r="A3530" s="3">
        <f>IFERROR(__xludf.DUMMYFUNCTION("""COMPUTED_VALUE"""),43895.99861111111)</f>
        <v>43895.99861</v>
      </c>
      <c r="B3530" s="1">
        <f>IFERROR(__xludf.DUMMYFUNCTION("""COMPUTED_VALUE"""),14483.5)</f>
        <v>14483.5</v>
      </c>
    </row>
    <row r="3531">
      <c r="A3531" s="3">
        <f>IFERROR(__xludf.DUMMYFUNCTION("""COMPUTED_VALUE"""),43896.99861111111)</f>
        <v>43896.99861</v>
      </c>
      <c r="B3531" s="1">
        <f>IFERROR(__xludf.DUMMYFUNCTION("""COMPUTED_VALUE"""),14253.76)</f>
        <v>14253.76</v>
      </c>
    </row>
    <row r="3532">
      <c r="A3532" s="3">
        <f>IFERROR(__xludf.DUMMYFUNCTION("""COMPUTED_VALUE"""),43897.99861111111)</f>
        <v>43897.99861</v>
      </c>
      <c r="B3532" s="1">
        <f>IFERROR(__xludf.DUMMYFUNCTION("""COMPUTED_VALUE"""),14256.35)</f>
        <v>14256.35</v>
      </c>
    </row>
    <row r="3533">
      <c r="A3533" s="3">
        <f>IFERROR(__xludf.DUMMYFUNCTION("""COMPUTED_VALUE"""),43898.99861111111)</f>
        <v>43898.99861</v>
      </c>
      <c r="B3533" s="1">
        <f>IFERROR(__xludf.DUMMYFUNCTION("""COMPUTED_VALUE"""),14255.97)</f>
        <v>14255.97</v>
      </c>
    </row>
    <row r="3534">
      <c r="A3534" s="3">
        <f>IFERROR(__xludf.DUMMYFUNCTION("""COMPUTED_VALUE"""),43899.99861111111)</f>
        <v>43899.99861</v>
      </c>
      <c r="B3534" s="1">
        <f>IFERROR(__xludf.DUMMYFUNCTION("""COMPUTED_VALUE"""),14095.03)</f>
        <v>14095.03</v>
      </c>
    </row>
    <row r="3535">
      <c r="A3535" s="3">
        <f>IFERROR(__xludf.DUMMYFUNCTION("""COMPUTED_VALUE"""),43900.99861111111)</f>
        <v>43900.99861</v>
      </c>
      <c r="B3535" s="1">
        <f>IFERROR(__xludf.DUMMYFUNCTION("""COMPUTED_VALUE"""),14272.95)</f>
        <v>14272.95</v>
      </c>
    </row>
    <row r="3536">
      <c r="A3536" s="3">
        <f>IFERROR(__xludf.DUMMYFUNCTION("""COMPUTED_VALUE"""),43901.99861111111)</f>
        <v>43901.99861</v>
      </c>
      <c r="B3536" s="1">
        <f>IFERROR(__xludf.DUMMYFUNCTION("""COMPUTED_VALUE"""),14532.0)</f>
        <v>14532</v>
      </c>
    </row>
    <row r="3537">
      <c r="A3537" s="3">
        <f>IFERROR(__xludf.DUMMYFUNCTION("""COMPUTED_VALUE"""),43902.99861111111)</f>
        <v>43902.99861</v>
      </c>
      <c r="B3537" s="1">
        <f>IFERROR(__xludf.DUMMYFUNCTION("""COMPUTED_VALUE"""),14862.5)</f>
        <v>14862.5</v>
      </c>
    </row>
    <row r="3538">
      <c r="A3538" s="3">
        <f>IFERROR(__xludf.DUMMYFUNCTION("""COMPUTED_VALUE"""),43903.99861111111)</f>
        <v>43903.99861</v>
      </c>
      <c r="B3538" s="1">
        <f>IFERROR(__xludf.DUMMYFUNCTION("""COMPUTED_VALUE"""),14647.1)</f>
        <v>14647.1</v>
      </c>
    </row>
    <row r="3539">
      <c r="A3539" s="3">
        <f>IFERROR(__xludf.DUMMYFUNCTION("""COMPUTED_VALUE"""),43904.99861111111)</f>
        <v>43904.99861</v>
      </c>
      <c r="B3539" s="1">
        <f>IFERROR(__xludf.DUMMYFUNCTION("""COMPUTED_VALUE"""),14647.1)</f>
        <v>14647.1</v>
      </c>
    </row>
    <row r="3540">
      <c r="A3540" s="3">
        <f>IFERROR(__xludf.DUMMYFUNCTION("""COMPUTED_VALUE"""),43905.99861111111)</f>
        <v>43905.99861</v>
      </c>
      <c r="B3540" s="1">
        <f>IFERROR(__xludf.DUMMYFUNCTION("""COMPUTED_VALUE"""),14639.51)</f>
        <v>14639.51</v>
      </c>
    </row>
    <row r="3541">
      <c r="A3541" s="3">
        <f>IFERROR(__xludf.DUMMYFUNCTION("""COMPUTED_VALUE"""),43906.99861111111)</f>
        <v>43906.99861</v>
      </c>
      <c r="B3541" s="1">
        <f>IFERROR(__xludf.DUMMYFUNCTION("""COMPUTED_VALUE"""),14877.62)</f>
        <v>14877.62</v>
      </c>
    </row>
    <row r="3542">
      <c r="A3542" s="3">
        <f>IFERROR(__xludf.DUMMYFUNCTION("""COMPUTED_VALUE"""),43907.99861111111)</f>
        <v>43907.99861</v>
      </c>
      <c r="B3542" s="1">
        <f>IFERROR(__xludf.DUMMYFUNCTION("""COMPUTED_VALUE"""),15133.19)</f>
        <v>15133.19</v>
      </c>
    </row>
    <row r="3543">
      <c r="A3543" s="3">
        <f>IFERROR(__xludf.DUMMYFUNCTION("""COMPUTED_VALUE"""),43908.99861111111)</f>
        <v>43908.99861</v>
      </c>
      <c r="B3543" s="1">
        <f>IFERROR(__xludf.DUMMYFUNCTION("""COMPUTED_VALUE"""),15480.0)</f>
        <v>15480</v>
      </c>
    </row>
    <row r="3544">
      <c r="A3544" s="3">
        <f>IFERROR(__xludf.DUMMYFUNCTION("""COMPUTED_VALUE"""),43909.99861111111)</f>
        <v>43909.99861</v>
      </c>
      <c r="B3544" s="1">
        <f>IFERROR(__xludf.DUMMYFUNCTION("""COMPUTED_VALUE"""),15915.0)</f>
        <v>15915</v>
      </c>
    </row>
    <row r="3545">
      <c r="A3545" s="3">
        <f>IFERROR(__xludf.DUMMYFUNCTION("""COMPUTED_VALUE"""),43910.99861111111)</f>
        <v>43910.99861</v>
      </c>
      <c r="B3545" s="1">
        <f>IFERROR(__xludf.DUMMYFUNCTION("""COMPUTED_VALUE"""),15779.38)</f>
        <v>15779.38</v>
      </c>
    </row>
    <row r="3546">
      <c r="A3546" s="3">
        <f>IFERROR(__xludf.DUMMYFUNCTION("""COMPUTED_VALUE"""),43911.99861111111)</f>
        <v>43911.99861</v>
      </c>
      <c r="B3546" s="1">
        <f>IFERROR(__xludf.DUMMYFUNCTION("""COMPUTED_VALUE"""),15770.89)</f>
        <v>15770.89</v>
      </c>
    </row>
    <row r="3547">
      <c r="A3547" s="3">
        <f>IFERROR(__xludf.DUMMYFUNCTION("""COMPUTED_VALUE"""),43912.99861111111)</f>
        <v>43912.99861</v>
      </c>
      <c r="B3547" s="1">
        <f>IFERROR(__xludf.DUMMYFUNCTION("""COMPUTED_VALUE"""),15770.89)</f>
        <v>15770.89</v>
      </c>
    </row>
    <row r="3548">
      <c r="A3548" s="3">
        <f>IFERROR(__xludf.DUMMYFUNCTION("""COMPUTED_VALUE"""),43913.99861111111)</f>
        <v>43913.99861</v>
      </c>
      <c r="B3548" s="1">
        <f>IFERROR(__xludf.DUMMYFUNCTION("""COMPUTED_VALUE"""),16510.31)</f>
        <v>16510.31</v>
      </c>
    </row>
    <row r="3549">
      <c r="A3549" s="3">
        <f>IFERROR(__xludf.DUMMYFUNCTION("""COMPUTED_VALUE"""),43914.99861111111)</f>
        <v>43914.99861</v>
      </c>
      <c r="B3549" s="1">
        <f>IFERROR(__xludf.DUMMYFUNCTION("""COMPUTED_VALUE"""),16232.5)</f>
        <v>16232.5</v>
      </c>
    </row>
    <row r="3550">
      <c r="A3550" s="3">
        <f>IFERROR(__xludf.DUMMYFUNCTION("""COMPUTED_VALUE"""),43915.99861111111)</f>
        <v>43915.99861</v>
      </c>
      <c r="B3550" s="1">
        <f>IFERROR(__xludf.DUMMYFUNCTION("""COMPUTED_VALUE"""),16457.61)</f>
        <v>16457.61</v>
      </c>
    </row>
    <row r="3551">
      <c r="A3551" s="3">
        <f>IFERROR(__xludf.DUMMYFUNCTION("""COMPUTED_VALUE"""),43916.99861111111)</f>
        <v>43916.99861</v>
      </c>
      <c r="B3551" s="1">
        <f>IFERROR(__xludf.DUMMYFUNCTION("""COMPUTED_VALUE"""),16232.57)</f>
        <v>16232.57</v>
      </c>
    </row>
    <row r="3552">
      <c r="A3552" s="3">
        <f>IFERROR(__xludf.DUMMYFUNCTION("""COMPUTED_VALUE"""),43917.99861111111)</f>
        <v>43917.99861</v>
      </c>
      <c r="B3552" s="1">
        <f>IFERROR(__xludf.DUMMYFUNCTION("""COMPUTED_VALUE"""),16019.96)</f>
        <v>16019.96</v>
      </c>
    </row>
    <row r="3553">
      <c r="A3553" s="3">
        <f>IFERROR(__xludf.DUMMYFUNCTION("""COMPUTED_VALUE"""),43918.99861111111)</f>
        <v>43918.99861</v>
      </c>
      <c r="B3553" s="1">
        <f>IFERROR(__xludf.DUMMYFUNCTION("""COMPUTED_VALUE"""),16019.96)</f>
        <v>16019.96</v>
      </c>
    </row>
    <row r="3554">
      <c r="A3554" s="3">
        <f>IFERROR(__xludf.DUMMYFUNCTION("""COMPUTED_VALUE"""),43919.99861111111)</f>
        <v>43919.99861</v>
      </c>
      <c r="B3554" s="1">
        <f>IFERROR(__xludf.DUMMYFUNCTION("""COMPUTED_VALUE"""),16009.81)</f>
        <v>16009.81</v>
      </c>
    </row>
    <row r="3555">
      <c r="A3555" s="3">
        <f>IFERROR(__xludf.DUMMYFUNCTION("""COMPUTED_VALUE"""),43920.99861111111)</f>
        <v>43920.99861</v>
      </c>
      <c r="B3555" s="1">
        <f>IFERROR(__xludf.DUMMYFUNCTION("""COMPUTED_VALUE"""),16351.76)</f>
        <v>16351.76</v>
      </c>
    </row>
    <row r="3556">
      <c r="A3556" s="3">
        <f>IFERROR(__xludf.DUMMYFUNCTION("""COMPUTED_VALUE"""),43921.99861111111)</f>
        <v>43921.99861</v>
      </c>
      <c r="B3556" s="1">
        <f>IFERROR(__xludf.DUMMYFUNCTION("""COMPUTED_VALUE"""),16280.98)</f>
        <v>16280.98</v>
      </c>
    </row>
    <row r="3557">
      <c r="A3557" s="3">
        <f>IFERROR(__xludf.DUMMYFUNCTION("""COMPUTED_VALUE"""),43922.99861111111)</f>
        <v>43922.99861</v>
      </c>
      <c r="B3557" s="1">
        <f>IFERROR(__xludf.DUMMYFUNCTION("""COMPUTED_VALUE"""),16418.28)</f>
        <v>16418.28</v>
      </c>
    </row>
    <row r="3558">
      <c r="A3558" s="3">
        <f>IFERROR(__xludf.DUMMYFUNCTION("""COMPUTED_VALUE"""),43923.99861111111)</f>
        <v>43923.99861</v>
      </c>
      <c r="B3558" s="1">
        <f>IFERROR(__xludf.DUMMYFUNCTION("""COMPUTED_VALUE"""),16449.85)</f>
        <v>16449.85</v>
      </c>
    </row>
    <row r="3559">
      <c r="A3559" s="3">
        <f>IFERROR(__xludf.DUMMYFUNCTION("""COMPUTED_VALUE"""),43924.99861111111)</f>
        <v>43924.99861</v>
      </c>
      <c r="B3559" s="1">
        <f>IFERROR(__xludf.DUMMYFUNCTION("""COMPUTED_VALUE"""),16644.3)</f>
        <v>16644.3</v>
      </c>
    </row>
    <row r="3560">
      <c r="A3560" s="3">
        <f>IFERROR(__xludf.DUMMYFUNCTION("""COMPUTED_VALUE"""),43925.99861111111)</f>
        <v>43925.99861</v>
      </c>
      <c r="B3560" s="1">
        <f>IFERROR(__xludf.DUMMYFUNCTION("""COMPUTED_VALUE"""),16385.93)</f>
        <v>16385.93</v>
      </c>
    </row>
    <row r="3561">
      <c r="A3561" s="3">
        <f>IFERROR(__xludf.DUMMYFUNCTION("""COMPUTED_VALUE"""),43926.99861111111)</f>
        <v>43926.99861</v>
      </c>
      <c r="B3561" s="1">
        <f>IFERROR(__xludf.DUMMYFUNCTION("""COMPUTED_VALUE"""),16425.0)</f>
        <v>16425</v>
      </c>
    </row>
    <row r="3562">
      <c r="A3562" s="3">
        <f>IFERROR(__xludf.DUMMYFUNCTION("""COMPUTED_VALUE"""),43927.99861111111)</f>
        <v>43927.99861</v>
      </c>
      <c r="B3562" s="1">
        <f>IFERROR(__xludf.DUMMYFUNCTION("""COMPUTED_VALUE"""),16369.28)</f>
        <v>16369.28</v>
      </c>
    </row>
    <row r="3563">
      <c r="A3563" s="3">
        <f>IFERROR(__xludf.DUMMYFUNCTION("""COMPUTED_VALUE"""),43928.99861111111)</f>
        <v>43928.99861</v>
      </c>
      <c r="B3563" s="1">
        <f>IFERROR(__xludf.DUMMYFUNCTION("""COMPUTED_VALUE"""),16260.0)</f>
        <v>16260</v>
      </c>
    </row>
    <row r="3564">
      <c r="A3564" s="3">
        <f>IFERROR(__xludf.DUMMYFUNCTION("""COMPUTED_VALUE"""),43929.99861111111)</f>
        <v>43929.99861</v>
      </c>
      <c r="B3564" s="1">
        <f>IFERROR(__xludf.DUMMYFUNCTION("""COMPUTED_VALUE"""),16205.42)</f>
        <v>16205.42</v>
      </c>
    </row>
    <row r="3565">
      <c r="A3565" s="3">
        <f>IFERROR(__xludf.DUMMYFUNCTION("""COMPUTED_VALUE"""),43930.99861111111)</f>
        <v>43930.99861</v>
      </c>
      <c r="B3565" s="1">
        <f>IFERROR(__xludf.DUMMYFUNCTION("""COMPUTED_VALUE"""),15907.5)</f>
        <v>15907.5</v>
      </c>
    </row>
    <row r="3566">
      <c r="A3566" s="3">
        <f>IFERROR(__xludf.DUMMYFUNCTION("""COMPUTED_VALUE"""),43931.99861111111)</f>
        <v>43931.99861</v>
      </c>
      <c r="B3566" s="1">
        <f>IFERROR(__xludf.DUMMYFUNCTION("""COMPUTED_VALUE"""),15802.0)</f>
        <v>15802</v>
      </c>
    </row>
    <row r="3567">
      <c r="A3567" s="3">
        <f>IFERROR(__xludf.DUMMYFUNCTION("""COMPUTED_VALUE"""),43932.99861111111)</f>
        <v>43932.99861</v>
      </c>
      <c r="B3567" s="1">
        <f>IFERROR(__xludf.DUMMYFUNCTION("""COMPUTED_VALUE"""),15802.0)</f>
        <v>15802</v>
      </c>
    </row>
    <row r="3568">
      <c r="A3568" s="3">
        <f>IFERROR(__xludf.DUMMYFUNCTION("""COMPUTED_VALUE"""),43933.99861111111)</f>
        <v>43933.99861</v>
      </c>
      <c r="B3568" s="1">
        <f>IFERROR(__xludf.DUMMYFUNCTION("""COMPUTED_VALUE"""),15808.0)</f>
        <v>15808</v>
      </c>
    </row>
    <row r="3569">
      <c r="A3569" s="3">
        <f>IFERROR(__xludf.DUMMYFUNCTION("""COMPUTED_VALUE"""),43934.99861111111)</f>
        <v>43934.99861</v>
      </c>
      <c r="B3569" s="1">
        <f>IFERROR(__xludf.DUMMYFUNCTION("""COMPUTED_VALUE"""),15857.5)</f>
        <v>15857.5</v>
      </c>
    </row>
    <row r="3570">
      <c r="A3570" s="3">
        <f>IFERROR(__xludf.DUMMYFUNCTION("""COMPUTED_VALUE"""),43935.99861111111)</f>
        <v>43935.99861</v>
      </c>
      <c r="B3570" s="1">
        <f>IFERROR(__xludf.DUMMYFUNCTION("""COMPUTED_VALUE"""),15582.9)</f>
        <v>15582.9</v>
      </c>
    </row>
    <row r="3571">
      <c r="A3571" s="3">
        <f>IFERROR(__xludf.DUMMYFUNCTION("""COMPUTED_VALUE"""),43936.99861111111)</f>
        <v>43936.99861</v>
      </c>
      <c r="B3571" s="1">
        <f>IFERROR(__xludf.DUMMYFUNCTION("""COMPUTED_VALUE"""),15907.5)</f>
        <v>15907.5</v>
      </c>
    </row>
    <row r="3572">
      <c r="A3572" s="3">
        <f>IFERROR(__xludf.DUMMYFUNCTION("""COMPUTED_VALUE"""),43937.99861111111)</f>
        <v>43937.99861</v>
      </c>
      <c r="B3572" s="1">
        <f>IFERROR(__xludf.DUMMYFUNCTION("""COMPUTED_VALUE"""),15581.69)</f>
        <v>15581.69</v>
      </c>
    </row>
    <row r="3573">
      <c r="A3573" s="3">
        <f>IFERROR(__xludf.DUMMYFUNCTION("""COMPUTED_VALUE"""),43938.99861111111)</f>
        <v>43938.99861</v>
      </c>
      <c r="B3573" s="1">
        <f>IFERROR(__xludf.DUMMYFUNCTION("""COMPUTED_VALUE"""),15446.31)</f>
        <v>15446.31</v>
      </c>
    </row>
    <row r="3574">
      <c r="A3574" s="3">
        <f>IFERROR(__xludf.DUMMYFUNCTION("""COMPUTED_VALUE"""),43939.99861111111)</f>
        <v>43939.99861</v>
      </c>
      <c r="B3574" s="1">
        <f>IFERROR(__xludf.DUMMYFUNCTION("""COMPUTED_VALUE"""),15444.6)</f>
        <v>15444.6</v>
      </c>
    </row>
    <row r="3575">
      <c r="A3575" s="3">
        <f>IFERROR(__xludf.DUMMYFUNCTION("""COMPUTED_VALUE"""),43940.99861111111)</f>
        <v>43940.99861</v>
      </c>
      <c r="B3575" s="1">
        <f>IFERROR(__xludf.DUMMYFUNCTION("""COMPUTED_VALUE"""),15430.0)</f>
        <v>15430</v>
      </c>
    </row>
    <row r="3576">
      <c r="A3576" s="3">
        <f>IFERROR(__xludf.DUMMYFUNCTION("""COMPUTED_VALUE"""),43941.99861111111)</f>
        <v>43941.99861</v>
      </c>
      <c r="B3576" s="1">
        <f>IFERROR(__xludf.DUMMYFUNCTION("""COMPUTED_VALUE"""),15381.66)</f>
        <v>15381.66</v>
      </c>
    </row>
    <row r="3577">
      <c r="A3577" s="3">
        <f>IFERROR(__xludf.DUMMYFUNCTION("""COMPUTED_VALUE"""),43942.99861111111)</f>
        <v>43942.99861</v>
      </c>
      <c r="B3577" s="1">
        <f>IFERROR(__xludf.DUMMYFUNCTION("""COMPUTED_VALUE"""),15403.51)</f>
        <v>15403.51</v>
      </c>
    </row>
    <row r="3578">
      <c r="A3578" s="3">
        <f>IFERROR(__xludf.DUMMYFUNCTION("""COMPUTED_VALUE"""),43943.99861111111)</f>
        <v>43943.99861</v>
      </c>
      <c r="B3578" s="1">
        <f>IFERROR(__xludf.DUMMYFUNCTION("""COMPUTED_VALUE"""),15413.24)</f>
        <v>15413.24</v>
      </c>
    </row>
    <row r="3579">
      <c r="A3579" s="3">
        <f>IFERROR(__xludf.DUMMYFUNCTION("""COMPUTED_VALUE"""),43944.99861111111)</f>
        <v>43944.99861</v>
      </c>
      <c r="B3579" s="1">
        <f>IFERROR(__xludf.DUMMYFUNCTION("""COMPUTED_VALUE"""),15401.23)</f>
        <v>15401.23</v>
      </c>
    </row>
    <row r="3580">
      <c r="A3580" s="3">
        <f>IFERROR(__xludf.DUMMYFUNCTION("""COMPUTED_VALUE"""),43945.99861111111)</f>
        <v>43945.99861</v>
      </c>
      <c r="B3580" s="1">
        <f>IFERROR(__xludf.DUMMYFUNCTION("""COMPUTED_VALUE"""),15587.9)</f>
        <v>15587.9</v>
      </c>
    </row>
    <row r="3581">
      <c r="A3581" s="3">
        <f>IFERROR(__xludf.DUMMYFUNCTION("""COMPUTED_VALUE"""),43946.99861111111)</f>
        <v>43946.99861</v>
      </c>
      <c r="B3581" s="1">
        <f>IFERROR(__xludf.DUMMYFUNCTION("""COMPUTED_VALUE"""),15563.1)</f>
        <v>15563.1</v>
      </c>
    </row>
    <row r="3582">
      <c r="A3582" s="3">
        <f>IFERROR(__xludf.DUMMYFUNCTION("""COMPUTED_VALUE"""),43947.99861111111)</f>
        <v>43947.99861</v>
      </c>
      <c r="B3582" s="1">
        <f>IFERROR(__xludf.DUMMYFUNCTION("""COMPUTED_VALUE"""),15353.36)</f>
        <v>15353.36</v>
      </c>
    </row>
    <row r="3583">
      <c r="A3583" s="3">
        <f>IFERROR(__xludf.DUMMYFUNCTION("""COMPUTED_VALUE"""),43948.99861111111)</f>
        <v>43948.99861</v>
      </c>
      <c r="B3583" s="1">
        <f>IFERROR(__xludf.DUMMYFUNCTION("""COMPUTED_VALUE"""),15317.0)</f>
        <v>15317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IFERROR(__xludf.DUMMYFUNCTION("googlefinance(""Currency:AUDIDR"",""price"",""01/01/2010"",""28/04/2020"",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IFERROR(__xludf.DUMMYFUNCTION("""COMPUTED_VALUE"""),8422.63744)</f>
        <v>8422.63744</v>
      </c>
    </row>
    <row r="3">
      <c r="A3" s="3">
        <f>IFERROR(__xludf.DUMMYFUNCTION("""COMPUTED_VALUE"""),40182.99861111111)</f>
        <v>40182.99861</v>
      </c>
      <c r="B3" s="1">
        <f>IFERROR(__xludf.DUMMYFUNCTION("""COMPUTED_VALUE"""),8542.02324)</f>
        <v>8542.02324</v>
      </c>
    </row>
    <row r="4">
      <c r="A4" s="3">
        <f>IFERROR(__xludf.DUMMYFUNCTION("""COMPUTED_VALUE"""),40183.99861111111)</f>
        <v>40183.99861</v>
      </c>
      <c r="B4" s="1">
        <f>IFERROR(__xludf.DUMMYFUNCTION("""COMPUTED_VALUE"""),8478.89824)</f>
        <v>8478.89824</v>
      </c>
    </row>
    <row r="5">
      <c r="A5" s="3">
        <f>IFERROR(__xludf.DUMMYFUNCTION("""COMPUTED_VALUE"""),40184.99861111111)</f>
        <v>40184.99861</v>
      </c>
      <c r="B5" s="1">
        <f>IFERROR(__xludf.DUMMYFUNCTION("""COMPUTED_VALUE"""),8479.73019)</f>
        <v>8479.73019</v>
      </c>
    </row>
    <row r="6">
      <c r="A6" s="3">
        <f>IFERROR(__xludf.DUMMYFUNCTION("""COMPUTED_VALUE"""),40185.99861111111)</f>
        <v>40185.99861</v>
      </c>
      <c r="B6" s="1">
        <f>IFERROR(__xludf.DUMMYFUNCTION("""COMPUTED_VALUE"""),8506.5915)</f>
        <v>8506.5915</v>
      </c>
    </row>
    <row r="7">
      <c r="A7" s="3">
        <f>IFERROR(__xludf.DUMMYFUNCTION("""COMPUTED_VALUE"""),40186.99861111111)</f>
        <v>40186.99861</v>
      </c>
      <c r="B7" s="1">
        <f>IFERROR(__xludf.DUMMYFUNCTION("""COMPUTED_VALUE"""),8518.06242)</f>
        <v>8518.06242</v>
      </c>
    </row>
    <row r="8">
      <c r="A8" s="3">
        <f>IFERROR(__xludf.DUMMYFUNCTION("""COMPUTED_VALUE"""),40189.99861111111)</f>
        <v>40189.99861</v>
      </c>
      <c r="B8" s="1">
        <f>IFERROR(__xludf.DUMMYFUNCTION("""COMPUTED_VALUE"""),8502.24414)</f>
        <v>8502.24414</v>
      </c>
    </row>
    <row r="9">
      <c r="A9" s="3">
        <f>IFERROR(__xludf.DUMMYFUNCTION("""COMPUTED_VALUE"""),40190.99861111111)</f>
        <v>40190.99861</v>
      </c>
      <c r="B9" s="1">
        <f>IFERROR(__xludf.DUMMYFUNCTION("""COMPUTED_VALUE"""),8439.1542)</f>
        <v>8439.1542</v>
      </c>
    </row>
    <row r="10">
      <c r="A10" s="3">
        <f>IFERROR(__xludf.DUMMYFUNCTION("""COMPUTED_VALUE"""),40191.99861111111)</f>
        <v>40191.99861</v>
      </c>
      <c r="B10" s="1">
        <f>IFERROR(__xludf.DUMMYFUNCTION("""COMPUTED_VALUE"""),8447.1981)</f>
        <v>8447.1981</v>
      </c>
    </row>
    <row r="11">
      <c r="A11" s="3">
        <f>IFERROR(__xludf.DUMMYFUNCTION("""COMPUTED_VALUE"""),40192.99861111111)</f>
        <v>40192.99861</v>
      </c>
      <c r="B11" s="1">
        <f>IFERROR(__xludf.DUMMYFUNCTION("""COMPUTED_VALUE"""),8522.21864)</f>
        <v>8522.21864</v>
      </c>
    </row>
    <row r="12">
      <c r="A12" s="3">
        <f>IFERROR(__xludf.DUMMYFUNCTION("""COMPUTED_VALUE"""),40193.99861111111)</f>
        <v>40193.99861</v>
      </c>
      <c r="B12" s="1">
        <f>IFERROR(__xludf.DUMMYFUNCTION("""COMPUTED_VALUE"""),8514.859951)</f>
        <v>8514.859951</v>
      </c>
    </row>
    <row r="13">
      <c r="A13" s="3">
        <f>IFERROR(__xludf.DUMMYFUNCTION("""COMPUTED_VALUE"""),40196.99861111111)</f>
        <v>40196.99861</v>
      </c>
      <c r="B13" s="1">
        <f>IFERROR(__xludf.DUMMYFUNCTION("""COMPUTED_VALUE"""),8464.423)</f>
        <v>8464.423</v>
      </c>
    </row>
    <row r="14">
      <c r="A14" s="3">
        <f>IFERROR(__xludf.DUMMYFUNCTION("""COMPUTED_VALUE"""),40197.99861111111)</f>
        <v>40197.99861</v>
      </c>
      <c r="B14" s="1">
        <f>IFERROR(__xludf.DUMMYFUNCTION("""COMPUTED_VALUE"""),8512.782885)</f>
        <v>8512.782885</v>
      </c>
    </row>
    <row r="15">
      <c r="A15" s="3">
        <f>IFERROR(__xludf.DUMMYFUNCTION("""COMPUTED_VALUE"""),40198.99861111111)</f>
        <v>40198.99861</v>
      </c>
      <c r="B15" s="1">
        <f>IFERROR(__xludf.DUMMYFUNCTION("""COMPUTED_VALUE"""),8469.55844)</f>
        <v>8469.55844</v>
      </c>
    </row>
    <row r="16">
      <c r="A16" s="3">
        <f>IFERROR(__xludf.DUMMYFUNCTION("""COMPUTED_VALUE"""),40199.99861111111)</f>
        <v>40199.99861</v>
      </c>
      <c r="B16" s="1">
        <f>IFERROR(__xludf.DUMMYFUNCTION("""COMPUTED_VALUE"""),8303.2686)</f>
        <v>8303.2686</v>
      </c>
    </row>
    <row r="17">
      <c r="A17" s="3">
        <f>IFERROR(__xludf.DUMMYFUNCTION("""COMPUTED_VALUE"""),40200.99861111111)</f>
        <v>40200.99861</v>
      </c>
      <c r="B17" s="1">
        <f>IFERROR(__xludf.DUMMYFUNCTION("""COMPUTED_VALUE"""),8314.152)</f>
        <v>8314.152</v>
      </c>
    </row>
    <row r="18">
      <c r="A18" s="3">
        <f>IFERROR(__xludf.DUMMYFUNCTION("""COMPUTED_VALUE"""),40203.99861111111)</f>
        <v>40203.99861</v>
      </c>
      <c r="B18" s="1">
        <f>IFERROR(__xludf.DUMMYFUNCTION("""COMPUTED_VALUE"""),8430.82677)</f>
        <v>8430.82677</v>
      </c>
    </row>
    <row r="19">
      <c r="A19" s="3">
        <f>IFERROR(__xludf.DUMMYFUNCTION("""COMPUTED_VALUE"""),40204.99861111111)</f>
        <v>40204.99861</v>
      </c>
      <c r="B19" s="1">
        <f>IFERROR(__xludf.DUMMYFUNCTION("""COMPUTED_VALUE"""),8438.20302)</f>
        <v>8438.20302</v>
      </c>
    </row>
    <row r="20">
      <c r="A20" s="3">
        <f>IFERROR(__xludf.DUMMYFUNCTION("""COMPUTED_VALUE"""),40205.99861111111)</f>
        <v>40205.99861</v>
      </c>
      <c r="B20" s="1">
        <f>IFERROR(__xludf.DUMMYFUNCTION("""COMPUTED_VALUE"""),8422.543199)</f>
        <v>8422.543199</v>
      </c>
    </row>
    <row r="21">
      <c r="A21" s="3">
        <f>IFERROR(__xludf.DUMMYFUNCTION("""COMPUTED_VALUE"""),40206.99861111111)</f>
        <v>40206.99861</v>
      </c>
      <c r="B21" s="1">
        <f>IFERROR(__xludf.DUMMYFUNCTION("""COMPUTED_VALUE"""),8329.04534)</f>
        <v>8329.04534</v>
      </c>
    </row>
    <row r="22">
      <c r="A22" s="3">
        <f>IFERROR(__xludf.DUMMYFUNCTION("""COMPUTED_VALUE"""),40207.99861111111)</f>
        <v>40207.99861</v>
      </c>
      <c r="B22" s="1">
        <f>IFERROR(__xludf.DUMMYFUNCTION("""COMPUTED_VALUE"""),8169.6)</f>
        <v>8169.6</v>
      </c>
    </row>
    <row r="23">
      <c r="A23" s="3">
        <f>IFERROR(__xludf.DUMMYFUNCTION("""COMPUTED_VALUE"""),40210.99861111111)</f>
        <v>40210.99861</v>
      </c>
      <c r="B23" s="1">
        <f>IFERROR(__xludf.DUMMYFUNCTION("""COMPUTED_VALUE"""),8253.00624)</f>
        <v>8253.00624</v>
      </c>
    </row>
    <row r="24">
      <c r="A24" s="3">
        <f>IFERROR(__xludf.DUMMYFUNCTION("""COMPUTED_VALUE"""),40211.99861111111)</f>
        <v>40211.99861</v>
      </c>
      <c r="B24" s="1">
        <f>IFERROR(__xludf.DUMMYFUNCTION("""COMPUTED_VALUE"""),8262.18327)</f>
        <v>8262.18327</v>
      </c>
    </row>
    <row r="25">
      <c r="A25" s="3">
        <f>IFERROR(__xludf.DUMMYFUNCTION("""COMPUTED_VALUE"""),40212.99861111111)</f>
        <v>40212.99861</v>
      </c>
      <c r="B25" s="1">
        <f>IFERROR(__xludf.DUMMYFUNCTION("""COMPUTED_VALUE"""),8258.64074)</f>
        <v>8258.64074</v>
      </c>
    </row>
    <row r="26">
      <c r="A26" s="3">
        <f>IFERROR(__xludf.DUMMYFUNCTION("""COMPUTED_VALUE"""),40213.99861111111)</f>
        <v>40213.99861</v>
      </c>
      <c r="B26" s="1">
        <f>IFERROR(__xludf.DUMMYFUNCTION("""COMPUTED_VALUE"""),8153.46134)</f>
        <v>8153.46134</v>
      </c>
    </row>
    <row r="27">
      <c r="A27" s="3">
        <f>IFERROR(__xludf.DUMMYFUNCTION("""COMPUTED_VALUE"""),40214.99861111111)</f>
        <v>40214.99861</v>
      </c>
      <c r="B27" s="1">
        <f>IFERROR(__xludf.DUMMYFUNCTION("""COMPUTED_VALUE"""),8219.25761)</f>
        <v>8219.25761</v>
      </c>
    </row>
    <row r="28">
      <c r="A28" s="3">
        <f>IFERROR(__xludf.DUMMYFUNCTION("""COMPUTED_VALUE"""),40217.99861111111)</f>
        <v>40217.99861</v>
      </c>
      <c r="B28" s="1">
        <f>IFERROR(__xludf.DUMMYFUNCTION("""COMPUTED_VALUE"""),8187.0204)</f>
        <v>8187.0204</v>
      </c>
    </row>
    <row r="29">
      <c r="A29" s="3">
        <f>IFERROR(__xludf.DUMMYFUNCTION("""COMPUTED_VALUE"""),40218.99861111111)</f>
        <v>40218.99861</v>
      </c>
      <c r="B29" s="1">
        <f>IFERROR(__xludf.DUMMYFUNCTION("""COMPUTED_VALUE"""),8191.50003)</f>
        <v>8191.50003</v>
      </c>
    </row>
    <row r="30">
      <c r="A30" s="3">
        <f>IFERROR(__xludf.DUMMYFUNCTION("""COMPUTED_VALUE"""),40219.99861111111)</f>
        <v>40219.99861</v>
      </c>
      <c r="B30" s="1">
        <f>IFERROR(__xludf.DUMMYFUNCTION("""COMPUTED_VALUE"""),8166.307056)</f>
        <v>8166.307056</v>
      </c>
    </row>
    <row r="31">
      <c r="A31" s="3">
        <f>IFERROR(__xludf.DUMMYFUNCTION("""COMPUTED_VALUE"""),40220.99861111111)</f>
        <v>40220.99861</v>
      </c>
      <c r="B31" s="1">
        <f>IFERROR(__xludf.DUMMYFUNCTION("""COMPUTED_VALUE"""),8303.789)</f>
        <v>8303.789</v>
      </c>
    </row>
    <row r="32">
      <c r="A32" s="3">
        <f>IFERROR(__xludf.DUMMYFUNCTION("""COMPUTED_VALUE"""),40221.99861111111)</f>
        <v>40221.99861</v>
      </c>
      <c r="B32" s="1">
        <f>IFERROR(__xludf.DUMMYFUNCTION("""COMPUTED_VALUE"""),8281.31034)</f>
        <v>8281.31034</v>
      </c>
    </row>
    <row r="33">
      <c r="A33" s="3">
        <f>IFERROR(__xludf.DUMMYFUNCTION("""COMPUTED_VALUE"""),40224.99861111111)</f>
        <v>40224.99861</v>
      </c>
      <c r="B33" s="1">
        <f>IFERROR(__xludf.DUMMYFUNCTION("""COMPUTED_VALUE"""),8306.59272)</f>
        <v>8306.59272</v>
      </c>
    </row>
    <row r="34">
      <c r="A34" s="3">
        <f>IFERROR(__xludf.DUMMYFUNCTION("""COMPUTED_VALUE"""),40225.99861111111)</f>
        <v>40225.99861</v>
      </c>
      <c r="B34" s="1">
        <f>IFERROR(__xludf.DUMMYFUNCTION("""COMPUTED_VALUE"""),8372.9029)</f>
        <v>8372.9029</v>
      </c>
    </row>
    <row r="35">
      <c r="A35" s="3">
        <f>IFERROR(__xludf.DUMMYFUNCTION("""COMPUTED_VALUE"""),40226.99861111111)</f>
        <v>40226.99861</v>
      </c>
      <c r="B35" s="1">
        <f>IFERROR(__xludf.DUMMYFUNCTION("""COMPUTED_VALUE"""),8445.875064)</f>
        <v>8445.875064</v>
      </c>
    </row>
    <row r="36">
      <c r="A36" s="3">
        <f>IFERROR(__xludf.DUMMYFUNCTION("""COMPUTED_VALUE"""),40227.99861111111)</f>
        <v>40227.99861</v>
      </c>
      <c r="B36" s="1">
        <f>IFERROR(__xludf.DUMMYFUNCTION("""COMPUTED_VALUE"""),8449.12212)</f>
        <v>8449.12212</v>
      </c>
    </row>
    <row r="37">
      <c r="A37" s="3">
        <f>IFERROR(__xludf.DUMMYFUNCTION("""COMPUTED_VALUE"""),40228.99861111111)</f>
        <v>40228.99861</v>
      </c>
      <c r="B37" s="1">
        <f>IFERROR(__xludf.DUMMYFUNCTION("""COMPUTED_VALUE"""),8358.3339)</f>
        <v>8358.3339</v>
      </c>
    </row>
    <row r="38">
      <c r="A38" s="3">
        <f>IFERROR(__xludf.DUMMYFUNCTION("""COMPUTED_VALUE"""),40231.99861111111)</f>
        <v>40231.99861</v>
      </c>
      <c r="B38" s="1">
        <f>IFERROR(__xludf.DUMMYFUNCTION("""COMPUTED_VALUE"""),8356.31451)</f>
        <v>8356.31451</v>
      </c>
    </row>
    <row r="39">
      <c r="A39" s="3">
        <f>IFERROR(__xludf.DUMMYFUNCTION("""COMPUTED_VALUE"""),40232.99861111111)</f>
        <v>40232.99861</v>
      </c>
      <c r="B39" s="1">
        <f>IFERROR(__xludf.DUMMYFUNCTION("""COMPUTED_VALUE"""),8338.49068)</f>
        <v>8338.49068</v>
      </c>
    </row>
    <row r="40">
      <c r="A40" s="3">
        <f>IFERROR(__xludf.DUMMYFUNCTION("""COMPUTED_VALUE"""),40233.99861111111)</f>
        <v>40233.99861</v>
      </c>
      <c r="B40" s="1">
        <f>IFERROR(__xludf.DUMMYFUNCTION("""COMPUTED_VALUE"""),8362.82666)</f>
        <v>8362.82666</v>
      </c>
    </row>
    <row r="41">
      <c r="A41" s="3">
        <f>IFERROR(__xludf.DUMMYFUNCTION("""COMPUTED_VALUE"""),40234.99861111111)</f>
        <v>40234.99861</v>
      </c>
      <c r="B41" s="1">
        <f>IFERROR(__xludf.DUMMYFUNCTION("""COMPUTED_VALUE"""),8278.45536)</f>
        <v>8278.45536</v>
      </c>
    </row>
    <row r="42">
      <c r="A42" s="3">
        <f>IFERROR(__xludf.DUMMYFUNCTION("""COMPUTED_VALUE"""),40235.99861111111)</f>
        <v>40235.99861</v>
      </c>
      <c r="B42" s="1">
        <f>IFERROR(__xludf.DUMMYFUNCTION("""COMPUTED_VALUE"""),8363.036)</f>
        <v>8363.036</v>
      </c>
    </row>
    <row r="43">
      <c r="A43" s="3">
        <f>IFERROR(__xludf.DUMMYFUNCTION("""COMPUTED_VALUE"""),40238.99861111111)</f>
        <v>40238.99861</v>
      </c>
      <c r="B43" s="1">
        <f>IFERROR(__xludf.DUMMYFUNCTION("""COMPUTED_VALUE"""),8448.46702)</f>
        <v>8448.46702</v>
      </c>
    </row>
    <row r="44">
      <c r="A44" s="3">
        <f>IFERROR(__xludf.DUMMYFUNCTION("""COMPUTED_VALUE"""),40239.99861111111)</f>
        <v>40239.99861</v>
      </c>
      <c r="B44" s="1">
        <f>IFERROR(__xludf.DUMMYFUNCTION("""COMPUTED_VALUE"""),8306.37136)</f>
        <v>8306.37136</v>
      </c>
    </row>
    <row r="45">
      <c r="A45" s="3">
        <f>IFERROR(__xludf.DUMMYFUNCTION("""COMPUTED_VALUE"""),40240.99861111111)</f>
        <v>40240.99861</v>
      </c>
      <c r="B45" s="1">
        <f>IFERROR(__xludf.DUMMYFUNCTION("""COMPUTED_VALUE"""),8279.20157)</f>
        <v>8279.20157</v>
      </c>
    </row>
    <row r="46">
      <c r="A46" s="3">
        <f>IFERROR(__xludf.DUMMYFUNCTION("""COMPUTED_VALUE"""),40241.99861111111)</f>
        <v>40241.99861</v>
      </c>
      <c r="B46" s="1">
        <f>IFERROR(__xludf.DUMMYFUNCTION("""COMPUTED_VALUE"""),8391.34555)</f>
        <v>8391.34555</v>
      </c>
    </row>
    <row r="47">
      <c r="A47" s="3">
        <f>IFERROR(__xludf.DUMMYFUNCTION("""COMPUTED_VALUE"""),40242.99861111111)</f>
        <v>40242.99861</v>
      </c>
      <c r="B47" s="1">
        <f>IFERROR(__xludf.DUMMYFUNCTION("""COMPUTED_VALUE"""),8347.548)</f>
        <v>8347.548</v>
      </c>
    </row>
    <row r="48">
      <c r="A48" s="3">
        <f>IFERROR(__xludf.DUMMYFUNCTION("""COMPUTED_VALUE"""),40245.99861111111)</f>
        <v>40245.99861</v>
      </c>
      <c r="B48" s="1">
        <f>IFERROR(__xludf.DUMMYFUNCTION("""COMPUTED_VALUE"""),8337.276)</f>
        <v>8337.276</v>
      </c>
    </row>
    <row r="49">
      <c r="A49" s="3">
        <f>IFERROR(__xludf.DUMMYFUNCTION("""COMPUTED_VALUE"""),40246.99861111111)</f>
        <v>40246.99861</v>
      </c>
      <c r="B49" s="1">
        <f>IFERROR(__xludf.DUMMYFUNCTION("""COMPUTED_VALUE"""),8396.13843)</f>
        <v>8396.13843</v>
      </c>
    </row>
    <row r="50">
      <c r="A50" s="3">
        <f>IFERROR(__xludf.DUMMYFUNCTION("""COMPUTED_VALUE"""),40247.99861111111)</f>
        <v>40247.99861</v>
      </c>
      <c r="B50" s="1">
        <f>IFERROR(__xludf.DUMMYFUNCTION("""COMPUTED_VALUE"""),8375.78666)</f>
        <v>8375.78666</v>
      </c>
    </row>
    <row r="51">
      <c r="A51" s="3">
        <f>IFERROR(__xludf.DUMMYFUNCTION("""COMPUTED_VALUE"""),40248.99861111111)</f>
        <v>40248.99861</v>
      </c>
      <c r="B51" s="1">
        <f>IFERROR(__xludf.DUMMYFUNCTION("""COMPUTED_VALUE"""),8378.56466)</f>
        <v>8378.56466</v>
      </c>
    </row>
    <row r="52">
      <c r="A52" s="3">
        <f>IFERROR(__xludf.DUMMYFUNCTION("""COMPUTED_VALUE"""),40249.99861111111)</f>
        <v>40249.99861</v>
      </c>
      <c r="B52" s="1">
        <f>IFERROR(__xludf.DUMMYFUNCTION("""COMPUTED_VALUE"""),8361.91368)</f>
        <v>8361.91368</v>
      </c>
    </row>
    <row r="53">
      <c r="A53" s="3">
        <f>IFERROR(__xludf.DUMMYFUNCTION("""COMPUTED_VALUE"""),40252.99861111111)</f>
        <v>40252.99861</v>
      </c>
      <c r="B53" s="1">
        <f>IFERROR(__xludf.DUMMYFUNCTION("""COMPUTED_VALUE"""),8408.66906)</f>
        <v>8408.66906</v>
      </c>
    </row>
    <row r="54">
      <c r="A54" s="3">
        <f>IFERROR(__xludf.DUMMYFUNCTION("""COMPUTED_VALUE"""),40253.99861111111)</f>
        <v>40253.99861</v>
      </c>
      <c r="B54" s="1">
        <f>IFERROR(__xludf.DUMMYFUNCTION("""COMPUTED_VALUE"""),8406.84348)</f>
        <v>8406.84348</v>
      </c>
    </row>
    <row r="55">
      <c r="A55" s="3">
        <f>IFERROR(__xludf.DUMMYFUNCTION("""COMPUTED_VALUE"""),40254.99861111111)</f>
        <v>40254.99861</v>
      </c>
      <c r="B55" s="1">
        <f>IFERROR(__xludf.DUMMYFUNCTION("""COMPUTED_VALUE"""),8399.74845)</f>
        <v>8399.74845</v>
      </c>
    </row>
    <row r="56">
      <c r="A56" s="3">
        <f>IFERROR(__xludf.DUMMYFUNCTION("""COMPUTED_VALUE"""),40255.99861111111)</f>
        <v>40255.99861</v>
      </c>
      <c r="B56" s="1">
        <f>IFERROR(__xludf.DUMMYFUNCTION("""COMPUTED_VALUE"""),8398.88427)</f>
        <v>8398.88427</v>
      </c>
    </row>
    <row r="57">
      <c r="A57" s="3">
        <f>IFERROR(__xludf.DUMMYFUNCTION("""COMPUTED_VALUE"""),40256.99861111111)</f>
        <v>40256.99861</v>
      </c>
      <c r="B57" s="1">
        <f>IFERROR(__xludf.DUMMYFUNCTION("""COMPUTED_VALUE"""),8340.5712)</f>
        <v>8340.5712</v>
      </c>
    </row>
    <row r="58">
      <c r="A58" s="3">
        <f>IFERROR(__xludf.DUMMYFUNCTION("""COMPUTED_VALUE"""),40259.99861111111)</f>
        <v>40259.99861</v>
      </c>
      <c r="B58" s="1">
        <f>IFERROR(__xludf.DUMMYFUNCTION("""COMPUTED_VALUE"""),8369.76028)</f>
        <v>8369.76028</v>
      </c>
    </row>
    <row r="59">
      <c r="A59" s="3">
        <f>IFERROR(__xludf.DUMMYFUNCTION("""COMPUTED_VALUE"""),40260.99861111111)</f>
        <v>40260.99861</v>
      </c>
      <c r="B59" s="1">
        <f>IFERROR(__xludf.DUMMYFUNCTION("""COMPUTED_VALUE"""),8391.99942)</f>
        <v>8391.99942</v>
      </c>
    </row>
    <row r="60">
      <c r="A60" s="3">
        <f>IFERROR(__xludf.DUMMYFUNCTION("""COMPUTED_VALUE"""),40261.99861111111)</f>
        <v>40261.99861</v>
      </c>
      <c r="B60" s="1">
        <f>IFERROR(__xludf.DUMMYFUNCTION("""COMPUTED_VALUE"""),8308.04905)</f>
        <v>8308.04905</v>
      </c>
    </row>
    <row r="61">
      <c r="A61" s="3">
        <f>IFERROR(__xludf.DUMMYFUNCTION("""COMPUTED_VALUE"""),40262.99861111111)</f>
        <v>40262.99861</v>
      </c>
      <c r="B61" s="1">
        <f>IFERROR(__xludf.DUMMYFUNCTION("""COMPUTED_VALUE"""),8297.515056)</f>
        <v>8297.515056</v>
      </c>
    </row>
    <row r="62">
      <c r="A62" s="3">
        <f>IFERROR(__xludf.DUMMYFUNCTION("""COMPUTED_VALUE"""),40263.99861111111)</f>
        <v>40263.99861</v>
      </c>
      <c r="B62" s="1">
        <f>IFERROR(__xludf.DUMMYFUNCTION("""COMPUTED_VALUE"""),8237.241439)</f>
        <v>8237.241439</v>
      </c>
    </row>
    <row r="63">
      <c r="A63" s="3">
        <f>IFERROR(__xludf.DUMMYFUNCTION("""COMPUTED_VALUE"""),40266.99861111111)</f>
        <v>40266.99861</v>
      </c>
      <c r="B63" s="1">
        <f>IFERROR(__xludf.DUMMYFUNCTION("""COMPUTED_VALUE"""),8314.4972)</f>
        <v>8314.4972</v>
      </c>
    </row>
    <row r="64">
      <c r="A64" s="3">
        <f>IFERROR(__xludf.DUMMYFUNCTION("""COMPUTED_VALUE"""),40267.99861111111)</f>
        <v>40267.99861</v>
      </c>
      <c r="B64" s="1">
        <f>IFERROR(__xludf.DUMMYFUNCTION("""COMPUTED_VALUE"""),8336.66244)</f>
        <v>8336.66244</v>
      </c>
    </row>
    <row r="65">
      <c r="A65" s="3">
        <f>IFERROR(__xludf.DUMMYFUNCTION("""COMPUTED_VALUE"""),40268.99861111111)</f>
        <v>40268.99861</v>
      </c>
      <c r="B65" s="1">
        <f>IFERROR(__xludf.DUMMYFUNCTION("""COMPUTED_VALUE"""),8331.0656)</f>
        <v>8331.0656</v>
      </c>
    </row>
    <row r="66">
      <c r="A66" s="3">
        <f>IFERROR(__xludf.DUMMYFUNCTION("""COMPUTED_VALUE"""),40269.99861111111)</f>
        <v>40269.99861</v>
      </c>
      <c r="B66" s="1">
        <f>IFERROR(__xludf.DUMMYFUNCTION("""COMPUTED_VALUE"""),8320.80042)</f>
        <v>8320.80042</v>
      </c>
    </row>
    <row r="67">
      <c r="A67" s="3">
        <f>IFERROR(__xludf.DUMMYFUNCTION("""COMPUTED_VALUE"""),40270.99861111111)</f>
        <v>40270.99861</v>
      </c>
      <c r="B67" s="1">
        <f>IFERROR(__xludf.DUMMYFUNCTION("""COMPUTED_VALUE"""),8359.031641)</f>
        <v>8359.031641</v>
      </c>
    </row>
    <row r="68">
      <c r="A68" s="3">
        <f>IFERROR(__xludf.DUMMYFUNCTION("""COMPUTED_VALUE"""),40273.99861111111)</f>
        <v>40273.99861</v>
      </c>
      <c r="B68" s="1">
        <f>IFERROR(__xludf.DUMMYFUNCTION("""COMPUTED_VALUE"""),8334.00768)</f>
        <v>8334.00768</v>
      </c>
    </row>
    <row r="69">
      <c r="A69" s="3">
        <f>IFERROR(__xludf.DUMMYFUNCTION("""COMPUTED_VALUE"""),40274.99861111111)</f>
        <v>40274.99861</v>
      </c>
      <c r="B69" s="1">
        <f>IFERROR(__xludf.DUMMYFUNCTION("""COMPUTED_VALUE"""),8381.19202)</f>
        <v>8381.19202</v>
      </c>
    </row>
    <row r="70">
      <c r="A70" s="3">
        <f>IFERROR(__xludf.DUMMYFUNCTION("""COMPUTED_VALUE"""),40275.99861111111)</f>
        <v>40275.99861</v>
      </c>
      <c r="B70" s="1">
        <f>IFERROR(__xludf.DUMMYFUNCTION("""COMPUTED_VALUE"""),8391.7106)</f>
        <v>8391.7106</v>
      </c>
    </row>
    <row r="71">
      <c r="A71" s="3">
        <f>IFERROR(__xludf.DUMMYFUNCTION("""COMPUTED_VALUE"""),40276.99861111111)</f>
        <v>40276.99861</v>
      </c>
      <c r="B71" s="1">
        <f>IFERROR(__xludf.DUMMYFUNCTION("""COMPUTED_VALUE"""),8410.98022)</f>
        <v>8410.98022</v>
      </c>
    </row>
    <row r="72">
      <c r="A72" s="3">
        <f>IFERROR(__xludf.DUMMYFUNCTION("""COMPUTED_VALUE"""),40277.99861111111)</f>
        <v>40277.99861</v>
      </c>
      <c r="B72" s="1">
        <f>IFERROR(__xludf.DUMMYFUNCTION("""COMPUTED_VALUE"""),8392.17428)</f>
        <v>8392.17428</v>
      </c>
    </row>
    <row r="73">
      <c r="A73" s="3">
        <f>IFERROR(__xludf.DUMMYFUNCTION("""COMPUTED_VALUE"""),40280.99861111111)</f>
        <v>40280.99861</v>
      </c>
      <c r="B73" s="1">
        <f>IFERROR(__xludf.DUMMYFUNCTION("""COMPUTED_VALUE"""),8347.7904)</f>
        <v>8347.7904</v>
      </c>
    </row>
    <row r="74">
      <c r="A74" s="3">
        <f>IFERROR(__xludf.DUMMYFUNCTION("""COMPUTED_VALUE"""),40281.99861111111)</f>
        <v>40281.99861</v>
      </c>
      <c r="B74" s="1">
        <f>IFERROR(__xludf.DUMMYFUNCTION("""COMPUTED_VALUE"""),8357.2122)</f>
        <v>8357.2122</v>
      </c>
    </row>
    <row r="75">
      <c r="A75" s="3">
        <f>IFERROR(__xludf.DUMMYFUNCTION("""COMPUTED_VALUE"""),40282.99861111111)</f>
        <v>40282.99861</v>
      </c>
      <c r="B75" s="1">
        <f>IFERROR(__xludf.DUMMYFUNCTION("""COMPUTED_VALUE"""),8431.96698)</f>
        <v>8431.96698</v>
      </c>
    </row>
    <row r="76">
      <c r="A76" s="3">
        <f>IFERROR(__xludf.DUMMYFUNCTION("""COMPUTED_VALUE"""),40283.99861111111)</f>
        <v>40283.99861</v>
      </c>
      <c r="B76" s="1">
        <f>IFERROR(__xludf.DUMMYFUNCTION("""COMPUTED_VALUE"""),8401.62674)</f>
        <v>8401.62674</v>
      </c>
    </row>
    <row r="77">
      <c r="A77" s="3">
        <f>IFERROR(__xludf.DUMMYFUNCTION("""COMPUTED_VALUE"""),40284.99861111111)</f>
        <v>40284.99861</v>
      </c>
      <c r="B77" s="1">
        <f>IFERROR(__xludf.DUMMYFUNCTION("""COMPUTED_VALUE"""),8328.390975)</f>
        <v>8328.390975</v>
      </c>
    </row>
    <row r="78">
      <c r="A78" s="3">
        <f>IFERROR(__xludf.DUMMYFUNCTION("""COMPUTED_VALUE"""),40287.99861111111)</f>
        <v>40287.99861</v>
      </c>
      <c r="B78" s="1">
        <f>IFERROR(__xludf.DUMMYFUNCTION("""COMPUTED_VALUE"""),8340.17)</f>
        <v>8340.17</v>
      </c>
    </row>
    <row r="79">
      <c r="A79" s="3">
        <f>IFERROR(__xludf.DUMMYFUNCTION("""COMPUTED_VALUE"""),40288.99861111111)</f>
        <v>40288.99861</v>
      </c>
      <c r="B79" s="1">
        <f>IFERROR(__xludf.DUMMYFUNCTION("""COMPUTED_VALUE"""),8395.5718)</f>
        <v>8395.5718</v>
      </c>
    </row>
    <row r="80">
      <c r="A80" s="3">
        <f>IFERROR(__xludf.DUMMYFUNCTION("""COMPUTED_VALUE"""),40289.99861111111)</f>
        <v>40289.99861</v>
      </c>
      <c r="B80" s="1">
        <f>IFERROR(__xludf.DUMMYFUNCTION("""COMPUTED_VALUE"""),8367.30609)</f>
        <v>8367.30609</v>
      </c>
    </row>
    <row r="81">
      <c r="A81" s="3">
        <f>IFERROR(__xludf.DUMMYFUNCTION("""COMPUTED_VALUE"""),40290.99861111111)</f>
        <v>40290.99861</v>
      </c>
      <c r="B81" s="1">
        <f>IFERROR(__xludf.DUMMYFUNCTION("""COMPUTED_VALUE"""),8425.11922)</f>
        <v>8425.11922</v>
      </c>
    </row>
    <row r="82">
      <c r="A82" s="3">
        <f>IFERROR(__xludf.DUMMYFUNCTION("""COMPUTED_VALUE"""),40291.99861111111)</f>
        <v>40291.99861</v>
      </c>
      <c r="B82" s="1">
        <f>IFERROR(__xludf.DUMMYFUNCTION("""COMPUTED_VALUE"""),8351.21)</f>
        <v>8351.21</v>
      </c>
    </row>
    <row r="83">
      <c r="A83" s="3">
        <f>IFERROR(__xludf.DUMMYFUNCTION("""COMPUTED_VALUE"""),40294.99861111111)</f>
        <v>40294.99861</v>
      </c>
      <c r="B83" s="1">
        <f>IFERROR(__xludf.DUMMYFUNCTION("""COMPUTED_VALUE"""),8312.16225)</f>
        <v>8312.16225</v>
      </c>
    </row>
    <row r="84">
      <c r="A84" s="3">
        <f>IFERROR(__xludf.DUMMYFUNCTION("""COMPUTED_VALUE"""),40295.99861111111)</f>
        <v>40295.99861</v>
      </c>
      <c r="B84" s="1">
        <f>IFERROR(__xludf.DUMMYFUNCTION("""COMPUTED_VALUE"""),8333.84682)</f>
        <v>8333.84682</v>
      </c>
    </row>
    <row r="85">
      <c r="A85" s="3">
        <f>IFERROR(__xludf.DUMMYFUNCTION("""COMPUTED_VALUE"""),40296.99861111111)</f>
        <v>40296.99861</v>
      </c>
      <c r="B85" s="1">
        <f>IFERROR(__xludf.DUMMYFUNCTION("""COMPUTED_VALUE"""),8341.2088)</f>
        <v>8341.2088</v>
      </c>
    </row>
    <row r="86">
      <c r="A86" s="3">
        <f>IFERROR(__xludf.DUMMYFUNCTION("""COMPUTED_VALUE"""),40297.99861111111)</f>
        <v>40297.99861</v>
      </c>
      <c r="B86" s="1">
        <f>IFERROR(__xludf.DUMMYFUNCTION("""COMPUTED_VALUE"""),8375.02575)</f>
        <v>8375.02575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IFERROR(__xludf.DUMMYFUNCTION("""COMPUTED_VALUE"""),8346.13028)</f>
        <v>8346.13028</v>
      </c>
    </row>
    <row r="88">
      <c r="A88" s="3">
        <f>IFERROR(__xludf.DUMMYFUNCTION("""COMPUTED_VALUE"""),40301.99861111111)</f>
        <v>40301.99861</v>
      </c>
      <c r="B88" s="1">
        <f>IFERROR(__xludf.DUMMYFUNCTION("""COMPUTED_VALUE"""),8358.95126)</f>
        <v>8358.95126</v>
      </c>
    </row>
    <row r="89">
      <c r="A89" s="3">
        <f>IFERROR(__xludf.DUMMYFUNCTION("""COMPUTED_VALUE"""),40302.99861111111)</f>
        <v>40302.99861</v>
      </c>
      <c r="B89" s="1">
        <f>IFERROR(__xludf.DUMMYFUNCTION("""COMPUTED_VALUE"""),8245.26427)</f>
        <v>8245.26427</v>
      </c>
    </row>
    <row r="90">
      <c r="A90" s="3">
        <f>IFERROR(__xludf.DUMMYFUNCTION("""COMPUTED_VALUE"""),40303.99861111111)</f>
        <v>40303.99861</v>
      </c>
      <c r="B90" s="1">
        <f>IFERROR(__xludf.DUMMYFUNCTION("""COMPUTED_VALUE"""),8264.10725)</f>
        <v>8264.10725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IFERROR(__xludf.DUMMYFUNCTION("""COMPUTED_VALUE"""),8219.01442)</f>
        <v>8219.01442</v>
      </c>
    </row>
    <row r="92">
      <c r="A92" s="3">
        <f>IFERROR(__xludf.DUMMYFUNCTION("""COMPUTED_VALUE"""),40305.99861111111)</f>
        <v>40305.99861</v>
      </c>
      <c r="B92" s="1">
        <f>IFERROR(__xludf.DUMMYFUNCTION("""COMPUTED_VALUE"""),8189.747069)</f>
        <v>8189.747069</v>
      </c>
    </row>
    <row r="93">
      <c r="A93" s="3">
        <f>IFERROR(__xludf.DUMMYFUNCTION("""COMPUTED_VALUE"""),40308.99861111111)</f>
        <v>40308.99861</v>
      </c>
      <c r="B93" s="1">
        <f>IFERROR(__xludf.DUMMYFUNCTION("""COMPUTED_VALUE"""),8303.12704)</f>
        <v>8303.12704</v>
      </c>
    </row>
    <row r="94">
      <c r="A94" s="3">
        <f>IFERROR(__xludf.DUMMYFUNCTION("""COMPUTED_VALUE"""),40309.99861111111)</f>
        <v>40309.99861</v>
      </c>
      <c r="B94" s="1">
        <f>IFERROR(__xludf.DUMMYFUNCTION("""COMPUTED_VALUE"""),8214.74714)</f>
        <v>8214.74714</v>
      </c>
    </row>
    <row r="95">
      <c r="A95" s="3">
        <f>IFERROR(__xludf.DUMMYFUNCTION("""COMPUTED_VALUE"""),40310.99861111111)</f>
        <v>40310.99861</v>
      </c>
      <c r="B95" s="1">
        <f>IFERROR(__xludf.DUMMYFUNCTION("""COMPUTED_VALUE"""),8213.3692)</f>
        <v>8213.3692</v>
      </c>
    </row>
    <row r="96">
      <c r="A96" s="3">
        <f>IFERROR(__xludf.DUMMYFUNCTION("""COMPUTED_VALUE"""),40311.99861111111)</f>
        <v>40311.99861</v>
      </c>
      <c r="B96" s="1">
        <f>IFERROR(__xludf.DUMMYFUNCTION("""COMPUTED_VALUE"""),8149.268092)</f>
        <v>8149.268092</v>
      </c>
    </row>
    <row r="97">
      <c r="A97" s="3">
        <f>IFERROR(__xludf.DUMMYFUNCTION("""COMPUTED_VALUE"""),40312.99861111111)</f>
        <v>40312.99861</v>
      </c>
      <c r="B97" s="1">
        <f>IFERROR(__xludf.DUMMYFUNCTION("""COMPUTED_VALUE"""),8062.406394)</f>
        <v>8062.406394</v>
      </c>
    </row>
    <row r="98">
      <c r="A98" s="3">
        <f>IFERROR(__xludf.DUMMYFUNCTION("""COMPUTED_VALUE"""),40315.99861111111)</f>
        <v>40315.99861</v>
      </c>
      <c r="B98" s="1">
        <f>IFERROR(__xludf.DUMMYFUNCTION("""COMPUTED_VALUE"""),7963.92336)</f>
        <v>7963.92336</v>
      </c>
    </row>
    <row r="99">
      <c r="A99" s="3">
        <f>IFERROR(__xludf.DUMMYFUNCTION("""COMPUTED_VALUE"""),40316.99861111111)</f>
        <v>40316.99861</v>
      </c>
      <c r="B99" s="1">
        <f>IFERROR(__xludf.DUMMYFUNCTION("""COMPUTED_VALUE"""),7997.73525)</f>
        <v>7997.73525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IFERROR(__xludf.DUMMYFUNCTION("""COMPUTED_VALUE"""),7730.68047)</f>
        <v>7730.68047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IFERROR(__xludf.DUMMYFUNCTION("""COMPUTED_VALUE"""),7415.4543)</f>
        <v>7415.4543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IFERROR(__xludf.DUMMYFUNCTION("""COMPUTED_VALUE"""),7703.985746)</f>
        <v>7703.985746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IFERROR(__xludf.DUMMYFUNCTION("""COMPUTED_VALUE"""),7653.3388)</f>
        <v>7653.3388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IFERROR(__xludf.DUMMYFUNCTION("""COMPUTED_VALUE"""),7682.520089)</f>
        <v>7682.520089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IFERROR(__xludf.DUMMYFUNCTION("""COMPUTED_VALUE"""),7736.021334)</f>
        <v>7736.021334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IFERROR(__xludf.DUMMYFUNCTION("""COMPUTED_VALUE"""),7801.419)</f>
        <v>7801.419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IFERROR(__xludf.DUMMYFUNCTION("""COMPUTED_VALUE"""),7873.3732)</f>
        <v>7873.3732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IFERROR(__xludf.DUMMYFUNCTION("""COMPUTED_VALUE"""),7857.55698)</f>
        <v>7857.55698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IFERROR(__xludf.DUMMYFUNCTION("""COMPUTED_VALUE"""),7699.31928)</f>
        <v>7699.31928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IFERROR(__xludf.DUMMYFUNCTION("""COMPUTED_VALUE"""),7776.30294)</f>
        <v>7776.30294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IFERROR(__xludf.DUMMYFUNCTION("""COMPUTED_VALUE"""),7787.2125)</f>
        <v>7787.2125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IFERROR(__xludf.DUMMYFUNCTION("""COMPUTED_VALUE"""),7646.15999)</f>
        <v>7646.15999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IFERROR(__xludf.DUMMYFUNCTION("""COMPUTED_VALUE"""),7559.77453)</f>
        <v>7559.77453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IFERROR(__xludf.DUMMYFUNCTION("""COMPUTED_VALUE"""),7616.68372)</f>
        <v>7616.68372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IFERROR(__xludf.DUMMYFUNCTION("""COMPUTED_VALUE"""),7697.82728)</f>
        <v>7697.82728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IFERROR(__xludf.DUMMYFUNCTION("""COMPUTED_VALUE"""),7788.64848)</f>
        <v>7788.64848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IFERROR(__xludf.DUMMYFUNCTION("""COMPUTED_VALUE"""),7815.27068)</f>
        <v>7815.27068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IFERROR(__xludf.DUMMYFUNCTION("""COMPUTED_VALUE"""),7898.0616)</f>
        <v>7898.0616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IFERROR(__xludf.DUMMYFUNCTION("""COMPUTED_VALUE"""),7896.54426)</f>
        <v>7896.54426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IFERROR(__xludf.DUMMYFUNCTION("""COMPUTED_VALUE"""),7909.76056)</f>
        <v>7909.76056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IFERROR(__xludf.DUMMYFUNCTION("""COMPUTED_VALUE"""),7929.545741)</f>
        <v>7929.545741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IFERROR(__xludf.DUMMYFUNCTION("""COMPUTED_VALUE"""),7907.62655)</f>
        <v>7907.62655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IFERROR(__xludf.DUMMYFUNCTION("""COMPUTED_VALUE"""),7884.85977)</f>
        <v>7884.85977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IFERROR(__xludf.DUMMYFUNCTION("""COMPUTED_VALUE"""),7862.97)</f>
        <v>7862.97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IFERROR(__xludf.DUMMYFUNCTION("""COMPUTED_VALUE"""),7852.57275)</f>
        <v>7852.57275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IFERROR(__xludf.DUMMYFUNCTION("""COMPUTED_VALUE"""),7862.961425)</f>
        <v>7862.961425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IFERROR(__xludf.DUMMYFUNCTION("""COMPUTED_VALUE"""),7921.52128)</f>
        <v>7921.52128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IFERROR(__xludf.DUMMYFUNCTION("""COMPUTED_VALUE"""),7877.79336)</f>
        <v>7877.79336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IFERROR(__xludf.DUMMYFUNCTION("""COMPUTED_VALUE"""),7710.08874)</f>
        <v>7710.08874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IFERROR(__xludf.DUMMYFUNCTION("""COMPUTED_VALUE"""),7606.6768)</f>
        <v>7606.6768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IFERROR(__xludf.DUMMYFUNCTION("""COMPUTED_VALUE"""),7651.159689)</f>
        <v>7651.159689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IFERROR(__xludf.DUMMYFUNCTION("""COMPUTED_VALUE"""),7627.16832)</f>
        <v>7627.16832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IFERROR(__xludf.DUMMYFUNCTION("""COMPUTED_VALUE"""),7607.86274)</f>
        <v>7607.86274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IFERROR(__xludf.DUMMYFUNCTION("""COMPUTED_VALUE"""),7676.37652)</f>
        <v>7676.37652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IFERROR(__xludf.DUMMYFUNCTION("""COMPUTED_VALUE"""),7821.847593)</f>
        <v>7821.847593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IFERROR(__xludf.DUMMYFUNCTION("""COMPUTED_VALUE"""),7932.3773)</f>
        <v>7932.3773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IFERROR(__xludf.DUMMYFUNCTION("""COMPUTED_VALUE"""),7921.09888)</f>
        <v>7921.09888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IFERROR(__xludf.DUMMYFUNCTION("""COMPUTED_VALUE"""),7945.34518)</f>
        <v>7945.34518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IFERROR(__xludf.DUMMYFUNCTION("""COMPUTED_VALUE"""),7931.07686)</f>
        <v>7931.07686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IFERROR(__xludf.DUMMYFUNCTION("""COMPUTED_VALUE"""),7949.17032)</f>
        <v>7949.17032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IFERROR(__xludf.DUMMYFUNCTION("""COMPUTED_VALUE"""),7983.729534)</f>
        <v>7983.729534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IFERROR(__xludf.DUMMYFUNCTION("""COMPUTED_VALUE"""),7849.6426)</f>
        <v>7849.6426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IFERROR(__xludf.DUMMYFUNCTION("""COMPUTED_VALUE"""),7874.65035)</f>
        <v>7874.65035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IFERROR(__xludf.DUMMYFUNCTION("""COMPUTED_VALUE"""),7971.2514)</f>
        <v>7971.2514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IFERROR(__xludf.DUMMYFUNCTION("""COMPUTED_VALUE"""),7964.27466)</f>
        <v>7964.27466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IFERROR(__xludf.DUMMYFUNCTION("""COMPUTED_VALUE"""),8042.87655)</f>
        <v>8042.87655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IFERROR(__xludf.DUMMYFUNCTION("""COMPUTED_VALUE"""),8034.8625)</f>
        <v>8034.8625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IFERROR(__xludf.DUMMYFUNCTION("""COMPUTED_VALUE"""),8039.65736)</f>
        <v>8039.65736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IFERROR(__xludf.DUMMYFUNCTION("""COMPUTED_VALUE"""),8036.84752)</f>
        <v>8036.84752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IFERROR(__xludf.DUMMYFUNCTION("""COMPUTED_VALUE"""),8051.2025)</f>
        <v>8051.2025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IFERROR(__xludf.DUMMYFUNCTION("""COMPUTED_VALUE"""),8087.89296)</f>
        <v>8087.89296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IFERROR(__xludf.DUMMYFUNCTION("""COMPUTED_VALUE"""),8065.14968)</f>
        <v>8065.14968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IFERROR(__xludf.DUMMYFUNCTION("""COMPUTED_VALUE"""),8059.0175)</f>
        <v>8059.0175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IFERROR(__xludf.DUMMYFUNCTION("""COMPUTED_VALUE"""),8031.880087)</f>
        <v>8031.880087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IFERROR(__xludf.DUMMYFUNCTION("""COMPUTED_VALUE"""),8193.5766)</f>
        <v>8193.5766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IFERROR(__xludf.DUMMYFUNCTION("""COMPUTED_VALUE"""),8167.946082)</f>
        <v>8167.946082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IFERROR(__xludf.DUMMYFUNCTION("""COMPUTED_VALUE"""),8138.9565)</f>
        <v>8138.9565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IFERROR(__xludf.DUMMYFUNCTION("""COMPUTED_VALUE"""),8182.07628)</f>
        <v>8182.07628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IFERROR(__xludf.DUMMYFUNCTION("""COMPUTED_VALUE"""),8109.51503)</f>
        <v>8109.51503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IFERROR(__xludf.DUMMYFUNCTION("""COMPUTED_VALUE"""),8051.7216)</f>
        <v>8051.7216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IFERROR(__xludf.DUMMYFUNCTION("""COMPUTED_VALUE"""),8097.94776)</f>
        <v>8097.94776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IFERROR(__xludf.DUMMYFUNCTION("""COMPUTED_VALUE"""),8002.05717)</f>
        <v>8002.05717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IFERROR(__xludf.DUMMYFUNCTION("""COMPUTED_VALUE"""),7997.41994)</f>
        <v>7997.41994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IFERROR(__xludf.DUMMYFUNCTION("""COMPUTED_VALUE"""),8034.952)</f>
        <v>8034.952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IFERROR(__xludf.DUMMYFUNCTION("""COMPUTED_VALUE"""),7989.8652)</f>
        <v>7989.8652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IFERROR(__xludf.DUMMYFUNCTION("""COMPUTED_VALUE"""),7956.27546)</f>
        <v>7956.27546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IFERROR(__xludf.DUMMYFUNCTION("""COMPUTED_VALUE"""),8026.4836)</f>
        <v>8026.4836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IFERROR(__xludf.DUMMYFUNCTION("""COMPUTED_VALUE"""),7892.5167)</f>
        <v>7892.5167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IFERROR(__xludf.DUMMYFUNCTION("""COMPUTED_VALUE"""),7929.871359)</f>
        <v>7929.871359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IFERROR(__xludf.DUMMYFUNCTION("""COMPUTED_VALUE"""),7850.8154)</f>
        <v>7850.8154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IFERROR(__xludf.DUMMYFUNCTION("""COMPUTED_VALUE"""),7948.50078)</f>
        <v>7948.50078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IFERROR(__xludf.DUMMYFUNCTION("""COMPUTED_VALUE"""),8101.735565)</f>
        <v>8101.735565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IFERROR(__xludf.DUMMYFUNCTION("""COMPUTED_VALUE"""),7948.6134)</f>
        <v>7948.6134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IFERROR(__xludf.DUMMYFUNCTION("""COMPUTED_VALUE"""),8047.87776)</f>
        <v>8047.87776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IFERROR(__xludf.DUMMYFUNCTION("""COMPUTED_VALUE"""),8192.765416)</f>
        <v>8192.765416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IFERROR(__xludf.DUMMYFUNCTION("""COMPUTED_VALUE"""),8178.56688)</f>
        <v>8178.56688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IFERROR(__xludf.DUMMYFUNCTION("""COMPUTED_VALUE"""),8230.09676)</f>
        <v>8230.09676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IFERROR(__xludf.DUMMYFUNCTION("""COMPUTED_VALUE"""),8247.661814)</f>
        <v>8247.661814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IFERROR(__xludf.DUMMYFUNCTION("""COMPUTED_VALUE"""),8223.36285)</f>
        <v>8223.36285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IFERROR(__xludf.DUMMYFUNCTION("""COMPUTED_VALUE"""),8267.03145)</f>
        <v>8267.03145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IFERROR(__xludf.DUMMYFUNCTION("""COMPUTED_VALUE"""),8333.9676)</f>
        <v>8333.9676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IFERROR(__xludf.DUMMYFUNCTION("""COMPUTED_VALUE"""),8356.33756)</f>
        <v>8356.33756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IFERROR(__xludf.DUMMYFUNCTION("""COMPUTED_VALUE"""),8401.065904)</f>
        <v>8401.065904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IFERROR(__xludf.DUMMYFUNCTION("""COMPUTED_VALUE"""),8444.46708)</f>
        <v>8444.46708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IFERROR(__xludf.DUMMYFUNCTION("""COMPUTED_VALUE"""),8423.690356)</f>
        <v>8423.690356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IFERROR(__xludf.DUMMYFUNCTION("""COMPUTED_VALUE"""),8357.587)</f>
        <v>8357.587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IFERROR(__xludf.DUMMYFUNCTION("""COMPUTED_VALUE"""),8400.45122)</f>
        <v>8400.45122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IFERROR(__xludf.DUMMYFUNCTION("""COMPUTED_VALUE"""),8498.05942)</f>
        <v>8498.05942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IFERROR(__xludf.DUMMYFUNCTION("""COMPUTED_VALUE"""),8459.96552)</f>
        <v>8459.96552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IFERROR(__xludf.DUMMYFUNCTION("""COMPUTED_VALUE"""),8494.776)</f>
        <v>8494.776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IFERROR(__xludf.DUMMYFUNCTION("""COMPUTED_VALUE"""),8515.34808)</f>
        <v>8515.34808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IFERROR(__xludf.DUMMYFUNCTION("""COMPUTED_VALUE"""),8490.7643)</f>
        <v>8490.7643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IFERROR(__xludf.DUMMYFUNCTION("""COMPUTED_VALUE"""),8607.1322)</f>
        <v>8607.1322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IFERROR(__xludf.DUMMYFUNCTION("""COMPUTED_VALUE"""),8652.54502)</f>
        <v>8652.54502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IFERROR(__xludf.DUMMYFUNCTION("""COMPUTED_VALUE"""),8654.9142)</f>
        <v>8654.9142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IFERROR(__xludf.DUMMYFUNCTION("""COMPUTED_VALUE"""),8614.90837)</f>
        <v>8614.90837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IFERROR(__xludf.DUMMYFUNCTION("""COMPUTED_VALUE"""),8675.38075)</f>
        <v>8675.38075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IFERROR(__xludf.DUMMYFUNCTION("""COMPUTED_VALUE"""),8635.5311)</f>
        <v>8635.5311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IFERROR(__xludf.DUMMYFUNCTION("""COMPUTED_VALUE"""),8577.117486)</f>
        <v>8577.117486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IFERROR(__xludf.DUMMYFUNCTION("""COMPUTED_VALUE"""),8660.74008)</f>
        <v>8660.74008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IFERROR(__xludf.DUMMYFUNCTION("""COMPUTED_VALUE"""),8754.15216)</f>
        <v>8754.15216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IFERROR(__xludf.DUMMYFUNCTION("""COMPUTED_VALUE"""),8790.37403)</f>
        <v>8790.37403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IFERROR(__xludf.DUMMYFUNCTION("""COMPUTED_VALUE"""),8850.47567)</f>
        <v>8850.47567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IFERROR(__xludf.DUMMYFUNCTION("""COMPUTED_VALUE"""),8790.01095)</f>
        <v>8790.01095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IFERROR(__xludf.DUMMYFUNCTION("""COMPUTED_VALUE"""),8797.01596)</f>
        <v>8797.01596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IFERROR(__xludf.DUMMYFUNCTION("""COMPUTED_VALUE"""),8842.76102)</f>
        <v>8842.76102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IFERROR(__xludf.DUMMYFUNCTION("""COMPUTED_VALUE"""),8843.63381)</f>
        <v>8843.63381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IFERROR(__xludf.DUMMYFUNCTION("""COMPUTED_VALUE"""),8850.97031)</f>
        <v>8850.97031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IFERROR(__xludf.DUMMYFUNCTION("""COMPUTED_VALUE"""),8704.527541)</f>
        <v>8704.527541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IFERROR(__xludf.DUMMYFUNCTION("""COMPUTED_VALUE"""),8688.27687)</f>
        <v>8688.27687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IFERROR(__xludf.DUMMYFUNCTION("""COMPUTED_VALUE"""),8660.1207)</f>
        <v>8660.1207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IFERROR(__xludf.DUMMYFUNCTION("""COMPUTED_VALUE"""),8750.03846)</f>
        <v>8750.03846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IFERROR(__xludf.DUMMYFUNCTION("""COMPUTED_VALUE"""),8836.8373)</f>
        <v>8836.8373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IFERROR(__xludf.DUMMYFUNCTION("""COMPUTED_VALUE"""),8789.8942)</f>
        <v>8789.8942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IFERROR(__xludf.DUMMYFUNCTION("""COMPUTED_VALUE"""),8678.28104)</f>
        <v>8678.28104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IFERROR(__xludf.DUMMYFUNCTION("""COMPUTED_VALUE"""),8637.8066)</f>
        <v>8637.8066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IFERROR(__xludf.DUMMYFUNCTION("""COMPUTED_VALUE"""),8739.962)</f>
        <v>8739.962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IFERROR(__xludf.DUMMYFUNCTION("""COMPUTED_VALUE"""),8803.67757)</f>
        <v>8803.67757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IFERROR(__xludf.DUMMYFUNCTION("""COMPUTED_VALUE"""),8815.02555)</f>
        <v>8815.02555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IFERROR(__xludf.DUMMYFUNCTION("""COMPUTED_VALUE"""),8803.27812)</f>
        <v>8803.27812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IFERROR(__xludf.DUMMYFUNCTION("""COMPUTED_VALUE"""),9046.272235)</f>
        <v>9046.272235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IFERROR(__xludf.DUMMYFUNCTION("""COMPUTED_VALUE"""),9037.95)</f>
        <v>9037.95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IFERROR(__xludf.DUMMYFUNCTION("""COMPUTED_VALUE"""),8993.4945)</f>
        <v>8993.4945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IFERROR(__xludf.DUMMYFUNCTION("""COMPUTED_VALUE"""),8844.6225)</f>
        <v>8844.6225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IFERROR(__xludf.DUMMYFUNCTION("""COMPUTED_VALUE"""),8817.35228)</f>
        <v>8817.35228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IFERROR(__xludf.DUMMYFUNCTION("""COMPUTED_VALUE"""),8763.6878)</f>
        <v>8763.6878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IFERROR(__xludf.DUMMYFUNCTION("""COMPUTED_VALUE"""),8803.07748)</f>
        <v>8803.07748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IFERROR(__xludf.DUMMYFUNCTION("""COMPUTED_VALUE"""),8817.693585)</f>
        <v>8817.693585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IFERROR(__xludf.DUMMYFUNCTION("""COMPUTED_VALUE"""),8641.6848)</f>
        <v>8641.6848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IFERROR(__xludf.DUMMYFUNCTION("""COMPUTED_VALUE"""),8681.72978)</f>
        <v>8681.72978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IFERROR(__xludf.DUMMYFUNCTION("""COMPUTED_VALUE"""),8755.4543)</f>
        <v>8755.4543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IFERROR(__xludf.DUMMYFUNCTION("""COMPUTED_VALUE"""),8802.83712)</f>
        <v>8802.83712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IFERROR(__xludf.DUMMYFUNCTION("""COMPUTED_VALUE"""),8805.509234)</f>
        <v>8805.509234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IFERROR(__xludf.DUMMYFUNCTION("""COMPUTED_VALUE"""),8737.480024)</f>
        <v>8737.480024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IFERROR(__xludf.DUMMYFUNCTION("""COMPUTED_VALUE"""),8824.42827)</f>
        <v>8824.42827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IFERROR(__xludf.DUMMYFUNCTION("""COMPUTED_VALUE"""),8760.570928)</f>
        <v>8760.570928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IFERROR(__xludf.DUMMYFUNCTION("""COMPUTED_VALUE"""),8579.4516)</f>
        <v>8579.4516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IFERROR(__xludf.DUMMYFUNCTION("""COMPUTED_VALUE"""),8671.05981)</f>
        <v>8671.05981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IFERROR(__xludf.DUMMYFUNCTION("""COMPUTED_VALUE"""),8664.461445)</f>
        <v>8664.461445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IFERROR(__xludf.DUMMYFUNCTION("""COMPUTED_VALUE"""),8704.878493)</f>
        <v>8704.878493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IFERROR(__xludf.DUMMYFUNCTION("""COMPUTED_VALUE"""),8709.1488)</f>
        <v>8709.1488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IFERROR(__xludf.DUMMYFUNCTION("""COMPUTED_VALUE"""),8914.0185)</f>
        <v>8914.0185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IFERROR(__xludf.DUMMYFUNCTION("""COMPUTED_VALUE"""),8904.533585)</f>
        <v>8904.533585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IFERROR(__xludf.DUMMYFUNCTION("""COMPUTED_VALUE"""),8832.675)</f>
        <v>8832.675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IFERROR(__xludf.DUMMYFUNCTION("""COMPUTED_VALUE"""),8828.776)</f>
        <v>8828.776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IFERROR(__xludf.DUMMYFUNCTION("""COMPUTED_VALUE"""),8872.8102)</f>
        <v>8872.8102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IFERROR(__xludf.DUMMYFUNCTION("""COMPUTED_VALUE"""),8879.775)</f>
        <v>8879.775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IFERROR(__xludf.DUMMYFUNCTION("""COMPUTED_VALUE"""),8969.0235)</f>
        <v>8969.0235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IFERROR(__xludf.DUMMYFUNCTION("""COMPUTED_VALUE"""),8982.42165)</f>
        <v>8982.42165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IFERROR(__xludf.DUMMYFUNCTION("""COMPUTED_VALUE"""),8904.255905)</f>
        <v>8904.255905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IFERROR(__xludf.DUMMYFUNCTION("""COMPUTED_VALUE"""),8839.682)</f>
        <v>8839.682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IFERROR(__xludf.DUMMYFUNCTION("""COMPUTED_VALUE"""),8926.940045)</f>
        <v>8926.940045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IFERROR(__xludf.DUMMYFUNCTION("""COMPUTED_VALUE"""),8876.8218)</f>
        <v>8876.8218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IFERROR(__xludf.DUMMYFUNCTION("""COMPUTED_VALUE"""),9008.494785)</f>
        <v>9008.494785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IFERROR(__xludf.DUMMYFUNCTION("""COMPUTED_VALUE"""),9041.6)</f>
        <v>9041.6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IFERROR(__xludf.DUMMYFUNCTION("""COMPUTED_VALUE"""),9070.53615)</f>
        <v>9070.53615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IFERROR(__xludf.DUMMYFUNCTION("""COMPUTED_VALUE"""),9069.0312)</f>
        <v>9069.0312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IFERROR(__xludf.DUMMYFUNCTION("""COMPUTED_VALUE"""),8989.9523)</f>
        <v>8989.9523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IFERROR(__xludf.DUMMYFUNCTION("""COMPUTED_VALUE"""),9101.131936)</f>
        <v>9101.131936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IFERROR(__xludf.DUMMYFUNCTION("""COMPUTED_VALUE"""),9155.374795)</f>
        <v>9155.374795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IFERROR(__xludf.DUMMYFUNCTION("""COMPUTED_VALUE"""),9022.8444)</f>
        <v>9022.8444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IFERROR(__xludf.DUMMYFUNCTION("""COMPUTED_VALUE"""),9213.57487)</f>
        <v>9213.57487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IFERROR(__xludf.DUMMYFUNCTION("""COMPUTED_VALUE"""),9137.38518)</f>
        <v>9137.38518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IFERROR(__xludf.DUMMYFUNCTION("""COMPUTED_VALUE"""),8947.22454)</f>
        <v>8947.22454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IFERROR(__xludf.DUMMYFUNCTION("""COMPUTED_VALUE"""),8983.95)</f>
        <v>8983.95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IFERROR(__xludf.DUMMYFUNCTION("""COMPUTED_VALUE"""),8951.427188)</f>
        <v>8951.427188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IFERROR(__xludf.DUMMYFUNCTION("""COMPUTED_VALUE"""),8867.8092)</f>
        <v>8867.8092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IFERROR(__xludf.DUMMYFUNCTION("""COMPUTED_VALUE"""),8999.359585)</f>
        <v>8999.359585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IFERROR(__xludf.DUMMYFUNCTION("""COMPUTED_VALUE"""),8773.07026)</f>
        <v>8773.07026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IFERROR(__xludf.DUMMYFUNCTION("""COMPUTED_VALUE"""),8999.5912)</f>
        <v>8999.5912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IFERROR(__xludf.DUMMYFUNCTION("""COMPUTED_VALUE"""),9030.945105)</f>
        <v>9030.945105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IFERROR(__xludf.DUMMYFUNCTION("""COMPUTED_VALUE"""),8955.99933)</f>
        <v>8955.99933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IFERROR(__xludf.DUMMYFUNCTION("""COMPUTED_VALUE"""),8993.862)</f>
        <v>8993.862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IFERROR(__xludf.DUMMYFUNCTION("""COMPUTED_VALUE"""),9029.957032)</f>
        <v>9029.957032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IFERROR(__xludf.DUMMYFUNCTION("""COMPUTED_VALUE"""),8917.5768)</f>
        <v>8917.5768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IFERROR(__xludf.DUMMYFUNCTION("""COMPUTED_VALUE"""),8783.76984)</f>
        <v>8783.76984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IFERROR(__xludf.DUMMYFUNCTION("""COMPUTED_VALUE"""),8736.57675)</f>
        <v>8736.57675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IFERROR(__xludf.DUMMYFUNCTION("""COMPUTED_VALUE"""),9026.47)</f>
        <v>9026.47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IFERROR(__xludf.DUMMYFUNCTION("""COMPUTED_VALUE"""),8992.171395)</f>
        <v>8992.171395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IFERROR(__xludf.DUMMYFUNCTION("""COMPUTED_VALUE"""),8920.6)</f>
        <v>8920.6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IFERROR(__xludf.DUMMYFUNCTION("""COMPUTED_VALUE"""),8935.777805)</f>
        <v>8935.777805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IFERROR(__xludf.DUMMYFUNCTION("""COMPUTED_VALUE"""),8962.045965)</f>
        <v>8962.045965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IFERROR(__xludf.DUMMYFUNCTION("""COMPUTED_VALUE"""),8932.0218)</f>
        <v>8932.0218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IFERROR(__xludf.DUMMYFUNCTION("""COMPUTED_VALUE"""),9095.4)</f>
        <v>9095.4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IFERROR(__xludf.DUMMYFUNCTION("""COMPUTED_VALUE"""),9123.69862)</f>
        <v>9123.69862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IFERROR(__xludf.DUMMYFUNCTION("""COMPUTED_VALUE"""),9045.894)</f>
        <v>9045.894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IFERROR(__xludf.DUMMYFUNCTION("""COMPUTED_VALUE"""),9119.243545)</f>
        <v>9119.243545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IFERROR(__xludf.DUMMYFUNCTION("""COMPUTED_VALUE"""),8938.3068)</f>
        <v>8938.3068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IFERROR(__xludf.DUMMYFUNCTION("""COMPUTED_VALUE"""),9029.762)</f>
        <v>9029.762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IFERROR(__xludf.DUMMYFUNCTION("""COMPUTED_VALUE"""),9023.714475)</f>
        <v>9023.714475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IFERROR(__xludf.DUMMYFUNCTION("""COMPUTED_VALUE"""),8935.71)</f>
        <v>8935.71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IFERROR(__xludf.DUMMYFUNCTION("""COMPUTED_VALUE"""),8945.27256)</f>
        <v>8945.27256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IFERROR(__xludf.DUMMYFUNCTION("""COMPUTED_VALUE"""),8931.476599)</f>
        <v>8931.476599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IFERROR(__xludf.DUMMYFUNCTION("""COMPUTED_VALUE"""),8788.555)</f>
        <v>8788.555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IFERROR(__xludf.DUMMYFUNCTION("""COMPUTED_VALUE"""),8921.63485)</f>
        <v>8921.63485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IFERROR(__xludf.DUMMYFUNCTION("""COMPUTED_VALUE"""),8882.726)</f>
        <v>8882.726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IFERROR(__xludf.DUMMYFUNCTION("""COMPUTED_VALUE"""),8984.99728)</f>
        <v>8984.99728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IFERROR(__xludf.DUMMYFUNCTION("""COMPUTED_VALUE"""),8824.375)</f>
        <v>8824.375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IFERROR(__xludf.DUMMYFUNCTION("""COMPUTED_VALUE"""),8876.45)</f>
        <v>8876.45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IFERROR(__xludf.DUMMYFUNCTION("""COMPUTED_VALUE"""),8894.18)</f>
        <v>8894.18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IFERROR(__xludf.DUMMYFUNCTION("""COMPUTED_VALUE"""),8959.41225)</f>
        <v>8959.41225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IFERROR(__xludf.DUMMYFUNCTION("""COMPUTED_VALUE"""),8996.175375)</f>
        <v>8996.175375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IFERROR(__xludf.DUMMYFUNCTION("""COMPUTED_VALUE"""),8984.646825)</f>
        <v>8984.646825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IFERROR(__xludf.DUMMYFUNCTION("""COMPUTED_VALUE"""),8914.39754)</f>
        <v>8914.39754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IFERROR(__xludf.DUMMYFUNCTION("""COMPUTED_VALUE"""),8952.744204)</f>
        <v>8952.744204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IFERROR(__xludf.DUMMYFUNCTION("""COMPUTED_VALUE"""),8917.279215)</f>
        <v>8917.279215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IFERROR(__xludf.DUMMYFUNCTION("""COMPUTED_VALUE"""),8884.70431)</f>
        <v>8884.70431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IFERROR(__xludf.DUMMYFUNCTION("""COMPUTED_VALUE"""),8890.502805)</f>
        <v>8890.502805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IFERROR(__xludf.DUMMYFUNCTION("""COMPUTED_VALUE"""),8861.5596)</f>
        <v>8861.5596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IFERROR(__xludf.DUMMYFUNCTION("""COMPUTED_VALUE"""),8842.344)</f>
        <v>8842.344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IFERROR(__xludf.DUMMYFUNCTION("""COMPUTED_VALUE"""),8796.449506)</f>
        <v>8796.449506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IFERROR(__xludf.DUMMYFUNCTION("""COMPUTED_VALUE"""),8907.726555)</f>
        <v>8907.726555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IFERROR(__xludf.DUMMYFUNCTION("""COMPUTED_VALUE"""),8840.435805)</f>
        <v>8840.435805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IFERROR(__xludf.DUMMYFUNCTION("""COMPUTED_VALUE"""),8717.9625)</f>
        <v>8717.9625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IFERROR(__xludf.DUMMYFUNCTION("""COMPUTED_VALUE"""),8581.7858)</f>
        <v>8581.7858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IFERROR(__xludf.DUMMYFUNCTION("""COMPUTED_VALUE"""),8622.3132)</f>
        <v>8622.3132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IFERROR(__xludf.DUMMYFUNCTION("""COMPUTED_VALUE"""),8713.518)</f>
        <v>8713.518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IFERROR(__xludf.DUMMYFUNCTION("""COMPUTED_VALUE"""),8767.2624)</f>
        <v>8767.2624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IFERROR(__xludf.DUMMYFUNCTION("""COMPUTED_VALUE"""),8796.0006)</f>
        <v>8796.0006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IFERROR(__xludf.DUMMYFUNCTION("""COMPUTED_VALUE"""),8836.485925)</f>
        <v>8836.485925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IFERROR(__xludf.DUMMYFUNCTION("""COMPUTED_VALUE"""),8884.2)</f>
        <v>8884.2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IFERROR(__xludf.DUMMYFUNCTION("""COMPUTED_VALUE"""),8930.66468)</f>
        <v>8930.66468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IFERROR(__xludf.DUMMYFUNCTION("""COMPUTED_VALUE"""),8932.66772)</f>
        <v>8932.66772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IFERROR(__xludf.DUMMYFUNCTION("""COMPUTED_VALUE"""),8939.14032)</f>
        <v>8939.14032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IFERROR(__xludf.DUMMYFUNCTION("""COMPUTED_VALUE"""),8972.00061)</f>
        <v>8972.00061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IFERROR(__xludf.DUMMYFUNCTION("""COMPUTED_VALUE"""),9006.878618)</f>
        <v>9006.878618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IFERROR(__xludf.DUMMYFUNCTION("""COMPUTED_VALUE"""),8998.29095)</f>
        <v>8998.29095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IFERROR(__xludf.DUMMYFUNCTION("""COMPUTED_VALUE"""),8993.96226)</f>
        <v>8993.96226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IFERROR(__xludf.DUMMYFUNCTION("""COMPUTED_VALUE"""),9007.266)</f>
        <v>9007.266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IFERROR(__xludf.DUMMYFUNCTION("""COMPUTED_VALUE"""),8958.88158)</f>
        <v>8958.88158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IFERROR(__xludf.DUMMYFUNCTION("""COMPUTED_VALUE"""),8927.176945)</f>
        <v>8927.176945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IFERROR(__xludf.DUMMYFUNCTION("""COMPUTED_VALUE"""),9009.35901)</f>
        <v>9009.35901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IFERROR(__xludf.DUMMYFUNCTION("""COMPUTED_VALUE"""),9038.08967)</f>
        <v>9038.08967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IFERROR(__xludf.DUMMYFUNCTION("""COMPUTED_VALUE"""),9096.48072)</f>
        <v>9096.48072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IFERROR(__xludf.DUMMYFUNCTION("""COMPUTED_VALUE"""),9118.73916)</f>
        <v>9118.73916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IFERROR(__xludf.DUMMYFUNCTION("""COMPUTED_VALUE"""),9101.60895)</f>
        <v>9101.60895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IFERROR(__xludf.DUMMYFUNCTION("""COMPUTED_VALUE"""),9090.0061)</f>
        <v>9090.0061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IFERROR(__xludf.DUMMYFUNCTION("""COMPUTED_VALUE"""),9002.5192)</f>
        <v>9002.5192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IFERROR(__xludf.DUMMYFUNCTION("""COMPUTED_VALUE"""),9098.4576)</f>
        <v>9098.4576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IFERROR(__xludf.DUMMYFUNCTION("""COMPUTED_VALUE"""),9107.14779)</f>
        <v>9107.14779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IFERROR(__xludf.DUMMYFUNCTION("""COMPUTED_VALUE"""),9160.08804)</f>
        <v>9160.08804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IFERROR(__xludf.DUMMYFUNCTION("""COMPUTED_VALUE"""),9158.35416)</f>
        <v>9158.35416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IFERROR(__xludf.DUMMYFUNCTION("""COMPUTED_VALUE"""),9118.0423)</f>
        <v>9118.0423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IFERROR(__xludf.DUMMYFUNCTION("""COMPUTED_VALUE"""),9076.54995)</f>
        <v>9076.54995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IFERROR(__xludf.DUMMYFUNCTION("""COMPUTED_VALUE"""),9127.63894)</f>
        <v>9127.63894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IFERROR(__xludf.DUMMYFUNCTION("""COMPUTED_VALUE"""),9220.6848)</f>
        <v>9220.6848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IFERROR(__xludf.DUMMYFUNCTION("""COMPUTED_VALUE"""),9285.471201)</f>
        <v>9285.471201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IFERROR(__xludf.DUMMYFUNCTION("""COMPUTED_VALUE"""),9268.80414)</f>
        <v>9268.80414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IFERROR(__xludf.DUMMYFUNCTION("""COMPUTED_VALUE"""),9274.8492)</f>
        <v>9274.8492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IFERROR(__xludf.DUMMYFUNCTION("""COMPUTED_VALUE"""),9276.51582)</f>
        <v>9276.51582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IFERROR(__xludf.DUMMYFUNCTION("""COMPUTED_VALUE"""),9247.002288)</f>
        <v>9247.002288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IFERROR(__xludf.DUMMYFUNCTION("""COMPUTED_VALUE"""),9299.422896)</f>
        <v>9299.422896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IFERROR(__xludf.DUMMYFUNCTION("""COMPUTED_VALUE"""),9297.77656)</f>
        <v>9297.77656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IFERROR(__xludf.DUMMYFUNCTION("""COMPUTED_VALUE"""),9353.67016)</f>
        <v>9353.67016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IFERROR(__xludf.DUMMYFUNCTION("""COMPUTED_VALUE"""),9400.9609)</f>
        <v>9400.9609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IFERROR(__xludf.DUMMYFUNCTION("""COMPUTED_VALUE"""),9376.961)</f>
        <v>9376.961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IFERROR(__xludf.DUMMYFUNCTION("""COMPUTED_VALUE"""),9381.54116)</f>
        <v>9381.54116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IFERROR(__xludf.DUMMYFUNCTION("""COMPUTED_VALUE"""),9373.87686)</f>
        <v>9373.87686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IFERROR(__xludf.DUMMYFUNCTION("""COMPUTED_VALUE"""),9289.197375)</f>
        <v>9289.197375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IFERROR(__xludf.DUMMYFUNCTION("""COMPUTED_VALUE"""),9172.77944)</f>
        <v>9172.77944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IFERROR(__xludf.DUMMYFUNCTION("""COMPUTED_VALUE"""),9098.75239)</f>
        <v>9098.75239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IFERROR(__xludf.DUMMYFUNCTION("""COMPUTED_VALUE"""),9299.87838)</f>
        <v>9299.87838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IFERROR(__xludf.DUMMYFUNCTION("""COMPUTED_VALUE"""),9126.90124)</f>
        <v>9126.90124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IFERROR(__xludf.DUMMYFUNCTION("""COMPUTED_VALUE"""),9232.353875)</f>
        <v>9232.353875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IFERROR(__xludf.DUMMYFUNCTION("""COMPUTED_VALUE"""),9202.0556)</f>
        <v>9202.0556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IFERROR(__xludf.DUMMYFUNCTION("""COMPUTED_VALUE"""),9248.8329)</f>
        <v>9248.8329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IFERROR(__xludf.DUMMYFUNCTION("""COMPUTED_VALUE"""),9192.81396)</f>
        <v>9192.81396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IFERROR(__xludf.DUMMYFUNCTION("""COMPUTED_VALUE"""),9117.72)</f>
        <v>9117.72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IFERROR(__xludf.DUMMYFUNCTION("""COMPUTED_VALUE"""),9097.71973)</f>
        <v>9097.71973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IFERROR(__xludf.DUMMYFUNCTION("""COMPUTED_VALUE"""),9089.34034)</f>
        <v>9089.34034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IFERROR(__xludf.DUMMYFUNCTION("""COMPUTED_VALUE"""),9032.8233)</f>
        <v>9032.8233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IFERROR(__xludf.DUMMYFUNCTION("""COMPUTED_VALUE"""),9083.02604)</f>
        <v>9083.02604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IFERROR(__xludf.DUMMYFUNCTION("""COMPUTED_VALUE"""),8906.796827)</f>
        <v>8906.796827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IFERROR(__xludf.DUMMYFUNCTION("""COMPUTED_VALUE"""),9080.67357)</f>
        <v>9080.67357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IFERROR(__xludf.DUMMYFUNCTION("""COMPUTED_VALUE"""),9122.4184)</f>
        <v>9122.4184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IFERROR(__xludf.DUMMYFUNCTION("""COMPUTED_VALUE"""),9120.2606)</f>
        <v>9120.2606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IFERROR(__xludf.DUMMYFUNCTION("""COMPUTED_VALUE"""),8951.6124)</f>
        <v>8951.6124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IFERROR(__xludf.DUMMYFUNCTION("""COMPUTED_VALUE"""),9096.745687)</f>
        <v>9096.745687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IFERROR(__xludf.DUMMYFUNCTION("""COMPUTED_VALUE"""),9035.418)</f>
        <v>9035.418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IFERROR(__xludf.DUMMYFUNCTION("""COMPUTED_VALUE"""),8873.498712)</f>
        <v>8873.498712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IFERROR(__xludf.DUMMYFUNCTION("""COMPUTED_VALUE"""),9050.76013)</f>
        <v>9050.76013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IFERROR(__xludf.DUMMYFUNCTION("""COMPUTED_VALUE"""),9107.5075)</f>
        <v>9107.5075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IFERROR(__xludf.DUMMYFUNCTION("""COMPUTED_VALUE"""),9147.16257)</f>
        <v>9147.16257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IFERROR(__xludf.DUMMYFUNCTION("""COMPUTED_VALUE"""),8949.8082)</f>
        <v>8949.8082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IFERROR(__xludf.DUMMYFUNCTION("""COMPUTED_VALUE"""),9166.850455)</f>
        <v>9166.850455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IFERROR(__xludf.DUMMYFUNCTION("""COMPUTED_VALUE"""),9144.697612)</f>
        <v>9144.697612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IFERROR(__xludf.DUMMYFUNCTION("""COMPUTED_VALUE"""),9120.18478)</f>
        <v>9120.18478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IFERROR(__xludf.DUMMYFUNCTION("""COMPUTED_VALUE"""),9074.604)</f>
        <v>9074.604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IFERROR(__xludf.DUMMYFUNCTION("""COMPUTED_VALUE"""),9109.72467)</f>
        <v>9109.72467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IFERROR(__xludf.DUMMYFUNCTION("""COMPUTED_VALUE"""),9128.81013)</f>
        <v>9128.81013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IFERROR(__xludf.DUMMYFUNCTION("""COMPUTED_VALUE"""),9131.174864)</f>
        <v>9131.174864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IFERROR(__xludf.DUMMYFUNCTION("""COMPUTED_VALUE"""),9156.586797)</f>
        <v>9156.586797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IFERROR(__xludf.DUMMYFUNCTION("""COMPUTED_VALUE"""),9117.95)</f>
        <v>9117.95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IFERROR(__xludf.DUMMYFUNCTION("""COMPUTED_VALUE"""),9126.007765)</f>
        <v>9126.007765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IFERROR(__xludf.DUMMYFUNCTION("""COMPUTED_VALUE"""),9035.866332)</f>
        <v>9035.866332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IFERROR(__xludf.DUMMYFUNCTION("""COMPUTED_VALUE"""),9051.3924)</f>
        <v>9051.3924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IFERROR(__xludf.DUMMYFUNCTION("""COMPUTED_VALUE"""),8984.34326)</f>
        <v>8984.34326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IFERROR(__xludf.DUMMYFUNCTION("""COMPUTED_VALUE"""),8973.4752)</f>
        <v>8973.4752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IFERROR(__xludf.DUMMYFUNCTION("""COMPUTED_VALUE"""),8972.28183)</f>
        <v>8972.28183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IFERROR(__xludf.DUMMYFUNCTION("""COMPUTED_VALUE"""),9054.378835)</f>
        <v>9054.378835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IFERROR(__xludf.DUMMYFUNCTION("""COMPUTED_VALUE"""),9124.49934)</f>
        <v>9124.49934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IFERROR(__xludf.DUMMYFUNCTION("""COMPUTED_VALUE"""),9011.592)</f>
        <v>9011.592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IFERROR(__xludf.DUMMYFUNCTION("""COMPUTED_VALUE"""),9091.299)</f>
        <v>9091.299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IFERROR(__xludf.DUMMYFUNCTION("""COMPUTED_VALUE"""),9112.818)</f>
        <v>9112.818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IFERROR(__xludf.DUMMYFUNCTION("""COMPUTED_VALUE"""),8915.1684)</f>
        <v>8915.1684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IFERROR(__xludf.DUMMYFUNCTION("""COMPUTED_VALUE"""),9129.08674)</f>
        <v>9129.08674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IFERROR(__xludf.DUMMYFUNCTION("""COMPUTED_VALUE"""),9120.33374)</f>
        <v>9120.33374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IFERROR(__xludf.DUMMYFUNCTION("""COMPUTED_VALUE"""),9111.7)</f>
        <v>9111.7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IFERROR(__xludf.DUMMYFUNCTION("""COMPUTED_VALUE"""),9051.042)</f>
        <v>9051.042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IFERROR(__xludf.DUMMYFUNCTION("""COMPUTED_VALUE"""),9057.46734)</f>
        <v>9057.46734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IFERROR(__xludf.DUMMYFUNCTION("""COMPUTED_VALUE"""),8993.46)</f>
        <v>8993.46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IFERROR(__xludf.DUMMYFUNCTION("""COMPUTED_VALUE"""),8858.99812)</f>
        <v>8858.99812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IFERROR(__xludf.DUMMYFUNCTION("""COMPUTED_VALUE"""),9002.42766)</f>
        <v>9002.42766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IFERROR(__xludf.DUMMYFUNCTION("""COMPUTED_VALUE"""),9020.025)</f>
        <v>9020.025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IFERROR(__xludf.DUMMYFUNCTION("""COMPUTED_VALUE"""),9079.446)</f>
        <v>9079.446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IFERROR(__xludf.DUMMYFUNCTION("""COMPUTED_VALUE"""),9208.07277)</f>
        <v>9208.07277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IFERROR(__xludf.DUMMYFUNCTION("""COMPUTED_VALUE"""),9179.7552)</f>
        <v>9179.7552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IFERROR(__xludf.DUMMYFUNCTION("""COMPUTED_VALUE"""),9196.0947)</f>
        <v>9196.0947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IFERROR(__xludf.DUMMYFUNCTION("""COMPUTED_VALUE"""),9026.46722)</f>
        <v>9026.46722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IFERROR(__xludf.DUMMYFUNCTION("""COMPUTED_VALUE"""),9205.756921)</f>
        <v>9205.756921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IFERROR(__xludf.DUMMYFUNCTION("""COMPUTED_VALUE"""),9157.372525)</f>
        <v>9157.372525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IFERROR(__xludf.DUMMYFUNCTION("""COMPUTED_VALUE"""),9127.30242)</f>
        <v>9127.30242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IFERROR(__xludf.DUMMYFUNCTION("""COMPUTED_VALUE"""),9125.94276)</f>
        <v>9125.94276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IFERROR(__xludf.DUMMYFUNCTION("""COMPUTED_VALUE"""),9190.440315)</f>
        <v>9190.440315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IFERROR(__xludf.DUMMYFUNCTION("""COMPUTED_VALUE"""),9153.437485)</f>
        <v>9153.437485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IFERROR(__xludf.DUMMYFUNCTION("""COMPUTED_VALUE"""),9192.996738)</f>
        <v>9192.996738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IFERROR(__xludf.DUMMYFUNCTION("""COMPUTED_VALUE"""),9124.495155)</f>
        <v>9124.495155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IFERROR(__xludf.DUMMYFUNCTION("""COMPUTED_VALUE"""),9069.053015)</f>
        <v>9069.053015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IFERROR(__xludf.DUMMYFUNCTION("""COMPUTED_VALUE"""),9067.25988)</f>
        <v>9067.25988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IFERROR(__xludf.DUMMYFUNCTION("""COMPUTED_VALUE"""),9218.61)</f>
        <v>9218.61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IFERROR(__xludf.DUMMYFUNCTION("""COMPUTED_VALUE"""),9147.95679)</f>
        <v>9147.95679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IFERROR(__xludf.DUMMYFUNCTION("""COMPUTED_VALUE"""),9077.562615)</f>
        <v>9077.562615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IFERROR(__xludf.DUMMYFUNCTION("""COMPUTED_VALUE"""),8903.20362)</f>
        <v>8903.20362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IFERROR(__xludf.DUMMYFUNCTION("""COMPUTED_VALUE"""),9138.625558)</f>
        <v>9138.625558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IFERROR(__xludf.DUMMYFUNCTION("""COMPUTED_VALUE"""),9085.12324)</f>
        <v>9085.12324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IFERROR(__xludf.DUMMYFUNCTION("""COMPUTED_VALUE"""),9165.128)</f>
        <v>9165.128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IFERROR(__xludf.DUMMYFUNCTION("""COMPUTED_VALUE"""),9183.398)</f>
        <v>9183.398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IFERROR(__xludf.DUMMYFUNCTION("""COMPUTED_VALUE"""),9248.9858)</f>
        <v>9248.9858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IFERROR(__xludf.DUMMYFUNCTION("""COMPUTED_VALUE"""),9247.92)</f>
        <v>9247.92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IFERROR(__xludf.DUMMYFUNCTION("""COMPUTED_VALUE"""),9260.460439)</f>
        <v>9260.460439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IFERROR(__xludf.DUMMYFUNCTION("""COMPUTED_VALUE"""),9244.91919)</f>
        <v>9244.91919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IFERROR(__xludf.DUMMYFUNCTION("""COMPUTED_VALUE"""),9243.139275)</f>
        <v>9243.139275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IFERROR(__xludf.DUMMYFUNCTION("""COMPUTED_VALUE"""),9311.75)</f>
        <v>9311.75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IFERROR(__xludf.DUMMYFUNCTION("""COMPUTED_VALUE"""),9355.646)</f>
        <v>9355.646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IFERROR(__xludf.DUMMYFUNCTION("""COMPUTED_VALUE"""),9341.9515)</f>
        <v>9341.9515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IFERROR(__xludf.DUMMYFUNCTION("""COMPUTED_VALUE"""),9343.2)</f>
        <v>9343.2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IFERROR(__xludf.DUMMYFUNCTION("""COMPUTED_VALUE"""),9042.5188)</f>
        <v>9042.5188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IFERROR(__xludf.DUMMYFUNCTION("""COMPUTED_VALUE"""),9355.894965)</f>
        <v>9355.894965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IFERROR(__xludf.DUMMYFUNCTION("""COMPUTED_VALUE"""),9255.285648)</f>
        <v>9255.285648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IFERROR(__xludf.DUMMYFUNCTION("""COMPUTED_VALUE"""),9094.0413)</f>
        <v>9094.0413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IFERROR(__xludf.DUMMYFUNCTION("""COMPUTED_VALUE"""),8957.9152)</f>
        <v>8957.9152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IFERROR(__xludf.DUMMYFUNCTION("""COMPUTED_VALUE"""),8844.846704)</f>
        <v>8844.846704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IFERROR(__xludf.DUMMYFUNCTION("""COMPUTED_VALUE"""),8889.6078)</f>
        <v>8889.6078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IFERROR(__xludf.DUMMYFUNCTION("""COMPUTED_VALUE"""),8726.06614)</f>
        <v>8726.06614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IFERROR(__xludf.DUMMYFUNCTION("""COMPUTED_VALUE"""),8836.389362)</f>
        <v>8836.389362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IFERROR(__xludf.DUMMYFUNCTION("""COMPUTED_VALUE"""),8583.939618)</f>
        <v>8583.939618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IFERROR(__xludf.DUMMYFUNCTION("""COMPUTED_VALUE"""),8842.97232)</f>
        <v>8842.97232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IFERROR(__xludf.DUMMYFUNCTION("""COMPUTED_VALUE"""),8607.40378)</f>
        <v>8607.40378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IFERROR(__xludf.DUMMYFUNCTION("""COMPUTED_VALUE"""),8795.21248)</f>
        <v>8795.21248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IFERROR(__xludf.DUMMYFUNCTION("""COMPUTED_VALUE"""),8700.70084)</f>
        <v>8700.70084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IFERROR(__xludf.DUMMYFUNCTION("""COMPUTED_VALUE"""),8753.23064)</f>
        <v>8753.23064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IFERROR(__xludf.DUMMYFUNCTION("""COMPUTED_VALUE"""),8823.05712)</f>
        <v>8823.05712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IFERROR(__xludf.DUMMYFUNCTION("""COMPUTED_VALUE"""),8881.0)</f>
        <v>8881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IFERROR(__xludf.DUMMYFUNCTION("""COMPUTED_VALUE"""),8886.30776)</f>
        <v>8886.30776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IFERROR(__xludf.DUMMYFUNCTION("""COMPUTED_VALUE"""),8705.39527)</f>
        <v>8705.39527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IFERROR(__xludf.DUMMYFUNCTION("""COMPUTED_VALUE"""),8924.527957)</f>
        <v>8924.527957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IFERROR(__xludf.DUMMYFUNCTION("""COMPUTED_VALUE"""),8876.7726)</f>
        <v>8876.7726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IFERROR(__xludf.DUMMYFUNCTION("""COMPUTED_VALUE"""),8987.236)</f>
        <v>8987.236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IFERROR(__xludf.DUMMYFUNCTION("""COMPUTED_VALUE"""),8945.865)</f>
        <v>8945.865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IFERROR(__xludf.DUMMYFUNCTION("""COMPUTED_VALUE"""),8975.82)</f>
        <v>8975.82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IFERROR(__xludf.DUMMYFUNCTION("""COMPUTED_VALUE"""),9011.3568)</f>
        <v>9011.3568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IFERROR(__xludf.DUMMYFUNCTION("""COMPUTED_VALUE"""),8835.6744)</f>
        <v>8835.6744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IFERROR(__xludf.DUMMYFUNCTION("""COMPUTED_VALUE"""),9023.594625)</f>
        <v>9023.594625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IFERROR(__xludf.DUMMYFUNCTION("""COMPUTED_VALUE"""),9095.952)</f>
        <v>9095.952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IFERROR(__xludf.DUMMYFUNCTION("""COMPUTED_VALUE"""),9105.510945)</f>
        <v>9105.510945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IFERROR(__xludf.DUMMYFUNCTION("""COMPUTED_VALUE"""),9119.163665)</f>
        <v>9119.163665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IFERROR(__xludf.DUMMYFUNCTION("""COMPUTED_VALUE"""),9102.978)</f>
        <v>9102.978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IFERROR(__xludf.DUMMYFUNCTION("""COMPUTED_VALUE"""),9036.35)</f>
        <v>9036.35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IFERROR(__xludf.DUMMYFUNCTION("""COMPUTED_VALUE"""),8932.1662)</f>
        <v>8932.1662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IFERROR(__xludf.DUMMYFUNCTION("""COMPUTED_VALUE"""),9105.578352)</f>
        <v>9105.578352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IFERROR(__xludf.DUMMYFUNCTION("""COMPUTED_VALUE"""),8807.69245)</f>
        <v>8807.69245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IFERROR(__xludf.DUMMYFUNCTION("""COMPUTED_VALUE"""),8974.097258)</f>
        <v>8974.097258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IFERROR(__xludf.DUMMYFUNCTION("""COMPUTED_VALUE"""),9087.2145)</f>
        <v>9087.2145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IFERROR(__xludf.DUMMYFUNCTION("""COMPUTED_VALUE"""),9085.45418)</f>
        <v>9085.45418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IFERROR(__xludf.DUMMYFUNCTION("""COMPUTED_VALUE"""),8971.880655)</f>
        <v>8971.880655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IFERROR(__xludf.DUMMYFUNCTION("""COMPUTED_VALUE"""),8984.548323)</f>
        <v>8984.548323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IFERROR(__xludf.DUMMYFUNCTION("""COMPUTED_VALUE"""),8858.54144)</f>
        <v>8858.54144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IFERROR(__xludf.DUMMYFUNCTION("""COMPUTED_VALUE"""),8870.61604)</f>
        <v>8870.61604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IFERROR(__xludf.DUMMYFUNCTION("""COMPUTED_VALUE"""),8901.1503)</f>
        <v>8901.1503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IFERROR(__xludf.DUMMYFUNCTION("""COMPUTED_VALUE"""),8958.004635)</f>
        <v>8958.004635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IFERROR(__xludf.DUMMYFUNCTION("""COMPUTED_VALUE"""),9096.1734)</f>
        <v>9096.1734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IFERROR(__xludf.DUMMYFUNCTION("""COMPUTED_VALUE"""),9079.611705)</f>
        <v>9079.611705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IFERROR(__xludf.DUMMYFUNCTION("""COMPUTED_VALUE"""),9126.871534)</f>
        <v>9126.871534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IFERROR(__xludf.DUMMYFUNCTION("""COMPUTED_VALUE"""),9033.15747)</f>
        <v>9033.15747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IFERROR(__xludf.DUMMYFUNCTION("""COMPUTED_VALUE"""),8960.02944)</f>
        <v>8960.02944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IFERROR(__xludf.DUMMYFUNCTION("""COMPUTED_VALUE"""),9034.78004)</f>
        <v>9034.78004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IFERROR(__xludf.DUMMYFUNCTION("""COMPUTED_VALUE"""),8898.100623)</f>
        <v>8898.100623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IFERROR(__xludf.DUMMYFUNCTION("""COMPUTED_VALUE"""),8556.757786)</f>
        <v>8556.757786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IFERROR(__xludf.DUMMYFUNCTION("""COMPUTED_VALUE"""),8562.66858)</f>
        <v>8562.66858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IFERROR(__xludf.DUMMYFUNCTION("""COMPUTED_VALUE"""),8384.37101)</f>
        <v>8384.37101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IFERROR(__xludf.DUMMYFUNCTION("""COMPUTED_VALUE"""),8624.281486)</f>
        <v>8624.281486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IFERROR(__xludf.DUMMYFUNCTION("""COMPUTED_VALUE"""),8914.744)</f>
        <v>8914.744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IFERROR(__xludf.DUMMYFUNCTION("""COMPUTED_VALUE"""),8818.571985)</f>
        <v>8818.571985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IFERROR(__xludf.DUMMYFUNCTION("""COMPUTED_VALUE"""),8659.700295)</f>
        <v>8659.700295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IFERROR(__xludf.DUMMYFUNCTION("""COMPUTED_VALUE"""),8741.31864)</f>
        <v>8741.31864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IFERROR(__xludf.DUMMYFUNCTION("""COMPUTED_VALUE"""),8490.212705)</f>
        <v>8490.212705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IFERROR(__xludf.DUMMYFUNCTION("""COMPUTED_VALUE"""),8742.753609)</f>
        <v>8742.753609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IFERROR(__xludf.DUMMYFUNCTION("""COMPUTED_VALUE"""),8503.39763)</f>
        <v>8503.39763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IFERROR(__xludf.DUMMYFUNCTION("""COMPUTED_VALUE"""),8471.262145)</f>
        <v>8471.262145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IFERROR(__xludf.DUMMYFUNCTION("""COMPUTED_VALUE"""),8245.82214)</f>
        <v>8245.82214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IFERROR(__xludf.DUMMYFUNCTION("""COMPUTED_VALUE"""),8629.39505)</f>
        <v>8629.39505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IFERROR(__xludf.DUMMYFUNCTION("""COMPUTED_VALUE"""),8655.3929)</f>
        <v>8655.3929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IFERROR(__xludf.DUMMYFUNCTION("""COMPUTED_VALUE"""),8690.139415)</f>
        <v>8690.139415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IFERROR(__xludf.DUMMYFUNCTION("""COMPUTED_VALUE"""),8858.567409)</f>
        <v>8858.567409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IFERROR(__xludf.DUMMYFUNCTION("""COMPUTED_VALUE"""),8686.580435)</f>
        <v>8686.580435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IFERROR(__xludf.DUMMYFUNCTION("""COMPUTED_VALUE"""),8879.111325)</f>
        <v>8879.111325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IFERROR(__xludf.DUMMYFUNCTION("""COMPUTED_VALUE"""),8675.1584)</f>
        <v>8675.1584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IFERROR(__xludf.DUMMYFUNCTION("""COMPUTED_VALUE"""),8992.23552)</f>
        <v>8992.23552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IFERROR(__xludf.DUMMYFUNCTION("""COMPUTED_VALUE"""),9004.77324)</f>
        <v>9004.77324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IFERROR(__xludf.DUMMYFUNCTION("""COMPUTED_VALUE"""),9148.30296)</f>
        <v>9148.30296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IFERROR(__xludf.DUMMYFUNCTION("""COMPUTED_VALUE"""),8890.68168)</f>
        <v>8890.68168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IFERROR(__xludf.DUMMYFUNCTION("""COMPUTED_VALUE"""),9181.332415)</f>
        <v>9181.332415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IFERROR(__xludf.DUMMYFUNCTION("""COMPUTED_VALUE"""),9030.27538)</f>
        <v>9030.27538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IFERROR(__xludf.DUMMYFUNCTION("""COMPUTED_VALUE"""),9103.776)</f>
        <v>9103.776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IFERROR(__xludf.DUMMYFUNCTION("""COMPUTED_VALUE"""),9047.67472)</f>
        <v>9047.67472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IFERROR(__xludf.DUMMYFUNCTION("""COMPUTED_VALUE"""),9028.806345)</f>
        <v>9028.806345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IFERROR(__xludf.DUMMYFUNCTION("""COMPUTED_VALUE"""),9181.875)</f>
        <v>9181.875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IFERROR(__xludf.DUMMYFUNCTION("""COMPUTED_VALUE"""),8835.36812)</f>
        <v>8835.36812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IFERROR(__xludf.DUMMYFUNCTION("""COMPUTED_VALUE"""),9145.24039)</f>
        <v>9145.24039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IFERROR(__xludf.DUMMYFUNCTION("""COMPUTED_VALUE"""),9248.797687)</f>
        <v>9248.797687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IFERROR(__xludf.DUMMYFUNCTION("""COMPUTED_VALUE"""),9226.072875)</f>
        <v>9226.072875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IFERROR(__xludf.DUMMYFUNCTION("""COMPUTED_VALUE"""),9230.529885)</f>
        <v>9230.529885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IFERROR(__xludf.DUMMYFUNCTION("""COMPUTED_VALUE"""),9472.031258)</f>
        <v>9472.031258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IFERROR(__xludf.DUMMYFUNCTION("""COMPUTED_VALUE"""),9423.46522)</f>
        <v>9423.46522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IFERROR(__xludf.DUMMYFUNCTION("""COMPUTED_VALUE"""),9442.680613)</f>
        <v>9442.680613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IFERROR(__xludf.DUMMYFUNCTION("""COMPUTED_VALUE"""),9415.71015)</f>
        <v>9415.71015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IFERROR(__xludf.DUMMYFUNCTION("""COMPUTED_VALUE"""),9300.41728)</f>
        <v>9300.41728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IFERROR(__xludf.DUMMYFUNCTION("""COMPUTED_VALUE"""),9138.70155)</f>
        <v>9138.70155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IFERROR(__xludf.DUMMYFUNCTION("""COMPUTED_VALUE"""),9137.102592)</f>
        <v>9137.102592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IFERROR(__xludf.DUMMYFUNCTION("""COMPUTED_VALUE"""),9320.930484)</f>
        <v>9320.930484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IFERROR(__xludf.DUMMYFUNCTION("""COMPUTED_VALUE"""),9278.6485)</f>
        <v>9278.6485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IFERROR(__xludf.DUMMYFUNCTION("""COMPUTED_VALUE"""),9141.2558)</f>
        <v>9141.2558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IFERROR(__xludf.DUMMYFUNCTION("""COMPUTED_VALUE"""),9299.893045)</f>
        <v>9299.893045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IFERROR(__xludf.DUMMYFUNCTION("""COMPUTED_VALUE"""),9272.492527)</f>
        <v>9272.492527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IFERROR(__xludf.DUMMYFUNCTION("""COMPUTED_VALUE"""),9256.4445)</f>
        <v>9256.4445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IFERROR(__xludf.DUMMYFUNCTION("""COMPUTED_VALUE"""),9010.85332)</f>
        <v>9010.85332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IFERROR(__xludf.DUMMYFUNCTION("""COMPUTED_VALUE"""),9102.525861)</f>
        <v>9102.525861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IFERROR(__xludf.DUMMYFUNCTION("""COMPUTED_VALUE"""),9200.16152)</f>
        <v>9200.16152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IFERROR(__xludf.DUMMYFUNCTION("""COMPUTED_VALUE"""),9220.429617)</f>
        <v>9220.429617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IFERROR(__xludf.DUMMYFUNCTION("""COMPUTED_VALUE"""),9264.789145)</f>
        <v>9264.789145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IFERROR(__xludf.DUMMYFUNCTION("""COMPUTED_VALUE"""),9144.249)</f>
        <v>9144.249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IFERROR(__xludf.DUMMYFUNCTION("""COMPUTED_VALUE"""),9128.974755)</f>
        <v>9128.974755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IFERROR(__xludf.DUMMYFUNCTION("""COMPUTED_VALUE"""),9032.0319)</f>
        <v>9032.0319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IFERROR(__xludf.DUMMYFUNCTION("""COMPUTED_VALUE"""),8958.433407)</f>
        <v>8958.433407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IFERROR(__xludf.DUMMYFUNCTION("""COMPUTED_VALUE"""),8991.5)</f>
        <v>8991.5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IFERROR(__xludf.DUMMYFUNCTION("""COMPUTED_VALUE"""),8927.0009)</f>
        <v>8927.0009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IFERROR(__xludf.DUMMYFUNCTION("""COMPUTED_VALUE"""),9019.95)</f>
        <v>9019.95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IFERROR(__xludf.DUMMYFUNCTION("""COMPUTED_VALUE"""),8884.792526)</f>
        <v>8884.792526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IFERROR(__xludf.DUMMYFUNCTION("""COMPUTED_VALUE"""),8906.562265)</f>
        <v>8906.562265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IFERROR(__xludf.DUMMYFUNCTION("""COMPUTED_VALUE"""),8740.08117)</f>
        <v>8740.08117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IFERROR(__xludf.DUMMYFUNCTION("""COMPUTED_VALUE"""),8697.11296)</f>
        <v>8697.11296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IFERROR(__xludf.DUMMYFUNCTION("""COMPUTED_VALUE"""),8763.92594)</f>
        <v>8763.92594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IFERROR(__xludf.DUMMYFUNCTION("""COMPUTED_VALUE"""),8795.91895)</f>
        <v>8795.91895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IFERROR(__xludf.DUMMYFUNCTION("""COMPUTED_VALUE"""),8896.397825)</f>
        <v>8896.397825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IFERROR(__xludf.DUMMYFUNCTION("""COMPUTED_VALUE"""),9026.534985)</f>
        <v>9026.534985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IFERROR(__xludf.DUMMYFUNCTION("""COMPUTED_VALUE"""),9136.9169)</f>
        <v>9136.9169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IFERROR(__xludf.DUMMYFUNCTION("""COMPUTED_VALUE"""),9302.70983)</f>
        <v>9302.70983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IFERROR(__xludf.DUMMYFUNCTION("""COMPUTED_VALUE"""),9192.8389)</f>
        <v>9192.8389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IFERROR(__xludf.DUMMYFUNCTION("""COMPUTED_VALUE"""),9207.0195)</f>
        <v>9207.0195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IFERROR(__xludf.DUMMYFUNCTION("""COMPUTED_VALUE"""),9094.429344)</f>
        <v>9094.429344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IFERROR(__xludf.DUMMYFUNCTION("""COMPUTED_VALUE"""),9229.50581)</f>
        <v>9229.50581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IFERROR(__xludf.DUMMYFUNCTION("""COMPUTED_VALUE"""),9248.32662)</f>
        <v>9248.32662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IFERROR(__xludf.DUMMYFUNCTION("""COMPUTED_VALUE"""),9252.692295)</f>
        <v>9252.692295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IFERROR(__xludf.DUMMYFUNCTION("""COMPUTED_VALUE"""),9281.97268)</f>
        <v>9281.97268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IFERROR(__xludf.DUMMYFUNCTION("""COMPUTED_VALUE"""),9150.562635)</f>
        <v>9150.562635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IFERROR(__xludf.DUMMYFUNCTION("""COMPUTED_VALUE"""),9242.765)</f>
        <v>9242.765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IFERROR(__xludf.DUMMYFUNCTION("""COMPUTED_VALUE"""),9070.85914)</f>
        <v>9070.85914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IFERROR(__xludf.DUMMYFUNCTION("""COMPUTED_VALUE"""),9285.077267)</f>
        <v>9285.077267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IFERROR(__xludf.DUMMYFUNCTION("""COMPUTED_VALUE"""),9106.05969)</f>
        <v>9106.05969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IFERROR(__xludf.DUMMYFUNCTION("""COMPUTED_VALUE"""),9112.1)</f>
        <v>9112.1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IFERROR(__xludf.DUMMYFUNCTION("""COMPUTED_VALUE"""),9010.82)</f>
        <v>9010.82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IFERROR(__xludf.DUMMYFUNCTION("""COMPUTED_VALUE"""),9031.77432)</f>
        <v>9031.77432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IFERROR(__xludf.DUMMYFUNCTION("""COMPUTED_VALUE"""),9045.1828)</f>
        <v>9045.1828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IFERROR(__xludf.DUMMYFUNCTION("""COMPUTED_VALUE"""),9047.18677)</f>
        <v>9047.18677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IFERROR(__xludf.DUMMYFUNCTION("""COMPUTED_VALUE"""),8976.8274)</f>
        <v>8976.8274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IFERROR(__xludf.DUMMYFUNCTION("""COMPUTED_VALUE"""),9035.00559)</f>
        <v>9035.00559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IFERROR(__xludf.DUMMYFUNCTION("""COMPUTED_VALUE"""),9114.55224)</f>
        <v>9114.55224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IFERROR(__xludf.DUMMYFUNCTION("""COMPUTED_VALUE"""),9112.2306)</f>
        <v>9112.2306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IFERROR(__xludf.DUMMYFUNCTION("""COMPUTED_VALUE"""),9254.36085)</f>
        <v>9254.36085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IFERROR(__xludf.DUMMYFUNCTION("""COMPUTED_VALUE"""),9171.08)</f>
        <v>9171.08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IFERROR(__xludf.DUMMYFUNCTION("""COMPUTED_VALUE"""),9171.26448)</f>
        <v>9171.26448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IFERROR(__xludf.DUMMYFUNCTION("""COMPUTED_VALUE"""),9231.483091)</f>
        <v>9231.483091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IFERROR(__xludf.DUMMYFUNCTION("""COMPUTED_VALUE"""),9232.72718)</f>
        <v>9232.72718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IFERROR(__xludf.DUMMYFUNCTION("""COMPUTED_VALUE"""),9191.5866)</f>
        <v>9191.5866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IFERROR(__xludf.DUMMYFUNCTION("""COMPUTED_VALUE"""),9120.37296)</f>
        <v>9120.37296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IFERROR(__xludf.DUMMYFUNCTION("""COMPUTED_VALUE"""),8974.3398)</f>
        <v>8974.3398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IFERROR(__xludf.DUMMYFUNCTION("""COMPUTED_VALUE"""),9236.67)</f>
        <v>9236.67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IFERROR(__xludf.DUMMYFUNCTION("""COMPUTED_VALUE"""),9231.5725)</f>
        <v>9231.5725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IFERROR(__xludf.DUMMYFUNCTION("""COMPUTED_VALUE"""),9293.260347)</f>
        <v>9293.260347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IFERROR(__xludf.DUMMYFUNCTION("""COMPUTED_VALUE"""),9122.83348)</f>
        <v>9122.83348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IFERROR(__xludf.DUMMYFUNCTION("""COMPUTED_VALUE"""),9449.1559)</f>
        <v>9449.1559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IFERROR(__xludf.DUMMYFUNCTION("""COMPUTED_VALUE"""),9425.7372)</f>
        <v>9425.7372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IFERROR(__xludf.DUMMYFUNCTION("""COMPUTED_VALUE"""),9334.106)</f>
        <v>9334.106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IFERROR(__xludf.DUMMYFUNCTION("""COMPUTED_VALUE"""),9295.434)</f>
        <v>9295.434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IFERROR(__xludf.DUMMYFUNCTION("""COMPUTED_VALUE"""),9269.46072)</f>
        <v>9269.46072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IFERROR(__xludf.DUMMYFUNCTION("""COMPUTED_VALUE"""),9292.615938)</f>
        <v>9292.615938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IFERROR(__xludf.DUMMYFUNCTION("""COMPUTED_VALUE"""),9374.65)</f>
        <v>9374.65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IFERROR(__xludf.DUMMYFUNCTION("""COMPUTED_VALUE"""),9420.8132)</f>
        <v>9420.8132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IFERROR(__xludf.DUMMYFUNCTION("""COMPUTED_VALUE"""),9473.971)</f>
        <v>9473.971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IFERROR(__xludf.DUMMYFUNCTION("""COMPUTED_VALUE"""),9453.78)</f>
        <v>9453.78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IFERROR(__xludf.DUMMYFUNCTION("""COMPUTED_VALUE"""),9369.4038)</f>
        <v>9369.4038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IFERROR(__xludf.DUMMYFUNCTION("""COMPUTED_VALUE"""),9316.33939)</f>
        <v>9316.33939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IFERROR(__xludf.DUMMYFUNCTION("""COMPUTED_VALUE"""),9370.19114)</f>
        <v>9370.19114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IFERROR(__xludf.DUMMYFUNCTION("""COMPUTED_VALUE"""),9385.63686)</f>
        <v>9385.63686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IFERROR(__xludf.DUMMYFUNCTION("""COMPUTED_VALUE"""),9409.9436)</f>
        <v>9409.9436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IFERROR(__xludf.DUMMYFUNCTION("""COMPUTED_VALUE"""),9382.83696)</f>
        <v>9382.83696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IFERROR(__xludf.DUMMYFUNCTION("""COMPUTED_VALUE"""),9315.323)</f>
        <v>9315.323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IFERROR(__xludf.DUMMYFUNCTION("""COMPUTED_VALUE"""),9373.8986)</f>
        <v>9373.8986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IFERROR(__xludf.DUMMYFUNCTION("""COMPUTED_VALUE"""),9338.348)</f>
        <v>9338.348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IFERROR(__xludf.DUMMYFUNCTION("""COMPUTED_VALUE"""),9386.994609)</f>
        <v>9386.994609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IFERROR(__xludf.DUMMYFUNCTION("""COMPUTED_VALUE"""),9391.868)</f>
        <v>9391.868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IFERROR(__xludf.DUMMYFUNCTION("""COMPUTED_VALUE"""),9383.505)</f>
        <v>9383.505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IFERROR(__xludf.DUMMYFUNCTION("""COMPUTED_VALUE"""),9586.39552)</f>
        <v>9586.39552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IFERROR(__xludf.DUMMYFUNCTION("""COMPUTED_VALUE"""),9524.89746)</f>
        <v>9524.89746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IFERROR(__xludf.DUMMYFUNCTION("""COMPUTED_VALUE"""),9566.21088)</f>
        <v>9566.21088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IFERROR(__xludf.DUMMYFUNCTION("""COMPUTED_VALUE"""),9529.404)</f>
        <v>9529.404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IFERROR(__xludf.DUMMYFUNCTION("""COMPUTED_VALUE"""),9572.45715)</f>
        <v>9572.45715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IFERROR(__xludf.DUMMYFUNCTION("""COMPUTED_VALUE"""),9495.0676)</f>
        <v>9495.0676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IFERROR(__xludf.DUMMYFUNCTION("""COMPUTED_VALUE"""),9525.30495)</f>
        <v>9525.30495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IFERROR(__xludf.DUMMYFUNCTION("""COMPUTED_VALUE"""),9619.1964)</f>
        <v>9619.1964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IFERROR(__xludf.DUMMYFUNCTION("""COMPUTED_VALUE"""),9585.02012)</f>
        <v>9585.02012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IFERROR(__xludf.DUMMYFUNCTION("""COMPUTED_VALUE"""),9637.6244)</f>
        <v>9637.6244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IFERROR(__xludf.DUMMYFUNCTION("""COMPUTED_VALUE"""),9606.6356)</f>
        <v>9606.6356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IFERROR(__xludf.DUMMYFUNCTION("""COMPUTED_VALUE"""),9641.703105)</f>
        <v>9641.703105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IFERROR(__xludf.DUMMYFUNCTION("""COMPUTED_VALUE"""),9628.1528)</f>
        <v>9628.1528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IFERROR(__xludf.DUMMYFUNCTION("""COMPUTED_VALUE"""),9638.6848)</f>
        <v>9638.6848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IFERROR(__xludf.DUMMYFUNCTION("""COMPUTED_VALUE"""),9550.7685)</f>
        <v>9550.7685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IFERROR(__xludf.DUMMYFUNCTION("""COMPUTED_VALUE"""),9603.272)</f>
        <v>9603.272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IFERROR(__xludf.DUMMYFUNCTION("""COMPUTED_VALUE"""),9562.9655)</f>
        <v>9562.9655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IFERROR(__xludf.DUMMYFUNCTION("""COMPUTED_VALUE"""),9559.3795)</f>
        <v>9559.3795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IFERROR(__xludf.DUMMYFUNCTION("""COMPUTED_VALUE"""),9597.0325)</f>
        <v>9597.0325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IFERROR(__xludf.DUMMYFUNCTION("""COMPUTED_VALUE"""),9602.106735)</f>
        <v>9602.106735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IFERROR(__xludf.DUMMYFUNCTION("""COMPUTED_VALUE"""),9628.7598)</f>
        <v>9628.7598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IFERROR(__xludf.DUMMYFUNCTION("""COMPUTED_VALUE"""),9544.384)</f>
        <v>9544.384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IFERROR(__xludf.DUMMYFUNCTION("""COMPUTED_VALUE"""),9650.806)</f>
        <v>9650.806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IFERROR(__xludf.DUMMYFUNCTION("""COMPUTED_VALUE"""),9636.8112)</f>
        <v>9636.8112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IFERROR(__xludf.DUMMYFUNCTION("""COMPUTED_VALUE"""),9613.82064)</f>
        <v>9613.82064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IFERROR(__xludf.DUMMYFUNCTION("""COMPUTED_VALUE"""),9705.44928)</f>
        <v>9705.44928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IFERROR(__xludf.DUMMYFUNCTION("""COMPUTED_VALUE"""),9615.76088)</f>
        <v>9615.76088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IFERROR(__xludf.DUMMYFUNCTION("""COMPUTED_VALUE"""),9632.8428)</f>
        <v>9632.8428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IFERROR(__xludf.DUMMYFUNCTION("""COMPUTED_VALUE"""),9609.3392)</f>
        <v>9609.3392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IFERROR(__xludf.DUMMYFUNCTION("""COMPUTED_VALUE"""),9696.304)</f>
        <v>9696.304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IFERROR(__xludf.DUMMYFUNCTION("""COMPUTED_VALUE"""),9666.472)</f>
        <v>9666.472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IFERROR(__xludf.DUMMYFUNCTION("""COMPUTED_VALUE"""),9646.04837)</f>
        <v>9646.04837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IFERROR(__xludf.DUMMYFUNCTION("""COMPUTED_VALUE"""),9689.029772)</f>
        <v>9689.029772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IFERROR(__xludf.DUMMYFUNCTION("""COMPUTED_VALUE"""),9793.338)</f>
        <v>9793.338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IFERROR(__xludf.DUMMYFUNCTION("""COMPUTED_VALUE"""),9713.6935)</f>
        <v>9713.6935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IFERROR(__xludf.DUMMYFUNCTION("""COMPUTED_VALUE"""),9676.74)</f>
        <v>9676.74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IFERROR(__xludf.DUMMYFUNCTION("""COMPUTED_VALUE"""),9780.3055)</f>
        <v>9780.3055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IFERROR(__xludf.DUMMYFUNCTION("""COMPUTED_VALUE"""),9700.6215)</f>
        <v>9700.6215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IFERROR(__xludf.DUMMYFUNCTION("""COMPUTED_VALUE"""),9717.826)</f>
        <v>9717.826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IFERROR(__xludf.DUMMYFUNCTION("""COMPUTED_VALUE"""),9716.015)</f>
        <v>9716.015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IFERROR(__xludf.DUMMYFUNCTION("""COMPUTED_VALUE"""),9726.3049)</f>
        <v>9726.3049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IFERROR(__xludf.DUMMYFUNCTION("""COMPUTED_VALUE"""),9630.909)</f>
        <v>9630.909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IFERROR(__xludf.DUMMYFUNCTION("""COMPUTED_VALUE"""),9603.11755)</f>
        <v>9603.11755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IFERROR(__xludf.DUMMYFUNCTION("""COMPUTED_VALUE"""),9691.362)</f>
        <v>9691.362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IFERROR(__xludf.DUMMYFUNCTION("""COMPUTED_VALUE"""),9627.627)</f>
        <v>9627.627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IFERROR(__xludf.DUMMYFUNCTION("""COMPUTED_VALUE"""),9635.863716)</f>
        <v>9635.863716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IFERROR(__xludf.DUMMYFUNCTION("""COMPUTED_VALUE"""),9647.52018)</f>
        <v>9647.52018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IFERROR(__xludf.DUMMYFUNCTION("""COMPUTED_VALUE"""),9617.049)</f>
        <v>9617.049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IFERROR(__xludf.DUMMYFUNCTION("""COMPUTED_VALUE"""),9621.6155)</f>
        <v>9621.6155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IFERROR(__xludf.DUMMYFUNCTION("""COMPUTED_VALUE"""),9557.009)</f>
        <v>9557.009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IFERROR(__xludf.DUMMYFUNCTION("""COMPUTED_VALUE"""),9635.8108)</f>
        <v>9635.8108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IFERROR(__xludf.DUMMYFUNCTION("""COMPUTED_VALUE"""),9633.26)</f>
        <v>9633.26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IFERROR(__xludf.DUMMYFUNCTION("""COMPUTED_VALUE"""),9621.27129)</f>
        <v>9621.27129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IFERROR(__xludf.DUMMYFUNCTION("""COMPUTED_VALUE"""),9668.112)</f>
        <v>9668.112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IFERROR(__xludf.DUMMYFUNCTION("""COMPUTED_VALUE"""),9655.689)</f>
        <v>9655.689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IFERROR(__xludf.DUMMYFUNCTION("""COMPUTED_VALUE"""),9582.131)</f>
        <v>9582.131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IFERROR(__xludf.DUMMYFUNCTION("""COMPUTED_VALUE"""),9562.012)</f>
        <v>9562.012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IFERROR(__xludf.DUMMYFUNCTION("""COMPUTED_VALUE"""),9589.722)</f>
        <v>9589.722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IFERROR(__xludf.DUMMYFUNCTION("""COMPUTED_VALUE"""),9564.7555)</f>
        <v>9564.7555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IFERROR(__xludf.DUMMYFUNCTION("""COMPUTED_VALUE"""),9369.2441)</f>
        <v>9369.2441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IFERROR(__xludf.DUMMYFUNCTION("""COMPUTED_VALUE"""),9581.88)</f>
        <v>9581.88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IFERROR(__xludf.DUMMYFUNCTION("""COMPUTED_VALUE"""),9630.375)</f>
        <v>9630.375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IFERROR(__xludf.DUMMYFUNCTION("""COMPUTED_VALUE"""),9559.005)</f>
        <v>9559.005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IFERROR(__xludf.DUMMYFUNCTION("""COMPUTED_VALUE"""),9510.144)</f>
        <v>9510.144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IFERROR(__xludf.DUMMYFUNCTION("""COMPUTED_VALUE"""),9501.36)</f>
        <v>9501.36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IFERROR(__xludf.DUMMYFUNCTION("""COMPUTED_VALUE"""),9435.552)</f>
        <v>9435.552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IFERROR(__xludf.DUMMYFUNCTION("""COMPUTED_VALUE"""),9429.0976)</f>
        <v>9429.0976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IFERROR(__xludf.DUMMYFUNCTION("""COMPUTED_VALUE"""),9568.285097)</f>
        <v>9568.285097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IFERROR(__xludf.DUMMYFUNCTION("""COMPUTED_VALUE"""),9499.1324)</f>
        <v>9499.1324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IFERROR(__xludf.DUMMYFUNCTION("""COMPUTED_VALUE"""),9419.30736)</f>
        <v>9419.30736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IFERROR(__xludf.DUMMYFUNCTION("""COMPUTED_VALUE"""),9384.1575)</f>
        <v>9384.1575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IFERROR(__xludf.DUMMYFUNCTION("""COMPUTED_VALUE"""),9354.8245)</f>
        <v>9354.8245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IFERROR(__xludf.DUMMYFUNCTION("""COMPUTED_VALUE"""),9479.78304)</f>
        <v>9479.78304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IFERROR(__xludf.DUMMYFUNCTION("""COMPUTED_VALUE"""),9361.8864)</f>
        <v>9361.8864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IFERROR(__xludf.DUMMYFUNCTION("""COMPUTED_VALUE"""),9343.014)</f>
        <v>9343.014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IFERROR(__xludf.DUMMYFUNCTION("""COMPUTED_VALUE"""),9427.8753)</f>
        <v>9427.8753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IFERROR(__xludf.DUMMYFUNCTION("""COMPUTED_VALUE"""),9365.8313)</f>
        <v>9365.8313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IFERROR(__xludf.DUMMYFUNCTION("""COMPUTED_VALUE"""),9427.67854)</f>
        <v>9427.67854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IFERROR(__xludf.DUMMYFUNCTION("""COMPUTED_VALUE"""),9545.1517)</f>
        <v>9545.1517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IFERROR(__xludf.DUMMYFUNCTION("""COMPUTED_VALUE"""),9451.3435)</f>
        <v>9451.3435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IFERROR(__xludf.DUMMYFUNCTION("""COMPUTED_VALUE"""),9360.2731)</f>
        <v>9360.2731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IFERROR(__xludf.DUMMYFUNCTION("""COMPUTED_VALUE"""),9468.074205)</f>
        <v>9468.074205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IFERROR(__xludf.DUMMYFUNCTION("""COMPUTED_VALUE"""),9487.3265)</f>
        <v>9487.3265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IFERROR(__xludf.DUMMYFUNCTION("""COMPUTED_VALUE"""),9522.93945)</f>
        <v>9522.93945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IFERROR(__xludf.DUMMYFUNCTION("""COMPUTED_VALUE"""),9476.3405)</f>
        <v>9476.3405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IFERROR(__xludf.DUMMYFUNCTION("""COMPUTED_VALUE"""),9464.3206)</f>
        <v>9464.3206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IFERROR(__xludf.DUMMYFUNCTION("""COMPUTED_VALUE"""),9500.0212)</f>
        <v>9500.0212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IFERROR(__xludf.DUMMYFUNCTION("""COMPUTED_VALUE"""),9551.977905)</f>
        <v>9551.977905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IFERROR(__xludf.DUMMYFUNCTION("""COMPUTED_VALUE"""),9483.84564)</f>
        <v>9483.84564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IFERROR(__xludf.DUMMYFUNCTION("""COMPUTED_VALUE"""),9457.1323)</f>
        <v>9457.1323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IFERROR(__xludf.DUMMYFUNCTION("""COMPUTED_VALUE"""),9461.7138)</f>
        <v>9461.7138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IFERROR(__xludf.DUMMYFUNCTION("""COMPUTED_VALUE"""),9484.6213)</f>
        <v>9484.6213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IFERROR(__xludf.DUMMYFUNCTION("""COMPUTED_VALUE"""),9486.3412)</f>
        <v>9486.3412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IFERROR(__xludf.DUMMYFUNCTION("""COMPUTED_VALUE"""),9617.15507)</f>
        <v>9617.15507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IFERROR(__xludf.DUMMYFUNCTION("""COMPUTED_VALUE"""),9613.050978)</f>
        <v>9613.050978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IFERROR(__xludf.DUMMYFUNCTION("""COMPUTED_VALUE"""),9605.209435)</f>
        <v>9605.209435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IFERROR(__xludf.DUMMYFUNCTION("""COMPUTED_VALUE"""),9484.2829)</f>
        <v>9484.2829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IFERROR(__xludf.DUMMYFUNCTION("""COMPUTED_VALUE"""),9452.781)</f>
        <v>9452.781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IFERROR(__xludf.DUMMYFUNCTION("""COMPUTED_VALUE"""),9401.457)</f>
        <v>9401.457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IFERROR(__xludf.DUMMYFUNCTION("""COMPUTED_VALUE"""),9355.3691)</f>
        <v>9355.3691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IFERROR(__xludf.DUMMYFUNCTION("""COMPUTED_VALUE"""),9211.28247)</f>
        <v>9211.28247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IFERROR(__xludf.DUMMYFUNCTION("""COMPUTED_VALUE"""),9158.88548)</f>
        <v>9158.88548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IFERROR(__xludf.DUMMYFUNCTION("""COMPUTED_VALUE"""),9364.5874)</f>
        <v>9364.5874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IFERROR(__xludf.DUMMYFUNCTION("""COMPUTED_VALUE"""),9250.3272)</f>
        <v>9250.3272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IFERROR(__xludf.DUMMYFUNCTION("""COMPUTED_VALUE"""),9257.2224)</f>
        <v>9257.2224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IFERROR(__xludf.DUMMYFUNCTION("""COMPUTED_VALUE"""),9225.937)</f>
        <v>9225.937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IFERROR(__xludf.DUMMYFUNCTION("""COMPUTED_VALUE"""),9199.5294)</f>
        <v>9199.5294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IFERROR(__xludf.DUMMYFUNCTION("""COMPUTED_VALUE"""),9196.94105)</f>
        <v>9196.94105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IFERROR(__xludf.DUMMYFUNCTION("""COMPUTED_VALUE"""),9176.7312)</f>
        <v>9176.7312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IFERROR(__xludf.DUMMYFUNCTION("""COMPUTED_VALUE"""),9209.3622)</f>
        <v>9209.3622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IFERROR(__xludf.DUMMYFUNCTION("""COMPUTED_VALUE"""),9180.2625)</f>
        <v>9180.2625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IFERROR(__xludf.DUMMYFUNCTION("""COMPUTED_VALUE"""),9165.0198)</f>
        <v>9165.0198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IFERROR(__xludf.DUMMYFUNCTION("""COMPUTED_VALUE"""),9111.0045)</f>
        <v>9111.0045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IFERROR(__xludf.DUMMYFUNCTION("""COMPUTED_VALUE"""),9059.95468)</f>
        <v>9059.95468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IFERROR(__xludf.DUMMYFUNCTION("""COMPUTED_VALUE"""),8853.07584)</f>
        <v>8853.07584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IFERROR(__xludf.DUMMYFUNCTION("""COMPUTED_VALUE"""),9115.026996)</f>
        <v>9115.026996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IFERROR(__xludf.DUMMYFUNCTION("""COMPUTED_VALUE"""),9163.60263)</f>
        <v>9163.60263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IFERROR(__xludf.DUMMYFUNCTION("""COMPUTED_VALUE"""),9018.432)</f>
        <v>9018.432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IFERROR(__xludf.DUMMYFUNCTION("""COMPUTED_VALUE"""),9037.6926)</f>
        <v>9037.6926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IFERROR(__xludf.DUMMYFUNCTION("""COMPUTED_VALUE"""),9033.8055)</f>
        <v>9033.8055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IFERROR(__xludf.DUMMYFUNCTION("""COMPUTED_VALUE"""),9039.8605)</f>
        <v>9039.8605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IFERROR(__xludf.DUMMYFUNCTION("""COMPUTED_VALUE"""),9083.797941)</f>
        <v>9083.797941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IFERROR(__xludf.DUMMYFUNCTION("""COMPUTED_VALUE"""),9120.2759)</f>
        <v>9120.2759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IFERROR(__xludf.DUMMYFUNCTION("""COMPUTED_VALUE"""),9127.878)</f>
        <v>9127.878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IFERROR(__xludf.DUMMYFUNCTION("""COMPUTED_VALUE"""),9207.899)</f>
        <v>9207.899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IFERROR(__xludf.DUMMYFUNCTION("""COMPUTED_VALUE"""),9124.877)</f>
        <v>9124.877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IFERROR(__xludf.DUMMYFUNCTION("""COMPUTED_VALUE"""),9111.5625)</f>
        <v>9111.5625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IFERROR(__xludf.DUMMYFUNCTION("""COMPUTED_VALUE"""),9089.0625)</f>
        <v>9089.0625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IFERROR(__xludf.DUMMYFUNCTION("""COMPUTED_VALUE"""),9137.605365)</f>
        <v>9137.605365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IFERROR(__xludf.DUMMYFUNCTION("""COMPUTED_VALUE"""),9065.460465)</f>
        <v>9065.460465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IFERROR(__xludf.DUMMYFUNCTION("""COMPUTED_VALUE"""),9120.9375)</f>
        <v>9120.9375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IFERROR(__xludf.DUMMYFUNCTION("""COMPUTED_VALUE"""),9132.2964)</f>
        <v>9132.2964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IFERROR(__xludf.DUMMYFUNCTION("""COMPUTED_VALUE"""),9193.38)</f>
        <v>9193.38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IFERROR(__xludf.DUMMYFUNCTION("""COMPUTED_VALUE"""),9262.5726)</f>
        <v>9262.5726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IFERROR(__xludf.DUMMYFUNCTION("""COMPUTED_VALUE"""),9280.44)</f>
        <v>9280.44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IFERROR(__xludf.DUMMYFUNCTION("""COMPUTED_VALUE"""),9077.03671)</f>
        <v>9077.03671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IFERROR(__xludf.DUMMYFUNCTION("""COMPUTED_VALUE"""),9366.1801)</f>
        <v>9366.1801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IFERROR(__xludf.DUMMYFUNCTION("""COMPUTED_VALUE"""),9247.742)</f>
        <v>9247.742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IFERROR(__xludf.DUMMYFUNCTION("""COMPUTED_VALUE"""),9368.3205)</f>
        <v>9368.3205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IFERROR(__xludf.DUMMYFUNCTION("""COMPUTED_VALUE"""),9345.2065)</f>
        <v>9345.2065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IFERROR(__xludf.DUMMYFUNCTION("""COMPUTED_VALUE"""),9418.4875)</f>
        <v>9418.4875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IFERROR(__xludf.DUMMYFUNCTION("""COMPUTED_VALUE"""),9438.047)</f>
        <v>9438.047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IFERROR(__xludf.DUMMYFUNCTION("""COMPUTED_VALUE"""),9369.2026)</f>
        <v>9369.2026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IFERROR(__xludf.DUMMYFUNCTION("""COMPUTED_VALUE"""),9683.1417)</f>
        <v>9683.1417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IFERROR(__xludf.DUMMYFUNCTION("""COMPUTED_VALUE"""),9463.97322)</f>
        <v>9463.97322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IFERROR(__xludf.DUMMYFUNCTION("""COMPUTED_VALUE"""),9551.12746)</f>
        <v>9551.12746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IFERROR(__xludf.DUMMYFUNCTION("""COMPUTED_VALUE"""),9567.77667)</f>
        <v>9567.77667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IFERROR(__xludf.DUMMYFUNCTION("""COMPUTED_VALUE"""),9438.157593)</f>
        <v>9438.157593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IFERROR(__xludf.DUMMYFUNCTION("""COMPUTED_VALUE"""),9470.4193)</f>
        <v>9470.4193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IFERROR(__xludf.DUMMYFUNCTION("""COMPUTED_VALUE"""),9379.8703)</f>
        <v>9379.8703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IFERROR(__xludf.DUMMYFUNCTION("""COMPUTED_VALUE"""),9470.481075)</f>
        <v>9470.481075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IFERROR(__xludf.DUMMYFUNCTION("""COMPUTED_VALUE"""),9410.5)</f>
        <v>9410.5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IFERROR(__xludf.DUMMYFUNCTION("""COMPUTED_VALUE"""),9465.72018)</f>
        <v>9465.72018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IFERROR(__xludf.DUMMYFUNCTION("""COMPUTED_VALUE"""),9495.773991)</f>
        <v>9495.773991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IFERROR(__xludf.DUMMYFUNCTION("""COMPUTED_VALUE"""),9442.37307)</f>
        <v>9442.37307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IFERROR(__xludf.DUMMYFUNCTION("""COMPUTED_VALUE"""),9590.0216)</f>
        <v>9590.0216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IFERROR(__xludf.DUMMYFUNCTION("""COMPUTED_VALUE"""),9587.2112)</f>
        <v>9587.2112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IFERROR(__xludf.DUMMYFUNCTION("""COMPUTED_VALUE"""),9643.125299)</f>
        <v>9643.125299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IFERROR(__xludf.DUMMYFUNCTION("""COMPUTED_VALUE"""),9617.668021)</f>
        <v>9617.668021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IFERROR(__xludf.DUMMYFUNCTION("""COMPUTED_VALUE"""),9578.998728)</f>
        <v>9578.998728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IFERROR(__xludf.DUMMYFUNCTION("""COMPUTED_VALUE"""),9580.33386)</f>
        <v>9580.33386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IFERROR(__xludf.DUMMYFUNCTION("""COMPUTED_VALUE"""),9625.090576)</f>
        <v>9625.090576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IFERROR(__xludf.DUMMYFUNCTION("""COMPUTED_VALUE"""),9614.757)</f>
        <v>9614.757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IFERROR(__xludf.DUMMYFUNCTION("""COMPUTED_VALUE"""),9489.87804)</f>
        <v>9489.87804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IFERROR(__xludf.DUMMYFUNCTION("""COMPUTED_VALUE"""),9637.398365)</f>
        <v>9637.398365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IFERROR(__xludf.DUMMYFUNCTION("""COMPUTED_VALUE"""),9569.410176)</f>
        <v>9569.410176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IFERROR(__xludf.DUMMYFUNCTION("""COMPUTED_VALUE"""),9570.12445)</f>
        <v>9570.12445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IFERROR(__xludf.DUMMYFUNCTION("""COMPUTED_VALUE"""),9623.206868)</f>
        <v>9623.206868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IFERROR(__xludf.DUMMYFUNCTION("""COMPUTED_VALUE"""),9545.919168)</f>
        <v>9545.919168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IFERROR(__xludf.DUMMYFUNCTION("""COMPUTED_VALUE"""),9635.0175)</f>
        <v>9635.0175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IFERROR(__xludf.DUMMYFUNCTION("""COMPUTED_VALUE"""),9636.9021)</f>
        <v>9636.9021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IFERROR(__xludf.DUMMYFUNCTION("""COMPUTED_VALUE"""),9699.809612)</f>
        <v>9699.809612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IFERROR(__xludf.DUMMYFUNCTION("""COMPUTED_VALUE"""),9645.44517)</f>
        <v>9645.44517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IFERROR(__xludf.DUMMYFUNCTION("""COMPUTED_VALUE"""),9692.094)</f>
        <v>9692.094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IFERROR(__xludf.DUMMYFUNCTION("""COMPUTED_VALUE"""),9760.9097)</f>
        <v>9760.9097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IFERROR(__xludf.DUMMYFUNCTION("""COMPUTED_VALUE"""),9812.3056)</f>
        <v>9812.3056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IFERROR(__xludf.DUMMYFUNCTION("""COMPUTED_VALUE"""),9779.38)</f>
        <v>9779.38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IFERROR(__xludf.DUMMYFUNCTION("""COMPUTED_VALUE"""),9776.5525)</f>
        <v>9776.5525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IFERROR(__xludf.DUMMYFUNCTION("""COMPUTED_VALUE"""),9808.529785)</f>
        <v>9808.529785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IFERROR(__xludf.DUMMYFUNCTION("""COMPUTED_VALUE"""),9669.024)</f>
        <v>9669.024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IFERROR(__xludf.DUMMYFUNCTION("""COMPUTED_VALUE"""),9635.22624)</f>
        <v>9635.22624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IFERROR(__xludf.DUMMYFUNCTION("""COMPUTED_VALUE"""),9743.72245)</f>
        <v>9743.72245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IFERROR(__xludf.DUMMYFUNCTION("""COMPUTED_VALUE"""),9819.7407)</f>
        <v>9819.7407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IFERROR(__xludf.DUMMYFUNCTION("""COMPUTED_VALUE"""),9883.583)</f>
        <v>9883.583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IFERROR(__xludf.DUMMYFUNCTION("""COMPUTED_VALUE"""),9937.439724)</f>
        <v>9937.439724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IFERROR(__xludf.DUMMYFUNCTION("""COMPUTED_VALUE"""),9870.381)</f>
        <v>9870.381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IFERROR(__xludf.DUMMYFUNCTION("""COMPUTED_VALUE"""),9893.3152)</f>
        <v>9893.3152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IFERROR(__xludf.DUMMYFUNCTION("""COMPUTED_VALUE"""),9877.494336)</f>
        <v>9877.494336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IFERROR(__xludf.DUMMYFUNCTION("""COMPUTED_VALUE"""),9848.309254)</f>
        <v>9848.309254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IFERROR(__xludf.DUMMYFUNCTION("""COMPUTED_VALUE"""),9867.75048)</f>
        <v>9867.75048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IFERROR(__xludf.DUMMYFUNCTION("""COMPUTED_VALUE"""),9977.4738)</f>
        <v>9977.4738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IFERROR(__xludf.DUMMYFUNCTION("""COMPUTED_VALUE"""),9966.57512)</f>
        <v>9966.57512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IFERROR(__xludf.DUMMYFUNCTION("""COMPUTED_VALUE"""),10025.61666)</f>
        <v>10025.61666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IFERROR(__xludf.DUMMYFUNCTION("""COMPUTED_VALUE"""),9965.66235)</f>
        <v>9965.66235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IFERROR(__xludf.DUMMYFUNCTION("""COMPUTED_VALUE"""),9994.3539)</f>
        <v>9994.3539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IFERROR(__xludf.DUMMYFUNCTION("""COMPUTED_VALUE"""),9972.31036)</f>
        <v>9972.31036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IFERROR(__xludf.DUMMYFUNCTION("""COMPUTED_VALUE"""),9981.86357)</f>
        <v>9981.86357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IFERROR(__xludf.DUMMYFUNCTION("""COMPUTED_VALUE"""),9992.52208)</f>
        <v>9992.52208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IFERROR(__xludf.DUMMYFUNCTION("""COMPUTED_VALUE"""),9996.5475)</f>
        <v>9996.5475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IFERROR(__xludf.DUMMYFUNCTION("""COMPUTED_VALUE"""),10005.34396)</f>
        <v>10005.34396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IFERROR(__xludf.DUMMYFUNCTION("""COMPUTED_VALUE"""),9946.123344)</f>
        <v>9946.123344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IFERROR(__xludf.DUMMYFUNCTION("""COMPUTED_VALUE"""),9912.41727)</f>
        <v>9912.41727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IFERROR(__xludf.DUMMYFUNCTION("""COMPUTED_VALUE"""),9939.08648)</f>
        <v>9939.08648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IFERROR(__xludf.DUMMYFUNCTION("""COMPUTED_VALUE"""),9946.24365)</f>
        <v>9946.24365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IFERROR(__xludf.DUMMYFUNCTION("""COMPUTED_VALUE"""),9860.637)</f>
        <v>9860.637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IFERROR(__xludf.DUMMYFUNCTION("""COMPUTED_VALUE"""),9860.637)</f>
        <v>9860.637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IFERROR(__xludf.DUMMYFUNCTION("""COMPUTED_VALUE"""),9893.272875)</f>
        <v>9893.272875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IFERROR(__xludf.DUMMYFUNCTION("""COMPUTED_VALUE"""),9882.23518)</f>
        <v>9882.23518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IFERROR(__xludf.DUMMYFUNCTION("""COMPUTED_VALUE"""),9938.0607)</f>
        <v>9938.0607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IFERROR(__xludf.DUMMYFUNCTION("""COMPUTED_VALUE"""),9874.63326)</f>
        <v>9874.63326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IFERROR(__xludf.DUMMYFUNCTION("""COMPUTED_VALUE"""),9861.096)</f>
        <v>9861.096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IFERROR(__xludf.DUMMYFUNCTION("""COMPUTED_VALUE"""),9866.784)</f>
        <v>9866.784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IFERROR(__xludf.DUMMYFUNCTION("""COMPUTED_VALUE"""),9932.411336)</f>
        <v>9932.411336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IFERROR(__xludf.DUMMYFUNCTION("""COMPUTED_VALUE"""),9832.151)</f>
        <v>9832.151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IFERROR(__xludf.DUMMYFUNCTION("""COMPUTED_VALUE"""),9852.209046)</f>
        <v>9852.209046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IFERROR(__xludf.DUMMYFUNCTION("""COMPUTED_VALUE"""),9843.22624)</f>
        <v>9843.22624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IFERROR(__xludf.DUMMYFUNCTION("""COMPUTED_VALUE"""),9793.37778)</f>
        <v>9793.37778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IFERROR(__xludf.DUMMYFUNCTION("""COMPUTED_VALUE"""),9813.369)</f>
        <v>9813.369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IFERROR(__xludf.DUMMYFUNCTION("""COMPUTED_VALUE"""),9815.271)</f>
        <v>9815.271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IFERROR(__xludf.DUMMYFUNCTION("""COMPUTED_VALUE"""),9817.18452)</f>
        <v>9817.18452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IFERROR(__xludf.DUMMYFUNCTION("""COMPUTED_VALUE"""),9739.3353)</f>
        <v>9739.3353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IFERROR(__xludf.DUMMYFUNCTION("""COMPUTED_VALUE"""),9749.84571)</f>
        <v>9749.84571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IFERROR(__xludf.DUMMYFUNCTION("""COMPUTED_VALUE"""),9719.96328)</f>
        <v>9719.96328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IFERROR(__xludf.DUMMYFUNCTION("""COMPUTED_VALUE"""),9804.73767)</f>
        <v>9804.73767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IFERROR(__xludf.DUMMYFUNCTION("""COMPUTED_VALUE"""),9911.528)</f>
        <v>9911.528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IFERROR(__xludf.DUMMYFUNCTION("""COMPUTED_VALUE"""),9908.30896)</f>
        <v>9908.30896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IFERROR(__xludf.DUMMYFUNCTION("""COMPUTED_VALUE"""),9967.307054)</f>
        <v>9967.307054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IFERROR(__xludf.DUMMYFUNCTION("""COMPUTED_VALUE"""),9869.504812)</f>
        <v>9869.504812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IFERROR(__xludf.DUMMYFUNCTION("""COMPUTED_VALUE"""),9962.27886)</f>
        <v>9962.27886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IFERROR(__xludf.DUMMYFUNCTION("""COMPUTED_VALUE"""),9977.80641)</f>
        <v>9977.80641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IFERROR(__xludf.DUMMYFUNCTION("""COMPUTED_VALUE"""),10062.63082)</f>
        <v>10062.63082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IFERROR(__xludf.DUMMYFUNCTION("""COMPUTED_VALUE"""),10018.464)</f>
        <v>10018.464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IFERROR(__xludf.DUMMYFUNCTION("""COMPUTED_VALUE"""),9816.40931)</f>
        <v>9816.40931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IFERROR(__xludf.DUMMYFUNCTION("""COMPUTED_VALUE"""),10188.58707)</f>
        <v>10188.58707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IFERROR(__xludf.DUMMYFUNCTION("""COMPUTED_VALUE"""),9876.591495)</f>
        <v>9876.591495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IFERROR(__xludf.DUMMYFUNCTION("""COMPUTED_VALUE"""),9891.17694)</f>
        <v>9891.17694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IFERROR(__xludf.DUMMYFUNCTION("""COMPUTED_VALUE"""),9953.136638)</f>
        <v>9953.136638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IFERROR(__xludf.DUMMYFUNCTION("""COMPUTED_VALUE"""),9918.38364)</f>
        <v>9918.38364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IFERROR(__xludf.DUMMYFUNCTION("""COMPUTED_VALUE"""),9957.92)</f>
        <v>9957.92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IFERROR(__xludf.DUMMYFUNCTION("""COMPUTED_VALUE"""),9956.968)</f>
        <v>9956.968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IFERROR(__xludf.DUMMYFUNCTION("""COMPUTED_VALUE"""),10003.83135)</f>
        <v>10003.83135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IFERROR(__xludf.DUMMYFUNCTION("""COMPUTED_VALUE"""),9939.427506)</f>
        <v>9939.427506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IFERROR(__xludf.DUMMYFUNCTION("""COMPUTED_VALUE"""),9905.13712)</f>
        <v>9905.13712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IFERROR(__xludf.DUMMYFUNCTION("""COMPUTED_VALUE"""),9909.252756)</f>
        <v>9909.252756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IFERROR(__xludf.DUMMYFUNCTION("""COMPUTED_VALUE"""),9970.46904)</f>
        <v>9970.46904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IFERROR(__xludf.DUMMYFUNCTION("""COMPUTED_VALUE"""),9907.71)</f>
        <v>9907.71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IFERROR(__xludf.DUMMYFUNCTION("""COMPUTED_VALUE"""),9903.892)</f>
        <v>9903.892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IFERROR(__xludf.DUMMYFUNCTION("""COMPUTED_VALUE"""),9903.749856)</f>
        <v>9903.749856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IFERROR(__xludf.DUMMYFUNCTION("""COMPUTED_VALUE"""),9890.4978)</f>
        <v>9890.4978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IFERROR(__xludf.DUMMYFUNCTION("""COMPUTED_VALUE"""),9793.5954)</f>
        <v>9793.5954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IFERROR(__xludf.DUMMYFUNCTION("""COMPUTED_VALUE"""),9775.6857)</f>
        <v>9775.6857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IFERROR(__xludf.DUMMYFUNCTION("""COMPUTED_VALUE"""),9789.910683)</f>
        <v>9789.910683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IFERROR(__xludf.DUMMYFUNCTION("""COMPUTED_VALUE"""),9739.0212)</f>
        <v>9739.0212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IFERROR(__xludf.DUMMYFUNCTION("""COMPUTED_VALUE"""),9775.960912)</f>
        <v>9775.960912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IFERROR(__xludf.DUMMYFUNCTION("""COMPUTED_VALUE"""),9561.47808)</f>
        <v>9561.47808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IFERROR(__xludf.DUMMYFUNCTION("""COMPUTED_VALUE"""),9752.424)</f>
        <v>9752.424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IFERROR(__xludf.DUMMYFUNCTION("""COMPUTED_VALUE"""),9761.190405)</f>
        <v>9761.190405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IFERROR(__xludf.DUMMYFUNCTION("""COMPUTED_VALUE"""),9769.15216)</f>
        <v>9769.15216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IFERROR(__xludf.DUMMYFUNCTION("""COMPUTED_VALUE"""),9798.68496)</f>
        <v>9798.68496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IFERROR(__xludf.DUMMYFUNCTION("""COMPUTED_VALUE"""),9772.719)</f>
        <v>9772.719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IFERROR(__xludf.DUMMYFUNCTION("""COMPUTED_VALUE"""),9774.6296)</f>
        <v>9774.6296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IFERROR(__xludf.DUMMYFUNCTION("""COMPUTED_VALUE"""),9794.570791)</f>
        <v>9794.570791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IFERROR(__xludf.DUMMYFUNCTION("""COMPUTED_VALUE"""),9797.320456)</f>
        <v>9797.320456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IFERROR(__xludf.DUMMYFUNCTION("""COMPUTED_VALUE"""),9839.8791)</f>
        <v>9839.8791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IFERROR(__xludf.DUMMYFUNCTION("""COMPUTED_VALUE"""),9905.46417)</f>
        <v>9905.46417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IFERROR(__xludf.DUMMYFUNCTION("""COMPUTED_VALUE"""),9920.076162)</f>
        <v>9920.076162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IFERROR(__xludf.DUMMYFUNCTION("""COMPUTED_VALUE"""),9878.96)</f>
        <v>9878.96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IFERROR(__xludf.DUMMYFUNCTION("""COMPUTED_VALUE"""),9879.4054)</f>
        <v>9879.4054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IFERROR(__xludf.DUMMYFUNCTION("""COMPUTED_VALUE"""),9890.967044)</f>
        <v>9890.967044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IFERROR(__xludf.DUMMYFUNCTION("""COMPUTED_VALUE"""),9890.0928)</f>
        <v>9890.0928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IFERROR(__xludf.DUMMYFUNCTION("""COMPUTED_VALUE"""),9831.817)</f>
        <v>9831.817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IFERROR(__xludf.DUMMYFUNCTION("""COMPUTED_VALUE"""),9909.00772)</f>
        <v>9909.00772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IFERROR(__xludf.DUMMYFUNCTION("""COMPUTED_VALUE"""),9911.91058)</f>
        <v>9911.91058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IFERROR(__xludf.DUMMYFUNCTION("""COMPUTED_VALUE"""),9936.376)</f>
        <v>9936.376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IFERROR(__xludf.DUMMYFUNCTION("""COMPUTED_VALUE"""),9935.418)</f>
        <v>9935.418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IFERROR(__xludf.DUMMYFUNCTION("""COMPUTED_VALUE"""),9939.20226)</f>
        <v>9939.20226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IFERROR(__xludf.DUMMYFUNCTION("""COMPUTED_VALUE"""),9898.29772)</f>
        <v>9898.29772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IFERROR(__xludf.DUMMYFUNCTION("""COMPUTED_VALUE"""),9940.194864)</f>
        <v>9940.194864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IFERROR(__xludf.DUMMYFUNCTION("""COMPUTED_VALUE"""),9930.312)</f>
        <v>9930.312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IFERROR(__xludf.DUMMYFUNCTION("""COMPUTED_VALUE"""),9986.6698)</f>
        <v>9986.6698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IFERROR(__xludf.DUMMYFUNCTION("""COMPUTED_VALUE"""),9907.26272)</f>
        <v>9907.26272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IFERROR(__xludf.DUMMYFUNCTION("""COMPUTED_VALUE"""),9913.183)</f>
        <v>9913.183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IFERROR(__xludf.DUMMYFUNCTION("""COMPUTED_VALUE"""),9896.46664)</f>
        <v>9896.46664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IFERROR(__xludf.DUMMYFUNCTION("""COMPUTED_VALUE"""),9951.0775)</f>
        <v>9951.0775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IFERROR(__xludf.DUMMYFUNCTION("""COMPUTED_VALUE"""),10000.31043)</f>
        <v>10000.31043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IFERROR(__xludf.DUMMYFUNCTION("""COMPUTED_VALUE"""),9960.738897)</f>
        <v>9960.738897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IFERROR(__xludf.DUMMYFUNCTION("""COMPUTED_VALUE"""),9985.872)</f>
        <v>9985.872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IFERROR(__xludf.DUMMYFUNCTION("""COMPUTED_VALUE"""),9961.31646)</f>
        <v>9961.31646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IFERROR(__xludf.DUMMYFUNCTION("""COMPUTED_VALUE"""),9964.4075)</f>
        <v>9964.4075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IFERROR(__xludf.DUMMYFUNCTION("""COMPUTED_VALUE"""),10015.93939)</f>
        <v>10015.93939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IFERROR(__xludf.DUMMYFUNCTION("""COMPUTED_VALUE"""),9998.63826)</f>
        <v>9998.63826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IFERROR(__xludf.DUMMYFUNCTION("""COMPUTED_VALUE"""),10021.43576)</f>
        <v>10021.43576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IFERROR(__xludf.DUMMYFUNCTION("""COMPUTED_VALUE"""),9945.624403)</f>
        <v>9945.624403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IFERROR(__xludf.DUMMYFUNCTION("""COMPUTED_VALUE"""),9919.8279)</f>
        <v>9919.8279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IFERROR(__xludf.DUMMYFUNCTION("""COMPUTED_VALUE"""),9921.68874)</f>
        <v>9921.68874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IFERROR(__xludf.DUMMYFUNCTION("""COMPUTED_VALUE"""),9925.44)</f>
        <v>9925.44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IFERROR(__xludf.DUMMYFUNCTION("""COMPUTED_VALUE"""),9972.410695)</f>
        <v>9972.410695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IFERROR(__xludf.DUMMYFUNCTION("""COMPUTED_VALUE"""),9987.19209)</f>
        <v>9987.19209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IFERROR(__xludf.DUMMYFUNCTION("""COMPUTED_VALUE"""),9976.915476)</f>
        <v>9976.915476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IFERROR(__xludf.DUMMYFUNCTION("""COMPUTED_VALUE"""),9968.299735)</f>
        <v>9968.299735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IFERROR(__xludf.DUMMYFUNCTION("""COMPUTED_VALUE"""),9961.2843)</f>
        <v>9961.2843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IFERROR(__xludf.DUMMYFUNCTION("""COMPUTED_VALUE"""),10018.86858)</f>
        <v>10018.86858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IFERROR(__xludf.DUMMYFUNCTION("""COMPUTED_VALUE"""),10015.8024)</f>
        <v>10015.8024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IFERROR(__xludf.DUMMYFUNCTION("""COMPUTED_VALUE"""),10047.31723)</f>
        <v>10047.31723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IFERROR(__xludf.DUMMYFUNCTION("""COMPUTED_VALUE"""),10022.95163)</f>
        <v>10022.95163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IFERROR(__xludf.DUMMYFUNCTION("""COMPUTED_VALUE"""),9995.72631)</f>
        <v>9995.72631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IFERROR(__xludf.DUMMYFUNCTION("""COMPUTED_VALUE"""),10022.31765)</f>
        <v>10022.31765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IFERROR(__xludf.DUMMYFUNCTION("""COMPUTED_VALUE"""),9980.09878)</f>
        <v>9980.09878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IFERROR(__xludf.DUMMYFUNCTION("""COMPUTED_VALUE"""),9987.5867)</f>
        <v>9987.5867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IFERROR(__xludf.DUMMYFUNCTION("""COMPUTED_VALUE"""),9981.4239)</f>
        <v>9981.4239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IFERROR(__xludf.DUMMYFUNCTION("""COMPUTED_VALUE"""),10022.88397)</f>
        <v>10022.88397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IFERROR(__xludf.DUMMYFUNCTION("""COMPUTED_VALUE"""),9978.83392)</f>
        <v>9978.83392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IFERROR(__xludf.DUMMYFUNCTION("""COMPUTED_VALUE"""),10024.51656)</f>
        <v>10024.51656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IFERROR(__xludf.DUMMYFUNCTION("""COMPUTED_VALUE"""),9994.78644)</f>
        <v>9994.78644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IFERROR(__xludf.DUMMYFUNCTION("""COMPUTED_VALUE"""),10032.16039)</f>
        <v>10032.16039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IFERROR(__xludf.DUMMYFUNCTION("""COMPUTED_VALUE"""),10057.52655)</f>
        <v>10057.52655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IFERROR(__xludf.DUMMYFUNCTION("""COMPUTED_VALUE"""),10062.2765)</f>
        <v>10062.2765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IFERROR(__xludf.DUMMYFUNCTION("""COMPUTED_VALUE"""),10070.96386)</f>
        <v>10070.96386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IFERROR(__xludf.DUMMYFUNCTION("""COMPUTED_VALUE"""),10066.4388)</f>
        <v>10066.4388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IFERROR(__xludf.DUMMYFUNCTION("""COMPUTED_VALUE"""),10120.55621)</f>
        <v>10120.55621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IFERROR(__xludf.DUMMYFUNCTION("""COMPUTED_VALUE"""),10125.0981)</f>
        <v>10125.0981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IFERROR(__xludf.DUMMYFUNCTION("""COMPUTED_VALUE"""),10113.30208)</f>
        <v>10113.30208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IFERROR(__xludf.DUMMYFUNCTION("""COMPUTED_VALUE"""),10151.9085)</f>
        <v>10151.9085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IFERROR(__xludf.DUMMYFUNCTION("""COMPUTED_VALUE"""),10151.6972)</f>
        <v>10151.6972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IFERROR(__xludf.DUMMYFUNCTION("""COMPUTED_VALUE"""),10144.30685)</f>
        <v>10144.30685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IFERROR(__xludf.DUMMYFUNCTION("""COMPUTED_VALUE"""),10135.6431)</f>
        <v>10135.6431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IFERROR(__xludf.DUMMYFUNCTION("""COMPUTED_VALUE"""),10108.50462)</f>
        <v>10108.50462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IFERROR(__xludf.DUMMYFUNCTION("""COMPUTED_VALUE"""),10079.35925)</f>
        <v>10079.35925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IFERROR(__xludf.DUMMYFUNCTION("""COMPUTED_VALUE"""),10084.9896)</f>
        <v>10084.9896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IFERROR(__xludf.DUMMYFUNCTION("""COMPUTED_VALUE"""),10008.67205)</f>
        <v>10008.67205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IFERROR(__xludf.DUMMYFUNCTION("""COMPUTED_VALUE"""),9991.517)</f>
        <v>9991.517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IFERROR(__xludf.DUMMYFUNCTION("""COMPUTED_VALUE"""),10073.64291)</f>
        <v>10073.64291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IFERROR(__xludf.DUMMYFUNCTION("""COMPUTED_VALUE"""),9981.50736)</f>
        <v>9981.50736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IFERROR(__xludf.DUMMYFUNCTION("""COMPUTED_VALUE"""),9988.36938)</f>
        <v>9988.36938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IFERROR(__xludf.DUMMYFUNCTION("""COMPUTED_VALUE"""),9981.4214)</f>
        <v>9981.4214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IFERROR(__xludf.DUMMYFUNCTION("""COMPUTED_VALUE"""),9989.39091)</f>
        <v>9989.39091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IFERROR(__xludf.DUMMYFUNCTION("""COMPUTED_VALUE"""),9987.273)</f>
        <v>9987.273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IFERROR(__xludf.DUMMYFUNCTION("""COMPUTED_VALUE"""),9967.30494)</f>
        <v>9967.30494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IFERROR(__xludf.DUMMYFUNCTION("""COMPUTED_VALUE"""),9985.41306)</f>
        <v>9985.41306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IFERROR(__xludf.DUMMYFUNCTION("""COMPUTED_VALUE"""),9984.7119)</f>
        <v>9984.7119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IFERROR(__xludf.DUMMYFUNCTION("""COMPUTED_VALUE"""),9985.6728)</f>
        <v>9985.6728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IFERROR(__xludf.DUMMYFUNCTION("""COMPUTED_VALUE"""),10092.078)</f>
        <v>10092.078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IFERROR(__xludf.DUMMYFUNCTION("""COMPUTED_VALUE"""),10060.44613)</f>
        <v>10060.44613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IFERROR(__xludf.DUMMYFUNCTION("""COMPUTED_VALUE"""),10095.23866)</f>
        <v>10095.23866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IFERROR(__xludf.DUMMYFUNCTION("""COMPUTED_VALUE"""),10234.075)</f>
        <v>10234.075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IFERROR(__xludf.DUMMYFUNCTION("""COMPUTED_VALUE"""),10266.33965)</f>
        <v>10266.33965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IFERROR(__xludf.DUMMYFUNCTION("""COMPUTED_VALUE"""),10133.58583)</f>
        <v>10133.58583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IFERROR(__xludf.DUMMYFUNCTION("""COMPUTED_VALUE"""),10135.60073)</f>
        <v>10135.60073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IFERROR(__xludf.DUMMYFUNCTION("""COMPUTED_VALUE"""),10116.0167)</f>
        <v>10116.0167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IFERROR(__xludf.DUMMYFUNCTION("""COMPUTED_VALUE"""),10192.5824)</f>
        <v>10192.5824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IFERROR(__xludf.DUMMYFUNCTION("""COMPUTED_VALUE"""),10118.32836)</f>
        <v>10118.32836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IFERROR(__xludf.DUMMYFUNCTION("""COMPUTED_VALUE"""),10115.24876)</f>
        <v>10115.24876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IFERROR(__xludf.DUMMYFUNCTION("""COMPUTED_VALUE"""),10125.6587)</f>
        <v>10125.6587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IFERROR(__xludf.DUMMYFUNCTION("""COMPUTED_VALUE"""),10146.41395)</f>
        <v>10146.41395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IFERROR(__xludf.DUMMYFUNCTION("""COMPUTED_VALUE"""),10165.2204)</f>
        <v>10165.2204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IFERROR(__xludf.DUMMYFUNCTION("""COMPUTED_VALUE"""),10161.41672)</f>
        <v>10161.41672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IFERROR(__xludf.DUMMYFUNCTION("""COMPUTED_VALUE"""),10145.99566)</f>
        <v>10145.99566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IFERROR(__xludf.DUMMYFUNCTION("""COMPUTED_VALUE"""),10085.71581)</f>
        <v>10085.71581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IFERROR(__xludf.DUMMYFUNCTION("""COMPUTED_VALUE"""),10084.5899)</f>
        <v>10084.5899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IFERROR(__xludf.DUMMYFUNCTION("""COMPUTED_VALUE"""),10168.0364)</f>
        <v>10168.0364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IFERROR(__xludf.DUMMYFUNCTION("""COMPUTED_VALUE"""),10081.33622)</f>
        <v>10081.33622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IFERROR(__xludf.DUMMYFUNCTION("""COMPUTED_VALUE"""),10130.64792)</f>
        <v>10130.64792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IFERROR(__xludf.DUMMYFUNCTION("""COMPUTED_VALUE"""),10112.15756)</f>
        <v>10112.15756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IFERROR(__xludf.DUMMYFUNCTION("""COMPUTED_VALUE"""),10025.1646)</f>
        <v>10025.1646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IFERROR(__xludf.DUMMYFUNCTION("""COMPUTED_VALUE"""),10029.42752)</f>
        <v>10029.42752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IFERROR(__xludf.DUMMYFUNCTION("""COMPUTED_VALUE"""),9984.8608)</f>
        <v>9984.8608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IFERROR(__xludf.DUMMYFUNCTION("""COMPUTED_VALUE"""),10008.29069)</f>
        <v>10008.29069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IFERROR(__xludf.DUMMYFUNCTION("""COMPUTED_VALUE"""),10056.44257)</f>
        <v>10056.44257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IFERROR(__xludf.DUMMYFUNCTION("""COMPUTED_VALUE"""),10097.76)</f>
        <v>10097.76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IFERROR(__xludf.DUMMYFUNCTION("""COMPUTED_VALUE"""),10062.31629)</f>
        <v>10062.31629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IFERROR(__xludf.DUMMYFUNCTION("""COMPUTED_VALUE"""),10086.67269)</f>
        <v>10086.67269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IFERROR(__xludf.DUMMYFUNCTION("""COMPUTED_VALUE"""),10086.08675)</f>
        <v>10086.08675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IFERROR(__xludf.DUMMYFUNCTION("""COMPUTED_VALUE"""),10141.32481)</f>
        <v>10141.32481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IFERROR(__xludf.DUMMYFUNCTION("""COMPUTED_VALUE"""),10018.09539)</f>
        <v>10018.09539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IFERROR(__xludf.DUMMYFUNCTION("""COMPUTED_VALUE"""),10068.13592)</f>
        <v>10068.13592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IFERROR(__xludf.DUMMYFUNCTION("""COMPUTED_VALUE"""),10021.27373)</f>
        <v>10021.27373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IFERROR(__xludf.DUMMYFUNCTION("""COMPUTED_VALUE"""),9988.05436)</f>
        <v>9988.05436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IFERROR(__xludf.DUMMYFUNCTION("""COMPUTED_VALUE"""),9939.74112)</f>
        <v>9939.74112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IFERROR(__xludf.DUMMYFUNCTION("""COMPUTED_VALUE"""),9945.48483)</f>
        <v>9945.48483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IFERROR(__xludf.DUMMYFUNCTION("""COMPUTED_VALUE"""),9943.42143)</f>
        <v>9943.42143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IFERROR(__xludf.DUMMYFUNCTION("""COMPUTED_VALUE"""),9921.97089)</f>
        <v>9921.97089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IFERROR(__xludf.DUMMYFUNCTION("""COMPUTED_VALUE"""),9843.47991)</f>
        <v>9843.47991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IFERROR(__xludf.DUMMYFUNCTION("""COMPUTED_VALUE"""),9944.028561)</f>
        <v>9944.028561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IFERROR(__xludf.DUMMYFUNCTION("""COMPUTED_VALUE"""),9957.45594)</f>
        <v>9957.45594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IFERROR(__xludf.DUMMYFUNCTION("""COMPUTED_VALUE"""),9975.44812)</f>
        <v>9975.44812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IFERROR(__xludf.DUMMYFUNCTION("""COMPUTED_VALUE"""),9929.27364)</f>
        <v>9929.27364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IFERROR(__xludf.DUMMYFUNCTION("""COMPUTED_VALUE"""),9936.279)</f>
        <v>9936.279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IFERROR(__xludf.DUMMYFUNCTION("""COMPUTED_VALUE"""),9988.263772)</f>
        <v>9988.263772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IFERROR(__xludf.DUMMYFUNCTION("""COMPUTED_VALUE"""),9954.79232)</f>
        <v>9954.79232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IFERROR(__xludf.DUMMYFUNCTION("""COMPUTED_VALUE"""),10005.78158)</f>
        <v>10005.78158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IFERROR(__xludf.DUMMYFUNCTION("""COMPUTED_VALUE"""),9893.99085)</f>
        <v>9893.99085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IFERROR(__xludf.DUMMYFUNCTION("""COMPUTED_VALUE"""),9953.996305)</f>
        <v>9953.996305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IFERROR(__xludf.DUMMYFUNCTION("""COMPUTED_VALUE"""),9984.14845)</f>
        <v>9984.14845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IFERROR(__xludf.DUMMYFUNCTION("""COMPUTED_VALUE"""),9994.8564)</f>
        <v>9994.8564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IFERROR(__xludf.DUMMYFUNCTION("""COMPUTED_VALUE"""),10020.44755)</f>
        <v>10020.44755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IFERROR(__xludf.DUMMYFUNCTION("""COMPUTED_VALUE"""),9930.88932)</f>
        <v>9930.88932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IFERROR(__xludf.DUMMYFUNCTION("""COMPUTED_VALUE"""),9899.653725)</f>
        <v>9899.653725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IFERROR(__xludf.DUMMYFUNCTION("""COMPUTED_VALUE"""),9873.62352)</f>
        <v>9873.62352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IFERROR(__xludf.DUMMYFUNCTION("""COMPUTED_VALUE"""),9839.96332)</f>
        <v>9839.96332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IFERROR(__xludf.DUMMYFUNCTION("""COMPUTED_VALUE"""),9843.54831)</f>
        <v>9843.54831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IFERROR(__xludf.DUMMYFUNCTION("""COMPUTED_VALUE"""),9850.8865)</f>
        <v>9850.8865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IFERROR(__xludf.DUMMYFUNCTION("""COMPUTED_VALUE"""),9795.855546)</f>
        <v>9795.855546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IFERROR(__xludf.DUMMYFUNCTION("""COMPUTED_VALUE"""),9872.9855)</f>
        <v>9872.9855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IFERROR(__xludf.DUMMYFUNCTION("""COMPUTED_VALUE"""),9921.243632)</f>
        <v>9921.243632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IFERROR(__xludf.DUMMYFUNCTION("""COMPUTED_VALUE"""),9877.08888)</f>
        <v>9877.08888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IFERROR(__xludf.DUMMYFUNCTION("""COMPUTED_VALUE"""),9922.89252)</f>
        <v>9922.89252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IFERROR(__xludf.DUMMYFUNCTION("""COMPUTED_VALUE"""),9874.80088)</f>
        <v>9874.80088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IFERROR(__xludf.DUMMYFUNCTION("""COMPUTED_VALUE"""),9872.0523)</f>
        <v>9872.0523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IFERROR(__xludf.DUMMYFUNCTION("""COMPUTED_VALUE"""),9817.195185)</f>
        <v>9817.195185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IFERROR(__xludf.DUMMYFUNCTION("""COMPUTED_VALUE"""),9929.555514)</f>
        <v>9929.555514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IFERROR(__xludf.DUMMYFUNCTION("""COMPUTED_VALUE"""),9985.1104)</f>
        <v>9985.1104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IFERROR(__xludf.DUMMYFUNCTION("""COMPUTED_VALUE"""),9949.72164)</f>
        <v>9949.72164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IFERROR(__xludf.DUMMYFUNCTION("""COMPUTED_VALUE"""),10041.95654)</f>
        <v>10041.95654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IFERROR(__xludf.DUMMYFUNCTION("""COMPUTED_VALUE"""),10071.23898)</f>
        <v>10071.23898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IFERROR(__xludf.DUMMYFUNCTION("""COMPUTED_VALUE"""),10066.70232)</f>
        <v>10066.70232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IFERROR(__xludf.DUMMYFUNCTION("""COMPUTED_VALUE"""),10086.75718)</f>
        <v>10086.75718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IFERROR(__xludf.DUMMYFUNCTION("""COMPUTED_VALUE"""),10061.5344)</f>
        <v>10061.5344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IFERROR(__xludf.DUMMYFUNCTION("""COMPUTED_VALUE"""),10031.2772)</f>
        <v>10031.2772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IFERROR(__xludf.DUMMYFUNCTION("""COMPUTED_VALUE"""),10058.77)</f>
        <v>10058.77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IFERROR(__xludf.DUMMYFUNCTION("""COMPUTED_VALUE"""),10128.20016)</f>
        <v>10128.20016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IFERROR(__xludf.DUMMYFUNCTION("""COMPUTED_VALUE"""),10142.94112)</f>
        <v>10142.94112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IFERROR(__xludf.DUMMYFUNCTION("""COMPUTED_VALUE"""),10147.5356)</f>
        <v>10147.5356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IFERROR(__xludf.DUMMYFUNCTION("""COMPUTED_VALUE"""),10045.68312)</f>
        <v>10045.68312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IFERROR(__xludf.DUMMYFUNCTION("""COMPUTED_VALUE"""),10151.52705)</f>
        <v>10151.52705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IFERROR(__xludf.DUMMYFUNCTION("""COMPUTED_VALUE"""),10160.77216)</f>
        <v>10160.77216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IFERROR(__xludf.DUMMYFUNCTION("""COMPUTED_VALUE"""),10129.51483)</f>
        <v>10129.51483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IFERROR(__xludf.DUMMYFUNCTION("""COMPUTED_VALUE"""),10091.83953)</f>
        <v>10091.83953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IFERROR(__xludf.DUMMYFUNCTION("""COMPUTED_VALUE"""),10080.003)</f>
        <v>10080.003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IFERROR(__xludf.DUMMYFUNCTION("""COMPUTED_VALUE"""),10089.4437)</f>
        <v>10089.4437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IFERROR(__xludf.DUMMYFUNCTION("""COMPUTED_VALUE"""),10002.71547)</f>
        <v>10002.71547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IFERROR(__xludf.DUMMYFUNCTION("""COMPUTED_VALUE"""),10139.5455)</f>
        <v>10139.5455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IFERROR(__xludf.DUMMYFUNCTION("""COMPUTED_VALUE"""),10145.3825)</f>
        <v>10145.3825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IFERROR(__xludf.DUMMYFUNCTION("""COMPUTED_VALUE"""),10157.91181)</f>
        <v>10157.91181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IFERROR(__xludf.DUMMYFUNCTION("""COMPUTED_VALUE"""),10143.2702)</f>
        <v>10143.2702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IFERROR(__xludf.DUMMYFUNCTION("""COMPUTED_VALUE"""),10189.11654)</f>
        <v>10189.11654</v>
      </c>
    </row>
    <row r="1058">
      <c r="A1058" s="3">
        <f>IFERROR(__xludf.DUMMYFUNCTION("""COMPUTED_VALUE"""),41371.99861111111)</f>
        <v>41371.99861</v>
      </c>
      <c r="B1058" s="1">
        <f>IFERROR(__xludf.DUMMYFUNCTION("""COMPUTED_VALUE"""),10087.17698)</f>
        <v>10087.17698</v>
      </c>
    </row>
    <row r="1059">
      <c r="A1059" s="3">
        <f>IFERROR(__xludf.DUMMYFUNCTION("""COMPUTED_VALUE"""),41372.99861111111)</f>
        <v>41372.99861</v>
      </c>
      <c r="B1059" s="1">
        <f>IFERROR(__xludf.DUMMYFUNCTION("""COMPUTED_VALUE"""),10118.4159)</f>
        <v>10118.4159</v>
      </c>
    </row>
    <row r="1060">
      <c r="A1060" s="3">
        <f>IFERROR(__xludf.DUMMYFUNCTION("""COMPUTED_VALUE"""),41373.99861111111)</f>
        <v>41373.99861</v>
      </c>
      <c r="B1060" s="1">
        <f>IFERROR(__xludf.DUMMYFUNCTION("""COMPUTED_VALUE"""),10168.3218)</f>
        <v>10168.3218</v>
      </c>
    </row>
    <row r="1061">
      <c r="A1061" s="3">
        <f>IFERROR(__xludf.DUMMYFUNCTION("""COMPUTED_VALUE"""),41374.99861111111)</f>
        <v>41374.99861</v>
      </c>
      <c r="B1061" s="1">
        <f>IFERROR(__xludf.DUMMYFUNCTION("""COMPUTED_VALUE"""),10187.48971)</f>
        <v>10187.48971</v>
      </c>
    </row>
    <row r="1062">
      <c r="A1062" s="3">
        <f>IFERROR(__xludf.DUMMYFUNCTION("""COMPUTED_VALUE"""),41375.99861111111)</f>
        <v>41375.99861</v>
      </c>
      <c r="B1062" s="1">
        <f>IFERROR(__xludf.DUMMYFUNCTION("""COMPUTED_VALUE"""),10200.24707)</f>
        <v>10200.24707</v>
      </c>
    </row>
    <row r="1063">
      <c r="A1063" s="3">
        <f>IFERROR(__xludf.DUMMYFUNCTION("""COMPUTED_VALUE"""),41376.99861111111)</f>
        <v>41376.99861</v>
      </c>
      <c r="B1063" s="1">
        <f>IFERROR(__xludf.DUMMYFUNCTION("""COMPUTED_VALUE"""),10171.187)</f>
        <v>10171.187</v>
      </c>
    </row>
    <row r="1064">
      <c r="A1064" s="3">
        <f>IFERROR(__xludf.DUMMYFUNCTION("""COMPUTED_VALUE"""),41377.99861111111)</f>
        <v>41377.99861</v>
      </c>
      <c r="B1064" s="1">
        <f>IFERROR(__xludf.DUMMYFUNCTION("""COMPUTED_VALUE"""),10174.3376)</f>
        <v>10174.3376</v>
      </c>
    </row>
    <row r="1065">
      <c r="A1065" s="3">
        <f>IFERROR(__xludf.DUMMYFUNCTION("""COMPUTED_VALUE"""),41378.99861111111)</f>
        <v>41378.99861</v>
      </c>
      <c r="B1065" s="1">
        <f>IFERROR(__xludf.DUMMYFUNCTION("""COMPUTED_VALUE"""),10176.19648)</f>
        <v>10176.19648</v>
      </c>
    </row>
    <row r="1066">
      <c r="A1066" s="3">
        <f>IFERROR(__xludf.DUMMYFUNCTION("""COMPUTED_VALUE"""),41379.99861111111)</f>
        <v>41379.99861</v>
      </c>
      <c r="B1066" s="1">
        <f>IFERROR(__xludf.DUMMYFUNCTION("""COMPUTED_VALUE"""),10006.59283)</f>
        <v>10006.59283</v>
      </c>
    </row>
    <row r="1067">
      <c r="A1067" s="3">
        <f>IFERROR(__xludf.DUMMYFUNCTION("""COMPUTED_VALUE"""),41380.99861111111)</f>
        <v>41380.99861</v>
      </c>
      <c r="B1067" s="1">
        <f>IFERROR(__xludf.DUMMYFUNCTION("""COMPUTED_VALUE"""),10060.46946)</f>
        <v>10060.46946</v>
      </c>
    </row>
    <row r="1068">
      <c r="A1068" s="3">
        <f>IFERROR(__xludf.DUMMYFUNCTION("""COMPUTED_VALUE"""),41381.99861111111)</f>
        <v>41381.99861</v>
      </c>
      <c r="B1068" s="1">
        <f>IFERROR(__xludf.DUMMYFUNCTION("""COMPUTED_VALUE"""),9973.284)</f>
        <v>9973.284</v>
      </c>
    </row>
    <row r="1069">
      <c r="A1069" s="3">
        <f>IFERROR(__xludf.DUMMYFUNCTION("""COMPUTED_VALUE"""),41382.99861111111)</f>
        <v>41382.99861</v>
      </c>
      <c r="B1069" s="1">
        <f>IFERROR(__xludf.DUMMYFUNCTION("""COMPUTED_VALUE"""),9975.447)</f>
        <v>9975.447</v>
      </c>
    </row>
    <row r="1070">
      <c r="A1070" s="3">
        <f>IFERROR(__xludf.DUMMYFUNCTION("""COMPUTED_VALUE"""),41383.99861111111)</f>
        <v>41383.99861</v>
      </c>
      <c r="B1070" s="1">
        <f>IFERROR(__xludf.DUMMYFUNCTION("""COMPUTED_VALUE"""),9952.9815)</f>
        <v>9952.9815</v>
      </c>
    </row>
    <row r="1071">
      <c r="A1071" s="3">
        <f>IFERROR(__xludf.DUMMYFUNCTION("""COMPUTED_VALUE"""),41384.99861111111)</f>
        <v>41384.99861</v>
      </c>
      <c r="B1071" s="1">
        <f>IFERROR(__xludf.DUMMYFUNCTION("""COMPUTED_VALUE"""),10016.56848)</f>
        <v>10016.56848</v>
      </c>
    </row>
    <row r="1072">
      <c r="A1072" s="3">
        <f>IFERROR(__xludf.DUMMYFUNCTION("""COMPUTED_VALUE"""),41385.99861111111)</f>
        <v>41385.99861</v>
      </c>
      <c r="B1072" s="1">
        <f>IFERROR(__xludf.DUMMYFUNCTION("""COMPUTED_VALUE"""),9958.2952)</f>
        <v>9958.2952</v>
      </c>
    </row>
    <row r="1073">
      <c r="A1073" s="3">
        <f>IFERROR(__xludf.DUMMYFUNCTION("""COMPUTED_VALUE"""),41386.99861111111)</f>
        <v>41386.99861</v>
      </c>
      <c r="B1073" s="1">
        <f>IFERROR(__xludf.DUMMYFUNCTION("""COMPUTED_VALUE"""),9946.65933)</f>
        <v>9946.65933</v>
      </c>
    </row>
    <row r="1074">
      <c r="A1074" s="3">
        <f>IFERROR(__xludf.DUMMYFUNCTION("""COMPUTED_VALUE"""),41387.99861111111)</f>
        <v>41387.99861</v>
      </c>
      <c r="B1074" s="1">
        <f>IFERROR(__xludf.DUMMYFUNCTION("""COMPUTED_VALUE"""),9953.54849)</f>
        <v>9953.54849</v>
      </c>
    </row>
    <row r="1075">
      <c r="A1075" s="3">
        <f>IFERROR(__xludf.DUMMYFUNCTION("""COMPUTED_VALUE"""),41388.99861111111)</f>
        <v>41388.99861</v>
      </c>
      <c r="B1075" s="1">
        <f>IFERROR(__xludf.DUMMYFUNCTION("""COMPUTED_VALUE"""),9953.30424)</f>
        <v>9953.30424</v>
      </c>
    </row>
    <row r="1076">
      <c r="A1076" s="3">
        <f>IFERROR(__xludf.DUMMYFUNCTION("""COMPUTED_VALUE"""),41389.99861111111)</f>
        <v>41389.99861</v>
      </c>
      <c r="B1076" s="1">
        <f>IFERROR(__xludf.DUMMYFUNCTION("""COMPUTED_VALUE"""),9975.54615)</f>
        <v>9975.54615</v>
      </c>
    </row>
    <row r="1077">
      <c r="A1077" s="3">
        <f>IFERROR(__xludf.DUMMYFUNCTION("""COMPUTED_VALUE"""),41390.99861111111)</f>
        <v>41390.99861</v>
      </c>
      <c r="B1077" s="1">
        <f>IFERROR(__xludf.DUMMYFUNCTION("""COMPUTED_VALUE"""),9965.5488)</f>
        <v>9965.5488</v>
      </c>
    </row>
    <row r="1078">
      <c r="A1078" s="3">
        <f>IFERROR(__xludf.DUMMYFUNCTION("""COMPUTED_VALUE"""),41391.99861111111)</f>
        <v>41391.99861</v>
      </c>
      <c r="B1078" s="1">
        <f>IFERROR(__xludf.DUMMYFUNCTION("""COMPUTED_VALUE"""),9961.64316)</f>
        <v>9961.64316</v>
      </c>
    </row>
    <row r="1079">
      <c r="A1079" s="3">
        <f>IFERROR(__xludf.DUMMYFUNCTION("""COMPUTED_VALUE"""),41392.99861111111)</f>
        <v>41392.99861</v>
      </c>
      <c r="B1079" s="1">
        <f>IFERROR(__xludf.DUMMYFUNCTION("""COMPUTED_VALUE"""),9885.731953)</f>
        <v>9885.731953</v>
      </c>
    </row>
    <row r="1080">
      <c r="A1080" s="3">
        <f>IFERROR(__xludf.DUMMYFUNCTION("""COMPUTED_VALUE"""),41393.99861111111)</f>
        <v>41393.99861</v>
      </c>
      <c r="B1080" s="1">
        <f>IFERROR(__xludf.DUMMYFUNCTION("""COMPUTED_VALUE"""),10026.72244)</f>
        <v>10026.72244</v>
      </c>
    </row>
    <row r="1081">
      <c r="A1081" s="3">
        <f>IFERROR(__xludf.DUMMYFUNCTION("""COMPUTED_VALUE"""),41394.99861111111)</f>
        <v>41394.99861</v>
      </c>
      <c r="B1081" s="1">
        <f>IFERROR(__xludf.DUMMYFUNCTION("""COMPUTED_VALUE"""),10053.54369)</f>
        <v>10053.54369</v>
      </c>
    </row>
    <row r="1082">
      <c r="A1082" s="3">
        <f>IFERROR(__xludf.DUMMYFUNCTION("""COMPUTED_VALUE"""),41395.99861111111)</f>
        <v>41395.99861</v>
      </c>
      <c r="B1082" s="1">
        <f>IFERROR(__xludf.DUMMYFUNCTION("""COMPUTED_VALUE"""),9963.960356)</f>
        <v>9963.960356</v>
      </c>
    </row>
    <row r="1083">
      <c r="A1083" s="3">
        <f>IFERROR(__xludf.DUMMYFUNCTION("""COMPUTED_VALUE"""),41396.99861111111)</f>
        <v>41396.99861</v>
      </c>
      <c r="B1083" s="1">
        <f>IFERROR(__xludf.DUMMYFUNCTION("""COMPUTED_VALUE"""),9960.096708)</f>
        <v>9960.096708</v>
      </c>
    </row>
    <row r="1084">
      <c r="A1084" s="3">
        <f>IFERROR(__xludf.DUMMYFUNCTION("""COMPUTED_VALUE"""),41397.99861111111)</f>
        <v>41397.99861</v>
      </c>
      <c r="B1084" s="1">
        <f>IFERROR(__xludf.DUMMYFUNCTION("""COMPUTED_VALUE"""),10010.85272)</f>
        <v>10010.85272</v>
      </c>
    </row>
    <row r="1085">
      <c r="A1085" s="3">
        <f>IFERROR(__xludf.DUMMYFUNCTION("""COMPUTED_VALUE"""),41398.99861111111)</f>
        <v>41398.99861</v>
      </c>
      <c r="B1085" s="1">
        <f>IFERROR(__xludf.DUMMYFUNCTION("""COMPUTED_VALUE"""),10014.894)</f>
        <v>10014.894</v>
      </c>
    </row>
    <row r="1086">
      <c r="A1086" s="3">
        <f>IFERROR(__xludf.DUMMYFUNCTION("""COMPUTED_VALUE"""),41399.99861111111)</f>
        <v>41399.99861</v>
      </c>
      <c r="B1086" s="1">
        <f>IFERROR(__xludf.DUMMYFUNCTION("""COMPUTED_VALUE"""),9903.034363)</f>
        <v>9903.034363</v>
      </c>
    </row>
    <row r="1087">
      <c r="A1087" s="3">
        <f>IFERROR(__xludf.DUMMYFUNCTION("""COMPUTED_VALUE"""),41400.99861111111)</f>
        <v>41400.99861</v>
      </c>
      <c r="B1087" s="1">
        <f>IFERROR(__xludf.DUMMYFUNCTION("""COMPUTED_VALUE"""),9942.605365)</f>
        <v>9942.605365</v>
      </c>
    </row>
    <row r="1088">
      <c r="A1088" s="3">
        <f>IFERROR(__xludf.DUMMYFUNCTION("""COMPUTED_VALUE"""),41401.99861111111)</f>
        <v>41401.99861</v>
      </c>
      <c r="B1088" s="1">
        <f>IFERROR(__xludf.DUMMYFUNCTION("""COMPUTED_VALUE"""),9882.585404)</f>
        <v>9882.585404</v>
      </c>
    </row>
    <row r="1089">
      <c r="A1089" s="3">
        <f>IFERROR(__xludf.DUMMYFUNCTION("""COMPUTED_VALUE"""),41402.99861111111)</f>
        <v>41402.99861</v>
      </c>
      <c r="B1089" s="1">
        <f>IFERROR(__xludf.DUMMYFUNCTION("""COMPUTED_VALUE"""),9889.395)</f>
        <v>9889.395</v>
      </c>
    </row>
    <row r="1090">
      <c r="A1090" s="3">
        <f>IFERROR(__xludf.DUMMYFUNCTION("""COMPUTED_VALUE"""),41403.99861111111)</f>
        <v>41403.99861</v>
      </c>
      <c r="B1090" s="1">
        <f>IFERROR(__xludf.DUMMYFUNCTION("""COMPUTED_VALUE"""),9789.760244)</f>
        <v>9789.760244</v>
      </c>
    </row>
    <row r="1091">
      <c r="A1091" s="3">
        <f>IFERROR(__xludf.DUMMYFUNCTION("""COMPUTED_VALUE"""),41404.99861111111)</f>
        <v>41404.99861</v>
      </c>
      <c r="B1091" s="1">
        <f>IFERROR(__xludf.DUMMYFUNCTION("""COMPUTED_VALUE"""),9728.418)</f>
        <v>9728.418</v>
      </c>
    </row>
    <row r="1092">
      <c r="A1092" s="3">
        <f>IFERROR(__xludf.DUMMYFUNCTION("""COMPUTED_VALUE"""),41405.99861111111)</f>
        <v>41405.99861</v>
      </c>
      <c r="B1092" s="1">
        <f>IFERROR(__xludf.DUMMYFUNCTION("""COMPUTED_VALUE"""),9731.3307)</f>
        <v>9731.3307</v>
      </c>
    </row>
    <row r="1093">
      <c r="A1093" s="3">
        <f>IFERROR(__xludf.DUMMYFUNCTION("""COMPUTED_VALUE"""),41406.99861111111)</f>
        <v>41406.99861</v>
      </c>
      <c r="B1093" s="1">
        <f>IFERROR(__xludf.DUMMYFUNCTION("""COMPUTED_VALUE"""),9756.097)</f>
        <v>9756.097</v>
      </c>
    </row>
    <row r="1094">
      <c r="A1094" s="3">
        <f>IFERROR(__xludf.DUMMYFUNCTION("""COMPUTED_VALUE"""),41407.99861111111)</f>
        <v>41407.99861</v>
      </c>
      <c r="B1094" s="1">
        <f>IFERROR(__xludf.DUMMYFUNCTION("""COMPUTED_VALUE"""),9664.13952)</f>
        <v>9664.13952</v>
      </c>
    </row>
    <row r="1095">
      <c r="A1095" s="3">
        <f>IFERROR(__xludf.DUMMYFUNCTION("""COMPUTED_VALUE"""),41408.99861111111)</f>
        <v>41408.99861</v>
      </c>
      <c r="B1095" s="1">
        <f>IFERROR(__xludf.DUMMYFUNCTION("""COMPUTED_VALUE"""),9610.524)</f>
        <v>9610.524</v>
      </c>
    </row>
    <row r="1096">
      <c r="A1096" s="3">
        <f>IFERROR(__xludf.DUMMYFUNCTION("""COMPUTED_VALUE"""),41409.99861111111)</f>
        <v>41409.99861</v>
      </c>
      <c r="B1096" s="1">
        <f>IFERROR(__xludf.DUMMYFUNCTION("""COMPUTED_VALUE"""),9607.120974)</f>
        <v>9607.120974</v>
      </c>
    </row>
    <row r="1097">
      <c r="A1097" s="3">
        <f>IFERROR(__xludf.DUMMYFUNCTION("""COMPUTED_VALUE"""),41410.99861111111)</f>
        <v>41410.99861</v>
      </c>
      <c r="B1097" s="1">
        <f>IFERROR(__xludf.DUMMYFUNCTION("""COMPUTED_VALUE"""),9547.09231)</f>
        <v>9547.09231</v>
      </c>
    </row>
    <row r="1098">
      <c r="A1098" s="3">
        <f>IFERROR(__xludf.DUMMYFUNCTION("""COMPUTED_VALUE"""),41411.99861111111)</f>
        <v>41411.99861</v>
      </c>
      <c r="B1098" s="1">
        <f>IFERROR(__xludf.DUMMYFUNCTION("""COMPUTED_VALUE"""),9466.80335)</f>
        <v>9466.80335</v>
      </c>
    </row>
    <row r="1099">
      <c r="A1099" s="3">
        <f>IFERROR(__xludf.DUMMYFUNCTION("""COMPUTED_VALUE"""),41412.99861111111)</f>
        <v>41412.99861</v>
      </c>
      <c r="B1099" s="1">
        <f>IFERROR(__xludf.DUMMYFUNCTION("""COMPUTED_VALUE"""),9464.3706)</f>
        <v>9464.3706</v>
      </c>
    </row>
    <row r="1100">
      <c r="A1100" s="3">
        <f>IFERROR(__xludf.DUMMYFUNCTION("""COMPUTED_VALUE"""),41413.99861111111)</f>
        <v>41413.99861</v>
      </c>
      <c r="B1100" s="1">
        <f>IFERROR(__xludf.DUMMYFUNCTION("""COMPUTED_VALUE"""),9476.63166)</f>
        <v>9476.63166</v>
      </c>
    </row>
    <row r="1101">
      <c r="A1101" s="3">
        <f>IFERROR(__xludf.DUMMYFUNCTION("""COMPUTED_VALUE"""),41414.99861111111)</f>
        <v>41414.99861</v>
      </c>
      <c r="B1101" s="1">
        <f>IFERROR(__xludf.DUMMYFUNCTION("""COMPUTED_VALUE"""),9549.11165)</f>
        <v>9549.11165</v>
      </c>
    </row>
    <row r="1102">
      <c r="A1102" s="3">
        <f>IFERROR(__xludf.DUMMYFUNCTION("""COMPUTED_VALUE"""),41415.99861111111)</f>
        <v>41415.99861</v>
      </c>
      <c r="B1102" s="1">
        <f>IFERROR(__xludf.DUMMYFUNCTION("""COMPUTED_VALUE"""),9552.07233)</f>
        <v>9552.07233</v>
      </c>
    </row>
    <row r="1103">
      <c r="A1103" s="3">
        <f>IFERROR(__xludf.DUMMYFUNCTION("""COMPUTED_VALUE"""),41416.99861111111)</f>
        <v>41416.99861</v>
      </c>
      <c r="B1103" s="1">
        <f>IFERROR(__xludf.DUMMYFUNCTION("""COMPUTED_VALUE"""),9426.68566)</f>
        <v>9426.68566</v>
      </c>
    </row>
    <row r="1104">
      <c r="A1104" s="3">
        <f>IFERROR(__xludf.DUMMYFUNCTION("""COMPUTED_VALUE"""),41417.99861111111)</f>
        <v>41417.99861</v>
      </c>
      <c r="B1104" s="1">
        <f>IFERROR(__xludf.DUMMYFUNCTION("""COMPUTED_VALUE"""),9472.72998)</f>
        <v>9472.72998</v>
      </c>
    </row>
    <row r="1105">
      <c r="A1105" s="3">
        <f>IFERROR(__xludf.DUMMYFUNCTION("""COMPUTED_VALUE"""),41418.99861111111)</f>
        <v>41418.99861</v>
      </c>
      <c r="B1105" s="1">
        <f>IFERROR(__xludf.DUMMYFUNCTION("""COMPUTED_VALUE"""),9403.8956)</f>
        <v>9403.8956</v>
      </c>
    </row>
    <row r="1106">
      <c r="A1106" s="3">
        <f>IFERROR(__xludf.DUMMYFUNCTION("""COMPUTED_VALUE"""),41419.99861111111)</f>
        <v>41419.99861</v>
      </c>
      <c r="B1106" s="1">
        <f>IFERROR(__xludf.DUMMYFUNCTION("""COMPUTED_VALUE"""),9399.0624)</f>
        <v>9399.0624</v>
      </c>
    </row>
    <row r="1107">
      <c r="A1107" s="3">
        <f>IFERROR(__xludf.DUMMYFUNCTION("""COMPUTED_VALUE"""),41420.99861111111)</f>
        <v>41420.99861</v>
      </c>
      <c r="B1107" s="1">
        <f>IFERROR(__xludf.DUMMYFUNCTION("""COMPUTED_VALUE"""),9449.999451)</f>
        <v>9449.999451</v>
      </c>
    </row>
    <row r="1108">
      <c r="A1108" s="3">
        <f>IFERROR(__xludf.DUMMYFUNCTION("""COMPUTED_VALUE"""),41421.99861111111)</f>
        <v>41421.99861</v>
      </c>
      <c r="B1108" s="1">
        <f>IFERROR(__xludf.DUMMYFUNCTION("""COMPUTED_VALUE"""),9397.699567)</f>
        <v>9397.699567</v>
      </c>
    </row>
    <row r="1109">
      <c r="A1109" s="3">
        <f>IFERROR(__xludf.DUMMYFUNCTION("""COMPUTED_VALUE"""),41422.99861111111)</f>
        <v>41422.99861</v>
      </c>
      <c r="B1109" s="1">
        <f>IFERROR(__xludf.DUMMYFUNCTION("""COMPUTED_VALUE"""),9377.644892)</f>
        <v>9377.644892</v>
      </c>
    </row>
    <row r="1110">
      <c r="A1110" s="3">
        <f>IFERROR(__xludf.DUMMYFUNCTION("""COMPUTED_VALUE"""),41423.99861111111)</f>
        <v>41423.99861</v>
      </c>
      <c r="B1110" s="1">
        <f>IFERROR(__xludf.DUMMYFUNCTION("""COMPUTED_VALUE"""),9408.372288)</f>
        <v>9408.372288</v>
      </c>
    </row>
    <row r="1111">
      <c r="A1111" s="3">
        <f>IFERROR(__xludf.DUMMYFUNCTION("""COMPUTED_VALUE"""),41424.99861111111)</f>
        <v>41424.99861</v>
      </c>
      <c r="B1111" s="1">
        <f>IFERROR(__xludf.DUMMYFUNCTION("""COMPUTED_VALUE"""),9461.50314)</f>
        <v>9461.50314</v>
      </c>
    </row>
    <row r="1112">
      <c r="A1112" s="3">
        <f>IFERROR(__xludf.DUMMYFUNCTION("""COMPUTED_VALUE"""),41425.99861111111)</f>
        <v>41425.99861</v>
      </c>
      <c r="B1112" s="1">
        <f>IFERROR(__xludf.DUMMYFUNCTION("""COMPUTED_VALUE"""),9348.3268)</f>
        <v>9348.3268</v>
      </c>
    </row>
    <row r="1113">
      <c r="A1113" s="3">
        <f>IFERROR(__xludf.DUMMYFUNCTION("""COMPUTED_VALUE"""),41427.99861111111)</f>
        <v>41427.99861</v>
      </c>
      <c r="B1113" s="1">
        <f>IFERROR(__xludf.DUMMYFUNCTION("""COMPUTED_VALUE"""),9235.161337)</f>
        <v>9235.161337</v>
      </c>
    </row>
    <row r="1114">
      <c r="A1114" s="3">
        <f>IFERROR(__xludf.DUMMYFUNCTION("""COMPUTED_VALUE"""),41428.99861111111)</f>
        <v>41428.99861</v>
      </c>
      <c r="B1114" s="1">
        <f>IFERROR(__xludf.DUMMYFUNCTION("""COMPUTED_VALUE"""),9541.962248)</f>
        <v>9541.962248</v>
      </c>
    </row>
    <row r="1115">
      <c r="A1115" s="3">
        <f>IFERROR(__xludf.DUMMYFUNCTION("""COMPUTED_VALUE"""),41429.99861111111)</f>
        <v>41429.99861</v>
      </c>
      <c r="B1115" s="1">
        <f>IFERROR(__xludf.DUMMYFUNCTION("""COMPUTED_VALUE"""),9430.67964)</f>
        <v>9430.67964</v>
      </c>
    </row>
    <row r="1116">
      <c r="A1116" s="3">
        <f>IFERROR(__xludf.DUMMYFUNCTION("""COMPUTED_VALUE"""),41430.99861111111)</f>
        <v>41430.99861</v>
      </c>
      <c r="B1116" s="1">
        <f>IFERROR(__xludf.DUMMYFUNCTION("""COMPUTED_VALUE"""),9298.16197)</f>
        <v>9298.16197</v>
      </c>
    </row>
    <row r="1117">
      <c r="A1117" s="3">
        <f>IFERROR(__xludf.DUMMYFUNCTION("""COMPUTED_VALUE"""),41431.99861111111)</f>
        <v>41431.99861</v>
      </c>
      <c r="B1117" s="1">
        <f>IFERROR(__xludf.DUMMYFUNCTION("""COMPUTED_VALUE"""),9344.0523)</f>
        <v>9344.0523</v>
      </c>
    </row>
    <row r="1118">
      <c r="A1118" s="3">
        <f>IFERROR(__xludf.DUMMYFUNCTION("""COMPUTED_VALUE"""),41432.99861111111)</f>
        <v>41432.99861</v>
      </c>
      <c r="B1118" s="1">
        <f>IFERROR(__xludf.DUMMYFUNCTION("""COMPUTED_VALUE"""),9285.621)</f>
        <v>9285.621</v>
      </c>
    </row>
    <row r="1119">
      <c r="A1119" s="3">
        <f>IFERROR(__xludf.DUMMYFUNCTION("""COMPUTED_VALUE"""),41433.99861111111)</f>
        <v>41433.99861</v>
      </c>
      <c r="B1119" s="1">
        <f>IFERROR(__xludf.DUMMYFUNCTION("""COMPUTED_VALUE"""),9322.79051)</f>
        <v>9322.79051</v>
      </c>
    </row>
    <row r="1120">
      <c r="A1120" s="3">
        <f>IFERROR(__xludf.DUMMYFUNCTION("""COMPUTED_VALUE"""),41434.99861111111)</f>
        <v>41434.99861</v>
      </c>
      <c r="B1120" s="1">
        <f>IFERROR(__xludf.DUMMYFUNCTION("""COMPUTED_VALUE"""),9209.337)</f>
        <v>9209.337</v>
      </c>
    </row>
    <row r="1121">
      <c r="A1121" s="3">
        <f>IFERROR(__xludf.DUMMYFUNCTION("""COMPUTED_VALUE"""),41435.99861111111)</f>
        <v>41435.99861</v>
      </c>
      <c r="B1121" s="1">
        <f>IFERROR(__xludf.DUMMYFUNCTION("""COMPUTED_VALUE"""),9252.42873)</f>
        <v>9252.42873</v>
      </c>
    </row>
    <row r="1122">
      <c r="A1122" s="3">
        <f>IFERROR(__xludf.DUMMYFUNCTION("""COMPUTED_VALUE"""),41436.99861111111)</f>
        <v>41436.99861</v>
      </c>
      <c r="B1122" s="1">
        <f>IFERROR(__xludf.DUMMYFUNCTION("""COMPUTED_VALUE"""),9271.772828)</f>
        <v>9271.772828</v>
      </c>
    </row>
    <row r="1123">
      <c r="A1123" s="3">
        <f>IFERROR(__xludf.DUMMYFUNCTION("""COMPUTED_VALUE"""),41437.99861111111)</f>
        <v>41437.99861</v>
      </c>
      <c r="B1123" s="1">
        <f>IFERROR(__xludf.DUMMYFUNCTION("""COMPUTED_VALUE"""),9316.13988)</f>
        <v>9316.13988</v>
      </c>
    </row>
    <row r="1124">
      <c r="A1124" s="3">
        <f>IFERROR(__xludf.DUMMYFUNCTION("""COMPUTED_VALUE"""),41438.99861111111)</f>
        <v>41438.99861</v>
      </c>
      <c r="B1124" s="1">
        <f>IFERROR(__xludf.DUMMYFUNCTION("""COMPUTED_VALUE"""),9496.78165)</f>
        <v>9496.78165</v>
      </c>
    </row>
    <row r="1125">
      <c r="A1125" s="3">
        <f>IFERROR(__xludf.DUMMYFUNCTION("""COMPUTED_VALUE"""),41439.99861111111)</f>
        <v>41439.99861</v>
      </c>
      <c r="B1125" s="1">
        <f>IFERROR(__xludf.DUMMYFUNCTION("""COMPUTED_VALUE"""),9421.48312)</f>
        <v>9421.48312</v>
      </c>
    </row>
    <row r="1126">
      <c r="A1126" s="3">
        <f>IFERROR(__xludf.DUMMYFUNCTION("""COMPUTED_VALUE"""),41440.99861111111)</f>
        <v>41440.99861</v>
      </c>
      <c r="B1126" s="1">
        <f>IFERROR(__xludf.DUMMYFUNCTION("""COMPUTED_VALUE"""),9328.87737)</f>
        <v>9328.87737</v>
      </c>
    </row>
    <row r="1127">
      <c r="A1127" s="3">
        <f>IFERROR(__xludf.DUMMYFUNCTION("""COMPUTED_VALUE"""),41441.99861111111)</f>
        <v>41441.99861</v>
      </c>
      <c r="B1127" s="1">
        <f>IFERROR(__xludf.DUMMYFUNCTION("""COMPUTED_VALUE"""),9201.806136)</f>
        <v>9201.806136</v>
      </c>
    </row>
    <row r="1128">
      <c r="A1128" s="3">
        <f>IFERROR(__xludf.DUMMYFUNCTION("""COMPUTED_VALUE"""),41442.99861111111)</f>
        <v>41442.99861</v>
      </c>
      <c r="B1128" s="1">
        <f>IFERROR(__xludf.DUMMYFUNCTION("""COMPUTED_VALUE"""),9408.50742)</f>
        <v>9408.50742</v>
      </c>
    </row>
    <row r="1129">
      <c r="A1129" s="3">
        <f>IFERROR(__xludf.DUMMYFUNCTION("""COMPUTED_VALUE"""),41443.99861111111)</f>
        <v>41443.99861</v>
      </c>
      <c r="B1129" s="1">
        <f>IFERROR(__xludf.DUMMYFUNCTION("""COMPUTED_VALUE"""),9372.47508)</f>
        <v>9372.47508</v>
      </c>
    </row>
    <row r="1130">
      <c r="A1130" s="3">
        <f>IFERROR(__xludf.DUMMYFUNCTION("""COMPUTED_VALUE"""),41444.99861111111)</f>
        <v>41444.99861</v>
      </c>
      <c r="B1130" s="1">
        <f>IFERROR(__xludf.DUMMYFUNCTION("""COMPUTED_VALUE"""),9161.90946)</f>
        <v>9161.90946</v>
      </c>
    </row>
    <row r="1131">
      <c r="A1131" s="3">
        <f>IFERROR(__xludf.DUMMYFUNCTION("""COMPUTED_VALUE"""),41445.99861111111)</f>
        <v>41445.99861</v>
      </c>
      <c r="B1131" s="1">
        <f>IFERROR(__xludf.DUMMYFUNCTION("""COMPUTED_VALUE"""),9106.59774)</f>
        <v>9106.59774</v>
      </c>
    </row>
    <row r="1132">
      <c r="A1132" s="3">
        <f>IFERROR(__xludf.DUMMYFUNCTION("""COMPUTED_VALUE"""),41446.99861111111)</f>
        <v>41446.99861</v>
      </c>
      <c r="B1132" s="1">
        <f>IFERROR(__xludf.DUMMYFUNCTION("""COMPUTED_VALUE"""),9142.5696)</f>
        <v>9142.5696</v>
      </c>
    </row>
    <row r="1133">
      <c r="A1133" s="3">
        <f>IFERROR(__xludf.DUMMYFUNCTION("""COMPUTED_VALUE"""),41447.99861111111)</f>
        <v>41447.99861</v>
      </c>
      <c r="B1133" s="1">
        <f>IFERROR(__xludf.DUMMYFUNCTION("""COMPUTED_VALUE"""),9125.61153)</f>
        <v>9125.61153</v>
      </c>
    </row>
    <row r="1134">
      <c r="A1134" s="3">
        <f>IFERROR(__xludf.DUMMYFUNCTION("""COMPUTED_VALUE"""),41448.99861111111)</f>
        <v>41448.99861</v>
      </c>
      <c r="B1134" s="1">
        <f>IFERROR(__xludf.DUMMYFUNCTION("""COMPUTED_VALUE"""),8878.05882)</f>
        <v>8878.05882</v>
      </c>
    </row>
    <row r="1135">
      <c r="A1135" s="3">
        <f>IFERROR(__xludf.DUMMYFUNCTION("""COMPUTED_VALUE"""),41449.99861111111)</f>
        <v>41449.99861</v>
      </c>
      <c r="B1135" s="1">
        <f>IFERROR(__xludf.DUMMYFUNCTION("""COMPUTED_VALUE"""),9167.08644)</f>
        <v>9167.08644</v>
      </c>
    </row>
    <row r="1136">
      <c r="A1136" s="3">
        <f>IFERROR(__xludf.DUMMYFUNCTION("""COMPUTED_VALUE"""),41450.99861111111)</f>
        <v>41450.99861</v>
      </c>
      <c r="B1136" s="1">
        <f>IFERROR(__xludf.DUMMYFUNCTION("""COMPUTED_VALUE"""),9164.938)</f>
        <v>9164.938</v>
      </c>
    </row>
    <row r="1137">
      <c r="A1137" s="3">
        <f>IFERROR(__xludf.DUMMYFUNCTION("""COMPUTED_VALUE"""),41451.99861111111)</f>
        <v>41451.99861</v>
      </c>
      <c r="B1137" s="1">
        <f>IFERROR(__xludf.DUMMYFUNCTION("""COMPUTED_VALUE"""),9189.23988)</f>
        <v>9189.23988</v>
      </c>
    </row>
    <row r="1138">
      <c r="A1138" s="3">
        <f>IFERROR(__xludf.DUMMYFUNCTION("""COMPUTED_VALUE"""),41452.99861111111)</f>
        <v>41452.99861</v>
      </c>
      <c r="B1138" s="1">
        <f>IFERROR(__xludf.DUMMYFUNCTION("""COMPUTED_VALUE"""),9183.215992)</f>
        <v>9183.215992</v>
      </c>
    </row>
    <row r="1139">
      <c r="A1139" s="3">
        <f>IFERROR(__xludf.DUMMYFUNCTION("""COMPUTED_VALUE"""),41453.99861111111)</f>
        <v>41453.99861</v>
      </c>
      <c r="B1139" s="1">
        <f>IFERROR(__xludf.DUMMYFUNCTION("""COMPUTED_VALUE"""),9048.402)</f>
        <v>9048.402</v>
      </c>
    </row>
    <row r="1140">
      <c r="A1140" s="3">
        <f>IFERROR(__xludf.DUMMYFUNCTION("""COMPUTED_VALUE"""),41454.99861111111)</f>
        <v>41454.99861</v>
      </c>
      <c r="B1140" s="1">
        <f>IFERROR(__xludf.DUMMYFUNCTION("""COMPUTED_VALUE"""),9046.62)</f>
        <v>9046.62</v>
      </c>
    </row>
    <row r="1141">
      <c r="A1141" s="3">
        <f>IFERROR(__xludf.DUMMYFUNCTION("""COMPUTED_VALUE"""),41455.99861111111)</f>
        <v>41455.99861</v>
      </c>
      <c r="B1141" s="1">
        <f>IFERROR(__xludf.DUMMYFUNCTION("""COMPUTED_VALUE"""),8772.32187)</f>
        <v>8772.32187</v>
      </c>
    </row>
    <row r="1142">
      <c r="A1142" s="3">
        <f>IFERROR(__xludf.DUMMYFUNCTION("""COMPUTED_VALUE"""),41456.99861111111)</f>
        <v>41456.99861</v>
      </c>
      <c r="B1142" s="1">
        <f>IFERROR(__xludf.DUMMYFUNCTION("""COMPUTED_VALUE"""),9147.520512)</f>
        <v>9147.520512</v>
      </c>
    </row>
    <row r="1143">
      <c r="A1143" s="3">
        <f>IFERROR(__xludf.DUMMYFUNCTION("""COMPUTED_VALUE"""),41457.99861111111)</f>
        <v>41457.99861</v>
      </c>
      <c r="B1143" s="1">
        <f>IFERROR(__xludf.DUMMYFUNCTION("""COMPUTED_VALUE"""),9052.0732)</f>
        <v>9052.0732</v>
      </c>
    </row>
    <row r="1144">
      <c r="A1144" s="3">
        <f>IFERROR(__xludf.DUMMYFUNCTION("""COMPUTED_VALUE"""),41458.99861111111)</f>
        <v>41458.99861</v>
      </c>
      <c r="B1144" s="1">
        <f>IFERROR(__xludf.DUMMYFUNCTION("""COMPUTED_VALUE"""),9009.81737)</f>
        <v>9009.81737</v>
      </c>
    </row>
    <row r="1145">
      <c r="A1145" s="3">
        <f>IFERROR(__xludf.DUMMYFUNCTION("""COMPUTED_VALUE"""),41459.99861111111)</f>
        <v>41459.99861</v>
      </c>
      <c r="B1145" s="1">
        <f>IFERROR(__xludf.DUMMYFUNCTION("""COMPUTED_VALUE"""),9060.6362)</f>
        <v>9060.6362</v>
      </c>
    </row>
    <row r="1146">
      <c r="A1146" s="3">
        <f>IFERROR(__xludf.DUMMYFUNCTION("""COMPUTED_VALUE"""),41460.99861111111)</f>
        <v>41460.99861</v>
      </c>
      <c r="B1146" s="1">
        <f>IFERROR(__xludf.DUMMYFUNCTION("""COMPUTED_VALUE"""),8992.6506)</f>
        <v>8992.6506</v>
      </c>
    </row>
    <row r="1147">
      <c r="A1147" s="3">
        <f>IFERROR(__xludf.DUMMYFUNCTION("""COMPUTED_VALUE"""),41461.99861111111)</f>
        <v>41461.99861</v>
      </c>
      <c r="B1147" s="1">
        <f>IFERROR(__xludf.DUMMYFUNCTION("""COMPUTED_VALUE"""),8992.6506)</f>
        <v>8992.6506</v>
      </c>
    </row>
    <row r="1148">
      <c r="A1148" s="3">
        <f>IFERROR(__xludf.DUMMYFUNCTION("""COMPUTED_VALUE"""),41462.99861111111)</f>
        <v>41462.99861</v>
      </c>
      <c r="B1148" s="1">
        <f>IFERROR(__xludf.DUMMYFUNCTION("""COMPUTED_VALUE"""),8991.6588)</f>
        <v>8991.6588</v>
      </c>
    </row>
    <row r="1149">
      <c r="A1149" s="3">
        <f>IFERROR(__xludf.DUMMYFUNCTION("""COMPUTED_VALUE"""),41463.99861111111)</f>
        <v>41463.99861</v>
      </c>
      <c r="B1149" s="1">
        <f>IFERROR(__xludf.DUMMYFUNCTION("""COMPUTED_VALUE"""),9070.514232)</f>
        <v>9070.514232</v>
      </c>
    </row>
    <row r="1150">
      <c r="A1150" s="3">
        <f>IFERROR(__xludf.DUMMYFUNCTION("""COMPUTED_VALUE"""),41464.99861111111)</f>
        <v>41464.99861</v>
      </c>
      <c r="B1150" s="1">
        <f>IFERROR(__xludf.DUMMYFUNCTION("""COMPUTED_VALUE"""),9101.73096)</f>
        <v>9101.73096</v>
      </c>
    </row>
    <row r="1151">
      <c r="A1151" s="3">
        <f>IFERROR(__xludf.DUMMYFUNCTION("""COMPUTED_VALUE"""),41465.99861111111)</f>
        <v>41465.99861</v>
      </c>
      <c r="B1151" s="1">
        <f>IFERROR(__xludf.DUMMYFUNCTION("""COMPUTED_VALUE"""),9226.4914)</f>
        <v>9226.4914</v>
      </c>
    </row>
    <row r="1152">
      <c r="A1152" s="3">
        <f>IFERROR(__xludf.DUMMYFUNCTION("""COMPUTED_VALUE"""),41466.99861111111)</f>
        <v>41466.99861</v>
      </c>
      <c r="B1152" s="1">
        <f>IFERROR(__xludf.DUMMYFUNCTION("""COMPUTED_VALUE"""),9115.483928)</f>
        <v>9115.483928</v>
      </c>
    </row>
    <row r="1153">
      <c r="A1153" s="3">
        <f>IFERROR(__xludf.DUMMYFUNCTION("""COMPUTED_VALUE"""),41467.99861111111)</f>
        <v>41467.99861</v>
      </c>
      <c r="B1153" s="1">
        <f>IFERROR(__xludf.DUMMYFUNCTION("""COMPUTED_VALUE"""),9015.25856)</f>
        <v>9015.25856</v>
      </c>
    </row>
    <row r="1154">
      <c r="A1154" s="3">
        <f>IFERROR(__xludf.DUMMYFUNCTION("""COMPUTED_VALUE"""),41468.99861111111)</f>
        <v>41468.99861</v>
      </c>
      <c r="B1154" s="1">
        <f>IFERROR(__xludf.DUMMYFUNCTION("""COMPUTED_VALUE"""),8979.87126)</f>
        <v>8979.87126</v>
      </c>
    </row>
    <row r="1155">
      <c r="A1155" s="3">
        <f>IFERROR(__xludf.DUMMYFUNCTION("""COMPUTED_VALUE"""),41469.99861111111)</f>
        <v>41469.99861</v>
      </c>
      <c r="B1155" s="1">
        <f>IFERROR(__xludf.DUMMYFUNCTION("""COMPUTED_VALUE"""),8718.107652)</f>
        <v>8718.107652</v>
      </c>
    </row>
    <row r="1156">
      <c r="A1156" s="3">
        <f>IFERROR(__xludf.DUMMYFUNCTION("""COMPUTED_VALUE"""),41470.99861111111)</f>
        <v>41470.99861</v>
      </c>
      <c r="B1156" s="1">
        <f>IFERROR(__xludf.DUMMYFUNCTION("""COMPUTED_VALUE"""),9078.584528)</f>
        <v>9078.584528</v>
      </c>
    </row>
    <row r="1157">
      <c r="A1157" s="3">
        <f>IFERROR(__xludf.DUMMYFUNCTION("""COMPUTED_VALUE"""),41471.99861111111)</f>
        <v>41471.99861</v>
      </c>
      <c r="B1157" s="1">
        <f>IFERROR(__xludf.DUMMYFUNCTION("""COMPUTED_VALUE"""),9249.4701)</f>
        <v>9249.4701</v>
      </c>
    </row>
    <row r="1158">
      <c r="A1158" s="3">
        <f>IFERROR(__xludf.DUMMYFUNCTION("""COMPUTED_VALUE"""),41472.99861111111)</f>
        <v>41472.99861</v>
      </c>
      <c r="B1158" s="1">
        <f>IFERROR(__xludf.DUMMYFUNCTION("""COMPUTED_VALUE"""),9239.78097)</f>
        <v>9239.78097</v>
      </c>
    </row>
    <row r="1159">
      <c r="A1159" s="3">
        <f>IFERROR(__xludf.DUMMYFUNCTION("""COMPUTED_VALUE"""),41473.99861111111)</f>
        <v>41473.99861</v>
      </c>
      <c r="B1159" s="1">
        <f>IFERROR(__xludf.DUMMYFUNCTION("""COMPUTED_VALUE"""),9207.3696)</f>
        <v>9207.3696</v>
      </c>
    </row>
    <row r="1160">
      <c r="A1160" s="3">
        <f>IFERROR(__xludf.DUMMYFUNCTION("""COMPUTED_VALUE"""),41474.99861111111)</f>
        <v>41474.99861</v>
      </c>
      <c r="B1160" s="1">
        <f>IFERROR(__xludf.DUMMYFUNCTION("""COMPUTED_VALUE"""),9244.368)</f>
        <v>9244.368</v>
      </c>
    </row>
    <row r="1161">
      <c r="A1161" s="3">
        <f>IFERROR(__xludf.DUMMYFUNCTION("""COMPUTED_VALUE"""),41475.99861111111)</f>
        <v>41475.99861</v>
      </c>
      <c r="B1161" s="1">
        <f>IFERROR(__xludf.DUMMYFUNCTION("""COMPUTED_VALUE"""),9220.6116)</f>
        <v>9220.6116</v>
      </c>
    </row>
    <row r="1162">
      <c r="A1162" s="3">
        <f>IFERROR(__xludf.DUMMYFUNCTION("""COMPUTED_VALUE"""),41476.99861111111)</f>
        <v>41476.99861</v>
      </c>
      <c r="B1162" s="1">
        <f>IFERROR(__xludf.DUMMYFUNCTION("""COMPUTED_VALUE"""),9243.63297)</f>
        <v>9243.63297</v>
      </c>
    </row>
    <row r="1163">
      <c r="A1163" s="3">
        <f>IFERROR(__xludf.DUMMYFUNCTION("""COMPUTED_VALUE"""),41477.99861111111)</f>
        <v>41477.99861</v>
      </c>
      <c r="B1163" s="1">
        <f>IFERROR(__xludf.DUMMYFUNCTION("""COMPUTED_VALUE"""),9285.93129)</f>
        <v>9285.93129</v>
      </c>
    </row>
    <row r="1164">
      <c r="A1164" s="3">
        <f>IFERROR(__xludf.DUMMYFUNCTION("""COMPUTED_VALUE"""),41478.99861111111)</f>
        <v>41478.99861</v>
      </c>
      <c r="B1164" s="1">
        <f>IFERROR(__xludf.DUMMYFUNCTION("""COMPUTED_VALUE"""),9448.46564)</f>
        <v>9448.46564</v>
      </c>
    </row>
    <row r="1165">
      <c r="A1165" s="3">
        <f>IFERROR(__xludf.DUMMYFUNCTION("""COMPUTED_VALUE"""),41479.99861111111)</f>
        <v>41479.99861</v>
      </c>
      <c r="B1165" s="1">
        <f>IFERROR(__xludf.DUMMYFUNCTION("""COMPUTED_VALUE"""),9365.4574)</f>
        <v>9365.4574</v>
      </c>
    </row>
    <row r="1166">
      <c r="A1166" s="3">
        <f>IFERROR(__xludf.DUMMYFUNCTION("""COMPUTED_VALUE"""),41480.99861111111)</f>
        <v>41480.99861</v>
      </c>
      <c r="B1166" s="1">
        <f>IFERROR(__xludf.DUMMYFUNCTION("""COMPUTED_VALUE"""),9462.8838)</f>
        <v>9462.8838</v>
      </c>
    </row>
    <row r="1167">
      <c r="A1167" s="3">
        <f>IFERROR(__xludf.DUMMYFUNCTION("""COMPUTED_VALUE"""),41481.99861111111)</f>
        <v>41481.99861</v>
      </c>
      <c r="B1167" s="1">
        <f>IFERROR(__xludf.DUMMYFUNCTION("""COMPUTED_VALUE"""),9475.24635)</f>
        <v>9475.24635</v>
      </c>
    </row>
    <row r="1168">
      <c r="A1168" s="3">
        <f>IFERROR(__xludf.DUMMYFUNCTION("""COMPUTED_VALUE"""),41482.99861111111)</f>
        <v>41482.99861</v>
      </c>
      <c r="B1168" s="1">
        <f>IFERROR(__xludf.DUMMYFUNCTION("""COMPUTED_VALUE"""),9483.264)</f>
        <v>9483.264</v>
      </c>
    </row>
    <row r="1169">
      <c r="A1169" s="3">
        <f>IFERROR(__xludf.DUMMYFUNCTION("""COMPUTED_VALUE"""),41483.99861111111)</f>
        <v>41483.99861</v>
      </c>
      <c r="B1169" s="1">
        <f>IFERROR(__xludf.DUMMYFUNCTION("""COMPUTED_VALUE"""),9525.62709)</f>
        <v>9525.62709</v>
      </c>
    </row>
    <row r="1170">
      <c r="A1170" s="3">
        <f>IFERROR(__xludf.DUMMYFUNCTION("""COMPUTED_VALUE"""),41484.99861111111)</f>
        <v>41484.99861</v>
      </c>
      <c r="B1170" s="1">
        <f>IFERROR(__xludf.DUMMYFUNCTION("""COMPUTED_VALUE"""),9415.2604)</f>
        <v>9415.2604</v>
      </c>
    </row>
    <row r="1171">
      <c r="A1171" s="3">
        <f>IFERROR(__xludf.DUMMYFUNCTION("""COMPUTED_VALUE"""),41485.99861111111)</f>
        <v>41485.99861</v>
      </c>
      <c r="B1171" s="1">
        <f>IFERROR(__xludf.DUMMYFUNCTION("""COMPUTED_VALUE"""),9293.3568)</f>
        <v>9293.3568</v>
      </c>
    </row>
    <row r="1172">
      <c r="A1172" s="3">
        <f>IFERROR(__xludf.DUMMYFUNCTION("""COMPUTED_VALUE"""),41486.99861111111)</f>
        <v>41486.99861</v>
      </c>
      <c r="B1172" s="1">
        <f>IFERROR(__xludf.DUMMYFUNCTION("""COMPUTED_VALUE"""),9157.35)</f>
        <v>9157.35</v>
      </c>
    </row>
    <row r="1173">
      <c r="A1173" s="3">
        <f>IFERROR(__xludf.DUMMYFUNCTION("""COMPUTED_VALUE"""),41487.99861111111)</f>
        <v>41487.99861</v>
      </c>
      <c r="B1173" s="1">
        <f>IFERROR(__xludf.DUMMYFUNCTION("""COMPUTED_VALUE"""),9164.2628)</f>
        <v>9164.2628</v>
      </c>
    </row>
    <row r="1174">
      <c r="A1174" s="3">
        <f>IFERROR(__xludf.DUMMYFUNCTION("""COMPUTED_VALUE"""),41488.99861111111)</f>
        <v>41488.99861</v>
      </c>
      <c r="B1174" s="1">
        <f>IFERROR(__xludf.DUMMYFUNCTION("""COMPUTED_VALUE"""),9140.8135)</f>
        <v>9140.8135</v>
      </c>
    </row>
    <row r="1175">
      <c r="A1175" s="3">
        <f>IFERROR(__xludf.DUMMYFUNCTION("""COMPUTED_VALUE"""),41489.99861111111)</f>
        <v>41489.99861</v>
      </c>
      <c r="B1175" s="1">
        <f>IFERROR(__xludf.DUMMYFUNCTION("""COMPUTED_VALUE"""),9135.504)</f>
        <v>9135.504</v>
      </c>
    </row>
    <row r="1176">
      <c r="A1176" s="3">
        <f>IFERROR(__xludf.DUMMYFUNCTION("""COMPUTED_VALUE"""),41490.99861111111)</f>
        <v>41490.99861</v>
      </c>
      <c r="B1176" s="1">
        <f>IFERROR(__xludf.DUMMYFUNCTION("""COMPUTED_VALUE"""),9106.8787)</f>
        <v>9106.8787</v>
      </c>
    </row>
    <row r="1177">
      <c r="A1177" s="3">
        <f>IFERROR(__xludf.DUMMYFUNCTION("""COMPUTED_VALUE"""),41491.99861111111)</f>
        <v>41491.99861</v>
      </c>
      <c r="B1177" s="1">
        <f>IFERROR(__xludf.DUMMYFUNCTION("""COMPUTED_VALUE"""),9142.1984)</f>
        <v>9142.1984</v>
      </c>
    </row>
    <row r="1178">
      <c r="A1178" s="3">
        <f>IFERROR(__xludf.DUMMYFUNCTION("""COMPUTED_VALUE"""),41492.99861111111)</f>
        <v>41492.99861</v>
      </c>
      <c r="B1178" s="1">
        <f>IFERROR(__xludf.DUMMYFUNCTION("""COMPUTED_VALUE"""),9213.55539)</f>
        <v>9213.55539</v>
      </c>
    </row>
    <row r="1179">
      <c r="A1179" s="3">
        <f>IFERROR(__xludf.DUMMYFUNCTION("""COMPUTED_VALUE"""),41493.99861111111)</f>
        <v>41493.99861</v>
      </c>
      <c r="B1179" s="1">
        <f>IFERROR(__xludf.DUMMYFUNCTION("""COMPUTED_VALUE"""),9232.2)</f>
        <v>9232.2</v>
      </c>
    </row>
    <row r="1180">
      <c r="A1180" s="3">
        <f>IFERROR(__xludf.DUMMYFUNCTION("""COMPUTED_VALUE"""),41494.99861111111)</f>
        <v>41494.99861</v>
      </c>
      <c r="B1180" s="1">
        <f>IFERROR(__xludf.DUMMYFUNCTION("""COMPUTED_VALUE"""),9329.15178)</f>
        <v>9329.15178</v>
      </c>
    </row>
    <row r="1181">
      <c r="A1181" s="3">
        <f>IFERROR(__xludf.DUMMYFUNCTION("""COMPUTED_VALUE"""),41495.99861111111)</f>
        <v>41495.99861</v>
      </c>
      <c r="B1181" s="1">
        <f>IFERROR(__xludf.DUMMYFUNCTION("""COMPUTED_VALUE"""),9438.687)</f>
        <v>9438.687</v>
      </c>
    </row>
    <row r="1182">
      <c r="A1182" s="3">
        <f>IFERROR(__xludf.DUMMYFUNCTION("""COMPUTED_VALUE"""),41497.99861111111)</f>
        <v>41497.99861</v>
      </c>
      <c r="B1182" s="1">
        <f>IFERROR(__xludf.DUMMYFUNCTION("""COMPUTED_VALUE"""),9436.38948)</f>
        <v>9436.38948</v>
      </c>
    </row>
    <row r="1183">
      <c r="A1183" s="3">
        <f>IFERROR(__xludf.DUMMYFUNCTION("""COMPUTED_VALUE"""),41498.99861111111)</f>
        <v>41498.99861</v>
      </c>
      <c r="B1183" s="1">
        <f>IFERROR(__xludf.DUMMYFUNCTION("""COMPUTED_VALUE"""),9365.20382)</f>
        <v>9365.20382</v>
      </c>
    </row>
    <row r="1184">
      <c r="A1184" s="3">
        <f>IFERROR(__xludf.DUMMYFUNCTION("""COMPUTED_VALUE"""),41499.99861111111)</f>
        <v>41499.99861</v>
      </c>
      <c r="B1184" s="1">
        <f>IFERROR(__xludf.DUMMYFUNCTION("""COMPUTED_VALUE"""),9369.4272)</f>
        <v>9369.4272</v>
      </c>
    </row>
    <row r="1185">
      <c r="A1185" s="3">
        <f>IFERROR(__xludf.DUMMYFUNCTION("""COMPUTED_VALUE"""),41500.99861111111)</f>
        <v>41500.99861</v>
      </c>
      <c r="B1185" s="1">
        <f>IFERROR(__xludf.DUMMYFUNCTION("""COMPUTED_VALUE"""),9396.60162)</f>
        <v>9396.60162</v>
      </c>
    </row>
    <row r="1186">
      <c r="A1186" s="3">
        <f>IFERROR(__xludf.DUMMYFUNCTION("""COMPUTED_VALUE"""),41501.99861111111)</f>
        <v>41501.99861</v>
      </c>
      <c r="B1186" s="1">
        <f>IFERROR(__xludf.DUMMYFUNCTION("""COMPUTED_VALUE"""),9423.8667)</f>
        <v>9423.8667</v>
      </c>
    </row>
    <row r="1187">
      <c r="A1187" s="3">
        <f>IFERROR(__xludf.DUMMYFUNCTION("""COMPUTED_VALUE"""),41502.99861111111)</f>
        <v>41502.99861</v>
      </c>
      <c r="B1187" s="1">
        <f>IFERROR(__xludf.DUMMYFUNCTION("""COMPUTED_VALUE"""),9512.4484)</f>
        <v>9512.4484</v>
      </c>
    </row>
    <row r="1188">
      <c r="A1188" s="3">
        <f>IFERROR(__xludf.DUMMYFUNCTION("""COMPUTED_VALUE"""),41503.99861111111)</f>
        <v>41503.99861</v>
      </c>
      <c r="B1188" s="1">
        <f>IFERROR(__xludf.DUMMYFUNCTION("""COMPUTED_VALUE"""),9507.8436)</f>
        <v>9507.8436</v>
      </c>
    </row>
    <row r="1189">
      <c r="A1189" s="3">
        <f>IFERROR(__xludf.DUMMYFUNCTION("""COMPUTED_VALUE"""),41504.99861111111)</f>
        <v>41504.99861</v>
      </c>
      <c r="B1189" s="1">
        <f>IFERROR(__xludf.DUMMYFUNCTION("""COMPUTED_VALUE"""),9522.90432)</f>
        <v>9522.90432</v>
      </c>
    </row>
    <row r="1190">
      <c r="A1190" s="3">
        <f>IFERROR(__xludf.DUMMYFUNCTION("""COMPUTED_VALUE"""),41505.99861111111)</f>
        <v>41505.99861</v>
      </c>
      <c r="B1190" s="1">
        <f>IFERROR(__xludf.DUMMYFUNCTION("""COMPUTED_VALUE"""),9550.16073)</f>
        <v>9550.16073</v>
      </c>
    </row>
    <row r="1191">
      <c r="A1191" s="3">
        <f>IFERROR(__xludf.DUMMYFUNCTION("""COMPUTED_VALUE"""),41506.99861111111)</f>
        <v>41506.99861</v>
      </c>
      <c r="B1191" s="1">
        <f>IFERROR(__xludf.DUMMYFUNCTION("""COMPUTED_VALUE"""),9652.0449)</f>
        <v>9652.0449</v>
      </c>
    </row>
    <row r="1192">
      <c r="A1192" s="3">
        <f>IFERROR(__xludf.DUMMYFUNCTION("""COMPUTED_VALUE"""),41507.99861111111)</f>
        <v>41507.99861</v>
      </c>
      <c r="B1192" s="1">
        <f>IFERROR(__xludf.DUMMYFUNCTION("""COMPUTED_VALUE"""),9646.43748)</f>
        <v>9646.43748</v>
      </c>
    </row>
    <row r="1193">
      <c r="A1193" s="3">
        <f>IFERROR(__xludf.DUMMYFUNCTION("""COMPUTED_VALUE"""),41508.99861111111)</f>
        <v>41508.99861</v>
      </c>
      <c r="B1193" s="1">
        <f>IFERROR(__xludf.DUMMYFUNCTION("""COMPUTED_VALUE"""),9953.0704)</f>
        <v>9953.0704</v>
      </c>
    </row>
    <row r="1194">
      <c r="A1194" s="3">
        <f>IFERROR(__xludf.DUMMYFUNCTION("""COMPUTED_VALUE"""),41509.99861111111)</f>
        <v>41509.99861</v>
      </c>
      <c r="B1194" s="1">
        <f>IFERROR(__xludf.DUMMYFUNCTION("""COMPUTED_VALUE"""),9698.435)</f>
        <v>9698.435</v>
      </c>
    </row>
    <row r="1195">
      <c r="A1195" s="3">
        <f>IFERROR(__xludf.DUMMYFUNCTION("""COMPUTED_VALUE"""),41510.99861111111)</f>
        <v>41510.99861</v>
      </c>
      <c r="B1195" s="1">
        <f>IFERROR(__xludf.DUMMYFUNCTION("""COMPUTED_VALUE"""),9701.875)</f>
        <v>9701.875</v>
      </c>
    </row>
    <row r="1196">
      <c r="A1196" s="3">
        <f>IFERROR(__xludf.DUMMYFUNCTION("""COMPUTED_VALUE"""),41511.99861111111)</f>
        <v>41511.99861</v>
      </c>
      <c r="B1196" s="1">
        <f>IFERROR(__xludf.DUMMYFUNCTION("""COMPUTED_VALUE"""),9935.7542)</f>
        <v>9935.7542</v>
      </c>
    </row>
    <row r="1197">
      <c r="A1197" s="3">
        <f>IFERROR(__xludf.DUMMYFUNCTION("""COMPUTED_VALUE"""),41512.99861111111)</f>
        <v>41512.99861</v>
      </c>
      <c r="B1197" s="1">
        <f>IFERROR(__xludf.DUMMYFUNCTION("""COMPUTED_VALUE"""),10014.6976)</f>
        <v>10014.6976</v>
      </c>
    </row>
    <row r="1198">
      <c r="A1198" s="3">
        <f>IFERROR(__xludf.DUMMYFUNCTION("""COMPUTED_VALUE"""),41513.99861111111)</f>
        <v>41513.99861</v>
      </c>
      <c r="B1198" s="1">
        <f>IFERROR(__xludf.DUMMYFUNCTION("""COMPUTED_VALUE"""),9784.74321)</f>
        <v>9784.74321</v>
      </c>
    </row>
    <row r="1199">
      <c r="A1199" s="3">
        <f>IFERROR(__xludf.DUMMYFUNCTION("""COMPUTED_VALUE"""),41514.99861111111)</f>
        <v>41514.99861</v>
      </c>
      <c r="B1199" s="1">
        <f>IFERROR(__xludf.DUMMYFUNCTION("""COMPUTED_VALUE"""),9768.09492)</f>
        <v>9768.09492</v>
      </c>
    </row>
    <row r="1200">
      <c r="A1200" s="3">
        <f>IFERROR(__xludf.DUMMYFUNCTION("""COMPUTED_VALUE"""),41515.99861111111)</f>
        <v>41515.99861</v>
      </c>
      <c r="B1200" s="1">
        <f>IFERROR(__xludf.DUMMYFUNCTION("""COMPUTED_VALUE"""),9729.044)</f>
        <v>9729.044</v>
      </c>
    </row>
    <row r="1201">
      <c r="A1201" s="3">
        <f>IFERROR(__xludf.DUMMYFUNCTION("""COMPUTED_VALUE"""),41516.99861111111)</f>
        <v>41516.99861</v>
      </c>
      <c r="B1201" s="1">
        <f>IFERROR(__xludf.DUMMYFUNCTION("""COMPUTED_VALUE"""),9687.47034)</f>
        <v>9687.47034</v>
      </c>
    </row>
    <row r="1202">
      <c r="A1202" s="3">
        <f>IFERROR(__xludf.DUMMYFUNCTION("""COMPUTED_VALUE"""),41517.99861111111)</f>
        <v>41517.99861</v>
      </c>
      <c r="B1202" s="1">
        <f>IFERROR(__xludf.DUMMYFUNCTION("""COMPUTED_VALUE"""),9694.371)</f>
        <v>9694.371</v>
      </c>
    </row>
    <row r="1203">
      <c r="A1203" s="3">
        <f>IFERROR(__xludf.DUMMYFUNCTION("""COMPUTED_VALUE"""),41518.99861111111)</f>
        <v>41518.99861</v>
      </c>
      <c r="B1203" s="1">
        <f>IFERROR(__xludf.DUMMYFUNCTION("""COMPUTED_VALUE"""),9729.235)</f>
        <v>9729.235</v>
      </c>
    </row>
    <row r="1204">
      <c r="A1204" s="3">
        <f>IFERROR(__xludf.DUMMYFUNCTION("""COMPUTED_VALUE"""),41519.99861111111)</f>
        <v>41519.99861</v>
      </c>
      <c r="B1204" s="1">
        <f>IFERROR(__xludf.DUMMYFUNCTION("""COMPUTED_VALUE"""),9849.03976)</f>
        <v>9849.03976</v>
      </c>
    </row>
    <row r="1205">
      <c r="A1205" s="3">
        <f>IFERROR(__xludf.DUMMYFUNCTION("""COMPUTED_VALUE"""),41520.99861111111)</f>
        <v>41520.99861</v>
      </c>
      <c r="B1205" s="1">
        <f>IFERROR(__xludf.DUMMYFUNCTION("""COMPUTED_VALUE"""),9998.19756)</f>
        <v>9998.19756</v>
      </c>
    </row>
    <row r="1206">
      <c r="A1206" s="3">
        <f>IFERROR(__xludf.DUMMYFUNCTION("""COMPUTED_VALUE"""),41521.99861111111)</f>
        <v>41521.99861</v>
      </c>
      <c r="B1206" s="1">
        <f>IFERROR(__xludf.DUMMYFUNCTION("""COMPUTED_VALUE"""),10167.0714)</f>
        <v>10167.0714</v>
      </c>
    </row>
    <row r="1207">
      <c r="A1207" s="3">
        <f>IFERROR(__xludf.DUMMYFUNCTION("""COMPUTED_VALUE"""),41522.99861111111)</f>
        <v>41522.99861</v>
      </c>
      <c r="B1207" s="1">
        <f>IFERROR(__xludf.DUMMYFUNCTION("""COMPUTED_VALUE"""),10128.12093)</f>
        <v>10128.12093</v>
      </c>
    </row>
    <row r="1208">
      <c r="A1208" s="3">
        <f>IFERROR(__xludf.DUMMYFUNCTION("""COMPUTED_VALUE"""),41523.99861111111)</f>
        <v>41523.99861</v>
      </c>
      <c r="B1208" s="1">
        <f>IFERROR(__xludf.DUMMYFUNCTION("""COMPUTED_VALUE"""),10233.61482)</f>
        <v>10233.61482</v>
      </c>
    </row>
    <row r="1209">
      <c r="A1209" s="3">
        <f>IFERROR(__xludf.DUMMYFUNCTION("""COMPUTED_VALUE"""),41524.99861111111)</f>
        <v>41524.99861</v>
      </c>
      <c r="B1209" s="1">
        <f>IFERROR(__xludf.DUMMYFUNCTION("""COMPUTED_VALUE"""),10243.505)</f>
        <v>10243.505</v>
      </c>
    </row>
    <row r="1210">
      <c r="A1210" s="3">
        <f>IFERROR(__xludf.DUMMYFUNCTION("""COMPUTED_VALUE"""),41525.99861111111)</f>
        <v>41525.99861</v>
      </c>
      <c r="B1210" s="1">
        <f>IFERROR(__xludf.DUMMYFUNCTION("""COMPUTED_VALUE"""),10255.77)</f>
        <v>10255.77</v>
      </c>
    </row>
    <row r="1211">
      <c r="A1211" s="3">
        <f>IFERROR(__xludf.DUMMYFUNCTION("""COMPUTED_VALUE"""),41526.99861111111)</f>
        <v>41526.99861</v>
      </c>
      <c r="B1211" s="1">
        <f>IFERROR(__xludf.DUMMYFUNCTION("""COMPUTED_VALUE"""),10265.9304)</f>
        <v>10265.9304</v>
      </c>
    </row>
    <row r="1212">
      <c r="A1212" s="3">
        <f>IFERROR(__xludf.DUMMYFUNCTION("""COMPUTED_VALUE"""),41527.99861111111)</f>
        <v>41527.99861</v>
      </c>
      <c r="B1212" s="1">
        <f>IFERROR(__xludf.DUMMYFUNCTION("""COMPUTED_VALUE"""),10426.9815)</f>
        <v>10426.9815</v>
      </c>
    </row>
    <row r="1213">
      <c r="A1213" s="3">
        <f>IFERROR(__xludf.DUMMYFUNCTION("""COMPUTED_VALUE"""),41528.99861111111)</f>
        <v>41528.99861</v>
      </c>
      <c r="B1213" s="1">
        <f>IFERROR(__xludf.DUMMYFUNCTION("""COMPUTED_VALUE"""),10548.7752)</f>
        <v>10548.7752</v>
      </c>
    </row>
    <row r="1214">
      <c r="A1214" s="3">
        <f>IFERROR(__xludf.DUMMYFUNCTION("""COMPUTED_VALUE"""),41529.99861111111)</f>
        <v>41529.99861</v>
      </c>
      <c r="B1214" s="1">
        <f>IFERROR(__xludf.DUMMYFUNCTION("""COMPUTED_VALUE"""),10485.41742)</f>
        <v>10485.41742</v>
      </c>
    </row>
    <row r="1215">
      <c r="A1215" s="3">
        <f>IFERROR(__xludf.DUMMYFUNCTION("""COMPUTED_VALUE"""),41530.99861111111)</f>
        <v>41530.99861</v>
      </c>
      <c r="B1215" s="1">
        <f>IFERROR(__xludf.DUMMYFUNCTION("""COMPUTED_VALUE"""),10518.43401)</f>
        <v>10518.43401</v>
      </c>
    </row>
    <row r="1216">
      <c r="A1216" s="3">
        <f>IFERROR(__xludf.DUMMYFUNCTION("""COMPUTED_VALUE"""),41531.99861111111)</f>
        <v>41531.99861</v>
      </c>
      <c r="B1216" s="1">
        <f>IFERROR(__xludf.DUMMYFUNCTION("""COMPUTED_VALUE"""),10520.5964)</f>
        <v>10520.5964</v>
      </c>
    </row>
    <row r="1217">
      <c r="A1217" s="3">
        <f>IFERROR(__xludf.DUMMYFUNCTION("""COMPUTED_VALUE"""),41532.99861111111)</f>
        <v>41532.99861</v>
      </c>
      <c r="B1217" s="1">
        <f>IFERROR(__xludf.DUMMYFUNCTION("""COMPUTED_VALUE"""),10629.96781)</f>
        <v>10629.96781</v>
      </c>
    </row>
    <row r="1218">
      <c r="A1218" s="3">
        <f>IFERROR(__xludf.DUMMYFUNCTION("""COMPUTED_VALUE"""),41533.99861111111)</f>
        <v>41533.99861</v>
      </c>
      <c r="B1218" s="1">
        <f>IFERROR(__xludf.DUMMYFUNCTION("""COMPUTED_VALUE"""),10578.4029)</f>
        <v>10578.4029</v>
      </c>
    </row>
    <row r="1219">
      <c r="A1219" s="3">
        <f>IFERROR(__xludf.DUMMYFUNCTION("""COMPUTED_VALUE"""),41534.99861111111)</f>
        <v>41534.99861</v>
      </c>
      <c r="B1219" s="1">
        <f>IFERROR(__xludf.DUMMYFUNCTION("""COMPUTED_VALUE"""),10678.77678)</f>
        <v>10678.77678</v>
      </c>
    </row>
    <row r="1220">
      <c r="A1220" s="3">
        <f>IFERROR(__xludf.DUMMYFUNCTION("""COMPUTED_VALUE"""),41535.99861111111)</f>
        <v>41535.99861</v>
      </c>
      <c r="B1220" s="1">
        <f>IFERROR(__xludf.DUMMYFUNCTION("""COMPUTED_VALUE"""),10874.4552)</f>
        <v>10874.4552</v>
      </c>
    </row>
    <row r="1221">
      <c r="A1221" s="3">
        <f>IFERROR(__xludf.DUMMYFUNCTION("""COMPUTED_VALUE"""),41536.99861111111)</f>
        <v>41536.99861</v>
      </c>
      <c r="B1221" s="1">
        <f>IFERROR(__xludf.DUMMYFUNCTION("""COMPUTED_VALUE"""),10620.10545)</f>
        <v>10620.10545</v>
      </c>
    </row>
    <row r="1222">
      <c r="A1222" s="3">
        <f>IFERROR(__xludf.DUMMYFUNCTION("""COMPUTED_VALUE"""),41537.99861111111)</f>
        <v>41537.99861</v>
      </c>
      <c r="B1222" s="1">
        <f>IFERROR(__xludf.DUMMYFUNCTION("""COMPUTED_VALUE"""),10639.73628)</f>
        <v>10639.73628</v>
      </c>
    </row>
    <row r="1223">
      <c r="A1223" s="3">
        <f>IFERROR(__xludf.DUMMYFUNCTION("""COMPUTED_VALUE"""),41538.99861111111)</f>
        <v>41538.99861</v>
      </c>
      <c r="B1223" s="1">
        <f>IFERROR(__xludf.DUMMYFUNCTION("""COMPUTED_VALUE"""),10636.44)</f>
        <v>10636.44</v>
      </c>
    </row>
    <row r="1224">
      <c r="A1224" s="3">
        <f>IFERROR(__xludf.DUMMYFUNCTION("""COMPUTED_VALUE"""),41539.99861111111)</f>
        <v>41539.99861</v>
      </c>
      <c r="B1224" s="1">
        <f>IFERROR(__xludf.DUMMYFUNCTION("""COMPUTED_VALUE"""),10652.429)</f>
        <v>10652.429</v>
      </c>
    </row>
    <row r="1225">
      <c r="A1225" s="3">
        <f>IFERROR(__xludf.DUMMYFUNCTION("""COMPUTED_VALUE"""),41540.99861111111)</f>
        <v>41540.99861</v>
      </c>
      <c r="B1225" s="1">
        <f>IFERROR(__xludf.DUMMYFUNCTION("""COMPUTED_VALUE"""),10754.814)</f>
        <v>10754.814</v>
      </c>
    </row>
    <row r="1226">
      <c r="A1226" s="3">
        <f>IFERROR(__xludf.DUMMYFUNCTION("""COMPUTED_VALUE"""),41541.99861111111)</f>
        <v>41541.99861</v>
      </c>
      <c r="B1226" s="1">
        <f>IFERROR(__xludf.DUMMYFUNCTION("""COMPUTED_VALUE"""),10738.95795)</f>
        <v>10738.95795</v>
      </c>
    </row>
    <row r="1227">
      <c r="A1227" s="3">
        <f>IFERROR(__xludf.DUMMYFUNCTION("""COMPUTED_VALUE"""),41542.99861111111)</f>
        <v>41542.99861</v>
      </c>
      <c r="B1227" s="1">
        <f>IFERROR(__xludf.DUMMYFUNCTION("""COMPUTED_VALUE"""),10727.09418)</f>
        <v>10727.09418</v>
      </c>
    </row>
    <row r="1228">
      <c r="A1228" s="3">
        <f>IFERROR(__xludf.DUMMYFUNCTION("""COMPUTED_VALUE"""),41543.99861111111)</f>
        <v>41543.99861</v>
      </c>
      <c r="B1228" s="1">
        <f>IFERROR(__xludf.DUMMYFUNCTION("""COMPUTED_VALUE"""),10701.909)</f>
        <v>10701.909</v>
      </c>
    </row>
    <row r="1229">
      <c r="A1229" s="3">
        <f>IFERROR(__xludf.DUMMYFUNCTION("""COMPUTED_VALUE"""),41544.99861111111)</f>
        <v>41544.99861</v>
      </c>
      <c r="B1229" s="1">
        <f>IFERROR(__xludf.DUMMYFUNCTION("""COMPUTED_VALUE"""),10719.4826)</f>
        <v>10719.4826</v>
      </c>
    </row>
    <row r="1230">
      <c r="A1230" s="3">
        <f>IFERROR(__xludf.DUMMYFUNCTION("""COMPUTED_VALUE"""),41546.99861111111)</f>
        <v>41546.99861</v>
      </c>
      <c r="B1230" s="1">
        <f>IFERROR(__xludf.DUMMYFUNCTION("""COMPUTED_VALUE"""),10693.0119)</f>
        <v>10693.0119</v>
      </c>
    </row>
    <row r="1231">
      <c r="A1231" s="3">
        <f>IFERROR(__xludf.DUMMYFUNCTION("""COMPUTED_VALUE"""),41547.99861111111)</f>
        <v>41547.99861</v>
      </c>
      <c r="B1231" s="1">
        <f>IFERROR(__xludf.DUMMYFUNCTION("""COMPUTED_VALUE"""),10759.5328)</f>
        <v>10759.5328</v>
      </c>
    </row>
    <row r="1232">
      <c r="A1232" s="3">
        <f>IFERROR(__xludf.DUMMYFUNCTION("""COMPUTED_VALUE"""),41548.99861111111)</f>
        <v>41548.99861</v>
      </c>
      <c r="B1232" s="1">
        <f>IFERROR(__xludf.DUMMYFUNCTION("""COMPUTED_VALUE"""),10779.1984)</f>
        <v>10779.1984</v>
      </c>
    </row>
    <row r="1233">
      <c r="A1233" s="3">
        <f>IFERROR(__xludf.DUMMYFUNCTION("""COMPUTED_VALUE"""),41549.99861111111)</f>
        <v>41549.99861</v>
      </c>
      <c r="B1233" s="1">
        <f>IFERROR(__xludf.DUMMYFUNCTION("""COMPUTED_VALUE"""),10793.4768)</f>
        <v>10793.4768</v>
      </c>
    </row>
    <row r="1234">
      <c r="A1234" s="3">
        <f>IFERROR(__xludf.DUMMYFUNCTION("""COMPUTED_VALUE"""),41550.99861111111)</f>
        <v>41550.99861</v>
      </c>
      <c r="B1234" s="1">
        <f>IFERROR(__xludf.DUMMYFUNCTION("""COMPUTED_VALUE"""),10810.5194)</f>
        <v>10810.5194</v>
      </c>
    </row>
    <row r="1235">
      <c r="A1235" s="3">
        <f>IFERROR(__xludf.DUMMYFUNCTION("""COMPUTED_VALUE"""),41551.99861111111)</f>
        <v>41551.99861</v>
      </c>
      <c r="B1235" s="1">
        <f>IFERROR(__xludf.DUMMYFUNCTION("""COMPUTED_VALUE"""),10840.14976)</f>
        <v>10840.14976</v>
      </c>
    </row>
    <row r="1236">
      <c r="A1236" s="3">
        <f>IFERROR(__xludf.DUMMYFUNCTION("""COMPUTED_VALUE"""),41552.99861111111)</f>
        <v>41552.99861</v>
      </c>
      <c r="B1236" s="1">
        <f>IFERROR(__xludf.DUMMYFUNCTION("""COMPUTED_VALUE"""),10841.4642)</f>
        <v>10841.4642</v>
      </c>
    </row>
    <row r="1237">
      <c r="A1237" s="3">
        <f>IFERROR(__xludf.DUMMYFUNCTION("""COMPUTED_VALUE"""),41553.99861111111)</f>
        <v>41553.99861</v>
      </c>
      <c r="B1237" s="1">
        <f>IFERROR(__xludf.DUMMYFUNCTION("""COMPUTED_VALUE"""),10843.113)</f>
        <v>10843.113</v>
      </c>
    </row>
    <row r="1238">
      <c r="A1238" s="3">
        <f>IFERROR(__xludf.DUMMYFUNCTION("""COMPUTED_VALUE"""),41554.99861111111)</f>
        <v>41554.99861</v>
      </c>
      <c r="B1238" s="1">
        <f>IFERROR(__xludf.DUMMYFUNCTION("""COMPUTED_VALUE"""),10836.15244)</f>
        <v>10836.15244</v>
      </c>
    </row>
    <row r="1239">
      <c r="A1239" s="3">
        <f>IFERROR(__xludf.DUMMYFUNCTION("""COMPUTED_VALUE"""),41555.99861111111)</f>
        <v>41555.99861</v>
      </c>
      <c r="B1239" s="1">
        <f>IFERROR(__xludf.DUMMYFUNCTION("""COMPUTED_VALUE"""),10842.3744)</f>
        <v>10842.3744</v>
      </c>
    </row>
    <row r="1240">
      <c r="A1240" s="3">
        <f>IFERROR(__xludf.DUMMYFUNCTION("""COMPUTED_VALUE"""),41556.99861111111)</f>
        <v>41556.99861</v>
      </c>
      <c r="B1240" s="1">
        <f>IFERROR(__xludf.DUMMYFUNCTION("""COMPUTED_VALUE"""),10878.55275)</f>
        <v>10878.55275</v>
      </c>
    </row>
    <row r="1241">
      <c r="A1241" s="3">
        <f>IFERROR(__xludf.DUMMYFUNCTION("""COMPUTED_VALUE"""),41557.99861111111)</f>
        <v>41557.99861</v>
      </c>
      <c r="B1241" s="1">
        <f>IFERROR(__xludf.DUMMYFUNCTION("""COMPUTED_VALUE"""),10830.81555)</f>
        <v>10830.81555</v>
      </c>
    </row>
    <row r="1242">
      <c r="A1242" s="3">
        <f>IFERROR(__xludf.DUMMYFUNCTION("""COMPUTED_VALUE"""),41558.99861111111)</f>
        <v>41558.99861</v>
      </c>
      <c r="B1242" s="1">
        <f>IFERROR(__xludf.DUMMYFUNCTION("""COMPUTED_VALUE"""),10735.1244)</f>
        <v>10735.1244</v>
      </c>
    </row>
    <row r="1243">
      <c r="A1243" s="3">
        <f>IFERROR(__xludf.DUMMYFUNCTION("""COMPUTED_VALUE"""),41559.99861111111)</f>
        <v>41559.99861</v>
      </c>
      <c r="B1243" s="1">
        <f>IFERROR(__xludf.DUMMYFUNCTION("""COMPUTED_VALUE"""),10733.31)</f>
        <v>10733.31</v>
      </c>
    </row>
    <row r="1244">
      <c r="A1244" s="3">
        <f>IFERROR(__xludf.DUMMYFUNCTION("""COMPUTED_VALUE"""),41560.99861111111)</f>
        <v>41560.99861</v>
      </c>
      <c r="B1244" s="1">
        <f>IFERROR(__xludf.DUMMYFUNCTION("""COMPUTED_VALUE"""),10697.022)</f>
        <v>10697.022</v>
      </c>
    </row>
    <row r="1245">
      <c r="A1245" s="3">
        <f>IFERROR(__xludf.DUMMYFUNCTION("""COMPUTED_VALUE"""),41561.99861111111)</f>
        <v>41561.99861</v>
      </c>
      <c r="B1245" s="1">
        <f>IFERROR(__xludf.DUMMYFUNCTION("""COMPUTED_VALUE"""),10770.15)</f>
        <v>10770.15</v>
      </c>
    </row>
    <row r="1246">
      <c r="A1246" s="3">
        <f>IFERROR(__xludf.DUMMYFUNCTION("""COMPUTED_VALUE"""),41562.99861111111)</f>
        <v>41562.99861</v>
      </c>
      <c r="B1246" s="1">
        <f>IFERROR(__xludf.DUMMYFUNCTION("""COMPUTED_VALUE"""),10795.65825)</f>
        <v>10795.65825</v>
      </c>
    </row>
    <row r="1247">
      <c r="A1247" s="3">
        <f>IFERROR(__xludf.DUMMYFUNCTION("""COMPUTED_VALUE"""),41563.99861111111)</f>
        <v>41563.99861</v>
      </c>
      <c r="B1247" s="1">
        <f>IFERROR(__xludf.DUMMYFUNCTION("""COMPUTED_VALUE"""),10822.02576)</f>
        <v>10822.02576</v>
      </c>
    </row>
    <row r="1248">
      <c r="A1248" s="3">
        <f>IFERROR(__xludf.DUMMYFUNCTION("""COMPUTED_VALUE"""),41564.99861111111)</f>
        <v>41564.99861</v>
      </c>
      <c r="B1248" s="1">
        <f>IFERROR(__xludf.DUMMYFUNCTION("""COMPUTED_VALUE"""),10872.524)</f>
        <v>10872.524</v>
      </c>
    </row>
    <row r="1249">
      <c r="A1249" s="3">
        <f>IFERROR(__xludf.DUMMYFUNCTION("""COMPUTED_VALUE"""),41565.99861111111)</f>
        <v>41565.99861</v>
      </c>
      <c r="B1249" s="1">
        <f>IFERROR(__xludf.DUMMYFUNCTION("""COMPUTED_VALUE"""),10933.30056)</f>
        <v>10933.30056</v>
      </c>
    </row>
    <row r="1250">
      <c r="A1250" s="3">
        <f>IFERROR(__xludf.DUMMYFUNCTION("""COMPUTED_VALUE"""),41566.99861111111)</f>
        <v>41566.99861</v>
      </c>
      <c r="B1250" s="1">
        <f>IFERROR(__xludf.DUMMYFUNCTION("""COMPUTED_VALUE"""),10926.2958)</f>
        <v>10926.2958</v>
      </c>
    </row>
    <row r="1251">
      <c r="A1251" s="3">
        <f>IFERROR(__xludf.DUMMYFUNCTION("""COMPUTED_VALUE"""),41567.99861111111)</f>
        <v>41567.99861</v>
      </c>
      <c r="B1251" s="1">
        <f>IFERROR(__xludf.DUMMYFUNCTION("""COMPUTED_VALUE"""),10926.52176)</f>
        <v>10926.52176</v>
      </c>
    </row>
    <row r="1252">
      <c r="A1252" s="3">
        <f>IFERROR(__xludf.DUMMYFUNCTION("""COMPUTED_VALUE"""),41568.99861111111)</f>
        <v>41568.99861</v>
      </c>
      <c r="B1252" s="1">
        <f>IFERROR(__xludf.DUMMYFUNCTION("""COMPUTED_VALUE"""),10917.53476)</f>
        <v>10917.53476</v>
      </c>
    </row>
    <row r="1253">
      <c r="A1253" s="3">
        <f>IFERROR(__xludf.DUMMYFUNCTION("""COMPUTED_VALUE"""),41569.99861111111)</f>
        <v>41569.99861</v>
      </c>
      <c r="B1253" s="1">
        <f>IFERROR(__xludf.DUMMYFUNCTION("""COMPUTED_VALUE"""),10933.9648)</f>
        <v>10933.9648</v>
      </c>
    </row>
    <row r="1254">
      <c r="A1254" s="3">
        <f>IFERROR(__xludf.DUMMYFUNCTION("""COMPUTED_VALUE"""),41570.99861111111)</f>
        <v>41570.99861</v>
      </c>
      <c r="B1254" s="1">
        <f>IFERROR(__xludf.DUMMYFUNCTION("""COMPUTED_VALUE"""),10821.2256)</f>
        <v>10821.2256</v>
      </c>
    </row>
    <row r="1255">
      <c r="A1255" s="3">
        <f>IFERROR(__xludf.DUMMYFUNCTION("""COMPUTED_VALUE"""),41571.99861111111)</f>
        <v>41571.99861</v>
      </c>
      <c r="B1255" s="1">
        <f>IFERROR(__xludf.DUMMYFUNCTION("""COMPUTED_VALUE"""),10704.0232)</f>
        <v>10704.0232</v>
      </c>
    </row>
    <row r="1256">
      <c r="A1256" s="3">
        <f>IFERROR(__xludf.DUMMYFUNCTION("""COMPUTED_VALUE"""),41572.99861111111)</f>
        <v>41572.99861</v>
      </c>
      <c r="B1256" s="1">
        <f>IFERROR(__xludf.DUMMYFUNCTION("""COMPUTED_VALUE"""),10532.0467)</f>
        <v>10532.0467</v>
      </c>
    </row>
    <row r="1257">
      <c r="A1257" s="3">
        <f>IFERROR(__xludf.DUMMYFUNCTION("""COMPUTED_VALUE"""),41573.99861111111)</f>
        <v>41573.99861</v>
      </c>
      <c r="B1257" s="1">
        <f>IFERROR(__xludf.DUMMYFUNCTION("""COMPUTED_VALUE"""),10532.816)</f>
        <v>10532.816</v>
      </c>
    </row>
    <row r="1258">
      <c r="A1258" s="3">
        <f>IFERROR(__xludf.DUMMYFUNCTION("""COMPUTED_VALUE"""),41574.99861111111)</f>
        <v>41574.99861</v>
      </c>
      <c r="B1258" s="1">
        <f>IFERROR(__xludf.DUMMYFUNCTION("""COMPUTED_VALUE"""),10543.806)</f>
        <v>10543.806</v>
      </c>
    </row>
    <row r="1259">
      <c r="A1259" s="3">
        <f>IFERROR(__xludf.DUMMYFUNCTION("""COMPUTED_VALUE"""),41575.99861111111)</f>
        <v>41575.99861</v>
      </c>
      <c r="B1259" s="1">
        <f>IFERROR(__xludf.DUMMYFUNCTION("""COMPUTED_VALUE"""),10520.2755)</f>
        <v>10520.2755</v>
      </c>
    </row>
    <row r="1260">
      <c r="A1260" s="3">
        <f>IFERROR(__xludf.DUMMYFUNCTION("""COMPUTED_VALUE"""),41576.99861111111)</f>
        <v>41576.99861</v>
      </c>
      <c r="B1260" s="1">
        <f>IFERROR(__xludf.DUMMYFUNCTION("""COMPUTED_VALUE"""),10496.885)</f>
        <v>10496.885</v>
      </c>
    </row>
    <row r="1261">
      <c r="A1261" s="3">
        <f>IFERROR(__xludf.DUMMYFUNCTION("""COMPUTED_VALUE"""),41577.99861111111)</f>
        <v>41577.99861</v>
      </c>
      <c r="B1261" s="1">
        <f>IFERROR(__xludf.DUMMYFUNCTION("""COMPUTED_VALUE"""),10556.209)</f>
        <v>10556.209</v>
      </c>
    </row>
    <row r="1262">
      <c r="A1262" s="3">
        <f>IFERROR(__xludf.DUMMYFUNCTION("""COMPUTED_VALUE"""),41578.99861111111)</f>
        <v>41578.99861</v>
      </c>
      <c r="B1262" s="1">
        <f>IFERROR(__xludf.DUMMYFUNCTION("""COMPUTED_VALUE"""),10643.3925)</f>
        <v>10643.3925</v>
      </c>
    </row>
    <row r="1263">
      <c r="A1263" s="3">
        <f>IFERROR(__xludf.DUMMYFUNCTION("""COMPUTED_VALUE"""),41579.99861111111)</f>
        <v>41579.99861</v>
      </c>
      <c r="B1263" s="1">
        <f>IFERROR(__xludf.DUMMYFUNCTION("""COMPUTED_VALUE"""),10672.03808)</f>
        <v>10672.03808</v>
      </c>
    </row>
    <row r="1264">
      <c r="A1264" s="3">
        <f>IFERROR(__xludf.DUMMYFUNCTION("""COMPUTED_VALUE"""),41580.99861111111)</f>
        <v>41580.99861</v>
      </c>
      <c r="B1264" s="1">
        <f>IFERROR(__xludf.DUMMYFUNCTION("""COMPUTED_VALUE"""),10670.2288)</f>
        <v>10670.2288</v>
      </c>
    </row>
    <row r="1265">
      <c r="A1265" s="3">
        <f>IFERROR(__xludf.DUMMYFUNCTION("""COMPUTED_VALUE"""),41581.99861111111)</f>
        <v>41581.99861</v>
      </c>
      <c r="B1265" s="1">
        <f>IFERROR(__xludf.DUMMYFUNCTION("""COMPUTED_VALUE"""),10754.53943)</f>
        <v>10754.53943</v>
      </c>
    </row>
    <row r="1266">
      <c r="A1266" s="3">
        <f>IFERROR(__xludf.DUMMYFUNCTION("""COMPUTED_VALUE"""),41582.99861111111)</f>
        <v>41582.99861</v>
      </c>
      <c r="B1266" s="1">
        <f>IFERROR(__xludf.DUMMYFUNCTION("""COMPUTED_VALUE"""),10771.977)</f>
        <v>10771.977</v>
      </c>
    </row>
    <row r="1267">
      <c r="A1267" s="3">
        <f>IFERROR(__xludf.DUMMYFUNCTION("""COMPUTED_VALUE"""),41583.99861111111)</f>
        <v>41583.99861</v>
      </c>
      <c r="B1267" s="1">
        <f>IFERROR(__xludf.DUMMYFUNCTION("""COMPUTED_VALUE"""),10762.367)</f>
        <v>10762.367</v>
      </c>
    </row>
    <row r="1268">
      <c r="A1268" s="3">
        <f>IFERROR(__xludf.DUMMYFUNCTION("""COMPUTED_VALUE"""),41584.99861111111)</f>
        <v>41584.99861</v>
      </c>
      <c r="B1268" s="1">
        <f>IFERROR(__xludf.DUMMYFUNCTION("""COMPUTED_VALUE"""),10838.1982)</f>
        <v>10838.1982</v>
      </c>
    </row>
    <row r="1269">
      <c r="A1269" s="3">
        <f>IFERROR(__xludf.DUMMYFUNCTION("""COMPUTED_VALUE"""),41585.99861111111)</f>
        <v>41585.99861</v>
      </c>
      <c r="B1269" s="1">
        <f>IFERROR(__xludf.DUMMYFUNCTION("""COMPUTED_VALUE"""),10744.13444)</f>
        <v>10744.13444</v>
      </c>
    </row>
    <row r="1270">
      <c r="A1270" s="3">
        <f>IFERROR(__xludf.DUMMYFUNCTION("""COMPUTED_VALUE"""),41586.99861111111)</f>
        <v>41586.99861</v>
      </c>
      <c r="B1270" s="1">
        <f>IFERROR(__xludf.DUMMYFUNCTION("""COMPUTED_VALUE"""),10680.64116)</f>
        <v>10680.64116</v>
      </c>
    </row>
    <row r="1271">
      <c r="A1271" s="3">
        <f>IFERROR(__xludf.DUMMYFUNCTION("""COMPUTED_VALUE"""),41588.99861111111)</f>
        <v>41588.99861</v>
      </c>
      <c r="B1271" s="1">
        <f>IFERROR(__xludf.DUMMYFUNCTION("""COMPUTED_VALUE"""),10663.94364)</f>
        <v>10663.94364</v>
      </c>
    </row>
    <row r="1272">
      <c r="A1272" s="3">
        <f>IFERROR(__xludf.DUMMYFUNCTION("""COMPUTED_VALUE"""),41589.99861111111)</f>
        <v>41589.99861</v>
      </c>
      <c r="B1272" s="1">
        <f>IFERROR(__xludf.DUMMYFUNCTION("""COMPUTED_VALUE"""),10797.4116)</f>
        <v>10797.4116</v>
      </c>
    </row>
    <row r="1273">
      <c r="A1273" s="3">
        <f>IFERROR(__xludf.DUMMYFUNCTION("""COMPUTED_VALUE"""),41590.99861111111)</f>
        <v>41590.99861</v>
      </c>
      <c r="B1273" s="1">
        <f>IFERROR(__xludf.DUMMYFUNCTION("""COMPUTED_VALUE"""),10757.763)</f>
        <v>10757.763</v>
      </c>
    </row>
    <row r="1274">
      <c r="A1274" s="3">
        <f>IFERROR(__xludf.DUMMYFUNCTION("""COMPUTED_VALUE"""),41591.99861111111)</f>
        <v>41591.99861</v>
      </c>
      <c r="B1274" s="1">
        <f>IFERROR(__xludf.DUMMYFUNCTION("""COMPUTED_VALUE"""),10838.3874)</f>
        <v>10838.3874</v>
      </c>
    </row>
    <row r="1275">
      <c r="A1275" s="3">
        <f>IFERROR(__xludf.DUMMYFUNCTION("""COMPUTED_VALUE"""),41592.99861111111)</f>
        <v>41592.99861</v>
      </c>
      <c r="B1275" s="1">
        <f>IFERROR(__xludf.DUMMYFUNCTION("""COMPUTED_VALUE"""),10717.2312)</f>
        <v>10717.2312</v>
      </c>
    </row>
    <row r="1276">
      <c r="A1276" s="3">
        <f>IFERROR(__xludf.DUMMYFUNCTION("""COMPUTED_VALUE"""),41593.99861111111)</f>
        <v>41593.99861</v>
      </c>
      <c r="B1276" s="1">
        <f>IFERROR(__xludf.DUMMYFUNCTION("""COMPUTED_VALUE"""),10862.54385)</f>
        <v>10862.54385</v>
      </c>
    </row>
    <row r="1277">
      <c r="A1277" s="3">
        <f>IFERROR(__xludf.DUMMYFUNCTION("""COMPUTED_VALUE"""),41595.99861111111)</f>
        <v>41595.99861</v>
      </c>
      <c r="B1277" s="1">
        <f>IFERROR(__xludf.DUMMYFUNCTION("""COMPUTED_VALUE"""),10861.61625)</f>
        <v>10861.61625</v>
      </c>
    </row>
    <row r="1278">
      <c r="A1278" s="3">
        <f>IFERROR(__xludf.DUMMYFUNCTION("""COMPUTED_VALUE"""),41596.99861111111)</f>
        <v>41596.99861</v>
      </c>
      <c r="B1278" s="1">
        <f>IFERROR(__xludf.DUMMYFUNCTION("""COMPUTED_VALUE"""),10869.243)</f>
        <v>10869.243</v>
      </c>
    </row>
    <row r="1279">
      <c r="A1279" s="3">
        <f>IFERROR(__xludf.DUMMYFUNCTION("""COMPUTED_VALUE"""),41597.99861111111)</f>
        <v>41597.99861</v>
      </c>
      <c r="B1279" s="1">
        <f>IFERROR(__xludf.DUMMYFUNCTION("""COMPUTED_VALUE"""),10917.452)</f>
        <v>10917.452</v>
      </c>
    </row>
    <row r="1280">
      <c r="A1280" s="3">
        <f>IFERROR(__xludf.DUMMYFUNCTION("""COMPUTED_VALUE"""),41598.99861111111)</f>
        <v>41598.99861</v>
      </c>
      <c r="B1280" s="1">
        <f>IFERROR(__xludf.DUMMYFUNCTION("""COMPUTED_VALUE"""),10843.11218)</f>
        <v>10843.11218</v>
      </c>
    </row>
    <row r="1281">
      <c r="A1281" s="3">
        <f>IFERROR(__xludf.DUMMYFUNCTION("""COMPUTED_VALUE"""),41599.99861111111)</f>
        <v>41599.99861</v>
      </c>
      <c r="B1281" s="1">
        <f>IFERROR(__xludf.DUMMYFUNCTION("""COMPUTED_VALUE"""),10773.46764)</f>
        <v>10773.46764</v>
      </c>
    </row>
    <row r="1282">
      <c r="A1282" s="3">
        <f>IFERROR(__xludf.DUMMYFUNCTION("""COMPUTED_VALUE"""),41600.99861111111)</f>
        <v>41600.99861</v>
      </c>
      <c r="B1282" s="1">
        <f>IFERROR(__xludf.DUMMYFUNCTION("""COMPUTED_VALUE"""),10695.37224)</f>
        <v>10695.37224</v>
      </c>
    </row>
    <row r="1283">
      <c r="A1283" s="3">
        <f>IFERROR(__xludf.DUMMYFUNCTION("""COMPUTED_VALUE"""),41601.99861111111)</f>
        <v>41601.99861</v>
      </c>
      <c r="B1283" s="1">
        <f>IFERROR(__xludf.DUMMYFUNCTION("""COMPUTED_VALUE"""),10700.9724)</f>
        <v>10700.9724</v>
      </c>
    </row>
    <row r="1284">
      <c r="A1284" s="3">
        <f>IFERROR(__xludf.DUMMYFUNCTION("""COMPUTED_VALUE"""),41602.99861111111)</f>
        <v>41602.99861</v>
      </c>
      <c r="B1284" s="1">
        <f>IFERROR(__xludf.DUMMYFUNCTION("""COMPUTED_VALUE"""),10695.1389)</f>
        <v>10695.1389</v>
      </c>
    </row>
    <row r="1285">
      <c r="A1285" s="3">
        <f>IFERROR(__xludf.DUMMYFUNCTION("""COMPUTED_VALUE"""),41603.99861111111)</f>
        <v>41603.99861</v>
      </c>
      <c r="B1285" s="1">
        <f>IFERROR(__xludf.DUMMYFUNCTION("""COMPUTED_VALUE"""),10763.9015)</f>
        <v>10763.9015</v>
      </c>
    </row>
    <row r="1286">
      <c r="A1286" s="3">
        <f>IFERROR(__xludf.DUMMYFUNCTION("""COMPUTED_VALUE"""),41604.99861111111)</f>
        <v>41604.99861</v>
      </c>
      <c r="B1286" s="1">
        <f>IFERROR(__xludf.DUMMYFUNCTION("""COMPUTED_VALUE"""),10715.295)</f>
        <v>10715.295</v>
      </c>
    </row>
    <row r="1287">
      <c r="A1287" s="3">
        <f>IFERROR(__xludf.DUMMYFUNCTION("""COMPUTED_VALUE"""),41605.99861111111)</f>
        <v>41605.99861</v>
      </c>
      <c r="B1287" s="1">
        <f>IFERROR(__xludf.DUMMYFUNCTION("""COMPUTED_VALUE"""),10790.604)</f>
        <v>10790.604</v>
      </c>
    </row>
    <row r="1288">
      <c r="A1288" s="3">
        <f>IFERROR(__xludf.DUMMYFUNCTION("""COMPUTED_VALUE"""),41606.99861111111)</f>
        <v>41606.99861</v>
      </c>
      <c r="B1288" s="1">
        <f>IFERROR(__xludf.DUMMYFUNCTION("""COMPUTED_VALUE"""),10787.04)</f>
        <v>10787.04</v>
      </c>
    </row>
    <row r="1289">
      <c r="A1289" s="3">
        <f>IFERROR(__xludf.DUMMYFUNCTION("""COMPUTED_VALUE"""),41607.99861111111)</f>
        <v>41607.99861</v>
      </c>
      <c r="B1289" s="1">
        <f>IFERROR(__xludf.DUMMYFUNCTION("""COMPUTED_VALUE"""),10798.84344)</f>
        <v>10798.84344</v>
      </c>
    </row>
    <row r="1290">
      <c r="A1290" s="3">
        <f>IFERROR(__xludf.DUMMYFUNCTION("""COMPUTED_VALUE"""),41608.99861111111)</f>
        <v>41608.99861</v>
      </c>
      <c r="B1290" s="1">
        <f>IFERROR(__xludf.DUMMYFUNCTION("""COMPUTED_VALUE"""),10588.05)</f>
        <v>10588.05</v>
      </c>
    </row>
    <row r="1291">
      <c r="A1291" s="3">
        <f>IFERROR(__xludf.DUMMYFUNCTION("""COMPUTED_VALUE"""),41609.99861111111)</f>
        <v>41609.99861</v>
      </c>
      <c r="B1291" s="1">
        <f>IFERROR(__xludf.DUMMYFUNCTION("""COMPUTED_VALUE"""),10602.0)</f>
        <v>10602</v>
      </c>
    </row>
    <row r="1292">
      <c r="A1292" s="3">
        <f>IFERROR(__xludf.DUMMYFUNCTION("""COMPUTED_VALUE"""),41610.99861111111)</f>
        <v>41610.99861</v>
      </c>
      <c r="B1292" s="1">
        <f>IFERROR(__xludf.DUMMYFUNCTION("""COMPUTED_VALUE"""),10831.989)</f>
        <v>10831.989</v>
      </c>
    </row>
    <row r="1293">
      <c r="A1293" s="3">
        <f>IFERROR(__xludf.DUMMYFUNCTION("""COMPUTED_VALUE"""),41611.99861111111)</f>
        <v>41611.99861</v>
      </c>
      <c r="B1293" s="1">
        <f>IFERROR(__xludf.DUMMYFUNCTION("""COMPUTED_VALUE"""),10861.34495)</f>
        <v>10861.34495</v>
      </c>
    </row>
    <row r="1294">
      <c r="A1294" s="3">
        <f>IFERROR(__xludf.DUMMYFUNCTION("""COMPUTED_VALUE"""),41612.99861111111)</f>
        <v>41612.99861</v>
      </c>
      <c r="B1294" s="1">
        <f>IFERROR(__xludf.DUMMYFUNCTION("""COMPUTED_VALUE"""),10813.1104)</f>
        <v>10813.1104</v>
      </c>
    </row>
    <row r="1295">
      <c r="A1295" s="3">
        <f>IFERROR(__xludf.DUMMYFUNCTION("""COMPUTED_VALUE"""),41613.99861111111)</f>
        <v>41613.99861</v>
      </c>
      <c r="B1295" s="1">
        <f>IFERROR(__xludf.DUMMYFUNCTION("""COMPUTED_VALUE"""),10851.0265)</f>
        <v>10851.0265</v>
      </c>
    </row>
    <row r="1296">
      <c r="A1296" s="3">
        <f>IFERROR(__xludf.DUMMYFUNCTION("""COMPUTED_VALUE"""),41614.99861111111)</f>
        <v>41614.99861</v>
      </c>
      <c r="B1296" s="1">
        <f>IFERROR(__xludf.DUMMYFUNCTION("""COMPUTED_VALUE"""),10875.217)</f>
        <v>10875.217</v>
      </c>
    </row>
    <row r="1297">
      <c r="A1297" s="3">
        <f>IFERROR(__xludf.DUMMYFUNCTION("""COMPUTED_VALUE"""),41615.99861111111)</f>
        <v>41615.99861</v>
      </c>
      <c r="B1297" s="1">
        <f>IFERROR(__xludf.DUMMYFUNCTION("""COMPUTED_VALUE"""),10630.4834)</f>
        <v>10630.4834</v>
      </c>
    </row>
    <row r="1298">
      <c r="A1298" s="3">
        <f>IFERROR(__xludf.DUMMYFUNCTION("""COMPUTED_VALUE"""),41616.99861111111)</f>
        <v>41616.99861</v>
      </c>
      <c r="B1298" s="1">
        <f>IFERROR(__xludf.DUMMYFUNCTION("""COMPUTED_VALUE"""),10632.819)</f>
        <v>10632.819</v>
      </c>
    </row>
    <row r="1299">
      <c r="A1299" s="3">
        <f>IFERROR(__xludf.DUMMYFUNCTION("""COMPUTED_VALUE"""),41617.99861111111)</f>
        <v>41617.99861</v>
      </c>
      <c r="B1299" s="1">
        <f>IFERROR(__xludf.DUMMYFUNCTION("""COMPUTED_VALUE"""),10739.1983)</f>
        <v>10739.1983</v>
      </c>
    </row>
    <row r="1300">
      <c r="A1300" s="3">
        <f>IFERROR(__xludf.DUMMYFUNCTION("""COMPUTED_VALUE"""),41618.99861111111)</f>
        <v>41618.99861</v>
      </c>
      <c r="B1300" s="1">
        <f>IFERROR(__xludf.DUMMYFUNCTION("""COMPUTED_VALUE"""),10821.24628)</f>
        <v>10821.24628</v>
      </c>
    </row>
    <row r="1301">
      <c r="A1301" s="3">
        <f>IFERROR(__xludf.DUMMYFUNCTION("""COMPUTED_VALUE"""),41619.99861111111)</f>
        <v>41619.99861</v>
      </c>
      <c r="B1301" s="1">
        <f>IFERROR(__xludf.DUMMYFUNCTION("""COMPUTED_VALUE"""),10744.12612)</f>
        <v>10744.12612</v>
      </c>
    </row>
    <row r="1302">
      <c r="A1302" s="3">
        <f>IFERROR(__xludf.DUMMYFUNCTION("""COMPUTED_VALUE"""),41620.99861111111)</f>
        <v>41620.99861</v>
      </c>
      <c r="B1302" s="1">
        <f>IFERROR(__xludf.DUMMYFUNCTION("""COMPUTED_VALUE"""),10710.3074)</f>
        <v>10710.3074</v>
      </c>
    </row>
    <row r="1303">
      <c r="A1303" s="3">
        <f>IFERROR(__xludf.DUMMYFUNCTION("""COMPUTED_VALUE"""),41621.99861111111)</f>
        <v>41621.99861</v>
      </c>
      <c r="B1303" s="1">
        <f>IFERROR(__xludf.DUMMYFUNCTION("""COMPUTED_VALUE"""),10765.29811)</f>
        <v>10765.29811</v>
      </c>
    </row>
    <row r="1304">
      <c r="A1304" s="3">
        <f>IFERROR(__xludf.DUMMYFUNCTION("""COMPUTED_VALUE"""),41622.99861111111)</f>
        <v>41622.99861</v>
      </c>
      <c r="B1304" s="1">
        <f>IFERROR(__xludf.DUMMYFUNCTION("""COMPUTED_VALUE"""),10770.432)</f>
        <v>10770.432</v>
      </c>
    </row>
    <row r="1305">
      <c r="A1305" s="3">
        <f>IFERROR(__xludf.DUMMYFUNCTION("""COMPUTED_VALUE"""),41623.99861111111)</f>
        <v>41623.99861</v>
      </c>
      <c r="B1305" s="1">
        <f>IFERROR(__xludf.DUMMYFUNCTION("""COMPUTED_VALUE"""),10730.4588)</f>
        <v>10730.4588</v>
      </c>
    </row>
    <row r="1306">
      <c r="A1306" s="3">
        <f>IFERROR(__xludf.DUMMYFUNCTION("""COMPUTED_VALUE"""),41624.99861111111)</f>
        <v>41624.99861</v>
      </c>
      <c r="B1306" s="1">
        <f>IFERROR(__xludf.DUMMYFUNCTION("""COMPUTED_VALUE"""),10694.6196)</f>
        <v>10694.6196</v>
      </c>
    </row>
    <row r="1307">
      <c r="A1307" s="3">
        <f>IFERROR(__xludf.DUMMYFUNCTION("""COMPUTED_VALUE"""),41625.99861111111)</f>
        <v>41625.99861</v>
      </c>
      <c r="B1307" s="1">
        <f>IFERROR(__xludf.DUMMYFUNCTION("""COMPUTED_VALUE"""),10688.5296)</f>
        <v>10688.5296</v>
      </c>
    </row>
    <row r="1308">
      <c r="A1308" s="3">
        <f>IFERROR(__xludf.DUMMYFUNCTION("""COMPUTED_VALUE"""),41626.99861111111)</f>
        <v>41626.99861</v>
      </c>
      <c r="B1308" s="1">
        <f>IFERROR(__xludf.DUMMYFUNCTION("""COMPUTED_VALUE"""),10624.614)</f>
        <v>10624.614</v>
      </c>
    </row>
    <row r="1309">
      <c r="A1309" s="3">
        <f>IFERROR(__xludf.DUMMYFUNCTION("""COMPUTED_VALUE"""),41627.99861111111)</f>
        <v>41627.99861</v>
      </c>
      <c r="B1309" s="1">
        <f>IFERROR(__xludf.DUMMYFUNCTION("""COMPUTED_VALUE"""),10737.7598)</f>
        <v>10737.7598</v>
      </c>
    </row>
    <row r="1310">
      <c r="A1310" s="3">
        <f>IFERROR(__xludf.DUMMYFUNCTION("""COMPUTED_VALUE"""),41628.99861111111)</f>
        <v>41628.99861</v>
      </c>
      <c r="B1310" s="1">
        <f>IFERROR(__xludf.DUMMYFUNCTION("""COMPUTED_VALUE"""),10838.89611)</f>
        <v>10838.89611</v>
      </c>
    </row>
    <row r="1311">
      <c r="A1311" s="3">
        <f>IFERROR(__xludf.DUMMYFUNCTION("""COMPUTED_VALUE"""),41629.99861111111)</f>
        <v>41629.99861</v>
      </c>
      <c r="B1311" s="1">
        <f>IFERROR(__xludf.DUMMYFUNCTION("""COMPUTED_VALUE"""),10837.17365)</f>
        <v>10837.17365</v>
      </c>
    </row>
    <row r="1312">
      <c r="A1312" s="3">
        <f>IFERROR(__xludf.DUMMYFUNCTION("""COMPUTED_VALUE"""),41630.99861111111)</f>
        <v>41630.99861</v>
      </c>
      <c r="B1312" s="1">
        <f>IFERROR(__xludf.DUMMYFUNCTION("""COMPUTED_VALUE"""),10841.6913)</f>
        <v>10841.6913</v>
      </c>
    </row>
    <row r="1313">
      <c r="A1313" s="3">
        <f>IFERROR(__xludf.DUMMYFUNCTION("""COMPUTED_VALUE"""),41631.99861111111)</f>
        <v>41631.99861</v>
      </c>
      <c r="B1313" s="1">
        <f>IFERROR(__xludf.DUMMYFUNCTION("""COMPUTED_VALUE"""),10848.72864)</f>
        <v>10848.72864</v>
      </c>
    </row>
    <row r="1314">
      <c r="A1314" s="3">
        <f>IFERROR(__xludf.DUMMYFUNCTION("""COMPUTED_VALUE"""),41632.99861111111)</f>
        <v>41632.99861</v>
      </c>
      <c r="B1314" s="1">
        <f>IFERROR(__xludf.DUMMYFUNCTION("""COMPUTED_VALUE"""),10837.10932)</f>
        <v>10837.10932</v>
      </c>
    </row>
    <row r="1315">
      <c r="A1315" s="3">
        <f>IFERROR(__xludf.DUMMYFUNCTION("""COMPUTED_VALUE"""),41633.99861111111)</f>
        <v>41633.99861</v>
      </c>
      <c r="B1315" s="1">
        <f>IFERROR(__xludf.DUMMYFUNCTION("""COMPUTED_VALUE"""),10828.7272)</f>
        <v>10828.7272</v>
      </c>
    </row>
    <row r="1316">
      <c r="A1316" s="3">
        <f>IFERROR(__xludf.DUMMYFUNCTION("""COMPUTED_VALUE"""),41634.99861111111)</f>
        <v>41634.99861</v>
      </c>
      <c r="B1316" s="1">
        <f>IFERROR(__xludf.DUMMYFUNCTION("""COMPUTED_VALUE"""),10792.40468)</f>
        <v>10792.40468</v>
      </c>
    </row>
    <row r="1317">
      <c r="A1317" s="3">
        <f>IFERROR(__xludf.DUMMYFUNCTION("""COMPUTED_VALUE"""),41635.99861111111)</f>
        <v>41635.99861</v>
      </c>
      <c r="B1317" s="1">
        <f>IFERROR(__xludf.DUMMYFUNCTION("""COMPUTED_VALUE"""),10766.18998)</f>
        <v>10766.18998</v>
      </c>
    </row>
    <row r="1318">
      <c r="A1318" s="3">
        <f>IFERROR(__xludf.DUMMYFUNCTION("""COMPUTED_VALUE"""),41636.99861111111)</f>
        <v>41636.99861</v>
      </c>
      <c r="B1318" s="1">
        <f>IFERROR(__xludf.DUMMYFUNCTION("""COMPUTED_VALUE"""),10770.34502)</f>
        <v>10770.34502</v>
      </c>
    </row>
    <row r="1319">
      <c r="A1319" s="3">
        <f>IFERROR(__xludf.DUMMYFUNCTION("""COMPUTED_VALUE"""),41637.99861111111)</f>
        <v>41637.99861</v>
      </c>
      <c r="B1319" s="1">
        <f>IFERROR(__xludf.DUMMYFUNCTION("""COMPUTED_VALUE"""),10749.3126)</f>
        <v>10749.3126</v>
      </c>
    </row>
    <row r="1320">
      <c r="A1320" s="3">
        <f>IFERROR(__xludf.DUMMYFUNCTION("""COMPUTED_VALUE"""),41638.99861111111)</f>
        <v>41638.99861</v>
      </c>
      <c r="B1320" s="1">
        <f>IFERROR(__xludf.DUMMYFUNCTION("""COMPUTED_VALUE"""),10881.6008)</f>
        <v>10881.6008</v>
      </c>
    </row>
    <row r="1321">
      <c r="A1321" s="3">
        <f>IFERROR(__xludf.DUMMYFUNCTION("""COMPUTED_VALUE"""),41639.99861111111)</f>
        <v>41639.99861</v>
      </c>
      <c r="B1321" s="1">
        <f>IFERROR(__xludf.DUMMYFUNCTION("""COMPUTED_VALUE"""),10833.9938)</f>
        <v>10833.9938</v>
      </c>
    </row>
    <row r="1322">
      <c r="A1322" s="3">
        <f>IFERROR(__xludf.DUMMYFUNCTION("""COMPUTED_VALUE"""),41640.99861111111)</f>
        <v>41640.99861</v>
      </c>
      <c r="B1322" s="1">
        <f>IFERROR(__xludf.DUMMYFUNCTION("""COMPUTED_VALUE"""),10808.82674)</f>
        <v>10808.82674</v>
      </c>
    </row>
    <row r="1323">
      <c r="A1323" s="3">
        <f>IFERROR(__xludf.DUMMYFUNCTION("""COMPUTED_VALUE"""),41641.99861111111)</f>
        <v>41641.99861</v>
      </c>
      <c r="B1323" s="1">
        <f>IFERROR(__xludf.DUMMYFUNCTION("""COMPUTED_VALUE"""),10774.4106)</f>
        <v>10774.4106</v>
      </c>
    </row>
    <row r="1324">
      <c r="A1324" s="3">
        <f>IFERROR(__xludf.DUMMYFUNCTION("""COMPUTED_VALUE"""),41642.99861111111)</f>
        <v>41642.99861</v>
      </c>
      <c r="B1324" s="1">
        <f>IFERROR(__xludf.DUMMYFUNCTION("""COMPUTED_VALUE"""),10830.72708)</f>
        <v>10830.72708</v>
      </c>
    </row>
    <row r="1325">
      <c r="A1325" s="3">
        <f>IFERROR(__xludf.DUMMYFUNCTION("""COMPUTED_VALUE"""),41643.99861111111)</f>
        <v>41643.99861</v>
      </c>
      <c r="B1325" s="1">
        <f>IFERROR(__xludf.DUMMYFUNCTION("""COMPUTED_VALUE"""),10828.08043)</f>
        <v>10828.08043</v>
      </c>
    </row>
    <row r="1326">
      <c r="A1326" s="3">
        <f>IFERROR(__xludf.DUMMYFUNCTION("""COMPUTED_VALUE"""),41644.99861111111)</f>
        <v>41644.99861</v>
      </c>
      <c r="B1326" s="1">
        <f>IFERROR(__xludf.DUMMYFUNCTION("""COMPUTED_VALUE"""),10852.71536)</f>
        <v>10852.71536</v>
      </c>
    </row>
    <row r="1327">
      <c r="A1327" s="3">
        <f>IFERROR(__xludf.DUMMYFUNCTION("""COMPUTED_VALUE"""),41645.99861111111)</f>
        <v>41645.99861</v>
      </c>
      <c r="B1327" s="1">
        <f>IFERROR(__xludf.DUMMYFUNCTION("""COMPUTED_VALUE"""),10874.8079)</f>
        <v>10874.8079</v>
      </c>
    </row>
    <row r="1328">
      <c r="A1328" s="3">
        <f>IFERROR(__xludf.DUMMYFUNCTION("""COMPUTED_VALUE"""),41646.99861111111)</f>
        <v>41646.99861</v>
      </c>
      <c r="B1328" s="1">
        <f>IFERROR(__xludf.DUMMYFUNCTION("""COMPUTED_VALUE"""),10757.6366)</f>
        <v>10757.6366</v>
      </c>
    </row>
    <row r="1329">
      <c r="A1329" s="3">
        <f>IFERROR(__xludf.DUMMYFUNCTION("""COMPUTED_VALUE"""),41647.99861111111)</f>
        <v>41647.99861</v>
      </c>
      <c r="B1329" s="1">
        <f>IFERROR(__xludf.DUMMYFUNCTION("""COMPUTED_VALUE"""),10734.52068)</f>
        <v>10734.52068</v>
      </c>
    </row>
    <row r="1330">
      <c r="A1330" s="3">
        <f>IFERROR(__xludf.DUMMYFUNCTION("""COMPUTED_VALUE"""),41648.99861111111)</f>
        <v>41648.99861</v>
      </c>
      <c r="B1330" s="1">
        <f>IFERROR(__xludf.DUMMYFUNCTION("""COMPUTED_VALUE"""),10701.2608)</f>
        <v>10701.2608</v>
      </c>
    </row>
    <row r="1331">
      <c r="A1331" s="3">
        <f>IFERROR(__xludf.DUMMYFUNCTION("""COMPUTED_VALUE"""),41649.99861111111)</f>
        <v>41649.99861</v>
      </c>
      <c r="B1331" s="1">
        <f>IFERROR(__xludf.DUMMYFUNCTION("""COMPUTED_VALUE"""),10634.86032)</f>
        <v>10634.86032</v>
      </c>
    </row>
    <row r="1332">
      <c r="A1332" s="3">
        <f>IFERROR(__xludf.DUMMYFUNCTION("""COMPUTED_VALUE"""),41650.99861111111)</f>
        <v>41650.99861</v>
      </c>
      <c r="B1332" s="1">
        <f>IFERROR(__xludf.DUMMYFUNCTION("""COMPUTED_VALUE"""),10632.38683)</f>
        <v>10632.38683</v>
      </c>
    </row>
    <row r="1333">
      <c r="A1333" s="3">
        <f>IFERROR(__xludf.DUMMYFUNCTION("""COMPUTED_VALUE"""),41651.99861111111)</f>
        <v>41651.99861</v>
      </c>
      <c r="B1333" s="1">
        <f>IFERROR(__xludf.DUMMYFUNCTION("""COMPUTED_VALUE"""),10812.8966)</f>
        <v>10812.8966</v>
      </c>
    </row>
    <row r="1334">
      <c r="A1334" s="3">
        <f>IFERROR(__xludf.DUMMYFUNCTION("""COMPUTED_VALUE"""),41652.99861111111)</f>
        <v>41652.99861</v>
      </c>
      <c r="B1334" s="1">
        <f>IFERROR(__xludf.DUMMYFUNCTION("""COMPUTED_VALUE"""),10686.78888)</f>
        <v>10686.78888</v>
      </c>
    </row>
    <row r="1335">
      <c r="A1335" s="3">
        <f>IFERROR(__xludf.DUMMYFUNCTION("""COMPUTED_VALUE"""),41653.99861111111)</f>
        <v>41653.99861</v>
      </c>
      <c r="B1335" s="1">
        <f>IFERROR(__xludf.DUMMYFUNCTION("""COMPUTED_VALUE"""),10572.5159)</f>
        <v>10572.5159</v>
      </c>
    </row>
    <row r="1336">
      <c r="A1336" s="3">
        <f>IFERROR(__xludf.DUMMYFUNCTION("""COMPUTED_VALUE"""),41654.99861111111)</f>
        <v>41654.99861</v>
      </c>
      <c r="B1336" s="1">
        <f>IFERROR(__xludf.DUMMYFUNCTION("""COMPUTED_VALUE"""),10529.2856)</f>
        <v>10529.2856</v>
      </c>
    </row>
    <row r="1337">
      <c r="A1337" s="3">
        <f>IFERROR(__xludf.DUMMYFUNCTION("""COMPUTED_VALUE"""),41655.99861111111)</f>
        <v>41655.99861</v>
      </c>
      <c r="B1337" s="1">
        <f>IFERROR(__xludf.DUMMYFUNCTION("""COMPUTED_VALUE"""),10473.66406)</f>
        <v>10473.66406</v>
      </c>
    </row>
    <row r="1338">
      <c r="A1338" s="3">
        <f>IFERROR(__xludf.DUMMYFUNCTION("""COMPUTED_VALUE"""),41656.99861111111)</f>
        <v>41656.99861</v>
      </c>
      <c r="B1338" s="1">
        <f>IFERROR(__xludf.DUMMYFUNCTION("""COMPUTED_VALUE"""),10408.12234)</f>
        <v>10408.12234</v>
      </c>
    </row>
    <row r="1339">
      <c r="A1339" s="3">
        <f>IFERROR(__xludf.DUMMYFUNCTION("""COMPUTED_VALUE"""),41657.99861111111)</f>
        <v>41657.99861</v>
      </c>
      <c r="B1339" s="1">
        <f>IFERROR(__xludf.DUMMYFUNCTION("""COMPUTED_VALUE"""),10416.36465)</f>
        <v>10416.36465</v>
      </c>
    </row>
    <row r="1340">
      <c r="A1340" s="3">
        <f>IFERROR(__xludf.DUMMYFUNCTION("""COMPUTED_VALUE"""),41658.99861111111)</f>
        <v>41658.99861</v>
      </c>
      <c r="B1340" s="1">
        <f>IFERROR(__xludf.DUMMYFUNCTION("""COMPUTED_VALUE"""),10401.8376)</f>
        <v>10401.8376</v>
      </c>
    </row>
    <row r="1341">
      <c r="A1341" s="3">
        <f>IFERROR(__xludf.DUMMYFUNCTION("""COMPUTED_VALUE"""),41659.99861111111)</f>
        <v>41659.99861</v>
      </c>
      <c r="B1341" s="1">
        <f>IFERROR(__xludf.DUMMYFUNCTION("""COMPUTED_VALUE"""),10472.69116)</f>
        <v>10472.69116</v>
      </c>
    </row>
    <row r="1342">
      <c r="A1342" s="3">
        <f>IFERROR(__xludf.DUMMYFUNCTION("""COMPUTED_VALUE"""),41660.99861111111)</f>
        <v>41660.99861</v>
      </c>
      <c r="B1342" s="1">
        <f>IFERROR(__xludf.DUMMYFUNCTION("""COMPUTED_VALUE"""),10623.0034)</f>
        <v>10623.0034</v>
      </c>
    </row>
    <row r="1343">
      <c r="A1343" s="3">
        <f>IFERROR(__xludf.DUMMYFUNCTION("""COMPUTED_VALUE"""),41661.99861111111)</f>
        <v>41661.99861</v>
      </c>
      <c r="B1343" s="1">
        <f>IFERROR(__xludf.DUMMYFUNCTION("""COMPUTED_VALUE"""),10657.5836)</f>
        <v>10657.5836</v>
      </c>
    </row>
    <row r="1344">
      <c r="A1344" s="3">
        <f>IFERROR(__xludf.DUMMYFUNCTION("""COMPUTED_VALUE"""),41662.99861111111)</f>
        <v>41662.99861</v>
      </c>
      <c r="B1344" s="1">
        <f>IFERROR(__xludf.DUMMYFUNCTION("""COMPUTED_VALUE"""),10591.0494)</f>
        <v>10591.0494</v>
      </c>
    </row>
    <row r="1345">
      <c r="A1345" s="3">
        <f>IFERROR(__xludf.DUMMYFUNCTION("""COMPUTED_VALUE"""),41663.99861111111)</f>
        <v>41663.99861</v>
      </c>
      <c r="B1345" s="1">
        <f>IFERROR(__xludf.DUMMYFUNCTION("""COMPUTED_VALUE"""),10529.02521)</f>
        <v>10529.02521</v>
      </c>
    </row>
    <row r="1346">
      <c r="A1346" s="3">
        <f>IFERROR(__xludf.DUMMYFUNCTION("""COMPUTED_VALUE"""),41664.99861111111)</f>
        <v>41664.99861</v>
      </c>
      <c r="B1346" s="1">
        <f>IFERROR(__xludf.DUMMYFUNCTION("""COMPUTED_VALUE"""),10536.40574)</f>
        <v>10536.40574</v>
      </c>
    </row>
    <row r="1347">
      <c r="A1347" s="3">
        <f>IFERROR(__xludf.DUMMYFUNCTION("""COMPUTED_VALUE"""),41665.99861111111)</f>
        <v>41665.99861</v>
      </c>
      <c r="B1347" s="1">
        <f>IFERROR(__xludf.DUMMYFUNCTION("""COMPUTED_VALUE"""),10548.0646)</f>
        <v>10548.0646</v>
      </c>
    </row>
    <row r="1348">
      <c r="A1348" s="3">
        <f>IFERROR(__xludf.DUMMYFUNCTION("""COMPUTED_VALUE"""),41666.99861111111)</f>
        <v>41666.99861</v>
      </c>
      <c r="B1348" s="1">
        <f>IFERROR(__xludf.DUMMYFUNCTION("""COMPUTED_VALUE"""),10643.1022)</f>
        <v>10643.1022</v>
      </c>
    </row>
    <row r="1349">
      <c r="A1349" s="3">
        <f>IFERROR(__xludf.DUMMYFUNCTION("""COMPUTED_VALUE"""),41667.99861111111)</f>
        <v>41667.99861</v>
      </c>
      <c r="B1349" s="1">
        <f>IFERROR(__xludf.DUMMYFUNCTION("""COMPUTED_VALUE"""),10627.3284)</f>
        <v>10627.3284</v>
      </c>
    </row>
    <row r="1350">
      <c r="A1350" s="3">
        <f>IFERROR(__xludf.DUMMYFUNCTION("""COMPUTED_VALUE"""),41668.99861111111)</f>
        <v>41668.99861</v>
      </c>
      <c r="B1350" s="1">
        <f>IFERROR(__xludf.DUMMYFUNCTION("""COMPUTED_VALUE"""),10571.04846)</f>
        <v>10571.04846</v>
      </c>
    </row>
    <row r="1351">
      <c r="A1351" s="3">
        <f>IFERROR(__xludf.DUMMYFUNCTION("""COMPUTED_VALUE"""),41669.99861111111)</f>
        <v>41669.99861</v>
      </c>
      <c r="B1351" s="1">
        <f>IFERROR(__xludf.DUMMYFUNCTION("""COMPUTED_VALUE"""),10687.0543)</f>
        <v>10687.0543</v>
      </c>
    </row>
    <row r="1352">
      <c r="A1352" s="3">
        <f>IFERROR(__xludf.DUMMYFUNCTION("""COMPUTED_VALUE"""),41670.99861111111)</f>
        <v>41670.99861</v>
      </c>
      <c r="B1352" s="1">
        <f>IFERROR(__xludf.DUMMYFUNCTION("""COMPUTED_VALUE"""),10636.2315)</f>
        <v>10636.2315</v>
      </c>
    </row>
    <row r="1353">
      <c r="A1353" s="3">
        <f>IFERROR(__xludf.DUMMYFUNCTION("""COMPUTED_VALUE"""),41671.99861111111)</f>
        <v>41671.99861</v>
      </c>
      <c r="B1353" s="1">
        <f>IFERROR(__xludf.DUMMYFUNCTION("""COMPUTED_VALUE"""),10661.38157)</f>
        <v>10661.38157</v>
      </c>
    </row>
    <row r="1354">
      <c r="A1354" s="3">
        <f>IFERROR(__xludf.DUMMYFUNCTION("""COMPUTED_VALUE"""),41672.99861111111)</f>
        <v>41672.99861</v>
      </c>
      <c r="B1354" s="1">
        <f>IFERROR(__xludf.DUMMYFUNCTION("""COMPUTED_VALUE"""),10632.465)</f>
        <v>10632.465</v>
      </c>
    </row>
    <row r="1355">
      <c r="A1355" s="3">
        <f>IFERROR(__xludf.DUMMYFUNCTION("""COMPUTED_VALUE"""),41673.99861111111)</f>
        <v>41673.99861</v>
      </c>
      <c r="B1355" s="1">
        <f>IFERROR(__xludf.DUMMYFUNCTION("""COMPUTED_VALUE"""),10574.84478)</f>
        <v>10574.84478</v>
      </c>
    </row>
    <row r="1356">
      <c r="A1356" s="3">
        <f>IFERROR(__xludf.DUMMYFUNCTION("""COMPUTED_VALUE"""),41674.99861111111)</f>
        <v>41674.99861</v>
      </c>
      <c r="B1356" s="1">
        <f>IFERROR(__xludf.DUMMYFUNCTION("""COMPUTED_VALUE"""),10677.4672)</f>
        <v>10677.4672</v>
      </c>
    </row>
    <row r="1357">
      <c r="A1357" s="3">
        <f>IFERROR(__xludf.DUMMYFUNCTION("""COMPUTED_VALUE"""),41675.99861111111)</f>
        <v>41675.99861</v>
      </c>
      <c r="B1357" s="1">
        <f>IFERROR(__xludf.DUMMYFUNCTION("""COMPUTED_VALUE"""),10732.658)</f>
        <v>10732.658</v>
      </c>
    </row>
    <row r="1358">
      <c r="A1358" s="3">
        <f>IFERROR(__xludf.DUMMYFUNCTION("""COMPUTED_VALUE"""),41676.99861111111)</f>
        <v>41676.99861</v>
      </c>
      <c r="B1358" s="1">
        <f>IFERROR(__xludf.DUMMYFUNCTION("""COMPUTED_VALUE"""),10682.5986)</f>
        <v>10682.5986</v>
      </c>
    </row>
    <row r="1359">
      <c r="A1359" s="3">
        <f>IFERROR(__xludf.DUMMYFUNCTION("""COMPUTED_VALUE"""),41677.99861111111)</f>
        <v>41677.99861</v>
      </c>
      <c r="B1359" s="1">
        <f>IFERROR(__xludf.DUMMYFUNCTION("""COMPUTED_VALUE"""),10747.37554)</f>
        <v>10747.37554</v>
      </c>
    </row>
    <row r="1360">
      <c r="A1360" s="3">
        <f>IFERROR(__xludf.DUMMYFUNCTION("""COMPUTED_VALUE"""),41678.99861111111)</f>
        <v>41678.99861</v>
      </c>
      <c r="B1360" s="1">
        <f>IFERROR(__xludf.DUMMYFUNCTION("""COMPUTED_VALUE"""),10763.22046)</f>
        <v>10763.22046</v>
      </c>
    </row>
    <row r="1361">
      <c r="A1361" s="3">
        <f>IFERROR(__xludf.DUMMYFUNCTION("""COMPUTED_VALUE"""),41679.99861111111)</f>
        <v>41679.99861</v>
      </c>
      <c r="B1361" s="1">
        <f>IFERROR(__xludf.DUMMYFUNCTION("""COMPUTED_VALUE"""),10733.21436)</f>
        <v>10733.21436</v>
      </c>
    </row>
    <row r="1362">
      <c r="A1362" s="3">
        <f>IFERROR(__xludf.DUMMYFUNCTION("""COMPUTED_VALUE"""),41680.99861111111)</f>
        <v>41680.99861</v>
      </c>
      <c r="B1362" s="1">
        <f>IFERROR(__xludf.DUMMYFUNCTION("""COMPUTED_VALUE"""),10754.8518)</f>
        <v>10754.8518</v>
      </c>
    </row>
    <row r="1363">
      <c r="A1363" s="3">
        <f>IFERROR(__xludf.DUMMYFUNCTION("""COMPUTED_VALUE"""),41681.99861111111)</f>
        <v>41681.99861</v>
      </c>
      <c r="B1363" s="1">
        <f>IFERROR(__xludf.DUMMYFUNCTION("""COMPUTED_VALUE"""),10813.781)</f>
        <v>10813.781</v>
      </c>
    </row>
    <row r="1364">
      <c r="A1364" s="3">
        <f>IFERROR(__xludf.DUMMYFUNCTION("""COMPUTED_VALUE"""),41682.99861111111)</f>
        <v>41682.99861</v>
      </c>
      <c r="B1364" s="1">
        <f>IFERROR(__xludf.DUMMYFUNCTION("""COMPUTED_VALUE"""),10761.88131)</f>
        <v>10761.88131</v>
      </c>
    </row>
    <row r="1365">
      <c r="A1365" s="3">
        <f>IFERROR(__xludf.DUMMYFUNCTION("""COMPUTED_VALUE"""),41683.99861111111)</f>
        <v>41683.99861</v>
      </c>
      <c r="B1365" s="1">
        <f>IFERROR(__xludf.DUMMYFUNCTION("""COMPUTED_VALUE"""),10664.648)</f>
        <v>10664.648</v>
      </c>
    </row>
    <row r="1366">
      <c r="A1366" s="3">
        <f>IFERROR(__xludf.DUMMYFUNCTION("""COMPUTED_VALUE"""),41684.99861111111)</f>
        <v>41684.99861</v>
      </c>
      <c r="B1366" s="1">
        <f>IFERROR(__xludf.DUMMYFUNCTION("""COMPUTED_VALUE"""),10477.78074)</f>
        <v>10477.78074</v>
      </c>
    </row>
    <row r="1367">
      <c r="A1367" s="3">
        <f>IFERROR(__xludf.DUMMYFUNCTION("""COMPUTED_VALUE"""),41685.99861111111)</f>
        <v>41685.99861</v>
      </c>
      <c r="B1367" s="1">
        <f>IFERROR(__xludf.DUMMYFUNCTION("""COMPUTED_VALUE"""),10501.15649)</f>
        <v>10501.15649</v>
      </c>
    </row>
    <row r="1368">
      <c r="A1368" s="3">
        <f>IFERROR(__xludf.DUMMYFUNCTION("""COMPUTED_VALUE"""),41686.99861111111)</f>
        <v>41686.99861</v>
      </c>
      <c r="B1368" s="1">
        <f>IFERROR(__xludf.DUMMYFUNCTION("""COMPUTED_VALUE"""),10579.3358)</f>
        <v>10579.3358</v>
      </c>
    </row>
    <row r="1369">
      <c r="A1369" s="3">
        <f>IFERROR(__xludf.DUMMYFUNCTION("""COMPUTED_VALUE"""),41687.99861111111)</f>
        <v>41687.99861</v>
      </c>
      <c r="B1369" s="1">
        <f>IFERROR(__xludf.DUMMYFUNCTION("""COMPUTED_VALUE"""),10513.2609)</f>
        <v>10513.2609</v>
      </c>
    </row>
    <row r="1370">
      <c r="A1370" s="3">
        <f>IFERROR(__xludf.DUMMYFUNCTION("""COMPUTED_VALUE"""),41688.99861111111)</f>
        <v>41688.99861</v>
      </c>
      <c r="B1370" s="1">
        <f>IFERROR(__xludf.DUMMYFUNCTION("""COMPUTED_VALUE"""),10678.2592)</f>
        <v>10678.2592</v>
      </c>
    </row>
    <row r="1371">
      <c r="A1371" s="3">
        <f>IFERROR(__xludf.DUMMYFUNCTION("""COMPUTED_VALUE"""),41689.99861111111)</f>
        <v>41689.99861</v>
      </c>
      <c r="B1371" s="1">
        <f>IFERROR(__xludf.DUMMYFUNCTION("""COMPUTED_VALUE"""),10501.5658)</f>
        <v>10501.5658</v>
      </c>
    </row>
    <row r="1372">
      <c r="A1372" s="3">
        <f>IFERROR(__xludf.DUMMYFUNCTION("""COMPUTED_VALUE"""),41690.99861111111)</f>
        <v>41690.99861</v>
      </c>
      <c r="B1372" s="1">
        <f>IFERROR(__xludf.DUMMYFUNCTION("""COMPUTED_VALUE"""),10593.83836)</f>
        <v>10593.83836</v>
      </c>
    </row>
    <row r="1373">
      <c r="A1373" s="3">
        <f>IFERROR(__xludf.DUMMYFUNCTION("""COMPUTED_VALUE"""),41691.99861111111)</f>
        <v>41691.99861</v>
      </c>
      <c r="B1373" s="1">
        <f>IFERROR(__xludf.DUMMYFUNCTION("""COMPUTED_VALUE"""),10482.99664)</f>
        <v>10482.99664</v>
      </c>
    </row>
    <row r="1374">
      <c r="A1374" s="3">
        <f>IFERROR(__xludf.DUMMYFUNCTION("""COMPUTED_VALUE"""),41692.99861111111)</f>
        <v>41692.99861</v>
      </c>
      <c r="B1374" s="1">
        <f>IFERROR(__xludf.DUMMYFUNCTION("""COMPUTED_VALUE"""),10497.07025)</f>
        <v>10497.07025</v>
      </c>
    </row>
    <row r="1375">
      <c r="A1375" s="3">
        <f>IFERROR(__xludf.DUMMYFUNCTION("""COMPUTED_VALUE"""),41693.99861111111)</f>
        <v>41693.99861</v>
      </c>
      <c r="B1375" s="1">
        <f>IFERROR(__xludf.DUMMYFUNCTION("""COMPUTED_VALUE"""),10484.8656)</f>
        <v>10484.8656</v>
      </c>
    </row>
    <row r="1376">
      <c r="A1376" s="3">
        <f>IFERROR(__xludf.DUMMYFUNCTION("""COMPUTED_VALUE"""),41694.99861111111)</f>
        <v>41694.99861</v>
      </c>
      <c r="B1376" s="1">
        <f>IFERROR(__xludf.DUMMYFUNCTION("""COMPUTED_VALUE"""),10460.30512)</f>
        <v>10460.30512</v>
      </c>
    </row>
    <row r="1377">
      <c r="A1377" s="3">
        <f>IFERROR(__xludf.DUMMYFUNCTION("""COMPUTED_VALUE"""),41695.99861111111)</f>
        <v>41695.99861</v>
      </c>
      <c r="B1377" s="1">
        <f>IFERROR(__xludf.DUMMYFUNCTION("""COMPUTED_VALUE"""),10467.296)</f>
        <v>10467.296</v>
      </c>
    </row>
    <row r="1378">
      <c r="A1378" s="3">
        <f>IFERROR(__xludf.DUMMYFUNCTION("""COMPUTED_VALUE"""),41696.99861111111)</f>
        <v>41696.99861</v>
      </c>
      <c r="B1378" s="1">
        <f>IFERROR(__xludf.DUMMYFUNCTION("""COMPUTED_VALUE"""),10455.18586)</f>
        <v>10455.18586</v>
      </c>
    </row>
    <row r="1379">
      <c r="A1379" s="3">
        <f>IFERROR(__xludf.DUMMYFUNCTION("""COMPUTED_VALUE"""),41697.99861111111)</f>
        <v>41697.99861</v>
      </c>
      <c r="B1379" s="1">
        <f>IFERROR(__xludf.DUMMYFUNCTION("""COMPUTED_VALUE"""),10391.82777)</f>
        <v>10391.82777</v>
      </c>
    </row>
    <row r="1380">
      <c r="A1380" s="3">
        <f>IFERROR(__xludf.DUMMYFUNCTION("""COMPUTED_VALUE"""),41698.99861111111)</f>
        <v>41698.99861</v>
      </c>
      <c r="B1380" s="1">
        <f>IFERROR(__xludf.DUMMYFUNCTION("""COMPUTED_VALUE"""),10322.20887)</f>
        <v>10322.20887</v>
      </c>
    </row>
    <row r="1381">
      <c r="A1381" s="3">
        <f>IFERROR(__xludf.DUMMYFUNCTION("""COMPUTED_VALUE"""),41699.99861111111)</f>
        <v>41699.99861</v>
      </c>
      <c r="B1381" s="1">
        <f>IFERROR(__xludf.DUMMYFUNCTION("""COMPUTED_VALUE"""),10344.14339)</f>
        <v>10344.14339</v>
      </c>
    </row>
    <row r="1382">
      <c r="A1382" s="3">
        <f>IFERROR(__xludf.DUMMYFUNCTION("""COMPUTED_VALUE"""),41700.99861111111)</f>
        <v>41700.99861</v>
      </c>
      <c r="B1382" s="1">
        <f>IFERROR(__xludf.DUMMYFUNCTION("""COMPUTED_VALUE"""),10295.2531)</f>
        <v>10295.2531</v>
      </c>
    </row>
    <row r="1383">
      <c r="A1383" s="3">
        <f>IFERROR(__xludf.DUMMYFUNCTION("""COMPUTED_VALUE"""),41701.99861111111)</f>
        <v>41701.99861</v>
      </c>
      <c r="B1383" s="1">
        <f>IFERROR(__xludf.DUMMYFUNCTION("""COMPUTED_VALUE"""),10401.8144)</f>
        <v>10401.8144</v>
      </c>
    </row>
    <row r="1384">
      <c r="A1384" s="3">
        <f>IFERROR(__xludf.DUMMYFUNCTION("""COMPUTED_VALUE"""),41702.99861111111)</f>
        <v>41702.99861</v>
      </c>
      <c r="B1384" s="1">
        <f>IFERROR(__xludf.DUMMYFUNCTION("""COMPUTED_VALUE"""),10350.4134)</f>
        <v>10350.4134</v>
      </c>
    </row>
    <row r="1385">
      <c r="A1385" s="3">
        <f>IFERROR(__xludf.DUMMYFUNCTION("""COMPUTED_VALUE"""),41703.99861111111)</f>
        <v>41703.99861</v>
      </c>
      <c r="B1385" s="1">
        <f>IFERROR(__xludf.DUMMYFUNCTION("""COMPUTED_VALUE"""),10385.43534)</f>
        <v>10385.43534</v>
      </c>
    </row>
    <row r="1386">
      <c r="A1386" s="3">
        <f>IFERROR(__xludf.DUMMYFUNCTION("""COMPUTED_VALUE"""),41704.99861111111)</f>
        <v>41704.99861</v>
      </c>
      <c r="B1386" s="1">
        <f>IFERROR(__xludf.DUMMYFUNCTION("""COMPUTED_VALUE"""),10387.664)</f>
        <v>10387.664</v>
      </c>
    </row>
    <row r="1387">
      <c r="A1387" s="3">
        <f>IFERROR(__xludf.DUMMYFUNCTION("""COMPUTED_VALUE"""),41705.99861111111)</f>
        <v>41705.99861</v>
      </c>
      <c r="B1387" s="1">
        <f>IFERROR(__xludf.DUMMYFUNCTION("""COMPUTED_VALUE"""),10315.716)</f>
        <v>10315.716</v>
      </c>
    </row>
    <row r="1388">
      <c r="A1388" s="3">
        <f>IFERROR(__xludf.DUMMYFUNCTION("""COMPUTED_VALUE"""),41706.99861111111)</f>
        <v>41706.99861</v>
      </c>
      <c r="B1388" s="1">
        <f>IFERROR(__xludf.DUMMYFUNCTION("""COMPUTED_VALUE"""),10339.787)</f>
        <v>10339.787</v>
      </c>
    </row>
    <row r="1389">
      <c r="A1389" s="3">
        <f>IFERROR(__xludf.DUMMYFUNCTION("""COMPUTED_VALUE"""),41707.99861111111)</f>
        <v>41707.99861</v>
      </c>
      <c r="B1389" s="1">
        <f>IFERROR(__xludf.DUMMYFUNCTION("""COMPUTED_VALUE"""),10308.8844)</f>
        <v>10308.8844</v>
      </c>
    </row>
    <row r="1390">
      <c r="A1390" s="3">
        <f>IFERROR(__xludf.DUMMYFUNCTION("""COMPUTED_VALUE"""),41708.99861111111)</f>
        <v>41708.99861</v>
      </c>
      <c r="B1390" s="1">
        <f>IFERROR(__xludf.DUMMYFUNCTION("""COMPUTED_VALUE"""),10314.0891)</f>
        <v>10314.0891</v>
      </c>
    </row>
    <row r="1391">
      <c r="A1391" s="3">
        <f>IFERROR(__xludf.DUMMYFUNCTION("""COMPUTED_VALUE"""),41709.99861111111)</f>
        <v>41709.99861</v>
      </c>
      <c r="B1391" s="1">
        <f>IFERROR(__xludf.DUMMYFUNCTION("""COMPUTED_VALUE"""),10291.82335)</f>
        <v>10291.82335</v>
      </c>
    </row>
    <row r="1392">
      <c r="A1392" s="3">
        <f>IFERROR(__xludf.DUMMYFUNCTION("""COMPUTED_VALUE"""),41710.99861111111)</f>
        <v>41710.99861</v>
      </c>
      <c r="B1392" s="1">
        <f>IFERROR(__xludf.DUMMYFUNCTION("""COMPUTED_VALUE"""),10284.639)</f>
        <v>10284.639</v>
      </c>
    </row>
    <row r="1393">
      <c r="A1393" s="3">
        <f>IFERROR(__xludf.DUMMYFUNCTION("""COMPUTED_VALUE"""),41711.99861111111)</f>
        <v>41711.99861</v>
      </c>
      <c r="B1393" s="1">
        <f>IFERROR(__xludf.DUMMYFUNCTION("""COMPUTED_VALUE"""),10306.88145)</f>
        <v>10306.88145</v>
      </c>
    </row>
    <row r="1394">
      <c r="A1394" s="3">
        <f>IFERROR(__xludf.DUMMYFUNCTION("""COMPUTED_VALUE"""),41712.99861111111)</f>
        <v>41712.99861</v>
      </c>
      <c r="B1394" s="1">
        <f>IFERROR(__xludf.DUMMYFUNCTION("""COMPUTED_VALUE"""),10199.83616)</f>
        <v>10199.83616</v>
      </c>
    </row>
    <row r="1395">
      <c r="A1395" s="3">
        <f>IFERROR(__xludf.DUMMYFUNCTION("""COMPUTED_VALUE"""),41713.99861111111)</f>
        <v>41713.99861</v>
      </c>
      <c r="B1395" s="1">
        <f>IFERROR(__xludf.DUMMYFUNCTION("""COMPUTED_VALUE"""),10214.92563)</f>
        <v>10214.92563</v>
      </c>
    </row>
    <row r="1396">
      <c r="A1396" s="3">
        <f>IFERROR(__xludf.DUMMYFUNCTION("""COMPUTED_VALUE"""),41714.99861111111)</f>
        <v>41714.99861</v>
      </c>
      <c r="B1396" s="1">
        <f>IFERROR(__xludf.DUMMYFUNCTION("""COMPUTED_VALUE"""),10194.75296)</f>
        <v>10194.75296</v>
      </c>
    </row>
    <row r="1397">
      <c r="A1397" s="3">
        <f>IFERROR(__xludf.DUMMYFUNCTION("""COMPUTED_VALUE"""),41715.99861111111)</f>
        <v>41715.99861</v>
      </c>
      <c r="B1397" s="1">
        <f>IFERROR(__xludf.DUMMYFUNCTION("""COMPUTED_VALUE"""),10250.28378)</f>
        <v>10250.28378</v>
      </c>
    </row>
    <row r="1398">
      <c r="A1398" s="3">
        <f>IFERROR(__xludf.DUMMYFUNCTION("""COMPUTED_VALUE"""),41716.99861111111)</f>
        <v>41716.99861</v>
      </c>
      <c r="B1398" s="1">
        <f>IFERROR(__xludf.DUMMYFUNCTION("""COMPUTED_VALUE"""),10344.255)</f>
        <v>10344.255</v>
      </c>
    </row>
    <row r="1399">
      <c r="A1399" s="3">
        <f>IFERROR(__xludf.DUMMYFUNCTION("""COMPUTED_VALUE"""),41717.99861111111)</f>
        <v>41717.99861</v>
      </c>
      <c r="B1399" s="1">
        <f>IFERROR(__xludf.DUMMYFUNCTION("""COMPUTED_VALUE"""),10210.668)</f>
        <v>10210.668</v>
      </c>
    </row>
    <row r="1400">
      <c r="A1400" s="3">
        <f>IFERROR(__xludf.DUMMYFUNCTION("""COMPUTED_VALUE"""),41718.99861111111)</f>
        <v>41718.99861</v>
      </c>
      <c r="B1400" s="1">
        <f>IFERROR(__xludf.DUMMYFUNCTION("""COMPUTED_VALUE"""),10332.666)</f>
        <v>10332.666</v>
      </c>
    </row>
    <row r="1401">
      <c r="A1401" s="3">
        <f>IFERROR(__xludf.DUMMYFUNCTION("""COMPUTED_VALUE"""),41719.99861111111)</f>
        <v>41719.99861</v>
      </c>
      <c r="B1401" s="1">
        <f>IFERROR(__xludf.DUMMYFUNCTION("""COMPUTED_VALUE"""),10353.2481)</f>
        <v>10353.2481</v>
      </c>
    </row>
    <row r="1402">
      <c r="A1402" s="3">
        <f>IFERROR(__xludf.DUMMYFUNCTION("""COMPUTED_VALUE"""),41720.99861111111)</f>
        <v>41720.99861</v>
      </c>
      <c r="B1402" s="1">
        <f>IFERROR(__xludf.DUMMYFUNCTION("""COMPUTED_VALUE"""),10367.57526)</f>
        <v>10367.57526</v>
      </c>
    </row>
    <row r="1403">
      <c r="A1403" s="3">
        <f>IFERROR(__xludf.DUMMYFUNCTION("""COMPUTED_VALUE"""),41721.99861111111)</f>
        <v>41721.99861</v>
      </c>
      <c r="B1403" s="1">
        <f>IFERROR(__xludf.DUMMYFUNCTION("""COMPUTED_VALUE"""),10366.70128)</f>
        <v>10366.70128</v>
      </c>
    </row>
    <row r="1404">
      <c r="A1404" s="3">
        <f>IFERROR(__xludf.DUMMYFUNCTION("""COMPUTED_VALUE"""),41722.99861111111)</f>
        <v>41722.99861</v>
      </c>
      <c r="B1404" s="1">
        <f>IFERROR(__xludf.DUMMYFUNCTION("""COMPUTED_VALUE"""),10371.4569)</f>
        <v>10371.4569</v>
      </c>
    </row>
    <row r="1405">
      <c r="A1405" s="3">
        <f>IFERROR(__xludf.DUMMYFUNCTION("""COMPUTED_VALUE"""),41723.99861111111)</f>
        <v>41723.99861</v>
      </c>
      <c r="B1405" s="1">
        <f>IFERROR(__xludf.DUMMYFUNCTION("""COMPUTED_VALUE"""),10422.7198)</f>
        <v>10422.7198</v>
      </c>
    </row>
    <row r="1406">
      <c r="A1406" s="3">
        <f>IFERROR(__xludf.DUMMYFUNCTION("""COMPUTED_VALUE"""),41724.99861111111)</f>
        <v>41724.99861</v>
      </c>
      <c r="B1406" s="1">
        <f>IFERROR(__xludf.DUMMYFUNCTION("""COMPUTED_VALUE"""),10537.69555)</f>
        <v>10537.69555</v>
      </c>
    </row>
    <row r="1407">
      <c r="A1407" s="3">
        <f>IFERROR(__xludf.DUMMYFUNCTION("""COMPUTED_VALUE"""),41725.99861111111)</f>
        <v>41725.99861</v>
      </c>
      <c r="B1407" s="1">
        <f>IFERROR(__xludf.DUMMYFUNCTION("""COMPUTED_VALUE"""),10535.84694)</f>
        <v>10535.84694</v>
      </c>
    </row>
    <row r="1408">
      <c r="A1408" s="3">
        <f>IFERROR(__xludf.DUMMYFUNCTION("""COMPUTED_VALUE"""),41726.99861111111)</f>
        <v>41726.99861</v>
      </c>
      <c r="B1408" s="1">
        <f>IFERROR(__xludf.DUMMYFUNCTION("""COMPUTED_VALUE"""),10454.1857)</f>
        <v>10454.1857</v>
      </c>
    </row>
    <row r="1409">
      <c r="A1409" s="3">
        <f>IFERROR(__xludf.DUMMYFUNCTION("""COMPUTED_VALUE"""),41727.99861111111)</f>
        <v>41727.99861</v>
      </c>
      <c r="B1409" s="1">
        <f>IFERROR(__xludf.DUMMYFUNCTION("""COMPUTED_VALUE"""),10472.24599)</f>
        <v>10472.24599</v>
      </c>
    </row>
    <row r="1410">
      <c r="A1410" s="3">
        <f>IFERROR(__xludf.DUMMYFUNCTION("""COMPUTED_VALUE"""),41728.99861111111)</f>
        <v>41728.99861</v>
      </c>
      <c r="B1410" s="1">
        <f>IFERROR(__xludf.DUMMYFUNCTION("""COMPUTED_VALUE"""),10458.14245)</f>
        <v>10458.14245</v>
      </c>
    </row>
    <row r="1411">
      <c r="A1411" s="3">
        <f>IFERROR(__xludf.DUMMYFUNCTION("""COMPUTED_VALUE"""),41729.99861111111)</f>
        <v>41729.99861</v>
      </c>
      <c r="B1411" s="1">
        <f>IFERROR(__xludf.DUMMYFUNCTION("""COMPUTED_VALUE"""),10433.385)</f>
        <v>10433.385</v>
      </c>
    </row>
    <row r="1412">
      <c r="A1412" s="3">
        <f>IFERROR(__xludf.DUMMYFUNCTION("""COMPUTED_VALUE"""),41730.99861111111)</f>
        <v>41730.99861</v>
      </c>
      <c r="B1412" s="1">
        <f>IFERROR(__xludf.DUMMYFUNCTION("""COMPUTED_VALUE"""),10405.43166)</f>
        <v>10405.43166</v>
      </c>
    </row>
    <row r="1413">
      <c r="A1413" s="3">
        <f>IFERROR(__xludf.DUMMYFUNCTION("""COMPUTED_VALUE"""),41731.99861111111)</f>
        <v>41731.99861</v>
      </c>
      <c r="B1413" s="1">
        <f>IFERROR(__xludf.DUMMYFUNCTION("""COMPUTED_VALUE"""),10421.4825)</f>
        <v>10421.4825</v>
      </c>
    </row>
    <row r="1414">
      <c r="A1414" s="3">
        <f>IFERROR(__xludf.DUMMYFUNCTION("""COMPUTED_VALUE"""),41732.99861111111)</f>
        <v>41732.99861</v>
      </c>
      <c r="B1414" s="1">
        <f>IFERROR(__xludf.DUMMYFUNCTION("""COMPUTED_VALUE"""),10462.205)</f>
        <v>10462.205</v>
      </c>
    </row>
    <row r="1415">
      <c r="A1415" s="3">
        <f>IFERROR(__xludf.DUMMYFUNCTION("""COMPUTED_VALUE"""),41733.99861111111)</f>
        <v>41733.99861</v>
      </c>
      <c r="B1415" s="1">
        <f>IFERROR(__xludf.DUMMYFUNCTION("""COMPUTED_VALUE"""),10501.9005)</f>
        <v>10501.9005</v>
      </c>
    </row>
    <row r="1416">
      <c r="A1416" s="3">
        <f>IFERROR(__xludf.DUMMYFUNCTION("""COMPUTED_VALUE"""),41734.99861111111)</f>
        <v>41734.99861</v>
      </c>
      <c r="B1416" s="1">
        <f>IFERROR(__xludf.DUMMYFUNCTION("""COMPUTED_VALUE"""),10523.20858)</f>
        <v>10523.20858</v>
      </c>
    </row>
    <row r="1417">
      <c r="A1417" s="3">
        <f>IFERROR(__xludf.DUMMYFUNCTION("""COMPUTED_VALUE"""),41735.99861111111)</f>
        <v>41735.99861</v>
      </c>
      <c r="B1417" s="1">
        <f>IFERROR(__xludf.DUMMYFUNCTION("""COMPUTED_VALUE"""),10502.466)</f>
        <v>10502.466</v>
      </c>
    </row>
    <row r="1418">
      <c r="A1418" s="3">
        <f>IFERROR(__xludf.DUMMYFUNCTION("""COMPUTED_VALUE"""),41736.99861111111)</f>
        <v>41736.99861</v>
      </c>
      <c r="B1418" s="1">
        <f>IFERROR(__xludf.DUMMYFUNCTION("""COMPUTED_VALUE"""),10462.5585)</f>
        <v>10462.5585</v>
      </c>
    </row>
    <row r="1419">
      <c r="A1419" s="3">
        <f>IFERROR(__xludf.DUMMYFUNCTION("""COMPUTED_VALUE"""),41737.99861111111)</f>
        <v>41737.99861</v>
      </c>
      <c r="B1419" s="1">
        <f>IFERROR(__xludf.DUMMYFUNCTION("""COMPUTED_VALUE"""),10525.9606)</f>
        <v>10525.9606</v>
      </c>
    </row>
    <row r="1420">
      <c r="A1420" s="3">
        <f>IFERROR(__xludf.DUMMYFUNCTION("""COMPUTED_VALUE"""),41738.99861111111)</f>
        <v>41738.99861</v>
      </c>
      <c r="B1420" s="1">
        <f>IFERROR(__xludf.DUMMYFUNCTION("""COMPUTED_VALUE"""),10565.625)</f>
        <v>10565.625</v>
      </c>
    </row>
    <row r="1421">
      <c r="A1421" s="3">
        <f>IFERROR(__xludf.DUMMYFUNCTION("""COMPUTED_VALUE"""),41739.99861111111)</f>
        <v>41739.99861</v>
      </c>
      <c r="B1421" s="1">
        <f>IFERROR(__xludf.DUMMYFUNCTION("""COMPUTED_VALUE"""),10679.0485)</f>
        <v>10679.0485</v>
      </c>
    </row>
    <row r="1422">
      <c r="A1422" s="3">
        <f>IFERROR(__xludf.DUMMYFUNCTION("""COMPUTED_VALUE"""),41740.99861111111)</f>
        <v>41740.99861</v>
      </c>
      <c r="B1422" s="1">
        <f>IFERROR(__xludf.DUMMYFUNCTION("""COMPUTED_VALUE"""),10701.61425)</f>
        <v>10701.61425</v>
      </c>
    </row>
    <row r="1423">
      <c r="A1423" s="3">
        <f>IFERROR(__xludf.DUMMYFUNCTION("""COMPUTED_VALUE"""),41741.99861111111)</f>
        <v>41741.99861</v>
      </c>
      <c r="B1423" s="1">
        <f>IFERROR(__xludf.DUMMYFUNCTION("""COMPUTED_VALUE"""),10722.59793)</f>
        <v>10722.59793</v>
      </c>
    </row>
    <row r="1424">
      <c r="A1424" s="3">
        <f>IFERROR(__xludf.DUMMYFUNCTION("""COMPUTED_VALUE"""),41742.99861111111)</f>
        <v>41742.99861</v>
      </c>
      <c r="B1424" s="1">
        <f>IFERROR(__xludf.DUMMYFUNCTION("""COMPUTED_VALUE"""),10685.0915)</f>
        <v>10685.0915</v>
      </c>
    </row>
    <row r="1425">
      <c r="A1425" s="3">
        <f>IFERROR(__xludf.DUMMYFUNCTION("""COMPUTED_VALUE"""),41743.99861111111)</f>
        <v>41743.99861</v>
      </c>
      <c r="B1425" s="1">
        <f>IFERROR(__xludf.DUMMYFUNCTION("""COMPUTED_VALUE"""),10768.93812)</f>
        <v>10768.93812</v>
      </c>
    </row>
    <row r="1426">
      <c r="A1426" s="3">
        <f>IFERROR(__xludf.DUMMYFUNCTION("""COMPUTED_VALUE"""),41744.99861111111)</f>
        <v>41744.99861</v>
      </c>
      <c r="B1426" s="1">
        <f>IFERROR(__xludf.DUMMYFUNCTION("""COMPUTED_VALUE"""),10705.75)</f>
        <v>10705.75</v>
      </c>
    </row>
    <row r="1427">
      <c r="A1427" s="3">
        <f>IFERROR(__xludf.DUMMYFUNCTION("""COMPUTED_VALUE"""),41745.99861111111)</f>
        <v>41745.99861</v>
      </c>
      <c r="B1427" s="1">
        <f>IFERROR(__xludf.DUMMYFUNCTION("""COMPUTED_VALUE"""),10683.7478)</f>
        <v>10683.7478</v>
      </c>
    </row>
    <row r="1428">
      <c r="A1428" s="3">
        <f>IFERROR(__xludf.DUMMYFUNCTION("""COMPUTED_VALUE"""),41746.99861111111)</f>
        <v>41746.99861</v>
      </c>
      <c r="B1428" s="1">
        <f>IFERROR(__xludf.DUMMYFUNCTION("""COMPUTED_VALUE"""),10676.1249)</f>
        <v>10676.1249</v>
      </c>
    </row>
    <row r="1429">
      <c r="A1429" s="3">
        <f>IFERROR(__xludf.DUMMYFUNCTION("""COMPUTED_VALUE"""),41747.99861111111)</f>
        <v>41747.99861</v>
      </c>
      <c r="B1429" s="1">
        <f>IFERROR(__xludf.DUMMYFUNCTION("""COMPUTED_VALUE"""),10671.318)</f>
        <v>10671.318</v>
      </c>
    </row>
    <row r="1430">
      <c r="A1430" s="3">
        <f>IFERROR(__xludf.DUMMYFUNCTION("""COMPUTED_VALUE"""),41748.99861111111)</f>
        <v>41748.99861</v>
      </c>
      <c r="B1430" s="1">
        <f>IFERROR(__xludf.DUMMYFUNCTION("""COMPUTED_VALUE"""),10696.09167)</f>
        <v>10696.09167</v>
      </c>
    </row>
    <row r="1431">
      <c r="A1431" s="3">
        <f>IFERROR(__xludf.DUMMYFUNCTION("""COMPUTED_VALUE"""),41749.99861111111)</f>
        <v>41749.99861</v>
      </c>
      <c r="B1431" s="1">
        <f>IFERROR(__xludf.DUMMYFUNCTION("""COMPUTED_VALUE"""),10686.76875)</f>
        <v>10686.76875</v>
      </c>
    </row>
    <row r="1432">
      <c r="A1432" s="3">
        <f>IFERROR(__xludf.DUMMYFUNCTION("""COMPUTED_VALUE"""),41750.99861111111)</f>
        <v>41750.99861</v>
      </c>
      <c r="B1432" s="1">
        <f>IFERROR(__xludf.DUMMYFUNCTION("""COMPUTED_VALUE"""),10672.62855)</f>
        <v>10672.62855</v>
      </c>
    </row>
    <row r="1433">
      <c r="A1433" s="3">
        <f>IFERROR(__xludf.DUMMYFUNCTION("""COMPUTED_VALUE"""),41751.99861111111)</f>
        <v>41751.99861</v>
      </c>
      <c r="B1433" s="1">
        <f>IFERROR(__xludf.DUMMYFUNCTION("""COMPUTED_VALUE"""),10803.5172)</f>
        <v>10803.5172</v>
      </c>
    </row>
    <row r="1434">
      <c r="A1434" s="3">
        <f>IFERROR(__xludf.DUMMYFUNCTION("""COMPUTED_VALUE"""),41752.99861111111)</f>
        <v>41752.99861</v>
      </c>
      <c r="B1434" s="1">
        <f>IFERROR(__xludf.DUMMYFUNCTION("""COMPUTED_VALUE"""),10788.8214)</f>
        <v>10788.8214</v>
      </c>
    </row>
    <row r="1435">
      <c r="A1435" s="3">
        <f>IFERROR(__xludf.DUMMYFUNCTION("""COMPUTED_VALUE"""),41753.99861111111)</f>
        <v>41753.99861</v>
      </c>
      <c r="B1435" s="1">
        <f>IFERROR(__xludf.DUMMYFUNCTION("""COMPUTED_VALUE"""),10742.7675)</f>
        <v>10742.7675</v>
      </c>
    </row>
    <row r="1436">
      <c r="A1436" s="3">
        <f>IFERROR(__xludf.DUMMYFUNCTION("""COMPUTED_VALUE"""),41754.99861111111)</f>
        <v>41754.99861</v>
      </c>
      <c r="B1436" s="1">
        <f>IFERROR(__xludf.DUMMYFUNCTION("""COMPUTED_VALUE"""),10721.33325)</f>
        <v>10721.33325</v>
      </c>
    </row>
    <row r="1437">
      <c r="A1437" s="3">
        <f>IFERROR(__xludf.DUMMYFUNCTION("""COMPUTED_VALUE"""),41755.99861111111)</f>
        <v>41755.99861</v>
      </c>
      <c r="B1437" s="1">
        <f>IFERROR(__xludf.DUMMYFUNCTION("""COMPUTED_VALUE"""),10713.29142)</f>
        <v>10713.29142</v>
      </c>
    </row>
    <row r="1438">
      <c r="A1438" s="3">
        <f>IFERROR(__xludf.DUMMYFUNCTION("""COMPUTED_VALUE"""),41756.99861111111)</f>
        <v>41756.99861</v>
      </c>
      <c r="B1438" s="1">
        <f>IFERROR(__xludf.DUMMYFUNCTION("""COMPUTED_VALUE"""),10722.3741)</f>
        <v>10722.3741</v>
      </c>
    </row>
    <row r="1439">
      <c r="A1439" s="3">
        <f>IFERROR(__xludf.DUMMYFUNCTION("""COMPUTED_VALUE"""),41757.99861111111)</f>
        <v>41757.99861</v>
      </c>
      <c r="B1439" s="1">
        <f>IFERROR(__xludf.DUMMYFUNCTION("""COMPUTED_VALUE"""),10725.04545)</f>
        <v>10725.04545</v>
      </c>
    </row>
    <row r="1440">
      <c r="A1440" s="3">
        <f>IFERROR(__xludf.DUMMYFUNCTION("""COMPUTED_VALUE"""),41758.99861111111)</f>
        <v>41758.99861</v>
      </c>
      <c r="B1440" s="1">
        <f>IFERROR(__xludf.DUMMYFUNCTION("""COMPUTED_VALUE"""),10699.906)</f>
        <v>10699.906</v>
      </c>
    </row>
    <row r="1441">
      <c r="A1441" s="3">
        <f>IFERROR(__xludf.DUMMYFUNCTION("""COMPUTED_VALUE"""),41759.99861111111)</f>
        <v>41759.99861</v>
      </c>
      <c r="B1441" s="1">
        <f>IFERROR(__xludf.DUMMYFUNCTION("""COMPUTED_VALUE"""),10716.87715)</f>
        <v>10716.87715</v>
      </c>
    </row>
    <row r="1442">
      <c r="A1442" s="3">
        <f>IFERROR(__xludf.DUMMYFUNCTION("""COMPUTED_VALUE"""),41760.99861111111)</f>
        <v>41760.99861</v>
      </c>
      <c r="B1442" s="1">
        <f>IFERROR(__xludf.DUMMYFUNCTION("""COMPUTED_VALUE"""),10704.524)</f>
        <v>10704.524</v>
      </c>
    </row>
    <row r="1443">
      <c r="A1443" s="3">
        <f>IFERROR(__xludf.DUMMYFUNCTION("""COMPUTED_VALUE"""),41761.99861111111)</f>
        <v>41761.99861</v>
      </c>
      <c r="B1443" s="1">
        <f>IFERROR(__xludf.DUMMYFUNCTION("""COMPUTED_VALUE"""),10680.3928)</f>
        <v>10680.3928</v>
      </c>
    </row>
    <row r="1444">
      <c r="A1444" s="3">
        <f>IFERROR(__xludf.DUMMYFUNCTION("""COMPUTED_VALUE"""),41763.99861111111)</f>
        <v>41763.99861</v>
      </c>
      <c r="B1444" s="1">
        <f>IFERROR(__xludf.DUMMYFUNCTION("""COMPUTED_VALUE"""),10684.5382)</f>
        <v>10684.5382</v>
      </c>
    </row>
    <row r="1445">
      <c r="A1445" s="3">
        <f>IFERROR(__xludf.DUMMYFUNCTION("""COMPUTED_VALUE"""),41764.99861111111)</f>
        <v>41764.99861</v>
      </c>
      <c r="B1445" s="1">
        <f>IFERROR(__xludf.DUMMYFUNCTION("""COMPUTED_VALUE"""),10672.4982)</f>
        <v>10672.4982</v>
      </c>
    </row>
    <row r="1446">
      <c r="A1446" s="3">
        <f>IFERROR(__xludf.DUMMYFUNCTION("""COMPUTED_VALUE"""),41765.99861111111)</f>
        <v>41765.99861</v>
      </c>
      <c r="B1446" s="1">
        <f>IFERROR(__xludf.DUMMYFUNCTION("""COMPUTED_VALUE"""),10754.944)</f>
        <v>10754.944</v>
      </c>
    </row>
    <row r="1447">
      <c r="A1447" s="3">
        <f>IFERROR(__xludf.DUMMYFUNCTION("""COMPUTED_VALUE"""),41766.99861111111)</f>
        <v>41766.99861</v>
      </c>
      <c r="B1447" s="1">
        <f>IFERROR(__xludf.DUMMYFUNCTION("""COMPUTED_VALUE"""),10785.6697)</f>
        <v>10785.6697</v>
      </c>
    </row>
    <row r="1448">
      <c r="A1448" s="3">
        <f>IFERROR(__xludf.DUMMYFUNCTION("""COMPUTED_VALUE"""),41767.99861111111)</f>
        <v>41767.99861</v>
      </c>
      <c r="B1448" s="1">
        <f>IFERROR(__xludf.DUMMYFUNCTION("""COMPUTED_VALUE"""),10797.65725)</f>
        <v>10797.65725</v>
      </c>
    </row>
    <row r="1449">
      <c r="A1449" s="3">
        <f>IFERROR(__xludf.DUMMYFUNCTION("""COMPUTED_VALUE"""),41768.99861111111)</f>
        <v>41768.99861</v>
      </c>
      <c r="B1449" s="1">
        <f>IFERROR(__xludf.DUMMYFUNCTION("""COMPUTED_VALUE"""),10793.64555)</f>
        <v>10793.64555</v>
      </c>
    </row>
    <row r="1450">
      <c r="A1450" s="3">
        <f>IFERROR(__xludf.DUMMYFUNCTION("""COMPUTED_VALUE"""),41769.99861111111)</f>
        <v>41769.99861</v>
      </c>
      <c r="B1450" s="1">
        <f>IFERROR(__xludf.DUMMYFUNCTION("""COMPUTED_VALUE"""),10824.27404)</f>
        <v>10824.27404</v>
      </c>
    </row>
    <row r="1451">
      <c r="A1451" s="3">
        <f>IFERROR(__xludf.DUMMYFUNCTION("""COMPUTED_VALUE"""),41770.99861111111)</f>
        <v>41770.99861</v>
      </c>
      <c r="B1451" s="1">
        <f>IFERROR(__xludf.DUMMYFUNCTION("""COMPUTED_VALUE"""),10727.22725)</f>
        <v>10727.22725</v>
      </c>
    </row>
    <row r="1452">
      <c r="A1452" s="3">
        <f>IFERROR(__xludf.DUMMYFUNCTION("""COMPUTED_VALUE"""),41771.99861111111)</f>
        <v>41771.99861</v>
      </c>
      <c r="B1452" s="1">
        <f>IFERROR(__xludf.DUMMYFUNCTION("""COMPUTED_VALUE"""),10782.72)</f>
        <v>10782.72</v>
      </c>
    </row>
    <row r="1453">
      <c r="A1453" s="3">
        <f>IFERROR(__xludf.DUMMYFUNCTION("""COMPUTED_VALUE"""),41772.99861111111)</f>
        <v>41772.99861</v>
      </c>
      <c r="B1453" s="1">
        <f>IFERROR(__xludf.DUMMYFUNCTION("""COMPUTED_VALUE"""),10749.0412)</f>
        <v>10749.0412</v>
      </c>
    </row>
    <row r="1454">
      <c r="A1454" s="3">
        <f>IFERROR(__xludf.DUMMYFUNCTION("""COMPUTED_VALUE"""),41773.99861111111)</f>
        <v>41773.99861</v>
      </c>
      <c r="B1454" s="1">
        <f>IFERROR(__xludf.DUMMYFUNCTION("""COMPUTED_VALUE"""),10692.1875)</f>
        <v>10692.1875</v>
      </c>
    </row>
    <row r="1455">
      <c r="A1455" s="3">
        <f>IFERROR(__xludf.DUMMYFUNCTION("""COMPUTED_VALUE"""),41774.99861111111)</f>
        <v>41774.99861</v>
      </c>
      <c r="B1455" s="1">
        <f>IFERROR(__xludf.DUMMYFUNCTION("""COMPUTED_VALUE"""),10654.3107)</f>
        <v>10654.3107</v>
      </c>
    </row>
    <row r="1456">
      <c r="A1456" s="3">
        <f>IFERROR(__xludf.DUMMYFUNCTION("""COMPUTED_VALUE"""),41775.99861111111)</f>
        <v>41775.99861</v>
      </c>
      <c r="B1456" s="1">
        <f>IFERROR(__xludf.DUMMYFUNCTION("""COMPUTED_VALUE"""),10593.822)</f>
        <v>10593.822</v>
      </c>
    </row>
    <row r="1457">
      <c r="A1457" s="3">
        <f>IFERROR(__xludf.DUMMYFUNCTION("""COMPUTED_VALUE"""),41776.99861111111)</f>
        <v>41776.99861</v>
      </c>
      <c r="B1457" s="1">
        <f>IFERROR(__xludf.DUMMYFUNCTION("""COMPUTED_VALUE"""),10623.1482)</f>
        <v>10623.1482</v>
      </c>
    </row>
    <row r="1458">
      <c r="A1458" s="3">
        <f>IFERROR(__xludf.DUMMYFUNCTION("""COMPUTED_VALUE"""),41777.99861111111)</f>
        <v>41777.99861</v>
      </c>
      <c r="B1458" s="1">
        <f>IFERROR(__xludf.DUMMYFUNCTION("""COMPUTED_VALUE"""),10662.5207)</f>
        <v>10662.5207</v>
      </c>
    </row>
    <row r="1459">
      <c r="A1459" s="3">
        <f>IFERROR(__xludf.DUMMYFUNCTION("""COMPUTED_VALUE"""),41778.99861111111)</f>
        <v>41778.99861</v>
      </c>
      <c r="B1459" s="1">
        <f>IFERROR(__xludf.DUMMYFUNCTION("""COMPUTED_VALUE"""),10650.7488)</f>
        <v>10650.7488</v>
      </c>
    </row>
    <row r="1460">
      <c r="A1460" s="3">
        <f>IFERROR(__xludf.DUMMYFUNCTION("""COMPUTED_VALUE"""),41779.99861111111)</f>
        <v>41779.99861</v>
      </c>
      <c r="B1460" s="1">
        <f>IFERROR(__xludf.DUMMYFUNCTION("""COMPUTED_VALUE"""),10587.894)</f>
        <v>10587.894</v>
      </c>
    </row>
    <row r="1461">
      <c r="A1461" s="3">
        <f>IFERROR(__xludf.DUMMYFUNCTION("""COMPUTED_VALUE"""),41780.99861111111)</f>
        <v>41780.99861</v>
      </c>
      <c r="B1461" s="1">
        <f>IFERROR(__xludf.DUMMYFUNCTION("""COMPUTED_VALUE"""),10625.978)</f>
        <v>10625.978</v>
      </c>
    </row>
    <row r="1462">
      <c r="A1462" s="3">
        <f>IFERROR(__xludf.DUMMYFUNCTION("""COMPUTED_VALUE"""),41781.99861111111)</f>
        <v>41781.99861</v>
      </c>
      <c r="B1462" s="1">
        <f>IFERROR(__xludf.DUMMYFUNCTION("""COMPUTED_VALUE"""),10620.277)</f>
        <v>10620.277</v>
      </c>
    </row>
    <row r="1463">
      <c r="A1463" s="3">
        <f>IFERROR(__xludf.DUMMYFUNCTION("""COMPUTED_VALUE"""),41782.99861111111)</f>
        <v>41782.99861</v>
      </c>
      <c r="B1463" s="1">
        <f>IFERROR(__xludf.DUMMYFUNCTION("""COMPUTED_VALUE"""),10698.2427)</f>
        <v>10698.2427</v>
      </c>
    </row>
    <row r="1464">
      <c r="A1464" s="3">
        <f>IFERROR(__xludf.DUMMYFUNCTION("""COMPUTED_VALUE"""),41784.99861111111)</f>
        <v>41784.99861</v>
      </c>
      <c r="B1464" s="1">
        <f>IFERROR(__xludf.DUMMYFUNCTION("""COMPUTED_VALUE"""),10711.11315)</f>
        <v>10711.11315</v>
      </c>
    </row>
    <row r="1465">
      <c r="A1465" s="3">
        <f>IFERROR(__xludf.DUMMYFUNCTION("""COMPUTED_VALUE"""),41785.99861111111)</f>
        <v>41785.99861</v>
      </c>
      <c r="B1465" s="1">
        <f>IFERROR(__xludf.DUMMYFUNCTION("""COMPUTED_VALUE"""),10687.22)</f>
        <v>10687.22</v>
      </c>
    </row>
    <row r="1466">
      <c r="A1466" s="3">
        <f>IFERROR(__xludf.DUMMYFUNCTION("""COMPUTED_VALUE"""),41786.99861111111)</f>
        <v>41786.99861</v>
      </c>
      <c r="B1466" s="1">
        <f>IFERROR(__xludf.DUMMYFUNCTION("""COMPUTED_VALUE"""),10703.8664)</f>
        <v>10703.8664</v>
      </c>
    </row>
    <row r="1467">
      <c r="A1467" s="3">
        <f>IFERROR(__xludf.DUMMYFUNCTION("""COMPUTED_VALUE"""),41787.99861111111)</f>
        <v>41787.99861</v>
      </c>
      <c r="B1467" s="1">
        <f>IFERROR(__xludf.DUMMYFUNCTION("""COMPUTED_VALUE"""),10737.979)</f>
        <v>10737.979</v>
      </c>
    </row>
    <row r="1468">
      <c r="A1468" s="3">
        <f>IFERROR(__xludf.DUMMYFUNCTION("""COMPUTED_VALUE"""),41788.99861111111)</f>
        <v>41788.99861</v>
      </c>
      <c r="B1468" s="1">
        <f>IFERROR(__xludf.DUMMYFUNCTION("""COMPUTED_VALUE"""),10790.307)</f>
        <v>10790.307</v>
      </c>
    </row>
    <row r="1469">
      <c r="A1469" s="3">
        <f>IFERROR(__xludf.DUMMYFUNCTION("""COMPUTED_VALUE"""),41789.99861111111)</f>
        <v>41789.99861</v>
      </c>
      <c r="B1469" s="1">
        <f>IFERROR(__xludf.DUMMYFUNCTION("""COMPUTED_VALUE"""),10848.464)</f>
        <v>10848.464</v>
      </c>
    </row>
    <row r="1470">
      <c r="A1470" s="3">
        <f>IFERROR(__xludf.DUMMYFUNCTION("""COMPUTED_VALUE"""),41791.99861111111)</f>
        <v>41791.99861</v>
      </c>
      <c r="B1470" s="1">
        <f>IFERROR(__xludf.DUMMYFUNCTION("""COMPUTED_VALUE"""),10889.81857)</f>
        <v>10889.81857</v>
      </c>
    </row>
    <row r="1471">
      <c r="A1471" s="3">
        <f>IFERROR(__xludf.DUMMYFUNCTION("""COMPUTED_VALUE"""),41792.99861111111)</f>
        <v>41792.99861</v>
      </c>
      <c r="B1471" s="1">
        <f>IFERROR(__xludf.DUMMYFUNCTION("""COMPUTED_VALUE"""),10870.1208)</f>
        <v>10870.1208</v>
      </c>
    </row>
    <row r="1472">
      <c r="A1472" s="3">
        <f>IFERROR(__xludf.DUMMYFUNCTION("""COMPUTED_VALUE"""),41793.99861111111)</f>
        <v>41793.99861</v>
      </c>
      <c r="B1472" s="1">
        <f>IFERROR(__xludf.DUMMYFUNCTION("""COMPUTED_VALUE"""),10903.728)</f>
        <v>10903.728</v>
      </c>
    </row>
    <row r="1473">
      <c r="A1473" s="3">
        <f>IFERROR(__xludf.DUMMYFUNCTION("""COMPUTED_VALUE"""),41794.99861111111)</f>
        <v>41794.99861</v>
      </c>
      <c r="B1473" s="1">
        <f>IFERROR(__xludf.DUMMYFUNCTION("""COMPUTED_VALUE"""),11014.0625)</f>
        <v>11014.0625</v>
      </c>
    </row>
    <row r="1474">
      <c r="A1474" s="3">
        <f>IFERROR(__xludf.DUMMYFUNCTION("""COMPUTED_VALUE"""),41795.99861111111)</f>
        <v>41795.99861</v>
      </c>
      <c r="B1474" s="1">
        <f>IFERROR(__xludf.DUMMYFUNCTION("""COMPUTED_VALUE"""),11052.5695)</f>
        <v>11052.5695</v>
      </c>
    </row>
    <row r="1475">
      <c r="A1475" s="3">
        <f>IFERROR(__xludf.DUMMYFUNCTION("""COMPUTED_VALUE"""),41796.99861111111)</f>
        <v>41796.99861</v>
      </c>
      <c r="B1475" s="1">
        <f>IFERROR(__xludf.DUMMYFUNCTION("""COMPUTED_VALUE"""),11023.395)</f>
        <v>11023.395</v>
      </c>
    </row>
    <row r="1476">
      <c r="A1476" s="3">
        <f>IFERROR(__xludf.DUMMYFUNCTION("""COMPUTED_VALUE"""),41797.99861111111)</f>
        <v>41797.99861</v>
      </c>
      <c r="B1476" s="1">
        <f>IFERROR(__xludf.DUMMYFUNCTION("""COMPUTED_VALUE"""),11042.59466)</f>
        <v>11042.59466</v>
      </c>
    </row>
    <row r="1477">
      <c r="A1477" s="3">
        <f>IFERROR(__xludf.DUMMYFUNCTION("""COMPUTED_VALUE"""),41798.99861111111)</f>
        <v>41798.99861</v>
      </c>
      <c r="B1477" s="1">
        <f>IFERROR(__xludf.DUMMYFUNCTION("""COMPUTED_VALUE"""),11042.59466)</f>
        <v>11042.59466</v>
      </c>
    </row>
    <row r="1478">
      <c r="A1478" s="3">
        <f>IFERROR(__xludf.DUMMYFUNCTION("""COMPUTED_VALUE"""),41799.99861111111)</f>
        <v>41799.99861</v>
      </c>
      <c r="B1478" s="1">
        <f>IFERROR(__xludf.DUMMYFUNCTION("""COMPUTED_VALUE"""),11010.68475)</f>
        <v>11010.68475</v>
      </c>
    </row>
    <row r="1479">
      <c r="A1479" s="3">
        <f>IFERROR(__xludf.DUMMYFUNCTION("""COMPUTED_VALUE"""),41800.99861111111)</f>
        <v>41800.99861</v>
      </c>
      <c r="B1479" s="1">
        <f>IFERROR(__xludf.DUMMYFUNCTION("""COMPUTED_VALUE"""),11070.655)</f>
        <v>11070.655</v>
      </c>
    </row>
    <row r="1480">
      <c r="A1480" s="3">
        <f>IFERROR(__xludf.DUMMYFUNCTION("""COMPUTED_VALUE"""),41801.99861111111)</f>
        <v>41801.99861</v>
      </c>
      <c r="B1480" s="1">
        <f>IFERROR(__xludf.DUMMYFUNCTION("""COMPUTED_VALUE"""),11071.31925)</f>
        <v>11071.31925</v>
      </c>
    </row>
    <row r="1481">
      <c r="A1481" s="3">
        <f>IFERROR(__xludf.DUMMYFUNCTION("""COMPUTED_VALUE"""),41802.99861111111)</f>
        <v>41802.99861</v>
      </c>
      <c r="B1481" s="1">
        <f>IFERROR(__xludf.DUMMYFUNCTION("""COMPUTED_VALUE"""),11099.4694)</f>
        <v>11099.4694</v>
      </c>
    </row>
    <row r="1482">
      <c r="A1482" s="3">
        <f>IFERROR(__xludf.DUMMYFUNCTION("""COMPUTED_VALUE"""),41803.99861111111)</f>
        <v>41803.99861</v>
      </c>
      <c r="B1482" s="1">
        <f>IFERROR(__xludf.DUMMYFUNCTION("""COMPUTED_VALUE"""),11077.9)</f>
        <v>11077.9</v>
      </c>
    </row>
    <row r="1483">
      <c r="A1483" s="3">
        <f>IFERROR(__xludf.DUMMYFUNCTION("""COMPUTED_VALUE"""),41804.99861111111)</f>
        <v>41804.99861</v>
      </c>
      <c r="B1483" s="1">
        <f>IFERROR(__xludf.DUMMYFUNCTION("""COMPUTED_VALUE"""),11099.16843)</f>
        <v>11099.16843</v>
      </c>
    </row>
    <row r="1484">
      <c r="A1484" s="3">
        <f>IFERROR(__xludf.DUMMYFUNCTION("""COMPUTED_VALUE"""),41805.99861111111)</f>
        <v>41805.99861</v>
      </c>
      <c r="B1484" s="1">
        <f>IFERROR(__xludf.DUMMYFUNCTION("""COMPUTED_VALUE"""),11092.20267)</f>
        <v>11092.20267</v>
      </c>
    </row>
    <row r="1485">
      <c r="A1485" s="3">
        <f>IFERROR(__xludf.DUMMYFUNCTION("""COMPUTED_VALUE"""),41806.99861111111)</f>
        <v>41806.99861</v>
      </c>
      <c r="B1485" s="1">
        <f>IFERROR(__xludf.DUMMYFUNCTION("""COMPUTED_VALUE"""),11102.3192)</f>
        <v>11102.3192</v>
      </c>
    </row>
    <row r="1486">
      <c r="A1486" s="3">
        <f>IFERROR(__xludf.DUMMYFUNCTION("""COMPUTED_VALUE"""),41807.99861111111)</f>
        <v>41807.99861</v>
      </c>
      <c r="B1486" s="1">
        <f>IFERROR(__xludf.DUMMYFUNCTION("""COMPUTED_VALUE"""),11097.14335)</f>
        <v>11097.14335</v>
      </c>
    </row>
    <row r="1487">
      <c r="A1487" s="3">
        <f>IFERROR(__xludf.DUMMYFUNCTION("""COMPUTED_VALUE"""),41808.99861111111)</f>
        <v>41808.99861</v>
      </c>
      <c r="B1487" s="1">
        <f>IFERROR(__xludf.DUMMYFUNCTION("""COMPUTED_VALUE"""),11281.0985)</f>
        <v>11281.0985</v>
      </c>
    </row>
    <row r="1488">
      <c r="A1488" s="3">
        <f>IFERROR(__xludf.DUMMYFUNCTION("""COMPUTED_VALUE"""),41809.99861111111)</f>
        <v>41809.99861</v>
      </c>
      <c r="B1488" s="1">
        <f>IFERROR(__xludf.DUMMYFUNCTION("""COMPUTED_VALUE"""),11197.4787)</f>
        <v>11197.4787</v>
      </c>
    </row>
    <row r="1489">
      <c r="A1489" s="3">
        <f>IFERROR(__xludf.DUMMYFUNCTION("""COMPUTED_VALUE"""),41810.99861111111)</f>
        <v>41810.99861</v>
      </c>
      <c r="B1489" s="1">
        <f>IFERROR(__xludf.DUMMYFUNCTION("""COMPUTED_VALUE"""),11213.88)</f>
        <v>11213.88</v>
      </c>
    </row>
    <row r="1490">
      <c r="A1490" s="3">
        <f>IFERROR(__xludf.DUMMYFUNCTION("""COMPUTED_VALUE"""),41811.99861111111)</f>
        <v>41811.99861</v>
      </c>
      <c r="B1490" s="1">
        <f>IFERROR(__xludf.DUMMYFUNCTION("""COMPUTED_VALUE"""),11241.90874)</f>
        <v>11241.90874</v>
      </c>
    </row>
    <row r="1491">
      <c r="A1491" s="3">
        <f>IFERROR(__xludf.DUMMYFUNCTION("""COMPUTED_VALUE"""),41812.99861111111)</f>
        <v>41812.99861</v>
      </c>
      <c r="B1491" s="1">
        <f>IFERROR(__xludf.DUMMYFUNCTION("""COMPUTED_VALUE"""),11234.72312)</f>
        <v>11234.72312</v>
      </c>
    </row>
    <row r="1492">
      <c r="A1492" s="3">
        <f>IFERROR(__xludf.DUMMYFUNCTION("""COMPUTED_VALUE"""),41813.99861111111)</f>
        <v>41813.99861</v>
      </c>
      <c r="B1492" s="1">
        <f>IFERROR(__xludf.DUMMYFUNCTION("""COMPUTED_VALUE"""),11298.69)</f>
        <v>11298.69</v>
      </c>
    </row>
    <row r="1493">
      <c r="A1493" s="3">
        <f>IFERROR(__xludf.DUMMYFUNCTION("""COMPUTED_VALUE"""),41814.99861111111)</f>
        <v>41814.99861</v>
      </c>
      <c r="B1493" s="1">
        <f>IFERROR(__xludf.DUMMYFUNCTION("""COMPUTED_VALUE"""),11235.7165)</f>
        <v>11235.7165</v>
      </c>
    </row>
    <row r="1494">
      <c r="A1494" s="3">
        <f>IFERROR(__xludf.DUMMYFUNCTION("""COMPUTED_VALUE"""),41815.99861111111)</f>
        <v>41815.99861</v>
      </c>
      <c r="B1494" s="1">
        <f>IFERROR(__xludf.DUMMYFUNCTION("""COMPUTED_VALUE"""),11366.5344)</f>
        <v>11366.5344</v>
      </c>
    </row>
    <row r="1495">
      <c r="A1495" s="3">
        <f>IFERROR(__xludf.DUMMYFUNCTION("""COMPUTED_VALUE"""),41816.99861111111)</f>
        <v>41816.99861</v>
      </c>
      <c r="B1495" s="1">
        <f>IFERROR(__xludf.DUMMYFUNCTION("""COMPUTED_VALUE"""),11382.735)</f>
        <v>11382.735</v>
      </c>
    </row>
    <row r="1496">
      <c r="A1496" s="3">
        <f>IFERROR(__xludf.DUMMYFUNCTION("""COMPUTED_VALUE"""),41817.99861111111)</f>
        <v>41817.99861</v>
      </c>
      <c r="B1496" s="1">
        <f>IFERROR(__xludf.DUMMYFUNCTION("""COMPUTED_VALUE"""),11325.4844)</f>
        <v>11325.4844</v>
      </c>
    </row>
    <row r="1497">
      <c r="A1497" s="3">
        <f>IFERROR(__xludf.DUMMYFUNCTION("""COMPUTED_VALUE"""),41819.99861111111)</f>
        <v>41819.99861</v>
      </c>
      <c r="B1497" s="1">
        <f>IFERROR(__xludf.DUMMYFUNCTION("""COMPUTED_VALUE"""),11317.30696)</f>
        <v>11317.30696</v>
      </c>
    </row>
    <row r="1498">
      <c r="A1498" s="3">
        <f>IFERROR(__xludf.DUMMYFUNCTION("""COMPUTED_VALUE"""),41820.99861111111)</f>
        <v>41820.99861</v>
      </c>
      <c r="B1498" s="1">
        <f>IFERROR(__xludf.DUMMYFUNCTION("""COMPUTED_VALUE"""),11208.0304)</f>
        <v>11208.0304</v>
      </c>
    </row>
    <row r="1499">
      <c r="A1499" s="3">
        <f>IFERROR(__xludf.DUMMYFUNCTION("""COMPUTED_VALUE"""),41821.99861111111)</f>
        <v>41821.99861</v>
      </c>
      <c r="B1499" s="1">
        <f>IFERROR(__xludf.DUMMYFUNCTION("""COMPUTED_VALUE"""),11290.244)</f>
        <v>11290.244</v>
      </c>
    </row>
    <row r="1500">
      <c r="A1500" s="3">
        <f>IFERROR(__xludf.DUMMYFUNCTION("""COMPUTED_VALUE"""),41822.99861111111)</f>
        <v>41822.99861</v>
      </c>
      <c r="B1500" s="1">
        <f>IFERROR(__xludf.DUMMYFUNCTION("""COMPUTED_VALUE"""),11232.41)</f>
        <v>11232.41</v>
      </c>
    </row>
    <row r="1501">
      <c r="A1501" s="3">
        <f>IFERROR(__xludf.DUMMYFUNCTION("""COMPUTED_VALUE"""),41823.99861111111)</f>
        <v>41823.99861</v>
      </c>
      <c r="B1501" s="1">
        <f>IFERROR(__xludf.DUMMYFUNCTION("""COMPUTED_VALUE"""),11127.6035)</f>
        <v>11127.6035</v>
      </c>
    </row>
    <row r="1502">
      <c r="A1502" s="3">
        <f>IFERROR(__xludf.DUMMYFUNCTION("""COMPUTED_VALUE"""),41824.99861111111)</f>
        <v>41824.99861</v>
      </c>
      <c r="B1502" s="1">
        <f>IFERROR(__xludf.DUMMYFUNCTION("""COMPUTED_VALUE"""),11103.6878)</f>
        <v>11103.6878</v>
      </c>
    </row>
    <row r="1503">
      <c r="A1503" s="3">
        <f>IFERROR(__xludf.DUMMYFUNCTION("""COMPUTED_VALUE"""),41825.99861111111)</f>
        <v>41825.99861</v>
      </c>
      <c r="B1503" s="1">
        <f>IFERROR(__xludf.DUMMYFUNCTION("""COMPUTED_VALUE"""),11122.32352)</f>
        <v>11122.32352</v>
      </c>
    </row>
    <row r="1504">
      <c r="A1504" s="3">
        <f>IFERROR(__xludf.DUMMYFUNCTION("""COMPUTED_VALUE"""),41826.99861111111)</f>
        <v>41826.99861</v>
      </c>
      <c r="B1504" s="1">
        <f>IFERROR(__xludf.DUMMYFUNCTION("""COMPUTED_VALUE"""),11112.10974)</f>
        <v>11112.10974</v>
      </c>
    </row>
    <row r="1505">
      <c r="A1505" s="3">
        <f>IFERROR(__xludf.DUMMYFUNCTION("""COMPUTED_VALUE"""),41827.99861111111)</f>
        <v>41827.99861</v>
      </c>
      <c r="B1505" s="1">
        <f>IFERROR(__xludf.DUMMYFUNCTION("""COMPUTED_VALUE"""),10984.56625)</f>
        <v>10984.56625</v>
      </c>
    </row>
    <row r="1506">
      <c r="A1506" s="3">
        <f>IFERROR(__xludf.DUMMYFUNCTION("""COMPUTED_VALUE"""),41828.99861111111)</f>
        <v>41828.99861</v>
      </c>
      <c r="B1506" s="1">
        <f>IFERROR(__xludf.DUMMYFUNCTION("""COMPUTED_VALUE"""),10967.433)</f>
        <v>10967.433</v>
      </c>
    </row>
    <row r="1507">
      <c r="A1507" s="3">
        <f>IFERROR(__xludf.DUMMYFUNCTION("""COMPUTED_VALUE"""),41829.99861111111)</f>
        <v>41829.99861</v>
      </c>
      <c r="B1507" s="1">
        <f>IFERROR(__xludf.DUMMYFUNCTION("""COMPUTED_VALUE"""),10932.038)</f>
        <v>10932.038</v>
      </c>
    </row>
    <row r="1508">
      <c r="A1508" s="3">
        <f>IFERROR(__xludf.DUMMYFUNCTION("""COMPUTED_VALUE"""),41830.99861111111)</f>
        <v>41830.99861</v>
      </c>
      <c r="B1508" s="1">
        <f>IFERROR(__xludf.DUMMYFUNCTION("""COMPUTED_VALUE"""),10865.387)</f>
        <v>10865.387</v>
      </c>
    </row>
    <row r="1509">
      <c r="A1509" s="3">
        <f>IFERROR(__xludf.DUMMYFUNCTION("""COMPUTED_VALUE"""),41831.99861111111)</f>
        <v>41831.99861</v>
      </c>
      <c r="B1509" s="1">
        <f>IFERROR(__xludf.DUMMYFUNCTION("""COMPUTED_VALUE"""),10895.9345)</f>
        <v>10895.9345</v>
      </c>
    </row>
    <row r="1510">
      <c r="A1510" s="3">
        <f>IFERROR(__xludf.DUMMYFUNCTION("""COMPUTED_VALUE"""),41832.99861111111)</f>
        <v>41832.99861</v>
      </c>
      <c r="B1510" s="1">
        <f>IFERROR(__xludf.DUMMYFUNCTION("""COMPUTED_VALUE"""),10928.98387)</f>
        <v>10928.98387</v>
      </c>
    </row>
    <row r="1511">
      <c r="A1511" s="3">
        <f>IFERROR(__xludf.DUMMYFUNCTION("""COMPUTED_VALUE"""),41833.99861111111)</f>
        <v>41833.99861</v>
      </c>
      <c r="B1511" s="1">
        <f>IFERROR(__xludf.DUMMYFUNCTION("""COMPUTED_VALUE"""),10925.14219)</f>
        <v>10925.14219</v>
      </c>
    </row>
    <row r="1512">
      <c r="A1512" s="3">
        <f>IFERROR(__xludf.DUMMYFUNCTION("""COMPUTED_VALUE"""),41834.99861111111)</f>
        <v>41834.99861</v>
      </c>
      <c r="B1512" s="1">
        <f>IFERROR(__xludf.DUMMYFUNCTION("""COMPUTED_VALUE"""),10954.57)</f>
        <v>10954.57</v>
      </c>
    </row>
    <row r="1513">
      <c r="A1513" s="3">
        <f>IFERROR(__xludf.DUMMYFUNCTION("""COMPUTED_VALUE"""),41835.99861111111)</f>
        <v>41835.99861</v>
      </c>
      <c r="B1513" s="1">
        <f>IFERROR(__xludf.DUMMYFUNCTION("""COMPUTED_VALUE"""),10983.8668)</f>
        <v>10983.8668</v>
      </c>
    </row>
    <row r="1514">
      <c r="A1514" s="3">
        <f>IFERROR(__xludf.DUMMYFUNCTION("""COMPUTED_VALUE"""),41836.99861111111)</f>
        <v>41836.99861</v>
      </c>
      <c r="B1514" s="1">
        <f>IFERROR(__xludf.DUMMYFUNCTION("""COMPUTED_VALUE"""),10900.4046)</f>
        <v>10900.4046</v>
      </c>
    </row>
    <row r="1515">
      <c r="A1515" s="3">
        <f>IFERROR(__xludf.DUMMYFUNCTION("""COMPUTED_VALUE"""),41837.99861111111)</f>
        <v>41837.99861</v>
      </c>
      <c r="B1515" s="1">
        <f>IFERROR(__xludf.DUMMYFUNCTION("""COMPUTED_VALUE"""),10891.606)</f>
        <v>10891.606</v>
      </c>
    </row>
    <row r="1516">
      <c r="A1516" s="3">
        <f>IFERROR(__xludf.DUMMYFUNCTION("""COMPUTED_VALUE"""),41838.99861111111)</f>
        <v>41838.99861</v>
      </c>
      <c r="B1516" s="1">
        <f>IFERROR(__xludf.DUMMYFUNCTION("""COMPUTED_VALUE"""),10903.0005)</f>
        <v>10903.0005</v>
      </c>
    </row>
    <row r="1517">
      <c r="A1517" s="3">
        <f>IFERROR(__xludf.DUMMYFUNCTION("""COMPUTED_VALUE"""),41839.99861111111)</f>
        <v>41839.99861</v>
      </c>
      <c r="B1517" s="1">
        <f>IFERROR(__xludf.DUMMYFUNCTION("""COMPUTED_VALUE"""),10932.4763)</f>
        <v>10932.4763</v>
      </c>
    </row>
    <row r="1518">
      <c r="A1518" s="3">
        <f>IFERROR(__xludf.DUMMYFUNCTION("""COMPUTED_VALUE"""),41840.99861111111)</f>
        <v>41840.99861</v>
      </c>
      <c r="B1518" s="1">
        <f>IFERROR(__xludf.DUMMYFUNCTION("""COMPUTED_VALUE"""),10937.94778)</f>
        <v>10937.94778</v>
      </c>
    </row>
    <row r="1519">
      <c r="A1519" s="3">
        <f>IFERROR(__xludf.DUMMYFUNCTION("""COMPUTED_VALUE"""),41841.99861111111)</f>
        <v>41841.99861</v>
      </c>
      <c r="B1519" s="1">
        <f>IFERROR(__xludf.DUMMYFUNCTION("""COMPUTED_VALUE"""),10827.5584)</f>
        <v>10827.5584</v>
      </c>
    </row>
    <row r="1520">
      <c r="A1520" s="3">
        <f>IFERROR(__xludf.DUMMYFUNCTION("""COMPUTED_VALUE"""),41842.99861111111)</f>
        <v>41842.99861</v>
      </c>
      <c r="B1520" s="1">
        <f>IFERROR(__xludf.DUMMYFUNCTION("""COMPUTED_VALUE"""),10875.357)</f>
        <v>10875.357</v>
      </c>
    </row>
    <row r="1521">
      <c r="A1521" s="3">
        <f>IFERROR(__xludf.DUMMYFUNCTION("""COMPUTED_VALUE"""),41843.99861111111)</f>
        <v>41843.99861</v>
      </c>
      <c r="B1521" s="1">
        <f>IFERROR(__xludf.DUMMYFUNCTION("""COMPUTED_VALUE"""),10840.6915)</f>
        <v>10840.6915</v>
      </c>
    </row>
    <row r="1522">
      <c r="A1522" s="3">
        <f>IFERROR(__xludf.DUMMYFUNCTION("""COMPUTED_VALUE"""),41844.99861111111)</f>
        <v>41844.99861</v>
      </c>
      <c r="B1522" s="1">
        <f>IFERROR(__xludf.DUMMYFUNCTION("""COMPUTED_VALUE"""),10879.21152)</f>
        <v>10879.21152</v>
      </c>
    </row>
    <row r="1523">
      <c r="A1523" s="3">
        <f>IFERROR(__xludf.DUMMYFUNCTION("""COMPUTED_VALUE"""),41845.99861111111)</f>
        <v>41845.99861</v>
      </c>
      <c r="B1523" s="1">
        <f>IFERROR(__xludf.DUMMYFUNCTION("""COMPUTED_VALUE"""),10860.4034)</f>
        <v>10860.4034</v>
      </c>
    </row>
    <row r="1524">
      <c r="A1524" s="3">
        <f>IFERROR(__xludf.DUMMYFUNCTION("""COMPUTED_VALUE"""),41846.99861111111)</f>
        <v>41846.99861</v>
      </c>
      <c r="B1524" s="1">
        <f>IFERROR(__xludf.DUMMYFUNCTION("""COMPUTED_VALUE"""),10885.27871)</f>
        <v>10885.27871</v>
      </c>
    </row>
    <row r="1525">
      <c r="A1525" s="3">
        <f>IFERROR(__xludf.DUMMYFUNCTION("""COMPUTED_VALUE"""),41847.99861111111)</f>
        <v>41847.99861</v>
      </c>
      <c r="B1525" s="1">
        <f>IFERROR(__xludf.DUMMYFUNCTION("""COMPUTED_VALUE"""),10890.26132)</f>
        <v>10890.26132</v>
      </c>
    </row>
    <row r="1526">
      <c r="A1526" s="3">
        <f>IFERROR(__xludf.DUMMYFUNCTION("""COMPUTED_VALUE"""),41848.99861111111)</f>
        <v>41848.99861</v>
      </c>
      <c r="B1526" s="1">
        <f>IFERROR(__xludf.DUMMYFUNCTION("""COMPUTED_VALUE"""),10871.9644)</f>
        <v>10871.9644</v>
      </c>
    </row>
    <row r="1527">
      <c r="A1527" s="3">
        <f>IFERROR(__xludf.DUMMYFUNCTION("""COMPUTED_VALUE"""),41849.99861111111)</f>
        <v>41849.99861</v>
      </c>
      <c r="B1527" s="1">
        <f>IFERROR(__xludf.DUMMYFUNCTION("""COMPUTED_VALUE"""),10851.61704)</f>
        <v>10851.61704</v>
      </c>
    </row>
    <row r="1528">
      <c r="A1528" s="3">
        <f>IFERROR(__xludf.DUMMYFUNCTION("""COMPUTED_VALUE"""),41850.99861111111)</f>
        <v>41850.99861</v>
      </c>
      <c r="B1528" s="1">
        <f>IFERROR(__xludf.DUMMYFUNCTION("""COMPUTED_VALUE"""),10779.12957)</f>
        <v>10779.12957</v>
      </c>
    </row>
    <row r="1529">
      <c r="A1529" s="3">
        <f>IFERROR(__xludf.DUMMYFUNCTION("""COMPUTED_VALUE"""),41851.99861111111)</f>
        <v>41851.99861</v>
      </c>
      <c r="B1529" s="1">
        <f>IFERROR(__xludf.DUMMYFUNCTION("""COMPUTED_VALUE"""),10932.08472)</f>
        <v>10932.08472</v>
      </c>
    </row>
    <row r="1530">
      <c r="A1530" s="3">
        <f>IFERROR(__xludf.DUMMYFUNCTION("""COMPUTED_VALUE"""),41852.99861111111)</f>
        <v>41852.99861</v>
      </c>
      <c r="B1530" s="1">
        <f>IFERROR(__xludf.DUMMYFUNCTION("""COMPUTED_VALUE"""),11042.591)</f>
        <v>11042.591</v>
      </c>
    </row>
    <row r="1531">
      <c r="A1531" s="3">
        <f>IFERROR(__xludf.DUMMYFUNCTION("""COMPUTED_VALUE"""),41853.99861111111)</f>
        <v>41853.99861</v>
      </c>
      <c r="B1531" s="1">
        <f>IFERROR(__xludf.DUMMYFUNCTION("""COMPUTED_VALUE"""),10990.54983)</f>
        <v>10990.54983</v>
      </c>
    </row>
    <row r="1532">
      <c r="A1532" s="3">
        <f>IFERROR(__xludf.DUMMYFUNCTION("""COMPUTED_VALUE"""),41854.99861111111)</f>
        <v>41854.99861</v>
      </c>
      <c r="B1532" s="1">
        <f>IFERROR(__xludf.DUMMYFUNCTION("""COMPUTED_VALUE"""),11051.06464)</f>
        <v>11051.06464</v>
      </c>
    </row>
    <row r="1533">
      <c r="A1533" s="3">
        <f>IFERROR(__xludf.DUMMYFUNCTION("""COMPUTED_VALUE"""),41855.99861111111)</f>
        <v>41855.99861</v>
      </c>
      <c r="B1533" s="1">
        <f>IFERROR(__xludf.DUMMYFUNCTION("""COMPUTED_VALUE"""),10968.1203)</f>
        <v>10968.1203</v>
      </c>
    </row>
    <row r="1534">
      <c r="A1534" s="3">
        <f>IFERROR(__xludf.DUMMYFUNCTION("""COMPUTED_VALUE"""),41856.99861111111)</f>
        <v>41856.99861</v>
      </c>
      <c r="B1534" s="1">
        <f>IFERROR(__xludf.DUMMYFUNCTION("""COMPUTED_VALUE"""),10861.2525)</f>
        <v>10861.2525</v>
      </c>
    </row>
    <row r="1535">
      <c r="A1535" s="3">
        <f>IFERROR(__xludf.DUMMYFUNCTION("""COMPUTED_VALUE"""),41857.99861111111)</f>
        <v>41857.99861</v>
      </c>
      <c r="B1535" s="1">
        <f>IFERROR(__xludf.DUMMYFUNCTION("""COMPUTED_VALUE"""),10991.3784)</f>
        <v>10991.3784</v>
      </c>
    </row>
    <row r="1536">
      <c r="A1536" s="3">
        <f>IFERROR(__xludf.DUMMYFUNCTION("""COMPUTED_VALUE"""),41858.99861111111)</f>
        <v>41858.99861</v>
      </c>
      <c r="B1536" s="1">
        <f>IFERROR(__xludf.DUMMYFUNCTION("""COMPUTED_VALUE"""),10941.5469)</f>
        <v>10941.5469</v>
      </c>
    </row>
    <row r="1537">
      <c r="A1537" s="3">
        <f>IFERROR(__xludf.DUMMYFUNCTION("""COMPUTED_VALUE"""),41859.99861111111)</f>
        <v>41859.99861</v>
      </c>
      <c r="B1537" s="1">
        <f>IFERROR(__xludf.DUMMYFUNCTION("""COMPUTED_VALUE"""),10892.313)</f>
        <v>10892.313</v>
      </c>
    </row>
    <row r="1538">
      <c r="A1538" s="3">
        <f>IFERROR(__xludf.DUMMYFUNCTION("""COMPUTED_VALUE"""),41861.99861111111)</f>
        <v>41861.99861</v>
      </c>
      <c r="B1538" s="1">
        <f>IFERROR(__xludf.DUMMYFUNCTION("""COMPUTED_VALUE"""),10963.35607)</f>
        <v>10963.35607</v>
      </c>
    </row>
    <row r="1539">
      <c r="A1539" s="3">
        <f>IFERROR(__xludf.DUMMYFUNCTION("""COMPUTED_VALUE"""),41862.99861111111)</f>
        <v>41862.99861</v>
      </c>
      <c r="B1539" s="1">
        <f>IFERROR(__xludf.DUMMYFUNCTION("""COMPUTED_VALUE"""),10838.763)</f>
        <v>10838.763</v>
      </c>
    </row>
    <row r="1540">
      <c r="A1540" s="3">
        <f>IFERROR(__xludf.DUMMYFUNCTION("""COMPUTED_VALUE"""),41863.99861111111)</f>
        <v>41863.99861</v>
      </c>
      <c r="B1540" s="1">
        <f>IFERROR(__xludf.DUMMYFUNCTION("""COMPUTED_VALUE"""),10822.688)</f>
        <v>10822.688</v>
      </c>
    </row>
    <row r="1541">
      <c r="A1541" s="3">
        <f>IFERROR(__xludf.DUMMYFUNCTION("""COMPUTED_VALUE"""),41864.99861111111)</f>
        <v>41864.99861</v>
      </c>
      <c r="B1541" s="1">
        <f>IFERROR(__xludf.DUMMYFUNCTION("""COMPUTED_VALUE"""),10872.1998)</f>
        <v>10872.1998</v>
      </c>
    </row>
    <row r="1542">
      <c r="A1542" s="3">
        <f>IFERROR(__xludf.DUMMYFUNCTION("""COMPUTED_VALUE"""),41865.99861111111)</f>
        <v>41865.99861</v>
      </c>
      <c r="B1542" s="1">
        <f>IFERROR(__xludf.DUMMYFUNCTION("""COMPUTED_VALUE"""),10872.939)</f>
        <v>10872.939</v>
      </c>
    </row>
    <row r="1543">
      <c r="A1543" s="3">
        <f>IFERROR(__xludf.DUMMYFUNCTION("""COMPUTED_VALUE"""),41866.99861111111)</f>
        <v>41866.99861</v>
      </c>
      <c r="B1543" s="1">
        <f>IFERROR(__xludf.DUMMYFUNCTION("""COMPUTED_VALUE"""),10871.77728)</f>
        <v>10871.77728</v>
      </c>
    </row>
    <row r="1544">
      <c r="A1544" s="3">
        <f>IFERROR(__xludf.DUMMYFUNCTION("""COMPUTED_VALUE"""),41868.99861111111)</f>
        <v>41868.99861</v>
      </c>
      <c r="B1544" s="1">
        <f>IFERROR(__xludf.DUMMYFUNCTION("""COMPUTED_VALUE"""),10882.35702)</f>
        <v>10882.35702</v>
      </c>
    </row>
    <row r="1545">
      <c r="A1545" s="3">
        <f>IFERROR(__xludf.DUMMYFUNCTION("""COMPUTED_VALUE"""),41869.99861111111)</f>
        <v>41869.99861</v>
      </c>
      <c r="B1545" s="1">
        <f>IFERROR(__xludf.DUMMYFUNCTION("""COMPUTED_VALUE"""),10888.096)</f>
        <v>10888.096</v>
      </c>
    </row>
    <row r="1546">
      <c r="A1546" s="3">
        <f>IFERROR(__xludf.DUMMYFUNCTION("""COMPUTED_VALUE"""),41870.99861111111)</f>
        <v>41870.99861</v>
      </c>
      <c r="B1546" s="1">
        <f>IFERROR(__xludf.DUMMYFUNCTION("""COMPUTED_VALUE"""),10845.4237)</f>
        <v>10845.4237</v>
      </c>
    </row>
    <row r="1547">
      <c r="A1547" s="3">
        <f>IFERROR(__xludf.DUMMYFUNCTION("""COMPUTED_VALUE"""),41871.99861111111)</f>
        <v>41871.99861</v>
      </c>
      <c r="B1547" s="1">
        <f>IFERROR(__xludf.DUMMYFUNCTION("""COMPUTED_VALUE"""),10864.971)</f>
        <v>10864.971</v>
      </c>
    </row>
    <row r="1548">
      <c r="A1548" s="3">
        <f>IFERROR(__xludf.DUMMYFUNCTION("""COMPUTED_VALUE"""),41872.99861111111)</f>
        <v>41872.99861</v>
      </c>
      <c r="B1548" s="1">
        <f>IFERROR(__xludf.DUMMYFUNCTION("""COMPUTED_VALUE"""),10873.3464)</f>
        <v>10873.3464</v>
      </c>
    </row>
    <row r="1549">
      <c r="A1549" s="3">
        <f>IFERROR(__xludf.DUMMYFUNCTION("""COMPUTED_VALUE"""),41873.99861111111)</f>
        <v>41873.99861</v>
      </c>
      <c r="B1549" s="1">
        <f>IFERROR(__xludf.DUMMYFUNCTION("""COMPUTED_VALUE"""),10856.8592)</f>
        <v>10856.8592</v>
      </c>
    </row>
    <row r="1550">
      <c r="A1550" s="3">
        <f>IFERROR(__xludf.DUMMYFUNCTION("""COMPUTED_VALUE"""),41874.99861111111)</f>
        <v>41874.99861</v>
      </c>
      <c r="B1550" s="1">
        <f>IFERROR(__xludf.DUMMYFUNCTION("""COMPUTED_VALUE"""),10880.83833)</f>
        <v>10880.83833</v>
      </c>
    </row>
    <row r="1551">
      <c r="A1551" s="3">
        <f>IFERROR(__xludf.DUMMYFUNCTION("""COMPUTED_VALUE"""),41875.99861111111)</f>
        <v>41875.99861</v>
      </c>
      <c r="B1551" s="1">
        <f>IFERROR(__xludf.DUMMYFUNCTION("""COMPUTED_VALUE"""),10859.8103)</f>
        <v>10859.8103</v>
      </c>
    </row>
    <row r="1552">
      <c r="A1552" s="3">
        <f>IFERROR(__xludf.DUMMYFUNCTION("""COMPUTED_VALUE"""),41876.99861111111)</f>
        <v>41876.99861</v>
      </c>
      <c r="B1552" s="1">
        <f>IFERROR(__xludf.DUMMYFUNCTION("""COMPUTED_VALUE"""),10861.593)</f>
        <v>10861.593</v>
      </c>
    </row>
    <row r="1553">
      <c r="A1553" s="3">
        <f>IFERROR(__xludf.DUMMYFUNCTION("""COMPUTED_VALUE"""),41877.99861111111)</f>
        <v>41877.99861</v>
      </c>
      <c r="B1553" s="1">
        <f>IFERROR(__xludf.DUMMYFUNCTION("""COMPUTED_VALUE"""),10894.3474)</f>
        <v>10894.3474</v>
      </c>
    </row>
    <row r="1554">
      <c r="A1554" s="3">
        <f>IFERROR(__xludf.DUMMYFUNCTION("""COMPUTED_VALUE"""),41878.99861111111)</f>
        <v>41878.99861</v>
      </c>
      <c r="B1554" s="1">
        <f>IFERROR(__xludf.DUMMYFUNCTION("""COMPUTED_VALUE"""),10889.5108)</f>
        <v>10889.5108</v>
      </c>
    </row>
    <row r="1555">
      <c r="A1555" s="3">
        <f>IFERROR(__xludf.DUMMYFUNCTION("""COMPUTED_VALUE"""),41879.99861111111)</f>
        <v>41879.99861</v>
      </c>
      <c r="B1555" s="1">
        <f>IFERROR(__xludf.DUMMYFUNCTION("""COMPUTED_VALUE"""),10960.554)</f>
        <v>10960.554</v>
      </c>
    </row>
    <row r="1556">
      <c r="A1556" s="3">
        <f>IFERROR(__xludf.DUMMYFUNCTION("""COMPUTED_VALUE"""),41880.99861111111)</f>
        <v>41880.99861</v>
      </c>
      <c r="B1556" s="1">
        <f>IFERROR(__xludf.DUMMYFUNCTION("""COMPUTED_VALUE"""),10914.12714)</f>
        <v>10914.12714</v>
      </c>
    </row>
    <row r="1557">
      <c r="A1557" s="3">
        <f>IFERROR(__xludf.DUMMYFUNCTION("""COMPUTED_VALUE"""),41882.99861111111)</f>
        <v>41882.99861</v>
      </c>
      <c r="B1557" s="1">
        <f>IFERROR(__xludf.DUMMYFUNCTION("""COMPUTED_VALUE"""),10928.56968)</f>
        <v>10928.56968</v>
      </c>
    </row>
    <row r="1558">
      <c r="A1558" s="3">
        <f>IFERROR(__xludf.DUMMYFUNCTION("""COMPUTED_VALUE"""),41883.99861111111)</f>
        <v>41883.99861</v>
      </c>
      <c r="B1558" s="1">
        <f>IFERROR(__xludf.DUMMYFUNCTION("""COMPUTED_VALUE"""),10926.491)</f>
        <v>10926.491</v>
      </c>
    </row>
    <row r="1559">
      <c r="A1559" s="3">
        <f>IFERROR(__xludf.DUMMYFUNCTION("""COMPUTED_VALUE"""),41884.99861111111)</f>
        <v>41884.99861</v>
      </c>
      <c r="B1559" s="1">
        <f>IFERROR(__xludf.DUMMYFUNCTION("""COMPUTED_VALUE"""),10896.79942)</f>
        <v>10896.79942</v>
      </c>
    </row>
    <row r="1560">
      <c r="A1560" s="3">
        <f>IFERROR(__xludf.DUMMYFUNCTION("""COMPUTED_VALUE"""),41885.99861111111)</f>
        <v>41885.99861</v>
      </c>
      <c r="B1560" s="1">
        <f>IFERROR(__xludf.DUMMYFUNCTION("""COMPUTED_VALUE"""),10994.02577)</f>
        <v>10994.02577</v>
      </c>
    </row>
    <row r="1561">
      <c r="A1561" s="3">
        <f>IFERROR(__xludf.DUMMYFUNCTION("""COMPUTED_VALUE"""),41886.99861111111)</f>
        <v>41886.99861</v>
      </c>
      <c r="B1561" s="1">
        <f>IFERROR(__xludf.DUMMYFUNCTION("""COMPUTED_VALUE"""),10966.094)</f>
        <v>10966.094</v>
      </c>
    </row>
    <row r="1562">
      <c r="A1562" s="3">
        <f>IFERROR(__xludf.DUMMYFUNCTION("""COMPUTED_VALUE"""),41887.99861111111)</f>
        <v>41887.99861</v>
      </c>
      <c r="B1562" s="1">
        <f>IFERROR(__xludf.DUMMYFUNCTION("""COMPUTED_VALUE"""),10990.5472)</f>
        <v>10990.5472</v>
      </c>
    </row>
    <row r="1563">
      <c r="A1563" s="3">
        <f>IFERROR(__xludf.DUMMYFUNCTION("""COMPUTED_VALUE"""),41889.99861111111)</f>
        <v>41889.99861</v>
      </c>
      <c r="B1563" s="1">
        <f>IFERROR(__xludf.DUMMYFUNCTION("""COMPUTED_VALUE"""),10992.83175)</f>
        <v>10992.83175</v>
      </c>
    </row>
    <row r="1564">
      <c r="A1564" s="3">
        <f>IFERROR(__xludf.DUMMYFUNCTION("""COMPUTED_VALUE"""),41890.99861111111)</f>
        <v>41890.99861</v>
      </c>
      <c r="B1564" s="1">
        <f>IFERROR(__xludf.DUMMYFUNCTION("""COMPUTED_VALUE"""),10867.3214)</f>
        <v>10867.3214</v>
      </c>
    </row>
    <row r="1565">
      <c r="A1565" s="3">
        <f>IFERROR(__xludf.DUMMYFUNCTION("""COMPUTED_VALUE"""),41891.99861111111)</f>
        <v>41891.99861</v>
      </c>
      <c r="B1565" s="1">
        <f>IFERROR(__xludf.DUMMYFUNCTION("""COMPUTED_VALUE"""),10867.51764)</f>
        <v>10867.51764</v>
      </c>
    </row>
    <row r="1566">
      <c r="A1566" s="3">
        <f>IFERROR(__xludf.DUMMYFUNCTION("""COMPUTED_VALUE"""),41892.99861111111)</f>
        <v>41892.99861</v>
      </c>
      <c r="B1566" s="1">
        <f>IFERROR(__xludf.DUMMYFUNCTION("""COMPUTED_VALUE"""),10823.7215)</f>
        <v>10823.7215</v>
      </c>
    </row>
    <row r="1567">
      <c r="A1567" s="3">
        <f>IFERROR(__xludf.DUMMYFUNCTION("""COMPUTED_VALUE"""),41893.99861111111)</f>
        <v>41893.99861</v>
      </c>
      <c r="B1567" s="1">
        <f>IFERROR(__xludf.DUMMYFUNCTION("""COMPUTED_VALUE"""),10768.6124)</f>
        <v>10768.6124</v>
      </c>
    </row>
    <row r="1568">
      <c r="A1568" s="3">
        <f>IFERROR(__xludf.DUMMYFUNCTION("""COMPUTED_VALUE"""),41894.99861111111)</f>
        <v>41894.99861</v>
      </c>
      <c r="B1568" s="1">
        <f>IFERROR(__xludf.DUMMYFUNCTION("""COMPUTED_VALUE"""),10738.45405)</f>
        <v>10738.45405</v>
      </c>
    </row>
    <row r="1569">
      <c r="A1569" s="3">
        <f>IFERROR(__xludf.DUMMYFUNCTION("""COMPUTED_VALUE"""),41895.99861111111)</f>
        <v>41895.99861</v>
      </c>
      <c r="B1569" s="1">
        <f>IFERROR(__xludf.DUMMYFUNCTION("""COMPUTED_VALUE"""),10755.95066)</f>
        <v>10755.95066</v>
      </c>
    </row>
    <row r="1570">
      <c r="A1570" s="3">
        <f>IFERROR(__xludf.DUMMYFUNCTION("""COMPUTED_VALUE"""),41896.99861111111)</f>
        <v>41896.99861</v>
      </c>
      <c r="B1570" s="1">
        <f>IFERROR(__xludf.DUMMYFUNCTION("""COMPUTED_VALUE"""),10721.42685)</f>
        <v>10721.42685</v>
      </c>
    </row>
    <row r="1571">
      <c r="A1571" s="3">
        <f>IFERROR(__xludf.DUMMYFUNCTION("""COMPUTED_VALUE"""),41897.99861111111)</f>
        <v>41897.99861</v>
      </c>
      <c r="B1571" s="1">
        <f>IFERROR(__xludf.DUMMYFUNCTION("""COMPUTED_VALUE"""),10775.03735)</f>
        <v>10775.03735</v>
      </c>
    </row>
    <row r="1572">
      <c r="A1572" s="3">
        <f>IFERROR(__xludf.DUMMYFUNCTION("""COMPUTED_VALUE"""),41898.99861111111)</f>
        <v>41898.99861</v>
      </c>
      <c r="B1572" s="1">
        <f>IFERROR(__xludf.DUMMYFUNCTION("""COMPUTED_VALUE"""),10876.3875)</f>
        <v>10876.3875</v>
      </c>
    </row>
    <row r="1573">
      <c r="A1573" s="3">
        <f>IFERROR(__xludf.DUMMYFUNCTION("""COMPUTED_VALUE"""),41899.99861111111)</f>
        <v>41899.99861</v>
      </c>
      <c r="B1573" s="1">
        <f>IFERROR(__xludf.DUMMYFUNCTION("""COMPUTED_VALUE"""),10691.75522)</f>
        <v>10691.75522</v>
      </c>
    </row>
    <row r="1574">
      <c r="A1574" s="3">
        <f>IFERROR(__xludf.DUMMYFUNCTION("""COMPUTED_VALUE"""),41900.99861111111)</f>
        <v>41900.99861</v>
      </c>
      <c r="B1574" s="1">
        <f>IFERROR(__xludf.DUMMYFUNCTION("""COMPUTED_VALUE"""),10751.7527)</f>
        <v>10751.7527</v>
      </c>
    </row>
    <row r="1575">
      <c r="A1575" s="3">
        <f>IFERROR(__xludf.DUMMYFUNCTION("""COMPUTED_VALUE"""),41901.99861111111)</f>
        <v>41901.99861</v>
      </c>
      <c r="B1575" s="1">
        <f>IFERROR(__xludf.DUMMYFUNCTION("""COMPUTED_VALUE"""),10689.19549)</f>
        <v>10689.19549</v>
      </c>
    </row>
    <row r="1576">
      <c r="A1576" s="3">
        <f>IFERROR(__xludf.DUMMYFUNCTION("""COMPUTED_VALUE"""),41902.99861111111)</f>
        <v>41902.99861</v>
      </c>
      <c r="B1576" s="1">
        <f>IFERROR(__xludf.DUMMYFUNCTION("""COMPUTED_VALUE"""),10713.08352)</f>
        <v>10713.08352</v>
      </c>
    </row>
    <row r="1577">
      <c r="A1577" s="3">
        <f>IFERROR(__xludf.DUMMYFUNCTION("""COMPUTED_VALUE"""),41903.99861111111)</f>
        <v>41903.99861</v>
      </c>
      <c r="B1577" s="1">
        <f>IFERROR(__xludf.DUMMYFUNCTION("""COMPUTED_VALUE"""),10724.60812)</f>
        <v>10724.60812</v>
      </c>
    </row>
    <row r="1578">
      <c r="A1578" s="3">
        <f>IFERROR(__xludf.DUMMYFUNCTION("""COMPUTED_VALUE"""),41904.99861111111)</f>
        <v>41904.99861</v>
      </c>
      <c r="B1578" s="1">
        <f>IFERROR(__xludf.DUMMYFUNCTION("""COMPUTED_VALUE"""),10640.5488)</f>
        <v>10640.5488</v>
      </c>
    </row>
    <row r="1579">
      <c r="A1579" s="3">
        <f>IFERROR(__xludf.DUMMYFUNCTION("""COMPUTED_VALUE"""),41905.99861111111)</f>
        <v>41905.99861</v>
      </c>
      <c r="B1579" s="1">
        <f>IFERROR(__xludf.DUMMYFUNCTION("""COMPUTED_VALUE"""),10594.647)</f>
        <v>10594.647</v>
      </c>
    </row>
    <row r="1580">
      <c r="A1580" s="3">
        <f>IFERROR(__xludf.DUMMYFUNCTION("""COMPUTED_VALUE"""),41906.99861111111)</f>
        <v>41906.99861</v>
      </c>
      <c r="B1580" s="1">
        <f>IFERROR(__xludf.DUMMYFUNCTION("""COMPUTED_VALUE"""),10598.57649)</f>
        <v>10598.57649</v>
      </c>
    </row>
    <row r="1581">
      <c r="A1581" s="3">
        <f>IFERROR(__xludf.DUMMYFUNCTION("""COMPUTED_VALUE"""),41907.99861111111)</f>
        <v>41907.99861</v>
      </c>
      <c r="B1581" s="1">
        <f>IFERROR(__xludf.DUMMYFUNCTION("""COMPUTED_VALUE"""),10538.2444)</f>
        <v>10538.2444</v>
      </c>
    </row>
    <row r="1582">
      <c r="A1582" s="3">
        <f>IFERROR(__xludf.DUMMYFUNCTION("""COMPUTED_VALUE"""),41908.99861111111)</f>
        <v>41908.99861</v>
      </c>
      <c r="B1582" s="1">
        <f>IFERROR(__xludf.DUMMYFUNCTION("""COMPUTED_VALUE"""),10559.897)</f>
        <v>10559.897</v>
      </c>
    </row>
    <row r="1583">
      <c r="A1583" s="3">
        <f>IFERROR(__xludf.DUMMYFUNCTION("""COMPUTED_VALUE"""),41909.99861111111)</f>
        <v>41909.99861</v>
      </c>
      <c r="B1583" s="1">
        <f>IFERROR(__xludf.DUMMYFUNCTION("""COMPUTED_VALUE"""),10569.35526)</f>
        <v>10569.35526</v>
      </c>
    </row>
    <row r="1584">
      <c r="A1584" s="3">
        <f>IFERROR(__xludf.DUMMYFUNCTION("""COMPUTED_VALUE"""),41910.99861111111)</f>
        <v>41910.99861</v>
      </c>
      <c r="B1584" s="1">
        <f>IFERROR(__xludf.DUMMYFUNCTION("""COMPUTED_VALUE"""),10554.51811)</f>
        <v>10554.51811</v>
      </c>
    </row>
    <row r="1585">
      <c r="A1585" s="3">
        <f>IFERROR(__xludf.DUMMYFUNCTION("""COMPUTED_VALUE"""),41911.99861111111)</f>
        <v>41911.99861</v>
      </c>
      <c r="B1585" s="1">
        <f>IFERROR(__xludf.DUMMYFUNCTION("""COMPUTED_VALUE"""),10585.3956)</f>
        <v>10585.3956</v>
      </c>
    </row>
    <row r="1586">
      <c r="A1586" s="3">
        <f>IFERROR(__xludf.DUMMYFUNCTION("""COMPUTED_VALUE"""),41912.99861111111)</f>
        <v>41912.99861</v>
      </c>
      <c r="B1586" s="1">
        <f>IFERROR(__xludf.DUMMYFUNCTION("""COMPUTED_VALUE"""),10647.0375)</f>
        <v>10647.0375</v>
      </c>
    </row>
    <row r="1587">
      <c r="A1587" s="3">
        <f>IFERROR(__xludf.DUMMYFUNCTION("""COMPUTED_VALUE"""),41913.99861111111)</f>
        <v>41913.99861</v>
      </c>
      <c r="B1587" s="1">
        <f>IFERROR(__xludf.DUMMYFUNCTION("""COMPUTED_VALUE"""),10596.4041)</f>
        <v>10596.4041</v>
      </c>
    </row>
    <row r="1588">
      <c r="A1588" s="3">
        <f>IFERROR(__xludf.DUMMYFUNCTION("""COMPUTED_VALUE"""),41914.99861111111)</f>
        <v>41914.99861</v>
      </c>
      <c r="B1588" s="1">
        <f>IFERROR(__xludf.DUMMYFUNCTION("""COMPUTED_VALUE"""),10652.86736)</f>
        <v>10652.86736</v>
      </c>
    </row>
    <row r="1589">
      <c r="A1589" s="3">
        <f>IFERROR(__xludf.DUMMYFUNCTION("""COMPUTED_VALUE"""),41915.99861111111)</f>
        <v>41915.99861</v>
      </c>
      <c r="B1589" s="1">
        <f>IFERROR(__xludf.DUMMYFUNCTION("""COMPUTED_VALUE"""),10565.7994)</f>
        <v>10565.7994</v>
      </c>
    </row>
    <row r="1590">
      <c r="A1590" s="3">
        <f>IFERROR(__xludf.DUMMYFUNCTION("""COMPUTED_VALUE"""),41916.99861111111)</f>
        <v>41916.99861</v>
      </c>
      <c r="B1590" s="1">
        <f>IFERROR(__xludf.DUMMYFUNCTION("""COMPUTED_VALUE"""),10578.04708)</f>
        <v>10578.04708</v>
      </c>
    </row>
    <row r="1591">
      <c r="A1591" s="3">
        <f>IFERROR(__xludf.DUMMYFUNCTION("""COMPUTED_VALUE"""),41917.99861111111)</f>
        <v>41917.99861</v>
      </c>
      <c r="B1591" s="1">
        <f>IFERROR(__xludf.DUMMYFUNCTION("""COMPUTED_VALUE"""),10553.65684)</f>
        <v>10553.65684</v>
      </c>
    </row>
    <row r="1592">
      <c r="A1592" s="3">
        <f>IFERROR(__xludf.DUMMYFUNCTION("""COMPUTED_VALUE"""),41918.99861111111)</f>
        <v>41918.99861</v>
      </c>
      <c r="B1592" s="1">
        <f>IFERROR(__xludf.DUMMYFUNCTION("""COMPUTED_VALUE"""),10649.2749)</f>
        <v>10649.2749</v>
      </c>
    </row>
    <row r="1593">
      <c r="A1593" s="3">
        <f>IFERROR(__xludf.DUMMYFUNCTION("""COMPUTED_VALUE"""),41919.99861111111)</f>
        <v>41919.99861</v>
      </c>
      <c r="B1593" s="1">
        <f>IFERROR(__xludf.DUMMYFUNCTION("""COMPUTED_VALUE"""),10757.949)</f>
        <v>10757.949</v>
      </c>
    </row>
    <row r="1594">
      <c r="A1594" s="3">
        <f>IFERROR(__xludf.DUMMYFUNCTION("""COMPUTED_VALUE"""),41920.99861111111)</f>
        <v>41920.99861</v>
      </c>
      <c r="B1594" s="1">
        <f>IFERROR(__xludf.DUMMYFUNCTION("""COMPUTED_VALUE"""),10786.5582)</f>
        <v>10786.5582</v>
      </c>
    </row>
    <row r="1595">
      <c r="A1595" s="3">
        <f>IFERROR(__xludf.DUMMYFUNCTION("""COMPUTED_VALUE"""),41921.99861111111)</f>
        <v>41921.99861</v>
      </c>
      <c r="B1595" s="1">
        <f>IFERROR(__xludf.DUMMYFUNCTION("""COMPUTED_VALUE"""),10683.8496)</f>
        <v>10683.8496</v>
      </c>
    </row>
    <row r="1596">
      <c r="A1596" s="3">
        <f>IFERROR(__xludf.DUMMYFUNCTION("""COMPUTED_VALUE"""),41922.99861111111)</f>
        <v>41922.99861</v>
      </c>
      <c r="B1596" s="1">
        <f>IFERROR(__xludf.DUMMYFUNCTION("""COMPUTED_VALUE"""),10597.1811)</f>
        <v>10597.1811</v>
      </c>
    </row>
    <row r="1597">
      <c r="A1597" s="3">
        <f>IFERROR(__xludf.DUMMYFUNCTION("""COMPUTED_VALUE"""),41923.99861111111)</f>
        <v>41923.99861</v>
      </c>
      <c r="B1597" s="1">
        <f>IFERROR(__xludf.DUMMYFUNCTION("""COMPUTED_VALUE"""),10613.68422)</f>
        <v>10613.68422</v>
      </c>
    </row>
    <row r="1598">
      <c r="A1598" s="3">
        <f>IFERROR(__xludf.DUMMYFUNCTION("""COMPUTED_VALUE"""),41924.99861111111)</f>
        <v>41924.99861</v>
      </c>
      <c r="B1598" s="1">
        <f>IFERROR(__xludf.DUMMYFUNCTION("""COMPUTED_VALUE"""),10584.83339)</f>
        <v>10584.83339</v>
      </c>
    </row>
    <row r="1599">
      <c r="A1599" s="3">
        <f>IFERROR(__xludf.DUMMYFUNCTION("""COMPUTED_VALUE"""),41925.99861111111)</f>
        <v>41925.99861</v>
      </c>
      <c r="B1599" s="1">
        <f>IFERROR(__xludf.DUMMYFUNCTION("""COMPUTED_VALUE"""),10682.076)</f>
        <v>10682.076</v>
      </c>
    </row>
    <row r="1600">
      <c r="A1600" s="3">
        <f>IFERROR(__xludf.DUMMYFUNCTION("""COMPUTED_VALUE"""),41926.99861111111)</f>
        <v>41926.99861</v>
      </c>
      <c r="B1600" s="1">
        <f>IFERROR(__xludf.DUMMYFUNCTION("""COMPUTED_VALUE"""),10621.04256)</f>
        <v>10621.04256</v>
      </c>
    </row>
    <row r="1601">
      <c r="A1601" s="3">
        <f>IFERROR(__xludf.DUMMYFUNCTION("""COMPUTED_VALUE"""),41927.99861111111)</f>
        <v>41927.99861</v>
      </c>
      <c r="B1601" s="1">
        <f>IFERROR(__xludf.DUMMYFUNCTION("""COMPUTED_VALUE"""),10758.5373)</f>
        <v>10758.5373</v>
      </c>
    </row>
    <row r="1602">
      <c r="A1602" s="3">
        <f>IFERROR(__xludf.DUMMYFUNCTION("""COMPUTED_VALUE"""),41928.99861111111)</f>
        <v>41928.99861</v>
      </c>
      <c r="B1602" s="1">
        <f>IFERROR(__xludf.DUMMYFUNCTION("""COMPUTED_VALUE"""),10688.2677)</f>
        <v>10688.2677</v>
      </c>
    </row>
    <row r="1603">
      <c r="A1603" s="3">
        <f>IFERROR(__xludf.DUMMYFUNCTION("""COMPUTED_VALUE"""),41929.99861111111)</f>
        <v>41929.99861</v>
      </c>
      <c r="B1603" s="1">
        <f>IFERROR(__xludf.DUMMYFUNCTION("""COMPUTED_VALUE"""),10582.5939)</f>
        <v>10582.5939</v>
      </c>
    </row>
    <row r="1604">
      <c r="A1604" s="3">
        <f>IFERROR(__xludf.DUMMYFUNCTION("""COMPUTED_VALUE"""),41930.99861111111)</f>
        <v>41930.99861</v>
      </c>
      <c r="B1604" s="1">
        <f>IFERROR(__xludf.DUMMYFUNCTION("""COMPUTED_VALUE"""),10597.5739)</f>
        <v>10597.5739</v>
      </c>
    </row>
    <row r="1605">
      <c r="A1605" s="3">
        <f>IFERROR(__xludf.DUMMYFUNCTION("""COMPUTED_VALUE"""),41931.99861111111)</f>
        <v>41931.99861</v>
      </c>
      <c r="B1605" s="1">
        <f>IFERROR(__xludf.DUMMYFUNCTION("""COMPUTED_VALUE"""),10615.14965)</f>
        <v>10615.14965</v>
      </c>
    </row>
    <row r="1606">
      <c r="A1606" s="3">
        <f>IFERROR(__xludf.DUMMYFUNCTION("""COMPUTED_VALUE"""),41932.99861111111)</f>
        <v>41932.99861</v>
      </c>
      <c r="B1606" s="1">
        <f>IFERROR(__xludf.DUMMYFUNCTION("""COMPUTED_VALUE"""),10563.70182)</f>
        <v>10563.70182</v>
      </c>
    </row>
    <row r="1607">
      <c r="A1607" s="3">
        <f>IFERROR(__xludf.DUMMYFUNCTION("""COMPUTED_VALUE"""),41933.99861111111)</f>
        <v>41933.99861</v>
      </c>
      <c r="B1607" s="1">
        <f>IFERROR(__xludf.DUMMYFUNCTION("""COMPUTED_VALUE"""),10509.0029)</f>
        <v>10509.0029</v>
      </c>
    </row>
    <row r="1608">
      <c r="A1608" s="3">
        <f>IFERROR(__xludf.DUMMYFUNCTION("""COMPUTED_VALUE"""),41934.99861111111)</f>
        <v>41934.99861</v>
      </c>
      <c r="B1608" s="1">
        <f>IFERROR(__xludf.DUMMYFUNCTION("""COMPUTED_VALUE"""),10505.3818)</f>
        <v>10505.3818</v>
      </c>
    </row>
    <row r="1609">
      <c r="A1609" s="3">
        <f>IFERROR(__xludf.DUMMYFUNCTION("""COMPUTED_VALUE"""),41935.99861111111)</f>
        <v>41935.99861</v>
      </c>
      <c r="B1609" s="1">
        <f>IFERROR(__xludf.DUMMYFUNCTION("""COMPUTED_VALUE"""),10562.3499)</f>
        <v>10562.3499</v>
      </c>
    </row>
    <row r="1610">
      <c r="A1610" s="3">
        <f>IFERROR(__xludf.DUMMYFUNCTION("""COMPUTED_VALUE"""),41936.99861111111)</f>
        <v>41936.99861</v>
      </c>
      <c r="B1610" s="1">
        <f>IFERROR(__xludf.DUMMYFUNCTION("""COMPUTED_VALUE"""),10619.35875)</f>
        <v>10619.35875</v>
      </c>
    </row>
    <row r="1611">
      <c r="A1611" s="3">
        <f>IFERROR(__xludf.DUMMYFUNCTION("""COMPUTED_VALUE"""),41937.99861111111)</f>
        <v>41937.99861</v>
      </c>
      <c r="B1611" s="1">
        <f>IFERROR(__xludf.DUMMYFUNCTION("""COMPUTED_VALUE"""),10629.98049)</f>
        <v>10629.98049</v>
      </c>
    </row>
    <row r="1612">
      <c r="A1612" s="3">
        <f>IFERROR(__xludf.DUMMYFUNCTION("""COMPUTED_VALUE"""),41938.99861111111)</f>
        <v>41938.99861</v>
      </c>
      <c r="B1612" s="1">
        <f>IFERROR(__xludf.DUMMYFUNCTION("""COMPUTED_VALUE"""),10637.96114)</f>
        <v>10637.96114</v>
      </c>
    </row>
    <row r="1613">
      <c r="A1613" s="3">
        <f>IFERROR(__xludf.DUMMYFUNCTION("""COMPUTED_VALUE"""),41939.99861111111)</f>
        <v>41939.99861</v>
      </c>
      <c r="B1613" s="1">
        <f>IFERROR(__xludf.DUMMYFUNCTION("""COMPUTED_VALUE"""),10645.459)</f>
        <v>10645.459</v>
      </c>
    </row>
    <row r="1614">
      <c r="A1614" s="3">
        <f>IFERROR(__xludf.DUMMYFUNCTION("""COMPUTED_VALUE"""),41940.99861111111)</f>
        <v>41940.99861</v>
      </c>
      <c r="B1614" s="1">
        <f>IFERROR(__xludf.DUMMYFUNCTION("""COMPUTED_VALUE"""),10752.1683)</f>
        <v>10752.1683</v>
      </c>
    </row>
    <row r="1615">
      <c r="A1615" s="3">
        <f>IFERROR(__xludf.DUMMYFUNCTION("""COMPUTED_VALUE"""),41941.99861111111)</f>
        <v>41941.99861</v>
      </c>
      <c r="B1615" s="1">
        <f>IFERROR(__xludf.DUMMYFUNCTION("""COMPUTED_VALUE"""),10601.0564)</f>
        <v>10601.0564</v>
      </c>
    </row>
    <row r="1616">
      <c r="A1616" s="3">
        <f>IFERROR(__xludf.DUMMYFUNCTION("""COMPUTED_VALUE"""),41942.99861111111)</f>
        <v>41942.99861</v>
      </c>
      <c r="B1616" s="1">
        <f>IFERROR(__xludf.DUMMYFUNCTION("""COMPUTED_VALUE"""),10726.02)</f>
        <v>10726.02</v>
      </c>
    </row>
    <row r="1617">
      <c r="A1617" s="3">
        <f>IFERROR(__xludf.DUMMYFUNCTION("""COMPUTED_VALUE"""),41943.99861111111)</f>
        <v>41943.99861</v>
      </c>
      <c r="B1617" s="1">
        <f>IFERROR(__xludf.DUMMYFUNCTION("""COMPUTED_VALUE"""),10614.9615)</f>
        <v>10614.9615</v>
      </c>
    </row>
    <row r="1618">
      <c r="A1618" s="3">
        <f>IFERROR(__xludf.DUMMYFUNCTION("""COMPUTED_VALUE"""),41945.99861111111)</f>
        <v>41945.99861</v>
      </c>
      <c r="B1618" s="1">
        <f>IFERROR(__xludf.DUMMYFUNCTION("""COMPUTED_VALUE"""),10575.56699)</f>
        <v>10575.56699</v>
      </c>
    </row>
    <row r="1619">
      <c r="A1619" s="3">
        <f>IFERROR(__xludf.DUMMYFUNCTION("""COMPUTED_VALUE"""),41946.99861111111)</f>
        <v>41946.99861</v>
      </c>
      <c r="B1619" s="1">
        <f>IFERROR(__xludf.DUMMYFUNCTION("""COMPUTED_VALUE"""),10525.8258)</f>
        <v>10525.8258</v>
      </c>
    </row>
    <row r="1620">
      <c r="A1620" s="3">
        <f>IFERROR(__xludf.DUMMYFUNCTION("""COMPUTED_VALUE"""),41947.99861111111)</f>
        <v>41947.99861</v>
      </c>
      <c r="B1620" s="1">
        <f>IFERROR(__xludf.DUMMYFUNCTION("""COMPUTED_VALUE"""),10592.9803)</f>
        <v>10592.9803</v>
      </c>
    </row>
    <row r="1621">
      <c r="A1621" s="3">
        <f>IFERROR(__xludf.DUMMYFUNCTION("""COMPUTED_VALUE"""),41948.99861111111)</f>
        <v>41948.99861</v>
      </c>
      <c r="B1621" s="1">
        <f>IFERROR(__xludf.DUMMYFUNCTION("""COMPUTED_VALUE"""),10442.4975)</f>
        <v>10442.4975</v>
      </c>
    </row>
    <row r="1622">
      <c r="A1622" s="3">
        <f>IFERROR(__xludf.DUMMYFUNCTION("""COMPUTED_VALUE"""),41949.99861111111)</f>
        <v>41949.99861</v>
      </c>
      <c r="B1622" s="1">
        <f>IFERROR(__xludf.DUMMYFUNCTION("""COMPUTED_VALUE"""),10402.83)</f>
        <v>10402.83</v>
      </c>
    </row>
    <row r="1623">
      <c r="A1623" s="3">
        <f>IFERROR(__xludf.DUMMYFUNCTION("""COMPUTED_VALUE"""),41950.99861111111)</f>
        <v>41950.99861</v>
      </c>
      <c r="B1623" s="1">
        <f>IFERROR(__xludf.DUMMYFUNCTION("""COMPUTED_VALUE"""),10507.63375)</f>
        <v>10507.63375</v>
      </c>
    </row>
    <row r="1624">
      <c r="A1624" s="3">
        <f>IFERROR(__xludf.DUMMYFUNCTION("""COMPUTED_VALUE"""),41952.99861111111)</f>
        <v>41952.99861</v>
      </c>
      <c r="B1624" s="1">
        <f>IFERROR(__xludf.DUMMYFUNCTION("""COMPUTED_VALUE"""),10538.53489)</f>
        <v>10538.53489</v>
      </c>
    </row>
    <row r="1625">
      <c r="A1625" s="3">
        <f>IFERROR(__xludf.DUMMYFUNCTION("""COMPUTED_VALUE"""),41953.99861111111)</f>
        <v>41953.99861</v>
      </c>
      <c r="B1625" s="1">
        <f>IFERROR(__xludf.DUMMYFUNCTION("""COMPUTED_VALUE"""),10488.7926)</f>
        <v>10488.7926</v>
      </c>
    </row>
    <row r="1626">
      <c r="A1626" s="3">
        <f>IFERROR(__xludf.DUMMYFUNCTION("""COMPUTED_VALUE"""),41954.99861111111)</f>
        <v>41954.99861</v>
      </c>
      <c r="B1626" s="1">
        <f>IFERROR(__xludf.DUMMYFUNCTION("""COMPUTED_VALUE"""),10555.84736)</f>
        <v>10555.84736</v>
      </c>
    </row>
    <row r="1627">
      <c r="A1627" s="3">
        <f>IFERROR(__xludf.DUMMYFUNCTION("""COMPUTED_VALUE"""),41955.99861111111)</f>
        <v>41955.99861</v>
      </c>
      <c r="B1627" s="1">
        <f>IFERROR(__xludf.DUMMYFUNCTION("""COMPUTED_VALUE"""),10610.24594)</f>
        <v>10610.24594</v>
      </c>
    </row>
    <row r="1628">
      <c r="A1628" s="3">
        <f>IFERROR(__xludf.DUMMYFUNCTION("""COMPUTED_VALUE"""),41956.99861111111)</f>
        <v>41956.99861</v>
      </c>
      <c r="B1628" s="1">
        <f>IFERROR(__xludf.DUMMYFUNCTION("""COMPUTED_VALUE"""),10607.19919)</f>
        <v>10607.19919</v>
      </c>
    </row>
    <row r="1629">
      <c r="A1629" s="3">
        <f>IFERROR(__xludf.DUMMYFUNCTION("""COMPUTED_VALUE"""),41957.99861111111)</f>
        <v>41957.99861</v>
      </c>
      <c r="B1629" s="1">
        <f>IFERROR(__xludf.DUMMYFUNCTION("""COMPUTED_VALUE"""),10668.29)</f>
        <v>10668.29</v>
      </c>
    </row>
    <row r="1630">
      <c r="A1630" s="3">
        <f>IFERROR(__xludf.DUMMYFUNCTION("""COMPUTED_VALUE"""),41958.99861111111)</f>
        <v>41958.99861</v>
      </c>
      <c r="B1630" s="1">
        <f>IFERROR(__xludf.DUMMYFUNCTION("""COMPUTED_VALUE"""),10688.25629)</f>
        <v>10688.25629</v>
      </c>
    </row>
    <row r="1631">
      <c r="A1631" s="3">
        <f>IFERROR(__xludf.DUMMYFUNCTION("""COMPUTED_VALUE"""),41959.99861111111)</f>
        <v>41959.99861</v>
      </c>
      <c r="B1631" s="1">
        <f>IFERROR(__xludf.DUMMYFUNCTION("""COMPUTED_VALUE"""),10696.81375)</f>
        <v>10696.81375</v>
      </c>
    </row>
    <row r="1632">
      <c r="A1632" s="3">
        <f>IFERROR(__xludf.DUMMYFUNCTION("""COMPUTED_VALUE"""),41960.99861111111)</f>
        <v>41960.99861</v>
      </c>
      <c r="B1632" s="1">
        <f>IFERROR(__xludf.DUMMYFUNCTION("""COMPUTED_VALUE"""),10617.4548)</f>
        <v>10617.4548</v>
      </c>
    </row>
    <row r="1633">
      <c r="A1633" s="3">
        <f>IFERROR(__xludf.DUMMYFUNCTION("""COMPUTED_VALUE"""),41961.99861111111)</f>
        <v>41961.99861</v>
      </c>
      <c r="B1633" s="1">
        <f>IFERROR(__xludf.DUMMYFUNCTION("""COMPUTED_VALUE"""),10556.38875)</f>
        <v>10556.38875</v>
      </c>
    </row>
    <row r="1634">
      <c r="A1634" s="3">
        <f>IFERROR(__xludf.DUMMYFUNCTION("""COMPUTED_VALUE"""),41962.99861111111)</f>
        <v>41962.99861</v>
      </c>
      <c r="B1634" s="1">
        <f>IFERROR(__xludf.DUMMYFUNCTION("""COMPUTED_VALUE"""),10399.2486)</f>
        <v>10399.2486</v>
      </c>
    </row>
    <row r="1635">
      <c r="A1635" s="3">
        <f>IFERROR(__xludf.DUMMYFUNCTION("""COMPUTED_VALUE"""),41963.99861111111)</f>
        <v>41963.99861</v>
      </c>
      <c r="B1635" s="1">
        <f>IFERROR(__xludf.DUMMYFUNCTION("""COMPUTED_VALUE"""),10458.28201)</f>
        <v>10458.28201</v>
      </c>
    </row>
    <row r="1636">
      <c r="A1636" s="3">
        <f>IFERROR(__xludf.DUMMYFUNCTION("""COMPUTED_VALUE"""),41964.99861111111)</f>
        <v>41964.99861</v>
      </c>
      <c r="B1636" s="1">
        <f>IFERROR(__xludf.DUMMYFUNCTION("""COMPUTED_VALUE"""),10514.4578)</f>
        <v>10514.4578</v>
      </c>
    </row>
    <row r="1637">
      <c r="A1637" s="3">
        <f>IFERROR(__xludf.DUMMYFUNCTION("""COMPUTED_VALUE"""),41965.99861111111)</f>
        <v>41965.99861</v>
      </c>
      <c r="B1637" s="1">
        <f>IFERROR(__xludf.DUMMYFUNCTION("""COMPUTED_VALUE"""),10622.54732)</f>
        <v>10622.54732</v>
      </c>
    </row>
    <row r="1638">
      <c r="A1638" s="3">
        <f>IFERROR(__xludf.DUMMYFUNCTION("""COMPUTED_VALUE"""),41966.99861111111)</f>
        <v>41966.99861</v>
      </c>
      <c r="B1638" s="1">
        <f>IFERROR(__xludf.DUMMYFUNCTION("""COMPUTED_VALUE"""),10545.55781)</f>
        <v>10545.55781</v>
      </c>
    </row>
    <row r="1639">
      <c r="A1639" s="3">
        <f>IFERROR(__xludf.DUMMYFUNCTION("""COMPUTED_VALUE"""),41967.99861111111)</f>
        <v>41967.99861</v>
      </c>
      <c r="B1639" s="1">
        <f>IFERROR(__xludf.DUMMYFUNCTION("""COMPUTED_VALUE"""),10427.1002)</f>
        <v>10427.1002</v>
      </c>
    </row>
    <row r="1640">
      <c r="A1640" s="3">
        <f>IFERROR(__xludf.DUMMYFUNCTION("""COMPUTED_VALUE"""),41968.99861111111)</f>
        <v>41968.99861</v>
      </c>
      <c r="B1640" s="1">
        <f>IFERROR(__xludf.DUMMYFUNCTION("""COMPUTED_VALUE"""),10367.28451)</f>
        <v>10367.28451</v>
      </c>
    </row>
    <row r="1641">
      <c r="A1641" s="3">
        <f>IFERROR(__xludf.DUMMYFUNCTION("""COMPUTED_VALUE"""),41969.99861111111)</f>
        <v>41969.99861</v>
      </c>
      <c r="B1641" s="1">
        <f>IFERROR(__xludf.DUMMYFUNCTION("""COMPUTED_VALUE"""),10384.0575)</f>
        <v>10384.0575</v>
      </c>
    </row>
    <row r="1642">
      <c r="A1642" s="3">
        <f>IFERROR(__xludf.DUMMYFUNCTION("""COMPUTED_VALUE"""),41970.99861111111)</f>
        <v>41970.99861</v>
      </c>
      <c r="B1642" s="1">
        <f>IFERROR(__xludf.DUMMYFUNCTION("""COMPUTED_VALUE"""),10367.86475)</f>
        <v>10367.86475</v>
      </c>
    </row>
    <row r="1643">
      <c r="A1643" s="3">
        <f>IFERROR(__xludf.DUMMYFUNCTION("""COMPUTED_VALUE"""),41971.99861111111)</f>
        <v>41971.99861</v>
      </c>
      <c r="B1643" s="1">
        <f>IFERROR(__xludf.DUMMYFUNCTION("""COMPUTED_VALUE"""),10351.79375)</f>
        <v>10351.79375</v>
      </c>
    </row>
    <row r="1644">
      <c r="A1644" s="3">
        <f>IFERROR(__xludf.DUMMYFUNCTION("""COMPUTED_VALUE"""),41973.99861111111)</f>
        <v>41973.99861</v>
      </c>
      <c r="B1644" s="1">
        <f>IFERROR(__xludf.DUMMYFUNCTION("""COMPUTED_VALUE"""),10291.46176)</f>
        <v>10291.46176</v>
      </c>
    </row>
    <row r="1645">
      <c r="A1645" s="3">
        <f>IFERROR(__xludf.DUMMYFUNCTION("""COMPUTED_VALUE"""),41974.99861111111)</f>
        <v>41974.99861</v>
      </c>
      <c r="B1645" s="1">
        <f>IFERROR(__xludf.DUMMYFUNCTION("""COMPUTED_VALUE"""),10412.766)</f>
        <v>10412.766</v>
      </c>
    </row>
    <row r="1646">
      <c r="A1646" s="3">
        <f>IFERROR(__xludf.DUMMYFUNCTION("""COMPUTED_VALUE"""),41975.99861111111)</f>
        <v>41975.99861</v>
      </c>
      <c r="B1646" s="1">
        <f>IFERROR(__xludf.DUMMYFUNCTION("""COMPUTED_VALUE"""),10393.3557)</f>
        <v>10393.3557</v>
      </c>
    </row>
    <row r="1647">
      <c r="A1647" s="3">
        <f>IFERROR(__xludf.DUMMYFUNCTION("""COMPUTED_VALUE"""),41976.99861111111)</f>
        <v>41976.99861</v>
      </c>
      <c r="B1647" s="1">
        <f>IFERROR(__xludf.DUMMYFUNCTION("""COMPUTED_VALUE"""),10313.87175)</f>
        <v>10313.87175</v>
      </c>
    </row>
    <row r="1648">
      <c r="A1648" s="3">
        <f>IFERROR(__xludf.DUMMYFUNCTION("""COMPUTED_VALUE"""),41977.99861111111)</f>
        <v>41977.99861</v>
      </c>
      <c r="B1648" s="1">
        <f>IFERROR(__xludf.DUMMYFUNCTION("""COMPUTED_VALUE"""),10301.09535)</f>
        <v>10301.09535</v>
      </c>
    </row>
    <row r="1649">
      <c r="A1649" s="3">
        <f>IFERROR(__xludf.DUMMYFUNCTION("""COMPUTED_VALUE"""),41978.99861111111)</f>
        <v>41978.99861</v>
      </c>
      <c r="B1649" s="1">
        <f>IFERROR(__xludf.DUMMYFUNCTION("""COMPUTED_VALUE"""),10217.6802)</f>
        <v>10217.6802</v>
      </c>
    </row>
    <row r="1650">
      <c r="A1650" s="3">
        <f>IFERROR(__xludf.DUMMYFUNCTION("""COMPUTED_VALUE"""),41979.99861111111)</f>
        <v>41979.99861</v>
      </c>
      <c r="B1650" s="1">
        <f>IFERROR(__xludf.DUMMYFUNCTION("""COMPUTED_VALUE"""),10327.53685)</f>
        <v>10327.53685</v>
      </c>
    </row>
    <row r="1651">
      <c r="A1651" s="3">
        <f>IFERROR(__xludf.DUMMYFUNCTION("""COMPUTED_VALUE"""),41980.99861111111)</f>
        <v>41980.99861</v>
      </c>
      <c r="B1651" s="1">
        <f>IFERROR(__xludf.DUMMYFUNCTION("""COMPUTED_VALUE"""),10216.47967)</f>
        <v>10216.47967</v>
      </c>
    </row>
    <row r="1652">
      <c r="A1652" s="3">
        <f>IFERROR(__xludf.DUMMYFUNCTION("""COMPUTED_VALUE"""),41981.99861111111)</f>
        <v>41981.99861</v>
      </c>
      <c r="B1652" s="1">
        <f>IFERROR(__xludf.DUMMYFUNCTION("""COMPUTED_VALUE"""),10191.636)</f>
        <v>10191.636</v>
      </c>
    </row>
    <row r="1653">
      <c r="A1653" s="3">
        <f>IFERROR(__xludf.DUMMYFUNCTION("""COMPUTED_VALUE"""),41982.99861111111)</f>
        <v>41982.99861</v>
      </c>
      <c r="B1653" s="1">
        <f>IFERROR(__xludf.DUMMYFUNCTION("""COMPUTED_VALUE"""),10199.2527)</f>
        <v>10199.2527</v>
      </c>
    </row>
    <row r="1654">
      <c r="A1654" s="3">
        <f>IFERROR(__xludf.DUMMYFUNCTION("""COMPUTED_VALUE"""),41983.99861111111)</f>
        <v>41983.99861</v>
      </c>
      <c r="B1654" s="1">
        <f>IFERROR(__xludf.DUMMYFUNCTION("""COMPUTED_VALUE"""),10230.948)</f>
        <v>10230.948</v>
      </c>
    </row>
    <row r="1655">
      <c r="A1655" s="3">
        <f>IFERROR(__xludf.DUMMYFUNCTION("""COMPUTED_VALUE"""),41984.99861111111)</f>
        <v>41984.99861</v>
      </c>
      <c r="B1655" s="1">
        <f>IFERROR(__xludf.DUMMYFUNCTION("""COMPUTED_VALUE"""),10281.10259)</f>
        <v>10281.10259</v>
      </c>
    </row>
    <row r="1656">
      <c r="A1656" s="3">
        <f>IFERROR(__xludf.DUMMYFUNCTION("""COMPUTED_VALUE"""),41985.99861111111)</f>
        <v>41985.99861</v>
      </c>
      <c r="B1656" s="1">
        <f>IFERROR(__xludf.DUMMYFUNCTION("""COMPUTED_VALUE"""),10392.03576)</f>
        <v>10392.03576</v>
      </c>
    </row>
    <row r="1657">
      <c r="A1657" s="3">
        <f>IFERROR(__xludf.DUMMYFUNCTION("""COMPUTED_VALUE"""),41986.99861111111)</f>
        <v>41986.99861</v>
      </c>
      <c r="B1657" s="1">
        <f>IFERROR(__xludf.DUMMYFUNCTION("""COMPUTED_VALUE"""),10404.03824)</f>
        <v>10404.03824</v>
      </c>
    </row>
    <row r="1658">
      <c r="A1658" s="3">
        <f>IFERROR(__xludf.DUMMYFUNCTION("""COMPUTED_VALUE"""),41987.99861111111)</f>
        <v>41987.99861</v>
      </c>
      <c r="B1658" s="1">
        <f>IFERROR(__xludf.DUMMYFUNCTION("""COMPUTED_VALUE"""),10369.06349)</f>
        <v>10369.06349</v>
      </c>
    </row>
    <row r="1659">
      <c r="A1659" s="3">
        <f>IFERROR(__xludf.DUMMYFUNCTION("""COMPUTED_VALUE"""),41988.99861111111)</f>
        <v>41988.99861</v>
      </c>
      <c r="B1659" s="1">
        <f>IFERROR(__xludf.DUMMYFUNCTION("""COMPUTED_VALUE"""),10552.42)</f>
        <v>10552.42</v>
      </c>
    </row>
    <row r="1660">
      <c r="A1660" s="3">
        <f>IFERROR(__xludf.DUMMYFUNCTION("""COMPUTED_VALUE"""),41989.99861111111)</f>
        <v>41989.99861</v>
      </c>
      <c r="B1660" s="1">
        <f>IFERROR(__xludf.DUMMYFUNCTION("""COMPUTED_VALUE"""),10440.2067)</f>
        <v>10440.2067</v>
      </c>
    </row>
    <row r="1661">
      <c r="A1661" s="3">
        <f>IFERROR(__xludf.DUMMYFUNCTION("""COMPUTED_VALUE"""),41990.99861111111)</f>
        <v>41990.99861</v>
      </c>
      <c r="B1661" s="1">
        <f>IFERROR(__xludf.DUMMYFUNCTION("""COMPUTED_VALUE"""),10294.40463)</f>
        <v>10294.40463</v>
      </c>
    </row>
    <row r="1662">
      <c r="A1662" s="3">
        <f>IFERROR(__xludf.DUMMYFUNCTION("""COMPUTED_VALUE"""),41991.99861111111)</f>
        <v>41991.99861</v>
      </c>
      <c r="B1662" s="1">
        <f>IFERROR(__xludf.DUMMYFUNCTION("""COMPUTED_VALUE"""),10192.416)</f>
        <v>10192.416</v>
      </c>
    </row>
    <row r="1663">
      <c r="A1663" s="3">
        <f>IFERROR(__xludf.DUMMYFUNCTION("""COMPUTED_VALUE"""),41992.99861111111)</f>
        <v>41992.99861</v>
      </c>
      <c r="B1663" s="1">
        <f>IFERROR(__xludf.DUMMYFUNCTION("""COMPUTED_VALUE"""),10067.23268)</f>
        <v>10067.23268</v>
      </c>
    </row>
    <row r="1664">
      <c r="A1664" s="3">
        <f>IFERROR(__xludf.DUMMYFUNCTION("""COMPUTED_VALUE"""),41994.99861111111)</f>
        <v>41994.99861</v>
      </c>
      <c r="B1664" s="1">
        <f>IFERROR(__xludf.DUMMYFUNCTION("""COMPUTED_VALUE"""),10121.11781)</f>
        <v>10121.11781</v>
      </c>
    </row>
    <row r="1665">
      <c r="A1665" s="3">
        <f>IFERROR(__xludf.DUMMYFUNCTION("""COMPUTED_VALUE"""),41995.99861111111)</f>
        <v>41995.99861</v>
      </c>
      <c r="B1665" s="1">
        <f>IFERROR(__xludf.DUMMYFUNCTION("""COMPUTED_VALUE"""),10115.028)</f>
        <v>10115.028</v>
      </c>
    </row>
    <row r="1666">
      <c r="A1666" s="3">
        <f>IFERROR(__xludf.DUMMYFUNCTION("""COMPUTED_VALUE"""),41996.99861111111)</f>
        <v>41996.99861</v>
      </c>
      <c r="B1666" s="1">
        <f>IFERROR(__xludf.DUMMYFUNCTION("""COMPUTED_VALUE"""),10069.8065)</f>
        <v>10069.8065</v>
      </c>
    </row>
    <row r="1667">
      <c r="A1667" s="3">
        <f>IFERROR(__xludf.DUMMYFUNCTION("""COMPUTED_VALUE"""),41997.99861111111)</f>
        <v>41997.99861</v>
      </c>
      <c r="B1667" s="1">
        <f>IFERROR(__xludf.DUMMYFUNCTION("""COMPUTED_VALUE"""),10108.9302)</f>
        <v>10108.9302</v>
      </c>
    </row>
    <row r="1668">
      <c r="A1668" s="3">
        <f>IFERROR(__xludf.DUMMYFUNCTION("""COMPUTED_VALUE"""),41998.99861111111)</f>
        <v>41998.99861</v>
      </c>
      <c r="B1668" s="1">
        <f>IFERROR(__xludf.DUMMYFUNCTION("""COMPUTED_VALUE"""),10110.4266)</f>
        <v>10110.4266</v>
      </c>
    </row>
    <row r="1669">
      <c r="A1669" s="3">
        <f>IFERROR(__xludf.DUMMYFUNCTION("""COMPUTED_VALUE"""),41999.99861111111)</f>
        <v>41999.99861</v>
      </c>
      <c r="B1669" s="1">
        <f>IFERROR(__xludf.DUMMYFUNCTION("""COMPUTED_VALUE"""),10059.546)</f>
        <v>10059.546</v>
      </c>
    </row>
    <row r="1670">
      <c r="A1670" s="3">
        <f>IFERROR(__xludf.DUMMYFUNCTION("""COMPUTED_VALUE"""),42001.99861111111)</f>
        <v>42001.99861</v>
      </c>
      <c r="B1670" s="1">
        <f>IFERROR(__xludf.DUMMYFUNCTION("""COMPUTED_VALUE"""),10102.11696)</f>
        <v>10102.11696</v>
      </c>
    </row>
    <row r="1671">
      <c r="A1671" s="3">
        <f>IFERROR(__xludf.DUMMYFUNCTION("""COMPUTED_VALUE"""),42002.99861111111)</f>
        <v>42002.99861</v>
      </c>
      <c r="B1671" s="1">
        <f>IFERROR(__xludf.DUMMYFUNCTION("""COMPUTED_VALUE"""),10093.053)</f>
        <v>10093.053</v>
      </c>
    </row>
    <row r="1672">
      <c r="A1672" s="3">
        <f>IFERROR(__xludf.DUMMYFUNCTION("""COMPUTED_VALUE"""),42003.99861111111)</f>
        <v>42003.99861</v>
      </c>
      <c r="B1672" s="1">
        <f>IFERROR(__xludf.DUMMYFUNCTION("""COMPUTED_VALUE"""),10161.0504)</f>
        <v>10161.0504</v>
      </c>
    </row>
    <row r="1673">
      <c r="A1673" s="3">
        <f>IFERROR(__xludf.DUMMYFUNCTION("""COMPUTED_VALUE"""),42004.99861111111)</f>
        <v>42004.99861</v>
      </c>
      <c r="B1673" s="1">
        <f>IFERROR(__xludf.DUMMYFUNCTION("""COMPUTED_VALUE"""),10116.0633)</f>
        <v>10116.0633</v>
      </c>
    </row>
    <row r="1674">
      <c r="A1674" s="3">
        <f>IFERROR(__xludf.DUMMYFUNCTION("""COMPUTED_VALUE"""),42005.99861111111)</f>
        <v>42005.99861</v>
      </c>
      <c r="B1674" s="1">
        <f>IFERROR(__xludf.DUMMYFUNCTION("""COMPUTED_VALUE"""),10130.9313)</f>
        <v>10130.9313</v>
      </c>
    </row>
    <row r="1675">
      <c r="A1675" s="3">
        <f>IFERROR(__xludf.DUMMYFUNCTION("""COMPUTED_VALUE"""),42006.99861111111)</f>
        <v>42006.99861</v>
      </c>
      <c r="B1675" s="1">
        <f>IFERROR(__xludf.DUMMYFUNCTION("""COMPUTED_VALUE"""),10093.5744)</f>
        <v>10093.5744</v>
      </c>
    </row>
    <row r="1676">
      <c r="A1676" s="3">
        <f>IFERROR(__xludf.DUMMYFUNCTION("""COMPUTED_VALUE"""),42008.99861111111)</f>
        <v>42008.99861</v>
      </c>
      <c r="B1676" s="1">
        <f>IFERROR(__xludf.DUMMYFUNCTION("""COMPUTED_VALUE"""),10120.45053)</f>
        <v>10120.45053</v>
      </c>
    </row>
    <row r="1677">
      <c r="A1677" s="3">
        <f>IFERROR(__xludf.DUMMYFUNCTION("""COMPUTED_VALUE"""),42009.99861111111)</f>
        <v>42009.99861</v>
      </c>
      <c r="B1677" s="1">
        <f>IFERROR(__xludf.DUMMYFUNCTION("""COMPUTED_VALUE"""),10222.4625)</f>
        <v>10222.4625</v>
      </c>
    </row>
    <row r="1678">
      <c r="A1678" s="3">
        <f>IFERROR(__xludf.DUMMYFUNCTION("""COMPUTED_VALUE"""),42010.99861111111)</f>
        <v>42010.99861</v>
      </c>
      <c r="B1678" s="1">
        <f>IFERROR(__xludf.DUMMYFUNCTION("""COMPUTED_VALUE"""),10206.553)</f>
        <v>10206.553</v>
      </c>
    </row>
    <row r="1679">
      <c r="A1679" s="3">
        <f>IFERROR(__xludf.DUMMYFUNCTION("""COMPUTED_VALUE"""),42011.99861111111)</f>
        <v>42011.99861</v>
      </c>
      <c r="B1679" s="1">
        <f>IFERROR(__xludf.DUMMYFUNCTION("""COMPUTED_VALUE"""),10270.128)</f>
        <v>10270.128</v>
      </c>
    </row>
    <row r="1680">
      <c r="A1680" s="3">
        <f>IFERROR(__xludf.DUMMYFUNCTION("""COMPUTED_VALUE"""),42012.99861111111)</f>
        <v>42012.99861</v>
      </c>
      <c r="B1680" s="1">
        <f>IFERROR(__xludf.DUMMYFUNCTION("""COMPUTED_VALUE"""),10228.8537)</f>
        <v>10228.8537</v>
      </c>
    </row>
    <row r="1681">
      <c r="A1681" s="3">
        <f>IFERROR(__xludf.DUMMYFUNCTION("""COMPUTED_VALUE"""),42013.99861111111)</f>
        <v>42013.99861</v>
      </c>
      <c r="B1681" s="1">
        <f>IFERROR(__xludf.DUMMYFUNCTION("""COMPUTED_VALUE"""),10306.0643)</f>
        <v>10306.0643</v>
      </c>
    </row>
    <row r="1682">
      <c r="A1682" s="3">
        <f>IFERROR(__xludf.DUMMYFUNCTION("""COMPUTED_VALUE"""),42015.99861111111)</f>
        <v>42015.99861</v>
      </c>
      <c r="B1682" s="1">
        <f>IFERROR(__xludf.DUMMYFUNCTION("""COMPUTED_VALUE"""),10511.50584)</f>
        <v>10511.50584</v>
      </c>
    </row>
    <row r="1683">
      <c r="A1683" s="3">
        <f>IFERROR(__xludf.DUMMYFUNCTION("""COMPUTED_VALUE"""),42016.99861111111)</f>
        <v>42016.99861</v>
      </c>
      <c r="B1683" s="1">
        <f>IFERROR(__xludf.DUMMYFUNCTION("""COMPUTED_VALUE"""),10233.5142)</f>
        <v>10233.5142</v>
      </c>
    </row>
    <row r="1684">
      <c r="A1684" s="3">
        <f>IFERROR(__xludf.DUMMYFUNCTION("""COMPUTED_VALUE"""),42017.99861111111)</f>
        <v>42017.99861</v>
      </c>
      <c r="B1684" s="1">
        <f>IFERROR(__xludf.DUMMYFUNCTION("""COMPUTED_VALUE"""),10284.96357)</f>
        <v>10284.96357</v>
      </c>
    </row>
    <row r="1685">
      <c r="A1685" s="3">
        <f>IFERROR(__xludf.DUMMYFUNCTION("""COMPUTED_VALUE"""),42018.99861111111)</f>
        <v>42018.99861</v>
      </c>
      <c r="B1685" s="1">
        <f>IFERROR(__xludf.DUMMYFUNCTION("""COMPUTED_VALUE"""),10221.40215)</f>
        <v>10221.40215</v>
      </c>
    </row>
    <row r="1686">
      <c r="A1686" s="3">
        <f>IFERROR(__xludf.DUMMYFUNCTION("""COMPUTED_VALUE"""),42019.99861111111)</f>
        <v>42019.99861</v>
      </c>
      <c r="B1686" s="1">
        <f>IFERROR(__xludf.DUMMYFUNCTION("""COMPUTED_VALUE"""),10249.518)</f>
        <v>10249.518</v>
      </c>
    </row>
    <row r="1687">
      <c r="A1687" s="3">
        <f>IFERROR(__xludf.DUMMYFUNCTION("""COMPUTED_VALUE"""),42020.99861111111)</f>
        <v>42020.99861</v>
      </c>
      <c r="B1687" s="1">
        <f>IFERROR(__xludf.DUMMYFUNCTION("""COMPUTED_VALUE"""),10344.1566)</f>
        <v>10344.1566</v>
      </c>
    </row>
    <row r="1688">
      <c r="A1688" s="3">
        <f>IFERROR(__xludf.DUMMYFUNCTION("""COMPUTED_VALUE"""),42022.99861111111)</f>
        <v>42022.99861</v>
      </c>
      <c r="B1688" s="1">
        <f>IFERROR(__xludf.DUMMYFUNCTION("""COMPUTED_VALUE"""),10532.77247)</f>
        <v>10532.77247</v>
      </c>
    </row>
    <row r="1689">
      <c r="A1689" s="3">
        <f>IFERROR(__xludf.DUMMYFUNCTION("""COMPUTED_VALUE"""),42023.99861111111)</f>
        <v>42023.99861</v>
      </c>
      <c r="B1689" s="1">
        <f>IFERROR(__xludf.DUMMYFUNCTION("""COMPUTED_VALUE"""),10347.759)</f>
        <v>10347.759</v>
      </c>
    </row>
    <row r="1690">
      <c r="A1690" s="3">
        <f>IFERROR(__xludf.DUMMYFUNCTION("""COMPUTED_VALUE"""),42024.99861111111)</f>
        <v>42024.99861</v>
      </c>
      <c r="B1690" s="1">
        <f>IFERROR(__xludf.DUMMYFUNCTION("""COMPUTED_VALUE"""),10254.3606)</f>
        <v>10254.3606</v>
      </c>
    </row>
    <row r="1691">
      <c r="A1691" s="3">
        <f>IFERROR(__xludf.DUMMYFUNCTION("""COMPUTED_VALUE"""),42025.99861111111)</f>
        <v>42025.99861</v>
      </c>
      <c r="B1691" s="1">
        <f>IFERROR(__xludf.DUMMYFUNCTION("""COMPUTED_VALUE"""),10092.9105)</f>
        <v>10092.9105</v>
      </c>
    </row>
    <row r="1692">
      <c r="A1692" s="3">
        <f>IFERROR(__xludf.DUMMYFUNCTION("""COMPUTED_VALUE"""),42026.99861111111)</f>
        <v>42026.99861</v>
      </c>
      <c r="B1692" s="1">
        <f>IFERROR(__xludf.DUMMYFUNCTION("""COMPUTED_VALUE"""),9944.71635)</f>
        <v>9944.71635</v>
      </c>
    </row>
    <row r="1693">
      <c r="A1693" s="3">
        <f>IFERROR(__xludf.DUMMYFUNCTION("""COMPUTED_VALUE"""),42027.99861111111)</f>
        <v>42027.99861</v>
      </c>
      <c r="B1693" s="1">
        <f>IFERROR(__xludf.DUMMYFUNCTION("""COMPUTED_VALUE"""),9823.11456)</f>
        <v>9823.11456</v>
      </c>
    </row>
    <row r="1694">
      <c r="A1694" s="3">
        <f>IFERROR(__xludf.DUMMYFUNCTION("""COMPUTED_VALUE"""),42029.99861111111)</f>
        <v>42029.99861</v>
      </c>
      <c r="B1694" s="1">
        <f>IFERROR(__xludf.DUMMYFUNCTION("""COMPUTED_VALUE"""),9854.814936)</f>
        <v>9854.814936</v>
      </c>
    </row>
    <row r="1695">
      <c r="A1695" s="3">
        <f>IFERROR(__xludf.DUMMYFUNCTION("""COMPUTED_VALUE"""),42030.99861111111)</f>
        <v>42030.99861</v>
      </c>
      <c r="B1695" s="1">
        <f>IFERROR(__xludf.DUMMYFUNCTION("""COMPUTED_VALUE"""),9889.704)</f>
        <v>9889.704</v>
      </c>
    </row>
    <row r="1696">
      <c r="A1696" s="3">
        <f>IFERROR(__xludf.DUMMYFUNCTION("""COMPUTED_VALUE"""),42031.99861111111)</f>
        <v>42031.99861</v>
      </c>
      <c r="B1696" s="1">
        <f>IFERROR(__xludf.DUMMYFUNCTION("""COMPUTED_VALUE"""),9859.2795)</f>
        <v>9859.2795</v>
      </c>
    </row>
    <row r="1697">
      <c r="A1697" s="3">
        <f>IFERROR(__xludf.DUMMYFUNCTION("""COMPUTED_VALUE"""),42032.99861111111)</f>
        <v>42032.99861</v>
      </c>
      <c r="B1697" s="1">
        <f>IFERROR(__xludf.DUMMYFUNCTION("""COMPUTED_VALUE"""),9828.2405)</f>
        <v>9828.2405</v>
      </c>
    </row>
    <row r="1698">
      <c r="A1698" s="3">
        <f>IFERROR(__xludf.DUMMYFUNCTION("""COMPUTED_VALUE"""),42033.99861111111)</f>
        <v>42033.99861</v>
      </c>
      <c r="B1698" s="1">
        <f>IFERROR(__xludf.DUMMYFUNCTION("""COMPUTED_VALUE"""),9779.46)</f>
        <v>9779.46</v>
      </c>
    </row>
    <row r="1699">
      <c r="A1699" s="3">
        <f>IFERROR(__xludf.DUMMYFUNCTION("""COMPUTED_VALUE"""),42034.99861111111)</f>
        <v>42034.99861</v>
      </c>
      <c r="B1699" s="1">
        <f>IFERROR(__xludf.DUMMYFUNCTION("""COMPUTED_VALUE"""),9877.8435)</f>
        <v>9877.8435</v>
      </c>
    </row>
    <row r="1700">
      <c r="A1700" s="3">
        <f>IFERROR(__xludf.DUMMYFUNCTION("""COMPUTED_VALUE"""),42035.99861111111)</f>
        <v>42035.99861</v>
      </c>
      <c r="B1700" s="1">
        <f>IFERROR(__xludf.DUMMYFUNCTION("""COMPUTED_VALUE"""),9933.500896)</f>
        <v>9933.500896</v>
      </c>
    </row>
    <row r="1701">
      <c r="A1701" s="3">
        <f>IFERROR(__xludf.DUMMYFUNCTION("""COMPUTED_VALUE"""),42036.99861111111)</f>
        <v>42036.99861</v>
      </c>
      <c r="B1701" s="1">
        <f>IFERROR(__xludf.DUMMYFUNCTION("""COMPUTED_VALUE"""),9948.84616)</f>
        <v>9948.84616</v>
      </c>
    </row>
    <row r="1702">
      <c r="A1702" s="3">
        <f>IFERROR(__xludf.DUMMYFUNCTION("""COMPUTED_VALUE"""),42037.99861111111)</f>
        <v>42037.99861</v>
      </c>
      <c r="B1702" s="1">
        <f>IFERROR(__xludf.DUMMYFUNCTION("""COMPUTED_VALUE"""),9861.20325)</f>
        <v>9861.20325</v>
      </c>
    </row>
    <row r="1703">
      <c r="A1703" s="3">
        <f>IFERROR(__xludf.DUMMYFUNCTION("""COMPUTED_VALUE"""),42038.99861111111)</f>
        <v>42038.99861</v>
      </c>
      <c r="B1703" s="1">
        <f>IFERROR(__xludf.DUMMYFUNCTION("""COMPUTED_VALUE"""),9759.4575)</f>
        <v>9759.4575</v>
      </c>
    </row>
    <row r="1704">
      <c r="A1704" s="3">
        <f>IFERROR(__xludf.DUMMYFUNCTION("""COMPUTED_VALUE"""),42039.99861111111)</f>
        <v>42039.99861</v>
      </c>
      <c r="B1704" s="1">
        <f>IFERROR(__xludf.DUMMYFUNCTION("""COMPUTED_VALUE"""),9793.2125)</f>
        <v>9793.2125</v>
      </c>
    </row>
    <row r="1705">
      <c r="A1705" s="3">
        <f>IFERROR(__xludf.DUMMYFUNCTION("""COMPUTED_VALUE"""),42040.99861111111)</f>
        <v>42040.99861</v>
      </c>
      <c r="B1705" s="1">
        <f>IFERROR(__xludf.DUMMYFUNCTION("""COMPUTED_VALUE"""),9815.3426)</f>
        <v>9815.3426</v>
      </c>
    </row>
    <row r="1706">
      <c r="A1706" s="3">
        <f>IFERROR(__xludf.DUMMYFUNCTION("""COMPUTED_VALUE"""),42041.99861111111)</f>
        <v>42041.99861</v>
      </c>
      <c r="B1706" s="1">
        <f>IFERROR(__xludf.DUMMYFUNCTION("""COMPUTED_VALUE"""),9842.62296)</f>
        <v>9842.62296</v>
      </c>
    </row>
    <row r="1707">
      <c r="A1707" s="3">
        <f>IFERROR(__xludf.DUMMYFUNCTION("""COMPUTED_VALUE"""),42043.99861111111)</f>
        <v>42043.99861</v>
      </c>
      <c r="B1707" s="1">
        <f>IFERROR(__xludf.DUMMYFUNCTION("""COMPUTED_VALUE"""),10050.51202)</f>
        <v>10050.51202</v>
      </c>
    </row>
    <row r="1708">
      <c r="A1708" s="3">
        <f>IFERROR(__xludf.DUMMYFUNCTION("""COMPUTED_VALUE"""),42044.99861111111)</f>
        <v>42044.99861</v>
      </c>
      <c r="B1708" s="1">
        <f>IFERROR(__xludf.DUMMYFUNCTION("""COMPUTED_VALUE"""),9875.6604)</f>
        <v>9875.6604</v>
      </c>
    </row>
    <row r="1709">
      <c r="A1709" s="3">
        <f>IFERROR(__xludf.DUMMYFUNCTION("""COMPUTED_VALUE"""),42045.99861111111)</f>
        <v>42045.99861</v>
      </c>
      <c r="B1709" s="1">
        <f>IFERROR(__xludf.DUMMYFUNCTION("""COMPUTED_VALUE"""),9904.1514)</f>
        <v>9904.1514</v>
      </c>
    </row>
    <row r="1710">
      <c r="A1710" s="3">
        <f>IFERROR(__xludf.DUMMYFUNCTION("""COMPUTED_VALUE"""),42046.99861111111)</f>
        <v>42046.99861</v>
      </c>
      <c r="B1710" s="1">
        <f>IFERROR(__xludf.DUMMYFUNCTION("""COMPUTED_VALUE"""),9885.2039)</f>
        <v>9885.2039</v>
      </c>
    </row>
    <row r="1711">
      <c r="A1711" s="3">
        <f>IFERROR(__xludf.DUMMYFUNCTION("""COMPUTED_VALUE"""),42047.99861111111)</f>
        <v>42047.99861</v>
      </c>
      <c r="B1711" s="1">
        <f>IFERROR(__xludf.DUMMYFUNCTION("""COMPUTED_VALUE"""),9902.1134)</f>
        <v>9902.1134</v>
      </c>
    </row>
    <row r="1712">
      <c r="A1712" s="3">
        <f>IFERROR(__xludf.DUMMYFUNCTION("""COMPUTED_VALUE"""),42048.99861111111)</f>
        <v>42048.99861</v>
      </c>
      <c r="B1712" s="1">
        <f>IFERROR(__xludf.DUMMYFUNCTION("""COMPUTED_VALUE"""),9820.8719)</f>
        <v>9820.8719</v>
      </c>
    </row>
    <row r="1713">
      <c r="A1713" s="3">
        <f>IFERROR(__xludf.DUMMYFUNCTION("""COMPUTED_VALUE"""),42050.99861111111)</f>
        <v>42050.99861</v>
      </c>
      <c r="B1713" s="1">
        <f>IFERROR(__xludf.DUMMYFUNCTION("""COMPUTED_VALUE"""),9928.385808)</f>
        <v>9928.385808</v>
      </c>
    </row>
    <row r="1714">
      <c r="A1714" s="3">
        <f>IFERROR(__xludf.DUMMYFUNCTION("""COMPUTED_VALUE"""),42051.99861111111)</f>
        <v>42051.99861</v>
      </c>
      <c r="B1714" s="1">
        <f>IFERROR(__xludf.DUMMYFUNCTION("""COMPUTED_VALUE"""),9781.9233)</f>
        <v>9781.9233</v>
      </c>
    </row>
    <row r="1715">
      <c r="A1715" s="3">
        <f>IFERROR(__xludf.DUMMYFUNCTION("""COMPUTED_VALUE"""),42052.99861111111)</f>
        <v>42052.99861</v>
      </c>
      <c r="B1715" s="1">
        <f>IFERROR(__xludf.DUMMYFUNCTION("""COMPUTED_VALUE"""),9974.932)</f>
        <v>9974.932</v>
      </c>
    </row>
    <row r="1716">
      <c r="A1716" s="3">
        <f>IFERROR(__xludf.DUMMYFUNCTION("""COMPUTED_VALUE"""),42053.99861111111)</f>
        <v>42053.99861</v>
      </c>
      <c r="B1716" s="1">
        <f>IFERROR(__xludf.DUMMYFUNCTION("""COMPUTED_VALUE"""),9999.486)</f>
        <v>9999.486</v>
      </c>
    </row>
    <row r="1717">
      <c r="A1717" s="3">
        <f>IFERROR(__xludf.DUMMYFUNCTION("""COMPUTED_VALUE"""),42054.99861111111)</f>
        <v>42054.99861</v>
      </c>
      <c r="B1717" s="1">
        <f>IFERROR(__xludf.DUMMYFUNCTION("""COMPUTED_VALUE"""),10043.8575)</f>
        <v>10043.8575</v>
      </c>
    </row>
    <row r="1718">
      <c r="A1718" s="3">
        <f>IFERROR(__xludf.DUMMYFUNCTION("""COMPUTED_VALUE"""),42055.99861111111)</f>
        <v>42055.99861</v>
      </c>
      <c r="B1718" s="1">
        <f>IFERROR(__xludf.DUMMYFUNCTION("""COMPUTED_VALUE"""),10045.64826)</f>
        <v>10045.64826</v>
      </c>
    </row>
    <row r="1719">
      <c r="A1719" s="3">
        <f>IFERROR(__xludf.DUMMYFUNCTION("""COMPUTED_VALUE"""),42057.99861111111)</f>
        <v>42057.99861</v>
      </c>
      <c r="B1719" s="1">
        <f>IFERROR(__xludf.DUMMYFUNCTION("""COMPUTED_VALUE"""),10095.23584)</f>
        <v>10095.23584</v>
      </c>
    </row>
    <row r="1720">
      <c r="A1720" s="3">
        <f>IFERROR(__xludf.DUMMYFUNCTION("""COMPUTED_VALUE"""),42058.99861111111)</f>
        <v>42058.99861</v>
      </c>
      <c r="B1720" s="1">
        <f>IFERROR(__xludf.DUMMYFUNCTION("""COMPUTED_VALUE"""),10028.228)</f>
        <v>10028.228</v>
      </c>
    </row>
    <row r="1721">
      <c r="A1721" s="3">
        <f>IFERROR(__xludf.DUMMYFUNCTION("""COMPUTED_VALUE"""),42059.99861111111)</f>
        <v>42059.99861</v>
      </c>
      <c r="B1721" s="1">
        <f>IFERROR(__xludf.DUMMYFUNCTION("""COMPUTED_VALUE"""),10021.3307)</f>
        <v>10021.3307</v>
      </c>
    </row>
    <row r="1722">
      <c r="A1722" s="3">
        <f>IFERROR(__xludf.DUMMYFUNCTION("""COMPUTED_VALUE"""),42060.99861111111)</f>
        <v>42060.99861</v>
      </c>
      <c r="B1722" s="1">
        <f>IFERROR(__xludf.DUMMYFUNCTION("""COMPUTED_VALUE"""),10132.311)</f>
        <v>10132.311</v>
      </c>
    </row>
    <row r="1723">
      <c r="A1723" s="3">
        <f>IFERROR(__xludf.DUMMYFUNCTION("""COMPUTED_VALUE"""),42061.99861111111)</f>
        <v>42061.99861</v>
      </c>
      <c r="B1723" s="1">
        <f>IFERROR(__xludf.DUMMYFUNCTION("""COMPUTED_VALUE"""),10032.57424)</f>
        <v>10032.57424</v>
      </c>
    </row>
    <row r="1724">
      <c r="A1724" s="3">
        <f>IFERROR(__xludf.DUMMYFUNCTION("""COMPUTED_VALUE"""),42062.99861111111)</f>
        <v>42062.99861</v>
      </c>
      <c r="B1724" s="1">
        <f>IFERROR(__xludf.DUMMYFUNCTION("""COMPUTED_VALUE"""),10131.2757)</f>
        <v>10131.2757</v>
      </c>
    </row>
    <row r="1725">
      <c r="A1725" s="3">
        <f>IFERROR(__xludf.DUMMYFUNCTION("""COMPUTED_VALUE"""),42064.99861111111)</f>
        <v>42064.99861</v>
      </c>
      <c r="B1725" s="1">
        <f>IFERROR(__xludf.DUMMYFUNCTION("""COMPUTED_VALUE"""),10121.0654)</f>
        <v>10121.0654</v>
      </c>
    </row>
    <row r="1726">
      <c r="A1726" s="3">
        <f>IFERROR(__xludf.DUMMYFUNCTION("""COMPUTED_VALUE"""),42065.99861111111)</f>
        <v>42065.99861</v>
      </c>
      <c r="B1726" s="1">
        <f>IFERROR(__xludf.DUMMYFUNCTION("""COMPUTED_VALUE"""),10077.6225)</f>
        <v>10077.6225</v>
      </c>
    </row>
    <row r="1727">
      <c r="A1727" s="3">
        <f>IFERROR(__xludf.DUMMYFUNCTION("""COMPUTED_VALUE"""),42066.99861111111)</f>
        <v>42066.99861</v>
      </c>
      <c r="B1727" s="1">
        <f>IFERROR(__xludf.DUMMYFUNCTION("""COMPUTED_VALUE"""),10138.9084)</f>
        <v>10138.9084</v>
      </c>
    </row>
    <row r="1728">
      <c r="A1728" s="3">
        <f>IFERROR(__xludf.DUMMYFUNCTION("""COMPUTED_VALUE"""),42067.99861111111)</f>
        <v>42067.99861</v>
      </c>
      <c r="B1728" s="1">
        <f>IFERROR(__xludf.DUMMYFUNCTION("""COMPUTED_VALUE"""),10178.2506)</f>
        <v>10178.2506</v>
      </c>
    </row>
    <row r="1729">
      <c r="A1729" s="3">
        <f>IFERROR(__xludf.DUMMYFUNCTION("""COMPUTED_VALUE"""),42068.99861111111)</f>
        <v>42068.99861</v>
      </c>
      <c r="B1729" s="1">
        <f>IFERROR(__xludf.DUMMYFUNCTION("""COMPUTED_VALUE"""),10039.812)</f>
        <v>10039.812</v>
      </c>
    </row>
    <row r="1730">
      <c r="A1730" s="3">
        <f>IFERROR(__xludf.DUMMYFUNCTION("""COMPUTED_VALUE"""),42069.99861111111)</f>
        <v>42069.99861</v>
      </c>
      <c r="B1730" s="1">
        <f>IFERROR(__xludf.DUMMYFUNCTION("""COMPUTED_VALUE"""),10050.8208)</f>
        <v>10050.8208</v>
      </c>
    </row>
    <row r="1731">
      <c r="A1731" s="3">
        <f>IFERROR(__xludf.DUMMYFUNCTION("""COMPUTED_VALUE"""),42071.99861111111)</f>
        <v>42071.99861</v>
      </c>
      <c r="B1731" s="1">
        <f>IFERROR(__xludf.DUMMYFUNCTION("""COMPUTED_VALUE"""),10211.63772)</f>
        <v>10211.63772</v>
      </c>
    </row>
    <row r="1732">
      <c r="A1732" s="3">
        <f>IFERROR(__xludf.DUMMYFUNCTION("""COMPUTED_VALUE"""),42072.99861111111)</f>
        <v>42072.99861</v>
      </c>
      <c r="B1732" s="1">
        <f>IFERROR(__xludf.DUMMYFUNCTION("""COMPUTED_VALUE"""),10043.9859)</f>
        <v>10043.9859</v>
      </c>
    </row>
    <row r="1733">
      <c r="A1733" s="3">
        <f>IFERROR(__xludf.DUMMYFUNCTION("""COMPUTED_VALUE"""),42073.99861111111)</f>
        <v>42073.99861</v>
      </c>
      <c r="B1733" s="1">
        <f>IFERROR(__xludf.DUMMYFUNCTION("""COMPUTED_VALUE"""),9984.173)</f>
        <v>9984.173</v>
      </c>
    </row>
    <row r="1734">
      <c r="A1734" s="3">
        <f>IFERROR(__xludf.DUMMYFUNCTION("""COMPUTED_VALUE"""),42074.99861111111)</f>
        <v>42074.99861</v>
      </c>
      <c r="B1734" s="1">
        <f>IFERROR(__xludf.DUMMYFUNCTION("""COMPUTED_VALUE"""),10016.9525)</f>
        <v>10016.9525</v>
      </c>
    </row>
    <row r="1735">
      <c r="A1735" s="3">
        <f>IFERROR(__xludf.DUMMYFUNCTION("""COMPUTED_VALUE"""),42075.99861111111)</f>
        <v>42075.99861</v>
      </c>
      <c r="B1735" s="1">
        <f>IFERROR(__xludf.DUMMYFUNCTION("""COMPUTED_VALUE"""),10146.0363)</f>
        <v>10146.0363</v>
      </c>
    </row>
    <row r="1736">
      <c r="A1736" s="3">
        <f>IFERROR(__xludf.DUMMYFUNCTION("""COMPUTED_VALUE"""),42076.99861111111)</f>
        <v>42076.99861</v>
      </c>
      <c r="B1736" s="1">
        <f>IFERROR(__xludf.DUMMYFUNCTION("""COMPUTED_VALUE"""),10066.87935)</f>
        <v>10066.87935</v>
      </c>
    </row>
    <row r="1737">
      <c r="A1737" s="3">
        <f>IFERROR(__xludf.DUMMYFUNCTION("""COMPUTED_VALUE"""),42077.99861111111)</f>
        <v>42077.99861</v>
      </c>
      <c r="B1737" s="1">
        <f>IFERROR(__xludf.DUMMYFUNCTION("""COMPUTED_VALUE"""),10142.09637)</f>
        <v>10142.09637</v>
      </c>
    </row>
    <row r="1738">
      <c r="A1738" s="3">
        <f>IFERROR(__xludf.DUMMYFUNCTION("""COMPUTED_VALUE"""),42078.99861111111)</f>
        <v>42078.99861</v>
      </c>
      <c r="B1738" s="1">
        <f>IFERROR(__xludf.DUMMYFUNCTION("""COMPUTED_VALUE"""),10111.55189)</f>
        <v>10111.55189</v>
      </c>
    </row>
    <row r="1739">
      <c r="A1739" s="3">
        <f>IFERROR(__xludf.DUMMYFUNCTION("""COMPUTED_VALUE"""),42079.99861111111)</f>
        <v>42079.99861</v>
      </c>
      <c r="B1739" s="1">
        <f>IFERROR(__xludf.DUMMYFUNCTION("""COMPUTED_VALUE"""),10082.2995)</f>
        <v>10082.2995</v>
      </c>
    </row>
    <row r="1740">
      <c r="A1740" s="3">
        <f>IFERROR(__xludf.DUMMYFUNCTION("""COMPUTED_VALUE"""),42080.99861111111)</f>
        <v>42080.99861</v>
      </c>
      <c r="B1740" s="1">
        <f>IFERROR(__xludf.DUMMYFUNCTION("""COMPUTED_VALUE"""),9998.8832)</f>
        <v>9998.8832</v>
      </c>
    </row>
    <row r="1741">
      <c r="A1741" s="3">
        <f>IFERROR(__xludf.DUMMYFUNCTION("""COMPUTED_VALUE"""),42081.99861111111)</f>
        <v>42081.99861</v>
      </c>
      <c r="B1741" s="1">
        <f>IFERROR(__xludf.DUMMYFUNCTION("""COMPUTED_VALUE"""),10015.488)</f>
        <v>10015.488</v>
      </c>
    </row>
    <row r="1742">
      <c r="A1742" s="3">
        <f>IFERROR(__xludf.DUMMYFUNCTION("""COMPUTED_VALUE"""),42082.99861111111)</f>
        <v>42082.99861</v>
      </c>
      <c r="B1742" s="1">
        <f>IFERROR(__xludf.DUMMYFUNCTION("""COMPUTED_VALUE"""),9997.2048)</f>
        <v>9997.2048</v>
      </c>
    </row>
    <row r="1743">
      <c r="A1743" s="3">
        <f>IFERROR(__xludf.DUMMYFUNCTION("""COMPUTED_VALUE"""),42083.99861111111)</f>
        <v>42083.99861</v>
      </c>
      <c r="B1743" s="1">
        <f>IFERROR(__xludf.DUMMYFUNCTION("""COMPUTED_VALUE"""),10122.37875)</f>
        <v>10122.37875</v>
      </c>
    </row>
    <row r="1744">
      <c r="A1744" s="3">
        <f>IFERROR(__xludf.DUMMYFUNCTION("""COMPUTED_VALUE"""),42085.99861111111)</f>
        <v>42085.99861</v>
      </c>
      <c r="B1744" s="1">
        <f>IFERROR(__xludf.DUMMYFUNCTION("""COMPUTED_VALUE"""),10145.23369)</f>
        <v>10145.23369</v>
      </c>
    </row>
    <row r="1745">
      <c r="A1745" s="3">
        <f>IFERROR(__xludf.DUMMYFUNCTION("""COMPUTED_VALUE"""),42086.99861111111)</f>
        <v>42086.99861</v>
      </c>
      <c r="B1745" s="1">
        <f>IFERROR(__xludf.DUMMYFUNCTION("""COMPUTED_VALUE"""),10190.0239)</f>
        <v>10190.0239</v>
      </c>
    </row>
    <row r="1746">
      <c r="A1746" s="3">
        <f>IFERROR(__xludf.DUMMYFUNCTION("""COMPUTED_VALUE"""),42087.99861111111)</f>
        <v>42087.99861</v>
      </c>
      <c r="B1746" s="1">
        <f>IFERROR(__xludf.DUMMYFUNCTION("""COMPUTED_VALUE"""),10144.8786)</f>
        <v>10144.8786</v>
      </c>
    </row>
    <row r="1747">
      <c r="A1747" s="3">
        <f>IFERROR(__xludf.DUMMYFUNCTION("""COMPUTED_VALUE"""),42088.99861111111)</f>
        <v>42088.99861</v>
      </c>
      <c r="B1747" s="1">
        <f>IFERROR(__xludf.DUMMYFUNCTION("""COMPUTED_VALUE"""),10120.8282)</f>
        <v>10120.8282</v>
      </c>
    </row>
    <row r="1748">
      <c r="A1748" s="3">
        <f>IFERROR(__xludf.DUMMYFUNCTION("""COMPUTED_VALUE"""),42089.99861111111)</f>
        <v>42089.99861</v>
      </c>
      <c r="B1748" s="1">
        <f>IFERROR(__xludf.DUMMYFUNCTION("""COMPUTED_VALUE"""),10189.8223)</f>
        <v>10189.8223</v>
      </c>
    </row>
    <row r="1749">
      <c r="A1749" s="3">
        <f>IFERROR(__xludf.DUMMYFUNCTION("""COMPUTED_VALUE"""),42090.99861111111)</f>
        <v>42090.99861</v>
      </c>
      <c r="B1749" s="1">
        <f>IFERROR(__xludf.DUMMYFUNCTION("""COMPUTED_VALUE"""),10102.125)</f>
        <v>10102.125</v>
      </c>
    </row>
    <row r="1750">
      <c r="A1750" s="3">
        <f>IFERROR(__xludf.DUMMYFUNCTION("""COMPUTED_VALUE"""),42092.99861111111)</f>
        <v>42092.99861</v>
      </c>
      <c r="B1750" s="1">
        <f>IFERROR(__xludf.DUMMYFUNCTION("""COMPUTED_VALUE"""),10160.44332)</f>
        <v>10160.44332</v>
      </c>
    </row>
    <row r="1751">
      <c r="A1751" s="3">
        <f>IFERROR(__xludf.DUMMYFUNCTION("""COMPUTED_VALUE"""),42093.99861111111)</f>
        <v>42093.99861</v>
      </c>
      <c r="B1751" s="1">
        <f>IFERROR(__xludf.DUMMYFUNCTION("""COMPUTED_VALUE"""),10018.0985)</f>
        <v>10018.0985</v>
      </c>
    </row>
    <row r="1752">
      <c r="A1752" s="3">
        <f>IFERROR(__xludf.DUMMYFUNCTION("""COMPUTED_VALUE"""),42094.99861111111)</f>
        <v>42094.99861</v>
      </c>
      <c r="B1752" s="1">
        <f>IFERROR(__xludf.DUMMYFUNCTION("""COMPUTED_VALUE"""),9941.5332)</f>
        <v>9941.5332</v>
      </c>
    </row>
    <row r="1753">
      <c r="A1753" s="3">
        <f>IFERROR(__xludf.DUMMYFUNCTION("""COMPUTED_VALUE"""),42095.99861111111)</f>
        <v>42095.99861</v>
      </c>
      <c r="B1753" s="1">
        <f>IFERROR(__xludf.DUMMYFUNCTION("""COMPUTED_VALUE"""),9854.559)</f>
        <v>9854.559</v>
      </c>
    </row>
    <row r="1754">
      <c r="A1754" s="3">
        <f>IFERROR(__xludf.DUMMYFUNCTION("""COMPUTED_VALUE"""),42096.99861111111)</f>
        <v>42096.99861</v>
      </c>
      <c r="B1754" s="1">
        <f>IFERROR(__xludf.DUMMYFUNCTION("""COMPUTED_VALUE"""),9840.033)</f>
        <v>9840.033</v>
      </c>
    </row>
    <row r="1755">
      <c r="A1755" s="3">
        <f>IFERROR(__xludf.DUMMYFUNCTION("""COMPUTED_VALUE"""),42097.99861111111)</f>
        <v>42097.99861</v>
      </c>
      <c r="B1755" s="1">
        <f>IFERROR(__xludf.DUMMYFUNCTION("""COMPUTED_VALUE"""),9888.1462)</f>
        <v>9888.1462</v>
      </c>
    </row>
    <row r="1756">
      <c r="A1756" s="3">
        <f>IFERROR(__xludf.DUMMYFUNCTION("""COMPUTED_VALUE"""),42099.99861111111)</f>
        <v>42099.99861</v>
      </c>
      <c r="B1756" s="1">
        <f>IFERROR(__xludf.DUMMYFUNCTION("""COMPUTED_VALUE"""),9909.20224)</f>
        <v>9909.20224</v>
      </c>
    </row>
    <row r="1757">
      <c r="A1757" s="3">
        <f>IFERROR(__xludf.DUMMYFUNCTION("""COMPUTED_VALUE"""),42100.99861111111)</f>
        <v>42100.99861</v>
      </c>
      <c r="B1757" s="1">
        <f>IFERROR(__xludf.DUMMYFUNCTION("""COMPUTED_VALUE"""),9823.1838)</f>
        <v>9823.1838</v>
      </c>
    </row>
    <row r="1758">
      <c r="A1758" s="3">
        <f>IFERROR(__xludf.DUMMYFUNCTION("""COMPUTED_VALUE"""),42101.99861111111)</f>
        <v>42101.99861</v>
      </c>
      <c r="B1758" s="1">
        <f>IFERROR(__xludf.DUMMYFUNCTION("""COMPUTED_VALUE"""),9926.8805)</f>
        <v>9926.8805</v>
      </c>
    </row>
    <row r="1759">
      <c r="A1759" s="3">
        <f>IFERROR(__xludf.DUMMYFUNCTION("""COMPUTED_VALUE"""),42102.99861111111)</f>
        <v>42102.99861</v>
      </c>
      <c r="B1759" s="1">
        <f>IFERROR(__xludf.DUMMYFUNCTION("""COMPUTED_VALUE"""),9929.7605)</f>
        <v>9929.7605</v>
      </c>
    </row>
    <row r="1760">
      <c r="A1760" s="3">
        <f>IFERROR(__xludf.DUMMYFUNCTION("""COMPUTED_VALUE"""),42103.99861111111)</f>
        <v>42103.99861</v>
      </c>
      <c r="B1760" s="1">
        <f>IFERROR(__xludf.DUMMYFUNCTION("""COMPUTED_VALUE"""),9962.92505)</f>
        <v>9962.92505</v>
      </c>
    </row>
    <row r="1761">
      <c r="A1761" s="3">
        <f>IFERROR(__xludf.DUMMYFUNCTION("""COMPUTED_VALUE"""),42104.99861111111)</f>
        <v>42104.99861</v>
      </c>
      <c r="B1761" s="1">
        <f>IFERROR(__xludf.DUMMYFUNCTION("""COMPUTED_VALUE"""),9893.5906)</f>
        <v>9893.5906</v>
      </c>
    </row>
    <row r="1762">
      <c r="A1762" s="3">
        <f>IFERROR(__xludf.DUMMYFUNCTION("""COMPUTED_VALUE"""),42106.99861111111)</f>
        <v>42106.99861</v>
      </c>
      <c r="B1762" s="1">
        <f>IFERROR(__xludf.DUMMYFUNCTION("""COMPUTED_VALUE"""),9918.240154)</f>
        <v>9918.240154</v>
      </c>
    </row>
    <row r="1763">
      <c r="A1763" s="3">
        <f>IFERROR(__xludf.DUMMYFUNCTION("""COMPUTED_VALUE"""),42107.99861111111)</f>
        <v>42107.99861</v>
      </c>
      <c r="B1763" s="1">
        <f>IFERROR(__xludf.DUMMYFUNCTION("""COMPUTED_VALUE"""),9894.6325)</f>
        <v>9894.6325</v>
      </c>
    </row>
    <row r="1764">
      <c r="A1764" s="3">
        <f>IFERROR(__xludf.DUMMYFUNCTION("""COMPUTED_VALUE"""),42108.99861111111)</f>
        <v>42108.99861</v>
      </c>
      <c r="B1764" s="1">
        <f>IFERROR(__xludf.DUMMYFUNCTION("""COMPUTED_VALUE"""),9877.21875)</f>
        <v>9877.21875</v>
      </c>
    </row>
    <row r="1765">
      <c r="A1765" s="3">
        <f>IFERROR(__xludf.DUMMYFUNCTION("""COMPUTED_VALUE"""),42109.99861111111)</f>
        <v>42109.99861</v>
      </c>
      <c r="B1765" s="1">
        <f>IFERROR(__xludf.DUMMYFUNCTION("""COMPUTED_VALUE"""),9900.25308)</f>
        <v>9900.25308</v>
      </c>
    </row>
    <row r="1766">
      <c r="A1766" s="3">
        <f>IFERROR(__xludf.DUMMYFUNCTION("""COMPUTED_VALUE"""),42110.99861111111)</f>
        <v>42110.99861</v>
      </c>
      <c r="B1766" s="1">
        <f>IFERROR(__xludf.DUMMYFUNCTION("""COMPUTED_VALUE"""),9982.4212)</f>
        <v>9982.4212</v>
      </c>
    </row>
    <row r="1767">
      <c r="A1767" s="3">
        <f>IFERROR(__xludf.DUMMYFUNCTION("""COMPUTED_VALUE"""),42111.99861111111)</f>
        <v>42111.99861</v>
      </c>
      <c r="B1767" s="1">
        <f>IFERROR(__xludf.DUMMYFUNCTION("""COMPUTED_VALUE"""),9959.936)</f>
        <v>9959.936</v>
      </c>
    </row>
    <row r="1768">
      <c r="A1768" s="3">
        <f>IFERROR(__xludf.DUMMYFUNCTION("""COMPUTED_VALUE"""),42113.99861111111)</f>
        <v>42113.99861</v>
      </c>
      <c r="B1768" s="1">
        <f>IFERROR(__xludf.DUMMYFUNCTION("""COMPUTED_VALUE"""),10059.78761)</f>
        <v>10059.78761</v>
      </c>
    </row>
    <row r="1769">
      <c r="A1769" s="3">
        <f>IFERROR(__xludf.DUMMYFUNCTION("""COMPUTED_VALUE"""),42114.99861111111)</f>
        <v>42114.99861</v>
      </c>
      <c r="B1769" s="1">
        <f>IFERROR(__xludf.DUMMYFUNCTION("""COMPUTED_VALUE"""),10014.6558)</f>
        <v>10014.6558</v>
      </c>
    </row>
    <row r="1770">
      <c r="A1770" s="3">
        <f>IFERROR(__xludf.DUMMYFUNCTION("""COMPUTED_VALUE"""),42115.99861111111)</f>
        <v>42115.99861</v>
      </c>
      <c r="B1770" s="1">
        <f>IFERROR(__xludf.DUMMYFUNCTION("""COMPUTED_VALUE"""),9968.794)</f>
        <v>9968.794</v>
      </c>
    </row>
    <row r="1771">
      <c r="A1771" s="3">
        <f>IFERROR(__xludf.DUMMYFUNCTION("""COMPUTED_VALUE"""),42116.99861111111)</f>
        <v>42116.99861</v>
      </c>
      <c r="B1771" s="1">
        <f>IFERROR(__xludf.DUMMYFUNCTION("""COMPUTED_VALUE"""),9994.92)</f>
        <v>9994.92</v>
      </c>
    </row>
    <row r="1772">
      <c r="A1772" s="3">
        <f>IFERROR(__xludf.DUMMYFUNCTION("""COMPUTED_VALUE"""),42117.99861111111)</f>
        <v>42117.99861</v>
      </c>
      <c r="B1772" s="1">
        <f>IFERROR(__xludf.DUMMYFUNCTION("""COMPUTED_VALUE"""),10054.1094)</f>
        <v>10054.1094</v>
      </c>
    </row>
    <row r="1773">
      <c r="A1773" s="3">
        <f>IFERROR(__xludf.DUMMYFUNCTION("""COMPUTED_VALUE"""),42118.99861111111)</f>
        <v>42118.99861</v>
      </c>
      <c r="B1773" s="1">
        <f>IFERROR(__xludf.DUMMYFUNCTION("""COMPUTED_VALUE"""),10120.51458)</f>
        <v>10120.51458</v>
      </c>
    </row>
    <row r="1774">
      <c r="A1774" s="3">
        <f>IFERROR(__xludf.DUMMYFUNCTION("""COMPUTED_VALUE"""),42120.99861111111)</f>
        <v>42120.99861</v>
      </c>
      <c r="B1774" s="1">
        <f>IFERROR(__xludf.DUMMYFUNCTION("""COMPUTED_VALUE"""),10155.89468)</f>
        <v>10155.89468</v>
      </c>
    </row>
    <row r="1775">
      <c r="A1775" s="3">
        <f>IFERROR(__xludf.DUMMYFUNCTION("""COMPUTED_VALUE"""),42121.99861111111)</f>
        <v>42121.99861</v>
      </c>
      <c r="B1775" s="1">
        <f>IFERROR(__xludf.DUMMYFUNCTION("""COMPUTED_VALUE"""),10167.73185)</f>
        <v>10167.73185</v>
      </c>
    </row>
    <row r="1776">
      <c r="A1776" s="3">
        <f>IFERROR(__xludf.DUMMYFUNCTION("""COMPUTED_VALUE"""),42122.99861111111)</f>
        <v>42122.99861</v>
      </c>
      <c r="B1776" s="1">
        <f>IFERROR(__xludf.DUMMYFUNCTION("""COMPUTED_VALUE"""),10341.5325)</f>
        <v>10341.5325</v>
      </c>
    </row>
    <row r="1777">
      <c r="A1777" s="3">
        <f>IFERROR(__xludf.DUMMYFUNCTION("""COMPUTED_VALUE"""),42123.99861111111)</f>
        <v>42123.99861</v>
      </c>
      <c r="B1777" s="1">
        <f>IFERROR(__xludf.DUMMYFUNCTION("""COMPUTED_VALUE"""),10324.63845)</f>
        <v>10324.63845</v>
      </c>
    </row>
    <row r="1778">
      <c r="A1778" s="3">
        <f>IFERROR(__xludf.DUMMYFUNCTION("""COMPUTED_VALUE"""),42124.99861111111)</f>
        <v>42124.99861</v>
      </c>
      <c r="B1778" s="1">
        <f>IFERROR(__xludf.DUMMYFUNCTION("""COMPUTED_VALUE"""),10234.7343)</f>
        <v>10234.7343</v>
      </c>
    </row>
    <row r="1779">
      <c r="A1779" s="3">
        <f>IFERROR(__xludf.DUMMYFUNCTION("""COMPUTED_VALUE"""),42125.99861111111)</f>
        <v>42125.99861</v>
      </c>
      <c r="B1779" s="1">
        <f>IFERROR(__xludf.DUMMYFUNCTION("""COMPUTED_VALUE"""),10184.5965)</f>
        <v>10184.5965</v>
      </c>
    </row>
    <row r="1780">
      <c r="A1780" s="3">
        <f>IFERROR(__xludf.DUMMYFUNCTION("""COMPUTED_VALUE"""),42127.99861111111)</f>
        <v>42127.99861</v>
      </c>
      <c r="B1780" s="1">
        <f>IFERROR(__xludf.DUMMYFUNCTION("""COMPUTED_VALUE"""),10204.68606)</f>
        <v>10204.68606</v>
      </c>
    </row>
    <row r="1781">
      <c r="A1781" s="3">
        <f>IFERROR(__xludf.DUMMYFUNCTION("""COMPUTED_VALUE"""),42128.99861111111)</f>
        <v>42128.99861</v>
      </c>
      <c r="B1781" s="1">
        <f>IFERROR(__xludf.DUMMYFUNCTION("""COMPUTED_VALUE"""),10080.954)</f>
        <v>10080.954</v>
      </c>
    </row>
    <row r="1782">
      <c r="A1782" s="3">
        <f>IFERROR(__xludf.DUMMYFUNCTION("""COMPUTED_VALUE"""),42129.99861111111)</f>
        <v>42129.99861</v>
      </c>
      <c r="B1782" s="1">
        <f>IFERROR(__xludf.DUMMYFUNCTION("""COMPUTED_VALUE"""),10314.2655)</f>
        <v>10314.2655</v>
      </c>
    </row>
    <row r="1783">
      <c r="A1783" s="3">
        <f>IFERROR(__xludf.DUMMYFUNCTION("""COMPUTED_VALUE"""),42130.99861111111)</f>
        <v>42130.99861</v>
      </c>
      <c r="B1783" s="1">
        <f>IFERROR(__xludf.DUMMYFUNCTION("""COMPUTED_VALUE"""),10344.682)</f>
        <v>10344.682</v>
      </c>
    </row>
    <row r="1784">
      <c r="A1784" s="3">
        <f>IFERROR(__xludf.DUMMYFUNCTION("""COMPUTED_VALUE"""),42131.99861111111)</f>
        <v>42131.99861</v>
      </c>
      <c r="B1784" s="1">
        <f>IFERROR(__xludf.DUMMYFUNCTION("""COMPUTED_VALUE"""),10343.7405)</f>
        <v>10343.7405</v>
      </c>
    </row>
    <row r="1785">
      <c r="A1785" s="3">
        <f>IFERROR(__xludf.DUMMYFUNCTION("""COMPUTED_VALUE"""),42132.99861111111)</f>
        <v>42132.99861</v>
      </c>
      <c r="B1785" s="1">
        <f>IFERROR(__xludf.DUMMYFUNCTION("""COMPUTED_VALUE"""),10349.01087)</f>
        <v>10349.01087</v>
      </c>
    </row>
    <row r="1786">
      <c r="A1786" s="3">
        <f>IFERROR(__xludf.DUMMYFUNCTION("""COMPUTED_VALUE"""),42134.99861111111)</f>
        <v>42134.99861</v>
      </c>
      <c r="B1786" s="1">
        <f>IFERROR(__xludf.DUMMYFUNCTION("""COMPUTED_VALUE"""),10424.99624)</f>
        <v>10424.99624</v>
      </c>
    </row>
    <row r="1787">
      <c r="A1787" s="3">
        <f>IFERROR(__xludf.DUMMYFUNCTION("""COMPUTED_VALUE"""),42135.99861111111)</f>
        <v>42135.99861</v>
      </c>
      <c r="B1787" s="1">
        <f>IFERROR(__xludf.DUMMYFUNCTION("""COMPUTED_VALUE"""),10401.666)</f>
        <v>10401.666</v>
      </c>
    </row>
    <row r="1788">
      <c r="A1788" s="3">
        <f>IFERROR(__xludf.DUMMYFUNCTION("""COMPUTED_VALUE"""),42136.99861111111)</f>
        <v>42136.99861</v>
      </c>
      <c r="B1788" s="1">
        <f>IFERROR(__xludf.DUMMYFUNCTION("""COMPUTED_VALUE"""),10501.2776)</f>
        <v>10501.2776</v>
      </c>
    </row>
    <row r="1789">
      <c r="A1789" s="3">
        <f>IFERROR(__xludf.DUMMYFUNCTION("""COMPUTED_VALUE"""),42137.99861111111)</f>
        <v>42137.99861</v>
      </c>
      <c r="B1789" s="1">
        <f>IFERROR(__xludf.DUMMYFUNCTION("""COMPUTED_VALUE"""),10627.42526)</f>
        <v>10627.42526</v>
      </c>
    </row>
    <row r="1790">
      <c r="A1790" s="3">
        <f>IFERROR(__xludf.DUMMYFUNCTION("""COMPUTED_VALUE"""),42138.99861111111)</f>
        <v>42138.99861</v>
      </c>
      <c r="B1790" s="1">
        <f>IFERROR(__xludf.DUMMYFUNCTION("""COMPUTED_VALUE"""),10519.7092)</f>
        <v>10519.7092</v>
      </c>
    </row>
    <row r="1791">
      <c r="A1791" s="3">
        <f>IFERROR(__xludf.DUMMYFUNCTION("""COMPUTED_VALUE"""),42139.99861111111)</f>
        <v>42139.99861</v>
      </c>
      <c r="B1791" s="1">
        <f>IFERROR(__xludf.DUMMYFUNCTION("""COMPUTED_VALUE"""),10476.48006)</f>
        <v>10476.48006</v>
      </c>
    </row>
    <row r="1792">
      <c r="A1792" s="3">
        <f>IFERROR(__xludf.DUMMYFUNCTION("""COMPUTED_VALUE"""),42141.99861111111)</f>
        <v>42141.99861</v>
      </c>
      <c r="B1792" s="1">
        <f>IFERROR(__xludf.DUMMYFUNCTION("""COMPUTED_VALUE"""),10518.81916)</f>
        <v>10518.81916</v>
      </c>
    </row>
    <row r="1793">
      <c r="A1793" s="3">
        <f>IFERROR(__xludf.DUMMYFUNCTION("""COMPUTED_VALUE"""),42142.99861111111)</f>
        <v>42142.99861</v>
      </c>
      <c r="B1793" s="1">
        <f>IFERROR(__xludf.DUMMYFUNCTION("""COMPUTED_VALUE"""),10522.22928)</f>
        <v>10522.22928</v>
      </c>
    </row>
    <row r="1794">
      <c r="A1794" s="3">
        <f>IFERROR(__xludf.DUMMYFUNCTION("""COMPUTED_VALUE"""),42143.99861111111)</f>
        <v>42143.99861</v>
      </c>
      <c r="B1794" s="1">
        <f>IFERROR(__xludf.DUMMYFUNCTION("""COMPUTED_VALUE"""),10429.97776)</f>
        <v>10429.97776</v>
      </c>
    </row>
    <row r="1795">
      <c r="A1795" s="3">
        <f>IFERROR(__xludf.DUMMYFUNCTION("""COMPUTED_VALUE"""),42144.99861111111)</f>
        <v>42144.99861</v>
      </c>
      <c r="B1795" s="1">
        <f>IFERROR(__xludf.DUMMYFUNCTION("""COMPUTED_VALUE"""),10251.9155)</f>
        <v>10251.9155</v>
      </c>
    </row>
    <row r="1796">
      <c r="A1796" s="3">
        <f>IFERROR(__xludf.DUMMYFUNCTION("""COMPUTED_VALUE"""),42145.99861111111)</f>
        <v>42145.99861</v>
      </c>
      <c r="B1796" s="1">
        <f>IFERROR(__xludf.DUMMYFUNCTION("""COMPUTED_VALUE"""),10354.0092)</f>
        <v>10354.0092</v>
      </c>
    </row>
    <row r="1797">
      <c r="A1797" s="3">
        <f>IFERROR(__xludf.DUMMYFUNCTION("""COMPUTED_VALUE"""),42146.99861111111)</f>
        <v>42146.99861</v>
      </c>
      <c r="B1797" s="1">
        <f>IFERROR(__xludf.DUMMYFUNCTION("""COMPUTED_VALUE"""),10265.2308)</f>
        <v>10265.2308</v>
      </c>
    </row>
    <row r="1798">
      <c r="A1798" s="3">
        <f>IFERROR(__xludf.DUMMYFUNCTION("""COMPUTED_VALUE"""),42149.99861111111)</f>
        <v>42149.99861</v>
      </c>
      <c r="B1798" s="1">
        <f>IFERROR(__xludf.DUMMYFUNCTION("""COMPUTED_VALUE"""),10307.8725)</f>
        <v>10307.8725</v>
      </c>
    </row>
    <row r="1799">
      <c r="A1799" s="3">
        <f>IFERROR(__xludf.DUMMYFUNCTION("""COMPUTED_VALUE"""),42150.99861111111)</f>
        <v>42150.99861</v>
      </c>
      <c r="B1799" s="1">
        <f>IFERROR(__xludf.DUMMYFUNCTION("""COMPUTED_VALUE"""),10233.9231)</f>
        <v>10233.9231</v>
      </c>
    </row>
    <row r="1800">
      <c r="A1800" s="3">
        <f>IFERROR(__xludf.DUMMYFUNCTION("""COMPUTED_VALUE"""),42151.99861111111)</f>
        <v>42151.99861</v>
      </c>
      <c r="B1800" s="1">
        <f>IFERROR(__xludf.DUMMYFUNCTION("""COMPUTED_VALUE"""),10184.361)</f>
        <v>10184.361</v>
      </c>
    </row>
    <row r="1801">
      <c r="A1801" s="3">
        <f>IFERROR(__xludf.DUMMYFUNCTION("""COMPUTED_VALUE"""),42152.99861111111)</f>
        <v>42152.99861</v>
      </c>
      <c r="B1801" s="1">
        <f>IFERROR(__xludf.DUMMYFUNCTION("""COMPUTED_VALUE"""),10077.8075)</f>
        <v>10077.8075</v>
      </c>
    </row>
    <row r="1802">
      <c r="A1802" s="3">
        <f>IFERROR(__xludf.DUMMYFUNCTION("""COMPUTED_VALUE"""),42153.99861111111)</f>
        <v>42153.99861</v>
      </c>
      <c r="B1802" s="1">
        <f>IFERROR(__xludf.DUMMYFUNCTION("""COMPUTED_VALUE"""),10085.592)</f>
        <v>10085.592</v>
      </c>
    </row>
    <row r="1803">
      <c r="A1803" s="3">
        <f>IFERROR(__xludf.DUMMYFUNCTION("""COMPUTED_VALUE"""),42156.99861111111)</f>
        <v>42156.99861</v>
      </c>
      <c r="B1803" s="1">
        <f>IFERROR(__xludf.DUMMYFUNCTION("""COMPUTED_VALUE"""),10038.7056)</f>
        <v>10038.7056</v>
      </c>
    </row>
    <row r="1804">
      <c r="A1804" s="3">
        <f>IFERROR(__xludf.DUMMYFUNCTION("""COMPUTED_VALUE"""),42157.99861111111)</f>
        <v>42157.99861</v>
      </c>
      <c r="B1804" s="1">
        <f>IFERROR(__xludf.DUMMYFUNCTION("""COMPUTED_VALUE"""),10205.715)</f>
        <v>10205.715</v>
      </c>
    </row>
    <row r="1805">
      <c r="A1805" s="3">
        <f>IFERROR(__xludf.DUMMYFUNCTION("""COMPUTED_VALUE"""),42158.99861111111)</f>
        <v>42158.99861</v>
      </c>
      <c r="B1805" s="1">
        <f>IFERROR(__xludf.DUMMYFUNCTION("""COMPUTED_VALUE"""),10281.033)</f>
        <v>10281.033</v>
      </c>
    </row>
    <row r="1806">
      <c r="A1806" s="3">
        <f>IFERROR(__xludf.DUMMYFUNCTION("""COMPUTED_VALUE"""),42159.99861111111)</f>
        <v>42159.99861</v>
      </c>
      <c r="B1806" s="1">
        <f>IFERROR(__xludf.DUMMYFUNCTION("""COMPUTED_VALUE"""),10203.165)</f>
        <v>10203.165</v>
      </c>
    </row>
    <row r="1807">
      <c r="A1807" s="3">
        <f>IFERROR(__xludf.DUMMYFUNCTION("""COMPUTED_VALUE"""),42160.99861111111)</f>
        <v>42160.99861</v>
      </c>
      <c r="B1807" s="1">
        <f>IFERROR(__xludf.DUMMYFUNCTION("""COMPUTED_VALUE"""),10198.57676)</f>
        <v>10198.57676</v>
      </c>
    </row>
    <row r="1808">
      <c r="A1808" s="3">
        <f>IFERROR(__xludf.DUMMYFUNCTION("""COMPUTED_VALUE"""),42163.99861111111)</f>
        <v>42163.99861</v>
      </c>
      <c r="B1808" s="1">
        <f>IFERROR(__xludf.DUMMYFUNCTION("""COMPUTED_VALUE"""),10230.066)</f>
        <v>10230.066</v>
      </c>
    </row>
    <row r="1809">
      <c r="A1809" s="3">
        <f>IFERROR(__xludf.DUMMYFUNCTION("""COMPUTED_VALUE"""),42164.99861111111)</f>
        <v>42164.99861</v>
      </c>
      <c r="B1809" s="1">
        <f>IFERROR(__xludf.DUMMYFUNCTION("""COMPUTED_VALUE"""),10260.9705)</f>
        <v>10260.9705</v>
      </c>
    </row>
    <row r="1810">
      <c r="A1810" s="3">
        <f>IFERROR(__xludf.DUMMYFUNCTION("""COMPUTED_VALUE"""),42165.99861111111)</f>
        <v>42165.99861</v>
      </c>
      <c r="B1810" s="1">
        <f>IFERROR(__xludf.DUMMYFUNCTION("""COMPUTED_VALUE"""),10208.7855)</f>
        <v>10208.7855</v>
      </c>
    </row>
    <row r="1811">
      <c r="A1811" s="3">
        <f>IFERROR(__xludf.DUMMYFUNCTION("""COMPUTED_VALUE"""),42166.99861111111)</f>
        <v>42166.99861</v>
      </c>
      <c r="B1811" s="1">
        <f>IFERROR(__xludf.DUMMYFUNCTION("""COMPUTED_VALUE"""),10248.7518)</f>
        <v>10248.7518</v>
      </c>
    </row>
    <row r="1812">
      <c r="A1812" s="3">
        <f>IFERROR(__xludf.DUMMYFUNCTION("""COMPUTED_VALUE"""),42167.99861111111)</f>
        <v>42167.99861</v>
      </c>
      <c r="B1812" s="1">
        <f>IFERROR(__xludf.DUMMYFUNCTION("""COMPUTED_VALUE"""),10285.97065)</f>
        <v>10285.97065</v>
      </c>
    </row>
    <row r="1813">
      <c r="A1813" s="3">
        <f>IFERROR(__xludf.DUMMYFUNCTION("""COMPUTED_VALUE"""),42170.99861111111)</f>
        <v>42170.99861</v>
      </c>
      <c r="B1813" s="1">
        <f>IFERROR(__xludf.DUMMYFUNCTION("""COMPUTED_VALUE"""),10331.1252)</f>
        <v>10331.1252</v>
      </c>
    </row>
    <row r="1814">
      <c r="A1814" s="3">
        <f>IFERROR(__xludf.DUMMYFUNCTION("""COMPUTED_VALUE"""),42171.99861111111)</f>
        <v>42171.99861</v>
      </c>
      <c r="B1814" s="1">
        <f>IFERROR(__xludf.DUMMYFUNCTION("""COMPUTED_VALUE"""),10327.828)</f>
        <v>10327.828</v>
      </c>
    </row>
    <row r="1815">
      <c r="A1815" s="3">
        <f>IFERROR(__xludf.DUMMYFUNCTION("""COMPUTED_VALUE"""),42172.99861111111)</f>
        <v>42172.99861</v>
      </c>
      <c r="B1815" s="1">
        <f>IFERROR(__xludf.DUMMYFUNCTION("""COMPUTED_VALUE"""),10294.759)</f>
        <v>10294.759</v>
      </c>
    </row>
    <row r="1816">
      <c r="A1816" s="3">
        <f>IFERROR(__xludf.DUMMYFUNCTION("""COMPUTED_VALUE"""),42173.99861111111)</f>
        <v>42173.99861</v>
      </c>
      <c r="B1816" s="1">
        <f>IFERROR(__xludf.DUMMYFUNCTION("""COMPUTED_VALUE"""),10350.252)</f>
        <v>10350.252</v>
      </c>
    </row>
    <row r="1817">
      <c r="A1817" s="3">
        <f>IFERROR(__xludf.DUMMYFUNCTION("""COMPUTED_VALUE"""),42174.99861111111)</f>
        <v>42174.99861</v>
      </c>
      <c r="B1817" s="1">
        <f>IFERROR(__xludf.DUMMYFUNCTION("""COMPUTED_VALUE"""),10337.0784)</f>
        <v>10337.0784</v>
      </c>
    </row>
    <row r="1818">
      <c r="A1818" s="3">
        <f>IFERROR(__xludf.DUMMYFUNCTION("""COMPUTED_VALUE"""),42177.99861111111)</f>
        <v>42177.99861</v>
      </c>
      <c r="B1818" s="1">
        <f>IFERROR(__xludf.DUMMYFUNCTION("""COMPUTED_VALUE"""),10278.4554)</f>
        <v>10278.4554</v>
      </c>
    </row>
    <row r="1819">
      <c r="A1819" s="3">
        <f>IFERROR(__xludf.DUMMYFUNCTION("""COMPUTED_VALUE"""),42178.99861111111)</f>
        <v>42178.99861</v>
      </c>
      <c r="B1819" s="1">
        <f>IFERROR(__xludf.DUMMYFUNCTION("""COMPUTED_VALUE"""),10256.4275)</f>
        <v>10256.4275</v>
      </c>
    </row>
    <row r="1820">
      <c r="A1820" s="3">
        <f>IFERROR(__xludf.DUMMYFUNCTION("""COMPUTED_VALUE"""),42179.99861111111)</f>
        <v>42179.99861</v>
      </c>
      <c r="B1820" s="1">
        <f>IFERROR(__xludf.DUMMYFUNCTION("""COMPUTED_VALUE"""),10243.932)</f>
        <v>10243.932</v>
      </c>
    </row>
    <row r="1821">
      <c r="A1821" s="3">
        <f>IFERROR(__xludf.DUMMYFUNCTION("""COMPUTED_VALUE"""),42180.99861111111)</f>
        <v>42180.99861</v>
      </c>
      <c r="B1821" s="1">
        <f>IFERROR(__xludf.DUMMYFUNCTION("""COMPUTED_VALUE"""),10286.14566)</f>
        <v>10286.14566</v>
      </c>
    </row>
    <row r="1822">
      <c r="A1822" s="3">
        <f>IFERROR(__xludf.DUMMYFUNCTION("""COMPUTED_VALUE"""),42181.99861111111)</f>
        <v>42181.99861</v>
      </c>
      <c r="B1822" s="1">
        <f>IFERROR(__xludf.DUMMYFUNCTION("""COMPUTED_VALUE"""),10195.19338)</f>
        <v>10195.19338</v>
      </c>
    </row>
    <row r="1823">
      <c r="A1823" s="3">
        <f>IFERROR(__xludf.DUMMYFUNCTION("""COMPUTED_VALUE"""),42184.99861111111)</f>
        <v>42184.99861</v>
      </c>
      <c r="B1823" s="1">
        <f>IFERROR(__xludf.DUMMYFUNCTION("""COMPUTED_VALUE"""),10217.974)</f>
        <v>10217.974</v>
      </c>
    </row>
    <row r="1824">
      <c r="A1824" s="3">
        <f>IFERROR(__xludf.DUMMYFUNCTION("""COMPUTED_VALUE"""),42185.99861111111)</f>
        <v>42185.99861</v>
      </c>
      <c r="B1824" s="1">
        <f>IFERROR(__xludf.DUMMYFUNCTION("""COMPUTED_VALUE"""),10259.998)</f>
        <v>10259.998</v>
      </c>
    </row>
    <row r="1825">
      <c r="A1825" s="3">
        <f>IFERROR(__xludf.DUMMYFUNCTION("""COMPUTED_VALUE"""),42186.99861111111)</f>
        <v>42186.99861</v>
      </c>
      <c r="B1825" s="1">
        <f>IFERROR(__xludf.DUMMYFUNCTION("""COMPUTED_VALUE"""),10172.2884)</f>
        <v>10172.2884</v>
      </c>
    </row>
    <row r="1826">
      <c r="A1826" s="3">
        <f>IFERROR(__xludf.DUMMYFUNCTION("""COMPUTED_VALUE"""),42187.99861111111)</f>
        <v>42187.99861</v>
      </c>
      <c r="B1826" s="1">
        <f>IFERROR(__xludf.DUMMYFUNCTION("""COMPUTED_VALUE"""),10125.4686)</f>
        <v>10125.4686</v>
      </c>
    </row>
    <row r="1827">
      <c r="A1827" s="3">
        <f>IFERROR(__xludf.DUMMYFUNCTION("""COMPUTED_VALUE"""),42188.99861111111)</f>
        <v>42188.99861</v>
      </c>
      <c r="B1827" s="1">
        <f>IFERROR(__xludf.DUMMYFUNCTION("""COMPUTED_VALUE"""),10015.9388)</f>
        <v>10015.9388</v>
      </c>
    </row>
    <row r="1828">
      <c r="A1828" s="3">
        <f>IFERROR(__xludf.DUMMYFUNCTION("""COMPUTED_VALUE"""),42191.99861111111)</f>
        <v>42191.99861</v>
      </c>
      <c r="B1828" s="1">
        <f>IFERROR(__xludf.DUMMYFUNCTION("""COMPUTED_VALUE"""),9973.3842)</f>
        <v>9973.3842</v>
      </c>
    </row>
    <row r="1829">
      <c r="A1829" s="3">
        <f>IFERROR(__xludf.DUMMYFUNCTION("""COMPUTED_VALUE"""),42192.99861111111)</f>
        <v>42192.99861</v>
      </c>
      <c r="B1829" s="1">
        <f>IFERROR(__xludf.DUMMYFUNCTION("""COMPUTED_VALUE"""),9934.45375)</f>
        <v>9934.45375</v>
      </c>
    </row>
    <row r="1830">
      <c r="A1830" s="3">
        <f>IFERROR(__xludf.DUMMYFUNCTION("""COMPUTED_VALUE"""),42193.99861111111)</f>
        <v>42193.99861</v>
      </c>
      <c r="B1830" s="1">
        <f>IFERROR(__xludf.DUMMYFUNCTION("""COMPUTED_VALUE"""),9893.2365)</f>
        <v>9893.2365</v>
      </c>
    </row>
    <row r="1831">
      <c r="A1831" s="3">
        <f>IFERROR(__xludf.DUMMYFUNCTION("""COMPUTED_VALUE"""),42194.99861111111)</f>
        <v>42194.99861</v>
      </c>
      <c r="B1831" s="1">
        <f>IFERROR(__xludf.DUMMYFUNCTION("""COMPUTED_VALUE"""),9920.0471)</f>
        <v>9920.0471</v>
      </c>
    </row>
    <row r="1832">
      <c r="A1832" s="3">
        <f>IFERROR(__xludf.DUMMYFUNCTION("""COMPUTED_VALUE"""),42195.99861111111)</f>
        <v>42195.99861</v>
      </c>
      <c r="B1832" s="1">
        <f>IFERROR(__xludf.DUMMYFUNCTION("""COMPUTED_VALUE"""),9875.64528)</f>
        <v>9875.64528</v>
      </c>
    </row>
    <row r="1833">
      <c r="A1833" s="3">
        <f>IFERROR(__xludf.DUMMYFUNCTION("""COMPUTED_VALUE"""),42198.99861111111)</f>
        <v>42198.99861</v>
      </c>
      <c r="B1833" s="1">
        <f>IFERROR(__xludf.DUMMYFUNCTION("""COMPUTED_VALUE"""),9813.92)</f>
        <v>9813.92</v>
      </c>
    </row>
    <row r="1834">
      <c r="A1834" s="3">
        <f>IFERROR(__xludf.DUMMYFUNCTION("""COMPUTED_VALUE"""),42199.99861111111)</f>
        <v>42199.99861</v>
      </c>
      <c r="B1834" s="1">
        <f>IFERROR(__xludf.DUMMYFUNCTION("""COMPUTED_VALUE"""),9904.242)</f>
        <v>9904.242</v>
      </c>
    </row>
    <row r="1835">
      <c r="A1835" s="3">
        <f>IFERROR(__xludf.DUMMYFUNCTION("""COMPUTED_VALUE"""),42200.99861111111)</f>
        <v>42200.99861</v>
      </c>
      <c r="B1835" s="1">
        <f>IFERROR(__xludf.DUMMYFUNCTION("""COMPUTED_VALUE"""),9831.4398)</f>
        <v>9831.4398</v>
      </c>
    </row>
    <row r="1836">
      <c r="A1836" s="3">
        <f>IFERROR(__xludf.DUMMYFUNCTION("""COMPUTED_VALUE"""),42201.99861111111)</f>
        <v>42201.99861</v>
      </c>
      <c r="B1836" s="1">
        <f>IFERROR(__xludf.DUMMYFUNCTION("""COMPUTED_VALUE"""),9880.40396)</f>
        <v>9880.40396</v>
      </c>
    </row>
    <row r="1837">
      <c r="A1837" s="3">
        <f>IFERROR(__xludf.DUMMYFUNCTION("""COMPUTED_VALUE"""),42202.99861111111)</f>
        <v>42202.99861</v>
      </c>
      <c r="B1837" s="1">
        <f>IFERROR(__xludf.DUMMYFUNCTION("""COMPUTED_VALUE"""),9838.149)</f>
        <v>9838.149</v>
      </c>
    </row>
    <row r="1838">
      <c r="A1838" s="3">
        <f>IFERROR(__xludf.DUMMYFUNCTION("""COMPUTED_VALUE"""),42205.99861111111)</f>
        <v>42205.99861</v>
      </c>
      <c r="B1838" s="1">
        <f>IFERROR(__xludf.DUMMYFUNCTION("""COMPUTED_VALUE"""),9836.916)</f>
        <v>9836.916</v>
      </c>
    </row>
    <row r="1839">
      <c r="A1839" s="3">
        <f>IFERROR(__xludf.DUMMYFUNCTION("""COMPUTED_VALUE"""),42206.99861111111)</f>
        <v>42206.99861</v>
      </c>
      <c r="B1839" s="1">
        <f>IFERROR(__xludf.DUMMYFUNCTION("""COMPUTED_VALUE"""),9895.9035)</f>
        <v>9895.9035</v>
      </c>
    </row>
    <row r="1840">
      <c r="A1840" s="3">
        <f>IFERROR(__xludf.DUMMYFUNCTION("""COMPUTED_VALUE"""),42207.99861111111)</f>
        <v>42207.99861</v>
      </c>
      <c r="B1840" s="1">
        <f>IFERROR(__xludf.DUMMYFUNCTION("""COMPUTED_VALUE"""),9879.82)</f>
        <v>9879.82</v>
      </c>
    </row>
    <row r="1841">
      <c r="A1841" s="3">
        <f>IFERROR(__xludf.DUMMYFUNCTION("""COMPUTED_VALUE"""),42208.99861111111)</f>
        <v>42208.99861</v>
      </c>
      <c r="B1841" s="1">
        <f>IFERROR(__xludf.DUMMYFUNCTION("""COMPUTED_VALUE"""),9876.422)</f>
        <v>9876.422</v>
      </c>
    </row>
    <row r="1842">
      <c r="A1842" s="3">
        <f>IFERROR(__xludf.DUMMYFUNCTION("""COMPUTED_VALUE"""),42209.99861111111)</f>
        <v>42209.99861</v>
      </c>
      <c r="B1842" s="1">
        <f>IFERROR(__xludf.DUMMYFUNCTION("""COMPUTED_VALUE"""),9781.3376)</f>
        <v>9781.3376</v>
      </c>
    </row>
    <row r="1843">
      <c r="A1843" s="3">
        <f>IFERROR(__xludf.DUMMYFUNCTION("""COMPUTED_VALUE"""),42212.99861111111)</f>
        <v>42212.99861</v>
      </c>
      <c r="B1843" s="1">
        <f>IFERROR(__xludf.DUMMYFUNCTION("""COMPUTED_VALUE"""),9793.0945)</f>
        <v>9793.0945</v>
      </c>
    </row>
    <row r="1844">
      <c r="A1844" s="3">
        <f>IFERROR(__xludf.DUMMYFUNCTION("""COMPUTED_VALUE"""),42213.99861111111)</f>
        <v>42213.99861</v>
      </c>
      <c r="B1844" s="1">
        <f>IFERROR(__xludf.DUMMYFUNCTION("""COMPUTED_VALUE"""),9761.505)</f>
        <v>9761.505</v>
      </c>
    </row>
    <row r="1845">
      <c r="A1845" s="3">
        <f>IFERROR(__xludf.DUMMYFUNCTION("""COMPUTED_VALUE"""),42214.99861111111)</f>
        <v>42214.99861</v>
      </c>
      <c r="B1845" s="1">
        <f>IFERROR(__xludf.DUMMYFUNCTION("""COMPUTED_VALUE"""),9821.762)</f>
        <v>9821.762</v>
      </c>
    </row>
    <row r="1846">
      <c r="A1846" s="3">
        <f>IFERROR(__xludf.DUMMYFUNCTION("""COMPUTED_VALUE"""),42215.99861111111)</f>
        <v>42215.99861</v>
      </c>
      <c r="B1846" s="1">
        <f>IFERROR(__xludf.DUMMYFUNCTION("""COMPUTED_VALUE"""),9840.79496)</f>
        <v>9840.79496</v>
      </c>
    </row>
    <row r="1847">
      <c r="A1847" s="3">
        <f>IFERROR(__xludf.DUMMYFUNCTION("""COMPUTED_VALUE"""),42216.99861111111)</f>
        <v>42216.99861</v>
      </c>
      <c r="B1847" s="1">
        <f>IFERROR(__xludf.DUMMYFUNCTION("""COMPUTED_VALUE"""),9796.7595)</f>
        <v>9796.7595</v>
      </c>
    </row>
    <row r="1848">
      <c r="A1848" s="3">
        <f>IFERROR(__xludf.DUMMYFUNCTION("""COMPUTED_VALUE"""),42219.99861111111)</f>
        <v>42219.99861</v>
      </c>
      <c r="B1848" s="1">
        <f>IFERROR(__xludf.DUMMYFUNCTION("""COMPUTED_VALUE"""),9777.0624)</f>
        <v>9777.0624</v>
      </c>
    </row>
    <row r="1849">
      <c r="A1849" s="3">
        <f>IFERROR(__xludf.DUMMYFUNCTION("""COMPUTED_VALUE"""),42220.99861111111)</f>
        <v>42220.99861</v>
      </c>
      <c r="B1849" s="1">
        <f>IFERROR(__xludf.DUMMYFUNCTION("""COMPUTED_VALUE"""),9941.142)</f>
        <v>9941.142</v>
      </c>
    </row>
    <row r="1850">
      <c r="A1850" s="3">
        <f>IFERROR(__xludf.DUMMYFUNCTION("""COMPUTED_VALUE"""),42221.99861111111)</f>
        <v>42221.99861</v>
      </c>
      <c r="B1850" s="1">
        <f>IFERROR(__xludf.DUMMYFUNCTION("""COMPUTED_VALUE"""),9934.995)</f>
        <v>9934.995</v>
      </c>
    </row>
    <row r="1851">
      <c r="A1851" s="3">
        <f>IFERROR(__xludf.DUMMYFUNCTION("""COMPUTED_VALUE"""),42222.99861111111)</f>
        <v>42222.99861</v>
      </c>
      <c r="B1851" s="1">
        <f>IFERROR(__xludf.DUMMYFUNCTION("""COMPUTED_VALUE"""),9888.56135)</f>
        <v>9888.56135</v>
      </c>
    </row>
    <row r="1852">
      <c r="A1852" s="3">
        <f>IFERROR(__xludf.DUMMYFUNCTION("""COMPUTED_VALUE"""),42223.99861111111)</f>
        <v>42223.99861</v>
      </c>
      <c r="B1852" s="1">
        <f>IFERROR(__xludf.DUMMYFUNCTION("""COMPUTED_VALUE"""),10001.01525)</f>
        <v>10001.01525</v>
      </c>
    </row>
    <row r="1853">
      <c r="A1853" s="3">
        <f>IFERROR(__xludf.DUMMYFUNCTION("""COMPUTED_VALUE"""),42226.99861111111)</f>
        <v>42226.99861</v>
      </c>
      <c r="B1853" s="1">
        <f>IFERROR(__xludf.DUMMYFUNCTION("""COMPUTED_VALUE"""),9981.7404)</f>
        <v>9981.7404</v>
      </c>
    </row>
    <row r="1854">
      <c r="A1854" s="3">
        <f>IFERROR(__xludf.DUMMYFUNCTION("""COMPUTED_VALUE"""),42227.99861111111)</f>
        <v>42227.99861</v>
      </c>
      <c r="B1854" s="1">
        <f>IFERROR(__xludf.DUMMYFUNCTION("""COMPUTED_VALUE"""),9943.8945)</f>
        <v>9943.8945</v>
      </c>
    </row>
    <row r="1855">
      <c r="A1855" s="3">
        <f>IFERROR(__xludf.DUMMYFUNCTION("""COMPUTED_VALUE"""),42228.99861111111)</f>
        <v>42228.99861</v>
      </c>
      <c r="B1855" s="1">
        <f>IFERROR(__xludf.DUMMYFUNCTION("""COMPUTED_VALUE"""),10142.4355)</f>
        <v>10142.4355</v>
      </c>
    </row>
    <row r="1856">
      <c r="A1856" s="3">
        <f>IFERROR(__xludf.DUMMYFUNCTION("""COMPUTED_VALUE"""),42229.99861111111)</f>
        <v>42229.99861</v>
      </c>
      <c r="B1856" s="1">
        <f>IFERROR(__xludf.DUMMYFUNCTION("""COMPUTED_VALUE"""),10082.5775)</f>
        <v>10082.5775</v>
      </c>
    </row>
    <row r="1857">
      <c r="A1857" s="3">
        <f>IFERROR(__xludf.DUMMYFUNCTION("""COMPUTED_VALUE"""),42230.99861111111)</f>
        <v>42230.99861</v>
      </c>
      <c r="B1857" s="1">
        <f>IFERROR(__xludf.DUMMYFUNCTION("""COMPUTED_VALUE"""),10109.6008)</f>
        <v>10109.6008</v>
      </c>
    </row>
    <row r="1858">
      <c r="A1858" s="3">
        <f>IFERROR(__xludf.DUMMYFUNCTION("""COMPUTED_VALUE"""),42233.99861111111)</f>
        <v>42233.99861</v>
      </c>
      <c r="B1858" s="1">
        <f>IFERROR(__xludf.DUMMYFUNCTION("""COMPUTED_VALUE"""),10191.327)</f>
        <v>10191.327</v>
      </c>
    </row>
    <row r="1859">
      <c r="A1859" s="3">
        <f>IFERROR(__xludf.DUMMYFUNCTION("""COMPUTED_VALUE"""),42234.99861111111)</f>
        <v>42234.99861</v>
      </c>
      <c r="B1859" s="1">
        <f>IFERROR(__xludf.DUMMYFUNCTION("""COMPUTED_VALUE"""),10145.6036)</f>
        <v>10145.6036</v>
      </c>
    </row>
    <row r="1860">
      <c r="A1860" s="3">
        <f>IFERROR(__xludf.DUMMYFUNCTION("""COMPUTED_VALUE"""),42235.99861111111)</f>
        <v>42235.99861</v>
      </c>
      <c r="B1860" s="1">
        <f>IFERROR(__xludf.DUMMYFUNCTION("""COMPUTED_VALUE"""),10107.5296)</f>
        <v>10107.5296</v>
      </c>
    </row>
    <row r="1861">
      <c r="A1861" s="3">
        <f>IFERROR(__xludf.DUMMYFUNCTION("""COMPUTED_VALUE"""),42236.99861111111)</f>
        <v>42236.99861</v>
      </c>
      <c r="B1861" s="1">
        <f>IFERROR(__xludf.DUMMYFUNCTION("""COMPUTED_VALUE"""),10184.6475)</f>
        <v>10184.6475</v>
      </c>
    </row>
    <row r="1862">
      <c r="A1862" s="3">
        <f>IFERROR(__xludf.DUMMYFUNCTION("""COMPUTED_VALUE"""),42237.99861111111)</f>
        <v>42237.99861</v>
      </c>
      <c r="B1862" s="1">
        <f>IFERROR(__xludf.DUMMYFUNCTION("""COMPUTED_VALUE"""),10099.3176)</f>
        <v>10099.3176</v>
      </c>
    </row>
    <row r="1863">
      <c r="A1863" s="3">
        <f>IFERROR(__xludf.DUMMYFUNCTION("""COMPUTED_VALUE"""),42240.99861111111)</f>
        <v>42240.99861</v>
      </c>
      <c r="B1863" s="1">
        <f>IFERROR(__xludf.DUMMYFUNCTION("""COMPUTED_VALUE"""),9977.055)</f>
        <v>9977.055</v>
      </c>
    </row>
    <row r="1864">
      <c r="A1864" s="3">
        <f>IFERROR(__xludf.DUMMYFUNCTION("""COMPUTED_VALUE"""),42241.99861111111)</f>
        <v>42241.99861</v>
      </c>
      <c r="B1864" s="1">
        <f>IFERROR(__xludf.DUMMYFUNCTION("""COMPUTED_VALUE"""),9802.14)</f>
        <v>9802.14</v>
      </c>
    </row>
    <row r="1865">
      <c r="A1865" s="3">
        <f>IFERROR(__xludf.DUMMYFUNCTION("""COMPUTED_VALUE"""),42242.99861111111)</f>
        <v>42242.99861</v>
      </c>
      <c r="B1865" s="1">
        <f>IFERROR(__xludf.DUMMYFUNCTION("""COMPUTED_VALUE"""),9943.4288)</f>
        <v>9943.4288</v>
      </c>
    </row>
    <row r="1866">
      <c r="A1866" s="3">
        <f>IFERROR(__xludf.DUMMYFUNCTION("""COMPUTED_VALUE"""),42243.99861111111)</f>
        <v>42243.99861</v>
      </c>
      <c r="B1866" s="1">
        <f>IFERROR(__xludf.DUMMYFUNCTION("""COMPUTED_VALUE"""),9892.3945)</f>
        <v>9892.3945</v>
      </c>
    </row>
    <row r="1867">
      <c r="A1867" s="3">
        <f>IFERROR(__xludf.DUMMYFUNCTION("""COMPUTED_VALUE"""),42244.99861111111)</f>
        <v>42244.99861</v>
      </c>
      <c r="B1867" s="1">
        <f>IFERROR(__xludf.DUMMYFUNCTION("""COMPUTED_VALUE"""),9957.4735)</f>
        <v>9957.4735</v>
      </c>
    </row>
    <row r="1868">
      <c r="A1868" s="3">
        <f>IFERROR(__xludf.DUMMYFUNCTION("""COMPUTED_VALUE"""),42247.99861111111)</f>
        <v>42247.99861</v>
      </c>
      <c r="B1868" s="1">
        <f>IFERROR(__xludf.DUMMYFUNCTION("""COMPUTED_VALUE"""),9949.8)</f>
        <v>9949.8</v>
      </c>
    </row>
    <row r="1869">
      <c r="A1869" s="3">
        <f>IFERROR(__xludf.DUMMYFUNCTION("""COMPUTED_VALUE"""),42248.99861111111)</f>
        <v>42248.99861</v>
      </c>
      <c r="B1869" s="1">
        <f>IFERROR(__xludf.DUMMYFUNCTION("""COMPUTED_VALUE"""),9802.51064)</f>
        <v>9802.51064</v>
      </c>
    </row>
    <row r="1870">
      <c r="A1870" s="3">
        <f>IFERROR(__xludf.DUMMYFUNCTION("""COMPUTED_VALUE"""),42249.99861111111)</f>
        <v>42249.99861</v>
      </c>
      <c r="B1870" s="1">
        <f>IFERROR(__xludf.DUMMYFUNCTION("""COMPUTED_VALUE"""),9894.01)</f>
        <v>9894.01</v>
      </c>
    </row>
    <row r="1871">
      <c r="A1871" s="3">
        <f>IFERROR(__xludf.DUMMYFUNCTION("""COMPUTED_VALUE"""),42250.99861111111)</f>
        <v>42250.99861</v>
      </c>
      <c r="B1871" s="1">
        <f>IFERROR(__xludf.DUMMYFUNCTION("""COMPUTED_VALUE"""),9868.004)</f>
        <v>9868.004</v>
      </c>
    </row>
    <row r="1872">
      <c r="A1872" s="3">
        <f>IFERROR(__xludf.DUMMYFUNCTION("""COMPUTED_VALUE"""),42251.99861111111)</f>
        <v>42251.99861</v>
      </c>
      <c r="B1872" s="1">
        <f>IFERROR(__xludf.DUMMYFUNCTION("""COMPUTED_VALUE"""),9797.4855)</f>
        <v>9797.4855</v>
      </c>
    </row>
    <row r="1873">
      <c r="A1873" s="3">
        <f>IFERROR(__xludf.DUMMYFUNCTION("""COMPUTED_VALUE"""),42254.99861111111)</f>
        <v>42254.99861</v>
      </c>
      <c r="B1873" s="1">
        <f>IFERROR(__xludf.DUMMYFUNCTION("""COMPUTED_VALUE"""),9909.705)</f>
        <v>9909.705</v>
      </c>
    </row>
    <row r="1874">
      <c r="A1874" s="3">
        <f>IFERROR(__xludf.DUMMYFUNCTION("""COMPUTED_VALUE"""),42255.99861111111)</f>
        <v>42255.99861</v>
      </c>
      <c r="B1874" s="1">
        <f>IFERROR(__xludf.DUMMYFUNCTION("""COMPUTED_VALUE"""),9961.56)</f>
        <v>9961.56</v>
      </c>
    </row>
    <row r="1875">
      <c r="A1875" s="3">
        <f>IFERROR(__xludf.DUMMYFUNCTION("""COMPUTED_VALUE"""),42256.99861111111)</f>
        <v>42256.99861</v>
      </c>
      <c r="B1875" s="1">
        <f>IFERROR(__xludf.DUMMYFUNCTION("""COMPUTED_VALUE"""),9923.7)</f>
        <v>9923.7</v>
      </c>
    </row>
    <row r="1876">
      <c r="A1876" s="3">
        <f>IFERROR(__xludf.DUMMYFUNCTION("""COMPUTED_VALUE"""),42257.99861111111)</f>
        <v>42257.99861</v>
      </c>
      <c r="B1876" s="1">
        <f>IFERROR(__xludf.DUMMYFUNCTION("""COMPUTED_VALUE"""),10063.0062)</f>
        <v>10063.0062</v>
      </c>
    </row>
    <row r="1877">
      <c r="A1877" s="3">
        <f>IFERROR(__xludf.DUMMYFUNCTION("""COMPUTED_VALUE"""),42258.99861111111)</f>
        <v>42258.99861</v>
      </c>
      <c r="B1877" s="1">
        <f>IFERROR(__xludf.DUMMYFUNCTION("""COMPUTED_VALUE"""),10118.5716)</f>
        <v>10118.5716</v>
      </c>
    </row>
    <row r="1878">
      <c r="A1878" s="3">
        <f>IFERROR(__xludf.DUMMYFUNCTION("""COMPUTED_VALUE"""),42261.99861111111)</f>
        <v>42261.99861</v>
      </c>
      <c r="B1878" s="1">
        <f>IFERROR(__xludf.DUMMYFUNCTION("""COMPUTED_VALUE"""),10244.529)</f>
        <v>10244.529</v>
      </c>
    </row>
    <row r="1879">
      <c r="A1879" s="3">
        <f>IFERROR(__xludf.DUMMYFUNCTION("""COMPUTED_VALUE"""),42262.99861111111)</f>
        <v>42262.99861</v>
      </c>
      <c r="B1879" s="1">
        <f>IFERROR(__xludf.DUMMYFUNCTION("""COMPUTED_VALUE"""),10260.0)</f>
        <v>10260</v>
      </c>
    </row>
    <row r="1880">
      <c r="A1880" s="3">
        <f>IFERROR(__xludf.DUMMYFUNCTION("""COMPUTED_VALUE"""),42263.99861111111)</f>
        <v>42263.99861</v>
      </c>
      <c r="B1880" s="1">
        <f>IFERROR(__xludf.DUMMYFUNCTION("""COMPUTED_VALUE"""),10349.13968)</f>
        <v>10349.13968</v>
      </c>
    </row>
    <row r="1881">
      <c r="A1881" s="3">
        <f>IFERROR(__xludf.DUMMYFUNCTION("""COMPUTED_VALUE"""),42264.99861111111)</f>
        <v>42264.99861</v>
      </c>
      <c r="B1881" s="1">
        <f>IFERROR(__xludf.DUMMYFUNCTION("""COMPUTED_VALUE"""),10224.78775)</f>
        <v>10224.78775</v>
      </c>
    </row>
    <row r="1882">
      <c r="A1882" s="3">
        <f>IFERROR(__xludf.DUMMYFUNCTION("""COMPUTED_VALUE"""),42265.99861111111)</f>
        <v>42265.99861</v>
      </c>
      <c r="B1882" s="1">
        <f>IFERROR(__xludf.DUMMYFUNCTION("""COMPUTED_VALUE"""),10343.51445)</f>
        <v>10343.51445</v>
      </c>
    </row>
    <row r="1883">
      <c r="A1883" s="3">
        <f>IFERROR(__xludf.DUMMYFUNCTION("""COMPUTED_VALUE"""),42268.99861111111)</f>
        <v>42268.99861</v>
      </c>
      <c r="B1883" s="1">
        <f>IFERROR(__xludf.DUMMYFUNCTION("""COMPUTED_VALUE"""),10311.322)</f>
        <v>10311.322</v>
      </c>
    </row>
    <row r="1884">
      <c r="A1884" s="3">
        <f>IFERROR(__xludf.DUMMYFUNCTION("""COMPUTED_VALUE"""),42269.99861111111)</f>
        <v>42269.99861</v>
      </c>
      <c r="B1884" s="1">
        <f>IFERROR(__xludf.DUMMYFUNCTION("""COMPUTED_VALUE"""),10327.422)</f>
        <v>10327.422</v>
      </c>
    </row>
    <row r="1885">
      <c r="A1885" s="3">
        <f>IFERROR(__xludf.DUMMYFUNCTION("""COMPUTED_VALUE"""),42270.99861111111)</f>
        <v>42270.99861</v>
      </c>
      <c r="B1885" s="1">
        <f>IFERROR(__xludf.DUMMYFUNCTION("""COMPUTED_VALUE"""),10242.144)</f>
        <v>10242.144</v>
      </c>
    </row>
    <row r="1886">
      <c r="A1886" s="3">
        <f>IFERROR(__xludf.DUMMYFUNCTION("""COMPUTED_VALUE"""),42271.99861111111)</f>
        <v>42271.99861</v>
      </c>
      <c r="B1886" s="1">
        <f>IFERROR(__xludf.DUMMYFUNCTION("""COMPUTED_VALUE"""),10283.67)</f>
        <v>10283.67</v>
      </c>
    </row>
    <row r="1887">
      <c r="A1887" s="3">
        <f>IFERROR(__xludf.DUMMYFUNCTION("""COMPUTED_VALUE"""),42272.99861111111)</f>
        <v>42272.99861</v>
      </c>
      <c r="B1887" s="1">
        <f>IFERROR(__xludf.DUMMYFUNCTION("""COMPUTED_VALUE"""),10266.24995)</f>
        <v>10266.24995</v>
      </c>
    </row>
    <row r="1888">
      <c r="A1888" s="3">
        <f>IFERROR(__xludf.DUMMYFUNCTION("""COMPUTED_VALUE"""),42275.99861111111)</f>
        <v>42275.99861</v>
      </c>
      <c r="B1888" s="1">
        <f>IFERROR(__xludf.DUMMYFUNCTION("""COMPUTED_VALUE"""),10242.3393)</f>
        <v>10242.3393</v>
      </c>
    </row>
    <row r="1889">
      <c r="A1889" s="3">
        <f>IFERROR(__xludf.DUMMYFUNCTION("""COMPUTED_VALUE"""),42276.99861111111)</f>
        <v>42276.99861</v>
      </c>
      <c r="B1889" s="1">
        <f>IFERROR(__xludf.DUMMYFUNCTION("""COMPUTED_VALUE"""),10276.0)</f>
        <v>10276</v>
      </c>
    </row>
    <row r="1890">
      <c r="A1890" s="3">
        <f>IFERROR(__xludf.DUMMYFUNCTION("""COMPUTED_VALUE"""),42277.99861111111)</f>
        <v>42277.99861</v>
      </c>
      <c r="B1890" s="1">
        <f>IFERROR(__xludf.DUMMYFUNCTION("""COMPUTED_VALUE"""),10199.78784)</f>
        <v>10199.78784</v>
      </c>
    </row>
    <row r="1891">
      <c r="A1891" s="3">
        <f>IFERROR(__xludf.DUMMYFUNCTION("""COMPUTED_VALUE"""),42278.99861111111)</f>
        <v>42278.99861</v>
      </c>
      <c r="B1891" s="1">
        <f>IFERROR(__xludf.DUMMYFUNCTION("""COMPUTED_VALUE"""),10316.8275)</f>
        <v>10316.8275</v>
      </c>
    </row>
    <row r="1892">
      <c r="A1892" s="3">
        <f>IFERROR(__xludf.DUMMYFUNCTION("""COMPUTED_VALUE"""),42279.99861111111)</f>
        <v>42279.99861</v>
      </c>
      <c r="B1892" s="1">
        <f>IFERROR(__xludf.DUMMYFUNCTION("""COMPUTED_VALUE"""),10297.54735)</f>
        <v>10297.54735</v>
      </c>
    </row>
    <row r="1893">
      <c r="A1893" s="3">
        <f>IFERROR(__xludf.DUMMYFUNCTION("""COMPUTED_VALUE"""),42282.99861111111)</f>
        <v>42282.99861</v>
      </c>
      <c r="B1893" s="1">
        <f>IFERROR(__xludf.DUMMYFUNCTION("""COMPUTED_VALUE"""),10224.3372)</f>
        <v>10224.3372</v>
      </c>
    </row>
    <row r="1894">
      <c r="A1894" s="3">
        <f>IFERROR(__xludf.DUMMYFUNCTION("""COMPUTED_VALUE"""),42283.99861111111)</f>
        <v>42283.99861</v>
      </c>
      <c r="B1894" s="1">
        <f>IFERROR(__xludf.DUMMYFUNCTION("""COMPUTED_VALUE"""),10061.336)</f>
        <v>10061.336</v>
      </c>
    </row>
    <row r="1895">
      <c r="A1895" s="3">
        <f>IFERROR(__xludf.DUMMYFUNCTION("""COMPUTED_VALUE"""),42284.99861111111)</f>
        <v>42284.99861</v>
      </c>
      <c r="B1895" s="1">
        <f>IFERROR(__xludf.DUMMYFUNCTION("""COMPUTED_VALUE"""),9973.0945)</f>
        <v>9973.0945</v>
      </c>
    </row>
    <row r="1896">
      <c r="A1896" s="3">
        <f>IFERROR(__xludf.DUMMYFUNCTION("""COMPUTED_VALUE"""),42285.99861111111)</f>
        <v>42285.99861</v>
      </c>
      <c r="B1896" s="1">
        <f>IFERROR(__xludf.DUMMYFUNCTION("""COMPUTED_VALUE"""),9743.1696)</f>
        <v>9743.1696</v>
      </c>
    </row>
    <row r="1897">
      <c r="A1897" s="3">
        <f>IFERROR(__xludf.DUMMYFUNCTION("""COMPUTED_VALUE"""),42286.99861111111)</f>
        <v>42286.99861</v>
      </c>
      <c r="B1897" s="1">
        <f>IFERROR(__xludf.DUMMYFUNCTION("""COMPUTED_VALUE"""),9764.0928)</f>
        <v>9764.0928</v>
      </c>
    </row>
    <row r="1898">
      <c r="A1898" s="3">
        <f>IFERROR(__xludf.DUMMYFUNCTION("""COMPUTED_VALUE"""),42289.99861111111)</f>
        <v>42289.99861</v>
      </c>
      <c r="B1898" s="1">
        <f>IFERROR(__xludf.DUMMYFUNCTION("""COMPUTED_VALUE"""),9913.1684)</f>
        <v>9913.1684</v>
      </c>
    </row>
    <row r="1899">
      <c r="A1899" s="3">
        <f>IFERROR(__xludf.DUMMYFUNCTION("""COMPUTED_VALUE"""),42290.99861111111)</f>
        <v>42290.99861</v>
      </c>
      <c r="B1899" s="1">
        <f>IFERROR(__xludf.DUMMYFUNCTION("""COMPUTED_VALUE"""),9856.665)</f>
        <v>9856.665</v>
      </c>
    </row>
    <row r="1900">
      <c r="A1900" s="3">
        <f>IFERROR(__xludf.DUMMYFUNCTION("""COMPUTED_VALUE"""),42291.99861111111)</f>
        <v>42291.99861</v>
      </c>
      <c r="B1900" s="1">
        <f>IFERROR(__xludf.DUMMYFUNCTION("""COMPUTED_VALUE"""),9701.016)</f>
        <v>9701.016</v>
      </c>
    </row>
    <row r="1901">
      <c r="A1901" s="3">
        <f>IFERROR(__xludf.DUMMYFUNCTION("""COMPUTED_VALUE"""),42292.99861111111)</f>
        <v>42292.99861</v>
      </c>
      <c r="B1901" s="1">
        <f>IFERROR(__xludf.DUMMYFUNCTION("""COMPUTED_VALUE"""),9815.5)</f>
        <v>9815.5</v>
      </c>
    </row>
    <row r="1902">
      <c r="A1902" s="3">
        <f>IFERROR(__xludf.DUMMYFUNCTION("""COMPUTED_VALUE"""),42293.99861111111)</f>
        <v>42293.99861</v>
      </c>
      <c r="B1902" s="1">
        <f>IFERROR(__xludf.DUMMYFUNCTION("""COMPUTED_VALUE"""),9782.98475)</f>
        <v>9782.98475</v>
      </c>
    </row>
    <row r="1903">
      <c r="A1903" s="3">
        <f>IFERROR(__xludf.DUMMYFUNCTION("""COMPUTED_VALUE"""),42296.99861111111)</f>
        <v>42296.99861</v>
      </c>
      <c r="B1903" s="1">
        <f>IFERROR(__xludf.DUMMYFUNCTION("""COMPUTED_VALUE"""),9901.983)</f>
        <v>9901.983</v>
      </c>
    </row>
    <row r="1904">
      <c r="A1904" s="3">
        <f>IFERROR(__xludf.DUMMYFUNCTION("""COMPUTED_VALUE"""),42297.99861111111)</f>
        <v>42297.99861</v>
      </c>
      <c r="B1904" s="1">
        <f>IFERROR(__xludf.DUMMYFUNCTION("""COMPUTED_VALUE"""),9977.84848)</f>
        <v>9977.84848</v>
      </c>
    </row>
    <row r="1905">
      <c r="A1905" s="3">
        <f>IFERROR(__xludf.DUMMYFUNCTION("""COMPUTED_VALUE"""),42298.99861111111)</f>
        <v>42298.99861</v>
      </c>
      <c r="B1905" s="1">
        <f>IFERROR(__xludf.DUMMYFUNCTION("""COMPUTED_VALUE"""),9882.906)</f>
        <v>9882.906</v>
      </c>
    </row>
    <row r="1906">
      <c r="A1906" s="3">
        <f>IFERROR(__xludf.DUMMYFUNCTION("""COMPUTED_VALUE"""),42299.99861111111)</f>
        <v>42299.99861</v>
      </c>
      <c r="B1906" s="1">
        <f>IFERROR(__xludf.DUMMYFUNCTION("""COMPUTED_VALUE"""),9717.36844)</f>
        <v>9717.36844</v>
      </c>
    </row>
    <row r="1907">
      <c r="A1907" s="3">
        <f>IFERROR(__xludf.DUMMYFUNCTION("""COMPUTED_VALUE"""),42300.99861111111)</f>
        <v>42300.99861</v>
      </c>
      <c r="B1907" s="1">
        <f>IFERROR(__xludf.DUMMYFUNCTION("""COMPUTED_VALUE"""),9748.3256)</f>
        <v>9748.3256</v>
      </c>
    </row>
    <row r="1908">
      <c r="A1908" s="3">
        <f>IFERROR(__xludf.DUMMYFUNCTION("""COMPUTED_VALUE"""),42303.99861111111)</f>
        <v>42303.99861</v>
      </c>
      <c r="B1908" s="1">
        <f>IFERROR(__xludf.DUMMYFUNCTION("""COMPUTED_VALUE"""),9864.8002)</f>
        <v>9864.8002</v>
      </c>
    </row>
    <row r="1909">
      <c r="A1909" s="3">
        <f>IFERROR(__xludf.DUMMYFUNCTION("""COMPUTED_VALUE"""),42304.99861111111)</f>
        <v>42304.99861</v>
      </c>
      <c r="B1909" s="1">
        <f>IFERROR(__xludf.DUMMYFUNCTION("""COMPUTED_VALUE"""),9814.35)</f>
        <v>9814.35</v>
      </c>
    </row>
    <row r="1910">
      <c r="A1910" s="3">
        <f>IFERROR(__xludf.DUMMYFUNCTION("""COMPUTED_VALUE"""),42305.99861111111)</f>
        <v>42305.99861</v>
      </c>
      <c r="B1910" s="1">
        <f>IFERROR(__xludf.DUMMYFUNCTION("""COMPUTED_VALUE"""),9653.3394)</f>
        <v>9653.3394</v>
      </c>
    </row>
    <row r="1911">
      <c r="A1911" s="3">
        <f>IFERROR(__xludf.DUMMYFUNCTION("""COMPUTED_VALUE"""),42306.99861111111)</f>
        <v>42306.99861</v>
      </c>
      <c r="B1911" s="1">
        <f>IFERROR(__xludf.DUMMYFUNCTION("""COMPUTED_VALUE"""),9641.0976)</f>
        <v>9641.0976</v>
      </c>
    </row>
    <row r="1912">
      <c r="A1912" s="3">
        <f>IFERROR(__xludf.DUMMYFUNCTION("""COMPUTED_VALUE"""),42307.99861111111)</f>
        <v>42307.99861</v>
      </c>
      <c r="B1912" s="1">
        <f>IFERROR(__xludf.DUMMYFUNCTION("""COMPUTED_VALUE"""),9722.6879)</f>
        <v>9722.6879</v>
      </c>
    </row>
    <row r="1913">
      <c r="A1913" s="3">
        <f>IFERROR(__xludf.DUMMYFUNCTION("""COMPUTED_VALUE"""),42310.99861111111)</f>
        <v>42310.99861</v>
      </c>
      <c r="B1913" s="1">
        <f>IFERROR(__xludf.DUMMYFUNCTION("""COMPUTED_VALUE"""),9719.4776)</f>
        <v>9719.4776</v>
      </c>
    </row>
    <row r="1914">
      <c r="A1914" s="3">
        <f>IFERROR(__xludf.DUMMYFUNCTION("""COMPUTED_VALUE"""),42311.99861111111)</f>
        <v>42311.99861</v>
      </c>
      <c r="B1914" s="1">
        <f>IFERROR(__xludf.DUMMYFUNCTION("""COMPUTED_VALUE"""),9626.9865)</f>
        <v>9626.9865</v>
      </c>
    </row>
    <row r="1915">
      <c r="A1915" s="3">
        <f>IFERROR(__xludf.DUMMYFUNCTION("""COMPUTED_VALUE"""),42312.99861111111)</f>
        <v>42312.99861</v>
      </c>
      <c r="B1915" s="1">
        <f>IFERROR(__xludf.DUMMYFUNCTION("""COMPUTED_VALUE"""),9601.488)</f>
        <v>9601.488</v>
      </c>
    </row>
    <row r="1916">
      <c r="A1916" s="3">
        <f>IFERROR(__xludf.DUMMYFUNCTION("""COMPUTED_VALUE"""),42313.99861111111)</f>
        <v>42313.99861</v>
      </c>
      <c r="B1916" s="1">
        <f>IFERROR(__xludf.DUMMYFUNCTION("""COMPUTED_VALUE"""),9662.26)</f>
        <v>9662.26</v>
      </c>
    </row>
    <row r="1917">
      <c r="A1917" s="3">
        <f>IFERROR(__xludf.DUMMYFUNCTION("""COMPUTED_VALUE"""),42314.99861111111)</f>
        <v>42314.99861</v>
      </c>
      <c r="B1917" s="1">
        <f>IFERROR(__xludf.DUMMYFUNCTION("""COMPUTED_VALUE"""),9576.4043)</f>
        <v>9576.4043</v>
      </c>
    </row>
    <row r="1918">
      <c r="A1918" s="3">
        <f>IFERROR(__xludf.DUMMYFUNCTION("""COMPUTED_VALUE"""),42317.99861111111)</f>
        <v>42317.99861</v>
      </c>
      <c r="B1918" s="1">
        <f>IFERROR(__xludf.DUMMYFUNCTION("""COMPUTED_VALUE"""),9618.9063)</f>
        <v>9618.9063</v>
      </c>
    </row>
    <row r="1919">
      <c r="A1919" s="3">
        <f>IFERROR(__xludf.DUMMYFUNCTION("""COMPUTED_VALUE"""),42318.99861111111)</f>
        <v>42318.99861</v>
      </c>
      <c r="B1919" s="1">
        <f>IFERROR(__xludf.DUMMYFUNCTION("""COMPUTED_VALUE"""),9552.8844)</f>
        <v>9552.8844</v>
      </c>
    </row>
    <row r="1920">
      <c r="A1920" s="3">
        <f>IFERROR(__xludf.DUMMYFUNCTION("""COMPUTED_VALUE"""),42319.99861111111)</f>
        <v>42319.99861</v>
      </c>
      <c r="B1920" s="1">
        <f>IFERROR(__xludf.DUMMYFUNCTION("""COMPUTED_VALUE"""),9559.33475)</f>
        <v>9559.33475</v>
      </c>
    </row>
    <row r="1921">
      <c r="A1921" s="3">
        <f>IFERROR(__xludf.DUMMYFUNCTION("""COMPUTED_VALUE"""),42320.99861111111)</f>
        <v>42320.99861</v>
      </c>
      <c r="B1921" s="1">
        <f>IFERROR(__xludf.DUMMYFUNCTION("""COMPUTED_VALUE"""),9710.0545)</f>
        <v>9710.0545</v>
      </c>
    </row>
    <row r="1922">
      <c r="A1922" s="3">
        <f>IFERROR(__xludf.DUMMYFUNCTION("""COMPUTED_VALUE"""),42321.99861111111)</f>
        <v>42321.99861</v>
      </c>
      <c r="B1922" s="1">
        <f>IFERROR(__xludf.DUMMYFUNCTION("""COMPUTED_VALUE"""),9793.12437)</f>
        <v>9793.12437</v>
      </c>
    </row>
    <row r="1923">
      <c r="A1923" s="3">
        <f>IFERROR(__xludf.DUMMYFUNCTION("""COMPUTED_VALUE"""),42324.99861111111)</f>
        <v>42324.99861</v>
      </c>
      <c r="B1923" s="1">
        <f>IFERROR(__xludf.DUMMYFUNCTION("""COMPUTED_VALUE"""),9722.53608)</f>
        <v>9722.53608</v>
      </c>
    </row>
    <row r="1924">
      <c r="A1924" s="3">
        <f>IFERROR(__xludf.DUMMYFUNCTION("""COMPUTED_VALUE"""),42325.99861111111)</f>
        <v>42325.99861</v>
      </c>
      <c r="B1924" s="1">
        <f>IFERROR(__xludf.DUMMYFUNCTION("""COMPUTED_VALUE"""),9754.92)</f>
        <v>9754.92</v>
      </c>
    </row>
    <row r="1925">
      <c r="A1925" s="3">
        <f>IFERROR(__xludf.DUMMYFUNCTION("""COMPUTED_VALUE"""),42326.99861111111)</f>
        <v>42326.99861</v>
      </c>
      <c r="B1925" s="1">
        <f>IFERROR(__xludf.DUMMYFUNCTION("""COMPUTED_VALUE"""),9751.3816)</f>
        <v>9751.3816</v>
      </c>
    </row>
    <row r="1926">
      <c r="A1926" s="3">
        <f>IFERROR(__xludf.DUMMYFUNCTION("""COMPUTED_VALUE"""),42327.99861111111)</f>
        <v>42327.99861</v>
      </c>
      <c r="B1926" s="1">
        <f>IFERROR(__xludf.DUMMYFUNCTION("""COMPUTED_VALUE"""),9815.35055)</f>
        <v>9815.35055</v>
      </c>
    </row>
    <row r="1927">
      <c r="A1927" s="3">
        <f>IFERROR(__xludf.DUMMYFUNCTION("""COMPUTED_VALUE"""),42328.99861111111)</f>
        <v>42328.99861</v>
      </c>
      <c r="B1927" s="1">
        <f>IFERROR(__xludf.DUMMYFUNCTION("""COMPUTED_VALUE"""),9797.0024)</f>
        <v>9797.0024</v>
      </c>
    </row>
    <row r="1928">
      <c r="A1928" s="3">
        <f>IFERROR(__xludf.DUMMYFUNCTION("""COMPUTED_VALUE"""),42330.99861111111)</f>
        <v>42330.99861</v>
      </c>
      <c r="B1928" s="1">
        <f>IFERROR(__xludf.DUMMYFUNCTION("""COMPUTED_VALUE"""),9928.294002)</f>
        <v>9928.294002</v>
      </c>
    </row>
    <row r="1929">
      <c r="A1929" s="3">
        <f>IFERROR(__xludf.DUMMYFUNCTION("""COMPUTED_VALUE"""),42331.99861111111)</f>
        <v>42331.99861</v>
      </c>
      <c r="B1929" s="1">
        <f>IFERROR(__xludf.DUMMYFUNCTION("""COMPUTED_VALUE"""),9822.26535)</f>
        <v>9822.26535</v>
      </c>
    </row>
    <row r="1930">
      <c r="A1930" s="3">
        <f>IFERROR(__xludf.DUMMYFUNCTION("""COMPUTED_VALUE"""),42332.99861111111)</f>
        <v>42332.99861</v>
      </c>
      <c r="B1930" s="1">
        <f>IFERROR(__xludf.DUMMYFUNCTION("""COMPUTED_VALUE"""),9881.991)</f>
        <v>9881.991</v>
      </c>
    </row>
    <row r="1931">
      <c r="A1931" s="3">
        <f>IFERROR(__xludf.DUMMYFUNCTION("""COMPUTED_VALUE"""),42333.99861111111)</f>
        <v>42333.99861</v>
      </c>
      <c r="B1931" s="1">
        <f>IFERROR(__xludf.DUMMYFUNCTION("""COMPUTED_VALUE"""),9857.0988)</f>
        <v>9857.0988</v>
      </c>
    </row>
    <row r="1932">
      <c r="A1932" s="3">
        <f>IFERROR(__xludf.DUMMYFUNCTION("""COMPUTED_VALUE"""),42334.99861111111)</f>
        <v>42334.99861</v>
      </c>
      <c r="B1932" s="1">
        <f>IFERROR(__xludf.DUMMYFUNCTION("""COMPUTED_VALUE"""),9911.176)</f>
        <v>9911.176</v>
      </c>
    </row>
    <row r="1933">
      <c r="A1933" s="3">
        <f>IFERROR(__xludf.DUMMYFUNCTION("""COMPUTED_VALUE"""),42335.99861111111)</f>
        <v>42335.99861</v>
      </c>
      <c r="B1933" s="1">
        <f>IFERROR(__xludf.DUMMYFUNCTION("""COMPUTED_VALUE"""),9805.0401)</f>
        <v>9805.0401</v>
      </c>
    </row>
    <row r="1934">
      <c r="A1934" s="3">
        <f>IFERROR(__xludf.DUMMYFUNCTION("""COMPUTED_VALUE"""),42338.99861111111)</f>
        <v>42338.99861</v>
      </c>
      <c r="B1934" s="1">
        <f>IFERROR(__xludf.DUMMYFUNCTION("""COMPUTED_VALUE"""),10037.409)</f>
        <v>10037.409</v>
      </c>
    </row>
    <row r="1935">
      <c r="A1935" s="3">
        <f>IFERROR(__xludf.DUMMYFUNCTION("""COMPUTED_VALUE"""),42339.99861111111)</f>
        <v>42339.99861</v>
      </c>
      <c r="B1935" s="1">
        <f>IFERROR(__xludf.DUMMYFUNCTION("""COMPUTED_VALUE"""),10117.622)</f>
        <v>10117.622</v>
      </c>
    </row>
    <row r="1936">
      <c r="A1936" s="3">
        <f>IFERROR(__xludf.DUMMYFUNCTION("""COMPUTED_VALUE"""),42340.99861111111)</f>
        <v>42340.99861</v>
      </c>
      <c r="B1936" s="1">
        <f>IFERROR(__xludf.DUMMYFUNCTION("""COMPUTED_VALUE"""),10080.76684)</f>
        <v>10080.76684</v>
      </c>
    </row>
    <row r="1937">
      <c r="A1937" s="3">
        <f>IFERROR(__xludf.DUMMYFUNCTION("""COMPUTED_VALUE"""),42341.99861111111)</f>
        <v>42341.99861</v>
      </c>
      <c r="B1937" s="1">
        <f>IFERROR(__xludf.DUMMYFUNCTION("""COMPUTED_VALUE"""),10032.957)</f>
        <v>10032.957</v>
      </c>
    </row>
    <row r="1938">
      <c r="A1938" s="3">
        <f>IFERROR(__xludf.DUMMYFUNCTION("""COMPUTED_VALUE"""),42342.99861111111)</f>
        <v>42342.99861</v>
      </c>
      <c r="B1938" s="1">
        <f>IFERROR(__xludf.DUMMYFUNCTION("""COMPUTED_VALUE"""),10089.15414)</f>
        <v>10089.15414</v>
      </c>
    </row>
    <row r="1939">
      <c r="A1939" s="3">
        <f>IFERROR(__xludf.DUMMYFUNCTION("""COMPUTED_VALUE"""),42345.99861111111)</f>
        <v>42345.99861</v>
      </c>
      <c r="B1939" s="1">
        <f>IFERROR(__xludf.DUMMYFUNCTION("""COMPUTED_VALUE"""),10064.6268)</f>
        <v>10064.6268</v>
      </c>
    </row>
    <row r="1940">
      <c r="A1940" s="3">
        <f>IFERROR(__xludf.DUMMYFUNCTION("""COMPUTED_VALUE"""),42346.99861111111)</f>
        <v>42346.99861</v>
      </c>
      <c r="B1940" s="1">
        <f>IFERROR(__xludf.DUMMYFUNCTION("""COMPUTED_VALUE"""),10096.47254)</f>
        <v>10096.47254</v>
      </c>
    </row>
    <row r="1941">
      <c r="A1941" s="3">
        <f>IFERROR(__xludf.DUMMYFUNCTION("""COMPUTED_VALUE"""),42347.99861111111)</f>
        <v>42347.99861</v>
      </c>
      <c r="B1941" s="1">
        <f>IFERROR(__xludf.DUMMYFUNCTION("""COMPUTED_VALUE"""),10067.7792)</f>
        <v>10067.7792</v>
      </c>
    </row>
    <row r="1942">
      <c r="A1942" s="3">
        <f>IFERROR(__xludf.DUMMYFUNCTION("""COMPUTED_VALUE"""),42348.99861111111)</f>
        <v>42348.99861</v>
      </c>
      <c r="B1942" s="1">
        <f>IFERROR(__xludf.DUMMYFUNCTION("""COMPUTED_VALUE"""),10124.17125)</f>
        <v>10124.17125</v>
      </c>
    </row>
    <row r="1943">
      <c r="A1943" s="3">
        <f>IFERROR(__xludf.DUMMYFUNCTION("""COMPUTED_VALUE"""),42349.99861111111)</f>
        <v>42349.99861</v>
      </c>
      <c r="B1943" s="1">
        <f>IFERROR(__xludf.DUMMYFUNCTION("""COMPUTED_VALUE"""),10148.4486)</f>
        <v>10148.4486</v>
      </c>
    </row>
    <row r="1944">
      <c r="A1944" s="3">
        <f>IFERROR(__xludf.DUMMYFUNCTION("""COMPUTED_VALUE"""),42352.99861111111)</f>
        <v>42352.99861</v>
      </c>
      <c r="B1944" s="1">
        <f>IFERROR(__xludf.DUMMYFUNCTION("""COMPUTED_VALUE"""),10152.0241)</f>
        <v>10152.0241</v>
      </c>
    </row>
    <row r="1945">
      <c r="A1945" s="3">
        <f>IFERROR(__xludf.DUMMYFUNCTION("""COMPUTED_VALUE"""),42353.99861111111)</f>
        <v>42353.99861</v>
      </c>
      <c r="B1945" s="1">
        <f>IFERROR(__xludf.DUMMYFUNCTION("""COMPUTED_VALUE"""),10057.5618)</f>
        <v>10057.5618</v>
      </c>
    </row>
    <row r="1946">
      <c r="A1946" s="3">
        <f>IFERROR(__xludf.DUMMYFUNCTION("""COMPUTED_VALUE"""),42354.99861111111)</f>
        <v>42354.99861</v>
      </c>
      <c r="B1946" s="1">
        <f>IFERROR(__xludf.DUMMYFUNCTION("""COMPUTED_VALUE"""),9914.08)</f>
        <v>9914.08</v>
      </c>
    </row>
    <row r="1947">
      <c r="A1947" s="3">
        <f>IFERROR(__xludf.DUMMYFUNCTION("""COMPUTED_VALUE"""),42355.99861111111)</f>
        <v>42355.99861</v>
      </c>
      <c r="B1947" s="1">
        <f>IFERROR(__xludf.DUMMYFUNCTION("""COMPUTED_VALUE"""),9987.848)</f>
        <v>9987.848</v>
      </c>
    </row>
    <row r="1948">
      <c r="A1948" s="3">
        <f>IFERROR(__xludf.DUMMYFUNCTION("""COMPUTED_VALUE"""),42356.99861111111)</f>
        <v>42356.99861</v>
      </c>
      <c r="B1948" s="1">
        <f>IFERROR(__xludf.DUMMYFUNCTION("""COMPUTED_VALUE"""),9941.89825)</f>
        <v>9941.89825</v>
      </c>
    </row>
    <row r="1949">
      <c r="A1949" s="3">
        <f>IFERROR(__xludf.DUMMYFUNCTION("""COMPUTED_VALUE"""),42359.99861111111)</f>
        <v>42359.99861</v>
      </c>
      <c r="B1949" s="1">
        <f>IFERROR(__xludf.DUMMYFUNCTION("""COMPUTED_VALUE"""),9902.9344)</f>
        <v>9902.9344</v>
      </c>
    </row>
    <row r="1950">
      <c r="A1950" s="3">
        <f>IFERROR(__xludf.DUMMYFUNCTION("""COMPUTED_VALUE"""),42360.99861111111)</f>
        <v>42360.99861</v>
      </c>
      <c r="B1950" s="1">
        <f>IFERROR(__xludf.DUMMYFUNCTION("""COMPUTED_VALUE"""),9865.0621)</f>
        <v>9865.0621</v>
      </c>
    </row>
    <row r="1951">
      <c r="A1951" s="3">
        <f>IFERROR(__xludf.DUMMYFUNCTION("""COMPUTED_VALUE"""),42361.99861111111)</f>
        <v>42361.99861</v>
      </c>
      <c r="B1951" s="1">
        <f>IFERROR(__xludf.DUMMYFUNCTION("""COMPUTED_VALUE"""),9850.875)</f>
        <v>9850.875</v>
      </c>
    </row>
    <row r="1952">
      <c r="A1952" s="3">
        <f>IFERROR(__xludf.DUMMYFUNCTION("""COMPUTED_VALUE"""),42362.99861111111)</f>
        <v>42362.99861</v>
      </c>
      <c r="B1952" s="1">
        <f>IFERROR(__xludf.DUMMYFUNCTION("""COMPUTED_VALUE"""),9907.647)</f>
        <v>9907.647</v>
      </c>
    </row>
    <row r="1953">
      <c r="A1953" s="3">
        <f>IFERROR(__xludf.DUMMYFUNCTION("""COMPUTED_VALUE"""),42363.99861111111)</f>
        <v>42363.99861</v>
      </c>
      <c r="B1953" s="1">
        <f>IFERROR(__xludf.DUMMYFUNCTION("""COMPUTED_VALUE"""),9922.64)</f>
        <v>9922.64</v>
      </c>
    </row>
    <row r="1954">
      <c r="A1954" s="3">
        <f>IFERROR(__xludf.DUMMYFUNCTION("""COMPUTED_VALUE"""),42366.99861111111)</f>
        <v>42366.99861</v>
      </c>
      <c r="B1954" s="1">
        <f>IFERROR(__xludf.DUMMYFUNCTION("""COMPUTED_VALUE"""),9789.273)</f>
        <v>9789.273</v>
      </c>
    </row>
    <row r="1955">
      <c r="A1955" s="3">
        <f>IFERROR(__xludf.DUMMYFUNCTION("""COMPUTED_VALUE"""),42367.99861111111)</f>
        <v>42367.99861</v>
      </c>
      <c r="B1955" s="1">
        <f>IFERROR(__xludf.DUMMYFUNCTION("""COMPUTED_VALUE"""),9972.1257)</f>
        <v>9972.1257</v>
      </c>
    </row>
    <row r="1956">
      <c r="A1956" s="3">
        <f>IFERROR(__xludf.DUMMYFUNCTION("""COMPUTED_VALUE"""),42368.99861111111)</f>
        <v>42368.99861</v>
      </c>
      <c r="B1956" s="1">
        <f>IFERROR(__xludf.DUMMYFUNCTION("""COMPUTED_VALUE"""),10080.5445)</f>
        <v>10080.5445</v>
      </c>
    </row>
    <row r="1957">
      <c r="A1957" s="3">
        <f>IFERROR(__xludf.DUMMYFUNCTION("""COMPUTED_VALUE"""),42369.99861111111)</f>
        <v>42369.99861</v>
      </c>
      <c r="B1957" s="1">
        <f>IFERROR(__xludf.DUMMYFUNCTION("""COMPUTED_VALUE"""),10014.28725)</f>
        <v>10014.28725</v>
      </c>
    </row>
    <row r="1958">
      <c r="A1958" s="3">
        <f>IFERROR(__xludf.DUMMYFUNCTION("""COMPUTED_VALUE"""),42370.99861111111)</f>
        <v>42370.99861</v>
      </c>
      <c r="B1958" s="1">
        <f>IFERROR(__xludf.DUMMYFUNCTION("""COMPUTED_VALUE"""),10032.3325)</f>
        <v>10032.3325</v>
      </c>
    </row>
    <row r="1959">
      <c r="A1959" s="3">
        <f>IFERROR(__xludf.DUMMYFUNCTION("""COMPUTED_VALUE"""),42372.99861111111)</f>
        <v>42372.99861</v>
      </c>
      <c r="B1959" s="1">
        <f>IFERROR(__xludf.DUMMYFUNCTION("""COMPUTED_VALUE"""),10062.98)</f>
        <v>10062.98</v>
      </c>
    </row>
    <row r="1960">
      <c r="A1960" s="3">
        <f>IFERROR(__xludf.DUMMYFUNCTION("""COMPUTED_VALUE"""),42373.99861111111)</f>
        <v>42373.99861</v>
      </c>
      <c r="B1960" s="1">
        <f>IFERROR(__xludf.DUMMYFUNCTION("""COMPUTED_VALUE"""),10025.3131)</f>
        <v>10025.3131</v>
      </c>
    </row>
    <row r="1961">
      <c r="A1961" s="3">
        <f>IFERROR(__xludf.DUMMYFUNCTION("""COMPUTED_VALUE"""),42374.99861111111)</f>
        <v>42374.99861</v>
      </c>
      <c r="B1961" s="1">
        <f>IFERROR(__xludf.DUMMYFUNCTION("""COMPUTED_VALUE"""),9885.7605)</f>
        <v>9885.7605</v>
      </c>
    </row>
    <row r="1962">
      <c r="A1962" s="3">
        <f>IFERROR(__xludf.DUMMYFUNCTION("""COMPUTED_VALUE"""),42375.99861111111)</f>
        <v>42375.99861</v>
      </c>
      <c r="B1962" s="1">
        <f>IFERROR(__xludf.DUMMYFUNCTION("""COMPUTED_VALUE"""),9839.178)</f>
        <v>9839.178</v>
      </c>
    </row>
    <row r="1963">
      <c r="A1963" s="3">
        <f>IFERROR(__xludf.DUMMYFUNCTION("""COMPUTED_VALUE"""),42376.99861111111)</f>
        <v>42376.99861</v>
      </c>
      <c r="B1963" s="1">
        <f>IFERROR(__xludf.DUMMYFUNCTION("""COMPUTED_VALUE"""),9773.8452)</f>
        <v>9773.8452</v>
      </c>
    </row>
    <row r="1964">
      <c r="A1964" s="3">
        <f>IFERROR(__xludf.DUMMYFUNCTION("""COMPUTED_VALUE"""),42377.99861111111)</f>
        <v>42377.99861</v>
      </c>
      <c r="B1964" s="1">
        <f>IFERROR(__xludf.DUMMYFUNCTION("""COMPUTED_VALUE"""),9654.6612)</f>
        <v>9654.6612</v>
      </c>
    </row>
    <row r="1965">
      <c r="A1965" s="3">
        <f>IFERROR(__xludf.DUMMYFUNCTION("""COMPUTED_VALUE"""),42379.99861111111)</f>
        <v>42379.99861</v>
      </c>
      <c r="B1965" s="1">
        <f>IFERROR(__xludf.DUMMYFUNCTION("""COMPUTED_VALUE"""),9745.362517)</f>
        <v>9745.362517</v>
      </c>
    </row>
    <row r="1966">
      <c r="A1966" s="3">
        <f>IFERROR(__xludf.DUMMYFUNCTION("""COMPUTED_VALUE"""),42380.99861111111)</f>
        <v>42380.99861</v>
      </c>
      <c r="B1966" s="1">
        <f>IFERROR(__xludf.DUMMYFUNCTION("""COMPUTED_VALUE"""),9642.93055)</f>
        <v>9642.93055</v>
      </c>
    </row>
    <row r="1967">
      <c r="A1967" s="3">
        <f>IFERROR(__xludf.DUMMYFUNCTION("""COMPUTED_VALUE"""),42381.99861111111)</f>
        <v>42381.99861</v>
      </c>
      <c r="B1967" s="1">
        <f>IFERROR(__xludf.DUMMYFUNCTION("""COMPUTED_VALUE"""),9633.0485)</f>
        <v>9633.0485</v>
      </c>
    </row>
    <row r="1968">
      <c r="A1968" s="3">
        <f>IFERROR(__xludf.DUMMYFUNCTION("""COMPUTED_VALUE"""),42382.99861111111)</f>
        <v>42382.99861</v>
      </c>
      <c r="B1968" s="1">
        <f>IFERROR(__xludf.DUMMYFUNCTION("""COMPUTED_VALUE"""),9601.37133)</f>
        <v>9601.37133</v>
      </c>
    </row>
    <row r="1969">
      <c r="A1969" s="3">
        <f>IFERROR(__xludf.DUMMYFUNCTION("""COMPUTED_VALUE"""),42383.99861111111)</f>
        <v>42383.99861</v>
      </c>
      <c r="B1969" s="1">
        <f>IFERROR(__xludf.DUMMYFUNCTION("""COMPUTED_VALUE"""),9667.8225)</f>
        <v>9667.8225</v>
      </c>
    </row>
    <row r="1970">
      <c r="A1970" s="3">
        <f>IFERROR(__xludf.DUMMYFUNCTION("""COMPUTED_VALUE"""),42384.99861111111)</f>
        <v>42384.99861</v>
      </c>
      <c r="B1970" s="1">
        <f>IFERROR(__xludf.DUMMYFUNCTION("""COMPUTED_VALUE"""),9582.6834)</f>
        <v>9582.6834</v>
      </c>
    </row>
    <row r="1971">
      <c r="A1971" s="3">
        <f>IFERROR(__xludf.DUMMYFUNCTION("""COMPUTED_VALUE"""),42386.99861111111)</f>
        <v>42386.99861</v>
      </c>
      <c r="B1971" s="1">
        <f>IFERROR(__xludf.DUMMYFUNCTION("""COMPUTED_VALUE"""),9590.207057)</f>
        <v>9590.207057</v>
      </c>
    </row>
    <row r="1972">
      <c r="A1972" s="3">
        <f>IFERROR(__xludf.DUMMYFUNCTION("""COMPUTED_VALUE"""),42387.99861111111)</f>
        <v>42387.99861</v>
      </c>
      <c r="B1972" s="1">
        <f>IFERROR(__xludf.DUMMYFUNCTION("""COMPUTED_VALUE"""),9573.4375)</f>
        <v>9573.4375</v>
      </c>
    </row>
    <row r="1973">
      <c r="A1973" s="3">
        <f>IFERROR(__xludf.DUMMYFUNCTION("""COMPUTED_VALUE"""),42388.99861111111)</f>
        <v>42388.99861</v>
      </c>
      <c r="B1973" s="1">
        <f>IFERROR(__xludf.DUMMYFUNCTION("""COMPUTED_VALUE"""),9560.679)</f>
        <v>9560.679</v>
      </c>
    </row>
    <row r="1974">
      <c r="A1974" s="3">
        <f>IFERROR(__xludf.DUMMYFUNCTION("""COMPUTED_VALUE"""),42389.99861111111)</f>
        <v>42389.99861</v>
      </c>
      <c r="B1974" s="1">
        <f>IFERROR(__xludf.DUMMYFUNCTION("""COMPUTED_VALUE"""),9584.8725)</f>
        <v>9584.8725</v>
      </c>
    </row>
    <row r="1975">
      <c r="A1975" s="3">
        <f>IFERROR(__xludf.DUMMYFUNCTION("""COMPUTED_VALUE"""),42390.99861111111)</f>
        <v>42390.99861</v>
      </c>
      <c r="B1975" s="1">
        <f>IFERROR(__xludf.DUMMYFUNCTION("""COMPUTED_VALUE"""),9656.1997)</f>
        <v>9656.1997</v>
      </c>
    </row>
    <row r="1976">
      <c r="A1976" s="3">
        <f>IFERROR(__xludf.DUMMYFUNCTION("""COMPUTED_VALUE"""),42391.99861111111)</f>
        <v>42391.99861</v>
      </c>
      <c r="B1976" s="1">
        <f>IFERROR(__xludf.DUMMYFUNCTION("""COMPUTED_VALUE"""),9624.82458)</f>
        <v>9624.82458</v>
      </c>
    </row>
    <row r="1977">
      <c r="A1977" s="3">
        <f>IFERROR(__xludf.DUMMYFUNCTION("""COMPUTED_VALUE"""),42392.99861111111)</f>
        <v>42392.99861</v>
      </c>
      <c r="B1977" s="1">
        <f>IFERROR(__xludf.DUMMYFUNCTION("""COMPUTED_VALUE"""),9698.057082)</f>
        <v>9698.057082</v>
      </c>
    </row>
    <row r="1978">
      <c r="A1978" s="3">
        <f>IFERROR(__xludf.DUMMYFUNCTION("""COMPUTED_VALUE"""),42393.99861111111)</f>
        <v>42393.99861</v>
      </c>
      <c r="B1978" s="1">
        <f>IFERROR(__xludf.DUMMYFUNCTION("""COMPUTED_VALUE"""),9697.503065)</f>
        <v>9697.503065</v>
      </c>
    </row>
    <row r="1979">
      <c r="A1979" s="3">
        <f>IFERROR(__xludf.DUMMYFUNCTION("""COMPUTED_VALUE"""),42394.99861111111)</f>
        <v>42394.99861</v>
      </c>
      <c r="B1979" s="1">
        <f>IFERROR(__xludf.DUMMYFUNCTION("""COMPUTED_VALUE"""),9592.488)</f>
        <v>9592.488</v>
      </c>
    </row>
    <row r="1980">
      <c r="A1980" s="3">
        <f>IFERROR(__xludf.DUMMYFUNCTION("""COMPUTED_VALUE"""),42395.99861111111)</f>
        <v>42395.99861</v>
      </c>
      <c r="B1980" s="1">
        <f>IFERROR(__xludf.DUMMYFUNCTION("""COMPUTED_VALUE"""),9720.164)</f>
        <v>9720.164</v>
      </c>
    </row>
    <row r="1981">
      <c r="A1981" s="3">
        <f>IFERROR(__xludf.DUMMYFUNCTION("""COMPUTED_VALUE"""),42396.99861111111)</f>
        <v>42396.99861</v>
      </c>
      <c r="B1981" s="1">
        <f>IFERROR(__xludf.DUMMYFUNCTION("""COMPUTED_VALUE"""),9679.89468)</f>
        <v>9679.89468</v>
      </c>
    </row>
    <row r="1982">
      <c r="A1982" s="3">
        <f>IFERROR(__xludf.DUMMYFUNCTION("""COMPUTED_VALUE"""),42397.99861111111)</f>
        <v>42397.99861</v>
      </c>
      <c r="B1982" s="1">
        <f>IFERROR(__xludf.DUMMYFUNCTION("""COMPUTED_VALUE"""),9750.0248)</f>
        <v>9750.0248</v>
      </c>
    </row>
    <row r="1983">
      <c r="A1983" s="3">
        <f>IFERROR(__xludf.DUMMYFUNCTION("""COMPUTED_VALUE"""),42398.99861111111)</f>
        <v>42398.99861</v>
      </c>
      <c r="B1983" s="1">
        <f>IFERROR(__xludf.DUMMYFUNCTION("""COMPUTED_VALUE"""),9685.31875)</f>
        <v>9685.31875</v>
      </c>
    </row>
    <row r="1984">
      <c r="A1984" s="3">
        <f>IFERROR(__xludf.DUMMYFUNCTION("""COMPUTED_VALUE"""),42400.99861111111)</f>
        <v>42400.99861</v>
      </c>
      <c r="B1984" s="1">
        <f>IFERROR(__xludf.DUMMYFUNCTION("""COMPUTED_VALUE"""),9966.288885)</f>
        <v>9966.288885</v>
      </c>
    </row>
    <row r="1985">
      <c r="A1985" s="3">
        <f>IFERROR(__xludf.DUMMYFUNCTION("""COMPUTED_VALUE"""),42401.99861111111)</f>
        <v>42401.99861</v>
      </c>
      <c r="B1985" s="1">
        <f>IFERROR(__xludf.DUMMYFUNCTION("""COMPUTED_VALUE"""),9688.204)</f>
        <v>9688.204</v>
      </c>
    </row>
    <row r="1986">
      <c r="A1986" s="3">
        <f>IFERROR(__xludf.DUMMYFUNCTION("""COMPUTED_VALUE"""),42402.99861111111)</f>
        <v>42402.99861</v>
      </c>
      <c r="B1986" s="1">
        <f>IFERROR(__xludf.DUMMYFUNCTION("""COMPUTED_VALUE"""),9649.444)</f>
        <v>9649.444</v>
      </c>
    </row>
    <row r="1987">
      <c r="A1987" s="3">
        <f>IFERROR(__xludf.DUMMYFUNCTION("""COMPUTED_VALUE"""),42403.99861111111)</f>
        <v>42403.99861</v>
      </c>
      <c r="B1987" s="1">
        <f>IFERROR(__xludf.DUMMYFUNCTION("""COMPUTED_VALUE"""),9714.93296)</f>
        <v>9714.93296</v>
      </c>
    </row>
    <row r="1988">
      <c r="A1988" s="3">
        <f>IFERROR(__xludf.DUMMYFUNCTION("""COMPUTED_VALUE"""),42404.99861111111)</f>
        <v>42404.99861</v>
      </c>
      <c r="B1988" s="1">
        <f>IFERROR(__xludf.DUMMYFUNCTION("""COMPUTED_VALUE"""),9798.46208)</f>
        <v>9798.46208</v>
      </c>
    </row>
    <row r="1989">
      <c r="A1989" s="3">
        <f>IFERROR(__xludf.DUMMYFUNCTION("""COMPUTED_VALUE"""),42405.99861111111)</f>
        <v>42405.99861</v>
      </c>
      <c r="B1989" s="1">
        <f>IFERROR(__xludf.DUMMYFUNCTION("""COMPUTED_VALUE"""),9595.22135)</f>
        <v>9595.22135</v>
      </c>
    </row>
    <row r="1990">
      <c r="A1990" s="3">
        <f>IFERROR(__xludf.DUMMYFUNCTION("""COMPUTED_VALUE"""),42406.99861111111)</f>
        <v>42406.99861</v>
      </c>
      <c r="B1990" s="1">
        <f>IFERROR(__xludf.DUMMYFUNCTION("""COMPUTED_VALUE"""),9619.04608)</f>
        <v>9619.04608</v>
      </c>
    </row>
    <row r="1991">
      <c r="A1991" s="3">
        <f>IFERROR(__xludf.DUMMYFUNCTION("""COMPUTED_VALUE"""),42407.99861111111)</f>
        <v>42407.99861</v>
      </c>
      <c r="B1991" s="1">
        <f>IFERROR(__xludf.DUMMYFUNCTION("""COMPUTED_VALUE"""),9651.901546)</f>
        <v>9651.901546</v>
      </c>
    </row>
    <row r="1992">
      <c r="A1992" s="3">
        <f>IFERROR(__xludf.DUMMYFUNCTION("""COMPUTED_VALUE"""),42408.99861111111)</f>
        <v>42408.99861</v>
      </c>
      <c r="B1992" s="1">
        <f>IFERROR(__xludf.DUMMYFUNCTION("""COMPUTED_VALUE"""),9675.77)</f>
        <v>9675.77</v>
      </c>
    </row>
    <row r="1993">
      <c r="A1993" s="3">
        <f>IFERROR(__xludf.DUMMYFUNCTION("""COMPUTED_VALUE"""),42409.99861111111)</f>
        <v>42409.99861</v>
      </c>
      <c r="B1993" s="1">
        <f>IFERROR(__xludf.DUMMYFUNCTION("""COMPUTED_VALUE"""),9577.428)</f>
        <v>9577.428</v>
      </c>
    </row>
    <row r="1994">
      <c r="A1994" s="3">
        <f>IFERROR(__xludf.DUMMYFUNCTION("""COMPUTED_VALUE"""),42410.99861111111)</f>
        <v>42410.99861</v>
      </c>
      <c r="B1994" s="1">
        <f>IFERROR(__xludf.DUMMYFUNCTION("""COMPUTED_VALUE"""),9555.06825)</f>
        <v>9555.06825</v>
      </c>
    </row>
    <row r="1995">
      <c r="A1995" s="3">
        <f>IFERROR(__xludf.DUMMYFUNCTION("""COMPUTED_VALUE"""),42411.99861111111)</f>
        <v>42411.99861</v>
      </c>
      <c r="B1995" s="1">
        <f>IFERROR(__xludf.DUMMYFUNCTION("""COMPUTED_VALUE"""),9597.76)</f>
        <v>9597.76</v>
      </c>
    </row>
    <row r="1996">
      <c r="A1996" s="3">
        <f>IFERROR(__xludf.DUMMYFUNCTION("""COMPUTED_VALUE"""),42412.99861111111)</f>
        <v>42412.99861</v>
      </c>
      <c r="B1996" s="1">
        <f>IFERROR(__xludf.DUMMYFUNCTION("""COMPUTED_VALUE"""),9563.78555)</f>
        <v>9563.78555</v>
      </c>
    </row>
    <row r="1997">
      <c r="A1997" s="3">
        <f>IFERROR(__xludf.DUMMYFUNCTION("""COMPUTED_VALUE"""),42414.99861111111)</f>
        <v>42414.99861</v>
      </c>
      <c r="B1997" s="1">
        <f>IFERROR(__xludf.DUMMYFUNCTION("""COMPUTED_VALUE"""),9638.207469)</f>
        <v>9638.207469</v>
      </c>
    </row>
    <row r="1998">
      <c r="A1998" s="3">
        <f>IFERROR(__xludf.DUMMYFUNCTION("""COMPUTED_VALUE"""),42415.99861111111)</f>
        <v>42415.99861</v>
      </c>
      <c r="B1998" s="1">
        <f>IFERROR(__xludf.DUMMYFUNCTION("""COMPUTED_VALUE"""),9483.66)</f>
        <v>9483.66</v>
      </c>
    </row>
    <row r="1999">
      <c r="A1999" s="3">
        <f>IFERROR(__xludf.DUMMYFUNCTION("""COMPUTED_VALUE"""),42416.99861111111)</f>
        <v>42416.99861</v>
      </c>
      <c r="B1999" s="1">
        <f>IFERROR(__xludf.DUMMYFUNCTION("""COMPUTED_VALUE"""),9534.6449)</f>
        <v>9534.6449</v>
      </c>
    </row>
    <row r="2000">
      <c r="A2000" s="3">
        <f>IFERROR(__xludf.DUMMYFUNCTION("""COMPUTED_VALUE"""),42417.99861111111)</f>
        <v>42417.99861</v>
      </c>
      <c r="B2000" s="1">
        <f>IFERROR(__xludf.DUMMYFUNCTION("""COMPUTED_VALUE"""),9682.2)</f>
        <v>9682.2</v>
      </c>
    </row>
    <row r="2001">
      <c r="A2001" s="3">
        <f>IFERROR(__xludf.DUMMYFUNCTION("""COMPUTED_VALUE"""),42418.99861111111)</f>
        <v>42418.99861</v>
      </c>
      <c r="B2001" s="1">
        <f>IFERROR(__xludf.DUMMYFUNCTION("""COMPUTED_VALUE"""),9589.5786)</f>
        <v>9589.5786</v>
      </c>
    </row>
    <row r="2002">
      <c r="A2002" s="3">
        <f>IFERROR(__xludf.DUMMYFUNCTION("""COMPUTED_VALUE"""),42419.99861111111)</f>
        <v>42419.99861</v>
      </c>
      <c r="B2002" s="1">
        <f>IFERROR(__xludf.DUMMYFUNCTION("""COMPUTED_VALUE"""),9597.35106)</f>
        <v>9597.35106</v>
      </c>
    </row>
    <row r="2003">
      <c r="A2003" s="3">
        <f>IFERROR(__xludf.DUMMYFUNCTION("""COMPUTED_VALUE"""),42420.99861111111)</f>
        <v>42420.99861</v>
      </c>
      <c r="B2003" s="1">
        <f>IFERROR(__xludf.DUMMYFUNCTION("""COMPUTED_VALUE"""),9673.876671)</f>
        <v>9673.876671</v>
      </c>
    </row>
    <row r="2004">
      <c r="A2004" s="3">
        <f>IFERROR(__xludf.DUMMYFUNCTION("""COMPUTED_VALUE"""),42421.99861111111)</f>
        <v>42421.99861</v>
      </c>
      <c r="B2004" s="1">
        <f>IFERROR(__xludf.DUMMYFUNCTION("""COMPUTED_VALUE"""),9662.509967)</f>
        <v>9662.509967</v>
      </c>
    </row>
    <row r="2005">
      <c r="A2005" s="3">
        <f>IFERROR(__xludf.DUMMYFUNCTION("""COMPUTED_VALUE"""),42422.99861111111)</f>
        <v>42422.99861</v>
      </c>
      <c r="B2005" s="1">
        <f>IFERROR(__xludf.DUMMYFUNCTION("""COMPUTED_VALUE"""),9680.032)</f>
        <v>9680.032</v>
      </c>
    </row>
    <row r="2006">
      <c r="A2006" s="3">
        <f>IFERROR(__xludf.DUMMYFUNCTION("""COMPUTED_VALUE"""),42423.99861111111)</f>
        <v>42423.99861</v>
      </c>
      <c r="B2006" s="1">
        <f>IFERROR(__xludf.DUMMYFUNCTION("""COMPUTED_VALUE"""),9644.472)</f>
        <v>9644.472</v>
      </c>
    </row>
    <row r="2007">
      <c r="A2007" s="3">
        <f>IFERROR(__xludf.DUMMYFUNCTION("""COMPUTED_VALUE"""),42424.99861111111)</f>
        <v>42424.99861</v>
      </c>
      <c r="B2007" s="1">
        <f>IFERROR(__xludf.DUMMYFUNCTION("""COMPUTED_VALUE"""),9625.1535)</f>
        <v>9625.1535</v>
      </c>
    </row>
    <row r="2008">
      <c r="A2008" s="3">
        <f>IFERROR(__xludf.DUMMYFUNCTION("""COMPUTED_VALUE"""),42425.99861111111)</f>
        <v>42425.99861</v>
      </c>
      <c r="B2008" s="1">
        <f>IFERROR(__xludf.DUMMYFUNCTION("""COMPUTED_VALUE"""),9715.262)</f>
        <v>9715.262</v>
      </c>
    </row>
    <row r="2009">
      <c r="A2009" s="3">
        <f>IFERROR(__xludf.DUMMYFUNCTION("""COMPUTED_VALUE"""),42426.99861111111)</f>
        <v>42426.99861</v>
      </c>
      <c r="B2009" s="1">
        <f>IFERROR(__xludf.DUMMYFUNCTION("""COMPUTED_VALUE"""),9564.64125)</f>
        <v>9564.64125</v>
      </c>
    </row>
    <row r="2010">
      <c r="A2010" s="3">
        <f>IFERROR(__xludf.DUMMYFUNCTION("""COMPUTED_VALUE"""),42428.99861111111)</f>
        <v>42428.99861</v>
      </c>
      <c r="B2010" s="1">
        <f>IFERROR(__xludf.DUMMYFUNCTION("""COMPUTED_VALUE"""),9575.268664)</f>
        <v>9575.268664</v>
      </c>
    </row>
    <row r="2011">
      <c r="A2011" s="3">
        <f>IFERROR(__xludf.DUMMYFUNCTION("""COMPUTED_VALUE"""),42429.99861111111)</f>
        <v>42429.99861</v>
      </c>
      <c r="B2011" s="1">
        <f>IFERROR(__xludf.DUMMYFUNCTION("""COMPUTED_VALUE"""),9539.937)</f>
        <v>9539.937</v>
      </c>
    </row>
    <row r="2012">
      <c r="A2012" s="3">
        <f>IFERROR(__xludf.DUMMYFUNCTION("""COMPUTED_VALUE"""),42430.99861111111)</f>
        <v>42430.99861</v>
      </c>
      <c r="B2012" s="1">
        <f>IFERROR(__xludf.DUMMYFUNCTION("""COMPUTED_VALUE"""),9507.9788)</f>
        <v>9507.9788</v>
      </c>
    </row>
    <row r="2013">
      <c r="A2013" s="3">
        <f>IFERROR(__xludf.DUMMYFUNCTION("""COMPUTED_VALUE"""),42431.99861111111)</f>
        <v>42431.99861</v>
      </c>
      <c r="B2013" s="1">
        <f>IFERROR(__xludf.DUMMYFUNCTION("""COMPUTED_VALUE"""),9652.16148)</f>
        <v>9652.16148</v>
      </c>
    </row>
    <row r="2014">
      <c r="A2014" s="3">
        <f>IFERROR(__xludf.DUMMYFUNCTION("""COMPUTED_VALUE"""),42432.99861111111)</f>
        <v>42432.99861</v>
      </c>
      <c r="B2014" s="1">
        <f>IFERROR(__xludf.DUMMYFUNCTION("""COMPUTED_VALUE"""),9665.784)</f>
        <v>9665.784</v>
      </c>
    </row>
    <row r="2015">
      <c r="A2015" s="3">
        <f>IFERROR(__xludf.DUMMYFUNCTION("""COMPUTED_VALUE"""),42433.99861111111)</f>
        <v>42433.99861</v>
      </c>
      <c r="B2015" s="1">
        <f>IFERROR(__xludf.DUMMYFUNCTION("""COMPUTED_VALUE"""),9686.318)</f>
        <v>9686.318</v>
      </c>
    </row>
    <row r="2016">
      <c r="A2016" s="3">
        <f>IFERROR(__xludf.DUMMYFUNCTION("""COMPUTED_VALUE"""),42435.99861111111)</f>
        <v>42435.99861</v>
      </c>
      <c r="B2016" s="1">
        <f>IFERROR(__xludf.DUMMYFUNCTION("""COMPUTED_VALUE"""),9879.730863)</f>
        <v>9879.730863</v>
      </c>
    </row>
    <row r="2017">
      <c r="A2017" s="3">
        <f>IFERROR(__xludf.DUMMYFUNCTION("""COMPUTED_VALUE"""),42436.99861111111)</f>
        <v>42436.99861</v>
      </c>
      <c r="B2017" s="1">
        <f>IFERROR(__xludf.DUMMYFUNCTION("""COMPUTED_VALUE"""),9690.2)</f>
        <v>9690.2</v>
      </c>
    </row>
    <row r="2018">
      <c r="A2018" s="3">
        <f>IFERROR(__xludf.DUMMYFUNCTION("""COMPUTED_VALUE"""),42437.99861111111)</f>
        <v>42437.99861</v>
      </c>
      <c r="B2018" s="1">
        <f>IFERROR(__xludf.DUMMYFUNCTION("""COMPUTED_VALUE"""),9793.483)</f>
        <v>9793.483</v>
      </c>
    </row>
    <row r="2019">
      <c r="A2019" s="3">
        <f>IFERROR(__xludf.DUMMYFUNCTION("""COMPUTED_VALUE"""),42438.99861111111)</f>
        <v>42438.99861</v>
      </c>
      <c r="B2019" s="1">
        <f>IFERROR(__xludf.DUMMYFUNCTION("""COMPUTED_VALUE"""),9781.77)</f>
        <v>9781.77</v>
      </c>
    </row>
    <row r="2020">
      <c r="A2020" s="3">
        <f>IFERROR(__xludf.DUMMYFUNCTION("""COMPUTED_VALUE"""),42439.99861111111)</f>
        <v>42439.99861</v>
      </c>
      <c r="B2020" s="1">
        <f>IFERROR(__xludf.DUMMYFUNCTION("""COMPUTED_VALUE"""),9792.354)</f>
        <v>9792.354</v>
      </c>
    </row>
    <row r="2021">
      <c r="A2021" s="3">
        <f>IFERROR(__xludf.DUMMYFUNCTION("""COMPUTED_VALUE"""),42440.99861111111)</f>
        <v>42440.99861</v>
      </c>
      <c r="B2021" s="1">
        <f>IFERROR(__xludf.DUMMYFUNCTION("""COMPUTED_VALUE"""),9784.26085)</f>
        <v>9784.26085</v>
      </c>
    </row>
    <row r="2022">
      <c r="A2022" s="3">
        <f>IFERROR(__xludf.DUMMYFUNCTION("""COMPUTED_VALUE"""),42442.99861111111)</f>
        <v>42442.99861</v>
      </c>
      <c r="B2022" s="1">
        <f>IFERROR(__xludf.DUMMYFUNCTION("""COMPUTED_VALUE"""),9856.707178)</f>
        <v>9856.707178</v>
      </c>
    </row>
    <row r="2023">
      <c r="A2023" s="3">
        <f>IFERROR(__xludf.DUMMYFUNCTION("""COMPUTED_VALUE"""),42443.99861111111)</f>
        <v>42443.99861</v>
      </c>
      <c r="B2023" s="1">
        <f>IFERROR(__xludf.DUMMYFUNCTION("""COMPUTED_VALUE"""),9758.1044)</f>
        <v>9758.1044</v>
      </c>
    </row>
    <row r="2024">
      <c r="A2024" s="3">
        <f>IFERROR(__xludf.DUMMYFUNCTION("""COMPUTED_VALUE"""),42444.99861111111)</f>
        <v>42444.99861</v>
      </c>
      <c r="B2024" s="1">
        <f>IFERROR(__xludf.DUMMYFUNCTION("""COMPUTED_VALUE"""),9791.0703)</f>
        <v>9791.0703</v>
      </c>
    </row>
    <row r="2025">
      <c r="A2025" s="3">
        <f>IFERROR(__xludf.DUMMYFUNCTION("""COMPUTED_VALUE"""),42445.99861111111)</f>
        <v>42445.99861</v>
      </c>
      <c r="B2025" s="1">
        <f>IFERROR(__xludf.DUMMYFUNCTION("""COMPUTED_VALUE"""),9632.411)</f>
        <v>9632.411</v>
      </c>
    </row>
    <row r="2026">
      <c r="A2026" s="3">
        <f>IFERROR(__xludf.DUMMYFUNCTION("""COMPUTED_VALUE"""),42446.99861111111)</f>
        <v>42446.99861</v>
      </c>
      <c r="B2026" s="1">
        <f>IFERROR(__xludf.DUMMYFUNCTION("""COMPUTED_VALUE"""),9890.101)</f>
        <v>9890.101</v>
      </c>
    </row>
    <row r="2027">
      <c r="A2027" s="3">
        <f>IFERROR(__xludf.DUMMYFUNCTION("""COMPUTED_VALUE"""),42447.99861111111)</f>
        <v>42447.99861</v>
      </c>
      <c r="B2027" s="1">
        <f>IFERROR(__xludf.DUMMYFUNCTION("""COMPUTED_VALUE"""),9911.4876)</f>
        <v>9911.4876</v>
      </c>
    </row>
    <row r="2028">
      <c r="A2028" s="3">
        <f>IFERROR(__xludf.DUMMYFUNCTION("""COMPUTED_VALUE"""),42448.99861111111)</f>
        <v>42448.99861</v>
      </c>
      <c r="B2028" s="1">
        <f>IFERROR(__xludf.DUMMYFUNCTION("""COMPUTED_VALUE"""),9989.48412)</f>
        <v>9989.48412</v>
      </c>
    </row>
    <row r="2029">
      <c r="A2029" s="3">
        <f>IFERROR(__xludf.DUMMYFUNCTION("""COMPUTED_VALUE"""),42449.99861111111)</f>
        <v>42449.99861</v>
      </c>
      <c r="B2029" s="1">
        <f>IFERROR(__xludf.DUMMYFUNCTION("""COMPUTED_VALUE"""),9977.65758)</f>
        <v>9977.65758</v>
      </c>
    </row>
    <row r="2030">
      <c r="A2030" s="3">
        <f>IFERROR(__xludf.DUMMYFUNCTION("""COMPUTED_VALUE"""),42450.99861111111)</f>
        <v>42450.99861</v>
      </c>
      <c r="B2030" s="1">
        <f>IFERROR(__xludf.DUMMYFUNCTION("""COMPUTED_VALUE"""),9976.8944)</f>
        <v>9976.8944</v>
      </c>
    </row>
    <row r="2031">
      <c r="A2031" s="3">
        <f>IFERROR(__xludf.DUMMYFUNCTION("""COMPUTED_VALUE"""),42451.99861111111)</f>
        <v>42451.99861</v>
      </c>
      <c r="B2031" s="1">
        <f>IFERROR(__xludf.DUMMYFUNCTION("""COMPUTED_VALUE"""),9980.3418)</f>
        <v>9980.3418</v>
      </c>
    </row>
    <row r="2032">
      <c r="A2032" s="3">
        <f>IFERROR(__xludf.DUMMYFUNCTION("""COMPUTED_VALUE"""),42452.99861111111)</f>
        <v>42452.99861</v>
      </c>
      <c r="B2032" s="1">
        <f>IFERROR(__xludf.DUMMYFUNCTION("""COMPUTED_VALUE"""),9953.0094)</f>
        <v>9953.0094</v>
      </c>
    </row>
    <row r="2033">
      <c r="A2033" s="3">
        <f>IFERROR(__xludf.DUMMYFUNCTION("""COMPUTED_VALUE"""),42453.99861111111)</f>
        <v>42453.99861</v>
      </c>
      <c r="B2033" s="1">
        <f>IFERROR(__xludf.DUMMYFUNCTION("""COMPUTED_VALUE"""),9956.24454)</f>
        <v>9956.24454</v>
      </c>
    </row>
    <row r="2034">
      <c r="A2034" s="3">
        <f>IFERROR(__xludf.DUMMYFUNCTION("""COMPUTED_VALUE"""),42454.99861111111)</f>
        <v>42454.99861</v>
      </c>
      <c r="B2034" s="1">
        <f>IFERROR(__xludf.DUMMYFUNCTION("""COMPUTED_VALUE"""),9882.8997)</f>
        <v>9882.8997</v>
      </c>
    </row>
    <row r="2035">
      <c r="A2035" s="3">
        <f>IFERROR(__xludf.DUMMYFUNCTION("""COMPUTED_VALUE"""),42456.99861111111)</f>
        <v>42456.99861</v>
      </c>
      <c r="B2035" s="1">
        <f>IFERROR(__xludf.DUMMYFUNCTION("""COMPUTED_VALUE"""),9963.211948)</f>
        <v>9963.211948</v>
      </c>
    </row>
    <row r="2036">
      <c r="A2036" s="3">
        <f>IFERROR(__xludf.DUMMYFUNCTION("""COMPUTED_VALUE"""),42457.99861111111)</f>
        <v>42457.99861</v>
      </c>
      <c r="B2036" s="1">
        <f>IFERROR(__xludf.DUMMYFUNCTION("""COMPUTED_VALUE"""),10028.8734)</f>
        <v>10028.8734</v>
      </c>
    </row>
    <row r="2037">
      <c r="A2037" s="3">
        <f>IFERROR(__xludf.DUMMYFUNCTION("""COMPUTED_VALUE"""),42458.99861111111)</f>
        <v>42458.99861</v>
      </c>
      <c r="B2037" s="1">
        <f>IFERROR(__xludf.DUMMYFUNCTION("""COMPUTED_VALUE"""),10062.93)</f>
        <v>10062.93</v>
      </c>
    </row>
    <row r="2038">
      <c r="A2038" s="3">
        <f>IFERROR(__xludf.DUMMYFUNCTION("""COMPUTED_VALUE"""),42459.99861111111)</f>
        <v>42459.99861</v>
      </c>
      <c r="B2038" s="1">
        <f>IFERROR(__xludf.DUMMYFUNCTION("""COMPUTED_VALUE"""),10139.192)</f>
        <v>10139.192</v>
      </c>
    </row>
    <row r="2039">
      <c r="A2039" s="3">
        <f>IFERROR(__xludf.DUMMYFUNCTION("""COMPUTED_VALUE"""),42460.99861111111)</f>
        <v>42460.99861</v>
      </c>
      <c r="B2039" s="1">
        <f>IFERROR(__xludf.DUMMYFUNCTION("""COMPUTED_VALUE"""),10088.2386)</f>
        <v>10088.2386</v>
      </c>
    </row>
    <row r="2040">
      <c r="A2040" s="3">
        <f>IFERROR(__xludf.DUMMYFUNCTION("""COMPUTED_VALUE"""),42461.99861111111)</f>
        <v>42461.99861</v>
      </c>
      <c r="B2040" s="1">
        <f>IFERROR(__xludf.DUMMYFUNCTION("""COMPUTED_VALUE"""),10076.2852)</f>
        <v>10076.2852</v>
      </c>
    </row>
    <row r="2041">
      <c r="A2041" s="3">
        <f>IFERROR(__xludf.DUMMYFUNCTION("""COMPUTED_VALUE"""),42462.99861111111)</f>
        <v>42462.99861</v>
      </c>
      <c r="B2041" s="1">
        <f>IFERROR(__xludf.DUMMYFUNCTION("""COMPUTED_VALUE"""),10077.52614)</f>
        <v>10077.52614</v>
      </c>
    </row>
    <row r="2042">
      <c r="A2042" s="3">
        <f>IFERROR(__xludf.DUMMYFUNCTION("""COMPUTED_VALUE"""),42463.99861111111)</f>
        <v>42463.99861</v>
      </c>
      <c r="B2042" s="1">
        <f>IFERROR(__xludf.DUMMYFUNCTION("""COMPUTED_VALUE"""),10072.2699)</f>
        <v>10072.2699</v>
      </c>
    </row>
    <row r="2043">
      <c r="A2043" s="3">
        <f>IFERROR(__xludf.DUMMYFUNCTION("""COMPUTED_VALUE"""),42464.99861111111)</f>
        <v>42464.99861</v>
      </c>
      <c r="B2043" s="1">
        <f>IFERROR(__xludf.DUMMYFUNCTION("""COMPUTED_VALUE"""),9983.2464)</f>
        <v>9983.2464</v>
      </c>
    </row>
    <row r="2044">
      <c r="A2044" s="3">
        <f>IFERROR(__xludf.DUMMYFUNCTION("""COMPUTED_VALUE"""),42465.99861111111)</f>
        <v>42465.99861</v>
      </c>
      <c r="B2044" s="1">
        <f>IFERROR(__xludf.DUMMYFUNCTION("""COMPUTED_VALUE"""),9962.982)</f>
        <v>9962.982</v>
      </c>
    </row>
    <row r="2045">
      <c r="A2045" s="3">
        <f>IFERROR(__xludf.DUMMYFUNCTION("""COMPUTED_VALUE"""),42466.99861111111)</f>
        <v>42466.99861</v>
      </c>
      <c r="B2045" s="1">
        <f>IFERROR(__xludf.DUMMYFUNCTION("""COMPUTED_VALUE"""),10023.62856)</f>
        <v>10023.62856</v>
      </c>
    </row>
    <row r="2046">
      <c r="A2046" s="3">
        <f>IFERROR(__xludf.DUMMYFUNCTION("""COMPUTED_VALUE"""),42467.99861111111)</f>
        <v>42467.99861</v>
      </c>
      <c r="B2046" s="1">
        <f>IFERROR(__xludf.DUMMYFUNCTION("""COMPUTED_VALUE"""),9893.35748)</f>
        <v>9893.35748</v>
      </c>
    </row>
    <row r="2047">
      <c r="A2047" s="3">
        <f>IFERROR(__xludf.DUMMYFUNCTION("""COMPUTED_VALUE"""),42468.99861111111)</f>
        <v>42468.99861</v>
      </c>
      <c r="B2047" s="1">
        <f>IFERROR(__xludf.DUMMYFUNCTION("""COMPUTED_VALUE"""),9900.7758)</f>
        <v>9900.7758</v>
      </c>
    </row>
    <row r="2048">
      <c r="A2048" s="3">
        <f>IFERROR(__xludf.DUMMYFUNCTION("""COMPUTED_VALUE"""),42469.99861111111)</f>
        <v>42469.99861</v>
      </c>
      <c r="B2048" s="1">
        <f>IFERROR(__xludf.DUMMYFUNCTION("""COMPUTED_VALUE"""),9927.7233)</f>
        <v>9927.7233</v>
      </c>
    </row>
    <row r="2049">
      <c r="A2049" s="3">
        <f>IFERROR(__xludf.DUMMYFUNCTION("""COMPUTED_VALUE"""),42470.99861111111)</f>
        <v>42470.99861</v>
      </c>
      <c r="B2049" s="1">
        <f>IFERROR(__xludf.DUMMYFUNCTION("""COMPUTED_VALUE"""),9938.89281)</f>
        <v>9938.89281</v>
      </c>
    </row>
    <row r="2050">
      <c r="A2050" s="3">
        <f>IFERROR(__xludf.DUMMYFUNCTION("""COMPUTED_VALUE"""),42471.99861111111)</f>
        <v>42471.99861</v>
      </c>
      <c r="B2050" s="1">
        <f>IFERROR(__xludf.DUMMYFUNCTION("""COMPUTED_VALUE"""),9942.64065)</f>
        <v>9942.64065</v>
      </c>
    </row>
    <row r="2051">
      <c r="A2051" s="3">
        <f>IFERROR(__xludf.DUMMYFUNCTION("""COMPUTED_VALUE"""),42472.99861111111)</f>
        <v>42472.99861</v>
      </c>
      <c r="B2051" s="1">
        <f>IFERROR(__xludf.DUMMYFUNCTION("""COMPUTED_VALUE"""),10042.6786)</f>
        <v>10042.6786</v>
      </c>
    </row>
    <row r="2052">
      <c r="A2052" s="3">
        <f>IFERROR(__xludf.DUMMYFUNCTION("""COMPUTED_VALUE"""),42473.99861111111)</f>
        <v>42473.99861</v>
      </c>
      <c r="B2052" s="1">
        <f>IFERROR(__xludf.DUMMYFUNCTION("""COMPUTED_VALUE"""),10066.441)</f>
        <v>10066.441</v>
      </c>
    </row>
    <row r="2053">
      <c r="A2053" s="3">
        <f>IFERROR(__xludf.DUMMYFUNCTION("""COMPUTED_VALUE"""),42474.99861111111)</f>
        <v>42474.99861</v>
      </c>
      <c r="B2053" s="1">
        <f>IFERROR(__xludf.DUMMYFUNCTION("""COMPUTED_VALUE"""),10133.08788)</f>
        <v>10133.08788</v>
      </c>
    </row>
    <row r="2054">
      <c r="A2054" s="3">
        <f>IFERROR(__xludf.DUMMYFUNCTION("""COMPUTED_VALUE"""),42475.99861111111)</f>
        <v>42475.99861</v>
      </c>
      <c r="B2054" s="1">
        <f>IFERROR(__xludf.DUMMYFUNCTION("""COMPUTED_VALUE"""),10133.734)</f>
        <v>10133.734</v>
      </c>
    </row>
    <row r="2055">
      <c r="A2055" s="3">
        <f>IFERROR(__xludf.DUMMYFUNCTION("""COMPUTED_VALUE"""),42477.99861111111)</f>
        <v>42477.99861</v>
      </c>
      <c r="B2055" s="1">
        <f>IFERROR(__xludf.DUMMYFUNCTION("""COMPUTED_VALUE"""),10099.20388)</f>
        <v>10099.20388</v>
      </c>
    </row>
    <row r="2056">
      <c r="A2056" s="3">
        <f>IFERROR(__xludf.DUMMYFUNCTION("""COMPUTED_VALUE"""),42478.99861111111)</f>
        <v>42478.99861</v>
      </c>
      <c r="B2056" s="1">
        <f>IFERROR(__xludf.DUMMYFUNCTION("""COMPUTED_VALUE"""),10181.02176)</f>
        <v>10181.02176</v>
      </c>
    </row>
    <row r="2057">
      <c r="A2057" s="3">
        <f>IFERROR(__xludf.DUMMYFUNCTION("""COMPUTED_VALUE"""),42479.99861111111)</f>
        <v>42479.99861</v>
      </c>
      <c r="B2057" s="1">
        <f>IFERROR(__xludf.DUMMYFUNCTION("""COMPUTED_VALUE"""),10201.58388)</f>
        <v>10201.58388</v>
      </c>
    </row>
    <row r="2058">
      <c r="A2058" s="3">
        <f>IFERROR(__xludf.DUMMYFUNCTION("""COMPUTED_VALUE"""),42480.99861111111)</f>
        <v>42480.99861</v>
      </c>
      <c r="B2058" s="1">
        <f>IFERROR(__xludf.DUMMYFUNCTION("""COMPUTED_VALUE"""),10270.7966)</f>
        <v>10270.7966</v>
      </c>
    </row>
    <row r="2059">
      <c r="A2059" s="3">
        <f>IFERROR(__xludf.DUMMYFUNCTION("""COMPUTED_VALUE"""),42481.99861111111)</f>
        <v>42481.99861</v>
      </c>
      <c r="B2059" s="1">
        <f>IFERROR(__xludf.DUMMYFUNCTION("""COMPUTED_VALUE"""),10197.63068)</f>
        <v>10197.63068</v>
      </c>
    </row>
    <row r="2060">
      <c r="A2060" s="3">
        <f>IFERROR(__xludf.DUMMYFUNCTION("""COMPUTED_VALUE"""),42482.99861111111)</f>
        <v>42482.99861</v>
      </c>
      <c r="B2060" s="1">
        <f>IFERROR(__xludf.DUMMYFUNCTION("""COMPUTED_VALUE"""),10173.345)</f>
        <v>10173.345</v>
      </c>
    </row>
    <row r="2061">
      <c r="A2061" s="3">
        <f>IFERROR(__xludf.DUMMYFUNCTION("""COMPUTED_VALUE"""),42484.99861111111)</f>
        <v>42484.99861</v>
      </c>
      <c r="B2061" s="1">
        <f>IFERROR(__xludf.DUMMYFUNCTION("""COMPUTED_VALUE"""),10182.55532)</f>
        <v>10182.55532</v>
      </c>
    </row>
    <row r="2062">
      <c r="A2062" s="3">
        <f>IFERROR(__xludf.DUMMYFUNCTION("""COMPUTED_VALUE"""),42485.99861111111)</f>
        <v>42485.99861</v>
      </c>
      <c r="B2062" s="1">
        <f>IFERROR(__xludf.DUMMYFUNCTION("""COMPUTED_VALUE"""),10174.766)</f>
        <v>10174.766</v>
      </c>
    </row>
    <row r="2063">
      <c r="A2063" s="3">
        <f>IFERROR(__xludf.DUMMYFUNCTION("""COMPUTED_VALUE"""),42486.99861111111)</f>
        <v>42486.99861</v>
      </c>
      <c r="B2063" s="1">
        <f>IFERROR(__xludf.DUMMYFUNCTION("""COMPUTED_VALUE"""),10192.42)</f>
        <v>10192.42</v>
      </c>
    </row>
    <row r="2064">
      <c r="A2064" s="3">
        <f>IFERROR(__xludf.DUMMYFUNCTION("""COMPUTED_VALUE"""),42487.99861111111)</f>
        <v>42487.99861</v>
      </c>
      <c r="B2064" s="1">
        <f>IFERROR(__xludf.DUMMYFUNCTION("""COMPUTED_VALUE"""),9999.1155)</f>
        <v>9999.1155</v>
      </c>
    </row>
    <row r="2065">
      <c r="A2065" s="3">
        <f>IFERROR(__xludf.DUMMYFUNCTION("""COMPUTED_VALUE"""),42488.99861111111)</f>
        <v>42488.99861</v>
      </c>
      <c r="B2065" s="1">
        <f>IFERROR(__xludf.DUMMYFUNCTION("""COMPUTED_VALUE"""),10050.027)</f>
        <v>10050.027</v>
      </c>
    </row>
    <row r="2066">
      <c r="A2066" s="3">
        <f>IFERROR(__xludf.DUMMYFUNCTION("""COMPUTED_VALUE"""),42489.99861111111)</f>
        <v>42489.99861</v>
      </c>
      <c r="B2066" s="1">
        <f>IFERROR(__xludf.DUMMYFUNCTION("""COMPUTED_VALUE"""),10021.432)</f>
        <v>10021.432</v>
      </c>
    </row>
    <row r="2067">
      <c r="A2067" s="3">
        <f>IFERROR(__xludf.DUMMYFUNCTION("""COMPUTED_VALUE"""),42490.99861111111)</f>
        <v>42490.99861</v>
      </c>
      <c r="B2067" s="1">
        <f>IFERROR(__xludf.DUMMYFUNCTION("""COMPUTED_VALUE"""),10043.5858)</f>
        <v>10043.5858</v>
      </c>
    </row>
    <row r="2068">
      <c r="A2068" s="3">
        <f>IFERROR(__xludf.DUMMYFUNCTION("""COMPUTED_VALUE"""),42491.99861111111)</f>
        <v>42491.99861</v>
      </c>
      <c r="B2068" s="1">
        <f>IFERROR(__xludf.DUMMYFUNCTION("""COMPUTED_VALUE"""),10058.90944)</f>
        <v>10058.90944</v>
      </c>
    </row>
    <row r="2069">
      <c r="A2069" s="3">
        <f>IFERROR(__xludf.DUMMYFUNCTION("""COMPUTED_VALUE"""),42492.99861111111)</f>
        <v>42492.99861</v>
      </c>
      <c r="B2069" s="1">
        <f>IFERROR(__xludf.DUMMYFUNCTION("""COMPUTED_VALUE"""),10033.6509)</f>
        <v>10033.6509</v>
      </c>
    </row>
    <row r="2070">
      <c r="A2070" s="3">
        <f>IFERROR(__xludf.DUMMYFUNCTION("""COMPUTED_VALUE"""),42493.99861111111)</f>
        <v>42493.99861</v>
      </c>
      <c r="B2070" s="1">
        <f>IFERROR(__xludf.DUMMYFUNCTION("""COMPUTED_VALUE"""),9885.0582)</f>
        <v>9885.0582</v>
      </c>
    </row>
    <row r="2071">
      <c r="A2071" s="3">
        <f>IFERROR(__xludf.DUMMYFUNCTION("""COMPUTED_VALUE"""),42494.99861111111)</f>
        <v>42494.99861</v>
      </c>
      <c r="B2071" s="1">
        <f>IFERROR(__xludf.DUMMYFUNCTION("""COMPUTED_VALUE"""),9965.1075)</f>
        <v>9965.1075</v>
      </c>
    </row>
    <row r="2072">
      <c r="A2072" s="3">
        <f>IFERROR(__xludf.DUMMYFUNCTION("""COMPUTED_VALUE"""),42495.99861111111)</f>
        <v>42495.99861</v>
      </c>
      <c r="B2072" s="1">
        <f>IFERROR(__xludf.DUMMYFUNCTION("""COMPUTED_VALUE"""),9972.7185)</f>
        <v>9972.7185</v>
      </c>
    </row>
    <row r="2073">
      <c r="A2073" s="3">
        <f>IFERROR(__xludf.DUMMYFUNCTION("""COMPUTED_VALUE"""),42496.99861111111)</f>
        <v>42496.99861</v>
      </c>
      <c r="B2073" s="1">
        <f>IFERROR(__xludf.DUMMYFUNCTION("""COMPUTED_VALUE"""),9803.8798)</f>
        <v>9803.8798</v>
      </c>
    </row>
    <row r="2074">
      <c r="A2074" s="3">
        <f>IFERROR(__xludf.DUMMYFUNCTION("""COMPUTED_VALUE"""),42498.99861111111)</f>
        <v>42498.99861</v>
      </c>
      <c r="B2074" s="1">
        <f>IFERROR(__xludf.DUMMYFUNCTION("""COMPUTED_VALUE"""),9883.373786)</f>
        <v>9883.373786</v>
      </c>
    </row>
    <row r="2075">
      <c r="A2075" s="3">
        <f>IFERROR(__xludf.DUMMYFUNCTION("""COMPUTED_VALUE"""),42499.99861111111)</f>
        <v>42499.99861</v>
      </c>
      <c r="B2075" s="1">
        <f>IFERROR(__xludf.DUMMYFUNCTION("""COMPUTED_VALUE"""),9782.6001)</f>
        <v>9782.6001</v>
      </c>
    </row>
    <row r="2076">
      <c r="A2076" s="3">
        <f>IFERROR(__xludf.DUMMYFUNCTION("""COMPUTED_VALUE"""),42500.99861111111)</f>
        <v>42500.99861</v>
      </c>
      <c r="B2076" s="1">
        <f>IFERROR(__xludf.DUMMYFUNCTION("""COMPUTED_VALUE"""),9799.2962)</f>
        <v>9799.2962</v>
      </c>
    </row>
    <row r="2077">
      <c r="A2077" s="3">
        <f>IFERROR(__xludf.DUMMYFUNCTION("""COMPUTED_VALUE"""),42501.99861111111)</f>
        <v>42501.99861</v>
      </c>
      <c r="B2077" s="1">
        <f>IFERROR(__xludf.DUMMYFUNCTION("""COMPUTED_VALUE"""),9743.1685)</f>
        <v>9743.1685</v>
      </c>
    </row>
    <row r="2078">
      <c r="A2078" s="3">
        <f>IFERROR(__xludf.DUMMYFUNCTION("""COMPUTED_VALUE"""),42502.99861111111)</f>
        <v>42502.99861</v>
      </c>
      <c r="B2078" s="1">
        <f>IFERROR(__xludf.DUMMYFUNCTION("""COMPUTED_VALUE"""),9696.0325)</f>
        <v>9696.0325</v>
      </c>
    </row>
    <row r="2079">
      <c r="A2079" s="3">
        <f>IFERROR(__xludf.DUMMYFUNCTION("""COMPUTED_VALUE"""),42503.99861111111)</f>
        <v>42503.99861</v>
      </c>
      <c r="B2079" s="1">
        <f>IFERROR(__xludf.DUMMYFUNCTION("""COMPUTED_VALUE"""),9687.96444)</f>
        <v>9687.96444</v>
      </c>
    </row>
    <row r="2080">
      <c r="A2080" s="3">
        <f>IFERROR(__xludf.DUMMYFUNCTION("""COMPUTED_VALUE"""),42505.99861111111)</f>
        <v>42505.99861</v>
      </c>
      <c r="B2080" s="1">
        <f>IFERROR(__xludf.DUMMYFUNCTION("""COMPUTED_VALUE"""),9683.082504)</f>
        <v>9683.082504</v>
      </c>
    </row>
    <row r="2081">
      <c r="A2081" s="3">
        <f>IFERROR(__xludf.DUMMYFUNCTION("""COMPUTED_VALUE"""),42506.99861111111)</f>
        <v>42506.99861</v>
      </c>
      <c r="B2081" s="1">
        <f>IFERROR(__xludf.DUMMYFUNCTION("""COMPUTED_VALUE"""),9704.952)</f>
        <v>9704.952</v>
      </c>
    </row>
    <row r="2082">
      <c r="A2082" s="3">
        <f>IFERROR(__xludf.DUMMYFUNCTION("""COMPUTED_VALUE"""),42507.99861111111)</f>
        <v>42507.99861</v>
      </c>
      <c r="B2082" s="1">
        <f>IFERROR(__xludf.DUMMYFUNCTION("""COMPUTED_VALUE"""),9735.458)</f>
        <v>9735.458</v>
      </c>
    </row>
    <row r="2083">
      <c r="A2083" s="3">
        <f>IFERROR(__xludf.DUMMYFUNCTION("""COMPUTED_VALUE"""),42508.99861111111)</f>
        <v>42508.99861</v>
      </c>
      <c r="B2083" s="1">
        <f>IFERROR(__xludf.DUMMYFUNCTION("""COMPUTED_VALUE"""),9705.444)</f>
        <v>9705.444</v>
      </c>
    </row>
    <row r="2084">
      <c r="A2084" s="3">
        <f>IFERROR(__xludf.DUMMYFUNCTION("""COMPUTED_VALUE"""),42509.99861111111)</f>
        <v>42509.99861</v>
      </c>
      <c r="B2084" s="1">
        <f>IFERROR(__xludf.DUMMYFUNCTION("""COMPUTED_VALUE"""),9827.8255)</f>
        <v>9827.8255</v>
      </c>
    </row>
    <row r="2085">
      <c r="A2085" s="3">
        <f>IFERROR(__xludf.DUMMYFUNCTION("""COMPUTED_VALUE"""),42510.99861111111)</f>
        <v>42510.99861</v>
      </c>
      <c r="B2085" s="1">
        <f>IFERROR(__xludf.DUMMYFUNCTION("""COMPUTED_VALUE"""),9825.2589)</f>
        <v>9825.2589</v>
      </c>
    </row>
    <row r="2086">
      <c r="A2086" s="3">
        <f>IFERROR(__xludf.DUMMYFUNCTION("""COMPUTED_VALUE"""),42512.99861111111)</f>
        <v>42512.99861</v>
      </c>
      <c r="B2086" s="1">
        <f>IFERROR(__xludf.DUMMYFUNCTION("""COMPUTED_VALUE"""),9843.045845)</f>
        <v>9843.045845</v>
      </c>
    </row>
    <row r="2087">
      <c r="A2087" s="3">
        <f>IFERROR(__xludf.DUMMYFUNCTION("""COMPUTED_VALUE"""),42513.99861111111)</f>
        <v>42513.99861</v>
      </c>
      <c r="B2087" s="1">
        <f>IFERROR(__xludf.DUMMYFUNCTION("""COMPUTED_VALUE"""),9775.88)</f>
        <v>9775.88</v>
      </c>
    </row>
    <row r="2088">
      <c r="A2088" s="3">
        <f>IFERROR(__xludf.DUMMYFUNCTION("""COMPUTED_VALUE"""),42514.99861111111)</f>
        <v>42514.99861</v>
      </c>
      <c r="B2088" s="1">
        <f>IFERROR(__xludf.DUMMYFUNCTION("""COMPUTED_VALUE"""),9755.3373)</f>
        <v>9755.3373</v>
      </c>
    </row>
    <row r="2089">
      <c r="A2089" s="3">
        <f>IFERROR(__xludf.DUMMYFUNCTION("""COMPUTED_VALUE"""),42515.99861111111)</f>
        <v>42515.99861</v>
      </c>
      <c r="B2089" s="1">
        <f>IFERROR(__xludf.DUMMYFUNCTION("""COMPUTED_VALUE"""),9777.21192)</f>
        <v>9777.21192</v>
      </c>
    </row>
    <row r="2090">
      <c r="A2090" s="3">
        <f>IFERROR(__xludf.DUMMYFUNCTION("""COMPUTED_VALUE"""),42516.99861111111)</f>
        <v>42516.99861</v>
      </c>
      <c r="B2090" s="1">
        <f>IFERROR(__xludf.DUMMYFUNCTION("""COMPUTED_VALUE"""),9785.0878)</f>
        <v>9785.0878</v>
      </c>
    </row>
    <row r="2091">
      <c r="A2091" s="3">
        <f>IFERROR(__xludf.DUMMYFUNCTION("""COMPUTED_VALUE"""),42517.99861111111)</f>
        <v>42517.99861</v>
      </c>
      <c r="B2091" s="1">
        <f>IFERROR(__xludf.DUMMYFUNCTION("""COMPUTED_VALUE"""),9742.0464)</f>
        <v>9742.0464</v>
      </c>
    </row>
    <row r="2092">
      <c r="A2092" s="3">
        <f>IFERROR(__xludf.DUMMYFUNCTION("""COMPUTED_VALUE"""),42519.99861111111)</f>
        <v>42519.99861</v>
      </c>
      <c r="B2092" s="1">
        <f>IFERROR(__xludf.DUMMYFUNCTION("""COMPUTED_VALUE"""),9864.008306)</f>
        <v>9864.008306</v>
      </c>
    </row>
    <row r="2093">
      <c r="A2093" s="3">
        <f>IFERROR(__xludf.DUMMYFUNCTION("""COMPUTED_VALUE"""),42520.99861111111)</f>
        <v>42520.99861</v>
      </c>
      <c r="B2093" s="1">
        <f>IFERROR(__xludf.DUMMYFUNCTION("""COMPUTED_VALUE"""),9804.7783)</f>
        <v>9804.7783</v>
      </c>
    </row>
    <row r="2094">
      <c r="A2094" s="3">
        <f>IFERROR(__xludf.DUMMYFUNCTION("""COMPUTED_VALUE"""),42521.99861111111)</f>
        <v>42521.99861</v>
      </c>
      <c r="B2094" s="1">
        <f>IFERROR(__xludf.DUMMYFUNCTION("""COMPUTED_VALUE"""),9868.93691)</f>
        <v>9868.93691</v>
      </c>
    </row>
    <row r="2095">
      <c r="A2095" s="3">
        <f>IFERROR(__xludf.DUMMYFUNCTION("""COMPUTED_VALUE"""),42522.99861111111)</f>
        <v>42522.99861</v>
      </c>
      <c r="B2095" s="1">
        <f>IFERROR(__xludf.DUMMYFUNCTION("""COMPUTED_VALUE"""),9863.167)</f>
        <v>9863.167</v>
      </c>
    </row>
    <row r="2096">
      <c r="A2096" s="3">
        <f>IFERROR(__xludf.DUMMYFUNCTION("""COMPUTED_VALUE"""),42523.99861111111)</f>
        <v>42523.99861</v>
      </c>
      <c r="B2096" s="1">
        <f>IFERROR(__xludf.DUMMYFUNCTION("""COMPUTED_VALUE"""),9835.947)</f>
        <v>9835.947</v>
      </c>
    </row>
    <row r="2097">
      <c r="A2097" s="3">
        <f>IFERROR(__xludf.DUMMYFUNCTION("""COMPUTED_VALUE"""),42524.99861111111)</f>
        <v>42524.99861</v>
      </c>
      <c r="B2097" s="1">
        <f>IFERROR(__xludf.DUMMYFUNCTION("""COMPUTED_VALUE"""),9882.62536)</f>
        <v>9882.62536</v>
      </c>
    </row>
    <row r="2098">
      <c r="A2098" s="3">
        <f>IFERROR(__xludf.DUMMYFUNCTION("""COMPUTED_VALUE"""),42526.99861111111)</f>
        <v>42526.99861</v>
      </c>
      <c r="B2098" s="1">
        <f>IFERROR(__xludf.DUMMYFUNCTION("""COMPUTED_VALUE"""),9896.219844)</f>
        <v>9896.219844</v>
      </c>
    </row>
    <row r="2099">
      <c r="A2099" s="3">
        <f>IFERROR(__xludf.DUMMYFUNCTION("""COMPUTED_VALUE"""),42527.99861111111)</f>
        <v>42527.99861</v>
      </c>
      <c r="B2099" s="1">
        <f>IFERROR(__xludf.DUMMYFUNCTION("""COMPUTED_VALUE"""),9838.87452)</f>
        <v>9838.87452</v>
      </c>
    </row>
    <row r="2100">
      <c r="A2100" s="3">
        <f>IFERROR(__xludf.DUMMYFUNCTION("""COMPUTED_VALUE"""),42528.99861111111)</f>
        <v>42528.99861</v>
      </c>
      <c r="B2100" s="1">
        <f>IFERROR(__xludf.DUMMYFUNCTION("""COMPUTED_VALUE"""),9844.8561)</f>
        <v>9844.8561</v>
      </c>
    </row>
    <row r="2101">
      <c r="A2101" s="3">
        <f>IFERROR(__xludf.DUMMYFUNCTION("""COMPUTED_VALUE"""),42529.99861111111)</f>
        <v>42529.99861</v>
      </c>
      <c r="B2101" s="1">
        <f>IFERROR(__xludf.DUMMYFUNCTION("""COMPUTED_VALUE"""),9894.5065)</f>
        <v>9894.5065</v>
      </c>
    </row>
    <row r="2102">
      <c r="A2102" s="3">
        <f>IFERROR(__xludf.DUMMYFUNCTION("""COMPUTED_VALUE"""),42530.99861111111)</f>
        <v>42530.99861</v>
      </c>
      <c r="B2102" s="1">
        <f>IFERROR(__xludf.DUMMYFUNCTION("""COMPUTED_VALUE"""),9822.755)</f>
        <v>9822.755</v>
      </c>
    </row>
    <row r="2103">
      <c r="A2103" s="3">
        <f>IFERROR(__xludf.DUMMYFUNCTION("""COMPUTED_VALUE"""),42531.99861111111)</f>
        <v>42531.99861</v>
      </c>
      <c r="B2103" s="1">
        <f>IFERROR(__xludf.DUMMYFUNCTION("""COMPUTED_VALUE"""),9827.925)</f>
        <v>9827.925</v>
      </c>
    </row>
    <row r="2104">
      <c r="A2104" s="3">
        <f>IFERROR(__xludf.DUMMYFUNCTION("""COMPUTED_VALUE"""),42533.99861111111)</f>
        <v>42533.99861</v>
      </c>
      <c r="B2104" s="1">
        <f>IFERROR(__xludf.DUMMYFUNCTION("""COMPUTED_VALUE"""),9854.275158)</f>
        <v>9854.275158</v>
      </c>
    </row>
    <row r="2105">
      <c r="A2105" s="3">
        <f>IFERROR(__xludf.DUMMYFUNCTION("""COMPUTED_VALUE"""),42534.99861111111)</f>
        <v>42534.99861</v>
      </c>
      <c r="B2105" s="1">
        <f>IFERROR(__xludf.DUMMYFUNCTION("""COMPUTED_VALUE"""),9830.23195)</f>
        <v>9830.23195</v>
      </c>
    </row>
    <row r="2106">
      <c r="A2106" s="3">
        <f>IFERROR(__xludf.DUMMYFUNCTION("""COMPUTED_VALUE"""),42535.99861111111)</f>
        <v>42535.99861</v>
      </c>
      <c r="B2106" s="1">
        <f>IFERROR(__xludf.DUMMYFUNCTION("""COMPUTED_VALUE"""),9816.255)</f>
        <v>9816.255</v>
      </c>
    </row>
    <row r="2107">
      <c r="A2107" s="3">
        <f>IFERROR(__xludf.DUMMYFUNCTION("""COMPUTED_VALUE"""),42536.99861111111)</f>
        <v>42536.99861</v>
      </c>
      <c r="B2107" s="1">
        <f>IFERROR(__xludf.DUMMYFUNCTION("""COMPUTED_VALUE"""),9872.784)</f>
        <v>9872.784</v>
      </c>
    </row>
    <row r="2108">
      <c r="A2108" s="3">
        <f>IFERROR(__xludf.DUMMYFUNCTION("""COMPUTED_VALUE"""),42537.99861111111)</f>
        <v>42537.99861</v>
      </c>
      <c r="B2108" s="1">
        <f>IFERROR(__xludf.DUMMYFUNCTION("""COMPUTED_VALUE"""),9882.8838)</f>
        <v>9882.8838</v>
      </c>
    </row>
    <row r="2109">
      <c r="A2109" s="3">
        <f>IFERROR(__xludf.DUMMYFUNCTION("""COMPUTED_VALUE"""),42538.99861111111)</f>
        <v>42538.99861</v>
      </c>
      <c r="B2109" s="1">
        <f>IFERROR(__xludf.DUMMYFUNCTION("""COMPUTED_VALUE"""),9856.3476)</f>
        <v>9856.3476</v>
      </c>
    </row>
    <row r="2110">
      <c r="A2110" s="3">
        <f>IFERROR(__xludf.DUMMYFUNCTION("""COMPUTED_VALUE"""),42540.99861111111)</f>
        <v>42540.99861</v>
      </c>
      <c r="B2110" s="1">
        <f>IFERROR(__xludf.DUMMYFUNCTION("""COMPUTED_VALUE"""),9902.664191)</f>
        <v>9902.664191</v>
      </c>
    </row>
    <row r="2111">
      <c r="A2111" s="3">
        <f>IFERROR(__xludf.DUMMYFUNCTION("""COMPUTED_VALUE"""),42541.99861111111)</f>
        <v>42541.99861</v>
      </c>
      <c r="B2111" s="1">
        <f>IFERROR(__xludf.DUMMYFUNCTION("""COMPUTED_VALUE"""),9881.85)</f>
        <v>9881.85</v>
      </c>
    </row>
    <row r="2112">
      <c r="A2112" s="3">
        <f>IFERROR(__xludf.DUMMYFUNCTION("""COMPUTED_VALUE"""),42542.99861111111)</f>
        <v>42542.99861</v>
      </c>
      <c r="B2112" s="1">
        <f>IFERROR(__xludf.DUMMYFUNCTION("""COMPUTED_VALUE"""),9874.975)</f>
        <v>9874.975</v>
      </c>
    </row>
    <row r="2113">
      <c r="A2113" s="3">
        <f>IFERROR(__xludf.DUMMYFUNCTION("""COMPUTED_VALUE"""),42543.99861111111)</f>
        <v>42543.99861</v>
      </c>
      <c r="B2113" s="1">
        <f>IFERROR(__xludf.DUMMYFUNCTION("""COMPUTED_VALUE"""),9910.7645)</f>
        <v>9910.7645</v>
      </c>
    </row>
    <row r="2114">
      <c r="A2114" s="3">
        <f>IFERROR(__xludf.DUMMYFUNCTION("""COMPUTED_VALUE"""),42544.99861111111)</f>
        <v>42544.99861</v>
      </c>
      <c r="B2114" s="1">
        <f>IFERROR(__xludf.DUMMYFUNCTION("""COMPUTED_VALUE"""),9975.925)</f>
        <v>9975.925</v>
      </c>
    </row>
    <row r="2115">
      <c r="A2115" s="3">
        <f>IFERROR(__xludf.DUMMYFUNCTION("""COMPUTED_VALUE"""),42545.99861111111)</f>
        <v>42545.99861</v>
      </c>
      <c r="B2115" s="1">
        <f>IFERROR(__xludf.DUMMYFUNCTION("""COMPUTED_VALUE"""),9990.72375)</f>
        <v>9990.72375</v>
      </c>
    </row>
    <row r="2116">
      <c r="A2116" s="3">
        <f>IFERROR(__xludf.DUMMYFUNCTION("""COMPUTED_VALUE"""),42547.99861111111)</f>
        <v>42547.99861</v>
      </c>
      <c r="B2116" s="1">
        <f>IFERROR(__xludf.DUMMYFUNCTION("""COMPUTED_VALUE"""),10104.76028)</f>
        <v>10104.76028</v>
      </c>
    </row>
    <row r="2117">
      <c r="A2117" s="3">
        <f>IFERROR(__xludf.DUMMYFUNCTION("""COMPUTED_VALUE"""),42548.99861111111)</f>
        <v>42548.99861</v>
      </c>
      <c r="B2117" s="1">
        <f>IFERROR(__xludf.DUMMYFUNCTION("""COMPUTED_VALUE"""),9845.33675)</f>
        <v>9845.33675</v>
      </c>
    </row>
    <row r="2118">
      <c r="A2118" s="3">
        <f>IFERROR(__xludf.DUMMYFUNCTION("""COMPUTED_VALUE"""),42549.99861111111)</f>
        <v>42549.99861</v>
      </c>
      <c r="B2118" s="1">
        <f>IFERROR(__xludf.DUMMYFUNCTION("""COMPUTED_VALUE"""),9739.716)</f>
        <v>9739.716</v>
      </c>
    </row>
    <row r="2119">
      <c r="A2119" s="3">
        <f>IFERROR(__xludf.DUMMYFUNCTION("""COMPUTED_VALUE"""),42550.99861111111)</f>
        <v>42550.99861</v>
      </c>
      <c r="B2119" s="1">
        <f>IFERROR(__xludf.DUMMYFUNCTION("""COMPUTED_VALUE"""),9811.94242)</f>
        <v>9811.94242</v>
      </c>
    </row>
    <row r="2120">
      <c r="A2120" s="3">
        <f>IFERROR(__xludf.DUMMYFUNCTION("""COMPUTED_VALUE"""),42551.99861111111)</f>
        <v>42551.99861</v>
      </c>
      <c r="B2120" s="1">
        <f>IFERROR(__xludf.DUMMYFUNCTION("""COMPUTED_VALUE"""),9812.64836)</f>
        <v>9812.64836</v>
      </c>
    </row>
    <row r="2121">
      <c r="A2121" s="3">
        <f>IFERROR(__xludf.DUMMYFUNCTION("""COMPUTED_VALUE"""),42552.99861111111)</f>
        <v>42552.99861</v>
      </c>
      <c r="B2121" s="1">
        <f>IFERROR(__xludf.DUMMYFUNCTION("""COMPUTED_VALUE"""),9831.7909)</f>
        <v>9831.7909</v>
      </c>
    </row>
    <row r="2122">
      <c r="A2122" s="3">
        <f>IFERROR(__xludf.DUMMYFUNCTION("""COMPUTED_VALUE"""),42553.99861111111)</f>
        <v>42553.99861</v>
      </c>
      <c r="B2122" s="1">
        <f>IFERROR(__xludf.DUMMYFUNCTION("""COMPUTED_VALUE"""),9839.88783)</f>
        <v>9839.88783</v>
      </c>
    </row>
    <row r="2123">
      <c r="A2123" s="3">
        <f>IFERROR(__xludf.DUMMYFUNCTION("""COMPUTED_VALUE"""),42554.99861111111)</f>
        <v>42554.99861</v>
      </c>
      <c r="B2123" s="1">
        <f>IFERROR(__xludf.DUMMYFUNCTION("""COMPUTED_VALUE"""),9790.0191)</f>
        <v>9790.0191</v>
      </c>
    </row>
    <row r="2124">
      <c r="A2124" s="3">
        <f>IFERROR(__xludf.DUMMYFUNCTION("""COMPUTED_VALUE"""),42555.99861111111)</f>
        <v>42555.99861</v>
      </c>
      <c r="B2124" s="1">
        <f>IFERROR(__xludf.DUMMYFUNCTION("""COMPUTED_VALUE"""),9830.262)</f>
        <v>9830.262</v>
      </c>
    </row>
    <row r="2125">
      <c r="A2125" s="3">
        <f>IFERROR(__xludf.DUMMYFUNCTION("""COMPUTED_VALUE"""),42556.99861111111)</f>
        <v>42556.99861</v>
      </c>
      <c r="B2125" s="1">
        <f>IFERROR(__xludf.DUMMYFUNCTION("""COMPUTED_VALUE"""),9791.8296)</f>
        <v>9791.8296</v>
      </c>
    </row>
    <row r="2126">
      <c r="A2126" s="3">
        <f>IFERROR(__xludf.DUMMYFUNCTION("""COMPUTED_VALUE"""),42557.99861111111)</f>
        <v>42557.99861</v>
      </c>
      <c r="B2126" s="1">
        <f>IFERROR(__xludf.DUMMYFUNCTION("""COMPUTED_VALUE"""),9930.53556)</f>
        <v>9930.53556</v>
      </c>
    </row>
    <row r="2127">
      <c r="A2127" s="3">
        <f>IFERROR(__xludf.DUMMYFUNCTION("""COMPUTED_VALUE"""),42558.99861111111)</f>
        <v>42558.99861</v>
      </c>
      <c r="B2127" s="1">
        <f>IFERROR(__xludf.DUMMYFUNCTION("""COMPUTED_VALUE"""),9811.9)</f>
        <v>9811.9</v>
      </c>
    </row>
    <row r="2128">
      <c r="A2128" s="3">
        <f>IFERROR(__xludf.DUMMYFUNCTION("""COMPUTED_VALUE"""),42559.99861111111)</f>
        <v>42559.99861</v>
      </c>
      <c r="B2128" s="1">
        <f>IFERROR(__xludf.DUMMYFUNCTION("""COMPUTED_VALUE"""),9915.7672)</f>
        <v>9915.7672</v>
      </c>
    </row>
    <row r="2129">
      <c r="A2129" s="3">
        <f>IFERROR(__xludf.DUMMYFUNCTION("""COMPUTED_VALUE"""),42560.99861111111)</f>
        <v>42560.99861</v>
      </c>
      <c r="B2129" s="1">
        <f>IFERROR(__xludf.DUMMYFUNCTION("""COMPUTED_VALUE"""),9944.80608)</f>
        <v>9944.80608</v>
      </c>
    </row>
    <row r="2130">
      <c r="A2130" s="3">
        <f>IFERROR(__xludf.DUMMYFUNCTION("""COMPUTED_VALUE"""),42561.99861111111)</f>
        <v>42561.99861</v>
      </c>
      <c r="B2130" s="1">
        <f>IFERROR(__xludf.DUMMYFUNCTION("""COMPUTED_VALUE"""),9930.482826)</f>
        <v>9930.482826</v>
      </c>
    </row>
    <row r="2131">
      <c r="A2131" s="3">
        <f>IFERROR(__xludf.DUMMYFUNCTION("""COMPUTED_VALUE"""),42562.99861111111)</f>
        <v>42562.99861</v>
      </c>
      <c r="B2131" s="1">
        <f>IFERROR(__xludf.DUMMYFUNCTION("""COMPUTED_VALUE"""),9887.3632)</f>
        <v>9887.3632</v>
      </c>
    </row>
    <row r="2132">
      <c r="A2132" s="3">
        <f>IFERROR(__xludf.DUMMYFUNCTION("""COMPUTED_VALUE"""),42563.99861111111)</f>
        <v>42563.99861</v>
      </c>
      <c r="B2132" s="1">
        <f>IFERROR(__xludf.DUMMYFUNCTION("""COMPUTED_VALUE"""),9941.707)</f>
        <v>9941.707</v>
      </c>
    </row>
    <row r="2133">
      <c r="A2133" s="3">
        <f>IFERROR(__xludf.DUMMYFUNCTION("""COMPUTED_VALUE"""),42564.99861111111)</f>
        <v>42564.99861</v>
      </c>
      <c r="B2133" s="1">
        <f>IFERROR(__xludf.DUMMYFUNCTION("""COMPUTED_VALUE"""),9885.02265)</f>
        <v>9885.02265</v>
      </c>
    </row>
    <row r="2134">
      <c r="A2134" s="3">
        <f>IFERROR(__xludf.DUMMYFUNCTION("""COMPUTED_VALUE"""),42565.99861111111)</f>
        <v>42565.99861</v>
      </c>
      <c r="B2134" s="1">
        <f>IFERROR(__xludf.DUMMYFUNCTION("""COMPUTED_VALUE"""),9910.0428)</f>
        <v>9910.0428</v>
      </c>
    </row>
    <row r="2135">
      <c r="A2135" s="3">
        <f>IFERROR(__xludf.DUMMYFUNCTION("""COMPUTED_VALUE"""),42566.99861111111)</f>
        <v>42566.99861</v>
      </c>
      <c r="B2135" s="1">
        <f>IFERROR(__xludf.DUMMYFUNCTION("""COMPUTED_VALUE"""),9898.12236)</f>
        <v>9898.12236</v>
      </c>
    </row>
    <row r="2136">
      <c r="A2136" s="3">
        <f>IFERROR(__xludf.DUMMYFUNCTION("""COMPUTED_VALUE"""),42567.99861111111)</f>
        <v>42567.99861</v>
      </c>
      <c r="B2136" s="1">
        <f>IFERROR(__xludf.DUMMYFUNCTION("""COMPUTED_VALUE"""),9969.733253)</f>
        <v>9969.733253</v>
      </c>
    </row>
    <row r="2137">
      <c r="A2137" s="3">
        <f>IFERROR(__xludf.DUMMYFUNCTION("""COMPUTED_VALUE"""),42568.99861111111)</f>
        <v>42568.99861</v>
      </c>
      <c r="B2137" s="1">
        <f>IFERROR(__xludf.DUMMYFUNCTION("""COMPUTED_VALUE"""),9984.864826)</f>
        <v>9984.864826</v>
      </c>
    </row>
    <row r="2138">
      <c r="A2138" s="3">
        <f>IFERROR(__xludf.DUMMYFUNCTION("""COMPUTED_VALUE"""),42569.99861111111)</f>
        <v>42569.99861</v>
      </c>
      <c r="B2138" s="1">
        <f>IFERROR(__xludf.DUMMYFUNCTION("""COMPUTED_VALUE"""),9903.70784)</f>
        <v>9903.70784</v>
      </c>
    </row>
    <row r="2139">
      <c r="A2139" s="3">
        <f>IFERROR(__xludf.DUMMYFUNCTION("""COMPUTED_VALUE"""),42570.99861111111)</f>
        <v>42570.99861</v>
      </c>
      <c r="B2139" s="1">
        <f>IFERROR(__xludf.DUMMYFUNCTION("""COMPUTED_VALUE"""),9829.04603)</f>
        <v>9829.04603</v>
      </c>
    </row>
    <row r="2140">
      <c r="A2140" s="3">
        <f>IFERROR(__xludf.DUMMYFUNCTION("""COMPUTED_VALUE"""),42571.99861111111)</f>
        <v>42571.99861</v>
      </c>
      <c r="B2140" s="1">
        <f>IFERROR(__xludf.DUMMYFUNCTION("""COMPUTED_VALUE"""),9787.99345)</f>
        <v>9787.99345</v>
      </c>
    </row>
    <row r="2141">
      <c r="A2141" s="3">
        <f>IFERROR(__xludf.DUMMYFUNCTION("""COMPUTED_VALUE"""),42572.99861111111)</f>
        <v>42572.99861</v>
      </c>
      <c r="B2141" s="1">
        <f>IFERROR(__xludf.DUMMYFUNCTION("""COMPUTED_VALUE"""),9839.93661)</f>
        <v>9839.93661</v>
      </c>
    </row>
    <row r="2142">
      <c r="A2142" s="3">
        <f>IFERROR(__xludf.DUMMYFUNCTION("""COMPUTED_VALUE"""),42573.99861111111)</f>
        <v>42573.99861</v>
      </c>
      <c r="B2142" s="1">
        <f>IFERROR(__xludf.DUMMYFUNCTION("""COMPUTED_VALUE"""),9787.80546)</f>
        <v>9787.80546</v>
      </c>
    </row>
    <row r="2143">
      <c r="A2143" s="3">
        <f>IFERROR(__xludf.DUMMYFUNCTION("""COMPUTED_VALUE"""),42575.99861111111)</f>
        <v>42575.99861</v>
      </c>
      <c r="B2143" s="1">
        <f>IFERROR(__xludf.DUMMYFUNCTION("""COMPUTED_VALUE"""),9807.866856)</f>
        <v>9807.866856</v>
      </c>
    </row>
    <row r="2144">
      <c r="A2144" s="3">
        <f>IFERROR(__xludf.DUMMYFUNCTION("""COMPUTED_VALUE"""),42576.99861111111)</f>
        <v>42576.99861</v>
      </c>
      <c r="B2144" s="1">
        <f>IFERROR(__xludf.DUMMYFUNCTION("""COMPUTED_VALUE"""),9788.2506)</f>
        <v>9788.2506</v>
      </c>
    </row>
    <row r="2145">
      <c r="A2145" s="3">
        <f>IFERROR(__xludf.DUMMYFUNCTION("""COMPUTED_VALUE"""),42577.99861111111)</f>
        <v>42577.99861</v>
      </c>
      <c r="B2145" s="1">
        <f>IFERROR(__xludf.DUMMYFUNCTION("""COMPUTED_VALUE"""),9889.40032)</f>
        <v>9889.40032</v>
      </c>
    </row>
    <row r="2146">
      <c r="A2146" s="3">
        <f>IFERROR(__xludf.DUMMYFUNCTION("""COMPUTED_VALUE"""),42578.99861111111)</f>
        <v>42578.99861</v>
      </c>
      <c r="B2146" s="1">
        <f>IFERROR(__xludf.DUMMYFUNCTION("""COMPUTED_VALUE"""),9844.4568)</f>
        <v>9844.4568</v>
      </c>
    </row>
    <row r="2147">
      <c r="A2147" s="3">
        <f>IFERROR(__xludf.DUMMYFUNCTION("""COMPUTED_VALUE"""),42579.99861111111)</f>
        <v>42579.99861</v>
      </c>
      <c r="B2147" s="1">
        <f>IFERROR(__xludf.DUMMYFUNCTION("""COMPUTED_VALUE"""),9807.47206)</f>
        <v>9807.47206</v>
      </c>
    </row>
    <row r="2148">
      <c r="A2148" s="3">
        <f>IFERROR(__xludf.DUMMYFUNCTION("""COMPUTED_VALUE"""),42580.99861111111)</f>
        <v>42580.99861</v>
      </c>
      <c r="B2148" s="1">
        <f>IFERROR(__xludf.DUMMYFUNCTION("""COMPUTED_VALUE"""),9891.6846)</f>
        <v>9891.6846</v>
      </c>
    </row>
    <row r="2149">
      <c r="A2149" s="3">
        <f>IFERROR(__xludf.DUMMYFUNCTION("""COMPUTED_VALUE"""),42581.99861111111)</f>
        <v>42581.99861</v>
      </c>
      <c r="B2149" s="1">
        <f>IFERROR(__xludf.DUMMYFUNCTION("""COMPUTED_VALUE"""),9967.184325)</f>
        <v>9967.184325</v>
      </c>
    </row>
    <row r="2150">
      <c r="A2150" s="3">
        <f>IFERROR(__xludf.DUMMYFUNCTION("""COMPUTED_VALUE"""),42582.99861111111)</f>
        <v>42582.99861</v>
      </c>
      <c r="B2150" s="1">
        <f>IFERROR(__xludf.DUMMYFUNCTION("""COMPUTED_VALUE"""),9956.554411)</f>
        <v>9956.554411</v>
      </c>
    </row>
    <row r="2151">
      <c r="A2151" s="3">
        <f>IFERROR(__xludf.DUMMYFUNCTION("""COMPUTED_VALUE"""),42583.99861111111)</f>
        <v>42583.99861</v>
      </c>
      <c r="B2151" s="1">
        <f>IFERROR(__xludf.DUMMYFUNCTION("""COMPUTED_VALUE"""),9791.9765)</f>
        <v>9791.9765</v>
      </c>
    </row>
    <row r="2152">
      <c r="A2152" s="3">
        <f>IFERROR(__xludf.DUMMYFUNCTION("""COMPUTED_VALUE"""),42584.99861111111)</f>
        <v>42584.99861</v>
      </c>
      <c r="B2152" s="1">
        <f>IFERROR(__xludf.DUMMYFUNCTION("""COMPUTED_VALUE"""),9943.374)</f>
        <v>9943.374</v>
      </c>
    </row>
    <row r="2153">
      <c r="A2153" s="3">
        <f>IFERROR(__xludf.DUMMYFUNCTION("""COMPUTED_VALUE"""),42585.99861111111)</f>
        <v>42585.99861</v>
      </c>
      <c r="B2153" s="1">
        <f>IFERROR(__xludf.DUMMYFUNCTION("""COMPUTED_VALUE"""),9971.1576)</f>
        <v>9971.1576</v>
      </c>
    </row>
    <row r="2154">
      <c r="A2154" s="3">
        <f>IFERROR(__xludf.DUMMYFUNCTION("""COMPUTED_VALUE"""),42586.99861111111)</f>
        <v>42586.99861</v>
      </c>
      <c r="B2154" s="1">
        <f>IFERROR(__xludf.DUMMYFUNCTION("""COMPUTED_VALUE"""),10008.20243)</f>
        <v>10008.20243</v>
      </c>
    </row>
    <row r="2155">
      <c r="A2155" s="3">
        <f>IFERROR(__xludf.DUMMYFUNCTION("""COMPUTED_VALUE"""),42587.99861111111)</f>
        <v>42587.99861</v>
      </c>
      <c r="B2155" s="1">
        <f>IFERROR(__xludf.DUMMYFUNCTION("""COMPUTED_VALUE"""),9993.7152)</f>
        <v>9993.7152</v>
      </c>
    </row>
    <row r="2156">
      <c r="A2156" s="3">
        <f>IFERROR(__xludf.DUMMYFUNCTION("""COMPUTED_VALUE"""),42589.99861111111)</f>
        <v>42589.99861</v>
      </c>
      <c r="B2156" s="1">
        <f>IFERROR(__xludf.DUMMYFUNCTION("""COMPUTED_VALUE"""),10000.52222)</f>
        <v>10000.52222</v>
      </c>
    </row>
    <row r="2157">
      <c r="A2157" s="3">
        <f>IFERROR(__xludf.DUMMYFUNCTION("""COMPUTED_VALUE"""),42590.99861111111)</f>
        <v>42590.99861</v>
      </c>
      <c r="B2157" s="1">
        <f>IFERROR(__xludf.DUMMYFUNCTION("""COMPUTED_VALUE"""),10037.77475)</f>
        <v>10037.77475</v>
      </c>
    </row>
    <row r="2158">
      <c r="A2158" s="3">
        <f>IFERROR(__xludf.DUMMYFUNCTION("""COMPUTED_VALUE"""),42591.99861111111)</f>
        <v>42591.99861</v>
      </c>
      <c r="B2158" s="1">
        <f>IFERROR(__xludf.DUMMYFUNCTION("""COMPUTED_VALUE"""),10038.64125)</f>
        <v>10038.64125</v>
      </c>
    </row>
    <row r="2159">
      <c r="A2159" s="3">
        <f>IFERROR(__xludf.DUMMYFUNCTION("""COMPUTED_VALUE"""),42592.99861111111)</f>
        <v>42592.99861</v>
      </c>
      <c r="B2159" s="1">
        <f>IFERROR(__xludf.DUMMYFUNCTION("""COMPUTED_VALUE"""),10089.6096)</f>
        <v>10089.6096</v>
      </c>
    </row>
    <row r="2160">
      <c r="A2160" s="3">
        <f>IFERROR(__xludf.DUMMYFUNCTION("""COMPUTED_VALUE"""),42593.99861111111)</f>
        <v>42593.99861</v>
      </c>
      <c r="B2160" s="1">
        <f>IFERROR(__xludf.DUMMYFUNCTION("""COMPUTED_VALUE"""),10077.33924)</f>
        <v>10077.33924</v>
      </c>
    </row>
    <row r="2161">
      <c r="A2161" s="3">
        <f>IFERROR(__xludf.DUMMYFUNCTION("""COMPUTED_VALUE"""),42594.99861111111)</f>
        <v>42594.99861</v>
      </c>
      <c r="B2161" s="1">
        <f>IFERROR(__xludf.DUMMYFUNCTION("""COMPUTED_VALUE"""),10026.76836)</f>
        <v>10026.76836</v>
      </c>
    </row>
    <row r="2162">
      <c r="A2162" s="3">
        <f>IFERROR(__xludf.DUMMYFUNCTION("""COMPUTED_VALUE"""),42596.99861111111)</f>
        <v>42596.99861</v>
      </c>
      <c r="B2162" s="1">
        <f>IFERROR(__xludf.DUMMYFUNCTION("""COMPUTED_VALUE"""),10032.643)</f>
        <v>10032.643</v>
      </c>
    </row>
    <row r="2163">
      <c r="A2163" s="3">
        <f>IFERROR(__xludf.DUMMYFUNCTION("""COMPUTED_VALUE"""),42597.99861111111)</f>
        <v>42597.99861</v>
      </c>
      <c r="B2163" s="1">
        <f>IFERROR(__xludf.DUMMYFUNCTION("""COMPUTED_VALUE"""),10024.69314)</f>
        <v>10024.69314</v>
      </c>
    </row>
    <row r="2164">
      <c r="A2164" s="3">
        <f>IFERROR(__xludf.DUMMYFUNCTION("""COMPUTED_VALUE"""),42598.99861111111)</f>
        <v>42598.99861</v>
      </c>
      <c r="B2164" s="1">
        <f>IFERROR(__xludf.DUMMYFUNCTION("""COMPUTED_VALUE"""),10093.11002)</f>
        <v>10093.11002</v>
      </c>
    </row>
    <row r="2165">
      <c r="A2165" s="3">
        <f>IFERROR(__xludf.DUMMYFUNCTION("""COMPUTED_VALUE"""),42599.99861111111)</f>
        <v>42599.99861</v>
      </c>
      <c r="B2165" s="1">
        <f>IFERROR(__xludf.DUMMYFUNCTION("""COMPUTED_VALUE"""),10048.84415)</f>
        <v>10048.84415</v>
      </c>
    </row>
    <row r="2166">
      <c r="A2166" s="3">
        <f>IFERROR(__xludf.DUMMYFUNCTION("""COMPUTED_VALUE"""),42600.99861111111)</f>
        <v>42600.99861</v>
      </c>
      <c r="B2166" s="1">
        <f>IFERROR(__xludf.DUMMYFUNCTION("""COMPUTED_VALUE"""),10064.04148)</f>
        <v>10064.04148</v>
      </c>
    </row>
    <row r="2167">
      <c r="A2167" s="3">
        <f>IFERROR(__xludf.DUMMYFUNCTION("""COMPUTED_VALUE"""),42601.99861111111)</f>
        <v>42601.99861</v>
      </c>
      <c r="B2167" s="1">
        <f>IFERROR(__xludf.DUMMYFUNCTION("""COMPUTED_VALUE"""),10019.5128)</f>
        <v>10019.5128</v>
      </c>
    </row>
    <row r="2168">
      <c r="A2168" s="3">
        <f>IFERROR(__xludf.DUMMYFUNCTION("""COMPUTED_VALUE"""),42603.99861111111)</f>
        <v>42603.99861</v>
      </c>
      <c r="B2168" s="1">
        <f>IFERROR(__xludf.DUMMYFUNCTION("""COMPUTED_VALUE"""),10023.42024)</f>
        <v>10023.42024</v>
      </c>
    </row>
    <row r="2169">
      <c r="A2169" s="3">
        <f>IFERROR(__xludf.DUMMYFUNCTION("""COMPUTED_VALUE"""),42604.99861111111)</f>
        <v>42604.99861</v>
      </c>
      <c r="B2169" s="1">
        <f>IFERROR(__xludf.DUMMYFUNCTION("""COMPUTED_VALUE"""),10077.1461)</f>
        <v>10077.1461</v>
      </c>
    </row>
    <row r="2170">
      <c r="A2170" s="3">
        <f>IFERROR(__xludf.DUMMYFUNCTION("""COMPUTED_VALUE"""),42605.99861111111)</f>
        <v>42605.99861</v>
      </c>
      <c r="B2170" s="1">
        <f>IFERROR(__xludf.DUMMYFUNCTION("""COMPUTED_VALUE"""),10074.77952)</f>
        <v>10074.77952</v>
      </c>
    </row>
    <row r="2171">
      <c r="A2171" s="3">
        <f>IFERROR(__xludf.DUMMYFUNCTION("""COMPUTED_VALUE"""),42606.99861111111)</f>
        <v>42606.99861</v>
      </c>
      <c r="B2171" s="1">
        <f>IFERROR(__xludf.DUMMYFUNCTION("""COMPUTED_VALUE"""),10086.6864)</f>
        <v>10086.6864</v>
      </c>
    </row>
    <row r="2172">
      <c r="A2172" s="3">
        <f>IFERROR(__xludf.DUMMYFUNCTION("""COMPUTED_VALUE"""),42607.99861111111)</f>
        <v>42607.99861</v>
      </c>
      <c r="B2172" s="1">
        <f>IFERROR(__xludf.DUMMYFUNCTION("""COMPUTED_VALUE"""),10097.69072)</f>
        <v>10097.69072</v>
      </c>
    </row>
    <row r="2173">
      <c r="A2173" s="3">
        <f>IFERROR(__xludf.DUMMYFUNCTION("""COMPUTED_VALUE"""),42608.99861111111)</f>
        <v>42608.99861</v>
      </c>
      <c r="B2173" s="1">
        <f>IFERROR(__xludf.DUMMYFUNCTION("""COMPUTED_VALUE"""),10050.9287)</f>
        <v>10050.9287</v>
      </c>
    </row>
    <row r="2174">
      <c r="A2174" s="3">
        <f>IFERROR(__xludf.DUMMYFUNCTION("""COMPUTED_VALUE"""),42609.99861111111)</f>
        <v>42609.99861</v>
      </c>
      <c r="B2174" s="1">
        <f>IFERROR(__xludf.DUMMYFUNCTION("""COMPUTED_VALUE"""),10067.90247)</f>
        <v>10067.90247</v>
      </c>
    </row>
    <row r="2175">
      <c r="A2175" s="3">
        <f>IFERROR(__xludf.DUMMYFUNCTION("""COMPUTED_VALUE"""),42610.99861111111)</f>
        <v>42610.99861</v>
      </c>
      <c r="B2175" s="1">
        <f>IFERROR(__xludf.DUMMYFUNCTION("""COMPUTED_VALUE"""),10039.2006)</f>
        <v>10039.2006</v>
      </c>
    </row>
    <row r="2176">
      <c r="A2176" s="3">
        <f>IFERROR(__xludf.DUMMYFUNCTION("""COMPUTED_VALUE"""),42611.99861111111)</f>
        <v>42611.99861</v>
      </c>
      <c r="B2176" s="1">
        <f>IFERROR(__xludf.DUMMYFUNCTION("""COMPUTED_VALUE"""),10037.74464)</f>
        <v>10037.74464</v>
      </c>
    </row>
    <row r="2177">
      <c r="A2177" s="3">
        <f>IFERROR(__xludf.DUMMYFUNCTION("""COMPUTED_VALUE"""),42612.99861111111)</f>
        <v>42612.99861</v>
      </c>
      <c r="B2177" s="1">
        <f>IFERROR(__xludf.DUMMYFUNCTION("""COMPUTED_VALUE"""),9992.66807)</f>
        <v>9992.66807</v>
      </c>
    </row>
    <row r="2178">
      <c r="A2178" s="3">
        <f>IFERROR(__xludf.DUMMYFUNCTION("""COMPUTED_VALUE"""),42613.99861111111)</f>
        <v>42613.99861</v>
      </c>
      <c r="B2178" s="1">
        <f>IFERROR(__xludf.DUMMYFUNCTION("""COMPUTED_VALUE"""),9984.4352)</f>
        <v>9984.4352</v>
      </c>
    </row>
    <row r="2179">
      <c r="A2179" s="3">
        <f>IFERROR(__xludf.DUMMYFUNCTION("""COMPUTED_VALUE"""),42614.99861111111)</f>
        <v>42614.99861</v>
      </c>
      <c r="B2179" s="1">
        <f>IFERROR(__xludf.DUMMYFUNCTION("""COMPUTED_VALUE"""),10019.7877)</f>
        <v>10019.7877</v>
      </c>
    </row>
    <row r="2180">
      <c r="A2180" s="3">
        <f>IFERROR(__xludf.DUMMYFUNCTION("""COMPUTED_VALUE"""),42615.99861111111)</f>
        <v>42615.99861</v>
      </c>
      <c r="B2180" s="1">
        <f>IFERROR(__xludf.DUMMYFUNCTION("""COMPUTED_VALUE"""),9985.976)</f>
        <v>9985.976</v>
      </c>
    </row>
    <row r="2181">
      <c r="A2181" s="3">
        <f>IFERROR(__xludf.DUMMYFUNCTION("""COMPUTED_VALUE"""),42616.99861111111)</f>
        <v>42616.99861</v>
      </c>
      <c r="B2181" s="1">
        <f>IFERROR(__xludf.DUMMYFUNCTION("""COMPUTED_VALUE"""),9987.2955)</f>
        <v>9987.2955</v>
      </c>
    </row>
    <row r="2182">
      <c r="A2182" s="3">
        <f>IFERROR(__xludf.DUMMYFUNCTION("""COMPUTED_VALUE"""),42617.99861111111)</f>
        <v>42617.99861</v>
      </c>
      <c r="B2182" s="1">
        <f>IFERROR(__xludf.DUMMYFUNCTION("""COMPUTED_VALUE"""),9980.30215)</f>
        <v>9980.30215</v>
      </c>
    </row>
    <row r="2183">
      <c r="A2183" s="3">
        <f>IFERROR(__xludf.DUMMYFUNCTION("""COMPUTED_VALUE"""),42618.99861111111)</f>
        <v>42618.99861</v>
      </c>
      <c r="B2183" s="1">
        <f>IFERROR(__xludf.DUMMYFUNCTION("""COMPUTED_VALUE"""),9963.84375)</f>
        <v>9963.84375</v>
      </c>
    </row>
    <row r="2184">
      <c r="A2184" s="3">
        <f>IFERROR(__xludf.DUMMYFUNCTION("""COMPUTED_VALUE"""),42619.99861111111)</f>
        <v>42619.99861</v>
      </c>
      <c r="B2184" s="1">
        <f>IFERROR(__xludf.DUMMYFUNCTION("""COMPUTED_VALUE"""),10033.7672)</f>
        <v>10033.7672</v>
      </c>
    </row>
    <row r="2185">
      <c r="A2185" s="3">
        <f>IFERROR(__xludf.DUMMYFUNCTION("""COMPUTED_VALUE"""),42620.99861111111)</f>
        <v>42620.99861</v>
      </c>
      <c r="B2185" s="1">
        <f>IFERROR(__xludf.DUMMYFUNCTION("""COMPUTED_VALUE"""),10022.076)</f>
        <v>10022.076</v>
      </c>
    </row>
    <row r="2186">
      <c r="A2186" s="3">
        <f>IFERROR(__xludf.DUMMYFUNCTION("""COMPUTED_VALUE"""),42621.99861111111)</f>
        <v>42621.99861</v>
      </c>
      <c r="B2186" s="1">
        <f>IFERROR(__xludf.DUMMYFUNCTION("""COMPUTED_VALUE"""),9998.66145)</f>
        <v>9998.66145</v>
      </c>
    </row>
    <row r="2187">
      <c r="A2187" s="3">
        <f>IFERROR(__xludf.DUMMYFUNCTION("""COMPUTED_VALUE"""),42622.99861111111)</f>
        <v>42622.99861</v>
      </c>
      <c r="B2187" s="1">
        <f>IFERROR(__xludf.DUMMYFUNCTION("""COMPUTED_VALUE"""),9931.10959)</f>
        <v>9931.10959</v>
      </c>
    </row>
    <row r="2188">
      <c r="A2188" s="3">
        <f>IFERROR(__xludf.DUMMYFUNCTION("""COMPUTED_VALUE"""),42623.99861111111)</f>
        <v>42623.99861</v>
      </c>
      <c r="B2188" s="1">
        <f>IFERROR(__xludf.DUMMYFUNCTION("""COMPUTED_VALUE"""),9923.9679)</f>
        <v>9923.9679</v>
      </c>
    </row>
    <row r="2189">
      <c r="A2189" s="3">
        <f>IFERROR(__xludf.DUMMYFUNCTION("""COMPUTED_VALUE"""),42624.99861111111)</f>
        <v>42624.99861</v>
      </c>
      <c r="B2189" s="1">
        <f>IFERROR(__xludf.DUMMYFUNCTION("""COMPUTED_VALUE"""),9939.3156)</f>
        <v>9939.3156</v>
      </c>
    </row>
    <row r="2190">
      <c r="A2190" s="3">
        <f>IFERROR(__xludf.DUMMYFUNCTION("""COMPUTED_VALUE"""),42625.99861111111)</f>
        <v>42625.99861</v>
      </c>
      <c r="B2190" s="1">
        <f>IFERROR(__xludf.DUMMYFUNCTION("""COMPUTED_VALUE"""),9965.2766)</f>
        <v>9965.2766</v>
      </c>
    </row>
    <row r="2191">
      <c r="A2191" s="3">
        <f>IFERROR(__xludf.DUMMYFUNCTION("""COMPUTED_VALUE"""),42626.99861111111)</f>
        <v>42626.99861</v>
      </c>
      <c r="B2191" s="1">
        <f>IFERROR(__xludf.DUMMYFUNCTION("""COMPUTED_VALUE"""),9888.51121)</f>
        <v>9888.51121</v>
      </c>
    </row>
    <row r="2192">
      <c r="A2192" s="3">
        <f>IFERROR(__xludf.DUMMYFUNCTION("""COMPUTED_VALUE"""),42627.99861111111)</f>
        <v>42627.99861</v>
      </c>
      <c r="B2192" s="1">
        <f>IFERROR(__xludf.DUMMYFUNCTION("""COMPUTED_VALUE"""),9864.2298)</f>
        <v>9864.2298</v>
      </c>
    </row>
    <row r="2193">
      <c r="A2193" s="3">
        <f>IFERROR(__xludf.DUMMYFUNCTION("""COMPUTED_VALUE"""),42628.99861111111)</f>
        <v>42628.99861</v>
      </c>
      <c r="B2193" s="1">
        <f>IFERROR(__xludf.DUMMYFUNCTION("""COMPUTED_VALUE"""),9873.1156)</f>
        <v>9873.1156</v>
      </c>
    </row>
    <row r="2194">
      <c r="A2194" s="3">
        <f>IFERROR(__xludf.DUMMYFUNCTION("""COMPUTED_VALUE"""),42629.99861111111)</f>
        <v>42629.99861</v>
      </c>
      <c r="B2194" s="1">
        <f>IFERROR(__xludf.DUMMYFUNCTION("""COMPUTED_VALUE"""),9860.27167)</f>
        <v>9860.27167</v>
      </c>
    </row>
    <row r="2195">
      <c r="A2195" s="3">
        <f>IFERROR(__xludf.DUMMYFUNCTION("""COMPUTED_VALUE"""),42630.99861111111)</f>
        <v>42630.99861</v>
      </c>
      <c r="B2195" s="1">
        <f>IFERROR(__xludf.DUMMYFUNCTION("""COMPUTED_VALUE"""),9870.882316)</f>
        <v>9870.882316</v>
      </c>
    </row>
    <row r="2196">
      <c r="A2196" s="3">
        <f>IFERROR(__xludf.DUMMYFUNCTION("""COMPUTED_VALUE"""),42631.99861111111)</f>
        <v>42631.99861</v>
      </c>
      <c r="B2196" s="1">
        <f>IFERROR(__xludf.DUMMYFUNCTION("""COMPUTED_VALUE"""),9869.6174)</f>
        <v>9869.6174</v>
      </c>
    </row>
    <row r="2197">
      <c r="A2197" s="3">
        <f>IFERROR(__xludf.DUMMYFUNCTION("""COMPUTED_VALUE"""),42632.99861111111)</f>
        <v>42632.99861</v>
      </c>
      <c r="B2197" s="1">
        <f>IFERROR(__xludf.DUMMYFUNCTION("""COMPUTED_VALUE"""),9901.15623)</f>
        <v>9901.15623</v>
      </c>
    </row>
    <row r="2198">
      <c r="A2198" s="3">
        <f>IFERROR(__xludf.DUMMYFUNCTION("""COMPUTED_VALUE"""),42633.99861111111)</f>
        <v>42633.99861</v>
      </c>
      <c r="B2198" s="1">
        <f>IFERROR(__xludf.DUMMYFUNCTION("""COMPUTED_VALUE"""),9940.869)</f>
        <v>9940.869</v>
      </c>
    </row>
    <row r="2199">
      <c r="A2199" s="3">
        <f>IFERROR(__xludf.DUMMYFUNCTION("""COMPUTED_VALUE"""),42634.99861111111)</f>
        <v>42634.99861</v>
      </c>
      <c r="B2199" s="1">
        <f>IFERROR(__xludf.DUMMYFUNCTION("""COMPUTED_VALUE"""),9965.47386)</f>
        <v>9965.47386</v>
      </c>
    </row>
    <row r="2200">
      <c r="A2200" s="3">
        <f>IFERROR(__xludf.DUMMYFUNCTION("""COMPUTED_VALUE"""),42635.99861111111)</f>
        <v>42635.99861</v>
      </c>
      <c r="B2200" s="1">
        <f>IFERROR(__xludf.DUMMYFUNCTION("""COMPUTED_VALUE"""),9988.38078)</f>
        <v>9988.38078</v>
      </c>
    </row>
    <row r="2201">
      <c r="A2201" s="3">
        <f>IFERROR(__xludf.DUMMYFUNCTION("""COMPUTED_VALUE"""),42636.99861111111)</f>
        <v>42636.99861</v>
      </c>
      <c r="B2201" s="1">
        <f>IFERROR(__xludf.DUMMYFUNCTION("""COMPUTED_VALUE"""),9969.0301)</f>
        <v>9969.0301</v>
      </c>
    </row>
    <row r="2202">
      <c r="A2202" s="3">
        <f>IFERROR(__xludf.DUMMYFUNCTION("""COMPUTED_VALUE"""),42637.99861111111)</f>
        <v>42637.99861</v>
      </c>
      <c r="B2202" s="1">
        <f>IFERROR(__xludf.DUMMYFUNCTION("""COMPUTED_VALUE"""),9981.1296)</f>
        <v>9981.1296</v>
      </c>
    </row>
    <row r="2203">
      <c r="A2203" s="3">
        <f>IFERROR(__xludf.DUMMYFUNCTION("""COMPUTED_VALUE"""),42638.99861111111)</f>
        <v>42638.99861</v>
      </c>
      <c r="B2203" s="1">
        <f>IFERROR(__xludf.DUMMYFUNCTION("""COMPUTED_VALUE"""),9938.94579)</f>
        <v>9938.94579</v>
      </c>
    </row>
    <row r="2204">
      <c r="A2204" s="3">
        <f>IFERROR(__xludf.DUMMYFUNCTION("""COMPUTED_VALUE"""),42639.99861111111)</f>
        <v>42639.99861</v>
      </c>
      <c r="B2204" s="1">
        <f>IFERROR(__xludf.DUMMYFUNCTION("""COMPUTED_VALUE"""),9950.32168)</f>
        <v>9950.32168</v>
      </c>
    </row>
    <row r="2205">
      <c r="A2205" s="3">
        <f>IFERROR(__xludf.DUMMYFUNCTION("""COMPUTED_VALUE"""),42640.99861111111)</f>
        <v>42640.99861</v>
      </c>
      <c r="B2205" s="1">
        <f>IFERROR(__xludf.DUMMYFUNCTION("""COMPUTED_VALUE"""),9906.30564)</f>
        <v>9906.30564</v>
      </c>
    </row>
    <row r="2206">
      <c r="A2206" s="3">
        <f>IFERROR(__xludf.DUMMYFUNCTION("""COMPUTED_VALUE"""),42641.99861111111)</f>
        <v>42641.99861</v>
      </c>
      <c r="B2206" s="1">
        <f>IFERROR(__xludf.DUMMYFUNCTION("""COMPUTED_VALUE"""),9936.249)</f>
        <v>9936.249</v>
      </c>
    </row>
    <row r="2207">
      <c r="A2207" s="3">
        <f>IFERROR(__xludf.DUMMYFUNCTION("""COMPUTED_VALUE"""),42642.99861111111)</f>
        <v>42642.99861</v>
      </c>
      <c r="B2207" s="1">
        <f>IFERROR(__xludf.DUMMYFUNCTION("""COMPUTED_VALUE"""),9917.3881)</f>
        <v>9917.3881</v>
      </c>
    </row>
    <row r="2208">
      <c r="A2208" s="3">
        <f>IFERROR(__xludf.DUMMYFUNCTION("""COMPUTED_VALUE"""),42643.99861111111)</f>
        <v>42643.99861</v>
      </c>
      <c r="B2208" s="1">
        <f>IFERROR(__xludf.DUMMYFUNCTION("""COMPUTED_VALUE"""),9964.68966)</f>
        <v>9964.68966</v>
      </c>
    </row>
    <row r="2209">
      <c r="A2209" s="3">
        <f>IFERROR(__xludf.DUMMYFUNCTION("""COMPUTED_VALUE"""),42644.99861111111)</f>
        <v>42644.99861</v>
      </c>
      <c r="B2209" s="1">
        <f>IFERROR(__xludf.DUMMYFUNCTION("""COMPUTED_VALUE"""),9961.9872)</f>
        <v>9961.9872</v>
      </c>
    </row>
    <row r="2210">
      <c r="A2210" s="3">
        <f>IFERROR(__xludf.DUMMYFUNCTION("""COMPUTED_VALUE"""),42645.99861111111)</f>
        <v>42645.99861</v>
      </c>
      <c r="B2210" s="1">
        <f>IFERROR(__xludf.DUMMYFUNCTION("""COMPUTED_VALUE"""),9909.2655)</f>
        <v>9909.2655</v>
      </c>
    </row>
    <row r="2211">
      <c r="A2211" s="3">
        <f>IFERROR(__xludf.DUMMYFUNCTION("""COMPUTED_VALUE"""),42646.99861111111)</f>
        <v>42646.99861</v>
      </c>
      <c r="B2211" s="1">
        <f>IFERROR(__xludf.DUMMYFUNCTION("""COMPUTED_VALUE"""),9960.51928)</f>
        <v>9960.51928</v>
      </c>
    </row>
    <row r="2212">
      <c r="A2212" s="3">
        <f>IFERROR(__xludf.DUMMYFUNCTION("""COMPUTED_VALUE"""),42647.99861111111)</f>
        <v>42647.99861</v>
      </c>
      <c r="B2212" s="1">
        <f>IFERROR(__xludf.DUMMYFUNCTION("""COMPUTED_VALUE"""),9916.85162)</f>
        <v>9916.85162</v>
      </c>
    </row>
    <row r="2213">
      <c r="A2213" s="3">
        <f>IFERROR(__xludf.DUMMYFUNCTION("""COMPUTED_VALUE"""),42648.99861111111)</f>
        <v>42648.99861</v>
      </c>
      <c r="B2213" s="1">
        <f>IFERROR(__xludf.DUMMYFUNCTION("""COMPUTED_VALUE"""),9918.48996)</f>
        <v>9918.48996</v>
      </c>
    </row>
    <row r="2214">
      <c r="A2214" s="3">
        <f>IFERROR(__xludf.DUMMYFUNCTION("""COMPUTED_VALUE"""),42649.99861111111)</f>
        <v>42649.99861</v>
      </c>
      <c r="B2214" s="1">
        <f>IFERROR(__xludf.DUMMYFUNCTION("""COMPUTED_VALUE"""),9852.19785)</f>
        <v>9852.19785</v>
      </c>
    </row>
    <row r="2215">
      <c r="A2215" s="3">
        <f>IFERROR(__xludf.DUMMYFUNCTION("""COMPUTED_VALUE"""),42650.99861111111)</f>
        <v>42650.99861</v>
      </c>
      <c r="B2215" s="1">
        <f>IFERROR(__xludf.DUMMYFUNCTION("""COMPUTED_VALUE"""),9840.70857)</f>
        <v>9840.70857</v>
      </c>
    </row>
    <row r="2216">
      <c r="A2216" s="3">
        <f>IFERROR(__xludf.DUMMYFUNCTION("""COMPUTED_VALUE"""),42652.99861111111)</f>
        <v>42652.99861</v>
      </c>
      <c r="B2216" s="1">
        <f>IFERROR(__xludf.DUMMYFUNCTION("""COMPUTED_VALUE"""),9852.84528)</f>
        <v>9852.84528</v>
      </c>
    </row>
    <row r="2217">
      <c r="A2217" s="3">
        <f>IFERROR(__xludf.DUMMYFUNCTION("""COMPUTED_VALUE"""),42653.99861111111)</f>
        <v>42653.99861</v>
      </c>
      <c r="B2217" s="1">
        <f>IFERROR(__xludf.DUMMYFUNCTION("""COMPUTED_VALUE"""),9822.59666)</f>
        <v>9822.59666</v>
      </c>
    </row>
    <row r="2218">
      <c r="A2218" s="3">
        <f>IFERROR(__xludf.DUMMYFUNCTION("""COMPUTED_VALUE"""),42654.99861111111)</f>
        <v>42654.99861</v>
      </c>
      <c r="B2218" s="1">
        <f>IFERROR(__xludf.DUMMYFUNCTION("""COMPUTED_VALUE"""),9881.62956)</f>
        <v>9881.62956</v>
      </c>
    </row>
    <row r="2219">
      <c r="A2219" s="3">
        <f>IFERROR(__xludf.DUMMYFUNCTION("""COMPUTED_VALUE"""),42655.99861111111)</f>
        <v>42655.99861</v>
      </c>
      <c r="B2219" s="1">
        <f>IFERROR(__xludf.DUMMYFUNCTION("""COMPUTED_VALUE"""),9836.50545)</f>
        <v>9836.50545</v>
      </c>
    </row>
    <row r="2220">
      <c r="A2220" s="3">
        <f>IFERROR(__xludf.DUMMYFUNCTION("""COMPUTED_VALUE"""),42656.99861111111)</f>
        <v>42656.99861</v>
      </c>
      <c r="B2220" s="1">
        <f>IFERROR(__xludf.DUMMYFUNCTION("""COMPUTED_VALUE"""),9865.56852)</f>
        <v>9865.56852</v>
      </c>
    </row>
    <row r="2221">
      <c r="A2221" s="3">
        <f>IFERROR(__xludf.DUMMYFUNCTION("""COMPUTED_VALUE"""),42657.99861111111)</f>
        <v>42657.99861</v>
      </c>
      <c r="B2221" s="1">
        <f>IFERROR(__xludf.DUMMYFUNCTION("""COMPUTED_VALUE"""),9952.82764)</f>
        <v>9952.82764</v>
      </c>
    </row>
    <row r="2222">
      <c r="A2222" s="3">
        <f>IFERROR(__xludf.DUMMYFUNCTION("""COMPUTED_VALUE"""),42658.99861111111)</f>
        <v>42658.99861</v>
      </c>
      <c r="B2222" s="1">
        <f>IFERROR(__xludf.DUMMYFUNCTION("""COMPUTED_VALUE"""),9981.1296)</f>
        <v>9981.1296</v>
      </c>
    </row>
    <row r="2223">
      <c r="A2223" s="3">
        <f>IFERROR(__xludf.DUMMYFUNCTION("""COMPUTED_VALUE"""),42659.99861111111)</f>
        <v>42659.99861</v>
      </c>
      <c r="B2223" s="1">
        <f>IFERROR(__xludf.DUMMYFUNCTION("""COMPUTED_VALUE"""),9942.85032)</f>
        <v>9942.85032</v>
      </c>
    </row>
    <row r="2224">
      <c r="A2224" s="3">
        <f>IFERROR(__xludf.DUMMYFUNCTION("""COMPUTED_VALUE"""),42660.99861111111)</f>
        <v>42660.99861</v>
      </c>
      <c r="B2224" s="1">
        <f>IFERROR(__xludf.DUMMYFUNCTION("""COMPUTED_VALUE"""),9969.39788)</f>
        <v>9969.39788</v>
      </c>
    </row>
    <row r="2225">
      <c r="A2225" s="3">
        <f>IFERROR(__xludf.DUMMYFUNCTION("""COMPUTED_VALUE"""),42661.99861111111)</f>
        <v>42661.99861</v>
      </c>
      <c r="B2225" s="1">
        <f>IFERROR(__xludf.DUMMYFUNCTION("""COMPUTED_VALUE"""),9989.7252)</f>
        <v>9989.7252</v>
      </c>
    </row>
    <row r="2226">
      <c r="A2226" s="3">
        <f>IFERROR(__xludf.DUMMYFUNCTION("""COMPUTED_VALUE"""),42662.99861111111)</f>
        <v>42662.99861</v>
      </c>
      <c r="B2226" s="1">
        <f>IFERROR(__xludf.DUMMYFUNCTION("""COMPUTED_VALUE"""),10020.48084)</f>
        <v>10020.48084</v>
      </c>
    </row>
    <row r="2227">
      <c r="A2227" s="3">
        <f>IFERROR(__xludf.DUMMYFUNCTION("""COMPUTED_VALUE"""),42663.99861111111)</f>
        <v>42663.99861</v>
      </c>
      <c r="B2227" s="1">
        <f>IFERROR(__xludf.DUMMYFUNCTION("""COMPUTED_VALUE"""),9925.416)</f>
        <v>9925.416</v>
      </c>
    </row>
    <row r="2228">
      <c r="A2228" s="3">
        <f>IFERROR(__xludf.DUMMYFUNCTION("""COMPUTED_VALUE"""),42664.99861111111)</f>
        <v>42664.99861</v>
      </c>
      <c r="B2228" s="1">
        <f>IFERROR(__xludf.DUMMYFUNCTION("""COMPUTED_VALUE"""),9906.07518)</f>
        <v>9906.07518</v>
      </c>
    </row>
    <row r="2229">
      <c r="A2229" s="3">
        <f>IFERROR(__xludf.DUMMYFUNCTION("""COMPUTED_VALUE"""),42665.99861111111)</f>
        <v>42665.99861</v>
      </c>
      <c r="B2229" s="1">
        <f>IFERROR(__xludf.DUMMYFUNCTION("""COMPUTED_VALUE"""),9946.2704)</f>
        <v>9946.2704</v>
      </c>
    </row>
    <row r="2230">
      <c r="A2230" s="3">
        <f>IFERROR(__xludf.DUMMYFUNCTION("""COMPUTED_VALUE"""),42666.99861111111)</f>
        <v>42666.99861</v>
      </c>
      <c r="B2230" s="1">
        <f>IFERROR(__xludf.DUMMYFUNCTION("""COMPUTED_VALUE"""),9920.4795)</f>
        <v>9920.4795</v>
      </c>
    </row>
    <row r="2231">
      <c r="A2231" s="3">
        <f>IFERROR(__xludf.DUMMYFUNCTION("""COMPUTED_VALUE"""),42667.99861111111)</f>
        <v>42667.99861</v>
      </c>
      <c r="B2231" s="1">
        <f>IFERROR(__xludf.DUMMYFUNCTION("""COMPUTED_VALUE"""),9876.108)</f>
        <v>9876.108</v>
      </c>
    </row>
    <row r="2232">
      <c r="A2232" s="3">
        <f>IFERROR(__xludf.DUMMYFUNCTION("""COMPUTED_VALUE"""),42668.99861111111)</f>
        <v>42668.99861</v>
      </c>
      <c r="B2232" s="1">
        <f>IFERROR(__xludf.DUMMYFUNCTION("""COMPUTED_VALUE"""),9925.60192)</f>
        <v>9925.60192</v>
      </c>
    </row>
    <row r="2233">
      <c r="A2233" s="3">
        <f>IFERROR(__xludf.DUMMYFUNCTION("""COMPUTED_VALUE"""),42669.99861111111)</f>
        <v>42669.99861</v>
      </c>
      <c r="B2233" s="1">
        <f>IFERROR(__xludf.DUMMYFUNCTION("""COMPUTED_VALUE"""),9958.1504)</f>
        <v>9958.1504</v>
      </c>
    </row>
    <row r="2234">
      <c r="A2234" s="3">
        <f>IFERROR(__xludf.DUMMYFUNCTION("""COMPUTED_VALUE"""),42670.99861111111)</f>
        <v>42670.99861</v>
      </c>
      <c r="B2234" s="1">
        <f>IFERROR(__xludf.DUMMYFUNCTION("""COMPUTED_VALUE"""),9902.0058)</f>
        <v>9902.0058</v>
      </c>
    </row>
    <row r="2235">
      <c r="A2235" s="3">
        <f>IFERROR(__xludf.DUMMYFUNCTION("""COMPUTED_VALUE"""),42671.99861111111)</f>
        <v>42671.99861</v>
      </c>
      <c r="B2235" s="1">
        <f>IFERROR(__xludf.DUMMYFUNCTION("""COMPUTED_VALUE"""),9921.87102)</f>
        <v>9921.87102</v>
      </c>
    </row>
    <row r="2236">
      <c r="A2236" s="3">
        <f>IFERROR(__xludf.DUMMYFUNCTION("""COMPUTED_VALUE"""),42672.99861111111)</f>
        <v>42672.99861</v>
      </c>
      <c r="B2236" s="1">
        <f>IFERROR(__xludf.DUMMYFUNCTION("""COMPUTED_VALUE"""),9923.9611)</f>
        <v>9923.9611</v>
      </c>
    </row>
    <row r="2237">
      <c r="A2237" s="3">
        <f>IFERROR(__xludf.DUMMYFUNCTION("""COMPUTED_VALUE"""),42673.99861111111)</f>
        <v>42673.99861</v>
      </c>
      <c r="B2237" s="1">
        <f>IFERROR(__xludf.DUMMYFUNCTION("""COMPUTED_VALUE"""),9923.56921)</f>
        <v>9923.56921</v>
      </c>
    </row>
    <row r="2238">
      <c r="A2238" s="3">
        <f>IFERROR(__xludf.DUMMYFUNCTION("""COMPUTED_VALUE"""),42674.99861111111)</f>
        <v>42674.99861</v>
      </c>
      <c r="B2238" s="1">
        <f>IFERROR(__xludf.DUMMYFUNCTION("""COMPUTED_VALUE"""),9897.6878)</f>
        <v>9897.6878</v>
      </c>
    </row>
    <row r="2239">
      <c r="A2239" s="3">
        <f>IFERROR(__xludf.DUMMYFUNCTION("""COMPUTED_VALUE"""),42675.99861111111)</f>
        <v>42675.99861</v>
      </c>
      <c r="B2239" s="1">
        <f>IFERROR(__xludf.DUMMYFUNCTION("""COMPUTED_VALUE"""),9966.63834)</f>
        <v>9966.63834</v>
      </c>
    </row>
    <row r="2240">
      <c r="A2240" s="3">
        <f>IFERROR(__xludf.DUMMYFUNCTION("""COMPUTED_VALUE"""),42676.99861111111)</f>
        <v>42676.99861</v>
      </c>
      <c r="B2240" s="1">
        <f>IFERROR(__xludf.DUMMYFUNCTION("""COMPUTED_VALUE"""),9982.01644)</f>
        <v>9982.01644</v>
      </c>
    </row>
    <row r="2241">
      <c r="A2241" s="3">
        <f>IFERROR(__xludf.DUMMYFUNCTION("""COMPUTED_VALUE"""),42677.99861111111)</f>
        <v>42677.99861</v>
      </c>
      <c r="B2241" s="1">
        <f>IFERROR(__xludf.DUMMYFUNCTION("""COMPUTED_VALUE"""),10040.66712)</f>
        <v>10040.66712</v>
      </c>
    </row>
    <row r="2242">
      <c r="A2242" s="3">
        <f>IFERROR(__xludf.DUMMYFUNCTION("""COMPUTED_VALUE"""),42678.99861111111)</f>
        <v>42678.99861</v>
      </c>
      <c r="B2242" s="1">
        <f>IFERROR(__xludf.DUMMYFUNCTION("""COMPUTED_VALUE"""),10059.50682)</f>
        <v>10059.50682</v>
      </c>
    </row>
    <row r="2243">
      <c r="A2243" s="3">
        <f>IFERROR(__xludf.DUMMYFUNCTION("""COMPUTED_VALUE"""),42679.99861111111)</f>
        <v>42679.99861</v>
      </c>
      <c r="B2243" s="1">
        <f>IFERROR(__xludf.DUMMYFUNCTION("""COMPUTED_VALUE"""),10060.2936)</f>
        <v>10060.2936</v>
      </c>
    </row>
    <row r="2244">
      <c r="A2244" s="3">
        <f>IFERROR(__xludf.DUMMYFUNCTION("""COMPUTED_VALUE"""),42680.99861111111)</f>
        <v>42680.99861</v>
      </c>
      <c r="B2244" s="1">
        <f>IFERROR(__xludf.DUMMYFUNCTION("""COMPUTED_VALUE"""),10065.7625)</f>
        <v>10065.7625</v>
      </c>
    </row>
    <row r="2245">
      <c r="A2245" s="3">
        <f>IFERROR(__xludf.DUMMYFUNCTION("""COMPUTED_VALUE"""),42681.99861111111)</f>
        <v>42681.99861</v>
      </c>
      <c r="B2245" s="1">
        <f>IFERROR(__xludf.DUMMYFUNCTION("""COMPUTED_VALUE"""),10099.36877)</f>
        <v>10099.36877</v>
      </c>
    </row>
    <row r="2246">
      <c r="A2246" s="3">
        <f>IFERROR(__xludf.DUMMYFUNCTION("""COMPUTED_VALUE"""),42682.99861111111)</f>
        <v>42682.99861</v>
      </c>
      <c r="B2246" s="1">
        <f>IFERROR(__xludf.DUMMYFUNCTION("""COMPUTED_VALUE"""),10099.08081)</f>
        <v>10099.08081</v>
      </c>
    </row>
    <row r="2247">
      <c r="A2247" s="3">
        <f>IFERROR(__xludf.DUMMYFUNCTION("""COMPUTED_VALUE"""),42683.99861111111)</f>
        <v>42683.99861</v>
      </c>
      <c r="B2247" s="1">
        <f>IFERROR(__xludf.DUMMYFUNCTION("""COMPUTED_VALUE"""),10046.78349)</f>
        <v>10046.78349</v>
      </c>
    </row>
    <row r="2248">
      <c r="A2248" s="3">
        <f>IFERROR(__xludf.DUMMYFUNCTION("""COMPUTED_VALUE"""),42684.99861111111)</f>
        <v>42684.99861</v>
      </c>
      <c r="B2248" s="1">
        <f>IFERROR(__xludf.DUMMYFUNCTION("""COMPUTED_VALUE"""),10340.468)</f>
        <v>10340.468</v>
      </c>
    </row>
    <row r="2249">
      <c r="A2249" s="3">
        <f>IFERROR(__xludf.DUMMYFUNCTION("""COMPUTED_VALUE"""),42685.99861111111)</f>
        <v>42685.99861</v>
      </c>
      <c r="B2249" s="1">
        <f>IFERROR(__xludf.DUMMYFUNCTION("""COMPUTED_VALUE"""),10070.99694)</f>
        <v>10070.99694</v>
      </c>
    </row>
    <row r="2250">
      <c r="A2250" s="3">
        <f>IFERROR(__xludf.DUMMYFUNCTION("""COMPUTED_VALUE"""),42686.99861111111)</f>
        <v>42686.99861</v>
      </c>
      <c r="B2250" s="1">
        <f>IFERROR(__xludf.DUMMYFUNCTION("""COMPUTED_VALUE"""),10204.0514)</f>
        <v>10204.0514</v>
      </c>
    </row>
    <row r="2251">
      <c r="A2251" s="3">
        <f>IFERROR(__xludf.DUMMYFUNCTION("""COMPUTED_VALUE"""),42687.99861111111)</f>
        <v>42687.99861</v>
      </c>
      <c r="B2251" s="1">
        <f>IFERROR(__xludf.DUMMYFUNCTION("""COMPUTED_VALUE"""),10069.74108)</f>
        <v>10069.74108</v>
      </c>
    </row>
    <row r="2252">
      <c r="A2252" s="3">
        <f>IFERROR(__xludf.DUMMYFUNCTION("""COMPUTED_VALUE"""),42688.99861111111)</f>
        <v>42688.99861</v>
      </c>
      <c r="B2252" s="1">
        <f>IFERROR(__xludf.DUMMYFUNCTION("""COMPUTED_VALUE"""),10184.4253)</f>
        <v>10184.4253</v>
      </c>
    </row>
    <row r="2253">
      <c r="A2253" s="3">
        <f>IFERROR(__xludf.DUMMYFUNCTION("""COMPUTED_VALUE"""),42689.99861111111)</f>
        <v>42689.99861</v>
      </c>
      <c r="B2253" s="1">
        <f>IFERROR(__xludf.DUMMYFUNCTION("""COMPUTED_VALUE"""),10054.51012)</f>
        <v>10054.51012</v>
      </c>
    </row>
    <row r="2254">
      <c r="A2254" s="3">
        <f>IFERROR(__xludf.DUMMYFUNCTION("""COMPUTED_VALUE"""),42690.99861111111)</f>
        <v>42690.99861</v>
      </c>
      <c r="B2254" s="1">
        <f>IFERROR(__xludf.DUMMYFUNCTION("""COMPUTED_VALUE"""),10016.24136)</f>
        <v>10016.24136</v>
      </c>
    </row>
    <row r="2255">
      <c r="A2255" s="3">
        <f>IFERROR(__xludf.DUMMYFUNCTION("""COMPUTED_VALUE"""),42691.99861111111)</f>
        <v>42691.99861</v>
      </c>
      <c r="B2255" s="1">
        <f>IFERROR(__xludf.DUMMYFUNCTION("""COMPUTED_VALUE"""),9919.98259)</f>
        <v>9919.98259</v>
      </c>
    </row>
    <row r="2256">
      <c r="A2256" s="3">
        <f>IFERROR(__xludf.DUMMYFUNCTION("""COMPUTED_VALUE"""),42692.99861111111)</f>
        <v>42692.99861</v>
      </c>
      <c r="B2256" s="1">
        <f>IFERROR(__xludf.DUMMYFUNCTION("""COMPUTED_VALUE"""),9799.48879)</f>
        <v>9799.48879</v>
      </c>
    </row>
    <row r="2257">
      <c r="A2257" s="3">
        <f>IFERROR(__xludf.DUMMYFUNCTION("""COMPUTED_VALUE"""),42693.99861111111)</f>
        <v>42693.99861</v>
      </c>
      <c r="B2257" s="1">
        <f>IFERROR(__xludf.DUMMYFUNCTION("""COMPUTED_VALUE"""),9812.83132)</f>
        <v>9812.83132</v>
      </c>
    </row>
    <row r="2258">
      <c r="A2258" s="3">
        <f>IFERROR(__xludf.DUMMYFUNCTION("""COMPUTED_VALUE"""),42694.99861111111)</f>
        <v>42694.99861</v>
      </c>
      <c r="B2258" s="1">
        <f>IFERROR(__xludf.DUMMYFUNCTION("""COMPUTED_VALUE"""),9869.18901)</f>
        <v>9869.18901</v>
      </c>
    </row>
    <row r="2259">
      <c r="A2259" s="3">
        <f>IFERROR(__xludf.DUMMYFUNCTION("""COMPUTED_VALUE"""),42695.99861111111)</f>
        <v>42695.99861</v>
      </c>
      <c r="B2259" s="1">
        <f>IFERROR(__xludf.DUMMYFUNCTION("""COMPUTED_VALUE"""),9892.95944)</f>
        <v>9892.95944</v>
      </c>
    </row>
    <row r="2260">
      <c r="A2260" s="3">
        <f>IFERROR(__xludf.DUMMYFUNCTION("""COMPUTED_VALUE"""),42696.99861111111)</f>
        <v>42696.99861</v>
      </c>
      <c r="B2260" s="1">
        <f>IFERROR(__xludf.DUMMYFUNCTION("""COMPUTED_VALUE"""),9949.754)</f>
        <v>9949.754</v>
      </c>
    </row>
    <row r="2261">
      <c r="A2261" s="3">
        <f>IFERROR(__xludf.DUMMYFUNCTION("""COMPUTED_VALUE"""),42697.99861111111)</f>
        <v>42697.99861</v>
      </c>
      <c r="B2261" s="1">
        <f>IFERROR(__xludf.DUMMYFUNCTION("""COMPUTED_VALUE"""),10033.12145)</f>
        <v>10033.12145</v>
      </c>
    </row>
    <row r="2262">
      <c r="A2262" s="3">
        <f>IFERROR(__xludf.DUMMYFUNCTION("""COMPUTED_VALUE"""),42698.99861111111)</f>
        <v>42698.99861</v>
      </c>
      <c r="B2262" s="1">
        <f>IFERROR(__xludf.DUMMYFUNCTION("""COMPUTED_VALUE"""),10054.47722)</f>
        <v>10054.47722</v>
      </c>
    </row>
    <row r="2263">
      <c r="A2263" s="3">
        <f>IFERROR(__xludf.DUMMYFUNCTION("""COMPUTED_VALUE"""),42699.99861111111)</f>
        <v>42699.99861</v>
      </c>
      <c r="B2263" s="1">
        <f>IFERROR(__xludf.DUMMYFUNCTION("""COMPUTED_VALUE"""),10062.05753)</f>
        <v>10062.05753</v>
      </c>
    </row>
    <row r="2264">
      <c r="A2264" s="3">
        <f>IFERROR(__xludf.DUMMYFUNCTION("""COMPUTED_VALUE"""),42700.99861111111)</f>
        <v>42700.99861</v>
      </c>
      <c r="B2264" s="1">
        <f>IFERROR(__xludf.DUMMYFUNCTION("""COMPUTED_VALUE"""),10071.71129)</f>
        <v>10071.71129</v>
      </c>
    </row>
    <row r="2265">
      <c r="A2265" s="3">
        <f>IFERROR(__xludf.DUMMYFUNCTION("""COMPUTED_VALUE"""),42701.99861111111)</f>
        <v>42701.99861</v>
      </c>
      <c r="B2265" s="1">
        <f>IFERROR(__xludf.DUMMYFUNCTION("""COMPUTED_VALUE"""),10033.7032)</f>
        <v>10033.7032</v>
      </c>
    </row>
    <row r="2266">
      <c r="A2266" s="3">
        <f>IFERROR(__xludf.DUMMYFUNCTION("""COMPUTED_VALUE"""),42702.99861111111)</f>
        <v>42702.99861</v>
      </c>
      <c r="B2266" s="1">
        <f>IFERROR(__xludf.DUMMYFUNCTION("""COMPUTED_VALUE"""),10101.1626)</f>
        <v>10101.1626</v>
      </c>
    </row>
    <row r="2267">
      <c r="A2267" s="3">
        <f>IFERROR(__xludf.DUMMYFUNCTION("""COMPUTED_VALUE"""),42703.99861111111)</f>
        <v>42703.99861</v>
      </c>
      <c r="B2267" s="1">
        <f>IFERROR(__xludf.DUMMYFUNCTION("""COMPUTED_VALUE"""),10103.81664)</f>
        <v>10103.81664</v>
      </c>
    </row>
    <row r="2268">
      <c r="A2268" s="3">
        <f>IFERROR(__xludf.DUMMYFUNCTION("""COMPUTED_VALUE"""),42704.99861111111)</f>
        <v>42704.99861</v>
      </c>
      <c r="B2268" s="1">
        <f>IFERROR(__xludf.DUMMYFUNCTION("""COMPUTED_VALUE"""),10026.17928)</f>
        <v>10026.17928</v>
      </c>
    </row>
    <row r="2269">
      <c r="A2269" s="3">
        <f>IFERROR(__xludf.DUMMYFUNCTION("""COMPUTED_VALUE"""),42705.99861111111)</f>
        <v>42705.99861</v>
      </c>
      <c r="B2269" s="1">
        <f>IFERROR(__xludf.DUMMYFUNCTION("""COMPUTED_VALUE"""),10031.16708)</f>
        <v>10031.16708</v>
      </c>
    </row>
    <row r="2270">
      <c r="A2270" s="3">
        <f>IFERROR(__xludf.DUMMYFUNCTION("""COMPUTED_VALUE"""),42706.99861111111)</f>
        <v>42706.99861</v>
      </c>
      <c r="B2270" s="1">
        <f>IFERROR(__xludf.DUMMYFUNCTION("""COMPUTED_VALUE"""),10032.8148)</f>
        <v>10032.8148</v>
      </c>
    </row>
    <row r="2271">
      <c r="A2271" s="3">
        <f>IFERROR(__xludf.DUMMYFUNCTION("""COMPUTED_VALUE"""),42708.99861111111)</f>
        <v>42708.99861</v>
      </c>
      <c r="B2271" s="1">
        <f>IFERROR(__xludf.DUMMYFUNCTION("""COMPUTED_VALUE"""),10151.9792)</f>
        <v>10151.9792</v>
      </c>
    </row>
    <row r="2272">
      <c r="A2272" s="3">
        <f>IFERROR(__xludf.DUMMYFUNCTION("""COMPUTED_VALUE"""),42709.99861111111)</f>
        <v>42709.99861</v>
      </c>
      <c r="B2272" s="1">
        <f>IFERROR(__xludf.DUMMYFUNCTION("""COMPUTED_VALUE"""),10038.7074)</f>
        <v>10038.7074</v>
      </c>
    </row>
    <row r="2273">
      <c r="A2273" s="3">
        <f>IFERROR(__xludf.DUMMYFUNCTION("""COMPUTED_VALUE"""),42710.99861111111)</f>
        <v>42710.99861</v>
      </c>
      <c r="B2273" s="1">
        <f>IFERROR(__xludf.DUMMYFUNCTION("""COMPUTED_VALUE"""),9933.57456)</f>
        <v>9933.57456</v>
      </c>
    </row>
    <row r="2274">
      <c r="A2274" s="3">
        <f>IFERROR(__xludf.DUMMYFUNCTION("""COMPUTED_VALUE"""),42711.99861111111)</f>
        <v>42711.99861</v>
      </c>
      <c r="B2274" s="1">
        <f>IFERROR(__xludf.DUMMYFUNCTION("""COMPUTED_VALUE"""),9938.36558)</f>
        <v>9938.36558</v>
      </c>
    </row>
    <row r="2275">
      <c r="A2275" s="3">
        <f>IFERROR(__xludf.DUMMYFUNCTION("""COMPUTED_VALUE"""),42712.99861111111)</f>
        <v>42712.99861</v>
      </c>
      <c r="B2275" s="1">
        <f>IFERROR(__xludf.DUMMYFUNCTION("""COMPUTED_VALUE"""),9922.15114)</f>
        <v>9922.15114</v>
      </c>
    </row>
    <row r="2276">
      <c r="A2276" s="3">
        <f>IFERROR(__xludf.DUMMYFUNCTION("""COMPUTED_VALUE"""),42713.99861111111)</f>
        <v>42713.99861</v>
      </c>
      <c r="B2276" s="1">
        <f>IFERROR(__xludf.DUMMYFUNCTION("""COMPUTED_VALUE"""),9936.82045)</f>
        <v>9936.82045</v>
      </c>
    </row>
    <row r="2277">
      <c r="A2277" s="3">
        <f>IFERROR(__xludf.DUMMYFUNCTION("""COMPUTED_VALUE"""),42714.99861111111)</f>
        <v>42714.99861</v>
      </c>
      <c r="B2277" s="1">
        <f>IFERROR(__xludf.DUMMYFUNCTION("""COMPUTED_VALUE"""),9946.59185)</f>
        <v>9946.59185</v>
      </c>
    </row>
    <row r="2278">
      <c r="A2278" s="3">
        <f>IFERROR(__xludf.DUMMYFUNCTION("""COMPUTED_VALUE"""),42715.99861111111)</f>
        <v>42715.99861</v>
      </c>
      <c r="B2278" s="1">
        <f>IFERROR(__xludf.DUMMYFUNCTION("""COMPUTED_VALUE"""),9946.82433)</f>
        <v>9946.82433</v>
      </c>
    </row>
    <row r="2279">
      <c r="A2279" s="3">
        <f>IFERROR(__xludf.DUMMYFUNCTION("""COMPUTED_VALUE"""),42716.99861111111)</f>
        <v>42716.99861</v>
      </c>
      <c r="B2279" s="1">
        <f>IFERROR(__xludf.DUMMYFUNCTION("""COMPUTED_VALUE"""),9953.71992)</f>
        <v>9953.71992</v>
      </c>
    </row>
    <row r="2280">
      <c r="A2280" s="3">
        <f>IFERROR(__xludf.DUMMYFUNCTION("""COMPUTED_VALUE"""),42717.99861111111)</f>
        <v>42717.99861</v>
      </c>
      <c r="B2280" s="1">
        <f>IFERROR(__xludf.DUMMYFUNCTION("""COMPUTED_VALUE"""),9951.2352)</f>
        <v>9951.2352</v>
      </c>
    </row>
    <row r="2281">
      <c r="A2281" s="3">
        <f>IFERROR(__xludf.DUMMYFUNCTION("""COMPUTED_VALUE"""),42718.99861111111)</f>
        <v>42718.99861</v>
      </c>
      <c r="B2281" s="1">
        <f>IFERROR(__xludf.DUMMYFUNCTION("""COMPUTED_VALUE"""),9941.93292)</f>
        <v>9941.93292</v>
      </c>
    </row>
    <row r="2282">
      <c r="A2282" s="3">
        <f>IFERROR(__xludf.DUMMYFUNCTION("""COMPUTED_VALUE"""),42719.99861111111)</f>
        <v>42719.99861</v>
      </c>
      <c r="B2282" s="1">
        <f>IFERROR(__xludf.DUMMYFUNCTION("""COMPUTED_VALUE"""),9879.21315)</f>
        <v>9879.21315</v>
      </c>
    </row>
    <row r="2283">
      <c r="A2283" s="3">
        <f>IFERROR(__xludf.DUMMYFUNCTION("""COMPUTED_VALUE"""),42720.99861111111)</f>
        <v>42720.99861</v>
      </c>
      <c r="B2283" s="1">
        <f>IFERROR(__xludf.DUMMYFUNCTION("""COMPUTED_VALUE"""),9791.92225)</f>
        <v>9791.92225</v>
      </c>
    </row>
    <row r="2284">
      <c r="A2284" s="3">
        <f>IFERROR(__xludf.DUMMYFUNCTION("""COMPUTED_VALUE"""),42721.99861111111)</f>
        <v>42721.99861</v>
      </c>
      <c r="B2284" s="1">
        <f>IFERROR(__xludf.DUMMYFUNCTION("""COMPUTED_VALUE"""),9791.2518)</f>
        <v>9791.2518</v>
      </c>
    </row>
    <row r="2285">
      <c r="A2285" s="3">
        <f>IFERROR(__xludf.DUMMYFUNCTION("""COMPUTED_VALUE"""),42722.99861111111)</f>
        <v>42722.99861</v>
      </c>
      <c r="B2285" s="1">
        <f>IFERROR(__xludf.DUMMYFUNCTION("""COMPUTED_VALUE"""),9756.60849)</f>
        <v>9756.60849</v>
      </c>
    </row>
    <row r="2286">
      <c r="A2286" s="3">
        <f>IFERROR(__xludf.DUMMYFUNCTION("""COMPUTED_VALUE"""),42723.99861111111)</f>
        <v>42723.99861</v>
      </c>
      <c r="B2286" s="1">
        <f>IFERROR(__xludf.DUMMYFUNCTION("""COMPUTED_VALUE"""),9693.25)</f>
        <v>9693.25</v>
      </c>
    </row>
    <row r="2287">
      <c r="A2287" s="3">
        <f>IFERROR(__xludf.DUMMYFUNCTION("""COMPUTED_VALUE"""),42724.99861111111)</f>
        <v>42724.99861</v>
      </c>
      <c r="B2287" s="1">
        <f>IFERROR(__xludf.DUMMYFUNCTION("""COMPUTED_VALUE"""),9753.44333)</f>
        <v>9753.44333</v>
      </c>
    </row>
    <row r="2288">
      <c r="A2288" s="3">
        <f>IFERROR(__xludf.DUMMYFUNCTION("""COMPUTED_VALUE"""),42725.99861111111)</f>
        <v>42725.99861</v>
      </c>
      <c r="B2288" s="1">
        <f>IFERROR(__xludf.DUMMYFUNCTION("""COMPUTED_VALUE"""),9722.04138)</f>
        <v>9722.04138</v>
      </c>
    </row>
    <row r="2289">
      <c r="A2289" s="3">
        <f>IFERROR(__xludf.DUMMYFUNCTION("""COMPUTED_VALUE"""),42726.99861111111)</f>
        <v>42726.99861</v>
      </c>
      <c r="B2289" s="1">
        <f>IFERROR(__xludf.DUMMYFUNCTION("""COMPUTED_VALUE"""),9710.44698)</f>
        <v>9710.44698</v>
      </c>
    </row>
    <row r="2290">
      <c r="A2290" s="3">
        <f>IFERROR(__xludf.DUMMYFUNCTION("""COMPUTED_VALUE"""),42727.99861111111)</f>
        <v>42727.99861</v>
      </c>
      <c r="B2290" s="1">
        <f>IFERROR(__xludf.DUMMYFUNCTION("""COMPUTED_VALUE"""),9632.26698)</f>
        <v>9632.26698</v>
      </c>
    </row>
    <row r="2291">
      <c r="A2291" s="3">
        <f>IFERROR(__xludf.DUMMYFUNCTION("""COMPUTED_VALUE"""),42728.99861111111)</f>
        <v>42728.99861</v>
      </c>
      <c r="B2291" s="1">
        <f>IFERROR(__xludf.DUMMYFUNCTION("""COMPUTED_VALUE"""),9631.461)</f>
        <v>9631.461</v>
      </c>
    </row>
    <row r="2292">
      <c r="A2292" s="3">
        <f>IFERROR(__xludf.DUMMYFUNCTION("""COMPUTED_VALUE"""),42729.99861111111)</f>
        <v>42729.99861</v>
      </c>
      <c r="B2292" s="1">
        <f>IFERROR(__xludf.DUMMYFUNCTION("""COMPUTED_VALUE"""),9647.45782)</f>
        <v>9647.45782</v>
      </c>
    </row>
    <row r="2293">
      <c r="A2293" s="3">
        <f>IFERROR(__xludf.DUMMYFUNCTION("""COMPUTED_VALUE"""),42730.99861111111)</f>
        <v>42730.99861</v>
      </c>
      <c r="B2293" s="1">
        <f>IFERROR(__xludf.DUMMYFUNCTION("""COMPUTED_VALUE"""),9649.3397)</f>
        <v>9649.3397</v>
      </c>
    </row>
    <row r="2294">
      <c r="A2294" s="3">
        <f>IFERROR(__xludf.DUMMYFUNCTION("""COMPUTED_VALUE"""),42731.99861111111)</f>
        <v>42731.99861</v>
      </c>
      <c r="B2294" s="1">
        <f>IFERROR(__xludf.DUMMYFUNCTION("""COMPUTED_VALUE"""),9654.64526)</f>
        <v>9654.64526</v>
      </c>
    </row>
    <row r="2295">
      <c r="A2295" s="3">
        <f>IFERROR(__xludf.DUMMYFUNCTION("""COMPUTED_VALUE"""),42732.99861111111)</f>
        <v>42732.99861</v>
      </c>
      <c r="B2295" s="1">
        <f>IFERROR(__xludf.DUMMYFUNCTION("""COMPUTED_VALUE"""),9690.2717)</f>
        <v>9690.2717</v>
      </c>
    </row>
    <row r="2296">
      <c r="A2296" s="3">
        <f>IFERROR(__xludf.DUMMYFUNCTION("""COMPUTED_VALUE"""),42733.99861111111)</f>
        <v>42733.99861</v>
      </c>
      <c r="B2296" s="1">
        <f>IFERROR(__xludf.DUMMYFUNCTION("""COMPUTED_VALUE"""),9740.76576)</f>
        <v>9740.76576</v>
      </c>
    </row>
    <row r="2297">
      <c r="A2297" s="3">
        <f>IFERROR(__xludf.DUMMYFUNCTION("""COMPUTED_VALUE"""),42734.99861111111)</f>
        <v>42734.99861</v>
      </c>
      <c r="B2297" s="1">
        <f>IFERROR(__xludf.DUMMYFUNCTION("""COMPUTED_VALUE"""),9730.66194)</f>
        <v>9730.66194</v>
      </c>
    </row>
    <row r="2298">
      <c r="A2298" s="3">
        <f>IFERROR(__xludf.DUMMYFUNCTION("""COMPUTED_VALUE"""),42735.99861111111)</f>
        <v>42735.99861</v>
      </c>
      <c r="B2298" s="1">
        <f>IFERROR(__xludf.DUMMYFUNCTION("""COMPUTED_VALUE"""),9735.6636)</f>
        <v>9735.6636</v>
      </c>
    </row>
    <row r="2299">
      <c r="A2299" s="3">
        <f>IFERROR(__xludf.DUMMYFUNCTION("""COMPUTED_VALUE"""),42736.99861111111)</f>
        <v>42736.99861</v>
      </c>
      <c r="B2299" s="1">
        <f>IFERROR(__xludf.DUMMYFUNCTION("""COMPUTED_VALUE"""),9726.34296)</f>
        <v>9726.34296</v>
      </c>
    </row>
    <row r="2300">
      <c r="A2300" s="3">
        <f>IFERROR(__xludf.DUMMYFUNCTION("""COMPUTED_VALUE"""),42737.99861111111)</f>
        <v>42737.99861</v>
      </c>
      <c r="B2300" s="1">
        <f>IFERROR(__xludf.DUMMYFUNCTION("""COMPUTED_VALUE"""),9715.13592)</f>
        <v>9715.13592</v>
      </c>
    </row>
    <row r="2301">
      <c r="A2301" s="3">
        <f>IFERROR(__xludf.DUMMYFUNCTION("""COMPUTED_VALUE"""),42738.99861111111)</f>
        <v>42738.99861</v>
      </c>
      <c r="B2301" s="1">
        <f>IFERROR(__xludf.DUMMYFUNCTION("""COMPUTED_VALUE"""),9716.19711)</f>
        <v>9716.19711</v>
      </c>
    </row>
    <row r="2302">
      <c r="A2302" s="3">
        <f>IFERROR(__xludf.DUMMYFUNCTION("""COMPUTED_VALUE"""),42739.99861111111)</f>
        <v>42739.99861</v>
      </c>
      <c r="B2302" s="1">
        <f>IFERROR(__xludf.DUMMYFUNCTION("""COMPUTED_VALUE"""),9721.3484)</f>
        <v>9721.3484</v>
      </c>
    </row>
    <row r="2303">
      <c r="A2303" s="3">
        <f>IFERROR(__xludf.DUMMYFUNCTION("""COMPUTED_VALUE"""),42740.99861111111)</f>
        <v>42740.99861</v>
      </c>
      <c r="B2303" s="1">
        <f>IFERROR(__xludf.DUMMYFUNCTION("""COMPUTED_VALUE"""),9772.81625)</f>
        <v>9772.81625</v>
      </c>
    </row>
    <row r="2304">
      <c r="A2304" s="3">
        <f>IFERROR(__xludf.DUMMYFUNCTION("""COMPUTED_VALUE"""),42741.99861111111)</f>
        <v>42741.99861</v>
      </c>
      <c r="B2304" s="1">
        <f>IFERROR(__xludf.DUMMYFUNCTION("""COMPUTED_VALUE"""),9734.59004)</f>
        <v>9734.59004</v>
      </c>
    </row>
    <row r="2305">
      <c r="A2305" s="3">
        <f>IFERROR(__xludf.DUMMYFUNCTION("""COMPUTED_VALUE"""),42742.99861111111)</f>
        <v>42742.99861</v>
      </c>
      <c r="B2305" s="1">
        <f>IFERROR(__xludf.DUMMYFUNCTION("""COMPUTED_VALUE"""),9734.3232)</f>
        <v>9734.3232</v>
      </c>
    </row>
    <row r="2306">
      <c r="A2306" s="3">
        <f>IFERROR(__xludf.DUMMYFUNCTION("""COMPUTED_VALUE"""),42743.99861111111)</f>
        <v>42743.99861</v>
      </c>
      <c r="B2306" s="1">
        <f>IFERROR(__xludf.DUMMYFUNCTION("""COMPUTED_VALUE"""),9758.2459)</f>
        <v>9758.2459</v>
      </c>
    </row>
    <row r="2307">
      <c r="A2307" s="3">
        <f>IFERROR(__xludf.DUMMYFUNCTION("""COMPUTED_VALUE"""),42744.99861111111)</f>
        <v>42744.99861</v>
      </c>
      <c r="B2307" s="1">
        <f>IFERROR(__xludf.DUMMYFUNCTION("""COMPUTED_VALUE"""),9794.4441)</f>
        <v>9794.4441</v>
      </c>
    </row>
    <row r="2308">
      <c r="A2308" s="3">
        <f>IFERROR(__xludf.DUMMYFUNCTION("""COMPUTED_VALUE"""),42745.99861111111)</f>
        <v>42745.99861</v>
      </c>
      <c r="B2308" s="1">
        <f>IFERROR(__xludf.DUMMYFUNCTION("""COMPUTED_VALUE"""),9782.176)</f>
        <v>9782.176</v>
      </c>
    </row>
    <row r="2309">
      <c r="A2309" s="3">
        <f>IFERROR(__xludf.DUMMYFUNCTION("""COMPUTED_VALUE"""),42746.99861111111)</f>
        <v>42746.99861</v>
      </c>
      <c r="B2309" s="1">
        <f>IFERROR(__xludf.DUMMYFUNCTION("""COMPUTED_VALUE"""),9858.58655)</f>
        <v>9858.58655</v>
      </c>
    </row>
    <row r="2310">
      <c r="A2310" s="3">
        <f>IFERROR(__xludf.DUMMYFUNCTION("""COMPUTED_VALUE"""),42747.99861111111)</f>
        <v>42747.99861</v>
      </c>
      <c r="B2310" s="1">
        <f>IFERROR(__xludf.DUMMYFUNCTION("""COMPUTED_VALUE"""),9926.13202)</f>
        <v>9926.13202</v>
      </c>
    </row>
    <row r="2311">
      <c r="A2311" s="3">
        <f>IFERROR(__xludf.DUMMYFUNCTION("""COMPUTED_VALUE"""),42748.99861111111)</f>
        <v>42748.99861</v>
      </c>
      <c r="B2311" s="1">
        <f>IFERROR(__xludf.DUMMYFUNCTION("""COMPUTED_VALUE"""),9979.82419)</f>
        <v>9979.82419</v>
      </c>
    </row>
    <row r="2312">
      <c r="A2312" s="3">
        <f>IFERROR(__xludf.DUMMYFUNCTION("""COMPUTED_VALUE"""),42749.99861111111)</f>
        <v>42749.99861</v>
      </c>
      <c r="B2312" s="1">
        <f>IFERROR(__xludf.DUMMYFUNCTION("""COMPUTED_VALUE"""),9980.7561)</f>
        <v>9980.7561</v>
      </c>
    </row>
    <row r="2313">
      <c r="A2313" s="3">
        <f>IFERROR(__xludf.DUMMYFUNCTION("""COMPUTED_VALUE"""),42750.99861111111)</f>
        <v>42750.99861</v>
      </c>
      <c r="B2313" s="1">
        <f>IFERROR(__xludf.DUMMYFUNCTION("""COMPUTED_VALUE"""),9981.28862)</f>
        <v>9981.28862</v>
      </c>
    </row>
    <row r="2314">
      <c r="A2314" s="3">
        <f>IFERROR(__xludf.DUMMYFUNCTION("""COMPUTED_VALUE"""),42751.99861111111)</f>
        <v>42751.99861</v>
      </c>
      <c r="B2314" s="1">
        <f>IFERROR(__xludf.DUMMYFUNCTION("""COMPUTED_VALUE"""),9974.23931)</f>
        <v>9974.23931</v>
      </c>
    </row>
    <row r="2315">
      <c r="A2315" s="3">
        <f>IFERROR(__xludf.DUMMYFUNCTION("""COMPUTED_VALUE"""),42752.99861111111)</f>
        <v>42752.99861</v>
      </c>
      <c r="B2315" s="1">
        <f>IFERROR(__xludf.DUMMYFUNCTION("""COMPUTED_VALUE"""),10038.34704)</f>
        <v>10038.34704</v>
      </c>
    </row>
    <row r="2316">
      <c r="A2316" s="3">
        <f>IFERROR(__xludf.DUMMYFUNCTION("""COMPUTED_VALUE"""),42753.99861111111)</f>
        <v>42753.99861</v>
      </c>
      <c r="B2316" s="1">
        <f>IFERROR(__xludf.DUMMYFUNCTION("""COMPUTED_VALUE"""),10034.185)</f>
        <v>10034.185</v>
      </c>
    </row>
    <row r="2317">
      <c r="A2317" s="3">
        <f>IFERROR(__xludf.DUMMYFUNCTION("""COMPUTED_VALUE"""),42754.99861111111)</f>
        <v>42754.99861</v>
      </c>
      <c r="B2317" s="1">
        <f>IFERROR(__xludf.DUMMYFUNCTION("""COMPUTED_VALUE"""),10119.7881)</f>
        <v>10119.7881</v>
      </c>
    </row>
    <row r="2318">
      <c r="A2318" s="3">
        <f>IFERROR(__xludf.DUMMYFUNCTION("""COMPUTED_VALUE"""),42755.99861111111)</f>
        <v>42755.99861</v>
      </c>
      <c r="B2318" s="1">
        <f>IFERROR(__xludf.DUMMYFUNCTION("""COMPUTED_VALUE"""),10112.51858)</f>
        <v>10112.51858</v>
      </c>
    </row>
    <row r="2319">
      <c r="A2319" s="3">
        <f>IFERROR(__xludf.DUMMYFUNCTION("""COMPUTED_VALUE"""),42756.99861111111)</f>
        <v>42756.99861</v>
      </c>
      <c r="B2319" s="1">
        <f>IFERROR(__xludf.DUMMYFUNCTION("""COMPUTED_VALUE"""),10110.3757)</f>
        <v>10110.3757</v>
      </c>
    </row>
    <row r="2320">
      <c r="A2320" s="3">
        <f>IFERROR(__xludf.DUMMYFUNCTION("""COMPUTED_VALUE"""),42757.99861111111)</f>
        <v>42757.99861</v>
      </c>
      <c r="B2320" s="1">
        <f>IFERROR(__xludf.DUMMYFUNCTION("""COMPUTED_VALUE"""),10150.88914)</f>
        <v>10150.88914</v>
      </c>
    </row>
    <row r="2321">
      <c r="A2321" s="3">
        <f>IFERROR(__xludf.DUMMYFUNCTION("""COMPUTED_VALUE"""),42758.99861111111)</f>
        <v>42758.99861</v>
      </c>
      <c r="B2321" s="1">
        <f>IFERROR(__xludf.DUMMYFUNCTION("""COMPUTED_VALUE"""),10117.77865)</f>
        <v>10117.77865</v>
      </c>
    </row>
    <row r="2322">
      <c r="A2322" s="3">
        <f>IFERROR(__xludf.DUMMYFUNCTION("""COMPUTED_VALUE"""),42759.99861111111)</f>
        <v>42759.99861</v>
      </c>
      <c r="B2322" s="1">
        <f>IFERROR(__xludf.DUMMYFUNCTION("""COMPUTED_VALUE"""),10128.44588)</f>
        <v>10128.44588</v>
      </c>
    </row>
    <row r="2323">
      <c r="A2323" s="3">
        <f>IFERROR(__xludf.DUMMYFUNCTION("""COMPUTED_VALUE"""),42760.99861111111)</f>
        <v>42760.99861</v>
      </c>
      <c r="B2323" s="1">
        <f>IFERROR(__xludf.DUMMYFUNCTION("""COMPUTED_VALUE"""),10084.33996)</f>
        <v>10084.33996</v>
      </c>
    </row>
    <row r="2324">
      <c r="A2324" s="3">
        <f>IFERROR(__xludf.DUMMYFUNCTION("""COMPUTED_VALUE"""),42761.99861111111)</f>
        <v>42761.99861</v>
      </c>
      <c r="B2324" s="1">
        <f>IFERROR(__xludf.DUMMYFUNCTION("""COMPUTED_VALUE"""),10083.0884)</f>
        <v>10083.0884</v>
      </c>
    </row>
    <row r="2325">
      <c r="A2325" s="3">
        <f>IFERROR(__xludf.DUMMYFUNCTION("""COMPUTED_VALUE"""),42762.99861111111)</f>
        <v>42762.99861</v>
      </c>
      <c r="B2325" s="1">
        <f>IFERROR(__xludf.DUMMYFUNCTION("""COMPUTED_VALUE"""),10079.59291)</f>
        <v>10079.59291</v>
      </c>
    </row>
    <row r="2326">
      <c r="A2326" s="3">
        <f>IFERROR(__xludf.DUMMYFUNCTION("""COMPUTED_VALUE"""),42763.99861111111)</f>
        <v>42763.99861</v>
      </c>
      <c r="B2326" s="1">
        <f>IFERROR(__xludf.DUMMYFUNCTION("""COMPUTED_VALUE"""),10092.243)</f>
        <v>10092.243</v>
      </c>
    </row>
    <row r="2327">
      <c r="A2327" s="3">
        <f>IFERROR(__xludf.DUMMYFUNCTION("""COMPUTED_VALUE"""),42764.99861111111)</f>
        <v>42764.99861</v>
      </c>
      <c r="B2327" s="1">
        <f>IFERROR(__xludf.DUMMYFUNCTION("""COMPUTED_VALUE"""),10064.99454)</f>
        <v>10064.99454</v>
      </c>
    </row>
    <row r="2328">
      <c r="A2328" s="3">
        <f>IFERROR(__xludf.DUMMYFUNCTION("""COMPUTED_VALUE"""),42765.99861111111)</f>
        <v>42765.99861</v>
      </c>
      <c r="B2328" s="1">
        <f>IFERROR(__xludf.DUMMYFUNCTION("""COMPUTED_VALUE"""),10089.79686)</f>
        <v>10089.79686</v>
      </c>
    </row>
    <row r="2329">
      <c r="A2329" s="3">
        <f>IFERROR(__xludf.DUMMYFUNCTION("""COMPUTED_VALUE"""),42766.99861111111)</f>
        <v>42766.99861</v>
      </c>
      <c r="B2329" s="1">
        <f>IFERROR(__xludf.DUMMYFUNCTION("""COMPUTED_VALUE"""),10110.172)</f>
        <v>10110.172</v>
      </c>
    </row>
    <row r="2330">
      <c r="A2330" s="3">
        <f>IFERROR(__xludf.DUMMYFUNCTION("""COMPUTED_VALUE"""),42767.99861111111)</f>
        <v>42767.99861</v>
      </c>
      <c r="B2330" s="1">
        <f>IFERROR(__xludf.DUMMYFUNCTION("""COMPUTED_VALUE"""),10127.8152)</f>
        <v>10127.8152</v>
      </c>
    </row>
    <row r="2331">
      <c r="A2331" s="3">
        <f>IFERROR(__xludf.DUMMYFUNCTION("""COMPUTED_VALUE"""),42768.99861111111)</f>
        <v>42768.99861</v>
      </c>
      <c r="B2331" s="1">
        <f>IFERROR(__xludf.DUMMYFUNCTION("""COMPUTED_VALUE"""),10215.42878)</f>
        <v>10215.42878</v>
      </c>
    </row>
    <row r="2332">
      <c r="A2332" s="3">
        <f>IFERROR(__xludf.DUMMYFUNCTION("""COMPUTED_VALUE"""),42769.99861111111)</f>
        <v>42769.99861</v>
      </c>
      <c r="B2332" s="1">
        <f>IFERROR(__xludf.DUMMYFUNCTION("""COMPUTED_VALUE"""),10230.75442)</f>
        <v>10230.75442</v>
      </c>
    </row>
    <row r="2333">
      <c r="A2333" s="3">
        <f>IFERROR(__xludf.DUMMYFUNCTION("""COMPUTED_VALUE"""),42770.99861111111)</f>
        <v>42770.99861</v>
      </c>
      <c r="B2333" s="1">
        <f>IFERROR(__xludf.DUMMYFUNCTION("""COMPUTED_VALUE"""),10242.6641)</f>
        <v>10242.6641</v>
      </c>
    </row>
    <row r="2334">
      <c r="A2334" s="3">
        <f>IFERROR(__xludf.DUMMYFUNCTION("""COMPUTED_VALUE"""),42771.99861111111)</f>
        <v>42771.99861</v>
      </c>
      <c r="B2334" s="1">
        <f>IFERROR(__xludf.DUMMYFUNCTION("""COMPUTED_VALUE"""),10237.31514)</f>
        <v>10237.31514</v>
      </c>
    </row>
    <row r="2335">
      <c r="A2335" s="3">
        <f>IFERROR(__xludf.DUMMYFUNCTION("""COMPUTED_VALUE"""),42772.99861111111)</f>
        <v>42772.99861</v>
      </c>
      <c r="B2335" s="1">
        <f>IFERROR(__xludf.DUMMYFUNCTION("""COMPUTED_VALUE"""),10188.26004)</f>
        <v>10188.26004</v>
      </c>
    </row>
    <row r="2336">
      <c r="A2336" s="3">
        <f>IFERROR(__xludf.DUMMYFUNCTION("""COMPUTED_VALUE"""),42773.99861111111)</f>
        <v>42773.99861</v>
      </c>
      <c r="B2336" s="1">
        <f>IFERROR(__xludf.DUMMYFUNCTION("""COMPUTED_VALUE"""),10143.4179)</f>
        <v>10143.4179</v>
      </c>
    </row>
    <row r="2337">
      <c r="A2337" s="3">
        <f>IFERROR(__xludf.DUMMYFUNCTION("""COMPUTED_VALUE"""),42774.99861111111)</f>
        <v>42774.99861</v>
      </c>
      <c r="B2337" s="1">
        <f>IFERROR(__xludf.DUMMYFUNCTION("""COMPUTED_VALUE"""),10150.62318)</f>
        <v>10150.62318</v>
      </c>
    </row>
    <row r="2338">
      <c r="A2338" s="3">
        <f>IFERROR(__xludf.DUMMYFUNCTION("""COMPUTED_VALUE"""),42775.99861111111)</f>
        <v>42775.99861</v>
      </c>
      <c r="B2338" s="1">
        <f>IFERROR(__xludf.DUMMYFUNCTION("""COMPUTED_VALUE"""),10132.23288)</f>
        <v>10132.23288</v>
      </c>
    </row>
    <row r="2339">
      <c r="A2339" s="3">
        <f>IFERROR(__xludf.DUMMYFUNCTION("""COMPUTED_VALUE"""),42776.99861111111)</f>
        <v>42776.99861</v>
      </c>
      <c r="B2339" s="1">
        <f>IFERROR(__xludf.DUMMYFUNCTION("""COMPUTED_VALUE"""),10215.99681)</f>
        <v>10215.99681</v>
      </c>
    </row>
    <row r="2340">
      <c r="A2340" s="3">
        <f>IFERROR(__xludf.DUMMYFUNCTION("""COMPUTED_VALUE"""),42777.99861111111)</f>
        <v>42777.99861</v>
      </c>
      <c r="B2340" s="1">
        <f>IFERROR(__xludf.DUMMYFUNCTION("""COMPUTED_VALUE"""),10233.33077)</f>
        <v>10233.33077</v>
      </c>
    </row>
    <row r="2341">
      <c r="A2341" s="3">
        <f>IFERROR(__xludf.DUMMYFUNCTION("""COMPUTED_VALUE"""),42778.99861111111)</f>
        <v>42778.99861</v>
      </c>
      <c r="B2341" s="1">
        <f>IFERROR(__xludf.DUMMYFUNCTION("""COMPUTED_VALUE"""),10226.8782)</f>
        <v>10226.8782</v>
      </c>
    </row>
    <row r="2342">
      <c r="A2342" s="3">
        <f>IFERROR(__xludf.DUMMYFUNCTION("""COMPUTED_VALUE"""),42779.99861111111)</f>
        <v>42779.99861</v>
      </c>
      <c r="B2342" s="1">
        <f>IFERROR(__xludf.DUMMYFUNCTION("""COMPUTED_VALUE"""),10180.90368)</f>
        <v>10180.90368</v>
      </c>
    </row>
    <row r="2343">
      <c r="A2343" s="3">
        <f>IFERROR(__xludf.DUMMYFUNCTION("""COMPUTED_VALUE"""),42780.99861111111)</f>
        <v>42780.99861</v>
      </c>
      <c r="B2343" s="1">
        <f>IFERROR(__xludf.DUMMYFUNCTION("""COMPUTED_VALUE"""),10215.60848)</f>
        <v>10215.60848</v>
      </c>
    </row>
    <row r="2344">
      <c r="A2344" s="3">
        <f>IFERROR(__xludf.DUMMYFUNCTION("""COMPUTED_VALUE"""),42781.99861111111)</f>
        <v>42781.99861</v>
      </c>
      <c r="B2344" s="1">
        <f>IFERROR(__xludf.DUMMYFUNCTION("""COMPUTED_VALUE"""),10280.75096)</f>
        <v>10280.75096</v>
      </c>
    </row>
    <row r="2345">
      <c r="A2345" s="3">
        <f>IFERROR(__xludf.DUMMYFUNCTION("""COMPUTED_VALUE"""),42782.99861111111)</f>
        <v>42782.99861</v>
      </c>
      <c r="B2345" s="1">
        <f>IFERROR(__xludf.DUMMYFUNCTION("""COMPUTED_VALUE"""),10253.70654)</f>
        <v>10253.70654</v>
      </c>
    </row>
    <row r="2346">
      <c r="A2346" s="3">
        <f>IFERROR(__xludf.DUMMYFUNCTION("""COMPUTED_VALUE"""),42783.99861111111)</f>
        <v>42783.99861</v>
      </c>
      <c r="B2346" s="1">
        <f>IFERROR(__xludf.DUMMYFUNCTION("""COMPUTED_VALUE"""),10225.44432)</f>
        <v>10225.44432</v>
      </c>
    </row>
    <row r="2347">
      <c r="A2347" s="3">
        <f>IFERROR(__xludf.DUMMYFUNCTION("""COMPUTED_VALUE"""),42784.99861111111)</f>
        <v>42784.99861</v>
      </c>
      <c r="B2347" s="1">
        <f>IFERROR(__xludf.DUMMYFUNCTION("""COMPUTED_VALUE"""),10240.31671)</f>
        <v>10240.31671</v>
      </c>
    </row>
    <row r="2348">
      <c r="A2348" s="3">
        <f>IFERROR(__xludf.DUMMYFUNCTION("""COMPUTED_VALUE"""),42785.99861111111)</f>
        <v>42785.99861</v>
      </c>
      <c r="B2348" s="1">
        <f>IFERROR(__xludf.DUMMYFUNCTION("""COMPUTED_VALUE"""),10237.047)</f>
        <v>10237.047</v>
      </c>
    </row>
    <row r="2349">
      <c r="A2349" s="3">
        <f>IFERROR(__xludf.DUMMYFUNCTION("""COMPUTED_VALUE"""),42786.99861111111)</f>
        <v>42786.99861</v>
      </c>
      <c r="B2349" s="1">
        <f>IFERROR(__xludf.DUMMYFUNCTION("""COMPUTED_VALUE"""),10259.97237)</f>
        <v>10259.97237</v>
      </c>
    </row>
    <row r="2350">
      <c r="A2350" s="3">
        <f>IFERROR(__xludf.DUMMYFUNCTION("""COMPUTED_VALUE"""),42787.99861111111)</f>
        <v>42787.99861</v>
      </c>
      <c r="B2350" s="1">
        <f>IFERROR(__xludf.DUMMYFUNCTION("""COMPUTED_VALUE"""),10253.06648)</f>
        <v>10253.06648</v>
      </c>
    </row>
    <row r="2351">
      <c r="A2351" s="3">
        <f>IFERROR(__xludf.DUMMYFUNCTION("""COMPUTED_VALUE"""),42788.99861111111)</f>
        <v>42788.99861</v>
      </c>
      <c r="B2351" s="1">
        <f>IFERROR(__xludf.DUMMYFUNCTION("""COMPUTED_VALUE"""),10264.79142)</f>
        <v>10264.79142</v>
      </c>
    </row>
    <row r="2352">
      <c r="A2352" s="3">
        <f>IFERROR(__xludf.DUMMYFUNCTION("""COMPUTED_VALUE"""),42789.99861111111)</f>
        <v>42789.99861</v>
      </c>
      <c r="B2352" s="1">
        <f>IFERROR(__xludf.DUMMYFUNCTION("""COMPUTED_VALUE"""),10276.37325)</f>
        <v>10276.37325</v>
      </c>
    </row>
    <row r="2353">
      <c r="A2353" s="3">
        <f>IFERROR(__xludf.DUMMYFUNCTION("""COMPUTED_VALUE"""),42790.99861111111)</f>
        <v>42790.99861</v>
      </c>
      <c r="B2353" s="1">
        <f>IFERROR(__xludf.DUMMYFUNCTION("""COMPUTED_VALUE"""),10216.60932)</f>
        <v>10216.60932</v>
      </c>
    </row>
    <row r="2354">
      <c r="A2354" s="3">
        <f>IFERROR(__xludf.DUMMYFUNCTION("""COMPUTED_VALUE"""),42791.99861111111)</f>
        <v>42791.99861</v>
      </c>
      <c r="B2354" s="1">
        <f>IFERROR(__xludf.DUMMYFUNCTION("""COMPUTED_VALUE"""),10221.4056)</f>
        <v>10221.4056</v>
      </c>
    </row>
    <row r="2355">
      <c r="A2355" s="3">
        <f>IFERROR(__xludf.DUMMYFUNCTION("""COMPUTED_VALUE"""),42792.99861111111)</f>
        <v>42792.99861</v>
      </c>
      <c r="B2355" s="1">
        <f>IFERROR(__xludf.DUMMYFUNCTION("""COMPUTED_VALUE"""),10218.97504)</f>
        <v>10218.97504</v>
      </c>
    </row>
    <row r="2356">
      <c r="A2356" s="3">
        <f>IFERROR(__xludf.DUMMYFUNCTION("""COMPUTED_VALUE"""),42793.99861111111)</f>
        <v>42793.99861</v>
      </c>
      <c r="B2356" s="1">
        <f>IFERROR(__xludf.DUMMYFUNCTION("""COMPUTED_VALUE"""),10238.21606)</f>
        <v>10238.21606</v>
      </c>
    </row>
    <row r="2357">
      <c r="A2357" s="3">
        <f>IFERROR(__xludf.DUMMYFUNCTION("""COMPUTED_VALUE"""),42794.99861111111)</f>
        <v>42794.99861</v>
      </c>
      <c r="B2357" s="1">
        <f>IFERROR(__xludf.DUMMYFUNCTION("""COMPUTED_VALUE"""),10232.46483)</f>
        <v>10232.46483</v>
      </c>
    </row>
    <row r="2358">
      <c r="A2358" s="3">
        <f>IFERROR(__xludf.DUMMYFUNCTION("""COMPUTED_VALUE"""),42795.99861111111)</f>
        <v>42795.99861</v>
      </c>
      <c r="B2358" s="1">
        <f>IFERROR(__xludf.DUMMYFUNCTION("""COMPUTED_VALUE"""),10253.71872)</f>
        <v>10253.71872</v>
      </c>
    </row>
    <row r="2359">
      <c r="A2359" s="3">
        <f>IFERROR(__xludf.DUMMYFUNCTION("""COMPUTED_VALUE"""),42796.99861111111)</f>
        <v>42796.99861</v>
      </c>
      <c r="B2359" s="1">
        <f>IFERROR(__xludf.DUMMYFUNCTION("""COMPUTED_VALUE"""),10123.09354)</f>
        <v>10123.09354</v>
      </c>
    </row>
    <row r="2360">
      <c r="A2360" s="3">
        <f>IFERROR(__xludf.DUMMYFUNCTION("""COMPUTED_VALUE"""),42797.99861111111)</f>
        <v>42797.99861</v>
      </c>
      <c r="B2360" s="1">
        <f>IFERROR(__xludf.DUMMYFUNCTION("""COMPUTED_VALUE"""),10114.43412)</f>
        <v>10114.43412</v>
      </c>
    </row>
    <row r="2361">
      <c r="A2361" s="3">
        <f>IFERROR(__xludf.DUMMYFUNCTION("""COMPUTED_VALUE"""),42798.99861111111)</f>
        <v>42798.99861</v>
      </c>
      <c r="B2361" s="1">
        <f>IFERROR(__xludf.DUMMYFUNCTION("""COMPUTED_VALUE"""),10125.3308)</f>
        <v>10125.3308</v>
      </c>
    </row>
    <row r="2362">
      <c r="A2362" s="3">
        <f>IFERROR(__xludf.DUMMYFUNCTION("""COMPUTED_VALUE"""),42799.99861111111)</f>
        <v>42799.99861</v>
      </c>
      <c r="B2362" s="1">
        <f>IFERROR(__xludf.DUMMYFUNCTION("""COMPUTED_VALUE"""),10083.71154)</f>
        <v>10083.71154</v>
      </c>
    </row>
    <row r="2363">
      <c r="A2363" s="3">
        <f>IFERROR(__xludf.DUMMYFUNCTION("""COMPUTED_VALUE"""),42800.99861111111)</f>
        <v>42800.99861</v>
      </c>
      <c r="B2363" s="1">
        <f>IFERROR(__xludf.DUMMYFUNCTION("""COMPUTED_VALUE"""),10124.5767)</f>
        <v>10124.5767</v>
      </c>
    </row>
    <row r="2364">
      <c r="A2364" s="3">
        <f>IFERROR(__xludf.DUMMYFUNCTION("""COMPUTED_VALUE"""),42801.99861111111)</f>
        <v>42801.99861</v>
      </c>
      <c r="B2364" s="1">
        <f>IFERROR(__xludf.DUMMYFUNCTION("""COMPUTED_VALUE"""),10127.75848)</f>
        <v>10127.75848</v>
      </c>
    </row>
    <row r="2365">
      <c r="A2365" s="3">
        <f>IFERROR(__xludf.DUMMYFUNCTION("""COMPUTED_VALUE"""),42802.99861111111)</f>
        <v>42802.99861</v>
      </c>
      <c r="B2365" s="1">
        <f>IFERROR(__xludf.DUMMYFUNCTION("""COMPUTED_VALUE"""),10061.69256)</f>
        <v>10061.69256</v>
      </c>
    </row>
    <row r="2366">
      <c r="A2366" s="3">
        <f>IFERROR(__xludf.DUMMYFUNCTION("""COMPUTED_VALUE"""),42803.99861111111)</f>
        <v>42803.99861</v>
      </c>
      <c r="B2366" s="1">
        <f>IFERROR(__xludf.DUMMYFUNCTION("""COMPUTED_VALUE"""),10062.03419)</f>
        <v>10062.03419</v>
      </c>
    </row>
    <row r="2367">
      <c r="A2367" s="3">
        <f>IFERROR(__xludf.DUMMYFUNCTION("""COMPUTED_VALUE"""),42804.99861111111)</f>
        <v>42804.99861</v>
      </c>
      <c r="B2367" s="1">
        <f>IFERROR(__xludf.DUMMYFUNCTION("""COMPUTED_VALUE"""),10065.67996)</f>
        <v>10065.67996</v>
      </c>
    </row>
    <row r="2368">
      <c r="A2368" s="3">
        <f>IFERROR(__xludf.DUMMYFUNCTION("""COMPUTED_VALUE"""),42806.99861111111)</f>
        <v>42806.99861</v>
      </c>
      <c r="B2368" s="1">
        <f>IFERROR(__xludf.DUMMYFUNCTION("""COMPUTED_VALUE"""),10064.61898)</f>
        <v>10064.61898</v>
      </c>
    </row>
    <row r="2369">
      <c r="A2369" s="3">
        <f>IFERROR(__xludf.DUMMYFUNCTION("""COMPUTED_VALUE"""),42807.99861111111)</f>
        <v>42807.99861</v>
      </c>
      <c r="B2369" s="1">
        <f>IFERROR(__xludf.DUMMYFUNCTION("""COMPUTED_VALUE"""),10117.12148)</f>
        <v>10117.12148</v>
      </c>
    </row>
    <row r="2370">
      <c r="A2370" s="3">
        <f>IFERROR(__xludf.DUMMYFUNCTION("""COMPUTED_VALUE"""),42808.99861111111)</f>
        <v>42808.99861</v>
      </c>
      <c r="B2370" s="1">
        <f>IFERROR(__xludf.DUMMYFUNCTION("""COMPUTED_VALUE"""),10129.2672)</f>
        <v>10129.2672</v>
      </c>
    </row>
    <row r="2371">
      <c r="A2371" s="3">
        <f>IFERROR(__xludf.DUMMYFUNCTION("""COMPUTED_VALUE"""),42809.99861111111)</f>
        <v>42809.99861</v>
      </c>
      <c r="B2371" s="1">
        <f>IFERROR(__xludf.DUMMYFUNCTION("""COMPUTED_VALUE"""),10184.49152)</f>
        <v>10184.49152</v>
      </c>
    </row>
    <row r="2372">
      <c r="A2372" s="3">
        <f>IFERROR(__xludf.DUMMYFUNCTION("""COMPUTED_VALUE"""),42810.99861111111)</f>
        <v>42810.99861</v>
      </c>
      <c r="B2372" s="1">
        <f>IFERROR(__xludf.DUMMYFUNCTION("""COMPUTED_VALUE"""),10187.13119)</f>
        <v>10187.13119</v>
      </c>
    </row>
    <row r="2373">
      <c r="A2373" s="3">
        <f>IFERROR(__xludf.DUMMYFUNCTION("""COMPUTED_VALUE"""),42811.99861111111)</f>
        <v>42811.99861</v>
      </c>
      <c r="B2373" s="1">
        <f>IFERROR(__xludf.DUMMYFUNCTION("""COMPUTED_VALUE"""),10277.6696)</f>
        <v>10277.6696</v>
      </c>
    </row>
    <row r="2374">
      <c r="A2374" s="3">
        <f>IFERROR(__xludf.DUMMYFUNCTION("""COMPUTED_VALUE"""),42812.99861111111)</f>
        <v>42812.99861</v>
      </c>
      <c r="B2374" s="1">
        <f>IFERROR(__xludf.DUMMYFUNCTION("""COMPUTED_VALUE"""),10257.126)</f>
        <v>10257.126</v>
      </c>
    </row>
    <row r="2375">
      <c r="A2375" s="3">
        <f>IFERROR(__xludf.DUMMYFUNCTION("""COMPUTED_VALUE"""),42813.99861111111)</f>
        <v>42813.99861</v>
      </c>
      <c r="B2375" s="1">
        <f>IFERROR(__xludf.DUMMYFUNCTION("""COMPUTED_VALUE"""),10270.765)</f>
        <v>10270.765</v>
      </c>
    </row>
    <row r="2376">
      <c r="A2376" s="3">
        <f>IFERROR(__xludf.DUMMYFUNCTION("""COMPUTED_VALUE"""),42814.99861111111)</f>
        <v>42814.99861</v>
      </c>
      <c r="B2376" s="1">
        <f>IFERROR(__xludf.DUMMYFUNCTION("""COMPUTED_VALUE"""),10302.70296)</f>
        <v>10302.70296</v>
      </c>
    </row>
    <row r="2377">
      <c r="A2377" s="3">
        <f>IFERROR(__xludf.DUMMYFUNCTION("""COMPUTED_VALUE"""),42815.99861111111)</f>
        <v>42815.99861</v>
      </c>
      <c r="B2377" s="1">
        <f>IFERROR(__xludf.DUMMYFUNCTION("""COMPUTED_VALUE"""),10211.62764)</f>
        <v>10211.62764</v>
      </c>
    </row>
    <row r="2378">
      <c r="A2378" s="3">
        <f>IFERROR(__xludf.DUMMYFUNCTION("""COMPUTED_VALUE"""),42816.99861111111)</f>
        <v>42816.99861</v>
      </c>
      <c r="B2378" s="1">
        <f>IFERROR(__xludf.DUMMYFUNCTION("""COMPUTED_VALUE"""),10218.87706)</f>
        <v>10218.87706</v>
      </c>
    </row>
    <row r="2379">
      <c r="A2379" s="3">
        <f>IFERROR(__xludf.DUMMYFUNCTION("""COMPUTED_VALUE"""),42817.99861111111)</f>
        <v>42817.99861</v>
      </c>
      <c r="B2379" s="1">
        <f>IFERROR(__xludf.DUMMYFUNCTION("""COMPUTED_VALUE"""),10165.49622)</f>
        <v>10165.49622</v>
      </c>
    </row>
    <row r="2380">
      <c r="A2380" s="3">
        <f>IFERROR(__xludf.DUMMYFUNCTION("""COMPUTED_VALUE"""),42818.99861111111)</f>
        <v>42818.99861</v>
      </c>
      <c r="B2380" s="1">
        <f>IFERROR(__xludf.DUMMYFUNCTION("""COMPUTED_VALUE"""),10132.45632)</f>
        <v>10132.45632</v>
      </c>
    </row>
    <row r="2381">
      <c r="A2381" s="3">
        <f>IFERROR(__xludf.DUMMYFUNCTION("""COMPUTED_VALUE"""),42819.99861111111)</f>
        <v>42819.99861</v>
      </c>
      <c r="B2381" s="1">
        <f>IFERROR(__xludf.DUMMYFUNCTION("""COMPUTED_VALUE"""),10130.5953)</f>
        <v>10130.5953</v>
      </c>
    </row>
    <row r="2382">
      <c r="A2382" s="3">
        <f>IFERROR(__xludf.DUMMYFUNCTION("""COMPUTED_VALUE"""),42820.99861111111)</f>
        <v>42820.99861</v>
      </c>
      <c r="B2382" s="1">
        <f>IFERROR(__xludf.DUMMYFUNCTION("""COMPUTED_VALUE"""),10166.3568)</f>
        <v>10166.3568</v>
      </c>
    </row>
    <row r="2383">
      <c r="A2383" s="3">
        <f>IFERROR(__xludf.DUMMYFUNCTION("""COMPUTED_VALUE"""),42821.99861111111)</f>
        <v>42821.99861</v>
      </c>
      <c r="B2383" s="1">
        <f>IFERROR(__xludf.DUMMYFUNCTION("""COMPUTED_VALUE"""),10152.14088)</f>
        <v>10152.14088</v>
      </c>
    </row>
    <row r="2384">
      <c r="A2384" s="3">
        <f>IFERROR(__xludf.DUMMYFUNCTION("""COMPUTED_VALUE"""),42822.99861111111)</f>
        <v>42822.99861</v>
      </c>
      <c r="B2384" s="1">
        <f>IFERROR(__xludf.DUMMYFUNCTION("""COMPUTED_VALUE"""),10183.78062)</f>
        <v>10183.78062</v>
      </c>
    </row>
    <row r="2385">
      <c r="A2385" s="3">
        <f>IFERROR(__xludf.DUMMYFUNCTION("""COMPUTED_VALUE"""),42823.99861111111)</f>
        <v>42823.99861</v>
      </c>
      <c r="B2385" s="1">
        <f>IFERROR(__xludf.DUMMYFUNCTION("""COMPUTED_VALUE"""),10203.26797)</f>
        <v>10203.26797</v>
      </c>
    </row>
    <row r="2386">
      <c r="A2386" s="3">
        <f>IFERROR(__xludf.DUMMYFUNCTION("""COMPUTED_VALUE"""),42824.99861111111)</f>
        <v>42824.99861</v>
      </c>
      <c r="B2386" s="1">
        <f>IFERROR(__xludf.DUMMYFUNCTION("""COMPUTED_VALUE"""),10175.0649)</f>
        <v>10175.0649</v>
      </c>
    </row>
    <row r="2387">
      <c r="A2387" s="3">
        <f>IFERROR(__xludf.DUMMYFUNCTION("""COMPUTED_VALUE"""),42825.99861111111)</f>
        <v>42825.99861</v>
      </c>
      <c r="B2387" s="1">
        <f>IFERROR(__xludf.DUMMYFUNCTION("""COMPUTED_VALUE"""),10159.52707)</f>
        <v>10159.52707</v>
      </c>
    </row>
    <row r="2388">
      <c r="A2388" s="3">
        <f>IFERROR(__xludf.DUMMYFUNCTION("""COMPUTED_VALUE"""),42827.99861111111)</f>
        <v>42827.99861</v>
      </c>
      <c r="B2388" s="1">
        <f>IFERROR(__xludf.DUMMYFUNCTION("""COMPUTED_VALUE"""),10171.00455)</f>
        <v>10171.00455</v>
      </c>
    </row>
    <row r="2389">
      <c r="A2389" s="3">
        <f>IFERROR(__xludf.DUMMYFUNCTION("""COMPUTED_VALUE"""),42828.99861111111)</f>
        <v>42828.99861</v>
      </c>
      <c r="B2389" s="1">
        <f>IFERROR(__xludf.DUMMYFUNCTION("""COMPUTED_VALUE"""),10121.4916)</f>
        <v>10121.4916</v>
      </c>
    </row>
    <row r="2390">
      <c r="A2390" s="3">
        <f>IFERROR(__xludf.DUMMYFUNCTION("""COMPUTED_VALUE"""),42829.99861111111)</f>
        <v>42829.99861</v>
      </c>
      <c r="B2390" s="1">
        <f>IFERROR(__xludf.DUMMYFUNCTION("""COMPUTED_VALUE"""),10089.79092)</f>
        <v>10089.79092</v>
      </c>
    </row>
    <row r="2391">
      <c r="A2391" s="3">
        <f>IFERROR(__xludf.DUMMYFUNCTION("""COMPUTED_VALUE"""),42830.99861111111)</f>
        <v>42830.99861</v>
      </c>
      <c r="B2391" s="1">
        <f>IFERROR(__xludf.DUMMYFUNCTION("""COMPUTED_VALUE"""),10081.64733)</f>
        <v>10081.64733</v>
      </c>
    </row>
    <row r="2392">
      <c r="A2392" s="3">
        <f>IFERROR(__xludf.DUMMYFUNCTION("""COMPUTED_VALUE"""),42831.99861111111)</f>
        <v>42831.99861</v>
      </c>
      <c r="B2392" s="1">
        <f>IFERROR(__xludf.DUMMYFUNCTION("""COMPUTED_VALUE"""),10069.63083)</f>
        <v>10069.63083</v>
      </c>
    </row>
    <row r="2393">
      <c r="A2393" s="3">
        <f>IFERROR(__xludf.DUMMYFUNCTION("""COMPUTED_VALUE"""),42832.99861111111)</f>
        <v>42832.99861</v>
      </c>
      <c r="B2393" s="1">
        <f>IFERROR(__xludf.DUMMYFUNCTION("""COMPUTED_VALUE"""),10001.91675)</f>
        <v>10001.91675</v>
      </c>
    </row>
    <row r="2394">
      <c r="A2394" s="3">
        <f>IFERROR(__xludf.DUMMYFUNCTION("""COMPUTED_VALUE"""),42833.99861111111)</f>
        <v>42833.99861</v>
      </c>
      <c r="B2394" s="1">
        <f>IFERROR(__xludf.DUMMYFUNCTION("""COMPUTED_VALUE"""),10009.34216)</f>
        <v>10009.34216</v>
      </c>
    </row>
    <row r="2395">
      <c r="A2395" s="3">
        <f>IFERROR(__xludf.DUMMYFUNCTION("""COMPUTED_VALUE"""),42834.99861111111)</f>
        <v>42834.99861</v>
      </c>
      <c r="B2395" s="1">
        <f>IFERROR(__xludf.DUMMYFUNCTION("""COMPUTED_VALUE"""),10038.17499)</f>
        <v>10038.17499</v>
      </c>
    </row>
    <row r="2396">
      <c r="A2396" s="3">
        <f>IFERROR(__xludf.DUMMYFUNCTION("""COMPUTED_VALUE"""),42835.99861111111)</f>
        <v>42835.99861</v>
      </c>
      <c r="B2396" s="1">
        <f>IFERROR(__xludf.DUMMYFUNCTION("""COMPUTED_VALUE"""),9957.2313)</f>
        <v>9957.2313</v>
      </c>
    </row>
    <row r="2397">
      <c r="A2397" s="3">
        <f>IFERROR(__xludf.DUMMYFUNCTION("""COMPUTED_VALUE"""),42836.99861111111)</f>
        <v>42836.99861</v>
      </c>
      <c r="B2397" s="1">
        <f>IFERROR(__xludf.DUMMYFUNCTION("""COMPUTED_VALUE"""),9972.2373)</f>
        <v>9972.2373</v>
      </c>
    </row>
    <row r="2398">
      <c r="A2398" s="3">
        <f>IFERROR(__xludf.DUMMYFUNCTION("""COMPUTED_VALUE"""),42837.99861111111)</f>
        <v>42837.99861</v>
      </c>
      <c r="B2398" s="1">
        <f>IFERROR(__xludf.DUMMYFUNCTION("""COMPUTED_VALUE"""),10008.46814)</f>
        <v>10008.46814</v>
      </c>
    </row>
    <row r="2399">
      <c r="A2399" s="3">
        <f>IFERROR(__xludf.DUMMYFUNCTION("""COMPUTED_VALUE"""),42838.99861111111)</f>
        <v>42838.99861</v>
      </c>
      <c r="B2399" s="1">
        <f>IFERROR(__xludf.DUMMYFUNCTION("""COMPUTED_VALUE"""),10042.36468)</f>
        <v>10042.36468</v>
      </c>
    </row>
    <row r="2400">
      <c r="A2400" s="3">
        <f>IFERROR(__xludf.DUMMYFUNCTION("""COMPUTED_VALUE"""),42839.99861111111)</f>
        <v>42839.99861</v>
      </c>
      <c r="B2400" s="1">
        <f>IFERROR(__xludf.DUMMYFUNCTION("""COMPUTED_VALUE"""),10065.27147)</f>
        <v>10065.27147</v>
      </c>
    </row>
    <row r="2401">
      <c r="A2401" s="3">
        <f>IFERROR(__xludf.DUMMYFUNCTION("""COMPUTED_VALUE"""),42840.99861111111)</f>
        <v>42840.99861</v>
      </c>
      <c r="B2401" s="1">
        <f>IFERROR(__xludf.DUMMYFUNCTION("""COMPUTED_VALUE"""),10059.7868)</f>
        <v>10059.7868</v>
      </c>
    </row>
    <row r="2402">
      <c r="A2402" s="3">
        <f>IFERROR(__xludf.DUMMYFUNCTION("""COMPUTED_VALUE"""),42841.99861111111)</f>
        <v>42841.99861</v>
      </c>
      <c r="B2402" s="1">
        <f>IFERROR(__xludf.DUMMYFUNCTION("""COMPUTED_VALUE"""),10072.21035)</f>
        <v>10072.21035</v>
      </c>
    </row>
    <row r="2403">
      <c r="A2403" s="3">
        <f>IFERROR(__xludf.DUMMYFUNCTION("""COMPUTED_VALUE"""),42842.99861111111)</f>
        <v>42842.99861</v>
      </c>
      <c r="B2403" s="1">
        <f>IFERROR(__xludf.DUMMYFUNCTION("""COMPUTED_VALUE"""),10080.0889)</f>
        <v>10080.0889</v>
      </c>
    </row>
    <row r="2404">
      <c r="A2404" s="3">
        <f>IFERROR(__xludf.DUMMYFUNCTION("""COMPUTED_VALUE"""),42843.99861111111)</f>
        <v>42843.99861</v>
      </c>
      <c r="B2404" s="1">
        <f>IFERROR(__xludf.DUMMYFUNCTION("""COMPUTED_VALUE"""),10049.91456)</f>
        <v>10049.91456</v>
      </c>
    </row>
    <row r="2405">
      <c r="A2405" s="3">
        <f>IFERROR(__xludf.DUMMYFUNCTION("""COMPUTED_VALUE"""),42844.99861111111)</f>
        <v>42844.99861</v>
      </c>
      <c r="B2405" s="1">
        <f>IFERROR(__xludf.DUMMYFUNCTION("""COMPUTED_VALUE"""),10001.77937)</f>
        <v>10001.77937</v>
      </c>
    </row>
    <row r="2406">
      <c r="A2406" s="3">
        <f>IFERROR(__xludf.DUMMYFUNCTION("""COMPUTED_VALUE"""),42845.99861111111)</f>
        <v>42845.99861</v>
      </c>
      <c r="B2406" s="1">
        <f>IFERROR(__xludf.DUMMYFUNCTION("""COMPUTED_VALUE"""),10012.12011)</f>
        <v>10012.12011</v>
      </c>
    </row>
    <row r="2407">
      <c r="A2407" s="3">
        <f>IFERROR(__xludf.DUMMYFUNCTION("""COMPUTED_VALUE"""),42846.99861111111)</f>
        <v>42846.99861</v>
      </c>
      <c r="B2407" s="1">
        <f>IFERROR(__xludf.DUMMYFUNCTION("""COMPUTED_VALUE"""),10023.23136)</f>
        <v>10023.23136</v>
      </c>
    </row>
    <row r="2408">
      <c r="A2408" s="3">
        <f>IFERROR(__xludf.DUMMYFUNCTION("""COMPUTED_VALUE"""),42848.99861111111)</f>
        <v>42848.99861</v>
      </c>
      <c r="B2408" s="1">
        <f>IFERROR(__xludf.DUMMYFUNCTION("""COMPUTED_VALUE"""),9902.00695)</f>
        <v>9902.00695</v>
      </c>
    </row>
    <row r="2409">
      <c r="A2409" s="3">
        <f>IFERROR(__xludf.DUMMYFUNCTION("""COMPUTED_VALUE"""),42849.99861111111)</f>
        <v>42849.99861</v>
      </c>
      <c r="B2409" s="1">
        <f>IFERROR(__xludf.DUMMYFUNCTION("""COMPUTED_VALUE"""),9916.4944)</f>
        <v>9916.4944</v>
      </c>
    </row>
    <row r="2410">
      <c r="A2410" s="3">
        <f>IFERROR(__xludf.DUMMYFUNCTION("""COMPUTED_VALUE"""),42850.99861111111)</f>
        <v>42850.99861</v>
      </c>
      <c r="B2410" s="1">
        <f>IFERROR(__xludf.DUMMYFUNCTION("""COMPUTED_VALUE"""),10025.1408)</f>
        <v>10025.1408</v>
      </c>
    </row>
    <row r="2411">
      <c r="A2411" s="3">
        <f>IFERROR(__xludf.DUMMYFUNCTION("""COMPUTED_VALUE"""),42851.99861111111)</f>
        <v>42851.99861</v>
      </c>
      <c r="B2411" s="1">
        <f>IFERROR(__xludf.DUMMYFUNCTION("""COMPUTED_VALUE"""),9918.69756)</f>
        <v>9918.69756</v>
      </c>
    </row>
    <row r="2412">
      <c r="A2412" s="3">
        <f>IFERROR(__xludf.DUMMYFUNCTION("""COMPUTED_VALUE"""),42852.99861111111)</f>
        <v>42852.99861</v>
      </c>
      <c r="B2412" s="1">
        <f>IFERROR(__xludf.DUMMYFUNCTION("""COMPUTED_VALUE"""),9968.52415)</f>
        <v>9968.52415</v>
      </c>
    </row>
    <row r="2413">
      <c r="A2413" s="3">
        <f>IFERROR(__xludf.DUMMYFUNCTION("""COMPUTED_VALUE"""),42853.99861111111)</f>
        <v>42853.99861</v>
      </c>
      <c r="B2413" s="1">
        <f>IFERROR(__xludf.DUMMYFUNCTION("""COMPUTED_VALUE"""),9991.05312)</f>
        <v>9991.05312</v>
      </c>
    </row>
    <row r="2414">
      <c r="A2414" s="3">
        <f>IFERROR(__xludf.DUMMYFUNCTION("""COMPUTED_VALUE"""),42854.99861111111)</f>
        <v>42854.99861</v>
      </c>
      <c r="B2414" s="1">
        <f>IFERROR(__xludf.DUMMYFUNCTION("""COMPUTED_VALUE"""),9995.991031)</f>
        <v>9995.991031</v>
      </c>
    </row>
    <row r="2415">
      <c r="A2415" s="3">
        <f>IFERROR(__xludf.DUMMYFUNCTION("""COMPUTED_VALUE"""),42855.99861111111)</f>
        <v>42855.99861</v>
      </c>
      <c r="B2415" s="1">
        <f>IFERROR(__xludf.DUMMYFUNCTION("""COMPUTED_VALUE"""),9968.58616)</f>
        <v>9968.58616</v>
      </c>
    </row>
    <row r="2416">
      <c r="A2416" s="3">
        <f>IFERROR(__xludf.DUMMYFUNCTION("""COMPUTED_VALUE"""),42856.99861111111)</f>
        <v>42856.99861</v>
      </c>
      <c r="B2416" s="1">
        <f>IFERROR(__xludf.DUMMYFUNCTION("""COMPUTED_VALUE"""),10033.725)</f>
        <v>10033.725</v>
      </c>
    </row>
    <row r="2417">
      <c r="A2417" s="3">
        <f>IFERROR(__xludf.DUMMYFUNCTION("""COMPUTED_VALUE"""),42857.99861111111)</f>
        <v>42857.99861</v>
      </c>
      <c r="B2417" s="1">
        <f>IFERROR(__xludf.DUMMYFUNCTION("""COMPUTED_VALUE"""),10027.75375)</f>
        <v>10027.75375</v>
      </c>
    </row>
    <row r="2418">
      <c r="A2418" s="3">
        <f>IFERROR(__xludf.DUMMYFUNCTION("""COMPUTED_VALUE"""),42858.99861111111)</f>
        <v>42858.99861</v>
      </c>
      <c r="B2418" s="1">
        <f>IFERROR(__xludf.DUMMYFUNCTION("""COMPUTED_VALUE"""),9881.41296)</f>
        <v>9881.41296</v>
      </c>
    </row>
    <row r="2419">
      <c r="A2419" s="3">
        <f>IFERROR(__xludf.DUMMYFUNCTION("""COMPUTED_VALUE"""),42859.99861111111)</f>
        <v>42859.99861</v>
      </c>
      <c r="B2419" s="1">
        <f>IFERROR(__xludf.DUMMYFUNCTION("""COMPUTED_VALUE"""),9886.8076)</f>
        <v>9886.8076</v>
      </c>
    </row>
    <row r="2420">
      <c r="A2420" s="3">
        <f>IFERROR(__xludf.DUMMYFUNCTION("""COMPUTED_VALUE"""),42860.99861111111)</f>
        <v>42860.99861</v>
      </c>
      <c r="B2420" s="1">
        <f>IFERROR(__xludf.DUMMYFUNCTION("""COMPUTED_VALUE"""),9874.00455)</f>
        <v>9874.00455</v>
      </c>
    </row>
    <row r="2421">
      <c r="A2421" s="3">
        <f>IFERROR(__xludf.DUMMYFUNCTION("""COMPUTED_VALUE"""),42862.99861111111)</f>
        <v>42862.99861</v>
      </c>
      <c r="B2421" s="1">
        <f>IFERROR(__xludf.DUMMYFUNCTION("""COMPUTED_VALUE"""),9886.797528)</f>
        <v>9886.797528</v>
      </c>
    </row>
    <row r="2422">
      <c r="A2422" s="3">
        <f>IFERROR(__xludf.DUMMYFUNCTION("""COMPUTED_VALUE"""),42863.99861111111)</f>
        <v>42863.99861</v>
      </c>
      <c r="B2422" s="1">
        <f>IFERROR(__xludf.DUMMYFUNCTION("""COMPUTED_VALUE"""),9843.7712)</f>
        <v>9843.7712</v>
      </c>
    </row>
    <row r="2423">
      <c r="A2423" s="3">
        <f>IFERROR(__xludf.DUMMYFUNCTION("""COMPUTED_VALUE"""),42864.99861111111)</f>
        <v>42864.99861</v>
      </c>
      <c r="B2423" s="1">
        <f>IFERROR(__xludf.DUMMYFUNCTION("""COMPUTED_VALUE"""),9807.77703)</f>
        <v>9807.77703</v>
      </c>
    </row>
    <row r="2424">
      <c r="A2424" s="3">
        <f>IFERROR(__xludf.DUMMYFUNCTION("""COMPUTED_VALUE"""),42865.99861111111)</f>
        <v>42865.99861</v>
      </c>
      <c r="B2424" s="1">
        <f>IFERROR(__xludf.DUMMYFUNCTION("""COMPUTED_VALUE"""),9823.8021)</f>
        <v>9823.8021</v>
      </c>
    </row>
    <row r="2425">
      <c r="A2425" s="3">
        <f>IFERROR(__xludf.DUMMYFUNCTION("""COMPUTED_VALUE"""),42866.99861111111)</f>
        <v>42866.99861</v>
      </c>
      <c r="B2425" s="1">
        <f>IFERROR(__xludf.DUMMYFUNCTION("""COMPUTED_VALUE"""),9817.6)</f>
        <v>9817.6</v>
      </c>
    </row>
    <row r="2426">
      <c r="A2426" s="3">
        <f>IFERROR(__xludf.DUMMYFUNCTION("""COMPUTED_VALUE"""),42867.99861111111)</f>
        <v>42867.99861</v>
      </c>
      <c r="B2426" s="1">
        <f>IFERROR(__xludf.DUMMYFUNCTION("""COMPUTED_VALUE"""),9835.2579)</f>
        <v>9835.2579</v>
      </c>
    </row>
    <row r="2427">
      <c r="A2427" s="3">
        <f>IFERROR(__xludf.DUMMYFUNCTION("""COMPUTED_VALUE"""),42869.99861111111)</f>
        <v>42869.99861</v>
      </c>
      <c r="B2427" s="1">
        <f>IFERROR(__xludf.DUMMYFUNCTION("""COMPUTED_VALUE"""),9848.49483)</f>
        <v>9848.49483</v>
      </c>
    </row>
    <row r="2428">
      <c r="A2428" s="3">
        <f>IFERROR(__xludf.DUMMYFUNCTION("""COMPUTED_VALUE"""),42870.99861111111)</f>
        <v>42870.99861</v>
      </c>
      <c r="B2428" s="1">
        <f>IFERROR(__xludf.DUMMYFUNCTION("""COMPUTED_VALUE"""),9856.27435)</f>
        <v>9856.27435</v>
      </c>
    </row>
    <row r="2429">
      <c r="A2429" s="3">
        <f>IFERROR(__xludf.DUMMYFUNCTION("""COMPUTED_VALUE"""),42871.99861111111)</f>
        <v>42871.99861</v>
      </c>
      <c r="B2429" s="1">
        <f>IFERROR(__xludf.DUMMYFUNCTION("""COMPUTED_VALUE"""),9849.04252)</f>
        <v>9849.04252</v>
      </c>
    </row>
    <row r="2430">
      <c r="A2430" s="3">
        <f>IFERROR(__xludf.DUMMYFUNCTION("""COMPUTED_VALUE"""),42872.99861111111)</f>
        <v>42872.99861</v>
      </c>
      <c r="B2430" s="1">
        <f>IFERROR(__xludf.DUMMYFUNCTION("""COMPUTED_VALUE"""),9895.80672)</f>
        <v>9895.80672</v>
      </c>
    </row>
    <row r="2431">
      <c r="A2431" s="3">
        <f>IFERROR(__xludf.DUMMYFUNCTION("""COMPUTED_VALUE"""),42873.99861111111)</f>
        <v>42873.99861</v>
      </c>
      <c r="B2431" s="1">
        <f>IFERROR(__xludf.DUMMYFUNCTION("""COMPUTED_VALUE"""),9939.3782)</f>
        <v>9939.3782</v>
      </c>
    </row>
    <row r="2432">
      <c r="A2432" s="3">
        <f>IFERROR(__xludf.DUMMYFUNCTION("""COMPUTED_VALUE"""),42874.99861111111)</f>
        <v>42874.99861</v>
      </c>
      <c r="B2432" s="1">
        <f>IFERROR(__xludf.DUMMYFUNCTION("""COMPUTED_VALUE"""),9931.95066)</f>
        <v>9931.95066</v>
      </c>
    </row>
    <row r="2433">
      <c r="A2433" s="3">
        <f>IFERROR(__xludf.DUMMYFUNCTION("""COMPUTED_VALUE"""),42875.99861111111)</f>
        <v>42875.99861</v>
      </c>
      <c r="B2433" s="1">
        <f>IFERROR(__xludf.DUMMYFUNCTION("""COMPUTED_VALUE"""),9941.330848)</f>
        <v>9941.330848</v>
      </c>
    </row>
    <row r="2434">
      <c r="A2434" s="3">
        <f>IFERROR(__xludf.DUMMYFUNCTION("""COMPUTED_VALUE"""),42876.99861111111)</f>
        <v>42876.99861</v>
      </c>
      <c r="B2434" s="1">
        <f>IFERROR(__xludf.DUMMYFUNCTION("""COMPUTED_VALUE"""),9931.09264)</f>
        <v>9931.09264</v>
      </c>
    </row>
    <row r="2435">
      <c r="A2435" s="3">
        <f>IFERROR(__xludf.DUMMYFUNCTION("""COMPUTED_VALUE"""),42877.99861111111)</f>
        <v>42877.99861</v>
      </c>
      <c r="B2435" s="1">
        <f>IFERROR(__xludf.DUMMYFUNCTION("""COMPUTED_VALUE"""),9931.84608)</f>
        <v>9931.84608</v>
      </c>
    </row>
    <row r="2436">
      <c r="A2436" s="3">
        <f>IFERROR(__xludf.DUMMYFUNCTION("""COMPUTED_VALUE"""),42878.99861111111)</f>
        <v>42878.99861</v>
      </c>
      <c r="B2436" s="1">
        <f>IFERROR(__xludf.DUMMYFUNCTION("""COMPUTED_VALUE"""),9933.97344)</f>
        <v>9933.97344</v>
      </c>
    </row>
    <row r="2437">
      <c r="A2437" s="3">
        <f>IFERROR(__xludf.DUMMYFUNCTION("""COMPUTED_VALUE"""),42879.99861111111)</f>
        <v>42879.99861</v>
      </c>
      <c r="B2437" s="1">
        <f>IFERROR(__xludf.DUMMYFUNCTION("""COMPUTED_VALUE"""),9972.64242)</f>
        <v>9972.64242</v>
      </c>
    </row>
    <row r="2438">
      <c r="A2438" s="3">
        <f>IFERROR(__xludf.DUMMYFUNCTION("""COMPUTED_VALUE"""),42880.99861111111)</f>
        <v>42880.99861</v>
      </c>
      <c r="B2438" s="1">
        <f>IFERROR(__xludf.DUMMYFUNCTION("""COMPUTED_VALUE"""),9917.04006)</f>
        <v>9917.04006</v>
      </c>
    </row>
    <row r="2439">
      <c r="A2439" s="3">
        <f>IFERROR(__xludf.DUMMYFUNCTION("""COMPUTED_VALUE"""),42881.99861111111)</f>
        <v>42881.99861</v>
      </c>
      <c r="B2439" s="1">
        <f>IFERROR(__xludf.DUMMYFUNCTION("""COMPUTED_VALUE"""),9899.1911)</f>
        <v>9899.1911</v>
      </c>
    </row>
    <row r="2440">
      <c r="A2440" s="3">
        <f>IFERROR(__xludf.DUMMYFUNCTION("""COMPUTED_VALUE"""),42882.99861111111)</f>
        <v>42882.99861</v>
      </c>
      <c r="B2440" s="1">
        <f>IFERROR(__xludf.DUMMYFUNCTION("""COMPUTED_VALUE"""),9894.2448)</f>
        <v>9894.2448</v>
      </c>
    </row>
    <row r="2441">
      <c r="A2441" s="3">
        <f>IFERROR(__xludf.DUMMYFUNCTION("""COMPUTED_VALUE"""),42883.99861111111)</f>
        <v>42883.99861</v>
      </c>
      <c r="B2441" s="1">
        <f>IFERROR(__xludf.DUMMYFUNCTION("""COMPUTED_VALUE"""),9891.45432)</f>
        <v>9891.45432</v>
      </c>
    </row>
    <row r="2442">
      <c r="A2442" s="3">
        <f>IFERROR(__xludf.DUMMYFUNCTION("""COMPUTED_VALUE"""),42884.99861111111)</f>
        <v>42884.99861</v>
      </c>
      <c r="B2442" s="1">
        <f>IFERROR(__xludf.DUMMYFUNCTION("""COMPUTED_VALUE"""),9904.62905)</f>
        <v>9904.62905</v>
      </c>
    </row>
    <row r="2443">
      <c r="A2443" s="3">
        <f>IFERROR(__xludf.DUMMYFUNCTION("""COMPUTED_VALUE"""),42885.99861111111)</f>
        <v>42885.99861</v>
      </c>
      <c r="B2443" s="1">
        <f>IFERROR(__xludf.DUMMYFUNCTION("""COMPUTED_VALUE"""),9934.77529)</f>
        <v>9934.77529</v>
      </c>
    </row>
    <row r="2444">
      <c r="A2444" s="3">
        <f>IFERROR(__xludf.DUMMYFUNCTION("""COMPUTED_VALUE"""),42886.99861111111)</f>
        <v>42886.99861</v>
      </c>
      <c r="B2444" s="1">
        <f>IFERROR(__xludf.DUMMYFUNCTION("""COMPUTED_VALUE"""),9871.32676)</f>
        <v>9871.32676</v>
      </c>
    </row>
    <row r="2445">
      <c r="A2445" s="3">
        <f>IFERROR(__xludf.DUMMYFUNCTION("""COMPUTED_VALUE"""),42887.99861111111)</f>
        <v>42887.99861</v>
      </c>
      <c r="B2445" s="1">
        <f>IFERROR(__xludf.DUMMYFUNCTION("""COMPUTED_VALUE"""),9804.28504)</f>
        <v>9804.28504</v>
      </c>
    </row>
    <row r="2446">
      <c r="A2446" s="3">
        <f>IFERROR(__xludf.DUMMYFUNCTION("""COMPUTED_VALUE"""),42888.99861111111)</f>
        <v>42888.99861</v>
      </c>
      <c r="B2446" s="1">
        <f>IFERROR(__xludf.DUMMYFUNCTION("""COMPUTED_VALUE"""),9886.1126)</f>
        <v>9886.1126</v>
      </c>
    </row>
    <row r="2447">
      <c r="A2447" s="3">
        <f>IFERROR(__xludf.DUMMYFUNCTION("""COMPUTED_VALUE"""),42889.99861111111)</f>
        <v>42889.99861</v>
      </c>
      <c r="B2447" s="1">
        <f>IFERROR(__xludf.DUMMYFUNCTION("""COMPUTED_VALUE"""),9896.8456)</f>
        <v>9896.8456</v>
      </c>
    </row>
    <row r="2448">
      <c r="A2448" s="3">
        <f>IFERROR(__xludf.DUMMYFUNCTION("""COMPUTED_VALUE"""),42890.99861111111)</f>
        <v>42890.99861</v>
      </c>
      <c r="B2448" s="1">
        <f>IFERROR(__xludf.DUMMYFUNCTION("""COMPUTED_VALUE"""),9882.2112)</f>
        <v>9882.2112</v>
      </c>
    </row>
    <row r="2449">
      <c r="A2449" s="3">
        <f>IFERROR(__xludf.DUMMYFUNCTION("""COMPUTED_VALUE"""),42891.99861111111)</f>
        <v>42891.99861</v>
      </c>
      <c r="B2449" s="1">
        <f>IFERROR(__xludf.DUMMYFUNCTION("""COMPUTED_VALUE"""),9944.45078)</f>
        <v>9944.45078</v>
      </c>
    </row>
    <row r="2450">
      <c r="A2450" s="3">
        <f>IFERROR(__xludf.DUMMYFUNCTION("""COMPUTED_VALUE"""),42892.99861111111)</f>
        <v>42892.99861</v>
      </c>
      <c r="B2450" s="1">
        <f>IFERROR(__xludf.DUMMYFUNCTION("""COMPUTED_VALUE"""),9956.31569)</f>
        <v>9956.31569</v>
      </c>
    </row>
    <row r="2451">
      <c r="A2451" s="3">
        <f>IFERROR(__xludf.DUMMYFUNCTION("""COMPUTED_VALUE"""),42893.99861111111)</f>
        <v>42893.99861</v>
      </c>
      <c r="B2451" s="1">
        <f>IFERROR(__xludf.DUMMYFUNCTION("""COMPUTED_VALUE"""),10035.3394)</f>
        <v>10035.3394</v>
      </c>
    </row>
    <row r="2452">
      <c r="A2452" s="3">
        <f>IFERROR(__xludf.DUMMYFUNCTION("""COMPUTED_VALUE"""),42894.99861111111)</f>
        <v>42894.99861</v>
      </c>
      <c r="B2452" s="1">
        <f>IFERROR(__xludf.DUMMYFUNCTION("""COMPUTED_VALUE"""),10004.04594)</f>
        <v>10004.04594</v>
      </c>
    </row>
    <row r="2453">
      <c r="A2453" s="3">
        <f>IFERROR(__xludf.DUMMYFUNCTION("""COMPUTED_VALUE"""),42895.99861111111)</f>
        <v>42895.99861</v>
      </c>
      <c r="B2453" s="1">
        <f>IFERROR(__xludf.DUMMYFUNCTION("""COMPUTED_VALUE"""),10003.02897)</f>
        <v>10003.02897</v>
      </c>
    </row>
    <row r="2454">
      <c r="A2454" s="3">
        <f>IFERROR(__xludf.DUMMYFUNCTION("""COMPUTED_VALUE"""),42896.99861111111)</f>
        <v>42896.99861</v>
      </c>
      <c r="B2454" s="1">
        <f>IFERROR(__xludf.DUMMYFUNCTION("""COMPUTED_VALUE"""),9992.6244)</f>
        <v>9992.6244</v>
      </c>
    </row>
    <row r="2455">
      <c r="A2455" s="3">
        <f>IFERROR(__xludf.DUMMYFUNCTION("""COMPUTED_VALUE"""),42897.99861111111)</f>
        <v>42897.99861</v>
      </c>
      <c r="B2455" s="1">
        <f>IFERROR(__xludf.DUMMYFUNCTION("""COMPUTED_VALUE"""),10005.817)</f>
        <v>10005.817</v>
      </c>
    </row>
    <row r="2456">
      <c r="A2456" s="3">
        <f>IFERROR(__xludf.DUMMYFUNCTION("""COMPUTED_VALUE"""),42898.99861111111)</f>
        <v>42898.99861</v>
      </c>
      <c r="B2456" s="1">
        <f>IFERROR(__xludf.DUMMYFUNCTION("""COMPUTED_VALUE"""),10048.47522)</f>
        <v>10048.47522</v>
      </c>
    </row>
    <row r="2457">
      <c r="A2457" s="3">
        <f>IFERROR(__xludf.DUMMYFUNCTION("""COMPUTED_VALUE"""),42899.99861111111)</f>
        <v>42899.99861</v>
      </c>
      <c r="B2457" s="1">
        <f>IFERROR(__xludf.DUMMYFUNCTION("""COMPUTED_VALUE"""),10006.6588)</f>
        <v>10006.6588</v>
      </c>
    </row>
    <row r="2458">
      <c r="A2458" s="3">
        <f>IFERROR(__xludf.DUMMYFUNCTION("""COMPUTED_VALUE"""),42900.99861111111)</f>
        <v>42900.99861</v>
      </c>
      <c r="B2458" s="1">
        <f>IFERROR(__xludf.DUMMYFUNCTION("""COMPUTED_VALUE"""),10081.68252)</f>
        <v>10081.68252</v>
      </c>
    </row>
    <row r="2459">
      <c r="A2459" s="3">
        <f>IFERROR(__xludf.DUMMYFUNCTION("""COMPUTED_VALUE"""),42901.99861111111)</f>
        <v>42901.99861</v>
      </c>
      <c r="B2459" s="1">
        <f>IFERROR(__xludf.DUMMYFUNCTION("""COMPUTED_VALUE"""),10083.10018)</f>
        <v>10083.10018</v>
      </c>
    </row>
    <row r="2460">
      <c r="A2460" s="3">
        <f>IFERROR(__xludf.DUMMYFUNCTION("""COMPUTED_VALUE"""),42902.99861111111)</f>
        <v>42902.99861</v>
      </c>
      <c r="B2460" s="1">
        <f>IFERROR(__xludf.DUMMYFUNCTION("""COMPUTED_VALUE"""),10123.1259)</f>
        <v>10123.1259</v>
      </c>
    </row>
    <row r="2461">
      <c r="A2461" s="3">
        <f>IFERROR(__xludf.DUMMYFUNCTION("""COMPUTED_VALUE"""),42903.99861111111)</f>
        <v>42903.99861</v>
      </c>
      <c r="B2461" s="1">
        <f>IFERROR(__xludf.DUMMYFUNCTION("""COMPUTED_VALUE"""),10122.7984)</f>
        <v>10122.7984</v>
      </c>
    </row>
    <row r="2462">
      <c r="A2462" s="3">
        <f>IFERROR(__xludf.DUMMYFUNCTION("""COMPUTED_VALUE"""),42904.99861111111)</f>
        <v>42904.99861</v>
      </c>
      <c r="B2462" s="1">
        <f>IFERROR(__xludf.DUMMYFUNCTION("""COMPUTED_VALUE"""),10118.66724)</f>
        <v>10118.66724</v>
      </c>
    </row>
    <row r="2463">
      <c r="A2463" s="3">
        <f>IFERROR(__xludf.DUMMYFUNCTION("""COMPUTED_VALUE"""),42905.99861111111)</f>
        <v>42905.99861</v>
      </c>
      <c r="B2463" s="1">
        <f>IFERROR(__xludf.DUMMYFUNCTION("""COMPUTED_VALUE"""),10085.80118)</f>
        <v>10085.80118</v>
      </c>
    </row>
    <row r="2464">
      <c r="A2464" s="3">
        <f>IFERROR(__xludf.DUMMYFUNCTION("""COMPUTED_VALUE"""),42906.99861111111)</f>
        <v>42906.99861</v>
      </c>
      <c r="B2464" s="1">
        <f>IFERROR(__xludf.DUMMYFUNCTION("""COMPUTED_VALUE"""),10068.59705)</f>
        <v>10068.59705</v>
      </c>
    </row>
    <row r="2465">
      <c r="A2465" s="3">
        <f>IFERROR(__xludf.DUMMYFUNCTION("""COMPUTED_VALUE"""),42907.99861111111)</f>
        <v>42907.99861</v>
      </c>
      <c r="B2465" s="1">
        <f>IFERROR(__xludf.DUMMYFUNCTION("""COMPUTED_VALUE"""),10042.38801)</f>
        <v>10042.38801</v>
      </c>
    </row>
    <row r="2466">
      <c r="A2466" s="3">
        <f>IFERROR(__xludf.DUMMYFUNCTION("""COMPUTED_VALUE"""),42908.99861111111)</f>
        <v>42908.99861</v>
      </c>
      <c r="B2466" s="1">
        <f>IFERROR(__xludf.DUMMYFUNCTION("""COMPUTED_VALUE"""),10059.78105)</f>
        <v>10059.78105</v>
      </c>
    </row>
    <row r="2467">
      <c r="A2467" s="3">
        <f>IFERROR(__xludf.DUMMYFUNCTION("""COMPUTED_VALUE"""),42909.99861111111)</f>
        <v>42909.99861</v>
      </c>
      <c r="B2467" s="1">
        <f>IFERROR(__xludf.DUMMYFUNCTION("""COMPUTED_VALUE"""),10072.38429)</f>
        <v>10072.38429</v>
      </c>
    </row>
    <row r="2468">
      <c r="A2468" s="3">
        <f>IFERROR(__xludf.DUMMYFUNCTION("""COMPUTED_VALUE"""),42910.99861111111)</f>
        <v>42910.99861</v>
      </c>
      <c r="B2468" s="1">
        <f>IFERROR(__xludf.DUMMYFUNCTION("""COMPUTED_VALUE"""),10075.89181)</f>
        <v>10075.89181</v>
      </c>
    </row>
    <row r="2469">
      <c r="A2469" s="3">
        <f>IFERROR(__xludf.DUMMYFUNCTION("""COMPUTED_VALUE"""),42911.99861111111)</f>
        <v>42911.99861</v>
      </c>
      <c r="B2469" s="1">
        <f>IFERROR(__xludf.DUMMYFUNCTION("""COMPUTED_VALUE"""),10052.0028)</f>
        <v>10052.0028</v>
      </c>
    </row>
    <row r="2470">
      <c r="A2470" s="3">
        <f>IFERROR(__xludf.DUMMYFUNCTION("""COMPUTED_VALUE"""),42912.99861111111)</f>
        <v>42912.99861</v>
      </c>
      <c r="B2470" s="1">
        <f>IFERROR(__xludf.DUMMYFUNCTION("""COMPUTED_VALUE"""),10100.23802)</f>
        <v>10100.23802</v>
      </c>
    </row>
    <row r="2471">
      <c r="A2471" s="3">
        <f>IFERROR(__xludf.DUMMYFUNCTION("""COMPUTED_VALUE"""),42913.99861111111)</f>
        <v>42913.99861</v>
      </c>
      <c r="B2471" s="1">
        <f>IFERROR(__xludf.DUMMYFUNCTION("""COMPUTED_VALUE"""),10095.4488)</f>
        <v>10095.4488</v>
      </c>
    </row>
    <row r="2472">
      <c r="A2472" s="3">
        <f>IFERROR(__xludf.DUMMYFUNCTION("""COMPUTED_VALUE"""),42914.99861111111)</f>
        <v>42914.99861</v>
      </c>
      <c r="B2472" s="1">
        <f>IFERROR(__xludf.DUMMYFUNCTION("""COMPUTED_VALUE"""),10152.02784)</f>
        <v>10152.02784</v>
      </c>
    </row>
    <row r="2473">
      <c r="A2473" s="3">
        <f>IFERROR(__xludf.DUMMYFUNCTION("""COMPUTED_VALUE"""),42915.99861111111)</f>
        <v>42915.99861</v>
      </c>
      <c r="B2473" s="1">
        <f>IFERROR(__xludf.DUMMYFUNCTION("""COMPUTED_VALUE"""),10203.4791)</f>
        <v>10203.4791</v>
      </c>
    </row>
    <row r="2474">
      <c r="A2474" s="3">
        <f>IFERROR(__xludf.DUMMYFUNCTION("""COMPUTED_VALUE"""),42916.99861111111)</f>
        <v>42916.99861</v>
      </c>
      <c r="B2474" s="1">
        <f>IFERROR(__xludf.DUMMYFUNCTION("""COMPUTED_VALUE"""),10233.30371)</f>
        <v>10233.30371</v>
      </c>
    </row>
    <row r="2475">
      <c r="A2475" s="3">
        <f>IFERROR(__xludf.DUMMYFUNCTION("""COMPUTED_VALUE"""),42917.99861111111)</f>
        <v>42917.99861</v>
      </c>
      <c r="B2475" s="1">
        <f>IFERROR(__xludf.DUMMYFUNCTION("""COMPUTED_VALUE"""),10221.196)</f>
        <v>10221.196</v>
      </c>
    </row>
    <row r="2476">
      <c r="A2476" s="3">
        <f>IFERROR(__xludf.DUMMYFUNCTION("""COMPUTED_VALUE"""),42918.99861111111)</f>
        <v>42918.99861</v>
      </c>
      <c r="B2476" s="1">
        <f>IFERROR(__xludf.DUMMYFUNCTION("""COMPUTED_VALUE"""),10222.8375)</f>
        <v>10222.8375</v>
      </c>
    </row>
    <row r="2477">
      <c r="A2477" s="3">
        <f>IFERROR(__xludf.DUMMYFUNCTION("""COMPUTED_VALUE"""),42919.99861111111)</f>
        <v>42919.99861</v>
      </c>
      <c r="B2477" s="1">
        <f>IFERROR(__xludf.DUMMYFUNCTION("""COMPUTED_VALUE"""),10244.04056)</f>
        <v>10244.04056</v>
      </c>
    </row>
    <row r="2478">
      <c r="A2478" s="3">
        <f>IFERROR(__xludf.DUMMYFUNCTION("""COMPUTED_VALUE"""),42920.99861111111)</f>
        <v>42920.99861</v>
      </c>
      <c r="B2478" s="1">
        <f>IFERROR(__xludf.DUMMYFUNCTION("""COMPUTED_VALUE"""),10162.11365)</f>
        <v>10162.11365</v>
      </c>
    </row>
    <row r="2479">
      <c r="A2479" s="3">
        <f>IFERROR(__xludf.DUMMYFUNCTION("""COMPUTED_VALUE"""),42921.99861111111)</f>
        <v>42921.99861</v>
      </c>
      <c r="B2479" s="1">
        <f>IFERROR(__xludf.DUMMYFUNCTION("""COMPUTED_VALUE"""),10155.07822)</f>
        <v>10155.07822</v>
      </c>
    </row>
    <row r="2480">
      <c r="A2480" s="3">
        <f>IFERROR(__xludf.DUMMYFUNCTION("""COMPUTED_VALUE"""),42922.99861111111)</f>
        <v>42922.99861</v>
      </c>
      <c r="B2480" s="1">
        <f>IFERROR(__xludf.DUMMYFUNCTION("""COMPUTED_VALUE"""),10143.51102)</f>
        <v>10143.51102</v>
      </c>
    </row>
    <row r="2481">
      <c r="A2481" s="3">
        <f>IFERROR(__xludf.DUMMYFUNCTION("""COMPUTED_VALUE"""),42923.99861111111)</f>
        <v>42923.99861</v>
      </c>
      <c r="B2481" s="1">
        <f>IFERROR(__xludf.DUMMYFUNCTION("""COMPUTED_VALUE"""),10190.61505)</f>
        <v>10190.61505</v>
      </c>
    </row>
    <row r="2482">
      <c r="A2482" s="3">
        <f>IFERROR(__xludf.DUMMYFUNCTION("""COMPUTED_VALUE"""),42924.99861111111)</f>
        <v>42924.99861</v>
      </c>
      <c r="B2482" s="1">
        <f>IFERROR(__xludf.DUMMYFUNCTION("""COMPUTED_VALUE"""),10204.02016)</f>
        <v>10204.02016</v>
      </c>
    </row>
    <row r="2483">
      <c r="A2483" s="3">
        <f>IFERROR(__xludf.DUMMYFUNCTION("""COMPUTED_VALUE"""),42925.99861111111)</f>
        <v>42925.99861</v>
      </c>
      <c r="B2483" s="1">
        <f>IFERROR(__xludf.DUMMYFUNCTION("""COMPUTED_VALUE"""),10195.84544)</f>
        <v>10195.84544</v>
      </c>
    </row>
    <row r="2484">
      <c r="A2484" s="3">
        <f>IFERROR(__xludf.DUMMYFUNCTION("""COMPUTED_VALUE"""),42926.99861111111)</f>
        <v>42926.99861</v>
      </c>
      <c r="B2484" s="1">
        <f>IFERROR(__xludf.DUMMYFUNCTION("""COMPUTED_VALUE"""),10181.97564)</f>
        <v>10181.97564</v>
      </c>
    </row>
    <row r="2485">
      <c r="A2485" s="3">
        <f>IFERROR(__xludf.DUMMYFUNCTION("""COMPUTED_VALUE"""),42927.99861111111)</f>
        <v>42927.99861</v>
      </c>
      <c r="B2485" s="1">
        <f>IFERROR(__xludf.DUMMYFUNCTION("""COMPUTED_VALUE"""),10196.36667)</f>
        <v>10196.36667</v>
      </c>
    </row>
    <row r="2486">
      <c r="A2486" s="3">
        <f>IFERROR(__xludf.DUMMYFUNCTION("""COMPUTED_VALUE"""),42928.99861111111)</f>
        <v>42928.99861</v>
      </c>
      <c r="B2486" s="1">
        <f>IFERROR(__xludf.DUMMYFUNCTION("""COMPUTED_VALUE"""),10260.77955)</f>
        <v>10260.77955</v>
      </c>
    </row>
    <row r="2487">
      <c r="A2487" s="3">
        <f>IFERROR(__xludf.DUMMYFUNCTION("""COMPUTED_VALUE"""),42929.99861111111)</f>
        <v>42929.99861</v>
      </c>
      <c r="B2487" s="1">
        <f>IFERROR(__xludf.DUMMYFUNCTION("""COMPUTED_VALUE"""),10325.40036)</f>
        <v>10325.40036</v>
      </c>
    </row>
    <row r="2488">
      <c r="A2488" s="3">
        <f>IFERROR(__xludf.DUMMYFUNCTION("""COMPUTED_VALUE"""),42930.99861111111)</f>
        <v>42930.99861</v>
      </c>
      <c r="B2488" s="1">
        <f>IFERROR(__xludf.DUMMYFUNCTION("""COMPUTED_VALUE"""),10412.644)</f>
        <v>10412.644</v>
      </c>
    </row>
    <row r="2489">
      <c r="A2489" s="3">
        <f>IFERROR(__xludf.DUMMYFUNCTION("""COMPUTED_VALUE"""),42932.99861111111)</f>
        <v>42932.99861</v>
      </c>
      <c r="B2489" s="1">
        <f>IFERROR(__xludf.DUMMYFUNCTION("""COMPUTED_VALUE"""),10431.75672)</f>
        <v>10431.75672</v>
      </c>
    </row>
    <row r="2490">
      <c r="A2490" s="3">
        <f>IFERROR(__xludf.DUMMYFUNCTION("""COMPUTED_VALUE"""),42933.99861111111)</f>
        <v>42933.99861</v>
      </c>
      <c r="B2490" s="1">
        <f>IFERROR(__xludf.DUMMYFUNCTION("""COMPUTED_VALUE"""),10377.19221)</f>
        <v>10377.19221</v>
      </c>
    </row>
    <row r="2491">
      <c r="A2491" s="3">
        <f>IFERROR(__xludf.DUMMYFUNCTION("""COMPUTED_VALUE"""),42934.99861111111)</f>
        <v>42934.99861</v>
      </c>
      <c r="B2491" s="1">
        <f>IFERROR(__xludf.DUMMYFUNCTION("""COMPUTED_VALUE"""),10531.72548)</f>
        <v>10531.72548</v>
      </c>
    </row>
    <row r="2492">
      <c r="A2492" s="3">
        <f>IFERROR(__xludf.DUMMYFUNCTION("""COMPUTED_VALUE"""),42935.99861111111)</f>
        <v>42935.99861</v>
      </c>
      <c r="B2492" s="1">
        <f>IFERROR(__xludf.DUMMYFUNCTION("""COMPUTED_VALUE"""),10593.29855)</f>
        <v>10593.29855</v>
      </c>
    </row>
    <row r="2493">
      <c r="A2493" s="3">
        <f>IFERROR(__xludf.DUMMYFUNCTION("""COMPUTED_VALUE"""),42936.99861111111)</f>
        <v>42936.99861</v>
      </c>
      <c r="B2493" s="1">
        <f>IFERROR(__xludf.DUMMYFUNCTION("""COMPUTED_VALUE"""),10572.42622)</f>
        <v>10572.42622</v>
      </c>
    </row>
    <row r="2494">
      <c r="A2494" s="3">
        <f>IFERROR(__xludf.DUMMYFUNCTION("""COMPUTED_VALUE"""),42937.99861111111)</f>
        <v>42937.99861</v>
      </c>
      <c r="B2494" s="1">
        <f>IFERROR(__xludf.DUMMYFUNCTION("""COMPUTED_VALUE"""),10541.17372)</f>
        <v>10541.17372</v>
      </c>
    </row>
    <row r="2495">
      <c r="A2495" s="3">
        <f>IFERROR(__xludf.DUMMYFUNCTION("""COMPUTED_VALUE"""),42938.99861111111)</f>
        <v>42938.99861</v>
      </c>
      <c r="B2495" s="1">
        <f>IFERROR(__xludf.DUMMYFUNCTION("""COMPUTED_VALUE"""),10543.0308)</f>
        <v>10543.0308</v>
      </c>
    </row>
    <row r="2496">
      <c r="A2496" s="3">
        <f>IFERROR(__xludf.DUMMYFUNCTION("""COMPUTED_VALUE"""),42939.99861111111)</f>
        <v>42939.99861</v>
      </c>
      <c r="B2496" s="1">
        <f>IFERROR(__xludf.DUMMYFUNCTION("""COMPUTED_VALUE"""),10511.84925)</f>
        <v>10511.84925</v>
      </c>
    </row>
    <row r="2497">
      <c r="A2497" s="3">
        <f>IFERROR(__xludf.DUMMYFUNCTION("""COMPUTED_VALUE"""),42940.99861111111)</f>
        <v>42940.99861</v>
      </c>
      <c r="B2497" s="1">
        <f>IFERROR(__xludf.DUMMYFUNCTION("""COMPUTED_VALUE"""),10551.5984)</f>
        <v>10551.5984</v>
      </c>
    </row>
    <row r="2498">
      <c r="A2498" s="3">
        <f>IFERROR(__xludf.DUMMYFUNCTION("""COMPUTED_VALUE"""),42941.99861111111)</f>
        <v>42941.99861</v>
      </c>
      <c r="B2498" s="1">
        <f>IFERROR(__xludf.DUMMYFUNCTION("""COMPUTED_VALUE"""),10572.70256)</f>
        <v>10572.70256</v>
      </c>
    </row>
    <row r="2499">
      <c r="A2499" s="3">
        <f>IFERROR(__xludf.DUMMYFUNCTION("""COMPUTED_VALUE"""),42942.99861111111)</f>
        <v>42942.99861</v>
      </c>
      <c r="B2499" s="1">
        <f>IFERROR(__xludf.DUMMYFUNCTION("""COMPUTED_VALUE"""),10662.26697)</f>
        <v>10662.26697</v>
      </c>
    </row>
    <row r="2500">
      <c r="A2500" s="3">
        <f>IFERROR(__xludf.DUMMYFUNCTION("""COMPUTED_VALUE"""),42943.99861111111)</f>
        <v>42943.99861</v>
      </c>
      <c r="B2500" s="1">
        <f>IFERROR(__xludf.DUMMYFUNCTION("""COMPUTED_VALUE"""),10612.8603)</f>
        <v>10612.8603</v>
      </c>
    </row>
    <row r="2501">
      <c r="A2501" s="3">
        <f>IFERROR(__xludf.DUMMYFUNCTION("""COMPUTED_VALUE"""),42944.99861111111)</f>
        <v>42944.99861</v>
      </c>
      <c r="B2501" s="1">
        <f>IFERROR(__xludf.DUMMYFUNCTION("""COMPUTED_VALUE"""),10647.06405)</f>
        <v>10647.06405</v>
      </c>
    </row>
    <row r="2502">
      <c r="A2502" s="3">
        <f>IFERROR(__xludf.DUMMYFUNCTION("""COMPUTED_VALUE"""),42945.99861111111)</f>
        <v>42945.99861</v>
      </c>
      <c r="B2502" s="1">
        <f>IFERROR(__xludf.DUMMYFUNCTION("""COMPUTED_VALUE"""),10636.02)</f>
        <v>10636.02</v>
      </c>
    </row>
    <row r="2503">
      <c r="A2503" s="3">
        <f>IFERROR(__xludf.DUMMYFUNCTION("""COMPUTED_VALUE"""),42946.99861111111)</f>
        <v>42946.99861</v>
      </c>
      <c r="B2503" s="1">
        <f>IFERROR(__xludf.DUMMYFUNCTION("""COMPUTED_VALUE"""),10634.688)</f>
        <v>10634.688</v>
      </c>
    </row>
    <row r="2504">
      <c r="A2504" s="3">
        <f>IFERROR(__xludf.DUMMYFUNCTION("""COMPUTED_VALUE"""),42947.99861111111)</f>
        <v>42947.99861</v>
      </c>
      <c r="B2504" s="1">
        <f>IFERROR(__xludf.DUMMYFUNCTION("""COMPUTED_VALUE"""),10651.86958)</f>
        <v>10651.86958</v>
      </c>
    </row>
    <row r="2505">
      <c r="A2505" s="3">
        <f>IFERROR(__xludf.DUMMYFUNCTION("""COMPUTED_VALUE"""),42948.99861111111)</f>
        <v>42948.99861</v>
      </c>
      <c r="B2505" s="1">
        <f>IFERROR(__xludf.DUMMYFUNCTION("""COMPUTED_VALUE"""),10594.20618)</f>
        <v>10594.20618</v>
      </c>
    </row>
    <row r="2506">
      <c r="A2506" s="3">
        <f>IFERROR(__xludf.DUMMYFUNCTION("""COMPUTED_VALUE"""),42949.99861111111)</f>
        <v>42949.99861</v>
      </c>
      <c r="B2506" s="1">
        <f>IFERROR(__xludf.DUMMYFUNCTION("""COMPUTED_VALUE"""),10591.0101)</f>
        <v>10591.0101</v>
      </c>
    </row>
    <row r="2507">
      <c r="A2507" s="3">
        <f>IFERROR(__xludf.DUMMYFUNCTION("""COMPUTED_VALUE"""),42950.99861111111)</f>
        <v>42950.99861</v>
      </c>
      <c r="B2507" s="1">
        <f>IFERROR(__xludf.DUMMYFUNCTION("""COMPUTED_VALUE"""),10598.46106)</f>
        <v>10598.46106</v>
      </c>
    </row>
    <row r="2508">
      <c r="A2508" s="3">
        <f>IFERROR(__xludf.DUMMYFUNCTION("""COMPUTED_VALUE"""),42951.99861111111)</f>
        <v>42951.99861</v>
      </c>
      <c r="B2508" s="1">
        <f>IFERROR(__xludf.DUMMYFUNCTION("""COMPUTED_VALUE"""),10553.88672)</f>
        <v>10553.88672</v>
      </c>
    </row>
    <row r="2509">
      <c r="A2509" s="3">
        <f>IFERROR(__xludf.DUMMYFUNCTION("""COMPUTED_VALUE"""),42953.99861111111)</f>
        <v>42953.99861</v>
      </c>
      <c r="B2509" s="1">
        <f>IFERROR(__xludf.DUMMYFUNCTION("""COMPUTED_VALUE"""),10552.97228)</f>
        <v>10552.97228</v>
      </c>
    </row>
    <row r="2510">
      <c r="A2510" s="3">
        <f>IFERROR(__xludf.DUMMYFUNCTION("""COMPUTED_VALUE"""),42954.99861111111)</f>
        <v>42954.99861</v>
      </c>
      <c r="B2510" s="1">
        <f>IFERROR(__xludf.DUMMYFUNCTION("""COMPUTED_VALUE"""),10540.28715)</f>
        <v>10540.28715</v>
      </c>
    </row>
    <row r="2511">
      <c r="A2511" s="3">
        <f>IFERROR(__xludf.DUMMYFUNCTION("""COMPUTED_VALUE"""),42955.99861111111)</f>
        <v>42955.99861</v>
      </c>
      <c r="B2511" s="1">
        <f>IFERROR(__xludf.DUMMYFUNCTION("""COMPUTED_VALUE"""),10503.7564)</f>
        <v>10503.7564</v>
      </c>
    </row>
    <row r="2512">
      <c r="A2512" s="3">
        <f>IFERROR(__xludf.DUMMYFUNCTION("""COMPUTED_VALUE"""),42956.99861111111)</f>
        <v>42956.99861</v>
      </c>
      <c r="B2512" s="1">
        <f>IFERROR(__xludf.DUMMYFUNCTION("""COMPUTED_VALUE"""),10515.41334)</f>
        <v>10515.41334</v>
      </c>
    </row>
    <row r="2513">
      <c r="A2513" s="3">
        <f>IFERROR(__xludf.DUMMYFUNCTION("""COMPUTED_VALUE"""),42957.99861111111)</f>
        <v>42957.99861</v>
      </c>
      <c r="B2513" s="1">
        <f>IFERROR(__xludf.DUMMYFUNCTION("""COMPUTED_VALUE"""),10483.0182)</f>
        <v>10483.0182</v>
      </c>
    </row>
    <row r="2514">
      <c r="A2514" s="3">
        <f>IFERROR(__xludf.DUMMYFUNCTION("""COMPUTED_VALUE"""),42958.99861111111)</f>
        <v>42958.99861</v>
      </c>
      <c r="B2514" s="1">
        <f>IFERROR(__xludf.DUMMYFUNCTION("""COMPUTED_VALUE"""),10534.89731)</f>
        <v>10534.89731</v>
      </c>
    </row>
    <row r="2515">
      <c r="A2515" s="3">
        <f>IFERROR(__xludf.DUMMYFUNCTION("""COMPUTED_VALUE"""),42959.99861111111)</f>
        <v>42959.99861</v>
      </c>
      <c r="B2515" s="1">
        <f>IFERROR(__xludf.DUMMYFUNCTION("""COMPUTED_VALUE"""),10537.9443)</f>
        <v>10537.9443</v>
      </c>
    </row>
    <row r="2516">
      <c r="A2516" s="3">
        <f>IFERROR(__xludf.DUMMYFUNCTION("""COMPUTED_VALUE"""),42960.99861111111)</f>
        <v>42960.99861</v>
      </c>
      <c r="B2516" s="1">
        <f>IFERROR(__xludf.DUMMYFUNCTION("""COMPUTED_VALUE"""),10551.69583)</f>
        <v>10551.69583</v>
      </c>
    </row>
    <row r="2517">
      <c r="A2517" s="3">
        <f>IFERROR(__xludf.DUMMYFUNCTION("""COMPUTED_VALUE"""),42961.99861111111)</f>
        <v>42961.99861</v>
      </c>
      <c r="B2517" s="1">
        <f>IFERROR(__xludf.DUMMYFUNCTION("""COMPUTED_VALUE"""),10478.40654)</f>
        <v>10478.40654</v>
      </c>
    </row>
    <row r="2518">
      <c r="A2518" s="3">
        <f>IFERROR(__xludf.DUMMYFUNCTION("""COMPUTED_VALUE"""),42962.99861111111)</f>
        <v>42962.99861</v>
      </c>
      <c r="B2518" s="1">
        <f>IFERROR(__xludf.DUMMYFUNCTION("""COMPUTED_VALUE"""),10450.03916)</f>
        <v>10450.03916</v>
      </c>
    </row>
    <row r="2519">
      <c r="A2519" s="3">
        <f>IFERROR(__xludf.DUMMYFUNCTION("""COMPUTED_VALUE"""),42963.99861111111)</f>
        <v>42963.99861</v>
      </c>
      <c r="B2519" s="1">
        <f>IFERROR(__xludf.DUMMYFUNCTION("""COMPUTED_VALUE"""),10588.8195)</f>
        <v>10588.8195</v>
      </c>
    </row>
    <row r="2520">
      <c r="A2520" s="3">
        <f>IFERROR(__xludf.DUMMYFUNCTION("""COMPUTED_VALUE"""),42964.99861111111)</f>
        <v>42964.99861</v>
      </c>
      <c r="B2520" s="1">
        <f>IFERROR(__xludf.DUMMYFUNCTION("""COMPUTED_VALUE"""),10530.04884)</f>
        <v>10530.04884</v>
      </c>
    </row>
    <row r="2521">
      <c r="A2521" s="3">
        <f>IFERROR(__xludf.DUMMYFUNCTION("""COMPUTED_VALUE"""),42965.99861111111)</f>
        <v>42965.99861</v>
      </c>
      <c r="B2521" s="1">
        <f>IFERROR(__xludf.DUMMYFUNCTION("""COMPUTED_VALUE"""),10586.61574)</f>
        <v>10586.61574</v>
      </c>
    </row>
    <row r="2522">
      <c r="A2522" s="3">
        <f>IFERROR(__xludf.DUMMYFUNCTION("""COMPUTED_VALUE"""),42966.99861111111)</f>
        <v>42966.99861</v>
      </c>
      <c r="B2522" s="1">
        <f>IFERROR(__xludf.DUMMYFUNCTION("""COMPUTED_VALUE"""),10587.844)</f>
        <v>10587.844</v>
      </c>
    </row>
    <row r="2523">
      <c r="A2523" s="3">
        <f>IFERROR(__xludf.DUMMYFUNCTION("""COMPUTED_VALUE"""),42967.99861111111)</f>
        <v>42967.99861</v>
      </c>
      <c r="B2523" s="1">
        <f>IFERROR(__xludf.DUMMYFUNCTION("""COMPUTED_VALUE"""),10586.2414)</f>
        <v>10586.2414</v>
      </c>
    </row>
    <row r="2524">
      <c r="A2524" s="3">
        <f>IFERROR(__xludf.DUMMYFUNCTION("""COMPUTED_VALUE"""),42968.99861111111)</f>
        <v>42968.99861</v>
      </c>
      <c r="B2524" s="1">
        <f>IFERROR(__xludf.DUMMYFUNCTION("""COMPUTED_VALUE"""),10591.53312)</f>
        <v>10591.53312</v>
      </c>
    </row>
    <row r="2525">
      <c r="A2525" s="3">
        <f>IFERROR(__xludf.DUMMYFUNCTION("""COMPUTED_VALUE"""),42969.99861111111)</f>
        <v>42969.99861</v>
      </c>
      <c r="B2525" s="1">
        <f>IFERROR(__xludf.DUMMYFUNCTION("""COMPUTED_VALUE"""),10544.0725)</f>
        <v>10544.0725</v>
      </c>
    </row>
    <row r="2526">
      <c r="A2526" s="3">
        <f>IFERROR(__xludf.DUMMYFUNCTION("""COMPUTED_VALUE"""),42970.99861111111)</f>
        <v>42970.99861</v>
      </c>
      <c r="B2526" s="1">
        <f>IFERROR(__xludf.DUMMYFUNCTION("""COMPUTED_VALUE"""),10561.44206)</f>
        <v>10561.44206</v>
      </c>
    </row>
    <row r="2527">
      <c r="A2527" s="3">
        <f>IFERROR(__xludf.DUMMYFUNCTION("""COMPUTED_VALUE"""),42971.99861111111)</f>
        <v>42971.99861</v>
      </c>
      <c r="B2527" s="1">
        <f>IFERROR(__xludf.DUMMYFUNCTION("""COMPUTED_VALUE"""),10532.80334)</f>
        <v>10532.80334</v>
      </c>
    </row>
    <row r="2528">
      <c r="A2528" s="3">
        <f>IFERROR(__xludf.DUMMYFUNCTION("""COMPUTED_VALUE"""),42972.99861111111)</f>
        <v>42972.99861</v>
      </c>
      <c r="B2528" s="1">
        <f>IFERROR(__xludf.DUMMYFUNCTION("""COMPUTED_VALUE"""),10579.27959)</f>
        <v>10579.27959</v>
      </c>
    </row>
    <row r="2529">
      <c r="A2529" s="3">
        <f>IFERROR(__xludf.DUMMYFUNCTION("""COMPUTED_VALUE"""),42973.99861111111)</f>
        <v>42973.99861</v>
      </c>
      <c r="B2529" s="1">
        <f>IFERROR(__xludf.DUMMYFUNCTION("""COMPUTED_VALUE"""),10580.7471)</f>
        <v>10580.7471</v>
      </c>
    </row>
    <row r="2530">
      <c r="A2530" s="3">
        <f>IFERROR(__xludf.DUMMYFUNCTION("""COMPUTED_VALUE"""),42974.99861111111)</f>
        <v>42974.99861</v>
      </c>
      <c r="B2530" s="1">
        <f>IFERROR(__xludf.DUMMYFUNCTION("""COMPUTED_VALUE"""),10590.76583)</f>
        <v>10590.76583</v>
      </c>
    </row>
    <row r="2531">
      <c r="A2531" s="3">
        <f>IFERROR(__xludf.DUMMYFUNCTION("""COMPUTED_VALUE"""),42975.99861111111)</f>
        <v>42975.99861</v>
      </c>
      <c r="B2531" s="1">
        <f>IFERROR(__xludf.DUMMYFUNCTION("""COMPUTED_VALUE"""),10541.2972)</f>
        <v>10541.2972</v>
      </c>
    </row>
    <row r="2532">
      <c r="A2532" s="3">
        <f>IFERROR(__xludf.DUMMYFUNCTION("""COMPUTED_VALUE"""),42976.99861111111)</f>
        <v>42976.99861</v>
      </c>
      <c r="B2532" s="1">
        <f>IFERROR(__xludf.DUMMYFUNCTION("""COMPUTED_VALUE"""),10607.60147)</f>
        <v>10607.60147</v>
      </c>
    </row>
    <row r="2533">
      <c r="A2533" s="3">
        <f>IFERROR(__xludf.DUMMYFUNCTION("""COMPUTED_VALUE"""),42977.99861111111)</f>
        <v>42977.99861</v>
      </c>
      <c r="B2533" s="1">
        <f>IFERROR(__xludf.DUMMYFUNCTION("""COMPUTED_VALUE"""),10539.1936)</f>
        <v>10539.1936</v>
      </c>
    </row>
    <row r="2534">
      <c r="A2534" s="3">
        <f>IFERROR(__xludf.DUMMYFUNCTION("""COMPUTED_VALUE"""),42978.99861111111)</f>
        <v>42978.99861</v>
      </c>
      <c r="B2534" s="1">
        <f>IFERROR(__xludf.DUMMYFUNCTION("""COMPUTED_VALUE"""),10575.80832)</f>
        <v>10575.80832</v>
      </c>
    </row>
    <row r="2535">
      <c r="A2535" s="3">
        <f>IFERROR(__xludf.DUMMYFUNCTION("""COMPUTED_VALUE"""),42979.99861111111)</f>
        <v>42979.99861</v>
      </c>
      <c r="B2535" s="1">
        <f>IFERROR(__xludf.DUMMYFUNCTION("""COMPUTED_VALUE"""),10623.46774)</f>
        <v>10623.46774</v>
      </c>
    </row>
    <row r="2536">
      <c r="A2536" s="3">
        <f>IFERROR(__xludf.DUMMYFUNCTION("""COMPUTED_VALUE"""),42980.99861111111)</f>
        <v>42980.99861</v>
      </c>
      <c r="B2536" s="1">
        <f>IFERROR(__xludf.DUMMYFUNCTION("""COMPUTED_VALUE"""),10634.6625)</f>
        <v>10634.6625</v>
      </c>
    </row>
    <row r="2537">
      <c r="A2537" s="3">
        <f>IFERROR(__xludf.DUMMYFUNCTION("""COMPUTED_VALUE"""),42981.99861111111)</f>
        <v>42981.99861</v>
      </c>
      <c r="B2537" s="1">
        <f>IFERROR(__xludf.DUMMYFUNCTION("""COMPUTED_VALUE"""),10616.54178)</f>
        <v>10616.54178</v>
      </c>
    </row>
    <row r="2538">
      <c r="A2538" s="3">
        <f>IFERROR(__xludf.DUMMYFUNCTION("""COMPUTED_VALUE"""),42982.99861111111)</f>
        <v>42982.99861</v>
      </c>
      <c r="B2538" s="1">
        <f>IFERROR(__xludf.DUMMYFUNCTION("""COMPUTED_VALUE"""),10608.69144)</f>
        <v>10608.69144</v>
      </c>
    </row>
    <row r="2539">
      <c r="A2539" s="3">
        <f>IFERROR(__xludf.DUMMYFUNCTION("""COMPUTED_VALUE"""),42983.99861111111)</f>
        <v>42983.99861</v>
      </c>
      <c r="B2539" s="1">
        <f>IFERROR(__xludf.DUMMYFUNCTION("""COMPUTED_VALUE"""),10674.66646)</f>
        <v>10674.66646</v>
      </c>
    </row>
    <row r="2540">
      <c r="A2540" s="3">
        <f>IFERROR(__xludf.DUMMYFUNCTION("""COMPUTED_VALUE"""),42984.99861111111)</f>
        <v>42984.99861</v>
      </c>
      <c r="B2540" s="1">
        <f>IFERROR(__xludf.DUMMYFUNCTION("""COMPUTED_VALUE"""),10680.5373)</f>
        <v>10680.5373</v>
      </c>
    </row>
    <row r="2541">
      <c r="A2541" s="3">
        <f>IFERROR(__xludf.DUMMYFUNCTION("""COMPUTED_VALUE"""),42985.99861111111)</f>
        <v>42985.99861</v>
      </c>
      <c r="B2541" s="1">
        <f>IFERROR(__xludf.DUMMYFUNCTION("""COMPUTED_VALUE"""),10707.47886)</f>
        <v>10707.47886</v>
      </c>
    </row>
    <row r="2542">
      <c r="A2542" s="3">
        <f>IFERROR(__xludf.DUMMYFUNCTION("""COMPUTED_VALUE"""),42986.99861111111)</f>
        <v>42986.99861</v>
      </c>
      <c r="B2542" s="1">
        <f>IFERROR(__xludf.DUMMYFUNCTION("""COMPUTED_VALUE"""),10628.20395)</f>
        <v>10628.20395</v>
      </c>
    </row>
    <row r="2543">
      <c r="A2543" s="3">
        <f>IFERROR(__xludf.DUMMYFUNCTION("""COMPUTED_VALUE"""),42987.99861111111)</f>
        <v>42987.99861</v>
      </c>
      <c r="B2543" s="1">
        <f>IFERROR(__xludf.DUMMYFUNCTION("""COMPUTED_VALUE"""),10631.2115)</f>
        <v>10631.2115</v>
      </c>
    </row>
    <row r="2544">
      <c r="A2544" s="3">
        <f>IFERROR(__xludf.DUMMYFUNCTION("""COMPUTED_VALUE"""),42988.99861111111)</f>
        <v>42988.99861</v>
      </c>
      <c r="B2544" s="1">
        <f>IFERROR(__xludf.DUMMYFUNCTION("""COMPUTED_VALUE"""),10622.39727)</f>
        <v>10622.39727</v>
      </c>
    </row>
    <row r="2545">
      <c r="A2545" s="3">
        <f>IFERROR(__xludf.DUMMYFUNCTION("""COMPUTED_VALUE"""),42989.99861111111)</f>
        <v>42989.99861</v>
      </c>
      <c r="B2545" s="1">
        <f>IFERROR(__xludf.DUMMYFUNCTION("""COMPUTED_VALUE"""),10571.1048)</f>
        <v>10571.1048</v>
      </c>
    </row>
    <row r="2546">
      <c r="A2546" s="3">
        <f>IFERROR(__xludf.DUMMYFUNCTION("""COMPUTED_VALUE"""),42990.99861111111)</f>
        <v>42990.99861</v>
      </c>
      <c r="B2546" s="1">
        <f>IFERROR(__xludf.DUMMYFUNCTION("""COMPUTED_VALUE"""),10587.5328)</f>
        <v>10587.5328</v>
      </c>
    </row>
    <row r="2547">
      <c r="A2547" s="3">
        <f>IFERROR(__xludf.DUMMYFUNCTION("""COMPUTED_VALUE"""),42991.99861111111)</f>
        <v>42991.99861</v>
      </c>
      <c r="B2547" s="1">
        <f>IFERROR(__xludf.DUMMYFUNCTION("""COMPUTED_VALUE"""),10565.92422)</f>
        <v>10565.92422</v>
      </c>
    </row>
    <row r="2548">
      <c r="A2548" s="3">
        <f>IFERROR(__xludf.DUMMYFUNCTION("""COMPUTED_VALUE"""),42992.99861111111)</f>
        <v>42992.99861</v>
      </c>
      <c r="B2548" s="1">
        <f>IFERROR(__xludf.DUMMYFUNCTION("""COMPUTED_VALUE"""),10611.19144)</f>
        <v>10611.19144</v>
      </c>
    </row>
    <row r="2549">
      <c r="A2549" s="3">
        <f>IFERROR(__xludf.DUMMYFUNCTION("""COMPUTED_VALUE"""),42993.99861111111)</f>
        <v>42993.99861</v>
      </c>
      <c r="B2549" s="1">
        <f>IFERROR(__xludf.DUMMYFUNCTION("""COMPUTED_VALUE"""),10598.1246)</f>
        <v>10598.1246</v>
      </c>
    </row>
    <row r="2550">
      <c r="A2550" s="3">
        <f>IFERROR(__xludf.DUMMYFUNCTION("""COMPUTED_VALUE"""),42995.99861111111)</f>
        <v>42995.99861</v>
      </c>
      <c r="B2550" s="1">
        <f>IFERROR(__xludf.DUMMYFUNCTION("""COMPUTED_VALUE"""),10596.9618)</f>
        <v>10596.9618</v>
      </c>
    </row>
    <row r="2551">
      <c r="A2551" s="3">
        <f>IFERROR(__xludf.DUMMYFUNCTION("""COMPUTED_VALUE"""),42996.99861111111)</f>
        <v>42996.99861</v>
      </c>
      <c r="B2551" s="1">
        <f>IFERROR(__xludf.DUMMYFUNCTION("""COMPUTED_VALUE"""),10574.99404)</f>
        <v>10574.99404</v>
      </c>
    </row>
    <row r="2552">
      <c r="A2552" s="3">
        <f>IFERROR(__xludf.DUMMYFUNCTION("""COMPUTED_VALUE"""),42997.99861111111)</f>
        <v>42997.99861</v>
      </c>
      <c r="B2552" s="1">
        <f>IFERROR(__xludf.DUMMYFUNCTION("""COMPUTED_VALUE"""),10607.4512)</f>
        <v>10607.4512</v>
      </c>
    </row>
    <row r="2553">
      <c r="A2553" s="3">
        <f>IFERROR(__xludf.DUMMYFUNCTION("""COMPUTED_VALUE"""),42998.99861111111)</f>
        <v>42998.99861</v>
      </c>
      <c r="B2553" s="1">
        <f>IFERROR(__xludf.DUMMYFUNCTION("""COMPUTED_VALUE"""),10640.16772)</f>
        <v>10640.16772</v>
      </c>
    </row>
    <row r="2554">
      <c r="A2554" s="3">
        <f>IFERROR(__xludf.DUMMYFUNCTION("""COMPUTED_VALUE"""),42999.99861111111)</f>
        <v>42999.99861</v>
      </c>
      <c r="B2554" s="1">
        <f>IFERROR(__xludf.DUMMYFUNCTION("""COMPUTED_VALUE"""),10525.22354)</f>
        <v>10525.22354</v>
      </c>
    </row>
    <row r="2555">
      <c r="A2555" s="3">
        <f>IFERROR(__xludf.DUMMYFUNCTION("""COMPUTED_VALUE"""),43000.99861111111)</f>
        <v>43000.99861</v>
      </c>
      <c r="B2555" s="1">
        <f>IFERROR(__xludf.DUMMYFUNCTION("""COMPUTED_VALUE"""),10570.4673)</f>
        <v>10570.4673</v>
      </c>
    </row>
    <row r="2556">
      <c r="A2556" s="3">
        <f>IFERROR(__xludf.DUMMYFUNCTION("""COMPUTED_VALUE"""),43002.99861111111)</f>
        <v>43002.99861</v>
      </c>
      <c r="B2556" s="1">
        <f>IFERROR(__xludf.DUMMYFUNCTION("""COMPUTED_VALUE"""),10592.9066)</f>
        <v>10592.9066</v>
      </c>
    </row>
    <row r="2557">
      <c r="A2557" s="3">
        <f>IFERROR(__xludf.DUMMYFUNCTION("""COMPUTED_VALUE"""),43003.99861111111)</f>
        <v>43003.99861</v>
      </c>
      <c r="B2557" s="1">
        <f>IFERROR(__xludf.DUMMYFUNCTION("""COMPUTED_VALUE"""),10570.62435)</f>
        <v>10570.62435</v>
      </c>
    </row>
    <row r="2558">
      <c r="A2558" s="3">
        <f>IFERROR(__xludf.DUMMYFUNCTION("""COMPUTED_VALUE"""),43004.99861111111)</f>
        <v>43004.99861</v>
      </c>
      <c r="B2558" s="1">
        <f>IFERROR(__xludf.DUMMYFUNCTION("""COMPUTED_VALUE"""),10535.35375)</f>
        <v>10535.35375</v>
      </c>
    </row>
    <row r="2559">
      <c r="A2559" s="3">
        <f>IFERROR(__xludf.DUMMYFUNCTION("""COMPUTED_VALUE"""),43005.99861111111)</f>
        <v>43005.99861</v>
      </c>
      <c r="B2559" s="1">
        <f>IFERROR(__xludf.DUMMYFUNCTION("""COMPUTED_VALUE"""),10544.77067)</f>
        <v>10544.77067</v>
      </c>
    </row>
    <row r="2560">
      <c r="A2560" s="3">
        <f>IFERROR(__xludf.DUMMYFUNCTION("""COMPUTED_VALUE"""),43006.99861111111)</f>
        <v>43006.99861</v>
      </c>
      <c r="B2560" s="1">
        <f>IFERROR(__xludf.DUMMYFUNCTION("""COMPUTED_VALUE"""),10597.83648)</f>
        <v>10597.83648</v>
      </c>
    </row>
    <row r="2561">
      <c r="A2561" s="3">
        <f>IFERROR(__xludf.DUMMYFUNCTION("""COMPUTED_VALUE"""),43007.99861111111)</f>
        <v>43007.99861</v>
      </c>
      <c r="B2561" s="1">
        <f>IFERROR(__xludf.DUMMYFUNCTION("""COMPUTED_VALUE"""),10559.9084)</f>
        <v>10559.9084</v>
      </c>
    </row>
    <row r="2562">
      <c r="A2562" s="3">
        <f>IFERROR(__xludf.DUMMYFUNCTION("""COMPUTED_VALUE"""),43009.99861111111)</f>
        <v>43009.99861</v>
      </c>
      <c r="B2562" s="1">
        <f>IFERROR(__xludf.DUMMYFUNCTION("""COMPUTED_VALUE"""),10563.8311)</f>
        <v>10563.8311</v>
      </c>
    </row>
    <row r="2563">
      <c r="A2563" s="3">
        <f>IFERROR(__xludf.DUMMYFUNCTION("""COMPUTED_VALUE"""),43010.99861111111)</f>
        <v>43010.99861</v>
      </c>
      <c r="B2563" s="1">
        <f>IFERROR(__xludf.DUMMYFUNCTION("""COMPUTED_VALUE"""),10590.17246)</f>
        <v>10590.17246</v>
      </c>
    </row>
    <row r="2564">
      <c r="A2564" s="3">
        <f>IFERROR(__xludf.DUMMYFUNCTION("""COMPUTED_VALUE"""),43011.99861111111)</f>
        <v>43011.99861</v>
      </c>
      <c r="B2564" s="1">
        <f>IFERROR(__xludf.DUMMYFUNCTION("""COMPUTED_VALUE"""),10606.26816)</f>
        <v>10606.26816</v>
      </c>
    </row>
    <row r="2565">
      <c r="A2565" s="3">
        <f>IFERROR(__xludf.DUMMYFUNCTION("""COMPUTED_VALUE"""),43012.99861111111)</f>
        <v>43012.99861</v>
      </c>
      <c r="B2565" s="1">
        <f>IFERROR(__xludf.DUMMYFUNCTION("""COMPUTED_VALUE"""),10588.2282)</f>
        <v>10588.2282</v>
      </c>
    </row>
    <row r="2566">
      <c r="A2566" s="3">
        <f>IFERROR(__xludf.DUMMYFUNCTION("""COMPUTED_VALUE"""),43013.99861111111)</f>
        <v>43013.99861</v>
      </c>
      <c r="B2566" s="1">
        <f>IFERROR(__xludf.DUMMYFUNCTION("""COMPUTED_VALUE"""),10478.19449)</f>
        <v>10478.19449</v>
      </c>
    </row>
    <row r="2567">
      <c r="A2567" s="3">
        <f>IFERROR(__xludf.DUMMYFUNCTION("""COMPUTED_VALUE"""),43014.99861111111)</f>
        <v>43014.99861</v>
      </c>
      <c r="B2567" s="1">
        <f>IFERROR(__xludf.DUMMYFUNCTION("""COMPUTED_VALUE"""),10489.7038)</f>
        <v>10489.7038</v>
      </c>
    </row>
    <row r="2568">
      <c r="A2568" s="3">
        <f>IFERROR(__xludf.DUMMYFUNCTION("""COMPUTED_VALUE"""),43015.99861111111)</f>
        <v>43015.99861</v>
      </c>
      <c r="B2568" s="1">
        <f>IFERROR(__xludf.DUMMYFUNCTION("""COMPUTED_VALUE"""),10485.8193)</f>
        <v>10485.8193</v>
      </c>
    </row>
    <row r="2569">
      <c r="A2569" s="3">
        <f>IFERROR(__xludf.DUMMYFUNCTION("""COMPUTED_VALUE"""),43016.99861111111)</f>
        <v>43016.99861</v>
      </c>
      <c r="B2569" s="1">
        <f>IFERROR(__xludf.DUMMYFUNCTION("""COMPUTED_VALUE"""),10498.91139)</f>
        <v>10498.91139</v>
      </c>
    </row>
    <row r="2570">
      <c r="A2570" s="3">
        <f>IFERROR(__xludf.DUMMYFUNCTION("""COMPUTED_VALUE"""),43017.99861111111)</f>
        <v>43017.99861</v>
      </c>
      <c r="B2570" s="1">
        <f>IFERROR(__xludf.DUMMYFUNCTION("""COMPUTED_VALUE"""),10480.9229)</f>
        <v>10480.9229</v>
      </c>
    </row>
    <row r="2571">
      <c r="A2571" s="3">
        <f>IFERROR(__xludf.DUMMYFUNCTION("""COMPUTED_VALUE"""),43018.99861111111)</f>
        <v>43018.99861</v>
      </c>
      <c r="B2571" s="1">
        <f>IFERROR(__xludf.DUMMYFUNCTION("""COMPUTED_VALUE"""),10518.6158)</f>
        <v>10518.6158</v>
      </c>
    </row>
    <row r="2572">
      <c r="A2572" s="3">
        <f>IFERROR(__xludf.DUMMYFUNCTION("""COMPUTED_VALUE"""),43019.99861111111)</f>
        <v>43019.99861</v>
      </c>
      <c r="B2572" s="1">
        <f>IFERROR(__xludf.DUMMYFUNCTION("""COMPUTED_VALUE"""),10540.3669)</f>
        <v>10540.3669</v>
      </c>
    </row>
    <row r="2573">
      <c r="A2573" s="3">
        <f>IFERROR(__xludf.DUMMYFUNCTION("""COMPUTED_VALUE"""),43020.99861111111)</f>
        <v>43020.99861</v>
      </c>
      <c r="B2573" s="1">
        <f>IFERROR(__xludf.DUMMYFUNCTION("""COMPUTED_VALUE"""),10564.61464)</f>
        <v>10564.61464</v>
      </c>
    </row>
    <row r="2574">
      <c r="A2574" s="3">
        <f>IFERROR(__xludf.DUMMYFUNCTION("""COMPUTED_VALUE"""),43021.99861111111)</f>
        <v>43021.99861</v>
      </c>
      <c r="B2574" s="1">
        <f>IFERROR(__xludf.DUMMYFUNCTION("""COMPUTED_VALUE"""),10594.927)</f>
        <v>10594.927</v>
      </c>
    </row>
    <row r="2575">
      <c r="A2575" s="3">
        <f>IFERROR(__xludf.DUMMYFUNCTION("""COMPUTED_VALUE"""),43022.99861111111)</f>
        <v>43022.99861</v>
      </c>
      <c r="B2575" s="1">
        <f>IFERROR(__xludf.DUMMYFUNCTION("""COMPUTED_VALUE"""),10641.1404)</f>
        <v>10641.1404</v>
      </c>
    </row>
    <row r="2576">
      <c r="A2576" s="3">
        <f>IFERROR(__xludf.DUMMYFUNCTION("""COMPUTED_VALUE"""),43023.99861111111)</f>
        <v>43023.99861</v>
      </c>
      <c r="B2576" s="1">
        <f>IFERROR(__xludf.DUMMYFUNCTION("""COMPUTED_VALUE"""),10637.63248)</f>
        <v>10637.63248</v>
      </c>
    </row>
    <row r="2577">
      <c r="A2577" s="3">
        <f>IFERROR(__xludf.DUMMYFUNCTION("""COMPUTED_VALUE"""),43024.99861111111)</f>
        <v>43024.99861</v>
      </c>
      <c r="B2577" s="1">
        <f>IFERROR(__xludf.DUMMYFUNCTION("""COMPUTED_VALUE"""),10569.9006)</f>
        <v>10569.9006</v>
      </c>
    </row>
    <row r="2578">
      <c r="A2578" s="3">
        <f>IFERROR(__xludf.DUMMYFUNCTION("""COMPUTED_VALUE"""),43025.99861111111)</f>
        <v>43025.99861</v>
      </c>
      <c r="B2578" s="1">
        <f>IFERROR(__xludf.DUMMYFUNCTION("""COMPUTED_VALUE"""),10592.2255)</f>
        <v>10592.2255</v>
      </c>
    </row>
    <row r="2579">
      <c r="A2579" s="3">
        <f>IFERROR(__xludf.DUMMYFUNCTION("""COMPUTED_VALUE"""),43026.99861111111)</f>
        <v>43026.99861</v>
      </c>
      <c r="B2579" s="1">
        <f>IFERROR(__xludf.DUMMYFUNCTION("""COMPUTED_VALUE"""),10594.4069)</f>
        <v>10594.4069</v>
      </c>
    </row>
    <row r="2580">
      <c r="A2580" s="3">
        <f>IFERROR(__xludf.DUMMYFUNCTION("""COMPUTED_VALUE"""),43027.99861111111)</f>
        <v>43027.99861</v>
      </c>
      <c r="B2580" s="1">
        <f>IFERROR(__xludf.DUMMYFUNCTION("""COMPUTED_VALUE"""),10622.5656)</f>
        <v>10622.5656</v>
      </c>
    </row>
    <row r="2581">
      <c r="A2581" s="3">
        <f>IFERROR(__xludf.DUMMYFUNCTION("""COMPUTED_VALUE"""),43028.99861111111)</f>
        <v>43028.99861</v>
      </c>
      <c r="B2581" s="1">
        <f>IFERROR(__xludf.DUMMYFUNCTION("""COMPUTED_VALUE"""),10565.4572)</f>
        <v>10565.4572</v>
      </c>
    </row>
    <row r="2582">
      <c r="A2582" s="3">
        <f>IFERROR(__xludf.DUMMYFUNCTION("""COMPUTED_VALUE"""),43029.99861111111)</f>
        <v>43029.99861</v>
      </c>
      <c r="B2582" s="1">
        <f>IFERROR(__xludf.DUMMYFUNCTION("""COMPUTED_VALUE"""),10560.0508)</f>
        <v>10560.0508</v>
      </c>
    </row>
    <row r="2583">
      <c r="A2583" s="3">
        <f>IFERROR(__xludf.DUMMYFUNCTION("""COMPUTED_VALUE"""),43030.99861111111)</f>
        <v>43030.99861</v>
      </c>
      <c r="B2583" s="1">
        <f>IFERROR(__xludf.DUMMYFUNCTION("""COMPUTED_VALUE"""),10550.99508)</f>
        <v>10550.99508</v>
      </c>
    </row>
    <row r="2584">
      <c r="A2584" s="3">
        <f>IFERROR(__xludf.DUMMYFUNCTION("""COMPUTED_VALUE"""),43031.99861111111)</f>
        <v>43031.99861</v>
      </c>
      <c r="B2584" s="1">
        <f>IFERROR(__xludf.DUMMYFUNCTION("""COMPUTED_VALUE"""),10573.542)</f>
        <v>10573.542</v>
      </c>
    </row>
    <row r="2585">
      <c r="A2585" s="3">
        <f>IFERROR(__xludf.DUMMYFUNCTION("""COMPUTED_VALUE"""),43032.99861111111)</f>
        <v>43032.99861</v>
      </c>
      <c r="B2585" s="1">
        <f>IFERROR(__xludf.DUMMYFUNCTION("""COMPUTED_VALUE"""),10514.876)</f>
        <v>10514.876</v>
      </c>
    </row>
    <row r="2586">
      <c r="A2586" s="3">
        <f>IFERROR(__xludf.DUMMYFUNCTION("""COMPUTED_VALUE"""),43033.99861111111)</f>
        <v>43033.99861</v>
      </c>
      <c r="B2586" s="1">
        <f>IFERROR(__xludf.DUMMYFUNCTION("""COMPUTED_VALUE"""),10460.07612)</f>
        <v>10460.07612</v>
      </c>
    </row>
    <row r="2587">
      <c r="A2587" s="3">
        <f>IFERROR(__xludf.DUMMYFUNCTION("""COMPUTED_VALUE"""),43034.99861111111)</f>
        <v>43034.99861</v>
      </c>
      <c r="B2587" s="1">
        <f>IFERROR(__xludf.DUMMYFUNCTION("""COMPUTED_VALUE"""),10449.1737)</f>
        <v>10449.1737</v>
      </c>
    </row>
    <row r="2588">
      <c r="A2588" s="3">
        <f>IFERROR(__xludf.DUMMYFUNCTION("""COMPUTED_VALUE"""),43035.99861111111)</f>
        <v>43035.99861</v>
      </c>
      <c r="B2588" s="1">
        <f>IFERROR(__xludf.DUMMYFUNCTION("""COMPUTED_VALUE"""),10435.1698)</f>
        <v>10435.1698</v>
      </c>
    </row>
    <row r="2589">
      <c r="A2589" s="3">
        <f>IFERROR(__xludf.DUMMYFUNCTION("""COMPUTED_VALUE"""),43037.99861111111)</f>
        <v>43037.99861</v>
      </c>
      <c r="B2589" s="1">
        <f>IFERROR(__xludf.DUMMYFUNCTION("""COMPUTED_VALUE"""),10414.79436)</f>
        <v>10414.79436</v>
      </c>
    </row>
    <row r="2590">
      <c r="A2590" s="3">
        <f>IFERROR(__xludf.DUMMYFUNCTION("""COMPUTED_VALUE"""),43038.99861111111)</f>
        <v>43038.99861</v>
      </c>
      <c r="B2590" s="1">
        <f>IFERROR(__xludf.DUMMYFUNCTION("""COMPUTED_VALUE"""),10448.31502)</f>
        <v>10448.31502</v>
      </c>
    </row>
    <row r="2591">
      <c r="A2591" s="3">
        <f>IFERROR(__xludf.DUMMYFUNCTION("""COMPUTED_VALUE"""),43039.99861111111)</f>
        <v>43039.99861</v>
      </c>
      <c r="B2591" s="1">
        <f>IFERROR(__xludf.DUMMYFUNCTION("""COMPUTED_VALUE"""),10380.3309)</f>
        <v>10380.3309</v>
      </c>
    </row>
    <row r="2592">
      <c r="A2592" s="3">
        <f>IFERROR(__xludf.DUMMYFUNCTION("""COMPUTED_VALUE"""),43040.99861111111)</f>
        <v>43040.99861</v>
      </c>
      <c r="B2592" s="1">
        <f>IFERROR(__xludf.DUMMYFUNCTION("""COMPUTED_VALUE"""),10403.82492)</f>
        <v>10403.82492</v>
      </c>
    </row>
    <row r="2593">
      <c r="A2593" s="3">
        <f>IFERROR(__xludf.DUMMYFUNCTION("""COMPUTED_VALUE"""),43041.99861111111)</f>
        <v>43041.99861</v>
      </c>
      <c r="B2593" s="1">
        <f>IFERROR(__xludf.DUMMYFUNCTION("""COMPUTED_VALUE"""),10445.98676)</f>
        <v>10445.98676</v>
      </c>
    </row>
    <row r="2594">
      <c r="A2594" s="3">
        <f>IFERROR(__xludf.DUMMYFUNCTION("""COMPUTED_VALUE"""),43042.99861111111)</f>
        <v>43042.99861</v>
      </c>
      <c r="B2594" s="1">
        <f>IFERROR(__xludf.DUMMYFUNCTION("""COMPUTED_VALUE"""),10310.852)</f>
        <v>10310.852</v>
      </c>
    </row>
    <row r="2595">
      <c r="A2595" s="3">
        <f>IFERROR(__xludf.DUMMYFUNCTION("""COMPUTED_VALUE"""),43043.99861111111)</f>
        <v>43043.99861</v>
      </c>
      <c r="B2595" s="1">
        <f>IFERROR(__xludf.DUMMYFUNCTION("""COMPUTED_VALUE"""),10309.504)</f>
        <v>10309.504</v>
      </c>
    </row>
    <row r="2596">
      <c r="A2596" s="3">
        <f>IFERROR(__xludf.DUMMYFUNCTION("""COMPUTED_VALUE"""),43044.99861111111)</f>
        <v>43044.99861</v>
      </c>
      <c r="B2596" s="1">
        <f>IFERROR(__xludf.DUMMYFUNCTION("""COMPUTED_VALUE"""),10313.2784)</f>
        <v>10313.2784</v>
      </c>
    </row>
    <row r="2597">
      <c r="A2597" s="3">
        <f>IFERROR(__xludf.DUMMYFUNCTION("""COMPUTED_VALUE"""),43045.99861111111)</f>
        <v>43045.99861</v>
      </c>
      <c r="B2597" s="1">
        <f>IFERROR(__xludf.DUMMYFUNCTION("""COMPUTED_VALUE"""),10363.0338)</f>
        <v>10363.0338</v>
      </c>
    </row>
    <row r="2598">
      <c r="A2598" s="3">
        <f>IFERROR(__xludf.DUMMYFUNCTION("""COMPUTED_VALUE"""),43046.99861111111)</f>
        <v>43046.99861</v>
      </c>
      <c r="B2598" s="1">
        <f>IFERROR(__xludf.DUMMYFUNCTION("""COMPUTED_VALUE"""),10343.21018)</f>
        <v>10343.21018</v>
      </c>
    </row>
    <row r="2599">
      <c r="A2599" s="3">
        <f>IFERROR(__xludf.DUMMYFUNCTION("""COMPUTED_VALUE"""),43047.99861111111)</f>
        <v>43047.99861</v>
      </c>
      <c r="B2599" s="1">
        <f>IFERROR(__xludf.DUMMYFUNCTION("""COMPUTED_VALUE"""),10367.6034)</f>
        <v>10367.6034</v>
      </c>
    </row>
    <row r="2600">
      <c r="A2600" s="3">
        <f>IFERROR(__xludf.DUMMYFUNCTION("""COMPUTED_VALUE"""),43048.99861111111)</f>
        <v>43048.99861</v>
      </c>
      <c r="B2600" s="1">
        <f>IFERROR(__xludf.DUMMYFUNCTION("""COMPUTED_VALUE"""),10391.30613)</f>
        <v>10391.30613</v>
      </c>
    </row>
    <row r="2601">
      <c r="A2601" s="3">
        <f>IFERROR(__xludf.DUMMYFUNCTION("""COMPUTED_VALUE"""),43049.99861111111)</f>
        <v>43049.99861</v>
      </c>
      <c r="B2601" s="1">
        <f>IFERROR(__xludf.DUMMYFUNCTION("""COMPUTED_VALUE"""),10373.172)</f>
        <v>10373.172</v>
      </c>
    </row>
    <row r="2602">
      <c r="A2602" s="3">
        <f>IFERROR(__xludf.DUMMYFUNCTION("""COMPUTED_VALUE"""),43050.99861111111)</f>
        <v>43050.99861</v>
      </c>
      <c r="B2602" s="1">
        <f>IFERROR(__xludf.DUMMYFUNCTION("""COMPUTED_VALUE"""),10379.39958)</f>
        <v>10379.39958</v>
      </c>
    </row>
    <row r="2603">
      <c r="A2603" s="3">
        <f>IFERROR(__xludf.DUMMYFUNCTION("""COMPUTED_VALUE"""),43051.99861111111)</f>
        <v>43051.99861</v>
      </c>
      <c r="B2603" s="1">
        <f>IFERROR(__xludf.DUMMYFUNCTION("""COMPUTED_VALUE"""),10331.68056)</f>
        <v>10331.68056</v>
      </c>
    </row>
    <row r="2604">
      <c r="A2604" s="3">
        <f>IFERROR(__xludf.DUMMYFUNCTION("""COMPUTED_VALUE"""),43052.99861111111)</f>
        <v>43052.99861</v>
      </c>
      <c r="B2604" s="1">
        <f>IFERROR(__xludf.DUMMYFUNCTION("""COMPUTED_VALUE"""),10319.79632)</f>
        <v>10319.79632</v>
      </c>
    </row>
    <row r="2605">
      <c r="A2605" s="3">
        <f>IFERROR(__xludf.DUMMYFUNCTION("""COMPUTED_VALUE"""),43053.99861111111)</f>
        <v>43053.99861</v>
      </c>
      <c r="B2605" s="1">
        <f>IFERROR(__xludf.DUMMYFUNCTION("""COMPUTED_VALUE"""),10332.126)</f>
        <v>10332.126</v>
      </c>
    </row>
    <row r="2606">
      <c r="A2606" s="3">
        <f>IFERROR(__xludf.DUMMYFUNCTION("""COMPUTED_VALUE"""),43054.99861111111)</f>
        <v>43054.99861</v>
      </c>
      <c r="B2606" s="1">
        <f>IFERROR(__xludf.DUMMYFUNCTION("""COMPUTED_VALUE"""),10274.9599)</f>
        <v>10274.9599</v>
      </c>
    </row>
    <row r="2607">
      <c r="A2607" s="3">
        <f>IFERROR(__xludf.DUMMYFUNCTION("""COMPUTED_VALUE"""),43055.99861111111)</f>
        <v>43055.99861</v>
      </c>
      <c r="B2607" s="1">
        <f>IFERROR(__xludf.DUMMYFUNCTION("""COMPUTED_VALUE"""),10252.3961)</f>
        <v>10252.3961</v>
      </c>
    </row>
    <row r="2608">
      <c r="A2608" s="3">
        <f>IFERROR(__xludf.DUMMYFUNCTION("""COMPUTED_VALUE"""),43056.99861111111)</f>
        <v>43056.99861</v>
      </c>
      <c r="B2608" s="1">
        <f>IFERROR(__xludf.DUMMYFUNCTION("""COMPUTED_VALUE"""),10217.4512)</f>
        <v>10217.4512</v>
      </c>
    </row>
    <row r="2609">
      <c r="A2609" s="3">
        <f>IFERROR(__xludf.DUMMYFUNCTION("""COMPUTED_VALUE"""),43057.99861111111)</f>
        <v>43057.99861</v>
      </c>
      <c r="B2609" s="1">
        <f>IFERROR(__xludf.DUMMYFUNCTION("""COMPUTED_VALUE"""),10221.61896)</f>
        <v>10221.61896</v>
      </c>
    </row>
    <row r="2610">
      <c r="A2610" s="3">
        <f>IFERROR(__xludf.DUMMYFUNCTION("""COMPUTED_VALUE"""),43058.99861111111)</f>
        <v>43058.99861</v>
      </c>
      <c r="B2610" s="1">
        <f>IFERROR(__xludf.DUMMYFUNCTION("""COMPUTED_VALUE"""),10198.54)</f>
        <v>10198.54</v>
      </c>
    </row>
    <row r="2611">
      <c r="A2611" s="3">
        <f>IFERROR(__xludf.DUMMYFUNCTION("""COMPUTED_VALUE"""),43059.99861111111)</f>
        <v>43059.99861</v>
      </c>
      <c r="B2611" s="1">
        <f>IFERROR(__xludf.DUMMYFUNCTION("""COMPUTED_VALUE"""),10212.7275)</f>
        <v>10212.7275</v>
      </c>
    </row>
    <row r="2612">
      <c r="A2612" s="3">
        <f>IFERROR(__xludf.DUMMYFUNCTION("""COMPUTED_VALUE"""),43060.99861111111)</f>
        <v>43060.99861</v>
      </c>
      <c r="B2612" s="1">
        <f>IFERROR(__xludf.DUMMYFUNCTION("""COMPUTED_VALUE"""),10253.07998)</f>
        <v>10253.07998</v>
      </c>
    </row>
    <row r="2613">
      <c r="A2613" s="3">
        <f>IFERROR(__xludf.DUMMYFUNCTION("""COMPUTED_VALUE"""),43061.99861111111)</f>
        <v>43061.99861</v>
      </c>
      <c r="B2613" s="1">
        <f>IFERROR(__xludf.DUMMYFUNCTION("""COMPUTED_VALUE"""),10270.29357)</f>
        <v>10270.29357</v>
      </c>
    </row>
    <row r="2614">
      <c r="A2614" s="3">
        <f>IFERROR(__xludf.DUMMYFUNCTION("""COMPUTED_VALUE"""),43062.99861111111)</f>
        <v>43062.99861</v>
      </c>
      <c r="B2614" s="1">
        <f>IFERROR(__xludf.DUMMYFUNCTION("""COMPUTED_VALUE"""),10285.09272)</f>
        <v>10285.09272</v>
      </c>
    </row>
    <row r="2615">
      <c r="A2615" s="3">
        <f>IFERROR(__xludf.DUMMYFUNCTION("""COMPUTED_VALUE"""),43063.99861111111)</f>
        <v>43063.99861</v>
      </c>
      <c r="B2615" s="1">
        <f>IFERROR(__xludf.DUMMYFUNCTION("""COMPUTED_VALUE"""),10278.86198)</f>
        <v>10278.86198</v>
      </c>
    </row>
    <row r="2616">
      <c r="A2616" s="3">
        <f>IFERROR(__xludf.DUMMYFUNCTION("""COMPUTED_VALUE"""),43064.99861111111)</f>
        <v>43064.99861</v>
      </c>
      <c r="B2616" s="1">
        <f>IFERROR(__xludf.DUMMYFUNCTION("""COMPUTED_VALUE"""),10276.0274)</f>
        <v>10276.0274</v>
      </c>
    </row>
    <row r="2617">
      <c r="A2617" s="3">
        <f>IFERROR(__xludf.DUMMYFUNCTION("""COMPUTED_VALUE"""),43065.99861111111)</f>
        <v>43065.99861</v>
      </c>
      <c r="B2617" s="1">
        <f>IFERROR(__xludf.DUMMYFUNCTION("""COMPUTED_VALUE"""),10272.78788)</f>
        <v>10272.78788</v>
      </c>
    </row>
    <row r="2618">
      <c r="A2618" s="3">
        <f>IFERROR(__xludf.DUMMYFUNCTION("""COMPUTED_VALUE"""),43066.99861111111)</f>
        <v>43066.99861</v>
      </c>
      <c r="B2618" s="1">
        <f>IFERROR(__xludf.DUMMYFUNCTION("""COMPUTED_VALUE"""),10276.06127)</f>
        <v>10276.06127</v>
      </c>
    </row>
    <row r="2619">
      <c r="A2619" s="3">
        <f>IFERROR(__xludf.DUMMYFUNCTION("""COMPUTED_VALUE"""),43067.99861111111)</f>
        <v>43067.99861</v>
      </c>
      <c r="B2619" s="1">
        <f>IFERROR(__xludf.DUMMYFUNCTION("""COMPUTED_VALUE"""),10266.48)</f>
        <v>10266.48</v>
      </c>
    </row>
    <row r="2620">
      <c r="A2620" s="3">
        <f>IFERROR(__xludf.DUMMYFUNCTION("""COMPUTED_VALUE"""),43068.99861111111)</f>
        <v>43068.99861</v>
      </c>
      <c r="B2620" s="1">
        <f>IFERROR(__xludf.DUMMYFUNCTION("""COMPUTED_VALUE"""),10216.58624)</f>
        <v>10216.58624</v>
      </c>
    </row>
    <row r="2621">
      <c r="A2621" s="3">
        <f>IFERROR(__xludf.DUMMYFUNCTION("""COMPUTED_VALUE"""),43069.99861111111)</f>
        <v>43069.99861</v>
      </c>
      <c r="B2621" s="1">
        <f>IFERROR(__xludf.DUMMYFUNCTION("""COMPUTED_VALUE"""),10238.21469)</f>
        <v>10238.21469</v>
      </c>
    </row>
    <row r="2622">
      <c r="A2622" s="3">
        <f>IFERROR(__xludf.DUMMYFUNCTION("""COMPUTED_VALUE"""),43070.99861111111)</f>
        <v>43070.99861</v>
      </c>
      <c r="B2622" s="1">
        <f>IFERROR(__xludf.DUMMYFUNCTION("""COMPUTED_VALUE"""),10290.5808)</f>
        <v>10290.5808</v>
      </c>
    </row>
    <row r="2623">
      <c r="A2623" s="3">
        <f>IFERROR(__xludf.DUMMYFUNCTION("""COMPUTED_VALUE"""),43071.99861111111)</f>
        <v>43071.99861</v>
      </c>
      <c r="B2623" s="1">
        <f>IFERROR(__xludf.DUMMYFUNCTION("""COMPUTED_VALUE"""),10294.98583)</f>
        <v>10294.98583</v>
      </c>
    </row>
    <row r="2624">
      <c r="A2624" s="3">
        <f>IFERROR(__xludf.DUMMYFUNCTION("""COMPUTED_VALUE"""),43072.99861111111)</f>
        <v>43072.99861</v>
      </c>
      <c r="B2624" s="1">
        <f>IFERROR(__xludf.DUMMYFUNCTION("""COMPUTED_VALUE"""),10286.616)</f>
        <v>10286.616</v>
      </c>
    </row>
    <row r="2625">
      <c r="A2625" s="3">
        <f>IFERROR(__xludf.DUMMYFUNCTION("""COMPUTED_VALUE"""),43073.99861111111)</f>
        <v>43073.99861</v>
      </c>
      <c r="B2625" s="1">
        <f>IFERROR(__xludf.DUMMYFUNCTION("""COMPUTED_VALUE"""),10260.02796)</f>
        <v>10260.02796</v>
      </c>
    </row>
    <row r="2626">
      <c r="A2626" s="3">
        <f>IFERROR(__xludf.DUMMYFUNCTION("""COMPUTED_VALUE"""),43074.99861111111)</f>
        <v>43074.99861</v>
      </c>
      <c r="B2626" s="1">
        <f>IFERROR(__xludf.DUMMYFUNCTION("""COMPUTED_VALUE"""),10275.15007)</f>
        <v>10275.15007</v>
      </c>
    </row>
    <row r="2627">
      <c r="A2627" s="3">
        <f>IFERROR(__xludf.DUMMYFUNCTION("""COMPUTED_VALUE"""),43075.99861111111)</f>
        <v>43075.99861</v>
      </c>
      <c r="B2627" s="1">
        <f>IFERROR(__xludf.DUMMYFUNCTION("""COMPUTED_VALUE"""),10240.09508)</f>
        <v>10240.09508</v>
      </c>
    </row>
    <row r="2628">
      <c r="A2628" s="3">
        <f>IFERROR(__xludf.DUMMYFUNCTION("""COMPUTED_VALUE"""),43076.99861111111)</f>
        <v>43076.99861</v>
      </c>
      <c r="B2628" s="1">
        <f>IFERROR(__xludf.DUMMYFUNCTION("""COMPUTED_VALUE"""),10178.57406)</f>
        <v>10178.57406</v>
      </c>
    </row>
    <row r="2629">
      <c r="A2629" s="3">
        <f>IFERROR(__xludf.DUMMYFUNCTION("""COMPUTED_VALUE"""),43077.99861111111)</f>
        <v>43077.99861</v>
      </c>
      <c r="B2629" s="1">
        <f>IFERROR(__xludf.DUMMYFUNCTION("""COMPUTED_VALUE"""),10158.9152)</f>
        <v>10158.9152</v>
      </c>
    </row>
    <row r="2630">
      <c r="A2630" s="3">
        <f>IFERROR(__xludf.DUMMYFUNCTION("""COMPUTED_VALUE"""),43078.99861111111)</f>
        <v>43078.99861</v>
      </c>
      <c r="B2630" s="1">
        <f>IFERROR(__xludf.DUMMYFUNCTION("""COMPUTED_VALUE"""),10158.9152)</f>
        <v>10158.9152</v>
      </c>
    </row>
    <row r="2631">
      <c r="A2631" s="3">
        <f>IFERROR(__xludf.DUMMYFUNCTION("""COMPUTED_VALUE"""),43079.99861111111)</f>
        <v>43079.99861</v>
      </c>
      <c r="B2631" s="1">
        <f>IFERROR(__xludf.DUMMYFUNCTION("""COMPUTED_VALUE"""),10139.29969)</f>
        <v>10139.29969</v>
      </c>
    </row>
    <row r="2632">
      <c r="A2632" s="3">
        <f>IFERROR(__xludf.DUMMYFUNCTION("""COMPUTED_VALUE"""),43080.99861111111)</f>
        <v>43080.99861</v>
      </c>
      <c r="B2632" s="1">
        <f>IFERROR(__xludf.DUMMYFUNCTION("""COMPUTED_VALUE"""),10202.89424)</f>
        <v>10202.89424</v>
      </c>
    </row>
    <row r="2633">
      <c r="A2633" s="3">
        <f>IFERROR(__xludf.DUMMYFUNCTION("""COMPUTED_VALUE"""),43081.99861111111)</f>
        <v>43081.99861</v>
      </c>
      <c r="B2633" s="1">
        <f>IFERROR(__xludf.DUMMYFUNCTION("""COMPUTED_VALUE"""),10238.86458)</f>
        <v>10238.86458</v>
      </c>
    </row>
    <row r="2634">
      <c r="A2634" s="3">
        <f>IFERROR(__xludf.DUMMYFUNCTION("""COMPUTED_VALUE"""),43082.99861111111)</f>
        <v>43082.99861</v>
      </c>
      <c r="B2634" s="1">
        <f>IFERROR(__xludf.DUMMYFUNCTION("""COMPUTED_VALUE"""),10334.1342)</f>
        <v>10334.1342</v>
      </c>
    </row>
    <row r="2635">
      <c r="A2635" s="3">
        <f>IFERROR(__xludf.DUMMYFUNCTION("""COMPUTED_VALUE"""),43083.99861111111)</f>
        <v>43083.99861</v>
      </c>
      <c r="B2635" s="1">
        <f>IFERROR(__xludf.DUMMYFUNCTION("""COMPUTED_VALUE"""),10388.19222)</f>
        <v>10388.19222</v>
      </c>
    </row>
    <row r="2636">
      <c r="A2636" s="3">
        <f>IFERROR(__xludf.DUMMYFUNCTION("""COMPUTED_VALUE"""),43084.99861111111)</f>
        <v>43084.99861</v>
      </c>
      <c r="B2636" s="1">
        <f>IFERROR(__xludf.DUMMYFUNCTION("""COMPUTED_VALUE"""),10370.0224)</f>
        <v>10370.0224</v>
      </c>
    </row>
    <row r="2637">
      <c r="A2637" s="3">
        <f>IFERROR(__xludf.DUMMYFUNCTION("""COMPUTED_VALUE"""),43086.99861111111)</f>
        <v>43086.99861</v>
      </c>
      <c r="B2637" s="1">
        <f>IFERROR(__xludf.DUMMYFUNCTION("""COMPUTED_VALUE"""),10375.4496)</f>
        <v>10375.4496</v>
      </c>
    </row>
    <row r="2638">
      <c r="A2638" s="3">
        <f>IFERROR(__xludf.DUMMYFUNCTION("""COMPUTED_VALUE"""),43087.99861111111)</f>
        <v>43087.99861</v>
      </c>
      <c r="B2638" s="1">
        <f>IFERROR(__xludf.DUMMYFUNCTION("""COMPUTED_VALUE"""),10406.354)</f>
        <v>10406.354</v>
      </c>
    </row>
    <row r="2639">
      <c r="A2639" s="3">
        <f>IFERROR(__xludf.DUMMYFUNCTION("""COMPUTED_VALUE"""),43088.99861111111)</f>
        <v>43088.99861</v>
      </c>
      <c r="B2639" s="1">
        <f>IFERROR(__xludf.DUMMYFUNCTION("""COMPUTED_VALUE"""),10386.2325)</f>
        <v>10386.2325</v>
      </c>
    </row>
    <row r="2640">
      <c r="A2640" s="3">
        <f>IFERROR(__xludf.DUMMYFUNCTION("""COMPUTED_VALUE"""),43089.99861111111)</f>
        <v>43089.99861</v>
      </c>
      <c r="B2640" s="1">
        <f>IFERROR(__xludf.DUMMYFUNCTION("""COMPUTED_VALUE"""),10411.71257)</f>
        <v>10411.71257</v>
      </c>
    </row>
    <row r="2641">
      <c r="A2641" s="3">
        <f>IFERROR(__xludf.DUMMYFUNCTION("""COMPUTED_VALUE"""),43090.99861111111)</f>
        <v>43090.99861</v>
      </c>
      <c r="B2641" s="1">
        <f>IFERROR(__xludf.DUMMYFUNCTION("""COMPUTED_VALUE"""),10448.1648)</f>
        <v>10448.1648</v>
      </c>
    </row>
    <row r="2642">
      <c r="A2642" s="3">
        <f>IFERROR(__xludf.DUMMYFUNCTION("""COMPUTED_VALUE"""),43091.99861111111)</f>
        <v>43091.99861</v>
      </c>
      <c r="B2642" s="1">
        <f>IFERROR(__xludf.DUMMYFUNCTION("""COMPUTED_VALUE"""),10451.5105)</f>
        <v>10451.5105</v>
      </c>
    </row>
    <row r="2643">
      <c r="A2643" s="3">
        <f>IFERROR(__xludf.DUMMYFUNCTION("""COMPUTED_VALUE"""),43092.99861111111)</f>
        <v>43092.99861</v>
      </c>
      <c r="B2643" s="1">
        <f>IFERROR(__xludf.DUMMYFUNCTION("""COMPUTED_VALUE"""),10451.5105)</f>
        <v>10451.5105</v>
      </c>
    </row>
    <row r="2644">
      <c r="A2644" s="3">
        <f>IFERROR(__xludf.DUMMYFUNCTION("""COMPUTED_VALUE"""),43093.99861111111)</f>
        <v>43093.99861</v>
      </c>
      <c r="B2644" s="1">
        <f>IFERROR(__xludf.DUMMYFUNCTION("""COMPUTED_VALUE"""),10449.1761)</f>
        <v>10449.1761</v>
      </c>
    </row>
    <row r="2645">
      <c r="A2645" s="3">
        <f>IFERROR(__xludf.DUMMYFUNCTION("""COMPUTED_VALUE"""),43094.99861111111)</f>
        <v>43094.99861</v>
      </c>
      <c r="B2645" s="1">
        <f>IFERROR(__xludf.DUMMYFUNCTION("""COMPUTED_VALUE"""),10451.30488)</f>
        <v>10451.30488</v>
      </c>
    </row>
    <row r="2646">
      <c r="A2646" s="3">
        <f>IFERROR(__xludf.DUMMYFUNCTION("""COMPUTED_VALUE"""),43095.99861111111)</f>
        <v>43095.99861</v>
      </c>
      <c r="B2646" s="1">
        <f>IFERROR(__xludf.DUMMYFUNCTION("""COMPUTED_VALUE"""),10471.6304)</f>
        <v>10471.6304</v>
      </c>
    </row>
    <row r="2647">
      <c r="A2647" s="3">
        <f>IFERROR(__xludf.DUMMYFUNCTION("""COMPUTED_VALUE"""),43096.99861111111)</f>
        <v>43096.99861</v>
      </c>
      <c r="B2647" s="1">
        <f>IFERROR(__xludf.DUMMYFUNCTION("""COMPUTED_VALUE"""),10539.9892)</f>
        <v>10539.9892</v>
      </c>
    </row>
    <row r="2648">
      <c r="A2648" s="3">
        <f>IFERROR(__xludf.DUMMYFUNCTION("""COMPUTED_VALUE"""),43097.99861111111)</f>
        <v>43097.99861</v>
      </c>
      <c r="B2648" s="1">
        <f>IFERROR(__xludf.DUMMYFUNCTION("""COMPUTED_VALUE"""),10566.56288)</f>
        <v>10566.56288</v>
      </c>
    </row>
    <row r="2649">
      <c r="A2649" s="3">
        <f>IFERROR(__xludf.DUMMYFUNCTION("""COMPUTED_VALUE"""),43098.99861111111)</f>
        <v>43098.99861</v>
      </c>
      <c r="B2649" s="1">
        <f>IFERROR(__xludf.DUMMYFUNCTION("""COMPUTED_VALUE"""),10530.0)</f>
        <v>10530</v>
      </c>
    </row>
    <row r="2650">
      <c r="A2650" s="3">
        <f>IFERROR(__xludf.DUMMYFUNCTION("""COMPUTED_VALUE"""),43099.99861111111)</f>
        <v>43099.99861</v>
      </c>
      <c r="B2650" s="1">
        <f>IFERROR(__xludf.DUMMYFUNCTION("""COMPUTED_VALUE"""),10512.06)</f>
        <v>10512.06</v>
      </c>
    </row>
    <row r="2651">
      <c r="A2651" s="3">
        <f>IFERROR(__xludf.DUMMYFUNCTION("""COMPUTED_VALUE"""),43100.99861111111)</f>
        <v>43100.99861</v>
      </c>
      <c r="B2651" s="1">
        <f>IFERROR(__xludf.DUMMYFUNCTION("""COMPUTED_VALUE"""),10560.0516)</f>
        <v>10560.0516</v>
      </c>
    </row>
    <row r="2652">
      <c r="A2652" s="3">
        <f>IFERROR(__xludf.DUMMYFUNCTION("""COMPUTED_VALUE"""),43101.99861111111)</f>
        <v>43101.99861</v>
      </c>
      <c r="B2652" s="1">
        <f>IFERROR(__xludf.DUMMYFUNCTION("""COMPUTED_VALUE"""),10566.832)</f>
        <v>10566.832</v>
      </c>
    </row>
    <row r="2653">
      <c r="A2653" s="3">
        <f>IFERROR(__xludf.DUMMYFUNCTION("""COMPUTED_VALUE"""),43102.99861111111)</f>
        <v>43102.99861</v>
      </c>
      <c r="B2653" s="1">
        <f>IFERROR(__xludf.DUMMYFUNCTION("""COMPUTED_VALUE"""),10570.33712)</f>
        <v>10570.33712</v>
      </c>
    </row>
    <row r="2654">
      <c r="A2654" s="3">
        <f>IFERROR(__xludf.DUMMYFUNCTION("""COMPUTED_VALUE"""),43103.99861111111)</f>
        <v>43103.99861</v>
      </c>
      <c r="B2654" s="1">
        <f>IFERROR(__xludf.DUMMYFUNCTION("""COMPUTED_VALUE"""),10539.92212)</f>
        <v>10539.92212</v>
      </c>
    </row>
    <row r="2655">
      <c r="A2655" s="3">
        <f>IFERROR(__xludf.DUMMYFUNCTION("""COMPUTED_VALUE"""),43104.99861111111)</f>
        <v>43104.99861</v>
      </c>
      <c r="B2655" s="1">
        <f>IFERROR(__xludf.DUMMYFUNCTION("""COMPUTED_VALUE"""),10548.2145)</f>
        <v>10548.2145</v>
      </c>
    </row>
    <row r="2656">
      <c r="A2656" s="3">
        <f>IFERROR(__xludf.DUMMYFUNCTION("""COMPUTED_VALUE"""),43105.99861111111)</f>
        <v>43105.99861</v>
      </c>
      <c r="B2656" s="1">
        <f>IFERROR(__xludf.DUMMYFUNCTION("""COMPUTED_VALUE"""),10542.3871)</f>
        <v>10542.3871</v>
      </c>
    </row>
    <row r="2657">
      <c r="A2657" s="3">
        <f>IFERROR(__xludf.DUMMYFUNCTION("""COMPUTED_VALUE"""),43107.99861111111)</f>
        <v>43107.99861</v>
      </c>
      <c r="B2657" s="1">
        <f>IFERROR(__xludf.DUMMYFUNCTION("""COMPUTED_VALUE"""),10550.80233)</f>
        <v>10550.80233</v>
      </c>
    </row>
    <row r="2658">
      <c r="A2658" s="3">
        <f>IFERROR(__xludf.DUMMYFUNCTION("""COMPUTED_VALUE"""),43108.99861111111)</f>
        <v>43108.99861</v>
      </c>
      <c r="B2658" s="1">
        <f>IFERROR(__xludf.DUMMYFUNCTION("""COMPUTED_VALUE"""),10532.1388)</f>
        <v>10532.1388</v>
      </c>
    </row>
    <row r="2659">
      <c r="A2659" s="3">
        <f>IFERROR(__xludf.DUMMYFUNCTION("""COMPUTED_VALUE"""),43109.99861111111)</f>
        <v>43109.99861</v>
      </c>
      <c r="B2659" s="1">
        <f>IFERROR(__xludf.DUMMYFUNCTION("""COMPUTED_VALUE"""),10489.0986)</f>
        <v>10489.0986</v>
      </c>
    </row>
    <row r="2660">
      <c r="A2660" s="3">
        <f>IFERROR(__xludf.DUMMYFUNCTION("""COMPUTED_VALUE"""),43110.99861111111)</f>
        <v>43110.99861</v>
      </c>
      <c r="B2660" s="1">
        <f>IFERROR(__xludf.DUMMYFUNCTION("""COMPUTED_VALUE"""),10544.4645)</f>
        <v>10544.4645</v>
      </c>
    </row>
    <row r="2661">
      <c r="A2661" s="3">
        <f>IFERROR(__xludf.DUMMYFUNCTION("""COMPUTED_VALUE"""),43111.99861111111)</f>
        <v>43111.99861</v>
      </c>
      <c r="B2661" s="1">
        <f>IFERROR(__xludf.DUMMYFUNCTION("""COMPUTED_VALUE"""),10560.78229)</f>
        <v>10560.78229</v>
      </c>
    </row>
    <row r="2662">
      <c r="A2662" s="3">
        <f>IFERROR(__xludf.DUMMYFUNCTION("""COMPUTED_VALUE"""),43112.99861111111)</f>
        <v>43112.99861</v>
      </c>
      <c r="B2662" s="1">
        <f>IFERROR(__xludf.DUMMYFUNCTION("""COMPUTED_VALUE"""),10537.452)</f>
        <v>10537.452</v>
      </c>
    </row>
    <row r="2663">
      <c r="A2663" s="3">
        <f>IFERROR(__xludf.DUMMYFUNCTION("""COMPUTED_VALUE"""),43113.99861111111)</f>
        <v>43113.99861</v>
      </c>
      <c r="B2663" s="1">
        <f>IFERROR(__xludf.DUMMYFUNCTION("""COMPUTED_VALUE"""),10516.345)</f>
        <v>10516.345</v>
      </c>
    </row>
    <row r="2664">
      <c r="A2664" s="3">
        <f>IFERROR(__xludf.DUMMYFUNCTION("""COMPUTED_VALUE"""),43114.99861111111)</f>
        <v>43114.99861</v>
      </c>
      <c r="B2664" s="1">
        <f>IFERROR(__xludf.DUMMYFUNCTION("""COMPUTED_VALUE"""),10513.686)</f>
        <v>10513.686</v>
      </c>
    </row>
    <row r="2665">
      <c r="A2665" s="3">
        <f>IFERROR(__xludf.DUMMYFUNCTION("""COMPUTED_VALUE"""),43115.99861111111)</f>
        <v>43115.99861</v>
      </c>
      <c r="B2665" s="1">
        <f>IFERROR(__xludf.DUMMYFUNCTION("""COMPUTED_VALUE"""),10592.6427)</f>
        <v>10592.6427</v>
      </c>
    </row>
    <row r="2666">
      <c r="A2666" s="3">
        <f>IFERROR(__xludf.DUMMYFUNCTION("""COMPUTED_VALUE"""),43116.99861111111)</f>
        <v>43116.99861</v>
      </c>
      <c r="B2666" s="1">
        <f>IFERROR(__xludf.DUMMYFUNCTION("""COMPUTED_VALUE"""),10605.5473)</f>
        <v>10605.5473</v>
      </c>
    </row>
    <row r="2667">
      <c r="A2667" s="3">
        <f>IFERROR(__xludf.DUMMYFUNCTION("""COMPUTED_VALUE"""),43117.99861111111)</f>
        <v>43117.99861</v>
      </c>
      <c r="B2667" s="1">
        <f>IFERROR(__xludf.DUMMYFUNCTION("""COMPUTED_VALUE"""),10631.05912)</f>
        <v>10631.05912</v>
      </c>
    </row>
    <row r="2668">
      <c r="A2668" s="3">
        <f>IFERROR(__xludf.DUMMYFUNCTION("""COMPUTED_VALUE"""),43118.99861111111)</f>
        <v>43118.99861</v>
      </c>
      <c r="B2668" s="1">
        <f>IFERROR(__xludf.DUMMYFUNCTION("""COMPUTED_VALUE"""),10672.93362)</f>
        <v>10672.93362</v>
      </c>
    </row>
    <row r="2669">
      <c r="A2669" s="3">
        <f>IFERROR(__xludf.DUMMYFUNCTION("""COMPUTED_VALUE"""),43119.99861111111)</f>
        <v>43119.99861</v>
      </c>
      <c r="B2669" s="1">
        <f>IFERROR(__xludf.DUMMYFUNCTION("""COMPUTED_VALUE"""),10636.022)</f>
        <v>10636.022</v>
      </c>
    </row>
    <row r="2670">
      <c r="A2670" s="3">
        <f>IFERROR(__xludf.DUMMYFUNCTION("""COMPUTED_VALUE"""),43120.99861111111)</f>
        <v>43120.99861</v>
      </c>
      <c r="B2670" s="1">
        <f>IFERROR(__xludf.DUMMYFUNCTION("""COMPUTED_VALUE"""),10650.664)</f>
        <v>10650.664</v>
      </c>
    </row>
    <row r="2671">
      <c r="A2671" s="3">
        <f>IFERROR(__xludf.DUMMYFUNCTION("""COMPUTED_VALUE"""),43121.99861111111)</f>
        <v>43121.99861</v>
      </c>
      <c r="B2671" s="1">
        <f>IFERROR(__xludf.DUMMYFUNCTION("""COMPUTED_VALUE"""),10661.8655)</f>
        <v>10661.8655</v>
      </c>
    </row>
    <row r="2672">
      <c r="A2672" s="3">
        <f>IFERROR(__xludf.DUMMYFUNCTION("""COMPUTED_VALUE"""),43122.99861111111)</f>
        <v>43122.99861</v>
      </c>
      <c r="B2672" s="1">
        <f>IFERROR(__xludf.DUMMYFUNCTION("""COMPUTED_VALUE"""),10683.6065)</f>
        <v>10683.6065</v>
      </c>
    </row>
    <row r="2673">
      <c r="A2673" s="3">
        <f>IFERROR(__xludf.DUMMYFUNCTION("""COMPUTED_VALUE"""),43123.99861111111)</f>
        <v>43123.99861</v>
      </c>
      <c r="B2673" s="1">
        <f>IFERROR(__xludf.DUMMYFUNCTION("""COMPUTED_VALUE"""),10673.60096)</f>
        <v>10673.60096</v>
      </c>
    </row>
    <row r="2674">
      <c r="A2674" s="3">
        <f>IFERROR(__xludf.DUMMYFUNCTION("""COMPUTED_VALUE"""),43124.99861111111)</f>
        <v>43124.99861</v>
      </c>
      <c r="B2674" s="1">
        <f>IFERROR(__xludf.DUMMYFUNCTION("""COMPUTED_VALUE"""),10698.241)</f>
        <v>10698.241</v>
      </c>
    </row>
    <row r="2675">
      <c r="A2675" s="3">
        <f>IFERROR(__xludf.DUMMYFUNCTION("""COMPUTED_VALUE"""),43125.99861111111)</f>
        <v>43125.99861</v>
      </c>
      <c r="B2675" s="1">
        <f>IFERROR(__xludf.DUMMYFUNCTION("""COMPUTED_VALUE"""),10676.96916)</f>
        <v>10676.96916</v>
      </c>
    </row>
    <row r="2676">
      <c r="A2676" s="3">
        <f>IFERROR(__xludf.DUMMYFUNCTION("""COMPUTED_VALUE"""),43126.99861111111)</f>
        <v>43126.99861</v>
      </c>
      <c r="B2676" s="1">
        <f>IFERROR(__xludf.DUMMYFUNCTION("""COMPUTED_VALUE"""),10779.79545)</f>
        <v>10779.79545</v>
      </c>
    </row>
    <row r="2677">
      <c r="A2677" s="3">
        <f>IFERROR(__xludf.DUMMYFUNCTION("""COMPUTED_VALUE"""),43128.99861111111)</f>
        <v>43128.99861</v>
      </c>
      <c r="B2677" s="1">
        <f>IFERROR(__xludf.DUMMYFUNCTION("""COMPUTED_VALUE"""),10787.0448)</f>
        <v>10787.0448</v>
      </c>
    </row>
    <row r="2678">
      <c r="A2678" s="3">
        <f>IFERROR(__xludf.DUMMYFUNCTION("""COMPUTED_VALUE"""),43129.99861111111)</f>
        <v>43129.99861</v>
      </c>
      <c r="B2678" s="1">
        <f>IFERROR(__xludf.DUMMYFUNCTION("""COMPUTED_VALUE"""),10820.85384)</f>
        <v>10820.85384</v>
      </c>
    </row>
    <row r="2679">
      <c r="A2679" s="3">
        <f>IFERROR(__xludf.DUMMYFUNCTION("""COMPUTED_VALUE"""),43130.99861111111)</f>
        <v>43130.99861</v>
      </c>
      <c r="B2679" s="1">
        <f>IFERROR(__xludf.DUMMYFUNCTION("""COMPUTED_VALUE"""),10866.9837)</f>
        <v>10866.9837</v>
      </c>
    </row>
    <row r="2680">
      <c r="A2680" s="3">
        <f>IFERROR(__xludf.DUMMYFUNCTION("""COMPUTED_VALUE"""),43131.99861111111)</f>
        <v>43131.99861</v>
      </c>
      <c r="B2680" s="1">
        <f>IFERROR(__xludf.DUMMYFUNCTION("""COMPUTED_VALUE"""),10782.6831)</f>
        <v>10782.6831</v>
      </c>
    </row>
    <row r="2681">
      <c r="A2681" s="3">
        <f>IFERROR(__xludf.DUMMYFUNCTION("""COMPUTED_VALUE"""),43132.99861111111)</f>
        <v>43132.99861</v>
      </c>
      <c r="B2681" s="1">
        <f>IFERROR(__xludf.DUMMYFUNCTION("""COMPUTED_VALUE"""),10758.19434)</f>
        <v>10758.19434</v>
      </c>
    </row>
    <row r="2682">
      <c r="A2682" s="3">
        <f>IFERROR(__xludf.DUMMYFUNCTION("""COMPUTED_VALUE"""),43133.99861111111)</f>
        <v>43133.99861</v>
      </c>
      <c r="B2682" s="1">
        <f>IFERROR(__xludf.DUMMYFUNCTION("""COMPUTED_VALUE"""),10630.8997)</f>
        <v>10630.8997</v>
      </c>
    </row>
    <row r="2683">
      <c r="A2683" s="3">
        <f>IFERROR(__xludf.DUMMYFUNCTION("""COMPUTED_VALUE"""),43134.99861111111)</f>
        <v>43134.99861</v>
      </c>
      <c r="B2683" s="1">
        <f>IFERROR(__xludf.DUMMYFUNCTION("""COMPUTED_VALUE"""),10630.8997)</f>
        <v>10630.8997</v>
      </c>
    </row>
    <row r="2684">
      <c r="A2684" s="3">
        <f>IFERROR(__xludf.DUMMYFUNCTION("""COMPUTED_VALUE"""),43135.99861111111)</f>
        <v>43135.99861</v>
      </c>
      <c r="B2684" s="1">
        <f>IFERROR(__xludf.DUMMYFUNCTION("""COMPUTED_VALUE"""),10600.72495)</f>
        <v>10600.72495</v>
      </c>
    </row>
    <row r="2685">
      <c r="A2685" s="3">
        <f>IFERROR(__xludf.DUMMYFUNCTION("""COMPUTED_VALUE"""),43136.99861111111)</f>
        <v>43136.99861</v>
      </c>
      <c r="B2685" s="1">
        <f>IFERROR(__xludf.DUMMYFUNCTION("""COMPUTED_VALUE"""),10680.70052)</f>
        <v>10680.70052</v>
      </c>
    </row>
    <row r="2686">
      <c r="A2686" s="3">
        <f>IFERROR(__xludf.DUMMYFUNCTION("""COMPUTED_VALUE"""),43137.99861111111)</f>
        <v>43137.99861</v>
      </c>
      <c r="B2686" s="1">
        <f>IFERROR(__xludf.DUMMYFUNCTION("""COMPUTED_VALUE"""),10691.09184)</f>
        <v>10691.09184</v>
      </c>
    </row>
    <row r="2687">
      <c r="A2687" s="3">
        <f>IFERROR(__xludf.DUMMYFUNCTION("""COMPUTED_VALUE"""),43138.99861111111)</f>
        <v>43138.99861</v>
      </c>
      <c r="B2687" s="1">
        <f>IFERROR(__xludf.DUMMYFUNCTION("""COMPUTED_VALUE"""),10661.12355)</f>
        <v>10661.12355</v>
      </c>
    </row>
    <row r="2688">
      <c r="A2688" s="3">
        <f>IFERROR(__xludf.DUMMYFUNCTION("""COMPUTED_VALUE"""),43139.99861111111)</f>
        <v>43139.99861</v>
      </c>
      <c r="B2688" s="1">
        <f>IFERROR(__xludf.DUMMYFUNCTION("""COMPUTED_VALUE"""),10588.0827)</f>
        <v>10588.0827</v>
      </c>
    </row>
    <row r="2689">
      <c r="A2689" s="3">
        <f>IFERROR(__xludf.DUMMYFUNCTION("""COMPUTED_VALUE"""),43140.99861111111)</f>
        <v>43140.99861</v>
      </c>
      <c r="B2689" s="1">
        <f>IFERROR(__xludf.DUMMYFUNCTION("""COMPUTED_VALUE"""),10629.0072)</f>
        <v>10629.0072</v>
      </c>
    </row>
    <row r="2690">
      <c r="A2690" s="3">
        <f>IFERROR(__xludf.DUMMYFUNCTION("""COMPUTED_VALUE"""),43141.99861111111)</f>
        <v>43141.99861</v>
      </c>
      <c r="B2690" s="1">
        <f>IFERROR(__xludf.DUMMYFUNCTION("""COMPUTED_VALUE"""),10619.483)</f>
        <v>10619.483</v>
      </c>
    </row>
    <row r="2691">
      <c r="A2691" s="3">
        <f>IFERROR(__xludf.DUMMYFUNCTION("""COMPUTED_VALUE"""),43142.99861111111)</f>
        <v>43142.99861</v>
      </c>
      <c r="B2691" s="1">
        <f>IFERROR(__xludf.DUMMYFUNCTION("""COMPUTED_VALUE"""),10642.2034)</f>
        <v>10642.2034</v>
      </c>
    </row>
    <row r="2692">
      <c r="A2692" s="3">
        <f>IFERROR(__xludf.DUMMYFUNCTION("""COMPUTED_VALUE"""),43143.99861111111)</f>
        <v>43143.99861</v>
      </c>
      <c r="B2692" s="1">
        <f>IFERROR(__xludf.DUMMYFUNCTION("""COMPUTED_VALUE"""),10721.35155)</f>
        <v>10721.35155</v>
      </c>
    </row>
    <row r="2693">
      <c r="A2693" s="3">
        <f>IFERROR(__xludf.DUMMYFUNCTION("""COMPUTED_VALUE"""),43144.99861111111)</f>
        <v>43144.99861</v>
      </c>
      <c r="B2693" s="1">
        <f>IFERROR(__xludf.DUMMYFUNCTION("""COMPUTED_VALUE"""),10721.8584)</f>
        <v>10721.8584</v>
      </c>
    </row>
    <row r="2694">
      <c r="A2694" s="3">
        <f>IFERROR(__xludf.DUMMYFUNCTION("""COMPUTED_VALUE"""),43145.99861111111)</f>
        <v>43145.99861</v>
      </c>
      <c r="B2694" s="1">
        <f>IFERROR(__xludf.DUMMYFUNCTION("""COMPUTED_VALUE"""),10799.24916)</f>
        <v>10799.24916</v>
      </c>
    </row>
    <row r="2695">
      <c r="A2695" s="3">
        <f>IFERROR(__xludf.DUMMYFUNCTION("""COMPUTED_VALUE"""),43146.99861111111)</f>
        <v>43146.99861</v>
      </c>
      <c r="B2695" s="1">
        <f>IFERROR(__xludf.DUMMYFUNCTION("""COMPUTED_VALUE"""),10764.21808)</f>
        <v>10764.21808</v>
      </c>
    </row>
    <row r="2696">
      <c r="A2696" s="3">
        <f>IFERROR(__xludf.DUMMYFUNCTION("""COMPUTED_VALUE"""),43147.99861111111)</f>
        <v>43147.99861</v>
      </c>
      <c r="B2696" s="1">
        <f>IFERROR(__xludf.DUMMYFUNCTION("""COMPUTED_VALUE"""),10722.3424)</f>
        <v>10722.3424</v>
      </c>
    </row>
    <row r="2697">
      <c r="A2697" s="3">
        <f>IFERROR(__xludf.DUMMYFUNCTION("""COMPUTED_VALUE"""),43148.99861111111)</f>
        <v>43148.99861</v>
      </c>
      <c r="B2697" s="1">
        <f>IFERROR(__xludf.DUMMYFUNCTION("""COMPUTED_VALUE"""),10722.3424)</f>
        <v>10722.3424</v>
      </c>
    </row>
    <row r="2698">
      <c r="A2698" s="3">
        <f>IFERROR(__xludf.DUMMYFUNCTION("""COMPUTED_VALUE"""),43149.99861111111)</f>
        <v>43149.99861</v>
      </c>
      <c r="B2698" s="1">
        <f>IFERROR(__xludf.DUMMYFUNCTION("""COMPUTED_VALUE"""),10721.25824)</f>
        <v>10721.25824</v>
      </c>
    </row>
    <row r="2699">
      <c r="A2699" s="3">
        <f>IFERROR(__xludf.DUMMYFUNCTION("""COMPUTED_VALUE"""),43150.99861111111)</f>
        <v>43150.99861</v>
      </c>
      <c r="B2699" s="1">
        <f>IFERROR(__xludf.DUMMYFUNCTION("""COMPUTED_VALUE"""),10719.31644)</f>
        <v>10719.31644</v>
      </c>
    </row>
    <row r="2700">
      <c r="A2700" s="3">
        <f>IFERROR(__xludf.DUMMYFUNCTION("""COMPUTED_VALUE"""),43151.99861111111)</f>
        <v>43151.99861</v>
      </c>
      <c r="B2700" s="1">
        <f>IFERROR(__xludf.DUMMYFUNCTION("""COMPUTED_VALUE"""),10723.64832)</f>
        <v>10723.64832</v>
      </c>
    </row>
    <row r="2701">
      <c r="A2701" s="3">
        <f>IFERROR(__xludf.DUMMYFUNCTION("""COMPUTED_VALUE"""),43152.99861111111)</f>
        <v>43152.99861</v>
      </c>
      <c r="B2701" s="1">
        <f>IFERROR(__xludf.DUMMYFUNCTION("""COMPUTED_VALUE"""),10614.22924)</f>
        <v>10614.22924</v>
      </c>
    </row>
    <row r="2702">
      <c r="A2702" s="3">
        <f>IFERROR(__xludf.DUMMYFUNCTION("""COMPUTED_VALUE"""),43153.99861111111)</f>
        <v>43153.99861</v>
      </c>
      <c r="B2702" s="1">
        <f>IFERROR(__xludf.DUMMYFUNCTION("""COMPUTED_VALUE"""),10717.8812)</f>
        <v>10717.8812</v>
      </c>
    </row>
    <row r="2703">
      <c r="A2703" s="3">
        <f>IFERROR(__xludf.DUMMYFUNCTION("""COMPUTED_VALUE"""),43154.99861111111)</f>
        <v>43154.99861</v>
      </c>
      <c r="B2703" s="1">
        <f>IFERROR(__xludf.DUMMYFUNCTION("""COMPUTED_VALUE"""),10708.6288)</f>
        <v>10708.6288</v>
      </c>
    </row>
    <row r="2704">
      <c r="A2704" s="3">
        <f>IFERROR(__xludf.DUMMYFUNCTION("""COMPUTED_VALUE"""),43155.99861111111)</f>
        <v>43155.99861</v>
      </c>
      <c r="B2704" s="1">
        <f>IFERROR(__xludf.DUMMYFUNCTION("""COMPUTED_VALUE"""),10704.5332)</f>
        <v>10704.5332</v>
      </c>
    </row>
    <row r="2705">
      <c r="A2705" s="3">
        <f>IFERROR(__xludf.DUMMYFUNCTION("""COMPUTED_VALUE"""),43156.99861111111)</f>
        <v>43156.99861</v>
      </c>
      <c r="B2705" s="1">
        <f>IFERROR(__xludf.DUMMYFUNCTION("""COMPUTED_VALUE"""),10706.69227)</f>
        <v>10706.69227</v>
      </c>
    </row>
    <row r="2706">
      <c r="A2706" s="3">
        <f>IFERROR(__xludf.DUMMYFUNCTION("""COMPUTED_VALUE"""),43157.99861111111)</f>
        <v>43157.99861</v>
      </c>
      <c r="B2706" s="1">
        <f>IFERROR(__xludf.DUMMYFUNCTION("""COMPUTED_VALUE"""),10715.35245)</f>
        <v>10715.35245</v>
      </c>
    </row>
    <row r="2707">
      <c r="A2707" s="3">
        <f>IFERROR(__xludf.DUMMYFUNCTION("""COMPUTED_VALUE"""),43158.99861111111)</f>
        <v>43158.99861</v>
      </c>
      <c r="B2707" s="1">
        <f>IFERROR(__xludf.DUMMYFUNCTION("""COMPUTED_VALUE"""),10671.59726)</f>
        <v>10671.59726</v>
      </c>
    </row>
    <row r="2708">
      <c r="A2708" s="3">
        <f>IFERROR(__xludf.DUMMYFUNCTION("""COMPUTED_VALUE"""),43159.99861111111)</f>
        <v>43159.99861</v>
      </c>
      <c r="B2708" s="1">
        <f>IFERROR(__xludf.DUMMYFUNCTION("""COMPUTED_VALUE"""),10677.4072)</f>
        <v>10677.4072</v>
      </c>
    </row>
    <row r="2709">
      <c r="A2709" s="3">
        <f>IFERROR(__xludf.DUMMYFUNCTION("""COMPUTED_VALUE"""),43160.99861111111)</f>
        <v>43160.99861</v>
      </c>
      <c r="B2709" s="1">
        <f>IFERROR(__xludf.DUMMYFUNCTION("""COMPUTED_VALUE"""),10665.90161)</f>
        <v>10665.90161</v>
      </c>
    </row>
    <row r="2710">
      <c r="A2710" s="3">
        <f>IFERROR(__xludf.DUMMYFUNCTION("""COMPUTED_VALUE"""),43161.99861111111)</f>
        <v>43161.99861</v>
      </c>
      <c r="B2710" s="1">
        <f>IFERROR(__xludf.DUMMYFUNCTION("""COMPUTED_VALUE"""),10680.4017)</f>
        <v>10680.4017</v>
      </c>
    </row>
    <row r="2711">
      <c r="A2711" s="3">
        <f>IFERROR(__xludf.DUMMYFUNCTION("""COMPUTED_VALUE"""),43162.99861111111)</f>
        <v>43162.99861</v>
      </c>
      <c r="B2711" s="1">
        <f>IFERROR(__xludf.DUMMYFUNCTION("""COMPUTED_VALUE"""),10680.4017)</f>
        <v>10680.4017</v>
      </c>
    </row>
    <row r="2712">
      <c r="A2712" s="3">
        <f>IFERROR(__xludf.DUMMYFUNCTION("""COMPUTED_VALUE"""),43163.99861111111)</f>
        <v>43163.99861</v>
      </c>
      <c r="B2712" s="1">
        <f>IFERROR(__xludf.DUMMYFUNCTION("""COMPUTED_VALUE"""),10662.5254)</f>
        <v>10662.5254</v>
      </c>
    </row>
    <row r="2713">
      <c r="A2713" s="3">
        <f>IFERROR(__xludf.DUMMYFUNCTION("""COMPUTED_VALUE"""),43164.99861111111)</f>
        <v>43164.99861</v>
      </c>
      <c r="B2713" s="1">
        <f>IFERROR(__xludf.DUMMYFUNCTION("""COMPUTED_VALUE"""),10664.0331)</f>
        <v>10664.0331</v>
      </c>
    </row>
    <row r="2714">
      <c r="A2714" s="3">
        <f>IFERROR(__xludf.DUMMYFUNCTION("""COMPUTED_VALUE"""),43165.99861111111)</f>
        <v>43165.99861</v>
      </c>
      <c r="B2714" s="1">
        <f>IFERROR(__xludf.DUMMYFUNCTION("""COMPUTED_VALUE"""),10712.06945)</f>
        <v>10712.06945</v>
      </c>
    </row>
    <row r="2715">
      <c r="A2715" s="3">
        <f>IFERROR(__xludf.DUMMYFUNCTION("""COMPUTED_VALUE"""),43166.99861111111)</f>
        <v>43166.99861</v>
      </c>
      <c r="B2715" s="1">
        <f>IFERROR(__xludf.DUMMYFUNCTION("""COMPUTED_VALUE"""),10754.088)</f>
        <v>10754.088</v>
      </c>
    </row>
    <row r="2716">
      <c r="A2716" s="3">
        <f>IFERROR(__xludf.DUMMYFUNCTION("""COMPUTED_VALUE"""),43167.99861111111)</f>
        <v>43167.99861</v>
      </c>
      <c r="B2716" s="1">
        <f>IFERROR(__xludf.DUMMYFUNCTION("""COMPUTED_VALUE"""),10739.294)</f>
        <v>10739.294</v>
      </c>
    </row>
    <row r="2717">
      <c r="A2717" s="3">
        <f>IFERROR(__xludf.DUMMYFUNCTION("""COMPUTED_VALUE"""),43168.99861111111)</f>
        <v>43168.99861</v>
      </c>
      <c r="B2717" s="1">
        <f>IFERROR(__xludf.DUMMYFUNCTION("""COMPUTED_VALUE"""),10810.827)</f>
        <v>10810.827</v>
      </c>
    </row>
    <row r="2718">
      <c r="A2718" s="3">
        <f>IFERROR(__xludf.DUMMYFUNCTION("""COMPUTED_VALUE"""),43170.99861111111)</f>
        <v>43170.99861</v>
      </c>
      <c r="B2718" s="1">
        <f>IFERROR(__xludf.DUMMYFUNCTION("""COMPUTED_VALUE"""),10827.68412)</f>
        <v>10827.68412</v>
      </c>
    </row>
    <row r="2719">
      <c r="A2719" s="3">
        <f>IFERROR(__xludf.DUMMYFUNCTION("""COMPUTED_VALUE"""),43171.99861111111)</f>
        <v>43171.99861</v>
      </c>
      <c r="B2719" s="1">
        <f>IFERROR(__xludf.DUMMYFUNCTION("""COMPUTED_VALUE"""),10828.34865)</f>
        <v>10828.34865</v>
      </c>
    </row>
    <row r="2720">
      <c r="A2720" s="3">
        <f>IFERROR(__xludf.DUMMYFUNCTION("""COMPUTED_VALUE"""),43172.99861111111)</f>
        <v>43172.99861</v>
      </c>
      <c r="B2720" s="1">
        <f>IFERROR(__xludf.DUMMYFUNCTION("""COMPUTED_VALUE"""),10795.9302)</f>
        <v>10795.9302</v>
      </c>
    </row>
    <row r="2721">
      <c r="A2721" s="3">
        <f>IFERROR(__xludf.DUMMYFUNCTION("""COMPUTED_VALUE"""),43173.99861111111)</f>
        <v>43173.99861</v>
      </c>
      <c r="B2721" s="1">
        <f>IFERROR(__xludf.DUMMYFUNCTION("""COMPUTED_VALUE"""),10814.06475)</f>
        <v>10814.06475</v>
      </c>
    </row>
    <row r="2722">
      <c r="A2722" s="3">
        <f>IFERROR(__xludf.DUMMYFUNCTION("""COMPUTED_VALUE"""),43174.99861111111)</f>
        <v>43174.99861</v>
      </c>
      <c r="B2722" s="1">
        <f>IFERROR(__xludf.DUMMYFUNCTION("""COMPUTED_VALUE"""),10715.55588)</f>
        <v>10715.55588</v>
      </c>
    </row>
    <row r="2723">
      <c r="A2723" s="3">
        <f>IFERROR(__xludf.DUMMYFUNCTION("""COMPUTED_VALUE"""),43175.99861111111)</f>
        <v>43175.99861</v>
      </c>
      <c r="B2723" s="1">
        <f>IFERROR(__xludf.DUMMYFUNCTION("""COMPUTED_VALUE"""),10602.1216)</f>
        <v>10602.1216</v>
      </c>
    </row>
    <row r="2724">
      <c r="A2724" s="3">
        <f>IFERROR(__xludf.DUMMYFUNCTION("""COMPUTED_VALUE"""),43177.99861111111)</f>
        <v>43177.99861</v>
      </c>
      <c r="B2724" s="1">
        <f>IFERROR(__xludf.DUMMYFUNCTION("""COMPUTED_VALUE"""),10606.99444)</f>
        <v>10606.99444</v>
      </c>
    </row>
    <row r="2725">
      <c r="A2725" s="3">
        <f>IFERROR(__xludf.DUMMYFUNCTION("""COMPUTED_VALUE"""),43178.99861111111)</f>
        <v>43178.99861</v>
      </c>
      <c r="B2725" s="1">
        <f>IFERROR(__xludf.DUMMYFUNCTION("""COMPUTED_VALUE"""),10614.82451)</f>
        <v>10614.82451</v>
      </c>
    </row>
    <row r="2726">
      <c r="A2726" s="3">
        <f>IFERROR(__xludf.DUMMYFUNCTION("""COMPUTED_VALUE"""),43179.99861111111)</f>
        <v>43179.99861</v>
      </c>
      <c r="B2726" s="1">
        <f>IFERROR(__xludf.DUMMYFUNCTION("""COMPUTED_VALUE"""),10566.30555)</f>
        <v>10566.30555</v>
      </c>
    </row>
    <row r="2727">
      <c r="A2727" s="3">
        <f>IFERROR(__xludf.DUMMYFUNCTION("""COMPUTED_VALUE"""),43180.99861111111)</f>
        <v>43180.99861</v>
      </c>
      <c r="B2727" s="1">
        <f>IFERROR(__xludf.DUMMYFUNCTION("""COMPUTED_VALUE"""),10654.267)</f>
        <v>10654.267</v>
      </c>
    </row>
    <row r="2728">
      <c r="A2728" s="3">
        <f>IFERROR(__xludf.DUMMYFUNCTION("""COMPUTED_VALUE"""),43181.99861111111)</f>
        <v>43181.99861</v>
      </c>
      <c r="B2728" s="1">
        <f>IFERROR(__xludf.DUMMYFUNCTION("""COMPUTED_VALUE"""),10580.81466)</f>
        <v>10580.81466</v>
      </c>
    </row>
    <row r="2729">
      <c r="A2729" s="3">
        <f>IFERROR(__xludf.DUMMYFUNCTION("""COMPUTED_VALUE"""),43182.99861111111)</f>
        <v>43182.99861</v>
      </c>
      <c r="B2729" s="1">
        <f>IFERROR(__xludf.DUMMYFUNCTION("""COMPUTED_VALUE"""),10601.4015)</f>
        <v>10601.4015</v>
      </c>
    </row>
    <row r="2730">
      <c r="A2730" s="3">
        <f>IFERROR(__xludf.DUMMYFUNCTION("""COMPUTED_VALUE"""),43183.99861111111)</f>
        <v>43183.99861</v>
      </c>
      <c r="B2730" s="1">
        <f>IFERROR(__xludf.DUMMYFUNCTION("""COMPUTED_VALUE"""),10601.4015)</f>
        <v>10601.4015</v>
      </c>
    </row>
    <row r="2731">
      <c r="A2731" s="3">
        <f>IFERROR(__xludf.DUMMYFUNCTION("""COMPUTED_VALUE"""),43184.99861111111)</f>
        <v>43184.99861</v>
      </c>
      <c r="B2731" s="1">
        <f>IFERROR(__xludf.DUMMYFUNCTION("""COMPUTED_VALUE"""),10607.61198)</f>
        <v>10607.61198</v>
      </c>
    </row>
    <row r="2732">
      <c r="A2732" s="3">
        <f>IFERROR(__xludf.DUMMYFUNCTION("""COMPUTED_VALUE"""),43185.99861111111)</f>
        <v>43185.99861</v>
      </c>
      <c r="B2732" s="1">
        <f>IFERROR(__xludf.DUMMYFUNCTION("""COMPUTED_VALUE"""),10634.1936)</f>
        <v>10634.1936</v>
      </c>
    </row>
    <row r="2733">
      <c r="A2733" s="3">
        <f>IFERROR(__xludf.DUMMYFUNCTION("""COMPUTED_VALUE"""),43186.99861111111)</f>
        <v>43186.99861</v>
      </c>
      <c r="B2733" s="1">
        <f>IFERROR(__xludf.DUMMYFUNCTION("""COMPUTED_VALUE"""),10562.4876)</f>
        <v>10562.4876</v>
      </c>
    </row>
    <row r="2734">
      <c r="A2734" s="3">
        <f>IFERROR(__xludf.DUMMYFUNCTION("""COMPUTED_VALUE"""),43187.99861111111)</f>
        <v>43187.99861</v>
      </c>
      <c r="B2734" s="1">
        <f>IFERROR(__xludf.DUMMYFUNCTION("""COMPUTED_VALUE"""),10534.3448)</f>
        <v>10534.3448</v>
      </c>
    </row>
    <row r="2735">
      <c r="A2735" s="3">
        <f>IFERROR(__xludf.DUMMYFUNCTION("""COMPUTED_VALUE"""),43188.99861111111)</f>
        <v>43188.99861</v>
      </c>
      <c r="B2735" s="1">
        <f>IFERROR(__xludf.DUMMYFUNCTION("""COMPUTED_VALUE"""),10568.1274)</f>
        <v>10568.1274</v>
      </c>
    </row>
    <row r="2736">
      <c r="A2736" s="3">
        <f>IFERROR(__xludf.DUMMYFUNCTION("""COMPUTED_VALUE"""),43189.99861111111)</f>
        <v>43189.99861</v>
      </c>
      <c r="B2736" s="1">
        <f>IFERROR(__xludf.DUMMYFUNCTION("""COMPUTED_VALUE"""),10541.0064)</f>
        <v>10541.0064</v>
      </c>
    </row>
    <row r="2737">
      <c r="A2737" s="3">
        <f>IFERROR(__xludf.DUMMYFUNCTION("""COMPUTED_VALUE"""),43190.99861111111)</f>
        <v>43190.99861</v>
      </c>
      <c r="B2737" s="1">
        <f>IFERROR(__xludf.DUMMYFUNCTION("""COMPUTED_VALUE"""),10550.2152)</f>
        <v>10550.2152</v>
      </c>
    </row>
    <row r="2738">
      <c r="A2738" s="3">
        <f>IFERROR(__xludf.DUMMYFUNCTION("""COMPUTED_VALUE"""),43191.99861111111)</f>
        <v>43191.99861</v>
      </c>
      <c r="B2738" s="1">
        <f>IFERROR(__xludf.DUMMYFUNCTION("""COMPUTED_VALUE"""),10576.85296)</f>
        <v>10576.85296</v>
      </c>
    </row>
    <row r="2739">
      <c r="A2739" s="3">
        <f>IFERROR(__xludf.DUMMYFUNCTION("""COMPUTED_VALUE"""),43192.99861111111)</f>
        <v>43192.99861</v>
      </c>
      <c r="B2739" s="1">
        <f>IFERROR(__xludf.DUMMYFUNCTION("""COMPUTED_VALUE"""),10520.24456)</f>
        <v>10520.24456</v>
      </c>
    </row>
    <row r="2740">
      <c r="A2740" s="3">
        <f>IFERROR(__xludf.DUMMYFUNCTION("""COMPUTED_VALUE"""),43193.99861111111)</f>
        <v>43193.99861</v>
      </c>
      <c r="B2740" s="1">
        <f>IFERROR(__xludf.DUMMYFUNCTION("""COMPUTED_VALUE"""),10554.87433)</f>
        <v>10554.87433</v>
      </c>
    </row>
    <row r="2741">
      <c r="A2741" s="3">
        <f>IFERROR(__xludf.DUMMYFUNCTION("""COMPUTED_VALUE"""),43194.99861111111)</f>
        <v>43194.99861</v>
      </c>
      <c r="B2741" s="1">
        <f>IFERROR(__xludf.DUMMYFUNCTION("""COMPUTED_VALUE"""),10614.80943)</f>
        <v>10614.80943</v>
      </c>
    </row>
    <row r="2742">
      <c r="A2742" s="3">
        <f>IFERROR(__xludf.DUMMYFUNCTION("""COMPUTED_VALUE"""),43195.99861111111)</f>
        <v>43195.99861</v>
      </c>
      <c r="B2742" s="1">
        <f>IFERROR(__xludf.DUMMYFUNCTION("""COMPUTED_VALUE"""),10548.416)</f>
        <v>10548.416</v>
      </c>
    </row>
    <row r="2743">
      <c r="A2743" s="3">
        <f>IFERROR(__xludf.DUMMYFUNCTION("""COMPUTED_VALUE"""),43196.99861111111)</f>
        <v>43196.99861</v>
      </c>
      <c r="B2743" s="1">
        <f>IFERROR(__xludf.DUMMYFUNCTION("""COMPUTED_VALUE"""),10564.4788)</f>
        <v>10564.4788</v>
      </c>
    </row>
    <row r="2744">
      <c r="A2744" s="3">
        <f>IFERROR(__xludf.DUMMYFUNCTION("""COMPUTED_VALUE"""),43197.99861111111)</f>
        <v>43197.99861</v>
      </c>
      <c r="B2744" s="1">
        <f>IFERROR(__xludf.DUMMYFUNCTION("""COMPUTED_VALUE"""),10564.4788)</f>
        <v>10564.4788</v>
      </c>
    </row>
    <row r="2745">
      <c r="A2745" s="3">
        <f>IFERROR(__xludf.DUMMYFUNCTION("""COMPUTED_VALUE"""),43198.99861111111)</f>
        <v>43198.99861</v>
      </c>
      <c r="B2745" s="1">
        <f>IFERROR(__xludf.DUMMYFUNCTION("""COMPUTED_VALUE"""),10567.2314)</f>
        <v>10567.2314</v>
      </c>
    </row>
    <row r="2746">
      <c r="A2746" s="3">
        <f>IFERROR(__xludf.DUMMYFUNCTION("""COMPUTED_VALUE"""),43199.99861111111)</f>
        <v>43199.99861</v>
      </c>
      <c r="B2746" s="1">
        <f>IFERROR(__xludf.DUMMYFUNCTION("""COMPUTED_VALUE"""),10599.9832)</f>
        <v>10599.9832</v>
      </c>
    </row>
    <row r="2747">
      <c r="A2747" s="3">
        <f>IFERROR(__xludf.DUMMYFUNCTION("""COMPUTED_VALUE"""),43200.99861111111)</f>
        <v>43200.99861</v>
      </c>
      <c r="B2747" s="1">
        <f>IFERROR(__xludf.DUMMYFUNCTION("""COMPUTED_VALUE"""),10668.67933)</f>
        <v>10668.67933</v>
      </c>
    </row>
    <row r="2748">
      <c r="A2748" s="3">
        <f>IFERROR(__xludf.DUMMYFUNCTION("""COMPUTED_VALUE"""),43201.99861111111)</f>
        <v>43201.99861</v>
      </c>
      <c r="B2748" s="1">
        <f>IFERROR(__xludf.DUMMYFUNCTION("""COMPUTED_VALUE"""),10674.09135)</f>
        <v>10674.09135</v>
      </c>
    </row>
    <row r="2749">
      <c r="A2749" s="3">
        <f>IFERROR(__xludf.DUMMYFUNCTION("""COMPUTED_VALUE"""),43202.99861111111)</f>
        <v>43202.99861</v>
      </c>
      <c r="B2749" s="1">
        <f>IFERROR(__xludf.DUMMYFUNCTION("""COMPUTED_VALUE"""),10679.33724)</f>
        <v>10679.33724</v>
      </c>
    </row>
    <row r="2750">
      <c r="A2750" s="3">
        <f>IFERROR(__xludf.DUMMYFUNCTION("""COMPUTED_VALUE"""),43203.99861111111)</f>
        <v>43203.99861</v>
      </c>
      <c r="B2750" s="1">
        <f>IFERROR(__xludf.DUMMYFUNCTION("""COMPUTED_VALUE"""),10688.8747)</f>
        <v>10688.8747</v>
      </c>
    </row>
    <row r="2751">
      <c r="A2751" s="3">
        <f>IFERROR(__xludf.DUMMYFUNCTION("""COMPUTED_VALUE"""),43205.99861111111)</f>
        <v>43205.99861</v>
      </c>
      <c r="B2751" s="1">
        <f>IFERROR(__xludf.DUMMYFUNCTION("""COMPUTED_VALUE"""),10674.52357)</f>
        <v>10674.52357</v>
      </c>
    </row>
    <row r="2752">
      <c r="A2752" s="3">
        <f>IFERROR(__xludf.DUMMYFUNCTION("""COMPUTED_VALUE"""),43206.99861111111)</f>
        <v>43206.99861</v>
      </c>
      <c r="B2752" s="1">
        <f>IFERROR(__xludf.DUMMYFUNCTION("""COMPUTED_VALUE"""),10699.21052)</f>
        <v>10699.21052</v>
      </c>
    </row>
    <row r="2753">
      <c r="A2753" s="3">
        <f>IFERROR(__xludf.DUMMYFUNCTION("""COMPUTED_VALUE"""),43207.99861111111)</f>
        <v>43207.99861</v>
      </c>
      <c r="B2753" s="1">
        <f>IFERROR(__xludf.DUMMYFUNCTION("""COMPUTED_VALUE"""),10683.6862)</f>
        <v>10683.6862</v>
      </c>
    </row>
    <row r="2754">
      <c r="A2754" s="3">
        <f>IFERROR(__xludf.DUMMYFUNCTION("""COMPUTED_VALUE"""),43208.99861111111)</f>
        <v>43208.99861</v>
      </c>
      <c r="B2754" s="1">
        <f>IFERROR(__xludf.DUMMYFUNCTION("""COMPUTED_VALUE"""),10723.57258)</f>
        <v>10723.57258</v>
      </c>
    </row>
    <row r="2755">
      <c r="A2755" s="3">
        <f>IFERROR(__xludf.DUMMYFUNCTION("""COMPUTED_VALUE"""),43209.99861111111)</f>
        <v>43209.99861</v>
      </c>
      <c r="B2755" s="1">
        <f>IFERROR(__xludf.DUMMYFUNCTION("""COMPUTED_VALUE"""),10657.602)</f>
        <v>10657.602</v>
      </c>
    </row>
    <row r="2756">
      <c r="A2756" s="3">
        <f>IFERROR(__xludf.DUMMYFUNCTION("""COMPUTED_VALUE"""),43210.99861111111)</f>
        <v>43210.99861</v>
      </c>
      <c r="B2756" s="1">
        <f>IFERROR(__xludf.DUMMYFUNCTION("""COMPUTED_VALUE"""),10618.9653)</f>
        <v>10618.9653</v>
      </c>
    </row>
    <row r="2757">
      <c r="A2757" s="3">
        <f>IFERROR(__xludf.DUMMYFUNCTION("""COMPUTED_VALUE"""),43211.99861111111)</f>
        <v>43211.99861</v>
      </c>
      <c r="B2757" s="1">
        <f>IFERROR(__xludf.DUMMYFUNCTION("""COMPUTED_VALUE"""),10626.03455)</f>
        <v>10626.03455</v>
      </c>
    </row>
    <row r="2758">
      <c r="A2758" s="3">
        <f>IFERROR(__xludf.DUMMYFUNCTION("""COMPUTED_VALUE"""),43212.99861111111)</f>
        <v>43212.99861</v>
      </c>
      <c r="B2758" s="1">
        <f>IFERROR(__xludf.DUMMYFUNCTION("""COMPUTED_VALUE"""),10644.82713)</f>
        <v>10644.82713</v>
      </c>
    </row>
    <row r="2759">
      <c r="A2759" s="3">
        <f>IFERROR(__xludf.DUMMYFUNCTION("""COMPUTED_VALUE"""),43213.99861111111)</f>
        <v>43213.99861</v>
      </c>
      <c r="B2759" s="1">
        <f>IFERROR(__xludf.DUMMYFUNCTION("""COMPUTED_VALUE"""),10608.9639)</f>
        <v>10608.9639</v>
      </c>
    </row>
    <row r="2760">
      <c r="A2760" s="3">
        <f>IFERROR(__xludf.DUMMYFUNCTION("""COMPUTED_VALUE"""),43214.99861111111)</f>
        <v>43214.99861</v>
      </c>
      <c r="B2760" s="1">
        <f>IFERROR(__xludf.DUMMYFUNCTION("""COMPUTED_VALUE"""),10551.18192)</f>
        <v>10551.18192</v>
      </c>
    </row>
    <row r="2761">
      <c r="A2761" s="3">
        <f>IFERROR(__xludf.DUMMYFUNCTION("""COMPUTED_VALUE"""),43215.99861111111)</f>
        <v>43215.99861</v>
      </c>
      <c r="B2761" s="1">
        <f>IFERROR(__xludf.DUMMYFUNCTION("""COMPUTED_VALUE"""),10537.65733)</f>
        <v>10537.65733</v>
      </c>
    </row>
    <row r="2762">
      <c r="A2762" s="3">
        <f>IFERROR(__xludf.DUMMYFUNCTION("""COMPUTED_VALUE"""),43216.99861111111)</f>
        <v>43216.99861</v>
      </c>
      <c r="B2762" s="1">
        <f>IFERROR(__xludf.DUMMYFUNCTION("""COMPUTED_VALUE"""),10486.83361)</f>
        <v>10486.83361</v>
      </c>
    </row>
    <row r="2763">
      <c r="A2763" s="3">
        <f>IFERROR(__xludf.DUMMYFUNCTION("""COMPUTED_VALUE"""),43217.99861111111)</f>
        <v>43217.99861</v>
      </c>
      <c r="B2763" s="1">
        <f>IFERROR(__xludf.DUMMYFUNCTION("""COMPUTED_VALUE"""),10489.204)</f>
        <v>10489.204</v>
      </c>
    </row>
    <row r="2764">
      <c r="A2764" s="3">
        <f>IFERROR(__xludf.DUMMYFUNCTION("""COMPUTED_VALUE"""),43219.99861111111)</f>
        <v>43219.99861</v>
      </c>
      <c r="B2764" s="1">
        <f>IFERROR(__xludf.DUMMYFUNCTION("""COMPUTED_VALUE"""),10502.364)</f>
        <v>10502.364</v>
      </c>
    </row>
    <row r="2765">
      <c r="A2765" s="3">
        <f>IFERROR(__xludf.DUMMYFUNCTION("""COMPUTED_VALUE"""),43220.99861111111)</f>
        <v>43220.99861</v>
      </c>
      <c r="B2765" s="1">
        <f>IFERROR(__xludf.DUMMYFUNCTION("""COMPUTED_VALUE"""),10470.37221)</f>
        <v>10470.37221</v>
      </c>
    </row>
    <row r="2766">
      <c r="A2766" s="3">
        <f>IFERROR(__xludf.DUMMYFUNCTION("""COMPUTED_VALUE"""),43221.99861111111)</f>
        <v>43221.99861</v>
      </c>
      <c r="B2766" s="1">
        <f>IFERROR(__xludf.DUMMYFUNCTION("""COMPUTED_VALUE"""),10461.8365)</f>
        <v>10461.8365</v>
      </c>
    </row>
    <row r="2767">
      <c r="A2767" s="3">
        <f>IFERROR(__xludf.DUMMYFUNCTION("""COMPUTED_VALUE"""),43222.99861111111)</f>
        <v>43222.99861</v>
      </c>
      <c r="B2767" s="1">
        <f>IFERROR(__xludf.DUMMYFUNCTION("""COMPUTED_VALUE"""),10482.96191)</f>
        <v>10482.96191</v>
      </c>
    </row>
    <row r="2768">
      <c r="A2768" s="3">
        <f>IFERROR(__xludf.DUMMYFUNCTION("""COMPUTED_VALUE"""),43223.99861111111)</f>
        <v>43223.99861</v>
      </c>
      <c r="B2768" s="1">
        <f>IFERROR(__xludf.DUMMYFUNCTION("""COMPUTED_VALUE"""),10486.00301)</f>
        <v>10486.00301</v>
      </c>
    </row>
    <row r="2769">
      <c r="A2769" s="3">
        <f>IFERROR(__xludf.DUMMYFUNCTION("""COMPUTED_VALUE"""),43224.99861111111)</f>
        <v>43224.99861</v>
      </c>
      <c r="B2769" s="1">
        <f>IFERROR(__xludf.DUMMYFUNCTION("""COMPUTED_VALUE"""),10497.12048)</f>
        <v>10497.12048</v>
      </c>
    </row>
    <row r="2770">
      <c r="A2770" s="3">
        <f>IFERROR(__xludf.DUMMYFUNCTION("""COMPUTED_VALUE"""),43225.99861111111)</f>
        <v>43225.99861</v>
      </c>
      <c r="B2770" s="1">
        <f>IFERROR(__xludf.DUMMYFUNCTION("""COMPUTED_VALUE"""),10502.78053)</f>
        <v>10502.78053</v>
      </c>
    </row>
    <row r="2771">
      <c r="A2771" s="3">
        <f>IFERROR(__xludf.DUMMYFUNCTION("""COMPUTED_VALUE"""),43226.99861111111)</f>
        <v>43226.99861</v>
      </c>
      <c r="B2771" s="1">
        <f>IFERROR(__xludf.DUMMYFUNCTION("""COMPUTED_VALUE"""),10482.63188)</f>
        <v>10482.63188</v>
      </c>
    </row>
    <row r="2772">
      <c r="A2772" s="3">
        <f>IFERROR(__xludf.DUMMYFUNCTION("""COMPUTED_VALUE"""),43227.99861111111)</f>
        <v>43227.99861</v>
      </c>
      <c r="B2772" s="1">
        <f>IFERROR(__xludf.DUMMYFUNCTION("""COMPUTED_VALUE"""),10724.2046)</f>
        <v>10724.2046</v>
      </c>
    </row>
    <row r="2773">
      <c r="A2773" s="3">
        <f>IFERROR(__xludf.DUMMYFUNCTION("""COMPUTED_VALUE"""),43228.99861111111)</f>
        <v>43228.99861</v>
      </c>
      <c r="B2773" s="1">
        <f>IFERROR(__xludf.DUMMYFUNCTION("""COMPUTED_VALUE"""),10624.3296)</f>
        <v>10624.3296</v>
      </c>
    </row>
    <row r="2774">
      <c r="A2774" s="3">
        <f>IFERROR(__xludf.DUMMYFUNCTION("""COMPUTED_VALUE"""),43229.99861111111)</f>
        <v>43229.99861</v>
      </c>
      <c r="B2774" s="1">
        <f>IFERROR(__xludf.DUMMYFUNCTION("""COMPUTED_VALUE"""),10495.22121)</f>
        <v>10495.22121</v>
      </c>
    </row>
    <row r="2775">
      <c r="A2775" s="3">
        <f>IFERROR(__xludf.DUMMYFUNCTION("""COMPUTED_VALUE"""),43230.99861111111)</f>
        <v>43230.99861</v>
      </c>
      <c r="B2775" s="1">
        <f>IFERROR(__xludf.DUMMYFUNCTION("""COMPUTED_VALUE"""),10591.48053)</f>
        <v>10591.48053</v>
      </c>
    </row>
    <row r="2776">
      <c r="A2776" s="3">
        <f>IFERROR(__xludf.DUMMYFUNCTION("""COMPUTED_VALUE"""),43231.99861111111)</f>
        <v>43231.99861</v>
      </c>
      <c r="B2776" s="1">
        <f>IFERROR(__xludf.DUMMYFUNCTION("""COMPUTED_VALUE"""),10512.154)</f>
        <v>10512.154</v>
      </c>
    </row>
    <row r="2777">
      <c r="A2777" s="3">
        <f>IFERROR(__xludf.DUMMYFUNCTION("""COMPUTED_VALUE"""),43232.99861111111)</f>
        <v>43232.99861</v>
      </c>
      <c r="B2777" s="1">
        <f>IFERROR(__xludf.DUMMYFUNCTION("""COMPUTED_VALUE"""),10514.4163)</f>
        <v>10514.4163</v>
      </c>
    </row>
    <row r="2778">
      <c r="A2778" s="3">
        <f>IFERROR(__xludf.DUMMYFUNCTION("""COMPUTED_VALUE"""),43233.99861111111)</f>
        <v>43233.99861</v>
      </c>
      <c r="B2778" s="1">
        <f>IFERROR(__xludf.DUMMYFUNCTION("""COMPUTED_VALUE"""),10527.66215)</f>
        <v>10527.66215</v>
      </c>
    </row>
    <row r="2779">
      <c r="A2779" s="3">
        <f>IFERROR(__xludf.DUMMYFUNCTION("""COMPUTED_VALUE"""),43234.99861111111)</f>
        <v>43234.99861</v>
      </c>
      <c r="B2779" s="1">
        <f>IFERROR(__xludf.DUMMYFUNCTION("""COMPUTED_VALUE"""),10507.43676)</f>
        <v>10507.43676</v>
      </c>
    </row>
    <row r="2780">
      <c r="A2780" s="3">
        <f>IFERROR(__xludf.DUMMYFUNCTION("""COMPUTED_VALUE"""),43235.99861111111)</f>
        <v>43235.99861</v>
      </c>
      <c r="B2780" s="1">
        <f>IFERROR(__xludf.DUMMYFUNCTION("""COMPUTED_VALUE"""),10477.3234)</f>
        <v>10477.3234</v>
      </c>
    </row>
    <row r="2781">
      <c r="A2781" s="3">
        <f>IFERROR(__xludf.DUMMYFUNCTION("""COMPUTED_VALUE"""),43236.99861111111)</f>
        <v>43236.99861</v>
      </c>
      <c r="B2781" s="1">
        <f>IFERROR(__xludf.DUMMYFUNCTION("""COMPUTED_VALUE"""),10633.1238)</f>
        <v>10633.1238</v>
      </c>
    </row>
    <row r="2782">
      <c r="A2782" s="3">
        <f>IFERROR(__xludf.DUMMYFUNCTION("""COMPUTED_VALUE"""),43237.99861111111)</f>
        <v>43237.99861</v>
      </c>
      <c r="B2782" s="1">
        <f>IFERROR(__xludf.DUMMYFUNCTION("""COMPUTED_VALUE"""),10623.05096)</f>
        <v>10623.05096</v>
      </c>
    </row>
    <row r="2783">
      <c r="A2783" s="3">
        <f>IFERROR(__xludf.DUMMYFUNCTION("""COMPUTED_VALUE"""),43238.99861111111)</f>
        <v>43238.99861</v>
      </c>
      <c r="B2783" s="1">
        <f>IFERROR(__xludf.DUMMYFUNCTION("""COMPUTED_VALUE"""),10614.634)</f>
        <v>10614.634</v>
      </c>
    </row>
    <row r="2784">
      <c r="A2784" s="3">
        <f>IFERROR(__xludf.DUMMYFUNCTION("""COMPUTED_VALUE"""),43239.99861111111)</f>
        <v>43239.99861</v>
      </c>
      <c r="B2784" s="1">
        <f>IFERROR(__xludf.DUMMYFUNCTION("""COMPUTED_VALUE"""),10614.634)</f>
        <v>10614.634</v>
      </c>
    </row>
    <row r="2785">
      <c r="A2785" s="3">
        <f>IFERROR(__xludf.DUMMYFUNCTION("""COMPUTED_VALUE"""),43240.99861111111)</f>
        <v>43240.99861</v>
      </c>
      <c r="B2785" s="1">
        <f>IFERROR(__xludf.DUMMYFUNCTION("""COMPUTED_VALUE"""),10655.81631)</f>
        <v>10655.81631</v>
      </c>
    </row>
    <row r="2786">
      <c r="A2786" s="3">
        <f>IFERROR(__xludf.DUMMYFUNCTION("""COMPUTED_VALUE"""),43241.99861111111)</f>
        <v>43241.99861</v>
      </c>
      <c r="B2786" s="1">
        <f>IFERROR(__xludf.DUMMYFUNCTION("""COMPUTED_VALUE"""),10782.4572)</f>
        <v>10782.4572</v>
      </c>
    </row>
    <row r="2787">
      <c r="A2787" s="3">
        <f>IFERROR(__xludf.DUMMYFUNCTION("""COMPUTED_VALUE"""),43242.99861111111)</f>
        <v>43242.99861</v>
      </c>
      <c r="B2787" s="1">
        <f>IFERROR(__xludf.DUMMYFUNCTION("""COMPUTED_VALUE"""),10761.79226)</f>
        <v>10761.79226</v>
      </c>
    </row>
    <row r="2788">
      <c r="A2788" s="3">
        <f>IFERROR(__xludf.DUMMYFUNCTION("""COMPUTED_VALUE"""),43243.99861111111)</f>
        <v>43243.99861</v>
      </c>
      <c r="B2788" s="1">
        <f>IFERROR(__xludf.DUMMYFUNCTION("""COMPUTED_VALUE"""),10720.97385)</f>
        <v>10720.97385</v>
      </c>
    </row>
    <row r="2789">
      <c r="A2789" s="3">
        <f>IFERROR(__xludf.DUMMYFUNCTION("""COMPUTED_VALUE"""),43244.99861111111)</f>
        <v>43244.99861</v>
      </c>
      <c r="B2789" s="1">
        <f>IFERROR(__xludf.DUMMYFUNCTION("""COMPUTED_VALUE"""),10693.84536)</f>
        <v>10693.84536</v>
      </c>
    </row>
    <row r="2790">
      <c r="A2790" s="3">
        <f>IFERROR(__xludf.DUMMYFUNCTION("""COMPUTED_VALUE"""),43245.99861111111)</f>
        <v>43245.99861</v>
      </c>
      <c r="B2790" s="1">
        <f>IFERROR(__xludf.DUMMYFUNCTION("""COMPUTED_VALUE"""),10657.283)</f>
        <v>10657.283</v>
      </c>
    </row>
    <row r="2791">
      <c r="A2791" s="3">
        <f>IFERROR(__xludf.DUMMYFUNCTION("""COMPUTED_VALUE"""),43246.99861111111)</f>
        <v>43246.99861</v>
      </c>
      <c r="B2791" s="1">
        <f>IFERROR(__xludf.DUMMYFUNCTION("""COMPUTED_VALUE"""),10608.9438)</f>
        <v>10608.9438</v>
      </c>
    </row>
    <row r="2792">
      <c r="A2792" s="3">
        <f>IFERROR(__xludf.DUMMYFUNCTION("""COMPUTED_VALUE"""),43247.99861111111)</f>
        <v>43247.99861</v>
      </c>
      <c r="B2792" s="1">
        <f>IFERROR(__xludf.DUMMYFUNCTION("""COMPUTED_VALUE"""),10637.47758)</f>
        <v>10637.47758</v>
      </c>
    </row>
    <row r="2793">
      <c r="A2793" s="3">
        <f>IFERROR(__xludf.DUMMYFUNCTION("""COMPUTED_VALUE"""),43248.99861111111)</f>
        <v>43248.99861</v>
      </c>
      <c r="B2793" s="1">
        <f>IFERROR(__xludf.DUMMYFUNCTION("""COMPUTED_VALUE"""),10569.144)</f>
        <v>10569.144</v>
      </c>
    </row>
    <row r="2794">
      <c r="A2794" s="3">
        <f>IFERROR(__xludf.DUMMYFUNCTION("""COMPUTED_VALUE"""),43249.99861111111)</f>
        <v>43249.99861</v>
      </c>
      <c r="B2794" s="1">
        <f>IFERROR(__xludf.DUMMYFUNCTION("""COMPUTED_VALUE"""),10495.79635)</f>
        <v>10495.79635</v>
      </c>
    </row>
    <row r="2795">
      <c r="A2795" s="3">
        <f>IFERROR(__xludf.DUMMYFUNCTION("""COMPUTED_VALUE"""),43250.99861111111)</f>
        <v>43250.99861</v>
      </c>
      <c r="B2795" s="1">
        <f>IFERROR(__xludf.DUMMYFUNCTION("""COMPUTED_VALUE"""),10581.56739)</f>
        <v>10581.56739</v>
      </c>
    </row>
    <row r="2796">
      <c r="A2796" s="3">
        <f>IFERROR(__xludf.DUMMYFUNCTION("""COMPUTED_VALUE"""),43251.99861111111)</f>
        <v>43251.99861</v>
      </c>
      <c r="B2796" s="1">
        <f>IFERROR(__xludf.DUMMYFUNCTION("""COMPUTED_VALUE"""),10495.2232)</f>
        <v>10495.2232</v>
      </c>
    </row>
    <row r="2797">
      <c r="A2797" s="3">
        <f>IFERROR(__xludf.DUMMYFUNCTION("""COMPUTED_VALUE"""),43252.99861111111)</f>
        <v>43252.99861</v>
      </c>
      <c r="B2797" s="1">
        <f>IFERROR(__xludf.DUMMYFUNCTION("""COMPUTED_VALUE"""),10459.1074)</f>
        <v>10459.1074</v>
      </c>
    </row>
    <row r="2798">
      <c r="A2798" s="3">
        <f>IFERROR(__xludf.DUMMYFUNCTION("""COMPUTED_VALUE"""),43253.99861111111)</f>
        <v>43253.99861</v>
      </c>
      <c r="B2798" s="1">
        <f>IFERROR(__xludf.DUMMYFUNCTION("""COMPUTED_VALUE"""),10464.72375)</f>
        <v>10464.72375</v>
      </c>
    </row>
    <row r="2799">
      <c r="A2799" s="3">
        <f>IFERROR(__xludf.DUMMYFUNCTION("""COMPUTED_VALUE"""),43254.99861111111)</f>
        <v>43254.99861</v>
      </c>
      <c r="B2799" s="1">
        <f>IFERROR(__xludf.DUMMYFUNCTION("""COMPUTED_VALUE"""),10548.2784)</f>
        <v>10548.2784</v>
      </c>
    </row>
    <row r="2800">
      <c r="A2800" s="3">
        <f>IFERROR(__xludf.DUMMYFUNCTION("""COMPUTED_VALUE"""),43255.99861111111)</f>
        <v>43255.99861</v>
      </c>
      <c r="B2800" s="1">
        <f>IFERROR(__xludf.DUMMYFUNCTION("""COMPUTED_VALUE"""),10602.9)</f>
        <v>10602.9</v>
      </c>
    </row>
    <row r="2801">
      <c r="A2801" s="3">
        <f>IFERROR(__xludf.DUMMYFUNCTION("""COMPUTED_VALUE"""),43256.99861111111)</f>
        <v>43256.99861</v>
      </c>
      <c r="B2801" s="1">
        <f>IFERROR(__xludf.DUMMYFUNCTION("""COMPUTED_VALUE"""),10574.6267)</f>
        <v>10574.6267</v>
      </c>
    </row>
    <row r="2802">
      <c r="A2802" s="3">
        <f>IFERROR(__xludf.DUMMYFUNCTION("""COMPUTED_VALUE"""),43257.99861111111)</f>
        <v>43257.99861</v>
      </c>
      <c r="B2802" s="1">
        <f>IFERROR(__xludf.DUMMYFUNCTION("""COMPUTED_VALUE"""),10590.4164)</f>
        <v>10590.4164</v>
      </c>
    </row>
    <row r="2803">
      <c r="A2803" s="3">
        <f>IFERROR(__xludf.DUMMYFUNCTION("""COMPUTED_VALUE"""),43258.99861111111)</f>
        <v>43258.99861</v>
      </c>
      <c r="B2803" s="1">
        <f>IFERROR(__xludf.DUMMYFUNCTION("""COMPUTED_VALUE"""),10555.01094)</f>
        <v>10555.01094</v>
      </c>
    </row>
    <row r="2804">
      <c r="A2804" s="3">
        <f>IFERROR(__xludf.DUMMYFUNCTION("""COMPUTED_VALUE"""),43259.99861111111)</f>
        <v>43259.99861</v>
      </c>
      <c r="B2804" s="1">
        <f>IFERROR(__xludf.DUMMYFUNCTION("""COMPUTED_VALUE"""),10591.8666)</f>
        <v>10591.8666</v>
      </c>
    </row>
    <row r="2805">
      <c r="A2805" s="3">
        <f>IFERROR(__xludf.DUMMYFUNCTION("""COMPUTED_VALUE"""),43260.99861111111)</f>
        <v>43260.99861</v>
      </c>
      <c r="B2805" s="1">
        <f>IFERROR(__xludf.DUMMYFUNCTION("""COMPUTED_VALUE"""),10601.1147)</f>
        <v>10601.1147</v>
      </c>
    </row>
    <row r="2806">
      <c r="A2806" s="3">
        <f>IFERROR(__xludf.DUMMYFUNCTION("""COMPUTED_VALUE"""),43261.99861111111)</f>
        <v>43261.99861</v>
      </c>
      <c r="B2806" s="1">
        <f>IFERROR(__xludf.DUMMYFUNCTION("""COMPUTED_VALUE"""),10539.82392)</f>
        <v>10539.82392</v>
      </c>
    </row>
    <row r="2807">
      <c r="A2807" s="3">
        <f>IFERROR(__xludf.DUMMYFUNCTION("""COMPUTED_VALUE"""),43262.99861111111)</f>
        <v>43262.99861</v>
      </c>
      <c r="B2807" s="1">
        <f>IFERROR(__xludf.DUMMYFUNCTION("""COMPUTED_VALUE"""),10586.90997)</f>
        <v>10586.90997</v>
      </c>
    </row>
    <row r="2808">
      <c r="A2808" s="3">
        <f>IFERROR(__xludf.DUMMYFUNCTION("""COMPUTED_VALUE"""),43263.99861111111)</f>
        <v>43263.99861</v>
      </c>
      <c r="B2808" s="1">
        <f>IFERROR(__xludf.DUMMYFUNCTION("""COMPUTED_VALUE"""),10542.4956)</f>
        <v>10542.4956</v>
      </c>
    </row>
    <row r="2809">
      <c r="A2809" s="3">
        <f>IFERROR(__xludf.DUMMYFUNCTION("""COMPUTED_VALUE"""),43264.99861111111)</f>
        <v>43264.99861</v>
      </c>
      <c r="B2809" s="1">
        <f>IFERROR(__xludf.DUMMYFUNCTION("""COMPUTED_VALUE"""),10536.9264)</f>
        <v>10536.9264</v>
      </c>
    </row>
    <row r="2810">
      <c r="A2810" s="3">
        <f>IFERROR(__xludf.DUMMYFUNCTION("""COMPUTED_VALUE"""),43265.99861111111)</f>
        <v>43265.99861</v>
      </c>
      <c r="B2810" s="1">
        <f>IFERROR(__xludf.DUMMYFUNCTION("""COMPUTED_VALUE"""),10542.33117)</f>
        <v>10542.33117</v>
      </c>
    </row>
    <row r="2811">
      <c r="A2811" s="3">
        <f>IFERROR(__xludf.DUMMYFUNCTION("""COMPUTED_VALUE"""),43266.99861111111)</f>
        <v>43266.99861</v>
      </c>
      <c r="B2811" s="1">
        <f>IFERROR(__xludf.DUMMYFUNCTION("""COMPUTED_VALUE"""),10473.55912)</f>
        <v>10473.55912</v>
      </c>
    </row>
    <row r="2812">
      <c r="A2812" s="3">
        <f>IFERROR(__xludf.DUMMYFUNCTION("""COMPUTED_VALUE"""),43268.99861111111)</f>
        <v>43268.99861</v>
      </c>
      <c r="B2812" s="1">
        <f>IFERROR(__xludf.DUMMYFUNCTION("""COMPUTED_VALUE"""),10357.59816)</f>
        <v>10357.59816</v>
      </c>
    </row>
    <row r="2813">
      <c r="A2813" s="3">
        <f>IFERROR(__xludf.DUMMYFUNCTION("""COMPUTED_VALUE"""),43269.99861111111)</f>
        <v>43269.99861</v>
      </c>
      <c r="B2813" s="1">
        <f>IFERROR(__xludf.DUMMYFUNCTION("""COMPUTED_VALUE"""),10307.1969)</f>
        <v>10307.1969</v>
      </c>
    </row>
    <row r="2814">
      <c r="A2814" s="3">
        <f>IFERROR(__xludf.DUMMYFUNCTION("""COMPUTED_VALUE"""),43270.99861111111)</f>
        <v>43270.99861</v>
      </c>
      <c r="B2814" s="1">
        <f>IFERROR(__xludf.DUMMYFUNCTION("""COMPUTED_VALUE"""),10285.75548)</f>
        <v>10285.75548</v>
      </c>
    </row>
    <row r="2815">
      <c r="A2815" s="3">
        <f>IFERROR(__xludf.DUMMYFUNCTION("""COMPUTED_VALUE"""),43271.99861111111)</f>
        <v>43271.99861</v>
      </c>
      <c r="B2815" s="1">
        <f>IFERROR(__xludf.DUMMYFUNCTION("""COMPUTED_VALUE"""),10263.47868)</f>
        <v>10263.47868</v>
      </c>
    </row>
    <row r="2816">
      <c r="A2816" s="3">
        <f>IFERROR(__xludf.DUMMYFUNCTION("""COMPUTED_VALUE"""),43272.99861111111)</f>
        <v>43272.99861</v>
      </c>
      <c r="B2816" s="1">
        <f>IFERROR(__xludf.DUMMYFUNCTION("""COMPUTED_VALUE"""),10393.84464)</f>
        <v>10393.84464</v>
      </c>
    </row>
    <row r="2817">
      <c r="A2817" s="3">
        <f>IFERROR(__xludf.DUMMYFUNCTION("""COMPUTED_VALUE"""),43273.99861111111)</f>
        <v>43273.99861</v>
      </c>
      <c r="B2817" s="1">
        <f>IFERROR(__xludf.DUMMYFUNCTION("""COMPUTED_VALUE"""),10481.3232)</f>
        <v>10481.3232</v>
      </c>
    </row>
    <row r="2818">
      <c r="A2818" s="3">
        <f>IFERROR(__xludf.DUMMYFUNCTION("""COMPUTED_VALUE"""),43275.99861111111)</f>
        <v>43275.99861</v>
      </c>
      <c r="B2818" s="1">
        <f>IFERROR(__xludf.DUMMYFUNCTION("""COMPUTED_VALUE"""),10467.07521)</f>
        <v>10467.07521</v>
      </c>
    </row>
    <row r="2819">
      <c r="A2819" s="3">
        <f>IFERROR(__xludf.DUMMYFUNCTION("""COMPUTED_VALUE"""),43276.99861111111)</f>
        <v>43276.99861</v>
      </c>
      <c r="B2819" s="1">
        <f>IFERROR(__xludf.DUMMYFUNCTION("""COMPUTED_VALUE"""),10482.53616)</f>
        <v>10482.53616</v>
      </c>
    </row>
    <row r="2820">
      <c r="A2820" s="3">
        <f>IFERROR(__xludf.DUMMYFUNCTION("""COMPUTED_VALUE"""),43277.99861111111)</f>
        <v>43277.99861</v>
      </c>
      <c r="B2820" s="1">
        <f>IFERROR(__xludf.DUMMYFUNCTION("""COMPUTED_VALUE"""),10486.63456)</f>
        <v>10486.63456</v>
      </c>
    </row>
    <row r="2821">
      <c r="A2821" s="3">
        <f>IFERROR(__xludf.DUMMYFUNCTION("""COMPUTED_VALUE"""),43278.99861111111)</f>
        <v>43278.99861</v>
      </c>
      <c r="B2821" s="1">
        <f>IFERROR(__xludf.DUMMYFUNCTION("""COMPUTED_VALUE"""),10451.337)</f>
        <v>10451.337</v>
      </c>
    </row>
    <row r="2822">
      <c r="A2822" s="3">
        <f>IFERROR(__xludf.DUMMYFUNCTION("""COMPUTED_VALUE"""),43279.99861111111)</f>
        <v>43279.99861</v>
      </c>
      <c r="B2822" s="1">
        <f>IFERROR(__xludf.DUMMYFUNCTION("""COMPUTED_VALUE"""),10541.3665)</f>
        <v>10541.3665</v>
      </c>
    </row>
    <row r="2823">
      <c r="A2823" s="3">
        <f>IFERROR(__xludf.DUMMYFUNCTION("""COMPUTED_VALUE"""),43280.99861111111)</f>
        <v>43280.99861</v>
      </c>
      <c r="B2823" s="1">
        <f>IFERROR(__xludf.DUMMYFUNCTION("""COMPUTED_VALUE"""),10563.4473)</f>
        <v>10563.4473</v>
      </c>
    </row>
    <row r="2824">
      <c r="A2824" s="3">
        <f>IFERROR(__xludf.DUMMYFUNCTION("""COMPUTED_VALUE"""),43281.99861111111)</f>
        <v>43281.99861</v>
      </c>
      <c r="B2824" s="1">
        <f>IFERROR(__xludf.DUMMYFUNCTION("""COMPUTED_VALUE"""),10563.4473)</f>
        <v>10563.4473</v>
      </c>
    </row>
    <row r="2825">
      <c r="A2825" s="3">
        <f>IFERROR(__xludf.DUMMYFUNCTION("""COMPUTED_VALUE"""),43282.99861111111)</f>
        <v>43282.99861</v>
      </c>
      <c r="B2825" s="1">
        <f>IFERROR(__xludf.DUMMYFUNCTION("""COMPUTED_VALUE"""),10591.7166)</f>
        <v>10591.7166</v>
      </c>
    </row>
    <row r="2826">
      <c r="A2826" s="3">
        <f>IFERROR(__xludf.DUMMYFUNCTION("""COMPUTED_VALUE"""),43283.99861111111)</f>
        <v>43283.99861</v>
      </c>
      <c r="B2826" s="1">
        <f>IFERROR(__xludf.DUMMYFUNCTION("""COMPUTED_VALUE"""),10523.5245)</f>
        <v>10523.5245</v>
      </c>
    </row>
    <row r="2827">
      <c r="A2827" s="3">
        <f>IFERROR(__xludf.DUMMYFUNCTION("""COMPUTED_VALUE"""),43284.99861111111)</f>
        <v>43284.99861</v>
      </c>
      <c r="B2827" s="1">
        <f>IFERROR(__xludf.DUMMYFUNCTION("""COMPUTED_VALUE"""),10589.6434)</f>
        <v>10589.6434</v>
      </c>
    </row>
    <row r="2828">
      <c r="A2828" s="3">
        <f>IFERROR(__xludf.DUMMYFUNCTION("""COMPUTED_VALUE"""),43285.99861111111)</f>
        <v>43285.99861</v>
      </c>
      <c r="B2828" s="1">
        <f>IFERROR(__xludf.DUMMYFUNCTION("""COMPUTED_VALUE"""),10627.776)</f>
        <v>10627.776</v>
      </c>
    </row>
    <row r="2829">
      <c r="A2829" s="3">
        <f>IFERROR(__xludf.DUMMYFUNCTION("""COMPUTED_VALUE"""),43286.99861111111)</f>
        <v>43286.99861</v>
      </c>
      <c r="B2829" s="1">
        <f>IFERROR(__xludf.DUMMYFUNCTION("""COMPUTED_VALUE"""),10620.75683)</f>
        <v>10620.75683</v>
      </c>
    </row>
    <row r="2830">
      <c r="A2830" s="3">
        <f>IFERROR(__xludf.DUMMYFUNCTION("""COMPUTED_VALUE"""),43287.99861111111)</f>
        <v>43287.99861</v>
      </c>
      <c r="B2830" s="1">
        <f>IFERROR(__xludf.DUMMYFUNCTION("""COMPUTED_VALUE"""),10650.9573)</f>
        <v>10650.9573</v>
      </c>
    </row>
    <row r="2831">
      <c r="A2831" s="3">
        <f>IFERROR(__xludf.DUMMYFUNCTION("""COMPUTED_VALUE"""),43288.99861111111)</f>
        <v>43288.99861</v>
      </c>
      <c r="B2831" s="1">
        <f>IFERROR(__xludf.DUMMYFUNCTION("""COMPUTED_VALUE"""),10646.6562)</f>
        <v>10646.6562</v>
      </c>
    </row>
    <row r="2832">
      <c r="A2832" s="3">
        <f>IFERROR(__xludf.DUMMYFUNCTION("""COMPUTED_VALUE"""),43289.99861111111)</f>
        <v>43289.99861</v>
      </c>
      <c r="B2832" s="1">
        <f>IFERROR(__xludf.DUMMYFUNCTION("""COMPUTED_VALUE"""),10638.11292)</f>
        <v>10638.11292</v>
      </c>
    </row>
    <row r="2833">
      <c r="A2833" s="3">
        <f>IFERROR(__xludf.DUMMYFUNCTION("""COMPUTED_VALUE"""),43290.99861111111)</f>
        <v>43290.99861</v>
      </c>
      <c r="B2833" s="1">
        <f>IFERROR(__xludf.DUMMYFUNCTION("""COMPUTED_VALUE"""),10690.74633)</f>
        <v>10690.74633</v>
      </c>
    </row>
    <row r="2834">
      <c r="A2834" s="3">
        <f>IFERROR(__xludf.DUMMYFUNCTION("""COMPUTED_VALUE"""),43291.99861111111)</f>
        <v>43291.99861</v>
      </c>
      <c r="B2834" s="1">
        <f>IFERROR(__xludf.DUMMYFUNCTION("""COMPUTED_VALUE"""),10655.18125)</f>
        <v>10655.18125</v>
      </c>
    </row>
    <row r="2835">
      <c r="A2835" s="3">
        <f>IFERROR(__xludf.DUMMYFUNCTION("""COMPUTED_VALUE"""),43292.99861111111)</f>
        <v>43292.99861</v>
      </c>
      <c r="B2835" s="1">
        <f>IFERROR(__xludf.DUMMYFUNCTION("""COMPUTED_VALUE"""),10589.82834)</f>
        <v>10589.82834</v>
      </c>
    </row>
    <row r="2836">
      <c r="A2836" s="3">
        <f>IFERROR(__xludf.DUMMYFUNCTION("""COMPUTED_VALUE"""),43293.99861111111)</f>
        <v>43293.99861</v>
      </c>
      <c r="B2836" s="1">
        <f>IFERROR(__xludf.DUMMYFUNCTION("""COMPUTED_VALUE"""),10653.09945)</f>
        <v>10653.09945</v>
      </c>
    </row>
    <row r="2837">
      <c r="A2837" s="3">
        <f>IFERROR(__xludf.DUMMYFUNCTION("""COMPUTED_VALUE"""),43294.99861111111)</f>
        <v>43294.99861</v>
      </c>
      <c r="B2837" s="1">
        <f>IFERROR(__xludf.DUMMYFUNCTION("""COMPUTED_VALUE"""),10667.41794)</f>
        <v>10667.41794</v>
      </c>
    </row>
    <row r="2838">
      <c r="A2838" s="3">
        <f>IFERROR(__xludf.DUMMYFUNCTION("""COMPUTED_VALUE"""),43295.99861111111)</f>
        <v>43295.99861</v>
      </c>
      <c r="B2838" s="1">
        <f>IFERROR(__xludf.DUMMYFUNCTION("""COMPUTED_VALUE"""),10667.6406)</f>
        <v>10667.6406</v>
      </c>
    </row>
    <row r="2839">
      <c r="A2839" s="3">
        <f>IFERROR(__xludf.DUMMYFUNCTION("""COMPUTED_VALUE"""),43296.99861111111)</f>
        <v>43296.99861</v>
      </c>
      <c r="B2839" s="1">
        <f>IFERROR(__xludf.DUMMYFUNCTION("""COMPUTED_VALUE"""),10660.4541)</f>
        <v>10660.4541</v>
      </c>
    </row>
    <row r="2840">
      <c r="A2840" s="3">
        <f>IFERROR(__xludf.DUMMYFUNCTION("""COMPUTED_VALUE"""),43297.99861111111)</f>
        <v>43297.99861</v>
      </c>
      <c r="B2840" s="1">
        <f>IFERROR(__xludf.DUMMYFUNCTION("""COMPUTED_VALUE"""),10650.5817)</f>
        <v>10650.5817</v>
      </c>
    </row>
    <row r="2841">
      <c r="A2841" s="3">
        <f>IFERROR(__xludf.DUMMYFUNCTION("""COMPUTED_VALUE"""),43298.99861111111)</f>
        <v>43298.99861</v>
      </c>
      <c r="B2841" s="1">
        <f>IFERROR(__xludf.DUMMYFUNCTION("""COMPUTED_VALUE"""),10605.48159)</f>
        <v>10605.48159</v>
      </c>
    </row>
    <row r="2842">
      <c r="A2842" s="3">
        <f>IFERROR(__xludf.DUMMYFUNCTION("""COMPUTED_VALUE"""),43299.99861111111)</f>
        <v>43299.99861</v>
      </c>
      <c r="B2842" s="1">
        <f>IFERROR(__xludf.DUMMYFUNCTION("""COMPUTED_VALUE"""),10684.02944)</f>
        <v>10684.02944</v>
      </c>
    </row>
    <row r="2843">
      <c r="A2843" s="3">
        <f>IFERROR(__xludf.DUMMYFUNCTION("""COMPUTED_VALUE"""),43300.99861111111)</f>
        <v>43300.99861</v>
      </c>
      <c r="B2843" s="1">
        <f>IFERROR(__xludf.DUMMYFUNCTION("""COMPUTED_VALUE"""),10651.63096)</f>
        <v>10651.63096</v>
      </c>
    </row>
    <row r="2844">
      <c r="A2844" s="3">
        <f>IFERROR(__xludf.DUMMYFUNCTION("""COMPUTED_VALUE"""),43301.99861111111)</f>
        <v>43301.99861</v>
      </c>
      <c r="B2844" s="1">
        <f>IFERROR(__xludf.DUMMYFUNCTION("""COMPUTED_VALUE"""),10734.61117)</f>
        <v>10734.61117</v>
      </c>
    </row>
    <row r="2845">
      <c r="A2845" s="3">
        <f>IFERROR(__xludf.DUMMYFUNCTION("""COMPUTED_VALUE"""),43302.99861111111)</f>
        <v>43302.99861</v>
      </c>
      <c r="B2845" s="1">
        <f>IFERROR(__xludf.DUMMYFUNCTION("""COMPUTED_VALUE"""),10757.04854)</f>
        <v>10757.04854</v>
      </c>
    </row>
    <row r="2846">
      <c r="A2846" s="3">
        <f>IFERROR(__xludf.DUMMYFUNCTION("""COMPUTED_VALUE"""),43303.99861111111)</f>
        <v>43303.99861</v>
      </c>
      <c r="B2846" s="1">
        <f>IFERROR(__xludf.DUMMYFUNCTION("""COMPUTED_VALUE"""),10756.76779)</f>
        <v>10756.76779</v>
      </c>
    </row>
    <row r="2847">
      <c r="A2847" s="3">
        <f>IFERROR(__xludf.DUMMYFUNCTION("""COMPUTED_VALUE"""),43304.99861111111)</f>
        <v>43304.99861</v>
      </c>
      <c r="B2847" s="1">
        <f>IFERROR(__xludf.DUMMYFUNCTION("""COMPUTED_VALUE"""),10750.52365)</f>
        <v>10750.52365</v>
      </c>
    </row>
    <row r="2848">
      <c r="A2848" s="3">
        <f>IFERROR(__xludf.DUMMYFUNCTION("""COMPUTED_VALUE"""),43305.99861111111)</f>
        <v>43305.99861</v>
      </c>
      <c r="B2848" s="1">
        <f>IFERROR(__xludf.DUMMYFUNCTION("""COMPUTED_VALUE"""),10799.12741)</f>
        <v>10799.12741</v>
      </c>
    </row>
    <row r="2849">
      <c r="A2849" s="3">
        <f>IFERROR(__xludf.DUMMYFUNCTION("""COMPUTED_VALUE"""),43306.99861111111)</f>
        <v>43306.99861</v>
      </c>
      <c r="B2849" s="1">
        <f>IFERROR(__xludf.DUMMYFUNCTION("""COMPUTED_VALUE"""),10789.00955)</f>
        <v>10789.00955</v>
      </c>
    </row>
    <row r="2850">
      <c r="A2850" s="3">
        <f>IFERROR(__xludf.DUMMYFUNCTION("""COMPUTED_VALUE"""),43307.99861111111)</f>
        <v>43307.99861</v>
      </c>
      <c r="B2850" s="1">
        <f>IFERROR(__xludf.DUMMYFUNCTION("""COMPUTED_VALUE"""),10713.64)</f>
        <v>10713.64</v>
      </c>
    </row>
    <row r="2851">
      <c r="A2851" s="3">
        <f>IFERROR(__xludf.DUMMYFUNCTION("""COMPUTED_VALUE"""),43308.99861111111)</f>
        <v>43308.99861</v>
      </c>
      <c r="B2851" s="1">
        <f>IFERROR(__xludf.DUMMYFUNCTION("""COMPUTED_VALUE"""),10632.59574)</f>
        <v>10632.59574</v>
      </c>
    </row>
    <row r="2852">
      <c r="A2852" s="3">
        <f>IFERROR(__xludf.DUMMYFUNCTION("""COMPUTED_VALUE"""),43310.99861111111)</f>
        <v>43310.99861</v>
      </c>
      <c r="B2852" s="1">
        <f>IFERROR(__xludf.DUMMYFUNCTION("""COMPUTED_VALUE"""),10663.85178)</f>
        <v>10663.85178</v>
      </c>
    </row>
    <row r="2853">
      <c r="A2853" s="3">
        <f>IFERROR(__xludf.DUMMYFUNCTION("""COMPUTED_VALUE"""),43311.99861111111)</f>
        <v>43311.99861</v>
      </c>
      <c r="B2853" s="1">
        <f>IFERROR(__xludf.DUMMYFUNCTION("""COMPUTED_VALUE"""),10667.87001)</f>
        <v>10667.87001</v>
      </c>
    </row>
    <row r="2854">
      <c r="A2854" s="3">
        <f>IFERROR(__xludf.DUMMYFUNCTION("""COMPUTED_VALUE"""),43312.99861111111)</f>
        <v>43312.99861</v>
      </c>
      <c r="B2854" s="1">
        <f>IFERROR(__xludf.DUMMYFUNCTION("""COMPUTED_VALUE"""),10690.04138)</f>
        <v>10690.04138</v>
      </c>
    </row>
    <row r="2855">
      <c r="A2855" s="3">
        <f>IFERROR(__xludf.DUMMYFUNCTION("""COMPUTED_VALUE"""),43313.99861111111)</f>
        <v>43313.99861</v>
      </c>
      <c r="B2855" s="1">
        <f>IFERROR(__xludf.DUMMYFUNCTION("""COMPUTED_VALUE"""),10729.24939)</f>
        <v>10729.24939</v>
      </c>
    </row>
    <row r="2856">
      <c r="A2856" s="3">
        <f>IFERROR(__xludf.DUMMYFUNCTION("""COMPUTED_VALUE"""),43314.99861111111)</f>
        <v>43314.99861</v>
      </c>
      <c r="B2856" s="1">
        <f>IFERROR(__xludf.DUMMYFUNCTION("""COMPUTED_VALUE"""),10684.5518)</f>
        <v>10684.5518</v>
      </c>
    </row>
    <row r="2857">
      <c r="A2857" s="3">
        <f>IFERROR(__xludf.DUMMYFUNCTION("""COMPUTED_VALUE"""),43315.99861111111)</f>
        <v>43315.99861</v>
      </c>
      <c r="B2857" s="1">
        <f>IFERROR(__xludf.DUMMYFUNCTION("""COMPUTED_VALUE"""),10709.01664)</f>
        <v>10709.01664</v>
      </c>
    </row>
    <row r="2858">
      <c r="A2858" s="3">
        <f>IFERROR(__xludf.DUMMYFUNCTION("""COMPUTED_VALUE"""),43317.99861111111)</f>
        <v>43317.99861</v>
      </c>
      <c r="B2858" s="1">
        <f>IFERROR(__xludf.DUMMYFUNCTION("""COMPUTED_VALUE"""),10710.9484)</f>
        <v>10710.9484</v>
      </c>
    </row>
    <row r="2859">
      <c r="A2859" s="3">
        <f>IFERROR(__xludf.DUMMYFUNCTION("""COMPUTED_VALUE"""),43318.99861111111)</f>
        <v>43318.99861</v>
      </c>
      <c r="B2859" s="1">
        <f>IFERROR(__xludf.DUMMYFUNCTION("""COMPUTED_VALUE"""),10740.22705)</f>
        <v>10740.22705</v>
      </c>
    </row>
    <row r="2860">
      <c r="A2860" s="3">
        <f>IFERROR(__xludf.DUMMYFUNCTION("""COMPUTED_VALUE"""),43319.99861111111)</f>
        <v>43319.99861</v>
      </c>
      <c r="B2860" s="1">
        <f>IFERROR(__xludf.DUMMYFUNCTION("""COMPUTED_VALUE"""),10705.30638)</f>
        <v>10705.30638</v>
      </c>
    </row>
    <row r="2861">
      <c r="A2861" s="3">
        <f>IFERROR(__xludf.DUMMYFUNCTION("""COMPUTED_VALUE"""),43320.99861111111)</f>
        <v>43320.99861</v>
      </c>
      <c r="B2861" s="1">
        <f>IFERROR(__xludf.DUMMYFUNCTION("""COMPUTED_VALUE"""),10690.515)</f>
        <v>10690.515</v>
      </c>
    </row>
    <row r="2862">
      <c r="A2862" s="3">
        <f>IFERROR(__xludf.DUMMYFUNCTION("""COMPUTED_VALUE"""),43321.99861111111)</f>
        <v>43321.99861</v>
      </c>
      <c r="B2862" s="1">
        <f>IFERROR(__xludf.DUMMYFUNCTION("""COMPUTED_VALUE"""),10668.46896)</f>
        <v>10668.46896</v>
      </c>
    </row>
    <row r="2863">
      <c r="A2863" s="3">
        <f>IFERROR(__xludf.DUMMYFUNCTION("""COMPUTED_VALUE"""),43322.99861111111)</f>
        <v>43322.99861</v>
      </c>
      <c r="B2863" s="1">
        <f>IFERROR(__xludf.DUMMYFUNCTION("""COMPUTED_VALUE"""),10570.3878)</f>
        <v>10570.3878</v>
      </c>
    </row>
    <row r="2864">
      <c r="A2864" s="3">
        <f>IFERROR(__xludf.DUMMYFUNCTION("""COMPUTED_VALUE"""),43324.99861111111)</f>
        <v>43324.99861</v>
      </c>
      <c r="B2864" s="1">
        <f>IFERROR(__xludf.DUMMYFUNCTION("""COMPUTED_VALUE"""),10542.1332)</f>
        <v>10542.1332</v>
      </c>
    </row>
    <row r="2865">
      <c r="A2865" s="3">
        <f>IFERROR(__xludf.DUMMYFUNCTION("""COMPUTED_VALUE"""),43325.99861111111)</f>
        <v>43325.99861</v>
      </c>
      <c r="B2865" s="1">
        <f>IFERROR(__xludf.DUMMYFUNCTION("""COMPUTED_VALUE"""),10604.58416)</f>
        <v>10604.58416</v>
      </c>
    </row>
    <row r="2866">
      <c r="A2866" s="3">
        <f>IFERROR(__xludf.DUMMYFUNCTION("""COMPUTED_VALUE"""),43326.99861111111)</f>
        <v>43326.99861</v>
      </c>
      <c r="B2866" s="1">
        <f>IFERROR(__xludf.DUMMYFUNCTION("""COMPUTED_VALUE"""),10593.77984)</f>
        <v>10593.77984</v>
      </c>
    </row>
    <row r="2867">
      <c r="A2867" s="3">
        <f>IFERROR(__xludf.DUMMYFUNCTION("""COMPUTED_VALUE"""),43327.99861111111)</f>
        <v>43327.99861</v>
      </c>
      <c r="B2867" s="1">
        <f>IFERROR(__xludf.DUMMYFUNCTION("""COMPUTED_VALUE"""),10525.44453)</f>
        <v>10525.44453</v>
      </c>
    </row>
    <row r="2868">
      <c r="A2868" s="3">
        <f>IFERROR(__xludf.DUMMYFUNCTION("""COMPUTED_VALUE"""),43328.99861111111)</f>
        <v>43328.99861</v>
      </c>
      <c r="B2868" s="1">
        <f>IFERROR(__xludf.DUMMYFUNCTION("""COMPUTED_VALUE"""),10594.20402)</f>
        <v>10594.20402</v>
      </c>
    </row>
    <row r="2869">
      <c r="A2869" s="3">
        <f>IFERROR(__xludf.DUMMYFUNCTION("""COMPUTED_VALUE"""),43329.99861111111)</f>
        <v>43329.99861</v>
      </c>
      <c r="B2869" s="1">
        <f>IFERROR(__xludf.DUMMYFUNCTION("""COMPUTED_VALUE"""),10666.7226)</f>
        <v>10666.7226</v>
      </c>
    </row>
    <row r="2870">
      <c r="A2870" s="3">
        <f>IFERROR(__xludf.DUMMYFUNCTION("""COMPUTED_VALUE"""),43331.99861111111)</f>
        <v>43331.99861</v>
      </c>
      <c r="B2870" s="1">
        <f>IFERROR(__xludf.DUMMYFUNCTION("""COMPUTED_VALUE"""),10648.489)</f>
        <v>10648.489</v>
      </c>
    </row>
    <row r="2871">
      <c r="A2871" s="3">
        <f>IFERROR(__xludf.DUMMYFUNCTION("""COMPUTED_VALUE"""),43332.99861111111)</f>
        <v>43332.99861</v>
      </c>
      <c r="B2871" s="1">
        <f>IFERROR(__xludf.DUMMYFUNCTION("""COMPUTED_VALUE"""),10682.39196)</f>
        <v>10682.39196</v>
      </c>
    </row>
    <row r="2872">
      <c r="A2872" s="3">
        <f>IFERROR(__xludf.DUMMYFUNCTION("""COMPUTED_VALUE"""),43333.99861111111)</f>
        <v>43333.99861</v>
      </c>
      <c r="B2872" s="1">
        <f>IFERROR(__xludf.DUMMYFUNCTION("""COMPUTED_VALUE"""),10722.063)</f>
        <v>10722.063</v>
      </c>
    </row>
    <row r="2873">
      <c r="A2873" s="3">
        <f>IFERROR(__xludf.DUMMYFUNCTION("""COMPUTED_VALUE"""),43334.99861111111)</f>
        <v>43334.99861</v>
      </c>
      <c r="B2873" s="1">
        <f>IFERROR(__xludf.DUMMYFUNCTION("""COMPUTED_VALUE"""),10684.62756)</f>
        <v>10684.62756</v>
      </c>
    </row>
    <row r="2874">
      <c r="A2874" s="3">
        <f>IFERROR(__xludf.DUMMYFUNCTION("""COMPUTED_VALUE"""),43335.99861111111)</f>
        <v>43335.99861</v>
      </c>
      <c r="B2874" s="1">
        <f>IFERROR(__xludf.DUMMYFUNCTION("""COMPUTED_VALUE"""),10620.25536)</f>
        <v>10620.25536</v>
      </c>
    </row>
    <row r="2875">
      <c r="A2875" s="3">
        <f>IFERROR(__xludf.DUMMYFUNCTION("""COMPUTED_VALUE"""),43336.99861111111)</f>
        <v>43336.99861</v>
      </c>
      <c r="B2875" s="1">
        <f>IFERROR(__xludf.DUMMYFUNCTION("""COMPUTED_VALUE"""),10673.2652)</f>
        <v>10673.2652</v>
      </c>
    </row>
    <row r="2876">
      <c r="A2876" s="3">
        <f>IFERROR(__xludf.DUMMYFUNCTION("""COMPUTED_VALUE"""),43338.99861111111)</f>
        <v>43338.99861</v>
      </c>
      <c r="B2876" s="1">
        <f>IFERROR(__xludf.DUMMYFUNCTION("""COMPUTED_VALUE"""),10691.25606)</f>
        <v>10691.25606</v>
      </c>
    </row>
    <row r="2877">
      <c r="A2877" s="3">
        <f>IFERROR(__xludf.DUMMYFUNCTION("""COMPUTED_VALUE"""),43339.99861111111)</f>
        <v>43339.99861</v>
      </c>
      <c r="B2877" s="1">
        <f>IFERROR(__xludf.DUMMYFUNCTION("""COMPUTED_VALUE"""),10692.0748)</f>
        <v>10692.0748</v>
      </c>
    </row>
    <row r="2878">
      <c r="A2878" s="3">
        <f>IFERROR(__xludf.DUMMYFUNCTION("""COMPUTED_VALUE"""),43340.99861111111)</f>
        <v>43340.99861</v>
      </c>
      <c r="B2878" s="1">
        <f>IFERROR(__xludf.DUMMYFUNCTION("""COMPUTED_VALUE"""),10755.74159)</f>
        <v>10755.74159</v>
      </c>
    </row>
    <row r="2879">
      <c r="A2879" s="3">
        <f>IFERROR(__xludf.DUMMYFUNCTION("""COMPUTED_VALUE"""),43341.99861111111)</f>
        <v>43341.99861</v>
      </c>
      <c r="B2879" s="1">
        <f>IFERROR(__xludf.DUMMYFUNCTION("""COMPUTED_VALUE"""),10687.51216)</f>
        <v>10687.51216</v>
      </c>
    </row>
    <row r="2880">
      <c r="A2880" s="3">
        <f>IFERROR(__xludf.DUMMYFUNCTION("""COMPUTED_VALUE"""),43342.99861111111)</f>
        <v>43342.99861</v>
      </c>
      <c r="B2880" s="1">
        <f>IFERROR(__xludf.DUMMYFUNCTION("""COMPUTED_VALUE"""),10711.14363)</f>
        <v>10711.14363</v>
      </c>
    </row>
    <row r="2881">
      <c r="A2881" s="3">
        <f>IFERROR(__xludf.DUMMYFUNCTION("""COMPUTED_VALUE"""),43343.99861111111)</f>
        <v>43343.99861</v>
      </c>
      <c r="B2881" s="1">
        <f>IFERROR(__xludf.DUMMYFUNCTION("""COMPUTED_VALUE"""),10590.22)</f>
        <v>10590.22</v>
      </c>
    </row>
    <row r="2882">
      <c r="A2882" s="3">
        <f>IFERROR(__xludf.DUMMYFUNCTION("""COMPUTED_VALUE"""),43344.99861111111)</f>
        <v>43344.99861</v>
      </c>
      <c r="B2882" s="1">
        <f>IFERROR(__xludf.DUMMYFUNCTION("""COMPUTED_VALUE"""),10588.7816)</f>
        <v>10588.7816</v>
      </c>
    </row>
    <row r="2883">
      <c r="A2883" s="3">
        <f>IFERROR(__xludf.DUMMYFUNCTION("""COMPUTED_VALUE"""),43345.99861111111)</f>
        <v>43345.99861</v>
      </c>
      <c r="B2883" s="1">
        <f>IFERROR(__xludf.DUMMYFUNCTION("""COMPUTED_VALUE"""),10584.3647)</f>
        <v>10584.3647</v>
      </c>
    </row>
    <row r="2884">
      <c r="A2884" s="3">
        <f>IFERROR(__xludf.DUMMYFUNCTION("""COMPUTED_VALUE"""),43346.99861111111)</f>
        <v>43346.99861</v>
      </c>
      <c r="B2884" s="1">
        <f>IFERROR(__xludf.DUMMYFUNCTION("""COMPUTED_VALUE"""),10690.164)</f>
        <v>10690.164</v>
      </c>
    </row>
    <row r="2885">
      <c r="A2885" s="3">
        <f>IFERROR(__xludf.DUMMYFUNCTION("""COMPUTED_VALUE"""),43347.99861111111)</f>
        <v>43347.99861</v>
      </c>
      <c r="B2885" s="1">
        <f>IFERROR(__xludf.DUMMYFUNCTION("""COMPUTED_VALUE"""),10724.0697)</f>
        <v>10724.0697</v>
      </c>
    </row>
    <row r="2886">
      <c r="A2886" s="3">
        <f>IFERROR(__xludf.DUMMYFUNCTION("""COMPUTED_VALUE"""),43348.99861111111)</f>
        <v>43348.99861</v>
      </c>
      <c r="B2886" s="1">
        <f>IFERROR(__xludf.DUMMYFUNCTION("""COMPUTED_VALUE"""),10778.63724)</f>
        <v>10778.63724</v>
      </c>
    </row>
    <row r="2887">
      <c r="A2887" s="3">
        <f>IFERROR(__xludf.DUMMYFUNCTION("""COMPUTED_VALUE"""),43349.99861111111)</f>
        <v>43349.99861</v>
      </c>
      <c r="B2887" s="1">
        <f>IFERROR(__xludf.DUMMYFUNCTION("""COMPUTED_VALUE"""),10708.067)</f>
        <v>10708.067</v>
      </c>
    </row>
    <row r="2888">
      <c r="A2888" s="3">
        <f>IFERROR(__xludf.DUMMYFUNCTION("""COMPUTED_VALUE"""),43350.99861111111)</f>
        <v>43350.99861</v>
      </c>
      <c r="B2888" s="1">
        <f>IFERROR(__xludf.DUMMYFUNCTION("""COMPUTED_VALUE"""),10642.37715)</f>
        <v>10642.37715</v>
      </c>
    </row>
    <row r="2889">
      <c r="A2889" s="3">
        <f>IFERROR(__xludf.DUMMYFUNCTION("""COMPUTED_VALUE"""),43351.99861111111)</f>
        <v>43351.99861</v>
      </c>
      <c r="B2889" s="1">
        <f>IFERROR(__xludf.DUMMYFUNCTION("""COMPUTED_VALUE"""),10527.5991)</f>
        <v>10527.5991</v>
      </c>
    </row>
    <row r="2890">
      <c r="A2890" s="3">
        <f>IFERROR(__xludf.DUMMYFUNCTION("""COMPUTED_VALUE"""),43352.99861111111)</f>
        <v>43352.99861</v>
      </c>
      <c r="B2890" s="1">
        <f>IFERROR(__xludf.DUMMYFUNCTION("""COMPUTED_VALUE"""),10538.11633)</f>
        <v>10538.11633</v>
      </c>
    </row>
    <row r="2891">
      <c r="A2891" s="3">
        <f>IFERROR(__xludf.DUMMYFUNCTION("""COMPUTED_VALUE"""),43353.99861111111)</f>
        <v>43353.99861</v>
      </c>
      <c r="B2891" s="1">
        <f>IFERROR(__xludf.DUMMYFUNCTION("""COMPUTED_VALUE"""),10552.95505)</f>
        <v>10552.95505</v>
      </c>
    </row>
    <row r="2892">
      <c r="A2892" s="3">
        <f>IFERROR(__xludf.DUMMYFUNCTION("""COMPUTED_VALUE"""),43354.99861111111)</f>
        <v>43354.99861</v>
      </c>
      <c r="B2892" s="1">
        <f>IFERROR(__xludf.DUMMYFUNCTION("""COMPUTED_VALUE"""),10549.107)</f>
        <v>10549.107</v>
      </c>
    </row>
    <row r="2893">
      <c r="A2893" s="3">
        <f>IFERROR(__xludf.DUMMYFUNCTION("""COMPUTED_VALUE"""),43355.99861111111)</f>
        <v>43355.99861</v>
      </c>
      <c r="B2893" s="1">
        <f>IFERROR(__xludf.DUMMYFUNCTION("""COMPUTED_VALUE"""),10616.47093)</f>
        <v>10616.47093</v>
      </c>
    </row>
    <row r="2894">
      <c r="A2894" s="3">
        <f>IFERROR(__xludf.DUMMYFUNCTION("""COMPUTED_VALUE"""),43356.99861111111)</f>
        <v>43356.99861</v>
      </c>
      <c r="B2894" s="1">
        <f>IFERROR(__xludf.DUMMYFUNCTION("""COMPUTED_VALUE"""),10594.5224)</f>
        <v>10594.5224</v>
      </c>
    </row>
    <row r="2895">
      <c r="A2895" s="3">
        <f>IFERROR(__xludf.DUMMYFUNCTION("""COMPUTED_VALUE"""),43357.99861111111)</f>
        <v>43357.99861</v>
      </c>
      <c r="B2895" s="1">
        <f>IFERROR(__xludf.DUMMYFUNCTION("""COMPUTED_VALUE"""),10581.2349)</f>
        <v>10581.2349</v>
      </c>
    </row>
    <row r="2896">
      <c r="A2896" s="3">
        <f>IFERROR(__xludf.DUMMYFUNCTION("""COMPUTED_VALUE"""),43359.99861111111)</f>
        <v>43359.99861</v>
      </c>
      <c r="B2896" s="1">
        <f>IFERROR(__xludf.DUMMYFUNCTION("""COMPUTED_VALUE"""),10579.74957)</f>
        <v>10579.74957</v>
      </c>
    </row>
    <row r="2897">
      <c r="A2897" s="3">
        <f>IFERROR(__xludf.DUMMYFUNCTION("""COMPUTED_VALUE"""),43360.99861111111)</f>
        <v>43360.99861</v>
      </c>
      <c r="B2897" s="1">
        <f>IFERROR(__xludf.DUMMYFUNCTION("""COMPUTED_VALUE"""),10651.57016)</f>
        <v>10651.57016</v>
      </c>
    </row>
    <row r="2898">
      <c r="A2898" s="3">
        <f>IFERROR(__xludf.DUMMYFUNCTION("""COMPUTED_VALUE"""),43361.99861111111)</f>
        <v>43361.99861</v>
      </c>
      <c r="B2898" s="1">
        <f>IFERROR(__xludf.DUMMYFUNCTION("""COMPUTED_VALUE"""),10741.85351)</f>
        <v>10741.85351</v>
      </c>
    </row>
    <row r="2899">
      <c r="A2899" s="3">
        <f>IFERROR(__xludf.DUMMYFUNCTION("""COMPUTED_VALUE"""),43362.99861111111)</f>
        <v>43362.99861</v>
      </c>
      <c r="B2899" s="1">
        <f>IFERROR(__xludf.DUMMYFUNCTION("""COMPUTED_VALUE"""),10800.7968)</f>
        <v>10800.7968</v>
      </c>
    </row>
    <row r="2900">
      <c r="A2900" s="3">
        <f>IFERROR(__xludf.DUMMYFUNCTION("""COMPUTED_VALUE"""),43363.99861111111)</f>
        <v>43363.99861</v>
      </c>
      <c r="B2900" s="1">
        <f>IFERROR(__xludf.DUMMYFUNCTION("""COMPUTED_VALUE"""),10805.55696)</f>
        <v>10805.55696</v>
      </c>
    </row>
    <row r="2901">
      <c r="A2901" s="3">
        <f>IFERROR(__xludf.DUMMYFUNCTION("""COMPUTED_VALUE"""),43364.99861111111)</f>
        <v>43364.99861</v>
      </c>
      <c r="B2901" s="1">
        <f>IFERROR(__xludf.DUMMYFUNCTION("""COMPUTED_VALUE"""),10842.6645)</f>
        <v>10842.6645</v>
      </c>
    </row>
    <row r="2902">
      <c r="A2902" s="3">
        <f>IFERROR(__xludf.DUMMYFUNCTION("""COMPUTED_VALUE"""),43365.99861111111)</f>
        <v>43365.99861</v>
      </c>
      <c r="B2902" s="1">
        <f>IFERROR(__xludf.DUMMYFUNCTION("""COMPUTED_VALUE"""),10800.9104)</f>
        <v>10800.9104</v>
      </c>
    </row>
    <row r="2903">
      <c r="A2903" s="3">
        <f>IFERROR(__xludf.DUMMYFUNCTION("""COMPUTED_VALUE"""),43366.99861111111)</f>
        <v>43366.99861</v>
      </c>
      <c r="B2903" s="1">
        <f>IFERROR(__xludf.DUMMYFUNCTION("""COMPUTED_VALUE"""),10778.24804)</f>
        <v>10778.24804</v>
      </c>
    </row>
    <row r="2904">
      <c r="A2904" s="3">
        <f>IFERROR(__xludf.DUMMYFUNCTION("""COMPUTED_VALUE"""),43367.99861111111)</f>
        <v>43367.99861</v>
      </c>
      <c r="B2904" s="1">
        <f>IFERROR(__xludf.DUMMYFUNCTION("""COMPUTED_VALUE"""),10772.7389)</f>
        <v>10772.7389</v>
      </c>
    </row>
    <row r="2905">
      <c r="A2905" s="3">
        <f>IFERROR(__xludf.DUMMYFUNCTION("""COMPUTED_VALUE"""),43368.99861111111)</f>
        <v>43368.99861</v>
      </c>
      <c r="B2905" s="1">
        <f>IFERROR(__xludf.DUMMYFUNCTION("""COMPUTED_VALUE"""),10888.33427)</f>
        <v>10888.33427</v>
      </c>
    </row>
    <row r="2906">
      <c r="A2906" s="3">
        <f>IFERROR(__xludf.DUMMYFUNCTION("""COMPUTED_VALUE"""),43369.99861111111)</f>
        <v>43369.99861</v>
      </c>
      <c r="B2906" s="1">
        <f>IFERROR(__xludf.DUMMYFUNCTION("""COMPUTED_VALUE"""),10874.9142)</f>
        <v>10874.9142</v>
      </c>
    </row>
    <row r="2907">
      <c r="A2907" s="3">
        <f>IFERROR(__xludf.DUMMYFUNCTION("""COMPUTED_VALUE"""),43370.99861111111)</f>
        <v>43370.99861</v>
      </c>
      <c r="B2907" s="1">
        <f>IFERROR(__xludf.DUMMYFUNCTION("""COMPUTED_VALUE"""),10748.24946)</f>
        <v>10748.24946</v>
      </c>
    </row>
    <row r="2908">
      <c r="A2908" s="3">
        <f>IFERROR(__xludf.DUMMYFUNCTION("""COMPUTED_VALUE"""),43371.99861111111)</f>
        <v>43371.99861</v>
      </c>
      <c r="B2908" s="1">
        <f>IFERROR(__xludf.DUMMYFUNCTION("""COMPUTED_VALUE"""),10755.047)</f>
        <v>10755.047</v>
      </c>
    </row>
    <row r="2909">
      <c r="A2909" s="3">
        <f>IFERROR(__xludf.DUMMYFUNCTION("""COMPUTED_VALUE"""),43373.99861111111)</f>
        <v>43373.99861</v>
      </c>
      <c r="B2909" s="1">
        <f>IFERROR(__xludf.DUMMYFUNCTION("""COMPUTED_VALUE"""),10764.16166)</f>
        <v>10764.16166</v>
      </c>
    </row>
    <row r="2910">
      <c r="A2910" s="3">
        <f>IFERROR(__xludf.DUMMYFUNCTION("""COMPUTED_VALUE"""),43374.99861111111)</f>
        <v>43374.99861</v>
      </c>
      <c r="B2910" s="1">
        <f>IFERROR(__xludf.DUMMYFUNCTION("""COMPUTED_VALUE"""),10877.51458)</f>
        <v>10877.51458</v>
      </c>
    </row>
    <row r="2911">
      <c r="A2911" s="3">
        <f>IFERROR(__xludf.DUMMYFUNCTION("""COMPUTED_VALUE"""),43375.99861111111)</f>
        <v>43375.99861</v>
      </c>
      <c r="B2911" s="1">
        <f>IFERROR(__xludf.DUMMYFUNCTION("""COMPUTED_VALUE"""),10807.8106)</f>
        <v>10807.8106</v>
      </c>
    </row>
    <row r="2912">
      <c r="A2912" s="3">
        <f>IFERROR(__xludf.DUMMYFUNCTION("""COMPUTED_VALUE"""),43376.99861111111)</f>
        <v>43376.99861</v>
      </c>
      <c r="B2912" s="1">
        <f>IFERROR(__xludf.DUMMYFUNCTION("""COMPUTED_VALUE"""),10742.17075)</f>
        <v>10742.17075</v>
      </c>
    </row>
    <row r="2913">
      <c r="A2913" s="3">
        <f>IFERROR(__xludf.DUMMYFUNCTION("""COMPUTED_VALUE"""),43377.99861111111)</f>
        <v>43377.99861</v>
      </c>
      <c r="B2913" s="1">
        <f>IFERROR(__xludf.DUMMYFUNCTION("""COMPUTED_VALUE"""),10909.80937)</f>
        <v>10909.80937</v>
      </c>
    </row>
    <row r="2914">
      <c r="A2914" s="3">
        <f>IFERROR(__xludf.DUMMYFUNCTION("""COMPUTED_VALUE"""),43378.99861111111)</f>
        <v>43378.99861</v>
      </c>
      <c r="B2914" s="1">
        <f>IFERROR(__xludf.DUMMYFUNCTION("""COMPUTED_VALUE"""),10655.31975)</f>
        <v>10655.31975</v>
      </c>
    </row>
    <row r="2915">
      <c r="A2915" s="3">
        <f>IFERROR(__xludf.DUMMYFUNCTION("""COMPUTED_VALUE"""),43379.99861111111)</f>
        <v>43379.99861</v>
      </c>
      <c r="B2915" s="1">
        <f>IFERROR(__xludf.DUMMYFUNCTION("""COMPUTED_VALUE"""),10718.83906)</f>
        <v>10718.83906</v>
      </c>
    </row>
    <row r="2916">
      <c r="A2916" s="3">
        <f>IFERROR(__xludf.DUMMYFUNCTION("""COMPUTED_VALUE"""),43380.99861111111)</f>
        <v>43380.99861</v>
      </c>
      <c r="B2916" s="1">
        <f>IFERROR(__xludf.DUMMYFUNCTION("""COMPUTED_VALUE"""),10700.30306)</f>
        <v>10700.30306</v>
      </c>
    </row>
    <row r="2917">
      <c r="A2917" s="3">
        <f>IFERROR(__xludf.DUMMYFUNCTION("""COMPUTED_VALUE"""),43381.99861111111)</f>
        <v>43381.99861</v>
      </c>
      <c r="B2917" s="1">
        <f>IFERROR(__xludf.DUMMYFUNCTION("""COMPUTED_VALUE"""),10892.42)</f>
        <v>10892.42</v>
      </c>
    </row>
    <row r="2918">
      <c r="A2918" s="3">
        <f>IFERROR(__xludf.DUMMYFUNCTION("""COMPUTED_VALUE"""),43382.99861111111)</f>
        <v>43382.99861</v>
      </c>
      <c r="B2918" s="1">
        <f>IFERROR(__xludf.DUMMYFUNCTION("""COMPUTED_VALUE"""),10830.09889)</f>
        <v>10830.09889</v>
      </c>
    </row>
    <row r="2919">
      <c r="A2919" s="3">
        <f>IFERROR(__xludf.DUMMYFUNCTION("""COMPUTED_VALUE"""),43383.99861111111)</f>
        <v>43383.99861</v>
      </c>
      <c r="B2919" s="1">
        <f>IFERROR(__xludf.DUMMYFUNCTION("""COMPUTED_VALUE"""),10733.84656)</f>
        <v>10733.84656</v>
      </c>
    </row>
    <row r="2920">
      <c r="A2920" s="3">
        <f>IFERROR(__xludf.DUMMYFUNCTION("""COMPUTED_VALUE"""),43384.99861111111)</f>
        <v>43384.99861</v>
      </c>
      <c r="B2920" s="1">
        <f>IFERROR(__xludf.DUMMYFUNCTION("""COMPUTED_VALUE"""),10899.15008)</f>
        <v>10899.15008</v>
      </c>
    </row>
    <row r="2921">
      <c r="A2921" s="3">
        <f>IFERROR(__xludf.DUMMYFUNCTION("""COMPUTED_VALUE"""),43385.99861111111)</f>
        <v>43385.99861</v>
      </c>
      <c r="B2921" s="1">
        <f>IFERROR(__xludf.DUMMYFUNCTION("""COMPUTED_VALUE"""),10798.5052)</f>
        <v>10798.5052</v>
      </c>
    </row>
    <row r="2922">
      <c r="A2922" s="3">
        <f>IFERROR(__xludf.DUMMYFUNCTION("""COMPUTED_VALUE"""),43387.99861111111)</f>
        <v>43387.99861</v>
      </c>
      <c r="B2922" s="1">
        <f>IFERROR(__xludf.DUMMYFUNCTION("""COMPUTED_VALUE"""),10800.76266)</f>
        <v>10800.76266</v>
      </c>
    </row>
    <row r="2923">
      <c r="A2923" s="3">
        <f>IFERROR(__xludf.DUMMYFUNCTION("""COMPUTED_VALUE"""),43388.99861111111)</f>
        <v>43388.99861</v>
      </c>
      <c r="B2923" s="1">
        <f>IFERROR(__xludf.DUMMYFUNCTION("""COMPUTED_VALUE"""),10840.32048)</f>
        <v>10840.32048</v>
      </c>
    </row>
    <row r="2924">
      <c r="A2924" s="3">
        <f>IFERROR(__xludf.DUMMYFUNCTION("""COMPUTED_VALUE"""),43389.99861111111)</f>
        <v>43389.99861</v>
      </c>
      <c r="B2924" s="1">
        <f>IFERROR(__xludf.DUMMYFUNCTION("""COMPUTED_VALUE"""),10842.78831)</f>
        <v>10842.78831</v>
      </c>
    </row>
    <row r="2925">
      <c r="A2925" s="3">
        <f>IFERROR(__xludf.DUMMYFUNCTION("""COMPUTED_VALUE"""),43390.99861111111)</f>
        <v>43390.99861</v>
      </c>
      <c r="B2925" s="1">
        <f>IFERROR(__xludf.DUMMYFUNCTION("""COMPUTED_VALUE"""),10853.37522)</f>
        <v>10853.37522</v>
      </c>
    </row>
    <row r="2926">
      <c r="A2926" s="3">
        <f>IFERROR(__xludf.DUMMYFUNCTION("""COMPUTED_VALUE"""),43391.99861111111)</f>
        <v>43391.99861</v>
      </c>
      <c r="B2926" s="1">
        <f>IFERROR(__xludf.DUMMYFUNCTION("""COMPUTED_VALUE"""),10872.50505)</f>
        <v>10872.50505</v>
      </c>
    </row>
    <row r="2927">
      <c r="A2927" s="3">
        <f>IFERROR(__xludf.DUMMYFUNCTION("""COMPUTED_VALUE"""),43392.99861111111)</f>
        <v>43392.99861</v>
      </c>
      <c r="B2927" s="1">
        <f>IFERROR(__xludf.DUMMYFUNCTION("""COMPUTED_VALUE"""),10799.0737)</f>
        <v>10799.0737</v>
      </c>
    </row>
    <row r="2928">
      <c r="A2928" s="3">
        <f>IFERROR(__xludf.DUMMYFUNCTION("""COMPUTED_VALUE"""),43394.99861111111)</f>
        <v>43394.99861</v>
      </c>
      <c r="B2928" s="1">
        <f>IFERROR(__xludf.DUMMYFUNCTION("""COMPUTED_VALUE"""),10797.63806)</f>
        <v>10797.63806</v>
      </c>
    </row>
    <row r="2929">
      <c r="A2929" s="3">
        <f>IFERROR(__xludf.DUMMYFUNCTION("""COMPUTED_VALUE"""),43395.99861111111)</f>
        <v>43395.99861</v>
      </c>
      <c r="B2929" s="1">
        <f>IFERROR(__xludf.DUMMYFUNCTION("""COMPUTED_VALUE"""),10795.19584)</f>
        <v>10795.19584</v>
      </c>
    </row>
    <row r="2930">
      <c r="A2930" s="3">
        <f>IFERROR(__xludf.DUMMYFUNCTION("""COMPUTED_VALUE"""),43396.99861111111)</f>
        <v>43396.99861</v>
      </c>
      <c r="B2930" s="1">
        <f>IFERROR(__xludf.DUMMYFUNCTION("""COMPUTED_VALUE"""),10765.50615)</f>
        <v>10765.50615</v>
      </c>
    </row>
    <row r="2931">
      <c r="A2931" s="3">
        <f>IFERROR(__xludf.DUMMYFUNCTION("""COMPUTED_VALUE"""),43397.99861111111)</f>
        <v>43397.99861</v>
      </c>
      <c r="B2931" s="1">
        <f>IFERROR(__xludf.DUMMYFUNCTION("""COMPUTED_VALUE"""),10783.77898)</f>
        <v>10783.77898</v>
      </c>
    </row>
    <row r="2932">
      <c r="A2932" s="3">
        <f>IFERROR(__xludf.DUMMYFUNCTION("""COMPUTED_VALUE"""),43398.99861111111)</f>
        <v>43398.99861</v>
      </c>
      <c r="B2932" s="1">
        <f>IFERROR(__xludf.DUMMYFUNCTION("""COMPUTED_VALUE"""),10802.77869)</f>
        <v>10802.77869</v>
      </c>
    </row>
    <row r="2933">
      <c r="A2933" s="3">
        <f>IFERROR(__xludf.DUMMYFUNCTION("""COMPUTED_VALUE"""),43399.99861111111)</f>
        <v>43399.99861</v>
      </c>
      <c r="B2933" s="1">
        <f>IFERROR(__xludf.DUMMYFUNCTION("""COMPUTED_VALUE"""),10771.65446)</f>
        <v>10771.65446</v>
      </c>
    </row>
    <row r="2934">
      <c r="A2934" s="3">
        <f>IFERROR(__xludf.DUMMYFUNCTION("""COMPUTED_VALUE"""),43400.99861111111)</f>
        <v>43400.99861</v>
      </c>
      <c r="B2934" s="1">
        <f>IFERROR(__xludf.DUMMYFUNCTION("""COMPUTED_VALUE"""),10785.411)</f>
        <v>10785.411</v>
      </c>
    </row>
    <row r="2935">
      <c r="A2935" s="3">
        <f>IFERROR(__xludf.DUMMYFUNCTION("""COMPUTED_VALUE"""),43401.99861111111)</f>
        <v>43401.99861</v>
      </c>
      <c r="B2935" s="1">
        <f>IFERROR(__xludf.DUMMYFUNCTION("""COMPUTED_VALUE"""),10794.6891)</f>
        <v>10794.6891</v>
      </c>
    </row>
    <row r="2936">
      <c r="A2936" s="3">
        <f>IFERROR(__xludf.DUMMYFUNCTION("""COMPUTED_VALUE"""),43402.99861111111)</f>
        <v>43402.99861</v>
      </c>
      <c r="B2936" s="1">
        <f>IFERROR(__xludf.DUMMYFUNCTION("""COMPUTED_VALUE"""),10800.2468)</f>
        <v>10800.2468</v>
      </c>
    </row>
    <row r="2937">
      <c r="A2937" s="3">
        <f>IFERROR(__xludf.DUMMYFUNCTION("""COMPUTED_VALUE"""),43403.99861111111)</f>
        <v>43403.99861</v>
      </c>
      <c r="B2937" s="1">
        <f>IFERROR(__xludf.DUMMYFUNCTION("""COMPUTED_VALUE"""),10841.30457)</f>
        <v>10841.30457</v>
      </c>
    </row>
    <row r="2938">
      <c r="A2938" s="3">
        <f>IFERROR(__xludf.DUMMYFUNCTION("""COMPUTED_VALUE"""),43404.99861111111)</f>
        <v>43404.99861</v>
      </c>
      <c r="B2938" s="1">
        <f>IFERROR(__xludf.DUMMYFUNCTION("""COMPUTED_VALUE"""),10762.567)</f>
        <v>10762.567</v>
      </c>
    </row>
    <row r="2939">
      <c r="A2939" s="3">
        <f>IFERROR(__xludf.DUMMYFUNCTION("""COMPUTED_VALUE"""),43405.99861111111)</f>
        <v>43405.99861</v>
      </c>
      <c r="B2939" s="1">
        <f>IFERROR(__xludf.DUMMYFUNCTION("""COMPUTED_VALUE"""),10856.69697)</f>
        <v>10856.69697</v>
      </c>
    </row>
    <row r="2940">
      <c r="A2940" s="3">
        <f>IFERROR(__xludf.DUMMYFUNCTION("""COMPUTED_VALUE"""),43406.99861111111)</f>
        <v>43406.99861</v>
      </c>
      <c r="B2940" s="1">
        <f>IFERROR(__xludf.DUMMYFUNCTION("""COMPUTED_VALUE"""),10792.5066)</f>
        <v>10792.5066</v>
      </c>
    </row>
    <row r="2941">
      <c r="A2941" s="3">
        <f>IFERROR(__xludf.DUMMYFUNCTION("""COMPUTED_VALUE"""),43408.99861111111)</f>
        <v>43408.99861</v>
      </c>
      <c r="B2941" s="1">
        <f>IFERROR(__xludf.DUMMYFUNCTION("""COMPUTED_VALUE"""),10757.53296)</f>
        <v>10757.53296</v>
      </c>
    </row>
    <row r="2942">
      <c r="A2942" s="3">
        <f>IFERROR(__xludf.DUMMYFUNCTION("""COMPUTED_VALUE"""),43409.99861111111)</f>
        <v>43409.99861</v>
      </c>
      <c r="B2942" s="1">
        <f>IFERROR(__xludf.DUMMYFUNCTION("""COMPUTED_VALUE"""),10760.86105)</f>
        <v>10760.86105</v>
      </c>
    </row>
    <row r="2943">
      <c r="A2943" s="3">
        <f>IFERROR(__xludf.DUMMYFUNCTION("""COMPUTED_VALUE"""),43410.99861111111)</f>
        <v>43410.99861</v>
      </c>
      <c r="B2943" s="1">
        <f>IFERROR(__xludf.DUMMYFUNCTION("""COMPUTED_VALUE"""),10740.7758)</f>
        <v>10740.7758</v>
      </c>
    </row>
    <row r="2944">
      <c r="A2944" s="3">
        <f>IFERROR(__xludf.DUMMYFUNCTION("""COMPUTED_VALUE"""),43411.99861111111)</f>
        <v>43411.99861</v>
      </c>
      <c r="B2944" s="1">
        <f>IFERROR(__xludf.DUMMYFUNCTION("""COMPUTED_VALUE"""),10621.13771)</f>
        <v>10621.13771</v>
      </c>
    </row>
    <row r="2945">
      <c r="A2945" s="3">
        <f>IFERROR(__xludf.DUMMYFUNCTION("""COMPUTED_VALUE"""),43412.99861111111)</f>
        <v>43412.99861</v>
      </c>
      <c r="B2945" s="1">
        <f>IFERROR(__xludf.DUMMYFUNCTION("""COMPUTED_VALUE"""),10695.6992)</f>
        <v>10695.6992</v>
      </c>
    </row>
    <row r="2946">
      <c r="A2946" s="3">
        <f>IFERROR(__xludf.DUMMYFUNCTION("""COMPUTED_VALUE"""),43413.99861111111)</f>
        <v>43413.99861</v>
      </c>
      <c r="B2946" s="1">
        <f>IFERROR(__xludf.DUMMYFUNCTION("""COMPUTED_VALUE"""),10609.2584)</f>
        <v>10609.2584</v>
      </c>
    </row>
    <row r="2947">
      <c r="A2947" s="3">
        <f>IFERROR(__xludf.DUMMYFUNCTION("""COMPUTED_VALUE"""),43414.99861111111)</f>
        <v>43414.99861</v>
      </c>
      <c r="B2947" s="1">
        <f>IFERROR(__xludf.DUMMYFUNCTION("""COMPUTED_VALUE"""),10609.2584)</f>
        <v>10609.2584</v>
      </c>
    </row>
    <row r="2948">
      <c r="A2948" s="3">
        <f>IFERROR(__xludf.DUMMYFUNCTION("""COMPUTED_VALUE"""),43415.99861111111)</f>
        <v>43415.99861</v>
      </c>
      <c r="B2948" s="1">
        <f>IFERROR(__xludf.DUMMYFUNCTION("""COMPUTED_VALUE"""),10606.3228)</f>
        <v>10606.3228</v>
      </c>
    </row>
    <row r="2949">
      <c r="A2949" s="3">
        <f>IFERROR(__xludf.DUMMYFUNCTION("""COMPUTED_VALUE"""),43416.99861111111)</f>
        <v>43416.99861</v>
      </c>
      <c r="B2949" s="1">
        <f>IFERROR(__xludf.DUMMYFUNCTION("""COMPUTED_VALUE"""),10624.88808)</f>
        <v>10624.88808</v>
      </c>
    </row>
    <row r="2950">
      <c r="A2950" s="3">
        <f>IFERROR(__xludf.DUMMYFUNCTION("""COMPUTED_VALUE"""),43417.99861111111)</f>
        <v>43417.99861</v>
      </c>
      <c r="B2950" s="1">
        <f>IFERROR(__xludf.DUMMYFUNCTION("""COMPUTED_VALUE"""),10697.3145)</f>
        <v>10697.3145</v>
      </c>
    </row>
    <row r="2951">
      <c r="A2951" s="3">
        <f>IFERROR(__xludf.DUMMYFUNCTION("""COMPUTED_VALUE"""),43418.99861111111)</f>
        <v>43418.99861</v>
      </c>
      <c r="B2951" s="1">
        <f>IFERROR(__xludf.DUMMYFUNCTION("""COMPUTED_VALUE"""),10711.49723)</f>
        <v>10711.49723</v>
      </c>
    </row>
    <row r="2952">
      <c r="A2952" s="3">
        <f>IFERROR(__xludf.DUMMYFUNCTION("""COMPUTED_VALUE"""),43419.99861111111)</f>
        <v>43419.99861</v>
      </c>
      <c r="B2952" s="1">
        <f>IFERROR(__xludf.DUMMYFUNCTION("""COMPUTED_VALUE"""),10588.46686)</f>
        <v>10588.46686</v>
      </c>
    </row>
    <row r="2953">
      <c r="A2953" s="3">
        <f>IFERROR(__xludf.DUMMYFUNCTION("""COMPUTED_VALUE"""),43420.99861111111)</f>
        <v>43420.99861</v>
      </c>
      <c r="B2953" s="1">
        <f>IFERROR(__xludf.DUMMYFUNCTION("""COMPUTED_VALUE"""),10714.228)</f>
        <v>10714.228</v>
      </c>
    </row>
    <row r="2954">
      <c r="A2954" s="3">
        <f>IFERROR(__xludf.DUMMYFUNCTION("""COMPUTED_VALUE"""),43421.99861111111)</f>
        <v>43421.99861</v>
      </c>
      <c r="B2954" s="1">
        <f>IFERROR(__xludf.DUMMYFUNCTION("""COMPUTED_VALUE"""),10711.307)</f>
        <v>10711.307</v>
      </c>
    </row>
    <row r="2955">
      <c r="A2955" s="3">
        <f>IFERROR(__xludf.DUMMYFUNCTION("""COMPUTED_VALUE"""),43422.99861111111)</f>
        <v>43422.99861</v>
      </c>
      <c r="B2955" s="1">
        <f>IFERROR(__xludf.DUMMYFUNCTION("""COMPUTED_VALUE"""),10682.097)</f>
        <v>10682.097</v>
      </c>
    </row>
    <row r="2956">
      <c r="A2956" s="3">
        <f>IFERROR(__xludf.DUMMYFUNCTION("""COMPUTED_VALUE"""),43423.99861111111)</f>
        <v>43423.99861</v>
      </c>
      <c r="B2956" s="1">
        <f>IFERROR(__xludf.DUMMYFUNCTION("""COMPUTED_VALUE"""),10688.41201)</f>
        <v>10688.41201</v>
      </c>
    </row>
    <row r="2957">
      <c r="A2957" s="3">
        <f>IFERROR(__xludf.DUMMYFUNCTION("""COMPUTED_VALUE"""),43424.99861111111)</f>
        <v>43424.99861</v>
      </c>
      <c r="B2957" s="1">
        <f>IFERROR(__xludf.DUMMYFUNCTION("""COMPUTED_VALUE"""),10581.46559)</f>
        <v>10581.46559</v>
      </c>
    </row>
    <row r="2958">
      <c r="A2958" s="3">
        <f>IFERROR(__xludf.DUMMYFUNCTION("""COMPUTED_VALUE"""),43425.99861111111)</f>
        <v>43425.99861</v>
      </c>
      <c r="B2958" s="1">
        <f>IFERROR(__xludf.DUMMYFUNCTION("""COMPUTED_VALUE"""),10618.454)</f>
        <v>10618.454</v>
      </c>
    </row>
    <row r="2959">
      <c r="A2959" s="3">
        <f>IFERROR(__xludf.DUMMYFUNCTION("""COMPUTED_VALUE"""),43426.99861111111)</f>
        <v>43426.99861</v>
      </c>
      <c r="B2959" s="1">
        <f>IFERROR(__xludf.DUMMYFUNCTION("""COMPUTED_VALUE"""),10584.27)</f>
        <v>10584.27</v>
      </c>
    </row>
    <row r="2960">
      <c r="A2960" s="3">
        <f>IFERROR(__xludf.DUMMYFUNCTION("""COMPUTED_VALUE"""),43427.99861111111)</f>
        <v>43427.99861</v>
      </c>
      <c r="B2960" s="1">
        <f>IFERROR(__xludf.DUMMYFUNCTION("""COMPUTED_VALUE"""),10514.6255)</f>
        <v>10514.6255</v>
      </c>
    </row>
    <row r="2961">
      <c r="A2961" s="3">
        <f>IFERROR(__xludf.DUMMYFUNCTION("""COMPUTED_VALUE"""),43428.99861111111)</f>
        <v>43428.99861</v>
      </c>
      <c r="B2961" s="1">
        <f>IFERROR(__xludf.DUMMYFUNCTION("""COMPUTED_VALUE"""),10523.24916)</f>
        <v>10523.24916</v>
      </c>
    </row>
    <row r="2962">
      <c r="A2962" s="3">
        <f>IFERROR(__xludf.DUMMYFUNCTION("""COMPUTED_VALUE"""),43429.99861111111)</f>
        <v>43429.99861</v>
      </c>
      <c r="B2962" s="1">
        <f>IFERROR(__xludf.DUMMYFUNCTION("""COMPUTED_VALUE"""),10507.359)</f>
        <v>10507.359</v>
      </c>
    </row>
    <row r="2963">
      <c r="A2963" s="3">
        <f>IFERROR(__xludf.DUMMYFUNCTION("""COMPUTED_VALUE"""),43430.99861111111)</f>
        <v>43430.99861</v>
      </c>
      <c r="B2963" s="1">
        <f>IFERROR(__xludf.DUMMYFUNCTION("""COMPUTED_VALUE"""),10492.48933)</f>
        <v>10492.48933</v>
      </c>
    </row>
    <row r="2964">
      <c r="A2964" s="3">
        <f>IFERROR(__xludf.DUMMYFUNCTION("""COMPUTED_VALUE"""),43431.99861111111)</f>
        <v>43431.99861</v>
      </c>
      <c r="B2964" s="1">
        <f>IFERROR(__xludf.DUMMYFUNCTION("""COMPUTED_VALUE"""),10536.62895)</f>
        <v>10536.62895</v>
      </c>
    </row>
    <row r="2965">
      <c r="A2965" s="3">
        <f>IFERROR(__xludf.DUMMYFUNCTION("""COMPUTED_VALUE"""),43432.99861111111)</f>
        <v>43432.99861</v>
      </c>
      <c r="B2965" s="1">
        <f>IFERROR(__xludf.DUMMYFUNCTION("""COMPUTED_VALUE"""),10558.25676)</f>
        <v>10558.25676</v>
      </c>
    </row>
    <row r="2966">
      <c r="A2966" s="3">
        <f>IFERROR(__xludf.DUMMYFUNCTION("""COMPUTED_VALUE"""),43433.99861111111)</f>
        <v>43433.99861</v>
      </c>
      <c r="B2966" s="1">
        <f>IFERROR(__xludf.DUMMYFUNCTION("""COMPUTED_VALUE"""),10510.31472)</f>
        <v>10510.31472</v>
      </c>
    </row>
    <row r="2967">
      <c r="A2967" s="3">
        <f>IFERROR(__xludf.DUMMYFUNCTION("""COMPUTED_VALUE"""),43434.99861111111)</f>
        <v>43434.99861</v>
      </c>
      <c r="B2967" s="1">
        <f>IFERROR(__xludf.DUMMYFUNCTION("""COMPUTED_VALUE"""),10474.0137)</f>
        <v>10474.0137</v>
      </c>
    </row>
    <row r="2968">
      <c r="A2968" s="3">
        <f>IFERROR(__xludf.DUMMYFUNCTION("""COMPUTED_VALUE"""),43435.99861111111)</f>
        <v>43435.99861</v>
      </c>
      <c r="B2968" s="1">
        <f>IFERROR(__xludf.DUMMYFUNCTION("""COMPUTED_VALUE"""),10529.49447)</f>
        <v>10529.49447</v>
      </c>
    </row>
    <row r="2969">
      <c r="A2969" s="3">
        <f>IFERROR(__xludf.DUMMYFUNCTION("""COMPUTED_VALUE"""),43436.99861111111)</f>
        <v>43436.99861</v>
      </c>
      <c r="B2969" s="1">
        <f>IFERROR(__xludf.DUMMYFUNCTION("""COMPUTED_VALUE"""),10539.58304)</f>
        <v>10539.58304</v>
      </c>
    </row>
    <row r="2970">
      <c r="A2970" s="3">
        <f>IFERROR(__xludf.DUMMYFUNCTION("""COMPUTED_VALUE"""),43437.99861111111)</f>
        <v>43437.99861</v>
      </c>
      <c r="B2970" s="1">
        <f>IFERROR(__xludf.DUMMYFUNCTION("""COMPUTED_VALUE"""),10476.35)</f>
        <v>10476.35</v>
      </c>
    </row>
    <row r="2971">
      <c r="A2971" s="3">
        <f>IFERROR(__xludf.DUMMYFUNCTION("""COMPUTED_VALUE"""),43438.99861111111)</f>
        <v>43438.99861</v>
      </c>
      <c r="B2971" s="1">
        <f>IFERROR(__xludf.DUMMYFUNCTION("""COMPUTED_VALUE"""),10543.85)</f>
        <v>10543.85</v>
      </c>
    </row>
    <row r="2972">
      <c r="A2972" s="3">
        <f>IFERROR(__xludf.DUMMYFUNCTION("""COMPUTED_VALUE"""),43439.99861111111)</f>
        <v>43439.99861</v>
      </c>
      <c r="B2972" s="1">
        <f>IFERROR(__xludf.DUMMYFUNCTION("""COMPUTED_VALUE"""),10348.7)</f>
        <v>10348.7</v>
      </c>
    </row>
    <row r="2973">
      <c r="A2973" s="3">
        <f>IFERROR(__xludf.DUMMYFUNCTION("""COMPUTED_VALUE"""),43440.99861111111)</f>
        <v>43440.99861</v>
      </c>
      <c r="B2973" s="1">
        <f>IFERROR(__xludf.DUMMYFUNCTION("""COMPUTED_VALUE"""),10509.9)</f>
        <v>10509.9</v>
      </c>
    </row>
    <row r="2974">
      <c r="A2974" s="3">
        <f>IFERROR(__xludf.DUMMYFUNCTION("""COMPUTED_VALUE"""),43441.99861111111)</f>
        <v>43441.99861</v>
      </c>
      <c r="B2974" s="1">
        <f>IFERROR(__xludf.DUMMYFUNCTION("""COMPUTED_VALUE"""),10427.65)</f>
        <v>10427.65</v>
      </c>
    </row>
    <row r="2975">
      <c r="A2975" s="3">
        <f>IFERROR(__xludf.DUMMYFUNCTION("""COMPUTED_VALUE"""),43442.99861111111)</f>
        <v>43442.99861</v>
      </c>
      <c r="B2975" s="1">
        <f>IFERROR(__xludf.DUMMYFUNCTION("""COMPUTED_VALUE"""),10427.65)</f>
        <v>10427.65</v>
      </c>
    </row>
    <row r="2976">
      <c r="A2976" s="3">
        <f>IFERROR(__xludf.DUMMYFUNCTION("""COMPUTED_VALUE"""),43443.99861111111)</f>
        <v>43443.99861</v>
      </c>
      <c r="B2976" s="1">
        <f>IFERROR(__xludf.DUMMYFUNCTION("""COMPUTED_VALUE"""),10380.45)</f>
        <v>10380.45</v>
      </c>
    </row>
    <row r="2977">
      <c r="A2977" s="3">
        <f>IFERROR(__xludf.DUMMYFUNCTION("""COMPUTED_VALUE"""),43444.99861111111)</f>
        <v>43444.99861</v>
      </c>
      <c r="B2977" s="1">
        <f>IFERROR(__xludf.DUMMYFUNCTION("""COMPUTED_VALUE"""),10475.0)</f>
        <v>10475</v>
      </c>
    </row>
    <row r="2978">
      <c r="A2978" s="3">
        <f>IFERROR(__xludf.DUMMYFUNCTION("""COMPUTED_VALUE"""),43445.99861111111)</f>
        <v>43445.99861</v>
      </c>
      <c r="B2978" s="1">
        <f>IFERROR(__xludf.DUMMYFUNCTION("""COMPUTED_VALUE"""),10511.1)</f>
        <v>10511.1</v>
      </c>
    </row>
    <row r="2979">
      <c r="A2979" s="3">
        <f>IFERROR(__xludf.DUMMYFUNCTION("""COMPUTED_VALUE"""),43446.99861111111)</f>
        <v>43446.99861</v>
      </c>
      <c r="B2979" s="1">
        <f>IFERROR(__xludf.DUMMYFUNCTION("""COMPUTED_VALUE"""),10527.05)</f>
        <v>10527.05</v>
      </c>
    </row>
    <row r="2980">
      <c r="A2980" s="3">
        <f>IFERROR(__xludf.DUMMYFUNCTION("""COMPUTED_VALUE"""),43447.99861111111)</f>
        <v>43447.99861</v>
      </c>
      <c r="B2980" s="1">
        <f>IFERROR(__xludf.DUMMYFUNCTION("""COMPUTED_VALUE"""),10542.9)</f>
        <v>10542.9</v>
      </c>
    </row>
    <row r="2981">
      <c r="A2981" s="3">
        <f>IFERROR(__xludf.DUMMYFUNCTION("""COMPUTED_VALUE"""),43448.99861111111)</f>
        <v>43448.99861</v>
      </c>
      <c r="B2981" s="1">
        <f>IFERROR(__xludf.DUMMYFUNCTION("""COMPUTED_VALUE"""),10467.4)</f>
        <v>10467.4</v>
      </c>
    </row>
    <row r="2982">
      <c r="A2982" s="3">
        <f>IFERROR(__xludf.DUMMYFUNCTION("""COMPUTED_VALUE"""),43449.99861111111)</f>
        <v>43449.99861</v>
      </c>
      <c r="B2982" s="1">
        <f>IFERROR(__xludf.DUMMYFUNCTION("""COMPUTED_VALUE"""),10467.4)</f>
        <v>10467.4</v>
      </c>
    </row>
    <row r="2983">
      <c r="A2983" s="3">
        <f>IFERROR(__xludf.DUMMYFUNCTION("""COMPUTED_VALUE"""),43450.99861111111)</f>
        <v>43450.99861</v>
      </c>
      <c r="B2983" s="1">
        <f>IFERROR(__xludf.DUMMYFUNCTION("""COMPUTED_VALUE"""),10461.85)</f>
        <v>10461.85</v>
      </c>
    </row>
    <row r="2984">
      <c r="A2984" s="3">
        <f>IFERROR(__xludf.DUMMYFUNCTION("""COMPUTED_VALUE"""),43451.99861111111)</f>
        <v>43451.99861</v>
      </c>
      <c r="B2984" s="1">
        <f>IFERROR(__xludf.DUMMYFUNCTION("""COMPUTED_VALUE"""),10462.55)</f>
        <v>10462.55</v>
      </c>
    </row>
    <row r="2985">
      <c r="A2985" s="3">
        <f>IFERROR(__xludf.DUMMYFUNCTION("""COMPUTED_VALUE"""),43452.99861111111)</f>
        <v>43452.99861</v>
      </c>
      <c r="B2985" s="1">
        <f>IFERROR(__xludf.DUMMYFUNCTION("""COMPUTED_VALUE"""),10411.5)</f>
        <v>10411.5</v>
      </c>
    </row>
    <row r="2986">
      <c r="A2986" s="3">
        <f>IFERROR(__xludf.DUMMYFUNCTION("""COMPUTED_VALUE"""),43453.99861111111)</f>
        <v>43453.99861</v>
      </c>
      <c r="B2986" s="1">
        <f>IFERROR(__xludf.DUMMYFUNCTION("""COMPUTED_VALUE"""),10304.75)</f>
        <v>10304.75</v>
      </c>
    </row>
    <row r="2987">
      <c r="A2987" s="3">
        <f>IFERROR(__xludf.DUMMYFUNCTION("""COMPUTED_VALUE"""),43454.99861111111)</f>
        <v>43454.99861</v>
      </c>
      <c r="B2987" s="1">
        <f>IFERROR(__xludf.DUMMYFUNCTION("""COMPUTED_VALUE"""),10265.0)</f>
        <v>10265</v>
      </c>
    </row>
    <row r="2988">
      <c r="A2988" s="3">
        <f>IFERROR(__xludf.DUMMYFUNCTION("""COMPUTED_VALUE"""),43455.99861111111)</f>
        <v>43455.99861</v>
      </c>
      <c r="B2988" s="1">
        <f>IFERROR(__xludf.DUMMYFUNCTION("""COMPUTED_VALUE"""),10244.1)</f>
        <v>10244.1</v>
      </c>
    </row>
    <row r="2989">
      <c r="A2989" s="3">
        <f>IFERROR(__xludf.DUMMYFUNCTION("""COMPUTED_VALUE"""),43456.99861111111)</f>
        <v>43456.99861</v>
      </c>
      <c r="B2989" s="1">
        <f>IFERROR(__xludf.DUMMYFUNCTION("""COMPUTED_VALUE"""),10243.4)</f>
        <v>10243.4</v>
      </c>
    </row>
    <row r="2990">
      <c r="A2990" s="3">
        <f>IFERROR(__xludf.DUMMYFUNCTION("""COMPUTED_VALUE"""),43457.99861111111)</f>
        <v>43457.99861</v>
      </c>
      <c r="B2990" s="1">
        <f>IFERROR(__xludf.DUMMYFUNCTION("""COMPUTED_VALUE"""),10277.1)</f>
        <v>10277.1</v>
      </c>
    </row>
    <row r="2991">
      <c r="A2991" s="3">
        <f>IFERROR(__xludf.DUMMYFUNCTION("""COMPUTED_VALUE"""),43458.99861111111)</f>
        <v>43458.99861</v>
      </c>
      <c r="B2991" s="1">
        <f>IFERROR(__xludf.DUMMYFUNCTION("""COMPUTED_VALUE"""),10257.75)</f>
        <v>10257.75</v>
      </c>
    </row>
    <row r="2992">
      <c r="A2992" s="3">
        <f>IFERROR(__xludf.DUMMYFUNCTION("""COMPUTED_VALUE"""),43459.99861111111)</f>
        <v>43459.99861</v>
      </c>
      <c r="B2992" s="1">
        <f>IFERROR(__xludf.DUMMYFUNCTION("""COMPUTED_VALUE"""),10240.0)</f>
        <v>10240</v>
      </c>
    </row>
    <row r="2993">
      <c r="A2993" s="3">
        <f>IFERROR(__xludf.DUMMYFUNCTION("""COMPUTED_VALUE"""),43460.99861111111)</f>
        <v>43460.99861</v>
      </c>
      <c r="B2993" s="1">
        <f>IFERROR(__xludf.DUMMYFUNCTION("""COMPUTED_VALUE"""),10303.85)</f>
        <v>10303.85</v>
      </c>
    </row>
    <row r="2994">
      <c r="A2994" s="3">
        <f>IFERROR(__xludf.DUMMYFUNCTION("""COMPUTED_VALUE"""),43461.99861111111)</f>
        <v>43461.99861</v>
      </c>
      <c r="B2994" s="1">
        <f>IFERROR(__xludf.DUMMYFUNCTION("""COMPUTED_VALUE"""),10258.6)</f>
        <v>10258.6</v>
      </c>
    </row>
    <row r="2995">
      <c r="A2995" s="3">
        <f>IFERROR(__xludf.DUMMYFUNCTION("""COMPUTED_VALUE"""),43462.99861111111)</f>
        <v>43462.99861</v>
      </c>
      <c r="B2995" s="1">
        <f>IFERROR(__xludf.DUMMYFUNCTION("""COMPUTED_VALUE"""),10257.4)</f>
        <v>10257.4</v>
      </c>
    </row>
    <row r="2996">
      <c r="A2996" s="3">
        <f>IFERROR(__xludf.DUMMYFUNCTION("""COMPUTED_VALUE"""),43463.99861111111)</f>
        <v>43463.99861</v>
      </c>
      <c r="B2996" s="1">
        <f>IFERROR(__xludf.DUMMYFUNCTION("""COMPUTED_VALUE"""),10257.4)</f>
        <v>10257.4</v>
      </c>
    </row>
    <row r="2997">
      <c r="A2997" s="3">
        <f>IFERROR(__xludf.DUMMYFUNCTION("""COMPUTED_VALUE"""),43464.99861111111)</f>
        <v>43464.99861</v>
      </c>
      <c r="B2997" s="1">
        <f>IFERROR(__xludf.DUMMYFUNCTION("""COMPUTED_VALUE"""),10257.9)</f>
        <v>10257.9</v>
      </c>
    </row>
    <row r="2998">
      <c r="A2998" s="3">
        <f>IFERROR(__xludf.DUMMYFUNCTION("""COMPUTED_VALUE"""),43465.99861111111)</f>
        <v>43465.99861</v>
      </c>
      <c r="B2998" s="1">
        <f>IFERROR(__xludf.DUMMYFUNCTION("""COMPUTED_VALUE"""),10145.2)</f>
        <v>10145.2</v>
      </c>
    </row>
    <row r="2999">
      <c r="A2999" s="3">
        <f>IFERROR(__xludf.DUMMYFUNCTION("""COMPUTED_VALUE"""),43466.99861111111)</f>
        <v>43466.99861</v>
      </c>
      <c r="B2999" s="1">
        <f>IFERROR(__xludf.DUMMYFUNCTION("""COMPUTED_VALUE"""),10126.35)</f>
        <v>10126.35</v>
      </c>
    </row>
    <row r="3000">
      <c r="A3000" s="3">
        <f>IFERROR(__xludf.DUMMYFUNCTION("""COMPUTED_VALUE"""),43467.99861111111)</f>
        <v>43467.99861</v>
      </c>
      <c r="B3000" s="1">
        <f>IFERROR(__xludf.DUMMYFUNCTION("""COMPUTED_VALUE"""),10016.85)</f>
        <v>10016.85</v>
      </c>
    </row>
    <row r="3001">
      <c r="A3001" s="3">
        <f>IFERROR(__xludf.DUMMYFUNCTION("""COMPUTED_VALUE"""),43468.99861111111)</f>
        <v>43468.99861</v>
      </c>
      <c r="B3001" s="1">
        <f>IFERROR(__xludf.DUMMYFUNCTION("""COMPUTED_VALUE"""),10096.55)</f>
        <v>10096.55</v>
      </c>
    </row>
    <row r="3002">
      <c r="A3002" s="3">
        <f>IFERROR(__xludf.DUMMYFUNCTION("""COMPUTED_VALUE"""),43469.99861111111)</f>
        <v>43469.99861</v>
      </c>
      <c r="B3002" s="1">
        <f>IFERROR(__xludf.DUMMYFUNCTION("""COMPUTED_VALUE"""),10215.6)</f>
        <v>10215.6</v>
      </c>
    </row>
    <row r="3003">
      <c r="A3003" s="3">
        <f>IFERROR(__xludf.DUMMYFUNCTION("""COMPUTED_VALUE"""),43470.99861111111)</f>
        <v>43470.99861</v>
      </c>
      <c r="B3003" s="1">
        <f>IFERROR(__xludf.DUMMYFUNCTION("""COMPUTED_VALUE"""),10208.95)</f>
        <v>10208.95</v>
      </c>
    </row>
    <row r="3004">
      <c r="A3004" s="3">
        <f>IFERROR(__xludf.DUMMYFUNCTION("""COMPUTED_VALUE"""),43471.99861111111)</f>
        <v>43471.99861</v>
      </c>
      <c r="B3004" s="1">
        <f>IFERROR(__xludf.DUMMYFUNCTION("""COMPUTED_VALUE"""),10204.3)</f>
        <v>10204.3</v>
      </c>
    </row>
    <row r="3005">
      <c r="A3005" s="3">
        <f>IFERROR(__xludf.DUMMYFUNCTION("""COMPUTED_VALUE"""),43472.99861111111)</f>
        <v>43472.99861</v>
      </c>
      <c r="B3005" s="1">
        <f>IFERROR(__xludf.DUMMYFUNCTION("""COMPUTED_VALUE"""),10060.3)</f>
        <v>10060.3</v>
      </c>
    </row>
    <row r="3006">
      <c r="A3006" s="3">
        <f>IFERROR(__xludf.DUMMYFUNCTION("""COMPUTED_VALUE"""),43473.99861111111)</f>
        <v>43473.99861</v>
      </c>
      <c r="B3006" s="1">
        <f>IFERROR(__xludf.DUMMYFUNCTION("""COMPUTED_VALUE"""),10107.95)</f>
        <v>10107.95</v>
      </c>
    </row>
    <row r="3007">
      <c r="A3007" s="3">
        <f>IFERROR(__xludf.DUMMYFUNCTION("""COMPUTED_VALUE"""),43474.99861111111)</f>
        <v>43474.99861</v>
      </c>
      <c r="B3007" s="1">
        <f>IFERROR(__xludf.DUMMYFUNCTION("""COMPUTED_VALUE"""),10051.25)</f>
        <v>10051.25</v>
      </c>
    </row>
    <row r="3008">
      <c r="A3008" s="3">
        <f>IFERROR(__xludf.DUMMYFUNCTION("""COMPUTED_VALUE"""),43475.99861111111)</f>
        <v>43475.99861</v>
      </c>
      <c r="B3008" s="1">
        <f>IFERROR(__xludf.DUMMYFUNCTION("""COMPUTED_VALUE"""),10110.1)</f>
        <v>10110.1</v>
      </c>
    </row>
    <row r="3009">
      <c r="A3009" s="3">
        <f>IFERROR(__xludf.DUMMYFUNCTION("""COMPUTED_VALUE"""),43476.99861111111)</f>
        <v>43476.99861</v>
      </c>
      <c r="B3009" s="1">
        <f>IFERROR(__xludf.DUMMYFUNCTION("""COMPUTED_VALUE"""),10192.65)</f>
        <v>10192.65</v>
      </c>
    </row>
    <row r="3010">
      <c r="A3010" s="3">
        <f>IFERROR(__xludf.DUMMYFUNCTION("""COMPUTED_VALUE"""),43477.99861111111)</f>
        <v>43477.99861</v>
      </c>
      <c r="B3010" s="1">
        <f>IFERROR(__xludf.DUMMYFUNCTION("""COMPUTED_VALUE"""),10184.05)</f>
        <v>10184.05</v>
      </c>
    </row>
    <row r="3011">
      <c r="A3011" s="3">
        <f>IFERROR(__xludf.DUMMYFUNCTION("""COMPUTED_VALUE"""),43478.99861111111)</f>
        <v>43478.99861</v>
      </c>
      <c r="B3011" s="1">
        <f>IFERROR(__xludf.DUMMYFUNCTION("""COMPUTED_VALUE"""),10174.35)</f>
        <v>10174.35</v>
      </c>
    </row>
    <row r="3012">
      <c r="A3012" s="3">
        <f>IFERROR(__xludf.DUMMYFUNCTION("""COMPUTED_VALUE"""),43479.99861111111)</f>
        <v>43479.99861</v>
      </c>
      <c r="B3012" s="1">
        <f>IFERROR(__xludf.DUMMYFUNCTION("""COMPUTED_VALUE"""),10173.05)</f>
        <v>10173.05</v>
      </c>
    </row>
    <row r="3013">
      <c r="A3013" s="3">
        <f>IFERROR(__xludf.DUMMYFUNCTION("""COMPUTED_VALUE"""),43480.99861111111)</f>
        <v>43480.99861</v>
      </c>
      <c r="B3013" s="1">
        <f>IFERROR(__xludf.DUMMYFUNCTION("""COMPUTED_VALUE"""),10153.55)</f>
        <v>10153.55</v>
      </c>
    </row>
    <row r="3014">
      <c r="A3014" s="3">
        <f>IFERROR(__xludf.DUMMYFUNCTION("""COMPUTED_VALUE"""),43481.99861111111)</f>
        <v>43481.99861</v>
      </c>
      <c r="B3014" s="1">
        <f>IFERROR(__xludf.DUMMYFUNCTION("""COMPUTED_VALUE"""),10135.35)</f>
        <v>10135.35</v>
      </c>
    </row>
    <row r="3015">
      <c r="A3015" s="3">
        <f>IFERROR(__xludf.DUMMYFUNCTION("""COMPUTED_VALUE"""),43482.99861111111)</f>
        <v>43482.99861</v>
      </c>
      <c r="B3015" s="1">
        <f>IFERROR(__xludf.DUMMYFUNCTION("""COMPUTED_VALUE"""),10191.95)</f>
        <v>10191.95</v>
      </c>
    </row>
    <row r="3016">
      <c r="A3016" s="3">
        <f>IFERROR(__xludf.DUMMYFUNCTION("""COMPUTED_VALUE"""),43483.99861111111)</f>
        <v>43483.99861</v>
      </c>
      <c r="B3016" s="1">
        <f>IFERROR(__xludf.DUMMYFUNCTION("""COMPUTED_VALUE"""),10147.45)</f>
        <v>10147.45</v>
      </c>
    </row>
    <row r="3017">
      <c r="A3017" s="3">
        <f>IFERROR(__xludf.DUMMYFUNCTION("""COMPUTED_VALUE"""),43484.99861111111)</f>
        <v>43484.99861</v>
      </c>
      <c r="B3017" s="1">
        <f>IFERROR(__xludf.DUMMYFUNCTION("""COMPUTED_VALUE"""),10147.45)</f>
        <v>10147.45</v>
      </c>
    </row>
    <row r="3018">
      <c r="A3018" s="3">
        <f>IFERROR(__xludf.DUMMYFUNCTION("""COMPUTED_VALUE"""),43485.99861111111)</f>
        <v>43485.99861</v>
      </c>
      <c r="B3018" s="1">
        <f>IFERROR(__xludf.DUMMYFUNCTION("""COMPUTED_VALUE"""),10146.25)</f>
        <v>10146.25</v>
      </c>
    </row>
    <row r="3019">
      <c r="A3019" s="3">
        <f>IFERROR(__xludf.DUMMYFUNCTION("""COMPUTED_VALUE"""),43486.99861111111)</f>
        <v>43486.99861</v>
      </c>
      <c r="B3019" s="1">
        <f>IFERROR(__xludf.DUMMYFUNCTION("""COMPUTED_VALUE"""),10178.85)</f>
        <v>10178.85</v>
      </c>
    </row>
    <row r="3020">
      <c r="A3020" s="3">
        <f>IFERROR(__xludf.DUMMYFUNCTION("""COMPUTED_VALUE"""),43487.99861111111)</f>
        <v>43487.99861</v>
      </c>
      <c r="B3020" s="1">
        <f>IFERROR(__xludf.DUMMYFUNCTION("""COMPUTED_VALUE"""),10127.0)</f>
        <v>10127</v>
      </c>
    </row>
    <row r="3021">
      <c r="A3021" s="3">
        <f>IFERROR(__xludf.DUMMYFUNCTION("""COMPUTED_VALUE"""),43488.99861111111)</f>
        <v>43488.99861</v>
      </c>
      <c r="B3021" s="1">
        <f>IFERROR(__xludf.DUMMYFUNCTION("""COMPUTED_VALUE"""),10138.2)</f>
        <v>10138.2</v>
      </c>
    </row>
    <row r="3022">
      <c r="A3022" s="3">
        <f>IFERROR(__xludf.DUMMYFUNCTION("""COMPUTED_VALUE"""),43489.99861111111)</f>
        <v>43489.99861</v>
      </c>
      <c r="B3022" s="1">
        <f>IFERROR(__xludf.DUMMYFUNCTION("""COMPUTED_VALUE"""),10027.9)</f>
        <v>10027.9</v>
      </c>
    </row>
    <row r="3023">
      <c r="A3023" s="3">
        <f>IFERROR(__xludf.DUMMYFUNCTION("""COMPUTED_VALUE"""),43490.99861111111)</f>
        <v>43490.99861</v>
      </c>
      <c r="B3023" s="1">
        <f>IFERROR(__xludf.DUMMYFUNCTION("""COMPUTED_VALUE"""),10092.75)</f>
        <v>10092.75</v>
      </c>
    </row>
    <row r="3024">
      <c r="A3024" s="3">
        <f>IFERROR(__xludf.DUMMYFUNCTION("""COMPUTED_VALUE"""),43491.99861111111)</f>
        <v>43491.99861</v>
      </c>
      <c r="B3024" s="1">
        <f>IFERROR(__xludf.DUMMYFUNCTION("""COMPUTED_VALUE"""),10065.05)</f>
        <v>10065.05</v>
      </c>
    </row>
    <row r="3025">
      <c r="A3025" s="3">
        <f>IFERROR(__xludf.DUMMYFUNCTION("""COMPUTED_VALUE"""),43492.99861111111)</f>
        <v>43492.99861</v>
      </c>
      <c r="B3025" s="1">
        <f>IFERROR(__xludf.DUMMYFUNCTION("""COMPUTED_VALUE"""),10052.95)</f>
        <v>10052.95</v>
      </c>
    </row>
    <row r="3026">
      <c r="A3026" s="3">
        <f>IFERROR(__xludf.DUMMYFUNCTION("""COMPUTED_VALUE"""),43493.99861111111)</f>
        <v>43493.99861</v>
      </c>
      <c r="B3026" s="1">
        <f>IFERROR(__xludf.DUMMYFUNCTION("""COMPUTED_VALUE"""),10077.95)</f>
        <v>10077.95</v>
      </c>
    </row>
    <row r="3027">
      <c r="A3027" s="3">
        <f>IFERROR(__xludf.DUMMYFUNCTION("""COMPUTED_VALUE"""),43494.99861111111)</f>
        <v>43494.99861</v>
      </c>
      <c r="B3027" s="1">
        <f>IFERROR(__xludf.DUMMYFUNCTION("""COMPUTED_VALUE"""),10079.5)</f>
        <v>10079.5</v>
      </c>
    </row>
    <row r="3028">
      <c r="A3028" s="3">
        <f>IFERROR(__xludf.DUMMYFUNCTION("""COMPUTED_VALUE"""),43495.99861111111)</f>
        <v>43495.99861</v>
      </c>
      <c r="B3028" s="1">
        <f>IFERROR(__xludf.DUMMYFUNCTION("""COMPUTED_VALUE"""),10243.75)</f>
        <v>10243.75</v>
      </c>
    </row>
    <row r="3029">
      <c r="A3029" s="3">
        <f>IFERROR(__xludf.DUMMYFUNCTION("""COMPUTED_VALUE"""),43496.99861111111)</f>
        <v>43496.99861</v>
      </c>
      <c r="B3029" s="1">
        <f>IFERROR(__xludf.DUMMYFUNCTION("""COMPUTED_VALUE"""),10193.95)</f>
        <v>10193.95</v>
      </c>
    </row>
    <row r="3030">
      <c r="A3030" s="3">
        <f>IFERROR(__xludf.DUMMYFUNCTION("""COMPUTED_VALUE"""),43497.99861111111)</f>
        <v>43497.99861</v>
      </c>
      <c r="B3030" s="1">
        <f>IFERROR(__xludf.DUMMYFUNCTION("""COMPUTED_VALUE"""),10118.35)</f>
        <v>10118.35</v>
      </c>
    </row>
    <row r="3031">
      <c r="A3031" s="3">
        <f>IFERROR(__xludf.DUMMYFUNCTION("""COMPUTED_VALUE"""),43498.99861111111)</f>
        <v>43498.99861</v>
      </c>
      <c r="B3031" s="1">
        <f>IFERROR(__xludf.DUMMYFUNCTION("""COMPUTED_VALUE"""),10118.35)</f>
        <v>10118.35</v>
      </c>
    </row>
    <row r="3032">
      <c r="A3032" s="3">
        <f>IFERROR(__xludf.DUMMYFUNCTION("""COMPUTED_VALUE"""),43499.99861111111)</f>
        <v>43499.99861</v>
      </c>
      <c r="B3032" s="1">
        <f>IFERROR(__xludf.DUMMYFUNCTION("""COMPUTED_VALUE"""),10114.55)</f>
        <v>10114.55</v>
      </c>
    </row>
    <row r="3033">
      <c r="A3033" s="3">
        <f>IFERROR(__xludf.DUMMYFUNCTION("""COMPUTED_VALUE"""),43500.99861111111)</f>
        <v>43500.99861</v>
      </c>
      <c r="B3033" s="1">
        <f>IFERROR(__xludf.DUMMYFUNCTION("""COMPUTED_VALUE"""),10066.35)</f>
        <v>10066.35</v>
      </c>
    </row>
    <row r="3034">
      <c r="A3034" s="3">
        <f>IFERROR(__xludf.DUMMYFUNCTION("""COMPUTED_VALUE"""),43501.99861111111)</f>
        <v>43501.99861</v>
      </c>
      <c r="B3034" s="1">
        <f>IFERROR(__xludf.DUMMYFUNCTION("""COMPUTED_VALUE"""),10120.1)</f>
        <v>10120.1</v>
      </c>
    </row>
    <row r="3035">
      <c r="A3035" s="3">
        <f>IFERROR(__xludf.DUMMYFUNCTION("""COMPUTED_VALUE"""),43502.99861111111)</f>
        <v>43502.99861</v>
      </c>
      <c r="B3035" s="1">
        <f>IFERROR(__xludf.DUMMYFUNCTION("""COMPUTED_VALUE"""),9894.9)</f>
        <v>9894.9</v>
      </c>
    </row>
    <row r="3036">
      <c r="A3036" s="3">
        <f>IFERROR(__xludf.DUMMYFUNCTION("""COMPUTED_VALUE"""),43503.99861111111)</f>
        <v>43503.99861</v>
      </c>
      <c r="B3036" s="1">
        <f>IFERROR(__xludf.DUMMYFUNCTION("""COMPUTED_VALUE"""),9921.8)</f>
        <v>9921.8</v>
      </c>
    </row>
    <row r="3037">
      <c r="A3037" s="3">
        <f>IFERROR(__xludf.DUMMYFUNCTION("""COMPUTED_VALUE"""),43504.99861111111)</f>
        <v>43504.99861</v>
      </c>
      <c r="B3037" s="1">
        <f>IFERROR(__xludf.DUMMYFUNCTION("""COMPUTED_VALUE"""),9924.05)</f>
        <v>9924.05</v>
      </c>
    </row>
    <row r="3038">
      <c r="A3038" s="3">
        <f>IFERROR(__xludf.DUMMYFUNCTION("""COMPUTED_VALUE"""),43505.99861111111)</f>
        <v>43505.99861</v>
      </c>
      <c r="B3038" s="1">
        <f>IFERROR(__xludf.DUMMYFUNCTION("""COMPUTED_VALUE"""),9902.1)</f>
        <v>9902.1</v>
      </c>
    </row>
    <row r="3039">
      <c r="A3039" s="3">
        <f>IFERROR(__xludf.DUMMYFUNCTION("""COMPUTED_VALUE"""),43506.99861111111)</f>
        <v>43506.99861</v>
      </c>
      <c r="B3039" s="1">
        <f>IFERROR(__xludf.DUMMYFUNCTION("""COMPUTED_VALUE"""),9928.15)</f>
        <v>9928.15</v>
      </c>
    </row>
    <row r="3040">
      <c r="A3040" s="3">
        <f>IFERROR(__xludf.DUMMYFUNCTION("""COMPUTED_VALUE"""),43507.99861111111)</f>
        <v>43507.99861</v>
      </c>
      <c r="B3040" s="1">
        <f>IFERROR(__xludf.DUMMYFUNCTION("""COMPUTED_VALUE"""),9907.95)</f>
        <v>9907.95</v>
      </c>
    </row>
    <row r="3041">
      <c r="A3041" s="3">
        <f>IFERROR(__xludf.DUMMYFUNCTION("""COMPUTED_VALUE"""),43508.99861111111)</f>
        <v>43508.99861</v>
      </c>
      <c r="B3041" s="1">
        <f>IFERROR(__xludf.DUMMYFUNCTION("""COMPUTED_VALUE"""),9995.0)</f>
        <v>9995</v>
      </c>
    </row>
    <row r="3042">
      <c r="A3042" s="3">
        <f>IFERROR(__xludf.DUMMYFUNCTION("""COMPUTED_VALUE"""),43509.99861111111)</f>
        <v>43509.99861</v>
      </c>
      <c r="B3042" s="1">
        <f>IFERROR(__xludf.DUMMYFUNCTION("""COMPUTED_VALUE"""),9978.6)</f>
        <v>9978.6</v>
      </c>
    </row>
    <row r="3043">
      <c r="A3043" s="3">
        <f>IFERROR(__xludf.DUMMYFUNCTION("""COMPUTED_VALUE"""),43510.99861111111)</f>
        <v>43510.99861</v>
      </c>
      <c r="B3043" s="1">
        <f>IFERROR(__xludf.DUMMYFUNCTION("""COMPUTED_VALUE"""),10005.55)</f>
        <v>10005.55</v>
      </c>
    </row>
    <row r="3044">
      <c r="A3044" s="3">
        <f>IFERROR(__xludf.DUMMYFUNCTION("""COMPUTED_VALUE"""),43511.99861111111)</f>
        <v>43511.99861</v>
      </c>
      <c r="B3044" s="1">
        <f>IFERROR(__xludf.DUMMYFUNCTION("""COMPUTED_VALUE"""),10087.95)</f>
        <v>10087.95</v>
      </c>
    </row>
    <row r="3045">
      <c r="A3045" s="3">
        <f>IFERROR(__xludf.DUMMYFUNCTION("""COMPUTED_VALUE"""),43512.99861111111)</f>
        <v>43512.99861</v>
      </c>
      <c r="B3045" s="1">
        <f>IFERROR(__xludf.DUMMYFUNCTION("""COMPUTED_VALUE"""),10079.95)</f>
        <v>10079.95</v>
      </c>
    </row>
    <row r="3046">
      <c r="A3046" s="3">
        <f>IFERROR(__xludf.DUMMYFUNCTION("""COMPUTED_VALUE"""),43513.99861111111)</f>
        <v>43513.99861</v>
      </c>
      <c r="B3046" s="1">
        <f>IFERROR(__xludf.DUMMYFUNCTION("""COMPUTED_VALUE"""),10086.05)</f>
        <v>10086.05</v>
      </c>
    </row>
    <row r="3047">
      <c r="A3047" s="3">
        <f>IFERROR(__xludf.DUMMYFUNCTION("""COMPUTED_VALUE"""),43514.99861111111)</f>
        <v>43514.99861</v>
      </c>
      <c r="B3047" s="1">
        <f>IFERROR(__xludf.DUMMYFUNCTION("""COMPUTED_VALUE"""),10075.9)</f>
        <v>10075.9</v>
      </c>
    </row>
    <row r="3048">
      <c r="A3048" s="3">
        <f>IFERROR(__xludf.DUMMYFUNCTION("""COMPUTED_VALUE"""),43515.99861111111)</f>
        <v>43515.99861</v>
      </c>
      <c r="B3048" s="1">
        <f>IFERROR(__xludf.DUMMYFUNCTION("""COMPUTED_VALUE"""),10119.45)</f>
        <v>10119.45</v>
      </c>
    </row>
    <row r="3049">
      <c r="A3049" s="3">
        <f>IFERROR(__xludf.DUMMYFUNCTION("""COMPUTED_VALUE"""),43516.99861111111)</f>
        <v>43516.99861</v>
      </c>
      <c r="B3049" s="1">
        <f>IFERROR(__xludf.DUMMYFUNCTION("""COMPUTED_VALUE"""),10083.4)</f>
        <v>10083.4</v>
      </c>
    </row>
    <row r="3050">
      <c r="A3050" s="3">
        <f>IFERROR(__xludf.DUMMYFUNCTION("""COMPUTED_VALUE"""),43517.99861111111)</f>
        <v>43517.99861</v>
      </c>
      <c r="B3050" s="1">
        <f>IFERROR(__xludf.DUMMYFUNCTION("""COMPUTED_VALUE"""),9989.85)</f>
        <v>9989.85</v>
      </c>
    </row>
    <row r="3051">
      <c r="A3051" s="3">
        <f>IFERROR(__xludf.DUMMYFUNCTION("""COMPUTED_VALUE"""),43518.99861111111)</f>
        <v>43518.99861</v>
      </c>
      <c r="B3051" s="1">
        <f>IFERROR(__xludf.DUMMYFUNCTION("""COMPUTED_VALUE"""),10014.45)</f>
        <v>10014.45</v>
      </c>
    </row>
    <row r="3052">
      <c r="A3052" s="3">
        <f>IFERROR(__xludf.DUMMYFUNCTION("""COMPUTED_VALUE"""),43519.99861111111)</f>
        <v>43519.99861</v>
      </c>
      <c r="B3052" s="1">
        <f>IFERROR(__xludf.DUMMYFUNCTION("""COMPUTED_VALUE"""),10017.65)</f>
        <v>10017.65</v>
      </c>
    </row>
    <row r="3053">
      <c r="A3053" s="3">
        <f>IFERROR(__xludf.DUMMYFUNCTION("""COMPUTED_VALUE"""),43520.99861111111)</f>
        <v>43520.99861</v>
      </c>
      <c r="B3053" s="1">
        <f>IFERROR(__xludf.DUMMYFUNCTION("""COMPUTED_VALUE"""),10038.95)</f>
        <v>10038.95</v>
      </c>
    </row>
    <row r="3054">
      <c r="A3054" s="3">
        <f>IFERROR(__xludf.DUMMYFUNCTION("""COMPUTED_VALUE"""),43521.99861111111)</f>
        <v>43521.99861</v>
      </c>
      <c r="B3054" s="1">
        <f>IFERROR(__xludf.DUMMYFUNCTION("""COMPUTED_VALUE"""),10053.65)</f>
        <v>10053.65</v>
      </c>
    </row>
    <row r="3055">
      <c r="A3055" s="3">
        <f>IFERROR(__xludf.DUMMYFUNCTION("""COMPUTED_VALUE"""),43522.99861111111)</f>
        <v>43522.99861</v>
      </c>
      <c r="B3055" s="1">
        <f>IFERROR(__xludf.DUMMYFUNCTION("""COMPUTED_VALUE"""),10044.95)</f>
        <v>10044.95</v>
      </c>
    </row>
    <row r="3056">
      <c r="A3056" s="3">
        <f>IFERROR(__xludf.DUMMYFUNCTION("""COMPUTED_VALUE"""),43523.99861111111)</f>
        <v>43523.99861</v>
      </c>
      <c r="B3056" s="1">
        <f>IFERROR(__xludf.DUMMYFUNCTION("""COMPUTED_VALUE"""),10021.55)</f>
        <v>10021.55</v>
      </c>
    </row>
    <row r="3057">
      <c r="A3057" s="3">
        <f>IFERROR(__xludf.DUMMYFUNCTION("""COMPUTED_VALUE"""),43524.99861111111)</f>
        <v>43524.99861</v>
      </c>
      <c r="B3057" s="1">
        <f>IFERROR(__xludf.DUMMYFUNCTION("""COMPUTED_VALUE"""),9994.4)</f>
        <v>9994.4</v>
      </c>
    </row>
    <row r="3058">
      <c r="A3058" s="3">
        <f>IFERROR(__xludf.DUMMYFUNCTION("""COMPUTED_VALUE"""),43525.99861111111)</f>
        <v>43525.99861</v>
      </c>
      <c r="B3058" s="1">
        <f>IFERROR(__xludf.DUMMYFUNCTION("""COMPUTED_VALUE"""),9988.8)</f>
        <v>9988.8</v>
      </c>
    </row>
    <row r="3059">
      <c r="A3059" s="3">
        <f>IFERROR(__xludf.DUMMYFUNCTION("""COMPUTED_VALUE"""),43526.99861111111)</f>
        <v>43526.99861</v>
      </c>
      <c r="B3059" s="1">
        <f>IFERROR(__xludf.DUMMYFUNCTION("""COMPUTED_VALUE"""),9983.8)</f>
        <v>9983.8</v>
      </c>
    </row>
    <row r="3060">
      <c r="A3060" s="3">
        <f>IFERROR(__xludf.DUMMYFUNCTION("""COMPUTED_VALUE"""),43527.99861111111)</f>
        <v>43527.99861</v>
      </c>
      <c r="B3060" s="1">
        <f>IFERROR(__xludf.DUMMYFUNCTION("""COMPUTED_VALUE"""),10014.6)</f>
        <v>10014.6</v>
      </c>
    </row>
    <row r="3061">
      <c r="A3061" s="3">
        <f>IFERROR(__xludf.DUMMYFUNCTION("""COMPUTED_VALUE"""),43528.99861111111)</f>
        <v>43528.99861</v>
      </c>
      <c r="B3061" s="1">
        <f>IFERROR(__xludf.DUMMYFUNCTION("""COMPUTED_VALUE"""),10019.55)</f>
        <v>10019.55</v>
      </c>
    </row>
    <row r="3062">
      <c r="A3062" s="3">
        <f>IFERROR(__xludf.DUMMYFUNCTION("""COMPUTED_VALUE"""),43529.99861111111)</f>
        <v>43529.99861</v>
      </c>
      <c r="B3062" s="1">
        <f>IFERROR(__xludf.DUMMYFUNCTION("""COMPUTED_VALUE"""),10039.15)</f>
        <v>10039.15</v>
      </c>
    </row>
    <row r="3063">
      <c r="A3063" s="3">
        <f>IFERROR(__xludf.DUMMYFUNCTION("""COMPUTED_VALUE"""),43530.99861111111)</f>
        <v>43530.99861</v>
      </c>
      <c r="B3063" s="1">
        <f>IFERROR(__xludf.DUMMYFUNCTION("""COMPUTED_VALUE"""),9946.6)</f>
        <v>9946.6</v>
      </c>
    </row>
    <row r="3064">
      <c r="A3064" s="3">
        <f>IFERROR(__xludf.DUMMYFUNCTION("""COMPUTED_VALUE"""),43531.99861111111)</f>
        <v>43531.99861</v>
      </c>
      <c r="B3064" s="1">
        <f>IFERROR(__xludf.DUMMYFUNCTION("""COMPUTED_VALUE"""),9916.25)</f>
        <v>9916.25</v>
      </c>
    </row>
    <row r="3065">
      <c r="A3065" s="3">
        <f>IFERROR(__xludf.DUMMYFUNCTION("""COMPUTED_VALUE"""),43532.99861111111)</f>
        <v>43532.99861</v>
      </c>
      <c r="B3065" s="1">
        <f>IFERROR(__xludf.DUMMYFUNCTION("""COMPUTED_VALUE"""),9921.25)</f>
        <v>9921.25</v>
      </c>
    </row>
    <row r="3066">
      <c r="A3066" s="3">
        <f>IFERROR(__xludf.DUMMYFUNCTION("""COMPUTED_VALUE"""),43533.99861111111)</f>
        <v>43533.99861</v>
      </c>
      <c r="B3066" s="1">
        <f>IFERROR(__xludf.DUMMYFUNCTION("""COMPUTED_VALUE"""),9912.25)</f>
        <v>9912.25</v>
      </c>
    </row>
    <row r="3067">
      <c r="A3067" s="3">
        <f>IFERROR(__xludf.DUMMYFUNCTION("""COMPUTED_VALUE"""),43534.99861111111)</f>
        <v>43534.99861</v>
      </c>
      <c r="B3067" s="1">
        <f>IFERROR(__xludf.DUMMYFUNCTION("""COMPUTED_VALUE"""),10058.05)</f>
        <v>10058.05</v>
      </c>
    </row>
    <row r="3068">
      <c r="A3068" s="3">
        <f>IFERROR(__xludf.DUMMYFUNCTION("""COMPUTED_VALUE"""),43535.99861111111)</f>
        <v>43535.99861</v>
      </c>
      <c r="B3068" s="1">
        <f>IFERROR(__xludf.DUMMYFUNCTION("""COMPUTED_VALUE"""),10078.3)</f>
        <v>10078.3</v>
      </c>
    </row>
    <row r="3069">
      <c r="A3069" s="3">
        <f>IFERROR(__xludf.DUMMYFUNCTION("""COMPUTED_VALUE"""),43536.99861111111)</f>
        <v>43536.99861</v>
      </c>
      <c r="B3069" s="1">
        <f>IFERROR(__xludf.DUMMYFUNCTION("""COMPUTED_VALUE"""),10071.15)</f>
        <v>10071.15</v>
      </c>
    </row>
    <row r="3070">
      <c r="A3070" s="3">
        <f>IFERROR(__xludf.DUMMYFUNCTION("""COMPUTED_VALUE"""),43537.99861111111)</f>
        <v>43537.99861</v>
      </c>
      <c r="B3070" s="1">
        <f>IFERROR(__xludf.DUMMYFUNCTION("""COMPUTED_VALUE"""),10092.5)</f>
        <v>10092.5</v>
      </c>
    </row>
    <row r="3071">
      <c r="A3071" s="3">
        <f>IFERROR(__xludf.DUMMYFUNCTION("""COMPUTED_VALUE"""),43538.99861111111)</f>
        <v>43538.99861</v>
      </c>
      <c r="B3071" s="1">
        <f>IFERROR(__xludf.DUMMYFUNCTION("""COMPUTED_VALUE"""),10069.35)</f>
        <v>10069.35</v>
      </c>
    </row>
    <row r="3072">
      <c r="A3072" s="3">
        <f>IFERROR(__xludf.DUMMYFUNCTION("""COMPUTED_VALUE"""),43539.99861111111)</f>
        <v>43539.99861</v>
      </c>
      <c r="B3072" s="1">
        <f>IFERROR(__xludf.DUMMYFUNCTION("""COMPUTED_VALUE"""),10089.4)</f>
        <v>10089.4</v>
      </c>
    </row>
    <row r="3073">
      <c r="A3073" s="3">
        <f>IFERROR(__xludf.DUMMYFUNCTION("""COMPUTED_VALUE"""),43540.99861111111)</f>
        <v>43540.99861</v>
      </c>
      <c r="B3073" s="1">
        <f>IFERROR(__xludf.DUMMYFUNCTION("""COMPUTED_VALUE"""),10089.4)</f>
        <v>10089.4</v>
      </c>
    </row>
    <row r="3074">
      <c r="A3074" s="3">
        <f>IFERROR(__xludf.DUMMYFUNCTION("""COMPUTED_VALUE"""),43541.99861111111)</f>
        <v>43541.99861</v>
      </c>
      <c r="B3074" s="1">
        <f>IFERROR(__xludf.DUMMYFUNCTION("""COMPUTED_VALUE"""),10099.5)</f>
        <v>10099.5</v>
      </c>
    </row>
    <row r="3075">
      <c r="A3075" s="3">
        <f>IFERROR(__xludf.DUMMYFUNCTION("""COMPUTED_VALUE"""),43542.99861111111)</f>
        <v>43542.99861</v>
      </c>
      <c r="B3075" s="1">
        <f>IFERROR(__xludf.DUMMYFUNCTION("""COMPUTED_VALUE"""),10101.65)</f>
        <v>10101.65</v>
      </c>
    </row>
    <row r="3076">
      <c r="A3076" s="3">
        <f>IFERROR(__xludf.DUMMYFUNCTION("""COMPUTED_VALUE"""),43543.99861111111)</f>
        <v>43543.99861</v>
      </c>
      <c r="B3076" s="1">
        <f>IFERROR(__xludf.DUMMYFUNCTION("""COMPUTED_VALUE"""),10083.0)</f>
        <v>10083</v>
      </c>
    </row>
    <row r="3077">
      <c r="A3077" s="3">
        <f>IFERROR(__xludf.DUMMYFUNCTION("""COMPUTED_VALUE"""),43544.99861111111)</f>
        <v>43544.99861</v>
      </c>
      <c r="B3077" s="1">
        <f>IFERROR(__xludf.DUMMYFUNCTION("""COMPUTED_VALUE"""),10091.25)</f>
        <v>10091.25</v>
      </c>
    </row>
    <row r="3078">
      <c r="A3078" s="3">
        <f>IFERROR(__xludf.DUMMYFUNCTION("""COMPUTED_VALUE"""),43545.99861111111)</f>
        <v>43545.99861</v>
      </c>
      <c r="B3078" s="1">
        <f>IFERROR(__xludf.DUMMYFUNCTION("""COMPUTED_VALUE"""),10027.5)</f>
        <v>10027.5</v>
      </c>
    </row>
    <row r="3079">
      <c r="A3079" s="3">
        <f>IFERROR(__xludf.DUMMYFUNCTION("""COMPUTED_VALUE"""),43546.99861111111)</f>
        <v>43546.99861</v>
      </c>
      <c r="B3079" s="1">
        <f>IFERROR(__xludf.DUMMYFUNCTION("""COMPUTED_VALUE"""),10012.4)</f>
        <v>10012.4</v>
      </c>
    </row>
    <row r="3080">
      <c r="A3080" s="3">
        <f>IFERROR(__xludf.DUMMYFUNCTION("""COMPUTED_VALUE"""),43547.99861111111)</f>
        <v>43547.99861</v>
      </c>
      <c r="B3080" s="1">
        <f>IFERROR(__xludf.DUMMYFUNCTION("""COMPUTED_VALUE"""),10019.9)</f>
        <v>10019.9</v>
      </c>
    </row>
    <row r="3081">
      <c r="A3081" s="3">
        <f>IFERROR(__xludf.DUMMYFUNCTION("""COMPUTED_VALUE"""),43548.99861111111)</f>
        <v>43548.99861</v>
      </c>
      <c r="B3081" s="1">
        <f>IFERROR(__xludf.DUMMYFUNCTION("""COMPUTED_VALUE"""),10033.1)</f>
        <v>10033.1</v>
      </c>
    </row>
    <row r="3082">
      <c r="A3082" s="3">
        <f>IFERROR(__xludf.DUMMYFUNCTION("""COMPUTED_VALUE"""),43549.99861111111)</f>
        <v>43549.99861</v>
      </c>
      <c r="B3082" s="1">
        <f>IFERROR(__xludf.DUMMYFUNCTION("""COMPUTED_VALUE"""),10087.05)</f>
        <v>10087.05</v>
      </c>
    </row>
    <row r="3083">
      <c r="A3083" s="3">
        <f>IFERROR(__xludf.DUMMYFUNCTION("""COMPUTED_VALUE"""),43550.99861111111)</f>
        <v>43550.99861</v>
      </c>
      <c r="B3083" s="1">
        <f>IFERROR(__xludf.DUMMYFUNCTION("""COMPUTED_VALUE"""),10120.75)</f>
        <v>10120.75</v>
      </c>
    </row>
    <row r="3084">
      <c r="A3084" s="3">
        <f>IFERROR(__xludf.DUMMYFUNCTION("""COMPUTED_VALUE"""),43551.99861111111)</f>
        <v>43551.99861</v>
      </c>
      <c r="B3084" s="1">
        <f>IFERROR(__xludf.DUMMYFUNCTION("""COMPUTED_VALUE"""),10057.85)</f>
        <v>10057.85</v>
      </c>
    </row>
    <row r="3085">
      <c r="A3085" s="3">
        <f>IFERROR(__xludf.DUMMYFUNCTION("""COMPUTED_VALUE"""),43552.99861111111)</f>
        <v>43552.99861</v>
      </c>
      <c r="B3085" s="1">
        <f>IFERROR(__xludf.DUMMYFUNCTION("""COMPUTED_VALUE"""),10076.95)</f>
        <v>10076.95</v>
      </c>
    </row>
    <row r="3086">
      <c r="A3086" s="3">
        <f>IFERROR(__xludf.DUMMYFUNCTION("""COMPUTED_VALUE"""),43553.99861111111)</f>
        <v>43553.99861</v>
      </c>
      <c r="B3086" s="1">
        <f>IFERROR(__xludf.DUMMYFUNCTION("""COMPUTED_VALUE"""),10075.75)</f>
        <v>10075.75</v>
      </c>
    </row>
    <row r="3087">
      <c r="A3087" s="3">
        <f>IFERROR(__xludf.DUMMYFUNCTION("""COMPUTED_VALUE"""),43554.99861111111)</f>
        <v>43554.99861</v>
      </c>
      <c r="B3087" s="1">
        <f>IFERROR(__xludf.DUMMYFUNCTION("""COMPUTED_VALUE"""),10075.75)</f>
        <v>10075.75</v>
      </c>
    </row>
    <row r="3088">
      <c r="A3088" s="3">
        <f>IFERROR(__xludf.DUMMYFUNCTION("""COMPUTED_VALUE"""),43555.99861111111)</f>
        <v>43555.99861</v>
      </c>
      <c r="B3088" s="1">
        <f>IFERROR(__xludf.DUMMYFUNCTION("""COMPUTED_VALUE"""),10121.1)</f>
        <v>10121.1</v>
      </c>
    </row>
    <row r="3089">
      <c r="A3089" s="3">
        <f>IFERROR(__xludf.DUMMYFUNCTION("""COMPUTED_VALUE"""),43556.99861111111)</f>
        <v>43556.99861</v>
      </c>
      <c r="B3089" s="1">
        <f>IFERROR(__xludf.DUMMYFUNCTION("""COMPUTED_VALUE"""),10117.15)</f>
        <v>10117.15</v>
      </c>
    </row>
    <row r="3090">
      <c r="A3090" s="3">
        <f>IFERROR(__xludf.DUMMYFUNCTION("""COMPUTED_VALUE"""),43557.99861111111)</f>
        <v>43557.99861</v>
      </c>
      <c r="B3090" s="1">
        <f>IFERROR(__xludf.DUMMYFUNCTION("""COMPUTED_VALUE"""),10044.75)</f>
        <v>10044.75</v>
      </c>
    </row>
    <row r="3091">
      <c r="A3091" s="3">
        <f>IFERROR(__xludf.DUMMYFUNCTION("""COMPUTED_VALUE"""),43558.99861111111)</f>
        <v>43558.99861</v>
      </c>
      <c r="B3091" s="1">
        <f>IFERROR(__xludf.DUMMYFUNCTION("""COMPUTED_VALUE"""),10114.35)</f>
        <v>10114.35</v>
      </c>
    </row>
    <row r="3092">
      <c r="A3092" s="3">
        <f>IFERROR(__xludf.DUMMYFUNCTION("""COMPUTED_VALUE"""),43559.99861111111)</f>
        <v>43559.99861</v>
      </c>
      <c r="B3092" s="1">
        <f>IFERROR(__xludf.DUMMYFUNCTION("""COMPUTED_VALUE"""),10077.95)</f>
        <v>10077.95</v>
      </c>
    </row>
    <row r="3093">
      <c r="A3093" s="3">
        <f>IFERROR(__xludf.DUMMYFUNCTION("""COMPUTED_VALUE"""),43560.99861111111)</f>
        <v>43560.99861</v>
      </c>
      <c r="B3093" s="1">
        <f>IFERROR(__xludf.DUMMYFUNCTION("""COMPUTED_VALUE"""),10021.5)</f>
        <v>10021.5</v>
      </c>
    </row>
    <row r="3094">
      <c r="A3094" s="3">
        <f>IFERROR(__xludf.DUMMYFUNCTION("""COMPUTED_VALUE"""),43561.99861111111)</f>
        <v>43561.99861</v>
      </c>
      <c r="B3094" s="1">
        <f>IFERROR(__xludf.DUMMYFUNCTION("""COMPUTED_VALUE"""),10021.5)</f>
        <v>10021.5</v>
      </c>
    </row>
    <row r="3095">
      <c r="A3095" s="3">
        <f>IFERROR(__xludf.DUMMYFUNCTION("""COMPUTED_VALUE"""),43562.99861111111)</f>
        <v>43562.99861</v>
      </c>
      <c r="B3095" s="1">
        <f>IFERROR(__xludf.DUMMYFUNCTION("""COMPUTED_VALUE"""),10024.55)</f>
        <v>10024.55</v>
      </c>
    </row>
    <row r="3096">
      <c r="A3096" s="3">
        <f>IFERROR(__xludf.DUMMYFUNCTION("""COMPUTED_VALUE"""),43563.99861111111)</f>
        <v>43563.99861</v>
      </c>
      <c r="B3096" s="1">
        <f>IFERROR(__xludf.DUMMYFUNCTION("""COMPUTED_VALUE"""),10089.85)</f>
        <v>10089.85</v>
      </c>
    </row>
    <row r="3097">
      <c r="A3097" s="3">
        <f>IFERROR(__xludf.DUMMYFUNCTION("""COMPUTED_VALUE"""),43564.99861111111)</f>
        <v>43564.99861</v>
      </c>
      <c r="B3097" s="1">
        <f>IFERROR(__xludf.DUMMYFUNCTION("""COMPUTED_VALUE"""),10072.6)</f>
        <v>10072.6</v>
      </c>
    </row>
    <row r="3098">
      <c r="A3098" s="3">
        <f>IFERROR(__xludf.DUMMYFUNCTION("""COMPUTED_VALUE"""),43565.99861111111)</f>
        <v>43565.99861</v>
      </c>
      <c r="B3098" s="1">
        <f>IFERROR(__xludf.DUMMYFUNCTION("""COMPUTED_VALUE"""),10135.4)</f>
        <v>10135.4</v>
      </c>
    </row>
    <row r="3099">
      <c r="A3099" s="3">
        <f>IFERROR(__xludf.DUMMYFUNCTION("""COMPUTED_VALUE"""),43566.99861111111)</f>
        <v>43566.99861</v>
      </c>
      <c r="B3099" s="1">
        <f>IFERROR(__xludf.DUMMYFUNCTION("""COMPUTED_VALUE"""),10090.85)</f>
        <v>10090.85</v>
      </c>
    </row>
    <row r="3100">
      <c r="A3100" s="3">
        <f>IFERROR(__xludf.DUMMYFUNCTION("""COMPUTED_VALUE"""),43567.99861111111)</f>
        <v>43567.99861</v>
      </c>
      <c r="B3100" s="1">
        <f>IFERROR(__xludf.DUMMYFUNCTION("""COMPUTED_VALUE"""),10078.5)</f>
        <v>10078.5</v>
      </c>
    </row>
    <row r="3101">
      <c r="A3101" s="3">
        <f>IFERROR(__xludf.DUMMYFUNCTION("""COMPUTED_VALUE"""),43568.99861111111)</f>
        <v>43568.99861</v>
      </c>
      <c r="B3101" s="1">
        <f>IFERROR(__xludf.DUMMYFUNCTION("""COMPUTED_VALUE"""),10101.45)</f>
        <v>10101.45</v>
      </c>
    </row>
    <row r="3102">
      <c r="A3102" s="3">
        <f>IFERROR(__xludf.DUMMYFUNCTION("""COMPUTED_VALUE"""),43569.99861111111)</f>
        <v>43569.99861</v>
      </c>
      <c r="B3102" s="1">
        <f>IFERROR(__xludf.DUMMYFUNCTION("""COMPUTED_VALUE"""),10113.8)</f>
        <v>10113.8</v>
      </c>
    </row>
    <row r="3103">
      <c r="A3103" s="3">
        <f>IFERROR(__xludf.DUMMYFUNCTION("""COMPUTED_VALUE"""),43570.99861111111)</f>
        <v>43570.99861</v>
      </c>
      <c r="B3103" s="1">
        <f>IFERROR(__xludf.DUMMYFUNCTION("""COMPUTED_VALUE"""),10084.75)</f>
        <v>10084.75</v>
      </c>
    </row>
    <row r="3104">
      <c r="A3104" s="3">
        <f>IFERROR(__xludf.DUMMYFUNCTION("""COMPUTED_VALUE"""),43571.99861111111)</f>
        <v>43571.99861</v>
      </c>
      <c r="B3104" s="1">
        <f>IFERROR(__xludf.DUMMYFUNCTION("""COMPUTED_VALUE"""),10095.25)</f>
        <v>10095.25</v>
      </c>
    </row>
    <row r="3105">
      <c r="A3105" s="3">
        <f>IFERROR(__xludf.DUMMYFUNCTION("""COMPUTED_VALUE"""),43572.99861111111)</f>
        <v>43572.99861</v>
      </c>
      <c r="B3105" s="1">
        <f>IFERROR(__xludf.DUMMYFUNCTION("""COMPUTED_VALUE"""),10102.2)</f>
        <v>10102.2</v>
      </c>
    </row>
    <row r="3106">
      <c r="A3106" s="3">
        <f>IFERROR(__xludf.DUMMYFUNCTION("""COMPUTED_VALUE"""),43573.99861111111)</f>
        <v>43573.99861</v>
      </c>
      <c r="B3106" s="1">
        <f>IFERROR(__xludf.DUMMYFUNCTION("""COMPUTED_VALUE"""),10035.0)</f>
        <v>10035</v>
      </c>
    </row>
    <row r="3107">
      <c r="A3107" s="3">
        <f>IFERROR(__xludf.DUMMYFUNCTION("""COMPUTED_VALUE"""),43574.99861111111)</f>
        <v>43574.99861</v>
      </c>
      <c r="B3107" s="1">
        <f>IFERROR(__xludf.DUMMYFUNCTION("""COMPUTED_VALUE"""),10057.05)</f>
        <v>10057.05</v>
      </c>
    </row>
    <row r="3108">
      <c r="A3108" s="3">
        <f>IFERROR(__xludf.DUMMYFUNCTION("""COMPUTED_VALUE"""),43575.99861111111)</f>
        <v>43575.99861</v>
      </c>
      <c r="B3108" s="1">
        <f>IFERROR(__xludf.DUMMYFUNCTION("""COMPUTED_VALUE"""),10057.05)</f>
        <v>10057.05</v>
      </c>
    </row>
    <row r="3109">
      <c r="A3109" s="3">
        <f>IFERROR(__xludf.DUMMYFUNCTION("""COMPUTED_VALUE"""),43576.99861111111)</f>
        <v>43576.99861</v>
      </c>
      <c r="B3109" s="1">
        <f>IFERROR(__xludf.DUMMYFUNCTION("""COMPUTED_VALUE"""),10046.8)</f>
        <v>10046.8</v>
      </c>
    </row>
    <row r="3110">
      <c r="A3110" s="3">
        <f>IFERROR(__xludf.DUMMYFUNCTION("""COMPUTED_VALUE"""),43577.99861111111)</f>
        <v>43577.99861</v>
      </c>
      <c r="B3110" s="1">
        <f>IFERROR(__xludf.DUMMYFUNCTION("""COMPUTED_VALUE"""),10042.2)</f>
        <v>10042.2</v>
      </c>
    </row>
    <row r="3111">
      <c r="A3111" s="3">
        <f>IFERROR(__xludf.DUMMYFUNCTION("""COMPUTED_VALUE"""),43578.99861111111)</f>
        <v>43578.99861</v>
      </c>
      <c r="B3111" s="1">
        <f>IFERROR(__xludf.DUMMYFUNCTION("""COMPUTED_VALUE"""),9975.95)</f>
        <v>9975.95</v>
      </c>
    </row>
    <row r="3112">
      <c r="A3112" s="3">
        <f>IFERROR(__xludf.DUMMYFUNCTION("""COMPUTED_VALUE"""),43579.99861111111)</f>
        <v>43579.99861</v>
      </c>
      <c r="B3112" s="1">
        <f>IFERROR(__xludf.DUMMYFUNCTION("""COMPUTED_VALUE"""),9890.75)</f>
        <v>9890.75</v>
      </c>
    </row>
    <row r="3113">
      <c r="A3113" s="3">
        <f>IFERROR(__xludf.DUMMYFUNCTION("""COMPUTED_VALUE"""),43580.99861111111)</f>
        <v>43580.99861</v>
      </c>
      <c r="B3113" s="1">
        <f>IFERROR(__xludf.DUMMYFUNCTION("""COMPUTED_VALUE"""),9912.15)</f>
        <v>9912.15</v>
      </c>
    </row>
    <row r="3114">
      <c r="A3114" s="3">
        <f>IFERROR(__xludf.DUMMYFUNCTION("""COMPUTED_VALUE"""),43581.99861111111)</f>
        <v>43581.99861</v>
      </c>
      <c r="B3114" s="1">
        <f>IFERROR(__xludf.DUMMYFUNCTION("""COMPUTED_VALUE"""),10916.7)</f>
        <v>10916.7</v>
      </c>
    </row>
    <row r="3115">
      <c r="A3115" s="3">
        <f>IFERROR(__xludf.DUMMYFUNCTION("""COMPUTED_VALUE"""),43582.99861111111)</f>
        <v>43582.99861</v>
      </c>
      <c r="B3115" s="1">
        <f>IFERROR(__xludf.DUMMYFUNCTION("""COMPUTED_VALUE"""),9966.9)</f>
        <v>9966.9</v>
      </c>
    </row>
    <row r="3116">
      <c r="A3116" s="3">
        <f>IFERROR(__xludf.DUMMYFUNCTION("""COMPUTED_VALUE"""),43583.99861111111)</f>
        <v>43583.99861</v>
      </c>
      <c r="B3116" s="1">
        <f>IFERROR(__xludf.DUMMYFUNCTION("""COMPUTED_VALUE"""),9980.7)</f>
        <v>9980.7</v>
      </c>
    </row>
    <row r="3117">
      <c r="A3117" s="3">
        <f>IFERROR(__xludf.DUMMYFUNCTION("""COMPUTED_VALUE"""),43584.99861111111)</f>
        <v>43584.99861</v>
      </c>
      <c r="B3117" s="1">
        <f>IFERROR(__xludf.DUMMYFUNCTION("""COMPUTED_VALUE"""),10940.1)</f>
        <v>10940.1</v>
      </c>
    </row>
    <row r="3118">
      <c r="A3118" s="3">
        <f>IFERROR(__xludf.DUMMYFUNCTION("""COMPUTED_VALUE"""),43585.99861111111)</f>
        <v>43585.99861</v>
      </c>
      <c r="B3118" s="1">
        <f>IFERROR(__xludf.DUMMYFUNCTION("""COMPUTED_VALUE"""),10048.15)</f>
        <v>10048.15</v>
      </c>
    </row>
    <row r="3119">
      <c r="A3119" s="3">
        <f>IFERROR(__xludf.DUMMYFUNCTION("""COMPUTED_VALUE"""),43586.99861111111)</f>
        <v>43586.99861</v>
      </c>
      <c r="B3119" s="1">
        <f>IFERROR(__xludf.DUMMYFUNCTION("""COMPUTED_VALUE"""),10008.15)</f>
        <v>10008.15</v>
      </c>
    </row>
    <row r="3120">
      <c r="A3120" s="3">
        <f>IFERROR(__xludf.DUMMYFUNCTION("""COMPUTED_VALUE"""),43587.99861111111)</f>
        <v>43587.99861</v>
      </c>
      <c r="B3120" s="1">
        <f>IFERROR(__xludf.DUMMYFUNCTION("""COMPUTED_VALUE"""),9969.95)</f>
        <v>9969.95</v>
      </c>
    </row>
    <row r="3121">
      <c r="A3121" s="3">
        <f>IFERROR(__xludf.DUMMYFUNCTION("""COMPUTED_VALUE"""),43588.99861111111)</f>
        <v>43588.99861</v>
      </c>
      <c r="B3121" s="1">
        <f>IFERROR(__xludf.DUMMYFUNCTION("""COMPUTED_VALUE"""),9971.5)</f>
        <v>9971.5</v>
      </c>
    </row>
    <row r="3122">
      <c r="A3122" s="3">
        <f>IFERROR(__xludf.DUMMYFUNCTION("""COMPUTED_VALUE"""),43589.99861111111)</f>
        <v>43589.99861</v>
      </c>
      <c r="B3122" s="1">
        <f>IFERROR(__xludf.DUMMYFUNCTION("""COMPUTED_VALUE"""),9971.5)</f>
        <v>9971.5</v>
      </c>
    </row>
    <row r="3123">
      <c r="A3123" s="3">
        <f>IFERROR(__xludf.DUMMYFUNCTION("""COMPUTED_VALUE"""),43590.99861111111)</f>
        <v>43590.99861</v>
      </c>
      <c r="B3123" s="1">
        <f>IFERROR(__xludf.DUMMYFUNCTION("""COMPUTED_VALUE"""),9929.0)</f>
        <v>9929</v>
      </c>
    </row>
    <row r="3124">
      <c r="A3124" s="3">
        <f>IFERROR(__xludf.DUMMYFUNCTION("""COMPUTED_VALUE"""),43591.99861111111)</f>
        <v>43591.99861</v>
      </c>
      <c r="B3124" s="1">
        <f>IFERROR(__xludf.DUMMYFUNCTION("""COMPUTED_VALUE"""),10000.0)</f>
        <v>10000</v>
      </c>
    </row>
    <row r="3125">
      <c r="A3125" s="3">
        <f>IFERROR(__xludf.DUMMYFUNCTION("""COMPUTED_VALUE"""),43592.99861111111)</f>
        <v>43592.99861</v>
      </c>
      <c r="B3125" s="1">
        <f>IFERROR(__xludf.DUMMYFUNCTION("""COMPUTED_VALUE"""),9996.25)</f>
        <v>9996.25</v>
      </c>
    </row>
    <row r="3126">
      <c r="A3126" s="3">
        <f>IFERROR(__xludf.DUMMYFUNCTION("""COMPUTED_VALUE"""),43593.99861111111)</f>
        <v>43593.99861</v>
      </c>
      <c r="B3126" s="1">
        <f>IFERROR(__xludf.DUMMYFUNCTION("""COMPUTED_VALUE"""),9985.35)</f>
        <v>9985.35</v>
      </c>
    </row>
    <row r="3127">
      <c r="A3127" s="3">
        <f>IFERROR(__xludf.DUMMYFUNCTION("""COMPUTED_VALUE"""),43594.99861111111)</f>
        <v>43594.99861</v>
      </c>
      <c r="B3127" s="1">
        <f>IFERROR(__xludf.DUMMYFUNCTION("""COMPUTED_VALUE"""),10021.5)</f>
        <v>10021.5</v>
      </c>
    </row>
    <row r="3128">
      <c r="A3128" s="3">
        <f>IFERROR(__xludf.DUMMYFUNCTION("""COMPUTED_VALUE"""),43595.99861111111)</f>
        <v>43595.99861</v>
      </c>
      <c r="B3128" s="1">
        <f>IFERROR(__xludf.DUMMYFUNCTION("""COMPUTED_VALUE"""),10022.4)</f>
        <v>10022.4</v>
      </c>
    </row>
    <row r="3129">
      <c r="A3129" s="3">
        <f>IFERROR(__xludf.DUMMYFUNCTION("""COMPUTED_VALUE"""),43596.99861111111)</f>
        <v>43596.99861</v>
      </c>
      <c r="B3129" s="1">
        <f>IFERROR(__xludf.DUMMYFUNCTION("""COMPUTED_VALUE"""),10022.4)</f>
        <v>10022.4</v>
      </c>
    </row>
    <row r="3130">
      <c r="A3130" s="3">
        <f>IFERROR(__xludf.DUMMYFUNCTION("""COMPUTED_VALUE"""),43597.99861111111)</f>
        <v>43597.99861</v>
      </c>
      <c r="B3130" s="1">
        <f>IFERROR(__xludf.DUMMYFUNCTION("""COMPUTED_VALUE"""),9998.9)</f>
        <v>9998.9</v>
      </c>
    </row>
    <row r="3131">
      <c r="A3131" s="3">
        <f>IFERROR(__xludf.DUMMYFUNCTION("""COMPUTED_VALUE"""),43598.99861111111)</f>
        <v>43598.99861</v>
      </c>
      <c r="B3131" s="1">
        <f>IFERROR(__xludf.DUMMYFUNCTION("""COMPUTED_VALUE"""),9947.4)</f>
        <v>9947.4</v>
      </c>
    </row>
    <row r="3132">
      <c r="A3132" s="3">
        <f>IFERROR(__xludf.DUMMYFUNCTION("""COMPUTED_VALUE"""),43599.99861111111)</f>
        <v>43599.99861</v>
      </c>
      <c r="B3132" s="1">
        <f>IFERROR(__xludf.DUMMYFUNCTION("""COMPUTED_VALUE"""),10017.4)</f>
        <v>10017.4</v>
      </c>
    </row>
    <row r="3133">
      <c r="A3133" s="3">
        <f>IFERROR(__xludf.DUMMYFUNCTION("""COMPUTED_VALUE"""),43600.99861111111)</f>
        <v>43600.99861</v>
      </c>
      <c r="B3133" s="1">
        <f>IFERROR(__xludf.DUMMYFUNCTION("""COMPUTED_VALUE"""),10018.8)</f>
        <v>10018.8</v>
      </c>
    </row>
    <row r="3134">
      <c r="A3134" s="3">
        <f>IFERROR(__xludf.DUMMYFUNCTION("""COMPUTED_VALUE"""),43601.99861111111)</f>
        <v>43601.99861</v>
      </c>
      <c r="B3134" s="1">
        <f>IFERROR(__xludf.DUMMYFUNCTION("""COMPUTED_VALUE"""),9962.3)</f>
        <v>9962.3</v>
      </c>
    </row>
    <row r="3135">
      <c r="A3135" s="3">
        <f>IFERROR(__xludf.DUMMYFUNCTION("""COMPUTED_VALUE"""),43602.99861111111)</f>
        <v>43602.99861</v>
      </c>
      <c r="B3135" s="1">
        <f>IFERROR(__xludf.DUMMYFUNCTION("""COMPUTED_VALUE"""),9908.15)</f>
        <v>9908.15</v>
      </c>
    </row>
    <row r="3136">
      <c r="A3136" s="3">
        <f>IFERROR(__xludf.DUMMYFUNCTION("""COMPUTED_VALUE"""),43603.99861111111)</f>
        <v>43603.99861</v>
      </c>
      <c r="B3136" s="1">
        <f>IFERROR(__xludf.DUMMYFUNCTION("""COMPUTED_VALUE"""),9908.15)</f>
        <v>9908.15</v>
      </c>
    </row>
    <row r="3137">
      <c r="A3137" s="3">
        <f>IFERROR(__xludf.DUMMYFUNCTION("""COMPUTED_VALUE"""),43604.99861111111)</f>
        <v>43604.99861</v>
      </c>
      <c r="B3137" s="1">
        <f>IFERROR(__xludf.DUMMYFUNCTION("""COMPUTED_VALUE"""),9967.1)</f>
        <v>9967.1</v>
      </c>
    </row>
    <row r="3138">
      <c r="A3138" s="3">
        <f>IFERROR(__xludf.DUMMYFUNCTION("""COMPUTED_VALUE"""),43605.99861111111)</f>
        <v>43605.99861</v>
      </c>
      <c r="B3138" s="1">
        <f>IFERROR(__xludf.DUMMYFUNCTION("""COMPUTED_VALUE"""),10004.0)</f>
        <v>10004</v>
      </c>
    </row>
    <row r="3139">
      <c r="A3139" s="3">
        <f>IFERROR(__xludf.DUMMYFUNCTION("""COMPUTED_VALUE"""),43606.99861111111)</f>
        <v>43606.99861</v>
      </c>
      <c r="B3139" s="1">
        <f>IFERROR(__xludf.DUMMYFUNCTION("""COMPUTED_VALUE"""),9950.2)</f>
        <v>9950.2</v>
      </c>
    </row>
    <row r="3140">
      <c r="A3140" s="3">
        <f>IFERROR(__xludf.DUMMYFUNCTION("""COMPUTED_VALUE"""),43607.99861111111)</f>
        <v>43607.99861</v>
      </c>
      <c r="B3140" s="1">
        <f>IFERROR(__xludf.DUMMYFUNCTION("""COMPUTED_VALUE"""),10002.1)</f>
        <v>10002.1</v>
      </c>
    </row>
    <row r="3141">
      <c r="A3141" s="3">
        <f>IFERROR(__xludf.DUMMYFUNCTION("""COMPUTED_VALUE"""),43608.99861111111)</f>
        <v>43608.99861</v>
      </c>
      <c r="B3141" s="1">
        <f>IFERROR(__xludf.DUMMYFUNCTION("""COMPUTED_VALUE"""),9965.45)</f>
        <v>9965.45</v>
      </c>
    </row>
    <row r="3142">
      <c r="A3142" s="3">
        <f>IFERROR(__xludf.DUMMYFUNCTION("""COMPUTED_VALUE"""),43609.99861111111)</f>
        <v>43609.99861</v>
      </c>
      <c r="B3142" s="1">
        <f>IFERROR(__xludf.DUMMYFUNCTION("""COMPUTED_VALUE"""),9961.7)</f>
        <v>9961.7</v>
      </c>
    </row>
    <row r="3143">
      <c r="A3143" s="3">
        <f>IFERROR(__xludf.DUMMYFUNCTION("""COMPUTED_VALUE"""),43610.99861111111)</f>
        <v>43610.99861</v>
      </c>
      <c r="B3143" s="1">
        <f>IFERROR(__xludf.DUMMYFUNCTION("""COMPUTED_VALUE"""),9951.3)</f>
        <v>9951.3</v>
      </c>
    </row>
    <row r="3144">
      <c r="A3144" s="3">
        <f>IFERROR(__xludf.DUMMYFUNCTION("""COMPUTED_VALUE"""),43611.99861111111)</f>
        <v>43611.99861</v>
      </c>
      <c r="B3144" s="1">
        <f>IFERROR(__xludf.DUMMYFUNCTION("""COMPUTED_VALUE"""),9955.95)</f>
        <v>9955.95</v>
      </c>
    </row>
    <row r="3145">
      <c r="A3145" s="3">
        <f>IFERROR(__xludf.DUMMYFUNCTION("""COMPUTED_VALUE"""),43612.99861111111)</f>
        <v>43612.99861</v>
      </c>
      <c r="B3145" s="1">
        <f>IFERROR(__xludf.DUMMYFUNCTION("""COMPUTED_VALUE"""),9950.2)</f>
        <v>9950.2</v>
      </c>
    </row>
    <row r="3146">
      <c r="A3146" s="3">
        <f>IFERROR(__xludf.DUMMYFUNCTION("""COMPUTED_VALUE"""),43613.99861111111)</f>
        <v>43613.99861</v>
      </c>
      <c r="B3146" s="1">
        <f>IFERROR(__xludf.DUMMYFUNCTION("""COMPUTED_VALUE"""),9972.95)</f>
        <v>9972.95</v>
      </c>
    </row>
    <row r="3147">
      <c r="A3147" s="3">
        <f>IFERROR(__xludf.DUMMYFUNCTION("""COMPUTED_VALUE"""),43614.99861111111)</f>
        <v>43614.99861</v>
      </c>
      <c r="B3147" s="1">
        <f>IFERROR(__xludf.DUMMYFUNCTION("""COMPUTED_VALUE"""),9958.7)</f>
        <v>9958.7</v>
      </c>
    </row>
    <row r="3148">
      <c r="A3148" s="3">
        <f>IFERROR(__xludf.DUMMYFUNCTION("""COMPUTED_VALUE"""),43615.99861111111)</f>
        <v>43615.99861</v>
      </c>
      <c r="B3148" s="1">
        <f>IFERROR(__xludf.DUMMYFUNCTION("""COMPUTED_VALUE"""),9949.75)</f>
        <v>9949.75</v>
      </c>
    </row>
    <row r="3149">
      <c r="A3149" s="3">
        <f>IFERROR(__xludf.DUMMYFUNCTION("""COMPUTED_VALUE"""),43616.99861111111)</f>
        <v>43616.99861</v>
      </c>
      <c r="B3149" s="1">
        <f>IFERROR(__xludf.DUMMYFUNCTION("""COMPUTED_VALUE"""),9942.0)</f>
        <v>9942</v>
      </c>
    </row>
    <row r="3150">
      <c r="A3150" s="3">
        <f>IFERROR(__xludf.DUMMYFUNCTION("""COMPUTED_VALUE"""),43617.99861111111)</f>
        <v>43617.99861</v>
      </c>
      <c r="B3150" s="1">
        <f>IFERROR(__xludf.DUMMYFUNCTION("""COMPUTED_VALUE"""),9942.0)</f>
        <v>9942</v>
      </c>
    </row>
    <row r="3151">
      <c r="A3151" s="3">
        <f>IFERROR(__xludf.DUMMYFUNCTION("""COMPUTED_VALUE"""),43618.99861111111)</f>
        <v>43618.99861</v>
      </c>
      <c r="B3151" s="1">
        <f>IFERROR(__xludf.DUMMYFUNCTION("""COMPUTED_VALUE"""),9867.85)</f>
        <v>9867.85</v>
      </c>
    </row>
    <row r="3152">
      <c r="A3152" s="3">
        <f>IFERROR(__xludf.DUMMYFUNCTION("""COMPUTED_VALUE"""),43619.99861111111)</f>
        <v>43619.99861</v>
      </c>
      <c r="B3152" s="1">
        <f>IFERROR(__xludf.DUMMYFUNCTION("""COMPUTED_VALUE"""),9950.4)</f>
        <v>9950.4</v>
      </c>
    </row>
    <row r="3153">
      <c r="A3153" s="3">
        <f>IFERROR(__xludf.DUMMYFUNCTION("""COMPUTED_VALUE"""),43620.99861111111)</f>
        <v>43620.99861</v>
      </c>
      <c r="B3153" s="1">
        <f>IFERROR(__xludf.DUMMYFUNCTION("""COMPUTED_VALUE"""),9982.7)</f>
        <v>9982.7</v>
      </c>
    </row>
    <row r="3154">
      <c r="A3154" s="3">
        <f>IFERROR(__xludf.DUMMYFUNCTION("""COMPUTED_VALUE"""),43621.99861111111)</f>
        <v>43621.99861</v>
      </c>
      <c r="B3154" s="1">
        <f>IFERROR(__xludf.DUMMYFUNCTION("""COMPUTED_VALUE"""),9978.35)</f>
        <v>9978.35</v>
      </c>
    </row>
    <row r="3155">
      <c r="A3155" s="3">
        <f>IFERROR(__xludf.DUMMYFUNCTION("""COMPUTED_VALUE"""),43622.99861111111)</f>
        <v>43622.99861</v>
      </c>
      <c r="B3155" s="1">
        <f>IFERROR(__xludf.DUMMYFUNCTION("""COMPUTED_VALUE"""),9972.2)</f>
        <v>9972.2</v>
      </c>
    </row>
    <row r="3156">
      <c r="A3156" s="3">
        <f>IFERROR(__xludf.DUMMYFUNCTION("""COMPUTED_VALUE"""),43623.99861111111)</f>
        <v>43623.99861</v>
      </c>
      <c r="B3156" s="1">
        <f>IFERROR(__xludf.DUMMYFUNCTION("""COMPUTED_VALUE"""),9981.5)</f>
        <v>9981.5</v>
      </c>
    </row>
    <row r="3157">
      <c r="A3157" s="3">
        <f>IFERROR(__xludf.DUMMYFUNCTION("""COMPUTED_VALUE"""),43624.99861111111)</f>
        <v>43624.99861</v>
      </c>
      <c r="B3157" s="1">
        <f>IFERROR(__xludf.DUMMYFUNCTION("""COMPUTED_VALUE"""),9981.5)</f>
        <v>9981.5</v>
      </c>
    </row>
    <row r="3158">
      <c r="A3158" s="3">
        <f>IFERROR(__xludf.DUMMYFUNCTION("""COMPUTED_VALUE"""),43625.99861111111)</f>
        <v>43625.99861</v>
      </c>
      <c r="B3158" s="1">
        <f>IFERROR(__xludf.DUMMYFUNCTION("""COMPUTED_VALUE"""),9996.05)</f>
        <v>9996.05</v>
      </c>
    </row>
    <row r="3159">
      <c r="A3159" s="3">
        <f>IFERROR(__xludf.DUMMYFUNCTION("""COMPUTED_VALUE"""),43626.99861111111)</f>
        <v>43626.99861</v>
      </c>
      <c r="B3159" s="1">
        <f>IFERROR(__xludf.DUMMYFUNCTION("""COMPUTED_VALUE"""),9918.05)</f>
        <v>9918.05</v>
      </c>
    </row>
    <row r="3160">
      <c r="A3160" s="3">
        <f>IFERROR(__xludf.DUMMYFUNCTION("""COMPUTED_VALUE"""),43627.99861111111)</f>
        <v>43627.99861</v>
      </c>
      <c r="B3160" s="1">
        <f>IFERROR(__xludf.DUMMYFUNCTION("""COMPUTED_VALUE"""),9908.85)</f>
        <v>9908.85</v>
      </c>
    </row>
    <row r="3161">
      <c r="A3161" s="3">
        <f>IFERROR(__xludf.DUMMYFUNCTION("""COMPUTED_VALUE"""),43628.99861111111)</f>
        <v>43628.99861</v>
      </c>
      <c r="B3161" s="1">
        <f>IFERROR(__xludf.DUMMYFUNCTION("""COMPUTED_VALUE"""),9865.6)</f>
        <v>9865.6</v>
      </c>
    </row>
    <row r="3162">
      <c r="A3162" s="3">
        <f>IFERROR(__xludf.DUMMYFUNCTION("""COMPUTED_VALUE"""),43629.99861111111)</f>
        <v>43629.99861</v>
      </c>
      <c r="B3162" s="1">
        <f>IFERROR(__xludf.DUMMYFUNCTION("""COMPUTED_VALUE"""),9861.55)</f>
        <v>9861.55</v>
      </c>
    </row>
    <row r="3163">
      <c r="A3163" s="3">
        <f>IFERROR(__xludf.DUMMYFUNCTION("""COMPUTED_VALUE"""),43630.99861111111)</f>
        <v>43630.99861</v>
      </c>
      <c r="B3163" s="1">
        <f>IFERROR(__xludf.DUMMYFUNCTION("""COMPUTED_VALUE"""),9831.5)</f>
        <v>9831.5</v>
      </c>
    </row>
    <row r="3164">
      <c r="A3164" s="3">
        <f>IFERROR(__xludf.DUMMYFUNCTION("""COMPUTED_VALUE"""),43631.99861111111)</f>
        <v>43631.99861</v>
      </c>
      <c r="B3164" s="1">
        <f>IFERROR(__xludf.DUMMYFUNCTION("""COMPUTED_VALUE"""),9870.4)</f>
        <v>9870.4</v>
      </c>
    </row>
    <row r="3165">
      <c r="A3165" s="3">
        <f>IFERROR(__xludf.DUMMYFUNCTION("""COMPUTED_VALUE"""),43632.99861111111)</f>
        <v>43632.99861</v>
      </c>
      <c r="B3165" s="1">
        <f>IFERROR(__xludf.DUMMYFUNCTION("""COMPUTED_VALUE"""),9895.85)</f>
        <v>9895.85</v>
      </c>
    </row>
    <row r="3166">
      <c r="A3166" s="3">
        <f>IFERROR(__xludf.DUMMYFUNCTION("""COMPUTED_VALUE"""),43633.99861111111)</f>
        <v>43633.99861</v>
      </c>
      <c r="B3166" s="1">
        <f>IFERROR(__xludf.DUMMYFUNCTION("""COMPUTED_VALUE"""),9814.45)</f>
        <v>9814.45</v>
      </c>
    </row>
    <row r="3167">
      <c r="A3167" s="3">
        <f>IFERROR(__xludf.DUMMYFUNCTION("""COMPUTED_VALUE"""),43634.99861111111)</f>
        <v>43634.99861</v>
      </c>
      <c r="B3167" s="1">
        <f>IFERROR(__xludf.DUMMYFUNCTION("""COMPUTED_VALUE"""),9877.5)</f>
        <v>9877.5</v>
      </c>
    </row>
    <row r="3168">
      <c r="A3168" s="3">
        <f>IFERROR(__xludf.DUMMYFUNCTION("""COMPUTED_VALUE"""),43635.99861111111)</f>
        <v>43635.99861</v>
      </c>
      <c r="B3168" s="1">
        <f>IFERROR(__xludf.DUMMYFUNCTION("""COMPUTED_VALUE"""),9822.2)</f>
        <v>9822.2</v>
      </c>
    </row>
    <row r="3169">
      <c r="A3169" s="3">
        <f>IFERROR(__xludf.DUMMYFUNCTION("""COMPUTED_VALUE"""),43636.99861111111)</f>
        <v>43636.99861</v>
      </c>
      <c r="B3169" s="1">
        <f>IFERROR(__xludf.DUMMYFUNCTION("""COMPUTED_VALUE"""),9808.85)</f>
        <v>9808.85</v>
      </c>
    </row>
    <row r="3170">
      <c r="A3170" s="3">
        <f>IFERROR(__xludf.DUMMYFUNCTION("""COMPUTED_VALUE"""),43637.99861111111)</f>
        <v>43637.99861</v>
      </c>
      <c r="B3170" s="1">
        <f>IFERROR(__xludf.DUMMYFUNCTION("""COMPUTED_VALUE"""),10705.0)</f>
        <v>10705</v>
      </c>
    </row>
    <row r="3171">
      <c r="A3171" s="3">
        <f>IFERROR(__xludf.DUMMYFUNCTION("""COMPUTED_VALUE"""),43638.99861111111)</f>
        <v>43638.99861</v>
      </c>
      <c r="B3171" s="1">
        <f>IFERROR(__xludf.DUMMYFUNCTION("""COMPUTED_VALUE"""),10705.0)</f>
        <v>10705</v>
      </c>
    </row>
    <row r="3172">
      <c r="A3172" s="3">
        <f>IFERROR(__xludf.DUMMYFUNCTION("""COMPUTED_VALUE"""),43639.99861111111)</f>
        <v>43639.99861</v>
      </c>
      <c r="B3172" s="1">
        <f>IFERROR(__xludf.DUMMYFUNCTION("""COMPUTED_VALUE"""),10734.35)</f>
        <v>10734.35</v>
      </c>
    </row>
    <row r="3173">
      <c r="A3173" s="3">
        <f>IFERROR(__xludf.DUMMYFUNCTION("""COMPUTED_VALUE"""),43640.99861111111)</f>
        <v>43640.99861</v>
      </c>
      <c r="B3173" s="1">
        <f>IFERROR(__xludf.DUMMYFUNCTION("""COMPUTED_VALUE"""),10756.0)</f>
        <v>10756</v>
      </c>
    </row>
    <row r="3174">
      <c r="A3174" s="3">
        <f>IFERROR(__xludf.DUMMYFUNCTION("""COMPUTED_VALUE"""),43641.99861111111)</f>
        <v>43641.99861</v>
      </c>
      <c r="B3174" s="1">
        <f>IFERROR(__xludf.DUMMYFUNCTION("""COMPUTED_VALUE"""),9828.35)</f>
        <v>9828.35</v>
      </c>
    </row>
    <row r="3175">
      <c r="A3175" s="3">
        <f>IFERROR(__xludf.DUMMYFUNCTION("""COMPUTED_VALUE"""),43642.99861111111)</f>
        <v>43642.99861</v>
      </c>
      <c r="B3175" s="1">
        <f>IFERROR(__xludf.DUMMYFUNCTION("""COMPUTED_VALUE"""),9898.35)</f>
        <v>9898.35</v>
      </c>
    </row>
    <row r="3176">
      <c r="A3176" s="3">
        <f>IFERROR(__xludf.DUMMYFUNCTION("""COMPUTED_VALUE"""),43643.99861111111)</f>
        <v>43643.99861</v>
      </c>
      <c r="B3176" s="1">
        <f>IFERROR(__xludf.DUMMYFUNCTION("""COMPUTED_VALUE"""),9896.4)</f>
        <v>9896.4</v>
      </c>
    </row>
    <row r="3177">
      <c r="A3177" s="3">
        <f>IFERROR(__xludf.DUMMYFUNCTION("""COMPUTED_VALUE"""),43644.99861111111)</f>
        <v>43644.99861</v>
      </c>
      <c r="B3177" s="1">
        <f>IFERROR(__xludf.DUMMYFUNCTION("""COMPUTED_VALUE"""),9896.4)</f>
        <v>9896.4</v>
      </c>
    </row>
    <row r="3178">
      <c r="A3178" s="3">
        <f>IFERROR(__xludf.DUMMYFUNCTION("""COMPUTED_VALUE"""),43645.99861111111)</f>
        <v>43645.99861</v>
      </c>
      <c r="B3178" s="1">
        <f>IFERROR(__xludf.DUMMYFUNCTION("""COMPUTED_VALUE"""),9896.4)</f>
        <v>9896.4</v>
      </c>
    </row>
    <row r="3179">
      <c r="A3179" s="3">
        <f>IFERROR(__xludf.DUMMYFUNCTION("""COMPUTED_VALUE"""),43646.99861111111)</f>
        <v>43646.99861</v>
      </c>
      <c r="B3179" s="1">
        <f>IFERROR(__xludf.DUMMYFUNCTION("""COMPUTED_VALUE"""),9923.0)</f>
        <v>9923</v>
      </c>
    </row>
    <row r="3180">
      <c r="A3180" s="3">
        <f>IFERROR(__xludf.DUMMYFUNCTION("""COMPUTED_VALUE"""),43647.99861111111)</f>
        <v>43647.99861</v>
      </c>
      <c r="B3180" s="1">
        <f>IFERROR(__xludf.DUMMYFUNCTION("""COMPUTED_VALUE"""),9837.0)</f>
        <v>9837</v>
      </c>
    </row>
    <row r="3181">
      <c r="A3181" s="3">
        <f>IFERROR(__xludf.DUMMYFUNCTION("""COMPUTED_VALUE"""),43648.99861111111)</f>
        <v>43648.99861</v>
      </c>
      <c r="B3181" s="1">
        <f>IFERROR(__xludf.DUMMYFUNCTION("""COMPUTED_VALUE"""),9896.0)</f>
        <v>9896</v>
      </c>
    </row>
    <row r="3182">
      <c r="A3182" s="3">
        <f>IFERROR(__xludf.DUMMYFUNCTION("""COMPUTED_VALUE"""),43649.99861111111)</f>
        <v>43649.99861</v>
      </c>
      <c r="B3182" s="1">
        <f>IFERROR(__xludf.DUMMYFUNCTION("""COMPUTED_VALUE"""),9919.65)</f>
        <v>9919.65</v>
      </c>
    </row>
    <row r="3183">
      <c r="A3183" s="3">
        <f>IFERROR(__xludf.DUMMYFUNCTION("""COMPUTED_VALUE"""),43650.99861111111)</f>
        <v>43650.99861</v>
      </c>
      <c r="B3183" s="1">
        <f>IFERROR(__xludf.DUMMYFUNCTION("""COMPUTED_VALUE"""),9934.85)</f>
        <v>9934.85</v>
      </c>
    </row>
    <row r="3184">
      <c r="A3184" s="3">
        <f>IFERROR(__xludf.DUMMYFUNCTION("""COMPUTED_VALUE"""),43651.99861111111)</f>
        <v>43651.99861</v>
      </c>
      <c r="B3184" s="1">
        <f>IFERROR(__xludf.DUMMYFUNCTION("""COMPUTED_VALUE"""),9825.8)</f>
        <v>9825.8</v>
      </c>
    </row>
    <row r="3185">
      <c r="A3185" s="3">
        <f>IFERROR(__xludf.DUMMYFUNCTION("""COMPUTED_VALUE"""),43652.99861111111)</f>
        <v>43652.99861</v>
      </c>
      <c r="B3185" s="1">
        <f>IFERROR(__xludf.DUMMYFUNCTION("""COMPUTED_VALUE"""),9825.8)</f>
        <v>9825.8</v>
      </c>
    </row>
    <row r="3186">
      <c r="A3186" s="3">
        <f>IFERROR(__xludf.DUMMYFUNCTION("""COMPUTED_VALUE"""),43653.99861111111)</f>
        <v>43653.99861</v>
      </c>
      <c r="B3186" s="1">
        <f>IFERROR(__xludf.DUMMYFUNCTION("""COMPUTED_VALUE"""),9825.2)</f>
        <v>9825.2</v>
      </c>
    </row>
    <row r="3187">
      <c r="A3187" s="3">
        <f>IFERROR(__xludf.DUMMYFUNCTION("""COMPUTED_VALUE"""),43654.99861111111)</f>
        <v>43654.99861</v>
      </c>
      <c r="B3187" s="1">
        <f>IFERROR(__xludf.DUMMYFUNCTION("""COMPUTED_VALUE"""),10764.65)</f>
        <v>10764.65</v>
      </c>
    </row>
    <row r="3188">
      <c r="A3188" s="3">
        <f>IFERROR(__xludf.DUMMYFUNCTION("""COMPUTED_VALUE"""),43655.99861111111)</f>
        <v>43655.99861</v>
      </c>
      <c r="B3188" s="1">
        <f>IFERROR(__xludf.DUMMYFUNCTION("""COMPUTED_VALUE"""),10711.85)</f>
        <v>10711.85</v>
      </c>
    </row>
    <row r="3189">
      <c r="A3189" s="3">
        <f>IFERROR(__xludf.DUMMYFUNCTION("""COMPUTED_VALUE"""),43656.99861111111)</f>
        <v>43656.99861</v>
      </c>
      <c r="B3189" s="1">
        <f>IFERROR(__xludf.DUMMYFUNCTION("""COMPUTED_VALUE"""),9826.3)</f>
        <v>9826.3</v>
      </c>
    </row>
    <row r="3190">
      <c r="A3190" s="3">
        <f>IFERROR(__xludf.DUMMYFUNCTION("""COMPUTED_VALUE"""),43657.99861111111)</f>
        <v>43657.99861</v>
      </c>
      <c r="B3190" s="1">
        <f>IFERROR(__xludf.DUMMYFUNCTION("""COMPUTED_VALUE"""),9851.3)</f>
        <v>9851.3</v>
      </c>
    </row>
    <row r="3191">
      <c r="A3191" s="3">
        <f>IFERROR(__xludf.DUMMYFUNCTION("""COMPUTED_VALUE"""),43658.99861111111)</f>
        <v>43658.99861</v>
      </c>
      <c r="B3191" s="1">
        <f>IFERROR(__xludf.DUMMYFUNCTION("""COMPUTED_VALUE"""),9818.4)</f>
        <v>9818.4</v>
      </c>
    </row>
    <row r="3192">
      <c r="A3192" s="3">
        <f>IFERROR(__xludf.DUMMYFUNCTION("""COMPUTED_VALUE"""),43659.99861111111)</f>
        <v>43659.99861</v>
      </c>
      <c r="B3192" s="1">
        <f>IFERROR(__xludf.DUMMYFUNCTION("""COMPUTED_VALUE"""),9818.4)</f>
        <v>9818.4</v>
      </c>
    </row>
    <row r="3193">
      <c r="A3193" s="3">
        <f>IFERROR(__xludf.DUMMYFUNCTION("""COMPUTED_VALUE"""),43660.99861111111)</f>
        <v>43660.99861</v>
      </c>
      <c r="B3193" s="1">
        <f>IFERROR(__xludf.DUMMYFUNCTION("""COMPUTED_VALUE"""),9827.4)</f>
        <v>9827.4</v>
      </c>
    </row>
    <row r="3194">
      <c r="A3194" s="3">
        <f>IFERROR(__xludf.DUMMYFUNCTION("""COMPUTED_VALUE"""),43661.99861111111)</f>
        <v>43661.99861</v>
      </c>
      <c r="B3194" s="1">
        <f>IFERROR(__xludf.DUMMYFUNCTION("""COMPUTED_VALUE"""),9792.6)</f>
        <v>9792.6</v>
      </c>
    </row>
    <row r="3195">
      <c r="A3195" s="3">
        <f>IFERROR(__xludf.DUMMYFUNCTION("""COMPUTED_VALUE"""),43662.99861111111)</f>
        <v>43662.99861</v>
      </c>
      <c r="B3195" s="1">
        <f>IFERROR(__xludf.DUMMYFUNCTION("""COMPUTED_VALUE"""),9787.0)</f>
        <v>9787</v>
      </c>
    </row>
    <row r="3196">
      <c r="A3196" s="3">
        <f>IFERROR(__xludf.DUMMYFUNCTION("""COMPUTED_VALUE"""),43663.99861111111)</f>
        <v>43663.99861</v>
      </c>
      <c r="B3196" s="1">
        <f>IFERROR(__xludf.DUMMYFUNCTION("""COMPUTED_VALUE"""),9794.65)</f>
        <v>9794.65</v>
      </c>
    </row>
    <row r="3197">
      <c r="A3197" s="3">
        <f>IFERROR(__xludf.DUMMYFUNCTION("""COMPUTED_VALUE"""),43664.99861111111)</f>
        <v>43664.99861</v>
      </c>
      <c r="B3197" s="1">
        <f>IFERROR(__xludf.DUMMYFUNCTION("""COMPUTED_VALUE"""),9834.35)</f>
        <v>9834.35</v>
      </c>
    </row>
    <row r="3198">
      <c r="A3198" s="3">
        <f>IFERROR(__xludf.DUMMYFUNCTION("""COMPUTED_VALUE"""),43665.99861111111)</f>
        <v>43665.99861</v>
      </c>
      <c r="B3198" s="1">
        <f>IFERROR(__xludf.DUMMYFUNCTION("""COMPUTED_VALUE"""),9799.45)</f>
        <v>9799.45</v>
      </c>
    </row>
    <row r="3199">
      <c r="A3199" s="3">
        <f>IFERROR(__xludf.DUMMYFUNCTION("""COMPUTED_VALUE"""),43666.99861111111)</f>
        <v>43666.99861</v>
      </c>
      <c r="B3199" s="1">
        <f>IFERROR(__xludf.DUMMYFUNCTION("""COMPUTED_VALUE"""),9817.4)</f>
        <v>9817.4</v>
      </c>
    </row>
    <row r="3200">
      <c r="A3200" s="3">
        <f>IFERROR(__xludf.DUMMYFUNCTION("""COMPUTED_VALUE"""),43667.99861111111)</f>
        <v>43667.99861</v>
      </c>
      <c r="B3200" s="1">
        <f>IFERROR(__xludf.DUMMYFUNCTION("""COMPUTED_VALUE"""),9832.2)</f>
        <v>9832.2</v>
      </c>
    </row>
    <row r="3201">
      <c r="A3201" s="3">
        <f>IFERROR(__xludf.DUMMYFUNCTION("""COMPUTED_VALUE"""),43668.99861111111)</f>
        <v>43668.99861</v>
      </c>
      <c r="B3201" s="1">
        <f>IFERROR(__xludf.DUMMYFUNCTION("""COMPUTED_VALUE"""),9800.55)</f>
        <v>9800.55</v>
      </c>
    </row>
    <row r="3202">
      <c r="A3202" s="3">
        <f>IFERROR(__xludf.DUMMYFUNCTION("""COMPUTED_VALUE"""),43669.99861111111)</f>
        <v>43669.99861</v>
      </c>
      <c r="B3202" s="1">
        <f>IFERROR(__xludf.DUMMYFUNCTION("""COMPUTED_VALUE"""),9810.1)</f>
        <v>9810.1</v>
      </c>
    </row>
    <row r="3203">
      <c r="A3203" s="3">
        <f>IFERROR(__xludf.DUMMYFUNCTION("""COMPUTED_VALUE"""),43670.99861111111)</f>
        <v>43670.99861</v>
      </c>
      <c r="B3203" s="1">
        <f>IFERROR(__xludf.DUMMYFUNCTION("""COMPUTED_VALUE"""),9767.65)</f>
        <v>9767.65</v>
      </c>
    </row>
    <row r="3204">
      <c r="A3204" s="3">
        <f>IFERROR(__xludf.DUMMYFUNCTION("""COMPUTED_VALUE"""),43671.99861111111)</f>
        <v>43671.99861</v>
      </c>
      <c r="B3204" s="1">
        <f>IFERROR(__xludf.DUMMYFUNCTION("""COMPUTED_VALUE"""),9716.7)</f>
        <v>9716.7</v>
      </c>
    </row>
    <row r="3205">
      <c r="A3205" s="3">
        <f>IFERROR(__xludf.DUMMYFUNCTION("""COMPUTED_VALUE"""),43672.99861111111)</f>
        <v>43672.99861</v>
      </c>
      <c r="B3205" s="1">
        <f>IFERROR(__xludf.DUMMYFUNCTION("""COMPUTED_VALUE"""),9655.2)</f>
        <v>9655.2</v>
      </c>
    </row>
    <row r="3206">
      <c r="A3206" s="3">
        <f>IFERROR(__xludf.DUMMYFUNCTION("""COMPUTED_VALUE"""),43673.99861111111)</f>
        <v>43673.99861</v>
      </c>
      <c r="B3206" s="1">
        <f>IFERROR(__xludf.DUMMYFUNCTION("""COMPUTED_VALUE"""),9655.2)</f>
        <v>9655.2</v>
      </c>
    </row>
    <row r="3207">
      <c r="A3207" s="3">
        <f>IFERROR(__xludf.DUMMYFUNCTION("""COMPUTED_VALUE"""),43674.99861111111)</f>
        <v>43674.99861</v>
      </c>
      <c r="B3207" s="1">
        <f>IFERROR(__xludf.DUMMYFUNCTION("""COMPUTED_VALUE"""),9661.1)</f>
        <v>9661.1</v>
      </c>
    </row>
    <row r="3208">
      <c r="A3208" s="3">
        <f>IFERROR(__xludf.DUMMYFUNCTION("""COMPUTED_VALUE"""),43675.99861111111)</f>
        <v>43675.99861</v>
      </c>
      <c r="B3208" s="1">
        <f>IFERROR(__xludf.DUMMYFUNCTION("""COMPUTED_VALUE"""),9983.05)</f>
        <v>9983.05</v>
      </c>
    </row>
    <row r="3209">
      <c r="A3209" s="3">
        <f>IFERROR(__xludf.DUMMYFUNCTION("""COMPUTED_VALUE"""),43676.99861111111)</f>
        <v>43676.99861</v>
      </c>
      <c r="B3209" s="1">
        <f>IFERROR(__xludf.DUMMYFUNCTION("""COMPUTED_VALUE"""),9637.7)</f>
        <v>9637.7</v>
      </c>
    </row>
    <row r="3210">
      <c r="A3210" s="3">
        <f>IFERROR(__xludf.DUMMYFUNCTION("""COMPUTED_VALUE"""),43677.99861111111)</f>
        <v>43677.99861</v>
      </c>
      <c r="B3210" s="1">
        <f>IFERROR(__xludf.DUMMYFUNCTION("""COMPUTED_VALUE"""),9651.2)</f>
        <v>9651.2</v>
      </c>
    </row>
    <row r="3211">
      <c r="A3211" s="3">
        <f>IFERROR(__xludf.DUMMYFUNCTION("""COMPUTED_VALUE"""),43678.99861111111)</f>
        <v>43678.99861</v>
      </c>
      <c r="B3211" s="1">
        <f>IFERROR(__xludf.DUMMYFUNCTION("""COMPUTED_VALUE"""),9609.9)</f>
        <v>9609.9</v>
      </c>
    </row>
    <row r="3212">
      <c r="A3212" s="3">
        <f>IFERROR(__xludf.DUMMYFUNCTION("""COMPUTED_VALUE"""),43679.99861111111)</f>
        <v>43679.99861</v>
      </c>
      <c r="B3212" s="1">
        <f>IFERROR(__xludf.DUMMYFUNCTION("""COMPUTED_VALUE"""),9625.65)</f>
        <v>9625.65</v>
      </c>
    </row>
    <row r="3213">
      <c r="A3213" s="3">
        <f>IFERROR(__xludf.DUMMYFUNCTION("""COMPUTED_VALUE"""),43680.99861111111)</f>
        <v>43680.99861</v>
      </c>
      <c r="B3213" s="1">
        <f>IFERROR(__xludf.DUMMYFUNCTION("""COMPUTED_VALUE"""),9625.65)</f>
        <v>9625.65</v>
      </c>
    </row>
    <row r="3214">
      <c r="A3214" s="3">
        <f>IFERROR(__xludf.DUMMYFUNCTION("""COMPUTED_VALUE"""),43681.99861111111)</f>
        <v>43681.99861</v>
      </c>
      <c r="B3214" s="1">
        <f>IFERROR(__xludf.DUMMYFUNCTION("""COMPUTED_VALUE"""),9630.55)</f>
        <v>9630.55</v>
      </c>
    </row>
    <row r="3215">
      <c r="A3215" s="3">
        <f>IFERROR(__xludf.DUMMYFUNCTION("""COMPUTED_VALUE"""),43682.99861111111)</f>
        <v>43682.99861</v>
      </c>
      <c r="B3215" s="1">
        <f>IFERROR(__xludf.DUMMYFUNCTION("""COMPUTED_VALUE"""),9598.9)</f>
        <v>9598.9</v>
      </c>
    </row>
    <row r="3216">
      <c r="A3216" s="3">
        <f>IFERROR(__xludf.DUMMYFUNCTION("""COMPUTED_VALUE"""),43683.99861111111)</f>
        <v>43683.99861</v>
      </c>
      <c r="B3216" s="1">
        <f>IFERROR(__xludf.DUMMYFUNCTION("""COMPUTED_VALUE"""),9615.6)</f>
        <v>9615.6</v>
      </c>
    </row>
    <row r="3217">
      <c r="A3217" s="3">
        <f>IFERROR(__xludf.DUMMYFUNCTION("""COMPUTED_VALUE"""),43684.99861111111)</f>
        <v>43684.99861</v>
      </c>
      <c r="B3217" s="1">
        <f>IFERROR(__xludf.DUMMYFUNCTION("""COMPUTED_VALUE"""),9637.5)</f>
        <v>9637.5</v>
      </c>
    </row>
    <row r="3218">
      <c r="A3218" s="3">
        <f>IFERROR(__xludf.DUMMYFUNCTION("""COMPUTED_VALUE"""),43685.99861111111)</f>
        <v>43685.99861</v>
      </c>
      <c r="B3218" s="1">
        <f>IFERROR(__xludf.DUMMYFUNCTION("""COMPUTED_VALUE"""),9695.45)</f>
        <v>9695.45</v>
      </c>
    </row>
    <row r="3219">
      <c r="A3219" s="3">
        <f>IFERROR(__xludf.DUMMYFUNCTION("""COMPUTED_VALUE"""),43686.99861111111)</f>
        <v>43686.99861</v>
      </c>
      <c r="B3219" s="1">
        <f>IFERROR(__xludf.DUMMYFUNCTION("""COMPUTED_VALUE"""),9541.3)</f>
        <v>9541.3</v>
      </c>
    </row>
    <row r="3220">
      <c r="A3220" s="3">
        <f>IFERROR(__xludf.DUMMYFUNCTION("""COMPUTED_VALUE"""),43687.99861111111)</f>
        <v>43687.99861</v>
      </c>
      <c r="B3220" s="1">
        <f>IFERROR(__xludf.DUMMYFUNCTION("""COMPUTED_VALUE"""),9541.3)</f>
        <v>9541.3</v>
      </c>
    </row>
    <row r="3221">
      <c r="A3221" s="3">
        <f>IFERROR(__xludf.DUMMYFUNCTION("""COMPUTED_VALUE"""),43688.99861111111)</f>
        <v>43688.99861</v>
      </c>
      <c r="B3221" s="1">
        <f>IFERROR(__xludf.DUMMYFUNCTION("""COMPUTED_VALUE"""),9615.1)</f>
        <v>9615.1</v>
      </c>
    </row>
    <row r="3222">
      <c r="A3222" s="3">
        <f>IFERROR(__xludf.DUMMYFUNCTION("""COMPUTED_VALUE"""),43689.99861111111)</f>
        <v>43689.99861</v>
      </c>
      <c r="B3222" s="1">
        <f>IFERROR(__xludf.DUMMYFUNCTION("""COMPUTED_VALUE"""),9607.8)</f>
        <v>9607.8</v>
      </c>
    </row>
    <row r="3223">
      <c r="A3223" s="3">
        <f>IFERROR(__xludf.DUMMYFUNCTION("""COMPUTED_VALUE"""),43690.99861111111)</f>
        <v>43690.99861</v>
      </c>
      <c r="B3223" s="1">
        <f>IFERROR(__xludf.DUMMYFUNCTION("""COMPUTED_VALUE"""),9765.95)</f>
        <v>9765.95</v>
      </c>
    </row>
    <row r="3224">
      <c r="A3224" s="3">
        <f>IFERROR(__xludf.DUMMYFUNCTION("""COMPUTED_VALUE"""),43691.99861111111)</f>
        <v>43691.99861</v>
      </c>
      <c r="B3224" s="1">
        <f>IFERROR(__xludf.DUMMYFUNCTION("""COMPUTED_VALUE"""),9652.2)</f>
        <v>9652.2</v>
      </c>
    </row>
    <row r="3225">
      <c r="A3225" s="3">
        <f>IFERROR(__xludf.DUMMYFUNCTION("""COMPUTED_VALUE"""),43692.99861111111)</f>
        <v>43692.99861</v>
      </c>
      <c r="B3225" s="1">
        <f>IFERROR(__xludf.DUMMYFUNCTION("""COMPUTED_VALUE"""),9700.1)</f>
        <v>9700.1</v>
      </c>
    </row>
    <row r="3226">
      <c r="A3226" s="3">
        <f>IFERROR(__xludf.DUMMYFUNCTION("""COMPUTED_VALUE"""),43693.99861111111)</f>
        <v>43693.99861</v>
      </c>
      <c r="B3226" s="1">
        <f>IFERROR(__xludf.DUMMYFUNCTION("""COMPUTED_VALUE"""),9636.65)</f>
        <v>9636.65</v>
      </c>
    </row>
    <row r="3227">
      <c r="A3227" s="3">
        <f>IFERROR(__xludf.DUMMYFUNCTION("""COMPUTED_VALUE"""),43694.99861111111)</f>
        <v>43694.99861</v>
      </c>
      <c r="B3227" s="1">
        <f>IFERROR(__xludf.DUMMYFUNCTION("""COMPUTED_VALUE"""),9636.65)</f>
        <v>9636.65</v>
      </c>
    </row>
    <row r="3228">
      <c r="A3228" s="3">
        <f>IFERROR(__xludf.DUMMYFUNCTION("""COMPUTED_VALUE"""),43695.99861111111)</f>
        <v>43695.99861</v>
      </c>
      <c r="B3228" s="1">
        <f>IFERROR(__xludf.DUMMYFUNCTION("""COMPUTED_VALUE"""),9647.85)</f>
        <v>9647.85</v>
      </c>
    </row>
    <row r="3229">
      <c r="A3229" s="3">
        <f>IFERROR(__xludf.DUMMYFUNCTION("""COMPUTED_VALUE"""),43696.99861111111)</f>
        <v>43696.99861</v>
      </c>
      <c r="B3229" s="1">
        <f>IFERROR(__xludf.DUMMYFUNCTION("""COMPUTED_VALUE"""),9651.3)</f>
        <v>9651.3</v>
      </c>
    </row>
    <row r="3230">
      <c r="A3230" s="3">
        <f>IFERROR(__xludf.DUMMYFUNCTION("""COMPUTED_VALUE"""),43697.99861111111)</f>
        <v>43697.99861</v>
      </c>
      <c r="B3230" s="1">
        <f>IFERROR(__xludf.DUMMYFUNCTION("""COMPUTED_VALUE"""),9647.5)</f>
        <v>9647.5</v>
      </c>
    </row>
    <row r="3231">
      <c r="A3231" s="3">
        <f>IFERROR(__xludf.DUMMYFUNCTION("""COMPUTED_VALUE"""),43698.99861111111)</f>
        <v>43698.99861</v>
      </c>
      <c r="B3231" s="1">
        <f>IFERROR(__xludf.DUMMYFUNCTION("""COMPUTED_VALUE"""),9671.1)</f>
        <v>9671.1</v>
      </c>
    </row>
    <row r="3232">
      <c r="A3232" s="3">
        <f>IFERROR(__xludf.DUMMYFUNCTION("""COMPUTED_VALUE"""),43699.99861111111)</f>
        <v>43699.99861</v>
      </c>
      <c r="B3232" s="1">
        <f>IFERROR(__xludf.DUMMYFUNCTION("""COMPUTED_VALUE"""),9603.1)</f>
        <v>9603.1</v>
      </c>
    </row>
    <row r="3233">
      <c r="A3233" s="3">
        <f>IFERROR(__xludf.DUMMYFUNCTION("""COMPUTED_VALUE"""),43700.99861111111)</f>
        <v>43700.99861</v>
      </c>
      <c r="B3233" s="1">
        <f>IFERROR(__xludf.DUMMYFUNCTION("""COMPUTED_VALUE"""),9439.3)</f>
        <v>9439.3</v>
      </c>
    </row>
    <row r="3234">
      <c r="A3234" s="3">
        <f>IFERROR(__xludf.DUMMYFUNCTION("""COMPUTED_VALUE"""),43701.99861111111)</f>
        <v>43701.99861</v>
      </c>
      <c r="B3234" s="1">
        <f>IFERROR(__xludf.DUMMYFUNCTION("""COMPUTED_VALUE"""),9440.7)</f>
        <v>9440.7</v>
      </c>
    </row>
    <row r="3235">
      <c r="A3235" s="3">
        <f>IFERROR(__xludf.DUMMYFUNCTION("""COMPUTED_VALUE"""),43702.99861111111)</f>
        <v>43702.99861</v>
      </c>
      <c r="B3235" s="1">
        <f>IFERROR(__xludf.DUMMYFUNCTION("""COMPUTED_VALUE"""),9460.9)</f>
        <v>9460.9</v>
      </c>
    </row>
    <row r="3236">
      <c r="A3236" s="3">
        <f>IFERROR(__xludf.DUMMYFUNCTION("""COMPUTED_VALUE"""),43703.99861111111)</f>
        <v>43703.99861</v>
      </c>
      <c r="B3236" s="1">
        <f>IFERROR(__xludf.DUMMYFUNCTION("""COMPUTED_VALUE"""),9638.65)</f>
        <v>9638.65</v>
      </c>
    </row>
    <row r="3237">
      <c r="A3237" s="3">
        <f>IFERROR(__xludf.DUMMYFUNCTION("""COMPUTED_VALUE"""),43704.99861111111)</f>
        <v>43704.99861</v>
      </c>
      <c r="B3237" s="1">
        <f>IFERROR(__xludf.DUMMYFUNCTION("""COMPUTED_VALUE"""),9629.15)</f>
        <v>9629.15</v>
      </c>
    </row>
    <row r="3238">
      <c r="A3238" s="3">
        <f>IFERROR(__xludf.DUMMYFUNCTION("""COMPUTED_VALUE"""),43705.99861111111)</f>
        <v>43705.99861</v>
      </c>
      <c r="B3238" s="1">
        <f>IFERROR(__xludf.DUMMYFUNCTION("""COMPUTED_VALUE"""),9599.85)</f>
        <v>9599.85</v>
      </c>
    </row>
    <row r="3239">
      <c r="A3239" s="3">
        <f>IFERROR(__xludf.DUMMYFUNCTION("""COMPUTED_VALUE"""),43706.99861111111)</f>
        <v>43706.99861</v>
      </c>
      <c r="B3239" s="1">
        <f>IFERROR(__xludf.DUMMYFUNCTION("""COMPUTED_VALUE"""),9590.95)</f>
        <v>9590.95</v>
      </c>
    </row>
    <row r="3240">
      <c r="A3240" s="3">
        <f>IFERROR(__xludf.DUMMYFUNCTION("""COMPUTED_VALUE"""),43707.99861111111)</f>
        <v>43707.99861</v>
      </c>
      <c r="B3240" s="1">
        <f>IFERROR(__xludf.DUMMYFUNCTION("""COMPUTED_VALUE"""),9589.4)</f>
        <v>9589.4</v>
      </c>
    </row>
    <row r="3241">
      <c r="A3241" s="3">
        <f>IFERROR(__xludf.DUMMYFUNCTION("""COMPUTED_VALUE"""),43708.99861111111)</f>
        <v>43708.99861</v>
      </c>
      <c r="B3241" s="1">
        <f>IFERROR(__xludf.DUMMYFUNCTION("""COMPUTED_VALUE"""),9589.4)</f>
        <v>9589.4</v>
      </c>
    </row>
    <row r="3242">
      <c r="A3242" s="3">
        <f>IFERROR(__xludf.DUMMYFUNCTION("""COMPUTED_VALUE"""),43709.99861111111)</f>
        <v>43709.99861</v>
      </c>
      <c r="B3242" s="1">
        <f>IFERROR(__xludf.DUMMYFUNCTION("""COMPUTED_VALUE"""),9589.65)</f>
        <v>9589.65</v>
      </c>
    </row>
    <row r="3243">
      <c r="A3243" s="3">
        <f>IFERROR(__xludf.DUMMYFUNCTION("""COMPUTED_VALUE"""),43710.99861111111)</f>
        <v>43710.99861</v>
      </c>
      <c r="B3243" s="1">
        <f>IFERROR(__xludf.DUMMYFUNCTION("""COMPUTED_VALUE"""),9530.65)</f>
        <v>9530.65</v>
      </c>
    </row>
    <row r="3244">
      <c r="A3244" s="3">
        <f>IFERROR(__xludf.DUMMYFUNCTION("""COMPUTED_VALUE"""),43711.99861111111)</f>
        <v>43711.99861</v>
      </c>
      <c r="B3244" s="1">
        <f>IFERROR(__xludf.DUMMYFUNCTION("""COMPUTED_VALUE"""),9616.4)</f>
        <v>9616.4</v>
      </c>
    </row>
    <row r="3245">
      <c r="A3245" s="3">
        <f>IFERROR(__xludf.DUMMYFUNCTION("""COMPUTED_VALUE"""),43712.99861111111)</f>
        <v>43712.99861</v>
      </c>
      <c r="B3245" s="1">
        <f>IFERROR(__xludf.DUMMYFUNCTION("""COMPUTED_VALUE"""),9618.15)</f>
        <v>9618.15</v>
      </c>
    </row>
    <row r="3246">
      <c r="A3246" s="3">
        <f>IFERROR(__xludf.DUMMYFUNCTION("""COMPUTED_VALUE"""),43713.99861111111)</f>
        <v>43713.99861</v>
      </c>
      <c r="B3246" s="1">
        <f>IFERROR(__xludf.DUMMYFUNCTION("""COMPUTED_VALUE"""),9641.5)</f>
        <v>9641.5</v>
      </c>
    </row>
    <row r="3247">
      <c r="A3247" s="3">
        <f>IFERROR(__xludf.DUMMYFUNCTION("""COMPUTED_VALUE"""),43714.99861111111)</f>
        <v>43714.99861</v>
      </c>
      <c r="B3247" s="1">
        <f>IFERROR(__xludf.DUMMYFUNCTION("""COMPUTED_VALUE"""),9566.35)</f>
        <v>9566.35</v>
      </c>
    </row>
    <row r="3248">
      <c r="A3248" s="3">
        <f>IFERROR(__xludf.DUMMYFUNCTION("""COMPUTED_VALUE"""),43715.99861111111)</f>
        <v>43715.99861</v>
      </c>
      <c r="B3248" s="1">
        <f>IFERROR(__xludf.DUMMYFUNCTION("""COMPUTED_VALUE"""),9565.2)</f>
        <v>9565.2</v>
      </c>
    </row>
    <row r="3249">
      <c r="A3249" s="3">
        <f>IFERROR(__xludf.DUMMYFUNCTION("""COMPUTED_VALUE"""),43716.99861111111)</f>
        <v>43716.99861</v>
      </c>
      <c r="B3249" s="1">
        <f>IFERROR(__xludf.DUMMYFUNCTION("""COMPUTED_VALUE"""),9658.95)</f>
        <v>9658.95</v>
      </c>
    </row>
    <row r="3250">
      <c r="A3250" s="3">
        <f>IFERROR(__xludf.DUMMYFUNCTION("""COMPUTED_VALUE"""),43717.99861111111)</f>
        <v>43717.99861</v>
      </c>
      <c r="B3250" s="1">
        <f>IFERROR(__xludf.DUMMYFUNCTION("""COMPUTED_VALUE"""),9626.0)</f>
        <v>9626</v>
      </c>
    </row>
    <row r="3251">
      <c r="A3251" s="3">
        <f>IFERROR(__xludf.DUMMYFUNCTION("""COMPUTED_VALUE"""),43718.99861111111)</f>
        <v>43718.99861</v>
      </c>
      <c r="B3251" s="1">
        <f>IFERROR(__xludf.DUMMYFUNCTION("""COMPUTED_VALUE"""),9631.7)</f>
        <v>9631.7</v>
      </c>
    </row>
    <row r="3252">
      <c r="A3252" s="3">
        <f>IFERROR(__xludf.DUMMYFUNCTION("""COMPUTED_VALUE"""),43719.99861111111)</f>
        <v>43719.99861</v>
      </c>
      <c r="B3252" s="1">
        <f>IFERROR(__xludf.DUMMYFUNCTION("""COMPUTED_VALUE"""),9648.65)</f>
        <v>9648.65</v>
      </c>
    </row>
    <row r="3253">
      <c r="A3253" s="3">
        <f>IFERROR(__xludf.DUMMYFUNCTION("""COMPUTED_VALUE"""),43720.99861111111)</f>
        <v>43720.99861</v>
      </c>
      <c r="B3253" s="1">
        <f>IFERROR(__xludf.DUMMYFUNCTION("""COMPUTED_VALUE"""),9573.9)</f>
        <v>9573.9</v>
      </c>
    </row>
    <row r="3254">
      <c r="A3254" s="3">
        <f>IFERROR(__xludf.DUMMYFUNCTION("""COMPUTED_VALUE"""),43721.99861111111)</f>
        <v>43721.99861</v>
      </c>
      <c r="B3254" s="1">
        <f>IFERROR(__xludf.DUMMYFUNCTION("""COMPUTED_VALUE"""),9530.0)</f>
        <v>9530</v>
      </c>
    </row>
    <row r="3255">
      <c r="A3255" s="3">
        <f>IFERROR(__xludf.DUMMYFUNCTION("""COMPUTED_VALUE"""),43722.99861111111)</f>
        <v>43722.99861</v>
      </c>
      <c r="B3255" s="1">
        <f>IFERROR(__xludf.DUMMYFUNCTION("""COMPUTED_VALUE"""),9530.0)</f>
        <v>9530</v>
      </c>
    </row>
    <row r="3256">
      <c r="A3256" s="3">
        <f>IFERROR(__xludf.DUMMYFUNCTION("""COMPUTED_VALUE"""),43723.99861111111)</f>
        <v>43723.99861</v>
      </c>
      <c r="B3256" s="1">
        <f>IFERROR(__xludf.DUMMYFUNCTION("""COMPUTED_VALUE"""),9595.9)</f>
        <v>9595.9</v>
      </c>
    </row>
    <row r="3257">
      <c r="A3257" s="3">
        <f>IFERROR(__xludf.DUMMYFUNCTION("""COMPUTED_VALUE"""),43724.99861111111)</f>
        <v>43724.99861</v>
      </c>
      <c r="B3257" s="1">
        <f>IFERROR(__xludf.DUMMYFUNCTION("""COMPUTED_VALUE"""),9637.6)</f>
        <v>9637.6</v>
      </c>
    </row>
    <row r="3258">
      <c r="A3258" s="3">
        <f>IFERROR(__xludf.DUMMYFUNCTION("""COMPUTED_VALUE"""),43725.99861111111)</f>
        <v>43725.99861</v>
      </c>
      <c r="B3258" s="1">
        <f>IFERROR(__xludf.DUMMYFUNCTION("""COMPUTED_VALUE"""),9579.5)</f>
        <v>9579.5</v>
      </c>
    </row>
    <row r="3259">
      <c r="A3259" s="3">
        <f>IFERROR(__xludf.DUMMYFUNCTION("""COMPUTED_VALUE"""),43726.99861111111)</f>
        <v>43726.99861</v>
      </c>
      <c r="B3259" s="1">
        <f>IFERROR(__xludf.DUMMYFUNCTION("""COMPUTED_VALUE"""),9655.3)</f>
        <v>9655.3</v>
      </c>
    </row>
    <row r="3260">
      <c r="A3260" s="3">
        <f>IFERROR(__xludf.DUMMYFUNCTION("""COMPUTED_VALUE"""),43727.99861111111)</f>
        <v>43727.99861</v>
      </c>
      <c r="B3260" s="1">
        <f>IFERROR(__xludf.DUMMYFUNCTION("""COMPUTED_VALUE"""),9594.9)</f>
        <v>9594.9</v>
      </c>
    </row>
    <row r="3261">
      <c r="A3261" s="3">
        <f>IFERROR(__xludf.DUMMYFUNCTION("""COMPUTED_VALUE"""),43728.99861111111)</f>
        <v>43728.99861</v>
      </c>
      <c r="B3261" s="1">
        <f>IFERROR(__xludf.DUMMYFUNCTION("""COMPUTED_VALUE"""),9507.75)</f>
        <v>9507.75</v>
      </c>
    </row>
    <row r="3262">
      <c r="A3262" s="3">
        <f>IFERROR(__xludf.DUMMYFUNCTION("""COMPUTED_VALUE"""),43729.99861111111)</f>
        <v>43729.99861</v>
      </c>
      <c r="B3262" s="1">
        <f>IFERROR(__xludf.DUMMYFUNCTION("""COMPUTED_VALUE"""),9507.75)</f>
        <v>9507.75</v>
      </c>
    </row>
    <row r="3263">
      <c r="A3263" s="3">
        <f>IFERROR(__xludf.DUMMYFUNCTION("""COMPUTED_VALUE"""),43730.99861111111)</f>
        <v>43730.99861</v>
      </c>
      <c r="B3263" s="1">
        <f>IFERROR(__xludf.DUMMYFUNCTION("""COMPUTED_VALUE"""),9505.15)</f>
        <v>9505.15</v>
      </c>
    </row>
    <row r="3264">
      <c r="A3264" s="3">
        <f>IFERROR(__xludf.DUMMYFUNCTION("""COMPUTED_VALUE"""),43731.99861111111)</f>
        <v>43731.99861</v>
      </c>
      <c r="B3264" s="1">
        <f>IFERROR(__xludf.DUMMYFUNCTION("""COMPUTED_VALUE"""),9535.1)</f>
        <v>9535.1</v>
      </c>
    </row>
    <row r="3265">
      <c r="A3265" s="3">
        <f>IFERROR(__xludf.DUMMYFUNCTION("""COMPUTED_VALUE"""),43732.99861111111)</f>
        <v>43732.99861</v>
      </c>
      <c r="B3265" s="1">
        <f>IFERROR(__xludf.DUMMYFUNCTION("""COMPUTED_VALUE"""),9598.1)</f>
        <v>9598.1</v>
      </c>
    </row>
    <row r="3266">
      <c r="A3266" s="3">
        <f>IFERROR(__xludf.DUMMYFUNCTION("""COMPUTED_VALUE"""),43733.99861111111)</f>
        <v>43733.99861</v>
      </c>
      <c r="B3266" s="1">
        <f>IFERROR(__xludf.DUMMYFUNCTION("""COMPUTED_VALUE"""),9550.4)</f>
        <v>9550.4</v>
      </c>
    </row>
    <row r="3267">
      <c r="A3267" s="3">
        <f>IFERROR(__xludf.DUMMYFUNCTION("""COMPUTED_VALUE"""),43734.99861111111)</f>
        <v>43734.99861</v>
      </c>
      <c r="B3267" s="1">
        <f>IFERROR(__xludf.DUMMYFUNCTION("""COMPUTED_VALUE"""),9582.25)</f>
        <v>9582.25</v>
      </c>
    </row>
    <row r="3268">
      <c r="A3268" s="3">
        <f>IFERROR(__xludf.DUMMYFUNCTION("""COMPUTED_VALUE"""),43735.99861111111)</f>
        <v>43735.99861</v>
      </c>
      <c r="B3268" s="1">
        <f>IFERROR(__xludf.DUMMYFUNCTION("""COMPUTED_VALUE"""),9580.5)</f>
        <v>9580.5</v>
      </c>
    </row>
    <row r="3269">
      <c r="A3269" s="3">
        <f>IFERROR(__xludf.DUMMYFUNCTION("""COMPUTED_VALUE"""),43736.99861111111)</f>
        <v>43736.99861</v>
      </c>
      <c r="B3269" s="1">
        <f>IFERROR(__xludf.DUMMYFUNCTION("""COMPUTED_VALUE"""),9577.95)</f>
        <v>9577.95</v>
      </c>
    </row>
    <row r="3270">
      <c r="A3270" s="3">
        <f>IFERROR(__xludf.DUMMYFUNCTION("""COMPUTED_VALUE"""),43737.99861111111)</f>
        <v>43737.99861</v>
      </c>
      <c r="B3270" s="1">
        <f>IFERROR(__xludf.DUMMYFUNCTION("""COMPUTED_VALUE"""),9573.8)</f>
        <v>9573.8</v>
      </c>
    </row>
    <row r="3271">
      <c r="A3271" s="3">
        <f>IFERROR(__xludf.DUMMYFUNCTION("""COMPUTED_VALUE"""),43738.99861111111)</f>
        <v>43738.99861</v>
      </c>
      <c r="B3271" s="1">
        <f>IFERROR(__xludf.DUMMYFUNCTION("""COMPUTED_VALUE"""),9602.3)</f>
        <v>9602.3</v>
      </c>
    </row>
    <row r="3272">
      <c r="A3272" s="3">
        <f>IFERROR(__xludf.DUMMYFUNCTION("""COMPUTED_VALUE"""),43739.99861111111)</f>
        <v>43739.99861</v>
      </c>
      <c r="B3272" s="1">
        <f>IFERROR(__xludf.DUMMYFUNCTION("""COMPUTED_VALUE"""),9504.3)</f>
        <v>9504.3</v>
      </c>
    </row>
    <row r="3273">
      <c r="A3273" s="3">
        <f>IFERROR(__xludf.DUMMYFUNCTION("""COMPUTED_VALUE"""),43740.99861111111)</f>
        <v>43740.99861</v>
      </c>
      <c r="B3273" s="1">
        <f>IFERROR(__xludf.DUMMYFUNCTION("""COMPUTED_VALUE"""),9488.8)</f>
        <v>9488.8</v>
      </c>
    </row>
    <row r="3274">
      <c r="A3274" s="3">
        <f>IFERROR(__xludf.DUMMYFUNCTION("""COMPUTED_VALUE"""),43741.99861111111)</f>
        <v>43741.99861</v>
      </c>
      <c r="B3274" s="1">
        <f>IFERROR(__xludf.DUMMYFUNCTION("""COMPUTED_VALUE"""),9567.3)</f>
        <v>9567.3</v>
      </c>
    </row>
    <row r="3275">
      <c r="A3275" s="3">
        <f>IFERROR(__xludf.DUMMYFUNCTION("""COMPUTED_VALUE"""),43742.99861111111)</f>
        <v>43742.99861</v>
      </c>
      <c r="B3275" s="1">
        <f>IFERROR(__xludf.DUMMYFUNCTION("""COMPUTED_VALUE"""),9561.55)</f>
        <v>9561.55</v>
      </c>
    </row>
    <row r="3276">
      <c r="A3276" s="3">
        <f>IFERROR(__xludf.DUMMYFUNCTION("""COMPUTED_VALUE"""),43743.99861111111)</f>
        <v>43743.99861</v>
      </c>
      <c r="B3276" s="1">
        <f>IFERROR(__xludf.DUMMYFUNCTION("""COMPUTED_VALUE"""),9578.75)</f>
        <v>9578.75</v>
      </c>
    </row>
    <row r="3277">
      <c r="A3277" s="3">
        <f>IFERROR(__xludf.DUMMYFUNCTION("""COMPUTED_VALUE"""),43744.99861111111)</f>
        <v>43744.99861</v>
      </c>
      <c r="B3277" s="1">
        <f>IFERROR(__xludf.DUMMYFUNCTION("""COMPUTED_VALUE"""),9564.5)</f>
        <v>9564.5</v>
      </c>
    </row>
    <row r="3278">
      <c r="A3278" s="3">
        <f>IFERROR(__xludf.DUMMYFUNCTION("""COMPUTED_VALUE"""),43745.99861111111)</f>
        <v>43745.99861</v>
      </c>
      <c r="B3278" s="1">
        <f>IFERROR(__xludf.DUMMYFUNCTION("""COMPUTED_VALUE"""),9534.05)</f>
        <v>9534.05</v>
      </c>
    </row>
    <row r="3279">
      <c r="A3279" s="3">
        <f>IFERROR(__xludf.DUMMYFUNCTION("""COMPUTED_VALUE"""),43746.99861111111)</f>
        <v>43746.99861</v>
      </c>
      <c r="B3279" s="1">
        <f>IFERROR(__xludf.DUMMYFUNCTION("""COMPUTED_VALUE"""),9536.15)</f>
        <v>9536.15</v>
      </c>
    </row>
    <row r="3280">
      <c r="A3280" s="3">
        <f>IFERROR(__xludf.DUMMYFUNCTION("""COMPUTED_VALUE"""),43747.99861111111)</f>
        <v>43747.99861</v>
      </c>
      <c r="B3280" s="1">
        <f>IFERROR(__xludf.DUMMYFUNCTION("""COMPUTED_VALUE"""),9502.45)</f>
        <v>9502.45</v>
      </c>
    </row>
    <row r="3281">
      <c r="A3281" s="3">
        <f>IFERROR(__xludf.DUMMYFUNCTION("""COMPUTED_VALUE"""),43748.99861111111)</f>
        <v>43748.99861</v>
      </c>
      <c r="B3281" s="1">
        <f>IFERROR(__xludf.DUMMYFUNCTION("""COMPUTED_VALUE"""),9575.15)</f>
        <v>9575.15</v>
      </c>
    </row>
    <row r="3282">
      <c r="A3282" s="3">
        <f>IFERROR(__xludf.DUMMYFUNCTION("""COMPUTED_VALUE"""),43749.99861111111)</f>
        <v>43749.99861</v>
      </c>
      <c r="B3282" s="1">
        <f>IFERROR(__xludf.DUMMYFUNCTION("""COMPUTED_VALUE"""),9597.75)</f>
        <v>9597.75</v>
      </c>
    </row>
    <row r="3283">
      <c r="A3283" s="3">
        <f>IFERROR(__xludf.DUMMYFUNCTION("""COMPUTED_VALUE"""),43750.99861111111)</f>
        <v>43750.99861</v>
      </c>
      <c r="B3283" s="1">
        <f>IFERROR(__xludf.DUMMYFUNCTION("""COMPUTED_VALUE"""),9597.926)</f>
        <v>9597.926</v>
      </c>
    </row>
    <row r="3284">
      <c r="A3284" s="3">
        <f>IFERROR(__xludf.DUMMYFUNCTION("""COMPUTED_VALUE"""),43751.99861111111)</f>
        <v>43751.99861</v>
      </c>
      <c r="B3284" s="1">
        <f>IFERROR(__xludf.DUMMYFUNCTION("""COMPUTED_VALUE"""),9607.179)</f>
        <v>9607.179</v>
      </c>
    </row>
    <row r="3285">
      <c r="A3285" s="3">
        <f>IFERROR(__xludf.DUMMYFUNCTION("""COMPUTED_VALUE"""),43752.99861111111)</f>
        <v>43752.99861</v>
      </c>
      <c r="B3285" s="1">
        <f>IFERROR(__xludf.DUMMYFUNCTION("""COMPUTED_VALUE"""),9582.845)</f>
        <v>9582.845</v>
      </c>
    </row>
    <row r="3286">
      <c r="A3286" s="3">
        <f>IFERROR(__xludf.DUMMYFUNCTION("""COMPUTED_VALUE"""),43753.99861111111)</f>
        <v>43753.99861</v>
      </c>
      <c r="B3286" s="1">
        <f>IFERROR(__xludf.DUMMYFUNCTION("""COMPUTED_VALUE"""),9565.132)</f>
        <v>9565.132</v>
      </c>
    </row>
    <row r="3287">
      <c r="A3287" s="3">
        <f>IFERROR(__xludf.DUMMYFUNCTION("""COMPUTED_VALUE"""),43754.99861111111)</f>
        <v>43754.99861</v>
      </c>
      <c r="B3287" s="1">
        <f>IFERROR(__xludf.DUMMYFUNCTION("""COMPUTED_VALUE"""),9534.557)</f>
        <v>9534.557</v>
      </c>
    </row>
    <row r="3288">
      <c r="A3288" s="3">
        <f>IFERROR(__xludf.DUMMYFUNCTION("""COMPUTED_VALUE"""),43755.99861111111)</f>
        <v>43755.99861</v>
      </c>
      <c r="B3288" s="1">
        <f>IFERROR(__xludf.DUMMYFUNCTION("""COMPUTED_VALUE"""),9653.565)</f>
        <v>9653.565</v>
      </c>
    </row>
    <row r="3289">
      <c r="A3289" s="3">
        <f>IFERROR(__xludf.DUMMYFUNCTION("""COMPUTED_VALUE"""),43756.99861111111)</f>
        <v>43756.99861</v>
      </c>
      <c r="B3289" s="1">
        <f>IFERROR(__xludf.DUMMYFUNCTION("""COMPUTED_VALUE"""),9690.843)</f>
        <v>9690.843</v>
      </c>
    </row>
    <row r="3290">
      <c r="A3290" s="3">
        <f>IFERROR(__xludf.DUMMYFUNCTION("""COMPUTED_VALUE"""),43757.99861111111)</f>
        <v>43757.99861</v>
      </c>
      <c r="B3290" s="1">
        <f>IFERROR(__xludf.DUMMYFUNCTION("""COMPUTED_VALUE"""),9690.843)</f>
        <v>9690.843</v>
      </c>
    </row>
    <row r="3291">
      <c r="A3291" s="3">
        <f>IFERROR(__xludf.DUMMYFUNCTION("""COMPUTED_VALUE"""),43758.99861111111)</f>
        <v>43758.99861</v>
      </c>
      <c r="B3291" s="1">
        <f>IFERROR(__xludf.DUMMYFUNCTION("""COMPUTED_VALUE"""),9688.894)</f>
        <v>9688.894</v>
      </c>
    </row>
    <row r="3292">
      <c r="A3292" s="3">
        <f>IFERROR(__xludf.DUMMYFUNCTION("""COMPUTED_VALUE"""),43759.99861111111)</f>
        <v>43759.99861</v>
      </c>
      <c r="B3292" s="1">
        <f>IFERROR(__xludf.DUMMYFUNCTION("""COMPUTED_VALUE"""),9665.883)</f>
        <v>9665.883</v>
      </c>
    </row>
    <row r="3293">
      <c r="A3293" s="3">
        <f>IFERROR(__xludf.DUMMYFUNCTION("""COMPUTED_VALUE"""),43760.99861111111)</f>
        <v>43760.99861</v>
      </c>
      <c r="B3293" s="1">
        <f>IFERROR(__xludf.DUMMYFUNCTION("""COMPUTED_VALUE"""),9672.288)</f>
        <v>9672.288</v>
      </c>
    </row>
    <row r="3294">
      <c r="A3294" s="3">
        <f>IFERROR(__xludf.DUMMYFUNCTION("""COMPUTED_VALUE"""),43761.99861111111)</f>
        <v>43761.99861</v>
      </c>
      <c r="B3294" s="1">
        <f>IFERROR(__xludf.DUMMYFUNCTION("""COMPUTED_VALUE"""),9584.427)</f>
        <v>9584.427</v>
      </c>
    </row>
    <row r="3295">
      <c r="A3295" s="3">
        <f>IFERROR(__xludf.DUMMYFUNCTION("""COMPUTED_VALUE"""),43762.99861111111)</f>
        <v>43762.99861</v>
      </c>
      <c r="B3295" s="1">
        <f>IFERROR(__xludf.DUMMYFUNCTION("""COMPUTED_VALUE"""),9583.584)</f>
        <v>9583.584</v>
      </c>
    </row>
    <row r="3296">
      <c r="A3296" s="3">
        <f>IFERROR(__xludf.DUMMYFUNCTION("""COMPUTED_VALUE"""),43763.99861111111)</f>
        <v>43763.99861</v>
      </c>
      <c r="B3296" s="1">
        <f>IFERROR(__xludf.DUMMYFUNCTION("""COMPUTED_VALUE"""),9572.686)</f>
        <v>9572.686</v>
      </c>
    </row>
    <row r="3297">
      <c r="A3297" s="3">
        <f>IFERROR(__xludf.DUMMYFUNCTION("""COMPUTED_VALUE"""),43764.99861111111)</f>
        <v>43764.99861</v>
      </c>
      <c r="B3297" s="1">
        <f>IFERROR(__xludf.DUMMYFUNCTION("""COMPUTED_VALUE"""),9572.216)</f>
        <v>9572.216</v>
      </c>
    </row>
    <row r="3298">
      <c r="A3298" s="3">
        <f>IFERROR(__xludf.DUMMYFUNCTION("""COMPUTED_VALUE"""),43765.99861111111)</f>
        <v>43765.99861</v>
      </c>
      <c r="B3298" s="1">
        <f>IFERROR(__xludf.DUMMYFUNCTION("""COMPUTED_VALUE"""),9570.329)</f>
        <v>9570.329</v>
      </c>
    </row>
    <row r="3299">
      <c r="A3299" s="3">
        <f>IFERROR(__xludf.DUMMYFUNCTION("""COMPUTED_VALUE"""),43766.99861111111)</f>
        <v>43766.99861</v>
      </c>
      <c r="B3299" s="1">
        <f>IFERROR(__xludf.DUMMYFUNCTION("""COMPUTED_VALUE"""),9591.299)</f>
        <v>9591.299</v>
      </c>
    </row>
    <row r="3300">
      <c r="A3300" s="3">
        <f>IFERROR(__xludf.DUMMYFUNCTION("""COMPUTED_VALUE"""),43767.99861111111)</f>
        <v>43767.99861</v>
      </c>
      <c r="B3300" s="1">
        <f>IFERROR(__xludf.DUMMYFUNCTION("""COMPUTED_VALUE"""),9603.923)</f>
        <v>9603.923</v>
      </c>
    </row>
    <row r="3301">
      <c r="A3301" s="3">
        <f>IFERROR(__xludf.DUMMYFUNCTION("""COMPUTED_VALUE"""),43768.99861111111)</f>
        <v>43768.99861</v>
      </c>
      <c r="B3301" s="1">
        <f>IFERROR(__xludf.DUMMYFUNCTION("""COMPUTED_VALUE"""),9649.925)</f>
        <v>9649.925</v>
      </c>
    </row>
    <row r="3302">
      <c r="A3302" s="3">
        <f>IFERROR(__xludf.DUMMYFUNCTION("""COMPUTED_VALUE"""),43769.99861111111)</f>
        <v>43769.99861</v>
      </c>
      <c r="B3302" s="1">
        <f>IFERROR(__xludf.DUMMYFUNCTION("""COMPUTED_VALUE"""),9666.357)</f>
        <v>9666.357</v>
      </c>
    </row>
    <row r="3303">
      <c r="A3303" s="3">
        <f>IFERROR(__xludf.DUMMYFUNCTION("""COMPUTED_VALUE"""),43770.99861111111)</f>
        <v>43770.99861</v>
      </c>
      <c r="B3303" s="1">
        <f>IFERROR(__xludf.DUMMYFUNCTION("""COMPUTED_VALUE"""),9664.642)</f>
        <v>9664.642</v>
      </c>
    </row>
    <row r="3304">
      <c r="A3304" s="3">
        <f>IFERROR(__xludf.DUMMYFUNCTION("""COMPUTED_VALUE"""),43771.99861111111)</f>
        <v>43771.99861</v>
      </c>
      <c r="B3304" s="1">
        <f>IFERROR(__xludf.DUMMYFUNCTION("""COMPUTED_VALUE"""),9686.278)</f>
        <v>9686.278</v>
      </c>
    </row>
    <row r="3305">
      <c r="A3305" s="3">
        <f>IFERROR(__xludf.DUMMYFUNCTION("""COMPUTED_VALUE"""),43772.99861111111)</f>
        <v>43772.99861</v>
      </c>
      <c r="B3305" s="1">
        <f>IFERROR(__xludf.DUMMYFUNCTION("""COMPUTED_VALUE"""),9695.629)</f>
        <v>9695.629</v>
      </c>
    </row>
    <row r="3306">
      <c r="A3306" s="3">
        <f>IFERROR(__xludf.DUMMYFUNCTION("""COMPUTED_VALUE"""),43773.99861111111)</f>
        <v>43773.99861</v>
      </c>
      <c r="B3306" s="1">
        <f>IFERROR(__xludf.DUMMYFUNCTION("""COMPUTED_VALUE"""),9687.721)</f>
        <v>9687.721</v>
      </c>
    </row>
    <row r="3307">
      <c r="A3307" s="3">
        <f>IFERROR(__xludf.DUMMYFUNCTION("""COMPUTED_VALUE"""),43774.99861111111)</f>
        <v>43774.99861</v>
      </c>
      <c r="B3307" s="1">
        <f>IFERROR(__xludf.DUMMYFUNCTION("""COMPUTED_VALUE"""),9679.215)</f>
        <v>9679.215</v>
      </c>
    </row>
    <row r="3308">
      <c r="A3308" s="3">
        <f>IFERROR(__xludf.DUMMYFUNCTION("""COMPUTED_VALUE"""),43775.99861111111)</f>
        <v>43775.99861</v>
      </c>
      <c r="B3308" s="1">
        <f>IFERROR(__xludf.DUMMYFUNCTION("""COMPUTED_VALUE"""),9637.057)</f>
        <v>9637.057</v>
      </c>
    </row>
    <row r="3309">
      <c r="A3309" s="3">
        <f>IFERROR(__xludf.DUMMYFUNCTION("""COMPUTED_VALUE"""),43776.99861111111)</f>
        <v>43776.99861</v>
      </c>
      <c r="B3309" s="1">
        <f>IFERROR(__xludf.DUMMYFUNCTION("""COMPUTED_VALUE"""),9644.676)</f>
        <v>9644.676</v>
      </c>
    </row>
    <row r="3310">
      <c r="A3310" s="3">
        <f>IFERROR(__xludf.DUMMYFUNCTION("""COMPUTED_VALUE"""),43777.99861111111)</f>
        <v>43777.99861</v>
      </c>
      <c r="B3310" s="1">
        <f>IFERROR(__xludf.DUMMYFUNCTION("""COMPUTED_VALUE"""),9614.64)</f>
        <v>9614.64</v>
      </c>
    </row>
    <row r="3311">
      <c r="A3311" s="3">
        <f>IFERROR(__xludf.DUMMYFUNCTION("""COMPUTED_VALUE"""),43778.99861111111)</f>
        <v>43778.99861</v>
      </c>
      <c r="B3311" s="1">
        <f>IFERROR(__xludf.DUMMYFUNCTION("""COMPUTED_VALUE"""),9614.64)</f>
        <v>9614.64</v>
      </c>
    </row>
    <row r="3312">
      <c r="A3312" s="3">
        <f>IFERROR(__xludf.DUMMYFUNCTION("""COMPUTED_VALUE"""),43779.99861111111)</f>
        <v>43779.99861</v>
      </c>
      <c r="B3312" s="1">
        <f>IFERROR(__xludf.DUMMYFUNCTION("""COMPUTED_VALUE"""),9610.646)</f>
        <v>9610.646</v>
      </c>
    </row>
    <row r="3313">
      <c r="A3313" s="3">
        <f>IFERROR(__xludf.DUMMYFUNCTION("""COMPUTED_VALUE"""),43780.99861111111)</f>
        <v>43780.99861</v>
      </c>
      <c r="B3313" s="1">
        <f>IFERROR(__xludf.DUMMYFUNCTION("""COMPUTED_VALUE"""),9590.316)</f>
        <v>9590.316</v>
      </c>
    </row>
    <row r="3314">
      <c r="A3314" s="3">
        <f>IFERROR(__xludf.DUMMYFUNCTION("""COMPUTED_VALUE"""),43781.99861111111)</f>
        <v>43781.99861</v>
      </c>
      <c r="B3314" s="1">
        <f>IFERROR(__xludf.DUMMYFUNCTION("""COMPUTED_VALUE"""),9620.083)</f>
        <v>9620.083</v>
      </c>
    </row>
    <row r="3315">
      <c r="A3315" s="3">
        <f>IFERROR(__xludf.DUMMYFUNCTION("""COMPUTED_VALUE"""),43782.99861111111)</f>
        <v>43782.99861</v>
      </c>
      <c r="B3315" s="1">
        <f>IFERROR(__xludf.DUMMYFUNCTION("""COMPUTED_VALUE"""),9629.953)</f>
        <v>9629.953</v>
      </c>
    </row>
    <row r="3316">
      <c r="A3316" s="3">
        <f>IFERROR(__xludf.DUMMYFUNCTION("""COMPUTED_VALUE"""),43783.99861111111)</f>
        <v>43783.99861</v>
      </c>
      <c r="B3316" s="1">
        <f>IFERROR(__xludf.DUMMYFUNCTION("""COMPUTED_VALUE"""),9556.48)</f>
        <v>9556.48</v>
      </c>
    </row>
    <row r="3317">
      <c r="A3317" s="3">
        <f>IFERROR(__xludf.DUMMYFUNCTION("""COMPUTED_VALUE"""),43784.99861111111)</f>
        <v>43784.99861</v>
      </c>
      <c r="B3317" s="1">
        <f>IFERROR(__xludf.DUMMYFUNCTION("""COMPUTED_VALUE"""),9585.609)</f>
        <v>9585.609</v>
      </c>
    </row>
    <row r="3318">
      <c r="A3318" s="3">
        <f>IFERROR(__xludf.DUMMYFUNCTION("""COMPUTED_VALUE"""),43785.99861111111)</f>
        <v>43785.99861</v>
      </c>
      <c r="B3318" s="1">
        <f>IFERROR(__xludf.DUMMYFUNCTION("""COMPUTED_VALUE"""),9579.619)</f>
        <v>9579.619</v>
      </c>
    </row>
    <row r="3319">
      <c r="A3319" s="3">
        <f>IFERROR(__xludf.DUMMYFUNCTION("""COMPUTED_VALUE"""),43786.99861111111)</f>
        <v>43786.99861</v>
      </c>
      <c r="B3319" s="1">
        <f>IFERROR(__xludf.DUMMYFUNCTION("""COMPUTED_VALUE"""),9572.194)</f>
        <v>9572.194</v>
      </c>
    </row>
    <row r="3320">
      <c r="A3320" s="3">
        <f>IFERROR(__xludf.DUMMYFUNCTION("""COMPUTED_VALUE"""),43787.99861111111)</f>
        <v>43787.99861</v>
      </c>
      <c r="B3320" s="1">
        <f>IFERROR(__xludf.DUMMYFUNCTION("""COMPUTED_VALUE"""),9569.684)</f>
        <v>9569.684</v>
      </c>
    </row>
    <row r="3321">
      <c r="A3321" s="3">
        <f>IFERROR(__xludf.DUMMYFUNCTION("""COMPUTED_VALUE"""),43788.99861111111)</f>
        <v>43788.99861</v>
      </c>
      <c r="B3321" s="1">
        <f>IFERROR(__xludf.DUMMYFUNCTION("""COMPUTED_VALUE"""),9614.108)</f>
        <v>9614.108</v>
      </c>
    </row>
    <row r="3322">
      <c r="A3322" s="3">
        <f>IFERROR(__xludf.DUMMYFUNCTION("""COMPUTED_VALUE"""),43789.99861111111)</f>
        <v>43789.99861</v>
      </c>
      <c r="B3322" s="1">
        <f>IFERROR(__xludf.DUMMYFUNCTION("""COMPUTED_VALUE"""),9542.684)</f>
        <v>9542.684</v>
      </c>
    </row>
    <row r="3323">
      <c r="A3323" s="3">
        <f>IFERROR(__xludf.DUMMYFUNCTION("""COMPUTED_VALUE"""),43790.99861111111)</f>
        <v>43790.99861</v>
      </c>
      <c r="B3323" s="1">
        <f>IFERROR(__xludf.DUMMYFUNCTION("""COMPUTED_VALUE"""),9557.174)</f>
        <v>9557.174</v>
      </c>
    </row>
    <row r="3324">
      <c r="A3324" s="3">
        <f>IFERROR(__xludf.DUMMYFUNCTION("""COMPUTED_VALUE"""),43791.99861111111)</f>
        <v>43791.99861</v>
      </c>
      <c r="B3324" s="1">
        <f>IFERROR(__xludf.DUMMYFUNCTION("""COMPUTED_VALUE"""),9557.116)</f>
        <v>9557.116</v>
      </c>
    </row>
    <row r="3325">
      <c r="A3325" s="3">
        <f>IFERROR(__xludf.DUMMYFUNCTION("""COMPUTED_VALUE"""),43792.99861111111)</f>
        <v>43792.99861</v>
      </c>
      <c r="B3325" s="1">
        <f>IFERROR(__xludf.DUMMYFUNCTION("""COMPUTED_VALUE"""),9557.116)</f>
        <v>9557.116</v>
      </c>
    </row>
    <row r="3326">
      <c r="A3326" s="3">
        <f>IFERROR(__xludf.DUMMYFUNCTION("""COMPUTED_VALUE"""),43793.99861111111)</f>
        <v>43793.99861</v>
      </c>
      <c r="B3326" s="1">
        <f>IFERROR(__xludf.DUMMYFUNCTION("""COMPUTED_VALUE"""),9567.733)</f>
        <v>9567.733</v>
      </c>
    </row>
    <row r="3327">
      <c r="A3327" s="3">
        <f>IFERROR(__xludf.DUMMYFUNCTION("""COMPUTED_VALUE"""),43794.99861111111)</f>
        <v>43794.99861</v>
      </c>
      <c r="B3327" s="1">
        <f>IFERROR(__xludf.DUMMYFUNCTION("""COMPUTED_VALUE"""),9532.102)</f>
        <v>9532.102</v>
      </c>
    </row>
    <row r="3328">
      <c r="A3328" s="3">
        <f>IFERROR(__xludf.DUMMYFUNCTION("""COMPUTED_VALUE"""),43795.99861111111)</f>
        <v>43795.99861</v>
      </c>
      <c r="B3328" s="1">
        <f>IFERROR(__xludf.DUMMYFUNCTION("""COMPUTED_VALUE"""),9556.238)</f>
        <v>9556.238</v>
      </c>
    </row>
    <row r="3329">
      <c r="A3329" s="3">
        <f>IFERROR(__xludf.DUMMYFUNCTION("""COMPUTED_VALUE"""),43796.99861111111)</f>
        <v>43796.99861</v>
      </c>
      <c r="B3329" s="1">
        <f>IFERROR(__xludf.DUMMYFUNCTION("""COMPUTED_VALUE"""),9536.487)</f>
        <v>9536.487</v>
      </c>
    </row>
    <row r="3330">
      <c r="A3330" s="3">
        <f>IFERROR(__xludf.DUMMYFUNCTION("""COMPUTED_VALUE"""),43797.99861111111)</f>
        <v>43797.99861</v>
      </c>
      <c r="B3330" s="1">
        <f>IFERROR(__xludf.DUMMYFUNCTION("""COMPUTED_VALUE"""),9527.571)</f>
        <v>9527.571</v>
      </c>
    </row>
    <row r="3331">
      <c r="A3331" s="3">
        <f>IFERROR(__xludf.DUMMYFUNCTION("""COMPUTED_VALUE"""),43798.99861111111)</f>
        <v>43798.99861</v>
      </c>
      <c r="B3331" s="1">
        <f>IFERROR(__xludf.DUMMYFUNCTION("""COMPUTED_VALUE"""),9527.245)</f>
        <v>9527.245</v>
      </c>
    </row>
    <row r="3332">
      <c r="A3332" s="3">
        <f>IFERROR(__xludf.DUMMYFUNCTION("""COMPUTED_VALUE"""),43799.99861111111)</f>
        <v>43799.99861</v>
      </c>
      <c r="B3332" s="1">
        <f>IFERROR(__xludf.DUMMYFUNCTION("""COMPUTED_VALUE"""),9523.152)</f>
        <v>9523.152</v>
      </c>
    </row>
    <row r="3333">
      <c r="A3333" s="3">
        <f>IFERROR(__xludf.DUMMYFUNCTION("""COMPUTED_VALUE"""),43800.99861111111)</f>
        <v>43800.99861</v>
      </c>
      <c r="B3333" s="1">
        <f>IFERROR(__xludf.DUMMYFUNCTION("""COMPUTED_VALUE"""),9521.278)</f>
        <v>9521.278</v>
      </c>
    </row>
    <row r="3334">
      <c r="A3334" s="3">
        <f>IFERROR(__xludf.DUMMYFUNCTION("""COMPUTED_VALUE"""),43801.99861111111)</f>
        <v>43801.99861</v>
      </c>
      <c r="B3334" s="1">
        <f>IFERROR(__xludf.DUMMYFUNCTION("""COMPUTED_VALUE"""),9632.465)</f>
        <v>9632.465</v>
      </c>
    </row>
    <row r="3335">
      <c r="A3335" s="3">
        <f>IFERROR(__xludf.DUMMYFUNCTION("""COMPUTED_VALUE"""),43802.99861111111)</f>
        <v>43802.99861</v>
      </c>
      <c r="B3335" s="1">
        <f>IFERROR(__xludf.DUMMYFUNCTION("""COMPUTED_VALUE"""),9658.838)</f>
        <v>9658.838</v>
      </c>
    </row>
    <row r="3336">
      <c r="A3336" s="3">
        <f>IFERROR(__xludf.DUMMYFUNCTION("""COMPUTED_VALUE"""),43803.99861111111)</f>
        <v>43803.99861</v>
      </c>
      <c r="B3336" s="1">
        <f>IFERROR(__xludf.DUMMYFUNCTION("""COMPUTED_VALUE"""),9587.813)</f>
        <v>9587.813</v>
      </c>
    </row>
    <row r="3337">
      <c r="A3337" s="3">
        <f>IFERROR(__xludf.DUMMYFUNCTION("""COMPUTED_VALUE"""),43804.99861111111)</f>
        <v>43804.99861</v>
      </c>
      <c r="B3337" s="1">
        <f>IFERROR(__xludf.DUMMYFUNCTION("""COMPUTED_VALUE"""),9545.93)</f>
        <v>9545.93</v>
      </c>
    </row>
    <row r="3338">
      <c r="A3338" s="3">
        <f>IFERROR(__xludf.DUMMYFUNCTION("""COMPUTED_VALUE"""),43805.99861111111)</f>
        <v>43805.99861</v>
      </c>
      <c r="B3338" s="1">
        <f>IFERROR(__xludf.DUMMYFUNCTION("""COMPUTED_VALUE"""),9599.169)</f>
        <v>9599.169</v>
      </c>
    </row>
    <row r="3339">
      <c r="A3339" s="3">
        <f>IFERROR(__xludf.DUMMYFUNCTION("""COMPUTED_VALUE"""),43806.99861111111)</f>
        <v>43806.99861</v>
      </c>
      <c r="B3339" s="1">
        <f>IFERROR(__xludf.DUMMYFUNCTION("""COMPUTED_VALUE"""),9599.169)</f>
        <v>9599.169</v>
      </c>
    </row>
    <row r="3340">
      <c r="A3340" s="3">
        <f>IFERROR(__xludf.DUMMYFUNCTION("""COMPUTED_VALUE"""),43807.99861111111)</f>
        <v>43807.99861</v>
      </c>
      <c r="B3340" s="1">
        <f>IFERROR(__xludf.DUMMYFUNCTION("""COMPUTED_VALUE"""),9587.263)</f>
        <v>9587.263</v>
      </c>
    </row>
    <row r="3341">
      <c r="A3341" s="3">
        <f>IFERROR(__xludf.DUMMYFUNCTION("""COMPUTED_VALUE"""),43808.99861111111)</f>
        <v>43808.99861</v>
      </c>
      <c r="B3341" s="1">
        <f>IFERROR(__xludf.DUMMYFUNCTION("""COMPUTED_VALUE"""),9561.851)</f>
        <v>9561.851</v>
      </c>
    </row>
    <row r="3342">
      <c r="A3342" s="3">
        <f>IFERROR(__xludf.DUMMYFUNCTION("""COMPUTED_VALUE"""),43809.99861111111)</f>
        <v>43809.99861</v>
      </c>
      <c r="B3342" s="1">
        <f>IFERROR(__xludf.DUMMYFUNCTION("""COMPUTED_VALUE"""),9542.433)</f>
        <v>9542.433</v>
      </c>
    </row>
    <row r="3343">
      <c r="A3343" s="3">
        <f>IFERROR(__xludf.DUMMYFUNCTION("""COMPUTED_VALUE"""),43810.99861111111)</f>
        <v>43810.99861</v>
      </c>
      <c r="B3343" s="1">
        <f>IFERROR(__xludf.DUMMYFUNCTION("""COMPUTED_VALUE"""),9605.653)</f>
        <v>9605.653</v>
      </c>
    </row>
    <row r="3344">
      <c r="A3344" s="3">
        <f>IFERROR(__xludf.DUMMYFUNCTION("""COMPUTED_VALUE"""),43811.99861111111)</f>
        <v>43811.99861</v>
      </c>
      <c r="B3344" s="1">
        <f>IFERROR(__xludf.DUMMYFUNCTION("""COMPUTED_VALUE"""),9648.392)</f>
        <v>9648.392</v>
      </c>
    </row>
    <row r="3345">
      <c r="A3345" s="3">
        <f>IFERROR(__xludf.DUMMYFUNCTION("""COMPUTED_VALUE"""),43812.99861111111)</f>
        <v>43812.99861</v>
      </c>
      <c r="B3345" s="1">
        <f>IFERROR(__xludf.DUMMYFUNCTION("""COMPUTED_VALUE"""),9608.683)</f>
        <v>9608.683</v>
      </c>
    </row>
    <row r="3346">
      <c r="A3346" s="3">
        <f>IFERROR(__xludf.DUMMYFUNCTION("""COMPUTED_VALUE"""),43813.99861111111)</f>
        <v>43813.99861</v>
      </c>
      <c r="B3346" s="1">
        <f>IFERROR(__xludf.DUMMYFUNCTION("""COMPUTED_VALUE"""),9608.683)</f>
        <v>9608.683</v>
      </c>
    </row>
    <row r="3347">
      <c r="A3347" s="3">
        <f>IFERROR(__xludf.DUMMYFUNCTION("""COMPUTED_VALUE"""),43814.99861111111)</f>
        <v>43814.99861</v>
      </c>
      <c r="B3347" s="1">
        <f>IFERROR(__xludf.DUMMYFUNCTION("""COMPUTED_VALUE"""),9601.196)</f>
        <v>9601.196</v>
      </c>
    </row>
    <row r="3348">
      <c r="A3348" s="3">
        <f>IFERROR(__xludf.DUMMYFUNCTION("""COMPUTED_VALUE"""),43815.99861111111)</f>
        <v>43815.99861</v>
      </c>
      <c r="B3348" s="1">
        <f>IFERROR(__xludf.DUMMYFUNCTION("""COMPUTED_VALUE"""),9632.018)</f>
        <v>9632.018</v>
      </c>
    </row>
    <row r="3349">
      <c r="A3349" s="3">
        <f>IFERROR(__xludf.DUMMYFUNCTION("""COMPUTED_VALUE"""),43816.99861111111)</f>
        <v>43816.99861</v>
      </c>
      <c r="B3349" s="1">
        <f>IFERROR(__xludf.DUMMYFUNCTION("""COMPUTED_VALUE"""),9581.239)</f>
        <v>9581.239</v>
      </c>
    </row>
    <row r="3350">
      <c r="A3350" s="3">
        <f>IFERROR(__xludf.DUMMYFUNCTION("""COMPUTED_VALUE"""),43817.99861111111)</f>
        <v>43817.99861</v>
      </c>
      <c r="B3350" s="1">
        <f>IFERROR(__xludf.DUMMYFUNCTION("""COMPUTED_VALUE"""),9576.695)</f>
        <v>9576.695</v>
      </c>
    </row>
    <row r="3351">
      <c r="A3351" s="3">
        <f>IFERROR(__xludf.DUMMYFUNCTION("""COMPUTED_VALUE"""),43818.99861111111)</f>
        <v>43818.99861</v>
      </c>
      <c r="B3351" s="1">
        <f>IFERROR(__xludf.DUMMYFUNCTION("""COMPUTED_VALUE"""),9635.158)</f>
        <v>9635.158</v>
      </c>
    </row>
    <row r="3352">
      <c r="A3352" s="3">
        <f>IFERROR(__xludf.DUMMYFUNCTION("""COMPUTED_VALUE"""),43819.99861111111)</f>
        <v>43819.99861</v>
      </c>
      <c r="B3352" s="1">
        <f>IFERROR(__xludf.DUMMYFUNCTION("""COMPUTED_VALUE"""),9633.839)</f>
        <v>9633.839</v>
      </c>
    </row>
    <row r="3353">
      <c r="A3353" s="3">
        <f>IFERROR(__xludf.DUMMYFUNCTION("""COMPUTED_VALUE"""),43820.99861111111)</f>
        <v>43820.99861</v>
      </c>
      <c r="B3353" s="1">
        <f>IFERROR(__xludf.DUMMYFUNCTION("""COMPUTED_VALUE"""),9633.839)</f>
        <v>9633.839</v>
      </c>
    </row>
    <row r="3354">
      <c r="A3354" s="3">
        <f>IFERROR(__xludf.DUMMYFUNCTION("""COMPUTED_VALUE"""),43821.99861111111)</f>
        <v>43821.99861</v>
      </c>
      <c r="B3354" s="1">
        <f>IFERROR(__xludf.DUMMYFUNCTION("""COMPUTED_VALUE"""),9639.71)</f>
        <v>9639.71</v>
      </c>
    </row>
    <row r="3355">
      <c r="A3355" s="3">
        <f>IFERROR(__xludf.DUMMYFUNCTION("""COMPUTED_VALUE"""),43822.99861111111)</f>
        <v>43822.99861</v>
      </c>
      <c r="B3355" s="1">
        <f>IFERROR(__xludf.DUMMYFUNCTION("""COMPUTED_VALUE"""),9667.37)</f>
        <v>9667.37</v>
      </c>
    </row>
    <row r="3356">
      <c r="A3356" s="3">
        <f>IFERROR(__xludf.DUMMYFUNCTION("""COMPUTED_VALUE"""),43823.99861111111)</f>
        <v>43823.99861</v>
      </c>
      <c r="B3356" s="1">
        <f>IFERROR(__xludf.DUMMYFUNCTION("""COMPUTED_VALUE"""),9661.112)</f>
        <v>9661.112</v>
      </c>
    </row>
    <row r="3357">
      <c r="A3357" s="3">
        <f>IFERROR(__xludf.DUMMYFUNCTION("""COMPUTED_VALUE"""),43824.99861111111)</f>
        <v>43824.99861</v>
      </c>
      <c r="B3357" s="1">
        <f>IFERROR(__xludf.DUMMYFUNCTION("""COMPUTED_VALUE"""),9654.322)</f>
        <v>9654.322</v>
      </c>
    </row>
    <row r="3358">
      <c r="A3358" s="3">
        <f>IFERROR(__xludf.DUMMYFUNCTION("""COMPUTED_VALUE"""),43825.99861111111)</f>
        <v>43825.99861</v>
      </c>
      <c r="B3358" s="1">
        <f>IFERROR(__xludf.DUMMYFUNCTION("""COMPUTED_VALUE"""),9693.545)</f>
        <v>9693.545</v>
      </c>
    </row>
    <row r="3359">
      <c r="A3359" s="3">
        <f>IFERROR(__xludf.DUMMYFUNCTION("""COMPUTED_VALUE"""),43826.99861111111)</f>
        <v>43826.99861</v>
      </c>
      <c r="B3359" s="1">
        <f>IFERROR(__xludf.DUMMYFUNCTION("""COMPUTED_VALUE"""),9745.692)</f>
        <v>9745.692</v>
      </c>
    </row>
    <row r="3360">
      <c r="A3360" s="3">
        <f>IFERROR(__xludf.DUMMYFUNCTION("""COMPUTED_VALUE"""),43827.99861111111)</f>
        <v>43827.99861</v>
      </c>
      <c r="B3360" s="1">
        <f>IFERROR(__xludf.DUMMYFUNCTION("""COMPUTED_VALUE"""),9745.692)</f>
        <v>9745.692</v>
      </c>
    </row>
    <row r="3361">
      <c r="A3361" s="3">
        <f>IFERROR(__xludf.DUMMYFUNCTION("""COMPUTED_VALUE"""),43828.99861111111)</f>
        <v>43828.99861</v>
      </c>
      <c r="B3361" s="1">
        <f>IFERROR(__xludf.DUMMYFUNCTION("""COMPUTED_VALUE"""),9740.896)</f>
        <v>9740.896</v>
      </c>
    </row>
    <row r="3362">
      <c r="A3362" s="3">
        <f>IFERROR(__xludf.DUMMYFUNCTION("""COMPUTED_VALUE"""),43829.99861111111)</f>
        <v>43829.99861</v>
      </c>
      <c r="B3362" s="1">
        <f>IFERROR(__xludf.DUMMYFUNCTION("""COMPUTED_VALUE"""),9750.609)</f>
        <v>9750.609</v>
      </c>
    </row>
    <row r="3363">
      <c r="A3363" s="3">
        <f>IFERROR(__xludf.DUMMYFUNCTION("""COMPUTED_VALUE"""),43830.99861111111)</f>
        <v>43830.99861</v>
      </c>
      <c r="B3363" s="1">
        <f>IFERROR(__xludf.DUMMYFUNCTION("""COMPUTED_VALUE"""),9741.479)</f>
        <v>9741.479</v>
      </c>
    </row>
    <row r="3364">
      <c r="A3364" s="3">
        <f>IFERROR(__xludf.DUMMYFUNCTION("""COMPUTED_VALUE"""),43831.99861111111)</f>
        <v>43831.99861</v>
      </c>
      <c r="B3364" s="1">
        <f>IFERROR(__xludf.DUMMYFUNCTION("""COMPUTED_VALUE"""),9749.836)</f>
        <v>9749.836</v>
      </c>
    </row>
    <row r="3365">
      <c r="A3365" s="3">
        <f>IFERROR(__xludf.DUMMYFUNCTION("""COMPUTED_VALUE"""),43832.99861111111)</f>
        <v>43832.99861</v>
      </c>
      <c r="B3365" s="1">
        <f>IFERROR(__xludf.DUMMYFUNCTION("""COMPUTED_VALUE"""),9699.391)</f>
        <v>9699.391</v>
      </c>
    </row>
    <row r="3366">
      <c r="A3366" s="3">
        <f>IFERROR(__xludf.DUMMYFUNCTION("""COMPUTED_VALUE"""),43833.99861111111)</f>
        <v>43833.99861</v>
      </c>
      <c r="B3366" s="1">
        <f>IFERROR(__xludf.DUMMYFUNCTION("""COMPUTED_VALUE"""),9686.695)</f>
        <v>9686.695</v>
      </c>
    </row>
    <row r="3367">
      <c r="A3367" s="3">
        <f>IFERROR(__xludf.DUMMYFUNCTION("""COMPUTED_VALUE"""),43834.99861111111)</f>
        <v>43834.99861</v>
      </c>
      <c r="B3367" s="1">
        <f>IFERROR(__xludf.DUMMYFUNCTION("""COMPUTED_VALUE"""),9686.695)</f>
        <v>9686.695</v>
      </c>
    </row>
    <row r="3368">
      <c r="A3368" s="3">
        <f>IFERROR(__xludf.DUMMYFUNCTION("""COMPUTED_VALUE"""),43835.99861111111)</f>
        <v>43835.99861</v>
      </c>
      <c r="B3368" s="1">
        <f>IFERROR(__xludf.DUMMYFUNCTION("""COMPUTED_VALUE"""),9677.419)</f>
        <v>9677.419</v>
      </c>
    </row>
    <row r="3369">
      <c r="A3369" s="3">
        <f>IFERROR(__xludf.DUMMYFUNCTION("""COMPUTED_VALUE"""),43836.99861111111)</f>
        <v>43836.99861</v>
      </c>
      <c r="B3369" s="1">
        <f>IFERROR(__xludf.DUMMYFUNCTION("""COMPUTED_VALUE"""),9638.293)</f>
        <v>9638.293</v>
      </c>
    </row>
    <row r="3370">
      <c r="A3370" s="3">
        <f>IFERROR(__xludf.DUMMYFUNCTION("""COMPUTED_VALUE"""),43837.99861111111)</f>
        <v>43837.99861</v>
      </c>
      <c r="B3370" s="1">
        <f>IFERROR(__xludf.DUMMYFUNCTION("""COMPUTED_VALUE"""),9516.806)</f>
        <v>9516.806</v>
      </c>
    </row>
    <row r="3371">
      <c r="A3371" s="3">
        <f>IFERROR(__xludf.DUMMYFUNCTION("""COMPUTED_VALUE"""),43838.99861111111)</f>
        <v>43838.99861</v>
      </c>
      <c r="B3371" s="1">
        <f>IFERROR(__xludf.DUMMYFUNCTION("""COMPUTED_VALUE"""),9556.649)</f>
        <v>9556.649</v>
      </c>
    </row>
    <row r="3372">
      <c r="A3372" s="3">
        <f>IFERROR(__xludf.DUMMYFUNCTION("""COMPUTED_VALUE"""),43839.99861111111)</f>
        <v>43839.99861</v>
      </c>
      <c r="B3372" s="1">
        <f>IFERROR(__xludf.DUMMYFUNCTION("""COMPUTED_VALUE"""),9478.307)</f>
        <v>9478.307</v>
      </c>
    </row>
    <row r="3373">
      <c r="A3373" s="3">
        <f>IFERROR(__xludf.DUMMYFUNCTION("""COMPUTED_VALUE"""),43840.99861111111)</f>
        <v>43840.99861</v>
      </c>
      <c r="B3373" s="1">
        <f>IFERROR(__xludf.DUMMYFUNCTION("""COMPUTED_VALUE"""),9494.185)</f>
        <v>9494.185</v>
      </c>
    </row>
    <row r="3374">
      <c r="A3374" s="3">
        <f>IFERROR(__xludf.DUMMYFUNCTION("""COMPUTED_VALUE"""),43841.99861111111)</f>
        <v>43841.99861</v>
      </c>
      <c r="B3374" s="1">
        <f>IFERROR(__xludf.DUMMYFUNCTION("""COMPUTED_VALUE"""),9475.941)</f>
        <v>9475.941</v>
      </c>
    </row>
    <row r="3375">
      <c r="A3375" s="3">
        <f>IFERROR(__xludf.DUMMYFUNCTION("""COMPUTED_VALUE"""),43842.99861111111)</f>
        <v>43842.99861</v>
      </c>
      <c r="B3375" s="1">
        <f>IFERROR(__xludf.DUMMYFUNCTION("""COMPUTED_VALUE"""),9477.749)</f>
        <v>9477.749</v>
      </c>
    </row>
    <row r="3376">
      <c r="A3376" s="3">
        <f>IFERROR(__xludf.DUMMYFUNCTION("""COMPUTED_VALUE"""),43843.99861111111)</f>
        <v>43843.99861</v>
      </c>
      <c r="B3376" s="1">
        <f>IFERROR(__xludf.DUMMYFUNCTION("""COMPUTED_VALUE"""),9430.058)</f>
        <v>9430.058</v>
      </c>
    </row>
    <row r="3377">
      <c r="A3377" s="3">
        <f>IFERROR(__xludf.DUMMYFUNCTION("""COMPUTED_VALUE"""),43844.99861111111)</f>
        <v>43844.99861</v>
      </c>
      <c r="B3377" s="1">
        <f>IFERROR(__xludf.DUMMYFUNCTION("""COMPUTED_VALUE"""),9426.796)</f>
        <v>9426.796</v>
      </c>
    </row>
    <row r="3378">
      <c r="A3378" s="3">
        <f>IFERROR(__xludf.DUMMYFUNCTION("""COMPUTED_VALUE"""),43845.99861111111)</f>
        <v>43845.99861</v>
      </c>
      <c r="B3378" s="1">
        <f>IFERROR(__xludf.DUMMYFUNCTION("""COMPUTED_VALUE"""),9441.932)</f>
        <v>9441.932</v>
      </c>
    </row>
    <row r="3379">
      <c r="A3379" s="3">
        <f>IFERROR(__xludf.DUMMYFUNCTION("""COMPUTED_VALUE"""),43846.99861111111)</f>
        <v>43846.99861</v>
      </c>
      <c r="B3379" s="1">
        <f>IFERROR(__xludf.DUMMYFUNCTION("""COMPUTED_VALUE"""),9397.919)</f>
        <v>9397.919</v>
      </c>
    </row>
    <row r="3380">
      <c r="A3380" s="3">
        <f>IFERROR(__xludf.DUMMYFUNCTION("""COMPUTED_VALUE"""),43847.99861111111)</f>
        <v>43847.99861</v>
      </c>
      <c r="B3380" s="1">
        <f>IFERROR(__xludf.DUMMYFUNCTION("""COMPUTED_VALUE"""),9392.476)</f>
        <v>9392.476</v>
      </c>
    </row>
    <row r="3381">
      <c r="A3381" s="3">
        <f>IFERROR(__xludf.DUMMYFUNCTION("""COMPUTED_VALUE"""),43848.99861111111)</f>
        <v>43848.99861</v>
      </c>
      <c r="B3381" s="1">
        <f>IFERROR(__xludf.DUMMYFUNCTION("""COMPUTED_VALUE"""),9392.476)</f>
        <v>9392.476</v>
      </c>
    </row>
    <row r="3382">
      <c r="A3382" s="3">
        <f>IFERROR(__xludf.DUMMYFUNCTION("""COMPUTED_VALUE"""),43849.99861111111)</f>
        <v>43849.99861</v>
      </c>
      <c r="B3382" s="1">
        <f>IFERROR(__xludf.DUMMYFUNCTION("""COMPUTED_VALUE"""),9399.976)</f>
        <v>9399.976</v>
      </c>
    </row>
    <row r="3383">
      <c r="A3383" s="3">
        <f>IFERROR(__xludf.DUMMYFUNCTION("""COMPUTED_VALUE"""),43850.99861111111)</f>
        <v>43850.99861</v>
      </c>
      <c r="B3383" s="1">
        <f>IFERROR(__xludf.DUMMYFUNCTION("""COMPUTED_VALUE"""),9366.68)</f>
        <v>9366.68</v>
      </c>
    </row>
    <row r="3384">
      <c r="A3384" s="3">
        <f>IFERROR(__xludf.DUMMYFUNCTION("""COMPUTED_VALUE"""),43851.99861111111)</f>
        <v>43851.99861</v>
      </c>
      <c r="B3384" s="1">
        <f>IFERROR(__xludf.DUMMYFUNCTION("""COMPUTED_VALUE"""),9352.842)</f>
        <v>9352.842</v>
      </c>
    </row>
    <row r="3385">
      <c r="A3385" s="3">
        <f>IFERROR(__xludf.DUMMYFUNCTION("""COMPUTED_VALUE"""),43852.99861111111)</f>
        <v>43852.99861</v>
      </c>
      <c r="B3385" s="1">
        <f>IFERROR(__xludf.DUMMYFUNCTION("""COMPUTED_VALUE"""),9324.738)</f>
        <v>9324.738</v>
      </c>
    </row>
    <row r="3386">
      <c r="A3386" s="3">
        <f>IFERROR(__xludf.DUMMYFUNCTION("""COMPUTED_VALUE"""),43853.99861111111)</f>
        <v>43853.99861</v>
      </c>
      <c r="B3386" s="1">
        <f>IFERROR(__xludf.DUMMYFUNCTION("""COMPUTED_VALUE"""),9312.542)</f>
        <v>9312.542</v>
      </c>
    </row>
    <row r="3387">
      <c r="A3387" s="3">
        <f>IFERROR(__xludf.DUMMYFUNCTION("""COMPUTED_VALUE"""),43854.99861111111)</f>
        <v>43854.99861</v>
      </c>
      <c r="B3387" s="1">
        <f>IFERROR(__xludf.DUMMYFUNCTION("""COMPUTED_VALUE"""),9361.449)</f>
        <v>9361.449</v>
      </c>
    </row>
    <row r="3388">
      <c r="A3388" s="3">
        <f>IFERROR(__xludf.DUMMYFUNCTION("""COMPUTED_VALUE"""),43855.99861111111)</f>
        <v>43855.99861</v>
      </c>
      <c r="B3388" s="1">
        <f>IFERROR(__xludf.DUMMYFUNCTION("""COMPUTED_VALUE"""),9361.449)</f>
        <v>9361.449</v>
      </c>
    </row>
    <row r="3389">
      <c r="A3389" s="3">
        <f>IFERROR(__xludf.DUMMYFUNCTION("""COMPUTED_VALUE"""),43856.99861111111)</f>
        <v>43856.99861</v>
      </c>
      <c r="B3389" s="1">
        <f>IFERROR(__xludf.DUMMYFUNCTION("""COMPUTED_VALUE"""),9329.829)</f>
        <v>9329.829</v>
      </c>
    </row>
    <row r="3390">
      <c r="A3390" s="3">
        <f>IFERROR(__xludf.DUMMYFUNCTION("""COMPUTED_VALUE"""),43857.99861111111)</f>
        <v>43857.99861</v>
      </c>
      <c r="B3390" s="1">
        <f>IFERROR(__xludf.DUMMYFUNCTION("""COMPUTED_VALUE"""),8936.844)</f>
        <v>8936.844</v>
      </c>
    </row>
    <row r="3391">
      <c r="A3391" s="3">
        <f>IFERROR(__xludf.DUMMYFUNCTION("""COMPUTED_VALUE"""),43858.99861111111)</f>
        <v>43858.99861</v>
      </c>
      <c r="B3391" s="1">
        <f>IFERROR(__xludf.DUMMYFUNCTION("""COMPUTED_VALUE"""),9204.628)</f>
        <v>9204.628</v>
      </c>
    </row>
    <row r="3392">
      <c r="A3392" s="3">
        <f>IFERROR(__xludf.DUMMYFUNCTION("""COMPUTED_VALUE"""),43859.99861111111)</f>
        <v>43859.99861</v>
      </c>
      <c r="B3392" s="1">
        <f>IFERROR(__xludf.DUMMYFUNCTION("""COMPUTED_VALUE"""),9194.733)</f>
        <v>9194.733</v>
      </c>
    </row>
    <row r="3393">
      <c r="A3393" s="3">
        <f>IFERROR(__xludf.DUMMYFUNCTION("""COMPUTED_VALUE"""),43860.99861111111)</f>
        <v>43860.99861</v>
      </c>
      <c r="B3393" s="1">
        <f>IFERROR(__xludf.DUMMYFUNCTION("""COMPUTED_VALUE"""),9155.598)</f>
        <v>9155.598</v>
      </c>
    </row>
    <row r="3394">
      <c r="A3394" s="3">
        <f>IFERROR(__xludf.DUMMYFUNCTION("""COMPUTED_VALUE"""),43861.99861111111)</f>
        <v>43861.99861</v>
      </c>
      <c r="B3394" s="1">
        <f>IFERROR(__xludf.DUMMYFUNCTION("""COMPUTED_VALUE"""),9129.031)</f>
        <v>9129.031</v>
      </c>
    </row>
    <row r="3395">
      <c r="A3395" s="3">
        <f>IFERROR(__xludf.DUMMYFUNCTION("""COMPUTED_VALUE"""),43862.99861111111)</f>
        <v>43862.99861</v>
      </c>
      <c r="B3395" s="1">
        <f>IFERROR(__xludf.DUMMYFUNCTION("""COMPUTED_VALUE"""),9129.031)</f>
        <v>9129.031</v>
      </c>
    </row>
    <row r="3396">
      <c r="A3396" s="3">
        <f>IFERROR(__xludf.DUMMYFUNCTION("""COMPUTED_VALUE"""),43863.99861111111)</f>
        <v>43863.99861</v>
      </c>
      <c r="B3396" s="1">
        <f>IFERROR(__xludf.DUMMYFUNCTION("""COMPUTED_VALUE"""),9130.381)</f>
        <v>9130.381</v>
      </c>
    </row>
    <row r="3397">
      <c r="A3397" s="3">
        <f>IFERROR(__xludf.DUMMYFUNCTION("""COMPUTED_VALUE"""),43864.99861111111)</f>
        <v>43864.99861</v>
      </c>
      <c r="B3397" s="1">
        <f>IFERROR(__xludf.DUMMYFUNCTION("""COMPUTED_VALUE"""),9195.887)</f>
        <v>9195.887</v>
      </c>
    </row>
    <row r="3398">
      <c r="A3398" s="3">
        <f>IFERROR(__xludf.DUMMYFUNCTION("""COMPUTED_VALUE"""),43865.99861111111)</f>
        <v>43865.99861</v>
      </c>
      <c r="B3398" s="1">
        <f>IFERROR(__xludf.DUMMYFUNCTION("""COMPUTED_VALUE"""),9227.721)</f>
        <v>9227.721</v>
      </c>
    </row>
    <row r="3399">
      <c r="A3399" s="3">
        <f>IFERROR(__xludf.DUMMYFUNCTION("""COMPUTED_VALUE"""),43866.99861111111)</f>
        <v>43866.99861</v>
      </c>
      <c r="B3399" s="1">
        <f>IFERROR(__xludf.DUMMYFUNCTION("""COMPUTED_VALUE"""),9231.411)</f>
        <v>9231.411</v>
      </c>
    </row>
    <row r="3400">
      <c r="A3400" s="3">
        <f>IFERROR(__xludf.DUMMYFUNCTION("""COMPUTED_VALUE"""),43867.99861111111)</f>
        <v>43867.99861</v>
      </c>
      <c r="B3400" s="1">
        <f>IFERROR(__xludf.DUMMYFUNCTION("""COMPUTED_VALUE"""),9184.576)</f>
        <v>9184.576</v>
      </c>
    </row>
    <row r="3401">
      <c r="A3401" s="3">
        <f>IFERROR(__xludf.DUMMYFUNCTION("""COMPUTED_VALUE"""),43868.99861111111)</f>
        <v>43868.99861</v>
      </c>
      <c r="B3401" s="1">
        <f>IFERROR(__xludf.DUMMYFUNCTION("""COMPUTED_VALUE"""),9128.945)</f>
        <v>9128.945</v>
      </c>
    </row>
    <row r="3402">
      <c r="A3402" s="3">
        <f>IFERROR(__xludf.DUMMYFUNCTION("""COMPUTED_VALUE"""),43869.99861111111)</f>
        <v>43869.99861</v>
      </c>
      <c r="B3402" s="1">
        <f>IFERROR(__xludf.DUMMYFUNCTION("""COMPUTED_VALUE"""),9128.945)</f>
        <v>9128.945</v>
      </c>
    </row>
    <row r="3403">
      <c r="A3403" s="3">
        <f>IFERROR(__xludf.DUMMYFUNCTION("""COMPUTED_VALUE"""),43870.99861111111)</f>
        <v>43870.99861</v>
      </c>
      <c r="B3403" s="1">
        <f>IFERROR(__xludf.DUMMYFUNCTION("""COMPUTED_VALUE"""),9125.533)</f>
        <v>9125.533</v>
      </c>
    </row>
    <row r="3404">
      <c r="A3404" s="3">
        <f>IFERROR(__xludf.DUMMYFUNCTION("""COMPUTED_VALUE"""),43871.99861111111)</f>
        <v>43871.99861</v>
      </c>
      <c r="B3404" s="1">
        <f>IFERROR(__xludf.DUMMYFUNCTION("""COMPUTED_VALUE"""),9169.671)</f>
        <v>9169.671</v>
      </c>
    </row>
    <row r="3405">
      <c r="A3405" s="3">
        <f>IFERROR(__xludf.DUMMYFUNCTION("""COMPUTED_VALUE"""),43872.99861111111)</f>
        <v>43872.99861</v>
      </c>
      <c r="B3405" s="1">
        <f>IFERROR(__xludf.DUMMYFUNCTION("""COMPUTED_VALUE"""),9178.082)</f>
        <v>9178.082</v>
      </c>
    </row>
    <row r="3406">
      <c r="A3406" s="3">
        <f>IFERROR(__xludf.DUMMYFUNCTION("""COMPUTED_VALUE"""),43873.99861111111)</f>
        <v>43873.99861</v>
      </c>
      <c r="B3406" s="1">
        <f>IFERROR(__xludf.DUMMYFUNCTION("""COMPUTED_VALUE"""),9202.313)</f>
        <v>9202.313</v>
      </c>
    </row>
    <row r="3407">
      <c r="A3407" s="3">
        <f>IFERROR(__xludf.DUMMYFUNCTION("""COMPUTED_VALUE"""),43874.99861111111)</f>
        <v>43874.99861</v>
      </c>
      <c r="B3407" s="1">
        <f>IFERROR(__xludf.DUMMYFUNCTION("""COMPUTED_VALUE"""),9193.393)</f>
        <v>9193.393</v>
      </c>
    </row>
    <row r="3408">
      <c r="A3408" s="3">
        <f>IFERROR(__xludf.DUMMYFUNCTION("""COMPUTED_VALUE"""),43875.99861111111)</f>
        <v>43875.99861</v>
      </c>
      <c r="B3408" s="1">
        <f>IFERROR(__xludf.DUMMYFUNCTION("""COMPUTED_VALUE"""),9190.085)</f>
        <v>9190.085</v>
      </c>
    </row>
    <row r="3409">
      <c r="A3409" s="3">
        <f>IFERROR(__xludf.DUMMYFUNCTION("""COMPUTED_VALUE"""),43876.99861111111)</f>
        <v>43876.99861</v>
      </c>
      <c r="B3409" s="1">
        <f>IFERROR(__xludf.DUMMYFUNCTION("""COMPUTED_VALUE"""),9190.085)</f>
        <v>9190.085</v>
      </c>
    </row>
    <row r="3410">
      <c r="A3410" s="3">
        <f>IFERROR(__xludf.DUMMYFUNCTION("""COMPUTED_VALUE"""),43877.99861111111)</f>
        <v>43877.99861</v>
      </c>
      <c r="B3410" s="1">
        <f>IFERROR(__xludf.DUMMYFUNCTION("""COMPUTED_VALUE"""),9196.636)</f>
        <v>9196.636</v>
      </c>
    </row>
    <row r="3411">
      <c r="A3411" s="3">
        <f>IFERROR(__xludf.DUMMYFUNCTION("""COMPUTED_VALUE"""),43878.99861111111)</f>
        <v>43878.99861</v>
      </c>
      <c r="B3411" s="1">
        <f>IFERROR(__xludf.DUMMYFUNCTION("""COMPUTED_VALUE"""),9161.425)</f>
        <v>9161.425</v>
      </c>
    </row>
    <row r="3412">
      <c r="A3412" s="3">
        <f>IFERROR(__xludf.DUMMYFUNCTION("""COMPUTED_VALUE"""),43879.99861111111)</f>
        <v>43879.99861</v>
      </c>
      <c r="B3412" s="1">
        <f>IFERROR(__xludf.DUMMYFUNCTION("""COMPUTED_VALUE"""),9144.997)</f>
        <v>9144.997</v>
      </c>
    </row>
    <row r="3413">
      <c r="A3413" s="3">
        <f>IFERROR(__xludf.DUMMYFUNCTION("""COMPUTED_VALUE"""),43880.99861111111)</f>
        <v>43880.99861</v>
      </c>
      <c r="B3413" s="1">
        <f>IFERROR(__xludf.DUMMYFUNCTION("""COMPUTED_VALUE"""),9132.386)</f>
        <v>9132.386</v>
      </c>
    </row>
    <row r="3414">
      <c r="A3414" s="3">
        <f>IFERROR(__xludf.DUMMYFUNCTION("""COMPUTED_VALUE"""),43881.99861111111)</f>
        <v>43881.99861</v>
      </c>
      <c r="B3414" s="1">
        <f>IFERROR(__xludf.DUMMYFUNCTION("""COMPUTED_VALUE"""),9067.971)</f>
        <v>9067.971</v>
      </c>
    </row>
    <row r="3415">
      <c r="A3415" s="3">
        <f>IFERROR(__xludf.DUMMYFUNCTION("""COMPUTED_VALUE"""),43882.99861111111)</f>
        <v>43882.99861</v>
      </c>
      <c r="B3415" s="1">
        <f>IFERROR(__xludf.DUMMYFUNCTION("""COMPUTED_VALUE"""),9119.754)</f>
        <v>9119.754</v>
      </c>
    </row>
    <row r="3416">
      <c r="A3416" s="3">
        <f>IFERROR(__xludf.DUMMYFUNCTION("""COMPUTED_VALUE"""),43883.99861111111)</f>
        <v>43883.99861</v>
      </c>
      <c r="B3416" s="1">
        <f>IFERROR(__xludf.DUMMYFUNCTION("""COMPUTED_VALUE"""),9119.754)</f>
        <v>9119.754</v>
      </c>
    </row>
    <row r="3417">
      <c r="A3417" s="3">
        <f>IFERROR(__xludf.DUMMYFUNCTION("""COMPUTED_VALUE"""),43884.99861111111)</f>
        <v>43884.99861</v>
      </c>
      <c r="B3417" s="1">
        <f>IFERROR(__xludf.DUMMYFUNCTION("""COMPUTED_VALUE"""),9109.197)</f>
        <v>9109.197</v>
      </c>
    </row>
    <row r="3418">
      <c r="A3418" s="3">
        <f>IFERROR(__xludf.DUMMYFUNCTION("""COMPUTED_VALUE"""),43885.99861111111)</f>
        <v>43885.99861</v>
      </c>
      <c r="B3418" s="1">
        <f>IFERROR(__xludf.DUMMYFUNCTION("""COMPUTED_VALUE"""),9182.715)</f>
        <v>9182.715</v>
      </c>
    </row>
    <row r="3419">
      <c r="A3419" s="3">
        <f>IFERROR(__xludf.DUMMYFUNCTION("""COMPUTED_VALUE"""),43886.99861111111)</f>
        <v>43886.99861</v>
      </c>
      <c r="B3419" s="1">
        <f>IFERROR(__xludf.DUMMYFUNCTION("""COMPUTED_VALUE"""),9154.211)</f>
        <v>9154.211</v>
      </c>
    </row>
    <row r="3420">
      <c r="A3420" s="3">
        <f>IFERROR(__xludf.DUMMYFUNCTION("""COMPUTED_VALUE"""),43887.99861111111)</f>
        <v>43887.99861</v>
      </c>
      <c r="B3420" s="1">
        <f>IFERROR(__xludf.DUMMYFUNCTION("""COMPUTED_VALUE"""),9122.205)</f>
        <v>9122.205</v>
      </c>
    </row>
    <row r="3421">
      <c r="A3421" s="3">
        <f>IFERROR(__xludf.DUMMYFUNCTION("""COMPUTED_VALUE"""),43888.99861111111)</f>
        <v>43888.99861</v>
      </c>
      <c r="B3421" s="1">
        <f>IFERROR(__xludf.DUMMYFUNCTION("""COMPUTED_VALUE"""),9222.493)</f>
        <v>9222.493</v>
      </c>
    </row>
    <row r="3422">
      <c r="A3422" s="3">
        <f>IFERROR(__xludf.DUMMYFUNCTION("""COMPUTED_VALUE"""),43889.99861111111)</f>
        <v>43889.99861</v>
      </c>
      <c r="B3422" s="1">
        <f>IFERROR(__xludf.DUMMYFUNCTION("""COMPUTED_VALUE"""),9121.908)</f>
        <v>9121.908</v>
      </c>
    </row>
    <row r="3423">
      <c r="A3423" s="3">
        <f>IFERROR(__xludf.DUMMYFUNCTION("""COMPUTED_VALUE"""),43890.99861111111)</f>
        <v>43890.99861</v>
      </c>
      <c r="B3423" s="1">
        <f>IFERROR(__xludf.DUMMYFUNCTION("""COMPUTED_VALUE"""),9121.908)</f>
        <v>9121.908</v>
      </c>
    </row>
    <row r="3424">
      <c r="A3424" s="3">
        <f>IFERROR(__xludf.DUMMYFUNCTION("""COMPUTED_VALUE"""),43891.99861111111)</f>
        <v>43891.99861</v>
      </c>
      <c r="B3424" s="1">
        <f>IFERROR(__xludf.DUMMYFUNCTION("""COMPUTED_VALUE"""),9090.936)</f>
        <v>9090.936</v>
      </c>
    </row>
    <row r="3425">
      <c r="A3425" s="3">
        <f>IFERROR(__xludf.DUMMYFUNCTION("""COMPUTED_VALUE"""),43892.99861111111)</f>
        <v>43892.99861</v>
      </c>
      <c r="B3425" s="1">
        <f>IFERROR(__xludf.DUMMYFUNCTION("""COMPUTED_VALUE"""),9325.745)</f>
        <v>9325.745</v>
      </c>
    </row>
    <row r="3426">
      <c r="A3426" s="3">
        <f>IFERROR(__xludf.DUMMYFUNCTION("""COMPUTED_VALUE"""),43893.99861111111)</f>
        <v>43893.99861</v>
      </c>
      <c r="B3426" s="1">
        <f>IFERROR(__xludf.DUMMYFUNCTION("""COMPUTED_VALUE"""),9433.645)</f>
        <v>9433.645</v>
      </c>
    </row>
    <row r="3427">
      <c r="A3427" s="3">
        <f>IFERROR(__xludf.DUMMYFUNCTION("""COMPUTED_VALUE"""),43894.99861111111)</f>
        <v>43894.99861</v>
      </c>
      <c r="B3427" s="1">
        <f>IFERROR(__xludf.DUMMYFUNCTION("""COMPUTED_VALUE"""),9348.365)</f>
        <v>9348.365</v>
      </c>
    </row>
    <row r="3428">
      <c r="A3428" s="3">
        <f>IFERROR(__xludf.DUMMYFUNCTION("""COMPUTED_VALUE"""),43895.99861111111)</f>
        <v>43895.99861</v>
      </c>
      <c r="B3428" s="1">
        <f>IFERROR(__xludf.DUMMYFUNCTION("""COMPUTED_VALUE"""),9034.668)</f>
        <v>9034.668</v>
      </c>
    </row>
    <row r="3429">
      <c r="A3429" s="3">
        <f>IFERROR(__xludf.DUMMYFUNCTION("""COMPUTED_VALUE"""),43896.99861111111)</f>
        <v>43896.99861</v>
      </c>
      <c r="B3429" s="1">
        <f>IFERROR(__xludf.DUMMYFUNCTION("""COMPUTED_VALUE"""),9463.17)</f>
        <v>9463.17</v>
      </c>
    </row>
    <row r="3430">
      <c r="A3430" s="3">
        <f>IFERROR(__xludf.DUMMYFUNCTION("""COMPUTED_VALUE"""),43897.99861111111)</f>
        <v>43897.99861</v>
      </c>
      <c r="B3430" s="1">
        <f>IFERROR(__xludf.DUMMYFUNCTION("""COMPUTED_VALUE"""),9467.804)</f>
        <v>9467.804</v>
      </c>
    </row>
    <row r="3431">
      <c r="A3431" s="3">
        <f>IFERROR(__xludf.DUMMYFUNCTION("""COMPUTED_VALUE"""),43898.99861111111)</f>
        <v>43898.99861</v>
      </c>
      <c r="B3431" s="1">
        <f>IFERROR(__xludf.DUMMYFUNCTION("""COMPUTED_VALUE"""),9480.094)</f>
        <v>9480.094</v>
      </c>
    </row>
    <row r="3432">
      <c r="A3432" s="3">
        <f>IFERROR(__xludf.DUMMYFUNCTION("""COMPUTED_VALUE"""),43899.99861111111)</f>
        <v>43899.99861</v>
      </c>
      <c r="B3432" s="1">
        <f>IFERROR(__xludf.DUMMYFUNCTION("""COMPUTED_VALUE"""),9313.225)</f>
        <v>9313.225</v>
      </c>
    </row>
    <row r="3433">
      <c r="A3433" s="3">
        <f>IFERROR(__xludf.DUMMYFUNCTION("""COMPUTED_VALUE"""),43900.99861111111)</f>
        <v>43900.99861</v>
      </c>
      <c r="B3433" s="1">
        <f>IFERROR(__xludf.DUMMYFUNCTION("""COMPUTED_VALUE"""),9376.978)</f>
        <v>9376.978</v>
      </c>
    </row>
    <row r="3434">
      <c r="A3434" s="3">
        <f>IFERROR(__xludf.DUMMYFUNCTION("""COMPUTED_VALUE"""),43901.99861111111)</f>
        <v>43901.99861</v>
      </c>
      <c r="B3434" s="1">
        <f>IFERROR(__xludf.DUMMYFUNCTION("""COMPUTED_VALUE"""),9344.428)</f>
        <v>9344.428</v>
      </c>
    </row>
    <row r="3435">
      <c r="A3435" s="3">
        <f>IFERROR(__xludf.DUMMYFUNCTION("""COMPUTED_VALUE"""),43902.99861111111)</f>
        <v>43902.99861</v>
      </c>
      <c r="B3435" s="1">
        <f>IFERROR(__xludf.DUMMYFUNCTION("""COMPUTED_VALUE"""),9124.782)</f>
        <v>9124.782</v>
      </c>
    </row>
    <row r="3436">
      <c r="A3436" s="3">
        <f>IFERROR(__xludf.DUMMYFUNCTION("""COMPUTED_VALUE"""),43903.99861111111)</f>
        <v>43903.99861</v>
      </c>
      <c r="B3436" s="1">
        <f>IFERROR(__xludf.DUMMYFUNCTION("""COMPUTED_VALUE"""),9047.704)</f>
        <v>9047.704</v>
      </c>
    </row>
    <row r="3437">
      <c r="A3437" s="3">
        <f>IFERROR(__xludf.DUMMYFUNCTION("""COMPUTED_VALUE"""),43904.99861111111)</f>
        <v>43904.99861</v>
      </c>
      <c r="B3437" s="1">
        <f>IFERROR(__xludf.DUMMYFUNCTION("""COMPUTED_VALUE"""),9047.704)</f>
        <v>9047.704</v>
      </c>
    </row>
    <row r="3438">
      <c r="A3438" s="3">
        <f>IFERROR(__xludf.DUMMYFUNCTION("""COMPUTED_VALUE"""),43905.99861111111)</f>
        <v>43905.99861</v>
      </c>
      <c r="B3438" s="1">
        <f>IFERROR(__xludf.DUMMYFUNCTION("""COMPUTED_VALUE"""),9048.463)</f>
        <v>9048.463</v>
      </c>
    </row>
    <row r="3439">
      <c r="A3439" s="3">
        <f>IFERROR(__xludf.DUMMYFUNCTION("""COMPUTED_VALUE"""),43906.99861111111)</f>
        <v>43906.99861</v>
      </c>
      <c r="B3439" s="1">
        <f>IFERROR(__xludf.DUMMYFUNCTION("""COMPUTED_VALUE"""),9079.566)</f>
        <v>9079.566</v>
      </c>
    </row>
    <row r="3440">
      <c r="A3440" s="3">
        <f>IFERROR(__xludf.DUMMYFUNCTION("""COMPUTED_VALUE"""),43907.99861111111)</f>
        <v>43907.99861</v>
      </c>
      <c r="B3440" s="1">
        <f>IFERROR(__xludf.DUMMYFUNCTION("""COMPUTED_VALUE"""),9087.867)</f>
        <v>9087.867</v>
      </c>
    </row>
    <row r="3441">
      <c r="A3441" s="3">
        <f>IFERROR(__xludf.DUMMYFUNCTION("""COMPUTED_VALUE"""),43908.99861111111)</f>
        <v>43908.99861</v>
      </c>
      <c r="B3441" s="1">
        <f>IFERROR(__xludf.DUMMYFUNCTION("""COMPUTED_VALUE"""),8764.422)</f>
        <v>8764.422</v>
      </c>
    </row>
    <row r="3442">
      <c r="A3442" s="3">
        <f>IFERROR(__xludf.DUMMYFUNCTION("""COMPUTED_VALUE"""),43909.99861111111)</f>
        <v>43909.99861</v>
      </c>
      <c r="B3442" s="1">
        <f>IFERROR(__xludf.DUMMYFUNCTION("""COMPUTED_VALUE"""),9142.287)</f>
        <v>9142.287</v>
      </c>
    </row>
    <row r="3443">
      <c r="A3443" s="3">
        <f>IFERROR(__xludf.DUMMYFUNCTION("""COMPUTED_VALUE"""),43910.99861111111)</f>
        <v>43910.99861</v>
      </c>
      <c r="B3443" s="1">
        <f>IFERROR(__xludf.DUMMYFUNCTION("""COMPUTED_VALUE"""),9136.168)</f>
        <v>9136.168</v>
      </c>
    </row>
    <row r="3444">
      <c r="A3444" s="3">
        <f>IFERROR(__xludf.DUMMYFUNCTION("""COMPUTED_VALUE"""),43911.99861111111)</f>
        <v>43911.99861</v>
      </c>
      <c r="B3444" s="1">
        <f>IFERROR(__xludf.DUMMYFUNCTION("""COMPUTED_VALUE"""),9136.191)</f>
        <v>9136.191</v>
      </c>
    </row>
    <row r="3445">
      <c r="A3445" s="3">
        <f>IFERROR(__xludf.DUMMYFUNCTION("""COMPUTED_VALUE"""),43912.99861111111)</f>
        <v>43912.99861</v>
      </c>
      <c r="B3445" s="1">
        <f>IFERROR(__xludf.DUMMYFUNCTION("""COMPUTED_VALUE"""),9136.191)</f>
        <v>9136.191</v>
      </c>
    </row>
    <row r="3446">
      <c r="A3446" s="3">
        <f>IFERROR(__xludf.DUMMYFUNCTION("""COMPUTED_VALUE"""),43913.99861111111)</f>
        <v>43913.99861</v>
      </c>
      <c r="B3446" s="1">
        <f>IFERROR(__xludf.DUMMYFUNCTION("""COMPUTED_VALUE"""),9688.617)</f>
        <v>9688.617</v>
      </c>
    </row>
    <row r="3447">
      <c r="A3447" s="3">
        <f>IFERROR(__xludf.DUMMYFUNCTION("""COMPUTED_VALUE"""),43914.99861111111)</f>
        <v>43914.99861</v>
      </c>
      <c r="B3447" s="1">
        <f>IFERROR(__xludf.DUMMYFUNCTION("""COMPUTED_VALUE"""),9811.779)</f>
        <v>9811.779</v>
      </c>
    </row>
    <row r="3448">
      <c r="A3448" s="3">
        <f>IFERROR(__xludf.DUMMYFUNCTION("""COMPUTED_VALUE"""),43915.99861111111)</f>
        <v>43915.99861</v>
      </c>
      <c r="B3448" s="1">
        <f>IFERROR(__xludf.DUMMYFUNCTION("""COMPUTED_VALUE"""),9710.636)</f>
        <v>9710.636</v>
      </c>
    </row>
    <row r="3449">
      <c r="A3449" s="3">
        <f>IFERROR(__xludf.DUMMYFUNCTION("""COMPUTED_VALUE"""),43916.99861111111)</f>
        <v>43916.99861</v>
      </c>
      <c r="B3449" s="1">
        <f>IFERROR(__xludf.DUMMYFUNCTION("""COMPUTED_VALUE"""),9851.18)</f>
        <v>9851.18</v>
      </c>
    </row>
    <row r="3450">
      <c r="A3450" s="3">
        <f>IFERROR(__xludf.DUMMYFUNCTION("""COMPUTED_VALUE"""),43917.99861111111)</f>
        <v>43917.99861</v>
      </c>
      <c r="B3450" s="1">
        <f>IFERROR(__xludf.DUMMYFUNCTION("""COMPUTED_VALUE"""),9873.584)</f>
        <v>9873.584</v>
      </c>
    </row>
    <row r="3451">
      <c r="A3451" s="3">
        <f>IFERROR(__xludf.DUMMYFUNCTION("""COMPUTED_VALUE"""),43918.99861111111)</f>
        <v>43918.99861</v>
      </c>
      <c r="B3451" s="1">
        <f>IFERROR(__xludf.DUMMYFUNCTION("""COMPUTED_VALUE"""),9873.584)</f>
        <v>9873.584</v>
      </c>
    </row>
    <row r="3452">
      <c r="A3452" s="3">
        <f>IFERROR(__xludf.DUMMYFUNCTION("""COMPUTED_VALUE"""),43919.99861111111)</f>
        <v>43919.99861</v>
      </c>
      <c r="B3452" s="1">
        <f>IFERROR(__xludf.DUMMYFUNCTION("""COMPUTED_VALUE"""),9870.006)</f>
        <v>9870.006</v>
      </c>
    </row>
    <row r="3453">
      <c r="A3453" s="3">
        <f>IFERROR(__xludf.DUMMYFUNCTION("""COMPUTED_VALUE"""),43920.99861111111)</f>
        <v>43920.99861</v>
      </c>
      <c r="B3453" s="1">
        <f>IFERROR(__xludf.DUMMYFUNCTION("""COMPUTED_VALUE"""),10074.86)</f>
        <v>10074.86</v>
      </c>
    </row>
    <row r="3454">
      <c r="A3454" s="3">
        <f>IFERROR(__xludf.DUMMYFUNCTION("""COMPUTED_VALUE"""),43921.99861111111)</f>
        <v>43921.99861</v>
      </c>
      <c r="B3454" s="1">
        <f>IFERROR(__xludf.DUMMYFUNCTION("""COMPUTED_VALUE"""),10000.08)</f>
        <v>10000.08</v>
      </c>
    </row>
    <row r="3455">
      <c r="A3455" s="3">
        <f>IFERROR(__xludf.DUMMYFUNCTION("""COMPUTED_VALUE"""),43922.99861111111)</f>
        <v>43922.99861</v>
      </c>
      <c r="B3455" s="1">
        <f>IFERROR(__xludf.DUMMYFUNCTION("""COMPUTED_VALUE"""),9994.538)</f>
        <v>9994.538</v>
      </c>
    </row>
    <row r="3456">
      <c r="A3456" s="3">
        <f>IFERROR(__xludf.DUMMYFUNCTION("""COMPUTED_VALUE"""),43923.99861111111)</f>
        <v>43923.99861</v>
      </c>
      <c r="B3456" s="1">
        <f>IFERROR(__xludf.DUMMYFUNCTION("""COMPUTED_VALUE"""),9970.924)</f>
        <v>9970.924</v>
      </c>
    </row>
    <row r="3457">
      <c r="A3457" s="3">
        <f>IFERROR(__xludf.DUMMYFUNCTION("""COMPUTED_VALUE"""),43924.99861111111)</f>
        <v>43924.99861</v>
      </c>
      <c r="B3457" s="1">
        <f>IFERROR(__xludf.DUMMYFUNCTION("""COMPUTED_VALUE"""),9820.834)</f>
        <v>9820.834</v>
      </c>
    </row>
    <row r="3458">
      <c r="A3458" s="3">
        <f>IFERROR(__xludf.DUMMYFUNCTION("""COMPUTED_VALUE"""),43925.99861111111)</f>
        <v>43925.99861</v>
      </c>
      <c r="B3458" s="1">
        <f>IFERROR(__xludf.DUMMYFUNCTION("""COMPUTED_VALUE"""),9828.281)</f>
        <v>9828.281</v>
      </c>
    </row>
    <row r="3459">
      <c r="A3459" s="3">
        <f>IFERROR(__xludf.DUMMYFUNCTION("""COMPUTED_VALUE"""),43926.99861111111)</f>
        <v>43926.99861</v>
      </c>
      <c r="B3459" s="1">
        <f>IFERROR(__xludf.DUMMYFUNCTION("""COMPUTED_VALUE"""),9828.281)</f>
        <v>9828.281</v>
      </c>
    </row>
    <row r="3460">
      <c r="A3460" s="3">
        <f>IFERROR(__xludf.DUMMYFUNCTION("""COMPUTED_VALUE"""),43927.99861111111)</f>
        <v>43927.99861</v>
      </c>
      <c r="B3460" s="1">
        <f>IFERROR(__xludf.DUMMYFUNCTION("""COMPUTED_VALUE"""),10004.33)</f>
        <v>10004.33</v>
      </c>
    </row>
    <row r="3461">
      <c r="A3461" s="3">
        <f>IFERROR(__xludf.DUMMYFUNCTION("""COMPUTED_VALUE"""),43928.99861111111)</f>
        <v>43928.99861</v>
      </c>
      <c r="B3461" s="1">
        <f>IFERROR(__xludf.DUMMYFUNCTION("""COMPUTED_VALUE"""),9943.921)</f>
        <v>9943.921</v>
      </c>
    </row>
    <row r="3462">
      <c r="A3462" s="3">
        <f>IFERROR(__xludf.DUMMYFUNCTION("""COMPUTED_VALUE"""),43929.99861111111)</f>
        <v>43929.99861</v>
      </c>
      <c r="B3462" s="1">
        <f>IFERROR(__xludf.DUMMYFUNCTION("""COMPUTED_VALUE"""),10108.19)</f>
        <v>10108.19</v>
      </c>
    </row>
    <row r="3463">
      <c r="A3463" s="3">
        <f>IFERROR(__xludf.DUMMYFUNCTION("""COMPUTED_VALUE"""),43930.99861111111)</f>
        <v>43930.99861</v>
      </c>
      <c r="B3463" s="1">
        <f>IFERROR(__xludf.DUMMYFUNCTION("""COMPUTED_VALUE"""),10123.16)</f>
        <v>10123.16</v>
      </c>
    </row>
    <row r="3464">
      <c r="A3464" s="3">
        <f>IFERROR(__xludf.DUMMYFUNCTION("""COMPUTED_VALUE"""),43931.99861111111)</f>
        <v>43931.99861</v>
      </c>
      <c r="B3464" s="1">
        <f>IFERROR(__xludf.DUMMYFUNCTION("""COMPUTED_VALUE"""),10030.39)</f>
        <v>10030.39</v>
      </c>
    </row>
    <row r="3465">
      <c r="A3465" s="3">
        <f>IFERROR(__xludf.DUMMYFUNCTION("""COMPUTED_VALUE"""),43932.99861111111)</f>
        <v>43932.99861</v>
      </c>
      <c r="B3465" s="1">
        <f>IFERROR(__xludf.DUMMYFUNCTION("""COMPUTED_VALUE"""),10030.39)</f>
        <v>10030.39</v>
      </c>
    </row>
    <row r="3466">
      <c r="A3466" s="3">
        <f>IFERROR(__xludf.DUMMYFUNCTION("""COMPUTED_VALUE"""),43933.99861111111)</f>
        <v>43933.99861</v>
      </c>
      <c r="B3466" s="1">
        <f>IFERROR(__xludf.DUMMYFUNCTION("""COMPUTED_VALUE"""),10033.29)</f>
        <v>10033.29</v>
      </c>
    </row>
    <row r="3467">
      <c r="A3467" s="3">
        <f>IFERROR(__xludf.DUMMYFUNCTION("""COMPUTED_VALUE"""),43934.99861111111)</f>
        <v>43934.99861</v>
      </c>
      <c r="B3467" s="1">
        <f>IFERROR(__xludf.DUMMYFUNCTION("""COMPUTED_VALUE"""),10065.96)</f>
        <v>10065.96</v>
      </c>
    </row>
    <row r="3468">
      <c r="A3468" s="3">
        <f>IFERROR(__xludf.DUMMYFUNCTION("""COMPUTED_VALUE"""),43935.99861111111)</f>
        <v>43935.99861</v>
      </c>
      <c r="B3468" s="1">
        <f>IFERROR(__xludf.DUMMYFUNCTION("""COMPUTED_VALUE"""),10036.24)</f>
        <v>10036.24</v>
      </c>
    </row>
    <row r="3469">
      <c r="A3469" s="3">
        <f>IFERROR(__xludf.DUMMYFUNCTION("""COMPUTED_VALUE"""),43936.99861111111)</f>
        <v>43936.99861</v>
      </c>
      <c r="B3469" s="1">
        <f>IFERROR(__xludf.DUMMYFUNCTION("""COMPUTED_VALUE"""),9827.839)</f>
        <v>9827.839</v>
      </c>
    </row>
    <row r="3470">
      <c r="A3470" s="3">
        <f>IFERROR(__xludf.DUMMYFUNCTION("""COMPUTED_VALUE"""),43937.99861111111)</f>
        <v>43937.99861</v>
      </c>
      <c r="B3470" s="1">
        <f>IFERROR(__xludf.DUMMYFUNCTION("""COMPUTED_VALUE"""),9917.498)</f>
        <v>9917.498</v>
      </c>
    </row>
    <row r="3471">
      <c r="A3471" s="3">
        <f>IFERROR(__xludf.DUMMYFUNCTION("""COMPUTED_VALUE"""),43938.99861111111)</f>
        <v>43938.99861</v>
      </c>
      <c r="B3471" s="1">
        <f>IFERROR(__xludf.DUMMYFUNCTION("""COMPUTED_VALUE"""),9831.954)</f>
        <v>9831.954</v>
      </c>
    </row>
    <row r="3472">
      <c r="A3472" s="3">
        <f>IFERROR(__xludf.DUMMYFUNCTION("""COMPUTED_VALUE"""),43939.99861111111)</f>
        <v>43939.99861</v>
      </c>
      <c r="B3472" s="1">
        <f>IFERROR(__xludf.DUMMYFUNCTION("""COMPUTED_VALUE"""),9830.485)</f>
        <v>9830.485</v>
      </c>
    </row>
    <row r="3473">
      <c r="A3473" s="3">
        <f>IFERROR(__xludf.DUMMYFUNCTION("""COMPUTED_VALUE"""),43940.99861111111)</f>
        <v>43940.99861</v>
      </c>
      <c r="B3473" s="1">
        <f>IFERROR(__xludf.DUMMYFUNCTION("""COMPUTED_VALUE"""),9786.019)</f>
        <v>9786.019</v>
      </c>
    </row>
    <row r="3474">
      <c r="A3474" s="3">
        <f>IFERROR(__xludf.DUMMYFUNCTION("""COMPUTED_VALUE"""),43941.99861111111)</f>
        <v>43941.99861</v>
      </c>
      <c r="B3474" s="1">
        <f>IFERROR(__xludf.DUMMYFUNCTION("""COMPUTED_VALUE"""),9758.903)</f>
        <v>9758.903</v>
      </c>
    </row>
    <row r="3475">
      <c r="A3475" s="3">
        <f>IFERROR(__xludf.DUMMYFUNCTION("""COMPUTED_VALUE"""),43942.99861111111)</f>
        <v>43942.99861</v>
      </c>
      <c r="B3475" s="1">
        <f>IFERROR(__xludf.DUMMYFUNCTION("""COMPUTED_VALUE"""),9694.99)</f>
        <v>9694.99</v>
      </c>
    </row>
    <row r="3476">
      <c r="A3476" s="3">
        <f>IFERROR(__xludf.DUMMYFUNCTION("""COMPUTED_VALUE"""),43943.99861111111)</f>
        <v>43943.99861</v>
      </c>
      <c r="B3476" s="1">
        <f>IFERROR(__xludf.DUMMYFUNCTION("""COMPUTED_VALUE"""),9712.909)</f>
        <v>9712.909</v>
      </c>
    </row>
    <row r="3477">
      <c r="A3477" s="3">
        <f>IFERROR(__xludf.DUMMYFUNCTION("""COMPUTED_VALUE"""),43944.99861111111)</f>
        <v>43944.99861</v>
      </c>
      <c r="B3477" s="1">
        <f>IFERROR(__xludf.DUMMYFUNCTION("""COMPUTED_VALUE"""),9823.152)</f>
        <v>9823.152</v>
      </c>
    </row>
    <row r="3478">
      <c r="A3478" s="3">
        <f>IFERROR(__xludf.DUMMYFUNCTION("""COMPUTED_VALUE"""),43945.99861111111)</f>
        <v>43945.99861</v>
      </c>
      <c r="B3478" s="1">
        <f>IFERROR(__xludf.DUMMYFUNCTION("""COMPUTED_VALUE"""),9808.535)</f>
        <v>9808.535</v>
      </c>
    </row>
    <row r="3479">
      <c r="A3479" s="3">
        <f>IFERROR(__xludf.DUMMYFUNCTION("""COMPUTED_VALUE"""),43946.99861111111)</f>
        <v>43946.99861</v>
      </c>
      <c r="B3479" s="1">
        <f>IFERROR(__xludf.DUMMYFUNCTION("""COMPUTED_VALUE"""),9806.959)</f>
        <v>9806.959</v>
      </c>
    </row>
    <row r="3480">
      <c r="A3480" s="3">
        <f>IFERROR(__xludf.DUMMYFUNCTION("""COMPUTED_VALUE"""),43947.99861111111)</f>
        <v>43947.99861</v>
      </c>
      <c r="B3480" s="1">
        <f>IFERROR(__xludf.DUMMYFUNCTION("""COMPUTED_VALUE"""),9806.106)</f>
        <v>9806.106</v>
      </c>
    </row>
    <row r="3481">
      <c r="A3481" s="3">
        <f>IFERROR(__xludf.DUMMYFUNCTION("""COMPUTED_VALUE"""),43948.99861111111)</f>
        <v>43948.99861</v>
      </c>
      <c r="B3481" s="1">
        <f>IFERROR(__xludf.DUMMYFUNCTION("""COMPUTED_VALUE"""),9875.687)</f>
        <v>9875.687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IFERROR(__xludf.DUMMYFUNCTION("googlefinance(""Currency:EURIDR"",""price"",""01/01/2010"",""28/04/2020"", ""DAILY"")
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IFERROR(__xludf.DUMMYFUNCTION("""COMPUTED_VALUE"""),13409.20672)</f>
        <v>13409.20672</v>
      </c>
    </row>
    <row r="3">
      <c r="A3" s="3">
        <f>IFERROR(__xludf.DUMMYFUNCTION("""COMPUTED_VALUE"""),40182.99861111111)</f>
        <v>40182.99861</v>
      </c>
      <c r="B3" s="1">
        <f>IFERROR(__xludf.DUMMYFUNCTION("""COMPUTED_VALUE"""),13505.04924)</f>
        <v>13505.04924</v>
      </c>
    </row>
    <row r="4">
      <c r="A4" s="3">
        <f>IFERROR(__xludf.DUMMYFUNCTION("""COMPUTED_VALUE"""),40183.99861111111)</f>
        <v>40183.99861</v>
      </c>
      <c r="B4" s="1">
        <f>IFERROR(__xludf.DUMMYFUNCTION("""COMPUTED_VALUE"""),13363.19772)</f>
        <v>13363.19772</v>
      </c>
    </row>
    <row r="5">
      <c r="A5" s="3">
        <f>IFERROR(__xludf.DUMMYFUNCTION("""COMPUTED_VALUE"""),40184.99861111111)</f>
        <v>40184.99861</v>
      </c>
      <c r="B5" s="1">
        <f>IFERROR(__xludf.DUMMYFUNCTION("""COMPUTED_VALUE"""),13272.22038)</f>
        <v>13272.22038</v>
      </c>
    </row>
    <row r="6">
      <c r="A6" s="3">
        <f>IFERROR(__xludf.DUMMYFUNCTION("""COMPUTED_VALUE"""),40185.99861111111)</f>
        <v>40185.99861</v>
      </c>
      <c r="B6" s="1">
        <f>IFERROR(__xludf.DUMMYFUNCTION("""COMPUTED_VALUE"""),13273.58375)</f>
        <v>13273.58375</v>
      </c>
    </row>
    <row r="7">
      <c r="A7" s="3">
        <f>IFERROR(__xludf.DUMMYFUNCTION("""COMPUTED_VALUE"""),40186.99861111111)</f>
        <v>40186.99861</v>
      </c>
      <c r="B7" s="1">
        <f>IFERROR(__xludf.DUMMYFUNCTION("""COMPUTED_VALUE"""),13273.65816)</f>
        <v>13273.65816</v>
      </c>
    </row>
    <row r="8">
      <c r="A8" s="3">
        <f>IFERROR(__xludf.DUMMYFUNCTION("""COMPUTED_VALUE"""),40189.99861111111)</f>
        <v>40189.99861</v>
      </c>
      <c r="B8" s="1">
        <f>IFERROR(__xludf.DUMMYFUNCTION("""COMPUTED_VALUE"""),13272.97829)</f>
        <v>13272.97829</v>
      </c>
    </row>
    <row r="9">
      <c r="A9" s="3">
        <f>IFERROR(__xludf.DUMMYFUNCTION("""COMPUTED_VALUE"""),40190.99861111111)</f>
        <v>40190.99861</v>
      </c>
      <c r="B9" s="1">
        <f>IFERROR(__xludf.DUMMYFUNCTION("""COMPUTED_VALUE"""),13275.0225)</f>
        <v>13275.0225</v>
      </c>
    </row>
    <row r="10">
      <c r="A10" s="3">
        <f>IFERROR(__xludf.DUMMYFUNCTION("""COMPUTED_VALUE"""),40191.99861111111)</f>
        <v>40191.99861</v>
      </c>
      <c r="B10" s="1">
        <f>IFERROR(__xludf.DUMMYFUNCTION("""COMPUTED_VALUE"""),13274.5602)</f>
        <v>13274.5602</v>
      </c>
    </row>
    <row r="11">
      <c r="A11" s="3">
        <f>IFERROR(__xludf.DUMMYFUNCTION("""COMPUTED_VALUE"""),40192.99861111111)</f>
        <v>40192.99861</v>
      </c>
      <c r="B11" s="1">
        <f>IFERROR(__xludf.DUMMYFUNCTION("""COMPUTED_VALUE"""),13273.16326)</f>
        <v>13273.16326</v>
      </c>
    </row>
    <row r="12">
      <c r="A12" s="3">
        <f>IFERROR(__xludf.DUMMYFUNCTION("""COMPUTED_VALUE"""),40193.99861111111)</f>
        <v>40193.99861</v>
      </c>
      <c r="B12" s="1">
        <f>IFERROR(__xludf.DUMMYFUNCTION("""COMPUTED_VALUE"""),13272.66746)</f>
        <v>13272.66746</v>
      </c>
    </row>
    <row r="13">
      <c r="A13" s="3">
        <f>IFERROR(__xludf.DUMMYFUNCTION("""COMPUTED_VALUE"""),40196.99861111111)</f>
        <v>40196.99861</v>
      </c>
      <c r="B13" s="1">
        <f>IFERROR(__xludf.DUMMYFUNCTION("""COMPUTED_VALUE"""),13150.852)</f>
        <v>13150.852</v>
      </c>
    </row>
    <row r="14">
      <c r="A14" s="3">
        <f>IFERROR(__xludf.DUMMYFUNCTION("""COMPUTED_VALUE"""),40197.99861111111)</f>
        <v>40197.99861</v>
      </c>
      <c r="B14" s="1">
        <f>IFERROR(__xludf.DUMMYFUNCTION("""COMPUTED_VALUE"""),13177.59961)</f>
        <v>13177.59961</v>
      </c>
    </row>
    <row r="15">
      <c r="A15" s="3">
        <f>IFERROR(__xludf.DUMMYFUNCTION("""COMPUTED_VALUE"""),40198.99861111111)</f>
        <v>40198.99861</v>
      </c>
      <c r="B15" s="1">
        <f>IFERROR(__xludf.DUMMYFUNCTION("""COMPUTED_VALUE"""),13115.17445)</f>
        <v>13115.17445</v>
      </c>
    </row>
    <row r="16">
      <c r="A16" s="3">
        <f>IFERROR(__xludf.DUMMYFUNCTION("""COMPUTED_VALUE"""),40199.99861111111)</f>
        <v>40199.99861</v>
      </c>
      <c r="B16" s="1">
        <f>IFERROR(__xludf.DUMMYFUNCTION("""COMPUTED_VALUE"""),12944.3568)</f>
        <v>12944.3568</v>
      </c>
    </row>
    <row r="17">
      <c r="A17" s="3">
        <f>IFERROR(__xludf.DUMMYFUNCTION("""COMPUTED_VALUE"""),40200.99861111111)</f>
        <v>40200.99861</v>
      </c>
      <c r="B17" s="1">
        <f>IFERROR(__xludf.DUMMYFUNCTION("""COMPUTED_VALUE"""),13062.588)</f>
        <v>13062.588</v>
      </c>
    </row>
    <row r="18">
      <c r="A18" s="3">
        <f>IFERROR(__xludf.DUMMYFUNCTION("""COMPUTED_VALUE"""),40203.99861111111)</f>
        <v>40203.99861</v>
      </c>
      <c r="B18" s="1">
        <f>IFERROR(__xludf.DUMMYFUNCTION("""COMPUTED_VALUE"""),13184.00127)</f>
        <v>13184.00127</v>
      </c>
    </row>
    <row r="19">
      <c r="A19" s="3">
        <f>IFERROR(__xludf.DUMMYFUNCTION("""COMPUTED_VALUE"""),40204.99861111111)</f>
        <v>40204.99861</v>
      </c>
      <c r="B19" s="1">
        <f>IFERROR(__xludf.DUMMYFUNCTION("""COMPUTED_VALUE"""),13203.21762)</f>
        <v>13203.21762</v>
      </c>
    </row>
    <row r="20">
      <c r="A20" s="3">
        <f>IFERROR(__xludf.DUMMYFUNCTION("""COMPUTED_VALUE"""),40205.99861111111)</f>
        <v>40205.99861</v>
      </c>
      <c r="B20" s="1">
        <f>IFERROR(__xludf.DUMMYFUNCTION("""COMPUTED_VALUE"""),13187.18985)</f>
        <v>13187.18985</v>
      </c>
    </row>
    <row r="21">
      <c r="A21" s="3">
        <f>IFERROR(__xludf.DUMMYFUNCTION("""COMPUTED_VALUE"""),40206.99861111111)</f>
        <v>40206.99861</v>
      </c>
      <c r="B21" s="1">
        <f>IFERROR(__xludf.DUMMYFUNCTION("""COMPUTED_VALUE"""),13022.10617)</f>
        <v>13022.10617</v>
      </c>
    </row>
    <row r="22">
      <c r="A22" s="3">
        <f>IFERROR(__xludf.DUMMYFUNCTION("""COMPUTED_VALUE"""),40207.99861111111)</f>
        <v>40207.99861</v>
      </c>
      <c r="B22" s="1">
        <f>IFERROR(__xludf.DUMMYFUNCTION("""COMPUTED_VALUE"""),12821.425)</f>
        <v>12821.425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IFERROR(__xludf.DUMMYFUNCTION("""COMPUTED_VALUE"""),12888.61136)</f>
        <v>12888.61136</v>
      </c>
    </row>
    <row r="24">
      <c r="A24" s="3">
        <f>IFERROR(__xludf.DUMMYFUNCTION("""COMPUTED_VALUE"""),40211.99861111111)</f>
        <v>40211.99861</v>
      </c>
      <c r="B24" s="1">
        <f>IFERROR(__xludf.DUMMYFUNCTION("""COMPUTED_VALUE"""),13014.03301)</f>
        <v>13014.03301</v>
      </c>
    </row>
    <row r="25">
      <c r="A25" s="3">
        <f>IFERROR(__xludf.DUMMYFUNCTION("""COMPUTED_VALUE"""),40212.99861111111)</f>
        <v>40212.99861</v>
      </c>
      <c r="B25" s="1">
        <f>IFERROR(__xludf.DUMMYFUNCTION("""COMPUTED_VALUE"""),13015.85754)</f>
        <v>13015.85754</v>
      </c>
    </row>
    <row r="26">
      <c r="A26" s="3">
        <f>IFERROR(__xludf.DUMMYFUNCTION("""COMPUTED_VALUE"""),40213.99861111111)</f>
        <v>40213.99861</v>
      </c>
      <c r="B26" s="1">
        <f>IFERROR(__xludf.DUMMYFUNCTION("""COMPUTED_VALUE"""),12900.41667)</f>
        <v>12900.41667</v>
      </c>
    </row>
    <row r="27">
      <c r="A27" s="3">
        <f>IFERROR(__xludf.DUMMYFUNCTION("""COMPUTED_VALUE"""),40214.99861111111)</f>
        <v>40214.99861</v>
      </c>
      <c r="B27" s="1">
        <f>IFERROR(__xludf.DUMMYFUNCTION("""COMPUTED_VALUE"""),12947.62675)</f>
        <v>12947.62675</v>
      </c>
    </row>
    <row r="28">
      <c r="A28" s="3">
        <f>IFERROR(__xludf.DUMMYFUNCTION("""COMPUTED_VALUE"""),40217.99861111111)</f>
        <v>40217.99861</v>
      </c>
      <c r="B28" s="1">
        <f>IFERROR(__xludf.DUMMYFUNCTION("""COMPUTED_VALUE"""),12950.1363)</f>
        <v>12950.1363</v>
      </c>
    </row>
    <row r="29">
      <c r="A29" s="3">
        <f>IFERROR(__xludf.DUMMYFUNCTION("""COMPUTED_VALUE"""),40218.99861111111)</f>
        <v>40218.99861</v>
      </c>
      <c r="B29" s="1">
        <f>IFERROR(__xludf.DUMMYFUNCTION("""COMPUTED_VALUE"""),12869.5554)</f>
        <v>12869.5554</v>
      </c>
    </row>
    <row r="30">
      <c r="A30" s="3">
        <f>IFERROR(__xludf.DUMMYFUNCTION("""COMPUTED_VALUE"""),40219.99861111111)</f>
        <v>40219.99861</v>
      </c>
      <c r="B30" s="1">
        <f>IFERROR(__xludf.DUMMYFUNCTION("""COMPUTED_VALUE"""),12805.43712)</f>
        <v>12805.43712</v>
      </c>
    </row>
    <row r="31">
      <c r="A31" s="3">
        <f>IFERROR(__xludf.DUMMYFUNCTION("""COMPUTED_VALUE"""),40220.99861111111)</f>
        <v>40220.99861</v>
      </c>
      <c r="B31" s="1">
        <f>IFERROR(__xludf.DUMMYFUNCTION("""COMPUTED_VALUE"""),12765.44282)</f>
        <v>12765.44282</v>
      </c>
    </row>
    <row r="32">
      <c r="A32" s="3">
        <f>IFERROR(__xludf.DUMMYFUNCTION("""COMPUTED_VALUE"""),40221.99861111111)</f>
        <v>40221.99861</v>
      </c>
      <c r="B32" s="1">
        <f>IFERROR(__xludf.DUMMYFUNCTION("""COMPUTED_VALUE"""),12711.93258)</f>
        <v>12711.93258</v>
      </c>
    </row>
    <row r="33">
      <c r="A33" s="3">
        <f>IFERROR(__xludf.DUMMYFUNCTION("""COMPUTED_VALUE"""),40224.99861111111)</f>
        <v>40224.99861</v>
      </c>
      <c r="B33" s="1">
        <f>IFERROR(__xludf.DUMMYFUNCTION("""COMPUTED_VALUE"""),12707.99352)</f>
        <v>12707.99352</v>
      </c>
    </row>
    <row r="34">
      <c r="A34" s="3">
        <f>IFERROR(__xludf.DUMMYFUNCTION("""COMPUTED_VALUE"""),40225.99861111111)</f>
        <v>40225.99861</v>
      </c>
      <c r="B34" s="1">
        <f>IFERROR(__xludf.DUMMYFUNCTION("""COMPUTED_VALUE"""),12789.81827)</f>
        <v>12789.81827</v>
      </c>
    </row>
    <row r="35">
      <c r="A35" s="3">
        <f>IFERROR(__xludf.DUMMYFUNCTION("""COMPUTED_VALUE"""),40226.99861111111)</f>
        <v>40226.99861</v>
      </c>
      <c r="B35" s="1">
        <f>IFERROR(__xludf.DUMMYFUNCTION("""COMPUTED_VALUE"""),12787.63618)</f>
        <v>12787.63618</v>
      </c>
    </row>
    <row r="36">
      <c r="A36" s="3">
        <f>IFERROR(__xludf.DUMMYFUNCTION("""COMPUTED_VALUE"""),40227.99861111111)</f>
        <v>40227.99861</v>
      </c>
      <c r="B36" s="1">
        <f>IFERROR(__xludf.DUMMYFUNCTION("""COMPUTED_VALUE"""),12788.63076)</f>
        <v>12788.63076</v>
      </c>
    </row>
    <row r="37">
      <c r="A37" s="3">
        <f>IFERROR(__xludf.DUMMYFUNCTION("""COMPUTED_VALUE"""),40228.99861111111)</f>
        <v>40228.99861</v>
      </c>
      <c r="B37" s="1">
        <f>IFERROR(__xludf.DUMMYFUNCTION("""COMPUTED_VALUE"""),12648.54264)</f>
        <v>12648.54264</v>
      </c>
    </row>
    <row r="38">
      <c r="A38" s="3">
        <f>IFERROR(__xludf.DUMMYFUNCTION("""COMPUTED_VALUE"""),40231.99861111111)</f>
        <v>40231.99861</v>
      </c>
      <c r="B38" s="1">
        <f>IFERROR(__xludf.DUMMYFUNCTION("""COMPUTED_VALUE"""),12623.29763)</f>
        <v>12623.29763</v>
      </c>
    </row>
    <row r="39">
      <c r="A39" s="3">
        <f>IFERROR(__xludf.DUMMYFUNCTION("""COMPUTED_VALUE"""),40232.99861111111)</f>
        <v>40232.99861</v>
      </c>
      <c r="B39" s="1">
        <f>IFERROR(__xludf.DUMMYFUNCTION("""COMPUTED_VALUE"""),12633.85032)</f>
        <v>12633.85032</v>
      </c>
    </row>
    <row r="40">
      <c r="A40" s="3">
        <f>IFERROR(__xludf.DUMMYFUNCTION("""COMPUTED_VALUE"""),40233.99861111111)</f>
        <v>40233.99861</v>
      </c>
      <c r="B40" s="1">
        <f>IFERROR(__xludf.DUMMYFUNCTION("""COMPUTED_VALUE"""),12663.94943)</f>
        <v>12663.94943</v>
      </c>
    </row>
    <row r="41">
      <c r="A41" s="3">
        <f>IFERROR(__xludf.DUMMYFUNCTION("""COMPUTED_VALUE"""),40234.99861111111)</f>
        <v>40234.99861</v>
      </c>
      <c r="B41" s="1">
        <f>IFERROR(__xludf.DUMMYFUNCTION("""COMPUTED_VALUE"""),12635.1932)</f>
        <v>12635.1932</v>
      </c>
    </row>
    <row r="42">
      <c r="A42" s="3">
        <f>IFERROR(__xludf.DUMMYFUNCTION("""COMPUTED_VALUE"""),40235.99861111111)</f>
        <v>40235.99861</v>
      </c>
      <c r="B42" s="1">
        <f>IFERROR(__xludf.DUMMYFUNCTION("""COMPUTED_VALUE"""),12723.882)</f>
        <v>12723.882</v>
      </c>
    </row>
    <row r="43">
      <c r="A43" s="3">
        <f>IFERROR(__xludf.DUMMYFUNCTION("""COMPUTED_VALUE"""),40238.99861111111)</f>
        <v>40238.99861</v>
      </c>
      <c r="B43" s="1">
        <f>IFERROR(__xludf.DUMMYFUNCTION("""COMPUTED_VALUE"""),12727.69721)</f>
        <v>12727.69721</v>
      </c>
    </row>
    <row r="44">
      <c r="A44" s="3">
        <f>IFERROR(__xludf.DUMMYFUNCTION("""COMPUTED_VALUE"""),40239.99861111111)</f>
        <v>40239.99861</v>
      </c>
      <c r="B44" s="1">
        <f>IFERROR(__xludf.DUMMYFUNCTION("""COMPUTED_VALUE"""),12506.39748)</f>
        <v>12506.39748</v>
      </c>
    </row>
    <row r="45">
      <c r="A45" s="3">
        <f>IFERROR(__xludf.DUMMYFUNCTION("""COMPUTED_VALUE"""),40240.99861111111)</f>
        <v>40240.99861</v>
      </c>
      <c r="B45" s="1">
        <f>IFERROR(__xludf.DUMMYFUNCTION("""COMPUTED_VALUE"""),12533.62607)</f>
        <v>12533.62607</v>
      </c>
    </row>
    <row r="46">
      <c r="A46" s="3">
        <f>IFERROR(__xludf.DUMMYFUNCTION("""COMPUTED_VALUE"""),40241.99861111111)</f>
        <v>40241.99861</v>
      </c>
      <c r="B46" s="1">
        <f>IFERROR(__xludf.DUMMYFUNCTION("""COMPUTED_VALUE"""),12668.6462)</f>
        <v>12668.6462</v>
      </c>
    </row>
    <row r="47">
      <c r="A47" s="3">
        <f>IFERROR(__xludf.DUMMYFUNCTION("""COMPUTED_VALUE"""),40242.99861111111)</f>
        <v>40242.99861</v>
      </c>
      <c r="B47" s="1">
        <f>IFERROR(__xludf.DUMMYFUNCTION("""COMPUTED_VALUE"""),12529.14064)</f>
        <v>12529.14064</v>
      </c>
    </row>
    <row r="48">
      <c r="A48" s="3">
        <f>IFERROR(__xludf.DUMMYFUNCTION("""COMPUTED_VALUE"""),40245.99861111111)</f>
        <v>40245.99861</v>
      </c>
      <c r="B48" s="1">
        <f>IFERROR(__xludf.DUMMYFUNCTION("""COMPUTED_VALUE"""),12499.488)</f>
        <v>12499.488</v>
      </c>
    </row>
    <row r="49">
      <c r="A49" s="3">
        <f>IFERROR(__xludf.DUMMYFUNCTION("""COMPUTED_VALUE"""),40246.99861111111)</f>
        <v>40246.99861</v>
      </c>
      <c r="B49" s="1">
        <f>IFERROR(__xludf.DUMMYFUNCTION("""COMPUTED_VALUE"""),12478.16793)</f>
        <v>12478.16793</v>
      </c>
    </row>
    <row r="50">
      <c r="A50" s="3">
        <f>IFERROR(__xludf.DUMMYFUNCTION("""COMPUTED_VALUE"""),40247.99861111111)</f>
        <v>40247.99861</v>
      </c>
      <c r="B50" s="1">
        <f>IFERROR(__xludf.DUMMYFUNCTION("""COMPUTED_VALUE"""),12508.66059)</f>
        <v>12508.66059</v>
      </c>
    </row>
    <row r="51">
      <c r="A51" s="3">
        <f>IFERROR(__xludf.DUMMYFUNCTION("""COMPUTED_VALUE"""),40248.99861111111)</f>
        <v>40248.99861</v>
      </c>
      <c r="B51" s="1">
        <f>IFERROR(__xludf.DUMMYFUNCTION("""COMPUTED_VALUE"""),12524.82836)</f>
        <v>12524.82836</v>
      </c>
    </row>
    <row r="52">
      <c r="A52" s="3">
        <f>IFERROR(__xludf.DUMMYFUNCTION("""COMPUTED_VALUE"""),40249.99861111111)</f>
        <v>40249.99861</v>
      </c>
      <c r="B52" s="1">
        <f>IFERROR(__xludf.DUMMYFUNCTION("""COMPUTED_VALUE"""),12587.67955)</f>
        <v>12587.67955</v>
      </c>
    </row>
    <row r="53">
      <c r="A53" s="3">
        <f>IFERROR(__xludf.DUMMYFUNCTION("""COMPUTED_VALUE"""),40252.99861111111)</f>
        <v>40252.99861</v>
      </c>
      <c r="B53" s="1">
        <f>IFERROR(__xludf.DUMMYFUNCTION("""COMPUTED_VALUE"""),12589.06825)</f>
        <v>12589.06825</v>
      </c>
    </row>
    <row r="54">
      <c r="A54" s="3">
        <f>IFERROR(__xludf.DUMMYFUNCTION("""COMPUTED_VALUE"""),40253.99861111111)</f>
        <v>40253.99861</v>
      </c>
      <c r="B54" s="1">
        <f>IFERROR(__xludf.DUMMYFUNCTION("""COMPUTED_VALUE"""),12601.11342)</f>
        <v>12601.11342</v>
      </c>
    </row>
    <row r="55">
      <c r="A55" s="3">
        <f>IFERROR(__xludf.DUMMYFUNCTION("""COMPUTED_VALUE"""),40254.99861111111)</f>
        <v>40254.99861</v>
      </c>
      <c r="B55" s="1">
        <f>IFERROR(__xludf.DUMMYFUNCTION("""COMPUTED_VALUE"""),12500.8931)</f>
        <v>12500.8931</v>
      </c>
    </row>
    <row r="56">
      <c r="A56" s="3">
        <f>IFERROR(__xludf.DUMMYFUNCTION("""COMPUTED_VALUE"""),40255.99861111111)</f>
        <v>40255.99861</v>
      </c>
      <c r="B56" s="1">
        <f>IFERROR(__xludf.DUMMYFUNCTION("""COMPUTED_VALUE"""),12414.91717)</f>
        <v>12414.91717</v>
      </c>
    </row>
    <row r="57">
      <c r="A57" s="3">
        <f>IFERROR(__xludf.DUMMYFUNCTION("""COMPUTED_VALUE"""),40256.99861111111)</f>
        <v>40256.99861</v>
      </c>
      <c r="B57" s="1">
        <f>IFERROR(__xludf.DUMMYFUNCTION("""COMPUTED_VALUE"""),12326.3712)</f>
        <v>12326.3712</v>
      </c>
    </row>
    <row r="58">
      <c r="A58" s="3">
        <f>IFERROR(__xludf.DUMMYFUNCTION("""COMPUTED_VALUE"""),40259.99861111111)</f>
        <v>40259.99861</v>
      </c>
      <c r="B58" s="1">
        <f>IFERROR(__xludf.DUMMYFUNCTION("""COMPUTED_VALUE"""),12365.0401)</f>
        <v>12365.0401</v>
      </c>
    </row>
    <row r="59">
      <c r="A59" s="3">
        <f>IFERROR(__xludf.DUMMYFUNCTION("""COMPUTED_VALUE"""),40260.99861111111)</f>
        <v>40260.99861</v>
      </c>
      <c r="B59" s="1">
        <f>IFERROR(__xludf.DUMMYFUNCTION("""COMPUTED_VALUE"""),12314.11836)</f>
        <v>12314.11836</v>
      </c>
    </row>
    <row r="60">
      <c r="A60" s="3">
        <f>IFERROR(__xludf.DUMMYFUNCTION("""COMPUTED_VALUE"""),40261.99861111111)</f>
        <v>40261.99861</v>
      </c>
      <c r="B60" s="1">
        <f>IFERROR(__xludf.DUMMYFUNCTION("""COMPUTED_VALUE"""),12147.16069)</f>
        <v>12147.16069</v>
      </c>
    </row>
    <row r="61">
      <c r="A61" s="3">
        <f>IFERROR(__xludf.DUMMYFUNCTION("""COMPUTED_VALUE"""),40262.99861111111)</f>
        <v>40262.99861</v>
      </c>
      <c r="B61" s="1">
        <f>IFERROR(__xludf.DUMMYFUNCTION("""COMPUTED_VALUE"""),12149.00645)</f>
        <v>12149.00645</v>
      </c>
    </row>
    <row r="62">
      <c r="A62" s="3">
        <f>IFERROR(__xludf.DUMMYFUNCTION("""COMPUTED_VALUE"""),40263.99861111111)</f>
        <v>40263.99861</v>
      </c>
      <c r="B62" s="1">
        <f>IFERROR(__xludf.DUMMYFUNCTION("""COMPUTED_VALUE"""),12218.48519)</f>
        <v>12218.48519</v>
      </c>
    </row>
    <row r="63">
      <c r="A63" s="3">
        <f>IFERROR(__xludf.DUMMYFUNCTION("""COMPUTED_VALUE"""),40266.99861111111)</f>
        <v>40266.99861</v>
      </c>
      <c r="B63" s="1">
        <f>IFERROR(__xludf.DUMMYFUNCTION("""COMPUTED_VALUE"""),12226.7748)</f>
        <v>12226.7748</v>
      </c>
    </row>
    <row r="64">
      <c r="A64" s="3">
        <f>IFERROR(__xludf.DUMMYFUNCTION("""COMPUTED_VALUE"""),40267.99861111111)</f>
        <v>40267.99861</v>
      </c>
      <c r="B64" s="1">
        <f>IFERROR(__xludf.DUMMYFUNCTION("""COMPUTED_VALUE"""),12181.27414)</f>
        <v>12181.27414</v>
      </c>
    </row>
    <row r="65">
      <c r="A65" s="3">
        <f>IFERROR(__xludf.DUMMYFUNCTION("""COMPUTED_VALUE"""),40268.99861111111)</f>
        <v>40268.99861</v>
      </c>
      <c r="B65" s="1">
        <f>IFERROR(__xludf.DUMMYFUNCTION("""COMPUTED_VALUE"""),12294.5118)</f>
        <v>12294.5118</v>
      </c>
    </row>
    <row r="66">
      <c r="A66" s="3">
        <f>IFERROR(__xludf.DUMMYFUNCTION("""COMPUTED_VALUE"""),40269.99861111111)</f>
        <v>40269.99861</v>
      </c>
      <c r="B66" s="1">
        <f>IFERROR(__xludf.DUMMYFUNCTION("""COMPUTED_VALUE"""),12278.2212)</f>
        <v>12278.2212</v>
      </c>
    </row>
    <row r="67">
      <c r="A67" s="3">
        <f>IFERROR(__xludf.DUMMYFUNCTION("""COMPUTED_VALUE"""),40270.99861111111)</f>
        <v>40270.99861</v>
      </c>
      <c r="B67" s="1">
        <f>IFERROR(__xludf.DUMMYFUNCTION("""COMPUTED_VALUE"""),12277.20551)</f>
        <v>12277.20551</v>
      </c>
    </row>
    <row r="68">
      <c r="A68" s="3">
        <f>IFERROR(__xludf.DUMMYFUNCTION("""COMPUTED_VALUE"""),40273.99861111111)</f>
        <v>40273.99861</v>
      </c>
      <c r="B68" s="1">
        <f>IFERROR(__xludf.DUMMYFUNCTION("""COMPUTED_VALUE"""),12207.7008)</f>
        <v>12207.7008</v>
      </c>
    </row>
    <row r="69">
      <c r="A69" s="3">
        <f>IFERROR(__xludf.DUMMYFUNCTION("""COMPUTED_VALUE"""),40274.99861111111)</f>
        <v>40274.99861</v>
      </c>
      <c r="B69" s="1">
        <f>IFERROR(__xludf.DUMMYFUNCTION("""COMPUTED_VALUE"""),12108.17454)</f>
        <v>12108.17454</v>
      </c>
    </row>
    <row r="70">
      <c r="A70" s="3">
        <f>IFERROR(__xludf.DUMMYFUNCTION("""COMPUTED_VALUE"""),40275.99861111111)</f>
        <v>40275.99861</v>
      </c>
      <c r="B70" s="1">
        <f>IFERROR(__xludf.DUMMYFUNCTION("""COMPUTED_VALUE"""),12083.23025)</f>
        <v>12083.23025</v>
      </c>
    </row>
    <row r="71">
      <c r="A71" s="3">
        <f>IFERROR(__xludf.DUMMYFUNCTION("""COMPUTED_VALUE"""),40276.99861111111)</f>
        <v>40276.99861</v>
      </c>
      <c r="B71" s="1">
        <f>IFERROR(__xludf.DUMMYFUNCTION("""COMPUTED_VALUE"""),12097.46412)</f>
        <v>12097.46412</v>
      </c>
    </row>
    <row r="72">
      <c r="A72" s="3">
        <f>IFERROR(__xludf.DUMMYFUNCTION("""COMPUTED_VALUE"""),40277.99861111111)</f>
        <v>40277.99861</v>
      </c>
      <c r="B72" s="1">
        <f>IFERROR(__xludf.DUMMYFUNCTION("""COMPUTED_VALUE"""),12139.51571)</f>
        <v>12139.51571</v>
      </c>
    </row>
    <row r="73">
      <c r="A73" s="3">
        <f>IFERROR(__xludf.DUMMYFUNCTION("""COMPUTED_VALUE"""),40280.99861111111)</f>
        <v>40280.99861</v>
      </c>
      <c r="B73" s="1">
        <f>IFERROR(__xludf.DUMMYFUNCTION("""COMPUTED_VALUE"""),12249.73362)</f>
        <v>12249.73362</v>
      </c>
    </row>
    <row r="74">
      <c r="A74" s="3">
        <f>IFERROR(__xludf.DUMMYFUNCTION("""COMPUTED_VALUE"""),40281.99861111111)</f>
        <v>40281.99861</v>
      </c>
      <c r="B74" s="1">
        <f>IFERROR(__xludf.DUMMYFUNCTION("""COMPUTED_VALUE"""),12259.22665)</f>
        <v>12259.22665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IFERROR(__xludf.DUMMYFUNCTION("""COMPUTED_VALUE"""),12304.16556)</f>
        <v>12304.16556</v>
      </c>
    </row>
    <row r="76">
      <c r="A76" s="3">
        <f>IFERROR(__xludf.DUMMYFUNCTION("""COMPUTED_VALUE"""),40283.99861111111)</f>
        <v>40283.99861</v>
      </c>
      <c r="B76" s="1">
        <f>IFERROR(__xludf.DUMMYFUNCTION("""COMPUTED_VALUE"""),12215.21278)</f>
        <v>12215.21278</v>
      </c>
    </row>
    <row r="77">
      <c r="A77" s="3">
        <f>IFERROR(__xludf.DUMMYFUNCTION("""COMPUTED_VALUE"""),40284.99861111111)</f>
        <v>40284.99861</v>
      </c>
      <c r="B77" s="1">
        <f>IFERROR(__xludf.DUMMYFUNCTION("""COMPUTED_VALUE"""),12158.235)</f>
        <v>12158.235</v>
      </c>
    </row>
    <row r="78">
      <c r="A78" s="3">
        <f>IFERROR(__xludf.DUMMYFUNCTION("""COMPUTED_VALUE"""),40287.99861111111)</f>
        <v>40287.99861</v>
      </c>
      <c r="B78" s="1">
        <f>IFERROR(__xludf.DUMMYFUNCTION("""COMPUTED_VALUE"""),12160.05802)</f>
        <v>12160.05802</v>
      </c>
    </row>
    <row r="79">
      <c r="A79" s="3">
        <f>IFERROR(__xludf.DUMMYFUNCTION("""COMPUTED_VALUE"""),40288.99861111111)</f>
        <v>40288.99861</v>
      </c>
      <c r="B79" s="1">
        <f>IFERROR(__xludf.DUMMYFUNCTION("""COMPUTED_VALUE"""),12113.61074)</f>
        <v>12113.61074</v>
      </c>
    </row>
    <row r="80">
      <c r="A80" s="3">
        <f>IFERROR(__xludf.DUMMYFUNCTION("""COMPUTED_VALUE"""),40289.99861111111)</f>
        <v>40289.99861</v>
      </c>
      <c r="B80" s="1">
        <f>IFERROR(__xludf.DUMMYFUNCTION("""COMPUTED_VALUE"""),12078.58938)</f>
        <v>12078.58938</v>
      </c>
    </row>
    <row r="81">
      <c r="A81" s="3">
        <f>IFERROR(__xludf.DUMMYFUNCTION("""COMPUTED_VALUE"""),40290.99861111111)</f>
        <v>40290.99861</v>
      </c>
      <c r="B81" s="1">
        <f>IFERROR(__xludf.DUMMYFUNCTION("""COMPUTED_VALUE"""),12079.58524)</f>
        <v>12079.58524</v>
      </c>
    </row>
    <row r="82">
      <c r="A82" s="3">
        <f>IFERROR(__xludf.DUMMYFUNCTION("""COMPUTED_VALUE"""),40291.99861111111)</f>
        <v>40291.99861</v>
      </c>
      <c r="B82" s="1">
        <f>IFERROR(__xludf.DUMMYFUNCTION("""COMPUTED_VALUE"""),12048.2524)</f>
        <v>12048.2524</v>
      </c>
    </row>
    <row r="83">
      <c r="A83" s="3">
        <f>IFERROR(__xludf.DUMMYFUNCTION("""COMPUTED_VALUE"""),40294.99861111111)</f>
        <v>40294.99861</v>
      </c>
      <c r="B83" s="1">
        <f>IFERROR(__xludf.DUMMYFUNCTION("""COMPUTED_VALUE"""),12008.946)</f>
        <v>12008.946</v>
      </c>
    </row>
    <row r="84">
      <c r="A84" s="3">
        <f>IFERROR(__xludf.DUMMYFUNCTION("""COMPUTED_VALUE"""),40295.99861111111)</f>
        <v>40295.99861</v>
      </c>
      <c r="B84" s="1">
        <f>IFERROR(__xludf.DUMMYFUNCTION("""COMPUTED_VALUE"""),11978.65409)</f>
        <v>11978.65409</v>
      </c>
    </row>
    <row r="85">
      <c r="A85" s="3">
        <f>IFERROR(__xludf.DUMMYFUNCTION("""COMPUTED_VALUE"""),40296.99861111111)</f>
        <v>40296.99861</v>
      </c>
      <c r="B85" s="1">
        <f>IFERROR(__xludf.DUMMYFUNCTION("""COMPUTED_VALUE"""),11919.49264)</f>
        <v>11919.49264</v>
      </c>
    </row>
    <row r="86">
      <c r="A86" s="3">
        <f>IFERROR(__xludf.DUMMYFUNCTION("""COMPUTED_VALUE"""),40297.99861111111)</f>
        <v>40297.99861</v>
      </c>
      <c r="B86" s="1">
        <f>IFERROR(__xludf.DUMMYFUNCTION("""COMPUTED_VALUE"""),11938.21525)</f>
        <v>11938.21525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IFERROR(__xludf.DUMMYFUNCTION("""COMPUTED_VALUE"""),12000.94804)</f>
        <v>12000.94804</v>
      </c>
    </row>
    <row r="88">
      <c r="A88" s="3">
        <f>IFERROR(__xludf.DUMMYFUNCTION("""COMPUTED_VALUE"""),40301.99861111111)</f>
        <v>40301.99861</v>
      </c>
      <c r="B88" s="1">
        <f>IFERROR(__xludf.DUMMYFUNCTION("""COMPUTED_VALUE"""),11905.86735)</f>
        <v>11905.86735</v>
      </c>
    </row>
    <row r="89">
      <c r="A89" s="3">
        <f>IFERROR(__xludf.DUMMYFUNCTION("""COMPUTED_VALUE"""),40302.99861111111)</f>
        <v>40302.99861</v>
      </c>
      <c r="B89" s="1">
        <f>IFERROR(__xludf.DUMMYFUNCTION("""COMPUTED_VALUE"""),11757.05211)</f>
        <v>11757.05211</v>
      </c>
    </row>
    <row r="90">
      <c r="A90" s="3">
        <f>IFERROR(__xludf.DUMMYFUNCTION("""COMPUTED_VALUE"""),40303.99861111111)</f>
        <v>40303.99861</v>
      </c>
      <c r="B90" s="1">
        <f>IFERROR(__xludf.DUMMYFUNCTION("""COMPUTED_VALUE"""),11679.14815)</f>
        <v>11679.14815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IFERROR(__xludf.DUMMYFUNCTION("""COMPUTED_VALUE"""),11714.15888)</f>
        <v>11714.15888</v>
      </c>
    </row>
    <row r="92">
      <c r="A92" s="3">
        <f>IFERROR(__xludf.DUMMYFUNCTION("""COMPUTED_VALUE"""),40305.99861111111)</f>
        <v>40305.99861</v>
      </c>
      <c r="B92" s="1">
        <f>IFERROR(__xludf.DUMMYFUNCTION("""COMPUTED_VALUE"""),11762.33671)</f>
        <v>11762.33671</v>
      </c>
    </row>
    <row r="93">
      <c r="A93" s="3">
        <f>IFERROR(__xludf.DUMMYFUNCTION("""COMPUTED_VALUE"""),40308.99861111111)</f>
        <v>40308.99861</v>
      </c>
      <c r="B93" s="1">
        <f>IFERROR(__xludf.DUMMYFUNCTION("""COMPUTED_VALUE"""),11758.92864)</f>
        <v>11758.92864</v>
      </c>
    </row>
    <row r="94">
      <c r="A94" s="3">
        <f>IFERROR(__xludf.DUMMYFUNCTION("""COMPUTED_VALUE"""),40309.99861111111)</f>
        <v>40309.99861</v>
      </c>
      <c r="B94" s="1">
        <f>IFERROR(__xludf.DUMMYFUNCTION("""COMPUTED_VALUE"""),11599.12742)</f>
        <v>11599.12742</v>
      </c>
    </row>
    <row r="95">
      <c r="A95" s="3">
        <f>IFERROR(__xludf.DUMMYFUNCTION("""COMPUTED_VALUE"""),40310.99861111111)</f>
        <v>40310.99861</v>
      </c>
      <c r="B95" s="1">
        <f>IFERROR(__xludf.DUMMYFUNCTION("""COMPUTED_VALUE"""),11597.6665)</f>
        <v>11597.6665</v>
      </c>
    </row>
    <row r="96">
      <c r="A96" s="3">
        <f>IFERROR(__xludf.DUMMYFUNCTION("""COMPUTED_VALUE"""),40311.99861111111)</f>
        <v>40311.99861</v>
      </c>
      <c r="B96" s="1">
        <f>IFERROR(__xludf.DUMMYFUNCTION("""COMPUTED_VALUE"""),11415.12943)</f>
        <v>11415.12943</v>
      </c>
    </row>
    <row r="97">
      <c r="A97" s="3">
        <f>IFERROR(__xludf.DUMMYFUNCTION("""COMPUTED_VALUE"""),40312.99861111111)</f>
        <v>40312.99861</v>
      </c>
      <c r="B97" s="1">
        <f>IFERROR(__xludf.DUMMYFUNCTION("""COMPUTED_VALUE"""),11251.88078)</f>
        <v>11251.88078</v>
      </c>
    </row>
    <row r="98">
      <c r="A98" s="3">
        <f>IFERROR(__xludf.DUMMYFUNCTION("""COMPUTED_VALUE"""),40315.99861111111)</f>
        <v>40315.99861</v>
      </c>
      <c r="B98" s="1">
        <f>IFERROR(__xludf.DUMMYFUNCTION("""COMPUTED_VALUE"""),11249.17792)</f>
        <v>11249.17792</v>
      </c>
    </row>
    <row r="99">
      <c r="A99" s="3">
        <f>IFERROR(__xludf.DUMMYFUNCTION("""COMPUTED_VALUE"""),40316.99861111111)</f>
        <v>40316.99861</v>
      </c>
      <c r="B99" s="1">
        <f>IFERROR(__xludf.DUMMYFUNCTION("""COMPUTED_VALUE"""),11305.35346)</f>
        <v>11305.35346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IFERROR(__xludf.DUMMYFUNCTION("""COMPUTED_VALUE"""),11303.05227)</f>
        <v>11303.05227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IFERROR(__xludf.DUMMYFUNCTION("""COMPUTED_VALUE"""),11381.30858)</f>
        <v>11381.30858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IFERROR(__xludf.DUMMYFUNCTION("""COMPUTED_VALUE"""),11652.61298)</f>
        <v>11652.61298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IFERROR(__xludf.DUMMYFUNCTION("""COMPUTED_VALUE"""),11461.90752)</f>
        <v>11461.90752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IFERROR(__xludf.DUMMYFUNCTION("""COMPUTED_VALUE"""),11458.18938)</f>
        <v>11458.18938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IFERROR(__xludf.DUMMYFUNCTION("""COMPUTED_VALUE"""),11411.02292)</f>
        <v>11411.02292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IFERROR(__xludf.DUMMYFUNCTION("""COMPUTED_VALUE"""),11374.0745)</f>
        <v>11374.0745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IFERROR(__xludf.DUMMYFUNCTION("""COMPUTED_VALUE"""),11404.77164)</f>
        <v>11404.77164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IFERROR(__xludf.DUMMYFUNCTION("""COMPUTED_VALUE"""),11407.05956)</f>
        <v>11407.05956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IFERROR(__xludf.DUMMYFUNCTION("""COMPUTED_VALUE"""),11307.68181)</f>
        <v>11307.68181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IFERROR(__xludf.DUMMYFUNCTION("""COMPUTED_VALUE"""),11308.63356)</f>
        <v>11308.63356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IFERROR(__xludf.DUMMYFUNCTION("""COMPUTED_VALUE"""),11238.3425)</f>
        <v>11238.3425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IFERROR(__xludf.DUMMYFUNCTION("""COMPUTED_VALUE"""),11110.46363)</f>
        <v>11110.46363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IFERROR(__xludf.DUMMYFUNCTION("""COMPUTED_VALUE"""),11109.03882)</f>
        <v>11109.03882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IFERROR(__xludf.DUMMYFUNCTION("""COMPUTED_VALUE"""),11039.48746)</f>
        <v>11039.48746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IFERROR(__xludf.DUMMYFUNCTION("""COMPUTED_VALUE"""),11127.23068)</f>
        <v>11127.23068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IFERROR(__xludf.DUMMYFUNCTION("""COMPUTED_VALUE"""),11130.44938)</f>
        <v>11130.44938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IFERROR(__xludf.DUMMYFUNCTION("""COMPUTED_VALUE"""),11137.0826)</f>
        <v>11137.0826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IFERROR(__xludf.DUMMYFUNCTION("""COMPUTED_VALUE"""),11244.1518)</f>
        <v>11244.1518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IFERROR(__xludf.DUMMYFUNCTION("""COMPUTED_VALUE"""),11258.9697)</f>
        <v>11258.9697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IFERROR(__xludf.DUMMYFUNCTION("""COMPUTED_VALUE"""),11280.0223)</f>
        <v>11280.0223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IFERROR(__xludf.DUMMYFUNCTION("""COMPUTED_VALUE"""),11317.99591)</f>
        <v>11317.99591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IFERROR(__xludf.DUMMYFUNCTION("""COMPUTED_VALUE"""),11237.7742)</f>
        <v>11237.7742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IFERROR(__xludf.DUMMYFUNCTION("""COMPUTED_VALUE"""),11079.11427)</f>
        <v>11079.11427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IFERROR(__xludf.DUMMYFUNCTION("""COMPUTED_VALUE"""),11058.44496)</f>
        <v>11058.44496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IFERROR(__xludf.DUMMYFUNCTION("""COMPUTED_VALUE"""),11059.1522)</f>
        <v>11059.1522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IFERROR(__xludf.DUMMYFUNCTION("""COMPUTED_VALUE"""),11183.2008)</f>
        <v>11183.2008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IFERROR(__xludf.DUMMYFUNCTION("""COMPUTED_VALUE"""),11217.77344)</f>
        <v>11217.77344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IFERROR(__xludf.DUMMYFUNCTION("""COMPUTED_VALUE"""),11118.23343)</f>
        <v>11118.23343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IFERROR(__xludf.DUMMYFUNCTION("""COMPUTED_VALUE"""),11061.35406)</f>
        <v>11061.35406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IFERROR(__xludf.DUMMYFUNCTION("""COMPUTED_VALUE"""),11059.98144)</f>
        <v>11059.98144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IFERROR(__xludf.DUMMYFUNCTION("""COMPUTED_VALUE"""),11299.05249)</f>
        <v>11299.05249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IFERROR(__xludf.DUMMYFUNCTION("""COMPUTED_VALUE"""),11385.47001)</f>
        <v>11385.47001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IFERROR(__xludf.DUMMYFUNCTION("""COMPUTED_VALUE"""),11387.26434)</f>
        <v>11387.26434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IFERROR(__xludf.DUMMYFUNCTION("""COMPUTED_VALUE"""),11387.7832)</f>
        <v>11387.7832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IFERROR(__xludf.DUMMYFUNCTION("""COMPUTED_VALUE"""),11444.97096)</f>
        <v>11444.97096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IFERROR(__xludf.DUMMYFUNCTION("""COMPUTED_VALUE"""),11477.07361)</f>
        <v>11477.07361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IFERROR(__xludf.DUMMYFUNCTION("""COMPUTED_VALUE"""),11416.39217)</f>
        <v>11416.39217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IFERROR(__xludf.DUMMYFUNCTION("""COMPUTED_VALUE"""),11419.59659)</f>
        <v>11419.59659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IFERROR(__xludf.DUMMYFUNCTION("""COMPUTED_VALUE"""),11419.26034)</f>
        <v>11419.26034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IFERROR(__xludf.DUMMYFUNCTION("""COMPUTED_VALUE"""),11489.86101)</f>
        <v>11489.86101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IFERROR(__xludf.DUMMYFUNCTION("""COMPUTED_VALUE"""),11679.03202)</f>
        <v>11679.03202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IFERROR(__xludf.DUMMYFUNCTION("""COMPUTED_VALUE"""),11677.3484)</f>
        <v>11677.3484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IFERROR(__xludf.DUMMYFUNCTION("""COMPUTED_VALUE"""),11745.87676)</f>
        <v>11745.87676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IFERROR(__xludf.DUMMYFUNCTION("""COMPUTED_VALUE"""),11650.49907)</f>
        <v>11650.49907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IFERROR(__xludf.DUMMYFUNCTION("""COMPUTED_VALUE"""),11605.24177)</f>
        <v>11605.24177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IFERROR(__xludf.DUMMYFUNCTION("""COMPUTED_VALUE"""),11604.28495)</f>
        <v>11604.28495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IFERROR(__xludf.DUMMYFUNCTION("""COMPUTED_VALUE"""),11581.87275)</f>
        <v>11581.87275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IFERROR(__xludf.DUMMYFUNCTION("""COMPUTED_VALUE"""),11588.66316)</f>
        <v>11588.66316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IFERROR(__xludf.DUMMYFUNCTION("""COMPUTED_VALUE"""),11588.65591)</f>
        <v>11588.65591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IFERROR(__xludf.DUMMYFUNCTION("""COMPUTED_VALUE"""),11724.3775)</f>
        <v>11724.3775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IFERROR(__xludf.DUMMYFUNCTION("""COMPUTED_VALUE"""),11729.86685)</f>
        <v>11729.86685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IFERROR(__xludf.DUMMYFUNCTION("""COMPUTED_VALUE"""),11644.40564)</f>
        <v>11644.40564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IFERROR(__xludf.DUMMYFUNCTION("""COMPUTED_VALUE"""),11634.13014)</f>
        <v>11634.13014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IFERROR(__xludf.DUMMYFUNCTION("""COMPUTED_VALUE"""),11633.99209)</f>
        <v>11633.99209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IFERROR(__xludf.DUMMYFUNCTION("""COMPUTED_VALUE"""),11765.4108)</f>
        <v>11765.4108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IFERROR(__xludf.DUMMYFUNCTION("""COMPUTED_VALUE"""),11764.52772)</f>
        <v>11764.52772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IFERROR(__xludf.DUMMYFUNCTION("""COMPUTED_VALUE"""),11772.72)</f>
        <v>11772.72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IFERROR(__xludf.DUMMYFUNCTION("""COMPUTED_VALUE"""),11822.7249)</f>
        <v>11822.7249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IFERROR(__xludf.DUMMYFUNCTION("""COMPUTED_VALUE"""),11709.90523)</f>
        <v>11709.90523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IFERROR(__xludf.DUMMYFUNCTION("""COMPUTED_VALUE"""),11563.31696)</f>
        <v>11563.31696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IFERROR(__xludf.DUMMYFUNCTION("""COMPUTED_VALUE"""),11579.46959)</f>
        <v>11579.46959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IFERROR(__xludf.DUMMYFUNCTION("""COMPUTED_VALUE"""),11434.0725)</f>
        <v>11434.0725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IFERROR(__xludf.DUMMYFUNCTION("""COMPUTED_VALUE"""),11434.73994)</f>
        <v>11434.73994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IFERROR(__xludf.DUMMYFUNCTION("""COMPUTED_VALUE"""),11433.60352)</f>
        <v>11433.60352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IFERROR(__xludf.DUMMYFUNCTION("""COMPUTED_VALUE"""),11435.82822)</f>
        <v>11435.82822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IFERROR(__xludf.DUMMYFUNCTION("""COMPUTED_VALUE"""),11434.14373)</f>
        <v>11434.14373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IFERROR(__xludf.DUMMYFUNCTION("""COMPUTED_VALUE"""),11434.13981)</f>
        <v>11434.13981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IFERROR(__xludf.DUMMYFUNCTION("""COMPUTED_VALUE"""),11199.9077)</f>
        <v>11199.9077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IFERROR(__xludf.DUMMYFUNCTION("""COMPUTED_VALUE"""),11341.21258)</f>
        <v>11341.21258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IFERROR(__xludf.DUMMYFUNCTION("""COMPUTED_VALUE"""),11242.38896)</f>
        <v>11242.38896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IFERROR(__xludf.DUMMYFUNCTION("""COMPUTED_VALUE"""),11418.55522)</f>
        <v>11418.55522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IFERROR(__xludf.DUMMYFUNCTION("""COMPUTED_VALUE"""),11476.93284)</f>
        <v>11476.93284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IFERROR(__xludf.DUMMYFUNCTION("""COMPUTED_VALUE"""),11291.0798)</f>
        <v>11291.0798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IFERROR(__xludf.DUMMYFUNCTION("""COMPUTED_VALUE"""),11433.61128)</f>
        <v>11433.61128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IFERROR(__xludf.DUMMYFUNCTION("""COMPUTED_VALUE"""),11528.704)</f>
        <v>11528.704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IFERROR(__xludf.DUMMYFUNCTION("""COMPUTED_VALUE"""),11528.38992)</f>
        <v>11528.38992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IFERROR(__xludf.DUMMYFUNCTION("""COMPUTED_VALUE"""),11579.07437)</f>
        <v>11579.07437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IFERROR(__xludf.DUMMYFUNCTION("""COMPUTED_VALUE"""),11578.11261)</f>
        <v>11578.11261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IFERROR(__xludf.DUMMYFUNCTION("""COMPUTED_VALUE"""),11449.48609)</f>
        <v>11449.48609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IFERROR(__xludf.DUMMYFUNCTION("""COMPUTED_VALUE"""),11462.7285)</f>
        <v>11462.7285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IFERROR(__xludf.DUMMYFUNCTION("""COMPUTED_VALUE"""),11463.585)</f>
        <v>11463.585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IFERROR(__xludf.DUMMYFUNCTION("""COMPUTED_VALUE"""),11464.14096)</f>
        <v>11464.14096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IFERROR(__xludf.DUMMYFUNCTION("""COMPUTED_VALUE"""),11579.71871)</f>
        <v>11579.71871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IFERROR(__xludf.DUMMYFUNCTION("""COMPUTED_VALUE"""),11674.32295)</f>
        <v>11674.32295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IFERROR(__xludf.DUMMYFUNCTION("""COMPUTED_VALUE"""),11680.75608)</f>
        <v>11680.75608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IFERROR(__xludf.DUMMYFUNCTION("""COMPUTED_VALUE"""),11678.654)</f>
        <v>11678.654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IFERROR(__xludf.DUMMYFUNCTION("""COMPUTED_VALUE"""),11699.05772)</f>
        <v>11699.05772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IFERROR(__xludf.DUMMYFUNCTION("""COMPUTED_VALUE"""),11733.44786)</f>
        <v>11733.44786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IFERROR(__xludf.DUMMYFUNCTION("""COMPUTED_VALUE"""),11763.37217)</f>
        <v>11763.37217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IFERROR(__xludf.DUMMYFUNCTION("""COMPUTED_VALUE"""),11943.61046)</f>
        <v>11943.61046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IFERROR(__xludf.DUMMYFUNCTION("""COMPUTED_VALUE"""),11941.30504)</f>
        <v>11941.30504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IFERROR(__xludf.DUMMYFUNCTION("""COMPUTED_VALUE"""),11939.1139)</f>
        <v>11939.1139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IFERROR(__xludf.DUMMYFUNCTION("""COMPUTED_VALUE"""),12052.94501)</f>
        <v>12052.94501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IFERROR(__xludf.DUMMYFUNCTION("""COMPUTED_VALUE"""),12145.9642)</f>
        <v>12145.9642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IFERROR(__xludf.DUMMYFUNCTION("""COMPUTED_VALUE"""),12168.68432)</f>
        <v>12168.68432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IFERROR(__xludf.DUMMYFUNCTION("""COMPUTED_VALUE"""),12171.31697)</f>
        <v>12171.31697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IFERROR(__xludf.DUMMYFUNCTION("""COMPUTED_VALUE"""),12289.15632)</f>
        <v>12289.15632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IFERROR(__xludf.DUMMYFUNCTION("""COMPUTED_VALUE"""),12213.1976)</f>
        <v>12213.1976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IFERROR(__xludf.DUMMYFUNCTION("""COMPUTED_VALUE"""),12215.05985)</f>
        <v>12215.05985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IFERROR(__xludf.DUMMYFUNCTION("""COMPUTED_VALUE"""),12350.9376)</f>
        <v>12350.9376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IFERROR(__xludf.DUMMYFUNCTION("""COMPUTED_VALUE"""),12410.18272)</f>
        <v>12410.18272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IFERROR(__xludf.DUMMYFUNCTION("""COMPUTED_VALUE"""),12419.06754)</f>
        <v>12419.06754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IFERROR(__xludf.DUMMYFUNCTION("""COMPUTED_VALUE"""),12486.37593)</f>
        <v>12486.37593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IFERROR(__xludf.DUMMYFUNCTION("""COMPUTED_VALUE"""),12398.68245)</f>
        <v>12398.68245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IFERROR(__xludf.DUMMYFUNCTION("""COMPUTED_VALUE"""),12399.10455)</f>
        <v>12399.10455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IFERROR(__xludf.DUMMYFUNCTION("""COMPUTED_VALUE"""),12529.09982)</f>
        <v>12529.09982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IFERROR(__xludf.DUMMYFUNCTION("""COMPUTED_VALUE"""),12494.12559)</f>
        <v>12494.12559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IFERROR(__xludf.DUMMYFUNCTION("""COMPUTED_VALUE"""),12467.22645)</f>
        <v>12467.22645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IFERROR(__xludf.DUMMYFUNCTION("""COMPUTED_VALUE"""),12314.99492)</f>
        <v>12314.99492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IFERROR(__xludf.DUMMYFUNCTION("""COMPUTED_VALUE"""),12313.31556)</f>
        <v>12313.31556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IFERROR(__xludf.DUMMYFUNCTION("""COMPUTED_VALUE"""),12313.1943)</f>
        <v>12313.1943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IFERROR(__xludf.DUMMYFUNCTION("""COMPUTED_VALUE"""),12419.1505)</f>
        <v>12419.1505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IFERROR(__xludf.DUMMYFUNCTION("""COMPUTED_VALUE"""),12446.9161)</f>
        <v>12446.9161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IFERROR(__xludf.DUMMYFUNCTION("""COMPUTED_VALUE"""),12349.89049)</f>
        <v>12349.89049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IFERROR(__xludf.DUMMYFUNCTION("""COMPUTED_VALUE"""),12292.74404)</f>
        <v>12292.74404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IFERROR(__xludf.DUMMYFUNCTION("""COMPUTED_VALUE"""),12292.433)</f>
        <v>12292.433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IFERROR(__xludf.DUMMYFUNCTION("""COMPUTED_VALUE"""),12437.81)</f>
        <v>12437.81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IFERROR(__xludf.DUMMYFUNCTION("""COMPUTED_VALUE"""),12389.99811)</f>
        <v>12389.99811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IFERROR(__xludf.DUMMYFUNCTION("""COMPUTED_VALUE"""),12388.6106)</f>
        <v>12388.6106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IFERROR(__xludf.DUMMYFUNCTION("""COMPUTED_VALUE"""),12391.78059)</f>
        <v>12391.78059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IFERROR(__xludf.DUMMYFUNCTION("""COMPUTED_VALUE"""),12675.29487)</f>
        <v>12675.29487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IFERROR(__xludf.DUMMYFUNCTION("""COMPUTED_VALUE"""),12486.7)</f>
        <v>12486.7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IFERROR(__xludf.DUMMYFUNCTION("""COMPUTED_VALUE"""),12350.82832)</f>
        <v>12350.82832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IFERROR(__xludf.DUMMYFUNCTION("""COMPUTED_VALUE"""),12123.86865)</f>
        <v>12123.86865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IFERROR(__xludf.DUMMYFUNCTION("""COMPUTED_VALUE"""),12094.68916)</f>
        <v>12094.68916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IFERROR(__xludf.DUMMYFUNCTION("""COMPUTED_VALUE"""),11982.876)</f>
        <v>11982.876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IFERROR(__xludf.DUMMYFUNCTION("""COMPUTED_VALUE"""),12216.6796)</f>
        <v>12216.6796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IFERROR(__xludf.DUMMYFUNCTION("""COMPUTED_VALUE"""),12171.51988)</f>
        <v>12171.51988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IFERROR(__xludf.DUMMYFUNCTION("""COMPUTED_VALUE"""),11944.9728)</f>
        <v>11944.9728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IFERROR(__xludf.DUMMYFUNCTION("""COMPUTED_VALUE"""),11988.9838)</f>
        <v>11988.9838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IFERROR(__xludf.DUMMYFUNCTION("""COMPUTED_VALUE"""),12074.2322)</f>
        <v>12074.2322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IFERROR(__xludf.DUMMYFUNCTION("""COMPUTED_VALUE"""),12222.68932)</f>
        <v>12222.68932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IFERROR(__xludf.DUMMYFUNCTION("""COMPUTED_VALUE"""),12142.71258)</f>
        <v>12142.71258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IFERROR(__xludf.DUMMYFUNCTION("""COMPUTED_VALUE"""),12001.21322)</f>
        <v>12001.21322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IFERROR(__xludf.DUMMYFUNCTION("""COMPUTED_VALUE"""),11971.86146)</f>
        <v>11971.86146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IFERROR(__xludf.DUMMYFUNCTION("""COMPUTED_VALUE"""),11960.78481)</f>
        <v>11960.78481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IFERROR(__xludf.DUMMYFUNCTION("""COMPUTED_VALUE"""),11788.0704)</f>
        <v>11788.0704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IFERROR(__xludf.DUMMYFUNCTION("""COMPUTED_VALUE"""),11808.43641)</f>
        <v>11808.43641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IFERROR(__xludf.DUMMYFUNCTION("""COMPUTED_VALUE"""),11736.00444)</f>
        <v>11736.00444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IFERROR(__xludf.DUMMYFUNCTION("""COMPUTED_VALUE"""),11834.01009)</f>
        <v>11834.01009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IFERROR(__xludf.DUMMYFUNCTION("""COMPUTED_VALUE"""),11780.44332)</f>
        <v>11780.44332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IFERROR(__xludf.DUMMYFUNCTION("""COMPUTED_VALUE"""),12049.7835)</f>
        <v>12049.7835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IFERROR(__xludf.DUMMYFUNCTION("""COMPUTED_VALUE"""),11969.71857)</f>
        <v>11969.71857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IFERROR(__xludf.DUMMYFUNCTION("""COMPUTED_VALUE"""),11906.356)</f>
        <v>11906.356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IFERROR(__xludf.DUMMYFUNCTION("""COMPUTED_VALUE"""),11950.598)</f>
        <v>11950.598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IFERROR(__xludf.DUMMYFUNCTION("""COMPUTED_VALUE"""),11938.9302)</f>
        <v>11938.9302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IFERROR(__xludf.DUMMYFUNCTION("""COMPUTED_VALUE"""),11924.1405)</f>
        <v>11924.1405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IFERROR(__xludf.DUMMYFUNCTION("""COMPUTED_VALUE"""),12075.5925)</f>
        <v>12075.5925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IFERROR(__xludf.DUMMYFUNCTION("""COMPUTED_VALUE"""),12033.92236)</f>
        <v>12033.92236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IFERROR(__xludf.DUMMYFUNCTION("""COMPUTED_VALUE"""),11930.38563)</f>
        <v>11930.38563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IFERROR(__xludf.DUMMYFUNCTION("""COMPUTED_VALUE"""),11831.2306)</f>
        <v>11831.2306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IFERROR(__xludf.DUMMYFUNCTION("""COMPUTED_VALUE"""),11911.01888)</f>
        <v>11911.01888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IFERROR(__xludf.DUMMYFUNCTION("""COMPUTED_VALUE"""),11730.5331)</f>
        <v>11730.5331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IFERROR(__xludf.DUMMYFUNCTION("""COMPUTED_VALUE"""),11835.91255)</f>
        <v>11835.91255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IFERROR(__xludf.DUMMYFUNCTION("""COMPUTED_VALUE"""),11856.25008)</f>
        <v>11856.25008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IFERROR(__xludf.DUMMYFUNCTION("""COMPUTED_VALUE"""),11863.55625)</f>
        <v>11863.55625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IFERROR(__xludf.DUMMYFUNCTION("""COMPUTED_VALUE"""),11850.8872)</f>
        <v>11850.8872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IFERROR(__xludf.DUMMYFUNCTION("""COMPUTED_VALUE"""),11788.03808)</f>
        <v>11788.03808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IFERROR(__xludf.DUMMYFUNCTION("""COMPUTED_VALUE"""),11799.15297)</f>
        <v>11799.15297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IFERROR(__xludf.DUMMYFUNCTION("""COMPUTED_VALUE"""),11901.98723)</f>
        <v>11901.98723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IFERROR(__xludf.DUMMYFUNCTION("""COMPUTED_VALUE"""),11816.6028)</f>
        <v>11816.6028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IFERROR(__xludf.DUMMYFUNCTION("""COMPUTED_VALUE"""),12060.71907)</f>
        <v>12060.71907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IFERROR(__xludf.DUMMYFUNCTION("""COMPUTED_VALUE"""),12007.78631)</f>
        <v>12007.78631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IFERROR(__xludf.DUMMYFUNCTION("""COMPUTED_VALUE"""),11833.4862)</f>
        <v>11833.4862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IFERROR(__xludf.DUMMYFUNCTION("""COMPUTED_VALUE"""),11819.28462)</f>
        <v>11819.28462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IFERROR(__xludf.DUMMYFUNCTION("""COMPUTED_VALUE"""),11698.90208)</f>
        <v>11698.90208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IFERROR(__xludf.DUMMYFUNCTION("""COMPUTED_VALUE"""),11498.0463)</f>
        <v>11498.0463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IFERROR(__xludf.DUMMYFUNCTION("""COMPUTED_VALUE"""),11732.74648)</f>
        <v>11732.74648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IFERROR(__xludf.DUMMYFUNCTION("""COMPUTED_VALUE"""),11598.80667)</f>
        <v>11598.80667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IFERROR(__xludf.DUMMYFUNCTION("""COMPUTED_VALUE"""),11865.904)</f>
        <v>11865.904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IFERROR(__xludf.DUMMYFUNCTION("""COMPUTED_VALUE"""),12083.49324)</f>
        <v>12083.49324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IFERROR(__xludf.DUMMYFUNCTION("""COMPUTED_VALUE"""),12104.26754)</f>
        <v>12104.26754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IFERROR(__xludf.DUMMYFUNCTION("""COMPUTED_VALUE"""),12031.68)</f>
        <v>12031.68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IFERROR(__xludf.DUMMYFUNCTION("""COMPUTED_VALUE"""),12112.37431)</f>
        <v>12112.37431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IFERROR(__xludf.DUMMYFUNCTION("""COMPUTED_VALUE"""),12035.06)</f>
        <v>12035.06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IFERROR(__xludf.DUMMYFUNCTION("""COMPUTED_VALUE"""),12000.71304)</f>
        <v>12000.71304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IFERROR(__xludf.DUMMYFUNCTION("""COMPUTED_VALUE"""),12016.87575)</f>
        <v>12016.87575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IFERROR(__xludf.DUMMYFUNCTION("""COMPUTED_VALUE"""),12345.105)</f>
        <v>12345.105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IFERROR(__xludf.DUMMYFUNCTION("""COMPUTED_VALUE"""),12361.8636)</f>
        <v>12361.8636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IFERROR(__xludf.DUMMYFUNCTION("""COMPUTED_VALUE"""),12226.57436)</f>
        <v>12226.57436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IFERROR(__xludf.DUMMYFUNCTION("""COMPUTED_VALUE"""),12386.96132)</f>
        <v>12386.96132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IFERROR(__xludf.DUMMYFUNCTION("""COMPUTED_VALUE"""),12285.23436)</f>
        <v>12285.23436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IFERROR(__xludf.DUMMYFUNCTION("""COMPUTED_VALUE"""),12280.5222)</f>
        <v>12280.5222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IFERROR(__xludf.DUMMYFUNCTION("""COMPUTED_VALUE"""),12444.3)</f>
        <v>12444.3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IFERROR(__xludf.DUMMYFUNCTION("""COMPUTED_VALUE"""),12461.54033)</f>
        <v>12461.54033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IFERROR(__xludf.DUMMYFUNCTION("""COMPUTED_VALUE"""),12152.1862)</f>
        <v>12152.1862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IFERROR(__xludf.DUMMYFUNCTION("""COMPUTED_VALUE"""),12217.14257)</f>
        <v>12217.14257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IFERROR(__xludf.DUMMYFUNCTION("""COMPUTED_VALUE"""),11992.15476)</f>
        <v>11992.15476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IFERROR(__xludf.DUMMYFUNCTION("""COMPUTED_VALUE"""),12126.25)</f>
        <v>12126.25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IFERROR(__xludf.DUMMYFUNCTION("""COMPUTED_VALUE"""),12250.10541)</f>
        <v>12250.10541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IFERROR(__xludf.DUMMYFUNCTION("""COMPUTED_VALUE"""),12139.785)</f>
        <v>12139.785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IFERROR(__xludf.DUMMYFUNCTION("""COMPUTED_VALUE"""),12095.49432)</f>
        <v>12095.49432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IFERROR(__xludf.DUMMYFUNCTION("""COMPUTED_VALUE"""),12014.89571)</f>
        <v>12014.89571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IFERROR(__xludf.DUMMYFUNCTION("""COMPUTED_VALUE"""),11897.9581)</f>
        <v>11897.9581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IFERROR(__xludf.DUMMYFUNCTION("""COMPUTED_VALUE"""),12072.22614)</f>
        <v>12072.22614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IFERROR(__xludf.DUMMYFUNCTION("""COMPUTED_VALUE"""),11960.116)</f>
        <v>11960.116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IFERROR(__xludf.DUMMYFUNCTION("""COMPUTED_VALUE"""),12120.53458)</f>
        <v>12120.53458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IFERROR(__xludf.DUMMYFUNCTION("""COMPUTED_VALUE"""),11969.125)</f>
        <v>11969.125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IFERROR(__xludf.DUMMYFUNCTION("""COMPUTED_VALUE"""),12137.65773)</f>
        <v>12137.65773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IFERROR(__xludf.DUMMYFUNCTION("""COMPUTED_VALUE"""),12207.872)</f>
        <v>12207.872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IFERROR(__xludf.DUMMYFUNCTION("""COMPUTED_VALUE"""),12248.7705)</f>
        <v>12248.7705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IFERROR(__xludf.DUMMYFUNCTION("""COMPUTED_VALUE"""),12158.76204)</f>
        <v>12158.76204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IFERROR(__xludf.DUMMYFUNCTION("""COMPUTED_VALUE"""),12190.97925)</f>
        <v>12190.97925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IFERROR(__xludf.DUMMYFUNCTION("""COMPUTED_VALUE"""),12113.9662)</f>
        <v>12113.9662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IFERROR(__xludf.DUMMYFUNCTION("""COMPUTED_VALUE"""),12218.46192)</f>
        <v>12218.46192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IFERROR(__xludf.DUMMYFUNCTION("""COMPUTED_VALUE"""),12289.76656)</f>
        <v>12289.76656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IFERROR(__xludf.DUMMYFUNCTION("""COMPUTED_VALUE"""),12250.5342)</f>
        <v>12250.5342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IFERROR(__xludf.DUMMYFUNCTION("""COMPUTED_VALUE"""),12268.26128)</f>
        <v>12268.26128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IFERROR(__xludf.DUMMYFUNCTION("""COMPUTED_VALUE"""),12209.9042)</f>
        <v>12209.9042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IFERROR(__xludf.DUMMYFUNCTION("""COMPUTED_VALUE"""),12177.276)</f>
        <v>12177.276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IFERROR(__xludf.DUMMYFUNCTION("""COMPUTED_VALUE"""),12119.40431)</f>
        <v>12119.40431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IFERROR(__xludf.DUMMYFUNCTION("""COMPUTED_VALUE"""),12201.71589)</f>
        <v>12201.71589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IFERROR(__xludf.DUMMYFUNCTION("""COMPUTED_VALUE"""),12260.42004)</f>
        <v>12260.42004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IFERROR(__xludf.DUMMYFUNCTION("""COMPUTED_VALUE"""),12272.715)</f>
        <v>12272.715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IFERROR(__xludf.DUMMYFUNCTION("""COMPUTED_VALUE"""),12162.20215)</f>
        <v>12162.20215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IFERROR(__xludf.DUMMYFUNCTION("""COMPUTED_VALUE"""),12304.8362)</f>
        <v>12304.8362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IFERROR(__xludf.DUMMYFUNCTION("""COMPUTED_VALUE"""),12401.2845)</f>
        <v>12401.2845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IFERROR(__xludf.DUMMYFUNCTION("""COMPUTED_VALUE"""),12391.12)</f>
        <v>12391.12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IFERROR(__xludf.DUMMYFUNCTION("""COMPUTED_VALUE"""),12354.1686)</f>
        <v>12354.1686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IFERROR(__xludf.DUMMYFUNCTION("""COMPUTED_VALUE"""),12302.47737)</f>
        <v>12302.47737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IFERROR(__xludf.DUMMYFUNCTION("""COMPUTED_VALUE"""),12341.1119)</f>
        <v>12341.1119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IFERROR(__xludf.DUMMYFUNCTION("""COMPUTED_VALUE"""),12263.88576)</f>
        <v>12263.88576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IFERROR(__xludf.DUMMYFUNCTION("""COMPUTED_VALUE"""),12273.22041)</f>
        <v>12273.22041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IFERROR(__xludf.DUMMYFUNCTION("""COMPUTED_VALUE"""),12259.16901)</f>
        <v>12259.16901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IFERROR(__xludf.DUMMYFUNCTION("""COMPUTED_VALUE"""),12283.9764)</f>
        <v>12283.9764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IFERROR(__xludf.DUMMYFUNCTION("""COMPUTED_VALUE"""),12344.75213)</f>
        <v>12344.75213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IFERROR(__xludf.DUMMYFUNCTION("""COMPUTED_VALUE"""),12333.33398)</f>
        <v>12333.33398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IFERROR(__xludf.DUMMYFUNCTION("""COMPUTED_VALUE"""),12333.24036)</f>
        <v>12333.24036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IFERROR(__xludf.DUMMYFUNCTION("""COMPUTED_VALUE"""),12326.65847)</f>
        <v>12326.65847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IFERROR(__xludf.DUMMYFUNCTION("""COMPUTED_VALUE"""),12291.87603)</f>
        <v>12291.87603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IFERROR(__xludf.DUMMYFUNCTION("""COMPUTED_VALUE"""),12304.12727)</f>
        <v>12304.12727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IFERROR(__xludf.DUMMYFUNCTION("""COMPUTED_VALUE"""),12380.41914)</f>
        <v>12380.41914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IFERROR(__xludf.DUMMYFUNCTION("""COMPUTED_VALUE"""),12359.633)</f>
        <v>12359.633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IFERROR(__xludf.DUMMYFUNCTION("""COMPUTED_VALUE"""),12468.70436)</f>
        <v>12468.70436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IFERROR(__xludf.DUMMYFUNCTION("""COMPUTED_VALUE"""),12459.28446)</f>
        <v>12459.28446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IFERROR(__xludf.DUMMYFUNCTION("""COMPUTED_VALUE"""),12460.32065)</f>
        <v>12460.32065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IFERROR(__xludf.DUMMYFUNCTION("""COMPUTED_VALUE"""),12494.21425)</f>
        <v>12494.21425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IFERROR(__xludf.DUMMYFUNCTION("""COMPUTED_VALUE"""),12474.10705)</f>
        <v>12474.10705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IFERROR(__xludf.DUMMYFUNCTION("""COMPUTED_VALUE"""),12519.0477)</f>
        <v>12519.0477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IFERROR(__xludf.DUMMYFUNCTION("""COMPUTED_VALUE"""),12523.30092)</f>
        <v>12523.30092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IFERROR(__xludf.DUMMYFUNCTION("""COMPUTED_VALUE"""),12508.21032)</f>
        <v>12508.21032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IFERROR(__xludf.DUMMYFUNCTION("""COMPUTED_VALUE"""),12508.21032)</f>
        <v>12508.21032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IFERROR(__xludf.DUMMYFUNCTION("""COMPUTED_VALUE"""),12447.79067)</f>
        <v>12447.79067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IFERROR(__xludf.DUMMYFUNCTION("""COMPUTED_VALUE"""),12314.15575)</f>
        <v>12314.15575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IFERROR(__xludf.DUMMYFUNCTION("""COMPUTED_VALUE"""),12424.7179)</f>
        <v>12424.7179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IFERROR(__xludf.DUMMYFUNCTION("""COMPUTED_VALUE"""),12531.32505)</f>
        <v>12531.32505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IFERROR(__xludf.DUMMYFUNCTION("""COMPUTED_VALUE"""),12573.36456)</f>
        <v>12573.36456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IFERROR(__xludf.DUMMYFUNCTION("""COMPUTED_VALUE"""),12572.86122)</f>
        <v>12572.86122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IFERROR(__xludf.DUMMYFUNCTION("""COMPUTED_VALUE"""),12573.7248)</f>
        <v>12573.7248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IFERROR(__xludf.DUMMYFUNCTION("""COMPUTED_VALUE"""),12550.45849)</f>
        <v>12550.45849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IFERROR(__xludf.DUMMYFUNCTION("""COMPUTED_VALUE"""),12569.17632)</f>
        <v>12569.17632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IFERROR(__xludf.DUMMYFUNCTION("""COMPUTED_VALUE"""),12653.33996)</f>
        <v>12653.33996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IFERROR(__xludf.DUMMYFUNCTION("""COMPUTED_VALUE"""),12658.9245)</f>
        <v>12658.9245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IFERROR(__xludf.DUMMYFUNCTION("""COMPUTED_VALUE"""),12693.65571)</f>
        <v>12693.65571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IFERROR(__xludf.DUMMYFUNCTION("""COMPUTED_VALUE"""),12689.15479)</f>
        <v>12689.15479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IFERROR(__xludf.DUMMYFUNCTION("""COMPUTED_VALUE"""),12672.23925)</f>
        <v>12672.23925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IFERROR(__xludf.DUMMYFUNCTION("""COMPUTED_VALUE"""),12670.60718)</f>
        <v>12670.60718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IFERROR(__xludf.DUMMYFUNCTION("""COMPUTED_VALUE"""),12691.41936)</f>
        <v>12691.41936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IFERROR(__xludf.DUMMYFUNCTION("""COMPUTED_VALUE"""),12693.82409)</f>
        <v>12693.82409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IFERROR(__xludf.DUMMYFUNCTION("""COMPUTED_VALUE"""),12654.71428)</f>
        <v>12654.71428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IFERROR(__xludf.DUMMYFUNCTION("""COMPUTED_VALUE"""),12477.2102)</f>
        <v>12477.2102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IFERROR(__xludf.DUMMYFUNCTION("""COMPUTED_VALUE"""),12443.30334)</f>
        <v>12443.30334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IFERROR(__xludf.DUMMYFUNCTION("""COMPUTED_VALUE"""),12368.34232)</f>
        <v>12368.34232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IFERROR(__xludf.DUMMYFUNCTION("""COMPUTED_VALUE"""),12371.56965)</f>
        <v>12371.56965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IFERROR(__xludf.DUMMYFUNCTION("""COMPUTED_VALUE"""),12248.6706)</f>
        <v>12248.6706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IFERROR(__xludf.DUMMYFUNCTION("""COMPUTED_VALUE"""),12287.43056)</f>
        <v>12287.43056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IFERROR(__xludf.DUMMYFUNCTION("""COMPUTED_VALUE"""),12202.41726)</f>
        <v>12202.41726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IFERROR(__xludf.DUMMYFUNCTION("""COMPUTED_VALUE"""),12173.49)</f>
        <v>12173.49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IFERROR(__xludf.DUMMYFUNCTION("""COMPUTED_VALUE"""),12148.65308)</f>
        <v>12148.65308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IFERROR(__xludf.DUMMYFUNCTION("""COMPUTED_VALUE"""),12148.66669)</f>
        <v>12148.66669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IFERROR(__xludf.DUMMYFUNCTION("""COMPUTED_VALUE"""),12039.03174)</f>
        <v>12039.03174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IFERROR(__xludf.DUMMYFUNCTION("""COMPUTED_VALUE"""),12161.68296)</f>
        <v>12161.68296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IFERROR(__xludf.DUMMYFUNCTION("""COMPUTED_VALUE"""),11951.91214)</f>
        <v>11951.91214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IFERROR(__xludf.DUMMYFUNCTION("""COMPUTED_VALUE"""),12177.61982)</f>
        <v>12177.61982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IFERROR(__xludf.DUMMYFUNCTION("""COMPUTED_VALUE"""),12243.0432)</f>
        <v>12243.0432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IFERROR(__xludf.DUMMYFUNCTION("""COMPUTED_VALUE"""),12117.2722)</f>
        <v>12117.2722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IFERROR(__xludf.DUMMYFUNCTION("""COMPUTED_VALUE"""),11930.4315)</f>
        <v>11930.4315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IFERROR(__xludf.DUMMYFUNCTION("""COMPUTED_VALUE"""),12074.48512)</f>
        <v>12074.48512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IFERROR(__xludf.DUMMYFUNCTION("""COMPUTED_VALUE"""),12071.304)</f>
        <v>12071.304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IFERROR(__xludf.DUMMYFUNCTION("""COMPUTED_VALUE"""),11849.65626)</f>
        <v>11849.65626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IFERROR(__xludf.DUMMYFUNCTION("""COMPUTED_VALUE"""),12100.04318)</f>
        <v>12100.04318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IFERROR(__xludf.DUMMYFUNCTION("""COMPUTED_VALUE"""),12117.6755)</f>
        <v>12117.6755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IFERROR(__xludf.DUMMYFUNCTION("""COMPUTED_VALUE"""),12241.58449)</f>
        <v>12241.58449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IFERROR(__xludf.DUMMYFUNCTION("""COMPUTED_VALUE"""),11941.99536)</f>
        <v>11941.99536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IFERROR(__xludf.DUMMYFUNCTION("""COMPUTED_VALUE"""),12237.30452)</f>
        <v>12237.30452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IFERROR(__xludf.DUMMYFUNCTION("""COMPUTED_VALUE"""),12239.07018)</f>
        <v>12239.07018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IFERROR(__xludf.DUMMYFUNCTION("""COMPUTED_VALUE"""),12316.77454)</f>
        <v>12316.77454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IFERROR(__xludf.DUMMYFUNCTION("""COMPUTED_VALUE"""),12247.641)</f>
        <v>12247.641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IFERROR(__xludf.DUMMYFUNCTION("""COMPUTED_VALUE"""),12369.48084)</f>
        <v>12369.48084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IFERROR(__xludf.DUMMYFUNCTION("""COMPUTED_VALUE"""),12467.97448)</f>
        <v>12467.97448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IFERROR(__xludf.DUMMYFUNCTION("""COMPUTED_VALUE"""),12461.66868)</f>
        <v>12461.66868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IFERROR(__xludf.DUMMYFUNCTION("""COMPUTED_VALUE"""),12484.16334)</f>
        <v>12484.16334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IFERROR(__xludf.DUMMYFUNCTION("""COMPUTED_VALUE"""),12391.3)</f>
        <v>12391.3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IFERROR(__xludf.DUMMYFUNCTION("""COMPUTED_VALUE"""),12502.38369)</f>
        <v>12502.38369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IFERROR(__xludf.DUMMYFUNCTION("""COMPUTED_VALUE"""),12392.96466)</f>
        <v>12392.96466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IFERROR(__xludf.DUMMYFUNCTION("""COMPUTED_VALUE"""),12365.6724)</f>
        <v>12365.6724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IFERROR(__xludf.DUMMYFUNCTION("""COMPUTED_VALUE"""),12234.70705)</f>
        <v>12234.70705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IFERROR(__xludf.DUMMYFUNCTION("""COMPUTED_VALUE"""),12202.8048)</f>
        <v>12202.8048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IFERROR(__xludf.DUMMYFUNCTION("""COMPUTED_VALUE"""),12205.50585)</f>
        <v>12205.50585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IFERROR(__xludf.DUMMYFUNCTION("""COMPUTED_VALUE"""),12309.61717)</f>
        <v>12309.61717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IFERROR(__xludf.DUMMYFUNCTION("""COMPUTED_VALUE"""),12330.70435)</f>
        <v>12330.70435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IFERROR(__xludf.DUMMYFUNCTION("""COMPUTED_VALUE"""),12085.33312)</f>
        <v>12085.33312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IFERROR(__xludf.DUMMYFUNCTION("""COMPUTED_VALUE"""),12226.2)</f>
        <v>12226.2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IFERROR(__xludf.DUMMYFUNCTION("""COMPUTED_VALUE"""),12277.98)</f>
        <v>12277.98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IFERROR(__xludf.DUMMYFUNCTION("""COMPUTED_VALUE"""),12013.25232)</f>
        <v>12013.25232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IFERROR(__xludf.DUMMYFUNCTION("""COMPUTED_VALUE"""),12296.21202)</f>
        <v>12296.21202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IFERROR(__xludf.DUMMYFUNCTION("""COMPUTED_VALUE"""),12335.31381)</f>
        <v>12335.31381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IFERROR(__xludf.DUMMYFUNCTION("""COMPUTED_VALUE"""),12366.628)</f>
        <v>12366.628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IFERROR(__xludf.DUMMYFUNCTION("""COMPUTED_VALUE"""),12279.696)</f>
        <v>12279.696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IFERROR(__xludf.DUMMYFUNCTION("""COMPUTED_VALUE"""),12268.68867)</f>
        <v>12268.68867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IFERROR(__xludf.DUMMYFUNCTION("""COMPUTED_VALUE"""),12156.7775)</f>
        <v>12156.7775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IFERROR(__xludf.DUMMYFUNCTION("""COMPUTED_VALUE"""),11983.76536)</f>
        <v>11983.76536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IFERROR(__xludf.DUMMYFUNCTION("""COMPUTED_VALUE"""),12185.26915)</f>
        <v>12185.26915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IFERROR(__xludf.DUMMYFUNCTION("""COMPUTED_VALUE"""),12344.1)</f>
        <v>12344.1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IFERROR(__xludf.DUMMYFUNCTION("""COMPUTED_VALUE"""),12373.148)</f>
        <v>12373.148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IFERROR(__xludf.DUMMYFUNCTION("""COMPUTED_VALUE"""),12479.67017)</f>
        <v>12479.67017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IFERROR(__xludf.DUMMYFUNCTION("""COMPUTED_VALUE"""),12418.37352)</f>
        <v>12418.37352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IFERROR(__xludf.DUMMYFUNCTION("""COMPUTED_VALUE"""),12404.9484)</f>
        <v>12404.9484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IFERROR(__xludf.DUMMYFUNCTION("""COMPUTED_VALUE"""),12147.79245)</f>
        <v>12147.79245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IFERROR(__xludf.DUMMYFUNCTION("""COMPUTED_VALUE"""),12421.66612)</f>
        <v>12421.66612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IFERROR(__xludf.DUMMYFUNCTION("""COMPUTED_VALUE"""),12398.03413)</f>
        <v>12398.03413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IFERROR(__xludf.DUMMYFUNCTION("""COMPUTED_VALUE"""),12312.71039)</f>
        <v>12312.71039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IFERROR(__xludf.DUMMYFUNCTION("""COMPUTED_VALUE"""),12229.37784)</f>
        <v>12229.37784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IFERROR(__xludf.DUMMYFUNCTION("""COMPUTED_VALUE"""),12260.51962)</f>
        <v>12260.51962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IFERROR(__xludf.DUMMYFUNCTION("""COMPUTED_VALUE"""),12140.45619)</f>
        <v>12140.45619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IFERROR(__xludf.DUMMYFUNCTION("""COMPUTED_VALUE"""),12180.18694)</f>
        <v>12180.18694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IFERROR(__xludf.DUMMYFUNCTION("""COMPUTED_VALUE"""),12088.53024)</f>
        <v>12088.53024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IFERROR(__xludf.DUMMYFUNCTION("""COMPUTED_VALUE"""),11969.49594)</f>
        <v>11969.49594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IFERROR(__xludf.DUMMYFUNCTION("""COMPUTED_VALUE"""),11965.45906)</f>
        <v>11965.45906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IFERROR(__xludf.DUMMYFUNCTION("""COMPUTED_VALUE"""),12170.925)</f>
        <v>12170.925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IFERROR(__xludf.DUMMYFUNCTION("""COMPUTED_VALUE"""),12076.12203)</f>
        <v>12076.12203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IFERROR(__xludf.DUMMYFUNCTION("""COMPUTED_VALUE"""),12079.80622)</f>
        <v>12079.80622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IFERROR(__xludf.DUMMYFUNCTION("""COMPUTED_VALUE"""),11841.37794)</f>
        <v>11841.37794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IFERROR(__xludf.DUMMYFUNCTION("""COMPUTED_VALUE"""),12122.74538)</f>
        <v>12122.74538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IFERROR(__xludf.DUMMYFUNCTION("""COMPUTED_VALUE"""),12083.2396)</f>
        <v>12083.2396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IFERROR(__xludf.DUMMYFUNCTION("""COMPUTED_VALUE"""),12100.2406)</f>
        <v>12100.2406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IFERROR(__xludf.DUMMYFUNCTION("""COMPUTED_VALUE"""),12168.4715)</f>
        <v>12168.4715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IFERROR(__xludf.DUMMYFUNCTION("""COMPUTED_VALUE"""),12306.0855)</f>
        <v>12306.0855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IFERROR(__xludf.DUMMYFUNCTION("""COMPUTED_VALUE"""),12239.3425)</f>
        <v>12239.3425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IFERROR(__xludf.DUMMYFUNCTION("""COMPUTED_VALUE"""),12265.58403)</f>
        <v>12265.58403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IFERROR(__xludf.DUMMYFUNCTION("""COMPUTED_VALUE"""),12267.72296)</f>
        <v>12267.72296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IFERROR(__xludf.DUMMYFUNCTION("""COMPUTED_VALUE"""),12247.47915)</f>
        <v>12247.47915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IFERROR(__xludf.DUMMYFUNCTION("""COMPUTED_VALUE"""),12328.57)</f>
        <v>12328.57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IFERROR(__xludf.DUMMYFUNCTION("""COMPUTED_VALUE"""),12187.7858)</f>
        <v>12187.7858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IFERROR(__xludf.DUMMYFUNCTION("""COMPUTED_VALUE"""),12173.335)</f>
        <v>12173.335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IFERROR(__xludf.DUMMYFUNCTION("""COMPUTED_VALUE"""),12237.45)</f>
        <v>12237.45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IFERROR(__xludf.DUMMYFUNCTION("""COMPUTED_VALUE"""),11876.1496)</f>
        <v>11876.1496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IFERROR(__xludf.DUMMYFUNCTION("""COMPUTED_VALUE"""),12204.22821)</f>
        <v>12204.22821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IFERROR(__xludf.DUMMYFUNCTION("""COMPUTED_VALUE"""),12027.15696)</f>
        <v>12027.15696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IFERROR(__xludf.DUMMYFUNCTION("""COMPUTED_VALUE"""),11999.30806)</f>
        <v>11999.30806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IFERROR(__xludf.DUMMYFUNCTION("""COMPUTED_VALUE"""),11947.16151)</f>
        <v>11947.16151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IFERROR(__xludf.DUMMYFUNCTION("""COMPUTED_VALUE"""),11917.27784)</f>
        <v>11917.27784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IFERROR(__xludf.DUMMYFUNCTION("""COMPUTED_VALUE"""),12159.3486)</f>
        <v>12159.3486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IFERROR(__xludf.DUMMYFUNCTION("""COMPUTED_VALUE"""),11828.90885)</f>
        <v>11828.90885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IFERROR(__xludf.DUMMYFUNCTION("""COMPUTED_VALUE"""),12179.78448)</f>
        <v>12179.78448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IFERROR(__xludf.DUMMYFUNCTION("""COMPUTED_VALUE"""),12013.66631)</f>
        <v>12013.66631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IFERROR(__xludf.DUMMYFUNCTION("""COMPUTED_VALUE"""),12244.30552)</f>
        <v>12244.30552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IFERROR(__xludf.DUMMYFUNCTION("""COMPUTED_VALUE"""),12007.52378)</f>
        <v>12007.52378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IFERROR(__xludf.DUMMYFUNCTION("""COMPUTED_VALUE"""),12103.62832)</f>
        <v>12103.62832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IFERROR(__xludf.DUMMYFUNCTION("""COMPUTED_VALUE"""),11974.57587)</f>
        <v>11974.57587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IFERROR(__xludf.DUMMYFUNCTION("""COMPUTED_VALUE"""),12033.18452)</f>
        <v>12033.18452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IFERROR(__xludf.DUMMYFUNCTION("""COMPUTED_VALUE"""),12081.45834)</f>
        <v>12081.45834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IFERROR(__xludf.DUMMYFUNCTION("""COMPUTED_VALUE"""),12266.48)</f>
        <v>12266.48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IFERROR(__xludf.DUMMYFUNCTION("""COMPUTED_VALUE"""),12291.90024)</f>
        <v>12291.90024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IFERROR(__xludf.DUMMYFUNCTION("""COMPUTED_VALUE"""),12013.59558)</f>
        <v>12013.59558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IFERROR(__xludf.DUMMYFUNCTION("""COMPUTED_VALUE"""),12322.4695)</f>
        <v>12322.4695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IFERROR(__xludf.DUMMYFUNCTION("""COMPUTED_VALUE"""),12260.24181)</f>
        <v>12260.24181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IFERROR(__xludf.DUMMYFUNCTION("""COMPUTED_VALUE"""),12330.9662)</f>
        <v>12330.9662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IFERROR(__xludf.DUMMYFUNCTION("""COMPUTED_VALUE"""),12323.115)</f>
        <v>12323.115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IFERROR(__xludf.DUMMYFUNCTION("""COMPUTED_VALUE"""),12360.78)</f>
        <v>12360.78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IFERROR(__xludf.DUMMYFUNCTION("""COMPUTED_VALUE"""),12375.1296)</f>
        <v>12375.1296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IFERROR(__xludf.DUMMYFUNCTION("""COMPUTED_VALUE"""),12088.23912)</f>
        <v>12088.23912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IFERROR(__xludf.DUMMYFUNCTION("""COMPUTED_VALUE"""),12366.80443)</f>
        <v>12366.80443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IFERROR(__xludf.DUMMYFUNCTION("""COMPUTED_VALUE"""),12372.744)</f>
        <v>12372.744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IFERROR(__xludf.DUMMYFUNCTION("""COMPUTED_VALUE"""),12312.96152)</f>
        <v>12312.96152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IFERROR(__xludf.DUMMYFUNCTION("""COMPUTED_VALUE"""),12262.70244)</f>
        <v>12262.70244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IFERROR(__xludf.DUMMYFUNCTION("""COMPUTED_VALUE"""),12106.74)</f>
        <v>12106.74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IFERROR(__xludf.DUMMYFUNCTION("""COMPUTED_VALUE"""),12062.35)</f>
        <v>12062.35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IFERROR(__xludf.DUMMYFUNCTION("""COMPUTED_VALUE"""),11923.2782)</f>
        <v>11923.2782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IFERROR(__xludf.DUMMYFUNCTION("""COMPUTED_VALUE"""),12151.07156)</f>
        <v>12151.07156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IFERROR(__xludf.DUMMYFUNCTION("""COMPUTED_VALUE"""),11781.577)</f>
        <v>11781.577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IFERROR(__xludf.DUMMYFUNCTION("""COMPUTED_VALUE"""),11976.69588)</f>
        <v>11976.69588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IFERROR(__xludf.DUMMYFUNCTION("""COMPUTED_VALUE"""),12020.60865)</f>
        <v>12020.60865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IFERROR(__xludf.DUMMYFUNCTION("""COMPUTED_VALUE"""),11909.70753)</f>
        <v>11909.70753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IFERROR(__xludf.DUMMYFUNCTION("""COMPUTED_VALUE"""),11702.26672)</f>
        <v>11702.26672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IFERROR(__xludf.DUMMYFUNCTION("""COMPUTED_VALUE"""),11720.17032)</f>
        <v>11720.17032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IFERROR(__xludf.DUMMYFUNCTION("""COMPUTED_VALUE"""),11545.65498)</f>
        <v>11545.65498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IFERROR(__xludf.DUMMYFUNCTION("""COMPUTED_VALUE"""),11708.13306)</f>
        <v>11708.13306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IFERROR(__xludf.DUMMYFUNCTION("""COMPUTED_VALUE"""),11809.7973)</f>
        <v>11809.7973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IFERROR(__xludf.DUMMYFUNCTION("""COMPUTED_VALUE"""),11984.61208)</f>
        <v>11984.61208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IFERROR(__xludf.DUMMYFUNCTION("""COMPUTED_VALUE"""),12216.3212)</f>
        <v>12216.3212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IFERROR(__xludf.DUMMYFUNCTION("""COMPUTED_VALUE"""),12094.7545)</f>
        <v>12094.7545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IFERROR(__xludf.DUMMYFUNCTION("""COMPUTED_VALUE"""),12147.13561)</f>
        <v>12147.13561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IFERROR(__xludf.DUMMYFUNCTION("""COMPUTED_VALUE"""),12009.73449)</f>
        <v>12009.73449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IFERROR(__xludf.DUMMYFUNCTION("""COMPUTED_VALUE"""),12005.52192)</f>
        <v>12005.52192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IFERROR(__xludf.DUMMYFUNCTION("""COMPUTED_VALUE"""),12065.46757)</f>
        <v>12065.46757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IFERROR(__xludf.DUMMYFUNCTION("""COMPUTED_VALUE"""),12006.82629)</f>
        <v>12006.82629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IFERROR(__xludf.DUMMYFUNCTION("""COMPUTED_VALUE"""),11809.2143)</f>
        <v>11809.2143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IFERROR(__xludf.DUMMYFUNCTION("""COMPUTED_VALUE"""),11815.13474)</f>
        <v>11815.13474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IFERROR(__xludf.DUMMYFUNCTION("""COMPUTED_VALUE"""),11583.47873)</f>
        <v>11583.47873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IFERROR(__xludf.DUMMYFUNCTION("""COMPUTED_VALUE"""),11892.44227)</f>
        <v>11892.44227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IFERROR(__xludf.DUMMYFUNCTION("""COMPUTED_VALUE"""),12272.528)</f>
        <v>12272.528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IFERROR(__xludf.DUMMYFUNCTION("""COMPUTED_VALUE"""),12093.81259)</f>
        <v>12093.81259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IFERROR(__xludf.DUMMYFUNCTION("""COMPUTED_VALUE"""),12032.01392)</f>
        <v>12032.01392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IFERROR(__xludf.DUMMYFUNCTION("""COMPUTED_VALUE"""),12162.1071)</f>
        <v>12162.1071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IFERROR(__xludf.DUMMYFUNCTION("""COMPUTED_VALUE"""),11765.34807)</f>
        <v>11765.34807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IFERROR(__xludf.DUMMYFUNCTION("""COMPUTED_VALUE"""),12128.62316)</f>
        <v>12128.62316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IFERROR(__xludf.DUMMYFUNCTION("""COMPUTED_VALUE"""),11742.4942)</f>
        <v>11742.4942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IFERROR(__xludf.DUMMYFUNCTION("""COMPUTED_VALUE"""),11737.51604)</f>
        <v>11737.51604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IFERROR(__xludf.DUMMYFUNCTION("""COMPUTED_VALUE"""),11488.815)</f>
        <v>11488.815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IFERROR(__xludf.DUMMYFUNCTION("""COMPUTED_VALUE"""),11945.91294)</f>
        <v>11945.91294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IFERROR(__xludf.DUMMYFUNCTION("""COMPUTED_VALUE"""),11937.492)</f>
        <v>11937.492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IFERROR(__xludf.DUMMYFUNCTION("""COMPUTED_VALUE"""),11900.33937)</f>
        <v>11900.33937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IFERROR(__xludf.DUMMYFUNCTION("""COMPUTED_VALUE"""),12135.99256)</f>
        <v>12135.99256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IFERROR(__xludf.DUMMYFUNCTION("""COMPUTED_VALUE"""),11906.56759)</f>
        <v>11906.56759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IFERROR(__xludf.DUMMYFUNCTION("""COMPUTED_VALUE"""),12123.96633)</f>
        <v>12123.96633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IFERROR(__xludf.DUMMYFUNCTION("""COMPUTED_VALUE"""),11893.4748)</f>
        <v>11893.4748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IFERROR(__xludf.DUMMYFUNCTION("""COMPUTED_VALUE"""),12213.74464)</f>
        <v>12213.74464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IFERROR(__xludf.DUMMYFUNCTION("""COMPUTED_VALUE"""),12187.2226)</f>
        <v>12187.2226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IFERROR(__xludf.DUMMYFUNCTION("""COMPUTED_VALUE"""),12282.6896)</f>
        <v>12282.6896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IFERROR(__xludf.DUMMYFUNCTION("""COMPUTED_VALUE"""),11969.98608)</f>
        <v>11969.98608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IFERROR(__xludf.DUMMYFUNCTION("""COMPUTED_VALUE"""),12334.22098)</f>
        <v>12334.22098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IFERROR(__xludf.DUMMYFUNCTION("""COMPUTED_VALUE"""),12201.3948)</f>
        <v>12201.3948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IFERROR(__xludf.DUMMYFUNCTION("""COMPUTED_VALUE"""),12198.012)</f>
        <v>12198.012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IFERROR(__xludf.DUMMYFUNCTION("""COMPUTED_VALUE"""),12167.2394)</f>
        <v>12167.2394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IFERROR(__xludf.DUMMYFUNCTION("""COMPUTED_VALUE"""),12161.66359)</f>
        <v>12161.66359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IFERROR(__xludf.DUMMYFUNCTION("""COMPUTED_VALUE"""),12295.305)</f>
        <v>12295.305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IFERROR(__xludf.DUMMYFUNCTION("""COMPUTED_VALUE"""),11868.32832)</f>
        <v>11868.32832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IFERROR(__xludf.DUMMYFUNCTION("""COMPUTED_VALUE"""),12271.03075)</f>
        <v>12271.03075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IFERROR(__xludf.DUMMYFUNCTION("""COMPUTED_VALUE"""),12308.74638)</f>
        <v>12308.74638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IFERROR(__xludf.DUMMYFUNCTION("""COMPUTED_VALUE"""),12304.97048)</f>
        <v>12304.97048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IFERROR(__xludf.DUMMYFUNCTION("""COMPUTED_VALUE"""),12321.86566)</f>
        <v>12321.86566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IFERROR(__xludf.DUMMYFUNCTION("""COMPUTED_VALUE"""),12548.73912)</f>
        <v>12548.73912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IFERROR(__xludf.DUMMYFUNCTION("""COMPUTED_VALUE"""),12459.51388)</f>
        <v>12459.51388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IFERROR(__xludf.DUMMYFUNCTION("""COMPUTED_VALUE"""),12473.54475)</f>
        <v>12473.54475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IFERROR(__xludf.DUMMYFUNCTION("""COMPUTED_VALUE"""),12482.08249)</f>
        <v>12482.08249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IFERROR(__xludf.DUMMYFUNCTION("""COMPUTED_VALUE"""),12228.75136)</f>
        <v>12228.75136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IFERROR(__xludf.DUMMYFUNCTION("""COMPUTED_VALUE"""),12108.97905)</f>
        <v>12108.97905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IFERROR(__xludf.DUMMYFUNCTION("""COMPUTED_VALUE"""),12190.39872)</f>
        <v>12190.39872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IFERROR(__xludf.DUMMYFUNCTION("""COMPUTED_VALUE"""),12367.29951)</f>
        <v>12367.29951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IFERROR(__xludf.DUMMYFUNCTION("""COMPUTED_VALUE"""),12336.0495)</f>
        <v>12336.0495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IFERROR(__xludf.DUMMYFUNCTION("""COMPUTED_VALUE"""),12146.51544)</f>
        <v>12146.51544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IFERROR(__xludf.DUMMYFUNCTION("""COMPUTED_VALUE"""),12331.24111)</f>
        <v>12331.24111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IFERROR(__xludf.DUMMYFUNCTION("""COMPUTED_VALUE"""),12320.84705)</f>
        <v>12320.84705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IFERROR(__xludf.DUMMYFUNCTION("""COMPUTED_VALUE"""),12326.7705)</f>
        <v>12326.7705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IFERROR(__xludf.DUMMYFUNCTION("""COMPUTED_VALUE"""),12023.65737)</f>
        <v>12023.65737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IFERROR(__xludf.DUMMYFUNCTION("""COMPUTED_VALUE"""),12209.26804)</f>
        <v>12209.26804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IFERROR(__xludf.DUMMYFUNCTION("""COMPUTED_VALUE"""),12310.16356)</f>
        <v>12310.16356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IFERROR(__xludf.DUMMYFUNCTION("""COMPUTED_VALUE"""),12345.87747)</f>
        <v>12345.87747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IFERROR(__xludf.DUMMYFUNCTION("""COMPUTED_VALUE"""),12366.44433)</f>
        <v>12366.44433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IFERROR(__xludf.DUMMYFUNCTION("""COMPUTED_VALUE"""),12209.3654)</f>
        <v>12209.3654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IFERROR(__xludf.DUMMYFUNCTION("""COMPUTED_VALUE"""),12155.50558)</f>
        <v>12155.50558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IFERROR(__xludf.DUMMYFUNCTION("""COMPUTED_VALUE"""),12084.49876)</f>
        <v>12084.49876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IFERROR(__xludf.DUMMYFUNCTION("""COMPUTED_VALUE"""),12074.92129)</f>
        <v>12074.92129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IFERROR(__xludf.DUMMYFUNCTION("""COMPUTED_VALUE"""),12159.20545)</f>
        <v>12159.20545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IFERROR(__xludf.DUMMYFUNCTION("""COMPUTED_VALUE"""),12031.42554)</f>
        <v>12031.42554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IFERROR(__xludf.DUMMYFUNCTION("""COMPUTED_VALUE"""),12201.28636)</f>
        <v>12201.28636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IFERROR(__xludf.DUMMYFUNCTION("""COMPUTED_VALUE"""),12168.34008)</f>
        <v>12168.34008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IFERROR(__xludf.DUMMYFUNCTION("""COMPUTED_VALUE"""),12226.96341)</f>
        <v>12226.96341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IFERROR(__xludf.DUMMYFUNCTION("""COMPUTED_VALUE"""),12032.15136)</f>
        <v>12032.15136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IFERROR(__xludf.DUMMYFUNCTION("""COMPUTED_VALUE"""),11945.08672)</f>
        <v>11945.08672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IFERROR(__xludf.DUMMYFUNCTION("""COMPUTED_VALUE"""),11948.51042)</f>
        <v>11948.51042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IFERROR(__xludf.DUMMYFUNCTION("""COMPUTED_VALUE"""),11961.25735)</f>
        <v>11961.25735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IFERROR(__xludf.DUMMYFUNCTION("""COMPUTED_VALUE"""),12047.61097)</f>
        <v>12047.61097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IFERROR(__xludf.DUMMYFUNCTION("""COMPUTED_VALUE"""),12135.82672)</f>
        <v>12135.82672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IFERROR(__xludf.DUMMYFUNCTION("""COMPUTED_VALUE"""),12151.24215)</f>
        <v>12151.24215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IFERROR(__xludf.DUMMYFUNCTION("""COMPUTED_VALUE"""),12202.71548)</f>
        <v>12202.71548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IFERROR(__xludf.DUMMYFUNCTION("""COMPUTED_VALUE"""),12111.52027)</f>
        <v>12111.52027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IFERROR(__xludf.DUMMYFUNCTION("""COMPUTED_VALUE"""),12071.9865)</f>
        <v>12071.9865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IFERROR(__xludf.DUMMYFUNCTION("""COMPUTED_VALUE"""),11939.38902)</f>
        <v>11939.38902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IFERROR(__xludf.DUMMYFUNCTION("""COMPUTED_VALUE"""),12094.45692)</f>
        <v>12094.45692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IFERROR(__xludf.DUMMYFUNCTION("""COMPUTED_VALUE"""),12067.81744)</f>
        <v>12067.81744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IFERROR(__xludf.DUMMYFUNCTION("""COMPUTED_VALUE"""),12114.96445)</f>
        <v>12114.96445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IFERROR(__xludf.DUMMYFUNCTION("""COMPUTED_VALUE"""),12102.13244)</f>
        <v>12102.13244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IFERROR(__xludf.DUMMYFUNCTION("""COMPUTED_VALUE"""),12003.04117)</f>
        <v>12003.04117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IFERROR(__xludf.DUMMYFUNCTION("""COMPUTED_VALUE"""),12112.52)</f>
        <v>12112.52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IFERROR(__xludf.DUMMYFUNCTION("""COMPUTED_VALUE"""),11898.3249)</f>
        <v>11898.3249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IFERROR(__xludf.DUMMYFUNCTION("""COMPUTED_VALUE"""),12165.60499)</f>
        <v>12165.60499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IFERROR(__xludf.DUMMYFUNCTION("""COMPUTED_VALUE"""),11922.40413)</f>
        <v>11922.40413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IFERROR(__xludf.DUMMYFUNCTION("""COMPUTED_VALUE"""),11864.86541)</f>
        <v>11864.86541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IFERROR(__xludf.DUMMYFUNCTION("""COMPUTED_VALUE"""),11817.26)</f>
        <v>11817.26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IFERROR(__xludf.DUMMYFUNCTION("""COMPUTED_VALUE"""),11840.56887)</f>
        <v>11840.56887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IFERROR(__xludf.DUMMYFUNCTION("""COMPUTED_VALUE"""),11834.03856)</f>
        <v>11834.03856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IFERROR(__xludf.DUMMYFUNCTION("""COMPUTED_VALUE"""),11836.6604)</f>
        <v>11836.6604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IFERROR(__xludf.DUMMYFUNCTION("""COMPUTED_VALUE"""),11749.40115)</f>
        <v>11749.40115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IFERROR(__xludf.DUMMYFUNCTION("""COMPUTED_VALUE"""),11852.23572)</f>
        <v>11852.23572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IFERROR(__xludf.DUMMYFUNCTION("""COMPUTED_VALUE"""),11837.87984)</f>
        <v>11837.87984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IFERROR(__xludf.DUMMYFUNCTION("""COMPUTED_VALUE"""),11790.9153)</f>
        <v>11790.9153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IFERROR(__xludf.DUMMYFUNCTION("""COMPUTED_VALUE"""),11927.70075)</f>
        <v>11927.70075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IFERROR(__xludf.DUMMYFUNCTION("""COMPUTED_VALUE"""),11792.68)</f>
        <v>11792.68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IFERROR(__xludf.DUMMYFUNCTION("""COMPUTED_VALUE"""),11785.16976)</f>
        <v>11785.16976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IFERROR(__xludf.DUMMYFUNCTION("""COMPUTED_VALUE"""),11866.24194)</f>
        <v>11866.24194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IFERROR(__xludf.DUMMYFUNCTION("""COMPUTED_VALUE"""),11865.45442)</f>
        <v>11865.45442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IFERROR(__xludf.DUMMYFUNCTION("""COMPUTED_VALUE"""),11842.2216)</f>
        <v>11842.2216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IFERROR(__xludf.DUMMYFUNCTION("""COMPUTED_VALUE"""),11692.60032)</f>
        <v>11692.60032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IFERROR(__xludf.DUMMYFUNCTION("""COMPUTED_VALUE"""),11465.19504)</f>
        <v>11465.19504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IFERROR(__xludf.DUMMYFUNCTION("""COMPUTED_VALUE"""),11739.042)</f>
        <v>11739.042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IFERROR(__xludf.DUMMYFUNCTION("""COMPUTED_VALUE"""),11732.5635)</f>
        <v>11732.5635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IFERROR(__xludf.DUMMYFUNCTION("""COMPUTED_VALUE"""),11800.54628)</f>
        <v>11800.54628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IFERROR(__xludf.DUMMYFUNCTION("""COMPUTED_VALUE"""),11518.84606)</f>
        <v>11518.84606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IFERROR(__xludf.DUMMYFUNCTION("""COMPUTED_VALUE"""),11895.71305)</f>
        <v>11895.71305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IFERROR(__xludf.DUMMYFUNCTION("""COMPUTED_VALUE"""),11787.64098)</f>
        <v>11787.64098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IFERROR(__xludf.DUMMYFUNCTION("""COMPUTED_VALUE"""),11651.69)</f>
        <v>11651.69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IFERROR(__xludf.DUMMYFUNCTION("""COMPUTED_VALUE"""),11557.935)</f>
        <v>11557.935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IFERROR(__xludf.DUMMYFUNCTION("""COMPUTED_VALUE"""),11524.09648)</f>
        <v>11524.09648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IFERROR(__xludf.DUMMYFUNCTION("""COMPUTED_VALUE"""),11556.06162)</f>
        <v>11556.06162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IFERROR(__xludf.DUMMYFUNCTION("""COMPUTED_VALUE"""),11680.72244)</f>
        <v>11680.72244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IFERROR(__xludf.DUMMYFUNCTION("""COMPUTED_VALUE"""),11672.678)</f>
        <v>11672.678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IFERROR(__xludf.DUMMYFUNCTION("""COMPUTED_VALUE"""),11687.842)</f>
        <v>11687.842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IFERROR(__xludf.DUMMYFUNCTION("""COMPUTED_VALUE"""),11729.385)</f>
        <v>11729.385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IFERROR(__xludf.DUMMYFUNCTION("""COMPUTED_VALUE"""),11509.0884)</f>
        <v>11509.0884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IFERROR(__xludf.DUMMYFUNCTION("""COMPUTED_VALUE"""),11479.0772)</f>
        <v>11479.0772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IFERROR(__xludf.DUMMYFUNCTION("""COMPUTED_VALUE"""),11532.17831)</f>
        <v>11532.17831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IFERROR(__xludf.DUMMYFUNCTION("""COMPUTED_VALUE"""),11526.38833)</f>
        <v>11526.38833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IFERROR(__xludf.DUMMYFUNCTION("""COMPUTED_VALUE"""),11557.0847)</f>
        <v>11557.0847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IFERROR(__xludf.DUMMYFUNCTION("""COMPUTED_VALUE"""),11585.31741)</f>
        <v>11585.31741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IFERROR(__xludf.DUMMYFUNCTION("""COMPUTED_VALUE"""),11593.6145)</f>
        <v>11593.6145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IFERROR(__xludf.DUMMYFUNCTION("""COMPUTED_VALUE"""),11561.1118)</f>
        <v>11561.1118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IFERROR(__xludf.DUMMYFUNCTION("""COMPUTED_VALUE"""),11547.832)</f>
        <v>11547.832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IFERROR(__xludf.DUMMYFUNCTION("""COMPUTED_VALUE"""),11560.537)</f>
        <v>11560.537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IFERROR(__xludf.DUMMYFUNCTION("""COMPUTED_VALUE"""),11617.408)</f>
        <v>11617.408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IFERROR(__xludf.DUMMYFUNCTION("""COMPUTED_VALUE"""),11678.5446)</f>
        <v>11678.5446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IFERROR(__xludf.DUMMYFUNCTION("""COMPUTED_VALUE"""),11863.52648)</f>
        <v>11863.52648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IFERROR(__xludf.DUMMYFUNCTION("""COMPUTED_VALUE"""),11752.84761)</f>
        <v>11752.84761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IFERROR(__xludf.DUMMYFUNCTION("""COMPUTED_VALUE"""),11865.29741)</f>
        <v>11865.29741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IFERROR(__xludf.DUMMYFUNCTION("""COMPUTED_VALUE"""),11807.688)</f>
        <v>11807.688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IFERROR(__xludf.DUMMYFUNCTION("""COMPUTED_VALUE"""),11887.48863)</f>
        <v>11887.48863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IFERROR(__xludf.DUMMYFUNCTION("""COMPUTED_VALUE"""),11788.3108)</f>
        <v>11788.3108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IFERROR(__xludf.DUMMYFUNCTION("""COMPUTED_VALUE"""),11742.03787)</f>
        <v>11742.03787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IFERROR(__xludf.DUMMYFUNCTION("""COMPUTED_VALUE"""),11823.068)</f>
        <v>11823.068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IFERROR(__xludf.DUMMYFUNCTION("""COMPUTED_VALUE"""),11768.27968)</f>
        <v>11768.27968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IFERROR(__xludf.DUMMYFUNCTION("""COMPUTED_VALUE"""),11785.48902)</f>
        <v>11785.48902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IFERROR(__xludf.DUMMYFUNCTION("""COMPUTED_VALUE"""),11743.12993)</f>
        <v>11743.12993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IFERROR(__xludf.DUMMYFUNCTION("""COMPUTED_VALUE"""),11771.29931)</f>
        <v>11771.29931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IFERROR(__xludf.DUMMYFUNCTION("""COMPUTED_VALUE"""),11785.2112)</f>
        <v>11785.2112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IFERROR(__xludf.DUMMYFUNCTION("""COMPUTED_VALUE"""),11831.357)</f>
        <v>11831.357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IFERROR(__xludf.DUMMYFUNCTION("""COMPUTED_VALUE"""),11729.74225)</f>
        <v>11729.74225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IFERROR(__xludf.DUMMYFUNCTION("""COMPUTED_VALUE"""),11842.9056)</f>
        <v>11842.9056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IFERROR(__xludf.DUMMYFUNCTION("""COMPUTED_VALUE"""),11831.1105)</f>
        <v>11831.1105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IFERROR(__xludf.DUMMYFUNCTION("""COMPUTED_VALUE"""),11829.3175)</f>
        <v>11829.3175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IFERROR(__xludf.DUMMYFUNCTION("""COMPUTED_VALUE"""),11861.5915)</f>
        <v>11861.5915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IFERROR(__xludf.DUMMYFUNCTION("""COMPUTED_VALUE"""),11800.21395)</f>
        <v>11800.21395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IFERROR(__xludf.DUMMYFUNCTION("""COMPUTED_VALUE"""),11817.9732)</f>
        <v>11817.9732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IFERROR(__xludf.DUMMYFUNCTION("""COMPUTED_VALUE"""),11661.687)</f>
        <v>11661.687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IFERROR(__xludf.DUMMYFUNCTION("""COMPUTED_VALUE"""),11788.046)</f>
        <v>11788.046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IFERROR(__xludf.DUMMYFUNCTION("""COMPUTED_VALUE"""),11830.8423)</f>
        <v>11830.8423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IFERROR(__xludf.DUMMYFUNCTION("""COMPUTED_VALUE"""),11804.82312)</f>
        <v>11804.82312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IFERROR(__xludf.DUMMYFUNCTION("""COMPUTED_VALUE"""),11882.97696)</f>
        <v>11882.97696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IFERROR(__xludf.DUMMYFUNCTION("""COMPUTED_VALUE"""),11843.40916)</f>
        <v>11843.40916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IFERROR(__xludf.DUMMYFUNCTION("""COMPUTED_VALUE"""),11957.4357)</f>
        <v>11957.4357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IFERROR(__xludf.DUMMYFUNCTION("""COMPUTED_VALUE"""),11978.904)</f>
        <v>11978.904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IFERROR(__xludf.DUMMYFUNCTION("""COMPUTED_VALUE"""),12087.384)</f>
        <v>12087.384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IFERROR(__xludf.DUMMYFUNCTION("""COMPUTED_VALUE"""),12154.28)</f>
        <v>12154.28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IFERROR(__xludf.DUMMYFUNCTION("""COMPUTED_VALUE"""),12130.40423)</f>
        <v>12130.40423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IFERROR(__xludf.DUMMYFUNCTION("""COMPUTED_VALUE"""),12211.24188)</f>
        <v>12211.24188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IFERROR(__xludf.DUMMYFUNCTION("""COMPUTED_VALUE"""),12207.0735)</f>
        <v>12207.0735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IFERROR(__xludf.DUMMYFUNCTION("""COMPUTED_VALUE"""),12129.735)</f>
        <v>12129.735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IFERROR(__xludf.DUMMYFUNCTION("""COMPUTED_VALUE"""),12000.8695)</f>
        <v>12000.8695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IFERROR(__xludf.DUMMYFUNCTION("""COMPUTED_VALUE"""),12057.4569)</f>
        <v>12057.4569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IFERROR(__xludf.DUMMYFUNCTION("""COMPUTED_VALUE"""),11954.411)</f>
        <v>11954.411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IFERROR(__xludf.DUMMYFUNCTION("""COMPUTED_VALUE"""),11953.5055)</f>
        <v>11953.5055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IFERROR(__xludf.DUMMYFUNCTION("""COMPUTED_VALUE"""),11946.2615)</f>
        <v>11946.2615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IFERROR(__xludf.DUMMYFUNCTION("""COMPUTED_VALUE"""),12048.2973)</f>
        <v>12048.2973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IFERROR(__xludf.DUMMYFUNCTION("""COMPUTED_VALUE"""),11959.7915)</f>
        <v>11959.7915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IFERROR(__xludf.DUMMYFUNCTION("""COMPUTED_VALUE"""),11941.41485)</f>
        <v>11941.41485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IFERROR(__xludf.DUMMYFUNCTION("""COMPUTED_VALUE"""),12085.0665)</f>
        <v>12085.0665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IFERROR(__xludf.DUMMYFUNCTION("""COMPUTED_VALUE"""),11947.581)</f>
        <v>11947.581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IFERROR(__xludf.DUMMYFUNCTION("""COMPUTED_VALUE"""),12004.57347)</f>
        <v>12004.57347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IFERROR(__xludf.DUMMYFUNCTION("""COMPUTED_VALUE"""),11981.7744)</f>
        <v>11981.7744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IFERROR(__xludf.DUMMYFUNCTION("""COMPUTED_VALUE"""),12028.161)</f>
        <v>12028.161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IFERROR(__xludf.DUMMYFUNCTION("""COMPUTED_VALUE"""),11941.3975)</f>
        <v>11941.3975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IFERROR(__xludf.DUMMYFUNCTION("""COMPUTED_VALUE"""),11926.5608)</f>
        <v>11926.5608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IFERROR(__xludf.DUMMYFUNCTION("""COMPUTED_VALUE"""),11979.7062)</f>
        <v>11979.7062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IFERROR(__xludf.DUMMYFUNCTION("""COMPUTED_VALUE"""),11988.34)</f>
        <v>11988.34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IFERROR(__xludf.DUMMYFUNCTION("""COMPUTED_VALUE"""),11970.02814)</f>
        <v>11970.02814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IFERROR(__xludf.DUMMYFUNCTION("""COMPUTED_VALUE"""),12019.248)</f>
        <v>12019.248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IFERROR(__xludf.DUMMYFUNCTION("""COMPUTED_VALUE"""),12052.53)</f>
        <v>12052.53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IFERROR(__xludf.DUMMYFUNCTION("""COMPUTED_VALUE"""),12104.322)</f>
        <v>12104.322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IFERROR(__xludf.DUMMYFUNCTION("""COMPUTED_VALUE"""),12086.032)</f>
        <v>12086.032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IFERROR(__xludf.DUMMYFUNCTION("""COMPUTED_VALUE"""),12168.556)</f>
        <v>12168.556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IFERROR(__xludf.DUMMYFUNCTION("""COMPUTED_VALUE"""),12134.5005)</f>
        <v>12134.5005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IFERROR(__xludf.DUMMYFUNCTION("""COMPUTED_VALUE"""),11881.26185)</f>
        <v>11881.26185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IFERROR(__xludf.DUMMYFUNCTION("""COMPUTED_VALUE"""),12145.71)</f>
        <v>12145.71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IFERROR(__xludf.DUMMYFUNCTION("""COMPUTED_VALUE"""),12220.74)</f>
        <v>12220.74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IFERROR(__xludf.DUMMYFUNCTION("""COMPUTED_VALUE"""),12187.8)</f>
        <v>12187.8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IFERROR(__xludf.DUMMYFUNCTION("""COMPUTED_VALUE"""),12183.225)</f>
        <v>12183.225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IFERROR(__xludf.DUMMYFUNCTION("""COMPUTED_VALUE"""),12174.075)</f>
        <v>12174.075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IFERROR(__xludf.DUMMYFUNCTION("""COMPUTED_VALUE"""),12166.08)</f>
        <v>12166.08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IFERROR(__xludf.DUMMYFUNCTION("""COMPUTED_VALUE"""),12155.408)</f>
        <v>12155.408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IFERROR(__xludf.DUMMYFUNCTION("""COMPUTED_VALUE"""),12258.47733)</f>
        <v>12258.47733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IFERROR(__xludf.DUMMYFUNCTION("""COMPUTED_VALUE"""),12148.8232)</f>
        <v>12148.8232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IFERROR(__xludf.DUMMYFUNCTION("""COMPUTED_VALUE"""),12075.9648)</f>
        <v>12075.9648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IFERROR(__xludf.DUMMYFUNCTION("""COMPUTED_VALUE"""),12000.762)</f>
        <v>12000.762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IFERROR(__xludf.DUMMYFUNCTION("""COMPUTED_VALUE"""),11866.827)</f>
        <v>11866.827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IFERROR(__xludf.DUMMYFUNCTION("""COMPUTED_VALUE"""),12047.53095)</f>
        <v>12047.53095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IFERROR(__xludf.DUMMYFUNCTION("""COMPUTED_VALUE"""),11895.63712)</f>
        <v>11895.63712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IFERROR(__xludf.DUMMYFUNCTION("""COMPUTED_VALUE"""),11885.9055)</f>
        <v>11885.9055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IFERROR(__xludf.DUMMYFUNCTION("""COMPUTED_VALUE"""),11997.6165)</f>
        <v>11997.6165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IFERROR(__xludf.DUMMYFUNCTION("""COMPUTED_VALUE"""),11963.2324)</f>
        <v>11963.2324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IFERROR(__xludf.DUMMYFUNCTION("""COMPUTED_VALUE"""),11999.8284)</f>
        <v>11999.8284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IFERROR(__xludf.DUMMYFUNCTION("""COMPUTED_VALUE"""),12062.9565)</f>
        <v>12062.9565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IFERROR(__xludf.DUMMYFUNCTION("""COMPUTED_VALUE"""),11917.8625)</f>
        <v>11917.8625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IFERROR(__xludf.DUMMYFUNCTION("""COMPUTED_VALUE"""),11807.30303)</f>
        <v>11807.30303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IFERROR(__xludf.DUMMYFUNCTION("""COMPUTED_VALUE"""),11940.43068)</f>
        <v>11940.43068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IFERROR(__xludf.DUMMYFUNCTION("""COMPUTED_VALUE"""),12025.0925)</f>
        <v>12025.0925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IFERROR(__xludf.DUMMYFUNCTION("""COMPUTED_VALUE"""),12022.346)</f>
        <v>12022.346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IFERROR(__xludf.DUMMYFUNCTION("""COMPUTED_VALUE"""),12004.9515)</f>
        <v>12004.9515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IFERROR(__xludf.DUMMYFUNCTION("""COMPUTED_VALUE"""),12030.1868)</f>
        <v>12030.1868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IFERROR(__xludf.DUMMYFUNCTION("""COMPUTED_VALUE"""),12098.8418)</f>
        <v>12098.8418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IFERROR(__xludf.DUMMYFUNCTION("""COMPUTED_VALUE"""),12157.31368)</f>
        <v>12157.31368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IFERROR(__xludf.DUMMYFUNCTION("""COMPUTED_VALUE"""),12072.70142)</f>
        <v>12072.70142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IFERROR(__xludf.DUMMYFUNCTION("""COMPUTED_VALUE"""),12052.0939)</f>
        <v>12052.0939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IFERROR(__xludf.DUMMYFUNCTION("""COMPUTED_VALUE"""),12095.16)</f>
        <v>12095.16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IFERROR(__xludf.DUMMYFUNCTION("""COMPUTED_VALUE"""),12111.6534)</f>
        <v>12111.6534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IFERROR(__xludf.DUMMYFUNCTION("""COMPUTED_VALUE"""),12068.5306)</f>
        <v>12068.5306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IFERROR(__xludf.DUMMYFUNCTION("""COMPUTED_VALUE"""),12175.35875)</f>
        <v>12175.35875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IFERROR(__xludf.DUMMYFUNCTION("""COMPUTED_VALUE"""),12155.33026)</f>
        <v>12155.33026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IFERROR(__xludf.DUMMYFUNCTION("""COMPUTED_VALUE"""),12164.33201)</f>
        <v>12164.33201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IFERROR(__xludf.DUMMYFUNCTION("""COMPUTED_VALUE"""),12151.45055)</f>
        <v>12151.45055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IFERROR(__xludf.DUMMYFUNCTION("""COMPUTED_VALUE"""),12054.44955)</f>
        <v>12054.44955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IFERROR(__xludf.DUMMYFUNCTION("""COMPUTED_VALUE"""),12051.0585)</f>
        <v>12051.0585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IFERROR(__xludf.DUMMYFUNCTION("""COMPUTED_VALUE"""),12023.21158)</f>
        <v>12023.21158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IFERROR(__xludf.DUMMYFUNCTION("""COMPUTED_VALUE"""),11837.38933)</f>
        <v>11837.38933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IFERROR(__xludf.DUMMYFUNCTION("""COMPUTED_VALUE"""),11741.97528)</f>
        <v>11741.97528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IFERROR(__xludf.DUMMYFUNCTION("""COMPUTED_VALUE"""),11973.269)</f>
        <v>11973.269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IFERROR(__xludf.DUMMYFUNCTION("""COMPUTED_VALUE"""),11906.634)</f>
        <v>11906.634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IFERROR(__xludf.DUMMYFUNCTION("""COMPUTED_VALUE"""),11917.0155)</f>
        <v>11917.0155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IFERROR(__xludf.DUMMYFUNCTION("""COMPUTED_VALUE"""),11861.395)</f>
        <v>11861.395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IFERROR(__xludf.DUMMYFUNCTION("""COMPUTED_VALUE"""),11859.8445)</f>
        <v>11859.8445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IFERROR(__xludf.DUMMYFUNCTION("""COMPUTED_VALUE"""),11854.4063)</f>
        <v>11854.4063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IFERROR(__xludf.DUMMYFUNCTION("""COMPUTED_VALUE"""),11817.5343)</f>
        <v>11817.5343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IFERROR(__xludf.DUMMYFUNCTION("""COMPUTED_VALUE"""),11851.4302)</f>
        <v>11851.4302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IFERROR(__xludf.DUMMYFUNCTION("""COMPUTED_VALUE"""),11764.593)</f>
        <v>11764.593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IFERROR(__xludf.DUMMYFUNCTION("""COMPUTED_VALUE"""),11751.6598)</f>
        <v>11751.6598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IFERROR(__xludf.DUMMYFUNCTION("""COMPUTED_VALUE"""),11697.2947)</f>
        <v>11697.2947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IFERROR(__xludf.DUMMYFUNCTION("""COMPUTED_VALUE"""),11763.58066)</f>
        <v>11763.58066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IFERROR(__xludf.DUMMYFUNCTION("""COMPUTED_VALUE"""),11495.8656)</f>
        <v>11495.8656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IFERROR(__xludf.DUMMYFUNCTION("""COMPUTED_VALUE"""),11836.73361)</f>
        <v>11836.73361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IFERROR(__xludf.DUMMYFUNCTION("""COMPUTED_VALUE"""),11840.283)</f>
        <v>11840.283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IFERROR(__xludf.DUMMYFUNCTION("""COMPUTED_VALUE"""),11671.833)</f>
        <v>11671.833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IFERROR(__xludf.DUMMYFUNCTION("""COMPUTED_VALUE"""),11656.6725)</f>
        <v>11656.6725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IFERROR(__xludf.DUMMYFUNCTION("""COMPUTED_VALUE"""),11604.8445)</f>
        <v>11604.8445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IFERROR(__xludf.DUMMYFUNCTION("""COMPUTED_VALUE"""),11595.1475)</f>
        <v>11595.1475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IFERROR(__xludf.DUMMYFUNCTION("""COMPUTED_VALUE"""),11654.56117)</f>
        <v>11654.56117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IFERROR(__xludf.DUMMYFUNCTION("""COMPUTED_VALUE"""),11679.89712)</f>
        <v>11679.89712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IFERROR(__xludf.DUMMYFUNCTION("""COMPUTED_VALUE"""),11617.47615)</f>
        <v>11617.47615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IFERROR(__xludf.DUMMYFUNCTION("""COMPUTED_VALUE"""),11690.949)</f>
        <v>11690.949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IFERROR(__xludf.DUMMYFUNCTION("""COMPUTED_VALUE"""),11632.642)</f>
        <v>11632.642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IFERROR(__xludf.DUMMYFUNCTION("""COMPUTED_VALUE"""),11589.375)</f>
        <v>11589.375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IFERROR(__xludf.DUMMYFUNCTION("""COMPUTED_VALUE"""),11653.125)</f>
        <v>11653.125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IFERROR(__xludf.DUMMYFUNCTION("""COMPUTED_VALUE"""),11706.87944)</f>
        <v>11706.87944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IFERROR(__xludf.DUMMYFUNCTION("""COMPUTED_VALUE"""),11654.51917)</f>
        <v>11654.51917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IFERROR(__xludf.DUMMYFUNCTION("""COMPUTED_VALUE"""),11719.6875)</f>
        <v>11719.6875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IFERROR(__xludf.DUMMYFUNCTION("""COMPUTED_VALUE"""),11667.1698)</f>
        <v>11667.1698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IFERROR(__xludf.DUMMYFUNCTION("""COMPUTED_VALUE"""),11663.3125)</f>
        <v>11663.3125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IFERROR(__xludf.DUMMYFUNCTION("""COMPUTED_VALUE"""),11758.2995)</f>
        <v>11758.2995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IFERROR(__xludf.DUMMYFUNCTION("""COMPUTED_VALUE"""),11717.784)</f>
        <v>11717.784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IFERROR(__xludf.DUMMYFUNCTION("""COMPUTED_VALUE"""),11457.77871)</f>
        <v>11457.77871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IFERROR(__xludf.DUMMYFUNCTION("""COMPUTED_VALUE"""),11862.10755)</f>
        <v>11862.10755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IFERROR(__xludf.DUMMYFUNCTION("""COMPUTED_VALUE"""),11694.046)</f>
        <v>11694.046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IFERROR(__xludf.DUMMYFUNCTION("""COMPUTED_VALUE"""),11767.536)</f>
        <v>11767.536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IFERROR(__xludf.DUMMYFUNCTION("""COMPUTED_VALUE"""),11808.5755)</f>
        <v>11808.5755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IFERROR(__xludf.DUMMYFUNCTION("""COMPUTED_VALUE"""),11864.9455)</f>
        <v>11864.9455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IFERROR(__xludf.DUMMYFUNCTION("""COMPUTED_VALUE"""),11838.2965)</f>
        <v>11838.2965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IFERROR(__xludf.DUMMYFUNCTION("""COMPUTED_VALUE"""),11763.0794)</f>
        <v>11763.0794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IFERROR(__xludf.DUMMYFUNCTION("""COMPUTED_VALUE"""),12191.5708)</f>
        <v>12191.5708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IFERROR(__xludf.DUMMYFUNCTION("""COMPUTED_VALUE"""),11771.4834)</f>
        <v>11771.4834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IFERROR(__xludf.DUMMYFUNCTION("""COMPUTED_VALUE"""),11896.01504)</f>
        <v>11896.01504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IFERROR(__xludf.DUMMYFUNCTION("""COMPUTED_VALUE"""),11917.22973)</f>
        <v>11917.22973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IFERROR(__xludf.DUMMYFUNCTION("""COMPUTED_VALUE"""),11792.17455)</f>
        <v>11792.17455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IFERROR(__xludf.DUMMYFUNCTION("""COMPUTED_VALUE"""),11834.0236)</f>
        <v>11834.0236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IFERROR(__xludf.DUMMYFUNCTION("""COMPUTED_VALUE"""),11722.7402)</f>
        <v>11722.7402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IFERROR(__xludf.DUMMYFUNCTION("""COMPUTED_VALUE"""),11831.73106)</f>
        <v>11831.73106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IFERROR(__xludf.DUMMYFUNCTION("""COMPUTED_VALUE"""),11765.94815)</f>
        <v>11765.94815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IFERROR(__xludf.DUMMYFUNCTION("""COMPUTED_VALUE"""),11755.22184)</f>
        <v>11755.22184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IFERROR(__xludf.DUMMYFUNCTION("""COMPUTED_VALUE"""),11742.92232)</f>
        <v>11742.92232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IFERROR(__xludf.DUMMYFUNCTION("""COMPUTED_VALUE"""),11713.64532)</f>
        <v>11713.64532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IFERROR(__xludf.DUMMYFUNCTION("""COMPUTED_VALUE"""),11862.6984)</f>
        <v>11862.6984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IFERROR(__xludf.DUMMYFUNCTION("""COMPUTED_VALUE"""),11859.888)</f>
        <v>11859.888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IFERROR(__xludf.DUMMYFUNCTION("""COMPUTED_VALUE"""),11919.01963)</f>
        <v>11919.01963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IFERROR(__xludf.DUMMYFUNCTION("""COMPUTED_VALUE"""),11806.68743)</f>
        <v>11806.68743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IFERROR(__xludf.DUMMYFUNCTION("""COMPUTED_VALUE"""),11737.98475)</f>
        <v>11737.98475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IFERROR(__xludf.DUMMYFUNCTION("""COMPUTED_VALUE"""),11680.05636)</f>
        <v>11680.05636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IFERROR(__xludf.DUMMYFUNCTION("""COMPUTED_VALUE"""),11593.21226)</f>
        <v>11593.21226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IFERROR(__xludf.DUMMYFUNCTION("""COMPUTED_VALUE"""),11568.7845)</f>
        <v>11568.7845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IFERROR(__xludf.DUMMYFUNCTION("""COMPUTED_VALUE"""),11420.57416)</f>
        <v>11420.57416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IFERROR(__xludf.DUMMYFUNCTION("""COMPUTED_VALUE"""),11584.32845)</f>
        <v>11584.32845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IFERROR(__xludf.DUMMYFUNCTION("""COMPUTED_VALUE"""),11549.07792)</f>
        <v>11549.07792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IFERROR(__xludf.DUMMYFUNCTION("""COMPUTED_VALUE"""),11511.40528)</f>
        <v>11511.40528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IFERROR(__xludf.DUMMYFUNCTION("""COMPUTED_VALUE"""),11490.83045)</f>
        <v>11490.83045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IFERROR(__xludf.DUMMYFUNCTION("""COMPUTED_VALUE"""),11491.21664)</f>
        <v>11491.21664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IFERROR(__xludf.DUMMYFUNCTION("""COMPUTED_VALUE"""),11542.2327)</f>
        <v>11542.2327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IFERROR(__xludf.DUMMYFUNCTION("""COMPUTED_VALUE"""),11540.3481)</f>
        <v>11540.3481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IFERROR(__xludf.DUMMYFUNCTION("""COMPUTED_VALUE"""),11608.90032)</f>
        <v>11608.90032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IFERROR(__xludf.DUMMYFUNCTION("""COMPUTED_VALUE"""),11556.35302)</f>
        <v>11556.35302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IFERROR(__xludf.DUMMYFUNCTION("""COMPUTED_VALUE"""),11559.9393)</f>
        <v>11559.9393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IFERROR(__xludf.DUMMYFUNCTION("""COMPUTED_VALUE"""),11563.7063)</f>
        <v>11563.7063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IFERROR(__xludf.DUMMYFUNCTION("""COMPUTED_VALUE"""),11560.06368)</f>
        <v>11560.06368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IFERROR(__xludf.DUMMYFUNCTION("""COMPUTED_VALUE"""),11456.0875)</f>
        <v>11456.0875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IFERROR(__xludf.DUMMYFUNCTION("""COMPUTED_VALUE"""),11456.0875)</f>
        <v>11456.0875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IFERROR(__xludf.DUMMYFUNCTION("""COMPUTED_VALUE"""),11485.30686)</f>
        <v>11485.30686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IFERROR(__xludf.DUMMYFUNCTION("""COMPUTED_VALUE"""),11419.0608)</f>
        <v>11419.0608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IFERROR(__xludf.DUMMYFUNCTION("""COMPUTED_VALUE"""),11379.79472)</f>
        <v>11379.79472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IFERROR(__xludf.DUMMYFUNCTION("""COMPUTED_VALUE"""),11481.27575)</f>
        <v>11481.27575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IFERROR(__xludf.DUMMYFUNCTION("""COMPUTED_VALUE"""),11601.36946)</f>
        <v>11601.36946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IFERROR(__xludf.DUMMYFUNCTION("""COMPUTED_VALUE"""),11618.703)</f>
        <v>11618.703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IFERROR(__xludf.DUMMYFUNCTION("""COMPUTED_VALUE"""),11674.8803)</f>
        <v>11674.8803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IFERROR(__xludf.DUMMYFUNCTION("""COMPUTED_VALUE"""),11606.444)</f>
        <v>11606.444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IFERROR(__xludf.DUMMYFUNCTION("""COMPUTED_VALUE"""),11550.0544)</f>
        <v>11550.0544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IFERROR(__xludf.DUMMYFUNCTION("""COMPUTED_VALUE"""),11577.07596)</f>
        <v>11577.07596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IFERROR(__xludf.DUMMYFUNCTION("""COMPUTED_VALUE"""),11515.37484)</f>
        <v>11515.37484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IFERROR(__xludf.DUMMYFUNCTION("""COMPUTED_VALUE"""),11490.67368)</f>
        <v>11490.67368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IFERROR(__xludf.DUMMYFUNCTION("""COMPUTED_VALUE"""),11695.1555)</f>
        <v>11695.1555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IFERROR(__xludf.DUMMYFUNCTION("""COMPUTED_VALUE"""),11682.05583)</f>
        <v>11682.05583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IFERROR(__xludf.DUMMYFUNCTION("""COMPUTED_VALUE"""),11757.87472)</f>
        <v>11757.87472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IFERROR(__xludf.DUMMYFUNCTION("""COMPUTED_VALUE"""),11692.17585)</f>
        <v>11692.17585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IFERROR(__xludf.DUMMYFUNCTION("""COMPUTED_VALUE"""),11736.171)</f>
        <v>11736.171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IFERROR(__xludf.DUMMYFUNCTION("""COMPUTED_VALUE"""),11675.83471)</f>
        <v>11675.83471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IFERROR(__xludf.DUMMYFUNCTION("""COMPUTED_VALUE"""),11611.36291)</f>
        <v>11611.36291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IFERROR(__xludf.DUMMYFUNCTION("""COMPUTED_VALUE"""),11610.07104)</f>
        <v>11610.07104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IFERROR(__xludf.DUMMYFUNCTION("""COMPUTED_VALUE"""),11617.737)</f>
        <v>11617.737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IFERROR(__xludf.DUMMYFUNCTION("""COMPUTED_VALUE"""),11645.89056)</f>
        <v>11645.89056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IFERROR(__xludf.DUMMYFUNCTION("""COMPUTED_VALUE"""),11661.62422)</f>
        <v>11661.62422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IFERROR(__xludf.DUMMYFUNCTION("""COMPUTED_VALUE"""),11643.09678)</f>
        <v>11643.09678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IFERROR(__xludf.DUMMYFUNCTION("""COMPUTED_VALUE"""),11629.05308)</f>
        <v>11629.05308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IFERROR(__xludf.DUMMYFUNCTION("""COMPUTED_VALUE"""),11686.71805)</f>
        <v>11686.71805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IFERROR(__xludf.DUMMYFUNCTION("""COMPUTED_VALUE"""),11672.238)</f>
        <v>11672.238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IFERROR(__xludf.DUMMYFUNCTION("""COMPUTED_VALUE"""),11671.2915)</f>
        <v>11671.2915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IFERROR(__xludf.DUMMYFUNCTION("""COMPUTED_VALUE"""),11709.1748)</f>
        <v>11709.1748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IFERROR(__xludf.DUMMYFUNCTION("""COMPUTED_VALUE"""),11682.359)</f>
        <v>11682.359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IFERROR(__xludf.DUMMYFUNCTION("""COMPUTED_VALUE"""),11857.752)</f>
        <v>11857.752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IFERROR(__xludf.DUMMYFUNCTION("""COMPUTED_VALUE"""),11887.13159)</f>
        <v>11887.13159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IFERROR(__xludf.DUMMYFUNCTION("""COMPUTED_VALUE"""),11868.012)</f>
        <v>11868.012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IFERROR(__xludf.DUMMYFUNCTION("""COMPUTED_VALUE"""),11859.48)</f>
        <v>11859.48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IFERROR(__xludf.DUMMYFUNCTION("""COMPUTED_VALUE"""),11932.3159)</f>
        <v>11932.3159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IFERROR(__xludf.DUMMYFUNCTION("""COMPUTED_VALUE"""),11858.147)</f>
        <v>11858.147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IFERROR(__xludf.DUMMYFUNCTION("""COMPUTED_VALUE"""),11941.00587)</f>
        <v>11941.00587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IFERROR(__xludf.DUMMYFUNCTION("""COMPUTED_VALUE"""),11926.45376)</f>
        <v>11926.45376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IFERROR(__xludf.DUMMYFUNCTION("""COMPUTED_VALUE"""),11899.33934)</f>
        <v>11899.33934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IFERROR(__xludf.DUMMYFUNCTION("""COMPUTED_VALUE"""),11963.58)</f>
        <v>11963.58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IFERROR(__xludf.DUMMYFUNCTION("""COMPUTED_VALUE"""),11966.433)</f>
        <v>11966.433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IFERROR(__xludf.DUMMYFUNCTION("""COMPUTED_VALUE"""),11994.9671)</f>
        <v>11994.9671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IFERROR(__xludf.DUMMYFUNCTION("""COMPUTED_VALUE"""),11965.5234)</f>
        <v>11965.5234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IFERROR(__xludf.DUMMYFUNCTION("""COMPUTED_VALUE"""),11987.18676)</f>
        <v>11987.18676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IFERROR(__xludf.DUMMYFUNCTION("""COMPUTED_VALUE"""),12018.0076)</f>
        <v>12018.0076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IFERROR(__xludf.DUMMYFUNCTION("""COMPUTED_VALUE"""),12042.5787)</f>
        <v>12042.5787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IFERROR(__xludf.DUMMYFUNCTION("""COMPUTED_VALUE"""),12232.872)</f>
        <v>12232.872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IFERROR(__xludf.DUMMYFUNCTION("""COMPUTED_VALUE"""),12227.94485)</f>
        <v>12227.94485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IFERROR(__xludf.DUMMYFUNCTION("""COMPUTED_VALUE"""),12304.8069)</f>
        <v>12304.8069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IFERROR(__xludf.DUMMYFUNCTION("""COMPUTED_VALUE"""),12184.01273)</f>
        <v>12184.01273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IFERROR(__xludf.DUMMYFUNCTION("""COMPUTED_VALUE"""),12272.87066)</f>
        <v>12272.87066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IFERROR(__xludf.DUMMYFUNCTION("""COMPUTED_VALUE"""),12301.28757)</f>
        <v>12301.28757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IFERROR(__xludf.DUMMYFUNCTION("""COMPUTED_VALUE"""),12401.63387)</f>
        <v>12401.63387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IFERROR(__xludf.DUMMYFUNCTION("""COMPUTED_VALUE"""),12451.98)</f>
        <v>12451.98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IFERROR(__xludf.DUMMYFUNCTION("""COMPUTED_VALUE"""),12216.76198)</f>
        <v>12216.76198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IFERROR(__xludf.DUMMYFUNCTION("""COMPUTED_VALUE"""),12682.78414)</f>
        <v>12682.78414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IFERROR(__xludf.DUMMYFUNCTION("""COMPUTED_VALUE"""),12370.43155)</f>
        <v>12370.43155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IFERROR(__xludf.DUMMYFUNCTION("""COMPUTED_VALUE"""),12355.20828)</f>
        <v>12355.20828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IFERROR(__xludf.DUMMYFUNCTION("""COMPUTED_VALUE"""),12405.1451)</f>
        <v>12405.1451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IFERROR(__xludf.DUMMYFUNCTION("""COMPUTED_VALUE"""),12337.10723)</f>
        <v>12337.10723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IFERROR(__xludf.DUMMYFUNCTION("""COMPUTED_VALUE"""),12356.96)</f>
        <v>12356.96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IFERROR(__xludf.DUMMYFUNCTION("""COMPUTED_VALUE"""),12356.008)</f>
        <v>12356.008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IFERROR(__xludf.DUMMYFUNCTION("""COMPUTED_VALUE"""),12422.41371)</f>
        <v>12422.41371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IFERROR(__xludf.DUMMYFUNCTION("""COMPUTED_VALUE"""),12328.11621)</f>
        <v>12328.11621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IFERROR(__xludf.DUMMYFUNCTION("""COMPUTED_VALUE"""),12312.68876)</f>
        <v>12312.68876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IFERROR(__xludf.DUMMYFUNCTION("""COMPUTED_VALUE"""),12298.0572)</f>
        <v>12298.0572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IFERROR(__xludf.DUMMYFUNCTION("""COMPUTED_VALUE"""),12326.56992)</f>
        <v>12326.56992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IFERROR(__xludf.DUMMYFUNCTION("""COMPUTED_VALUE"""),12272.0065)</f>
        <v>12272.0065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IFERROR(__xludf.DUMMYFUNCTION("""COMPUTED_VALUE"""),12269.143)</f>
        <v>12269.143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IFERROR(__xludf.DUMMYFUNCTION("""COMPUTED_VALUE"""),12287.91149)</f>
        <v>12287.91149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IFERROR(__xludf.DUMMYFUNCTION("""COMPUTED_VALUE"""),12306.58329)</f>
        <v>12306.58329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IFERROR(__xludf.DUMMYFUNCTION("""COMPUTED_VALUE"""),12336.0716)</f>
        <v>12336.0716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IFERROR(__xludf.DUMMYFUNCTION("""COMPUTED_VALUE"""),12344.31162)</f>
        <v>12344.31162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IFERROR(__xludf.DUMMYFUNCTION("""COMPUTED_VALUE"""),12447.85647)</f>
        <v>12447.85647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IFERROR(__xludf.DUMMYFUNCTION("""COMPUTED_VALUE"""),12464.7612)</f>
        <v>12464.7612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IFERROR(__xludf.DUMMYFUNCTION("""COMPUTED_VALUE"""),12529.80689)</f>
        <v>12529.80689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IFERROR(__xludf.DUMMYFUNCTION("""COMPUTED_VALUE"""),12246.29296)</f>
        <v>12246.29296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IFERROR(__xludf.DUMMYFUNCTION("""COMPUTED_VALUE"""),12397.05192)</f>
        <v>12397.05192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IFERROR(__xludf.DUMMYFUNCTION("""COMPUTED_VALUE"""),12311.73355)</f>
        <v>12311.73355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IFERROR(__xludf.DUMMYFUNCTION("""COMPUTED_VALUE"""),12285.07222)</f>
        <v>12285.07222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IFERROR(__xludf.DUMMYFUNCTION("""COMPUTED_VALUE"""),12349.62966)</f>
        <v>12349.62966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IFERROR(__xludf.DUMMYFUNCTION("""COMPUTED_VALUE"""),12370.1797)</f>
        <v>12370.1797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IFERROR(__xludf.DUMMYFUNCTION("""COMPUTED_VALUE"""),12374.0009)</f>
        <v>12374.0009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IFERROR(__xludf.DUMMYFUNCTION("""COMPUTED_VALUE"""),12398.00902)</f>
        <v>12398.00902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IFERROR(__xludf.DUMMYFUNCTION("""COMPUTED_VALUE"""),12380.02094)</f>
        <v>12380.02094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IFERROR(__xludf.DUMMYFUNCTION("""COMPUTED_VALUE"""),12511.33819)</f>
        <v>12511.33819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IFERROR(__xludf.DUMMYFUNCTION("""COMPUTED_VALUE"""),12519.6939)</f>
        <v>12519.6939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IFERROR(__xludf.DUMMYFUNCTION("""COMPUTED_VALUE"""),12498.9155)</f>
        <v>12498.9155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IFERROR(__xludf.DUMMYFUNCTION("""COMPUTED_VALUE"""),12460.4064)</f>
        <v>12460.4064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IFERROR(__xludf.DUMMYFUNCTION("""COMPUTED_VALUE"""),12452.0676)</f>
        <v>12452.0676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IFERROR(__xludf.DUMMYFUNCTION("""COMPUTED_VALUE"""),12492.24763)</f>
        <v>12492.24763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IFERROR(__xludf.DUMMYFUNCTION("""COMPUTED_VALUE"""),12505.7772)</f>
        <v>12505.7772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IFERROR(__xludf.DUMMYFUNCTION("""COMPUTED_VALUE"""),12434.1596)</f>
        <v>12434.1596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IFERROR(__xludf.DUMMYFUNCTION("""COMPUTED_VALUE"""),12420.03056)</f>
        <v>12420.03056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IFERROR(__xludf.DUMMYFUNCTION("""COMPUTED_VALUE"""),12389.17004)</f>
        <v>12389.17004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IFERROR(__xludf.DUMMYFUNCTION("""COMPUTED_VALUE"""),12393.646)</f>
        <v>12393.646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IFERROR(__xludf.DUMMYFUNCTION("""COMPUTED_VALUE"""),12393.646)</f>
        <v>12393.646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IFERROR(__xludf.DUMMYFUNCTION("""COMPUTED_VALUE"""),12409.5954)</f>
        <v>12409.5954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IFERROR(__xludf.DUMMYFUNCTION("""COMPUTED_VALUE"""),12357.3118)</f>
        <v>12357.3118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IFERROR(__xludf.DUMMYFUNCTION("""COMPUTED_VALUE"""),12425.24358)</f>
        <v>12425.24358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IFERROR(__xludf.DUMMYFUNCTION("""COMPUTED_VALUE"""),12413.3688)</f>
        <v>12413.3688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IFERROR(__xludf.DUMMYFUNCTION("""COMPUTED_VALUE"""),12416.19675)</f>
        <v>12416.19675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IFERROR(__xludf.DUMMYFUNCTION("""COMPUTED_VALUE"""),12303.56272)</f>
        <v>12303.56272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IFERROR(__xludf.DUMMYFUNCTION("""COMPUTED_VALUE"""),12311.642)</f>
        <v>12311.642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IFERROR(__xludf.DUMMYFUNCTION("""COMPUTED_VALUE"""),12273.45592)</f>
        <v>12273.45592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IFERROR(__xludf.DUMMYFUNCTION("""COMPUTED_VALUE"""),12276.992)</f>
        <v>12276.992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IFERROR(__xludf.DUMMYFUNCTION("""COMPUTED_VALUE"""),12281.72236)</f>
        <v>12281.72236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IFERROR(__xludf.DUMMYFUNCTION("""COMPUTED_VALUE"""),12216.67806)</f>
        <v>12216.67806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IFERROR(__xludf.DUMMYFUNCTION("""COMPUTED_VALUE"""),12236.53392)</f>
        <v>12236.53392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IFERROR(__xludf.DUMMYFUNCTION("""COMPUTED_VALUE"""),12190.2881)</f>
        <v>12190.2881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IFERROR(__xludf.DUMMYFUNCTION("""COMPUTED_VALUE"""),12191.407)</f>
        <v>12191.407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IFERROR(__xludf.DUMMYFUNCTION("""COMPUTED_VALUE"""),12264.73048)</f>
        <v>12264.73048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IFERROR(__xludf.DUMMYFUNCTION("""COMPUTED_VALUE"""),12186.14007)</f>
        <v>12186.14007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IFERROR(__xludf.DUMMYFUNCTION("""COMPUTED_VALUE"""),12193.83432)</f>
        <v>12193.83432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IFERROR(__xludf.DUMMYFUNCTION("""COMPUTED_VALUE"""),12214.8169)</f>
        <v>12214.8169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IFERROR(__xludf.DUMMYFUNCTION("""COMPUTED_VALUE"""),12264.00855)</f>
        <v>12264.00855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IFERROR(__xludf.DUMMYFUNCTION("""COMPUTED_VALUE"""),12227.91993)</f>
        <v>12227.91993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IFERROR(__xludf.DUMMYFUNCTION("""COMPUTED_VALUE"""),12233.28)</f>
        <v>12233.28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IFERROR(__xludf.DUMMYFUNCTION("""COMPUTED_VALUE"""),12280.6662)</f>
        <v>12280.6662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IFERROR(__xludf.DUMMYFUNCTION("""COMPUTED_VALUE"""),12263.0392)</f>
        <v>12263.0392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IFERROR(__xludf.DUMMYFUNCTION("""COMPUTED_VALUE"""),12308.35824)</f>
        <v>12308.35824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IFERROR(__xludf.DUMMYFUNCTION("""COMPUTED_VALUE"""),12349.79135)</f>
        <v>12349.79135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IFERROR(__xludf.DUMMYFUNCTION("""COMPUTED_VALUE"""),12352.626)</f>
        <v>12352.626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IFERROR(__xludf.DUMMYFUNCTION("""COMPUTED_VALUE"""),12432.09577)</f>
        <v>12432.09577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IFERROR(__xludf.DUMMYFUNCTION("""COMPUTED_VALUE"""),12426.8367)</f>
        <v>12426.8367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IFERROR(__xludf.DUMMYFUNCTION("""COMPUTED_VALUE"""),12461.58018)</f>
        <v>12461.58018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IFERROR(__xludf.DUMMYFUNCTION("""COMPUTED_VALUE"""),12429.22188)</f>
        <v>12429.22188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IFERROR(__xludf.DUMMYFUNCTION("""COMPUTED_VALUE"""),12381.95112)</f>
        <v>12381.95112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IFERROR(__xludf.DUMMYFUNCTION("""COMPUTED_VALUE"""),12395.0925)</f>
        <v>12395.0925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IFERROR(__xludf.DUMMYFUNCTION("""COMPUTED_VALUE"""),12417.93436)</f>
        <v>12417.93436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IFERROR(__xludf.DUMMYFUNCTION("""COMPUTED_VALUE"""),12438.98075)</f>
        <v>12438.98075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IFERROR(__xludf.DUMMYFUNCTION("""COMPUTED_VALUE"""),12424.3896)</f>
        <v>12424.3896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IFERROR(__xludf.DUMMYFUNCTION("""COMPUTED_VALUE"""),12494.32612)</f>
        <v>12494.32612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IFERROR(__xludf.DUMMYFUNCTION("""COMPUTED_VALUE"""),12496.59549)</f>
        <v>12496.59549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IFERROR(__xludf.DUMMYFUNCTION("""COMPUTED_VALUE"""),12537.49082)</f>
        <v>12537.49082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IFERROR(__xludf.DUMMYFUNCTION("""COMPUTED_VALUE"""),12507.12144)</f>
        <v>12507.12144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IFERROR(__xludf.DUMMYFUNCTION("""COMPUTED_VALUE"""),12418.47515)</f>
        <v>12418.47515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IFERROR(__xludf.DUMMYFUNCTION("""COMPUTED_VALUE"""),12399.00698)</f>
        <v>12399.00698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IFERROR(__xludf.DUMMYFUNCTION("""COMPUTED_VALUE"""),12403.4565)</f>
        <v>12403.4565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IFERROR(__xludf.DUMMYFUNCTION("""COMPUTED_VALUE"""),12398.13801)</f>
        <v>12398.13801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IFERROR(__xludf.DUMMYFUNCTION("""COMPUTED_VALUE"""),12420.55496)</f>
        <v>12420.55496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IFERROR(__xludf.DUMMYFUNCTION("""COMPUTED_VALUE"""),12497.84616)</f>
        <v>12497.84616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IFERROR(__xludf.DUMMYFUNCTION("""COMPUTED_VALUE"""),12544.7517)</f>
        <v>12544.7517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IFERROR(__xludf.DUMMYFUNCTION("""COMPUTED_VALUE"""),12561.51272)</f>
        <v>12561.51272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IFERROR(__xludf.DUMMYFUNCTION("""COMPUTED_VALUE"""),12646.4049)</f>
        <v>12646.4049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IFERROR(__xludf.DUMMYFUNCTION("""COMPUTED_VALUE"""),12638.45464)</f>
        <v>12638.45464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IFERROR(__xludf.DUMMYFUNCTION("""COMPUTED_VALUE"""),12657.28966)</f>
        <v>12657.28966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IFERROR(__xludf.DUMMYFUNCTION("""COMPUTED_VALUE"""),12652.97352)</f>
        <v>12652.97352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IFERROR(__xludf.DUMMYFUNCTION("""COMPUTED_VALUE"""),12719.64796)</f>
        <v>12719.64796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IFERROR(__xludf.DUMMYFUNCTION("""COMPUTED_VALUE"""),12712.98276)</f>
        <v>12712.98276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IFERROR(__xludf.DUMMYFUNCTION("""COMPUTED_VALUE"""),12736.4016)</f>
        <v>12736.4016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IFERROR(__xludf.DUMMYFUNCTION("""COMPUTED_VALUE"""),12695.4282)</f>
        <v>12695.4282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IFERROR(__xludf.DUMMYFUNCTION("""COMPUTED_VALUE"""),12673.668)</f>
        <v>12673.668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IFERROR(__xludf.DUMMYFUNCTION("""COMPUTED_VALUE"""),12774.22417)</f>
        <v>12774.22417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IFERROR(__xludf.DUMMYFUNCTION("""COMPUTED_VALUE"""),12696.0304)</f>
        <v>12696.0304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IFERROR(__xludf.DUMMYFUNCTION("""COMPUTED_VALUE"""),12692.03595)</f>
        <v>12692.03595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IFERROR(__xludf.DUMMYFUNCTION("""COMPUTED_VALUE"""),12735.41169)</f>
        <v>12735.41169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IFERROR(__xludf.DUMMYFUNCTION("""COMPUTED_VALUE"""),12760.10055)</f>
        <v>12760.10055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IFERROR(__xludf.DUMMYFUNCTION("""COMPUTED_VALUE"""),12726.045)</f>
        <v>12726.045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IFERROR(__xludf.DUMMYFUNCTION("""COMPUTED_VALUE"""),12703.0509)</f>
        <v>12703.0509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IFERROR(__xludf.DUMMYFUNCTION("""COMPUTED_VALUE"""),12713.42637)</f>
        <v>12713.42637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IFERROR(__xludf.DUMMYFUNCTION("""COMPUTED_VALUE"""),12680.9973)</f>
        <v>12680.9973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IFERROR(__xludf.DUMMYFUNCTION("""COMPUTED_VALUE"""),12680.9973)</f>
        <v>12680.9973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IFERROR(__xludf.DUMMYFUNCTION("""COMPUTED_VALUE"""),12681.49275)</f>
        <v>12681.49275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IFERROR(__xludf.DUMMYFUNCTION("""COMPUTED_VALUE"""),12538.73706)</f>
        <v>12538.73706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IFERROR(__xludf.DUMMYFUNCTION("""COMPUTED_VALUE"""),12589.66249)</f>
        <v>12589.66249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IFERROR(__xludf.DUMMYFUNCTION("""COMPUTED_VALUE"""),12766.459)</f>
        <v>12766.459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IFERROR(__xludf.DUMMYFUNCTION("""COMPUTED_VALUE"""),12788.74649)</f>
        <v>12788.74649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IFERROR(__xludf.DUMMYFUNCTION("""COMPUTED_VALUE"""),12651.31875)</f>
        <v>12651.31875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IFERROR(__xludf.DUMMYFUNCTION("""COMPUTED_VALUE"""),12611.65372)</f>
        <v>12611.65372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IFERROR(__xludf.DUMMYFUNCTION("""COMPUTED_VALUE"""),12573.16541)</f>
        <v>12573.16541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IFERROR(__xludf.DUMMYFUNCTION("""COMPUTED_VALUE"""),12785.13152)</f>
        <v>12785.13152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IFERROR(__xludf.DUMMYFUNCTION("""COMPUTED_VALUE"""),12815.52468)</f>
        <v>12815.52468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IFERROR(__xludf.DUMMYFUNCTION("""COMPUTED_VALUE"""),12812.1362)</f>
        <v>12812.1362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IFERROR(__xludf.DUMMYFUNCTION("""COMPUTED_VALUE"""),12840.59908)</f>
        <v>12840.59908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IFERROR(__xludf.DUMMYFUNCTION("""COMPUTED_VALUE"""),12848.13432)</f>
        <v>12848.13432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IFERROR(__xludf.DUMMYFUNCTION("""COMPUTED_VALUE"""),12802.50096)</f>
        <v>12802.50096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IFERROR(__xludf.DUMMYFUNCTION("""COMPUTED_VALUE"""),12793.2198)</f>
        <v>12793.2198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IFERROR(__xludf.DUMMYFUNCTION("""COMPUTED_VALUE"""),12868.19532)</f>
        <v>12868.19532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IFERROR(__xludf.DUMMYFUNCTION("""COMPUTED_VALUE"""),12783.11424)</f>
        <v>12783.11424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IFERROR(__xludf.DUMMYFUNCTION("""COMPUTED_VALUE"""),12781.17372)</f>
        <v>12781.17372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IFERROR(__xludf.DUMMYFUNCTION("""COMPUTED_VALUE"""),12891.583)</f>
        <v>12891.583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IFERROR(__xludf.DUMMYFUNCTION("""COMPUTED_VALUE"""),12765.69696)</f>
        <v>12765.69696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IFERROR(__xludf.DUMMYFUNCTION("""COMPUTED_VALUE"""),12773.13372)</f>
        <v>12773.13372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IFERROR(__xludf.DUMMYFUNCTION("""COMPUTED_VALUE"""),12770.59483)</f>
        <v>12770.59483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IFERROR(__xludf.DUMMYFUNCTION("""COMPUTED_VALUE"""),12832.72127)</f>
        <v>12832.72127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IFERROR(__xludf.DUMMYFUNCTION("""COMPUTED_VALUE"""),12950.78816)</f>
        <v>12950.78816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IFERROR(__xludf.DUMMYFUNCTION("""COMPUTED_VALUE"""),12897.9104)</f>
        <v>12897.9104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IFERROR(__xludf.DUMMYFUNCTION("""COMPUTED_VALUE"""),12942.20268)</f>
        <v>12942.20268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IFERROR(__xludf.DUMMYFUNCTION("""COMPUTED_VALUE"""),12975.21757)</f>
        <v>12975.21757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IFERROR(__xludf.DUMMYFUNCTION("""COMPUTED_VALUE"""),13016.499)</f>
        <v>13016.499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IFERROR(__xludf.DUMMYFUNCTION("""COMPUTED_VALUE"""),13107.24693)</f>
        <v>13107.24693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IFERROR(__xludf.DUMMYFUNCTION("""COMPUTED_VALUE"""),13162.66788)</f>
        <v>13162.66788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IFERROR(__xludf.DUMMYFUNCTION("""COMPUTED_VALUE"""),13223.8727)</f>
        <v>13223.8727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IFERROR(__xludf.DUMMYFUNCTION("""COMPUTED_VALUE"""),13296.29534)</f>
        <v>13296.29534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IFERROR(__xludf.DUMMYFUNCTION("""COMPUTED_VALUE"""),13119.07176)</f>
        <v>13119.07176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IFERROR(__xludf.DUMMYFUNCTION("""COMPUTED_VALUE"""),13026.99841)</f>
        <v>13026.99841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IFERROR(__xludf.DUMMYFUNCTION("""COMPUTED_VALUE"""),13100.88341)</f>
        <v>13100.88341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IFERROR(__xludf.DUMMYFUNCTION("""COMPUTED_VALUE"""),13090.1992)</f>
        <v>13090.1992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IFERROR(__xludf.DUMMYFUNCTION("""COMPUTED_VALUE"""),12944.03058)</f>
        <v>12944.03058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IFERROR(__xludf.DUMMYFUNCTION("""COMPUTED_VALUE"""),12880.83438)</f>
        <v>12880.83438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IFERROR(__xludf.DUMMYFUNCTION("""COMPUTED_VALUE"""),12878.16198)</f>
        <v>12878.16198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IFERROR(__xludf.DUMMYFUNCTION("""COMPUTED_VALUE"""),12848.96191)</f>
        <v>12848.96191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IFERROR(__xludf.DUMMYFUNCTION("""COMPUTED_VALUE"""),12860.31799)</f>
        <v>12860.31799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IFERROR(__xludf.DUMMYFUNCTION("""COMPUTED_VALUE"""),12937.73004)</f>
        <v>12937.73004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IFERROR(__xludf.DUMMYFUNCTION("""COMPUTED_VALUE"""),12930.82284)</f>
        <v>12930.82284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IFERROR(__xludf.DUMMYFUNCTION("""COMPUTED_VALUE"""),12859.14916)</f>
        <v>12859.14916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IFERROR(__xludf.DUMMYFUNCTION("""COMPUTED_VALUE"""),12882.41812)</f>
        <v>12882.41812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IFERROR(__xludf.DUMMYFUNCTION("""COMPUTED_VALUE"""),12888.6135)</f>
        <v>12888.6135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IFERROR(__xludf.DUMMYFUNCTION("""COMPUTED_VALUE"""),12939.86414)</f>
        <v>12939.86414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IFERROR(__xludf.DUMMYFUNCTION("""COMPUTED_VALUE"""),12891.41744)</f>
        <v>12891.41744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IFERROR(__xludf.DUMMYFUNCTION("""COMPUTED_VALUE"""),12955.65859)</f>
        <v>12955.65859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IFERROR(__xludf.DUMMYFUNCTION("""COMPUTED_VALUE"""),12817.67625)</f>
        <v>12817.67625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IFERROR(__xludf.DUMMYFUNCTION("""COMPUTED_VALUE"""),12760.27852)</f>
        <v>12760.27852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IFERROR(__xludf.DUMMYFUNCTION("""COMPUTED_VALUE"""),12762.95205)</f>
        <v>12762.95205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IFERROR(__xludf.DUMMYFUNCTION("""COMPUTED_VALUE"""),12775.1328)</f>
        <v>12775.1328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IFERROR(__xludf.DUMMYFUNCTION("""COMPUTED_VALUE"""),12849.75611)</f>
        <v>12849.75611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IFERROR(__xludf.DUMMYFUNCTION("""COMPUTED_VALUE"""),12636.41076)</f>
        <v>12636.41076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IFERROR(__xludf.DUMMYFUNCTION("""COMPUTED_VALUE"""),12644.28275)</f>
        <v>12644.28275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IFERROR(__xludf.DUMMYFUNCTION("""COMPUTED_VALUE"""),12700.31523)</f>
        <v>12700.31523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IFERROR(__xludf.DUMMYFUNCTION("""COMPUTED_VALUE"""),12579.62336)</f>
        <v>12579.62336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IFERROR(__xludf.DUMMYFUNCTION("""COMPUTED_VALUE"""),12558.41109)</f>
        <v>12558.41109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IFERROR(__xludf.DUMMYFUNCTION("""COMPUTED_VALUE"""),12566.2754)</f>
        <v>12566.2754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IFERROR(__xludf.DUMMYFUNCTION("""COMPUTED_VALUE"""),12511.56492)</f>
        <v>12511.56492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IFERROR(__xludf.DUMMYFUNCTION("""COMPUTED_VALUE"""),12615.589)</f>
        <v>12615.589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IFERROR(__xludf.DUMMYFUNCTION("""COMPUTED_VALUE"""),12608.35986)</f>
        <v>12608.35986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IFERROR(__xludf.DUMMYFUNCTION("""COMPUTED_VALUE"""),12534.22476)</f>
        <v>12534.22476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IFERROR(__xludf.DUMMYFUNCTION("""COMPUTED_VALUE"""),12670.33929)</f>
        <v>12670.33929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IFERROR(__xludf.DUMMYFUNCTION("""COMPUTED_VALUE"""),12550.03036)</f>
        <v>12550.03036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IFERROR(__xludf.DUMMYFUNCTION("""COMPUTED_VALUE"""),12551.88507)</f>
        <v>12551.88507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IFERROR(__xludf.DUMMYFUNCTION("""COMPUTED_VALUE"""),12484.65006)</f>
        <v>12484.65006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IFERROR(__xludf.DUMMYFUNCTION("""COMPUTED_VALUE"""),12596.25208)</f>
        <v>12596.25208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IFERROR(__xludf.DUMMYFUNCTION("""COMPUTED_VALUE"""),12595.4704)</f>
        <v>12595.4704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IFERROR(__xludf.DUMMYFUNCTION("""COMPUTED_VALUE"""),12520.05029)</f>
        <v>12520.05029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IFERROR(__xludf.DUMMYFUNCTION("""COMPUTED_VALUE"""),12587.99542)</f>
        <v>12587.99542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IFERROR(__xludf.DUMMYFUNCTION("""COMPUTED_VALUE"""),12653.40942)</f>
        <v>12653.40942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IFERROR(__xludf.DUMMYFUNCTION("""COMPUTED_VALUE"""),12653.04366)</f>
        <v>12653.04366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IFERROR(__xludf.DUMMYFUNCTION("""COMPUTED_VALUE"""),12564.36177)</f>
        <v>12564.36177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IFERROR(__xludf.DUMMYFUNCTION("""COMPUTED_VALUE"""),12532.18716)</f>
        <v>12532.18716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IFERROR(__xludf.DUMMYFUNCTION("""COMPUTED_VALUE"""),12453.88874)</f>
        <v>12453.88874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IFERROR(__xludf.DUMMYFUNCTION("""COMPUTED_VALUE"""),12542.68024)</f>
        <v>12542.68024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IFERROR(__xludf.DUMMYFUNCTION("""COMPUTED_VALUE"""),12521.00928)</f>
        <v>12521.00928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IFERROR(__xludf.DUMMYFUNCTION("""COMPUTED_VALUE"""),12616.99504)</f>
        <v>12616.99504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IFERROR(__xludf.DUMMYFUNCTION("""COMPUTED_VALUE"""),12622.7102)</f>
        <v>12622.7102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IFERROR(__xludf.DUMMYFUNCTION("""COMPUTED_VALUE"""),12522.13861)</f>
        <v>12522.13861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IFERROR(__xludf.DUMMYFUNCTION("""COMPUTED_VALUE"""),12476.748)</f>
        <v>12476.748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IFERROR(__xludf.DUMMYFUNCTION("""COMPUTED_VALUE"""),12476.83052)</f>
        <v>12476.83052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IFERROR(__xludf.DUMMYFUNCTION("""COMPUTED_VALUE"""),12387.3368)</f>
        <v>12387.3368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IFERROR(__xludf.DUMMYFUNCTION("""COMPUTED_VALUE"""),12419.33191)</f>
        <v>12419.33191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IFERROR(__xludf.DUMMYFUNCTION("""COMPUTED_VALUE"""),12413.606)</f>
        <v>12413.606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IFERROR(__xludf.DUMMYFUNCTION("""COMPUTED_VALUE"""),12426.426)</f>
        <v>12426.426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IFERROR(__xludf.DUMMYFUNCTION("""COMPUTED_VALUE"""),12309.70347)</f>
        <v>12309.70347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IFERROR(__xludf.DUMMYFUNCTION("""COMPUTED_VALUE"""),12478.9175)</f>
        <v>12478.9175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IFERROR(__xludf.DUMMYFUNCTION("""COMPUTED_VALUE"""),12450.1804)</f>
        <v>12450.1804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IFERROR(__xludf.DUMMYFUNCTION("""COMPUTED_VALUE"""),12479.47034)</f>
        <v>12479.47034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IFERROR(__xludf.DUMMYFUNCTION("""COMPUTED_VALUE"""),12564.39765)</f>
        <v>12564.39765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IFERROR(__xludf.DUMMYFUNCTION("""COMPUTED_VALUE"""),12637.12563)</f>
        <v>12637.12563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IFERROR(__xludf.DUMMYFUNCTION("""COMPUTED_VALUE"""),12717.51879)</f>
        <v>12717.51879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IFERROR(__xludf.DUMMYFUNCTION("""COMPUTED_VALUE"""),12649.70849)</f>
        <v>12649.70849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IFERROR(__xludf.DUMMYFUNCTION("""COMPUTED_VALUE"""),12648.50587)</f>
        <v>12648.50587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IFERROR(__xludf.DUMMYFUNCTION("""COMPUTED_VALUE"""),12677.45115)</f>
        <v>12677.45115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IFERROR(__xludf.DUMMYFUNCTION("""COMPUTED_VALUE"""),12623.78398)</f>
        <v>12623.78398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IFERROR(__xludf.DUMMYFUNCTION("""COMPUTED_VALUE"""),12682.82641)</f>
        <v>12682.82641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IFERROR(__xludf.DUMMYFUNCTION("""COMPUTED_VALUE"""),12697.035)</f>
        <v>12697.035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IFERROR(__xludf.DUMMYFUNCTION("""COMPUTED_VALUE"""),12700.968)</f>
        <v>12700.968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IFERROR(__xludf.DUMMYFUNCTION("""COMPUTED_VALUE"""),12689.83941)</f>
        <v>12689.83941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IFERROR(__xludf.DUMMYFUNCTION("""COMPUTED_VALUE"""),12637.99056)</f>
        <v>12637.99056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IFERROR(__xludf.DUMMYFUNCTION("""COMPUTED_VALUE"""),12766.00122)</f>
        <v>12766.00122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IFERROR(__xludf.DUMMYFUNCTION("""COMPUTED_VALUE"""),12615.72012)</f>
        <v>12615.72012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IFERROR(__xludf.DUMMYFUNCTION("""COMPUTED_VALUE"""),12643.63695)</f>
        <v>12643.63695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IFERROR(__xludf.DUMMYFUNCTION("""COMPUTED_VALUE"""),12641.013)</f>
        <v>12641.013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IFERROR(__xludf.DUMMYFUNCTION("""COMPUTED_VALUE"""),12721.24665)</f>
        <v>12721.24665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IFERROR(__xludf.DUMMYFUNCTION("""COMPUTED_VALUE"""),12656.50008)</f>
        <v>12656.50008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IFERROR(__xludf.DUMMYFUNCTION("""COMPUTED_VALUE"""),12656.4249)</f>
        <v>12656.4249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IFERROR(__xludf.DUMMYFUNCTION("""COMPUTED_VALUE"""),12603.11)</f>
        <v>12603.11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IFERROR(__xludf.DUMMYFUNCTION("""COMPUTED_VALUE"""),12608.03544)</f>
        <v>12608.03544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IFERROR(__xludf.DUMMYFUNCTION("""COMPUTED_VALUE"""),12604.36176)</f>
        <v>12604.36176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IFERROR(__xludf.DUMMYFUNCTION("""COMPUTED_VALUE"""),12632.9184)</f>
        <v>12632.9184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IFERROR(__xludf.DUMMYFUNCTION("""COMPUTED_VALUE"""),12627.96738)</f>
        <v>12627.96738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IFERROR(__xludf.DUMMYFUNCTION("""COMPUTED_VALUE"""),12538.5759)</f>
        <v>12538.5759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IFERROR(__xludf.DUMMYFUNCTION("""COMPUTED_VALUE"""),12692.82658)</f>
        <v>12692.82658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IFERROR(__xludf.DUMMYFUNCTION("""COMPUTED_VALUE"""),12762.98874)</f>
        <v>12762.98874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IFERROR(__xludf.DUMMYFUNCTION("""COMPUTED_VALUE"""),12773.00074)</f>
        <v>12773.00074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IFERROR(__xludf.DUMMYFUNCTION("""COMPUTED_VALUE"""),12683.6805)</f>
        <v>12683.6805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IFERROR(__xludf.DUMMYFUNCTION("""COMPUTED_VALUE"""),12728.02872)</f>
        <v>12728.02872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IFERROR(__xludf.DUMMYFUNCTION("""COMPUTED_VALUE"""),12735.636)</f>
        <v>12735.636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IFERROR(__xludf.DUMMYFUNCTION("""COMPUTED_VALUE"""),12604.99793)</f>
        <v>12604.99793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IFERROR(__xludf.DUMMYFUNCTION("""COMPUTED_VALUE"""),12688.0972)</f>
        <v>12688.0972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IFERROR(__xludf.DUMMYFUNCTION("""COMPUTED_VALUE"""),12690.05424)</f>
        <v>12690.05424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IFERROR(__xludf.DUMMYFUNCTION("""COMPUTED_VALUE"""),12770.8095)</f>
        <v>12770.8095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IFERROR(__xludf.DUMMYFUNCTION("""COMPUTED_VALUE"""),12646.57828)</f>
        <v>12646.57828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IFERROR(__xludf.DUMMYFUNCTION("""COMPUTED_VALUE"""),12611.991)</f>
        <v>12611.991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IFERROR(__xludf.DUMMYFUNCTION("""COMPUTED_VALUE"""),12613.9328)</f>
        <v>12613.9328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IFERROR(__xludf.DUMMYFUNCTION("""COMPUTED_VALUE"""),12650.73097)</f>
        <v>12650.73097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IFERROR(__xludf.DUMMYFUNCTION("""COMPUTED_VALUE"""),12600.08064)</f>
        <v>12600.08064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IFERROR(__xludf.DUMMYFUNCTION("""COMPUTED_VALUE"""),12553.86832)</f>
        <v>12553.86832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IFERROR(__xludf.DUMMYFUNCTION("""COMPUTED_VALUE"""),12512.1825)</f>
        <v>12512.1825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IFERROR(__xludf.DUMMYFUNCTION("""COMPUTED_VALUE"""),12527.28993)</f>
        <v>12527.28993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IFERROR(__xludf.DUMMYFUNCTION("""COMPUTED_VALUE"""),12489.44657)</f>
        <v>12489.44657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IFERROR(__xludf.DUMMYFUNCTION("""COMPUTED_VALUE"""),12492.6578)</f>
        <v>12492.6578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IFERROR(__xludf.DUMMYFUNCTION("""COMPUTED_VALUE"""),12492.6578)</f>
        <v>12492.6578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IFERROR(__xludf.DUMMYFUNCTION("""COMPUTED_VALUE"""),12545.67445)</f>
        <v>12545.67445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IFERROR(__xludf.DUMMYFUNCTION("""COMPUTED_VALUE"""),12574.51038)</f>
        <v>12574.51038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IFERROR(__xludf.DUMMYFUNCTION("""COMPUTED_VALUE"""),12508.41933)</f>
        <v>12508.41933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IFERROR(__xludf.DUMMYFUNCTION("""COMPUTED_VALUE"""),12598.15606)</f>
        <v>12598.15606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IFERROR(__xludf.DUMMYFUNCTION("""COMPUTED_VALUE"""),12605.1388)</f>
        <v>12605.1388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IFERROR(__xludf.DUMMYFUNCTION("""COMPUTED_VALUE"""),12599.9664)</f>
        <v>12599.9664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IFERROR(__xludf.DUMMYFUNCTION("""COMPUTED_VALUE"""),12686.27377)</f>
        <v>12686.27377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IFERROR(__xludf.DUMMYFUNCTION("""COMPUTED_VALUE"""),12620.97552)</f>
        <v>12620.97552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IFERROR(__xludf.DUMMYFUNCTION("""COMPUTED_VALUE"""),12550.22907)</f>
        <v>12550.22907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IFERROR(__xludf.DUMMYFUNCTION("""COMPUTED_VALUE"""),12646.0032)</f>
        <v>12646.0032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IFERROR(__xludf.DUMMYFUNCTION("""COMPUTED_VALUE"""),12755.13861)</f>
        <v>12755.13861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IFERROR(__xludf.DUMMYFUNCTION("""COMPUTED_VALUE"""),12699.046)</f>
        <v>12699.046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IFERROR(__xludf.DUMMYFUNCTION("""COMPUTED_VALUE"""),12769.14445)</f>
        <v>12769.14445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IFERROR(__xludf.DUMMYFUNCTION("""COMPUTED_VALUE"""),12486.57255)</f>
        <v>12486.57255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IFERROR(__xludf.DUMMYFUNCTION("""COMPUTED_VALUE"""),12777.4934)</f>
        <v>12777.4934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IFERROR(__xludf.DUMMYFUNCTION("""COMPUTED_VALUE"""),12779.09853)</f>
        <v>12779.09853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IFERROR(__xludf.DUMMYFUNCTION("""COMPUTED_VALUE"""),12781.92149)</f>
        <v>12781.92149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IFERROR(__xludf.DUMMYFUNCTION("""COMPUTED_VALUE"""),12930.9186)</f>
        <v>12930.9186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IFERROR(__xludf.DUMMYFUNCTION("""COMPUTED_VALUE"""),12931.116)</f>
        <v>12931.116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IFERROR(__xludf.DUMMYFUNCTION("""COMPUTED_VALUE"""),12984.92954)</f>
        <v>12984.92954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IFERROR(__xludf.DUMMYFUNCTION("""COMPUTED_VALUE"""),12915.468)</f>
        <v>12915.468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IFERROR(__xludf.DUMMYFUNCTION("""COMPUTED_VALUE"""),12969.93552)</f>
        <v>12969.93552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IFERROR(__xludf.DUMMYFUNCTION("""COMPUTED_VALUE"""),13042.55765)</f>
        <v>13042.55765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IFERROR(__xludf.DUMMYFUNCTION("""COMPUTED_VALUE"""),13112.98794)</f>
        <v>13112.98794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IFERROR(__xludf.DUMMYFUNCTION("""COMPUTED_VALUE"""),13171.62324)</f>
        <v>13171.62324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IFERROR(__xludf.DUMMYFUNCTION("""COMPUTED_VALUE"""),13138.2168)</f>
        <v>13138.2168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IFERROR(__xludf.DUMMYFUNCTION("""COMPUTED_VALUE"""),13013.81806)</f>
        <v>13013.81806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IFERROR(__xludf.DUMMYFUNCTION("""COMPUTED_VALUE"""),12829.73701)</f>
        <v>12829.73701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IFERROR(__xludf.DUMMYFUNCTION("""COMPUTED_VALUE"""),13173.0936)</f>
        <v>13173.0936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IFERROR(__xludf.DUMMYFUNCTION("""COMPUTED_VALUE"""),13223.1015)</f>
        <v>13223.1015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IFERROR(__xludf.DUMMYFUNCTION("""COMPUTED_VALUE"""),13128.80976)</f>
        <v>13128.80976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IFERROR(__xludf.DUMMYFUNCTION("""COMPUTED_VALUE"""),13091.5879)</f>
        <v>13091.5879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IFERROR(__xludf.DUMMYFUNCTION("""COMPUTED_VALUE"""),13017.024)</f>
        <v>13017.024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IFERROR(__xludf.DUMMYFUNCTION("""COMPUTED_VALUE"""),12989.07414)</f>
        <v>12989.07414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IFERROR(__xludf.DUMMYFUNCTION("""COMPUTED_VALUE"""),12597.11572)</f>
        <v>12597.11572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IFERROR(__xludf.DUMMYFUNCTION("""COMPUTED_VALUE"""),13001.16241)</f>
        <v>13001.16241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IFERROR(__xludf.DUMMYFUNCTION("""COMPUTED_VALUE"""),12936.7576)</f>
        <v>12936.7576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IFERROR(__xludf.DUMMYFUNCTION("""COMPUTED_VALUE"""),12879.3837)</f>
        <v>12879.3837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IFERROR(__xludf.DUMMYFUNCTION("""COMPUTED_VALUE"""),12900.01048)</f>
        <v>12900.01048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IFERROR(__xludf.DUMMYFUNCTION("""COMPUTED_VALUE"""),12876.93)</f>
        <v>12876.93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IFERROR(__xludf.DUMMYFUNCTION("""COMPUTED_VALUE"""),12878.91)</f>
        <v>12878.91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IFERROR(__xludf.DUMMYFUNCTION("""COMPUTED_VALUE"""),12505.79745)</f>
        <v>12505.79745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IFERROR(__xludf.DUMMYFUNCTION("""COMPUTED_VALUE"""),12930.61255)</f>
        <v>12930.61255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IFERROR(__xludf.DUMMYFUNCTION("""COMPUTED_VALUE"""),12851.17088)</f>
        <v>12851.17088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IFERROR(__xludf.DUMMYFUNCTION("""COMPUTED_VALUE"""),12893.22605)</f>
        <v>12893.22605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IFERROR(__xludf.DUMMYFUNCTION("""COMPUTED_VALUE"""),12793.91168)</f>
        <v>12793.91168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IFERROR(__xludf.DUMMYFUNCTION("""COMPUTED_VALUE"""),12726.7776)</f>
        <v>12726.7776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IFERROR(__xludf.DUMMYFUNCTION("""COMPUTED_VALUE"""),12726.7776)</f>
        <v>12726.7776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IFERROR(__xludf.DUMMYFUNCTION("""COMPUTED_VALUE"""),12722.8104)</f>
        <v>12722.8104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IFERROR(__xludf.DUMMYFUNCTION("""COMPUTED_VALUE"""),12775.7916)</f>
        <v>12775.7916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IFERROR(__xludf.DUMMYFUNCTION("""COMPUTED_VALUE"""),12687.02064)</f>
        <v>12687.02064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IFERROR(__xludf.DUMMYFUNCTION("""COMPUTED_VALUE"""),13055.3066)</f>
        <v>13055.3066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IFERROR(__xludf.DUMMYFUNCTION("""COMPUTED_VALUE"""),13017.50434)</f>
        <v>13017.50434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IFERROR(__xludf.DUMMYFUNCTION("""COMPUTED_VALUE"""),13024.98624)</f>
        <v>13024.98624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IFERROR(__xludf.DUMMYFUNCTION("""COMPUTED_VALUE"""),12969.05028)</f>
        <v>12969.05028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IFERROR(__xludf.DUMMYFUNCTION("""COMPUTED_VALUE"""),12553.18682)</f>
        <v>12553.18682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IFERROR(__xludf.DUMMYFUNCTION("""COMPUTED_VALUE"""),13046.59444)</f>
        <v>13046.59444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IFERROR(__xludf.DUMMYFUNCTION("""COMPUTED_VALUE"""),13160.70605)</f>
        <v>13160.70605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IFERROR(__xludf.DUMMYFUNCTION("""COMPUTED_VALUE"""),13137.2955)</f>
        <v>13137.2955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IFERROR(__xludf.DUMMYFUNCTION("""COMPUTED_VALUE"""),13150.84848)</f>
        <v>13150.84848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IFERROR(__xludf.DUMMYFUNCTION("""COMPUTED_VALUE"""),13243.2048)</f>
        <v>13243.2048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IFERROR(__xludf.DUMMYFUNCTION("""COMPUTED_VALUE"""),13213.6632)</f>
        <v>13213.6632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IFERROR(__xludf.DUMMYFUNCTION("""COMPUTED_VALUE"""),13214.06532)</f>
        <v>13214.06532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IFERROR(__xludf.DUMMYFUNCTION("""COMPUTED_VALUE"""),13231.87747)</f>
        <v>13231.87747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IFERROR(__xludf.DUMMYFUNCTION("""COMPUTED_VALUE"""),13449.4184)</f>
        <v>13449.4184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IFERROR(__xludf.DUMMYFUNCTION("""COMPUTED_VALUE"""),13498.7814)</f>
        <v>13498.7814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IFERROR(__xludf.DUMMYFUNCTION("""COMPUTED_VALUE"""),13599.4398)</f>
        <v>13599.4398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IFERROR(__xludf.DUMMYFUNCTION("""COMPUTED_VALUE"""),13587.3774)</f>
        <v>13587.3774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IFERROR(__xludf.DUMMYFUNCTION("""COMPUTED_VALUE"""),13596.672)</f>
        <v>13596.672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IFERROR(__xludf.DUMMYFUNCTION("""COMPUTED_VALUE"""),13642.3665)</f>
        <v>13642.3665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IFERROR(__xludf.DUMMYFUNCTION("""COMPUTED_VALUE"""),13582.5196)</f>
        <v>13582.5196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IFERROR(__xludf.DUMMYFUNCTION("""COMPUTED_VALUE"""),13583.74888)</f>
        <v>13583.74888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IFERROR(__xludf.DUMMYFUNCTION("""COMPUTED_VALUE"""),13625.2225)</f>
        <v>13625.2225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IFERROR(__xludf.DUMMYFUNCTION("""COMPUTED_VALUE"""),13543.9172)</f>
        <v>13543.9172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IFERROR(__xludf.DUMMYFUNCTION("""COMPUTED_VALUE"""),13636.3006)</f>
        <v>13636.3006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IFERROR(__xludf.DUMMYFUNCTION("""COMPUTED_VALUE"""),13626.306)</f>
        <v>13626.306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IFERROR(__xludf.DUMMYFUNCTION("""COMPUTED_VALUE"""),13583.0891)</f>
        <v>13583.0891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IFERROR(__xludf.DUMMYFUNCTION("""COMPUTED_VALUE"""),13596.3792)</f>
        <v>13596.3792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IFERROR(__xludf.DUMMYFUNCTION("""COMPUTED_VALUE"""),13649.50275)</f>
        <v>13649.50275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IFERROR(__xludf.DUMMYFUNCTION("""COMPUTED_VALUE"""),13682.1204)</f>
        <v>13682.1204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IFERROR(__xludf.DUMMYFUNCTION("""COMPUTED_VALUE"""),13723.66086)</f>
        <v>13723.66086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IFERROR(__xludf.DUMMYFUNCTION("""COMPUTED_VALUE"""),13688.892)</f>
        <v>13688.892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IFERROR(__xludf.DUMMYFUNCTION("""COMPUTED_VALUE"""),13705.38689)</f>
        <v>13705.38689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IFERROR(__xludf.DUMMYFUNCTION("""COMPUTED_VALUE"""),13692.27384)</f>
        <v>13692.27384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IFERROR(__xludf.DUMMYFUNCTION("""COMPUTED_VALUE"""),13641.99494)</f>
        <v>13641.99494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IFERROR(__xludf.DUMMYFUNCTION("""COMPUTED_VALUE"""),13664.03136)</f>
        <v>13664.03136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IFERROR(__xludf.DUMMYFUNCTION("""COMPUTED_VALUE"""),13652.56038)</f>
        <v>13652.56038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IFERROR(__xludf.DUMMYFUNCTION("""COMPUTED_VALUE"""),13777.59195)</f>
        <v>13777.59195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IFERROR(__xludf.DUMMYFUNCTION("""COMPUTED_VALUE"""),13805.736)</f>
        <v>13805.736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IFERROR(__xludf.DUMMYFUNCTION("""COMPUTED_VALUE"""),13803.5124)</f>
        <v>13803.5124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IFERROR(__xludf.DUMMYFUNCTION("""COMPUTED_VALUE"""),13814.11584)</f>
        <v>13814.11584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IFERROR(__xludf.DUMMYFUNCTION("""COMPUTED_VALUE"""),13949.11584)</f>
        <v>13949.11584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IFERROR(__xludf.DUMMYFUNCTION("""COMPUTED_VALUE"""),14299.5626)</f>
        <v>14299.5626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IFERROR(__xludf.DUMMYFUNCTION("""COMPUTED_VALUE"""),14342.1312)</f>
        <v>14342.1312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IFERROR(__xludf.DUMMYFUNCTION("""COMPUTED_VALUE"""),14739.8552)</f>
        <v>14739.8552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IFERROR(__xludf.DUMMYFUNCTION("""COMPUTED_VALUE"""),14384.575)</f>
        <v>14384.575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IFERROR(__xludf.DUMMYFUNCTION("""COMPUTED_VALUE"""),14384.575)</f>
        <v>14384.575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IFERROR(__xludf.DUMMYFUNCTION("""COMPUTED_VALUE"""),14723.5895)</f>
        <v>14723.5895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IFERROR(__xludf.DUMMYFUNCTION("""COMPUTED_VALUE"""),14847.1584)</f>
        <v>14847.1584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IFERROR(__xludf.DUMMYFUNCTION("""COMPUTED_VALUE"""),14591.19197)</f>
        <v>14591.19197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IFERROR(__xludf.DUMMYFUNCTION("""COMPUTED_VALUE"""),14564.69721)</f>
        <v>14564.69721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IFERROR(__xludf.DUMMYFUNCTION("""COMPUTED_VALUE"""),14437.5959)</f>
        <v>14437.5959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IFERROR(__xludf.DUMMYFUNCTION("""COMPUTED_VALUE"""),14394.7914)</f>
        <v>14394.7914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IFERROR(__xludf.DUMMYFUNCTION("""COMPUTED_VALUE"""),14405.369)</f>
        <v>14405.369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IFERROR(__xludf.DUMMYFUNCTION("""COMPUTED_VALUE"""),14382.4895)</f>
        <v>14382.4895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IFERROR(__xludf.DUMMYFUNCTION("""COMPUTED_VALUE"""),14440.412)</f>
        <v>14440.412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IFERROR(__xludf.DUMMYFUNCTION("""COMPUTED_VALUE"""),14532.4179)</f>
        <v>14532.4179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IFERROR(__xludf.DUMMYFUNCTION("""COMPUTED_VALUE"""),14652.03492)</f>
        <v>14652.03492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IFERROR(__xludf.DUMMYFUNCTION("""COMPUTED_VALUE"""),14557.26654)</f>
        <v>14557.26654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IFERROR(__xludf.DUMMYFUNCTION("""COMPUTED_VALUE"""),14690.6313)</f>
        <v>14690.6313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IFERROR(__xludf.DUMMYFUNCTION("""COMPUTED_VALUE"""),14694.585)</f>
        <v>14694.585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IFERROR(__xludf.DUMMYFUNCTION("""COMPUTED_VALUE"""),14680.982)</f>
        <v>14680.982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IFERROR(__xludf.DUMMYFUNCTION("""COMPUTED_VALUE"""),14752.46036)</f>
        <v>14752.46036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IFERROR(__xludf.DUMMYFUNCTION("""COMPUTED_VALUE"""),14869.3924)</f>
        <v>14869.3924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IFERROR(__xludf.DUMMYFUNCTION("""COMPUTED_VALUE"""),15060.4644)</f>
        <v>15060.4644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IFERROR(__xludf.DUMMYFUNCTION("""COMPUTED_VALUE"""),15053.7312)</f>
        <v>15053.7312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IFERROR(__xludf.DUMMYFUNCTION("""COMPUTED_VALUE"""),15128.53568)</f>
        <v>15128.53568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IFERROR(__xludf.DUMMYFUNCTION("""COMPUTED_VALUE"""),15134.4538)</f>
        <v>15134.4538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IFERROR(__xludf.DUMMYFUNCTION("""COMPUTED_VALUE"""),15223.2256)</f>
        <v>15223.2256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IFERROR(__xludf.DUMMYFUNCTION("""COMPUTED_VALUE"""),15134.23197)</f>
        <v>15134.23197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IFERROR(__xludf.DUMMYFUNCTION("""COMPUTED_VALUE"""),15249.11605)</f>
        <v>15249.11605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IFERROR(__xludf.DUMMYFUNCTION("""COMPUTED_VALUE"""),15463.9584)</f>
        <v>15463.9584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IFERROR(__xludf.DUMMYFUNCTION("""COMPUTED_VALUE"""),15225.764)</f>
        <v>15225.764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IFERROR(__xludf.DUMMYFUNCTION("""COMPUTED_VALUE"""),15313.79754)</f>
        <v>15313.79754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IFERROR(__xludf.DUMMYFUNCTION("""COMPUTED_VALUE"""),15314.7975)</f>
        <v>15314.7975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IFERROR(__xludf.DUMMYFUNCTION("""COMPUTED_VALUE"""),15353.826)</f>
        <v>15353.826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IFERROR(__xludf.DUMMYFUNCTION("""COMPUTED_VALUE"""),15405.07227)</f>
        <v>15405.07227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IFERROR(__xludf.DUMMYFUNCTION("""COMPUTED_VALUE"""),15418.704)</f>
        <v>15418.704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IFERROR(__xludf.DUMMYFUNCTION("""COMPUTED_VALUE"""),15490.87226)</f>
        <v>15490.87226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IFERROR(__xludf.DUMMYFUNCTION("""COMPUTED_VALUE"""),15414.9552)</f>
        <v>15414.9552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IFERROR(__xludf.DUMMYFUNCTION("""COMPUTED_VALUE"""),15561.08872)</f>
        <v>15561.08872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IFERROR(__xludf.DUMMYFUNCTION("""COMPUTED_VALUE"""),15633.96039)</f>
        <v>15633.96039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IFERROR(__xludf.DUMMYFUNCTION("""COMPUTED_VALUE"""),15527.36735)</f>
        <v>15527.36735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IFERROR(__xludf.DUMMYFUNCTION("""COMPUTED_VALUE"""),15621.7696)</f>
        <v>15621.7696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IFERROR(__xludf.DUMMYFUNCTION("""COMPUTED_VALUE"""),15520.3471)</f>
        <v>15520.3471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IFERROR(__xludf.DUMMYFUNCTION("""COMPUTED_VALUE"""),15619.716)</f>
        <v>15619.716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IFERROR(__xludf.DUMMYFUNCTION("""COMPUTED_VALUE"""),15675.1381)</f>
        <v>15675.1381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IFERROR(__xludf.DUMMYFUNCTION("""COMPUTED_VALUE"""),15575.59086)</f>
        <v>15575.59086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IFERROR(__xludf.DUMMYFUNCTION("""COMPUTED_VALUE"""),15587.8386)</f>
        <v>15587.8386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IFERROR(__xludf.DUMMYFUNCTION("""COMPUTED_VALUE"""),15591.8151)</f>
        <v>15591.8151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IFERROR(__xludf.DUMMYFUNCTION("""COMPUTED_VALUE"""),15610.16672)</f>
        <v>15610.16672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IFERROR(__xludf.DUMMYFUNCTION("""COMPUTED_VALUE"""),15601.8528)</f>
        <v>15601.8528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IFERROR(__xludf.DUMMYFUNCTION("""COMPUTED_VALUE"""),15554.76)</f>
        <v>15554.76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IFERROR(__xludf.DUMMYFUNCTION("""COMPUTED_VALUE"""),15506.45862)</f>
        <v>15506.45862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IFERROR(__xludf.DUMMYFUNCTION("""COMPUTED_VALUE"""),15354.927)</f>
        <v>15354.927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IFERROR(__xludf.DUMMYFUNCTION("""COMPUTED_VALUE"""),15355.494)</f>
        <v>15355.494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IFERROR(__xludf.DUMMYFUNCTION("""COMPUTED_VALUE"""),15372.504)</f>
        <v>15372.504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IFERROR(__xludf.DUMMYFUNCTION("""COMPUTED_VALUE"""),15367.64361)</f>
        <v>15367.64361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IFERROR(__xludf.DUMMYFUNCTION("""COMPUTED_VALUE"""),15334.4262)</f>
        <v>15334.4262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IFERROR(__xludf.DUMMYFUNCTION("""COMPUTED_VALUE"""),15329.6728)</f>
        <v>15329.6728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IFERROR(__xludf.DUMMYFUNCTION("""COMPUTED_VALUE"""),15447.5736)</f>
        <v>15447.5736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IFERROR(__xludf.DUMMYFUNCTION("""COMPUTED_VALUE"""),15460.40916)</f>
        <v>15460.40916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IFERROR(__xludf.DUMMYFUNCTION("""COMPUTED_VALUE"""),15457.9236)</f>
        <v>15457.9236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IFERROR(__xludf.DUMMYFUNCTION("""COMPUTED_VALUE"""),15459.6183)</f>
        <v>15459.6183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IFERROR(__xludf.DUMMYFUNCTION("""COMPUTED_VALUE"""),15468.2132)</f>
        <v>15468.2132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IFERROR(__xludf.DUMMYFUNCTION("""COMPUTED_VALUE"""),15520.6656)</f>
        <v>15520.6656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IFERROR(__xludf.DUMMYFUNCTION("""COMPUTED_VALUE"""),15488.61)</f>
        <v>15488.61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IFERROR(__xludf.DUMMYFUNCTION("""COMPUTED_VALUE"""),15352.1888)</f>
        <v>15352.1888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IFERROR(__xludf.DUMMYFUNCTION("""COMPUTED_VALUE"""),15168.9475)</f>
        <v>15168.9475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IFERROR(__xludf.DUMMYFUNCTION("""COMPUTED_VALUE"""),15170.596)</f>
        <v>15170.596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IFERROR(__xludf.DUMMYFUNCTION("""COMPUTED_VALUE"""),15171.695)</f>
        <v>15171.695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IFERROR(__xludf.DUMMYFUNCTION("""COMPUTED_VALUE"""),15200.388)</f>
        <v>15200.388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IFERROR(__xludf.DUMMYFUNCTION("""COMPUTED_VALUE"""),15220.3725)</f>
        <v>15220.3725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IFERROR(__xludf.DUMMYFUNCTION("""COMPUTED_VALUE"""),15296.69369)</f>
        <v>15296.69369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IFERROR(__xludf.DUMMYFUNCTION("""COMPUTED_VALUE"""),15274.9831)</f>
        <v>15274.9831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IFERROR(__xludf.DUMMYFUNCTION("""COMPUTED_VALUE"""),15251.0996)</f>
        <v>15251.0996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IFERROR(__xludf.DUMMYFUNCTION("""COMPUTED_VALUE"""),15251.0996)</f>
        <v>15251.0996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IFERROR(__xludf.DUMMYFUNCTION("""COMPUTED_VALUE"""),15331.80959)</f>
        <v>15331.80959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IFERROR(__xludf.DUMMYFUNCTION("""COMPUTED_VALUE"""),15309.91301)</f>
        <v>15309.91301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IFERROR(__xludf.DUMMYFUNCTION("""COMPUTED_VALUE"""),15264.4558)</f>
        <v>15264.4558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IFERROR(__xludf.DUMMYFUNCTION("""COMPUTED_VALUE"""),15381.777)</f>
        <v>15381.777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IFERROR(__xludf.DUMMYFUNCTION("""COMPUTED_VALUE"""),15235.3058)</f>
        <v>15235.3058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IFERROR(__xludf.DUMMYFUNCTION("""COMPUTED_VALUE"""),15213.40884)</f>
        <v>15213.40884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IFERROR(__xludf.DUMMYFUNCTION("""COMPUTED_VALUE"""),15295.48183)</f>
        <v>15295.48183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IFERROR(__xludf.DUMMYFUNCTION("""COMPUTED_VALUE"""),15186.86856)</f>
        <v>15186.86856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IFERROR(__xludf.DUMMYFUNCTION("""COMPUTED_VALUE"""),15461.529)</f>
        <v>15461.529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IFERROR(__xludf.DUMMYFUNCTION("""COMPUTED_VALUE"""),15540.70005)</f>
        <v>15540.70005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IFERROR(__xludf.DUMMYFUNCTION("""COMPUTED_VALUE"""),15611.5845)</f>
        <v>15611.5845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IFERROR(__xludf.DUMMYFUNCTION("""COMPUTED_VALUE"""),15482.8758)</f>
        <v>15482.8758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IFERROR(__xludf.DUMMYFUNCTION("""COMPUTED_VALUE"""),15647.80035)</f>
        <v>15647.80035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IFERROR(__xludf.DUMMYFUNCTION("""COMPUTED_VALUE"""),15712.98707)</f>
        <v>15712.98707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IFERROR(__xludf.DUMMYFUNCTION("""COMPUTED_VALUE"""),15631.79925)</f>
        <v>15631.79925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IFERROR(__xludf.DUMMYFUNCTION("""COMPUTED_VALUE"""),15669.071)</f>
        <v>15669.071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IFERROR(__xludf.DUMMYFUNCTION("""COMPUTED_VALUE"""),15690.077)</f>
        <v>15690.077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IFERROR(__xludf.DUMMYFUNCTION("""COMPUTED_VALUE"""),15620.0728)</f>
        <v>15620.0728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IFERROR(__xludf.DUMMYFUNCTION("""COMPUTED_VALUE"""),15726.51236)</f>
        <v>15726.51236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IFERROR(__xludf.DUMMYFUNCTION("""COMPUTED_VALUE"""),15815.31852)</f>
        <v>15815.31852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IFERROR(__xludf.DUMMYFUNCTION("""COMPUTED_VALUE"""),15815.7852)</f>
        <v>15815.7852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IFERROR(__xludf.DUMMYFUNCTION("""COMPUTED_VALUE"""),15809.9517)</f>
        <v>15809.9517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IFERROR(__xludf.DUMMYFUNCTION("""COMPUTED_VALUE"""),15847.6037)</f>
        <v>15847.6037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IFERROR(__xludf.DUMMYFUNCTION("""COMPUTED_VALUE"""),15941.225)</f>
        <v>15941.225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IFERROR(__xludf.DUMMYFUNCTION("""COMPUTED_VALUE"""),16124.724)</f>
        <v>16124.724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IFERROR(__xludf.DUMMYFUNCTION("""COMPUTED_VALUE"""),16157.988)</f>
        <v>16157.988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IFERROR(__xludf.DUMMYFUNCTION("""COMPUTED_VALUE"""),16116.56354)</f>
        <v>16116.56354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IFERROR(__xludf.DUMMYFUNCTION("""COMPUTED_VALUE"""),15800.7)</f>
        <v>15800.7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IFERROR(__xludf.DUMMYFUNCTION("""COMPUTED_VALUE"""),15789.19125)</f>
        <v>15789.19125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IFERROR(__xludf.DUMMYFUNCTION("""COMPUTED_VALUE"""),16093.4785)</f>
        <v>16093.4785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IFERROR(__xludf.DUMMYFUNCTION("""COMPUTED_VALUE"""),16151.715)</f>
        <v>16151.715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IFERROR(__xludf.DUMMYFUNCTION("""COMPUTED_VALUE"""),16264.44088)</f>
        <v>16264.44088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IFERROR(__xludf.DUMMYFUNCTION("""COMPUTED_VALUE"""),16367.6695)</f>
        <v>16367.6695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IFERROR(__xludf.DUMMYFUNCTION("""COMPUTED_VALUE"""),16376.519)</f>
        <v>16376.519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IFERROR(__xludf.DUMMYFUNCTION("""COMPUTED_VALUE"""),16002.3634)</f>
        <v>16002.3634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IFERROR(__xludf.DUMMYFUNCTION("""COMPUTED_VALUE"""),16004.699)</f>
        <v>16004.699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IFERROR(__xludf.DUMMYFUNCTION("""COMPUTED_VALUE"""),16228.6994)</f>
        <v>16228.6994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IFERROR(__xludf.DUMMYFUNCTION("""COMPUTED_VALUE"""),16283.584)</f>
        <v>16283.584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IFERROR(__xludf.DUMMYFUNCTION("""COMPUTED_VALUE"""),16373.70422)</f>
        <v>16373.70422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IFERROR(__xludf.DUMMYFUNCTION("""COMPUTED_VALUE"""),16497.4251)</f>
        <v>16497.4251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IFERROR(__xludf.DUMMYFUNCTION("""COMPUTED_VALUE"""),16514.70695)</f>
        <v>16514.70695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IFERROR(__xludf.DUMMYFUNCTION("""COMPUTED_VALUE"""),16515.62394)</f>
        <v>16515.62394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IFERROR(__xludf.DUMMYFUNCTION("""COMPUTED_VALUE"""),16470.79272)</f>
        <v>16470.79272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IFERROR(__xludf.DUMMYFUNCTION("""COMPUTED_VALUE"""),16462.464)</f>
        <v>16462.464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IFERROR(__xludf.DUMMYFUNCTION("""COMPUTED_VALUE"""),16500.88944)</f>
        <v>16500.88944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IFERROR(__xludf.DUMMYFUNCTION("""COMPUTED_VALUE"""),16430.0136)</f>
        <v>16430.0136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IFERROR(__xludf.DUMMYFUNCTION("""COMPUTED_VALUE"""),16545.9172)</f>
        <v>16545.9172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IFERROR(__xludf.DUMMYFUNCTION("""COMPUTED_VALUE"""),16614.3663)</f>
        <v>16614.3663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IFERROR(__xludf.DUMMYFUNCTION("""COMPUTED_VALUE"""),16611.16728)</f>
        <v>16611.16728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IFERROR(__xludf.DUMMYFUNCTION("""COMPUTED_VALUE"""),16620.4428)</f>
        <v>16620.4428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IFERROR(__xludf.DUMMYFUNCTION("""COMPUTED_VALUE"""),16638.9606)</f>
        <v>16638.9606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IFERROR(__xludf.DUMMYFUNCTION("""COMPUTED_VALUE"""),16618.22104)</f>
        <v>16618.22104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IFERROR(__xludf.DUMMYFUNCTION("""COMPUTED_VALUE"""),16600.36348)</f>
        <v>16600.36348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IFERROR(__xludf.DUMMYFUNCTION("""COMPUTED_VALUE"""),16634.8638)</f>
        <v>16634.8638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IFERROR(__xludf.DUMMYFUNCTION("""COMPUTED_VALUE"""),16684.3222)</f>
        <v>16684.3222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IFERROR(__xludf.DUMMYFUNCTION("""COMPUTED_VALUE"""),16696.2219)</f>
        <v>16696.2219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IFERROR(__xludf.DUMMYFUNCTION("""COMPUTED_VALUE"""),16693.30728)</f>
        <v>16693.30728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IFERROR(__xludf.DUMMYFUNCTION("""COMPUTED_VALUE"""),16853.144)</f>
        <v>16853.144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IFERROR(__xludf.DUMMYFUNCTION("""COMPUTED_VALUE"""),16706.18622)</f>
        <v>16706.18622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IFERROR(__xludf.DUMMYFUNCTION("""COMPUTED_VALUE"""),16733.0554)</f>
        <v>16733.0554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IFERROR(__xludf.DUMMYFUNCTION("""COMPUTED_VALUE"""),16534.84158)</f>
        <v>16534.84158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IFERROR(__xludf.DUMMYFUNCTION("""COMPUTED_VALUE"""),16450.77636)</f>
        <v>16450.77636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IFERROR(__xludf.DUMMYFUNCTION("""COMPUTED_VALUE"""),16449.14231)</f>
        <v>16449.14231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IFERROR(__xludf.DUMMYFUNCTION("""COMPUTED_VALUE"""),16465.0528)</f>
        <v>16465.0528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IFERROR(__xludf.DUMMYFUNCTION("""COMPUTED_VALUE"""),16536.0657)</f>
        <v>16536.0657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IFERROR(__xludf.DUMMYFUNCTION("""COMPUTED_VALUE"""),16426.4975)</f>
        <v>16426.4975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IFERROR(__xludf.DUMMYFUNCTION("""COMPUTED_VALUE"""),16390.9044)</f>
        <v>16390.9044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IFERROR(__xludf.DUMMYFUNCTION("""COMPUTED_VALUE"""),16370.7392)</f>
        <v>16370.7392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IFERROR(__xludf.DUMMYFUNCTION("""COMPUTED_VALUE"""),16159.15136)</f>
        <v>16159.15136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IFERROR(__xludf.DUMMYFUNCTION("""COMPUTED_VALUE"""),16158.39111)</f>
        <v>16158.39111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IFERROR(__xludf.DUMMYFUNCTION("""COMPUTED_VALUE"""),16426.0373)</f>
        <v>16426.0373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IFERROR(__xludf.DUMMYFUNCTION("""COMPUTED_VALUE"""),16142.2792)</f>
        <v>16142.2792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IFERROR(__xludf.DUMMYFUNCTION("""COMPUTED_VALUE"""),16128.4267)</f>
        <v>16128.4267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IFERROR(__xludf.DUMMYFUNCTION("""COMPUTED_VALUE"""),16081.3488)</f>
        <v>16081.3488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IFERROR(__xludf.DUMMYFUNCTION("""COMPUTED_VALUE"""),16174.2726)</f>
        <v>16174.2726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IFERROR(__xludf.DUMMYFUNCTION("""COMPUTED_VALUE"""),16052.88608)</f>
        <v>16052.88608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IFERROR(__xludf.DUMMYFUNCTION("""COMPUTED_VALUE"""),16061.67606)</f>
        <v>16061.67606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IFERROR(__xludf.DUMMYFUNCTION("""COMPUTED_VALUE"""),16039.1308)</f>
        <v>16039.1308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IFERROR(__xludf.DUMMYFUNCTION("""COMPUTED_VALUE"""),16114.36753)</f>
        <v>16114.36753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IFERROR(__xludf.DUMMYFUNCTION("""COMPUTED_VALUE"""),16356.072)</f>
        <v>16356.072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IFERROR(__xludf.DUMMYFUNCTION("""COMPUTED_VALUE"""),16320.8184)</f>
        <v>16320.8184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IFERROR(__xludf.DUMMYFUNCTION("""COMPUTED_VALUE"""),16550.4798)</f>
        <v>16550.4798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IFERROR(__xludf.DUMMYFUNCTION("""COMPUTED_VALUE"""),16584.27885)</f>
        <v>16584.27885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IFERROR(__xludf.DUMMYFUNCTION("""COMPUTED_VALUE"""),16595.8706)</f>
        <v>16595.8706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IFERROR(__xludf.DUMMYFUNCTION("""COMPUTED_VALUE"""),16601.98427)</f>
        <v>16601.98427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IFERROR(__xludf.DUMMYFUNCTION("""COMPUTED_VALUE"""),16678.1778)</f>
        <v>16678.1778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IFERROR(__xludf.DUMMYFUNCTION("""COMPUTED_VALUE"""),16512.26592)</f>
        <v>16512.26592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IFERROR(__xludf.DUMMYFUNCTION("""COMPUTED_VALUE"""),16507.2159)</f>
        <v>16507.2159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IFERROR(__xludf.DUMMYFUNCTION("""COMPUTED_VALUE"""),16462.2651)</f>
        <v>16462.2651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IFERROR(__xludf.DUMMYFUNCTION("""COMPUTED_VALUE"""),16385.247)</f>
        <v>16385.247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IFERROR(__xludf.DUMMYFUNCTION("""COMPUTED_VALUE"""),16427.51666)</f>
        <v>16427.51666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IFERROR(__xludf.DUMMYFUNCTION("""COMPUTED_VALUE"""),16387.92)</f>
        <v>16387.92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IFERROR(__xludf.DUMMYFUNCTION("""COMPUTED_VALUE"""),16354.93599)</f>
        <v>16354.93599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IFERROR(__xludf.DUMMYFUNCTION("""COMPUTED_VALUE"""),16191.1234)</f>
        <v>16191.1234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IFERROR(__xludf.DUMMYFUNCTION("""COMPUTED_VALUE"""),16266.4256)</f>
        <v>16266.4256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IFERROR(__xludf.DUMMYFUNCTION("""COMPUTED_VALUE"""),16225.6242)</f>
        <v>16225.6242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IFERROR(__xludf.DUMMYFUNCTION("""COMPUTED_VALUE"""),16362.28341)</f>
        <v>16362.28341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IFERROR(__xludf.DUMMYFUNCTION("""COMPUTED_VALUE"""),16387.01818)</f>
        <v>16387.01818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IFERROR(__xludf.DUMMYFUNCTION("""COMPUTED_VALUE"""),16344.52193)</f>
        <v>16344.52193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IFERROR(__xludf.DUMMYFUNCTION("""COMPUTED_VALUE"""),16409.71752)</f>
        <v>16409.71752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IFERROR(__xludf.DUMMYFUNCTION("""COMPUTED_VALUE"""),16350.763)</f>
        <v>16350.763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IFERROR(__xludf.DUMMYFUNCTION("""COMPUTED_VALUE"""),16213.0359)</f>
        <v>16213.0359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IFERROR(__xludf.DUMMYFUNCTION("""COMPUTED_VALUE"""),16242.8052)</f>
        <v>16242.8052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IFERROR(__xludf.DUMMYFUNCTION("""COMPUTED_VALUE"""),15890.12278)</f>
        <v>15890.12278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IFERROR(__xludf.DUMMYFUNCTION("""COMPUTED_VALUE"""),15919.75789)</f>
        <v>15919.75789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IFERROR(__xludf.DUMMYFUNCTION("""COMPUTED_VALUE"""),16007.4828)</f>
        <v>16007.4828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IFERROR(__xludf.DUMMYFUNCTION("""COMPUTED_VALUE"""),15937.9593)</f>
        <v>15937.9593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IFERROR(__xludf.DUMMYFUNCTION("""COMPUTED_VALUE"""),16291.4848)</f>
        <v>16291.4848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IFERROR(__xludf.DUMMYFUNCTION("""COMPUTED_VALUE"""),16021.71538)</f>
        <v>16021.71538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IFERROR(__xludf.DUMMYFUNCTION("""COMPUTED_VALUE"""),16132.79892)</f>
        <v>16132.79892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IFERROR(__xludf.DUMMYFUNCTION("""COMPUTED_VALUE"""),16045.25522)</f>
        <v>16045.25522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IFERROR(__xludf.DUMMYFUNCTION("""COMPUTED_VALUE"""),16068.99701)</f>
        <v>16068.99701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IFERROR(__xludf.DUMMYFUNCTION("""COMPUTED_VALUE"""),16046.1897)</f>
        <v>16046.1897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IFERROR(__xludf.DUMMYFUNCTION("""COMPUTED_VALUE"""),15897.78384)</f>
        <v>15897.78384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IFERROR(__xludf.DUMMYFUNCTION("""COMPUTED_VALUE"""),15971.69)</f>
        <v>15971.69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IFERROR(__xludf.DUMMYFUNCTION("""COMPUTED_VALUE"""),15961.88784)</f>
        <v>15961.88784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IFERROR(__xludf.DUMMYFUNCTION("""COMPUTED_VALUE"""),15901.4907)</f>
        <v>15901.4907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IFERROR(__xludf.DUMMYFUNCTION("""COMPUTED_VALUE"""),15965.22)</f>
        <v>15965.22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IFERROR(__xludf.DUMMYFUNCTION("""COMPUTED_VALUE"""),15990.7224)</f>
        <v>15990.7224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IFERROR(__xludf.DUMMYFUNCTION("""COMPUTED_VALUE"""),15935.1406)</f>
        <v>15935.1406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IFERROR(__xludf.DUMMYFUNCTION("""COMPUTED_VALUE"""),16010.56504)</f>
        <v>16010.56504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IFERROR(__xludf.DUMMYFUNCTION("""COMPUTED_VALUE"""),15888.7925)</f>
        <v>15888.7925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IFERROR(__xludf.DUMMYFUNCTION("""COMPUTED_VALUE"""),15887.79297)</f>
        <v>15887.79297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IFERROR(__xludf.DUMMYFUNCTION("""COMPUTED_VALUE"""),15817.4548)</f>
        <v>15817.4548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IFERROR(__xludf.DUMMYFUNCTION("""COMPUTED_VALUE"""),15802.6294)</f>
        <v>15802.6294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IFERROR(__xludf.DUMMYFUNCTION("""COMPUTED_VALUE"""),15825.52975)</f>
        <v>15825.52975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IFERROR(__xludf.DUMMYFUNCTION("""COMPUTED_VALUE"""),15800.3522)</f>
        <v>15800.3522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IFERROR(__xludf.DUMMYFUNCTION("""COMPUTED_VALUE"""),15861.411)</f>
        <v>15861.411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IFERROR(__xludf.DUMMYFUNCTION("""COMPUTED_VALUE"""),15912.4675)</f>
        <v>15912.4675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IFERROR(__xludf.DUMMYFUNCTION("""COMPUTED_VALUE"""),15896.937)</f>
        <v>15896.937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IFERROR(__xludf.DUMMYFUNCTION("""COMPUTED_VALUE"""),15834.18861)</f>
        <v>15834.18861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IFERROR(__xludf.DUMMYFUNCTION("""COMPUTED_VALUE"""),15717.2544)</f>
        <v>15717.2544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IFERROR(__xludf.DUMMYFUNCTION("""COMPUTED_VALUE"""),15739.80899)</f>
        <v>15739.80899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IFERROR(__xludf.DUMMYFUNCTION("""COMPUTED_VALUE"""),15713.07488)</f>
        <v>15713.07488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IFERROR(__xludf.DUMMYFUNCTION("""COMPUTED_VALUE"""),15717.22218)</f>
        <v>15717.22218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IFERROR(__xludf.DUMMYFUNCTION("""COMPUTED_VALUE"""),15775.725)</f>
        <v>15775.725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IFERROR(__xludf.DUMMYFUNCTION("""COMPUTED_VALUE"""),15632.5689)</f>
        <v>15632.5689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IFERROR(__xludf.DUMMYFUNCTION("""COMPUTED_VALUE"""),15756.2865)</f>
        <v>15756.2865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IFERROR(__xludf.DUMMYFUNCTION("""COMPUTED_VALUE"""),15724.03118)</f>
        <v>15724.03118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IFERROR(__xludf.DUMMYFUNCTION("""COMPUTED_VALUE"""),15749.99294)</f>
        <v>15749.99294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IFERROR(__xludf.DUMMYFUNCTION("""COMPUTED_VALUE"""),15727.10945)</f>
        <v>15727.10945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IFERROR(__xludf.DUMMYFUNCTION("""COMPUTED_VALUE"""),15720.2157)</f>
        <v>15720.2157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IFERROR(__xludf.DUMMYFUNCTION("""COMPUTED_VALUE"""),15724.33103)</f>
        <v>15724.33103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IFERROR(__xludf.DUMMYFUNCTION("""COMPUTED_VALUE"""),15759.14525)</f>
        <v>15759.14525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IFERROR(__xludf.DUMMYFUNCTION("""COMPUTED_VALUE"""),15636.3559)</f>
        <v>15636.3559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IFERROR(__xludf.DUMMYFUNCTION("""COMPUTED_VALUE"""),15545.84465)</f>
        <v>15545.84465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IFERROR(__xludf.DUMMYFUNCTION("""COMPUTED_VALUE"""),15574.1675)</f>
        <v>15574.1675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IFERROR(__xludf.DUMMYFUNCTION("""COMPUTED_VALUE"""),15541.77485)</f>
        <v>15541.77485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IFERROR(__xludf.DUMMYFUNCTION("""COMPUTED_VALUE"""),15500.386)</f>
        <v>15500.386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IFERROR(__xludf.DUMMYFUNCTION("""COMPUTED_VALUE"""),15527.37134)</f>
        <v>15527.37134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IFERROR(__xludf.DUMMYFUNCTION("""COMPUTED_VALUE"""),15519.1355)</f>
        <v>15519.1355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IFERROR(__xludf.DUMMYFUNCTION("""COMPUTED_VALUE"""),15547.3127)</f>
        <v>15547.3127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IFERROR(__xludf.DUMMYFUNCTION("""COMPUTED_VALUE"""),15493.7952)</f>
        <v>15493.7952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IFERROR(__xludf.DUMMYFUNCTION("""COMPUTED_VALUE"""),15520.93991)</f>
        <v>15520.93991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IFERROR(__xludf.DUMMYFUNCTION("""COMPUTED_VALUE"""),15490.176)</f>
        <v>15490.176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IFERROR(__xludf.DUMMYFUNCTION("""COMPUTED_VALUE"""),15522.60555)</f>
        <v>15522.60555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IFERROR(__xludf.DUMMYFUNCTION("""COMPUTED_VALUE"""),15530.6928)</f>
        <v>15530.6928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IFERROR(__xludf.DUMMYFUNCTION("""COMPUTED_VALUE"""),15612.1056)</f>
        <v>15612.1056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IFERROR(__xludf.DUMMYFUNCTION("""COMPUTED_VALUE"""),15752.5325)</f>
        <v>15752.5325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IFERROR(__xludf.DUMMYFUNCTION("""COMPUTED_VALUE"""),15819.9064)</f>
        <v>15819.9064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IFERROR(__xludf.DUMMYFUNCTION("""COMPUTED_VALUE"""),15849.30796)</f>
        <v>15849.30796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IFERROR(__xludf.DUMMYFUNCTION("""COMPUTED_VALUE"""),15777.17515)</f>
        <v>15777.17515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IFERROR(__xludf.DUMMYFUNCTION("""COMPUTED_VALUE"""),15799.9776)</f>
        <v>15799.9776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IFERROR(__xludf.DUMMYFUNCTION("""COMPUTED_VALUE"""),15818.404)</f>
        <v>15818.404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IFERROR(__xludf.DUMMYFUNCTION("""COMPUTED_VALUE"""),15757.3761)</f>
        <v>15757.3761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IFERROR(__xludf.DUMMYFUNCTION("""COMPUTED_VALUE"""),15807.03285)</f>
        <v>15807.03285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IFERROR(__xludf.DUMMYFUNCTION("""COMPUTED_VALUE"""),15810.123)</f>
        <v>15810.123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IFERROR(__xludf.DUMMYFUNCTION("""COMPUTED_VALUE"""),15841.72943)</f>
        <v>15841.72943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IFERROR(__xludf.DUMMYFUNCTION("""COMPUTED_VALUE"""),15810.123)</f>
        <v>15810.123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IFERROR(__xludf.DUMMYFUNCTION("""COMPUTED_VALUE"""),15772.18115)</f>
        <v>15772.18115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IFERROR(__xludf.DUMMYFUNCTION("""COMPUTED_VALUE"""),15932.3548)</f>
        <v>15932.3548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IFERROR(__xludf.DUMMYFUNCTION("""COMPUTED_VALUE"""),16056.1674)</f>
        <v>16056.1674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IFERROR(__xludf.DUMMYFUNCTION("""COMPUTED_VALUE"""),16036.69665)</f>
        <v>16036.69665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IFERROR(__xludf.DUMMYFUNCTION("""COMPUTED_VALUE"""),15996.36105)</f>
        <v>15996.36105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IFERROR(__xludf.DUMMYFUNCTION("""COMPUTED_VALUE"""),15991.90247)</f>
        <v>15991.90247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IFERROR(__xludf.DUMMYFUNCTION("""COMPUTED_VALUE"""),16004.8035)</f>
        <v>16004.8035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IFERROR(__xludf.DUMMYFUNCTION("""COMPUTED_VALUE"""),16046.96275)</f>
        <v>16046.96275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IFERROR(__xludf.DUMMYFUNCTION("""COMPUTED_VALUE"""),15941.1051)</f>
        <v>15941.1051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IFERROR(__xludf.DUMMYFUNCTION("""COMPUTED_VALUE"""),16010.606)</f>
        <v>16010.606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IFERROR(__xludf.DUMMYFUNCTION("""COMPUTED_VALUE"""),16012.10685)</f>
        <v>16012.10685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IFERROR(__xludf.DUMMYFUNCTION("""COMPUTED_VALUE"""),15974.9898)</f>
        <v>15974.9898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IFERROR(__xludf.DUMMYFUNCTION("""COMPUTED_VALUE"""),16004.79069)</f>
        <v>16004.79069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IFERROR(__xludf.DUMMYFUNCTION("""COMPUTED_VALUE"""),15975.911)</f>
        <v>15975.911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IFERROR(__xludf.DUMMYFUNCTION("""COMPUTED_VALUE"""),15962.037)</f>
        <v>15962.037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IFERROR(__xludf.DUMMYFUNCTION("""COMPUTED_VALUE"""),16027.9052)</f>
        <v>16027.9052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IFERROR(__xludf.DUMMYFUNCTION("""COMPUTED_VALUE"""),16092.713)</f>
        <v>16092.713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IFERROR(__xludf.DUMMYFUNCTION("""COMPUTED_VALUE"""),15950.6)</f>
        <v>15950.6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IFERROR(__xludf.DUMMYFUNCTION("""COMPUTED_VALUE"""),15871.4679)</f>
        <v>15871.4679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IFERROR(__xludf.DUMMYFUNCTION("""COMPUTED_VALUE"""),15906.35337)</f>
        <v>15906.35337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IFERROR(__xludf.DUMMYFUNCTION("""COMPUTED_VALUE"""),15773.547)</f>
        <v>15773.547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IFERROR(__xludf.DUMMYFUNCTION("""COMPUTED_VALUE"""),15848.064)</f>
        <v>15848.064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IFERROR(__xludf.DUMMYFUNCTION("""COMPUTED_VALUE"""),15739.2737)</f>
        <v>15739.2737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IFERROR(__xludf.DUMMYFUNCTION("""COMPUTED_VALUE"""),15643.098)</f>
        <v>15643.098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IFERROR(__xludf.DUMMYFUNCTION("""COMPUTED_VALUE"""),15613.389)</f>
        <v>15613.389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IFERROR(__xludf.DUMMYFUNCTION("""COMPUTED_VALUE"""),15499.5704)</f>
        <v>15499.5704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IFERROR(__xludf.DUMMYFUNCTION("""COMPUTED_VALUE"""),15543.68966)</f>
        <v>15543.68966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IFERROR(__xludf.DUMMYFUNCTION("""COMPUTED_VALUE"""),15600.883)</f>
        <v>15600.883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IFERROR(__xludf.DUMMYFUNCTION("""COMPUTED_VALUE"""),15652.9372)</f>
        <v>15652.9372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IFERROR(__xludf.DUMMYFUNCTION("""COMPUTED_VALUE"""),15699.054)</f>
        <v>15699.054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IFERROR(__xludf.DUMMYFUNCTION("""COMPUTED_VALUE"""),15730.9075)</f>
        <v>15730.9075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IFERROR(__xludf.DUMMYFUNCTION("""COMPUTED_VALUE"""),15716.905)</f>
        <v>15716.905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IFERROR(__xludf.DUMMYFUNCTION("""COMPUTED_VALUE"""),15807.4635)</f>
        <v>15807.4635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IFERROR(__xludf.DUMMYFUNCTION("""COMPUTED_VALUE"""),15760.7696)</f>
        <v>15760.7696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IFERROR(__xludf.DUMMYFUNCTION("""COMPUTED_VALUE"""),15798.1875)</f>
        <v>15798.1875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IFERROR(__xludf.DUMMYFUNCTION("""COMPUTED_VALUE"""),15771.886)</f>
        <v>15771.886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IFERROR(__xludf.DUMMYFUNCTION("""COMPUTED_VALUE"""),15763.1004)</f>
        <v>15763.1004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IFERROR(__xludf.DUMMYFUNCTION("""COMPUTED_VALUE"""),15809.822)</f>
        <v>15809.822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IFERROR(__xludf.DUMMYFUNCTION("""COMPUTED_VALUE"""),15768.0405)</f>
        <v>15768.0405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IFERROR(__xludf.DUMMYFUNCTION("""COMPUTED_VALUE"""),15891.6472)</f>
        <v>15891.6472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IFERROR(__xludf.DUMMYFUNCTION("""COMPUTED_VALUE"""),15946.84503)</f>
        <v>15946.84503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IFERROR(__xludf.DUMMYFUNCTION("""COMPUTED_VALUE"""),15937.53509)</f>
        <v>15937.53509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IFERROR(__xludf.DUMMYFUNCTION("""COMPUTED_VALUE"""),15991.4832)</f>
        <v>15991.4832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IFERROR(__xludf.DUMMYFUNCTION("""COMPUTED_VALUE"""),16038.979)</f>
        <v>16038.979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IFERROR(__xludf.DUMMYFUNCTION("""COMPUTED_VALUE"""),16148.8125)</f>
        <v>16148.8125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IFERROR(__xludf.DUMMYFUNCTION("""COMPUTED_VALUE"""),16180.27)</f>
        <v>16180.27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IFERROR(__xludf.DUMMYFUNCTION("""COMPUTED_VALUE"""),16115.8963)</f>
        <v>16115.8963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IFERROR(__xludf.DUMMYFUNCTION("""COMPUTED_VALUE"""),16143.18227)</f>
        <v>16143.18227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IFERROR(__xludf.DUMMYFUNCTION("""COMPUTED_VALUE"""),16143.18227)</f>
        <v>16143.18227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IFERROR(__xludf.DUMMYFUNCTION("""COMPUTED_VALUE"""),16004.58)</f>
        <v>16004.58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IFERROR(__xludf.DUMMYFUNCTION("""COMPUTED_VALUE"""),16002.236)</f>
        <v>16002.236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IFERROR(__xludf.DUMMYFUNCTION("""COMPUTED_VALUE"""),15974.88015)</f>
        <v>15974.88015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IFERROR(__xludf.DUMMYFUNCTION("""COMPUTED_VALUE"""),15960.722)</f>
        <v>15960.722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IFERROR(__xludf.DUMMYFUNCTION("""COMPUTED_VALUE"""),15955.7115)</f>
        <v>15955.7115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IFERROR(__xludf.DUMMYFUNCTION("""COMPUTED_VALUE"""),15984.64434)</f>
        <v>15984.64434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IFERROR(__xludf.DUMMYFUNCTION("""COMPUTED_VALUE"""),15975.90762)</f>
        <v>15975.90762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IFERROR(__xludf.DUMMYFUNCTION("""COMPUTED_VALUE"""),16035.318)</f>
        <v>16035.318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IFERROR(__xludf.DUMMYFUNCTION("""COMPUTED_VALUE"""),16099.6587)</f>
        <v>16099.6587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IFERROR(__xludf.DUMMYFUNCTION("""COMPUTED_VALUE"""),16311.1935)</f>
        <v>16311.1935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IFERROR(__xludf.DUMMYFUNCTION("""COMPUTED_VALUE"""),16212.7405)</f>
        <v>16212.7405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IFERROR(__xludf.DUMMYFUNCTION("""COMPUTED_VALUE"""),16249.2515)</f>
        <v>16249.2515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IFERROR(__xludf.DUMMYFUNCTION("""COMPUTED_VALUE"""),16287.4144)</f>
        <v>16287.4144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IFERROR(__xludf.DUMMYFUNCTION("""COMPUTED_VALUE"""),16280.34853)</f>
        <v>16280.34853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IFERROR(__xludf.DUMMYFUNCTION("""COMPUTED_VALUE"""),16306.19748)</f>
        <v>16306.19748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IFERROR(__xludf.DUMMYFUNCTION("""COMPUTED_VALUE"""),16317.998)</f>
        <v>16317.998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IFERROR(__xludf.DUMMYFUNCTION("""COMPUTED_VALUE"""),16481.088)</f>
        <v>16481.088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IFERROR(__xludf.DUMMYFUNCTION("""COMPUTED_VALUE"""),16456.6662)</f>
        <v>16456.6662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IFERROR(__xludf.DUMMYFUNCTION("""COMPUTED_VALUE"""),16404.0546)</f>
        <v>16404.0546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IFERROR(__xludf.DUMMYFUNCTION("""COMPUTED_VALUE"""),16406.47731)</f>
        <v>16406.47731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IFERROR(__xludf.DUMMYFUNCTION("""COMPUTED_VALUE"""),16399.99895)</f>
        <v>16399.99895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IFERROR(__xludf.DUMMYFUNCTION("""COMPUTED_VALUE"""),16271.15925)</f>
        <v>16271.15925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IFERROR(__xludf.DUMMYFUNCTION("""COMPUTED_VALUE"""),16278.01)</f>
        <v>16278.01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IFERROR(__xludf.DUMMYFUNCTION("""COMPUTED_VALUE"""),16251.83)</f>
        <v>16251.83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IFERROR(__xludf.DUMMYFUNCTION("""COMPUTED_VALUE"""),16201.5145)</f>
        <v>16201.5145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IFERROR(__xludf.DUMMYFUNCTION("""COMPUTED_VALUE"""),16121.6538)</f>
        <v>16121.6538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IFERROR(__xludf.DUMMYFUNCTION("""COMPUTED_VALUE"""),16147.2622)</f>
        <v>16147.2622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IFERROR(__xludf.DUMMYFUNCTION("""COMPUTED_VALUE"""),16137.76102)</f>
        <v>16137.76102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IFERROR(__xludf.DUMMYFUNCTION("""COMPUTED_VALUE"""),15953.504)</f>
        <v>15953.504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IFERROR(__xludf.DUMMYFUNCTION("""COMPUTED_VALUE"""),15877.2315)</f>
        <v>15877.2315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IFERROR(__xludf.DUMMYFUNCTION("""COMPUTED_VALUE"""),15842.86)</f>
        <v>15842.86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IFERROR(__xludf.DUMMYFUNCTION("""COMPUTED_VALUE"""),15742.142)</f>
        <v>15742.142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IFERROR(__xludf.DUMMYFUNCTION("""COMPUTED_VALUE"""),15788.3704)</f>
        <v>15788.3704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IFERROR(__xludf.DUMMYFUNCTION("""COMPUTED_VALUE"""),15841.67155)</f>
        <v>15841.67155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IFERROR(__xludf.DUMMYFUNCTION("""COMPUTED_VALUE"""),15836.20007)</f>
        <v>15836.20007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IFERROR(__xludf.DUMMYFUNCTION("""COMPUTED_VALUE"""),15879.754)</f>
        <v>15879.754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IFERROR(__xludf.DUMMYFUNCTION("""COMPUTED_VALUE"""),15900.524)</f>
        <v>15900.524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IFERROR(__xludf.DUMMYFUNCTION("""COMPUTED_VALUE"""),15745.805)</f>
        <v>15745.805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IFERROR(__xludf.DUMMYFUNCTION("""COMPUTED_VALUE"""),15765.486)</f>
        <v>15765.486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IFERROR(__xludf.DUMMYFUNCTION("""COMPUTED_VALUE"""),15708.00985)</f>
        <v>15708.00985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IFERROR(__xludf.DUMMYFUNCTION("""COMPUTED_VALUE"""),15742.71931)</f>
        <v>15742.71931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IFERROR(__xludf.DUMMYFUNCTION("""COMPUTED_VALUE"""),15750.86832)</f>
        <v>15750.86832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IFERROR(__xludf.DUMMYFUNCTION("""COMPUTED_VALUE"""),15631.8944)</f>
        <v>15631.8944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IFERROR(__xludf.DUMMYFUNCTION("""COMPUTED_VALUE"""),15593.628)</f>
        <v>15593.628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IFERROR(__xludf.DUMMYFUNCTION("""COMPUTED_VALUE"""),15456.513)</f>
        <v>15456.513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IFERROR(__xludf.DUMMYFUNCTION("""COMPUTED_VALUE"""),15552.4576)</f>
        <v>15552.4576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IFERROR(__xludf.DUMMYFUNCTION("""COMPUTED_VALUE"""),15524.68885)</f>
        <v>15524.68885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IFERROR(__xludf.DUMMYFUNCTION("""COMPUTED_VALUE"""),15561.98564)</f>
        <v>15561.98564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IFERROR(__xludf.DUMMYFUNCTION("""COMPUTED_VALUE"""),15563.14438)</f>
        <v>15563.14438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IFERROR(__xludf.DUMMYFUNCTION("""COMPUTED_VALUE"""),15534.5157)</f>
        <v>15534.5157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IFERROR(__xludf.DUMMYFUNCTION("""COMPUTED_VALUE"""),15503.64783)</f>
        <v>15503.64783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IFERROR(__xludf.DUMMYFUNCTION("""COMPUTED_VALUE"""),15485.9595)</f>
        <v>15485.9595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IFERROR(__xludf.DUMMYFUNCTION("""COMPUTED_VALUE"""),15744.4507)</f>
        <v>15744.4507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IFERROR(__xludf.DUMMYFUNCTION("""COMPUTED_VALUE"""),15927.78107)</f>
        <v>15927.78107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IFERROR(__xludf.DUMMYFUNCTION("""COMPUTED_VALUE"""),15855.95491)</f>
        <v>15855.95491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IFERROR(__xludf.DUMMYFUNCTION("""COMPUTED_VALUE"""),15941.7991)</f>
        <v>15941.7991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IFERROR(__xludf.DUMMYFUNCTION("""COMPUTED_VALUE"""),15775.32755)</f>
        <v>15775.32755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IFERROR(__xludf.DUMMYFUNCTION("""COMPUTED_VALUE"""),15609.475)</f>
        <v>15609.475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IFERROR(__xludf.DUMMYFUNCTION("""COMPUTED_VALUE"""),15733.3798)</f>
        <v>15733.3798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IFERROR(__xludf.DUMMYFUNCTION("""COMPUTED_VALUE"""),15772.9713)</f>
        <v>15772.9713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IFERROR(__xludf.DUMMYFUNCTION("""COMPUTED_VALUE"""),15748.75305)</f>
        <v>15748.75305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IFERROR(__xludf.DUMMYFUNCTION("""COMPUTED_VALUE"""),15837.69045)</f>
        <v>15837.69045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IFERROR(__xludf.DUMMYFUNCTION("""COMPUTED_VALUE"""),15845.38877)</f>
        <v>15845.38877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IFERROR(__xludf.DUMMYFUNCTION("""COMPUTED_VALUE"""),15660.45)</f>
        <v>15660.45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IFERROR(__xludf.DUMMYFUNCTION("""COMPUTED_VALUE"""),15612.656)</f>
        <v>15612.656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IFERROR(__xludf.DUMMYFUNCTION("""COMPUTED_VALUE"""),15614.3295)</f>
        <v>15614.3295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IFERROR(__xludf.DUMMYFUNCTION("""COMPUTED_VALUE"""),15592.287)</f>
        <v>15592.287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IFERROR(__xludf.DUMMYFUNCTION("""COMPUTED_VALUE"""),15631.4466)</f>
        <v>15631.4466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IFERROR(__xludf.DUMMYFUNCTION("""COMPUTED_VALUE"""),15655.42823)</f>
        <v>15655.42823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IFERROR(__xludf.DUMMYFUNCTION("""COMPUTED_VALUE"""),15639.94926)</f>
        <v>15639.94926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IFERROR(__xludf.DUMMYFUNCTION("""COMPUTED_VALUE"""),15604.48)</f>
        <v>15604.48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IFERROR(__xludf.DUMMYFUNCTION("""COMPUTED_VALUE"""),15536.2823)</f>
        <v>15536.2823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IFERROR(__xludf.DUMMYFUNCTION("""COMPUTED_VALUE"""),15511.86)</f>
        <v>15511.86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IFERROR(__xludf.DUMMYFUNCTION("""COMPUTED_VALUE"""),15521.664)</f>
        <v>15521.664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IFERROR(__xludf.DUMMYFUNCTION("""COMPUTED_VALUE"""),15443.67)</f>
        <v>15443.67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IFERROR(__xludf.DUMMYFUNCTION("""COMPUTED_VALUE"""),15473.12688)</f>
        <v>15473.12688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IFERROR(__xludf.DUMMYFUNCTION("""COMPUTED_VALUE"""),15408.17362)</f>
        <v>15408.17362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IFERROR(__xludf.DUMMYFUNCTION("""COMPUTED_VALUE"""),15424.9828)</f>
        <v>15424.9828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IFERROR(__xludf.DUMMYFUNCTION("""COMPUTED_VALUE"""),15401.5868)</f>
        <v>15401.5868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IFERROR(__xludf.DUMMYFUNCTION("""COMPUTED_VALUE"""),15389.6345)</f>
        <v>15389.6345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IFERROR(__xludf.DUMMYFUNCTION("""COMPUTED_VALUE"""),15441.5415)</f>
        <v>15441.5415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IFERROR(__xludf.DUMMYFUNCTION("""COMPUTED_VALUE"""),15355.62528)</f>
        <v>15355.62528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IFERROR(__xludf.DUMMYFUNCTION("""COMPUTED_VALUE"""),15382.2692)</f>
        <v>15382.2692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IFERROR(__xludf.DUMMYFUNCTION("""COMPUTED_VALUE"""),15378.33477)</f>
        <v>15378.33477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IFERROR(__xludf.DUMMYFUNCTION("""COMPUTED_VALUE"""),15371.78444)</f>
        <v>15371.78444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IFERROR(__xludf.DUMMYFUNCTION("""COMPUTED_VALUE"""),15420.9076)</f>
        <v>15420.9076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IFERROR(__xludf.DUMMYFUNCTION("""COMPUTED_VALUE"""),15475.01704)</f>
        <v>15475.01704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IFERROR(__xludf.DUMMYFUNCTION("""COMPUTED_VALUE"""),15185.8094)</f>
        <v>15185.8094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IFERROR(__xludf.DUMMYFUNCTION("""COMPUTED_VALUE"""),15179.75556)</f>
        <v>15179.75556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IFERROR(__xludf.DUMMYFUNCTION("""COMPUTED_VALUE"""),15202.8754)</f>
        <v>15202.8754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IFERROR(__xludf.DUMMYFUNCTION("""COMPUTED_VALUE"""),15200.45756)</f>
        <v>15200.45756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IFERROR(__xludf.DUMMYFUNCTION("""COMPUTED_VALUE"""),15105.0848)</f>
        <v>15105.0848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IFERROR(__xludf.DUMMYFUNCTION("""COMPUTED_VALUE"""),15268.2474)</f>
        <v>15268.2474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IFERROR(__xludf.DUMMYFUNCTION("""COMPUTED_VALUE"""),15268.5245)</f>
        <v>15268.5245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IFERROR(__xludf.DUMMYFUNCTION("""COMPUTED_VALUE"""),15286.726)</f>
        <v>15286.726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IFERROR(__xludf.DUMMYFUNCTION("""COMPUTED_VALUE"""),15404.74275)</f>
        <v>15404.74275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IFERROR(__xludf.DUMMYFUNCTION("""COMPUTED_VALUE"""),15413.09277)</f>
        <v>15413.09277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IFERROR(__xludf.DUMMYFUNCTION("""COMPUTED_VALUE"""),15430.94991)</f>
        <v>15430.94991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IFERROR(__xludf.DUMMYFUNCTION("""COMPUTED_VALUE"""),15439.116)</f>
        <v>15439.116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IFERROR(__xludf.DUMMYFUNCTION("""COMPUTED_VALUE"""),15520.575)</f>
        <v>15520.575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IFERROR(__xludf.DUMMYFUNCTION("""COMPUTED_VALUE"""),15357.05484)</f>
        <v>15357.05484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IFERROR(__xludf.DUMMYFUNCTION("""COMPUTED_VALUE"""),15457.9635)</f>
        <v>15457.9635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IFERROR(__xludf.DUMMYFUNCTION("""COMPUTED_VALUE"""),15372.9907)</f>
        <v>15372.9907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IFERROR(__xludf.DUMMYFUNCTION("""COMPUTED_VALUE"""),15400.95792)</f>
        <v>15400.95792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IFERROR(__xludf.DUMMYFUNCTION("""COMPUTED_VALUE"""),15408.1608)</f>
        <v>15408.1608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IFERROR(__xludf.DUMMYFUNCTION("""COMPUTED_VALUE"""),15403.3812)</f>
        <v>15403.3812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IFERROR(__xludf.DUMMYFUNCTION("""COMPUTED_VALUE"""),15376.662)</f>
        <v>15376.662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IFERROR(__xludf.DUMMYFUNCTION("""COMPUTED_VALUE"""),15260.16825)</f>
        <v>15260.16825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IFERROR(__xludf.DUMMYFUNCTION("""COMPUTED_VALUE"""),15279.1368)</f>
        <v>15279.1368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IFERROR(__xludf.DUMMYFUNCTION("""COMPUTED_VALUE"""),15280.7255)</f>
        <v>15280.7255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IFERROR(__xludf.DUMMYFUNCTION("""COMPUTED_VALUE"""),15299.14777)</f>
        <v>15299.14777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IFERROR(__xludf.DUMMYFUNCTION("""COMPUTED_VALUE"""),15284.31063)</f>
        <v>15284.31063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IFERROR(__xludf.DUMMYFUNCTION("""COMPUTED_VALUE"""),15406.74096)</f>
        <v>15406.74096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IFERROR(__xludf.DUMMYFUNCTION("""COMPUTED_VALUE"""),15375.3205)</f>
        <v>15375.3205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IFERROR(__xludf.DUMMYFUNCTION("""COMPUTED_VALUE"""),15305.634)</f>
        <v>15305.634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IFERROR(__xludf.DUMMYFUNCTION("""COMPUTED_VALUE"""),15344.6928)</f>
        <v>15344.6928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IFERROR(__xludf.DUMMYFUNCTION("""COMPUTED_VALUE"""),15243.3034)</f>
        <v>15243.3034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IFERROR(__xludf.DUMMYFUNCTION("""COMPUTED_VALUE"""),15260.97316)</f>
        <v>15260.97316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IFERROR(__xludf.DUMMYFUNCTION("""COMPUTED_VALUE"""),15254.8756)</f>
        <v>15254.8756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IFERROR(__xludf.DUMMYFUNCTION("""COMPUTED_VALUE"""),15373.2432)</f>
        <v>15373.2432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IFERROR(__xludf.DUMMYFUNCTION("""COMPUTED_VALUE"""),15475.3188)</f>
        <v>15475.3188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IFERROR(__xludf.DUMMYFUNCTION("""COMPUTED_VALUE"""),15543.33)</f>
        <v>15543.33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IFERROR(__xludf.DUMMYFUNCTION("""COMPUTED_VALUE"""),15464.3328)</f>
        <v>15464.3328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IFERROR(__xludf.DUMMYFUNCTION("""COMPUTED_VALUE"""),15417.567)</f>
        <v>15417.567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IFERROR(__xludf.DUMMYFUNCTION("""COMPUTED_VALUE"""),15436.41911)</f>
        <v>15436.41911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IFERROR(__xludf.DUMMYFUNCTION("""COMPUTED_VALUE"""),15458.79073)</f>
        <v>15458.79073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IFERROR(__xludf.DUMMYFUNCTION("""COMPUTED_VALUE"""),15537.92)</f>
        <v>15537.92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IFERROR(__xludf.DUMMYFUNCTION("""COMPUTED_VALUE"""),15420.7116)</f>
        <v>15420.7116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IFERROR(__xludf.DUMMYFUNCTION("""COMPUTED_VALUE"""),15673.7913)</f>
        <v>15673.7913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IFERROR(__xludf.DUMMYFUNCTION("""COMPUTED_VALUE"""),15633.684)</f>
        <v>15633.684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IFERROR(__xludf.DUMMYFUNCTION("""COMPUTED_VALUE"""),15438.03732)</f>
        <v>15438.03732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IFERROR(__xludf.DUMMYFUNCTION("""COMPUTED_VALUE"""),15464.23971)</f>
        <v>15464.23971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IFERROR(__xludf.DUMMYFUNCTION("""COMPUTED_VALUE"""),15446.90638)</f>
        <v>15446.90638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IFERROR(__xludf.DUMMYFUNCTION("""COMPUTED_VALUE"""),15377.031)</f>
        <v>15377.031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IFERROR(__xludf.DUMMYFUNCTION("""COMPUTED_VALUE"""),15235.477)</f>
        <v>15235.477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IFERROR(__xludf.DUMMYFUNCTION("""COMPUTED_VALUE"""),15149.908)</f>
        <v>15149.908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IFERROR(__xludf.DUMMYFUNCTION("""COMPUTED_VALUE"""),15250.7805)</f>
        <v>15250.7805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IFERROR(__xludf.DUMMYFUNCTION("""COMPUTED_VALUE"""),15297.093)</f>
        <v>15297.093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IFERROR(__xludf.DUMMYFUNCTION("""COMPUTED_VALUE"""),15319.21544)</f>
        <v>15319.21544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IFERROR(__xludf.DUMMYFUNCTION("""COMPUTED_VALUE"""),15327.317)</f>
        <v>15327.317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IFERROR(__xludf.DUMMYFUNCTION("""COMPUTED_VALUE"""),15365.79)</f>
        <v>15365.79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IFERROR(__xludf.DUMMYFUNCTION("""COMPUTED_VALUE"""),15458.8969)</f>
        <v>15458.8969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IFERROR(__xludf.DUMMYFUNCTION("""COMPUTED_VALUE"""),15273.4052)</f>
        <v>15273.4052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IFERROR(__xludf.DUMMYFUNCTION("""COMPUTED_VALUE"""),15318.72)</f>
        <v>15318.72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IFERROR(__xludf.DUMMYFUNCTION("""COMPUTED_VALUE"""),15113.2091)</f>
        <v>15113.2091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IFERROR(__xludf.DUMMYFUNCTION("""COMPUTED_VALUE"""),15147.8008)</f>
        <v>15147.8008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IFERROR(__xludf.DUMMYFUNCTION("""COMPUTED_VALUE"""),15116.7972)</f>
        <v>15116.7972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IFERROR(__xludf.DUMMYFUNCTION("""COMPUTED_VALUE"""),15128.9072)</f>
        <v>15128.9072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IFERROR(__xludf.DUMMYFUNCTION("""COMPUTED_VALUE"""),15199.3821)</f>
        <v>15199.3821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IFERROR(__xludf.DUMMYFUNCTION("""COMPUTED_VALUE"""),15188.43425)</f>
        <v>15188.43425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IFERROR(__xludf.DUMMYFUNCTION("""COMPUTED_VALUE"""),15041.7)</f>
        <v>15041.7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IFERROR(__xludf.DUMMYFUNCTION("""COMPUTED_VALUE"""),15162.745)</f>
        <v>15162.745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IFERROR(__xludf.DUMMYFUNCTION("""COMPUTED_VALUE"""),15193.94878)</f>
        <v>15193.94878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IFERROR(__xludf.DUMMYFUNCTION("""COMPUTED_VALUE"""),15194.38781)</f>
        <v>15194.38781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IFERROR(__xludf.DUMMYFUNCTION("""COMPUTED_VALUE"""),15107.4495)</f>
        <v>15107.4495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IFERROR(__xludf.DUMMYFUNCTION("""COMPUTED_VALUE"""),15128.4672)</f>
        <v>15128.4672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IFERROR(__xludf.DUMMYFUNCTION("""COMPUTED_VALUE"""),15144.7849)</f>
        <v>15144.7849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IFERROR(__xludf.DUMMYFUNCTION("""COMPUTED_VALUE"""),15199.6264)</f>
        <v>15199.6264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IFERROR(__xludf.DUMMYFUNCTION("""COMPUTED_VALUE"""),15280.012)</f>
        <v>15280.012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IFERROR(__xludf.DUMMYFUNCTION("""COMPUTED_VALUE"""),15310.50233)</f>
        <v>15310.50233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IFERROR(__xludf.DUMMYFUNCTION("""COMPUTED_VALUE"""),15304.87886)</f>
        <v>15304.87886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IFERROR(__xludf.DUMMYFUNCTION("""COMPUTED_VALUE"""),15179.1165)</f>
        <v>15179.1165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IFERROR(__xludf.DUMMYFUNCTION("""COMPUTED_VALUE"""),15195.05)</f>
        <v>15195.05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IFERROR(__xludf.DUMMYFUNCTION("""COMPUTED_VALUE"""),15174.81882)</f>
        <v>15174.81882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IFERROR(__xludf.DUMMYFUNCTION("""COMPUTED_VALUE"""),15217.81525)</f>
        <v>15217.81525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IFERROR(__xludf.DUMMYFUNCTION("""COMPUTED_VALUE"""),15032.787)</f>
        <v>15032.787</v>
      </c>
    </row>
    <row r="1653">
      <c r="A1653" s="3">
        <f>IFERROR(__xludf.DUMMYFUNCTION("""COMPUTED_VALUE"""),41965.99861111111)</f>
        <v>41965.99861</v>
      </c>
      <c r="B1653" s="1">
        <f>IFERROR(__xludf.DUMMYFUNCTION("""COMPUTED_VALUE"""),15183.8211)</f>
        <v>15183.8211</v>
      </c>
    </row>
    <row r="1654">
      <c r="A1654" s="3">
        <f>IFERROR(__xludf.DUMMYFUNCTION("""COMPUTED_VALUE"""),41966.99861111111)</f>
        <v>41966.99861</v>
      </c>
      <c r="B1654" s="1">
        <f>IFERROR(__xludf.DUMMYFUNCTION("""COMPUTED_VALUE"""),15035.22668)</f>
        <v>15035.22668</v>
      </c>
    </row>
    <row r="1655">
      <c r="A1655" s="3">
        <f>IFERROR(__xludf.DUMMYFUNCTION("""COMPUTED_VALUE"""),41967.99861111111)</f>
        <v>41967.99861</v>
      </c>
      <c r="B1655" s="1">
        <f>IFERROR(__xludf.DUMMYFUNCTION("""COMPUTED_VALUE"""),15088.96279)</f>
        <v>15088.96279</v>
      </c>
    </row>
    <row r="1656">
      <c r="A1656" s="3">
        <f>IFERROR(__xludf.DUMMYFUNCTION("""COMPUTED_VALUE"""),41968.99861111111)</f>
        <v>41968.99861</v>
      </c>
      <c r="B1656" s="1">
        <f>IFERROR(__xludf.DUMMYFUNCTION("""COMPUTED_VALUE"""),15137.1308)</f>
        <v>15137.1308</v>
      </c>
    </row>
    <row r="1657">
      <c r="A1657" s="3">
        <f>IFERROR(__xludf.DUMMYFUNCTION("""COMPUTED_VALUE"""),41969.99861111111)</f>
        <v>41969.99861</v>
      </c>
      <c r="B1657" s="1">
        <f>IFERROR(__xludf.DUMMYFUNCTION("""COMPUTED_VALUE"""),15223.74175)</f>
        <v>15223.74175</v>
      </c>
    </row>
    <row r="1658">
      <c r="A1658" s="3">
        <f>IFERROR(__xludf.DUMMYFUNCTION("""COMPUTED_VALUE"""),41970.99861111111)</f>
        <v>41970.99861</v>
      </c>
      <c r="B1658" s="1">
        <f>IFERROR(__xludf.DUMMYFUNCTION("""COMPUTED_VALUE"""),15169.563)</f>
        <v>15169.563</v>
      </c>
    </row>
    <row r="1659">
      <c r="A1659" s="3">
        <f>IFERROR(__xludf.DUMMYFUNCTION("""COMPUTED_VALUE"""),41971.99861111111)</f>
        <v>41971.99861</v>
      </c>
      <c r="B1659" s="1">
        <f>IFERROR(__xludf.DUMMYFUNCTION("""COMPUTED_VALUE"""),15156.53575)</f>
        <v>15156.53575</v>
      </c>
    </row>
    <row r="1660">
      <c r="A1660" s="3">
        <f>IFERROR(__xludf.DUMMYFUNCTION("""COMPUTED_VALUE"""),41972.99861111111)</f>
        <v>41972.99861</v>
      </c>
      <c r="B1660" s="1">
        <f>IFERROR(__xludf.DUMMYFUNCTION("""COMPUTED_VALUE"""),15187.70488)</f>
        <v>15187.70488</v>
      </c>
    </row>
    <row r="1661">
      <c r="A1661" s="3">
        <f>IFERROR(__xludf.DUMMYFUNCTION("""COMPUTED_VALUE"""),41973.99861111111)</f>
        <v>41973.99861</v>
      </c>
      <c r="B1661" s="1">
        <f>IFERROR(__xludf.DUMMYFUNCTION("""COMPUTED_VALUE"""),15164.63172)</f>
        <v>15164.63172</v>
      </c>
    </row>
    <row r="1662">
      <c r="A1662" s="3">
        <f>IFERROR(__xludf.DUMMYFUNCTION("""COMPUTED_VALUE"""),41974.99861111111)</f>
        <v>41974.99861</v>
      </c>
      <c r="B1662" s="1">
        <f>IFERROR(__xludf.DUMMYFUNCTION("""COMPUTED_VALUE"""),15316.938)</f>
        <v>15316.938</v>
      </c>
    </row>
    <row r="1663">
      <c r="A1663" s="3">
        <f>IFERROR(__xludf.DUMMYFUNCTION("""COMPUTED_VALUE"""),41975.99861111111)</f>
        <v>41975.99861</v>
      </c>
      <c r="B1663" s="1">
        <f>IFERROR(__xludf.DUMMYFUNCTION("""COMPUTED_VALUE"""),15218.658)</f>
        <v>15218.658</v>
      </c>
    </row>
    <row r="1664">
      <c r="A1664" s="3">
        <f>IFERROR(__xludf.DUMMYFUNCTION("""COMPUTED_VALUE"""),41976.99861111111)</f>
        <v>41976.99861</v>
      </c>
      <c r="B1664" s="1">
        <f>IFERROR(__xludf.DUMMYFUNCTION("""COMPUTED_VALUE"""),15128.9775)</f>
        <v>15128.9775</v>
      </c>
    </row>
    <row r="1665">
      <c r="A1665" s="3">
        <f>IFERROR(__xludf.DUMMYFUNCTION("""COMPUTED_VALUE"""),41977.99861111111)</f>
        <v>41977.99861</v>
      </c>
      <c r="B1665" s="1">
        <f>IFERROR(__xludf.DUMMYFUNCTION("""COMPUTED_VALUE"""),15213.12975)</f>
        <v>15213.12975</v>
      </c>
    </row>
    <row r="1666">
      <c r="A1666" s="3">
        <f>IFERROR(__xludf.DUMMYFUNCTION("""COMPUTED_VALUE"""),41978.99861111111)</f>
        <v>41978.99861</v>
      </c>
      <c r="B1666" s="1">
        <f>IFERROR(__xludf.DUMMYFUNCTION("""COMPUTED_VALUE"""),15092.1225)</f>
        <v>15092.1225</v>
      </c>
    </row>
    <row r="1667">
      <c r="A1667" s="3">
        <f>IFERROR(__xludf.DUMMYFUNCTION("""COMPUTED_VALUE"""),41979.99861111111)</f>
        <v>41979.99861</v>
      </c>
      <c r="B1667" s="1">
        <f>IFERROR(__xludf.DUMMYFUNCTION("""COMPUTED_VALUE"""),15241.92579)</f>
        <v>15241.92579</v>
      </c>
    </row>
    <row r="1668">
      <c r="A1668" s="3">
        <f>IFERROR(__xludf.DUMMYFUNCTION("""COMPUTED_VALUE"""),41980.99861111111)</f>
        <v>41980.99861</v>
      </c>
      <c r="B1668" s="1">
        <f>IFERROR(__xludf.DUMMYFUNCTION("""COMPUTED_VALUE"""),15121.76752)</f>
        <v>15121.76752</v>
      </c>
    </row>
    <row r="1669">
      <c r="A1669" s="3">
        <f>IFERROR(__xludf.DUMMYFUNCTION("""COMPUTED_VALUE"""),41981.99861111111)</f>
        <v>41981.99861</v>
      </c>
      <c r="B1669" s="1">
        <f>IFERROR(__xludf.DUMMYFUNCTION("""COMPUTED_VALUE"""),15127.749)</f>
        <v>15127.749</v>
      </c>
    </row>
    <row r="1670">
      <c r="A1670" s="3">
        <f>IFERROR(__xludf.DUMMYFUNCTION("""COMPUTED_VALUE"""),41982.99861111111)</f>
        <v>41982.99861</v>
      </c>
      <c r="B1670" s="1">
        <f>IFERROR(__xludf.DUMMYFUNCTION("""COMPUTED_VALUE"""),15226.029)</f>
        <v>15226.029</v>
      </c>
    </row>
    <row r="1671">
      <c r="A1671" s="3">
        <f>IFERROR(__xludf.DUMMYFUNCTION("""COMPUTED_VALUE"""),41983.99861111111)</f>
        <v>41983.99861</v>
      </c>
      <c r="B1671" s="1">
        <f>IFERROR(__xludf.DUMMYFUNCTION("""COMPUTED_VALUE"""),15293.5965)</f>
        <v>15293.5965</v>
      </c>
    </row>
    <row r="1672">
      <c r="A1672" s="3">
        <f>IFERROR(__xludf.DUMMYFUNCTION("""COMPUTED_VALUE"""),41984.99861111111)</f>
        <v>41984.99861</v>
      </c>
      <c r="B1672" s="1">
        <f>IFERROR(__xludf.DUMMYFUNCTION("""COMPUTED_VALUE"""),15442.40478)</f>
        <v>15442.40478</v>
      </c>
    </row>
    <row r="1673">
      <c r="A1673" s="3">
        <f>IFERROR(__xludf.DUMMYFUNCTION("""COMPUTED_VALUE"""),41985.99861111111)</f>
        <v>41985.99861</v>
      </c>
      <c r="B1673" s="1">
        <f>IFERROR(__xludf.DUMMYFUNCTION("""COMPUTED_VALUE"""),15712.15572)</f>
        <v>15712.15572</v>
      </c>
    </row>
    <row r="1674">
      <c r="A1674" s="3">
        <f>IFERROR(__xludf.DUMMYFUNCTION("""COMPUTED_VALUE"""),41986.99861111111)</f>
        <v>41986.99861</v>
      </c>
      <c r="B1674" s="1">
        <f>IFERROR(__xludf.DUMMYFUNCTION("""COMPUTED_VALUE"""),15734.84521)</f>
        <v>15734.84521</v>
      </c>
    </row>
    <row r="1675">
      <c r="A1675" s="3">
        <f>IFERROR(__xludf.DUMMYFUNCTION("""COMPUTED_VALUE"""),41987.99861111111)</f>
        <v>41987.99861</v>
      </c>
      <c r="B1675" s="1">
        <f>IFERROR(__xludf.DUMMYFUNCTION("""COMPUTED_VALUE"""),15733.58258)</f>
        <v>15733.58258</v>
      </c>
    </row>
    <row r="1676">
      <c r="A1676" s="3">
        <f>IFERROR(__xludf.DUMMYFUNCTION("""COMPUTED_VALUE"""),41988.99861111111)</f>
        <v>41988.99861</v>
      </c>
      <c r="B1676" s="1">
        <f>IFERROR(__xludf.DUMMYFUNCTION("""COMPUTED_VALUE"""),15988.3555)</f>
        <v>15988.3555</v>
      </c>
    </row>
    <row r="1677">
      <c r="A1677" s="3">
        <f>IFERROR(__xludf.DUMMYFUNCTION("""COMPUTED_VALUE"""),41989.99861111111)</f>
        <v>41989.99861</v>
      </c>
      <c r="B1677" s="1">
        <f>IFERROR(__xludf.DUMMYFUNCTION("""COMPUTED_VALUE"""),15891.6681)</f>
        <v>15891.6681</v>
      </c>
    </row>
    <row r="1678">
      <c r="A1678" s="3">
        <f>IFERROR(__xludf.DUMMYFUNCTION("""COMPUTED_VALUE"""),41990.99861111111)</f>
        <v>41990.99861</v>
      </c>
      <c r="B1678" s="1">
        <f>IFERROR(__xludf.DUMMYFUNCTION("""COMPUTED_VALUE"""),15634.93356)</f>
        <v>15634.93356</v>
      </c>
    </row>
    <row r="1679">
      <c r="A1679" s="3">
        <f>IFERROR(__xludf.DUMMYFUNCTION("""COMPUTED_VALUE"""),41991.99861111111)</f>
        <v>41991.99861</v>
      </c>
      <c r="B1679" s="1">
        <f>IFERROR(__xludf.DUMMYFUNCTION("""COMPUTED_VALUE"""),15334.0512)</f>
        <v>15334.0512</v>
      </c>
    </row>
    <row r="1680">
      <c r="A1680" s="3">
        <f>IFERROR(__xludf.DUMMYFUNCTION("""COMPUTED_VALUE"""),41992.99861111111)</f>
        <v>41992.99861</v>
      </c>
      <c r="B1680" s="1">
        <f>IFERROR(__xludf.DUMMYFUNCTION("""COMPUTED_VALUE"""),15121.99659)</f>
        <v>15121.99659</v>
      </c>
    </row>
    <row r="1681">
      <c r="A1681" s="3">
        <f>IFERROR(__xludf.DUMMYFUNCTION("""COMPUTED_VALUE"""),41993.99861111111)</f>
        <v>41993.99861</v>
      </c>
      <c r="B1681" s="1">
        <f>IFERROR(__xludf.DUMMYFUNCTION("""COMPUTED_VALUE"""),15194.42205)</f>
        <v>15194.42205</v>
      </c>
    </row>
    <row r="1682">
      <c r="A1682" s="3">
        <f>IFERROR(__xludf.DUMMYFUNCTION("""COMPUTED_VALUE"""),41994.99861111111)</f>
        <v>41994.99861</v>
      </c>
      <c r="B1682" s="1">
        <f>IFERROR(__xludf.DUMMYFUNCTION("""COMPUTED_VALUE"""),15185.58975)</f>
        <v>15185.58975</v>
      </c>
    </row>
    <row r="1683">
      <c r="A1683" s="3">
        <f>IFERROR(__xludf.DUMMYFUNCTION("""COMPUTED_VALUE"""),41995.99861111111)</f>
        <v>41995.99861</v>
      </c>
      <c r="B1683" s="1">
        <f>IFERROR(__xludf.DUMMYFUNCTION("""COMPUTED_VALUE"""),15226.12)</f>
        <v>15226.12</v>
      </c>
    </row>
    <row r="1684">
      <c r="A1684" s="3">
        <f>IFERROR(__xludf.DUMMYFUNCTION("""COMPUTED_VALUE"""),41996.99861111111)</f>
        <v>41996.99861</v>
      </c>
      <c r="B1684" s="1">
        <f>IFERROR(__xludf.DUMMYFUNCTION("""COMPUTED_VALUE"""),15112.7795)</f>
        <v>15112.7795</v>
      </c>
    </row>
    <row r="1685">
      <c r="A1685" s="3">
        <f>IFERROR(__xludf.DUMMYFUNCTION("""COMPUTED_VALUE"""),41997.99861111111)</f>
        <v>41997.99861</v>
      </c>
      <c r="B1685" s="1">
        <f>IFERROR(__xludf.DUMMYFUNCTION("""COMPUTED_VALUE"""),15206.7909)</f>
        <v>15206.7909</v>
      </c>
    </row>
    <row r="1686">
      <c r="A1686" s="3">
        <f>IFERROR(__xludf.DUMMYFUNCTION("""COMPUTED_VALUE"""),41998.99861111111)</f>
        <v>41998.99861</v>
      </c>
      <c r="B1686" s="1">
        <f>IFERROR(__xludf.DUMMYFUNCTION("""COMPUTED_VALUE"""),15220.882)</f>
        <v>15220.882</v>
      </c>
    </row>
    <row r="1687">
      <c r="A1687" s="3">
        <f>IFERROR(__xludf.DUMMYFUNCTION("""COMPUTED_VALUE"""),41999.99861111111)</f>
        <v>41999.99861</v>
      </c>
      <c r="B1687" s="1">
        <f>IFERROR(__xludf.DUMMYFUNCTION("""COMPUTED_VALUE"""),15132.754)</f>
        <v>15132.754</v>
      </c>
    </row>
    <row r="1688">
      <c r="A1688" s="3">
        <f>IFERROR(__xludf.DUMMYFUNCTION("""COMPUTED_VALUE"""),42000.99861111111)</f>
        <v>42000.99861</v>
      </c>
      <c r="B1688" s="1">
        <f>IFERROR(__xludf.DUMMYFUNCTION("""COMPUTED_VALUE"""),15129.1504)</f>
        <v>15129.1504</v>
      </c>
    </row>
    <row r="1689">
      <c r="A1689" s="3">
        <f>IFERROR(__xludf.DUMMYFUNCTION("""COMPUTED_VALUE"""),42001.99861111111)</f>
        <v>42001.99861</v>
      </c>
      <c r="B1689" s="1">
        <f>IFERROR(__xludf.DUMMYFUNCTION("""COMPUTED_VALUE"""),15152.6773)</f>
        <v>15152.6773</v>
      </c>
    </row>
    <row r="1690">
      <c r="A1690" s="3">
        <f>IFERROR(__xludf.DUMMYFUNCTION("""COMPUTED_VALUE"""),42002.99861111111)</f>
        <v>42002.99861</v>
      </c>
      <c r="B1690" s="1">
        <f>IFERROR(__xludf.DUMMYFUNCTION("""COMPUTED_VALUE"""),15078.2741)</f>
        <v>15078.2741</v>
      </c>
    </row>
    <row r="1691">
      <c r="A1691" s="3">
        <f>IFERROR(__xludf.DUMMYFUNCTION("""COMPUTED_VALUE"""),42003.99861111111)</f>
        <v>42003.99861</v>
      </c>
      <c r="B1691" s="1">
        <f>IFERROR(__xludf.DUMMYFUNCTION("""COMPUTED_VALUE"""),15100.236)</f>
        <v>15100.236</v>
      </c>
    </row>
    <row r="1692">
      <c r="A1692" s="3">
        <f>IFERROR(__xludf.DUMMYFUNCTION("""COMPUTED_VALUE"""),42004.99861111111)</f>
        <v>42004.99861</v>
      </c>
      <c r="B1692" s="1">
        <f>IFERROR(__xludf.DUMMYFUNCTION("""COMPUTED_VALUE"""),14987.6874)</f>
        <v>14987.6874</v>
      </c>
    </row>
    <row r="1693">
      <c r="A1693" s="3">
        <f>IFERROR(__xludf.DUMMYFUNCTION("""COMPUTED_VALUE"""),42005.99861111111)</f>
        <v>42005.99861</v>
      </c>
      <c r="B1693" s="1">
        <f>IFERROR(__xludf.DUMMYFUNCTION("""COMPUTED_VALUE"""),14977.7754)</f>
        <v>14977.7754</v>
      </c>
    </row>
    <row r="1694">
      <c r="A1694" s="3">
        <f>IFERROR(__xludf.DUMMYFUNCTION("""COMPUTED_VALUE"""),42006.99861111111)</f>
        <v>42006.99861</v>
      </c>
      <c r="B1694" s="1">
        <f>IFERROR(__xludf.DUMMYFUNCTION("""COMPUTED_VALUE"""),14977.1232)</f>
        <v>14977.1232</v>
      </c>
    </row>
    <row r="1695">
      <c r="A1695" s="3">
        <f>IFERROR(__xludf.DUMMYFUNCTION("""COMPUTED_VALUE"""),42007.99861111111)</f>
        <v>42007.99861</v>
      </c>
      <c r="B1695" s="1">
        <f>IFERROR(__xludf.DUMMYFUNCTION("""COMPUTED_VALUE"""),15061.39099)</f>
        <v>15061.39099</v>
      </c>
    </row>
    <row r="1696">
      <c r="A1696" s="3">
        <f>IFERROR(__xludf.DUMMYFUNCTION("""COMPUTED_VALUE"""),42008.99861111111)</f>
        <v>42008.99861</v>
      </c>
      <c r="B1696" s="1">
        <f>IFERROR(__xludf.DUMMYFUNCTION("""COMPUTED_VALUE"""),14986.19652)</f>
        <v>14986.19652</v>
      </c>
    </row>
    <row r="1697">
      <c r="A1697" s="3">
        <f>IFERROR(__xludf.DUMMYFUNCTION("""COMPUTED_VALUE"""),42009.99861111111)</f>
        <v>42009.99861</v>
      </c>
      <c r="B1697" s="1">
        <f>IFERROR(__xludf.DUMMYFUNCTION("""COMPUTED_VALUE"""),15069.2)</f>
        <v>15069.2</v>
      </c>
    </row>
    <row r="1698">
      <c r="A1698" s="3">
        <f>IFERROR(__xludf.DUMMYFUNCTION("""COMPUTED_VALUE"""),42010.99861111111)</f>
        <v>42010.99861</v>
      </c>
      <c r="B1698" s="1">
        <f>IFERROR(__xludf.DUMMYFUNCTION("""COMPUTED_VALUE"""),15001.5355)</f>
        <v>15001.5355</v>
      </c>
    </row>
    <row r="1699">
      <c r="A1699" s="3">
        <f>IFERROR(__xludf.DUMMYFUNCTION("""COMPUTED_VALUE"""),42011.99861111111)</f>
        <v>42011.99861</v>
      </c>
      <c r="B1699" s="1">
        <f>IFERROR(__xludf.DUMMYFUNCTION("""COMPUTED_VALUE"""),15051.8304)</f>
        <v>15051.8304</v>
      </c>
    </row>
    <row r="1700">
      <c r="A1700" s="3">
        <f>IFERROR(__xludf.DUMMYFUNCTION("""COMPUTED_VALUE"""),42012.99861111111)</f>
        <v>42012.99861</v>
      </c>
      <c r="B1700" s="1">
        <f>IFERROR(__xludf.DUMMYFUNCTION("""COMPUTED_VALUE"""),14869.9642)</f>
        <v>14869.9642</v>
      </c>
    </row>
    <row r="1701">
      <c r="A1701" s="3">
        <f>IFERROR(__xludf.DUMMYFUNCTION("""COMPUTED_VALUE"""),42013.99861111111)</f>
        <v>42013.99861</v>
      </c>
      <c r="B1701" s="1">
        <f>IFERROR(__xludf.DUMMYFUNCTION("""COMPUTED_VALUE"""),14878.2165)</f>
        <v>14878.2165</v>
      </c>
    </row>
    <row r="1702">
      <c r="A1702" s="3">
        <f>IFERROR(__xludf.DUMMYFUNCTION("""COMPUTED_VALUE"""),42014.99861111111)</f>
        <v>42014.99861</v>
      </c>
      <c r="B1702" s="1">
        <f>IFERROR(__xludf.DUMMYFUNCTION("""COMPUTED_VALUE"""),15166.22693)</f>
        <v>15166.22693</v>
      </c>
    </row>
    <row r="1703">
      <c r="A1703" s="3">
        <f>IFERROR(__xludf.DUMMYFUNCTION("""COMPUTED_VALUE"""),42015.99861111111)</f>
        <v>42015.99861</v>
      </c>
      <c r="B1703" s="1">
        <f>IFERROR(__xludf.DUMMYFUNCTION("""COMPUTED_VALUE"""),15178.51213)</f>
        <v>15178.51213</v>
      </c>
    </row>
    <row r="1704">
      <c r="A1704" s="3">
        <f>IFERROR(__xludf.DUMMYFUNCTION("""COMPUTED_VALUE"""),42016.99861111111)</f>
        <v>42016.99861</v>
      </c>
      <c r="B1704" s="1">
        <f>IFERROR(__xludf.DUMMYFUNCTION("""COMPUTED_VALUE"""),14856.114)</f>
        <v>14856.114</v>
      </c>
    </row>
    <row r="1705">
      <c r="A1705" s="3">
        <f>IFERROR(__xludf.DUMMYFUNCTION("""COMPUTED_VALUE"""),42017.99861111111)</f>
        <v>42017.99861</v>
      </c>
      <c r="B1705" s="1">
        <f>IFERROR(__xludf.DUMMYFUNCTION("""COMPUTED_VALUE"""),14822.70294)</f>
        <v>14822.70294</v>
      </c>
    </row>
    <row r="1706">
      <c r="A1706" s="3">
        <f>IFERROR(__xludf.DUMMYFUNCTION("""COMPUTED_VALUE"""),42018.99861111111)</f>
        <v>42018.99861</v>
      </c>
      <c r="B1706" s="1">
        <f>IFERROR(__xludf.DUMMYFUNCTION("""COMPUTED_VALUE"""),14793.5565)</f>
        <v>14793.5565</v>
      </c>
    </row>
    <row r="1707">
      <c r="A1707" s="3">
        <f>IFERROR(__xludf.DUMMYFUNCTION("""COMPUTED_VALUE"""),42019.99861111111)</f>
        <v>42019.99861</v>
      </c>
      <c r="B1707" s="1">
        <f>IFERROR(__xludf.DUMMYFUNCTION("""COMPUTED_VALUE"""),14508.9284)</f>
        <v>14508.9284</v>
      </c>
    </row>
    <row r="1708">
      <c r="A1708" s="3">
        <f>IFERROR(__xludf.DUMMYFUNCTION("""COMPUTED_VALUE"""),42020.99861111111)</f>
        <v>42020.99861</v>
      </c>
      <c r="B1708" s="1">
        <f>IFERROR(__xludf.DUMMYFUNCTION("""COMPUTED_VALUE"""),14541.7252)</f>
        <v>14541.7252</v>
      </c>
    </row>
    <row r="1709">
      <c r="A1709" s="3">
        <f>IFERROR(__xludf.DUMMYFUNCTION("""COMPUTED_VALUE"""),42021.99861111111)</f>
        <v>42021.99861</v>
      </c>
      <c r="B1709" s="1">
        <f>IFERROR(__xludf.DUMMYFUNCTION("""COMPUTED_VALUE"""),14824.99673)</f>
        <v>14824.99673</v>
      </c>
    </row>
    <row r="1710">
      <c r="A1710" s="3">
        <f>IFERROR(__xludf.DUMMYFUNCTION("""COMPUTED_VALUE"""),42022.99861111111)</f>
        <v>42022.99861</v>
      </c>
      <c r="B1710" s="1">
        <f>IFERROR(__xludf.DUMMYFUNCTION("""COMPUTED_VALUE"""),14805.62534)</f>
        <v>14805.62534</v>
      </c>
    </row>
    <row r="1711">
      <c r="A1711" s="3">
        <f>IFERROR(__xludf.DUMMYFUNCTION("""COMPUTED_VALUE"""),42023.99861111111)</f>
        <v>42023.99861</v>
      </c>
      <c r="B1711" s="1">
        <f>IFERROR(__xludf.DUMMYFUNCTION("""COMPUTED_VALUE"""),14643.0957)</f>
        <v>14643.0957</v>
      </c>
    </row>
    <row r="1712">
      <c r="A1712" s="3">
        <f>IFERROR(__xludf.DUMMYFUNCTION("""COMPUTED_VALUE"""),42024.99861111111)</f>
        <v>42024.99861</v>
      </c>
      <c r="B1712" s="1">
        <f>IFERROR(__xludf.DUMMYFUNCTION("""COMPUTED_VALUE"""),14502.829)</f>
        <v>14502.829</v>
      </c>
    </row>
    <row r="1713">
      <c r="A1713" s="3">
        <f>IFERROR(__xludf.DUMMYFUNCTION("""COMPUTED_VALUE"""),42025.99861111111)</f>
        <v>42025.99861</v>
      </c>
      <c r="B1713" s="1">
        <f>IFERROR(__xludf.DUMMYFUNCTION("""COMPUTED_VALUE"""),14472.98685)</f>
        <v>14472.98685</v>
      </c>
    </row>
    <row r="1714">
      <c r="A1714" s="3">
        <f>IFERROR(__xludf.DUMMYFUNCTION("""COMPUTED_VALUE"""),42026.99861111111)</f>
        <v>42026.99861</v>
      </c>
      <c r="B1714" s="1">
        <f>IFERROR(__xludf.DUMMYFUNCTION("""COMPUTED_VALUE"""),14070.37125)</f>
        <v>14070.37125</v>
      </c>
    </row>
    <row r="1715">
      <c r="A1715" s="3">
        <f>IFERROR(__xludf.DUMMYFUNCTION("""COMPUTED_VALUE"""),42027.99861111111)</f>
        <v>42027.99861</v>
      </c>
      <c r="B1715" s="1">
        <f>IFERROR(__xludf.DUMMYFUNCTION("""COMPUTED_VALUE"""),13917.73536)</f>
        <v>13917.73536</v>
      </c>
    </row>
    <row r="1716">
      <c r="A1716" s="3">
        <f>IFERROR(__xludf.DUMMYFUNCTION("""COMPUTED_VALUE"""),42028.99861111111)</f>
        <v>42028.99861</v>
      </c>
      <c r="B1716" s="1">
        <f>IFERROR(__xludf.DUMMYFUNCTION("""COMPUTED_VALUE"""),14028.30528)</f>
        <v>14028.30528</v>
      </c>
    </row>
    <row r="1717">
      <c r="A1717" s="3">
        <f>IFERROR(__xludf.DUMMYFUNCTION("""COMPUTED_VALUE"""),42029.99861111111)</f>
        <v>42029.99861</v>
      </c>
      <c r="B1717" s="1">
        <f>IFERROR(__xludf.DUMMYFUNCTION("""COMPUTED_VALUE"""),13930.40794)</f>
        <v>13930.40794</v>
      </c>
    </row>
    <row r="1718">
      <c r="A1718" s="3">
        <f>IFERROR(__xludf.DUMMYFUNCTION("""COMPUTED_VALUE"""),42030.99861111111)</f>
        <v>42030.99861</v>
      </c>
      <c r="B1718" s="1">
        <f>IFERROR(__xludf.DUMMYFUNCTION("""COMPUTED_VALUE"""),14045.75221)</f>
        <v>14045.75221</v>
      </c>
    </row>
    <row r="1719">
      <c r="A1719" s="3">
        <f>IFERROR(__xludf.DUMMYFUNCTION("""COMPUTED_VALUE"""),42031.99861111111)</f>
        <v>42031.99861</v>
      </c>
      <c r="B1719" s="1">
        <f>IFERROR(__xludf.DUMMYFUNCTION("""COMPUTED_VALUE"""),14150.67)</f>
        <v>14150.67</v>
      </c>
    </row>
    <row r="1720">
      <c r="A1720" s="3">
        <f>IFERROR(__xludf.DUMMYFUNCTION("""COMPUTED_VALUE"""),42032.99861111111)</f>
        <v>42032.99861</v>
      </c>
      <c r="B1720" s="1">
        <f>IFERROR(__xludf.DUMMYFUNCTION("""COMPUTED_VALUE"""),14054.222)</f>
        <v>14054.222</v>
      </c>
    </row>
    <row r="1721">
      <c r="A1721" s="3">
        <f>IFERROR(__xludf.DUMMYFUNCTION("""COMPUTED_VALUE"""),42033.99861111111)</f>
        <v>42033.99861</v>
      </c>
      <c r="B1721" s="1">
        <f>IFERROR(__xludf.DUMMYFUNCTION("""COMPUTED_VALUE"""),14246.838)</f>
        <v>14246.838</v>
      </c>
    </row>
    <row r="1722">
      <c r="A1722" s="3">
        <f>IFERROR(__xludf.DUMMYFUNCTION("""COMPUTED_VALUE"""),42034.99861111111)</f>
        <v>42034.99861</v>
      </c>
      <c r="B1722" s="1">
        <f>IFERROR(__xludf.DUMMYFUNCTION("""COMPUTED_VALUE"""),14367.078)</f>
        <v>14367.078</v>
      </c>
    </row>
    <row r="1723">
      <c r="A1723" s="3">
        <f>IFERROR(__xludf.DUMMYFUNCTION("""COMPUTED_VALUE"""),42035.99861111111)</f>
        <v>42035.99861</v>
      </c>
      <c r="B1723" s="1">
        <f>IFERROR(__xludf.DUMMYFUNCTION("""COMPUTED_VALUE"""),14432.22079)</f>
        <v>14432.22079</v>
      </c>
    </row>
    <row r="1724">
      <c r="A1724" s="3">
        <f>IFERROR(__xludf.DUMMYFUNCTION("""COMPUTED_VALUE"""),42036.99861111111)</f>
        <v>42036.99861</v>
      </c>
      <c r="B1724" s="1">
        <f>IFERROR(__xludf.DUMMYFUNCTION("""COMPUTED_VALUE"""),14459.075)</f>
        <v>14459.075</v>
      </c>
    </row>
    <row r="1725">
      <c r="A1725" s="3">
        <f>IFERROR(__xludf.DUMMYFUNCTION("""COMPUTED_VALUE"""),42037.99861111111)</f>
        <v>42037.99861</v>
      </c>
      <c r="B1725" s="1">
        <f>IFERROR(__xludf.DUMMYFUNCTION("""COMPUTED_VALUE"""),14338.29195)</f>
        <v>14338.29195</v>
      </c>
    </row>
    <row r="1726">
      <c r="A1726" s="3">
        <f>IFERROR(__xludf.DUMMYFUNCTION("""COMPUTED_VALUE"""),42038.99861111111)</f>
        <v>42038.99861</v>
      </c>
      <c r="B1726" s="1">
        <f>IFERROR(__xludf.DUMMYFUNCTION("""COMPUTED_VALUE"""),14408.05775)</f>
        <v>14408.05775</v>
      </c>
    </row>
    <row r="1727">
      <c r="A1727" s="3">
        <f>IFERROR(__xludf.DUMMYFUNCTION("""COMPUTED_VALUE"""),42039.99861111111)</f>
        <v>42039.99861</v>
      </c>
      <c r="B1727" s="1">
        <f>IFERROR(__xludf.DUMMYFUNCTION("""COMPUTED_VALUE"""),14286.45)</f>
        <v>14286.45</v>
      </c>
    </row>
    <row r="1728">
      <c r="A1728" s="3">
        <f>IFERROR(__xludf.DUMMYFUNCTION("""COMPUTED_VALUE"""),42040.99861111111)</f>
        <v>42040.99861</v>
      </c>
      <c r="B1728" s="1">
        <f>IFERROR(__xludf.DUMMYFUNCTION("""COMPUTED_VALUE"""),14438.67357)</f>
        <v>14438.67357</v>
      </c>
    </row>
    <row r="1729">
      <c r="A1729" s="3">
        <f>IFERROR(__xludf.DUMMYFUNCTION("""COMPUTED_VALUE"""),42041.99861111111)</f>
        <v>42041.99861</v>
      </c>
      <c r="B1729" s="1">
        <f>IFERROR(__xludf.DUMMYFUNCTION("""COMPUTED_VALUE"""),14291.7129)</f>
        <v>14291.7129</v>
      </c>
    </row>
    <row r="1730">
      <c r="A1730" s="3">
        <f>IFERROR(__xludf.DUMMYFUNCTION("""COMPUTED_VALUE"""),42042.99861111111)</f>
        <v>42042.99861</v>
      </c>
      <c r="B1730" s="1">
        <f>IFERROR(__xludf.DUMMYFUNCTION("""COMPUTED_VALUE"""),14659.25274)</f>
        <v>14659.25274</v>
      </c>
    </row>
    <row r="1731">
      <c r="A1731" s="3">
        <f>IFERROR(__xludf.DUMMYFUNCTION("""COMPUTED_VALUE"""),42043.99861111111)</f>
        <v>42043.99861</v>
      </c>
      <c r="B1731" s="1">
        <f>IFERROR(__xludf.DUMMYFUNCTION("""COMPUTED_VALUE"""),14654.13616)</f>
        <v>14654.13616</v>
      </c>
    </row>
    <row r="1732">
      <c r="A1732" s="3">
        <f>IFERROR(__xludf.DUMMYFUNCTION("""COMPUTED_VALUE"""),42044.99861111111)</f>
        <v>42044.99861</v>
      </c>
      <c r="B1732" s="1">
        <f>IFERROR(__xludf.DUMMYFUNCTION("""COMPUTED_VALUE"""),14342.0993)</f>
        <v>14342.0993</v>
      </c>
    </row>
    <row r="1733">
      <c r="A1733" s="3">
        <f>IFERROR(__xludf.DUMMYFUNCTION("""COMPUTED_VALUE"""),42045.99861111111)</f>
        <v>42045.99861</v>
      </c>
      <c r="B1733" s="1">
        <f>IFERROR(__xludf.DUMMYFUNCTION("""COMPUTED_VALUE"""),14405.6913)</f>
        <v>14405.6913</v>
      </c>
    </row>
    <row r="1734">
      <c r="A1734" s="3">
        <f>IFERROR(__xludf.DUMMYFUNCTION("""COMPUTED_VALUE"""),42046.99861111111)</f>
        <v>42046.99861</v>
      </c>
      <c r="B1734" s="1">
        <f>IFERROR(__xludf.DUMMYFUNCTION("""COMPUTED_VALUE"""),14482.58305)</f>
        <v>14482.58305</v>
      </c>
    </row>
    <row r="1735">
      <c r="A1735" s="3">
        <f>IFERROR(__xludf.DUMMYFUNCTION("""COMPUTED_VALUE"""),42047.99861111111)</f>
        <v>42047.99861</v>
      </c>
      <c r="B1735" s="1">
        <f>IFERROR(__xludf.DUMMYFUNCTION("""COMPUTED_VALUE"""),14560.8648)</f>
        <v>14560.8648</v>
      </c>
    </row>
    <row r="1736">
      <c r="A1736" s="3">
        <f>IFERROR(__xludf.DUMMYFUNCTION("""COMPUTED_VALUE"""),42048.99861111111)</f>
        <v>42048.99861</v>
      </c>
      <c r="B1736" s="1">
        <f>IFERROR(__xludf.DUMMYFUNCTION("""COMPUTED_VALUE"""),14432.7645)</f>
        <v>14432.7645</v>
      </c>
    </row>
    <row r="1737">
      <c r="A1737" s="3">
        <f>IFERROR(__xludf.DUMMYFUNCTION("""COMPUTED_VALUE"""),42049.99861111111)</f>
        <v>42049.99861</v>
      </c>
      <c r="B1737" s="1">
        <f>IFERROR(__xludf.DUMMYFUNCTION("""COMPUTED_VALUE"""),14576.09923)</f>
        <v>14576.09923</v>
      </c>
    </row>
    <row r="1738">
      <c r="A1738" s="3">
        <f>IFERROR(__xludf.DUMMYFUNCTION("""COMPUTED_VALUE"""),42050.99861111111)</f>
        <v>42050.99861</v>
      </c>
      <c r="B1738" s="1">
        <f>IFERROR(__xludf.DUMMYFUNCTION("""COMPUTED_VALUE"""),14574.16448)</f>
        <v>14574.16448</v>
      </c>
    </row>
    <row r="1739">
      <c r="A1739" s="3">
        <f>IFERROR(__xludf.DUMMYFUNCTION("""COMPUTED_VALUE"""),42051.99861111111)</f>
        <v>42051.99861</v>
      </c>
      <c r="B1739" s="1">
        <f>IFERROR(__xludf.DUMMYFUNCTION("""COMPUTED_VALUE"""),14295.0657)</f>
        <v>14295.0657</v>
      </c>
    </row>
    <row r="1740">
      <c r="A1740" s="3">
        <f>IFERROR(__xludf.DUMMYFUNCTION("""COMPUTED_VALUE"""),42052.99861111111)</f>
        <v>42052.99861</v>
      </c>
      <c r="B1740" s="1">
        <f>IFERROR(__xludf.DUMMYFUNCTION("""COMPUTED_VALUE"""),14564.80564)</f>
        <v>14564.80564</v>
      </c>
    </row>
    <row r="1741">
      <c r="A1741" s="3">
        <f>IFERROR(__xludf.DUMMYFUNCTION("""COMPUTED_VALUE"""),42053.99861111111)</f>
        <v>42053.99861</v>
      </c>
      <c r="B1741" s="1">
        <f>IFERROR(__xludf.DUMMYFUNCTION("""COMPUTED_VALUE"""),14602.119)</f>
        <v>14602.119</v>
      </c>
    </row>
    <row r="1742">
      <c r="A1742" s="3">
        <f>IFERROR(__xludf.DUMMYFUNCTION("""COMPUTED_VALUE"""),42054.99861111111)</f>
        <v>42054.99861</v>
      </c>
      <c r="B1742" s="1">
        <f>IFERROR(__xludf.DUMMYFUNCTION("""COMPUTED_VALUE"""),14643.8025)</f>
        <v>14643.8025</v>
      </c>
    </row>
    <row r="1743">
      <c r="A1743" s="3">
        <f>IFERROR(__xludf.DUMMYFUNCTION("""COMPUTED_VALUE"""),42055.99861111111)</f>
        <v>42055.99861</v>
      </c>
      <c r="B1743" s="1">
        <f>IFERROR(__xludf.DUMMYFUNCTION("""COMPUTED_VALUE"""),14581.194)</f>
        <v>14581.194</v>
      </c>
    </row>
    <row r="1744">
      <c r="A1744" s="3">
        <f>IFERROR(__xludf.DUMMYFUNCTION("""COMPUTED_VALUE"""),42056.99861111111)</f>
        <v>42056.99861</v>
      </c>
      <c r="B1744" s="1">
        <f>IFERROR(__xludf.DUMMYFUNCTION("""COMPUTED_VALUE"""),14647.3069)</f>
        <v>14647.3069</v>
      </c>
    </row>
    <row r="1745">
      <c r="A1745" s="3">
        <f>IFERROR(__xludf.DUMMYFUNCTION("""COMPUTED_VALUE"""),42057.99861111111)</f>
        <v>42057.99861</v>
      </c>
      <c r="B1745" s="1">
        <f>IFERROR(__xludf.DUMMYFUNCTION("""COMPUTED_VALUE"""),14644.78437)</f>
        <v>14644.78437</v>
      </c>
    </row>
    <row r="1746">
      <c r="A1746" s="3">
        <f>IFERROR(__xludf.DUMMYFUNCTION("""COMPUTED_VALUE"""),42058.99861111111)</f>
        <v>42058.99861</v>
      </c>
      <c r="B1746" s="1">
        <f>IFERROR(__xludf.DUMMYFUNCTION("""COMPUTED_VALUE"""),14572.952)</f>
        <v>14572.952</v>
      </c>
    </row>
    <row r="1747">
      <c r="A1747" s="3">
        <f>IFERROR(__xludf.DUMMYFUNCTION("""COMPUTED_VALUE"""),42059.99861111111)</f>
        <v>42059.99861</v>
      </c>
      <c r="B1747" s="1">
        <f>IFERROR(__xludf.DUMMYFUNCTION("""COMPUTED_VALUE"""),14509.2386)</f>
        <v>14509.2386</v>
      </c>
    </row>
    <row r="1748">
      <c r="A1748" s="3">
        <f>IFERROR(__xludf.DUMMYFUNCTION("""COMPUTED_VALUE"""),42060.99861111111)</f>
        <v>42060.99861</v>
      </c>
      <c r="B1748" s="1">
        <f>IFERROR(__xludf.DUMMYFUNCTION("""COMPUTED_VALUE"""),14606.8794)</f>
        <v>14606.8794</v>
      </c>
    </row>
    <row r="1749">
      <c r="A1749" s="3">
        <f>IFERROR(__xludf.DUMMYFUNCTION("""COMPUTED_VALUE"""),42061.99861111111)</f>
        <v>42061.99861</v>
      </c>
      <c r="B1749" s="1">
        <f>IFERROR(__xludf.DUMMYFUNCTION("""COMPUTED_VALUE"""),14403.6971)</f>
        <v>14403.6971</v>
      </c>
    </row>
    <row r="1750">
      <c r="A1750" s="3">
        <f>IFERROR(__xludf.DUMMYFUNCTION("""COMPUTED_VALUE"""),42062.99861111111)</f>
        <v>42062.99861</v>
      </c>
      <c r="B1750" s="1">
        <f>IFERROR(__xludf.DUMMYFUNCTION("""COMPUTED_VALUE"""),14526.14562)</f>
        <v>14526.14562</v>
      </c>
    </row>
    <row r="1751">
      <c r="A1751" s="3">
        <f>IFERROR(__xludf.DUMMYFUNCTION("""COMPUTED_VALUE"""),42063.99861111111)</f>
        <v>42063.99861</v>
      </c>
      <c r="B1751" s="1">
        <f>IFERROR(__xludf.DUMMYFUNCTION("""COMPUTED_VALUE"""),14561.7022)</f>
        <v>14561.7022</v>
      </c>
    </row>
    <row r="1752">
      <c r="A1752" s="3">
        <f>IFERROR(__xludf.DUMMYFUNCTION("""COMPUTED_VALUE"""),42064.99861111111)</f>
        <v>42064.99861</v>
      </c>
      <c r="B1752" s="1">
        <f>IFERROR(__xludf.DUMMYFUNCTION("""COMPUTED_VALUE"""),14511.7022)</f>
        <v>14511.7022</v>
      </c>
    </row>
    <row r="1753">
      <c r="A1753" s="3">
        <f>IFERROR(__xludf.DUMMYFUNCTION("""COMPUTED_VALUE"""),42065.99861111111)</f>
        <v>42065.99861</v>
      </c>
      <c r="B1753" s="1">
        <f>IFERROR(__xludf.DUMMYFUNCTION("""COMPUTED_VALUE"""),14523.9917)</f>
        <v>14523.9917</v>
      </c>
    </row>
    <row r="1754">
      <c r="A1754" s="3">
        <f>IFERROR(__xludf.DUMMYFUNCTION("""COMPUTED_VALUE"""),42066.99861111111)</f>
        <v>42066.99861</v>
      </c>
      <c r="B1754" s="1">
        <f>IFERROR(__xludf.DUMMYFUNCTION("""COMPUTED_VALUE"""),14502.4055)</f>
        <v>14502.4055</v>
      </c>
    </row>
    <row r="1755">
      <c r="A1755" s="3">
        <f>IFERROR(__xludf.DUMMYFUNCTION("""COMPUTED_VALUE"""),42067.99861111111)</f>
        <v>42067.99861</v>
      </c>
      <c r="B1755" s="1">
        <f>IFERROR(__xludf.DUMMYFUNCTION("""COMPUTED_VALUE"""),14419.3185)</f>
        <v>14419.3185</v>
      </c>
    </row>
    <row r="1756">
      <c r="A1756" s="3">
        <f>IFERROR(__xludf.DUMMYFUNCTION("""COMPUTED_VALUE"""),42068.99861111111)</f>
        <v>42068.99861</v>
      </c>
      <c r="B1756" s="1">
        <f>IFERROR(__xludf.DUMMYFUNCTION("""COMPUTED_VALUE"""),14228.442)</f>
        <v>14228.442</v>
      </c>
    </row>
    <row r="1757">
      <c r="A1757" s="3">
        <f>IFERROR(__xludf.DUMMYFUNCTION("""COMPUTED_VALUE"""),42069.99861111111)</f>
        <v>42069.99861</v>
      </c>
      <c r="B1757" s="1">
        <f>IFERROR(__xludf.DUMMYFUNCTION("""COMPUTED_VALUE"""),14134.944)</f>
        <v>14134.944</v>
      </c>
    </row>
    <row r="1758">
      <c r="A1758" s="3">
        <f>IFERROR(__xludf.DUMMYFUNCTION("""COMPUTED_VALUE"""),42070.99861111111)</f>
        <v>42070.99861</v>
      </c>
      <c r="B1758" s="1">
        <f>IFERROR(__xludf.DUMMYFUNCTION("""COMPUTED_VALUE"""),14346.53089)</f>
        <v>14346.53089</v>
      </c>
    </row>
    <row r="1759">
      <c r="A1759" s="3">
        <f>IFERROR(__xludf.DUMMYFUNCTION("""COMPUTED_VALUE"""),42071.99861111111)</f>
        <v>42071.99861</v>
      </c>
      <c r="B1759" s="1">
        <f>IFERROR(__xludf.DUMMYFUNCTION("""COMPUTED_VALUE"""),14340.60496)</f>
        <v>14340.60496</v>
      </c>
    </row>
    <row r="1760">
      <c r="A1760" s="3">
        <f>IFERROR(__xludf.DUMMYFUNCTION("""COMPUTED_VALUE"""),42072.99861111111)</f>
        <v>42072.99861</v>
      </c>
      <c r="B1760" s="1">
        <f>IFERROR(__xludf.DUMMYFUNCTION("""COMPUTED_VALUE"""),14160.6736)</f>
        <v>14160.6736</v>
      </c>
    </row>
    <row r="1761">
      <c r="A1761" s="3">
        <f>IFERROR(__xludf.DUMMYFUNCTION("""COMPUTED_VALUE"""),42073.99861111111)</f>
        <v>42073.99861</v>
      </c>
      <c r="B1761" s="1">
        <f>IFERROR(__xludf.DUMMYFUNCTION("""COMPUTED_VALUE"""),13994.049)</f>
        <v>13994.049</v>
      </c>
    </row>
    <row r="1762">
      <c r="A1762" s="3">
        <f>IFERROR(__xludf.DUMMYFUNCTION("""COMPUTED_VALUE"""),42074.99861111111)</f>
        <v>42074.99861</v>
      </c>
      <c r="B1762" s="1">
        <f>IFERROR(__xludf.DUMMYFUNCTION("""COMPUTED_VALUE"""),13895.80425)</f>
        <v>13895.80425</v>
      </c>
    </row>
    <row r="1763">
      <c r="A1763" s="3">
        <f>IFERROR(__xludf.DUMMYFUNCTION("""COMPUTED_VALUE"""),42075.99861111111)</f>
        <v>42075.99861</v>
      </c>
      <c r="B1763" s="1">
        <f>IFERROR(__xludf.DUMMYFUNCTION("""COMPUTED_VALUE"""),13991.9397)</f>
        <v>13991.9397</v>
      </c>
    </row>
    <row r="1764">
      <c r="A1764" s="3">
        <f>IFERROR(__xludf.DUMMYFUNCTION("""COMPUTED_VALUE"""),42076.99861111111)</f>
        <v>42076.99861</v>
      </c>
      <c r="B1764" s="1">
        <f>IFERROR(__xludf.DUMMYFUNCTION("""COMPUTED_VALUE"""),13835.41605)</f>
        <v>13835.41605</v>
      </c>
    </row>
    <row r="1765">
      <c r="A1765" s="3">
        <f>IFERROR(__xludf.DUMMYFUNCTION("""COMPUTED_VALUE"""),42077.99861111111)</f>
        <v>42077.99861</v>
      </c>
      <c r="B1765" s="1">
        <f>IFERROR(__xludf.DUMMYFUNCTION("""COMPUTED_VALUE"""),13942.32142)</f>
        <v>13942.32142</v>
      </c>
    </row>
    <row r="1766">
      <c r="A1766" s="3">
        <f>IFERROR(__xludf.DUMMYFUNCTION("""COMPUTED_VALUE"""),42078.99861111111)</f>
        <v>42078.99861</v>
      </c>
      <c r="B1766" s="1">
        <f>IFERROR(__xludf.DUMMYFUNCTION("""COMPUTED_VALUE"""),13917.66008)</f>
        <v>13917.66008</v>
      </c>
    </row>
    <row r="1767">
      <c r="A1767" s="3">
        <f>IFERROR(__xludf.DUMMYFUNCTION("""COMPUTED_VALUE"""),42079.99861111111)</f>
        <v>42079.99861</v>
      </c>
      <c r="B1767" s="1">
        <f>IFERROR(__xludf.DUMMYFUNCTION("""COMPUTED_VALUE"""),13948.4345)</f>
        <v>13948.4345</v>
      </c>
    </row>
    <row r="1768">
      <c r="A1768" s="3">
        <f>IFERROR(__xludf.DUMMYFUNCTION("""COMPUTED_VALUE"""),42080.99861111111)</f>
        <v>42080.99861</v>
      </c>
      <c r="B1768" s="1">
        <f>IFERROR(__xludf.DUMMYFUNCTION("""COMPUTED_VALUE"""),13903.0016)</f>
        <v>13903.0016</v>
      </c>
    </row>
    <row r="1769">
      <c r="A1769" s="3">
        <f>IFERROR(__xludf.DUMMYFUNCTION("""COMPUTED_VALUE"""),42081.99861111111)</f>
        <v>42081.99861</v>
      </c>
      <c r="B1769" s="1">
        <f>IFERROR(__xludf.DUMMYFUNCTION("""COMPUTED_VALUE"""),13972.6104)</f>
        <v>13972.6104</v>
      </c>
    </row>
    <row r="1770">
      <c r="A1770" s="3">
        <f>IFERROR(__xludf.DUMMYFUNCTION("""COMPUTED_VALUE"""),42082.99861111111)</f>
        <v>42082.99861</v>
      </c>
      <c r="B1770" s="1">
        <f>IFERROR(__xludf.DUMMYFUNCTION("""COMPUTED_VALUE"""),13930.40498)</f>
        <v>13930.40498</v>
      </c>
    </row>
    <row r="1771">
      <c r="A1771" s="3">
        <f>IFERROR(__xludf.DUMMYFUNCTION("""COMPUTED_VALUE"""),42083.99861111111)</f>
        <v>42083.99861</v>
      </c>
      <c r="B1771" s="1">
        <f>IFERROR(__xludf.DUMMYFUNCTION("""COMPUTED_VALUE"""),14073.5125)</f>
        <v>14073.5125</v>
      </c>
    </row>
    <row r="1772">
      <c r="A1772" s="3">
        <f>IFERROR(__xludf.DUMMYFUNCTION("""COMPUTED_VALUE"""),42084.99861111111)</f>
        <v>42084.99861</v>
      </c>
      <c r="B1772" s="1">
        <f>IFERROR(__xludf.DUMMYFUNCTION("""COMPUTED_VALUE"""),14112.15383)</f>
        <v>14112.15383</v>
      </c>
    </row>
    <row r="1773">
      <c r="A1773" s="3">
        <f>IFERROR(__xludf.DUMMYFUNCTION("""COMPUTED_VALUE"""),42085.99861111111)</f>
        <v>42085.99861</v>
      </c>
      <c r="B1773" s="1">
        <f>IFERROR(__xludf.DUMMYFUNCTION("""COMPUTED_VALUE"""),14109.50716)</f>
        <v>14109.50716</v>
      </c>
    </row>
    <row r="1774">
      <c r="A1774" s="3">
        <f>IFERROR(__xludf.DUMMYFUNCTION("""COMPUTED_VALUE"""),42086.99861111111)</f>
        <v>42086.99861</v>
      </c>
      <c r="B1774" s="1">
        <f>IFERROR(__xludf.DUMMYFUNCTION("""COMPUTED_VALUE"""),14167.92552)</f>
        <v>14167.92552</v>
      </c>
    </row>
    <row r="1775">
      <c r="A1775" s="3">
        <f>IFERROR(__xludf.DUMMYFUNCTION("""COMPUTED_VALUE"""),42087.99861111111)</f>
        <v>42087.99861</v>
      </c>
      <c r="B1775" s="1">
        <f>IFERROR(__xludf.DUMMYFUNCTION("""COMPUTED_VALUE"""),14068.38575)</f>
        <v>14068.38575</v>
      </c>
    </row>
    <row r="1776">
      <c r="A1776" s="3">
        <f>IFERROR(__xludf.DUMMYFUNCTION("""COMPUTED_VALUE"""),42088.99861111111)</f>
        <v>42088.99861</v>
      </c>
      <c r="B1776" s="1">
        <f>IFERROR(__xludf.DUMMYFUNCTION("""COMPUTED_VALUE"""),14172.573)</f>
        <v>14172.573</v>
      </c>
    </row>
    <row r="1777">
      <c r="A1777" s="3">
        <f>IFERROR(__xludf.DUMMYFUNCTION("""COMPUTED_VALUE"""),42089.99861111111)</f>
        <v>42089.99861</v>
      </c>
      <c r="B1777" s="1">
        <f>IFERROR(__xludf.DUMMYFUNCTION("""COMPUTED_VALUE"""),14161.5151)</f>
        <v>14161.5151</v>
      </c>
    </row>
    <row r="1778">
      <c r="A1778" s="3">
        <f>IFERROR(__xludf.DUMMYFUNCTION("""COMPUTED_VALUE"""),42090.99861111111)</f>
        <v>42090.99861</v>
      </c>
      <c r="B1778" s="1">
        <f>IFERROR(__xludf.DUMMYFUNCTION("""COMPUTED_VALUE"""),14202.936)</f>
        <v>14202.936</v>
      </c>
    </row>
    <row r="1779">
      <c r="A1779" s="3">
        <f>IFERROR(__xludf.DUMMYFUNCTION("""COMPUTED_VALUE"""),42091.99861111111)</f>
        <v>42091.99861</v>
      </c>
      <c r="B1779" s="1">
        <f>IFERROR(__xludf.DUMMYFUNCTION("""COMPUTED_VALUE"""),14314.05558)</f>
        <v>14314.05558</v>
      </c>
    </row>
    <row r="1780">
      <c r="A1780" s="3">
        <f>IFERROR(__xludf.DUMMYFUNCTION("""COMPUTED_VALUE"""),42092.99861111111)</f>
        <v>42092.99861</v>
      </c>
      <c r="B1780" s="1">
        <f>IFERROR(__xludf.DUMMYFUNCTION("""COMPUTED_VALUE"""),14299.60092)</f>
        <v>14299.60092</v>
      </c>
    </row>
    <row r="1781">
      <c r="A1781" s="3">
        <f>IFERROR(__xludf.DUMMYFUNCTION("""COMPUTED_VALUE"""),42093.99861111111)</f>
        <v>42093.99861</v>
      </c>
      <c r="B1781" s="1">
        <f>IFERROR(__xludf.DUMMYFUNCTION("""COMPUTED_VALUE"""),14172.17404)</f>
        <v>14172.17404</v>
      </c>
    </row>
    <row r="1782">
      <c r="A1782" s="3">
        <f>IFERROR(__xludf.DUMMYFUNCTION("""COMPUTED_VALUE"""),42094.99861111111)</f>
        <v>42094.99861</v>
      </c>
      <c r="B1782" s="1">
        <f>IFERROR(__xludf.DUMMYFUNCTION("""COMPUTED_VALUE"""),14022.9138)</f>
        <v>14022.9138</v>
      </c>
    </row>
    <row r="1783">
      <c r="A1783" s="3">
        <f>IFERROR(__xludf.DUMMYFUNCTION("""COMPUTED_VALUE"""),42095.99861111111)</f>
        <v>42095.99861</v>
      </c>
      <c r="B1783" s="1">
        <f>IFERROR(__xludf.DUMMYFUNCTION("""COMPUTED_VALUE"""),13953.69272)</f>
        <v>13953.69272</v>
      </c>
    </row>
    <row r="1784">
      <c r="A1784" s="3">
        <f>IFERROR(__xludf.DUMMYFUNCTION("""COMPUTED_VALUE"""),42096.99861111111)</f>
        <v>42096.99861</v>
      </c>
      <c r="B1784" s="1">
        <f>IFERROR(__xludf.DUMMYFUNCTION("""COMPUTED_VALUE"""),14112.3577)</f>
        <v>14112.3577</v>
      </c>
    </row>
    <row r="1785">
      <c r="A1785" s="3">
        <f>IFERROR(__xludf.DUMMYFUNCTION("""COMPUTED_VALUE"""),42097.99861111111)</f>
        <v>42097.99861</v>
      </c>
      <c r="B1785" s="1">
        <f>IFERROR(__xludf.DUMMYFUNCTION("""COMPUTED_VALUE"""),14218.7155)</f>
        <v>14218.7155</v>
      </c>
    </row>
    <row r="1786">
      <c r="A1786" s="3">
        <f>IFERROR(__xludf.DUMMYFUNCTION("""COMPUTED_VALUE"""),42098.99861111111)</f>
        <v>42098.99861</v>
      </c>
      <c r="B1786" s="1">
        <f>IFERROR(__xludf.DUMMYFUNCTION("""COMPUTED_VALUE"""),14274.303)</f>
        <v>14274.303</v>
      </c>
    </row>
    <row r="1787">
      <c r="A1787" s="3">
        <f>IFERROR(__xludf.DUMMYFUNCTION("""COMPUTED_VALUE"""),42099.99861111111)</f>
        <v>42099.99861</v>
      </c>
      <c r="B1787" s="1">
        <f>IFERROR(__xludf.DUMMYFUNCTION("""COMPUTED_VALUE"""),14265.87898)</f>
        <v>14265.87898</v>
      </c>
    </row>
    <row r="1788">
      <c r="A1788" s="3">
        <f>IFERROR(__xludf.DUMMYFUNCTION("""COMPUTED_VALUE"""),42100.99861111111)</f>
        <v>42100.99861</v>
      </c>
      <c r="B1788" s="1">
        <f>IFERROR(__xludf.DUMMYFUNCTION("""COMPUTED_VALUE"""),14152.7685)</f>
        <v>14152.7685</v>
      </c>
    </row>
    <row r="1789">
      <c r="A1789" s="3">
        <f>IFERROR(__xludf.DUMMYFUNCTION("""COMPUTED_VALUE"""),42101.99861111111)</f>
        <v>42101.99861</v>
      </c>
      <c r="B1789" s="1">
        <f>IFERROR(__xludf.DUMMYFUNCTION("""COMPUTED_VALUE"""),14061.8895)</f>
        <v>14061.8895</v>
      </c>
    </row>
    <row r="1790">
      <c r="A1790" s="3">
        <f>IFERROR(__xludf.DUMMYFUNCTION("""COMPUTED_VALUE"""),42102.99861111111)</f>
        <v>42102.99861</v>
      </c>
      <c r="B1790" s="1">
        <f>IFERROR(__xludf.DUMMYFUNCTION("""COMPUTED_VALUE"""),13936.89825)</f>
        <v>13936.89825</v>
      </c>
    </row>
    <row r="1791">
      <c r="A1791" s="3">
        <f>IFERROR(__xludf.DUMMYFUNCTION("""COMPUTED_VALUE"""),42103.99861111111)</f>
        <v>42103.99861</v>
      </c>
      <c r="B1791" s="1">
        <f>IFERROR(__xludf.DUMMYFUNCTION("""COMPUTED_VALUE"""),13797.37645)</f>
        <v>13797.37645</v>
      </c>
    </row>
    <row r="1792">
      <c r="A1792" s="3">
        <f>IFERROR(__xludf.DUMMYFUNCTION("""COMPUTED_VALUE"""),42104.99861111111)</f>
        <v>42104.99861</v>
      </c>
      <c r="B1792" s="1">
        <f>IFERROR(__xludf.DUMMYFUNCTION("""COMPUTED_VALUE"""),13664.689)</f>
        <v>13664.689</v>
      </c>
    </row>
    <row r="1793">
      <c r="A1793" s="3">
        <f>IFERROR(__xludf.DUMMYFUNCTION("""COMPUTED_VALUE"""),42105.99861111111)</f>
        <v>42105.99861</v>
      </c>
      <c r="B1793" s="1">
        <f>IFERROR(__xludf.DUMMYFUNCTION("""COMPUTED_VALUE"""),13723.15588)</f>
        <v>13723.15588</v>
      </c>
    </row>
    <row r="1794">
      <c r="A1794" s="3">
        <f>IFERROR(__xludf.DUMMYFUNCTION("""COMPUTED_VALUE"""),42106.99861111111)</f>
        <v>42106.99861</v>
      </c>
      <c r="B1794" s="1">
        <f>IFERROR(__xludf.DUMMYFUNCTION("""COMPUTED_VALUE"""),13722.50905)</f>
        <v>13722.50905</v>
      </c>
    </row>
    <row r="1795">
      <c r="A1795" s="3">
        <f>IFERROR(__xludf.DUMMYFUNCTION("""COMPUTED_VALUE"""),42107.99861111111)</f>
        <v>42107.99861</v>
      </c>
      <c r="B1795" s="1">
        <f>IFERROR(__xludf.DUMMYFUNCTION("""COMPUTED_VALUE"""),13789.8695)</f>
        <v>13789.8695</v>
      </c>
    </row>
    <row r="1796">
      <c r="A1796" s="3">
        <f>IFERROR(__xludf.DUMMYFUNCTION("""COMPUTED_VALUE"""),42108.99861111111)</f>
        <v>42108.99861</v>
      </c>
      <c r="B1796" s="1">
        <f>IFERROR(__xludf.DUMMYFUNCTION("""COMPUTED_VALUE"""),13813.185)</f>
        <v>13813.185</v>
      </c>
    </row>
    <row r="1797">
      <c r="A1797" s="3">
        <f>IFERROR(__xludf.DUMMYFUNCTION("""COMPUTED_VALUE"""),42109.99861111111)</f>
        <v>42109.99861</v>
      </c>
      <c r="B1797" s="1">
        <f>IFERROR(__xludf.DUMMYFUNCTION("""COMPUTED_VALUE"""),13768.70823)</f>
        <v>13768.70823</v>
      </c>
    </row>
    <row r="1798">
      <c r="A1798" s="3">
        <f>IFERROR(__xludf.DUMMYFUNCTION("""COMPUTED_VALUE"""),42110.99861111111)</f>
        <v>42110.99861</v>
      </c>
      <c r="B1798" s="1">
        <f>IFERROR(__xludf.DUMMYFUNCTION("""COMPUTED_VALUE"""),13791.756)</f>
        <v>13791.756</v>
      </c>
    </row>
    <row r="1799">
      <c r="A1799" s="3">
        <f>IFERROR(__xludf.DUMMYFUNCTION("""COMPUTED_VALUE"""),42111.99861111111)</f>
        <v>42111.99861</v>
      </c>
      <c r="B1799" s="1">
        <f>IFERROR(__xludf.DUMMYFUNCTION("""COMPUTED_VALUE"""),13830.656)</f>
        <v>13830.656</v>
      </c>
    </row>
    <row r="1800">
      <c r="A1800" s="3">
        <f>IFERROR(__xludf.DUMMYFUNCTION("""COMPUTED_VALUE"""),42112.99861111111)</f>
        <v>42112.99861</v>
      </c>
      <c r="B1800" s="1">
        <f>IFERROR(__xludf.DUMMYFUNCTION("""COMPUTED_VALUE"""),13875.40385)</f>
        <v>13875.40385</v>
      </c>
    </row>
    <row r="1801">
      <c r="A1801" s="3">
        <f>IFERROR(__xludf.DUMMYFUNCTION("""COMPUTED_VALUE"""),42113.99861111111)</f>
        <v>42113.99861</v>
      </c>
      <c r="B1801" s="1">
        <f>IFERROR(__xludf.DUMMYFUNCTION("""COMPUTED_VALUE"""),13928.0842)</f>
        <v>13928.0842</v>
      </c>
    </row>
    <row r="1802">
      <c r="A1802" s="3">
        <f>IFERROR(__xludf.DUMMYFUNCTION("""COMPUTED_VALUE"""),42114.99861111111)</f>
        <v>42114.99861</v>
      </c>
      <c r="B1802" s="1">
        <f>IFERROR(__xludf.DUMMYFUNCTION("""COMPUTED_VALUE"""),13939.1184)</f>
        <v>13939.1184</v>
      </c>
    </row>
    <row r="1803">
      <c r="A1803" s="3">
        <f>IFERROR(__xludf.DUMMYFUNCTION("""COMPUTED_VALUE"""),42115.99861111111)</f>
        <v>42115.99861</v>
      </c>
      <c r="B1803" s="1">
        <f>IFERROR(__xludf.DUMMYFUNCTION("""COMPUTED_VALUE"""),13883.13025)</f>
        <v>13883.13025</v>
      </c>
    </row>
    <row r="1804">
      <c r="A1804" s="3">
        <f>IFERROR(__xludf.DUMMYFUNCTION("""COMPUTED_VALUE"""),42116.99861111111)</f>
        <v>42116.99861</v>
      </c>
      <c r="B1804" s="1">
        <f>IFERROR(__xludf.DUMMYFUNCTION("""COMPUTED_VALUE"""),13833.96)</f>
        <v>13833.96</v>
      </c>
    </row>
    <row r="1805">
      <c r="A1805" s="3">
        <f>IFERROR(__xludf.DUMMYFUNCTION("""COMPUTED_VALUE"""),42117.99861111111)</f>
        <v>42117.99861</v>
      </c>
      <c r="B1805" s="1">
        <f>IFERROR(__xludf.DUMMYFUNCTION("""COMPUTED_VALUE"""),13984.5708)</f>
        <v>13984.5708</v>
      </c>
    </row>
    <row r="1806">
      <c r="A1806" s="3">
        <f>IFERROR(__xludf.DUMMYFUNCTION("""COMPUTED_VALUE"""),42118.99861111111)</f>
        <v>42118.99861</v>
      </c>
      <c r="B1806" s="1">
        <f>IFERROR(__xludf.DUMMYFUNCTION("""COMPUTED_VALUE"""),14069.2482)</f>
        <v>14069.2482</v>
      </c>
    </row>
    <row r="1807">
      <c r="A1807" s="3">
        <f>IFERROR(__xludf.DUMMYFUNCTION("""COMPUTED_VALUE"""),42119.99861111111)</f>
        <v>42119.99861</v>
      </c>
      <c r="B1807" s="1">
        <f>IFERROR(__xludf.DUMMYFUNCTION("""COMPUTED_VALUE"""),14106.12552)</f>
        <v>14106.12552</v>
      </c>
    </row>
    <row r="1808">
      <c r="A1808" s="3">
        <f>IFERROR(__xludf.DUMMYFUNCTION("""COMPUTED_VALUE"""),42120.99861111111)</f>
        <v>42120.99861</v>
      </c>
      <c r="B1808" s="1">
        <f>IFERROR(__xludf.DUMMYFUNCTION("""COMPUTED_VALUE"""),14093.76496)</f>
        <v>14093.76496</v>
      </c>
    </row>
    <row r="1809">
      <c r="A1809" s="3">
        <f>IFERROR(__xludf.DUMMYFUNCTION("""COMPUTED_VALUE"""),42121.99861111111)</f>
        <v>42121.99861</v>
      </c>
      <c r="B1809" s="1">
        <f>IFERROR(__xludf.DUMMYFUNCTION("""COMPUTED_VALUE"""),14060.05155)</f>
        <v>14060.05155</v>
      </c>
    </row>
    <row r="1810">
      <c r="A1810" s="3">
        <f>IFERROR(__xludf.DUMMYFUNCTION("""COMPUTED_VALUE"""),42122.99861111111)</f>
        <v>42122.99861</v>
      </c>
      <c r="B1810" s="1">
        <f>IFERROR(__xludf.DUMMYFUNCTION("""COMPUTED_VALUE"""),14184.521)</f>
        <v>14184.521</v>
      </c>
    </row>
    <row r="1811">
      <c r="A1811" s="3">
        <f>IFERROR(__xludf.DUMMYFUNCTION("""COMPUTED_VALUE"""),42123.99861111111)</f>
        <v>42123.99861</v>
      </c>
      <c r="B1811" s="1">
        <f>IFERROR(__xludf.DUMMYFUNCTION("""COMPUTED_VALUE"""),14349.8565)</f>
        <v>14349.8565</v>
      </c>
    </row>
    <row r="1812">
      <c r="A1812" s="3">
        <f>IFERROR(__xludf.DUMMYFUNCTION("""COMPUTED_VALUE"""),42124.99861111111)</f>
        <v>42124.99861</v>
      </c>
      <c r="B1812" s="1">
        <f>IFERROR(__xludf.DUMMYFUNCTION("""COMPUTED_VALUE"""),14527.3884)</f>
        <v>14527.3884</v>
      </c>
    </row>
    <row r="1813">
      <c r="A1813" s="3">
        <f>IFERROR(__xludf.DUMMYFUNCTION("""COMPUTED_VALUE"""),42125.99861111111)</f>
        <v>42125.99861</v>
      </c>
      <c r="B1813" s="1">
        <f>IFERROR(__xludf.DUMMYFUNCTION("""COMPUTED_VALUE"""),14532.0)</f>
        <v>14532</v>
      </c>
    </row>
    <row r="1814">
      <c r="A1814" s="3">
        <f>IFERROR(__xludf.DUMMYFUNCTION("""COMPUTED_VALUE"""),42126.99861111111)</f>
        <v>42126.99861</v>
      </c>
      <c r="B1814" s="1">
        <f>IFERROR(__xludf.DUMMYFUNCTION("""COMPUTED_VALUE"""),14640.46451)</f>
        <v>14640.46451</v>
      </c>
    </row>
    <row r="1815">
      <c r="A1815" s="3">
        <f>IFERROR(__xludf.DUMMYFUNCTION("""COMPUTED_VALUE"""),42127.99861111111)</f>
        <v>42127.99861</v>
      </c>
      <c r="B1815" s="1">
        <f>IFERROR(__xludf.DUMMYFUNCTION("""COMPUTED_VALUE"""),14582.7793)</f>
        <v>14582.7793</v>
      </c>
    </row>
    <row r="1816">
      <c r="A1816" s="3">
        <f>IFERROR(__xludf.DUMMYFUNCTION("""COMPUTED_VALUE"""),42128.99861111111)</f>
        <v>42128.99861</v>
      </c>
      <c r="B1816" s="1">
        <f>IFERROR(__xludf.DUMMYFUNCTION("""COMPUTED_VALUE"""),14335.042)</f>
        <v>14335.042</v>
      </c>
    </row>
    <row r="1817">
      <c r="A1817" s="3">
        <f>IFERROR(__xludf.DUMMYFUNCTION("""COMPUTED_VALUE"""),42129.99861111111)</f>
        <v>42129.99861</v>
      </c>
      <c r="B1817" s="1">
        <f>IFERROR(__xludf.DUMMYFUNCTION("""COMPUTED_VALUE"""),14544.5319)</f>
        <v>14544.5319</v>
      </c>
    </row>
    <row r="1818">
      <c r="A1818" s="3">
        <f>IFERROR(__xludf.DUMMYFUNCTION("""COMPUTED_VALUE"""),42130.99861111111)</f>
        <v>42130.99861</v>
      </c>
      <c r="B1818" s="1">
        <f>IFERROR(__xludf.DUMMYFUNCTION("""COMPUTED_VALUE"""),14746.536)</f>
        <v>14746.536</v>
      </c>
    </row>
    <row r="1819">
      <c r="A1819" s="3">
        <f>IFERROR(__xludf.DUMMYFUNCTION("""COMPUTED_VALUE"""),42131.99861111111)</f>
        <v>42131.99861</v>
      </c>
      <c r="B1819" s="1">
        <f>IFERROR(__xludf.DUMMYFUNCTION("""COMPUTED_VALUE"""),14724.018)</f>
        <v>14724.018</v>
      </c>
    </row>
    <row r="1820">
      <c r="A1820" s="3">
        <f>IFERROR(__xludf.DUMMYFUNCTION("""COMPUTED_VALUE"""),42132.99861111111)</f>
        <v>42132.99861</v>
      </c>
      <c r="B1820" s="1">
        <f>IFERROR(__xludf.DUMMYFUNCTION("""COMPUTED_VALUE"""),14623.72995)</f>
        <v>14623.72995</v>
      </c>
    </row>
    <row r="1821">
      <c r="A1821" s="3">
        <f>IFERROR(__xludf.DUMMYFUNCTION("""COMPUTED_VALUE"""),42133.99861111111)</f>
        <v>42133.99861</v>
      </c>
      <c r="B1821" s="1">
        <f>IFERROR(__xludf.DUMMYFUNCTION("""COMPUTED_VALUE"""),14735.46837)</f>
        <v>14735.46837</v>
      </c>
    </row>
    <row r="1822">
      <c r="A1822" s="3">
        <f>IFERROR(__xludf.DUMMYFUNCTION("""COMPUTED_VALUE"""),42134.99861111111)</f>
        <v>42134.99861</v>
      </c>
      <c r="B1822" s="1">
        <f>IFERROR(__xludf.DUMMYFUNCTION("""COMPUTED_VALUE"""),14726.8368)</f>
        <v>14726.8368</v>
      </c>
    </row>
    <row r="1823">
      <c r="A1823" s="3">
        <f>IFERROR(__xludf.DUMMYFUNCTION("""COMPUTED_VALUE"""),42135.99861111111)</f>
        <v>42135.99861</v>
      </c>
      <c r="B1823" s="1">
        <f>IFERROR(__xludf.DUMMYFUNCTION("""COMPUTED_VALUE"""),14676.648)</f>
        <v>14676.648</v>
      </c>
    </row>
    <row r="1824">
      <c r="A1824" s="3">
        <f>IFERROR(__xludf.DUMMYFUNCTION("""COMPUTED_VALUE"""),42136.99861111111)</f>
        <v>42136.99861</v>
      </c>
      <c r="B1824" s="1">
        <f>IFERROR(__xludf.DUMMYFUNCTION("""COMPUTED_VALUE"""),14747.3755)</f>
        <v>14747.3755</v>
      </c>
    </row>
    <row r="1825">
      <c r="A1825" s="3">
        <f>IFERROR(__xludf.DUMMYFUNCTION("""COMPUTED_VALUE"""),42137.99861111111)</f>
        <v>42137.99861</v>
      </c>
      <c r="B1825" s="1">
        <f>IFERROR(__xludf.DUMMYFUNCTION("""COMPUTED_VALUE"""),14866.8394)</f>
        <v>14866.8394</v>
      </c>
    </row>
    <row r="1826">
      <c r="A1826" s="3">
        <f>IFERROR(__xludf.DUMMYFUNCTION("""COMPUTED_VALUE"""),42138.99861111111)</f>
        <v>42138.99861</v>
      </c>
      <c r="B1826" s="1">
        <f>IFERROR(__xludf.DUMMYFUNCTION("""COMPUTED_VALUE"""),14835.99117)</f>
        <v>14835.99117</v>
      </c>
    </row>
    <row r="1827">
      <c r="A1827" s="3">
        <f>IFERROR(__xludf.DUMMYFUNCTION("""COMPUTED_VALUE"""),42139.99861111111)</f>
        <v>42139.99861</v>
      </c>
      <c r="B1827" s="1">
        <f>IFERROR(__xludf.DUMMYFUNCTION("""COMPUTED_VALUE"""),14932.81338)</f>
        <v>14932.81338</v>
      </c>
    </row>
    <row r="1828">
      <c r="A1828" s="3">
        <f>IFERROR(__xludf.DUMMYFUNCTION("""COMPUTED_VALUE"""),42140.99861111111)</f>
        <v>42140.99861</v>
      </c>
      <c r="B1828" s="1">
        <f>IFERROR(__xludf.DUMMYFUNCTION("""COMPUTED_VALUE"""),14969.06568)</f>
        <v>14969.06568</v>
      </c>
    </row>
    <row r="1829">
      <c r="A1829" s="3">
        <f>IFERROR(__xludf.DUMMYFUNCTION("""COMPUTED_VALUE"""),42141.99861111111)</f>
        <v>42141.99861</v>
      </c>
      <c r="B1829" s="1">
        <f>IFERROR(__xludf.DUMMYFUNCTION("""COMPUTED_VALUE"""),14958.033)</f>
        <v>14958.033</v>
      </c>
    </row>
    <row r="1830">
      <c r="A1830" s="3">
        <f>IFERROR(__xludf.DUMMYFUNCTION("""COMPUTED_VALUE"""),42142.99861111111)</f>
        <v>42142.99861</v>
      </c>
      <c r="B1830" s="1">
        <f>IFERROR(__xludf.DUMMYFUNCTION("""COMPUTED_VALUE"""),14904.51718)</f>
        <v>14904.51718</v>
      </c>
    </row>
    <row r="1831">
      <c r="A1831" s="3">
        <f>IFERROR(__xludf.DUMMYFUNCTION("""COMPUTED_VALUE"""),42143.99861111111)</f>
        <v>42143.99861</v>
      </c>
      <c r="B1831" s="1">
        <f>IFERROR(__xludf.DUMMYFUNCTION("""COMPUTED_VALUE"""),14671.7856)</f>
        <v>14671.7856</v>
      </c>
    </row>
    <row r="1832">
      <c r="A1832" s="3">
        <f>IFERROR(__xludf.DUMMYFUNCTION("""COMPUTED_VALUE"""),42144.99861111111)</f>
        <v>42144.99861</v>
      </c>
      <c r="B1832" s="1">
        <f>IFERROR(__xludf.DUMMYFUNCTION("""COMPUTED_VALUE"""),14444.047)</f>
        <v>14444.047</v>
      </c>
    </row>
    <row r="1833">
      <c r="A1833" s="3">
        <f>IFERROR(__xludf.DUMMYFUNCTION("""COMPUTED_VALUE"""),42145.99861111111)</f>
        <v>42145.99861</v>
      </c>
      <c r="B1833" s="1">
        <f>IFERROR(__xludf.DUMMYFUNCTION("""COMPUTED_VALUE"""),14562.988)</f>
        <v>14562.988</v>
      </c>
    </row>
    <row r="1834">
      <c r="A1834" s="3">
        <f>IFERROR(__xludf.DUMMYFUNCTION("""COMPUTED_VALUE"""),42146.99861111111)</f>
        <v>42146.99861</v>
      </c>
      <c r="B1834" s="1">
        <f>IFERROR(__xludf.DUMMYFUNCTION("""COMPUTED_VALUE"""),14464.6434)</f>
        <v>14464.6434</v>
      </c>
    </row>
    <row r="1835">
      <c r="A1835" s="3">
        <f>IFERROR(__xludf.DUMMYFUNCTION("""COMPUTED_VALUE"""),42147.99861111111)</f>
        <v>42147.99861</v>
      </c>
      <c r="B1835" s="1">
        <f>IFERROR(__xludf.DUMMYFUNCTION("""COMPUTED_VALUE"""),14511.27737)</f>
        <v>14511.27737</v>
      </c>
    </row>
    <row r="1836">
      <c r="A1836" s="3">
        <f>IFERROR(__xludf.DUMMYFUNCTION("""COMPUTED_VALUE"""),42149.99861111111)</f>
        <v>42149.99861</v>
      </c>
      <c r="B1836" s="1">
        <f>IFERROR(__xludf.DUMMYFUNCTION("""COMPUTED_VALUE"""),14449.72716)</f>
        <v>14449.72716</v>
      </c>
    </row>
    <row r="1837">
      <c r="A1837" s="3">
        <f>IFERROR(__xludf.DUMMYFUNCTION("""COMPUTED_VALUE"""),42150.99861111111)</f>
        <v>42150.99861</v>
      </c>
      <c r="B1837" s="1">
        <f>IFERROR(__xludf.DUMMYFUNCTION("""COMPUTED_VALUE"""),14385.3828)</f>
        <v>14385.3828</v>
      </c>
    </row>
    <row r="1838">
      <c r="A1838" s="3">
        <f>IFERROR(__xludf.DUMMYFUNCTION("""COMPUTED_VALUE"""),42151.99861111111)</f>
        <v>42151.99861</v>
      </c>
      <c r="B1838" s="1">
        <f>IFERROR(__xludf.DUMMYFUNCTION("""COMPUTED_VALUE"""),14352.1392)</f>
        <v>14352.1392</v>
      </c>
    </row>
    <row r="1839">
      <c r="A1839" s="3">
        <f>IFERROR(__xludf.DUMMYFUNCTION("""COMPUTED_VALUE"""),42152.99861111111)</f>
        <v>42152.99861</v>
      </c>
      <c r="B1839" s="1">
        <f>IFERROR(__xludf.DUMMYFUNCTION("""COMPUTED_VALUE"""),14427.5235)</f>
        <v>14427.5235</v>
      </c>
    </row>
    <row r="1840">
      <c r="A1840" s="3">
        <f>IFERROR(__xludf.DUMMYFUNCTION("""COMPUTED_VALUE"""),42153.99861111111)</f>
        <v>42153.99861</v>
      </c>
      <c r="B1840" s="1">
        <f>IFERROR(__xludf.DUMMYFUNCTION("""COMPUTED_VALUE"""),14504.424)</f>
        <v>14504.424</v>
      </c>
    </row>
    <row r="1841">
      <c r="A1841" s="3">
        <f>IFERROR(__xludf.DUMMYFUNCTION("""COMPUTED_VALUE"""),42156.99861111111)</f>
        <v>42156.99861</v>
      </c>
      <c r="B1841" s="1">
        <f>IFERROR(__xludf.DUMMYFUNCTION("""COMPUTED_VALUE"""),14399.9772)</f>
        <v>14399.9772</v>
      </c>
    </row>
    <row r="1842">
      <c r="A1842" s="3">
        <f>IFERROR(__xludf.DUMMYFUNCTION("""COMPUTED_VALUE"""),42157.99861111111)</f>
        <v>42157.99861</v>
      </c>
      <c r="B1842" s="1">
        <f>IFERROR(__xludf.DUMMYFUNCTION("""COMPUTED_VALUE"""),14656.99)</f>
        <v>14656.99</v>
      </c>
    </row>
    <row r="1843">
      <c r="A1843" s="3">
        <f>IFERROR(__xludf.DUMMYFUNCTION("""COMPUTED_VALUE"""),42158.99861111111)</f>
        <v>42158.99861</v>
      </c>
      <c r="B1843" s="1">
        <f>IFERROR(__xludf.DUMMYFUNCTION("""COMPUTED_VALUE"""),14891.4234)</f>
        <v>14891.4234</v>
      </c>
    </row>
    <row r="1844">
      <c r="A1844" s="3">
        <f>IFERROR(__xludf.DUMMYFUNCTION("""COMPUTED_VALUE"""),42159.99861111111)</f>
        <v>42159.99861</v>
      </c>
      <c r="B1844" s="1">
        <f>IFERROR(__xludf.DUMMYFUNCTION("""COMPUTED_VALUE"""),14878.62)</f>
        <v>14878.62</v>
      </c>
    </row>
    <row r="1845">
      <c r="A1845" s="3">
        <f>IFERROR(__xludf.DUMMYFUNCTION("""COMPUTED_VALUE"""),42160.99861111111)</f>
        <v>42160.99861</v>
      </c>
      <c r="B1845" s="1">
        <f>IFERROR(__xludf.DUMMYFUNCTION("""COMPUTED_VALUE"""),14875.4068)</f>
        <v>14875.4068</v>
      </c>
    </row>
    <row r="1846">
      <c r="A1846" s="3">
        <f>IFERROR(__xludf.DUMMYFUNCTION("""COMPUTED_VALUE"""),42163.99861111111)</f>
        <v>42163.99861</v>
      </c>
      <c r="B1846" s="1">
        <f>IFERROR(__xludf.DUMMYFUNCTION("""COMPUTED_VALUE"""),15013.9462)</f>
        <v>15013.9462</v>
      </c>
    </row>
    <row r="1847">
      <c r="A1847" s="3">
        <f>IFERROR(__xludf.DUMMYFUNCTION("""COMPUTED_VALUE"""),42164.99861111111)</f>
        <v>42164.99861</v>
      </c>
      <c r="B1847" s="1">
        <f>IFERROR(__xludf.DUMMYFUNCTION("""COMPUTED_VALUE"""),15072.1099)</f>
        <v>15072.1099</v>
      </c>
    </row>
    <row r="1848">
      <c r="A1848" s="3">
        <f>IFERROR(__xludf.DUMMYFUNCTION("""COMPUTED_VALUE"""),42165.99861111111)</f>
        <v>42165.99861</v>
      </c>
      <c r="B1848" s="1">
        <f>IFERROR(__xludf.DUMMYFUNCTION("""COMPUTED_VALUE"""),14934.855)</f>
        <v>14934.855</v>
      </c>
    </row>
    <row r="1849">
      <c r="A1849" s="3">
        <f>IFERROR(__xludf.DUMMYFUNCTION("""COMPUTED_VALUE"""),42166.99861111111)</f>
        <v>42166.99861</v>
      </c>
      <c r="B1849" s="1">
        <f>IFERROR(__xludf.DUMMYFUNCTION("""COMPUTED_VALUE"""),14872.2399)</f>
        <v>14872.2399</v>
      </c>
    </row>
    <row r="1850">
      <c r="A1850" s="3">
        <f>IFERROR(__xludf.DUMMYFUNCTION("""COMPUTED_VALUE"""),42167.99861111111)</f>
        <v>42167.99861</v>
      </c>
      <c r="B1850" s="1">
        <f>IFERROR(__xludf.DUMMYFUNCTION("""COMPUTED_VALUE"""),14994.0215)</f>
        <v>14994.0215</v>
      </c>
    </row>
    <row r="1851">
      <c r="A1851" s="3">
        <f>IFERROR(__xludf.DUMMYFUNCTION("""COMPUTED_VALUE"""),42170.99861111111)</f>
        <v>42170.99861</v>
      </c>
      <c r="B1851" s="1">
        <f>IFERROR(__xludf.DUMMYFUNCTION("""COMPUTED_VALUE"""),15017.1012)</f>
        <v>15017.1012</v>
      </c>
    </row>
    <row r="1852">
      <c r="A1852" s="3">
        <f>IFERROR(__xludf.DUMMYFUNCTION("""COMPUTED_VALUE"""),42171.99861111111)</f>
        <v>42171.99861</v>
      </c>
      <c r="B1852" s="1">
        <f>IFERROR(__xludf.DUMMYFUNCTION("""COMPUTED_VALUE"""),14991.492)</f>
        <v>14991.492</v>
      </c>
    </row>
    <row r="1853">
      <c r="A1853" s="3">
        <f>IFERROR(__xludf.DUMMYFUNCTION("""COMPUTED_VALUE"""),42172.99861111111)</f>
        <v>42172.99861</v>
      </c>
      <c r="B1853" s="1">
        <f>IFERROR(__xludf.DUMMYFUNCTION("""COMPUTED_VALUE"""),15152.211)</f>
        <v>15152.211</v>
      </c>
    </row>
    <row r="1854">
      <c r="A1854" s="3">
        <f>IFERROR(__xludf.DUMMYFUNCTION("""COMPUTED_VALUE"""),42173.99861111111)</f>
        <v>42173.99861</v>
      </c>
      <c r="B1854" s="1">
        <f>IFERROR(__xludf.DUMMYFUNCTION("""COMPUTED_VALUE"""),15110.4642)</f>
        <v>15110.4642</v>
      </c>
    </row>
    <row r="1855">
      <c r="A1855" s="3">
        <f>IFERROR(__xludf.DUMMYFUNCTION("""COMPUTED_VALUE"""),42174.99861111111)</f>
        <v>42174.99861</v>
      </c>
      <c r="B1855" s="1">
        <f>IFERROR(__xludf.DUMMYFUNCTION("""COMPUTED_VALUE"""),15112.174)</f>
        <v>15112.174</v>
      </c>
    </row>
    <row r="1856">
      <c r="A1856" s="3">
        <f>IFERROR(__xludf.DUMMYFUNCTION("""COMPUTED_VALUE"""),42177.99861111111)</f>
        <v>42177.99861</v>
      </c>
      <c r="B1856" s="1">
        <f>IFERROR(__xludf.DUMMYFUNCTION("""COMPUTED_VALUE"""),15092.31618)</f>
        <v>15092.31618</v>
      </c>
    </row>
    <row r="1857">
      <c r="A1857" s="3">
        <f>IFERROR(__xludf.DUMMYFUNCTION("""COMPUTED_VALUE"""),42178.99861111111)</f>
        <v>42178.99861</v>
      </c>
      <c r="B1857" s="1">
        <f>IFERROR(__xludf.DUMMYFUNCTION("""COMPUTED_VALUE"""),14802.9)</f>
        <v>14802.9</v>
      </c>
    </row>
    <row r="1858">
      <c r="A1858" s="3">
        <f>IFERROR(__xludf.DUMMYFUNCTION("""COMPUTED_VALUE"""),42179.99861111111)</f>
        <v>42179.99861</v>
      </c>
      <c r="B1858" s="1">
        <f>IFERROR(__xludf.DUMMYFUNCTION("""COMPUTED_VALUE"""),14888.787)</f>
        <v>14888.787</v>
      </c>
    </row>
    <row r="1859">
      <c r="A1859" s="3">
        <f>IFERROR(__xludf.DUMMYFUNCTION("""COMPUTED_VALUE"""),42180.99861111111)</f>
        <v>42180.99861</v>
      </c>
      <c r="B1859" s="1">
        <f>IFERROR(__xludf.DUMMYFUNCTION("""COMPUTED_VALUE"""),14900.6903)</f>
        <v>14900.6903</v>
      </c>
    </row>
    <row r="1860">
      <c r="A1860" s="3">
        <f>IFERROR(__xludf.DUMMYFUNCTION("""COMPUTED_VALUE"""),42181.99861111111)</f>
        <v>42181.99861</v>
      </c>
      <c r="B1860" s="1">
        <f>IFERROR(__xludf.DUMMYFUNCTION("""COMPUTED_VALUE"""),14875.3452)</f>
        <v>14875.3452</v>
      </c>
    </row>
    <row r="1861">
      <c r="A1861" s="3">
        <f>IFERROR(__xludf.DUMMYFUNCTION("""COMPUTED_VALUE"""),42184.99861111111)</f>
        <v>42184.99861</v>
      </c>
      <c r="B1861" s="1">
        <f>IFERROR(__xludf.DUMMYFUNCTION("""COMPUTED_VALUE"""),14941.9552)</f>
        <v>14941.9552</v>
      </c>
    </row>
    <row r="1862">
      <c r="A1862" s="3">
        <f>IFERROR(__xludf.DUMMYFUNCTION("""COMPUTED_VALUE"""),42185.99861111111)</f>
        <v>42185.99861</v>
      </c>
      <c r="B1862" s="1">
        <f>IFERROR(__xludf.DUMMYFUNCTION("""COMPUTED_VALUE"""),14853.6486)</f>
        <v>14853.6486</v>
      </c>
    </row>
    <row r="1863">
      <c r="A1863" s="3">
        <f>IFERROR(__xludf.DUMMYFUNCTION("""COMPUTED_VALUE"""),42186.99861111111)</f>
        <v>42186.99861</v>
      </c>
      <c r="B1863" s="1">
        <f>IFERROR(__xludf.DUMMYFUNCTION("""COMPUTED_VALUE"""),14699.7425)</f>
        <v>14699.7425</v>
      </c>
    </row>
    <row r="1864">
      <c r="A1864" s="3">
        <f>IFERROR(__xludf.DUMMYFUNCTION("""COMPUTED_VALUE"""),42187.99861111111)</f>
        <v>42187.99861</v>
      </c>
      <c r="B1864" s="1">
        <f>IFERROR(__xludf.DUMMYFUNCTION("""COMPUTED_VALUE"""),14698.71)</f>
        <v>14698.71</v>
      </c>
    </row>
    <row r="1865">
      <c r="A1865" s="3">
        <f>IFERROR(__xludf.DUMMYFUNCTION("""COMPUTED_VALUE"""),42188.99861111111)</f>
        <v>42188.99861</v>
      </c>
      <c r="B1865" s="1">
        <f>IFERROR(__xludf.DUMMYFUNCTION("""COMPUTED_VALUE"""),14826.3428)</f>
        <v>14826.3428</v>
      </c>
    </row>
    <row r="1866">
      <c r="A1866" s="3">
        <f>IFERROR(__xludf.DUMMYFUNCTION("""COMPUTED_VALUE"""),42191.99861111111)</f>
        <v>42191.99861</v>
      </c>
      <c r="B1866" s="1">
        <f>IFERROR(__xludf.DUMMYFUNCTION("""COMPUTED_VALUE"""),14736.9648)</f>
        <v>14736.9648</v>
      </c>
    </row>
    <row r="1867">
      <c r="A1867" s="3">
        <f>IFERROR(__xludf.DUMMYFUNCTION("""COMPUTED_VALUE"""),42192.99861111111)</f>
        <v>42192.99861</v>
      </c>
      <c r="B1867" s="1">
        <f>IFERROR(__xludf.DUMMYFUNCTION("""COMPUTED_VALUE"""),14668.16)</f>
        <v>14668.16</v>
      </c>
    </row>
    <row r="1868">
      <c r="A1868" s="3">
        <f>IFERROR(__xludf.DUMMYFUNCTION("""COMPUTED_VALUE"""),42193.99861111111)</f>
        <v>42193.99861</v>
      </c>
      <c r="B1868" s="1">
        <f>IFERROR(__xludf.DUMMYFUNCTION("""COMPUTED_VALUE"""),14759.178)</f>
        <v>14759.178</v>
      </c>
    </row>
    <row r="1869">
      <c r="A1869" s="3">
        <f>IFERROR(__xludf.DUMMYFUNCTION("""COMPUTED_VALUE"""),42194.99861111111)</f>
        <v>42194.99861</v>
      </c>
      <c r="B1869" s="1">
        <f>IFERROR(__xludf.DUMMYFUNCTION("""COMPUTED_VALUE"""),14712.45285)</f>
        <v>14712.45285</v>
      </c>
    </row>
    <row r="1870">
      <c r="A1870" s="3">
        <f>IFERROR(__xludf.DUMMYFUNCTION("""COMPUTED_VALUE"""),42195.99861111111)</f>
        <v>42195.99861</v>
      </c>
      <c r="B1870" s="1">
        <f>IFERROR(__xludf.DUMMYFUNCTION("""COMPUTED_VALUE"""),14801.25216)</f>
        <v>14801.25216</v>
      </c>
    </row>
    <row r="1871">
      <c r="A1871" s="3">
        <f>IFERROR(__xludf.DUMMYFUNCTION("""COMPUTED_VALUE"""),42198.99861111111)</f>
        <v>42198.99861</v>
      </c>
      <c r="B1871" s="1">
        <f>IFERROR(__xludf.DUMMYFUNCTION("""COMPUTED_VALUE"""),14592.5952)</f>
        <v>14592.5952</v>
      </c>
    </row>
    <row r="1872">
      <c r="A1872" s="3">
        <f>IFERROR(__xludf.DUMMYFUNCTION("""COMPUTED_VALUE"""),42199.99861111111)</f>
        <v>42199.99861</v>
      </c>
      <c r="B1872" s="1">
        <f>IFERROR(__xludf.DUMMYFUNCTION("""COMPUTED_VALUE"""),14643.483)</f>
        <v>14643.483</v>
      </c>
    </row>
    <row r="1873">
      <c r="A1873" s="3">
        <f>IFERROR(__xludf.DUMMYFUNCTION("""COMPUTED_VALUE"""),42200.99861111111)</f>
        <v>42200.99861</v>
      </c>
      <c r="B1873" s="1">
        <f>IFERROR(__xludf.DUMMYFUNCTION("""COMPUTED_VALUE"""),14593.1058)</f>
        <v>14593.1058</v>
      </c>
    </row>
    <row r="1874">
      <c r="A1874" s="3">
        <f>IFERROR(__xludf.DUMMYFUNCTION("""COMPUTED_VALUE"""),42201.99861111111)</f>
        <v>42201.99861</v>
      </c>
      <c r="B1874" s="1">
        <f>IFERROR(__xludf.DUMMYFUNCTION("""COMPUTED_VALUE"""),14507.86068)</f>
        <v>14507.86068</v>
      </c>
    </row>
    <row r="1875">
      <c r="A1875" s="3">
        <f>IFERROR(__xludf.DUMMYFUNCTION("""COMPUTED_VALUE"""),42202.99861111111)</f>
        <v>42202.99861</v>
      </c>
      <c r="B1875" s="1">
        <f>IFERROR(__xludf.DUMMYFUNCTION("""COMPUTED_VALUE"""),14455.38)</f>
        <v>14455.38</v>
      </c>
    </row>
    <row r="1876">
      <c r="A1876" s="3">
        <f>IFERROR(__xludf.DUMMYFUNCTION("""COMPUTED_VALUE"""),42205.99861111111)</f>
        <v>42205.99861</v>
      </c>
      <c r="B1876" s="1">
        <f>IFERROR(__xludf.DUMMYFUNCTION("""COMPUTED_VALUE"""),14451.222)</f>
        <v>14451.222</v>
      </c>
    </row>
    <row r="1877">
      <c r="A1877" s="3">
        <f>IFERROR(__xludf.DUMMYFUNCTION("""COMPUTED_VALUE"""),42206.99861111111)</f>
        <v>42206.99861</v>
      </c>
      <c r="B1877" s="1">
        <f>IFERROR(__xludf.DUMMYFUNCTION("""COMPUTED_VALUE"""),14581.8225)</f>
        <v>14581.8225</v>
      </c>
    </row>
    <row r="1878">
      <c r="A1878" s="3">
        <f>IFERROR(__xludf.DUMMYFUNCTION("""COMPUTED_VALUE"""),42207.99861111111)</f>
        <v>42207.99861</v>
      </c>
      <c r="B1878" s="1">
        <f>IFERROR(__xludf.DUMMYFUNCTION("""COMPUTED_VALUE"""),14636.82)</f>
        <v>14636.82</v>
      </c>
    </row>
    <row r="1879">
      <c r="A1879" s="3">
        <f>IFERROR(__xludf.DUMMYFUNCTION("""COMPUTED_VALUE"""),42208.99861111111)</f>
        <v>42208.99861</v>
      </c>
      <c r="B1879" s="1">
        <f>IFERROR(__xludf.DUMMYFUNCTION("""COMPUTED_VALUE"""),14752.855)</f>
        <v>14752.855</v>
      </c>
    </row>
    <row r="1880">
      <c r="A1880" s="3">
        <f>IFERROR(__xludf.DUMMYFUNCTION("""COMPUTED_VALUE"""),42209.99861111111)</f>
        <v>42209.99861</v>
      </c>
      <c r="B1880" s="1">
        <f>IFERROR(__xludf.DUMMYFUNCTION("""COMPUTED_VALUE"""),14739.425)</f>
        <v>14739.425</v>
      </c>
    </row>
    <row r="1881">
      <c r="A1881" s="3">
        <f>IFERROR(__xludf.DUMMYFUNCTION("""COMPUTED_VALUE"""),42212.99861111111)</f>
        <v>42212.99861</v>
      </c>
      <c r="B1881" s="1">
        <f>IFERROR(__xludf.DUMMYFUNCTION("""COMPUTED_VALUE"""),14931.3385)</f>
        <v>14931.3385</v>
      </c>
    </row>
    <row r="1882">
      <c r="A1882" s="3">
        <f>IFERROR(__xludf.DUMMYFUNCTION("""COMPUTED_VALUE"""),42213.99861111111)</f>
        <v>42213.99861</v>
      </c>
      <c r="B1882" s="1">
        <f>IFERROR(__xludf.DUMMYFUNCTION("""COMPUTED_VALUE"""),14703.1257)</f>
        <v>14703.1257</v>
      </c>
    </row>
    <row r="1883">
      <c r="A1883" s="3">
        <f>IFERROR(__xludf.DUMMYFUNCTION("""COMPUTED_VALUE"""),42214.99861111111)</f>
        <v>42214.99861</v>
      </c>
      <c r="B1883" s="1">
        <f>IFERROR(__xludf.DUMMYFUNCTION("""COMPUTED_VALUE"""),14783.3872)</f>
        <v>14783.3872</v>
      </c>
    </row>
    <row r="1884">
      <c r="A1884" s="3">
        <f>IFERROR(__xludf.DUMMYFUNCTION("""COMPUTED_VALUE"""),42215.99861111111)</f>
        <v>42215.99861</v>
      </c>
      <c r="B1884" s="1">
        <f>IFERROR(__xludf.DUMMYFUNCTION("""COMPUTED_VALUE"""),14760.248)</f>
        <v>14760.248</v>
      </c>
    </row>
    <row r="1885">
      <c r="A1885" s="3">
        <f>IFERROR(__xludf.DUMMYFUNCTION("""COMPUTED_VALUE"""),42216.99861111111)</f>
        <v>42216.99861</v>
      </c>
      <c r="B1885" s="1">
        <f>IFERROR(__xludf.DUMMYFUNCTION("""COMPUTED_VALUE"""),14742.5295)</f>
        <v>14742.5295</v>
      </c>
    </row>
    <row r="1886">
      <c r="A1886" s="3">
        <f>IFERROR(__xludf.DUMMYFUNCTION("""COMPUTED_VALUE"""),42219.99861111111)</f>
        <v>42219.99861</v>
      </c>
      <c r="B1886" s="1">
        <f>IFERROR(__xludf.DUMMYFUNCTION("""COMPUTED_VALUE"""),14720.832)</f>
        <v>14720.832</v>
      </c>
    </row>
    <row r="1887">
      <c r="A1887" s="3">
        <f>IFERROR(__xludf.DUMMYFUNCTION("""COMPUTED_VALUE"""),42220.99861111111)</f>
        <v>42220.99861</v>
      </c>
      <c r="B1887" s="1">
        <f>IFERROR(__xludf.DUMMYFUNCTION("""COMPUTED_VALUE"""),14678.4225)</f>
        <v>14678.4225</v>
      </c>
    </row>
    <row r="1888">
      <c r="A1888" s="3">
        <f>IFERROR(__xludf.DUMMYFUNCTION("""COMPUTED_VALUE"""),42221.99861111111)</f>
        <v>42221.99861</v>
      </c>
      <c r="B1888" s="1">
        <f>IFERROR(__xludf.DUMMYFUNCTION("""COMPUTED_VALUE"""),14737.72027)</f>
        <v>14737.72027</v>
      </c>
    </row>
    <row r="1889">
      <c r="A1889" s="3">
        <f>IFERROR(__xludf.DUMMYFUNCTION("""COMPUTED_VALUE"""),42222.99861111111)</f>
        <v>42222.99861</v>
      </c>
      <c r="B1889" s="1">
        <f>IFERROR(__xludf.DUMMYFUNCTION("""COMPUTED_VALUE"""),14708.6274)</f>
        <v>14708.6274</v>
      </c>
    </row>
    <row r="1890">
      <c r="A1890" s="3">
        <f>IFERROR(__xludf.DUMMYFUNCTION("""COMPUTED_VALUE"""),42223.99861111111)</f>
        <v>42223.99861</v>
      </c>
      <c r="B1890" s="1">
        <f>IFERROR(__xludf.DUMMYFUNCTION("""COMPUTED_VALUE"""),14781.4129)</f>
        <v>14781.4129</v>
      </c>
    </row>
    <row r="1891">
      <c r="A1891" s="3">
        <f>IFERROR(__xludf.DUMMYFUNCTION("""COMPUTED_VALUE"""),42226.99861111111)</f>
        <v>42226.99861</v>
      </c>
      <c r="B1891" s="1">
        <f>IFERROR(__xludf.DUMMYFUNCTION("""COMPUTED_VALUE"""),14834.30451)</f>
        <v>14834.30451</v>
      </c>
    </row>
    <row r="1892">
      <c r="A1892" s="3">
        <f>IFERROR(__xludf.DUMMYFUNCTION("""COMPUTED_VALUE"""),42227.99861111111)</f>
        <v>42227.99861</v>
      </c>
      <c r="B1892" s="1">
        <f>IFERROR(__xludf.DUMMYFUNCTION("""COMPUTED_VALUE"""),15018.5595)</f>
        <v>15018.5595</v>
      </c>
    </row>
    <row r="1893">
      <c r="A1893" s="3">
        <f>IFERROR(__xludf.DUMMYFUNCTION("""COMPUTED_VALUE"""),42228.99861111111)</f>
        <v>42228.99861</v>
      </c>
      <c r="B1893" s="1">
        <f>IFERROR(__xludf.DUMMYFUNCTION("""COMPUTED_VALUE"""),15333.922)</f>
        <v>15333.922</v>
      </c>
    </row>
    <row r="1894">
      <c r="A1894" s="3">
        <f>IFERROR(__xludf.DUMMYFUNCTION("""COMPUTED_VALUE"""),42229.99861111111)</f>
        <v>42229.99861</v>
      </c>
      <c r="B1894" s="1">
        <f>IFERROR(__xludf.DUMMYFUNCTION("""COMPUTED_VALUE"""),15258.565)</f>
        <v>15258.565</v>
      </c>
    </row>
    <row r="1895">
      <c r="A1895" s="3">
        <f>IFERROR(__xludf.DUMMYFUNCTION("""COMPUTED_VALUE"""),42230.99861111111)</f>
        <v>42230.99861</v>
      </c>
      <c r="B1895" s="1">
        <f>IFERROR(__xludf.DUMMYFUNCTION("""COMPUTED_VALUE"""),15230.5075)</f>
        <v>15230.5075</v>
      </c>
    </row>
    <row r="1896">
      <c r="A1896" s="3">
        <f>IFERROR(__xludf.DUMMYFUNCTION("""COMPUTED_VALUE"""),42233.99861111111)</f>
        <v>42233.99861</v>
      </c>
      <c r="B1896" s="1">
        <f>IFERROR(__xludf.DUMMYFUNCTION("""COMPUTED_VALUE"""),15318.108)</f>
        <v>15318.108</v>
      </c>
    </row>
    <row r="1897">
      <c r="A1897" s="3">
        <f>IFERROR(__xludf.DUMMYFUNCTION("""COMPUTED_VALUE"""),42234.99861111111)</f>
        <v>42234.99861</v>
      </c>
      <c r="B1897" s="1">
        <f>IFERROR(__xludf.DUMMYFUNCTION("""COMPUTED_VALUE"""),15250.9012)</f>
        <v>15250.9012</v>
      </c>
    </row>
    <row r="1898">
      <c r="A1898" s="3">
        <f>IFERROR(__xludf.DUMMYFUNCTION("""COMPUTED_VALUE"""),42235.99861111111)</f>
        <v>42235.99861</v>
      </c>
      <c r="B1898" s="1">
        <f>IFERROR(__xludf.DUMMYFUNCTION("""COMPUTED_VALUE"""),15286.4012)</f>
        <v>15286.4012</v>
      </c>
    </row>
    <row r="1899">
      <c r="A1899" s="3">
        <f>IFERROR(__xludf.DUMMYFUNCTION("""COMPUTED_VALUE"""),42236.99861111111)</f>
        <v>42236.99861</v>
      </c>
      <c r="B1899" s="1">
        <f>IFERROR(__xludf.DUMMYFUNCTION("""COMPUTED_VALUE"""),15599.7975)</f>
        <v>15599.7975</v>
      </c>
    </row>
    <row r="1900">
      <c r="A1900" s="3">
        <f>IFERROR(__xludf.DUMMYFUNCTION("""COMPUTED_VALUE"""),42237.99861111111)</f>
        <v>42237.99861</v>
      </c>
      <c r="B1900" s="1">
        <f>IFERROR(__xludf.DUMMYFUNCTION("""COMPUTED_VALUE"""),15736.6665)</f>
        <v>15736.6665</v>
      </c>
    </row>
    <row r="1901">
      <c r="A1901" s="3">
        <f>IFERROR(__xludf.DUMMYFUNCTION("""COMPUTED_VALUE"""),42240.99861111111)</f>
        <v>42240.99861</v>
      </c>
      <c r="B1901" s="1">
        <f>IFERROR(__xludf.DUMMYFUNCTION("""COMPUTED_VALUE"""),16113.0134)</f>
        <v>16113.0134</v>
      </c>
    </row>
    <row r="1902">
      <c r="A1902" s="3">
        <f>IFERROR(__xludf.DUMMYFUNCTION("""COMPUTED_VALUE"""),42241.99861111111)</f>
        <v>42241.99861</v>
      </c>
      <c r="B1902" s="1">
        <f>IFERROR(__xludf.DUMMYFUNCTION("""COMPUTED_VALUE"""),15939.138)</f>
        <v>15939.138</v>
      </c>
    </row>
    <row r="1903">
      <c r="A1903" s="3">
        <f>IFERROR(__xludf.DUMMYFUNCTION("""COMPUTED_VALUE"""),42242.99861111111)</f>
        <v>42242.99861</v>
      </c>
      <c r="B1903" s="1">
        <f>IFERROR(__xludf.DUMMYFUNCTION("""COMPUTED_VALUE"""),15825.056)</f>
        <v>15825.056</v>
      </c>
    </row>
    <row r="1904">
      <c r="A1904" s="3">
        <f>IFERROR(__xludf.DUMMYFUNCTION("""COMPUTED_VALUE"""),42243.99861111111)</f>
        <v>42243.99861</v>
      </c>
      <c r="B1904" s="1">
        <f>IFERROR(__xludf.DUMMYFUNCTION("""COMPUTED_VALUE"""),15515.2365)</f>
        <v>15515.2365</v>
      </c>
    </row>
    <row r="1905">
      <c r="A1905" s="3">
        <f>IFERROR(__xludf.DUMMYFUNCTION("""COMPUTED_VALUE"""),42244.99861111111)</f>
        <v>42244.99861</v>
      </c>
      <c r="B1905" s="1">
        <f>IFERROR(__xludf.DUMMYFUNCTION("""COMPUTED_VALUE"""),15552.771)</f>
        <v>15552.771</v>
      </c>
    </row>
    <row r="1906">
      <c r="A1906" s="3">
        <f>IFERROR(__xludf.DUMMYFUNCTION("""COMPUTED_VALUE"""),42247.99861111111)</f>
        <v>42247.99861</v>
      </c>
      <c r="B1906" s="1">
        <f>IFERROR(__xludf.DUMMYFUNCTION("""COMPUTED_VALUE"""),15715.0)</f>
        <v>15715</v>
      </c>
    </row>
    <row r="1907">
      <c r="A1907" s="3">
        <f>IFERROR(__xludf.DUMMYFUNCTION("""COMPUTED_VALUE"""),42248.99861111111)</f>
        <v>42248.99861</v>
      </c>
      <c r="B1907" s="1">
        <f>IFERROR(__xludf.DUMMYFUNCTION("""COMPUTED_VALUE"""),15796.6484)</f>
        <v>15796.6484</v>
      </c>
    </row>
    <row r="1908">
      <c r="A1908" s="3">
        <f>IFERROR(__xludf.DUMMYFUNCTION("""COMPUTED_VALUE"""),42249.99861111111)</f>
        <v>42249.99861</v>
      </c>
      <c r="B1908" s="1">
        <f>IFERROR(__xludf.DUMMYFUNCTION("""COMPUTED_VALUE"""),15754.265)</f>
        <v>15754.265</v>
      </c>
    </row>
    <row r="1909">
      <c r="A1909" s="3">
        <f>IFERROR(__xludf.DUMMYFUNCTION("""COMPUTED_VALUE"""),42250.99861111111)</f>
        <v>42250.99861</v>
      </c>
      <c r="B1909" s="1">
        <f>IFERROR(__xludf.DUMMYFUNCTION("""COMPUTED_VALUE"""),15647.3125)</f>
        <v>15647.3125</v>
      </c>
    </row>
    <row r="1910">
      <c r="A1910" s="3">
        <f>IFERROR(__xludf.DUMMYFUNCTION("""COMPUTED_VALUE"""),42251.99861111111)</f>
        <v>42251.99861</v>
      </c>
      <c r="B1910" s="1">
        <f>IFERROR(__xludf.DUMMYFUNCTION("""COMPUTED_VALUE"""),15796.7337)</f>
        <v>15796.7337</v>
      </c>
    </row>
    <row r="1911">
      <c r="A1911" s="3">
        <f>IFERROR(__xludf.DUMMYFUNCTION("""COMPUTED_VALUE"""),42254.99861111111)</f>
        <v>42254.99861</v>
      </c>
      <c r="B1911" s="1">
        <f>IFERROR(__xludf.DUMMYFUNCTION("""COMPUTED_VALUE"""),15932.3275)</f>
        <v>15932.3275</v>
      </c>
    </row>
    <row r="1912">
      <c r="A1912" s="3">
        <f>IFERROR(__xludf.DUMMYFUNCTION("""COMPUTED_VALUE"""),42255.99861111111)</f>
        <v>42255.99861</v>
      </c>
      <c r="B1912" s="1">
        <f>IFERROR(__xludf.DUMMYFUNCTION("""COMPUTED_VALUE"""),15866.28)</f>
        <v>15866.28</v>
      </c>
    </row>
    <row r="1913">
      <c r="A1913" s="3">
        <f>IFERROR(__xludf.DUMMYFUNCTION("""COMPUTED_VALUE"""),42256.99861111111)</f>
        <v>42256.99861</v>
      </c>
      <c r="B1913" s="1">
        <f>IFERROR(__xludf.DUMMYFUNCTION("""COMPUTED_VALUE"""),15985.65)</f>
        <v>15985.65</v>
      </c>
    </row>
    <row r="1914">
      <c r="A1914" s="3">
        <f>IFERROR(__xludf.DUMMYFUNCTION("""COMPUTED_VALUE"""),42257.99861111111)</f>
        <v>42257.99861</v>
      </c>
      <c r="B1914" s="1">
        <f>IFERROR(__xludf.DUMMYFUNCTION("""COMPUTED_VALUE"""),16061.0658)</f>
        <v>16061.0658</v>
      </c>
    </row>
    <row r="1915">
      <c r="A1915" s="3">
        <f>IFERROR(__xludf.DUMMYFUNCTION("""COMPUTED_VALUE"""),42258.99861111111)</f>
        <v>42258.99861</v>
      </c>
      <c r="B1915" s="1">
        <f>IFERROR(__xludf.DUMMYFUNCTION("""COMPUTED_VALUE"""),16174.9023)</f>
        <v>16174.9023</v>
      </c>
    </row>
    <row r="1916">
      <c r="A1916" s="3">
        <f>IFERROR(__xludf.DUMMYFUNCTION("""COMPUTED_VALUE"""),42261.99861111111)</f>
        <v>42261.99861</v>
      </c>
      <c r="B1916" s="1">
        <f>IFERROR(__xludf.DUMMYFUNCTION("""COMPUTED_VALUE"""),16180.317)</f>
        <v>16180.317</v>
      </c>
    </row>
    <row r="1917">
      <c r="A1917" s="3">
        <f>IFERROR(__xludf.DUMMYFUNCTION("""COMPUTED_VALUE"""),42262.99861111111)</f>
        <v>42262.99861</v>
      </c>
      <c r="B1917" s="1">
        <f>IFERROR(__xludf.DUMMYFUNCTION("""COMPUTED_VALUE"""),16228.8)</f>
        <v>16228.8</v>
      </c>
    </row>
    <row r="1918">
      <c r="A1918" s="3">
        <f>IFERROR(__xludf.DUMMYFUNCTION("""COMPUTED_VALUE"""),42263.99861111111)</f>
        <v>42263.99861</v>
      </c>
      <c r="B1918" s="1">
        <f>IFERROR(__xludf.DUMMYFUNCTION("""COMPUTED_VALUE"""),16234.5084)</f>
        <v>16234.5084</v>
      </c>
    </row>
    <row r="1919">
      <c r="A1919" s="3">
        <f>IFERROR(__xludf.DUMMYFUNCTION("""COMPUTED_VALUE"""),42264.99861111111)</f>
        <v>42264.99861</v>
      </c>
      <c r="B1919" s="1">
        <f>IFERROR(__xludf.DUMMYFUNCTION("""COMPUTED_VALUE"""),16215.0775)</f>
        <v>16215.0775</v>
      </c>
    </row>
    <row r="1920">
      <c r="A1920" s="3">
        <f>IFERROR(__xludf.DUMMYFUNCTION("""COMPUTED_VALUE"""),42265.99861111111)</f>
        <v>42265.99861</v>
      </c>
      <c r="B1920" s="1">
        <f>IFERROR(__xludf.DUMMYFUNCTION("""COMPUTED_VALUE"""),16289.793)</f>
        <v>16289.793</v>
      </c>
    </row>
    <row r="1921">
      <c r="A1921" s="3">
        <f>IFERROR(__xludf.DUMMYFUNCTION("""COMPUTED_VALUE"""),42268.99861111111)</f>
        <v>42268.99861</v>
      </c>
      <c r="B1921" s="1">
        <f>IFERROR(__xludf.DUMMYFUNCTION("""COMPUTED_VALUE"""),16189.036)</f>
        <v>16189.036</v>
      </c>
    </row>
    <row r="1922">
      <c r="A1922" s="3">
        <f>IFERROR(__xludf.DUMMYFUNCTION("""COMPUTED_VALUE"""),42269.99861111111)</f>
        <v>42269.99861</v>
      </c>
      <c r="B1922" s="1">
        <f>IFERROR(__xludf.DUMMYFUNCTION("""COMPUTED_VALUE"""),16228.1805)</f>
        <v>16228.1805</v>
      </c>
    </row>
    <row r="1923">
      <c r="A1923" s="3">
        <f>IFERROR(__xludf.DUMMYFUNCTION("""COMPUTED_VALUE"""),42270.99861111111)</f>
        <v>42270.99861</v>
      </c>
      <c r="B1923" s="1">
        <f>IFERROR(__xludf.DUMMYFUNCTION("""COMPUTED_VALUE"""),16377.768)</f>
        <v>16377.768</v>
      </c>
    </row>
    <row r="1924">
      <c r="A1924" s="3">
        <f>IFERROR(__xludf.DUMMYFUNCTION("""COMPUTED_VALUE"""),42271.99861111111)</f>
        <v>42271.99861</v>
      </c>
      <c r="B1924" s="1">
        <f>IFERROR(__xludf.DUMMYFUNCTION("""COMPUTED_VALUE"""),16397.9793)</f>
        <v>16397.9793</v>
      </c>
    </row>
    <row r="1925">
      <c r="A1925" s="3">
        <f>IFERROR(__xludf.DUMMYFUNCTION("""COMPUTED_VALUE"""),42272.99861111111)</f>
        <v>42272.99861</v>
      </c>
      <c r="B1925" s="1">
        <f>IFERROR(__xludf.DUMMYFUNCTION("""COMPUTED_VALUE"""),16360.66193)</f>
        <v>16360.66193</v>
      </c>
    </row>
    <row r="1926">
      <c r="A1926" s="3">
        <f>IFERROR(__xludf.DUMMYFUNCTION("""COMPUTED_VALUE"""),42275.99861111111)</f>
        <v>42275.99861</v>
      </c>
      <c r="B1926" s="1">
        <f>IFERROR(__xludf.DUMMYFUNCTION("""COMPUTED_VALUE"""),16501.7916)</f>
        <v>16501.7916</v>
      </c>
    </row>
    <row r="1927">
      <c r="A1927" s="3">
        <f>IFERROR(__xludf.DUMMYFUNCTION("""COMPUTED_VALUE"""),42276.99861111111)</f>
        <v>42276.99861</v>
      </c>
      <c r="B1927" s="1">
        <f>IFERROR(__xludf.DUMMYFUNCTION("""COMPUTED_VALUE"""),16517.936)</f>
        <v>16517.936</v>
      </c>
    </row>
    <row r="1928">
      <c r="A1928" s="3">
        <f>IFERROR(__xludf.DUMMYFUNCTION("""COMPUTED_VALUE"""),42277.99861111111)</f>
        <v>42277.99861</v>
      </c>
      <c r="B1928" s="1">
        <f>IFERROR(__xludf.DUMMYFUNCTION("""COMPUTED_VALUE"""),16252.25568)</f>
        <v>16252.25568</v>
      </c>
    </row>
    <row r="1929">
      <c r="A1929" s="3">
        <f>IFERROR(__xludf.DUMMYFUNCTION("""COMPUTED_VALUE"""),42278.99861111111)</f>
        <v>42278.99861</v>
      </c>
      <c r="B1929" s="1">
        <f>IFERROR(__xludf.DUMMYFUNCTION("""COMPUTED_VALUE"""),16412.62805)</f>
        <v>16412.62805</v>
      </c>
    </row>
    <row r="1930">
      <c r="A1930" s="3">
        <f>IFERROR(__xludf.DUMMYFUNCTION("""COMPUTED_VALUE"""),42279.99861111111)</f>
        <v>42279.99861</v>
      </c>
      <c r="B1930" s="1">
        <f>IFERROR(__xludf.DUMMYFUNCTION("""COMPUTED_VALUE"""),16370.89055)</f>
        <v>16370.89055</v>
      </c>
    </row>
    <row r="1931">
      <c r="A1931" s="3">
        <f>IFERROR(__xludf.DUMMYFUNCTION("""COMPUTED_VALUE"""),42282.99861111111)</f>
        <v>42282.99861</v>
      </c>
      <c r="B1931" s="1">
        <f>IFERROR(__xludf.DUMMYFUNCTION("""COMPUTED_VALUE"""),16156.3002)</f>
        <v>16156.3002</v>
      </c>
    </row>
    <row r="1932">
      <c r="A1932" s="3">
        <f>IFERROR(__xludf.DUMMYFUNCTION("""COMPUTED_VALUE"""),42283.99861111111)</f>
        <v>42283.99861</v>
      </c>
      <c r="B1932" s="1">
        <f>IFERROR(__xludf.DUMMYFUNCTION("""COMPUTED_VALUE"""),15838.59)</f>
        <v>15838.59</v>
      </c>
    </row>
    <row r="1933">
      <c r="A1933" s="3">
        <f>IFERROR(__xludf.DUMMYFUNCTION("""COMPUTED_VALUE"""),42284.99861111111)</f>
        <v>42284.99861</v>
      </c>
      <c r="B1933" s="1">
        <f>IFERROR(__xludf.DUMMYFUNCTION("""COMPUTED_VALUE"""),15580.9324)</f>
        <v>15580.9324</v>
      </c>
    </row>
    <row r="1934">
      <c r="A1934" s="3">
        <f>IFERROR(__xludf.DUMMYFUNCTION("""COMPUTED_VALUE"""),42285.99861111111)</f>
        <v>42285.99861</v>
      </c>
      <c r="B1934" s="1">
        <f>IFERROR(__xludf.DUMMYFUNCTION("""COMPUTED_VALUE"""),15130.503)</f>
        <v>15130.503</v>
      </c>
    </row>
    <row r="1935">
      <c r="A1935" s="3">
        <f>IFERROR(__xludf.DUMMYFUNCTION("""COMPUTED_VALUE"""),42286.99861111111)</f>
        <v>42286.99861</v>
      </c>
      <c r="B1935" s="1">
        <f>IFERROR(__xludf.DUMMYFUNCTION("""COMPUTED_VALUE"""),15127.524)</f>
        <v>15127.524</v>
      </c>
    </row>
    <row r="1936">
      <c r="A1936" s="3">
        <f>IFERROR(__xludf.DUMMYFUNCTION("""COMPUTED_VALUE"""),42289.99861111111)</f>
        <v>42289.99861</v>
      </c>
      <c r="B1936" s="1">
        <f>IFERROR(__xludf.DUMMYFUNCTION("""COMPUTED_VALUE"""),15328.8206)</f>
        <v>15328.8206</v>
      </c>
    </row>
    <row r="1937">
      <c r="A1937" s="3">
        <f>IFERROR(__xludf.DUMMYFUNCTION("""COMPUTED_VALUE"""),42290.99861111111)</f>
        <v>42290.99861</v>
      </c>
      <c r="B1937" s="1">
        <f>IFERROR(__xludf.DUMMYFUNCTION("""COMPUTED_VALUE"""),15537.522)</f>
        <v>15537.522</v>
      </c>
    </row>
    <row r="1938">
      <c r="A1938" s="3">
        <f>IFERROR(__xludf.DUMMYFUNCTION("""COMPUTED_VALUE"""),42291.99861111111)</f>
        <v>42291.99861</v>
      </c>
      <c r="B1938" s="1">
        <f>IFERROR(__xludf.DUMMYFUNCTION("""COMPUTED_VALUE"""),15213.198)</f>
        <v>15213.198</v>
      </c>
    </row>
    <row r="1939">
      <c r="A1939" s="3">
        <f>IFERROR(__xludf.DUMMYFUNCTION("""COMPUTED_VALUE"""),42292.99861111111)</f>
        <v>42292.99861</v>
      </c>
      <c r="B1939" s="1">
        <f>IFERROR(__xludf.DUMMYFUNCTION("""COMPUTED_VALUE"""),15230.44)</f>
        <v>15230.44</v>
      </c>
    </row>
    <row r="1940">
      <c r="A1940" s="3">
        <f>IFERROR(__xludf.DUMMYFUNCTION("""COMPUTED_VALUE"""),42293.99861111111)</f>
        <v>42293.99861</v>
      </c>
      <c r="B1940" s="1">
        <f>IFERROR(__xludf.DUMMYFUNCTION("""COMPUTED_VALUE"""),15290.0825)</f>
        <v>15290.0825</v>
      </c>
    </row>
    <row r="1941">
      <c r="A1941" s="3">
        <f>IFERROR(__xludf.DUMMYFUNCTION("""COMPUTED_VALUE"""),42296.99861111111)</f>
        <v>42296.99861</v>
      </c>
      <c r="B1941" s="1">
        <f>IFERROR(__xludf.DUMMYFUNCTION("""COMPUTED_VALUE"""),15459.5805)</f>
        <v>15459.5805</v>
      </c>
    </row>
    <row r="1942">
      <c r="A1942" s="3">
        <f>IFERROR(__xludf.DUMMYFUNCTION("""COMPUTED_VALUE"""),42297.99861111111)</f>
        <v>42297.99861</v>
      </c>
      <c r="B1942" s="1">
        <f>IFERROR(__xludf.DUMMYFUNCTION("""COMPUTED_VALUE"""),15588.3283)</f>
        <v>15588.3283</v>
      </c>
    </row>
    <row r="1943">
      <c r="A1943" s="3">
        <f>IFERROR(__xludf.DUMMYFUNCTION("""COMPUTED_VALUE"""),42298.99861111111)</f>
        <v>42298.99861</v>
      </c>
      <c r="B1943" s="1">
        <f>IFERROR(__xludf.DUMMYFUNCTION("""COMPUTED_VALUE"""),15544.02)</f>
        <v>15544.02</v>
      </c>
    </row>
    <row r="1944">
      <c r="A1944" s="3">
        <f>IFERROR(__xludf.DUMMYFUNCTION("""COMPUTED_VALUE"""),42299.99861111111)</f>
        <v>42299.99861</v>
      </c>
      <c r="B1944" s="1">
        <f>IFERROR(__xludf.DUMMYFUNCTION("""COMPUTED_VALUE"""),14934.2979)</f>
        <v>14934.2979</v>
      </c>
    </row>
    <row r="1945">
      <c r="A1945" s="3">
        <f>IFERROR(__xludf.DUMMYFUNCTION("""COMPUTED_VALUE"""),42300.99861111111)</f>
        <v>42300.99861</v>
      </c>
      <c r="B1945" s="1">
        <f>IFERROR(__xludf.DUMMYFUNCTION("""COMPUTED_VALUE"""),14893.632)</f>
        <v>14893.632</v>
      </c>
    </row>
    <row r="1946">
      <c r="A1946" s="3">
        <f>IFERROR(__xludf.DUMMYFUNCTION("""COMPUTED_VALUE"""),42303.99861111111)</f>
        <v>42303.99861</v>
      </c>
      <c r="B1946" s="1">
        <f>IFERROR(__xludf.DUMMYFUNCTION("""COMPUTED_VALUE"""),15052.66)</f>
        <v>15052.66</v>
      </c>
    </row>
    <row r="1947">
      <c r="A1947" s="3">
        <f>IFERROR(__xludf.DUMMYFUNCTION("""COMPUTED_VALUE"""),42304.99861111111)</f>
        <v>42304.99861</v>
      </c>
      <c r="B1947" s="1">
        <f>IFERROR(__xludf.DUMMYFUNCTION("""COMPUTED_VALUE"""),15059.9085)</f>
        <v>15059.9085</v>
      </c>
    </row>
    <row r="1948">
      <c r="A1948" s="3">
        <f>IFERROR(__xludf.DUMMYFUNCTION("""COMPUTED_VALUE"""),42305.99861111111)</f>
        <v>42305.99861</v>
      </c>
      <c r="B1948" s="1">
        <f>IFERROR(__xludf.DUMMYFUNCTION("""COMPUTED_VALUE"""),14860.59306)</f>
        <v>14860.59306</v>
      </c>
    </row>
    <row r="1949">
      <c r="A1949" s="3">
        <f>IFERROR(__xludf.DUMMYFUNCTION("""COMPUTED_VALUE"""),42306.99861111111)</f>
        <v>42306.99861</v>
      </c>
      <c r="B1949" s="1">
        <f>IFERROR(__xludf.DUMMYFUNCTION("""COMPUTED_VALUE"""),14951.3184)</f>
        <v>14951.3184</v>
      </c>
    </row>
    <row r="1950">
      <c r="A1950" s="3">
        <f>IFERROR(__xludf.DUMMYFUNCTION("""COMPUTED_VALUE"""),42307.99861111111)</f>
        <v>42307.99861</v>
      </c>
      <c r="B1950" s="1">
        <f>IFERROR(__xludf.DUMMYFUNCTION("""COMPUTED_VALUE"""),15001.178)</f>
        <v>15001.178</v>
      </c>
    </row>
    <row r="1951">
      <c r="A1951" s="3">
        <f>IFERROR(__xludf.DUMMYFUNCTION("""COMPUTED_VALUE"""),42308.99861111111)</f>
        <v>42308.99861</v>
      </c>
      <c r="B1951" s="1">
        <f>IFERROR(__xludf.DUMMYFUNCTION("""COMPUTED_VALUE"""),15184.78241)</f>
        <v>15184.78241</v>
      </c>
    </row>
    <row r="1952">
      <c r="A1952" s="3">
        <f>IFERROR(__xludf.DUMMYFUNCTION("""COMPUTED_VALUE"""),42310.99861111111)</f>
        <v>42310.99861</v>
      </c>
      <c r="B1952" s="1">
        <f>IFERROR(__xludf.DUMMYFUNCTION("""COMPUTED_VALUE"""),14957.012)</f>
        <v>14957.012</v>
      </c>
    </row>
    <row r="1953">
      <c r="A1953" s="3">
        <f>IFERROR(__xludf.DUMMYFUNCTION("""COMPUTED_VALUE"""),42311.99861111111)</f>
        <v>42311.99861</v>
      </c>
      <c r="B1953" s="1">
        <f>IFERROR(__xludf.DUMMYFUNCTION("""COMPUTED_VALUE"""),14682.92925)</f>
        <v>14682.92925</v>
      </c>
    </row>
    <row r="1954">
      <c r="A1954" s="3">
        <f>IFERROR(__xludf.DUMMYFUNCTION("""COMPUTED_VALUE"""),42312.99861111111)</f>
        <v>42312.99861</v>
      </c>
      <c r="B1954" s="1">
        <f>IFERROR(__xludf.DUMMYFUNCTION("""COMPUTED_VALUE"""),14618.8575)</f>
        <v>14618.8575</v>
      </c>
    </row>
    <row r="1955">
      <c r="A1955" s="3">
        <f>IFERROR(__xludf.DUMMYFUNCTION("""COMPUTED_VALUE"""),42313.99861111111)</f>
        <v>42313.99861</v>
      </c>
      <c r="B1955" s="1">
        <f>IFERROR(__xludf.DUMMYFUNCTION("""COMPUTED_VALUE"""),14719.2575)</f>
        <v>14719.2575</v>
      </c>
    </row>
    <row r="1956">
      <c r="A1956" s="3">
        <f>IFERROR(__xludf.DUMMYFUNCTION("""COMPUTED_VALUE"""),42314.99861111111)</f>
        <v>42314.99861</v>
      </c>
      <c r="B1956" s="1">
        <f>IFERROR(__xludf.DUMMYFUNCTION("""COMPUTED_VALUE"""),14612.1043)</f>
        <v>14612.1043</v>
      </c>
    </row>
    <row r="1957">
      <c r="A1957" s="3">
        <f>IFERROR(__xludf.DUMMYFUNCTION("""COMPUTED_VALUE"""),42315.99861111111)</f>
        <v>42315.99861</v>
      </c>
      <c r="B1957" s="1">
        <f>IFERROR(__xludf.DUMMYFUNCTION("""COMPUTED_VALUE"""),14734.37464)</f>
        <v>14734.37464</v>
      </c>
    </row>
    <row r="1958">
      <c r="A1958" s="3">
        <f>IFERROR(__xludf.DUMMYFUNCTION("""COMPUTED_VALUE"""),42317.99861111111)</f>
        <v>42317.99861</v>
      </c>
      <c r="B1958" s="1">
        <f>IFERROR(__xludf.DUMMYFUNCTION("""COMPUTED_VALUE"""),14678.88165)</f>
        <v>14678.88165</v>
      </c>
    </row>
    <row r="1959">
      <c r="A1959" s="3">
        <f>IFERROR(__xludf.DUMMYFUNCTION("""COMPUTED_VALUE"""),42318.99861111111)</f>
        <v>42318.99861</v>
      </c>
      <c r="B1959" s="1">
        <f>IFERROR(__xludf.DUMMYFUNCTION("""COMPUTED_VALUE"""),14558.4228)</f>
        <v>14558.4228</v>
      </c>
    </row>
    <row r="1960">
      <c r="A1960" s="3">
        <f>IFERROR(__xludf.DUMMYFUNCTION("""COMPUTED_VALUE"""),42319.99861111111)</f>
        <v>42319.99861</v>
      </c>
      <c r="B1960" s="1">
        <f>IFERROR(__xludf.DUMMYFUNCTION("""COMPUTED_VALUE"""),14554.523)</f>
        <v>14554.523</v>
      </c>
    </row>
    <row r="1961">
      <c r="A1961" s="3">
        <f>IFERROR(__xludf.DUMMYFUNCTION("""COMPUTED_VALUE"""),42320.99861111111)</f>
        <v>42320.99861</v>
      </c>
      <c r="B1961" s="1">
        <f>IFERROR(__xludf.DUMMYFUNCTION("""COMPUTED_VALUE"""),14713.771)</f>
        <v>14713.771</v>
      </c>
    </row>
    <row r="1962">
      <c r="A1962" s="3">
        <f>IFERROR(__xludf.DUMMYFUNCTION("""COMPUTED_VALUE"""),42321.99861111111)</f>
        <v>42321.99861</v>
      </c>
      <c r="B1962" s="1">
        <f>IFERROR(__xludf.DUMMYFUNCTION("""COMPUTED_VALUE"""),14798.4624)</f>
        <v>14798.4624</v>
      </c>
    </row>
    <row r="1963">
      <c r="A1963" s="3">
        <f>IFERROR(__xludf.DUMMYFUNCTION("""COMPUTED_VALUE"""),42322.99861111111)</f>
        <v>42322.99861</v>
      </c>
      <c r="B1963" s="1">
        <f>IFERROR(__xludf.DUMMYFUNCTION("""COMPUTED_VALUE"""),14677.98843)</f>
        <v>14677.98843</v>
      </c>
    </row>
    <row r="1964">
      <c r="A1964" s="3">
        <f>IFERROR(__xludf.DUMMYFUNCTION("""COMPUTED_VALUE"""),42324.99861111111)</f>
        <v>42324.99861</v>
      </c>
      <c r="B1964" s="1">
        <f>IFERROR(__xludf.DUMMYFUNCTION("""COMPUTED_VALUE"""),14649.7396)</f>
        <v>14649.7396</v>
      </c>
    </row>
    <row r="1965">
      <c r="A1965" s="3">
        <f>IFERROR(__xludf.DUMMYFUNCTION("""COMPUTED_VALUE"""),42325.99861111111)</f>
        <v>42325.99861</v>
      </c>
      <c r="B1965" s="1">
        <f>IFERROR(__xludf.DUMMYFUNCTION("""COMPUTED_VALUE"""),14600.824)</f>
        <v>14600.824</v>
      </c>
    </row>
    <row r="1966">
      <c r="A1966" s="3">
        <f>IFERROR(__xludf.DUMMYFUNCTION("""COMPUTED_VALUE"""),42326.99861111111)</f>
        <v>42326.99861</v>
      </c>
      <c r="B1966" s="1">
        <f>IFERROR(__xludf.DUMMYFUNCTION("""COMPUTED_VALUE"""),14620.494)</f>
        <v>14620.494</v>
      </c>
    </row>
    <row r="1967">
      <c r="A1967" s="3">
        <f>IFERROR(__xludf.DUMMYFUNCTION("""COMPUTED_VALUE"""),42327.99861111111)</f>
        <v>42327.99861</v>
      </c>
      <c r="B1967" s="1">
        <f>IFERROR(__xludf.DUMMYFUNCTION("""COMPUTED_VALUE"""),14643.8951)</f>
        <v>14643.8951</v>
      </c>
    </row>
    <row r="1968">
      <c r="A1968" s="3">
        <f>IFERROR(__xludf.DUMMYFUNCTION("""COMPUTED_VALUE"""),42328.99861111111)</f>
        <v>42328.99861</v>
      </c>
      <c r="B1968" s="1">
        <f>IFERROR(__xludf.DUMMYFUNCTION("""COMPUTED_VALUE"""),14413.4654)</f>
        <v>14413.4654</v>
      </c>
    </row>
    <row r="1969">
      <c r="A1969" s="3">
        <f>IFERROR(__xludf.DUMMYFUNCTION("""COMPUTED_VALUE"""),42330.99861111111)</f>
        <v>42330.99861</v>
      </c>
      <c r="B1969" s="1">
        <f>IFERROR(__xludf.DUMMYFUNCTION("""COMPUTED_VALUE"""),14612.08393)</f>
        <v>14612.08393</v>
      </c>
    </row>
    <row r="1970">
      <c r="A1970" s="3">
        <f>IFERROR(__xludf.DUMMYFUNCTION("""COMPUTED_VALUE"""),42331.99861111111)</f>
        <v>42331.99861</v>
      </c>
      <c r="B1970" s="1">
        <f>IFERROR(__xludf.DUMMYFUNCTION("""COMPUTED_VALUE"""),14538.05685)</f>
        <v>14538.05685</v>
      </c>
    </row>
    <row r="1971">
      <c r="A1971" s="3">
        <f>IFERROR(__xludf.DUMMYFUNCTION("""COMPUTED_VALUE"""),42332.99861111111)</f>
        <v>42332.99861</v>
      </c>
      <c r="B1971" s="1">
        <f>IFERROR(__xludf.DUMMYFUNCTION("""COMPUTED_VALUE"""),14494.404)</f>
        <v>14494.404</v>
      </c>
    </row>
    <row r="1972">
      <c r="A1972" s="3">
        <f>IFERROR(__xludf.DUMMYFUNCTION("""COMPUTED_VALUE"""),42333.99861111111)</f>
        <v>42333.99861</v>
      </c>
      <c r="B1972" s="1">
        <f>IFERROR(__xludf.DUMMYFUNCTION("""COMPUTED_VALUE"""),14435.298)</f>
        <v>14435.298</v>
      </c>
    </row>
    <row r="1973">
      <c r="A1973" s="3">
        <f>IFERROR(__xludf.DUMMYFUNCTION("""COMPUTED_VALUE"""),42334.99861111111)</f>
        <v>42334.99861</v>
      </c>
      <c r="B1973" s="1">
        <f>IFERROR(__xludf.DUMMYFUNCTION("""COMPUTED_VALUE"""),14563.2205)</f>
        <v>14563.2205</v>
      </c>
    </row>
    <row r="1974">
      <c r="A1974" s="3">
        <f>IFERROR(__xludf.DUMMYFUNCTION("""COMPUTED_VALUE"""),42335.99861111111)</f>
        <v>42335.99861</v>
      </c>
      <c r="B1974" s="1">
        <f>IFERROR(__xludf.DUMMYFUNCTION("""COMPUTED_VALUE"""),14443.05114)</f>
        <v>14443.05114</v>
      </c>
    </row>
    <row r="1975">
      <c r="A1975" s="3">
        <f>IFERROR(__xludf.DUMMYFUNCTION("""COMPUTED_VALUE"""),42336.99861111111)</f>
        <v>42336.99861</v>
      </c>
      <c r="B1975" s="1">
        <f>IFERROR(__xludf.DUMMYFUNCTION("""COMPUTED_VALUE"""),14817.71605)</f>
        <v>14817.71605</v>
      </c>
    </row>
    <row r="1976">
      <c r="A1976" s="3">
        <f>IFERROR(__xludf.DUMMYFUNCTION("""COMPUTED_VALUE"""),42338.99861111111)</f>
        <v>42338.99861</v>
      </c>
      <c r="B1976" s="1">
        <f>IFERROR(__xludf.DUMMYFUNCTION("""COMPUTED_VALUE"""),14673.91451)</f>
        <v>14673.91451</v>
      </c>
    </row>
    <row r="1977">
      <c r="A1977" s="3">
        <f>IFERROR(__xludf.DUMMYFUNCTION("""COMPUTED_VALUE"""),42339.99861111111)</f>
        <v>42339.99861</v>
      </c>
      <c r="B1977" s="1">
        <f>IFERROR(__xludf.DUMMYFUNCTION("""COMPUTED_VALUE"""),14684.3028)</f>
        <v>14684.3028</v>
      </c>
    </row>
    <row r="1978">
      <c r="A1978" s="3">
        <f>IFERROR(__xludf.DUMMYFUNCTION("""COMPUTED_VALUE"""),42340.99861111111)</f>
        <v>42340.99861</v>
      </c>
      <c r="B1978" s="1">
        <f>IFERROR(__xludf.DUMMYFUNCTION("""COMPUTED_VALUE"""),14649.64121)</f>
        <v>14649.64121</v>
      </c>
    </row>
    <row r="1979">
      <c r="A1979" s="3">
        <f>IFERROR(__xludf.DUMMYFUNCTION("""COMPUTED_VALUE"""),42341.99861111111)</f>
        <v>42341.99861</v>
      </c>
      <c r="B1979" s="1">
        <f>IFERROR(__xludf.DUMMYFUNCTION("""COMPUTED_VALUE"""),14949.462)</f>
        <v>14949.462</v>
      </c>
    </row>
    <row r="1980">
      <c r="A1980" s="3">
        <f>IFERROR(__xludf.DUMMYFUNCTION("""COMPUTED_VALUE"""),42342.99861111111)</f>
        <v>42342.99861</v>
      </c>
      <c r="B1980" s="1">
        <f>IFERROR(__xludf.DUMMYFUNCTION("""COMPUTED_VALUE"""),14972.8314)</f>
        <v>14972.8314</v>
      </c>
    </row>
    <row r="1981">
      <c r="A1981" s="3">
        <f>IFERROR(__xludf.DUMMYFUNCTION("""COMPUTED_VALUE"""),42343.99861111111)</f>
        <v>42343.99861</v>
      </c>
      <c r="B1981" s="1">
        <f>IFERROR(__xludf.DUMMYFUNCTION("""COMPUTED_VALUE"""),15071.98846)</f>
        <v>15071.98846</v>
      </c>
    </row>
    <row r="1982">
      <c r="A1982" s="3">
        <f>IFERROR(__xludf.DUMMYFUNCTION("""COMPUTED_VALUE"""),42345.99861111111)</f>
        <v>42345.99861</v>
      </c>
      <c r="B1982" s="1">
        <f>IFERROR(__xludf.DUMMYFUNCTION("""COMPUTED_VALUE"""),15025.371)</f>
        <v>15025.371</v>
      </c>
    </row>
    <row r="1983">
      <c r="A1983" s="3">
        <f>IFERROR(__xludf.DUMMYFUNCTION("""COMPUTED_VALUE"""),42346.99861111111)</f>
        <v>42346.99861</v>
      </c>
      <c r="B1983" s="1">
        <f>IFERROR(__xludf.DUMMYFUNCTION("""COMPUTED_VALUE"""),15225.78701)</f>
        <v>15225.78701</v>
      </c>
    </row>
    <row r="1984">
      <c r="A1984" s="3">
        <f>IFERROR(__xludf.DUMMYFUNCTION("""COMPUTED_VALUE"""),42347.99861111111)</f>
        <v>42347.99861</v>
      </c>
      <c r="B1984" s="1">
        <f>IFERROR(__xludf.DUMMYFUNCTION("""COMPUTED_VALUE"""),15332.88)</f>
        <v>15332.88</v>
      </c>
    </row>
    <row r="1985">
      <c r="A1985" s="3">
        <f>IFERROR(__xludf.DUMMYFUNCTION("""COMPUTED_VALUE"""),42348.99861111111)</f>
        <v>42348.99861</v>
      </c>
      <c r="B1985" s="1">
        <f>IFERROR(__xludf.DUMMYFUNCTION("""COMPUTED_VALUE"""),15242.5835)</f>
        <v>15242.5835</v>
      </c>
    </row>
    <row r="1986">
      <c r="A1986" s="3">
        <f>IFERROR(__xludf.DUMMYFUNCTION("""COMPUTED_VALUE"""),42349.99861111111)</f>
        <v>42349.99861</v>
      </c>
      <c r="B1986" s="1">
        <f>IFERROR(__xludf.DUMMYFUNCTION("""COMPUTED_VALUE"""),15531.9786)</f>
        <v>15531.9786</v>
      </c>
    </row>
    <row r="1987">
      <c r="A1987" s="3">
        <f>IFERROR(__xludf.DUMMYFUNCTION("""COMPUTED_VALUE"""),42350.99861111111)</f>
        <v>42350.99861</v>
      </c>
      <c r="B1987" s="1">
        <f>IFERROR(__xludf.DUMMYFUNCTION("""COMPUTED_VALUE"""),15621.21559)</f>
        <v>15621.21559</v>
      </c>
    </row>
    <row r="1988">
      <c r="A1988" s="3">
        <f>IFERROR(__xludf.DUMMYFUNCTION("""COMPUTED_VALUE"""),42352.99861111111)</f>
        <v>42352.99861</v>
      </c>
      <c r="B1988" s="1">
        <f>IFERROR(__xludf.DUMMYFUNCTION("""COMPUTED_VALUE"""),15382.703)</f>
        <v>15382.703</v>
      </c>
    </row>
    <row r="1989">
      <c r="A1989" s="3">
        <f>IFERROR(__xludf.DUMMYFUNCTION("""COMPUTED_VALUE"""),42353.99861111111)</f>
        <v>42353.99861</v>
      </c>
      <c r="B1989" s="1">
        <f>IFERROR(__xludf.DUMMYFUNCTION("""COMPUTED_VALUE"""),15276.195)</f>
        <v>15276.195</v>
      </c>
    </row>
    <row r="1990">
      <c r="A1990" s="3">
        <f>IFERROR(__xludf.DUMMYFUNCTION("""COMPUTED_VALUE"""),42354.99861111111)</f>
        <v>42354.99861</v>
      </c>
      <c r="B1990" s="1">
        <f>IFERROR(__xludf.DUMMYFUNCTION("""COMPUTED_VALUE"""),14961.1104)</f>
        <v>14961.1104</v>
      </c>
    </row>
    <row r="1991">
      <c r="A1991" s="3">
        <f>IFERROR(__xludf.DUMMYFUNCTION("""COMPUTED_VALUE"""),42355.99861111111)</f>
        <v>42355.99861</v>
      </c>
      <c r="B1991" s="1">
        <f>IFERROR(__xludf.DUMMYFUNCTION("""COMPUTED_VALUE"""),15201.185)</f>
        <v>15201.185</v>
      </c>
    </row>
    <row r="1992">
      <c r="A1992" s="3">
        <f>IFERROR(__xludf.DUMMYFUNCTION("""COMPUTED_VALUE"""),42356.99861111111)</f>
        <v>42356.99861</v>
      </c>
      <c r="B1992" s="1">
        <f>IFERROR(__xludf.DUMMYFUNCTION("""COMPUTED_VALUE"""),15067.23415)</f>
        <v>15067.23415</v>
      </c>
    </row>
    <row r="1993">
      <c r="A1993" s="3">
        <f>IFERROR(__xludf.DUMMYFUNCTION("""COMPUTED_VALUE"""),42357.99861111111)</f>
        <v>42357.99861</v>
      </c>
      <c r="B1993" s="1">
        <f>IFERROR(__xludf.DUMMYFUNCTION("""COMPUTED_VALUE"""),15158.46431)</f>
        <v>15158.46431</v>
      </c>
    </row>
    <row r="1994">
      <c r="A1994" s="3">
        <f>IFERROR(__xludf.DUMMYFUNCTION("""COMPUTED_VALUE"""),42359.99861111111)</f>
        <v>42359.99861</v>
      </c>
      <c r="B1994" s="1">
        <f>IFERROR(__xludf.DUMMYFUNCTION("""COMPUTED_VALUE"""),15012.4352)</f>
        <v>15012.4352</v>
      </c>
    </row>
    <row r="1995">
      <c r="A1995" s="3">
        <f>IFERROR(__xludf.DUMMYFUNCTION("""COMPUTED_VALUE"""),42360.99861111111)</f>
        <v>42360.99861</v>
      </c>
      <c r="B1995" s="1">
        <f>IFERROR(__xludf.DUMMYFUNCTION("""COMPUTED_VALUE"""),14937.1815)</f>
        <v>14937.1815</v>
      </c>
    </row>
    <row r="1996">
      <c r="A1996" s="3">
        <f>IFERROR(__xludf.DUMMYFUNCTION("""COMPUTED_VALUE"""),42361.99861111111)</f>
        <v>42361.99861</v>
      </c>
      <c r="B1996" s="1">
        <f>IFERROR(__xludf.DUMMYFUNCTION("""COMPUTED_VALUE"""),14860.7875)</f>
        <v>14860.7875</v>
      </c>
    </row>
    <row r="1997">
      <c r="A1997" s="3">
        <f>IFERROR(__xludf.DUMMYFUNCTION("""COMPUTED_VALUE"""),42362.99861111111)</f>
        <v>42362.99861</v>
      </c>
      <c r="B1997" s="1">
        <f>IFERROR(__xludf.DUMMYFUNCTION("""COMPUTED_VALUE"""),14942.569)</f>
        <v>14942.569</v>
      </c>
    </row>
    <row r="1998">
      <c r="A1998" s="3">
        <f>IFERROR(__xludf.DUMMYFUNCTION("""COMPUTED_VALUE"""),42363.99861111111)</f>
        <v>42363.99861</v>
      </c>
      <c r="B1998" s="1">
        <f>IFERROR(__xludf.DUMMYFUNCTION("""COMPUTED_VALUE"""),14958.925)</f>
        <v>14958.925</v>
      </c>
    </row>
    <row r="1999">
      <c r="A1999" s="3">
        <f>IFERROR(__xludf.DUMMYFUNCTION("""COMPUTED_VALUE"""),42364.99861111111)</f>
        <v>42364.99861</v>
      </c>
      <c r="B1999" s="1">
        <f>IFERROR(__xludf.DUMMYFUNCTION("""COMPUTED_VALUE"""),14999.94295)</f>
        <v>14999.94295</v>
      </c>
    </row>
    <row r="2000">
      <c r="A2000" s="3">
        <f>IFERROR(__xludf.DUMMYFUNCTION("""COMPUTED_VALUE"""),42366.99861111111)</f>
        <v>42366.99861</v>
      </c>
      <c r="B2000" s="1">
        <f>IFERROR(__xludf.DUMMYFUNCTION("""COMPUTED_VALUE"""),14809.413)</f>
        <v>14809.413</v>
      </c>
    </row>
    <row r="2001">
      <c r="A2001" s="3">
        <f>IFERROR(__xludf.DUMMYFUNCTION("""COMPUTED_VALUE"""),42367.99861111111)</f>
        <v>42367.99861</v>
      </c>
      <c r="B2001" s="1">
        <f>IFERROR(__xludf.DUMMYFUNCTION("""COMPUTED_VALUE"""),14947.44818)</f>
        <v>14947.44818</v>
      </c>
    </row>
    <row r="2002">
      <c r="A2002" s="3">
        <f>IFERROR(__xludf.DUMMYFUNCTION("""COMPUTED_VALUE"""),42368.99861111111)</f>
        <v>42368.99861</v>
      </c>
      <c r="B2002" s="1">
        <f>IFERROR(__xludf.DUMMYFUNCTION("""COMPUTED_VALUE"""),15136.7385)</f>
        <v>15136.7385</v>
      </c>
    </row>
    <row r="2003">
      <c r="A2003" s="3">
        <f>IFERROR(__xludf.DUMMYFUNCTION("""COMPUTED_VALUE"""),42369.99861111111)</f>
        <v>42369.99861</v>
      </c>
      <c r="B2003" s="1">
        <f>IFERROR(__xludf.DUMMYFUNCTION("""COMPUTED_VALUE"""),14956.6195)</f>
        <v>14956.6195</v>
      </c>
    </row>
    <row r="2004">
      <c r="A2004" s="3">
        <f>IFERROR(__xludf.DUMMYFUNCTION("""COMPUTED_VALUE"""),42370.99861111111)</f>
        <v>42370.99861</v>
      </c>
      <c r="B2004" s="1">
        <f>IFERROR(__xludf.DUMMYFUNCTION("""COMPUTED_VALUE"""),14959.65)</f>
        <v>14959.65</v>
      </c>
    </row>
    <row r="2005">
      <c r="A2005" s="3">
        <f>IFERROR(__xludf.DUMMYFUNCTION("""COMPUTED_VALUE"""),42371.99861111111)</f>
        <v>42371.99861</v>
      </c>
      <c r="B2005" s="1">
        <f>IFERROR(__xludf.DUMMYFUNCTION("""COMPUTED_VALUE"""),15005.53357)</f>
        <v>15005.53357</v>
      </c>
    </row>
    <row r="2006">
      <c r="A2006" s="3">
        <f>IFERROR(__xludf.DUMMYFUNCTION("""COMPUTED_VALUE"""),42372.99861111111)</f>
        <v>42372.99861</v>
      </c>
      <c r="B2006" s="1">
        <f>IFERROR(__xludf.DUMMYFUNCTION("""COMPUTED_VALUE"""),14987.56396)</f>
        <v>14987.56396</v>
      </c>
    </row>
    <row r="2007">
      <c r="A2007" s="3">
        <f>IFERROR(__xludf.DUMMYFUNCTION("""COMPUTED_VALUE"""),42373.99861111111)</f>
        <v>42373.99861</v>
      </c>
      <c r="B2007" s="1">
        <f>IFERROR(__xludf.DUMMYFUNCTION("""COMPUTED_VALUE"""),15105.6611)</f>
        <v>15105.6611</v>
      </c>
    </row>
    <row r="2008">
      <c r="A2008" s="3">
        <f>IFERROR(__xludf.DUMMYFUNCTION("""COMPUTED_VALUE"""),42374.99861111111)</f>
        <v>42374.99861</v>
      </c>
      <c r="B2008" s="1">
        <f>IFERROR(__xludf.DUMMYFUNCTION("""COMPUTED_VALUE"""),14840.51305)</f>
        <v>14840.51305</v>
      </c>
    </row>
    <row r="2009">
      <c r="A2009" s="3">
        <f>IFERROR(__xludf.DUMMYFUNCTION("""COMPUTED_VALUE"""),42375.99861111111)</f>
        <v>42375.99861</v>
      </c>
      <c r="B2009" s="1">
        <f>IFERROR(__xludf.DUMMYFUNCTION("""COMPUTED_VALUE"""),14982.6375)</f>
        <v>14982.6375</v>
      </c>
    </row>
    <row r="2010">
      <c r="A2010" s="3">
        <f>IFERROR(__xludf.DUMMYFUNCTION("""COMPUTED_VALUE"""),42376.99861111111)</f>
        <v>42376.99861</v>
      </c>
      <c r="B2010" s="1">
        <f>IFERROR(__xludf.DUMMYFUNCTION("""COMPUTED_VALUE"""),15217.5499)</f>
        <v>15217.5499</v>
      </c>
    </row>
    <row r="2011">
      <c r="A2011" s="3">
        <f>IFERROR(__xludf.DUMMYFUNCTION("""COMPUTED_VALUE"""),42377.99861111111)</f>
        <v>42377.99861</v>
      </c>
      <c r="B2011" s="1">
        <f>IFERROR(__xludf.DUMMYFUNCTION("""COMPUTED_VALUE"""),15173.7138)</f>
        <v>15173.7138</v>
      </c>
    </row>
    <row r="2012">
      <c r="A2012" s="3">
        <f>IFERROR(__xludf.DUMMYFUNCTION("""COMPUTED_VALUE"""),42378.99861111111)</f>
        <v>42378.99861</v>
      </c>
      <c r="B2012" s="1">
        <f>IFERROR(__xludf.DUMMYFUNCTION("""COMPUTED_VALUE"""),15366.86932)</f>
        <v>15366.86932</v>
      </c>
    </row>
    <row r="2013">
      <c r="A2013" s="3">
        <f>IFERROR(__xludf.DUMMYFUNCTION("""COMPUTED_VALUE"""),42379.99861111111)</f>
        <v>42379.99861</v>
      </c>
      <c r="B2013" s="1">
        <f>IFERROR(__xludf.DUMMYFUNCTION("""COMPUTED_VALUE"""),15361.65312)</f>
        <v>15361.65312</v>
      </c>
    </row>
    <row r="2014">
      <c r="A2014" s="3">
        <f>IFERROR(__xludf.DUMMYFUNCTION("""COMPUTED_VALUE"""),42380.99861111111)</f>
        <v>42380.99861</v>
      </c>
      <c r="B2014" s="1">
        <f>IFERROR(__xludf.DUMMYFUNCTION("""COMPUTED_VALUE"""),14986.84605)</f>
        <v>14986.84605</v>
      </c>
    </row>
    <row r="2015">
      <c r="A2015" s="3">
        <f>IFERROR(__xludf.DUMMYFUNCTION("""COMPUTED_VALUE"""),42381.99861111111)</f>
        <v>42381.99861</v>
      </c>
      <c r="B2015" s="1">
        <f>IFERROR(__xludf.DUMMYFUNCTION("""COMPUTED_VALUE"""),14956.539)</f>
        <v>14956.539</v>
      </c>
    </row>
    <row r="2016">
      <c r="A2016" s="3">
        <f>IFERROR(__xludf.DUMMYFUNCTION("""COMPUTED_VALUE"""),42382.99861111111)</f>
        <v>42382.99861</v>
      </c>
      <c r="B2016" s="1">
        <f>IFERROR(__xludf.DUMMYFUNCTION("""COMPUTED_VALUE"""),15071.0748)</f>
        <v>15071.0748</v>
      </c>
    </row>
    <row r="2017">
      <c r="A2017" s="3">
        <f>IFERROR(__xludf.DUMMYFUNCTION("""COMPUTED_VALUE"""),42383.99861111111)</f>
        <v>42383.99861</v>
      </c>
      <c r="B2017" s="1">
        <f>IFERROR(__xludf.DUMMYFUNCTION("""COMPUTED_VALUE"""),15007.0375)</f>
        <v>15007.0375</v>
      </c>
    </row>
    <row r="2018">
      <c r="A2018" s="3">
        <f>IFERROR(__xludf.DUMMYFUNCTION("""COMPUTED_VALUE"""),42384.99861111111)</f>
        <v>42384.99861</v>
      </c>
      <c r="B2018" s="1">
        <f>IFERROR(__xludf.DUMMYFUNCTION("""COMPUTED_VALUE"""),15245.52111)</f>
        <v>15245.52111</v>
      </c>
    </row>
    <row r="2019">
      <c r="A2019" s="3">
        <f>IFERROR(__xludf.DUMMYFUNCTION("""COMPUTED_VALUE"""),42385.99861111111)</f>
        <v>42385.99861</v>
      </c>
      <c r="B2019" s="1">
        <f>IFERROR(__xludf.DUMMYFUNCTION("""COMPUTED_VALUE"""),15264.56907)</f>
        <v>15264.56907</v>
      </c>
    </row>
    <row r="2020">
      <c r="A2020" s="3">
        <f>IFERROR(__xludf.DUMMYFUNCTION("""COMPUTED_VALUE"""),42386.99861111111)</f>
        <v>42386.99861</v>
      </c>
      <c r="B2020" s="1">
        <f>IFERROR(__xludf.DUMMYFUNCTION("""COMPUTED_VALUE"""),15267.12851)</f>
        <v>15267.12851</v>
      </c>
    </row>
    <row r="2021">
      <c r="A2021" s="3">
        <f>IFERROR(__xludf.DUMMYFUNCTION("""COMPUTED_VALUE"""),42387.99861111111)</f>
        <v>42387.99861</v>
      </c>
      <c r="B2021" s="1">
        <f>IFERROR(__xludf.DUMMYFUNCTION("""COMPUTED_VALUE"""),15167.667)</f>
        <v>15167.667</v>
      </c>
    </row>
    <row r="2022">
      <c r="A2022" s="3">
        <f>IFERROR(__xludf.DUMMYFUNCTION("""COMPUTED_VALUE"""),42388.99861111111)</f>
        <v>42388.99861</v>
      </c>
      <c r="B2022" s="1">
        <f>IFERROR(__xludf.DUMMYFUNCTION("""COMPUTED_VALUE"""),15088.53)</f>
        <v>15088.53</v>
      </c>
    </row>
    <row r="2023">
      <c r="A2023" s="3">
        <f>IFERROR(__xludf.DUMMYFUNCTION("""COMPUTED_VALUE"""),42389.99861111111)</f>
        <v>42389.99861</v>
      </c>
      <c r="B2023" s="1">
        <f>IFERROR(__xludf.DUMMYFUNCTION("""COMPUTED_VALUE"""),15034.6875)</f>
        <v>15034.6875</v>
      </c>
    </row>
    <row r="2024">
      <c r="A2024" s="3">
        <f>IFERROR(__xludf.DUMMYFUNCTION("""COMPUTED_VALUE"""),42390.99861111111)</f>
        <v>42390.99861</v>
      </c>
      <c r="B2024" s="1">
        <f>IFERROR(__xludf.DUMMYFUNCTION("""COMPUTED_VALUE"""),14950.24251)</f>
        <v>14950.24251</v>
      </c>
    </row>
    <row r="2025">
      <c r="A2025" s="3">
        <f>IFERROR(__xludf.DUMMYFUNCTION("""COMPUTED_VALUE"""),42391.99861111111)</f>
        <v>42391.99861</v>
      </c>
      <c r="B2025" s="1">
        <f>IFERROR(__xludf.DUMMYFUNCTION("""COMPUTED_VALUE"""),14842.49843)</f>
        <v>14842.49843</v>
      </c>
    </row>
    <row r="2026">
      <c r="A2026" s="3">
        <f>IFERROR(__xludf.DUMMYFUNCTION("""COMPUTED_VALUE"""),42392.99861111111)</f>
        <v>42392.99861</v>
      </c>
      <c r="B2026" s="1">
        <f>IFERROR(__xludf.DUMMYFUNCTION("""COMPUTED_VALUE"""),14957.40401)</f>
        <v>14957.40401</v>
      </c>
    </row>
    <row r="2027">
      <c r="A2027" s="3">
        <f>IFERROR(__xludf.DUMMYFUNCTION("""COMPUTED_VALUE"""),42393.99861111111)</f>
        <v>42393.99861</v>
      </c>
      <c r="B2027" s="1">
        <f>IFERROR(__xludf.DUMMYFUNCTION("""COMPUTED_VALUE"""),14954.01066)</f>
        <v>14954.01066</v>
      </c>
    </row>
    <row r="2028">
      <c r="A2028" s="3">
        <f>IFERROR(__xludf.DUMMYFUNCTION("""COMPUTED_VALUE"""),42394.99861111111)</f>
        <v>42394.99861</v>
      </c>
      <c r="B2028" s="1">
        <f>IFERROR(__xludf.DUMMYFUNCTION("""COMPUTED_VALUE"""),15007.3479)</f>
        <v>15007.3479</v>
      </c>
    </row>
    <row r="2029">
      <c r="A2029" s="3">
        <f>IFERROR(__xludf.DUMMYFUNCTION("""COMPUTED_VALUE"""),42395.99861111111)</f>
        <v>42395.99861</v>
      </c>
      <c r="B2029" s="1">
        <f>IFERROR(__xludf.DUMMYFUNCTION("""COMPUTED_VALUE"""),15075.3456)</f>
        <v>15075.3456</v>
      </c>
    </row>
    <row r="2030">
      <c r="A2030" s="3">
        <f>IFERROR(__xludf.DUMMYFUNCTION("""COMPUTED_VALUE"""),42396.99861111111)</f>
        <v>42396.99861</v>
      </c>
      <c r="B2030" s="1">
        <f>IFERROR(__xludf.DUMMYFUNCTION("""COMPUTED_VALUE"""),15049.7008)</f>
        <v>15049.7008</v>
      </c>
    </row>
    <row r="2031">
      <c r="A2031" s="3">
        <f>IFERROR(__xludf.DUMMYFUNCTION("""COMPUTED_VALUE"""),42397.99861111111)</f>
        <v>42397.99861</v>
      </c>
      <c r="B2031" s="1">
        <f>IFERROR(__xludf.DUMMYFUNCTION("""COMPUTED_VALUE"""),15050.651)</f>
        <v>15050.651</v>
      </c>
    </row>
    <row r="2032">
      <c r="A2032" s="3">
        <f>IFERROR(__xludf.DUMMYFUNCTION("""COMPUTED_VALUE"""),42398.99861111111)</f>
        <v>42398.99861</v>
      </c>
      <c r="B2032" s="1">
        <f>IFERROR(__xludf.DUMMYFUNCTION("""COMPUTED_VALUE"""),14809.88825)</f>
        <v>14809.88825</v>
      </c>
    </row>
    <row r="2033">
      <c r="A2033" s="3">
        <f>IFERROR(__xludf.DUMMYFUNCTION("""COMPUTED_VALUE"""),42399.99861111111)</f>
        <v>42399.99861</v>
      </c>
      <c r="B2033" s="1">
        <f>IFERROR(__xludf.DUMMYFUNCTION("""COMPUTED_VALUE"""),15256.66842)</f>
        <v>15256.66842</v>
      </c>
    </row>
    <row r="2034">
      <c r="A2034" s="3">
        <f>IFERROR(__xludf.DUMMYFUNCTION("""COMPUTED_VALUE"""),42400.99861111111)</f>
        <v>42400.99861</v>
      </c>
      <c r="B2034" s="1">
        <f>IFERROR(__xludf.DUMMYFUNCTION("""COMPUTED_VALUE"""),15267.2753)</f>
        <v>15267.2753</v>
      </c>
    </row>
    <row r="2035">
      <c r="A2035" s="3">
        <f>IFERROR(__xludf.DUMMYFUNCTION("""COMPUTED_VALUE"""),42401.99861111111)</f>
        <v>42401.99861</v>
      </c>
      <c r="B2035" s="1">
        <f>IFERROR(__xludf.DUMMYFUNCTION("""COMPUTED_VALUE"""),14850.5665)</f>
        <v>14850.5665</v>
      </c>
    </row>
    <row r="2036">
      <c r="A2036" s="3">
        <f>IFERROR(__xludf.DUMMYFUNCTION("""COMPUTED_VALUE"""),42402.99861111111)</f>
        <v>42402.99861</v>
      </c>
      <c r="B2036" s="1">
        <f>IFERROR(__xludf.DUMMYFUNCTION("""COMPUTED_VALUE"""),14992.3362)</f>
        <v>14992.3362</v>
      </c>
    </row>
    <row r="2037">
      <c r="A2037" s="3">
        <f>IFERROR(__xludf.DUMMYFUNCTION("""COMPUTED_VALUE"""),42403.99861111111)</f>
        <v>42403.99861</v>
      </c>
      <c r="B2037" s="1">
        <f>IFERROR(__xludf.DUMMYFUNCTION("""COMPUTED_VALUE"""),15065.01858)</f>
        <v>15065.01858</v>
      </c>
    </row>
    <row r="2038">
      <c r="A2038" s="3">
        <f>IFERROR(__xludf.DUMMYFUNCTION("""COMPUTED_VALUE"""),42404.99861111111)</f>
        <v>42404.99861</v>
      </c>
      <c r="B2038" s="1">
        <f>IFERROR(__xludf.DUMMYFUNCTION("""COMPUTED_VALUE"""),15241.3564)</f>
        <v>15241.3564</v>
      </c>
    </row>
    <row r="2039">
      <c r="A2039" s="3">
        <f>IFERROR(__xludf.DUMMYFUNCTION("""COMPUTED_VALUE"""),42405.99861111111)</f>
        <v>42405.99861</v>
      </c>
      <c r="B2039" s="1">
        <f>IFERROR(__xludf.DUMMYFUNCTION("""COMPUTED_VALUE"""),15157.19205)</f>
        <v>15157.19205</v>
      </c>
    </row>
    <row r="2040">
      <c r="A2040" s="3">
        <f>IFERROR(__xludf.DUMMYFUNCTION("""COMPUTED_VALUE"""),42406.99861111111)</f>
        <v>42406.99861</v>
      </c>
      <c r="B2040" s="1">
        <f>IFERROR(__xludf.DUMMYFUNCTION("""COMPUTED_VALUE"""),15181.75267)</f>
        <v>15181.75267</v>
      </c>
    </row>
    <row r="2041">
      <c r="A2041" s="3">
        <f>IFERROR(__xludf.DUMMYFUNCTION("""COMPUTED_VALUE"""),42407.99861111111)</f>
        <v>42407.99861</v>
      </c>
      <c r="B2041" s="1">
        <f>IFERROR(__xludf.DUMMYFUNCTION("""COMPUTED_VALUE"""),15179.82737)</f>
        <v>15179.82737</v>
      </c>
    </row>
    <row r="2042">
      <c r="A2042" s="3">
        <f>IFERROR(__xludf.DUMMYFUNCTION("""COMPUTED_VALUE"""),42408.99861111111)</f>
        <v>42408.99861</v>
      </c>
      <c r="B2042" s="1">
        <f>IFERROR(__xludf.DUMMYFUNCTION("""COMPUTED_VALUE"""),15302.0764)</f>
        <v>15302.0764</v>
      </c>
    </row>
    <row r="2043">
      <c r="A2043" s="3">
        <f>IFERROR(__xludf.DUMMYFUNCTION("""COMPUTED_VALUE"""),42409.99861111111)</f>
        <v>42409.99861</v>
      </c>
      <c r="B2043" s="1">
        <f>IFERROR(__xludf.DUMMYFUNCTION("""COMPUTED_VALUE"""),15306.2568)</f>
        <v>15306.2568</v>
      </c>
    </row>
    <row r="2044">
      <c r="A2044" s="3">
        <f>IFERROR(__xludf.DUMMYFUNCTION("""COMPUTED_VALUE"""),42410.99861111111)</f>
        <v>42410.99861</v>
      </c>
      <c r="B2044" s="1">
        <f>IFERROR(__xludf.DUMMYFUNCTION("""COMPUTED_VALUE"""),15176.1636)</f>
        <v>15176.1636</v>
      </c>
    </row>
    <row r="2045">
      <c r="A2045" s="3">
        <f>IFERROR(__xludf.DUMMYFUNCTION("""COMPUTED_VALUE"""),42411.99861111111)</f>
        <v>42411.99861</v>
      </c>
      <c r="B2045" s="1">
        <f>IFERROR(__xludf.DUMMYFUNCTION("""COMPUTED_VALUE"""),15252.62)</f>
        <v>15252.62</v>
      </c>
    </row>
    <row r="2046">
      <c r="A2046" s="3">
        <f>IFERROR(__xludf.DUMMYFUNCTION("""COMPUTED_VALUE"""),42412.99861111111)</f>
        <v>42412.99861</v>
      </c>
      <c r="B2046" s="1">
        <f>IFERROR(__xludf.DUMMYFUNCTION("""COMPUTED_VALUE"""),15152.83775)</f>
        <v>15152.83775</v>
      </c>
    </row>
    <row r="2047">
      <c r="A2047" s="3">
        <f>IFERROR(__xludf.DUMMYFUNCTION("""COMPUTED_VALUE"""),42413.99861111111)</f>
        <v>42413.99861</v>
      </c>
      <c r="B2047" s="1">
        <f>IFERROR(__xludf.DUMMYFUNCTION("""COMPUTED_VALUE"""),15252.79868)</f>
        <v>15252.79868</v>
      </c>
    </row>
    <row r="2048">
      <c r="A2048" s="3">
        <f>IFERROR(__xludf.DUMMYFUNCTION("""COMPUTED_VALUE"""),42414.99861111111)</f>
        <v>42414.99861</v>
      </c>
      <c r="B2048" s="1">
        <f>IFERROR(__xludf.DUMMYFUNCTION("""COMPUTED_VALUE"""),15206.90439)</f>
        <v>15206.90439</v>
      </c>
    </row>
    <row r="2049">
      <c r="A2049" s="3">
        <f>IFERROR(__xludf.DUMMYFUNCTION("""COMPUTED_VALUE"""),42415.99861111111)</f>
        <v>42415.99861</v>
      </c>
      <c r="B2049" s="1">
        <f>IFERROR(__xludf.DUMMYFUNCTION("""COMPUTED_VALUE"""),14834.547)</f>
        <v>14834.547</v>
      </c>
    </row>
    <row r="2050">
      <c r="A2050" s="3">
        <f>IFERROR(__xludf.DUMMYFUNCTION("""COMPUTED_VALUE"""),42416.99861111111)</f>
        <v>42416.99861</v>
      </c>
      <c r="B2050" s="1">
        <f>IFERROR(__xludf.DUMMYFUNCTION("""COMPUTED_VALUE"""),14926.9374)</f>
        <v>14926.9374</v>
      </c>
    </row>
    <row r="2051">
      <c r="A2051" s="3">
        <f>IFERROR(__xludf.DUMMYFUNCTION("""COMPUTED_VALUE"""),42417.99861111111)</f>
        <v>42417.99861</v>
      </c>
      <c r="B2051" s="1">
        <f>IFERROR(__xludf.DUMMYFUNCTION("""COMPUTED_VALUE"""),15012.135)</f>
        <v>15012.135</v>
      </c>
    </row>
    <row r="2052">
      <c r="A2052" s="3">
        <f>IFERROR(__xludf.DUMMYFUNCTION("""COMPUTED_VALUE"""),42418.99861111111)</f>
        <v>42418.99861</v>
      </c>
      <c r="B2052" s="1">
        <f>IFERROR(__xludf.DUMMYFUNCTION("""COMPUTED_VALUE"""),14902.1869)</f>
        <v>14902.1869</v>
      </c>
    </row>
    <row r="2053">
      <c r="A2053" s="3">
        <f>IFERROR(__xludf.DUMMYFUNCTION("""COMPUTED_VALUE"""),42419.99861111111)</f>
        <v>42419.99861</v>
      </c>
      <c r="B2053" s="1">
        <f>IFERROR(__xludf.DUMMYFUNCTION("""COMPUTED_VALUE"""),14943.17684)</f>
        <v>14943.17684</v>
      </c>
    </row>
    <row r="2054">
      <c r="A2054" s="3">
        <f>IFERROR(__xludf.DUMMYFUNCTION("""COMPUTED_VALUE"""),42420.99861111111)</f>
        <v>42420.99861</v>
      </c>
      <c r="B2054" s="1">
        <f>IFERROR(__xludf.DUMMYFUNCTION("""COMPUTED_VALUE"""),15064.9418)</f>
        <v>15064.9418</v>
      </c>
    </row>
    <row r="2055">
      <c r="A2055" s="3">
        <f>IFERROR(__xludf.DUMMYFUNCTION("""COMPUTED_VALUE"""),42421.99861111111)</f>
        <v>42421.99861</v>
      </c>
      <c r="B2055" s="1">
        <f>IFERROR(__xludf.DUMMYFUNCTION("""COMPUTED_VALUE"""),15048.43302)</f>
        <v>15048.43302</v>
      </c>
    </row>
    <row r="2056">
      <c r="A2056" s="3">
        <f>IFERROR(__xludf.DUMMYFUNCTION("""COMPUTED_VALUE"""),42422.99861111111)</f>
        <v>42422.99861</v>
      </c>
      <c r="B2056" s="1">
        <f>IFERROR(__xludf.DUMMYFUNCTION("""COMPUTED_VALUE"""),14758.43485)</f>
        <v>14758.43485</v>
      </c>
    </row>
    <row r="2057">
      <c r="A2057" s="3">
        <f>IFERROR(__xludf.DUMMYFUNCTION("""COMPUTED_VALUE"""),42423.99861111111)</f>
        <v>42423.99861</v>
      </c>
      <c r="B2057" s="1">
        <f>IFERROR(__xludf.DUMMYFUNCTION("""COMPUTED_VALUE"""),14781.843)</f>
        <v>14781.843</v>
      </c>
    </row>
    <row r="2058">
      <c r="A2058" s="3">
        <f>IFERROR(__xludf.DUMMYFUNCTION("""COMPUTED_VALUE"""),42424.99861111111)</f>
        <v>42424.99861</v>
      </c>
      <c r="B2058" s="1">
        <f>IFERROR(__xludf.DUMMYFUNCTION("""COMPUTED_VALUE"""),14741.30205)</f>
        <v>14741.30205</v>
      </c>
    </row>
    <row r="2059">
      <c r="A2059" s="3">
        <f>IFERROR(__xludf.DUMMYFUNCTION("""COMPUTED_VALUE"""),42425.99861111111)</f>
        <v>42425.99861</v>
      </c>
      <c r="B2059" s="1">
        <f>IFERROR(__xludf.DUMMYFUNCTION("""COMPUTED_VALUE"""),14803.6204)</f>
        <v>14803.6204</v>
      </c>
    </row>
    <row r="2060">
      <c r="A2060" s="3">
        <f>IFERROR(__xludf.DUMMYFUNCTION("""COMPUTED_VALUE"""),42426.99861111111)</f>
        <v>42426.99861</v>
      </c>
      <c r="B2060" s="1">
        <f>IFERROR(__xludf.DUMMYFUNCTION("""COMPUTED_VALUE"""),14672.451)</f>
        <v>14672.451</v>
      </c>
    </row>
    <row r="2061">
      <c r="A2061" s="3">
        <f>IFERROR(__xludf.DUMMYFUNCTION("""COMPUTED_VALUE"""),42427.99861111111)</f>
        <v>42427.99861</v>
      </c>
      <c r="B2061" s="1">
        <f>IFERROR(__xludf.DUMMYFUNCTION("""COMPUTED_VALUE"""),14692.5132)</f>
        <v>14692.5132</v>
      </c>
    </row>
    <row r="2062">
      <c r="A2062" s="3">
        <f>IFERROR(__xludf.DUMMYFUNCTION("""COMPUTED_VALUE"""),42428.99861111111)</f>
        <v>42428.99861</v>
      </c>
      <c r="B2062" s="1">
        <f>IFERROR(__xludf.DUMMYFUNCTION("""COMPUTED_VALUE"""),14680.51051)</f>
        <v>14680.51051</v>
      </c>
    </row>
    <row r="2063">
      <c r="A2063" s="3">
        <f>IFERROR(__xludf.DUMMYFUNCTION("""COMPUTED_VALUE"""),42429.99861111111)</f>
        <v>42429.99861</v>
      </c>
      <c r="B2063" s="1">
        <f>IFERROR(__xludf.DUMMYFUNCTION("""COMPUTED_VALUE"""),14547.8025)</f>
        <v>14547.8025</v>
      </c>
    </row>
    <row r="2064">
      <c r="A2064" s="3">
        <f>IFERROR(__xludf.DUMMYFUNCTION("""COMPUTED_VALUE"""),42430.99861111111)</f>
        <v>42430.99861</v>
      </c>
      <c r="B2064" s="1">
        <f>IFERROR(__xludf.DUMMYFUNCTION("""COMPUTED_VALUE"""),14401.0512)</f>
        <v>14401.0512</v>
      </c>
    </row>
    <row r="2065">
      <c r="A2065" s="3">
        <f>IFERROR(__xludf.DUMMYFUNCTION("""COMPUTED_VALUE"""),42431.99861111111)</f>
        <v>42431.99861</v>
      </c>
      <c r="B2065" s="1">
        <f>IFERROR(__xludf.DUMMYFUNCTION("""COMPUTED_VALUE"""),14397.6883)</f>
        <v>14397.6883</v>
      </c>
    </row>
    <row r="2066">
      <c r="A2066" s="3">
        <f>IFERROR(__xludf.DUMMYFUNCTION("""COMPUTED_VALUE"""),42432.99861111111)</f>
        <v>42432.99861</v>
      </c>
      <c r="B2066" s="1">
        <f>IFERROR(__xludf.DUMMYFUNCTION("""COMPUTED_VALUE"""),14383.044)</f>
        <v>14383.044</v>
      </c>
    </row>
    <row r="2067">
      <c r="A2067" s="3">
        <f>IFERROR(__xludf.DUMMYFUNCTION("""COMPUTED_VALUE"""),42433.99861111111)</f>
        <v>42433.99861</v>
      </c>
      <c r="B2067" s="1">
        <f>IFERROR(__xludf.DUMMYFUNCTION("""COMPUTED_VALUE"""),14338.09568)</f>
        <v>14338.09568</v>
      </c>
    </row>
    <row r="2068">
      <c r="A2068" s="3">
        <f>IFERROR(__xludf.DUMMYFUNCTION("""COMPUTED_VALUE"""),42434.99861111111)</f>
        <v>42434.99861</v>
      </c>
      <c r="B2068" s="1">
        <f>IFERROR(__xludf.DUMMYFUNCTION("""COMPUTED_VALUE"""),14658.09902)</f>
        <v>14658.09902</v>
      </c>
    </row>
    <row r="2069">
      <c r="A2069" s="3">
        <f>IFERROR(__xludf.DUMMYFUNCTION("""COMPUTED_VALUE"""),42435.99861111111)</f>
        <v>42435.99861</v>
      </c>
      <c r="B2069" s="1">
        <f>IFERROR(__xludf.DUMMYFUNCTION("""COMPUTED_VALUE"""),14658.12966)</f>
        <v>14658.12966</v>
      </c>
    </row>
    <row r="2070">
      <c r="A2070" s="3">
        <f>IFERROR(__xludf.DUMMYFUNCTION("""COMPUTED_VALUE"""),42436.99861111111)</f>
        <v>42436.99861</v>
      </c>
      <c r="B2070" s="1">
        <f>IFERROR(__xludf.DUMMYFUNCTION("""COMPUTED_VALUE"""),14317.03)</f>
        <v>14317.03</v>
      </c>
    </row>
    <row r="2071">
      <c r="A2071" s="3">
        <f>IFERROR(__xludf.DUMMYFUNCTION("""COMPUTED_VALUE"""),42437.99861111111)</f>
        <v>42437.99861</v>
      </c>
      <c r="B2071" s="1">
        <f>IFERROR(__xludf.DUMMYFUNCTION("""COMPUTED_VALUE"""),14500.4181)</f>
        <v>14500.4181</v>
      </c>
    </row>
    <row r="2072">
      <c r="A2072" s="3">
        <f>IFERROR(__xludf.DUMMYFUNCTION("""COMPUTED_VALUE"""),42438.99861111111)</f>
        <v>42438.99861</v>
      </c>
      <c r="B2072" s="1">
        <f>IFERROR(__xludf.DUMMYFUNCTION("""COMPUTED_VALUE"""),14392.053)</f>
        <v>14392.053</v>
      </c>
    </row>
    <row r="2073">
      <c r="A2073" s="3">
        <f>IFERROR(__xludf.DUMMYFUNCTION("""COMPUTED_VALUE"""),42439.99861111111)</f>
        <v>42439.99861</v>
      </c>
      <c r="B2073" s="1">
        <f>IFERROR(__xludf.DUMMYFUNCTION("""COMPUTED_VALUE"""),14672.775)</f>
        <v>14672.775</v>
      </c>
    </row>
    <row r="2074">
      <c r="A2074" s="3">
        <f>IFERROR(__xludf.DUMMYFUNCTION("""COMPUTED_VALUE"""),42440.99861111111)</f>
        <v>42440.99861</v>
      </c>
      <c r="B2074" s="1">
        <f>IFERROR(__xludf.DUMMYFUNCTION("""COMPUTED_VALUE"""),14426.2678)</f>
        <v>14426.2678</v>
      </c>
    </row>
    <row r="2075">
      <c r="A2075" s="3">
        <f>IFERROR(__xludf.DUMMYFUNCTION("""COMPUTED_VALUE"""),42441.99861111111)</f>
        <v>42441.99861</v>
      </c>
      <c r="B2075" s="1">
        <f>IFERROR(__xludf.DUMMYFUNCTION("""COMPUTED_VALUE"""),14534.89146)</f>
        <v>14534.89146</v>
      </c>
    </row>
    <row r="2076">
      <c r="A2076" s="3">
        <f>IFERROR(__xludf.DUMMYFUNCTION("""COMPUTED_VALUE"""),42442.99861111111)</f>
        <v>42442.99861</v>
      </c>
      <c r="B2076" s="1">
        <f>IFERROR(__xludf.DUMMYFUNCTION("""COMPUTED_VALUE"""),14556.7037)</f>
        <v>14556.7037</v>
      </c>
    </row>
    <row r="2077">
      <c r="A2077" s="3">
        <f>IFERROR(__xludf.DUMMYFUNCTION("""COMPUTED_VALUE"""),42443.99861111111)</f>
        <v>42443.99861</v>
      </c>
      <c r="B2077" s="1">
        <f>IFERROR(__xludf.DUMMYFUNCTION("""COMPUTED_VALUE"""),14409.098)</f>
        <v>14409.098</v>
      </c>
    </row>
    <row r="2078">
      <c r="A2078" s="3">
        <f>IFERROR(__xludf.DUMMYFUNCTION("""COMPUTED_VALUE"""),42444.99861111111)</f>
        <v>42444.99861</v>
      </c>
      <c r="B2078" s="1">
        <f>IFERROR(__xludf.DUMMYFUNCTION("""COMPUTED_VALUE"""),14575.7161)</f>
        <v>14575.7161</v>
      </c>
    </row>
    <row r="2079">
      <c r="A2079" s="3">
        <f>IFERROR(__xludf.DUMMYFUNCTION("""COMPUTED_VALUE"""),42445.99861111111)</f>
        <v>42445.99861</v>
      </c>
      <c r="B2079" s="1">
        <f>IFERROR(__xludf.DUMMYFUNCTION("""COMPUTED_VALUE"""),14324.109)</f>
        <v>14324.109</v>
      </c>
    </row>
    <row r="2080">
      <c r="A2080" s="3">
        <f>IFERROR(__xludf.DUMMYFUNCTION("""COMPUTED_VALUE"""),42446.99861111111)</f>
        <v>42446.99861</v>
      </c>
      <c r="B2080" s="1">
        <f>IFERROR(__xludf.DUMMYFUNCTION("""COMPUTED_VALUE"""),14635.9525)</f>
        <v>14635.9525</v>
      </c>
    </row>
    <row r="2081">
      <c r="A2081" s="3">
        <f>IFERROR(__xludf.DUMMYFUNCTION("""COMPUTED_VALUE"""),42447.99861111111)</f>
        <v>42447.99861</v>
      </c>
      <c r="B2081" s="1">
        <f>IFERROR(__xludf.DUMMYFUNCTION("""COMPUTED_VALUE"""),14692.78296)</f>
        <v>14692.78296</v>
      </c>
    </row>
    <row r="2082">
      <c r="A2082" s="3">
        <f>IFERROR(__xludf.DUMMYFUNCTION("""COMPUTED_VALUE"""),42448.99861111111)</f>
        <v>42448.99861</v>
      </c>
      <c r="B2082" s="1">
        <f>IFERROR(__xludf.DUMMYFUNCTION("""COMPUTED_VALUE"""),14810.31033)</f>
        <v>14810.31033</v>
      </c>
    </row>
    <row r="2083">
      <c r="A2083" s="3">
        <f>IFERROR(__xludf.DUMMYFUNCTION("""COMPUTED_VALUE"""),42449.99861111111)</f>
        <v>42449.99861</v>
      </c>
      <c r="B2083" s="1">
        <f>IFERROR(__xludf.DUMMYFUNCTION("""COMPUTED_VALUE"""),14817.20915)</f>
        <v>14817.20915</v>
      </c>
    </row>
    <row r="2084">
      <c r="A2084" s="3">
        <f>IFERROR(__xludf.DUMMYFUNCTION("""COMPUTED_VALUE"""),42450.99861111111)</f>
        <v>42450.99861</v>
      </c>
      <c r="B2084" s="1">
        <f>IFERROR(__xludf.DUMMYFUNCTION("""COMPUTED_VALUE"""),14810.70501)</f>
        <v>14810.70501</v>
      </c>
    </row>
    <row r="2085">
      <c r="A2085" s="3">
        <f>IFERROR(__xludf.DUMMYFUNCTION("""COMPUTED_VALUE"""),42451.99861111111)</f>
        <v>42451.99861</v>
      </c>
      <c r="B2085" s="1">
        <f>IFERROR(__xludf.DUMMYFUNCTION("""COMPUTED_VALUE"""),14699.322)</f>
        <v>14699.322</v>
      </c>
    </row>
    <row r="2086">
      <c r="A2086" s="3">
        <f>IFERROR(__xludf.DUMMYFUNCTION("""COMPUTED_VALUE"""),42452.99861111111)</f>
        <v>42452.99861</v>
      </c>
      <c r="B2086" s="1">
        <f>IFERROR(__xludf.DUMMYFUNCTION("""COMPUTED_VALUE"""),14771.33055)</f>
        <v>14771.33055</v>
      </c>
    </row>
    <row r="2087">
      <c r="A2087" s="3">
        <f>IFERROR(__xludf.DUMMYFUNCTION("""COMPUTED_VALUE"""),42453.99861111111)</f>
        <v>42453.99861</v>
      </c>
      <c r="B2087" s="1">
        <f>IFERROR(__xludf.DUMMYFUNCTION("""COMPUTED_VALUE"""),14774.6445)</f>
        <v>14774.6445</v>
      </c>
    </row>
    <row r="2088">
      <c r="A2088" s="3">
        <f>IFERROR(__xludf.DUMMYFUNCTION("""COMPUTED_VALUE"""),42454.99861111111)</f>
        <v>42454.99861</v>
      </c>
      <c r="B2088" s="1">
        <f>IFERROR(__xludf.DUMMYFUNCTION("""COMPUTED_VALUE"""),14697.1932)</f>
        <v>14697.1932</v>
      </c>
    </row>
    <row r="2089">
      <c r="A2089" s="3">
        <f>IFERROR(__xludf.DUMMYFUNCTION("""COMPUTED_VALUE"""),42455.99861111111)</f>
        <v>42455.99861</v>
      </c>
      <c r="B2089" s="1">
        <f>IFERROR(__xludf.DUMMYFUNCTION("""COMPUTED_VALUE"""),14831.25884)</f>
        <v>14831.25884</v>
      </c>
    </row>
    <row r="2090">
      <c r="A2090" s="3">
        <f>IFERROR(__xludf.DUMMYFUNCTION("""COMPUTED_VALUE"""),42456.99861111111)</f>
        <v>42456.99861</v>
      </c>
      <c r="B2090" s="1">
        <f>IFERROR(__xludf.DUMMYFUNCTION("""COMPUTED_VALUE"""),14814.07425)</f>
        <v>14814.07425</v>
      </c>
    </row>
    <row r="2091">
      <c r="A2091" s="3">
        <f>IFERROR(__xludf.DUMMYFUNCTION("""COMPUTED_VALUE"""),42457.99861111111)</f>
        <v>42457.99861</v>
      </c>
      <c r="B2091" s="1">
        <f>IFERROR(__xludf.DUMMYFUNCTION("""COMPUTED_VALUE"""),14872.82058)</f>
        <v>14872.82058</v>
      </c>
    </row>
    <row r="2092">
      <c r="A2092" s="3">
        <f>IFERROR(__xludf.DUMMYFUNCTION("""COMPUTED_VALUE"""),42458.99861111111)</f>
        <v>42458.99861</v>
      </c>
      <c r="B2092" s="1">
        <f>IFERROR(__xludf.DUMMYFUNCTION("""COMPUTED_VALUE"""),14877.584)</f>
        <v>14877.584</v>
      </c>
    </row>
    <row r="2093">
      <c r="A2093" s="3">
        <f>IFERROR(__xludf.DUMMYFUNCTION("""COMPUTED_VALUE"""),42459.99861111111)</f>
        <v>42459.99861</v>
      </c>
      <c r="B2093" s="1">
        <f>IFERROR(__xludf.DUMMYFUNCTION("""COMPUTED_VALUE"""),15005.2892)</f>
        <v>15005.2892</v>
      </c>
    </row>
    <row r="2094">
      <c r="A2094" s="3">
        <f>IFERROR(__xludf.DUMMYFUNCTION("""COMPUTED_VALUE"""),42460.99861111111)</f>
        <v>42460.99861</v>
      </c>
      <c r="B2094" s="1">
        <f>IFERROR(__xludf.DUMMYFUNCTION("""COMPUTED_VALUE"""),14972.4882)</f>
        <v>14972.4882</v>
      </c>
    </row>
    <row r="2095">
      <c r="A2095" s="3">
        <f>IFERROR(__xludf.DUMMYFUNCTION("""COMPUTED_VALUE"""),42461.99861111111)</f>
        <v>42461.99861</v>
      </c>
      <c r="B2095" s="1">
        <f>IFERROR(__xludf.DUMMYFUNCTION("""COMPUTED_VALUE"""),14954.01586)</f>
        <v>14954.01586</v>
      </c>
    </row>
    <row r="2096">
      <c r="A2096" s="3">
        <f>IFERROR(__xludf.DUMMYFUNCTION("""COMPUTED_VALUE"""),42462.99861111111)</f>
        <v>42462.99861</v>
      </c>
      <c r="B2096" s="1">
        <f>IFERROR(__xludf.DUMMYFUNCTION("""COMPUTED_VALUE"""),14974.69924)</f>
        <v>14974.69924</v>
      </c>
    </row>
    <row r="2097">
      <c r="A2097" s="3">
        <f>IFERROR(__xludf.DUMMYFUNCTION("""COMPUTED_VALUE"""),42463.99861111111)</f>
        <v>42463.99861</v>
      </c>
      <c r="B2097" s="1">
        <f>IFERROR(__xludf.DUMMYFUNCTION("""COMPUTED_VALUE"""),14971.21698)</f>
        <v>14971.21698</v>
      </c>
    </row>
    <row r="2098">
      <c r="A2098" s="3">
        <f>IFERROR(__xludf.DUMMYFUNCTION("""COMPUTED_VALUE"""),42464.99861111111)</f>
        <v>42464.99861</v>
      </c>
      <c r="B2098" s="1">
        <f>IFERROR(__xludf.DUMMYFUNCTION("""COMPUTED_VALUE"""),14959.89)</f>
        <v>14959.89</v>
      </c>
    </row>
    <row r="2099">
      <c r="A2099" s="3">
        <f>IFERROR(__xludf.DUMMYFUNCTION("""COMPUTED_VALUE"""),42465.99861111111)</f>
        <v>42465.99861</v>
      </c>
      <c r="B2099" s="1">
        <f>IFERROR(__xludf.DUMMYFUNCTION("""COMPUTED_VALUE"""),15034.8294)</f>
        <v>15034.8294</v>
      </c>
    </row>
    <row r="2100">
      <c r="A2100" s="3">
        <f>IFERROR(__xludf.DUMMYFUNCTION("""COMPUTED_VALUE"""),42466.99861111111)</f>
        <v>42466.99861</v>
      </c>
      <c r="B2100" s="1">
        <f>IFERROR(__xludf.DUMMYFUNCTION("""COMPUTED_VALUE"""),15018.0558)</f>
        <v>15018.0558</v>
      </c>
    </row>
    <row r="2101">
      <c r="A2101" s="3">
        <f>IFERROR(__xludf.DUMMYFUNCTION("""COMPUTED_VALUE"""),42467.99861111111)</f>
        <v>42467.99861</v>
      </c>
      <c r="B2101" s="1">
        <f>IFERROR(__xludf.DUMMYFUNCTION("""COMPUTED_VALUE"""),14976.564)</f>
        <v>14976.564</v>
      </c>
    </row>
    <row r="2102">
      <c r="A2102" s="3">
        <f>IFERROR(__xludf.DUMMYFUNCTION("""COMPUTED_VALUE"""),42468.99861111111)</f>
        <v>42468.99861</v>
      </c>
      <c r="B2102" s="1">
        <f>IFERROR(__xludf.DUMMYFUNCTION("""COMPUTED_VALUE"""),14944.2802)</f>
        <v>14944.2802</v>
      </c>
    </row>
    <row r="2103">
      <c r="A2103" s="3">
        <f>IFERROR(__xludf.DUMMYFUNCTION("""COMPUTED_VALUE"""),42469.99861111111)</f>
        <v>42469.99861</v>
      </c>
      <c r="B2103" s="1">
        <f>IFERROR(__xludf.DUMMYFUNCTION("""COMPUTED_VALUE"""),14979.64011)</f>
        <v>14979.64011</v>
      </c>
    </row>
    <row r="2104">
      <c r="A2104" s="3">
        <f>IFERROR(__xludf.DUMMYFUNCTION("""COMPUTED_VALUE"""),42470.99861111111)</f>
        <v>42470.99861</v>
      </c>
      <c r="B2104" s="1">
        <f>IFERROR(__xludf.DUMMYFUNCTION("""COMPUTED_VALUE"""),14985.54024)</f>
        <v>14985.54024</v>
      </c>
    </row>
    <row r="2105">
      <c r="A2105" s="3">
        <f>IFERROR(__xludf.DUMMYFUNCTION("""COMPUTED_VALUE"""),42471.99861111111)</f>
        <v>42471.99861</v>
      </c>
      <c r="B2105" s="1">
        <f>IFERROR(__xludf.DUMMYFUNCTION("""COMPUTED_VALUE"""),14942.83545)</f>
        <v>14942.83545</v>
      </c>
    </row>
    <row r="2106">
      <c r="A2106" s="3">
        <f>IFERROR(__xludf.DUMMYFUNCTION("""COMPUTED_VALUE"""),42472.99861111111)</f>
        <v>42472.99861</v>
      </c>
      <c r="B2106" s="1">
        <f>IFERROR(__xludf.DUMMYFUNCTION("""COMPUTED_VALUE"""),14881.64955)</f>
        <v>14881.64955</v>
      </c>
    </row>
    <row r="2107">
      <c r="A2107" s="3">
        <f>IFERROR(__xludf.DUMMYFUNCTION("""COMPUTED_VALUE"""),42473.99861111111)</f>
        <v>42473.99861</v>
      </c>
      <c r="B2107" s="1">
        <f>IFERROR(__xludf.DUMMYFUNCTION("""COMPUTED_VALUE"""),14822.302)</f>
        <v>14822.302</v>
      </c>
    </row>
    <row r="2108">
      <c r="A2108" s="3">
        <f>IFERROR(__xludf.DUMMYFUNCTION("""COMPUTED_VALUE"""),42474.99861111111)</f>
        <v>42474.99861</v>
      </c>
      <c r="B2108" s="1">
        <f>IFERROR(__xludf.DUMMYFUNCTION("""COMPUTED_VALUE"""),14842.2096)</f>
        <v>14842.2096</v>
      </c>
    </row>
    <row r="2109">
      <c r="A2109" s="3">
        <f>IFERROR(__xludf.DUMMYFUNCTION("""COMPUTED_VALUE"""),42475.99861111111)</f>
        <v>42475.99861</v>
      </c>
      <c r="B2109" s="1">
        <f>IFERROR(__xludf.DUMMYFUNCTION("""COMPUTED_VALUE"""),14815.2355)</f>
        <v>14815.2355</v>
      </c>
    </row>
    <row r="2110">
      <c r="A2110" s="3">
        <f>IFERROR(__xludf.DUMMYFUNCTION("""COMPUTED_VALUE"""),42476.99861111111)</f>
        <v>42476.99861</v>
      </c>
      <c r="B2110" s="1">
        <f>IFERROR(__xludf.DUMMYFUNCTION("""COMPUTED_VALUE"""),14928.95138)</f>
        <v>14928.95138</v>
      </c>
    </row>
    <row r="2111">
      <c r="A2111" s="3">
        <f>IFERROR(__xludf.DUMMYFUNCTION("""COMPUTED_VALUE"""),42477.99861111111)</f>
        <v>42477.99861</v>
      </c>
      <c r="B2111" s="1">
        <f>IFERROR(__xludf.DUMMYFUNCTION("""COMPUTED_VALUE"""),14941.79529)</f>
        <v>14941.79529</v>
      </c>
    </row>
    <row r="2112">
      <c r="A2112" s="3">
        <f>IFERROR(__xludf.DUMMYFUNCTION("""COMPUTED_VALUE"""),42478.99861111111)</f>
        <v>42478.99861</v>
      </c>
      <c r="B2112" s="1">
        <f>IFERROR(__xludf.DUMMYFUNCTION("""COMPUTED_VALUE"""),14816.56176)</f>
        <v>14816.56176</v>
      </c>
    </row>
    <row r="2113">
      <c r="A2113" s="3">
        <f>IFERROR(__xludf.DUMMYFUNCTION("""COMPUTED_VALUE"""),42479.99861111111)</f>
        <v>42479.99861</v>
      </c>
      <c r="B2113" s="1">
        <f>IFERROR(__xludf.DUMMYFUNCTION("""COMPUTED_VALUE"""),14862.16278)</f>
        <v>14862.16278</v>
      </c>
    </row>
    <row r="2114">
      <c r="A2114" s="3">
        <f>IFERROR(__xludf.DUMMYFUNCTION("""COMPUTED_VALUE"""),42480.99861111111)</f>
        <v>42480.99861</v>
      </c>
      <c r="B2114" s="1">
        <f>IFERROR(__xludf.DUMMYFUNCTION("""COMPUTED_VALUE"""),14879.81822)</f>
        <v>14879.81822</v>
      </c>
    </row>
    <row r="2115">
      <c r="A2115" s="3">
        <f>IFERROR(__xludf.DUMMYFUNCTION("""COMPUTED_VALUE"""),42481.99861111111)</f>
        <v>42481.99861</v>
      </c>
      <c r="B2115" s="1">
        <f>IFERROR(__xludf.DUMMYFUNCTION("""COMPUTED_VALUE"""),14870.66112)</f>
        <v>14870.66112</v>
      </c>
    </row>
    <row r="2116">
      <c r="A2116" s="3">
        <f>IFERROR(__xludf.DUMMYFUNCTION("""COMPUTED_VALUE"""),42482.99861111111)</f>
        <v>42482.99861</v>
      </c>
      <c r="B2116" s="1">
        <f>IFERROR(__xludf.DUMMYFUNCTION("""COMPUTED_VALUE"""),14810.19995)</f>
        <v>14810.19995</v>
      </c>
    </row>
    <row r="2117">
      <c r="A2117" s="3">
        <f>IFERROR(__xludf.DUMMYFUNCTION("""COMPUTED_VALUE"""),42483.99861111111)</f>
        <v>42483.99861</v>
      </c>
      <c r="B2117" s="1">
        <f>IFERROR(__xludf.DUMMYFUNCTION("""COMPUTED_VALUE"""),14842.58897)</f>
        <v>14842.58897</v>
      </c>
    </row>
    <row r="2118">
      <c r="A2118" s="3">
        <f>IFERROR(__xludf.DUMMYFUNCTION("""COMPUTED_VALUE"""),42484.99861111111)</f>
        <v>42484.99861</v>
      </c>
      <c r="B2118" s="1">
        <f>IFERROR(__xludf.DUMMYFUNCTION("""COMPUTED_VALUE"""),14836.97729)</f>
        <v>14836.97729</v>
      </c>
    </row>
    <row r="2119">
      <c r="A2119" s="3">
        <f>IFERROR(__xludf.DUMMYFUNCTION("""COMPUTED_VALUE"""),42485.99861111111)</f>
        <v>42485.99861</v>
      </c>
      <c r="B2119" s="1">
        <f>IFERROR(__xludf.DUMMYFUNCTION("""COMPUTED_VALUE"""),14859.854)</f>
        <v>14859.854</v>
      </c>
    </row>
    <row r="2120">
      <c r="A2120" s="3">
        <f>IFERROR(__xludf.DUMMYFUNCTION("""COMPUTED_VALUE"""),42486.99861111111)</f>
        <v>42486.99861</v>
      </c>
      <c r="B2120" s="1">
        <f>IFERROR(__xludf.DUMMYFUNCTION("""COMPUTED_VALUE"""),14864.878)</f>
        <v>14864.878</v>
      </c>
    </row>
    <row r="2121">
      <c r="A2121" s="3">
        <f>IFERROR(__xludf.DUMMYFUNCTION("""COMPUTED_VALUE"""),42487.99861111111)</f>
        <v>42487.99861</v>
      </c>
      <c r="B2121" s="1">
        <f>IFERROR(__xludf.DUMMYFUNCTION("""COMPUTED_VALUE"""),14900.4054)</f>
        <v>14900.4054</v>
      </c>
    </row>
    <row r="2122">
      <c r="A2122" s="3">
        <f>IFERROR(__xludf.DUMMYFUNCTION("""COMPUTED_VALUE"""),42488.99861111111)</f>
        <v>42488.99861</v>
      </c>
      <c r="B2122" s="1">
        <f>IFERROR(__xludf.DUMMYFUNCTION("""COMPUTED_VALUE"""),14954.535)</f>
        <v>14954.535</v>
      </c>
    </row>
    <row r="2123">
      <c r="A2123" s="3">
        <f>IFERROR(__xludf.DUMMYFUNCTION("""COMPUTED_VALUE"""),42489.99861111111)</f>
        <v>42489.99861</v>
      </c>
      <c r="B2123" s="1">
        <f>IFERROR(__xludf.DUMMYFUNCTION("""COMPUTED_VALUE"""),15081.4225)</f>
        <v>15081.4225</v>
      </c>
    </row>
    <row r="2124">
      <c r="A2124" s="3">
        <f>IFERROR(__xludf.DUMMYFUNCTION("""COMPUTED_VALUE"""),42490.99861111111)</f>
        <v>42490.99861</v>
      </c>
      <c r="B2124" s="1">
        <f>IFERROR(__xludf.DUMMYFUNCTION("""COMPUTED_VALUE"""),15123.26506)</f>
        <v>15123.26506</v>
      </c>
    </row>
    <row r="2125">
      <c r="A2125" s="3">
        <f>IFERROR(__xludf.DUMMYFUNCTION("""COMPUTED_VALUE"""),42491.99861111111)</f>
        <v>42491.99861</v>
      </c>
      <c r="B2125" s="1">
        <f>IFERROR(__xludf.DUMMYFUNCTION("""COMPUTED_VALUE"""),15140.54378)</f>
        <v>15140.54378</v>
      </c>
    </row>
    <row r="2126">
      <c r="A2126" s="3">
        <f>IFERROR(__xludf.DUMMYFUNCTION("""COMPUTED_VALUE"""),42492.99861111111)</f>
        <v>42492.99861</v>
      </c>
      <c r="B2126" s="1">
        <f>IFERROR(__xludf.DUMMYFUNCTION("""COMPUTED_VALUE"""),15089.23755)</f>
        <v>15089.23755</v>
      </c>
    </row>
    <row r="2127">
      <c r="A2127" s="3">
        <f>IFERROR(__xludf.DUMMYFUNCTION("""COMPUTED_VALUE"""),42493.99861111111)</f>
        <v>42493.99861</v>
      </c>
      <c r="B2127" s="1">
        <f>IFERROR(__xludf.DUMMYFUNCTION("""COMPUTED_VALUE"""),15163.67295)</f>
        <v>15163.67295</v>
      </c>
    </row>
    <row r="2128">
      <c r="A2128" s="3">
        <f>IFERROR(__xludf.DUMMYFUNCTION("""COMPUTED_VALUE"""),42494.99861111111)</f>
        <v>42494.99861</v>
      </c>
      <c r="B2128" s="1">
        <f>IFERROR(__xludf.DUMMYFUNCTION("""COMPUTED_VALUE"""),15337.815)</f>
        <v>15337.815</v>
      </c>
    </row>
    <row r="2129">
      <c r="A2129" s="3">
        <f>IFERROR(__xludf.DUMMYFUNCTION("""COMPUTED_VALUE"""),42495.99861111111)</f>
        <v>42495.99861</v>
      </c>
      <c r="B2129" s="1">
        <f>IFERROR(__xludf.DUMMYFUNCTION("""COMPUTED_VALUE"""),15215.969)</f>
        <v>15215.969</v>
      </c>
    </row>
    <row r="2130">
      <c r="A2130" s="3">
        <f>IFERROR(__xludf.DUMMYFUNCTION("""COMPUTED_VALUE"""),42496.99861111111)</f>
        <v>42496.99861</v>
      </c>
      <c r="B2130" s="1">
        <f>IFERROR(__xludf.DUMMYFUNCTION("""COMPUTED_VALUE"""),15177.5261)</f>
        <v>15177.5261</v>
      </c>
    </row>
    <row r="2131">
      <c r="A2131" s="3">
        <f>IFERROR(__xludf.DUMMYFUNCTION("""COMPUTED_VALUE"""),42497.99861111111)</f>
        <v>42497.99861</v>
      </c>
      <c r="B2131" s="1">
        <f>IFERROR(__xludf.DUMMYFUNCTION("""COMPUTED_VALUE"""),15287.98273)</f>
        <v>15287.98273</v>
      </c>
    </row>
    <row r="2132">
      <c r="A2132" s="3">
        <f>IFERROR(__xludf.DUMMYFUNCTION("""COMPUTED_VALUE"""),42498.99861111111)</f>
        <v>42498.99861</v>
      </c>
      <c r="B2132" s="1">
        <f>IFERROR(__xludf.DUMMYFUNCTION("""COMPUTED_VALUE"""),15266.74949)</f>
        <v>15266.74949</v>
      </c>
    </row>
    <row r="2133">
      <c r="A2133" s="3">
        <f>IFERROR(__xludf.DUMMYFUNCTION("""COMPUTED_VALUE"""),42499.99861111111)</f>
        <v>42499.99861</v>
      </c>
      <c r="B2133" s="1">
        <f>IFERROR(__xludf.DUMMYFUNCTION("""COMPUTED_VALUE"""),15229.84827)</f>
        <v>15229.84827</v>
      </c>
    </row>
    <row r="2134">
      <c r="A2134" s="3">
        <f>IFERROR(__xludf.DUMMYFUNCTION("""COMPUTED_VALUE"""),42500.99861111111)</f>
        <v>42500.99861</v>
      </c>
      <c r="B2134" s="1">
        <f>IFERROR(__xludf.DUMMYFUNCTION("""COMPUTED_VALUE"""),15123.94838)</f>
        <v>15123.94838</v>
      </c>
    </row>
    <row r="2135">
      <c r="A2135" s="3">
        <f>IFERROR(__xludf.DUMMYFUNCTION("""COMPUTED_VALUE"""),42501.99861111111)</f>
        <v>42501.99861</v>
      </c>
      <c r="B2135" s="1">
        <f>IFERROR(__xludf.DUMMYFUNCTION("""COMPUTED_VALUE"""),15133.3728)</f>
        <v>15133.3728</v>
      </c>
    </row>
    <row r="2136">
      <c r="A2136" s="3">
        <f>IFERROR(__xludf.DUMMYFUNCTION("""COMPUTED_VALUE"""),42502.99861111111)</f>
        <v>42502.99861</v>
      </c>
      <c r="B2136" s="1">
        <f>IFERROR(__xludf.DUMMYFUNCTION("""COMPUTED_VALUE"""),15074.9115)</f>
        <v>15074.9115</v>
      </c>
    </row>
    <row r="2137">
      <c r="A2137" s="3">
        <f>IFERROR(__xludf.DUMMYFUNCTION("""COMPUTED_VALUE"""),42503.99861111111)</f>
        <v>42503.99861</v>
      </c>
      <c r="B2137" s="1">
        <f>IFERROR(__xludf.DUMMYFUNCTION("""COMPUTED_VALUE"""),15073.29252)</f>
        <v>15073.29252</v>
      </c>
    </row>
    <row r="2138">
      <c r="A2138" s="3">
        <f>IFERROR(__xludf.DUMMYFUNCTION("""COMPUTED_VALUE"""),42504.99861111111)</f>
        <v>42504.99861</v>
      </c>
      <c r="B2138" s="1">
        <f>IFERROR(__xludf.DUMMYFUNCTION("""COMPUTED_VALUE"""),15078.51623)</f>
        <v>15078.51623</v>
      </c>
    </row>
    <row r="2139">
      <c r="A2139" s="3">
        <f>IFERROR(__xludf.DUMMYFUNCTION("""COMPUTED_VALUE"""),42505.99861111111)</f>
        <v>42505.99861</v>
      </c>
      <c r="B2139" s="1">
        <f>IFERROR(__xludf.DUMMYFUNCTION("""COMPUTED_VALUE"""),15066.83376)</f>
        <v>15066.83376</v>
      </c>
    </row>
    <row r="2140">
      <c r="A2140" s="3">
        <f>IFERROR(__xludf.DUMMYFUNCTION("""COMPUTED_VALUE"""),42506.99861111111)</f>
        <v>42506.99861</v>
      </c>
      <c r="B2140" s="1">
        <f>IFERROR(__xludf.DUMMYFUNCTION("""COMPUTED_VALUE"""),15067.584)</f>
        <v>15067.584</v>
      </c>
    </row>
    <row r="2141">
      <c r="A2141" s="3">
        <f>IFERROR(__xludf.DUMMYFUNCTION("""COMPUTED_VALUE"""),42507.99861111111)</f>
        <v>42507.99861</v>
      </c>
      <c r="B2141" s="1">
        <f>IFERROR(__xludf.DUMMYFUNCTION("""COMPUTED_VALUE"""),15066.6534)</f>
        <v>15066.6534</v>
      </c>
    </row>
    <row r="2142">
      <c r="A2142" s="3">
        <f>IFERROR(__xludf.DUMMYFUNCTION("""COMPUTED_VALUE"""),42508.99861111111)</f>
        <v>42508.99861</v>
      </c>
      <c r="B2142" s="1">
        <f>IFERROR(__xludf.DUMMYFUNCTION("""COMPUTED_VALUE"""),15071.383)</f>
        <v>15071.383</v>
      </c>
    </row>
    <row r="2143">
      <c r="A2143" s="3">
        <f>IFERROR(__xludf.DUMMYFUNCTION("""COMPUTED_VALUE"""),42509.99861111111)</f>
        <v>42509.99861</v>
      </c>
      <c r="B2143" s="1">
        <f>IFERROR(__xludf.DUMMYFUNCTION("""COMPUTED_VALUE"""),15232.3818)</f>
        <v>15232.3818</v>
      </c>
    </row>
    <row r="2144">
      <c r="A2144" s="3">
        <f>IFERROR(__xludf.DUMMYFUNCTION("""COMPUTED_VALUE"""),42510.99861111111)</f>
        <v>42510.99861</v>
      </c>
      <c r="B2144" s="1">
        <f>IFERROR(__xludf.DUMMYFUNCTION("""COMPUTED_VALUE"""),15267.531)</f>
        <v>15267.531</v>
      </c>
    </row>
    <row r="2145">
      <c r="A2145" s="3">
        <f>IFERROR(__xludf.DUMMYFUNCTION("""COMPUTED_VALUE"""),42511.99861111111)</f>
        <v>42511.99861</v>
      </c>
      <c r="B2145" s="1">
        <f>IFERROR(__xludf.DUMMYFUNCTION("""COMPUTED_VALUE"""),15291.84365)</f>
        <v>15291.84365</v>
      </c>
    </row>
    <row r="2146">
      <c r="A2146" s="3">
        <f>IFERROR(__xludf.DUMMYFUNCTION("""COMPUTED_VALUE"""),42512.99861111111)</f>
        <v>42512.99861</v>
      </c>
      <c r="B2146" s="1">
        <f>IFERROR(__xludf.DUMMYFUNCTION("""COMPUTED_VALUE"""),15287.86545)</f>
        <v>15287.86545</v>
      </c>
    </row>
    <row r="2147">
      <c r="A2147" s="3">
        <f>IFERROR(__xludf.DUMMYFUNCTION("""COMPUTED_VALUE"""),42513.99861111111)</f>
        <v>42513.99861</v>
      </c>
      <c r="B2147" s="1">
        <f>IFERROR(__xludf.DUMMYFUNCTION("""COMPUTED_VALUE"""),15182.2666)</f>
        <v>15182.2666</v>
      </c>
    </row>
    <row r="2148">
      <c r="A2148" s="3">
        <f>IFERROR(__xludf.DUMMYFUNCTION("""COMPUTED_VALUE"""),42514.99861111111)</f>
        <v>42514.99861</v>
      </c>
      <c r="B2148" s="1">
        <f>IFERROR(__xludf.DUMMYFUNCTION("""COMPUTED_VALUE"""),15108.838)</f>
        <v>15108.838</v>
      </c>
    </row>
    <row r="2149">
      <c r="A2149" s="3">
        <f>IFERROR(__xludf.DUMMYFUNCTION("""COMPUTED_VALUE"""),42515.99861111111)</f>
        <v>42515.99861</v>
      </c>
      <c r="B2149" s="1">
        <f>IFERROR(__xludf.DUMMYFUNCTION("""COMPUTED_VALUE"""),15181.0848)</f>
        <v>15181.0848</v>
      </c>
    </row>
    <row r="2150">
      <c r="A2150" s="3">
        <f>IFERROR(__xludf.DUMMYFUNCTION("""COMPUTED_VALUE"""),42516.99861111111)</f>
        <v>42516.99861</v>
      </c>
      <c r="B2150" s="1">
        <f>IFERROR(__xludf.DUMMYFUNCTION("""COMPUTED_VALUE"""),15159.9761)</f>
        <v>15159.9761</v>
      </c>
    </row>
    <row r="2151">
      <c r="A2151" s="3">
        <f>IFERROR(__xludf.DUMMYFUNCTION("""COMPUTED_VALUE"""),42517.99861111111)</f>
        <v>42517.99861</v>
      </c>
      <c r="B2151" s="1">
        <f>IFERROR(__xludf.DUMMYFUNCTION("""COMPUTED_VALUE"""),15066.6516)</f>
        <v>15066.6516</v>
      </c>
    </row>
    <row r="2152">
      <c r="A2152" s="3">
        <f>IFERROR(__xludf.DUMMYFUNCTION("""COMPUTED_VALUE"""),42518.99861111111)</f>
        <v>42518.99861</v>
      </c>
      <c r="B2152" s="1">
        <f>IFERROR(__xludf.DUMMYFUNCTION("""COMPUTED_VALUE"""),15265.05079)</f>
        <v>15265.05079</v>
      </c>
    </row>
    <row r="2153">
      <c r="A2153" s="3">
        <f>IFERROR(__xludf.DUMMYFUNCTION("""COMPUTED_VALUE"""),42519.99861111111)</f>
        <v>42519.99861</v>
      </c>
      <c r="B2153" s="1">
        <f>IFERROR(__xludf.DUMMYFUNCTION("""COMPUTED_VALUE"""),15258.2376)</f>
        <v>15258.2376</v>
      </c>
    </row>
    <row r="2154">
      <c r="A2154" s="3">
        <f>IFERROR(__xludf.DUMMYFUNCTION("""COMPUTED_VALUE"""),42520.99861111111)</f>
        <v>42520.99861</v>
      </c>
      <c r="B2154" s="1">
        <f>IFERROR(__xludf.DUMMYFUNCTION("""COMPUTED_VALUE"""),15194.4757)</f>
        <v>15194.4757</v>
      </c>
    </row>
    <row r="2155">
      <c r="A2155" s="3">
        <f>IFERROR(__xludf.DUMMYFUNCTION("""COMPUTED_VALUE"""),42521.99861111111)</f>
        <v>42521.99861</v>
      </c>
      <c r="B2155" s="1">
        <f>IFERROR(__xludf.DUMMYFUNCTION("""COMPUTED_VALUE"""),15187.3876)</f>
        <v>15187.3876</v>
      </c>
    </row>
    <row r="2156">
      <c r="A2156" s="3">
        <f>IFERROR(__xludf.DUMMYFUNCTION("""COMPUTED_VALUE"""),42522.99861111111)</f>
        <v>42522.99861</v>
      </c>
      <c r="B2156" s="1">
        <f>IFERROR(__xludf.DUMMYFUNCTION("""COMPUTED_VALUE"""),15225.2348)</f>
        <v>15225.2348</v>
      </c>
    </row>
    <row r="2157">
      <c r="A2157" s="3">
        <f>IFERROR(__xludf.DUMMYFUNCTION("""COMPUTED_VALUE"""),42523.99861111111)</f>
        <v>42523.99861</v>
      </c>
      <c r="B2157" s="1">
        <f>IFERROR(__xludf.DUMMYFUNCTION("""COMPUTED_VALUE"""),15175.15)</f>
        <v>15175.15</v>
      </c>
    </row>
    <row r="2158">
      <c r="A2158" s="3">
        <f>IFERROR(__xludf.DUMMYFUNCTION("""COMPUTED_VALUE"""),42524.99861111111)</f>
        <v>42524.99861</v>
      </c>
      <c r="B2158" s="1">
        <f>IFERROR(__xludf.DUMMYFUNCTION("""COMPUTED_VALUE"""),15250.09372)</f>
        <v>15250.09372</v>
      </c>
    </row>
    <row r="2159">
      <c r="A2159" s="3">
        <f>IFERROR(__xludf.DUMMYFUNCTION("""COMPUTED_VALUE"""),42525.99861111111)</f>
        <v>42525.99861</v>
      </c>
      <c r="B2159" s="1">
        <f>IFERROR(__xludf.DUMMYFUNCTION("""COMPUTED_VALUE"""),15299.64983)</f>
        <v>15299.64983</v>
      </c>
    </row>
    <row r="2160">
      <c r="A2160" s="3">
        <f>IFERROR(__xludf.DUMMYFUNCTION("""COMPUTED_VALUE"""),42526.99861111111)</f>
        <v>42526.99861</v>
      </c>
      <c r="B2160" s="1">
        <f>IFERROR(__xludf.DUMMYFUNCTION("""COMPUTED_VALUE"""),15294.46423)</f>
        <v>15294.46423</v>
      </c>
    </row>
    <row r="2161">
      <c r="A2161" s="3">
        <f>IFERROR(__xludf.DUMMYFUNCTION("""COMPUTED_VALUE"""),42527.99861111111)</f>
        <v>42527.99861</v>
      </c>
      <c r="B2161" s="1">
        <f>IFERROR(__xludf.DUMMYFUNCTION("""COMPUTED_VALUE"""),15163.66017)</f>
        <v>15163.66017</v>
      </c>
    </row>
    <row r="2162">
      <c r="A2162" s="3">
        <f>IFERROR(__xludf.DUMMYFUNCTION("""COMPUTED_VALUE"""),42528.99861111111)</f>
        <v>42528.99861</v>
      </c>
      <c r="B2162" s="1">
        <f>IFERROR(__xludf.DUMMYFUNCTION("""COMPUTED_VALUE"""),15020.5812)</f>
        <v>15020.5812</v>
      </c>
    </row>
    <row r="2163">
      <c r="A2163" s="3">
        <f>IFERROR(__xludf.DUMMYFUNCTION("""COMPUTED_VALUE"""),42529.99861111111)</f>
        <v>42529.99861</v>
      </c>
      <c r="B2163" s="1">
        <f>IFERROR(__xludf.DUMMYFUNCTION("""COMPUTED_VALUE"""),15056.341)</f>
        <v>15056.341</v>
      </c>
    </row>
    <row r="2164">
      <c r="A2164" s="3">
        <f>IFERROR(__xludf.DUMMYFUNCTION("""COMPUTED_VALUE"""),42530.99861111111)</f>
        <v>42530.99861</v>
      </c>
      <c r="B2164" s="1">
        <f>IFERROR(__xludf.DUMMYFUNCTION("""COMPUTED_VALUE"""),14988.665)</f>
        <v>14988.665</v>
      </c>
    </row>
    <row r="2165">
      <c r="A2165" s="3">
        <f>IFERROR(__xludf.DUMMYFUNCTION("""COMPUTED_VALUE"""),42531.99861111111)</f>
        <v>42531.99861</v>
      </c>
      <c r="B2165" s="1">
        <f>IFERROR(__xludf.DUMMYFUNCTION("""COMPUTED_VALUE"""),14993.34912)</f>
        <v>14993.34912</v>
      </c>
    </row>
    <row r="2166">
      <c r="A2166" s="3">
        <f>IFERROR(__xludf.DUMMYFUNCTION("""COMPUTED_VALUE"""),42532.99861111111)</f>
        <v>42532.99861</v>
      </c>
      <c r="B2166" s="1">
        <f>IFERROR(__xludf.DUMMYFUNCTION("""COMPUTED_VALUE"""),15023.87972)</f>
        <v>15023.87972</v>
      </c>
    </row>
    <row r="2167">
      <c r="A2167" s="3">
        <f>IFERROR(__xludf.DUMMYFUNCTION("""COMPUTED_VALUE"""),42533.99861111111)</f>
        <v>42533.99861</v>
      </c>
      <c r="B2167" s="1">
        <f>IFERROR(__xludf.DUMMYFUNCTION("""COMPUTED_VALUE"""),15024.19341)</f>
        <v>15024.19341</v>
      </c>
    </row>
    <row r="2168">
      <c r="A2168" s="3">
        <f>IFERROR(__xludf.DUMMYFUNCTION("""COMPUTED_VALUE"""),42534.99861111111)</f>
        <v>42534.99861</v>
      </c>
      <c r="B2168" s="1">
        <f>IFERROR(__xludf.DUMMYFUNCTION("""COMPUTED_VALUE"""),15036.47838)</f>
        <v>15036.47838</v>
      </c>
    </row>
    <row r="2169">
      <c r="A2169" s="3">
        <f>IFERROR(__xludf.DUMMYFUNCTION("""COMPUTED_VALUE"""),42535.99861111111)</f>
        <v>42535.99861</v>
      </c>
      <c r="B2169" s="1">
        <f>IFERROR(__xludf.DUMMYFUNCTION("""COMPUTED_VALUE"""),14964.015)</f>
        <v>14964.015</v>
      </c>
    </row>
    <row r="2170">
      <c r="A2170" s="3">
        <f>IFERROR(__xludf.DUMMYFUNCTION("""COMPUTED_VALUE"""),42536.99861111111)</f>
        <v>42536.99861</v>
      </c>
      <c r="B2170" s="1">
        <f>IFERROR(__xludf.DUMMYFUNCTION("""COMPUTED_VALUE"""),14998.32)</f>
        <v>14998.32</v>
      </c>
    </row>
    <row r="2171">
      <c r="A2171" s="3">
        <f>IFERROR(__xludf.DUMMYFUNCTION("""COMPUTED_VALUE"""),42537.99861111111)</f>
        <v>42537.99861</v>
      </c>
      <c r="B2171" s="1">
        <f>IFERROR(__xludf.DUMMYFUNCTION("""COMPUTED_VALUE"""),15067.2816)</f>
        <v>15067.2816</v>
      </c>
    </row>
    <row r="2172">
      <c r="A2172" s="3">
        <f>IFERROR(__xludf.DUMMYFUNCTION("""COMPUTED_VALUE"""),42538.99861111111)</f>
        <v>42538.99861</v>
      </c>
      <c r="B2172" s="1">
        <f>IFERROR(__xludf.DUMMYFUNCTION("""COMPUTED_VALUE"""),15029.96352)</f>
        <v>15029.96352</v>
      </c>
    </row>
    <row r="2173">
      <c r="A2173" s="3">
        <f>IFERROR(__xludf.DUMMYFUNCTION("""COMPUTED_VALUE"""),42539.99861111111)</f>
        <v>42539.99861</v>
      </c>
      <c r="B2173" s="1">
        <f>IFERROR(__xludf.DUMMYFUNCTION("""COMPUTED_VALUE"""),15036.5029)</f>
        <v>15036.5029</v>
      </c>
    </row>
    <row r="2174">
      <c r="A2174" s="3">
        <f>IFERROR(__xludf.DUMMYFUNCTION("""COMPUTED_VALUE"""),42540.99861111111)</f>
        <v>42540.99861</v>
      </c>
      <c r="B2174" s="1">
        <f>IFERROR(__xludf.DUMMYFUNCTION("""COMPUTED_VALUE"""),15126.66288)</f>
        <v>15126.66288</v>
      </c>
    </row>
    <row r="2175">
      <c r="A2175" s="3">
        <f>IFERROR(__xludf.DUMMYFUNCTION("""COMPUTED_VALUE"""),42541.99861111111)</f>
        <v>42541.99861</v>
      </c>
      <c r="B2175" s="1">
        <f>IFERROR(__xludf.DUMMYFUNCTION("""COMPUTED_VALUE"""),15000.325)</f>
        <v>15000.325</v>
      </c>
    </row>
    <row r="2176">
      <c r="A2176" s="3">
        <f>IFERROR(__xludf.DUMMYFUNCTION("""COMPUTED_VALUE"""),42542.99861111111)</f>
        <v>42542.99861</v>
      </c>
      <c r="B2176" s="1">
        <f>IFERROR(__xludf.DUMMYFUNCTION("""COMPUTED_VALUE"""),14910.5495)</f>
        <v>14910.5495</v>
      </c>
    </row>
    <row r="2177">
      <c r="A2177" s="3">
        <f>IFERROR(__xludf.DUMMYFUNCTION("""COMPUTED_VALUE"""),42543.99861111111)</f>
        <v>42543.99861</v>
      </c>
      <c r="B2177" s="1">
        <f>IFERROR(__xludf.DUMMYFUNCTION("""COMPUTED_VALUE"""),14942.018)</f>
        <v>14942.018</v>
      </c>
    </row>
    <row r="2178">
      <c r="A2178" s="3">
        <f>IFERROR(__xludf.DUMMYFUNCTION("""COMPUTED_VALUE"""),42544.99861111111)</f>
        <v>42544.99861</v>
      </c>
      <c r="B2178" s="1">
        <f>IFERROR(__xludf.DUMMYFUNCTION("""COMPUTED_VALUE"""),15005.4925)</f>
        <v>15005.4925</v>
      </c>
    </row>
    <row r="2179">
      <c r="A2179" s="3">
        <f>IFERROR(__xludf.DUMMYFUNCTION("""COMPUTED_VALUE"""),42545.99861111111)</f>
        <v>42545.99861</v>
      </c>
      <c r="B2179" s="1">
        <f>IFERROR(__xludf.DUMMYFUNCTION("""COMPUTED_VALUE"""),14854.94375)</f>
        <v>14854.94375</v>
      </c>
    </row>
    <row r="2180">
      <c r="A2180" s="3">
        <f>IFERROR(__xludf.DUMMYFUNCTION("""COMPUTED_VALUE"""),42546.99861111111)</f>
        <v>42546.99861</v>
      </c>
      <c r="B2180" s="1">
        <f>IFERROR(__xludf.DUMMYFUNCTION("""COMPUTED_VALUE"""),14989.18142)</f>
        <v>14989.18142</v>
      </c>
    </row>
    <row r="2181">
      <c r="A2181" s="3">
        <f>IFERROR(__xludf.DUMMYFUNCTION("""COMPUTED_VALUE"""),42547.99861111111)</f>
        <v>42547.99861</v>
      </c>
      <c r="B2181" s="1">
        <f>IFERROR(__xludf.DUMMYFUNCTION("""COMPUTED_VALUE"""),15017.68467)</f>
        <v>15017.68467</v>
      </c>
    </row>
    <row r="2182">
      <c r="A2182" s="3">
        <f>IFERROR(__xludf.DUMMYFUNCTION("""COMPUTED_VALUE"""),42548.99861111111)</f>
        <v>42548.99861</v>
      </c>
      <c r="B2182" s="1">
        <f>IFERROR(__xludf.DUMMYFUNCTION("""COMPUTED_VALUE"""),14740.9005)</f>
        <v>14740.9005</v>
      </c>
    </row>
    <row r="2183">
      <c r="A2183" s="3">
        <f>IFERROR(__xludf.DUMMYFUNCTION("""COMPUTED_VALUE"""),42549.99861111111)</f>
        <v>42549.99861</v>
      </c>
      <c r="B2183" s="1">
        <f>IFERROR(__xludf.DUMMYFUNCTION("""COMPUTED_VALUE"""),14571.8048)</f>
        <v>14571.8048</v>
      </c>
    </row>
    <row r="2184">
      <c r="A2184" s="3">
        <f>IFERROR(__xludf.DUMMYFUNCTION("""COMPUTED_VALUE"""),42550.99861111111)</f>
        <v>42550.99861</v>
      </c>
      <c r="B2184" s="1">
        <f>IFERROR(__xludf.DUMMYFUNCTION("""COMPUTED_VALUE"""),14615.03526)</f>
        <v>14615.03526</v>
      </c>
    </row>
    <row r="2185">
      <c r="A2185" s="3">
        <f>IFERROR(__xludf.DUMMYFUNCTION("""COMPUTED_VALUE"""),42551.99861111111)</f>
        <v>42551.99861</v>
      </c>
      <c r="B2185" s="1">
        <f>IFERROR(__xludf.DUMMYFUNCTION("""COMPUTED_VALUE"""),14633.0585)</f>
        <v>14633.0585</v>
      </c>
    </row>
    <row r="2186">
      <c r="A2186" s="3">
        <f>IFERROR(__xludf.DUMMYFUNCTION("""COMPUTED_VALUE"""),42552.99861111111)</f>
        <v>42552.99861</v>
      </c>
      <c r="B2186" s="1">
        <f>IFERROR(__xludf.DUMMYFUNCTION("""COMPUTED_VALUE"""),14607.88045)</f>
        <v>14607.88045</v>
      </c>
    </row>
    <row r="2187">
      <c r="A2187" s="3">
        <f>IFERROR(__xludf.DUMMYFUNCTION("""COMPUTED_VALUE"""),42553.99861111111)</f>
        <v>42553.99861</v>
      </c>
      <c r="B2187" s="1">
        <f>IFERROR(__xludf.DUMMYFUNCTION("""COMPUTED_VALUE"""),14619.83184)</f>
        <v>14619.83184</v>
      </c>
    </row>
    <row r="2188">
      <c r="A2188" s="3">
        <f>IFERROR(__xludf.DUMMYFUNCTION("""COMPUTED_VALUE"""),42554.99861111111)</f>
        <v>42554.99861</v>
      </c>
      <c r="B2188" s="1">
        <f>IFERROR(__xludf.DUMMYFUNCTION("""COMPUTED_VALUE"""),14601.03921)</f>
        <v>14601.03921</v>
      </c>
    </row>
    <row r="2189">
      <c r="A2189" s="3">
        <f>IFERROR(__xludf.DUMMYFUNCTION("""COMPUTED_VALUE"""),42555.99861111111)</f>
        <v>42555.99861</v>
      </c>
      <c r="B2189" s="1">
        <f>IFERROR(__xludf.DUMMYFUNCTION("""COMPUTED_VALUE"""),14554.064)</f>
        <v>14554.064</v>
      </c>
    </row>
    <row r="2190">
      <c r="A2190" s="3">
        <f>IFERROR(__xludf.DUMMYFUNCTION("""COMPUTED_VALUE"""),42556.99861111111)</f>
        <v>42556.99861</v>
      </c>
      <c r="B2190" s="1">
        <f>IFERROR(__xludf.DUMMYFUNCTION("""COMPUTED_VALUE"""),14556.276)</f>
        <v>14556.276</v>
      </c>
    </row>
    <row r="2191">
      <c r="A2191" s="3">
        <f>IFERROR(__xludf.DUMMYFUNCTION("""COMPUTED_VALUE"""),42557.99861111111)</f>
        <v>42557.99861</v>
      </c>
      <c r="B2191" s="1">
        <f>IFERROR(__xludf.DUMMYFUNCTION("""COMPUTED_VALUE"""),14660.0352)</f>
        <v>14660.0352</v>
      </c>
    </row>
    <row r="2192">
      <c r="A2192" s="3">
        <f>IFERROR(__xludf.DUMMYFUNCTION("""COMPUTED_VALUE"""),42558.99861111111)</f>
        <v>42558.99861</v>
      </c>
      <c r="B2192" s="1">
        <f>IFERROR(__xludf.DUMMYFUNCTION("""COMPUTED_VALUE"""),14494.626)</f>
        <v>14494.626</v>
      </c>
    </row>
    <row r="2193">
      <c r="A2193" s="3">
        <f>IFERROR(__xludf.DUMMYFUNCTION("""COMPUTED_VALUE"""),42559.99861111111)</f>
        <v>42559.99861</v>
      </c>
      <c r="B2193" s="1">
        <f>IFERROR(__xludf.DUMMYFUNCTION("""COMPUTED_VALUE"""),14480.7629)</f>
        <v>14480.7629</v>
      </c>
    </row>
    <row r="2194">
      <c r="A2194" s="3">
        <f>IFERROR(__xludf.DUMMYFUNCTION("""COMPUTED_VALUE"""),42560.99861111111)</f>
        <v>42560.99861</v>
      </c>
      <c r="B2194" s="1">
        <f>IFERROR(__xludf.DUMMYFUNCTION("""COMPUTED_VALUE"""),14522.88599)</f>
        <v>14522.88599</v>
      </c>
    </row>
    <row r="2195">
      <c r="A2195" s="3">
        <f>IFERROR(__xludf.DUMMYFUNCTION("""COMPUTED_VALUE"""),42561.99861111111)</f>
        <v>42561.99861</v>
      </c>
      <c r="B2195" s="1">
        <f>IFERROR(__xludf.DUMMYFUNCTION("""COMPUTED_VALUE"""),14509.85052)</f>
        <v>14509.85052</v>
      </c>
    </row>
    <row r="2196">
      <c r="A2196" s="3">
        <f>IFERROR(__xludf.DUMMYFUNCTION("""COMPUTED_VALUE"""),42562.99861111111)</f>
        <v>42562.99861</v>
      </c>
      <c r="B2196" s="1">
        <f>IFERROR(__xludf.DUMMYFUNCTION("""COMPUTED_VALUE"""),14506.5216)</f>
        <v>14506.5216</v>
      </c>
    </row>
    <row r="2197">
      <c r="A2197" s="3">
        <f>IFERROR(__xludf.DUMMYFUNCTION("""COMPUTED_VALUE"""),42563.99861111111)</f>
        <v>42563.99861</v>
      </c>
      <c r="B2197" s="1">
        <f>IFERROR(__xludf.DUMMYFUNCTION("""COMPUTED_VALUE"""),14460.03475)</f>
        <v>14460.03475</v>
      </c>
    </row>
    <row r="2198">
      <c r="A2198" s="3">
        <f>IFERROR(__xludf.DUMMYFUNCTION("""COMPUTED_VALUE"""),42564.99861111111)</f>
        <v>42564.99861</v>
      </c>
      <c r="B2198" s="1">
        <f>IFERROR(__xludf.DUMMYFUNCTION("""COMPUTED_VALUE"""),14439.3616)</f>
        <v>14439.3616</v>
      </c>
    </row>
    <row r="2199">
      <c r="A2199" s="3">
        <f>IFERROR(__xludf.DUMMYFUNCTION("""COMPUTED_VALUE"""),42565.99861111111)</f>
        <v>42565.99861</v>
      </c>
      <c r="B2199" s="1">
        <f>IFERROR(__xludf.DUMMYFUNCTION("""COMPUTED_VALUE"""),14458.71)</f>
        <v>14458.71</v>
      </c>
    </row>
    <row r="2200">
      <c r="A2200" s="3">
        <f>IFERROR(__xludf.DUMMYFUNCTION("""COMPUTED_VALUE"""),42566.99861111111)</f>
        <v>42566.99861</v>
      </c>
      <c r="B2200" s="1">
        <f>IFERROR(__xludf.DUMMYFUNCTION("""COMPUTED_VALUE"""),14397.06702)</f>
        <v>14397.06702</v>
      </c>
    </row>
    <row r="2201">
      <c r="A2201" s="3">
        <f>IFERROR(__xludf.DUMMYFUNCTION("""COMPUTED_VALUE"""),42567.99861111111)</f>
        <v>42567.99861</v>
      </c>
      <c r="B2201" s="1">
        <f>IFERROR(__xludf.DUMMYFUNCTION("""COMPUTED_VALUE"""),14522.41582)</f>
        <v>14522.41582</v>
      </c>
    </row>
    <row r="2202">
      <c r="A2202" s="3">
        <f>IFERROR(__xludf.DUMMYFUNCTION("""COMPUTED_VALUE"""),42568.99861111111)</f>
        <v>42568.99861</v>
      </c>
      <c r="B2202" s="1">
        <f>IFERROR(__xludf.DUMMYFUNCTION("""COMPUTED_VALUE"""),14544.46844)</f>
        <v>14544.46844</v>
      </c>
    </row>
    <row r="2203">
      <c r="A2203" s="3">
        <f>IFERROR(__xludf.DUMMYFUNCTION("""COMPUTED_VALUE"""),42569.99861111111)</f>
        <v>42569.99861</v>
      </c>
      <c r="B2203" s="1">
        <f>IFERROR(__xludf.DUMMYFUNCTION("""COMPUTED_VALUE"""),14476.95366)</f>
        <v>14476.95366</v>
      </c>
    </row>
    <row r="2204">
      <c r="A2204" s="3">
        <f>IFERROR(__xludf.DUMMYFUNCTION("""COMPUTED_VALUE"""),42570.99861111111)</f>
        <v>42570.99861</v>
      </c>
      <c r="B2204" s="1">
        <f>IFERROR(__xludf.DUMMYFUNCTION("""COMPUTED_VALUE"""),14418.0116)</f>
        <v>14418.0116</v>
      </c>
    </row>
    <row r="2205">
      <c r="A2205" s="3">
        <f>IFERROR(__xludf.DUMMYFUNCTION("""COMPUTED_VALUE"""),42571.99861111111)</f>
        <v>42571.99861</v>
      </c>
      <c r="B2205" s="1">
        <f>IFERROR(__xludf.DUMMYFUNCTION("""COMPUTED_VALUE"""),14438.5648)</f>
        <v>14438.5648</v>
      </c>
    </row>
    <row r="2206">
      <c r="A2206" s="3">
        <f>IFERROR(__xludf.DUMMYFUNCTION("""COMPUTED_VALUE"""),42572.99861111111)</f>
        <v>42572.99861</v>
      </c>
      <c r="B2206" s="1">
        <f>IFERROR(__xludf.DUMMYFUNCTION("""COMPUTED_VALUE"""),14463.26854)</f>
        <v>14463.26854</v>
      </c>
    </row>
    <row r="2207">
      <c r="A2207" s="3">
        <f>IFERROR(__xludf.DUMMYFUNCTION("""COMPUTED_VALUE"""),42573.99861111111)</f>
        <v>42573.99861</v>
      </c>
      <c r="B2207" s="1">
        <f>IFERROR(__xludf.DUMMYFUNCTION("""COMPUTED_VALUE"""),14391.77976)</f>
        <v>14391.77976</v>
      </c>
    </row>
    <row r="2208">
      <c r="A2208" s="3">
        <f>IFERROR(__xludf.DUMMYFUNCTION("""COMPUTED_VALUE"""),42574.99861111111)</f>
        <v>42574.99861</v>
      </c>
      <c r="B2208" s="1">
        <f>IFERROR(__xludf.DUMMYFUNCTION("""COMPUTED_VALUE"""),14404.79263)</f>
        <v>14404.79263</v>
      </c>
    </row>
    <row r="2209">
      <c r="A2209" s="3">
        <f>IFERROR(__xludf.DUMMYFUNCTION("""COMPUTED_VALUE"""),42575.99861111111)</f>
        <v>42575.99861</v>
      </c>
      <c r="B2209" s="1">
        <f>IFERROR(__xludf.DUMMYFUNCTION("""COMPUTED_VALUE"""),14394.34644)</f>
        <v>14394.34644</v>
      </c>
    </row>
    <row r="2210">
      <c r="A2210" s="3">
        <f>IFERROR(__xludf.DUMMYFUNCTION("""COMPUTED_VALUE"""),42576.99861111111)</f>
        <v>42576.99861</v>
      </c>
      <c r="B2210" s="1">
        <f>IFERROR(__xludf.DUMMYFUNCTION("""COMPUTED_VALUE"""),14390.75025)</f>
        <v>14390.75025</v>
      </c>
    </row>
    <row r="2211">
      <c r="A2211" s="3">
        <f>IFERROR(__xludf.DUMMYFUNCTION("""COMPUTED_VALUE"""),42577.99861111111)</f>
        <v>42577.99861</v>
      </c>
      <c r="B2211" s="1">
        <f>IFERROR(__xludf.DUMMYFUNCTION("""COMPUTED_VALUE"""),14460.69454)</f>
        <v>14460.69454</v>
      </c>
    </row>
    <row r="2212">
      <c r="A2212" s="3">
        <f>IFERROR(__xludf.DUMMYFUNCTION("""COMPUTED_VALUE"""),42578.99861111111)</f>
        <v>42578.99861</v>
      </c>
      <c r="B2212" s="1">
        <f>IFERROR(__xludf.DUMMYFUNCTION("""COMPUTED_VALUE"""),14498.1762)</f>
        <v>14498.1762</v>
      </c>
    </row>
    <row r="2213">
      <c r="A2213" s="3">
        <f>IFERROR(__xludf.DUMMYFUNCTION("""COMPUTED_VALUE"""),42579.99861111111)</f>
        <v>42579.99861</v>
      </c>
      <c r="B2213" s="1">
        <f>IFERROR(__xludf.DUMMYFUNCTION("""COMPUTED_VALUE"""),14471.5285)</f>
        <v>14471.5285</v>
      </c>
    </row>
    <row r="2214">
      <c r="A2214" s="3">
        <f>IFERROR(__xludf.DUMMYFUNCTION("""COMPUTED_VALUE"""),42580.99861111111)</f>
        <v>42580.99861</v>
      </c>
      <c r="B2214" s="1">
        <f>IFERROR(__xludf.DUMMYFUNCTION("""COMPUTED_VALUE"""),14546.2044)</f>
        <v>14546.2044</v>
      </c>
    </row>
    <row r="2215">
      <c r="A2215" s="3">
        <f>IFERROR(__xludf.DUMMYFUNCTION("""COMPUTED_VALUE"""),42581.99861111111)</f>
        <v>42581.99861</v>
      </c>
      <c r="B2215" s="1">
        <f>IFERROR(__xludf.DUMMYFUNCTION("""COMPUTED_VALUE"""),14669.34624)</f>
        <v>14669.34624</v>
      </c>
    </row>
    <row r="2216">
      <c r="A2216" s="3">
        <f>IFERROR(__xludf.DUMMYFUNCTION("""COMPUTED_VALUE"""),42582.99861111111)</f>
        <v>42582.99861</v>
      </c>
      <c r="B2216" s="1">
        <f>IFERROR(__xludf.DUMMYFUNCTION("""COMPUTED_VALUE"""),14654.58247)</f>
        <v>14654.58247</v>
      </c>
    </row>
    <row r="2217">
      <c r="A2217" s="3">
        <f>IFERROR(__xludf.DUMMYFUNCTION("""COMPUTED_VALUE"""),42583.99861111111)</f>
        <v>42583.99861</v>
      </c>
      <c r="B2217" s="1">
        <f>IFERROR(__xludf.DUMMYFUNCTION("""COMPUTED_VALUE"""),14527.7466)</f>
        <v>14527.7466</v>
      </c>
    </row>
    <row r="2218">
      <c r="A2218" s="3">
        <f>IFERROR(__xludf.DUMMYFUNCTION("""COMPUTED_VALUE"""),42584.99861111111)</f>
        <v>42584.99861</v>
      </c>
      <c r="B2218" s="1">
        <f>IFERROR(__xludf.DUMMYFUNCTION("""COMPUTED_VALUE"""),14686.86744)</f>
        <v>14686.86744</v>
      </c>
    </row>
    <row r="2219">
      <c r="A2219" s="3">
        <f>IFERROR(__xludf.DUMMYFUNCTION("""COMPUTED_VALUE"""),42585.99861111111)</f>
        <v>42585.99861</v>
      </c>
      <c r="B2219" s="1">
        <f>IFERROR(__xludf.DUMMYFUNCTION("""COMPUTED_VALUE"""),14651.4942)</f>
        <v>14651.4942</v>
      </c>
    </row>
    <row r="2220">
      <c r="A2220" s="3">
        <f>IFERROR(__xludf.DUMMYFUNCTION("""COMPUTED_VALUE"""),42586.99861111111)</f>
        <v>42586.99861</v>
      </c>
      <c r="B2220" s="1">
        <f>IFERROR(__xludf.DUMMYFUNCTION("""COMPUTED_VALUE"""),14587.43887)</f>
        <v>14587.43887</v>
      </c>
    </row>
    <row r="2221">
      <c r="A2221" s="3">
        <f>IFERROR(__xludf.DUMMYFUNCTION("""COMPUTED_VALUE"""),42587.99861111111)</f>
        <v>42587.99861</v>
      </c>
      <c r="B2221" s="1">
        <f>IFERROR(__xludf.DUMMYFUNCTION("""COMPUTED_VALUE"""),14547.7053)</f>
        <v>14547.7053</v>
      </c>
    </row>
    <row r="2222">
      <c r="A2222" s="3">
        <f>IFERROR(__xludf.DUMMYFUNCTION("""COMPUTED_VALUE"""),42588.99861111111)</f>
        <v>42588.99861</v>
      </c>
      <c r="B2222" s="1">
        <f>IFERROR(__xludf.DUMMYFUNCTION("""COMPUTED_VALUE"""),14570.70463)</f>
        <v>14570.70463</v>
      </c>
    </row>
    <row r="2223">
      <c r="A2223" s="3">
        <f>IFERROR(__xludf.DUMMYFUNCTION("""COMPUTED_VALUE"""),42589.99861111111)</f>
        <v>42589.99861</v>
      </c>
      <c r="B2223" s="1">
        <f>IFERROR(__xludf.DUMMYFUNCTION("""COMPUTED_VALUE"""),14568.98322)</f>
        <v>14568.98322</v>
      </c>
    </row>
    <row r="2224">
      <c r="A2224" s="3">
        <f>IFERROR(__xludf.DUMMYFUNCTION("""COMPUTED_VALUE"""),42590.99861111111)</f>
        <v>42590.99861</v>
      </c>
      <c r="B2224" s="1">
        <f>IFERROR(__xludf.DUMMYFUNCTION("""COMPUTED_VALUE"""),14524.0094)</f>
        <v>14524.0094</v>
      </c>
    </row>
    <row r="2225">
      <c r="A2225" s="3">
        <f>IFERROR(__xludf.DUMMYFUNCTION("""COMPUTED_VALUE"""),42591.99861111111)</f>
        <v>42591.99861</v>
      </c>
      <c r="B2225" s="1">
        <f>IFERROR(__xludf.DUMMYFUNCTION("""COMPUTED_VALUE"""),14563.20261)</f>
        <v>14563.20261</v>
      </c>
    </row>
    <row r="2226">
      <c r="A2226" s="3">
        <f>IFERROR(__xludf.DUMMYFUNCTION("""COMPUTED_VALUE"""),42592.99861111111)</f>
        <v>42592.99861</v>
      </c>
      <c r="B2226" s="1">
        <f>IFERROR(__xludf.DUMMYFUNCTION("""COMPUTED_VALUE"""),14632.81218)</f>
        <v>14632.81218</v>
      </c>
    </row>
    <row r="2227">
      <c r="A2227" s="3">
        <f>IFERROR(__xludf.DUMMYFUNCTION("""COMPUTED_VALUE"""),42593.99861111111)</f>
        <v>42593.99861</v>
      </c>
      <c r="B2227" s="1">
        <f>IFERROR(__xludf.DUMMYFUNCTION("""COMPUTED_VALUE"""),14588.02848)</f>
        <v>14588.02848</v>
      </c>
    </row>
    <row r="2228">
      <c r="A2228" s="3">
        <f>IFERROR(__xludf.DUMMYFUNCTION("""COMPUTED_VALUE"""),42594.99861111111)</f>
        <v>42594.99861</v>
      </c>
      <c r="B2228" s="1">
        <f>IFERROR(__xludf.DUMMYFUNCTION("""COMPUTED_VALUE"""),14635.67819)</f>
        <v>14635.67819</v>
      </c>
    </row>
    <row r="2229">
      <c r="A2229" s="3">
        <f>IFERROR(__xludf.DUMMYFUNCTION("""COMPUTED_VALUE"""),42595.99861111111)</f>
        <v>42595.99861</v>
      </c>
      <c r="B2229" s="1">
        <f>IFERROR(__xludf.DUMMYFUNCTION("""COMPUTED_VALUE"""),14652.15465)</f>
        <v>14652.15465</v>
      </c>
    </row>
    <row r="2230">
      <c r="A2230" s="3">
        <f>IFERROR(__xludf.DUMMYFUNCTION("""COMPUTED_VALUE"""),42596.99861111111)</f>
        <v>42596.99861</v>
      </c>
      <c r="B2230" s="1">
        <f>IFERROR(__xludf.DUMMYFUNCTION("""COMPUTED_VALUE"""),14632.06264)</f>
        <v>14632.06264</v>
      </c>
    </row>
    <row r="2231">
      <c r="A2231" s="3">
        <f>IFERROR(__xludf.DUMMYFUNCTION("""COMPUTED_VALUE"""),42597.99861111111)</f>
        <v>42597.99861</v>
      </c>
      <c r="B2231" s="1">
        <f>IFERROR(__xludf.DUMMYFUNCTION("""COMPUTED_VALUE"""),14605.14468)</f>
        <v>14605.14468</v>
      </c>
    </row>
    <row r="2232">
      <c r="A2232" s="3">
        <f>IFERROR(__xludf.DUMMYFUNCTION("""COMPUTED_VALUE"""),42598.99861111111)</f>
        <v>42598.99861</v>
      </c>
      <c r="B2232" s="1">
        <f>IFERROR(__xludf.DUMMYFUNCTION("""COMPUTED_VALUE"""),14782.78361)</f>
        <v>14782.78361</v>
      </c>
    </row>
    <row r="2233">
      <c r="A2233" s="3">
        <f>IFERROR(__xludf.DUMMYFUNCTION("""COMPUTED_VALUE"""),42599.99861111111)</f>
        <v>42599.99861</v>
      </c>
      <c r="B2233" s="1">
        <f>IFERROR(__xludf.DUMMYFUNCTION("""COMPUTED_VALUE"""),14817.72045)</f>
        <v>14817.72045</v>
      </c>
    </row>
    <row r="2234">
      <c r="A2234" s="3">
        <f>IFERROR(__xludf.DUMMYFUNCTION("""COMPUTED_VALUE"""),42600.99861111111)</f>
        <v>42600.99861</v>
      </c>
      <c r="B2234" s="1">
        <f>IFERROR(__xludf.DUMMYFUNCTION("""COMPUTED_VALUE"""),14874.25794)</f>
        <v>14874.25794</v>
      </c>
    </row>
    <row r="2235">
      <c r="A2235" s="3">
        <f>IFERROR(__xludf.DUMMYFUNCTION("""COMPUTED_VALUE"""),42601.99861111111)</f>
        <v>42601.99861</v>
      </c>
      <c r="B2235" s="1">
        <f>IFERROR(__xludf.DUMMYFUNCTION("""COMPUTED_VALUE"""),14877.8964)</f>
        <v>14877.8964</v>
      </c>
    </row>
    <row r="2236">
      <c r="A2236" s="3">
        <f>IFERROR(__xludf.DUMMYFUNCTION("""COMPUTED_VALUE"""),42602.99861111111)</f>
        <v>42602.99861</v>
      </c>
      <c r="B2236" s="1">
        <f>IFERROR(__xludf.DUMMYFUNCTION("""COMPUTED_VALUE"""),14921.48815)</f>
        <v>14921.48815</v>
      </c>
    </row>
    <row r="2237">
      <c r="A2237" s="3">
        <f>IFERROR(__xludf.DUMMYFUNCTION("""COMPUTED_VALUE"""),42603.99861111111)</f>
        <v>42603.99861</v>
      </c>
      <c r="B2237" s="1">
        <f>IFERROR(__xludf.DUMMYFUNCTION("""COMPUTED_VALUE"""),14886.07587)</f>
        <v>14886.07587</v>
      </c>
    </row>
    <row r="2238">
      <c r="A2238" s="3">
        <f>IFERROR(__xludf.DUMMYFUNCTION("""COMPUTED_VALUE"""),42604.99861111111)</f>
        <v>42604.99861</v>
      </c>
      <c r="B2238" s="1">
        <f>IFERROR(__xludf.DUMMYFUNCTION("""COMPUTED_VALUE"""),14949.9462)</f>
        <v>14949.9462</v>
      </c>
    </row>
    <row r="2239">
      <c r="A2239" s="3">
        <f>IFERROR(__xludf.DUMMYFUNCTION("""COMPUTED_VALUE"""),42605.99861111111)</f>
        <v>42605.99861</v>
      </c>
      <c r="B2239" s="1">
        <f>IFERROR(__xludf.DUMMYFUNCTION("""COMPUTED_VALUE"""),14955.34638)</f>
        <v>14955.34638</v>
      </c>
    </row>
    <row r="2240">
      <c r="A2240" s="3">
        <f>IFERROR(__xludf.DUMMYFUNCTION("""COMPUTED_VALUE"""),42606.99861111111)</f>
        <v>42606.99861</v>
      </c>
      <c r="B2240" s="1">
        <f>IFERROR(__xludf.DUMMYFUNCTION("""COMPUTED_VALUE"""),14929.03832)</f>
        <v>14929.03832</v>
      </c>
    </row>
    <row r="2241">
      <c r="A2241" s="3">
        <f>IFERROR(__xludf.DUMMYFUNCTION("""COMPUTED_VALUE"""),42607.99861111111)</f>
        <v>42607.99861</v>
      </c>
      <c r="B2241" s="1">
        <f>IFERROR(__xludf.DUMMYFUNCTION("""COMPUTED_VALUE"""),14950.23036)</f>
        <v>14950.23036</v>
      </c>
    </row>
    <row r="2242">
      <c r="A2242" s="3">
        <f>IFERROR(__xludf.DUMMYFUNCTION("""COMPUTED_VALUE"""),42608.99861111111)</f>
        <v>42608.99861</v>
      </c>
      <c r="B2242" s="1">
        <f>IFERROR(__xludf.DUMMYFUNCTION("""COMPUTED_VALUE"""),14882.23418)</f>
        <v>14882.23418</v>
      </c>
    </row>
    <row r="2243">
      <c r="A2243" s="3">
        <f>IFERROR(__xludf.DUMMYFUNCTION("""COMPUTED_VALUE"""),42609.99861111111)</f>
        <v>42609.99861</v>
      </c>
      <c r="B2243" s="1">
        <f>IFERROR(__xludf.DUMMYFUNCTION("""COMPUTED_VALUE"""),14910.21603)</f>
        <v>14910.21603</v>
      </c>
    </row>
    <row r="2244">
      <c r="A2244" s="3">
        <f>IFERROR(__xludf.DUMMYFUNCTION("""COMPUTED_VALUE"""),42610.99861111111)</f>
        <v>42610.99861</v>
      </c>
      <c r="B2244" s="1">
        <f>IFERROR(__xludf.DUMMYFUNCTION("""COMPUTED_VALUE"""),14903.6063)</f>
        <v>14903.6063</v>
      </c>
    </row>
    <row r="2245">
      <c r="A2245" s="3">
        <f>IFERROR(__xludf.DUMMYFUNCTION("""COMPUTED_VALUE"""),42611.99861111111)</f>
        <v>42611.99861</v>
      </c>
      <c r="B2245" s="1">
        <f>IFERROR(__xludf.DUMMYFUNCTION("""COMPUTED_VALUE"""),14827.42656)</f>
        <v>14827.42656</v>
      </c>
    </row>
    <row r="2246">
      <c r="A2246" s="3">
        <f>IFERROR(__xludf.DUMMYFUNCTION("""COMPUTED_VALUE"""),42612.99861111111)</f>
        <v>42612.99861</v>
      </c>
      <c r="B2246" s="1">
        <f>IFERROR(__xludf.DUMMYFUNCTION("""COMPUTED_VALUE"""),14810.41217)</f>
        <v>14810.41217</v>
      </c>
    </row>
    <row r="2247">
      <c r="A2247" s="3">
        <f>IFERROR(__xludf.DUMMYFUNCTION("""COMPUTED_VALUE"""),42613.99861111111)</f>
        <v>42613.99861</v>
      </c>
      <c r="B2247" s="1">
        <f>IFERROR(__xludf.DUMMYFUNCTION("""COMPUTED_VALUE"""),14816.496)</f>
        <v>14816.496</v>
      </c>
    </row>
    <row r="2248">
      <c r="A2248" s="3">
        <f>IFERROR(__xludf.DUMMYFUNCTION("""COMPUTED_VALUE"""),42614.99861111111)</f>
        <v>42614.99861</v>
      </c>
      <c r="B2248" s="1">
        <f>IFERROR(__xludf.DUMMYFUNCTION("""COMPUTED_VALUE"""),14863.1054)</f>
        <v>14863.1054</v>
      </c>
    </row>
    <row r="2249">
      <c r="A2249" s="3">
        <f>IFERROR(__xludf.DUMMYFUNCTION("""COMPUTED_VALUE"""),42615.99861111111)</f>
        <v>42615.99861</v>
      </c>
      <c r="B2249" s="1">
        <f>IFERROR(__xludf.DUMMYFUNCTION("""COMPUTED_VALUE"""),14717.703)</f>
        <v>14717.703</v>
      </c>
    </row>
    <row r="2250">
      <c r="A2250" s="3">
        <f>IFERROR(__xludf.DUMMYFUNCTION("""COMPUTED_VALUE"""),42616.99861111111)</f>
        <v>42616.99861</v>
      </c>
      <c r="B2250" s="1">
        <f>IFERROR(__xludf.DUMMYFUNCTION("""COMPUTED_VALUE"""),14716.3835)</f>
        <v>14716.3835</v>
      </c>
    </row>
    <row r="2251">
      <c r="A2251" s="3">
        <f>IFERROR(__xludf.DUMMYFUNCTION("""COMPUTED_VALUE"""),42617.99861111111)</f>
        <v>42617.99861</v>
      </c>
      <c r="B2251" s="1">
        <f>IFERROR(__xludf.DUMMYFUNCTION("""COMPUTED_VALUE"""),14724.3005)</f>
        <v>14724.3005</v>
      </c>
    </row>
    <row r="2252">
      <c r="A2252" s="3">
        <f>IFERROR(__xludf.DUMMYFUNCTION("""COMPUTED_VALUE"""),42618.99861111111)</f>
        <v>42618.99861</v>
      </c>
      <c r="B2252" s="1">
        <f>IFERROR(__xludf.DUMMYFUNCTION("""COMPUTED_VALUE"""),14635.425)</f>
        <v>14635.425</v>
      </c>
    </row>
    <row r="2253">
      <c r="A2253" s="3">
        <f>IFERROR(__xludf.DUMMYFUNCTION("""COMPUTED_VALUE"""),42619.99861111111)</f>
        <v>42619.99861</v>
      </c>
      <c r="B2253" s="1">
        <f>IFERROR(__xludf.DUMMYFUNCTION("""COMPUTED_VALUE"""),14691.42522)</f>
        <v>14691.42522</v>
      </c>
    </row>
    <row r="2254">
      <c r="A2254" s="3">
        <f>IFERROR(__xludf.DUMMYFUNCTION("""COMPUTED_VALUE"""),42620.99861111111)</f>
        <v>42620.99861</v>
      </c>
      <c r="B2254" s="1">
        <f>IFERROR(__xludf.DUMMYFUNCTION("""COMPUTED_VALUE"""),14688.5888)</f>
        <v>14688.5888</v>
      </c>
    </row>
    <row r="2255">
      <c r="A2255" s="3">
        <f>IFERROR(__xludf.DUMMYFUNCTION("""COMPUTED_VALUE"""),42621.99861111111)</f>
        <v>42621.99861</v>
      </c>
      <c r="B2255" s="1">
        <f>IFERROR(__xludf.DUMMYFUNCTION("""COMPUTED_VALUE"""),14728.79493)</f>
        <v>14728.79493</v>
      </c>
    </row>
    <row r="2256">
      <c r="A2256" s="3">
        <f>IFERROR(__xludf.DUMMYFUNCTION("""COMPUTED_VALUE"""),42622.99861111111)</f>
        <v>42622.99861</v>
      </c>
      <c r="B2256" s="1">
        <f>IFERROR(__xludf.DUMMYFUNCTION("""COMPUTED_VALUE"""),14799.22047)</f>
        <v>14799.22047</v>
      </c>
    </row>
    <row r="2257">
      <c r="A2257" s="3">
        <f>IFERROR(__xludf.DUMMYFUNCTION("""COMPUTED_VALUE"""),42623.99861111111)</f>
        <v>42623.99861</v>
      </c>
      <c r="B2257" s="1">
        <f>IFERROR(__xludf.DUMMYFUNCTION("""COMPUTED_VALUE"""),14785.2243)</f>
        <v>14785.2243</v>
      </c>
    </row>
    <row r="2258">
      <c r="A2258" s="3">
        <f>IFERROR(__xludf.DUMMYFUNCTION("""COMPUTED_VALUE"""),42624.99861111111)</f>
        <v>42624.99861</v>
      </c>
      <c r="B2258" s="1">
        <f>IFERROR(__xludf.DUMMYFUNCTION("""COMPUTED_VALUE"""),14808.76992)</f>
        <v>14808.76992</v>
      </c>
    </row>
    <row r="2259">
      <c r="A2259" s="3">
        <f>IFERROR(__xludf.DUMMYFUNCTION("""COMPUTED_VALUE"""),42625.99861111111)</f>
        <v>42625.99861</v>
      </c>
      <c r="B2259" s="1">
        <f>IFERROR(__xludf.DUMMYFUNCTION("""COMPUTED_VALUE"""),14806.51348)</f>
        <v>14806.51348</v>
      </c>
    </row>
    <row r="2260">
      <c r="A2260" s="3">
        <f>IFERROR(__xludf.DUMMYFUNCTION("""COMPUTED_VALUE"""),42626.99861111111)</f>
        <v>42626.99861</v>
      </c>
      <c r="B2260" s="1">
        <f>IFERROR(__xludf.DUMMYFUNCTION("""COMPUTED_VALUE"""),14853.7538)</f>
        <v>14853.7538</v>
      </c>
    </row>
    <row r="2261">
      <c r="A2261" s="3">
        <f>IFERROR(__xludf.DUMMYFUNCTION("""COMPUTED_VALUE"""),42627.99861111111)</f>
        <v>42627.99861</v>
      </c>
      <c r="B2261" s="1">
        <f>IFERROR(__xludf.DUMMYFUNCTION("""COMPUTED_VALUE"""),14834.99433)</f>
        <v>14834.99433</v>
      </c>
    </row>
    <row r="2262">
      <c r="A2262" s="3">
        <f>IFERROR(__xludf.DUMMYFUNCTION("""COMPUTED_VALUE"""),42628.99861111111)</f>
        <v>42628.99861</v>
      </c>
      <c r="B2262" s="1">
        <f>IFERROR(__xludf.DUMMYFUNCTION("""COMPUTED_VALUE"""),14777.7992)</f>
        <v>14777.7992</v>
      </c>
    </row>
    <row r="2263">
      <c r="A2263" s="3">
        <f>IFERROR(__xludf.DUMMYFUNCTION("""COMPUTED_VALUE"""),42629.99861111111)</f>
        <v>42629.99861</v>
      </c>
      <c r="B2263" s="1">
        <f>IFERROR(__xludf.DUMMYFUNCTION("""COMPUTED_VALUE"""),14683.98465)</f>
        <v>14683.98465</v>
      </c>
    </row>
    <row r="2264">
      <c r="A2264" s="3">
        <f>IFERROR(__xludf.DUMMYFUNCTION("""COMPUTED_VALUE"""),42630.99861111111)</f>
        <v>42630.99861</v>
      </c>
      <c r="B2264" s="1">
        <f>IFERROR(__xludf.DUMMYFUNCTION("""COMPUTED_VALUE"""),14702.35773)</f>
        <v>14702.35773</v>
      </c>
    </row>
    <row r="2265">
      <c r="A2265" s="3">
        <f>IFERROR(__xludf.DUMMYFUNCTION("""COMPUTED_VALUE"""),42631.99861111111)</f>
        <v>42631.99861</v>
      </c>
      <c r="B2265" s="1">
        <f>IFERROR(__xludf.DUMMYFUNCTION("""COMPUTED_VALUE"""),14685.69584)</f>
        <v>14685.69584</v>
      </c>
    </row>
    <row r="2266">
      <c r="A2266" s="3">
        <f>IFERROR(__xludf.DUMMYFUNCTION("""COMPUTED_VALUE"""),42632.99861111111)</f>
        <v>42632.99861</v>
      </c>
      <c r="B2266" s="1">
        <f>IFERROR(__xludf.DUMMYFUNCTION("""COMPUTED_VALUE"""),14686.24864)</f>
        <v>14686.24864</v>
      </c>
    </row>
    <row r="2267">
      <c r="A2267" s="3">
        <f>IFERROR(__xludf.DUMMYFUNCTION("""COMPUTED_VALUE"""),42633.99861111111)</f>
        <v>42633.99861</v>
      </c>
      <c r="B2267" s="1">
        <f>IFERROR(__xludf.DUMMYFUNCTION("""COMPUTED_VALUE"""),14674.85424)</f>
        <v>14674.85424</v>
      </c>
    </row>
    <row r="2268">
      <c r="A2268" s="3">
        <f>IFERROR(__xludf.DUMMYFUNCTION("""COMPUTED_VALUE"""),42634.99861111111)</f>
        <v>42634.99861</v>
      </c>
      <c r="B2268" s="1">
        <f>IFERROR(__xludf.DUMMYFUNCTION("""COMPUTED_VALUE"""),14612.68548)</f>
        <v>14612.68548</v>
      </c>
    </row>
    <row r="2269">
      <c r="A2269" s="3">
        <f>IFERROR(__xludf.DUMMYFUNCTION("""COMPUTED_VALUE"""),42635.99861111111)</f>
        <v>42635.99861</v>
      </c>
      <c r="B2269" s="1">
        <f>IFERROR(__xludf.DUMMYFUNCTION("""COMPUTED_VALUE"""),14641.06518)</f>
        <v>14641.06518</v>
      </c>
    </row>
    <row r="2270">
      <c r="A2270" s="3">
        <f>IFERROR(__xludf.DUMMYFUNCTION("""COMPUTED_VALUE"""),42636.99861111111)</f>
        <v>42636.99861</v>
      </c>
      <c r="B2270" s="1">
        <f>IFERROR(__xludf.DUMMYFUNCTION("""COMPUTED_VALUE"""),14683.94574)</f>
        <v>14683.94574</v>
      </c>
    </row>
    <row r="2271">
      <c r="A2271" s="3">
        <f>IFERROR(__xludf.DUMMYFUNCTION("""COMPUTED_VALUE"""),42637.99861111111)</f>
        <v>42637.99861</v>
      </c>
      <c r="B2271" s="1">
        <f>IFERROR(__xludf.DUMMYFUNCTION("""COMPUTED_VALUE"""),14674.8238)</f>
        <v>14674.8238</v>
      </c>
    </row>
    <row r="2272">
      <c r="A2272" s="3">
        <f>IFERROR(__xludf.DUMMYFUNCTION("""COMPUTED_VALUE"""),42638.99861111111)</f>
        <v>42638.99861</v>
      </c>
      <c r="B2272" s="1">
        <f>IFERROR(__xludf.DUMMYFUNCTION("""COMPUTED_VALUE"""),14668.30875)</f>
        <v>14668.30875</v>
      </c>
    </row>
    <row r="2273">
      <c r="A2273" s="3">
        <f>IFERROR(__xludf.DUMMYFUNCTION("""COMPUTED_VALUE"""),42639.99861111111)</f>
        <v>42639.99861</v>
      </c>
      <c r="B2273" s="1">
        <f>IFERROR(__xludf.DUMMYFUNCTION("""COMPUTED_VALUE"""),14667.31032)</f>
        <v>14667.31032</v>
      </c>
    </row>
    <row r="2274">
      <c r="A2274" s="3">
        <f>IFERROR(__xludf.DUMMYFUNCTION("""COMPUTED_VALUE"""),42640.99861111111)</f>
        <v>42640.99861</v>
      </c>
      <c r="B2274" s="1">
        <f>IFERROR(__xludf.DUMMYFUNCTION("""COMPUTED_VALUE"""),14488.35305)</f>
        <v>14488.35305</v>
      </c>
    </row>
    <row r="2275">
      <c r="A2275" s="3">
        <f>IFERROR(__xludf.DUMMYFUNCTION("""COMPUTED_VALUE"""),42641.99861111111)</f>
        <v>42641.99861</v>
      </c>
      <c r="B2275" s="1">
        <f>IFERROR(__xludf.DUMMYFUNCTION("""COMPUTED_VALUE"""),14501.2383)</f>
        <v>14501.2383</v>
      </c>
    </row>
    <row r="2276">
      <c r="A2276" s="3">
        <f>IFERROR(__xludf.DUMMYFUNCTION("""COMPUTED_VALUE"""),42642.99861111111)</f>
        <v>42642.99861</v>
      </c>
      <c r="B2276" s="1">
        <f>IFERROR(__xludf.DUMMYFUNCTION("""COMPUTED_VALUE"""),14587.80564)</f>
        <v>14587.80564</v>
      </c>
    </row>
    <row r="2277">
      <c r="A2277" s="3">
        <f>IFERROR(__xludf.DUMMYFUNCTION("""COMPUTED_VALUE"""),42643.99861111111)</f>
        <v>42643.99861</v>
      </c>
      <c r="B2277" s="1">
        <f>IFERROR(__xludf.DUMMYFUNCTION("""COMPUTED_VALUE"""),14627.86614)</f>
        <v>14627.86614</v>
      </c>
    </row>
    <row r="2278">
      <c r="A2278" s="3">
        <f>IFERROR(__xludf.DUMMYFUNCTION("""COMPUTED_VALUE"""),42644.99861111111)</f>
        <v>42644.99861</v>
      </c>
      <c r="B2278" s="1">
        <f>IFERROR(__xludf.DUMMYFUNCTION("""COMPUTED_VALUE"""),14615.0784)</f>
        <v>14615.0784</v>
      </c>
    </row>
    <row r="2279">
      <c r="A2279" s="3">
        <f>IFERROR(__xludf.DUMMYFUNCTION("""COMPUTED_VALUE"""),42645.99861111111)</f>
        <v>42645.99861</v>
      </c>
      <c r="B2279" s="1">
        <f>IFERROR(__xludf.DUMMYFUNCTION("""COMPUTED_VALUE"""),14562.89256)</f>
        <v>14562.89256</v>
      </c>
    </row>
    <row r="2280">
      <c r="A2280" s="3">
        <f>IFERROR(__xludf.DUMMYFUNCTION("""COMPUTED_VALUE"""),42646.99861111111)</f>
        <v>42646.99861</v>
      </c>
      <c r="B2280" s="1">
        <f>IFERROR(__xludf.DUMMYFUNCTION("""COMPUTED_VALUE"""),14530.27238)</f>
        <v>14530.27238</v>
      </c>
    </row>
    <row r="2281">
      <c r="A2281" s="3">
        <f>IFERROR(__xludf.DUMMYFUNCTION("""COMPUTED_VALUE"""),42647.99861111111)</f>
        <v>42647.99861</v>
      </c>
      <c r="B2281" s="1">
        <f>IFERROR(__xludf.DUMMYFUNCTION("""COMPUTED_VALUE"""),14604.88418)</f>
        <v>14604.88418</v>
      </c>
    </row>
    <row r="2282">
      <c r="A2282" s="3">
        <f>IFERROR(__xludf.DUMMYFUNCTION("""COMPUTED_VALUE"""),42648.99861111111)</f>
        <v>42648.99861</v>
      </c>
      <c r="B2282" s="1">
        <f>IFERROR(__xludf.DUMMYFUNCTION("""COMPUTED_VALUE"""),14583.35826)</f>
        <v>14583.35826</v>
      </c>
    </row>
    <row r="2283">
      <c r="A2283" s="3">
        <f>IFERROR(__xludf.DUMMYFUNCTION("""COMPUTED_VALUE"""),42649.99861111111)</f>
        <v>42649.99861</v>
      </c>
      <c r="B2283" s="1">
        <f>IFERROR(__xludf.DUMMYFUNCTION("""COMPUTED_VALUE"""),14488.8705)</f>
        <v>14488.8705</v>
      </c>
    </row>
    <row r="2284">
      <c r="A2284" s="3">
        <f>IFERROR(__xludf.DUMMYFUNCTION("""COMPUTED_VALUE"""),42650.99861111111)</f>
        <v>42650.99861</v>
      </c>
      <c r="B2284" s="1">
        <f>IFERROR(__xludf.DUMMYFUNCTION("""COMPUTED_VALUE"""),14527.00116)</f>
        <v>14527.00116</v>
      </c>
    </row>
    <row r="2285">
      <c r="A2285" s="3">
        <f>IFERROR(__xludf.DUMMYFUNCTION("""COMPUTED_VALUE"""),42651.99861111111)</f>
        <v>42651.99861</v>
      </c>
      <c r="B2285" s="1">
        <f>IFERROR(__xludf.DUMMYFUNCTION("""COMPUTED_VALUE"""),14527.99294)</f>
        <v>14527.99294</v>
      </c>
    </row>
    <row r="2286">
      <c r="A2286" s="3">
        <f>IFERROR(__xludf.DUMMYFUNCTION("""COMPUTED_VALUE"""),42652.99861111111)</f>
        <v>42652.99861</v>
      </c>
      <c r="B2286" s="1">
        <f>IFERROR(__xludf.DUMMYFUNCTION("""COMPUTED_VALUE"""),14513.70376)</f>
        <v>14513.70376</v>
      </c>
    </row>
    <row r="2287">
      <c r="A2287" s="3">
        <f>IFERROR(__xludf.DUMMYFUNCTION("""COMPUTED_VALUE"""),42653.99861111111)</f>
        <v>42653.99861</v>
      </c>
      <c r="B2287" s="1">
        <f>IFERROR(__xludf.DUMMYFUNCTION("""COMPUTED_VALUE"""),14395.55694)</f>
        <v>14395.55694</v>
      </c>
    </row>
    <row r="2288">
      <c r="A2288" s="3">
        <f>IFERROR(__xludf.DUMMYFUNCTION("""COMPUTED_VALUE"""),42654.99861111111)</f>
        <v>42654.99861</v>
      </c>
      <c r="B2288" s="1">
        <f>IFERROR(__xludf.DUMMYFUNCTION("""COMPUTED_VALUE"""),14451.50916)</f>
        <v>14451.50916</v>
      </c>
    </row>
    <row r="2289">
      <c r="A2289" s="3">
        <f>IFERROR(__xludf.DUMMYFUNCTION("""COMPUTED_VALUE"""),42655.99861111111)</f>
        <v>42655.99861</v>
      </c>
      <c r="B2289" s="1">
        <f>IFERROR(__xludf.DUMMYFUNCTION("""COMPUTED_VALUE"""),14333.919)</f>
        <v>14333.919</v>
      </c>
    </row>
    <row r="2290">
      <c r="A2290" s="3">
        <f>IFERROR(__xludf.DUMMYFUNCTION("""COMPUTED_VALUE"""),42656.99861111111)</f>
        <v>42656.99861</v>
      </c>
      <c r="B2290" s="1">
        <f>IFERROR(__xludf.DUMMYFUNCTION("""COMPUTED_VALUE"""),14409.96768)</f>
        <v>14409.96768</v>
      </c>
    </row>
    <row r="2291">
      <c r="A2291" s="3">
        <f>IFERROR(__xludf.DUMMYFUNCTION("""COMPUTED_VALUE"""),42657.99861111111)</f>
        <v>42657.99861</v>
      </c>
      <c r="B2291" s="1">
        <f>IFERROR(__xludf.DUMMYFUNCTION("""COMPUTED_VALUE"""),14336.693)</f>
        <v>14336.693</v>
      </c>
    </row>
    <row r="2292">
      <c r="A2292" s="3">
        <f>IFERROR(__xludf.DUMMYFUNCTION("""COMPUTED_VALUE"""),42658.99861111111)</f>
        <v>42658.99861</v>
      </c>
      <c r="B2292" s="1">
        <f>IFERROR(__xludf.DUMMYFUNCTION("""COMPUTED_VALUE"""),14345.2582)</f>
        <v>14345.2582</v>
      </c>
    </row>
    <row r="2293">
      <c r="A2293" s="3">
        <f>IFERROR(__xludf.DUMMYFUNCTION("""COMPUTED_VALUE"""),42659.99861111111)</f>
        <v>42659.99861</v>
      </c>
      <c r="B2293" s="1">
        <f>IFERROR(__xludf.DUMMYFUNCTION("""COMPUTED_VALUE"""),14355.50892)</f>
        <v>14355.50892</v>
      </c>
    </row>
    <row r="2294">
      <c r="A2294" s="3">
        <f>IFERROR(__xludf.DUMMYFUNCTION("""COMPUTED_VALUE"""),42660.99861111111)</f>
        <v>42660.99861</v>
      </c>
      <c r="B2294" s="1">
        <f>IFERROR(__xludf.DUMMYFUNCTION("""COMPUTED_VALUE"""),14372.02222)</f>
        <v>14372.02222</v>
      </c>
    </row>
    <row r="2295">
      <c r="A2295" s="3">
        <f>IFERROR(__xludf.DUMMYFUNCTION("""COMPUTED_VALUE"""),42661.99861111111)</f>
        <v>42661.99861</v>
      </c>
      <c r="B2295" s="1">
        <f>IFERROR(__xludf.DUMMYFUNCTION("""COMPUTED_VALUE"""),14288.799)</f>
        <v>14288.799</v>
      </c>
    </row>
    <row r="2296">
      <c r="A2296" s="3">
        <f>IFERROR(__xludf.DUMMYFUNCTION("""COMPUTED_VALUE"""),42662.99861111111)</f>
        <v>42662.99861</v>
      </c>
      <c r="B2296" s="1">
        <f>IFERROR(__xludf.DUMMYFUNCTION("""COMPUTED_VALUE"""),14234.69448)</f>
        <v>14234.69448</v>
      </c>
    </row>
    <row r="2297">
      <c r="A2297" s="3">
        <f>IFERROR(__xludf.DUMMYFUNCTION("""COMPUTED_VALUE"""),42663.99861111111)</f>
        <v>42663.99861</v>
      </c>
      <c r="B2297" s="1">
        <f>IFERROR(__xludf.DUMMYFUNCTION("""COMPUTED_VALUE"""),14213.1645)</f>
        <v>14213.1645</v>
      </c>
    </row>
    <row r="2298">
      <c r="A2298" s="3">
        <f>IFERROR(__xludf.DUMMYFUNCTION("""COMPUTED_VALUE"""),42664.99861111111)</f>
        <v>42664.99861</v>
      </c>
      <c r="B2298" s="1">
        <f>IFERROR(__xludf.DUMMYFUNCTION("""COMPUTED_VALUE"""),14174.10297)</f>
        <v>14174.10297</v>
      </c>
    </row>
    <row r="2299">
      <c r="A2299" s="3">
        <f>IFERROR(__xludf.DUMMYFUNCTION("""COMPUTED_VALUE"""),42665.99861111111)</f>
        <v>42665.99861</v>
      </c>
      <c r="B2299" s="1">
        <f>IFERROR(__xludf.DUMMYFUNCTION("""COMPUTED_VALUE"""),14199.2664)</f>
        <v>14199.2664</v>
      </c>
    </row>
    <row r="2300">
      <c r="A2300" s="3">
        <f>IFERROR(__xludf.DUMMYFUNCTION("""COMPUTED_VALUE"""),42666.99861111111)</f>
        <v>42666.99861</v>
      </c>
      <c r="B2300" s="1">
        <f>IFERROR(__xludf.DUMMYFUNCTION("""COMPUTED_VALUE"""),14198.661)</f>
        <v>14198.661</v>
      </c>
    </row>
    <row r="2301">
      <c r="A2301" s="3">
        <f>IFERROR(__xludf.DUMMYFUNCTION("""COMPUTED_VALUE"""),42667.99861111111)</f>
        <v>42667.99861</v>
      </c>
      <c r="B2301" s="1">
        <f>IFERROR(__xludf.DUMMYFUNCTION("""COMPUTED_VALUE"""),14146.6464)</f>
        <v>14146.6464</v>
      </c>
    </row>
    <row r="2302">
      <c r="A2302" s="3">
        <f>IFERROR(__xludf.DUMMYFUNCTION("""COMPUTED_VALUE"""),42668.99861111111)</f>
        <v>42668.99861</v>
      </c>
      <c r="B2302" s="1">
        <f>IFERROR(__xludf.DUMMYFUNCTION("""COMPUTED_VALUE"""),14124.376)</f>
        <v>14124.376</v>
      </c>
    </row>
    <row r="2303">
      <c r="A2303" s="3">
        <f>IFERROR(__xludf.DUMMYFUNCTION("""COMPUTED_VALUE"""),42669.99861111111)</f>
        <v>42669.99861</v>
      </c>
      <c r="B2303" s="1">
        <f>IFERROR(__xludf.DUMMYFUNCTION("""COMPUTED_VALUE"""),14207.75136)</f>
        <v>14207.75136</v>
      </c>
    </row>
    <row r="2304">
      <c r="A2304" s="3">
        <f>IFERROR(__xludf.DUMMYFUNCTION("""COMPUTED_VALUE"""),42670.99861111111)</f>
        <v>42670.99861</v>
      </c>
      <c r="B2304" s="1">
        <f>IFERROR(__xludf.DUMMYFUNCTION("""COMPUTED_VALUE"""),14223.72357)</f>
        <v>14223.72357</v>
      </c>
    </row>
    <row r="2305">
      <c r="A2305" s="3">
        <f>IFERROR(__xludf.DUMMYFUNCTION("""COMPUTED_VALUE"""),42671.99861111111)</f>
        <v>42671.99861</v>
      </c>
      <c r="B2305" s="1">
        <f>IFERROR(__xludf.DUMMYFUNCTION("""COMPUTED_VALUE"""),14348.79109)</f>
        <v>14348.79109</v>
      </c>
    </row>
    <row r="2306">
      <c r="A2306" s="3">
        <f>IFERROR(__xludf.DUMMYFUNCTION("""COMPUTED_VALUE"""),42672.99861111111)</f>
        <v>42672.99861</v>
      </c>
      <c r="B2306" s="1">
        <f>IFERROR(__xludf.DUMMYFUNCTION("""COMPUTED_VALUE"""),14351.0118)</f>
        <v>14351.0118</v>
      </c>
    </row>
    <row r="2307">
      <c r="A2307" s="3">
        <f>IFERROR(__xludf.DUMMYFUNCTION("""COMPUTED_VALUE"""),42673.99861111111)</f>
        <v>42673.99861</v>
      </c>
      <c r="B2307" s="1">
        <f>IFERROR(__xludf.DUMMYFUNCTION("""COMPUTED_VALUE"""),14347.48479)</f>
        <v>14347.48479</v>
      </c>
    </row>
    <row r="2308">
      <c r="A2308" s="3">
        <f>IFERROR(__xludf.DUMMYFUNCTION("""COMPUTED_VALUE"""),42674.99861111111)</f>
        <v>42674.99861</v>
      </c>
      <c r="B2308" s="1">
        <f>IFERROR(__xludf.DUMMYFUNCTION("""COMPUTED_VALUE"""),14275.13087)</f>
        <v>14275.13087</v>
      </c>
    </row>
    <row r="2309">
      <c r="A2309" s="3">
        <f>IFERROR(__xludf.DUMMYFUNCTION("""COMPUTED_VALUE"""),42675.99861111111)</f>
        <v>42675.99861</v>
      </c>
      <c r="B2309" s="1">
        <f>IFERROR(__xludf.DUMMYFUNCTION("""COMPUTED_VALUE"""),14412.72672)</f>
        <v>14412.72672</v>
      </c>
    </row>
    <row r="2310">
      <c r="A2310" s="3">
        <f>IFERROR(__xludf.DUMMYFUNCTION("""COMPUTED_VALUE"""),42676.99861111111)</f>
        <v>42676.99861</v>
      </c>
      <c r="B2310" s="1">
        <f>IFERROR(__xludf.DUMMYFUNCTION("""COMPUTED_VALUE"""),14472.84102)</f>
        <v>14472.84102</v>
      </c>
    </row>
    <row r="2311">
      <c r="A2311" s="3">
        <f>IFERROR(__xludf.DUMMYFUNCTION("""COMPUTED_VALUE"""),42677.99861111111)</f>
        <v>42677.99861</v>
      </c>
      <c r="B2311" s="1">
        <f>IFERROR(__xludf.DUMMYFUNCTION("""COMPUTED_VALUE"""),14503.25844)</f>
        <v>14503.25844</v>
      </c>
    </row>
    <row r="2312">
      <c r="A2312" s="3">
        <f>IFERROR(__xludf.DUMMYFUNCTION("""COMPUTED_VALUE"""),42678.99861111111)</f>
        <v>42678.99861</v>
      </c>
      <c r="B2312" s="1">
        <f>IFERROR(__xludf.DUMMYFUNCTION("""COMPUTED_VALUE"""),14607.61974)</f>
        <v>14607.61974</v>
      </c>
    </row>
    <row r="2313">
      <c r="A2313" s="3">
        <f>IFERROR(__xludf.DUMMYFUNCTION("""COMPUTED_VALUE"""),42679.99861111111)</f>
        <v>42679.99861</v>
      </c>
      <c r="B2313" s="1">
        <f>IFERROR(__xludf.DUMMYFUNCTION("""COMPUTED_VALUE"""),14603.9481)</f>
        <v>14603.9481</v>
      </c>
    </row>
    <row r="2314">
      <c r="A2314" s="3">
        <f>IFERROR(__xludf.DUMMYFUNCTION("""COMPUTED_VALUE"""),42680.99861111111)</f>
        <v>42680.99861</v>
      </c>
      <c r="B2314" s="1">
        <f>IFERROR(__xludf.DUMMYFUNCTION("""COMPUTED_VALUE"""),14554.7647)</f>
        <v>14554.7647</v>
      </c>
    </row>
    <row r="2315">
      <c r="A2315" s="3">
        <f>IFERROR(__xludf.DUMMYFUNCTION("""COMPUTED_VALUE"""),42681.99861111111)</f>
        <v>42681.99861</v>
      </c>
      <c r="B2315" s="1">
        <f>IFERROR(__xludf.DUMMYFUNCTION("""COMPUTED_VALUE"""),14460.34978)</f>
        <v>14460.34978</v>
      </c>
    </row>
    <row r="2316">
      <c r="A2316" s="3">
        <f>IFERROR(__xludf.DUMMYFUNCTION("""COMPUTED_VALUE"""),42682.99861111111)</f>
        <v>42682.99861</v>
      </c>
      <c r="B2316" s="1">
        <f>IFERROR(__xludf.DUMMYFUNCTION("""COMPUTED_VALUE"""),14365.9656)</f>
        <v>14365.9656</v>
      </c>
    </row>
    <row r="2317">
      <c r="A2317" s="3">
        <f>IFERROR(__xludf.DUMMYFUNCTION("""COMPUTED_VALUE"""),42683.99861111111)</f>
        <v>42683.99861</v>
      </c>
      <c r="B2317" s="1">
        <f>IFERROR(__xludf.DUMMYFUNCTION("""COMPUTED_VALUE"""),14342.9766)</f>
        <v>14342.9766</v>
      </c>
    </row>
    <row r="2318">
      <c r="A2318" s="3">
        <f>IFERROR(__xludf.DUMMYFUNCTION("""COMPUTED_VALUE"""),42684.99861111111)</f>
        <v>42684.99861</v>
      </c>
      <c r="B2318" s="1">
        <f>IFERROR(__xludf.DUMMYFUNCTION("""COMPUTED_VALUE"""),14795.15792)</f>
        <v>14795.15792</v>
      </c>
    </row>
    <row r="2319">
      <c r="A2319" s="3">
        <f>IFERROR(__xludf.DUMMYFUNCTION("""COMPUTED_VALUE"""),42685.99861111111)</f>
        <v>42685.99861</v>
      </c>
      <c r="B2319" s="1">
        <f>IFERROR(__xludf.DUMMYFUNCTION("""COMPUTED_VALUE"""),14501.84554)</f>
        <v>14501.84554</v>
      </c>
    </row>
    <row r="2320">
      <c r="A2320" s="3">
        <f>IFERROR(__xludf.DUMMYFUNCTION("""COMPUTED_VALUE"""),42686.99861111111)</f>
        <v>42686.99861</v>
      </c>
      <c r="B2320" s="1">
        <f>IFERROR(__xludf.DUMMYFUNCTION("""COMPUTED_VALUE"""),14672.64483)</f>
        <v>14672.64483</v>
      </c>
    </row>
    <row r="2321">
      <c r="A2321" s="3">
        <f>IFERROR(__xludf.DUMMYFUNCTION("""COMPUTED_VALUE"""),42687.99861111111)</f>
        <v>42687.99861</v>
      </c>
      <c r="B2321" s="1">
        <f>IFERROR(__xludf.DUMMYFUNCTION("""COMPUTED_VALUE"""),14440.0466)</f>
        <v>14440.0466</v>
      </c>
    </row>
    <row r="2322">
      <c r="A2322" s="3">
        <f>IFERROR(__xludf.DUMMYFUNCTION("""COMPUTED_VALUE"""),42688.99861111111)</f>
        <v>42688.99861</v>
      </c>
      <c r="B2322" s="1">
        <f>IFERROR(__xludf.DUMMYFUNCTION("""COMPUTED_VALUE"""),14463.0414)</f>
        <v>14463.0414</v>
      </c>
    </row>
    <row r="2323">
      <c r="A2323" s="3">
        <f>IFERROR(__xludf.DUMMYFUNCTION("""COMPUTED_VALUE"""),42689.99861111111)</f>
        <v>42689.99861</v>
      </c>
      <c r="B2323" s="1">
        <f>IFERROR(__xludf.DUMMYFUNCTION("""COMPUTED_VALUE"""),14276.19555)</f>
        <v>14276.19555</v>
      </c>
    </row>
    <row r="2324">
      <c r="A2324" s="3">
        <f>IFERROR(__xludf.DUMMYFUNCTION("""COMPUTED_VALUE"""),42690.99861111111)</f>
        <v>42690.99861</v>
      </c>
      <c r="B2324" s="1">
        <f>IFERROR(__xludf.DUMMYFUNCTION("""COMPUTED_VALUE"""),14310.97872)</f>
        <v>14310.97872</v>
      </c>
    </row>
    <row r="2325">
      <c r="A2325" s="3">
        <f>IFERROR(__xludf.DUMMYFUNCTION("""COMPUTED_VALUE"""),42691.99861111111)</f>
        <v>42691.99861</v>
      </c>
      <c r="B2325" s="1">
        <f>IFERROR(__xludf.DUMMYFUNCTION("""COMPUTED_VALUE"""),14243.15255)</f>
        <v>14243.15255</v>
      </c>
    </row>
    <row r="2326">
      <c r="A2326" s="3">
        <f>IFERROR(__xludf.DUMMYFUNCTION("""COMPUTED_VALUE"""),42692.99861111111)</f>
        <v>42692.99861</v>
      </c>
      <c r="B2326" s="1">
        <f>IFERROR(__xludf.DUMMYFUNCTION("""COMPUTED_VALUE"""),14148.20988)</f>
        <v>14148.20988</v>
      </c>
    </row>
    <row r="2327">
      <c r="A2327" s="3">
        <f>IFERROR(__xludf.DUMMYFUNCTION("""COMPUTED_VALUE"""),42693.99861111111)</f>
        <v>42693.99861</v>
      </c>
      <c r="B2327" s="1">
        <f>IFERROR(__xludf.DUMMYFUNCTION("""COMPUTED_VALUE"""),14157.69634)</f>
        <v>14157.69634</v>
      </c>
    </row>
    <row r="2328">
      <c r="A2328" s="3">
        <f>IFERROR(__xludf.DUMMYFUNCTION("""COMPUTED_VALUE"""),42694.99861111111)</f>
        <v>42694.99861</v>
      </c>
      <c r="B2328" s="1">
        <f>IFERROR(__xludf.DUMMYFUNCTION("""COMPUTED_VALUE"""),14263.74738)</f>
        <v>14263.74738</v>
      </c>
    </row>
    <row r="2329">
      <c r="A2329" s="3">
        <f>IFERROR(__xludf.DUMMYFUNCTION("""COMPUTED_VALUE"""),42695.99861111111)</f>
        <v>42695.99861</v>
      </c>
      <c r="B2329" s="1">
        <f>IFERROR(__xludf.DUMMYFUNCTION("""COMPUTED_VALUE"""),14266.74676)</f>
        <v>14266.74676</v>
      </c>
    </row>
    <row r="2330">
      <c r="A2330" s="3">
        <f>IFERROR(__xludf.DUMMYFUNCTION("""COMPUTED_VALUE"""),42696.99861111111)</f>
        <v>42696.99861</v>
      </c>
      <c r="B2330" s="1">
        <f>IFERROR(__xludf.DUMMYFUNCTION("""COMPUTED_VALUE"""),14280.09648)</f>
        <v>14280.09648</v>
      </c>
    </row>
    <row r="2331">
      <c r="A2331" s="3">
        <f>IFERROR(__xludf.DUMMYFUNCTION("""COMPUTED_VALUE"""),42697.99861111111)</f>
        <v>42697.99861</v>
      </c>
      <c r="B2331" s="1">
        <f>IFERROR(__xludf.DUMMYFUNCTION("""COMPUTED_VALUE"""),14344.77154)</f>
        <v>14344.77154</v>
      </c>
    </row>
    <row r="2332">
      <c r="A2332" s="3">
        <f>IFERROR(__xludf.DUMMYFUNCTION("""COMPUTED_VALUE"""),42698.99861111111)</f>
        <v>42698.99861</v>
      </c>
      <c r="B2332" s="1">
        <f>IFERROR(__xludf.DUMMYFUNCTION("""COMPUTED_VALUE"""),14316.02778)</f>
        <v>14316.02778</v>
      </c>
    </row>
    <row r="2333">
      <c r="A2333" s="3">
        <f>IFERROR(__xludf.DUMMYFUNCTION("""COMPUTED_VALUE"""),42699.99861111111)</f>
        <v>42699.99861</v>
      </c>
      <c r="B2333" s="1">
        <f>IFERROR(__xludf.DUMMYFUNCTION("""COMPUTED_VALUE"""),14311.87401)</f>
        <v>14311.87401</v>
      </c>
    </row>
    <row r="2334">
      <c r="A2334" s="3">
        <f>IFERROR(__xludf.DUMMYFUNCTION("""COMPUTED_VALUE"""),42700.99861111111)</f>
        <v>42700.99861</v>
      </c>
      <c r="B2334" s="1">
        <f>IFERROR(__xludf.DUMMYFUNCTION("""COMPUTED_VALUE"""),14339.67845)</f>
        <v>14339.67845</v>
      </c>
    </row>
    <row r="2335">
      <c r="A2335" s="3">
        <f>IFERROR(__xludf.DUMMYFUNCTION("""COMPUTED_VALUE"""),42701.99861111111)</f>
        <v>42701.99861</v>
      </c>
      <c r="B2335" s="1">
        <f>IFERROR(__xludf.DUMMYFUNCTION("""COMPUTED_VALUE"""),14301.4712)</f>
        <v>14301.4712</v>
      </c>
    </row>
    <row r="2336">
      <c r="A2336" s="3">
        <f>IFERROR(__xludf.DUMMYFUNCTION("""COMPUTED_VALUE"""),42702.99861111111)</f>
        <v>42702.99861</v>
      </c>
      <c r="B2336" s="1">
        <f>IFERROR(__xludf.DUMMYFUNCTION("""COMPUTED_VALUE"""),14313.08052)</f>
        <v>14313.08052</v>
      </c>
    </row>
    <row r="2337">
      <c r="A2337" s="3">
        <f>IFERROR(__xludf.DUMMYFUNCTION("""COMPUTED_VALUE"""),42703.99861111111)</f>
        <v>42703.99861</v>
      </c>
      <c r="B2337" s="1">
        <f>IFERROR(__xludf.DUMMYFUNCTION("""COMPUTED_VALUE"""),14374.09418)</f>
        <v>14374.09418</v>
      </c>
    </row>
    <row r="2338">
      <c r="A2338" s="3">
        <f>IFERROR(__xludf.DUMMYFUNCTION("""COMPUTED_VALUE"""),42704.99861111111)</f>
        <v>42704.99861</v>
      </c>
      <c r="B2338" s="1">
        <f>IFERROR(__xludf.DUMMYFUNCTION("""COMPUTED_VALUE"""),14373.69804)</f>
        <v>14373.69804</v>
      </c>
    </row>
    <row r="2339">
      <c r="A2339" s="3">
        <f>IFERROR(__xludf.DUMMYFUNCTION("""COMPUTED_VALUE"""),42705.99861111111)</f>
        <v>42705.99861</v>
      </c>
      <c r="B2339" s="1">
        <f>IFERROR(__xludf.DUMMYFUNCTION("""COMPUTED_VALUE"""),14411.5398)</f>
        <v>14411.5398</v>
      </c>
    </row>
    <row r="2340">
      <c r="A2340" s="3">
        <f>IFERROR(__xludf.DUMMYFUNCTION("""COMPUTED_VALUE"""),42706.99861111111)</f>
        <v>42706.99861</v>
      </c>
      <c r="B2340" s="1">
        <f>IFERROR(__xludf.DUMMYFUNCTION("""COMPUTED_VALUE"""),14356.436)</f>
        <v>14356.436</v>
      </c>
    </row>
    <row r="2341">
      <c r="A2341" s="3">
        <f>IFERROR(__xludf.DUMMYFUNCTION("""COMPUTED_VALUE"""),42707.99861111111)</f>
        <v>42707.99861</v>
      </c>
      <c r="B2341" s="1">
        <f>IFERROR(__xludf.DUMMYFUNCTION("""COMPUTED_VALUE"""),14376.00123)</f>
        <v>14376.00123</v>
      </c>
    </row>
    <row r="2342">
      <c r="A2342" s="3">
        <f>IFERROR(__xludf.DUMMYFUNCTION("""COMPUTED_VALUE"""),42708.99861111111)</f>
        <v>42708.99861</v>
      </c>
      <c r="B2342" s="1">
        <f>IFERROR(__xludf.DUMMYFUNCTION("""COMPUTED_VALUE"""),14435.3484)</f>
        <v>14435.3484</v>
      </c>
    </row>
    <row r="2343">
      <c r="A2343" s="3">
        <f>IFERROR(__xludf.DUMMYFUNCTION("""COMPUTED_VALUE"""),42709.99861111111)</f>
        <v>42709.99861</v>
      </c>
      <c r="B2343" s="1">
        <f>IFERROR(__xludf.DUMMYFUNCTION("""COMPUTED_VALUE"""),14448.80568)</f>
        <v>14448.80568</v>
      </c>
    </row>
    <row r="2344">
      <c r="A2344" s="3">
        <f>IFERROR(__xludf.DUMMYFUNCTION("""COMPUTED_VALUE"""),42710.99861111111)</f>
        <v>42710.99861</v>
      </c>
      <c r="B2344" s="1">
        <f>IFERROR(__xludf.DUMMYFUNCTION("""COMPUTED_VALUE"""),14250.91872)</f>
        <v>14250.91872</v>
      </c>
    </row>
    <row r="2345">
      <c r="A2345" s="3">
        <f>IFERROR(__xludf.DUMMYFUNCTION("""COMPUTED_VALUE"""),42711.99861111111)</f>
        <v>42711.99861</v>
      </c>
      <c r="B2345" s="1">
        <f>IFERROR(__xludf.DUMMYFUNCTION("""COMPUTED_VALUE"""),14283.92768)</f>
        <v>14283.92768</v>
      </c>
    </row>
    <row r="2346">
      <c r="A2346" s="3">
        <f>IFERROR(__xludf.DUMMYFUNCTION("""COMPUTED_VALUE"""),42712.99861111111)</f>
        <v>42712.99861</v>
      </c>
      <c r="B2346" s="1">
        <f>IFERROR(__xludf.DUMMYFUNCTION("""COMPUTED_VALUE"""),14130.17364)</f>
        <v>14130.17364</v>
      </c>
    </row>
    <row r="2347">
      <c r="A2347" s="3">
        <f>IFERROR(__xludf.DUMMYFUNCTION("""COMPUTED_VALUE"""),42713.99861111111)</f>
        <v>42713.99861</v>
      </c>
      <c r="B2347" s="1">
        <f>IFERROR(__xludf.DUMMYFUNCTION("""COMPUTED_VALUE"""),14087.11545)</f>
        <v>14087.11545</v>
      </c>
    </row>
    <row r="2348">
      <c r="A2348" s="3">
        <f>IFERROR(__xludf.DUMMYFUNCTION("""COMPUTED_VALUE"""),42714.99861111111)</f>
        <v>42714.99861</v>
      </c>
      <c r="B2348" s="1">
        <f>IFERROR(__xludf.DUMMYFUNCTION("""COMPUTED_VALUE"""),14100.8627)</f>
        <v>14100.8627</v>
      </c>
    </row>
    <row r="2349">
      <c r="A2349" s="3">
        <f>IFERROR(__xludf.DUMMYFUNCTION("""COMPUTED_VALUE"""),42715.99861111111)</f>
        <v>42715.99861</v>
      </c>
      <c r="B2349" s="1">
        <f>IFERROR(__xludf.DUMMYFUNCTION("""COMPUTED_VALUE"""),14086.2922)</f>
        <v>14086.2922</v>
      </c>
    </row>
    <row r="2350">
      <c r="A2350" s="3">
        <f>IFERROR(__xludf.DUMMYFUNCTION("""COMPUTED_VALUE"""),42716.99861111111)</f>
        <v>42716.99861</v>
      </c>
      <c r="B2350" s="1">
        <f>IFERROR(__xludf.DUMMYFUNCTION("""COMPUTED_VALUE"""),14127.792)</f>
        <v>14127.792</v>
      </c>
    </row>
    <row r="2351">
      <c r="A2351" s="3">
        <f>IFERROR(__xludf.DUMMYFUNCTION("""COMPUTED_VALUE"""),42717.99861111111)</f>
        <v>42717.99861</v>
      </c>
      <c r="B2351" s="1">
        <f>IFERROR(__xludf.DUMMYFUNCTION("""COMPUTED_VALUE"""),14110.7968)</f>
        <v>14110.7968</v>
      </c>
    </row>
    <row r="2352">
      <c r="A2352" s="3">
        <f>IFERROR(__xludf.DUMMYFUNCTION("""COMPUTED_VALUE"""),42718.99861111111)</f>
        <v>42718.99861</v>
      </c>
      <c r="B2352" s="1">
        <f>IFERROR(__xludf.DUMMYFUNCTION("""COMPUTED_VALUE"""),14103.6598)</f>
        <v>14103.6598</v>
      </c>
    </row>
    <row r="2353">
      <c r="A2353" s="3">
        <f>IFERROR(__xludf.DUMMYFUNCTION("""COMPUTED_VALUE"""),42719.99861111111)</f>
        <v>42719.99861</v>
      </c>
      <c r="B2353" s="1">
        <f>IFERROR(__xludf.DUMMYFUNCTION("""COMPUTED_VALUE"""),13969.16582)</f>
        <v>13969.16582</v>
      </c>
    </row>
    <row r="2354">
      <c r="A2354" s="3">
        <f>IFERROR(__xludf.DUMMYFUNCTION("""COMPUTED_VALUE"""),42720.99861111111)</f>
        <v>42720.99861</v>
      </c>
      <c r="B2354" s="1">
        <f>IFERROR(__xludf.DUMMYFUNCTION("""COMPUTED_VALUE"""),14010.66183)</f>
        <v>14010.66183</v>
      </c>
    </row>
    <row r="2355">
      <c r="A2355" s="3">
        <f>IFERROR(__xludf.DUMMYFUNCTION("""COMPUTED_VALUE"""),42721.99861111111)</f>
        <v>42721.99861</v>
      </c>
      <c r="B2355" s="1">
        <f>IFERROR(__xludf.DUMMYFUNCTION("""COMPUTED_VALUE"""),14015.0868)</f>
        <v>14015.0868</v>
      </c>
    </row>
    <row r="2356">
      <c r="A2356" s="3">
        <f>IFERROR(__xludf.DUMMYFUNCTION("""COMPUTED_VALUE"""),42722.99861111111)</f>
        <v>42722.99861</v>
      </c>
      <c r="B2356" s="1">
        <f>IFERROR(__xludf.DUMMYFUNCTION("""COMPUTED_VALUE"""),13978.5435)</f>
        <v>13978.5435</v>
      </c>
    </row>
    <row r="2357">
      <c r="A2357" s="3">
        <f>IFERROR(__xludf.DUMMYFUNCTION("""COMPUTED_VALUE"""),42723.99861111111)</f>
        <v>42723.99861</v>
      </c>
      <c r="B2357" s="1">
        <f>IFERROR(__xludf.DUMMYFUNCTION("""COMPUTED_VALUE"""),13909.3458)</f>
        <v>13909.3458</v>
      </c>
    </row>
    <row r="2358">
      <c r="A2358" s="3">
        <f>IFERROR(__xludf.DUMMYFUNCTION("""COMPUTED_VALUE"""),42724.99861111111)</f>
        <v>42724.99861</v>
      </c>
      <c r="B2358" s="1">
        <f>IFERROR(__xludf.DUMMYFUNCTION("""COMPUTED_VALUE"""),13943.61374)</f>
        <v>13943.61374</v>
      </c>
    </row>
    <row r="2359">
      <c r="A2359" s="3">
        <f>IFERROR(__xludf.DUMMYFUNCTION("""COMPUTED_VALUE"""),42725.99861111111)</f>
        <v>42725.99861</v>
      </c>
      <c r="B2359" s="1">
        <f>IFERROR(__xludf.DUMMYFUNCTION("""COMPUTED_VALUE"""),14011.5014)</f>
        <v>14011.5014</v>
      </c>
    </row>
    <row r="2360">
      <c r="A2360" s="3">
        <f>IFERROR(__xludf.DUMMYFUNCTION("""COMPUTED_VALUE"""),42726.99861111111)</f>
        <v>42726.99861</v>
      </c>
      <c r="B2360" s="1">
        <f>IFERROR(__xludf.DUMMYFUNCTION("""COMPUTED_VALUE"""),14036.45232)</f>
        <v>14036.45232</v>
      </c>
    </row>
    <row r="2361">
      <c r="A2361" s="3">
        <f>IFERROR(__xludf.DUMMYFUNCTION("""COMPUTED_VALUE"""),42727.99861111111)</f>
        <v>42727.99861</v>
      </c>
      <c r="B2361" s="1">
        <f>IFERROR(__xludf.DUMMYFUNCTION("""COMPUTED_VALUE"""),14039.23129)</f>
        <v>14039.23129</v>
      </c>
    </row>
    <row r="2362">
      <c r="A2362" s="3">
        <f>IFERROR(__xludf.DUMMYFUNCTION("""COMPUTED_VALUE"""),42728.99861111111)</f>
        <v>42728.99861</v>
      </c>
      <c r="B2362" s="1">
        <f>IFERROR(__xludf.DUMMYFUNCTION("""COMPUTED_VALUE"""),14045.5448)</f>
        <v>14045.5448</v>
      </c>
    </row>
    <row r="2363">
      <c r="A2363" s="3">
        <f>IFERROR(__xludf.DUMMYFUNCTION("""COMPUTED_VALUE"""),42729.99861111111)</f>
        <v>42729.99861</v>
      </c>
      <c r="B2363" s="1">
        <f>IFERROR(__xludf.DUMMYFUNCTION("""COMPUTED_VALUE"""),14048.77188)</f>
        <v>14048.77188</v>
      </c>
    </row>
    <row r="2364">
      <c r="A2364" s="3">
        <f>IFERROR(__xludf.DUMMYFUNCTION("""COMPUTED_VALUE"""),42730.99861111111)</f>
        <v>42730.99861</v>
      </c>
      <c r="B2364" s="1">
        <f>IFERROR(__xludf.DUMMYFUNCTION("""COMPUTED_VALUE"""),14050.9226)</f>
        <v>14050.9226</v>
      </c>
    </row>
    <row r="2365">
      <c r="A2365" s="3">
        <f>IFERROR(__xludf.DUMMYFUNCTION("""COMPUTED_VALUE"""),42731.99861111111)</f>
        <v>42731.99861</v>
      </c>
      <c r="B2365" s="1">
        <f>IFERROR(__xludf.DUMMYFUNCTION("""COMPUTED_VALUE"""),14047.27116)</f>
        <v>14047.27116</v>
      </c>
    </row>
    <row r="2366">
      <c r="A2366" s="3">
        <f>IFERROR(__xludf.DUMMYFUNCTION("""COMPUTED_VALUE"""),42732.99861111111)</f>
        <v>42732.99861</v>
      </c>
      <c r="B2366" s="1">
        <f>IFERROR(__xludf.DUMMYFUNCTION("""COMPUTED_VALUE"""),14050.5095)</f>
        <v>14050.5095</v>
      </c>
    </row>
    <row r="2367">
      <c r="A2367" s="3">
        <f>IFERROR(__xludf.DUMMYFUNCTION("""COMPUTED_VALUE"""),42733.99861111111)</f>
        <v>42733.99861</v>
      </c>
      <c r="B2367" s="1">
        <f>IFERROR(__xludf.DUMMYFUNCTION("""COMPUTED_VALUE"""),14235.71656)</f>
        <v>14235.71656</v>
      </c>
    </row>
    <row r="2368">
      <c r="A2368" s="3">
        <f>IFERROR(__xludf.DUMMYFUNCTION("""COMPUTED_VALUE"""),42734.99861111111)</f>
        <v>42734.99861</v>
      </c>
      <c r="B2368" s="1">
        <f>IFERROR(__xludf.DUMMYFUNCTION("""COMPUTED_VALUE"""),14220.936)</f>
        <v>14220.936</v>
      </c>
    </row>
    <row r="2369">
      <c r="A2369" s="3">
        <f>IFERROR(__xludf.DUMMYFUNCTION("""COMPUTED_VALUE"""),42735.99861111111)</f>
        <v>42735.99861</v>
      </c>
      <c r="B2369" s="1">
        <f>IFERROR(__xludf.DUMMYFUNCTION("""COMPUTED_VALUE"""),14216.8806)</f>
        <v>14216.8806</v>
      </c>
    </row>
    <row r="2370">
      <c r="A2370" s="3">
        <f>IFERROR(__xludf.DUMMYFUNCTION("""COMPUTED_VALUE"""),42736.99861111111)</f>
        <v>42736.99861</v>
      </c>
      <c r="B2370" s="1">
        <f>IFERROR(__xludf.DUMMYFUNCTION("""COMPUTED_VALUE"""),14222.59608)</f>
        <v>14222.59608</v>
      </c>
    </row>
    <row r="2371">
      <c r="A2371" s="3">
        <f>IFERROR(__xludf.DUMMYFUNCTION("""COMPUTED_VALUE"""),42737.99861111111)</f>
        <v>42737.99861</v>
      </c>
      <c r="B2371" s="1">
        <f>IFERROR(__xludf.DUMMYFUNCTION("""COMPUTED_VALUE"""),14123.35926)</f>
        <v>14123.35926</v>
      </c>
    </row>
    <row r="2372">
      <c r="A2372" s="3">
        <f>IFERROR(__xludf.DUMMYFUNCTION("""COMPUTED_VALUE"""),42738.99861111111)</f>
        <v>42738.99861</v>
      </c>
      <c r="B2372" s="1">
        <f>IFERROR(__xludf.DUMMYFUNCTION("""COMPUTED_VALUE"""),14003.97639)</f>
        <v>14003.97639</v>
      </c>
    </row>
    <row r="2373">
      <c r="A2373" s="3">
        <f>IFERROR(__xludf.DUMMYFUNCTION("""COMPUTED_VALUE"""),42739.99861111111)</f>
        <v>42739.99861</v>
      </c>
      <c r="B2373" s="1">
        <f>IFERROR(__xludf.DUMMYFUNCTION("""COMPUTED_VALUE"""),14012.7304)</f>
        <v>14012.7304</v>
      </c>
    </row>
    <row r="2374">
      <c r="A2374" s="3">
        <f>IFERROR(__xludf.DUMMYFUNCTION("""COMPUTED_VALUE"""),42740.99861111111)</f>
        <v>42740.99861</v>
      </c>
      <c r="B2374" s="1">
        <f>IFERROR(__xludf.DUMMYFUNCTION("""COMPUTED_VALUE"""),14123.4676)</f>
        <v>14123.4676</v>
      </c>
    </row>
    <row r="2375">
      <c r="A2375" s="3">
        <f>IFERROR(__xludf.DUMMYFUNCTION("""COMPUTED_VALUE"""),42741.99861111111)</f>
        <v>42741.99861</v>
      </c>
      <c r="B2375" s="1">
        <f>IFERROR(__xludf.DUMMYFUNCTION("""COMPUTED_VALUE"""),14049.92652)</f>
        <v>14049.92652</v>
      </c>
    </row>
    <row r="2376">
      <c r="A2376" s="3">
        <f>IFERROR(__xludf.DUMMYFUNCTION("""COMPUTED_VALUE"""),42742.99861111111)</f>
        <v>42742.99861</v>
      </c>
      <c r="B2376" s="1">
        <f>IFERROR(__xludf.DUMMYFUNCTION("""COMPUTED_VALUE"""),14049.126)</f>
        <v>14049.126</v>
      </c>
    </row>
    <row r="2377">
      <c r="A2377" s="3">
        <f>IFERROR(__xludf.DUMMYFUNCTION("""COMPUTED_VALUE"""),42743.99861111111)</f>
        <v>42743.99861</v>
      </c>
      <c r="B2377" s="1">
        <f>IFERROR(__xludf.DUMMYFUNCTION("""COMPUTED_VALUE"""),14057.00088)</f>
        <v>14057.00088</v>
      </c>
    </row>
    <row r="2378">
      <c r="A2378" s="3">
        <f>IFERROR(__xludf.DUMMYFUNCTION("""COMPUTED_VALUE"""),42744.99861111111)</f>
        <v>42744.99861</v>
      </c>
      <c r="B2378" s="1">
        <f>IFERROR(__xludf.DUMMYFUNCTION("""COMPUTED_VALUE"""),14096.06436)</f>
        <v>14096.06436</v>
      </c>
    </row>
    <row r="2379">
      <c r="A2379" s="3">
        <f>IFERROR(__xludf.DUMMYFUNCTION("""COMPUTED_VALUE"""),42745.99861111111)</f>
        <v>42745.99861</v>
      </c>
      <c r="B2379" s="1">
        <f>IFERROR(__xludf.DUMMYFUNCTION("""COMPUTED_VALUE"""),14025.19484)</f>
        <v>14025.19484</v>
      </c>
    </row>
    <row r="2380">
      <c r="A2380" s="3">
        <f>IFERROR(__xludf.DUMMYFUNCTION("""COMPUTED_VALUE"""),42746.99861111111)</f>
        <v>42746.99861</v>
      </c>
      <c r="B2380" s="1">
        <f>IFERROR(__xludf.DUMMYFUNCTION("""COMPUTED_VALUE"""),14028.30986)</f>
        <v>14028.30986</v>
      </c>
    </row>
    <row r="2381">
      <c r="A2381" s="3">
        <f>IFERROR(__xludf.DUMMYFUNCTION("""COMPUTED_VALUE"""),42747.99861111111)</f>
        <v>42747.99861</v>
      </c>
      <c r="B2381" s="1">
        <f>IFERROR(__xludf.DUMMYFUNCTION("""COMPUTED_VALUE"""),14072.17378)</f>
        <v>14072.17378</v>
      </c>
    </row>
    <row r="2382">
      <c r="A2382" s="3">
        <f>IFERROR(__xludf.DUMMYFUNCTION("""COMPUTED_VALUE"""),42748.99861111111)</f>
        <v>42748.99861</v>
      </c>
      <c r="B2382" s="1">
        <f>IFERROR(__xludf.DUMMYFUNCTION("""COMPUTED_VALUE"""),14164.89887)</f>
        <v>14164.89887</v>
      </c>
    </row>
    <row r="2383">
      <c r="A2383" s="3">
        <f>IFERROR(__xludf.DUMMYFUNCTION("""COMPUTED_VALUE"""),42749.99861111111)</f>
        <v>42749.99861</v>
      </c>
      <c r="B2383" s="1">
        <f>IFERROR(__xludf.DUMMYFUNCTION("""COMPUTED_VALUE"""),14169.0259)</f>
        <v>14169.0259</v>
      </c>
    </row>
    <row r="2384">
      <c r="A2384" s="3">
        <f>IFERROR(__xludf.DUMMYFUNCTION("""COMPUTED_VALUE"""),42750.99861111111)</f>
        <v>42750.99861</v>
      </c>
      <c r="B2384" s="1">
        <f>IFERROR(__xludf.DUMMYFUNCTION("""COMPUTED_VALUE"""),14149.0564)</f>
        <v>14149.0564</v>
      </c>
    </row>
    <row r="2385">
      <c r="A2385" s="3">
        <f>IFERROR(__xludf.DUMMYFUNCTION("""COMPUTED_VALUE"""),42751.99861111111)</f>
        <v>42751.99861</v>
      </c>
      <c r="B2385" s="1">
        <f>IFERROR(__xludf.DUMMYFUNCTION("""COMPUTED_VALUE"""),14153.01027)</f>
        <v>14153.01027</v>
      </c>
    </row>
    <row r="2386">
      <c r="A2386" s="3">
        <f>IFERROR(__xludf.DUMMYFUNCTION("""COMPUTED_VALUE"""),42752.99861111111)</f>
        <v>42752.99861</v>
      </c>
      <c r="B2386" s="1">
        <f>IFERROR(__xludf.DUMMYFUNCTION("""COMPUTED_VALUE"""),14221.53456)</f>
        <v>14221.53456</v>
      </c>
    </row>
    <row r="2387">
      <c r="A2387" s="3">
        <f>IFERROR(__xludf.DUMMYFUNCTION("""COMPUTED_VALUE"""),42753.99861111111)</f>
        <v>42753.99861</v>
      </c>
      <c r="B2387" s="1">
        <f>IFERROR(__xludf.DUMMYFUNCTION("""COMPUTED_VALUE"""),14208.0316)</f>
        <v>14208.0316</v>
      </c>
    </row>
    <row r="2388">
      <c r="A2388" s="3">
        <f>IFERROR(__xludf.DUMMYFUNCTION("""COMPUTED_VALUE"""),42754.99861111111)</f>
        <v>42754.99861</v>
      </c>
      <c r="B2388" s="1">
        <f>IFERROR(__xludf.DUMMYFUNCTION("""COMPUTED_VALUE"""),14259.34264)</f>
        <v>14259.34264</v>
      </c>
    </row>
    <row r="2389">
      <c r="A2389" s="3">
        <f>IFERROR(__xludf.DUMMYFUNCTION("""COMPUTED_VALUE"""),42755.99861111111)</f>
        <v>42755.99861</v>
      </c>
      <c r="B2389" s="1">
        <f>IFERROR(__xludf.DUMMYFUNCTION("""COMPUTED_VALUE"""),14319.25988)</f>
        <v>14319.25988</v>
      </c>
    </row>
    <row r="2390">
      <c r="A2390" s="3">
        <f>IFERROR(__xludf.DUMMYFUNCTION("""COMPUTED_VALUE"""),42756.99861111111)</f>
        <v>42756.99861</v>
      </c>
      <c r="B2390" s="1">
        <f>IFERROR(__xludf.DUMMYFUNCTION("""COMPUTED_VALUE"""),14331.8493)</f>
        <v>14331.8493</v>
      </c>
    </row>
    <row r="2391">
      <c r="A2391" s="3">
        <f>IFERROR(__xludf.DUMMYFUNCTION("""COMPUTED_VALUE"""),42757.99861111111)</f>
        <v>42757.99861</v>
      </c>
      <c r="B2391" s="1">
        <f>IFERROR(__xludf.DUMMYFUNCTION("""COMPUTED_VALUE"""),14361.44562)</f>
        <v>14361.44562</v>
      </c>
    </row>
    <row r="2392">
      <c r="A2392" s="3">
        <f>IFERROR(__xludf.DUMMYFUNCTION("""COMPUTED_VALUE"""),42758.99861111111)</f>
        <v>42758.99861</v>
      </c>
      <c r="B2392" s="1">
        <f>IFERROR(__xludf.DUMMYFUNCTION("""COMPUTED_VALUE"""),14357.6186)</f>
        <v>14357.6186</v>
      </c>
    </row>
    <row r="2393">
      <c r="A2393" s="3">
        <f>IFERROR(__xludf.DUMMYFUNCTION("""COMPUTED_VALUE"""),42759.99861111111)</f>
        <v>42759.99861</v>
      </c>
      <c r="B2393" s="1">
        <f>IFERROR(__xludf.DUMMYFUNCTION("""COMPUTED_VALUE"""),14313.03076)</f>
        <v>14313.03076</v>
      </c>
    </row>
    <row r="2394">
      <c r="A2394" s="3">
        <f>IFERROR(__xludf.DUMMYFUNCTION("""COMPUTED_VALUE"""),42760.99861111111)</f>
        <v>42760.99861</v>
      </c>
      <c r="B2394" s="1">
        <f>IFERROR(__xludf.DUMMYFUNCTION("""COMPUTED_VALUE"""),14316.29792)</f>
        <v>14316.29792</v>
      </c>
    </row>
    <row r="2395">
      <c r="A2395" s="3">
        <f>IFERROR(__xludf.DUMMYFUNCTION("""COMPUTED_VALUE"""),42761.99861111111)</f>
        <v>42761.99861</v>
      </c>
      <c r="B2395" s="1">
        <f>IFERROR(__xludf.DUMMYFUNCTION("""COMPUTED_VALUE"""),14300.12727)</f>
        <v>14300.12727</v>
      </c>
    </row>
    <row r="2396">
      <c r="A2396" s="3">
        <f>IFERROR(__xludf.DUMMYFUNCTION("""COMPUTED_VALUE"""),42762.99861111111)</f>
        <v>42762.99861</v>
      </c>
      <c r="B2396" s="1">
        <f>IFERROR(__xludf.DUMMYFUNCTION("""COMPUTED_VALUE"""),14287.18148)</f>
        <v>14287.18148</v>
      </c>
    </row>
    <row r="2397">
      <c r="A2397" s="3">
        <f>IFERROR(__xludf.DUMMYFUNCTION("""COMPUTED_VALUE"""),42763.99861111111)</f>
        <v>42763.99861</v>
      </c>
      <c r="B2397" s="1">
        <f>IFERROR(__xludf.DUMMYFUNCTION("""COMPUTED_VALUE"""),14303.25779)</f>
        <v>14303.25779</v>
      </c>
    </row>
    <row r="2398">
      <c r="A2398" s="3">
        <f>IFERROR(__xludf.DUMMYFUNCTION("""COMPUTED_VALUE"""),42764.99861111111)</f>
        <v>42764.99861</v>
      </c>
      <c r="B2398" s="1">
        <f>IFERROR(__xludf.DUMMYFUNCTION("""COMPUTED_VALUE"""),14276.8101)</f>
        <v>14276.8101</v>
      </c>
    </row>
    <row r="2399">
      <c r="A2399" s="3">
        <f>IFERROR(__xludf.DUMMYFUNCTION("""COMPUTED_VALUE"""),42765.99861111111)</f>
        <v>42765.99861</v>
      </c>
      <c r="B2399" s="1">
        <f>IFERROR(__xludf.DUMMYFUNCTION("""COMPUTED_VALUE"""),14282.3304)</f>
        <v>14282.3304</v>
      </c>
    </row>
    <row r="2400">
      <c r="A2400" s="3">
        <f>IFERROR(__xludf.DUMMYFUNCTION("""COMPUTED_VALUE"""),42766.99861111111)</f>
        <v>42766.99861</v>
      </c>
      <c r="B2400" s="1">
        <f>IFERROR(__xludf.DUMMYFUNCTION("""COMPUTED_VALUE"""),14414.2014)</f>
        <v>14414.2014</v>
      </c>
    </row>
    <row r="2401">
      <c r="A2401" s="3">
        <f>IFERROR(__xludf.DUMMYFUNCTION("""COMPUTED_VALUE"""),42767.99861111111)</f>
        <v>42767.99861</v>
      </c>
      <c r="B2401" s="1">
        <f>IFERROR(__xludf.DUMMYFUNCTION("""COMPUTED_VALUE"""),14383.376)</f>
        <v>14383.376</v>
      </c>
    </row>
    <row r="2402">
      <c r="A2402" s="3">
        <f>IFERROR(__xludf.DUMMYFUNCTION("""COMPUTED_VALUE"""),42768.99861111111)</f>
        <v>42768.99861</v>
      </c>
      <c r="B2402" s="1">
        <f>IFERROR(__xludf.DUMMYFUNCTION("""COMPUTED_VALUE"""),14361.23022)</f>
        <v>14361.23022</v>
      </c>
    </row>
    <row r="2403">
      <c r="A2403" s="3">
        <f>IFERROR(__xludf.DUMMYFUNCTION("""COMPUTED_VALUE"""),42769.99861111111)</f>
        <v>42769.99861</v>
      </c>
      <c r="B2403" s="1">
        <f>IFERROR(__xludf.DUMMYFUNCTION("""COMPUTED_VALUE"""),14363.99572)</f>
        <v>14363.99572</v>
      </c>
    </row>
    <row r="2404">
      <c r="A2404" s="3">
        <f>IFERROR(__xludf.DUMMYFUNCTION("""COMPUTED_VALUE"""),42770.99861111111)</f>
        <v>42770.99861</v>
      </c>
      <c r="B2404" s="1">
        <f>IFERROR(__xludf.DUMMYFUNCTION("""COMPUTED_VALUE"""),14383.30307)</f>
        <v>14383.30307</v>
      </c>
    </row>
    <row r="2405">
      <c r="A2405" s="3">
        <f>IFERROR(__xludf.DUMMYFUNCTION("""COMPUTED_VALUE"""),42771.99861111111)</f>
        <v>42771.99861</v>
      </c>
      <c r="B2405" s="1">
        <f>IFERROR(__xludf.DUMMYFUNCTION("""COMPUTED_VALUE"""),14381.16498)</f>
        <v>14381.16498</v>
      </c>
    </row>
    <row r="2406">
      <c r="A2406" s="3">
        <f>IFERROR(__xludf.DUMMYFUNCTION("""COMPUTED_VALUE"""),42772.99861111111)</f>
        <v>42772.99861</v>
      </c>
      <c r="B2406" s="1">
        <f>IFERROR(__xludf.DUMMYFUNCTION("""COMPUTED_VALUE"""),14315.72202)</f>
        <v>14315.72202</v>
      </c>
    </row>
    <row r="2407">
      <c r="A2407" s="3">
        <f>IFERROR(__xludf.DUMMYFUNCTION("""COMPUTED_VALUE"""),42773.99861111111)</f>
        <v>42773.99861</v>
      </c>
      <c r="B2407" s="1">
        <f>IFERROR(__xludf.DUMMYFUNCTION("""COMPUTED_VALUE"""),14211.6194)</f>
        <v>14211.6194</v>
      </c>
    </row>
    <row r="2408">
      <c r="A2408" s="3">
        <f>IFERROR(__xludf.DUMMYFUNCTION("""COMPUTED_VALUE"""),42774.99861111111)</f>
        <v>42774.99861</v>
      </c>
      <c r="B2408" s="1">
        <f>IFERROR(__xludf.DUMMYFUNCTION("""COMPUTED_VALUE"""),14221.70028)</f>
        <v>14221.70028</v>
      </c>
    </row>
    <row r="2409">
      <c r="A2409" s="3">
        <f>IFERROR(__xludf.DUMMYFUNCTION("""COMPUTED_VALUE"""),42775.99861111111)</f>
        <v>42775.99861</v>
      </c>
      <c r="B2409" s="1">
        <f>IFERROR(__xludf.DUMMYFUNCTION("""COMPUTED_VALUE"""),14161.0216)</f>
        <v>14161.0216</v>
      </c>
    </row>
    <row r="2410">
      <c r="A2410" s="3">
        <f>IFERROR(__xludf.DUMMYFUNCTION("""COMPUTED_VALUE"""),42776.99861111111)</f>
        <v>42776.99861</v>
      </c>
      <c r="B2410" s="1">
        <f>IFERROR(__xludf.DUMMYFUNCTION("""COMPUTED_VALUE"""),14165.83078)</f>
        <v>14165.83078</v>
      </c>
    </row>
    <row r="2411">
      <c r="A2411" s="3">
        <f>IFERROR(__xludf.DUMMYFUNCTION("""COMPUTED_VALUE"""),42777.99861111111)</f>
        <v>42777.99861</v>
      </c>
      <c r="B2411" s="1">
        <f>IFERROR(__xludf.DUMMYFUNCTION("""COMPUTED_VALUE"""),14189.51645)</f>
        <v>14189.51645</v>
      </c>
    </row>
    <row r="2412">
      <c r="A2412" s="3">
        <f>IFERROR(__xludf.DUMMYFUNCTION("""COMPUTED_VALUE"""),42778.99861111111)</f>
        <v>42778.99861</v>
      </c>
      <c r="B2412" s="1">
        <f>IFERROR(__xludf.DUMMYFUNCTION("""COMPUTED_VALUE"""),14157.7695)</f>
        <v>14157.7695</v>
      </c>
    </row>
    <row r="2413">
      <c r="A2413" s="3">
        <f>IFERROR(__xludf.DUMMYFUNCTION("""COMPUTED_VALUE"""),42779.99861111111)</f>
        <v>42779.99861</v>
      </c>
      <c r="B2413" s="1">
        <f>IFERROR(__xludf.DUMMYFUNCTION("""COMPUTED_VALUE"""),14119.31571)</f>
        <v>14119.31571</v>
      </c>
    </row>
    <row r="2414">
      <c r="A2414" s="3">
        <f>IFERROR(__xludf.DUMMYFUNCTION("""COMPUTED_VALUE"""),42780.99861111111)</f>
        <v>42780.99861</v>
      </c>
      <c r="B2414" s="1">
        <f>IFERROR(__xludf.DUMMYFUNCTION("""COMPUTED_VALUE"""),14090.9538)</f>
        <v>14090.9538</v>
      </c>
    </row>
    <row r="2415">
      <c r="A2415" s="3">
        <f>IFERROR(__xludf.DUMMYFUNCTION("""COMPUTED_VALUE"""),42781.99861111111)</f>
        <v>42781.99861</v>
      </c>
      <c r="B2415" s="1">
        <f>IFERROR(__xludf.DUMMYFUNCTION("""COMPUTED_VALUE"""),14123.74856)</f>
        <v>14123.74856</v>
      </c>
    </row>
    <row r="2416">
      <c r="A2416" s="3">
        <f>IFERROR(__xludf.DUMMYFUNCTION("""COMPUTED_VALUE"""),42782.99861111111)</f>
        <v>42782.99861</v>
      </c>
      <c r="B2416" s="1">
        <f>IFERROR(__xludf.DUMMYFUNCTION("""COMPUTED_VALUE"""),14215.63836)</f>
        <v>14215.63836</v>
      </c>
    </row>
    <row r="2417">
      <c r="A2417" s="3">
        <f>IFERROR(__xludf.DUMMYFUNCTION("""COMPUTED_VALUE"""),42783.99861111111)</f>
        <v>42783.99861</v>
      </c>
      <c r="B2417" s="1">
        <f>IFERROR(__xludf.DUMMYFUNCTION("""COMPUTED_VALUE"""),14158.68714)</f>
        <v>14158.68714</v>
      </c>
    </row>
    <row r="2418">
      <c r="A2418" s="3">
        <f>IFERROR(__xludf.DUMMYFUNCTION("""COMPUTED_VALUE"""),42784.99861111111)</f>
        <v>42784.99861</v>
      </c>
      <c r="B2418" s="1">
        <f>IFERROR(__xludf.DUMMYFUNCTION("""COMPUTED_VALUE"""),14176.02956)</f>
        <v>14176.02956</v>
      </c>
    </row>
    <row r="2419">
      <c r="A2419" s="3">
        <f>IFERROR(__xludf.DUMMYFUNCTION("""COMPUTED_VALUE"""),42785.99861111111)</f>
        <v>42785.99861</v>
      </c>
      <c r="B2419" s="1">
        <f>IFERROR(__xludf.DUMMYFUNCTION("""COMPUTED_VALUE"""),14185.5765)</f>
        <v>14185.5765</v>
      </c>
    </row>
    <row r="2420">
      <c r="A2420" s="3">
        <f>IFERROR(__xludf.DUMMYFUNCTION("""COMPUTED_VALUE"""),42786.99861111111)</f>
        <v>42786.99861</v>
      </c>
      <c r="B2420" s="1">
        <f>IFERROR(__xludf.DUMMYFUNCTION("""COMPUTED_VALUE"""),14159.03148)</f>
        <v>14159.03148</v>
      </c>
    </row>
    <row r="2421">
      <c r="A2421" s="3">
        <f>IFERROR(__xludf.DUMMYFUNCTION("""COMPUTED_VALUE"""),42787.99861111111)</f>
        <v>42787.99861</v>
      </c>
      <c r="B2421" s="1">
        <f>IFERROR(__xludf.DUMMYFUNCTION("""COMPUTED_VALUE"""),14081.06854)</f>
        <v>14081.06854</v>
      </c>
    </row>
    <row r="2422">
      <c r="A2422" s="3">
        <f>IFERROR(__xludf.DUMMYFUNCTION("""COMPUTED_VALUE"""),42788.99861111111)</f>
        <v>42788.99861</v>
      </c>
      <c r="B2422" s="1">
        <f>IFERROR(__xludf.DUMMYFUNCTION("""COMPUTED_VALUE"""),14071.59)</f>
        <v>14071.59</v>
      </c>
    </row>
    <row r="2423">
      <c r="A2423" s="3">
        <f>IFERROR(__xludf.DUMMYFUNCTION("""COMPUTED_VALUE"""),42789.99861111111)</f>
        <v>42789.99861</v>
      </c>
      <c r="B2423" s="1">
        <f>IFERROR(__xludf.DUMMYFUNCTION("""COMPUTED_VALUE"""),14102.78025)</f>
        <v>14102.78025</v>
      </c>
    </row>
    <row r="2424">
      <c r="A2424" s="3">
        <f>IFERROR(__xludf.DUMMYFUNCTION("""COMPUTED_VALUE"""),42790.99861111111)</f>
        <v>42790.99861</v>
      </c>
      <c r="B2424" s="1">
        <f>IFERROR(__xludf.DUMMYFUNCTION("""COMPUTED_VALUE"""),14069.22123)</f>
        <v>14069.22123</v>
      </c>
    </row>
    <row r="2425">
      <c r="A2425" s="3">
        <f>IFERROR(__xludf.DUMMYFUNCTION("""COMPUTED_VALUE"""),42791.99861111111)</f>
        <v>42791.99861</v>
      </c>
      <c r="B2425" s="1">
        <f>IFERROR(__xludf.DUMMYFUNCTION("""COMPUTED_VALUE"""),14070.4203)</f>
        <v>14070.4203</v>
      </c>
    </row>
    <row r="2426">
      <c r="A2426" s="3">
        <f>IFERROR(__xludf.DUMMYFUNCTION("""COMPUTED_VALUE"""),42792.99861111111)</f>
        <v>42792.99861</v>
      </c>
      <c r="B2426" s="1">
        <f>IFERROR(__xludf.DUMMYFUNCTION("""COMPUTED_VALUE"""),14059.75128)</f>
        <v>14059.75128</v>
      </c>
    </row>
    <row r="2427">
      <c r="A2427" s="3">
        <f>IFERROR(__xludf.DUMMYFUNCTION("""COMPUTED_VALUE"""),42793.99861111111)</f>
        <v>42793.99861</v>
      </c>
      <c r="B2427" s="1">
        <f>IFERROR(__xludf.DUMMYFUNCTION("""COMPUTED_VALUE"""),14117.59743)</f>
        <v>14117.59743</v>
      </c>
    </row>
    <row r="2428">
      <c r="A2428" s="3">
        <f>IFERROR(__xludf.DUMMYFUNCTION("""COMPUTED_VALUE"""),42794.99861111111)</f>
        <v>42794.99861</v>
      </c>
      <c r="B2428" s="1">
        <f>IFERROR(__xludf.DUMMYFUNCTION("""COMPUTED_VALUE"""),14152.01053)</f>
        <v>14152.01053</v>
      </c>
    </row>
    <row r="2429">
      <c r="A2429" s="3">
        <f>IFERROR(__xludf.DUMMYFUNCTION("""COMPUTED_VALUE"""),42795.99861111111)</f>
        <v>42795.99861</v>
      </c>
      <c r="B2429" s="1">
        <f>IFERROR(__xludf.DUMMYFUNCTION("""COMPUTED_VALUE"""),14108.07024)</f>
        <v>14108.07024</v>
      </c>
    </row>
    <row r="2430">
      <c r="A2430" s="3">
        <f>IFERROR(__xludf.DUMMYFUNCTION("""COMPUTED_VALUE"""),42796.99861111111)</f>
        <v>42796.99861</v>
      </c>
      <c r="B2430" s="1">
        <f>IFERROR(__xludf.DUMMYFUNCTION("""COMPUTED_VALUE"""),14049.6738)</f>
        <v>14049.6738</v>
      </c>
    </row>
    <row r="2431">
      <c r="A2431" s="3">
        <f>IFERROR(__xludf.DUMMYFUNCTION("""COMPUTED_VALUE"""),42797.99861111111)</f>
        <v>42797.99861</v>
      </c>
      <c r="B2431" s="1">
        <f>IFERROR(__xludf.DUMMYFUNCTION("""COMPUTED_VALUE"""),14143.45624)</f>
        <v>14143.45624</v>
      </c>
    </row>
    <row r="2432">
      <c r="A2432" s="3">
        <f>IFERROR(__xludf.DUMMYFUNCTION("""COMPUTED_VALUE"""),42798.99861111111)</f>
        <v>42798.99861</v>
      </c>
      <c r="B2432" s="1">
        <f>IFERROR(__xludf.DUMMYFUNCTION("""COMPUTED_VALUE"""),14166.44979)</f>
        <v>14166.44979</v>
      </c>
    </row>
    <row r="2433">
      <c r="A2433" s="3">
        <f>IFERROR(__xludf.DUMMYFUNCTION("""COMPUTED_VALUE"""),42799.99861111111)</f>
        <v>42799.99861</v>
      </c>
      <c r="B2433" s="1">
        <f>IFERROR(__xludf.DUMMYFUNCTION("""COMPUTED_VALUE"""),14100.70488)</f>
        <v>14100.70488</v>
      </c>
    </row>
    <row r="2434">
      <c r="A2434" s="3">
        <f>IFERROR(__xludf.DUMMYFUNCTION("""COMPUTED_VALUE"""),42800.99861111111)</f>
        <v>42800.99861</v>
      </c>
      <c r="B2434" s="1">
        <f>IFERROR(__xludf.DUMMYFUNCTION("""COMPUTED_VALUE"""),14113.8347)</f>
        <v>14113.8347</v>
      </c>
    </row>
    <row r="2435">
      <c r="A2435" s="3">
        <f>IFERROR(__xludf.DUMMYFUNCTION("""COMPUTED_VALUE"""),42801.99861111111)</f>
        <v>42801.99861</v>
      </c>
      <c r="B2435" s="1">
        <f>IFERROR(__xludf.DUMMYFUNCTION("""COMPUTED_VALUE"""),14094.95176)</f>
        <v>14094.95176</v>
      </c>
    </row>
    <row r="2436">
      <c r="A2436" s="3">
        <f>IFERROR(__xludf.DUMMYFUNCTION("""COMPUTED_VALUE"""),42802.99861111111)</f>
        <v>42802.99861</v>
      </c>
      <c r="B2436" s="1">
        <f>IFERROR(__xludf.DUMMYFUNCTION("""COMPUTED_VALUE"""),14096.556)</f>
        <v>14096.556</v>
      </c>
    </row>
    <row r="2437">
      <c r="A2437" s="3">
        <f>IFERROR(__xludf.DUMMYFUNCTION("""COMPUTED_VALUE"""),42803.99861111111)</f>
        <v>42803.99861</v>
      </c>
      <c r="B2437" s="1">
        <f>IFERROR(__xludf.DUMMYFUNCTION("""COMPUTED_VALUE"""),14177.29131)</f>
        <v>14177.29131</v>
      </c>
    </row>
    <row r="2438">
      <c r="A2438" s="3">
        <f>IFERROR(__xludf.DUMMYFUNCTION("""COMPUTED_VALUE"""),42804.99861111111)</f>
        <v>42804.99861</v>
      </c>
      <c r="B2438" s="1">
        <f>IFERROR(__xludf.DUMMYFUNCTION("""COMPUTED_VALUE"""),14247.52119)</f>
        <v>14247.52119</v>
      </c>
    </row>
    <row r="2439">
      <c r="A2439" s="3">
        <f>IFERROR(__xludf.DUMMYFUNCTION("""COMPUTED_VALUE"""),42806.99861111111)</f>
        <v>42806.99861</v>
      </c>
      <c r="B2439" s="1">
        <f>IFERROR(__xludf.DUMMYFUNCTION("""COMPUTED_VALUE"""),14265.67286)</f>
        <v>14265.67286</v>
      </c>
    </row>
    <row r="2440">
      <c r="A2440" s="3">
        <f>IFERROR(__xludf.DUMMYFUNCTION("""COMPUTED_VALUE"""),42807.99861111111)</f>
        <v>42807.99861</v>
      </c>
      <c r="B2440" s="1">
        <f>IFERROR(__xludf.DUMMYFUNCTION("""COMPUTED_VALUE"""),14241.71488)</f>
        <v>14241.71488</v>
      </c>
    </row>
    <row r="2441">
      <c r="A2441" s="3">
        <f>IFERROR(__xludf.DUMMYFUNCTION("""COMPUTED_VALUE"""),42808.99861111111)</f>
        <v>42808.99861</v>
      </c>
      <c r="B2441" s="1">
        <f>IFERROR(__xludf.DUMMYFUNCTION("""COMPUTED_VALUE"""),14209.468)</f>
        <v>14209.468</v>
      </c>
    </row>
    <row r="2442">
      <c r="A2442" s="3">
        <f>IFERROR(__xludf.DUMMYFUNCTION("""COMPUTED_VALUE"""),42809.99861111111)</f>
        <v>42809.99861</v>
      </c>
      <c r="B2442" s="1">
        <f>IFERROR(__xludf.DUMMYFUNCTION("""COMPUTED_VALUE"""),14190.69639)</f>
        <v>14190.69639</v>
      </c>
    </row>
    <row r="2443">
      <c r="A2443" s="3">
        <f>IFERROR(__xludf.DUMMYFUNCTION("""COMPUTED_VALUE"""),42810.99861111111)</f>
        <v>42810.99861</v>
      </c>
      <c r="B2443" s="1">
        <f>IFERROR(__xludf.DUMMYFUNCTION("""COMPUTED_VALUE"""),14309.11175)</f>
        <v>14309.11175</v>
      </c>
    </row>
    <row r="2444">
      <c r="A2444" s="3">
        <f>IFERROR(__xludf.DUMMYFUNCTION("""COMPUTED_VALUE"""),42811.99861111111)</f>
        <v>42811.99861</v>
      </c>
      <c r="B2444" s="1">
        <f>IFERROR(__xludf.DUMMYFUNCTION("""COMPUTED_VALUE"""),14324.6254)</f>
        <v>14324.6254</v>
      </c>
    </row>
    <row r="2445">
      <c r="A2445" s="3">
        <f>IFERROR(__xludf.DUMMYFUNCTION("""COMPUTED_VALUE"""),42812.99861111111)</f>
        <v>42812.99861</v>
      </c>
      <c r="B2445" s="1">
        <f>IFERROR(__xludf.DUMMYFUNCTION("""COMPUTED_VALUE"""),14331.162)</f>
        <v>14331.162</v>
      </c>
    </row>
    <row r="2446">
      <c r="A2446" s="3">
        <f>IFERROR(__xludf.DUMMYFUNCTION("""COMPUTED_VALUE"""),42813.99861111111)</f>
        <v>42813.99861</v>
      </c>
      <c r="B2446" s="1">
        <f>IFERROR(__xludf.DUMMYFUNCTION("""COMPUTED_VALUE"""),14318.9527)</f>
        <v>14318.9527</v>
      </c>
    </row>
    <row r="2447">
      <c r="A2447" s="3">
        <f>IFERROR(__xludf.DUMMYFUNCTION("""COMPUTED_VALUE"""),42814.99861111111)</f>
        <v>42814.99861</v>
      </c>
      <c r="B2447" s="1">
        <f>IFERROR(__xludf.DUMMYFUNCTION("""COMPUTED_VALUE"""),14311.902)</f>
        <v>14311.902</v>
      </c>
    </row>
    <row r="2448">
      <c r="A2448" s="3">
        <f>IFERROR(__xludf.DUMMYFUNCTION("""COMPUTED_VALUE"""),42815.99861111111)</f>
        <v>42815.99861</v>
      </c>
      <c r="B2448" s="1">
        <f>IFERROR(__xludf.DUMMYFUNCTION("""COMPUTED_VALUE"""),14388.47652)</f>
        <v>14388.47652</v>
      </c>
    </row>
    <row r="2449">
      <c r="A2449" s="3">
        <f>IFERROR(__xludf.DUMMYFUNCTION("""COMPUTED_VALUE"""),42816.99861111111)</f>
        <v>42816.99861</v>
      </c>
      <c r="B2449" s="1">
        <f>IFERROR(__xludf.DUMMYFUNCTION("""COMPUTED_VALUE"""),14380.89916)</f>
        <v>14380.89916</v>
      </c>
    </row>
    <row r="2450">
      <c r="A2450" s="3">
        <f>IFERROR(__xludf.DUMMYFUNCTION("""COMPUTED_VALUE"""),42817.99861111111)</f>
        <v>42817.99861</v>
      </c>
      <c r="B2450" s="1">
        <f>IFERROR(__xludf.DUMMYFUNCTION("""COMPUTED_VALUE"""),14361.59848)</f>
        <v>14361.59848</v>
      </c>
    </row>
    <row r="2451">
      <c r="A2451" s="3">
        <f>IFERROR(__xludf.DUMMYFUNCTION("""COMPUTED_VALUE"""),42818.99861111111)</f>
        <v>42818.99861</v>
      </c>
      <c r="B2451" s="1">
        <f>IFERROR(__xludf.DUMMYFUNCTION("""COMPUTED_VALUE"""),14352.58503)</f>
        <v>14352.58503</v>
      </c>
    </row>
    <row r="2452">
      <c r="A2452" s="3">
        <f>IFERROR(__xludf.DUMMYFUNCTION("""COMPUTED_VALUE"""),42819.99861111111)</f>
        <v>42819.99861</v>
      </c>
      <c r="B2452" s="1">
        <f>IFERROR(__xludf.DUMMYFUNCTION("""COMPUTED_VALUE"""),14361.7572)</f>
        <v>14361.7572</v>
      </c>
    </row>
    <row r="2453">
      <c r="A2453" s="3">
        <f>IFERROR(__xludf.DUMMYFUNCTION("""COMPUTED_VALUE"""),42820.99861111111)</f>
        <v>42820.99861</v>
      </c>
      <c r="B2453" s="1">
        <f>IFERROR(__xludf.DUMMYFUNCTION("""COMPUTED_VALUE"""),14447.6712)</f>
        <v>14447.6712</v>
      </c>
    </row>
    <row r="2454">
      <c r="A2454" s="3">
        <f>IFERROR(__xludf.DUMMYFUNCTION("""COMPUTED_VALUE"""),42821.99861111111)</f>
        <v>42821.99861</v>
      </c>
      <c r="B2454" s="1">
        <f>IFERROR(__xludf.DUMMYFUNCTION("""COMPUTED_VALUE"""),14452.75416)</f>
        <v>14452.75416</v>
      </c>
    </row>
    <row r="2455">
      <c r="A2455" s="3">
        <f>IFERROR(__xludf.DUMMYFUNCTION("""COMPUTED_VALUE"""),42822.99861111111)</f>
        <v>42822.99861</v>
      </c>
      <c r="B2455" s="1">
        <f>IFERROR(__xludf.DUMMYFUNCTION("""COMPUTED_VALUE"""),14395.94603)</f>
        <v>14395.94603</v>
      </c>
    </row>
    <row r="2456">
      <c r="A2456" s="3">
        <f>IFERROR(__xludf.DUMMYFUNCTION("""COMPUTED_VALUE"""),42823.99861111111)</f>
        <v>42823.99861</v>
      </c>
      <c r="B2456" s="1">
        <f>IFERROR(__xludf.DUMMYFUNCTION("""COMPUTED_VALUE"""),14310.70225)</f>
        <v>14310.70225</v>
      </c>
    </row>
    <row r="2457">
      <c r="A2457" s="3">
        <f>IFERROR(__xludf.DUMMYFUNCTION("""COMPUTED_VALUE"""),42824.99861111111)</f>
        <v>42824.99861</v>
      </c>
      <c r="B2457" s="1">
        <f>IFERROR(__xludf.DUMMYFUNCTION("""COMPUTED_VALUE"""),14211.57738)</f>
        <v>14211.57738</v>
      </c>
    </row>
    <row r="2458">
      <c r="A2458" s="3">
        <f>IFERROR(__xludf.DUMMYFUNCTION("""COMPUTED_VALUE"""),42825.99861111111)</f>
        <v>42825.99861</v>
      </c>
      <c r="B2458" s="1">
        <f>IFERROR(__xludf.DUMMYFUNCTION("""COMPUTED_VALUE"""),14191.66056)</f>
        <v>14191.66056</v>
      </c>
    </row>
    <row r="2459">
      <c r="A2459" s="3">
        <f>IFERROR(__xludf.DUMMYFUNCTION("""COMPUTED_VALUE"""),42826.99861111111)</f>
        <v>42826.99861</v>
      </c>
      <c r="B2459" s="1">
        <f>IFERROR(__xludf.DUMMYFUNCTION("""COMPUTED_VALUE"""),14459.36118)</f>
        <v>14459.36118</v>
      </c>
    </row>
    <row r="2460">
      <c r="A2460" s="3">
        <f>IFERROR(__xludf.DUMMYFUNCTION("""COMPUTED_VALUE"""),42827.99861111111)</f>
        <v>42827.99861</v>
      </c>
      <c r="B2460" s="1">
        <f>IFERROR(__xludf.DUMMYFUNCTION("""COMPUTED_VALUE"""),14225.778)</f>
        <v>14225.778</v>
      </c>
    </row>
    <row r="2461">
      <c r="A2461" s="3">
        <f>IFERROR(__xludf.DUMMYFUNCTION("""COMPUTED_VALUE"""),42828.99861111111)</f>
        <v>42828.99861</v>
      </c>
      <c r="B2461" s="1">
        <f>IFERROR(__xludf.DUMMYFUNCTION("""COMPUTED_VALUE"""),14206.8404)</f>
        <v>14206.8404</v>
      </c>
    </row>
    <row r="2462">
      <c r="A2462" s="3">
        <f>IFERROR(__xludf.DUMMYFUNCTION("""COMPUTED_VALUE"""),42829.99861111111)</f>
        <v>42829.99861</v>
      </c>
      <c r="B2462" s="1">
        <f>IFERROR(__xludf.DUMMYFUNCTION("""COMPUTED_VALUE"""),14238.30936)</f>
        <v>14238.30936</v>
      </c>
    </row>
    <row r="2463">
      <c r="A2463" s="3">
        <f>IFERROR(__xludf.DUMMYFUNCTION("""COMPUTED_VALUE"""),42830.99861111111)</f>
        <v>42830.99861</v>
      </c>
      <c r="B2463" s="1">
        <f>IFERROR(__xludf.DUMMYFUNCTION("""COMPUTED_VALUE"""),14218.03914)</f>
        <v>14218.03914</v>
      </c>
    </row>
    <row r="2464">
      <c r="A2464" s="3">
        <f>IFERROR(__xludf.DUMMYFUNCTION("""COMPUTED_VALUE"""),42831.99861111111)</f>
        <v>42831.99861</v>
      </c>
      <c r="B2464" s="1">
        <f>IFERROR(__xludf.DUMMYFUNCTION("""COMPUTED_VALUE"""),14212.79967)</f>
        <v>14212.79967</v>
      </c>
    </row>
    <row r="2465">
      <c r="A2465" s="3">
        <f>IFERROR(__xludf.DUMMYFUNCTION("""COMPUTED_VALUE"""),42832.99861111111)</f>
        <v>42832.99861</v>
      </c>
      <c r="B2465" s="1">
        <f>IFERROR(__xludf.DUMMYFUNCTION("""COMPUTED_VALUE"""),14121.2316)</f>
        <v>14121.2316</v>
      </c>
    </row>
    <row r="2466">
      <c r="A2466" s="3">
        <f>IFERROR(__xludf.DUMMYFUNCTION("""COMPUTED_VALUE"""),42833.99861111111)</f>
        <v>42833.99861</v>
      </c>
      <c r="B2466" s="1">
        <f>IFERROR(__xludf.DUMMYFUNCTION("""COMPUTED_VALUE"""),14140.88939)</f>
        <v>14140.88939</v>
      </c>
    </row>
    <row r="2467">
      <c r="A2467" s="3">
        <f>IFERROR(__xludf.DUMMYFUNCTION("""COMPUTED_VALUE"""),42834.99861111111)</f>
        <v>42834.99861</v>
      </c>
      <c r="B2467" s="1">
        <f>IFERROR(__xludf.DUMMYFUNCTION("""COMPUTED_VALUE"""),14150.50622)</f>
        <v>14150.50622</v>
      </c>
    </row>
    <row r="2468">
      <c r="A2468" s="3">
        <f>IFERROR(__xludf.DUMMYFUNCTION("""COMPUTED_VALUE"""),42835.99861111111)</f>
        <v>42835.99861</v>
      </c>
      <c r="B2468" s="1">
        <f>IFERROR(__xludf.DUMMYFUNCTION("""COMPUTED_VALUE"""),14063.14599)</f>
        <v>14063.14599</v>
      </c>
    </row>
    <row r="2469">
      <c r="A2469" s="3">
        <f>IFERROR(__xludf.DUMMYFUNCTION("""COMPUTED_VALUE"""),42836.99861111111)</f>
        <v>42836.99861</v>
      </c>
      <c r="B2469" s="1">
        <f>IFERROR(__xludf.DUMMYFUNCTION("""COMPUTED_VALUE"""),14102.14973)</f>
        <v>14102.14973</v>
      </c>
    </row>
    <row r="2470">
      <c r="A2470" s="3">
        <f>IFERROR(__xludf.DUMMYFUNCTION("""COMPUTED_VALUE"""),42837.99861111111)</f>
        <v>42837.99861</v>
      </c>
      <c r="B2470" s="1">
        <f>IFERROR(__xludf.DUMMYFUNCTION("""COMPUTED_VALUE"""),14166.16069)</f>
        <v>14166.16069</v>
      </c>
    </row>
    <row r="2471">
      <c r="A2471" s="3">
        <f>IFERROR(__xludf.DUMMYFUNCTION("""COMPUTED_VALUE"""),42838.99861111111)</f>
        <v>42838.99861</v>
      </c>
      <c r="B2471" s="1">
        <f>IFERROR(__xludf.DUMMYFUNCTION("""COMPUTED_VALUE"""),14093.00504)</f>
        <v>14093.00504</v>
      </c>
    </row>
    <row r="2472">
      <c r="A2472" s="3">
        <f>IFERROR(__xludf.DUMMYFUNCTION("""COMPUTED_VALUE"""),42839.99861111111)</f>
        <v>42839.99861</v>
      </c>
      <c r="B2472" s="1">
        <f>IFERROR(__xludf.DUMMYFUNCTION("""COMPUTED_VALUE"""),14091.53943)</f>
        <v>14091.53943</v>
      </c>
    </row>
    <row r="2473">
      <c r="A2473" s="3">
        <f>IFERROR(__xludf.DUMMYFUNCTION("""COMPUTED_VALUE"""),42840.99861111111)</f>
        <v>42840.99861</v>
      </c>
      <c r="B2473" s="1">
        <f>IFERROR(__xludf.DUMMYFUNCTION("""COMPUTED_VALUE"""),14094.8584)</f>
        <v>14094.8584</v>
      </c>
    </row>
    <row r="2474">
      <c r="A2474" s="3">
        <f>IFERROR(__xludf.DUMMYFUNCTION("""COMPUTED_VALUE"""),42841.99861111111)</f>
        <v>42841.99861</v>
      </c>
      <c r="B2474" s="1">
        <f>IFERROR(__xludf.DUMMYFUNCTION("""COMPUTED_VALUE"""),14097.10839)</f>
        <v>14097.10839</v>
      </c>
    </row>
    <row r="2475">
      <c r="A2475" s="3">
        <f>IFERROR(__xludf.DUMMYFUNCTION("""COMPUTED_VALUE"""),42842.99861111111)</f>
        <v>42842.99861</v>
      </c>
      <c r="B2475" s="1">
        <f>IFERROR(__xludf.DUMMYFUNCTION("""COMPUTED_VALUE"""),14134.03481)</f>
        <v>14134.03481</v>
      </c>
    </row>
    <row r="2476">
      <c r="A2476" s="3">
        <f>IFERROR(__xludf.DUMMYFUNCTION("""COMPUTED_VALUE"""),42843.99861111111)</f>
        <v>42843.99861</v>
      </c>
      <c r="B2476" s="1">
        <f>IFERROR(__xludf.DUMMYFUNCTION("""COMPUTED_VALUE"""),14263.68288)</f>
        <v>14263.68288</v>
      </c>
    </row>
    <row r="2477">
      <c r="A2477" s="3">
        <f>IFERROR(__xludf.DUMMYFUNCTION("""COMPUTED_VALUE"""),42844.99861111111)</f>
        <v>42844.99861</v>
      </c>
      <c r="B2477" s="1">
        <f>IFERROR(__xludf.DUMMYFUNCTION("""COMPUTED_VALUE"""),14295.95706)</f>
        <v>14295.95706</v>
      </c>
    </row>
    <row r="2478">
      <c r="A2478" s="3">
        <f>IFERROR(__xludf.DUMMYFUNCTION("""COMPUTED_VALUE"""),42845.99861111111)</f>
        <v>42845.99861</v>
      </c>
      <c r="B2478" s="1">
        <f>IFERROR(__xludf.DUMMYFUNCTION("""COMPUTED_VALUE"""),14267.96697)</f>
        <v>14267.96697</v>
      </c>
    </row>
    <row r="2479">
      <c r="A2479" s="3">
        <f>IFERROR(__xludf.DUMMYFUNCTION("""COMPUTED_VALUE"""),42846.99861111111)</f>
        <v>42846.99861</v>
      </c>
      <c r="B2479" s="1">
        <f>IFERROR(__xludf.DUMMYFUNCTION("""COMPUTED_VALUE"""),14253.80912)</f>
        <v>14253.80912</v>
      </c>
    </row>
    <row r="2480">
      <c r="A2480" s="3">
        <f>IFERROR(__xludf.DUMMYFUNCTION("""COMPUTED_VALUE"""),42847.99861111111)</f>
        <v>42847.99861</v>
      </c>
      <c r="B2480" s="1">
        <f>IFERROR(__xludf.DUMMYFUNCTION("""COMPUTED_VALUE"""),14265.95493)</f>
        <v>14265.95493</v>
      </c>
    </row>
    <row r="2481">
      <c r="A2481" s="3">
        <f>IFERROR(__xludf.DUMMYFUNCTION("""COMPUTED_VALUE"""),42848.99861111111)</f>
        <v>42848.99861</v>
      </c>
      <c r="B2481" s="1">
        <f>IFERROR(__xludf.DUMMYFUNCTION("""COMPUTED_VALUE"""),14249.0665)</f>
        <v>14249.0665</v>
      </c>
    </row>
    <row r="2482">
      <c r="A2482" s="3">
        <f>IFERROR(__xludf.DUMMYFUNCTION("""COMPUTED_VALUE"""),42849.99861111111)</f>
        <v>42849.99861</v>
      </c>
      <c r="B2482" s="1">
        <f>IFERROR(__xludf.DUMMYFUNCTION("""COMPUTED_VALUE"""),14259.226)</f>
        <v>14259.226</v>
      </c>
    </row>
    <row r="2483">
      <c r="A2483" s="3">
        <f>IFERROR(__xludf.DUMMYFUNCTION("""COMPUTED_VALUE"""),42850.99861111111)</f>
        <v>42850.99861</v>
      </c>
      <c r="B2483" s="1">
        <f>IFERROR(__xludf.DUMMYFUNCTION("""COMPUTED_VALUE"""),14537.5184)</f>
        <v>14537.5184</v>
      </c>
    </row>
    <row r="2484">
      <c r="A2484" s="3">
        <f>IFERROR(__xludf.DUMMYFUNCTION("""COMPUTED_VALUE"""),42851.99861111111)</f>
        <v>42851.99861</v>
      </c>
      <c r="B2484" s="1">
        <f>IFERROR(__xludf.DUMMYFUNCTION("""COMPUTED_VALUE"""),14465.49663)</f>
        <v>14465.49663</v>
      </c>
    </row>
    <row r="2485">
      <c r="A2485" s="3">
        <f>IFERROR(__xludf.DUMMYFUNCTION("""COMPUTED_VALUE"""),42852.99861111111)</f>
        <v>42852.99861</v>
      </c>
      <c r="B2485" s="1">
        <f>IFERROR(__xludf.DUMMYFUNCTION("""COMPUTED_VALUE"""),14503.99236)</f>
        <v>14503.99236</v>
      </c>
    </row>
    <row r="2486">
      <c r="A2486" s="3">
        <f>IFERROR(__xludf.DUMMYFUNCTION("""COMPUTED_VALUE"""),42853.99861111111)</f>
        <v>42853.99861</v>
      </c>
      <c r="B2486" s="1">
        <f>IFERROR(__xludf.DUMMYFUNCTION("""COMPUTED_VALUE"""),14537.48736)</f>
        <v>14537.48736</v>
      </c>
    </row>
    <row r="2487">
      <c r="A2487" s="3">
        <f>IFERROR(__xludf.DUMMYFUNCTION("""COMPUTED_VALUE"""),42854.99861111111)</f>
        <v>42854.99861</v>
      </c>
      <c r="B2487" s="1">
        <f>IFERROR(__xludf.DUMMYFUNCTION("""COMPUTED_VALUE"""),14549.56748)</f>
        <v>14549.56748</v>
      </c>
    </row>
    <row r="2488">
      <c r="A2488" s="3">
        <f>IFERROR(__xludf.DUMMYFUNCTION("""COMPUTED_VALUE"""),42855.99861111111)</f>
        <v>42855.99861</v>
      </c>
      <c r="B2488" s="1">
        <f>IFERROR(__xludf.DUMMYFUNCTION("""COMPUTED_VALUE"""),14529.37286)</f>
        <v>14529.37286</v>
      </c>
    </row>
    <row r="2489">
      <c r="A2489" s="3">
        <f>IFERROR(__xludf.DUMMYFUNCTION("""COMPUTED_VALUE"""),42856.99861111111)</f>
        <v>42856.99861</v>
      </c>
      <c r="B2489" s="1">
        <f>IFERROR(__xludf.DUMMYFUNCTION("""COMPUTED_VALUE"""),14535.1765)</f>
        <v>14535.1765</v>
      </c>
    </row>
    <row r="2490">
      <c r="A2490" s="3">
        <f>IFERROR(__xludf.DUMMYFUNCTION("""COMPUTED_VALUE"""),42857.99861111111)</f>
        <v>42857.99861</v>
      </c>
      <c r="B2490" s="1">
        <f>IFERROR(__xludf.DUMMYFUNCTION("""COMPUTED_VALUE"""),14536.753)</f>
        <v>14536.753</v>
      </c>
    </row>
    <row r="2491">
      <c r="A2491" s="3">
        <f>IFERROR(__xludf.DUMMYFUNCTION("""COMPUTED_VALUE"""),42858.99861111111)</f>
        <v>42858.99861</v>
      </c>
      <c r="B2491" s="1">
        <f>IFERROR(__xludf.DUMMYFUNCTION("""COMPUTED_VALUE"""),14485.66128)</f>
        <v>14485.66128</v>
      </c>
    </row>
    <row r="2492">
      <c r="A2492" s="3">
        <f>IFERROR(__xludf.DUMMYFUNCTION("""COMPUTED_VALUE"""),42859.99861111111)</f>
        <v>42859.99861</v>
      </c>
      <c r="B2492" s="1">
        <f>IFERROR(__xludf.DUMMYFUNCTION("""COMPUTED_VALUE"""),14648.1204)</f>
        <v>14648.1204</v>
      </c>
    </row>
    <row r="2493">
      <c r="A2493" s="3">
        <f>IFERROR(__xludf.DUMMYFUNCTION("""COMPUTED_VALUE"""),42860.99861111111)</f>
        <v>42860.99861</v>
      </c>
      <c r="B2493" s="1">
        <f>IFERROR(__xludf.DUMMYFUNCTION("""COMPUTED_VALUE"""),14645.4348)</f>
        <v>14645.4348</v>
      </c>
    </row>
    <row r="2494">
      <c r="A2494" s="3">
        <f>IFERROR(__xludf.DUMMYFUNCTION("""COMPUTED_VALUE"""),42861.99861111111)</f>
        <v>42861.99861</v>
      </c>
      <c r="B2494" s="1">
        <f>IFERROR(__xludf.DUMMYFUNCTION("""COMPUTED_VALUE"""),14666.343)</f>
        <v>14666.343</v>
      </c>
    </row>
    <row r="2495">
      <c r="A2495" s="3">
        <f>IFERROR(__xludf.DUMMYFUNCTION("""COMPUTED_VALUE"""),42862.99861111111)</f>
        <v>42862.99861</v>
      </c>
      <c r="B2495" s="1">
        <f>IFERROR(__xludf.DUMMYFUNCTION("""COMPUTED_VALUE"""),14619.32967)</f>
        <v>14619.32967</v>
      </c>
    </row>
    <row r="2496">
      <c r="A2496" s="3">
        <f>IFERROR(__xludf.DUMMYFUNCTION("""COMPUTED_VALUE"""),42863.99861111111)</f>
        <v>42863.99861</v>
      </c>
      <c r="B2496" s="1">
        <f>IFERROR(__xludf.DUMMYFUNCTION("""COMPUTED_VALUE"""),14556.73648)</f>
        <v>14556.73648</v>
      </c>
    </row>
    <row r="2497">
      <c r="A2497" s="3">
        <f>IFERROR(__xludf.DUMMYFUNCTION("""COMPUTED_VALUE"""),42864.99861111111)</f>
        <v>42864.99861</v>
      </c>
      <c r="B2497" s="1">
        <f>IFERROR(__xludf.DUMMYFUNCTION("""COMPUTED_VALUE"""),14542.6074)</f>
        <v>14542.6074</v>
      </c>
    </row>
    <row r="2498">
      <c r="A2498" s="3">
        <f>IFERROR(__xludf.DUMMYFUNCTION("""COMPUTED_VALUE"""),42865.99861111111)</f>
        <v>42865.99861</v>
      </c>
      <c r="B2498" s="1">
        <f>IFERROR(__xludf.DUMMYFUNCTION("""COMPUTED_VALUE"""),14510.7051)</f>
        <v>14510.7051</v>
      </c>
    </row>
    <row r="2499">
      <c r="A2499" s="3">
        <f>IFERROR(__xludf.DUMMYFUNCTION("""COMPUTED_VALUE"""),42866.99861111111)</f>
        <v>42866.99861</v>
      </c>
      <c r="B2499" s="1">
        <f>IFERROR(__xludf.DUMMYFUNCTION("""COMPUTED_VALUE"""),14462.1568)</f>
        <v>14462.1568</v>
      </c>
    </row>
    <row r="2500">
      <c r="A2500" s="3">
        <f>IFERROR(__xludf.DUMMYFUNCTION("""COMPUTED_VALUE"""),42867.99861111111)</f>
        <v>42867.99861</v>
      </c>
      <c r="B2500" s="1">
        <f>IFERROR(__xludf.DUMMYFUNCTION("""COMPUTED_VALUE"""),14553.16185)</f>
        <v>14553.16185</v>
      </c>
    </row>
    <row r="2501">
      <c r="A2501" s="3">
        <f>IFERROR(__xludf.DUMMYFUNCTION("""COMPUTED_VALUE"""),42868.99861111111)</f>
        <v>42868.99861</v>
      </c>
      <c r="B2501" s="1">
        <f>IFERROR(__xludf.DUMMYFUNCTION("""COMPUTED_VALUE"""),14577.67635)</f>
        <v>14577.67635</v>
      </c>
    </row>
    <row r="2502">
      <c r="A2502" s="3">
        <f>IFERROR(__xludf.DUMMYFUNCTION("""COMPUTED_VALUE"""),42869.99861111111)</f>
        <v>42869.99861</v>
      </c>
      <c r="B2502" s="1">
        <f>IFERROR(__xludf.DUMMYFUNCTION("""COMPUTED_VALUE"""),14557.37595)</f>
        <v>14557.37595</v>
      </c>
    </row>
    <row r="2503">
      <c r="A2503" s="3">
        <f>IFERROR(__xludf.DUMMYFUNCTION("""COMPUTED_VALUE"""),42870.99861111111)</f>
        <v>42870.99861</v>
      </c>
      <c r="B2503" s="1">
        <f>IFERROR(__xludf.DUMMYFUNCTION("""COMPUTED_VALUE"""),14585.46865)</f>
        <v>14585.46865</v>
      </c>
    </row>
    <row r="2504">
      <c r="A2504" s="3">
        <f>IFERROR(__xludf.DUMMYFUNCTION("""COMPUTED_VALUE"""),42871.99861111111)</f>
        <v>42871.99861</v>
      </c>
      <c r="B2504" s="1">
        <f>IFERROR(__xludf.DUMMYFUNCTION("""COMPUTED_VALUE"""),14725.24642)</f>
        <v>14725.24642</v>
      </c>
    </row>
    <row r="2505">
      <c r="A2505" s="3">
        <f>IFERROR(__xludf.DUMMYFUNCTION("""COMPUTED_VALUE"""),42872.99861111111)</f>
        <v>42872.99861</v>
      </c>
      <c r="B2505" s="1">
        <f>IFERROR(__xludf.DUMMYFUNCTION("""COMPUTED_VALUE"""),14857.02808)</f>
        <v>14857.02808</v>
      </c>
    </row>
    <row r="2506">
      <c r="A2506" s="3">
        <f>IFERROR(__xludf.DUMMYFUNCTION("""COMPUTED_VALUE"""),42873.99861111111)</f>
        <v>42873.99861</v>
      </c>
      <c r="B2506" s="1">
        <f>IFERROR(__xludf.DUMMYFUNCTION("""COMPUTED_VALUE"""),14887.22693)</f>
        <v>14887.22693</v>
      </c>
    </row>
    <row r="2507">
      <c r="A2507" s="3">
        <f>IFERROR(__xludf.DUMMYFUNCTION("""COMPUTED_VALUE"""),42874.99861111111)</f>
        <v>42874.99861</v>
      </c>
      <c r="B2507" s="1">
        <f>IFERROR(__xludf.DUMMYFUNCTION("""COMPUTED_VALUE"""),14930.09862)</f>
        <v>14930.09862</v>
      </c>
    </row>
    <row r="2508">
      <c r="A2508" s="3">
        <f>IFERROR(__xludf.DUMMYFUNCTION("""COMPUTED_VALUE"""),42875.99861111111)</f>
        <v>42875.99861</v>
      </c>
      <c r="B2508" s="1">
        <f>IFERROR(__xludf.DUMMYFUNCTION("""COMPUTED_VALUE"""),14943.64959)</f>
        <v>14943.64959</v>
      </c>
    </row>
    <row r="2509">
      <c r="A2509" s="3">
        <f>IFERROR(__xludf.DUMMYFUNCTION("""COMPUTED_VALUE"""),42876.99861111111)</f>
        <v>42876.99861</v>
      </c>
      <c r="B2509" s="1">
        <f>IFERROR(__xludf.DUMMYFUNCTION("""COMPUTED_VALUE"""),14932.95776)</f>
        <v>14932.95776</v>
      </c>
    </row>
    <row r="2510">
      <c r="A2510" s="3">
        <f>IFERROR(__xludf.DUMMYFUNCTION("""COMPUTED_VALUE"""),42877.99861111111)</f>
        <v>42877.99861</v>
      </c>
      <c r="B2510" s="1">
        <f>IFERROR(__xludf.DUMMYFUNCTION("""COMPUTED_VALUE"""),14942.31072)</f>
        <v>14942.31072</v>
      </c>
    </row>
    <row r="2511">
      <c r="A2511" s="3">
        <f>IFERROR(__xludf.DUMMYFUNCTION("""COMPUTED_VALUE"""),42878.99861111111)</f>
        <v>42878.99861</v>
      </c>
      <c r="B2511" s="1">
        <f>IFERROR(__xludf.DUMMYFUNCTION("""COMPUTED_VALUE"""),14863.46544)</f>
        <v>14863.46544</v>
      </c>
    </row>
    <row r="2512">
      <c r="A2512" s="3">
        <f>IFERROR(__xludf.DUMMYFUNCTION("""COMPUTED_VALUE"""),42879.99861111111)</f>
        <v>42879.99861</v>
      </c>
      <c r="B2512" s="1">
        <f>IFERROR(__xludf.DUMMYFUNCTION("""COMPUTED_VALUE"""),14938.27902)</f>
        <v>14938.27902</v>
      </c>
    </row>
    <row r="2513">
      <c r="A2513" s="3">
        <f>IFERROR(__xludf.DUMMYFUNCTION("""COMPUTED_VALUE"""),42880.99861111111)</f>
        <v>42880.99861</v>
      </c>
      <c r="B2513" s="1">
        <f>IFERROR(__xludf.DUMMYFUNCTION("""COMPUTED_VALUE"""),14911.94106)</f>
        <v>14911.94106</v>
      </c>
    </row>
    <row r="2514">
      <c r="A2514" s="3">
        <f>IFERROR(__xludf.DUMMYFUNCTION("""COMPUTED_VALUE"""),42881.99861111111)</f>
        <v>42881.99861</v>
      </c>
      <c r="B2514" s="1">
        <f>IFERROR(__xludf.DUMMYFUNCTION("""COMPUTED_VALUE"""),14865.00655)</f>
        <v>14865.00655</v>
      </c>
    </row>
    <row r="2515">
      <c r="A2515" s="3">
        <f>IFERROR(__xludf.DUMMYFUNCTION("""COMPUTED_VALUE"""),42882.99861111111)</f>
        <v>42882.99861</v>
      </c>
      <c r="B2515" s="1">
        <f>IFERROR(__xludf.DUMMYFUNCTION("""COMPUTED_VALUE"""),14858.6416)</f>
        <v>14858.6416</v>
      </c>
    </row>
    <row r="2516">
      <c r="A2516" s="3">
        <f>IFERROR(__xludf.DUMMYFUNCTION("""COMPUTED_VALUE"""),42883.99861111111)</f>
        <v>42883.99861</v>
      </c>
      <c r="B2516" s="1">
        <f>IFERROR(__xludf.DUMMYFUNCTION("""COMPUTED_VALUE"""),14849.20712)</f>
        <v>14849.20712</v>
      </c>
    </row>
    <row r="2517">
      <c r="A2517" s="3">
        <f>IFERROR(__xludf.DUMMYFUNCTION("""COMPUTED_VALUE"""),42884.99861111111)</f>
        <v>42884.99861</v>
      </c>
      <c r="B2517" s="1">
        <f>IFERROR(__xludf.DUMMYFUNCTION("""COMPUTED_VALUE"""),14817.59775)</f>
        <v>14817.59775</v>
      </c>
    </row>
    <row r="2518">
      <c r="A2518" s="3">
        <f>IFERROR(__xludf.DUMMYFUNCTION("""COMPUTED_VALUE"""),42885.99861111111)</f>
        <v>42885.99861</v>
      </c>
      <c r="B2518" s="1">
        <f>IFERROR(__xludf.DUMMYFUNCTION("""COMPUTED_VALUE"""),14878.78809)</f>
        <v>14878.78809</v>
      </c>
    </row>
    <row r="2519">
      <c r="A2519" s="3">
        <f>IFERROR(__xludf.DUMMYFUNCTION("""COMPUTED_VALUE"""),42886.99861111111)</f>
        <v>42886.99861</v>
      </c>
      <c r="B2519" s="1">
        <f>IFERROR(__xludf.DUMMYFUNCTION("""COMPUTED_VALUE"""),14939.7972)</f>
        <v>14939.7972</v>
      </c>
    </row>
    <row r="2520">
      <c r="A2520" s="3">
        <f>IFERROR(__xludf.DUMMYFUNCTION("""COMPUTED_VALUE"""),42887.99861111111)</f>
        <v>42887.99861</v>
      </c>
      <c r="B2520" s="1">
        <f>IFERROR(__xludf.DUMMYFUNCTION("""COMPUTED_VALUE"""),14900.36592)</f>
        <v>14900.36592</v>
      </c>
    </row>
    <row r="2521">
      <c r="A2521" s="3">
        <f>IFERROR(__xludf.DUMMYFUNCTION("""COMPUTED_VALUE"""),42888.99861111111)</f>
        <v>42888.99861</v>
      </c>
      <c r="B2521" s="1">
        <f>IFERROR(__xludf.DUMMYFUNCTION("""COMPUTED_VALUE"""),14988.6009)</f>
        <v>14988.6009</v>
      </c>
    </row>
    <row r="2522">
      <c r="A2522" s="3">
        <f>IFERROR(__xludf.DUMMYFUNCTION("""COMPUTED_VALUE"""),42889.99861111111)</f>
        <v>42889.99861</v>
      </c>
      <c r="B2522" s="1">
        <f>IFERROR(__xludf.DUMMYFUNCTION("""COMPUTED_VALUE"""),15010.9032)</f>
        <v>15010.9032</v>
      </c>
    </row>
    <row r="2523">
      <c r="A2523" s="3">
        <f>IFERROR(__xludf.DUMMYFUNCTION("""COMPUTED_VALUE"""),42890.99861111111)</f>
        <v>42890.99861</v>
      </c>
      <c r="B2523" s="1">
        <f>IFERROR(__xludf.DUMMYFUNCTION("""COMPUTED_VALUE"""),15006.64592)</f>
        <v>15006.64592</v>
      </c>
    </row>
    <row r="2524">
      <c r="A2524" s="3">
        <f>IFERROR(__xludf.DUMMYFUNCTION("""COMPUTED_VALUE"""),42891.99861111111)</f>
        <v>42891.99861</v>
      </c>
      <c r="B2524" s="1">
        <f>IFERROR(__xludf.DUMMYFUNCTION("""COMPUTED_VALUE"""),14948.6882)</f>
        <v>14948.6882</v>
      </c>
    </row>
    <row r="2525">
      <c r="A2525" s="3">
        <f>IFERROR(__xludf.DUMMYFUNCTION("""COMPUTED_VALUE"""),42892.99861111111)</f>
        <v>42892.99861</v>
      </c>
      <c r="B2525" s="1">
        <f>IFERROR(__xludf.DUMMYFUNCTION("""COMPUTED_VALUE"""),14943.55595)</f>
        <v>14943.55595</v>
      </c>
    </row>
    <row r="2526">
      <c r="A2526" s="3">
        <f>IFERROR(__xludf.DUMMYFUNCTION("""COMPUTED_VALUE"""),42893.99861111111)</f>
        <v>42893.99861</v>
      </c>
      <c r="B2526" s="1">
        <f>IFERROR(__xludf.DUMMYFUNCTION("""COMPUTED_VALUE"""),14983.11585)</f>
        <v>14983.11585</v>
      </c>
    </row>
    <row r="2527">
      <c r="A2527" s="3">
        <f>IFERROR(__xludf.DUMMYFUNCTION("""COMPUTED_VALUE"""),42894.99861111111)</f>
        <v>42894.99861</v>
      </c>
      <c r="B2527" s="1">
        <f>IFERROR(__xludf.DUMMYFUNCTION("""COMPUTED_VALUE"""),14865.96069)</f>
        <v>14865.96069</v>
      </c>
    </row>
    <row r="2528">
      <c r="A2528" s="3">
        <f>IFERROR(__xludf.DUMMYFUNCTION("""COMPUTED_VALUE"""),42895.99861111111)</f>
        <v>42895.99861</v>
      </c>
      <c r="B2528" s="1">
        <f>IFERROR(__xludf.DUMMYFUNCTION("""COMPUTED_VALUE"""),14878.23151)</f>
        <v>14878.23151</v>
      </c>
    </row>
    <row r="2529">
      <c r="A2529" s="3">
        <f>IFERROR(__xludf.DUMMYFUNCTION("""COMPUTED_VALUE"""),42896.99861111111)</f>
        <v>42896.99861</v>
      </c>
      <c r="B2529" s="1">
        <f>IFERROR(__xludf.DUMMYFUNCTION("""COMPUTED_VALUE"""),14864.0952)</f>
        <v>14864.0952</v>
      </c>
    </row>
    <row r="2530">
      <c r="A2530" s="3">
        <f>IFERROR(__xludf.DUMMYFUNCTION("""COMPUTED_VALUE"""),42897.99861111111)</f>
        <v>42897.99861</v>
      </c>
      <c r="B2530" s="1">
        <f>IFERROR(__xludf.DUMMYFUNCTION("""COMPUTED_VALUE"""),14890.26705)</f>
        <v>14890.26705</v>
      </c>
    </row>
    <row r="2531">
      <c r="A2531" s="3">
        <f>IFERROR(__xludf.DUMMYFUNCTION("""COMPUTED_VALUE"""),42898.99861111111)</f>
        <v>42898.99861</v>
      </c>
      <c r="B2531" s="1">
        <f>IFERROR(__xludf.DUMMYFUNCTION("""COMPUTED_VALUE"""),14905.82184)</f>
        <v>14905.82184</v>
      </c>
    </row>
    <row r="2532">
      <c r="A2532" s="3">
        <f>IFERROR(__xludf.DUMMYFUNCTION("""COMPUTED_VALUE"""),42899.99861111111)</f>
        <v>42899.99861</v>
      </c>
      <c r="B2532" s="1">
        <f>IFERROR(__xludf.DUMMYFUNCTION("""COMPUTED_VALUE"""),14886.86406)</f>
        <v>14886.86406</v>
      </c>
    </row>
    <row r="2533">
      <c r="A2533" s="3">
        <f>IFERROR(__xludf.DUMMYFUNCTION("""COMPUTED_VALUE"""),42900.99861111111)</f>
        <v>42900.99861</v>
      </c>
      <c r="B2533" s="1">
        <f>IFERROR(__xludf.DUMMYFUNCTION("""COMPUTED_VALUE"""),14896.39606)</f>
        <v>14896.39606</v>
      </c>
    </row>
    <row r="2534">
      <c r="A2534" s="3">
        <f>IFERROR(__xludf.DUMMYFUNCTION("""COMPUTED_VALUE"""),42901.99861111111)</f>
        <v>42901.99861</v>
      </c>
      <c r="B2534" s="1">
        <f>IFERROR(__xludf.DUMMYFUNCTION("""COMPUTED_VALUE"""),14817.35946)</f>
        <v>14817.35946</v>
      </c>
    </row>
    <row r="2535">
      <c r="A2535" s="3">
        <f>IFERROR(__xludf.DUMMYFUNCTION("""COMPUTED_VALUE"""),42902.99861111111)</f>
        <v>42902.99861</v>
      </c>
      <c r="B2535" s="1">
        <f>IFERROR(__xludf.DUMMYFUNCTION("""COMPUTED_VALUE"""),14877.0918)</f>
        <v>14877.0918</v>
      </c>
    </row>
    <row r="2536">
      <c r="A2536" s="3">
        <f>IFERROR(__xludf.DUMMYFUNCTION("""COMPUTED_VALUE"""),42903.99861111111)</f>
        <v>42903.99861</v>
      </c>
      <c r="B2536" s="1">
        <f>IFERROR(__xludf.DUMMYFUNCTION("""COMPUTED_VALUE"""),14861.2992)</f>
        <v>14861.2992</v>
      </c>
    </row>
    <row r="2537">
      <c r="A2537" s="3">
        <f>IFERROR(__xludf.DUMMYFUNCTION("""COMPUTED_VALUE"""),42904.99861111111)</f>
        <v>42904.99861</v>
      </c>
      <c r="B2537" s="1">
        <f>IFERROR(__xludf.DUMMYFUNCTION("""COMPUTED_VALUE"""),14876.8785)</f>
        <v>14876.8785</v>
      </c>
    </row>
    <row r="2538">
      <c r="A2538" s="3">
        <f>IFERROR(__xludf.DUMMYFUNCTION("""COMPUTED_VALUE"""),42905.99861111111)</f>
        <v>42905.99861</v>
      </c>
      <c r="B2538" s="1">
        <f>IFERROR(__xludf.DUMMYFUNCTION("""COMPUTED_VALUE"""),14805.78554)</f>
        <v>14805.78554</v>
      </c>
    </row>
    <row r="2539">
      <c r="A2539" s="3">
        <f>IFERROR(__xludf.DUMMYFUNCTION("""COMPUTED_VALUE"""),42906.99861111111)</f>
        <v>42906.99861</v>
      </c>
      <c r="B2539" s="1">
        <f>IFERROR(__xludf.DUMMYFUNCTION("""COMPUTED_VALUE"""),14801.38924)</f>
        <v>14801.38924</v>
      </c>
    </row>
    <row r="2540">
      <c r="A2540" s="3">
        <f>IFERROR(__xludf.DUMMYFUNCTION("""COMPUTED_VALUE"""),42907.99861111111)</f>
        <v>42907.99861</v>
      </c>
      <c r="B2540" s="1">
        <f>IFERROR(__xludf.DUMMYFUNCTION("""COMPUTED_VALUE"""),14852.56165)</f>
        <v>14852.56165</v>
      </c>
    </row>
    <row r="2541">
      <c r="A2541" s="3">
        <f>IFERROR(__xludf.DUMMYFUNCTION("""COMPUTED_VALUE"""),42908.99861111111)</f>
        <v>42908.99861</v>
      </c>
      <c r="B2541" s="1">
        <f>IFERROR(__xludf.DUMMYFUNCTION("""COMPUTED_VALUE"""),14873.8809)</f>
        <v>14873.8809</v>
      </c>
    </row>
    <row r="2542">
      <c r="A2542" s="3">
        <f>IFERROR(__xludf.DUMMYFUNCTION("""COMPUTED_VALUE"""),42909.99861111111)</f>
        <v>42909.99861</v>
      </c>
      <c r="B2542" s="1">
        <f>IFERROR(__xludf.DUMMYFUNCTION("""COMPUTED_VALUE"""),14897.29606)</f>
        <v>14897.29606</v>
      </c>
    </row>
    <row r="2543">
      <c r="A2543" s="3">
        <f>IFERROR(__xludf.DUMMYFUNCTION("""COMPUTED_VALUE"""),42910.99861111111)</f>
        <v>42910.99861</v>
      </c>
      <c r="B2543" s="1">
        <f>IFERROR(__xludf.DUMMYFUNCTION("""COMPUTED_VALUE"""),14905.54226)</f>
        <v>14905.54226</v>
      </c>
    </row>
    <row r="2544">
      <c r="A2544" s="3">
        <f>IFERROR(__xludf.DUMMYFUNCTION("""COMPUTED_VALUE"""),42911.99861111111)</f>
        <v>42911.99861</v>
      </c>
      <c r="B2544" s="1">
        <f>IFERROR(__xludf.DUMMYFUNCTION("""COMPUTED_VALUE"""),14875.55604)</f>
        <v>14875.55604</v>
      </c>
    </row>
    <row r="2545">
      <c r="A2545" s="3">
        <f>IFERROR(__xludf.DUMMYFUNCTION("""COMPUTED_VALUE"""),42912.99861111111)</f>
        <v>42912.99861</v>
      </c>
      <c r="B2545" s="1">
        <f>IFERROR(__xludf.DUMMYFUNCTION("""COMPUTED_VALUE"""),14892.1876)</f>
        <v>14892.1876</v>
      </c>
    </row>
    <row r="2546">
      <c r="A2546" s="3">
        <f>IFERROR(__xludf.DUMMYFUNCTION("""COMPUTED_VALUE"""),42913.99861111111)</f>
        <v>42913.99861</v>
      </c>
      <c r="B2546" s="1">
        <f>IFERROR(__xludf.DUMMYFUNCTION("""COMPUTED_VALUE"""),15086.74728)</f>
        <v>15086.74728</v>
      </c>
    </row>
    <row r="2547">
      <c r="A2547" s="3">
        <f>IFERROR(__xludf.DUMMYFUNCTION("""COMPUTED_VALUE"""),42914.99861111111)</f>
        <v>42914.99861</v>
      </c>
      <c r="B2547" s="1">
        <f>IFERROR(__xludf.DUMMYFUNCTION("""COMPUTED_VALUE"""),15133.37424)</f>
        <v>15133.37424</v>
      </c>
    </row>
    <row r="2548">
      <c r="A2548" s="3">
        <f>IFERROR(__xludf.DUMMYFUNCTION("""COMPUTED_VALUE"""),42915.99861111111)</f>
        <v>42915.99861</v>
      </c>
      <c r="B2548" s="1">
        <f>IFERROR(__xludf.DUMMYFUNCTION("""COMPUTED_VALUE"""),15189.23532)</f>
        <v>15189.23532</v>
      </c>
    </row>
    <row r="2549">
      <c r="A2549" s="3">
        <f>IFERROR(__xludf.DUMMYFUNCTION("""COMPUTED_VALUE"""),42916.99861111111)</f>
        <v>42916.99861</v>
      </c>
      <c r="B2549" s="1">
        <f>IFERROR(__xludf.DUMMYFUNCTION("""COMPUTED_VALUE"""),15208.10555)</f>
        <v>15208.10555</v>
      </c>
    </row>
    <row r="2550">
      <c r="A2550" s="3">
        <f>IFERROR(__xludf.DUMMYFUNCTION("""COMPUTED_VALUE"""),42917.99861111111)</f>
        <v>42917.99861</v>
      </c>
      <c r="B2550" s="1">
        <f>IFERROR(__xludf.DUMMYFUNCTION("""COMPUTED_VALUE"""),15194.80232)</f>
        <v>15194.80232</v>
      </c>
    </row>
    <row r="2551">
      <c r="A2551" s="3">
        <f>IFERROR(__xludf.DUMMYFUNCTION("""COMPUTED_VALUE"""),42918.99861111111)</f>
        <v>42918.99861</v>
      </c>
      <c r="B2551" s="1">
        <f>IFERROR(__xludf.DUMMYFUNCTION("""COMPUTED_VALUE"""),15189.6405)</f>
        <v>15189.6405</v>
      </c>
    </row>
    <row r="2552">
      <c r="A2552" s="3">
        <f>IFERROR(__xludf.DUMMYFUNCTION("""COMPUTED_VALUE"""),42919.99861111111)</f>
        <v>42919.99861</v>
      </c>
      <c r="B2552" s="1">
        <f>IFERROR(__xludf.DUMMYFUNCTION("""COMPUTED_VALUE"""),15195.80348)</f>
        <v>15195.80348</v>
      </c>
    </row>
    <row r="2553">
      <c r="A2553" s="3">
        <f>IFERROR(__xludf.DUMMYFUNCTION("""COMPUTED_VALUE"""),42920.99861111111)</f>
        <v>42920.99861</v>
      </c>
      <c r="B2553" s="1">
        <f>IFERROR(__xludf.DUMMYFUNCTION("""COMPUTED_VALUE"""),15166.736)</f>
        <v>15166.736</v>
      </c>
    </row>
    <row r="2554">
      <c r="A2554" s="3">
        <f>IFERROR(__xludf.DUMMYFUNCTION("""COMPUTED_VALUE"""),42921.99861111111)</f>
        <v>42921.99861</v>
      </c>
      <c r="B2554" s="1">
        <f>IFERROR(__xludf.DUMMYFUNCTION("""COMPUTED_VALUE"""),15161.92706)</f>
        <v>15161.92706</v>
      </c>
    </row>
    <row r="2555">
      <c r="A2555" s="3">
        <f>IFERROR(__xludf.DUMMYFUNCTION("""COMPUTED_VALUE"""),42922.99861111111)</f>
        <v>42922.99861</v>
      </c>
      <c r="B2555" s="1">
        <f>IFERROR(__xludf.DUMMYFUNCTION("""COMPUTED_VALUE"""),15289.27452)</f>
        <v>15289.27452</v>
      </c>
    </row>
    <row r="2556">
      <c r="A2556" s="3">
        <f>IFERROR(__xludf.DUMMYFUNCTION("""COMPUTED_VALUE"""),42923.99861111111)</f>
        <v>42923.99861</v>
      </c>
      <c r="B2556" s="1">
        <f>IFERROR(__xludf.DUMMYFUNCTION("""COMPUTED_VALUE"""),15282.10215)</f>
        <v>15282.10215</v>
      </c>
    </row>
    <row r="2557">
      <c r="A2557" s="3">
        <f>IFERROR(__xludf.DUMMYFUNCTION("""COMPUTED_VALUE"""),42924.99861111111)</f>
        <v>42924.99861</v>
      </c>
      <c r="B2557" s="1">
        <f>IFERROR(__xludf.DUMMYFUNCTION("""COMPUTED_VALUE"""),15305.53359)</f>
        <v>15305.53359</v>
      </c>
    </row>
    <row r="2558">
      <c r="A2558" s="3">
        <f>IFERROR(__xludf.DUMMYFUNCTION("""COMPUTED_VALUE"""),42925.99861111111)</f>
        <v>42925.99861</v>
      </c>
      <c r="B2558" s="1">
        <f>IFERROR(__xludf.DUMMYFUNCTION("""COMPUTED_VALUE"""),15289.67872)</f>
        <v>15289.67872</v>
      </c>
    </row>
    <row r="2559">
      <c r="A2559" s="3">
        <f>IFERROR(__xludf.DUMMYFUNCTION("""COMPUTED_VALUE"""),42926.99861111111)</f>
        <v>42926.99861</v>
      </c>
      <c r="B2559" s="1">
        <f>IFERROR(__xludf.DUMMYFUNCTION("""COMPUTED_VALUE"""),15256.9648)</f>
        <v>15256.9648</v>
      </c>
    </row>
    <row r="2560">
      <c r="A2560" s="3">
        <f>IFERROR(__xludf.DUMMYFUNCTION("""COMPUTED_VALUE"""),42927.99861111111)</f>
        <v>42927.99861</v>
      </c>
      <c r="B2560" s="1">
        <f>IFERROR(__xludf.DUMMYFUNCTION("""COMPUTED_VALUE"""),15315.70817)</f>
        <v>15315.70817</v>
      </c>
    </row>
    <row r="2561">
      <c r="A2561" s="3">
        <f>IFERROR(__xludf.DUMMYFUNCTION("""COMPUTED_VALUE"""),42928.99861111111)</f>
        <v>42928.99861</v>
      </c>
      <c r="B2561" s="1">
        <f>IFERROR(__xludf.DUMMYFUNCTION("""COMPUTED_VALUE"""),15258.14066)</f>
        <v>15258.14066</v>
      </c>
    </row>
    <row r="2562">
      <c r="A2562" s="3">
        <f>IFERROR(__xludf.DUMMYFUNCTION("""COMPUTED_VALUE"""),42929.99861111111)</f>
        <v>42929.99861</v>
      </c>
      <c r="B2562" s="1">
        <f>IFERROR(__xludf.DUMMYFUNCTION("""COMPUTED_VALUE"""),15213.27594)</f>
        <v>15213.27594</v>
      </c>
    </row>
    <row r="2563">
      <c r="A2563" s="3">
        <f>IFERROR(__xludf.DUMMYFUNCTION("""COMPUTED_VALUE"""),42930.99861111111)</f>
        <v>42930.99861</v>
      </c>
      <c r="B2563" s="1">
        <f>IFERROR(__xludf.DUMMYFUNCTION("""COMPUTED_VALUE"""),15248.3014)</f>
        <v>15248.3014</v>
      </c>
    </row>
    <row r="2564">
      <c r="A2564" s="3">
        <f>IFERROR(__xludf.DUMMYFUNCTION("""COMPUTED_VALUE"""),42931.99861111111)</f>
        <v>42931.99861</v>
      </c>
      <c r="B2564" s="1">
        <f>IFERROR(__xludf.DUMMYFUNCTION("""COMPUTED_VALUE"""),15252.81646)</f>
        <v>15252.81646</v>
      </c>
    </row>
    <row r="2565">
      <c r="A2565" s="3">
        <f>IFERROR(__xludf.DUMMYFUNCTION("""COMPUTED_VALUE"""),42932.99861111111)</f>
        <v>42932.99861</v>
      </c>
      <c r="B2565" s="1">
        <f>IFERROR(__xludf.DUMMYFUNCTION("""COMPUTED_VALUE"""),15298.20336)</f>
        <v>15298.20336</v>
      </c>
    </row>
    <row r="2566">
      <c r="A2566" s="3">
        <f>IFERROR(__xludf.DUMMYFUNCTION("""COMPUTED_VALUE"""),42933.99861111111)</f>
        <v>42933.99861</v>
      </c>
      <c r="B2566" s="1">
        <f>IFERROR(__xludf.DUMMYFUNCTION("""COMPUTED_VALUE"""),15283.71614)</f>
        <v>15283.71614</v>
      </c>
    </row>
    <row r="2567">
      <c r="A2567" s="3">
        <f>IFERROR(__xludf.DUMMYFUNCTION("""COMPUTED_VALUE"""),42934.99861111111)</f>
        <v>42934.99861</v>
      </c>
      <c r="B2567" s="1">
        <f>IFERROR(__xludf.DUMMYFUNCTION("""COMPUTED_VALUE"""),15363.01188)</f>
        <v>15363.01188</v>
      </c>
    </row>
    <row r="2568">
      <c r="A2568" s="3">
        <f>IFERROR(__xludf.DUMMYFUNCTION("""COMPUTED_VALUE"""),42935.99861111111)</f>
        <v>42935.99861</v>
      </c>
      <c r="B2568" s="1">
        <f>IFERROR(__xludf.DUMMYFUNCTION("""COMPUTED_VALUE"""),15342.34902)</f>
        <v>15342.34902</v>
      </c>
    </row>
    <row r="2569">
      <c r="A2569" s="3">
        <f>IFERROR(__xludf.DUMMYFUNCTION("""COMPUTED_VALUE"""),42936.99861111111)</f>
        <v>42936.99861</v>
      </c>
      <c r="B2569" s="1">
        <f>IFERROR(__xludf.DUMMYFUNCTION("""COMPUTED_VALUE"""),15469.12749)</f>
        <v>15469.12749</v>
      </c>
    </row>
    <row r="2570">
      <c r="A2570" s="3">
        <f>IFERROR(__xludf.DUMMYFUNCTION("""COMPUTED_VALUE"""),42937.99861111111)</f>
        <v>42937.99861</v>
      </c>
      <c r="B2570" s="1">
        <f>IFERROR(__xludf.DUMMYFUNCTION("""COMPUTED_VALUE"""),15535.74946)</f>
        <v>15535.74946</v>
      </c>
    </row>
    <row r="2571">
      <c r="A2571" s="3">
        <f>IFERROR(__xludf.DUMMYFUNCTION("""COMPUTED_VALUE"""),42938.99861111111)</f>
        <v>42938.99861</v>
      </c>
      <c r="B2571" s="1">
        <f>IFERROR(__xludf.DUMMYFUNCTION("""COMPUTED_VALUE"""),15533.452)</f>
        <v>15533.452</v>
      </c>
    </row>
    <row r="2572">
      <c r="A2572" s="3">
        <f>IFERROR(__xludf.DUMMYFUNCTION("""COMPUTED_VALUE"""),42939.99861111111)</f>
        <v>42939.99861</v>
      </c>
      <c r="B2572" s="1">
        <f>IFERROR(__xludf.DUMMYFUNCTION("""COMPUTED_VALUE"""),15494.71385)</f>
        <v>15494.71385</v>
      </c>
    </row>
    <row r="2573">
      <c r="A2573" s="3">
        <f>IFERROR(__xludf.DUMMYFUNCTION("""COMPUTED_VALUE"""),42940.99861111111)</f>
        <v>42940.99861</v>
      </c>
      <c r="B2573" s="1">
        <f>IFERROR(__xludf.DUMMYFUNCTION("""COMPUTED_VALUE"""),15497.42712)</f>
        <v>15497.42712</v>
      </c>
    </row>
    <row r="2574">
      <c r="A2574" s="3">
        <f>IFERROR(__xludf.DUMMYFUNCTION("""COMPUTED_VALUE"""),42941.99861111111)</f>
        <v>42941.99861</v>
      </c>
      <c r="B2574" s="1">
        <f>IFERROR(__xludf.DUMMYFUNCTION("""COMPUTED_VALUE"""),15518.98992)</f>
        <v>15518.98992</v>
      </c>
    </row>
    <row r="2575">
      <c r="A2575" s="3">
        <f>IFERROR(__xludf.DUMMYFUNCTION("""COMPUTED_VALUE"""),42942.99861111111)</f>
        <v>42942.99861</v>
      </c>
      <c r="B2575" s="1">
        <f>IFERROR(__xludf.DUMMYFUNCTION("""COMPUTED_VALUE"""),15631.85133)</f>
        <v>15631.85133</v>
      </c>
    </row>
    <row r="2576">
      <c r="A2576" s="3">
        <f>IFERROR(__xludf.DUMMYFUNCTION("""COMPUTED_VALUE"""),42943.99861111111)</f>
        <v>42943.99861</v>
      </c>
      <c r="B2576" s="1">
        <f>IFERROR(__xludf.DUMMYFUNCTION("""COMPUTED_VALUE"""),15557.76369)</f>
        <v>15557.76369</v>
      </c>
    </row>
    <row r="2577">
      <c r="A2577" s="3">
        <f>IFERROR(__xludf.DUMMYFUNCTION("""COMPUTED_VALUE"""),42944.99861111111)</f>
        <v>42944.99861</v>
      </c>
      <c r="B2577" s="1">
        <f>IFERROR(__xludf.DUMMYFUNCTION("""COMPUTED_VALUE"""),15664.49115)</f>
        <v>15664.49115</v>
      </c>
    </row>
    <row r="2578">
      <c r="A2578" s="3">
        <f>IFERROR(__xludf.DUMMYFUNCTION("""COMPUTED_VALUE"""),42945.99861111111)</f>
        <v>42945.99861</v>
      </c>
      <c r="B2578" s="1">
        <f>IFERROR(__xludf.DUMMYFUNCTION("""COMPUTED_VALUE"""),15654.996)</f>
        <v>15654.996</v>
      </c>
    </row>
    <row r="2579">
      <c r="A2579" s="3">
        <f>IFERROR(__xludf.DUMMYFUNCTION("""COMPUTED_VALUE"""),42946.99861111111)</f>
        <v>42946.99861</v>
      </c>
      <c r="B2579" s="1">
        <f>IFERROR(__xludf.DUMMYFUNCTION("""COMPUTED_VALUE"""),15646.4712)</f>
        <v>15646.4712</v>
      </c>
    </row>
    <row r="2580">
      <c r="A2580" s="3">
        <f>IFERROR(__xludf.DUMMYFUNCTION("""COMPUTED_VALUE"""),42947.99861111111)</f>
        <v>42947.99861</v>
      </c>
      <c r="B2580" s="1">
        <f>IFERROR(__xludf.DUMMYFUNCTION("""COMPUTED_VALUE"""),15746.40412)</f>
        <v>15746.40412</v>
      </c>
    </row>
    <row r="2581">
      <c r="A2581" s="3">
        <f>IFERROR(__xludf.DUMMYFUNCTION("""COMPUTED_VALUE"""),42948.99861111111)</f>
        <v>42948.99861</v>
      </c>
      <c r="B2581" s="1">
        <f>IFERROR(__xludf.DUMMYFUNCTION("""COMPUTED_VALUE"""),15728.04285)</f>
        <v>15728.04285</v>
      </c>
    </row>
    <row r="2582">
      <c r="A2582" s="3">
        <f>IFERROR(__xludf.DUMMYFUNCTION("""COMPUTED_VALUE"""),42949.99861111111)</f>
        <v>42949.99861</v>
      </c>
      <c r="B2582" s="1">
        <f>IFERROR(__xludf.DUMMYFUNCTION("""COMPUTED_VALUE"""),15780.51183)</f>
        <v>15780.51183</v>
      </c>
    </row>
    <row r="2583">
      <c r="A2583" s="3">
        <f>IFERROR(__xludf.DUMMYFUNCTION("""COMPUTED_VALUE"""),42950.99861111111)</f>
        <v>42950.99861</v>
      </c>
      <c r="B2583" s="1">
        <f>IFERROR(__xludf.DUMMYFUNCTION("""COMPUTED_VALUE"""),15825.6358)</f>
        <v>15825.6358</v>
      </c>
    </row>
    <row r="2584">
      <c r="A2584" s="3">
        <f>IFERROR(__xludf.DUMMYFUNCTION("""COMPUTED_VALUE"""),42951.99861111111)</f>
        <v>42951.99861</v>
      </c>
      <c r="B2584" s="1">
        <f>IFERROR(__xludf.DUMMYFUNCTION("""COMPUTED_VALUE"""),15671.68512)</f>
        <v>15671.68512</v>
      </c>
    </row>
    <row r="2585">
      <c r="A2585" s="3">
        <f>IFERROR(__xludf.DUMMYFUNCTION("""COMPUTED_VALUE"""),42952.99861111111)</f>
        <v>42952.99861</v>
      </c>
      <c r="B2585" s="1">
        <f>IFERROR(__xludf.DUMMYFUNCTION("""COMPUTED_VALUE"""),15698.63607)</f>
        <v>15698.63607</v>
      </c>
    </row>
    <row r="2586">
      <c r="A2586" s="3">
        <f>IFERROR(__xludf.DUMMYFUNCTION("""COMPUTED_VALUE"""),42953.99861111111)</f>
        <v>42953.99861</v>
      </c>
      <c r="B2586" s="1">
        <f>IFERROR(__xludf.DUMMYFUNCTION("""COMPUTED_VALUE"""),15675.20711)</f>
        <v>15675.20711</v>
      </c>
    </row>
    <row r="2587">
      <c r="A2587" s="3">
        <f>IFERROR(__xludf.DUMMYFUNCTION("""COMPUTED_VALUE"""),42954.99861111111)</f>
        <v>42954.99861</v>
      </c>
      <c r="B2587" s="1">
        <f>IFERROR(__xludf.DUMMYFUNCTION("""COMPUTED_VALUE"""),15711.9663)</f>
        <v>15711.9663</v>
      </c>
    </row>
    <row r="2588">
      <c r="A2588" s="3">
        <f>IFERROR(__xludf.DUMMYFUNCTION("""COMPUTED_VALUE"""),42955.99861111111)</f>
        <v>42955.99861</v>
      </c>
      <c r="B2588" s="1">
        <f>IFERROR(__xludf.DUMMYFUNCTION("""COMPUTED_VALUE"""),15639.73934)</f>
        <v>15639.73934</v>
      </c>
    </row>
    <row r="2589">
      <c r="A2589" s="3">
        <f>IFERROR(__xludf.DUMMYFUNCTION("""COMPUTED_VALUE"""),42956.99861111111)</f>
        <v>42956.99861</v>
      </c>
      <c r="B2589" s="1">
        <f>IFERROR(__xludf.DUMMYFUNCTION("""COMPUTED_VALUE"""),15672.7086)</f>
        <v>15672.7086</v>
      </c>
    </row>
    <row r="2590">
      <c r="A2590" s="3">
        <f>IFERROR(__xludf.DUMMYFUNCTION("""COMPUTED_VALUE"""),42957.99861111111)</f>
        <v>42957.99861</v>
      </c>
      <c r="B2590" s="1">
        <f>IFERROR(__xludf.DUMMYFUNCTION("""COMPUTED_VALUE"""),15684.67957)</f>
        <v>15684.67957</v>
      </c>
    </row>
    <row r="2591">
      <c r="A2591" s="3">
        <f>IFERROR(__xludf.DUMMYFUNCTION("""COMPUTED_VALUE"""),42958.99861111111)</f>
        <v>42958.99861</v>
      </c>
      <c r="B2591" s="1">
        <f>IFERROR(__xludf.DUMMYFUNCTION("""COMPUTED_VALUE"""),15779.8529)</f>
        <v>15779.8529</v>
      </c>
    </row>
    <row r="2592">
      <c r="A2592" s="3">
        <f>IFERROR(__xludf.DUMMYFUNCTION("""COMPUTED_VALUE"""),42959.99861111111)</f>
        <v>42959.99861</v>
      </c>
      <c r="B2592" s="1">
        <f>IFERROR(__xludf.DUMMYFUNCTION("""COMPUTED_VALUE"""),15778.2118)</f>
        <v>15778.2118</v>
      </c>
    </row>
    <row r="2593">
      <c r="A2593" s="3">
        <f>IFERROR(__xludf.DUMMYFUNCTION("""COMPUTED_VALUE"""),42960.99861111111)</f>
        <v>42960.99861</v>
      </c>
      <c r="B2593" s="1">
        <f>IFERROR(__xludf.DUMMYFUNCTION("""COMPUTED_VALUE"""),15787.29048)</f>
        <v>15787.29048</v>
      </c>
    </row>
    <row r="2594">
      <c r="A2594" s="3">
        <f>IFERROR(__xludf.DUMMYFUNCTION("""COMPUTED_VALUE"""),42961.99861111111)</f>
        <v>42961.99861</v>
      </c>
      <c r="B2594" s="1">
        <f>IFERROR(__xludf.DUMMYFUNCTION("""COMPUTED_VALUE"""),15708.33712)</f>
        <v>15708.33712</v>
      </c>
    </row>
    <row r="2595">
      <c r="A2595" s="3">
        <f>IFERROR(__xludf.DUMMYFUNCTION("""COMPUTED_VALUE"""),42962.99861111111)</f>
        <v>42962.99861</v>
      </c>
      <c r="B2595" s="1">
        <f>IFERROR(__xludf.DUMMYFUNCTION("""COMPUTED_VALUE"""),15678.66432)</f>
        <v>15678.66432</v>
      </c>
    </row>
    <row r="2596">
      <c r="A2596" s="3">
        <f>IFERROR(__xludf.DUMMYFUNCTION("""COMPUTED_VALUE"""),42963.99861111111)</f>
        <v>42963.99861</v>
      </c>
      <c r="B2596" s="1">
        <f>IFERROR(__xludf.DUMMYFUNCTION("""COMPUTED_VALUE"""),15717.489)</f>
        <v>15717.489</v>
      </c>
    </row>
    <row r="2597">
      <c r="A2597" s="3">
        <f>IFERROR(__xludf.DUMMYFUNCTION("""COMPUTED_VALUE"""),42964.99861111111)</f>
        <v>42964.99861</v>
      </c>
      <c r="B2597" s="1">
        <f>IFERROR(__xludf.DUMMYFUNCTION("""COMPUTED_VALUE"""),15662.6236)</f>
        <v>15662.6236</v>
      </c>
    </row>
    <row r="2598">
      <c r="A2598" s="3">
        <f>IFERROR(__xludf.DUMMYFUNCTION("""COMPUTED_VALUE"""),42965.99861111111)</f>
        <v>42965.99861</v>
      </c>
      <c r="B2598" s="1">
        <f>IFERROR(__xludf.DUMMYFUNCTION("""COMPUTED_VALUE"""),15707.27146)</f>
        <v>15707.27146</v>
      </c>
    </row>
    <row r="2599">
      <c r="A2599" s="3">
        <f>IFERROR(__xludf.DUMMYFUNCTION("""COMPUTED_VALUE"""),42966.99861111111)</f>
        <v>42966.99861</v>
      </c>
      <c r="B2599" s="1">
        <f>IFERROR(__xludf.DUMMYFUNCTION("""COMPUTED_VALUE"""),15705.48)</f>
        <v>15705.48</v>
      </c>
    </row>
    <row r="2600">
      <c r="A2600" s="3">
        <f>IFERROR(__xludf.DUMMYFUNCTION("""COMPUTED_VALUE"""),42967.99861111111)</f>
        <v>42967.99861</v>
      </c>
      <c r="B2600" s="1">
        <f>IFERROR(__xludf.DUMMYFUNCTION("""COMPUTED_VALUE"""),15699.20315)</f>
        <v>15699.20315</v>
      </c>
    </row>
    <row r="2601">
      <c r="A2601" s="3">
        <f>IFERROR(__xludf.DUMMYFUNCTION("""COMPUTED_VALUE"""),42968.99861111111)</f>
        <v>42968.99861</v>
      </c>
      <c r="B2601" s="1">
        <f>IFERROR(__xludf.DUMMYFUNCTION("""COMPUTED_VALUE"""),15760.99872)</f>
        <v>15760.99872</v>
      </c>
    </row>
    <row r="2602">
      <c r="A2602" s="3">
        <f>IFERROR(__xludf.DUMMYFUNCTION("""COMPUTED_VALUE"""),42969.99861111111)</f>
        <v>42969.99861</v>
      </c>
      <c r="B2602" s="1">
        <f>IFERROR(__xludf.DUMMYFUNCTION("""COMPUTED_VALUE"""),15673.26475)</f>
        <v>15673.26475</v>
      </c>
    </row>
    <row r="2603">
      <c r="A2603" s="3">
        <f>IFERROR(__xludf.DUMMYFUNCTION("""COMPUTED_VALUE"""),42970.99861111111)</f>
        <v>42970.99861</v>
      </c>
      <c r="B2603" s="1">
        <f>IFERROR(__xludf.DUMMYFUNCTION("""COMPUTED_VALUE"""),15775.5416)</f>
        <v>15775.5416</v>
      </c>
    </row>
    <row r="2604">
      <c r="A2604" s="3">
        <f>IFERROR(__xludf.DUMMYFUNCTION("""COMPUTED_VALUE"""),42971.99861111111)</f>
        <v>42971.99861</v>
      </c>
      <c r="B2604" s="1">
        <f>IFERROR(__xludf.DUMMYFUNCTION("""COMPUTED_VALUE"""),15730.54006)</f>
        <v>15730.54006</v>
      </c>
    </row>
    <row r="2605">
      <c r="A2605" s="3">
        <f>IFERROR(__xludf.DUMMYFUNCTION("""COMPUTED_VALUE"""),42972.99861111111)</f>
        <v>42972.99861</v>
      </c>
      <c r="B2605" s="1">
        <f>IFERROR(__xludf.DUMMYFUNCTION("""COMPUTED_VALUE"""),15904.60656)</f>
        <v>15904.60656</v>
      </c>
    </row>
    <row r="2606">
      <c r="A2606" s="3">
        <f>IFERROR(__xludf.DUMMYFUNCTION("""COMPUTED_VALUE"""),42973.99861111111)</f>
        <v>42973.99861</v>
      </c>
      <c r="B2606" s="1">
        <f>IFERROR(__xludf.DUMMYFUNCTION("""COMPUTED_VALUE"""),15907.8084)</f>
        <v>15907.8084</v>
      </c>
    </row>
    <row r="2607">
      <c r="A2607" s="3">
        <f>IFERROR(__xludf.DUMMYFUNCTION("""COMPUTED_VALUE"""),42974.99861111111)</f>
        <v>42974.99861</v>
      </c>
      <c r="B2607" s="1">
        <f>IFERROR(__xludf.DUMMYFUNCTION("""COMPUTED_VALUE"""),15941.83907)</f>
        <v>15941.83907</v>
      </c>
    </row>
    <row r="2608">
      <c r="A2608" s="3">
        <f>IFERROR(__xludf.DUMMYFUNCTION("""COMPUTED_VALUE"""),42975.99861111111)</f>
        <v>42975.99861</v>
      </c>
      <c r="B2608" s="1">
        <f>IFERROR(__xludf.DUMMYFUNCTION("""COMPUTED_VALUE"""),15914.51193)</f>
        <v>15914.51193</v>
      </c>
    </row>
    <row r="2609">
      <c r="A2609" s="3">
        <f>IFERROR(__xludf.DUMMYFUNCTION("""COMPUTED_VALUE"""),42976.99861111111)</f>
        <v>42976.99861</v>
      </c>
      <c r="B2609" s="1">
        <f>IFERROR(__xludf.DUMMYFUNCTION("""COMPUTED_VALUE"""),15959.06768)</f>
        <v>15959.06768</v>
      </c>
    </row>
    <row r="2610">
      <c r="A2610" s="3">
        <f>IFERROR(__xludf.DUMMYFUNCTION("""COMPUTED_VALUE"""),42977.99861111111)</f>
        <v>42977.99861</v>
      </c>
      <c r="B2610" s="1">
        <f>IFERROR(__xludf.DUMMYFUNCTION("""COMPUTED_VALUE"""),15852.7926)</f>
        <v>15852.7926</v>
      </c>
    </row>
    <row r="2611">
      <c r="A2611" s="3">
        <f>IFERROR(__xludf.DUMMYFUNCTION("""COMPUTED_VALUE"""),42978.99861111111)</f>
        <v>42978.99861</v>
      </c>
      <c r="B2611" s="1">
        <f>IFERROR(__xludf.DUMMYFUNCTION("""COMPUTED_VALUE"""),15865.04458)</f>
        <v>15865.04458</v>
      </c>
    </row>
    <row r="2612">
      <c r="A2612" s="3">
        <f>IFERROR(__xludf.DUMMYFUNCTION("""COMPUTED_VALUE"""),42979.99861111111)</f>
        <v>42979.99861</v>
      </c>
      <c r="B2612" s="1">
        <f>IFERROR(__xludf.DUMMYFUNCTION("""COMPUTED_VALUE"""),15814.2713)</f>
        <v>15814.2713</v>
      </c>
    </row>
    <row r="2613">
      <c r="A2613" s="3">
        <f>IFERROR(__xludf.DUMMYFUNCTION("""COMPUTED_VALUE"""),42980.99861111111)</f>
        <v>42980.99861</v>
      </c>
      <c r="B2613" s="1">
        <f>IFERROR(__xludf.DUMMYFUNCTION("""COMPUTED_VALUE"""),15816.6435)</f>
        <v>15816.6435</v>
      </c>
    </row>
    <row r="2614">
      <c r="A2614" s="3">
        <f>IFERROR(__xludf.DUMMYFUNCTION("""COMPUTED_VALUE"""),42981.99861111111)</f>
        <v>42981.99861</v>
      </c>
      <c r="B2614" s="1">
        <f>IFERROR(__xludf.DUMMYFUNCTION("""COMPUTED_VALUE"""),15840.02751)</f>
        <v>15840.02751</v>
      </c>
    </row>
    <row r="2615">
      <c r="A2615" s="3">
        <f>IFERROR(__xludf.DUMMYFUNCTION("""COMPUTED_VALUE"""),42982.99861111111)</f>
        <v>42982.99861</v>
      </c>
      <c r="B2615" s="1">
        <f>IFERROR(__xludf.DUMMYFUNCTION("""COMPUTED_VALUE"""),15880.85643)</f>
        <v>15880.85643</v>
      </c>
    </row>
    <row r="2616">
      <c r="A2616" s="3">
        <f>IFERROR(__xludf.DUMMYFUNCTION("""COMPUTED_VALUE"""),42983.99861111111)</f>
        <v>42983.99861</v>
      </c>
      <c r="B2616" s="1">
        <f>IFERROR(__xludf.DUMMYFUNCTION("""COMPUTED_VALUE"""),15896.9359)</f>
        <v>15896.9359</v>
      </c>
    </row>
    <row r="2617">
      <c r="A2617" s="3">
        <f>IFERROR(__xludf.DUMMYFUNCTION("""COMPUTED_VALUE"""),42984.99861111111)</f>
        <v>42984.99861</v>
      </c>
      <c r="B2617" s="1">
        <f>IFERROR(__xludf.DUMMYFUNCTION("""COMPUTED_VALUE"""),15909.82547)</f>
        <v>15909.82547</v>
      </c>
    </row>
    <row r="2618">
      <c r="A2618" s="3">
        <f>IFERROR(__xludf.DUMMYFUNCTION("""COMPUTED_VALUE"""),42985.99861111111)</f>
        <v>42985.99861</v>
      </c>
      <c r="B2618" s="1">
        <f>IFERROR(__xludf.DUMMYFUNCTION("""COMPUTED_VALUE"""),15984.27498)</f>
        <v>15984.27498</v>
      </c>
    </row>
    <row r="2619">
      <c r="A2619" s="3">
        <f>IFERROR(__xludf.DUMMYFUNCTION("""COMPUTED_VALUE"""),42986.99861111111)</f>
        <v>42986.99861</v>
      </c>
      <c r="B2619" s="1">
        <f>IFERROR(__xludf.DUMMYFUNCTION("""COMPUTED_VALUE"""),15879.9501)</f>
        <v>15879.9501</v>
      </c>
    </row>
    <row r="2620">
      <c r="A2620" s="3">
        <f>IFERROR(__xludf.DUMMYFUNCTION("""COMPUTED_VALUE"""),42987.99861111111)</f>
        <v>42987.99861</v>
      </c>
      <c r="B2620" s="1">
        <f>IFERROR(__xludf.DUMMYFUNCTION("""COMPUTED_VALUE"""),15881.502)</f>
        <v>15881.502</v>
      </c>
    </row>
    <row r="2621">
      <c r="A2621" s="3">
        <f>IFERROR(__xludf.DUMMYFUNCTION("""COMPUTED_VALUE"""),42988.99861111111)</f>
        <v>42988.99861</v>
      </c>
      <c r="B2621" s="1">
        <f>IFERROR(__xludf.DUMMYFUNCTION("""COMPUTED_VALUE"""),15858.57096)</f>
        <v>15858.57096</v>
      </c>
    </row>
    <row r="2622">
      <c r="A2622" s="3">
        <f>IFERROR(__xludf.DUMMYFUNCTION("""COMPUTED_VALUE"""),42989.99861111111)</f>
        <v>42989.99861</v>
      </c>
      <c r="B2622" s="1">
        <f>IFERROR(__xludf.DUMMYFUNCTION("""COMPUTED_VALUE"""),15755.8608)</f>
        <v>15755.8608</v>
      </c>
    </row>
    <row r="2623">
      <c r="A2623" s="3">
        <f>IFERROR(__xludf.DUMMYFUNCTION("""COMPUTED_VALUE"""),42990.99861111111)</f>
        <v>42990.99861</v>
      </c>
      <c r="B2623" s="1">
        <f>IFERROR(__xludf.DUMMYFUNCTION("""COMPUTED_VALUE"""),15811.2968)</f>
        <v>15811.2968</v>
      </c>
    </row>
    <row r="2624">
      <c r="A2624" s="3">
        <f>IFERROR(__xludf.DUMMYFUNCTION("""COMPUTED_VALUE"""),42991.99861111111)</f>
        <v>42991.99861</v>
      </c>
      <c r="B2624" s="1">
        <f>IFERROR(__xludf.DUMMYFUNCTION("""COMPUTED_VALUE"""),15739.97088)</f>
        <v>15739.97088</v>
      </c>
    </row>
    <row r="2625">
      <c r="A2625" s="3">
        <f>IFERROR(__xludf.DUMMYFUNCTION("""COMPUTED_VALUE"""),42992.99861111111)</f>
        <v>42992.99861</v>
      </c>
      <c r="B2625" s="1">
        <f>IFERROR(__xludf.DUMMYFUNCTION("""COMPUTED_VALUE"""),15809.6302)</f>
        <v>15809.6302</v>
      </c>
    </row>
    <row r="2626">
      <c r="A2626" s="3">
        <f>IFERROR(__xludf.DUMMYFUNCTION("""COMPUTED_VALUE"""),42993.99861111111)</f>
        <v>42993.99861</v>
      </c>
      <c r="B2626" s="1">
        <f>IFERROR(__xludf.DUMMYFUNCTION("""COMPUTED_VALUE"""),15822.61192)</f>
        <v>15822.61192</v>
      </c>
    </row>
    <row r="2627">
      <c r="A2627" s="3">
        <f>IFERROR(__xludf.DUMMYFUNCTION("""COMPUTED_VALUE"""),42994.99861111111)</f>
        <v>42994.99861</v>
      </c>
      <c r="B2627" s="1">
        <f>IFERROR(__xludf.DUMMYFUNCTION("""COMPUTED_VALUE"""),15846.14253)</f>
        <v>15846.14253</v>
      </c>
    </row>
    <row r="2628">
      <c r="A2628" s="3">
        <f>IFERROR(__xludf.DUMMYFUNCTION("""COMPUTED_VALUE"""),42995.99861111111)</f>
        <v>42995.99861</v>
      </c>
      <c r="B2628" s="1">
        <f>IFERROR(__xludf.DUMMYFUNCTION("""COMPUTED_VALUE"""),15817.5872)</f>
        <v>15817.5872</v>
      </c>
    </row>
    <row r="2629">
      <c r="A2629" s="3">
        <f>IFERROR(__xludf.DUMMYFUNCTION("""COMPUTED_VALUE"""),42996.99861111111)</f>
        <v>42996.99861</v>
      </c>
      <c r="B2629" s="1">
        <f>IFERROR(__xludf.DUMMYFUNCTION("""COMPUTED_VALUE"""),15866.27244)</f>
        <v>15866.27244</v>
      </c>
    </row>
    <row r="2630">
      <c r="A2630" s="3">
        <f>IFERROR(__xludf.DUMMYFUNCTION("""COMPUTED_VALUE"""),42997.99861111111)</f>
        <v>42997.99861</v>
      </c>
      <c r="B2630" s="1">
        <f>IFERROR(__xludf.DUMMYFUNCTION("""COMPUTED_VALUE"""),15896.5952)</f>
        <v>15896.5952</v>
      </c>
    </row>
    <row r="2631">
      <c r="A2631" s="3">
        <f>IFERROR(__xludf.DUMMYFUNCTION("""COMPUTED_VALUE"""),42998.99861111111)</f>
        <v>42998.99861</v>
      </c>
      <c r="B2631" s="1">
        <f>IFERROR(__xludf.DUMMYFUNCTION("""COMPUTED_VALUE"""),15756.77649)</f>
        <v>15756.77649</v>
      </c>
    </row>
    <row r="2632">
      <c r="A2632" s="3">
        <f>IFERROR(__xludf.DUMMYFUNCTION("""COMPUTED_VALUE"""),42999.99861111111)</f>
        <v>42999.99861</v>
      </c>
      <c r="B2632" s="1">
        <f>IFERROR(__xludf.DUMMYFUNCTION("""COMPUTED_VALUE"""),15854.73123)</f>
        <v>15854.73123</v>
      </c>
    </row>
    <row r="2633">
      <c r="A2633" s="3">
        <f>IFERROR(__xludf.DUMMYFUNCTION("""COMPUTED_VALUE"""),43000.99861111111)</f>
        <v>43000.99861</v>
      </c>
      <c r="B2633" s="1">
        <f>IFERROR(__xludf.DUMMYFUNCTION("""COMPUTED_VALUE"""),15878.0946)</f>
        <v>15878.0946</v>
      </c>
    </row>
    <row r="2634">
      <c r="A2634" s="3">
        <f>IFERROR(__xludf.DUMMYFUNCTION("""COMPUTED_VALUE"""),43001.99861111111)</f>
        <v>43001.99861</v>
      </c>
      <c r="B2634" s="1">
        <f>IFERROR(__xludf.DUMMYFUNCTION("""COMPUTED_VALUE"""),15888.0956)</f>
        <v>15888.0956</v>
      </c>
    </row>
    <row r="2635">
      <c r="A2635" s="3">
        <f>IFERROR(__xludf.DUMMYFUNCTION("""COMPUTED_VALUE"""),43002.99861111111)</f>
        <v>43002.99861</v>
      </c>
      <c r="B2635" s="1">
        <f>IFERROR(__xludf.DUMMYFUNCTION("""COMPUTED_VALUE"""),15869.66702)</f>
        <v>15869.66702</v>
      </c>
    </row>
    <row r="2636">
      <c r="A2636" s="3">
        <f>IFERROR(__xludf.DUMMYFUNCTION("""COMPUTED_VALUE"""),43003.99861111111)</f>
        <v>43003.99861</v>
      </c>
      <c r="B2636" s="1">
        <f>IFERROR(__xludf.DUMMYFUNCTION("""COMPUTED_VALUE"""),15789.54131)</f>
        <v>15789.54131</v>
      </c>
    </row>
    <row r="2637">
      <c r="A2637" s="3">
        <f>IFERROR(__xludf.DUMMYFUNCTION("""COMPUTED_VALUE"""),43004.99861111111)</f>
        <v>43004.99861</v>
      </c>
      <c r="B2637" s="1">
        <f>IFERROR(__xludf.DUMMYFUNCTION("""COMPUTED_VALUE"""),15762.9725)</f>
        <v>15762.9725</v>
      </c>
    </row>
    <row r="2638">
      <c r="A2638" s="3">
        <f>IFERROR(__xludf.DUMMYFUNCTION("""COMPUTED_VALUE"""),43005.99861111111)</f>
        <v>43005.99861</v>
      </c>
      <c r="B2638" s="1">
        <f>IFERROR(__xludf.DUMMYFUNCTION("""COMPUTED_VALUE"""),15782.02871)</f>
        <v>15782.02871</v>
      </c>
    </row>
    <row r="2639">
      <c r="A2639" s="3">
        <f>IFERROR(__xludf.DUMMYFUNCTION("""COMPUTED_VALUE"""),43006.99861111111)</f>
        <v>43006.99861</v>
      </c>
      <c r="B2639" s="1">
        <f>IFERROR(__xludf.DUMMYFUNCTION("""COMPUTED_VALUE"""),15913.50464)</f>
        <v>15913.50464</v>
      </c>
    </row>
    <row r="2640">
      <c r="A2640" s="3">
        <f>IFERROR(__xludf.DUMMYFUNCTION("""COMPUTED_VALUE"""),43007.99861111111)</f>
        <v>43007.99861</v>
      </c>
      <c r="B2640" s="1">
        <f>IFERROR(__xludf.DUMMYFUNCTION("""COMPUTED_VALUE"""),15803.7898)</f>
        <v>15803.7898</v>
      </c>
    </row>
    <row r="2641">
      <c r="A2641" s="3">
        <f>IFERROR(__xludf.DUMMYFUNCTION("""COMPUTED_VALUE"""),43008.99861111111)</f>
        <v>43008.99861</v>
      </c>
      <c r="B2641" s="1">
        <f>IFERROR(__xludf.DUMMYFUNCTION("""COMPUTED_VALUE"""),15824.28868)</f>
        <v>15824.28868</v>
      </c>
    </row>
    <row r="2642">
      <c r="A2642" s="3">
        <f>IFERROR(__xludf.DUMMYFUNCTION("""COMPUTED_VALUE"""),43009.99861111111)</f>
        <v>43009.99861</v>
      </c>
      <c r="B2642" s="1">
        <f>IFERROR(__xludf.DUMMYFUNCTION("""COMPUTED_VALUE"""),15896.779)</f>
        <v>15896.779</v>
      </c>
    </row>
    <row r="2643">
      <c r="A2643" s="3">
        <f>IFERROR(__xludf.DUMMYFUNCTION("""COMPUTED_VALUE"""),43010.99861111111)</f>
        <v>43010.99861</v>
      </c>
      <c r="B2643" s="1">
        <f>IFERROR(__xludf.DUMMYFUNCTION("""COMPUTED_VALUE"""),15876.32823)</f>
        <v>15876.32823</v>
      </c>
    </row>
    <row r="2644">
      <c r="A2644" s="3">
        <f>IFERROR(__xludf.DUMMYFUNCTION("""COMPUTED_VALUE"""),43011.99861111111)</f>
        <v>43011.99861</v>
      </c>
      <c r="B2644" s="1">
        <f>IFERROR(__xludf.DUMMYFUNCTION("""COMPUTED_VALUE"""),15900.87456)</f>
        <v>15900.87456</v>
      </c>
    </row>
    <row r="2645">
      <c r="A2645" s="3">
        <f>IFERROR(__xludf.DUMMYFUNCTION("""COMPUTED_VALUE"""),43012.99861111111)</f>
        <v>43012.99861</v>
      </c>
      <c r="B2645" s="1">
        <f>IFERROR(__xludf.DUMMYFUNCTION("""COMPUTED_VALUE"""),15836.0055)</f>
        <v>15836.0055</v>
      </c>
    </row>
    <row r="2646">
      <c r="A2646" s="3">
        <f>IFERROR(__xludf.DUMMYFUNCTION("""COMPUTED_VALUE"""),43013.99861111111)</f>
        <v>43013.99861</v>
      </c>
      <c r="B2646" s="1">
        <f>IFERROR(__xludf.DUMMYFUNCTION("""COMPUTED_VALUE"""),15752.86963)</f>
        <v>15752.86963</v>
      </c>
    </row>
    <row r="2647">
      <c r="A2647" s="3">
        <f>IFERROR(__xludf.DUMMYFUNCTION("""COMPUTED_VALUE"""),43014.99861111111)</f>
        <v>43014.99861</v>
      </c>
      <c r="B2647" s="1">
        <f>IFERROR(__xludf.DUMMYFUNCTION("""COMPUTED_VALUE"""),15833.93042)</f>
        <v>15833.93042</v>
      </c>
    </row>
    <row r="2648">
      <c r="A2648" s="3">
        <f>IFERROR(__xludf.DUMMYFUNCTION("""COMPUTED_VALUE"""),43015.99861111111)</f>
        <v>43015.99861</v>
      </c>
      <c r="B2648" s="1">
        <f>IFERROR(__xludf.DUMMYFUNCTION("""COMPUTED_VALUE"""),15834.6804)</f>
        <v>15834.6804</v>
      </c>
    </row>
    <row r="2649">
      <c r="A2649" s="3">
        <f>IFERROR(__xludf.DUMMYFUNCTION("""COMPUTED_VALUE"""),43016.99861111111)</f>
        <v>43016.99861</v>
      </c>
      <c r="B2649" s="1">
        <f>IFERROR(__xludf.DUMMYFUNCTION("""COMPUTED_VALUE"""),15848.04243)</f>
        <v>15848.04243</v>
      </c>
    </row>
    <row r="2650">
      <c r="A2650" s="3">
        <f>IFERROR(__xludf.DUMMYFUNCTION("""COMPUTED_VALUE"""),43017.99861111111)</f>
        <v>43017.99861</v>
      </c>
      <c r="B2650" s="1">
        <f>IFERROR(__xludf.DUMMYFUNCTION("""COMPUTED_VALUE"""),15862.091)</f>
        <v>15862.091</v>
      </c>
    </row>
    <row r="2651">
      <c r="A2651" s="3">
        <f>IFERROR(__xludf.DUMMYFUNCTION("""COMPUTED_VALUE"""),43018.99861111111)</f>
        <v>43018.99861</v>
      </c>
      <c r="B2651" s="1">
        <f>IFERROR(__xludf.DUMMYFUNCTION("""COMPUTED_VALUE"""),15958.012)</f>
        <v>15958.012</v>
      </c>
    </row>
    <row r="2652">
      <c r="A2652" s="3">
        <f>IFERROR(__xludf.DUMMYFUNCTION("""COMPUTED_VALUE"""),43019.99861111111)</f>
        <v>43019.99861</v>
      </c>
      <c r="B2652" s="1">
        <f>IFERROR(__xludf.DUMMYFUNCTION("""COMPUTED_VALUE"""),16028.6693)</f>
        <v>16028.6693</v>
      </c>
    </row>
    <row r="2653">
      <c r="A2653" s="3">
        <f>IFERROR(__xludf.DUMMYFUNCTION("""COMPUTED_VALUE"""),43020.99861111111)</f>
        <v>43020.99861</v>
      </c>
      <c r="B2653" s="1">
        <f>IFERROR(__xludf.DUMMYFUNCTION("""COMPUTED_VALUE"""),15969.61878)</f>
        <v>15969.61878</v>
      </c>
    </row>
    <row r="2654">
      <c r="A2654" s="3">
        <f>IFERROR(__xludf.DUMMYFUNCTION("""COMPUTED_VALUE"""),43021.99861111111)</f>
        <v>43021.99861</v>
      </c>
      <c r="B2654" s="1">
        <f>IFERROR(__xludf.DUMMYFUNCTION("""COMPUTED_VALUE"""),15871.3054)</f>
        <v>15871.3054</v>
      </c>
    </row>
    <row r="2655">
      <c r="A2655" s="3">
        <f>IFERROR(__xludf.DUMMYFUNCTION("""COMPUTED_VALUE"""),43022.99861111111)</f>
        <v>43022.99861</v>
      </c>
      <c r="B2655" s="1">
        <f>IFERROR(__xludf.DUMMYFUNCTION("""COMPUTED_VALUE"""),15947.544)</f>
        <v>15947.544</v>
      </c>
    </row>
    <row r="2656">
      <c r="A2656" s="3">
        <f>IFERROR(__xludf.DUMMYFUNCTION("""COMPUTED_VALUE"""),43023.99861111111)</f>
        <v>43023.99861</v>
      </c>
      <c r="B2656" s="1">
        <f>IFERROR(__xludf.DUMMYFUNCTION("""COMPUTED_VALUE"""),15938.63928)</f>
        <v>15938.63928</v>
      </c>
    </row>
    <row r="2657">
      <c r="A2657" s="3">
        <f>IFERROR(__xludf.DUMMYFUNCTION("""COMPUTED_VALUE"""),43024.99861111111)</f>
        <v>43024.99861</v>
      </c>
      <c r="B2657" s="1">
        <f>IFERROR(__xludf.DUMMYFUNCTION("""COMPUTED_VALUE"""),15894.942)</f>
        <v>15894.942</v>
      </c>
    </row>
    <row r="2658">
      <c r="A2658" s="3">
        <f>IFERROR(__xludf.DUMMYFUNCTION("""COMPUTED_VALUE"""),43025.99861111111)</f>
        <v>43025.99861</v>
      </c>
      <c r="B2658" s="1">
        <f>IFERROR(__xludf.DUMMYFUNCTION("""COMPUTED_VALUE"""),15884.01985)</f>
        <v>15884.01985</v>
      </c>
    </row>
    <row r="2659">
      <c r="A2659" s="3">
        <f>IFERROR(__xludf.DUMMYFUNCTION("""COMPUTED_VALUE"""),43026.99861111111)</f>
        <v>43026.99861</v>
      </c>
      <c r="B2659" s="1">
        <f>IFERROR(__xludf.DUMMYFUNCTION("""COMPUTED_VALUE"""),15934.3695)</f>
        <v>15934.3695</v>
      </c>
    </row>
    <row r="2660">
      <c r="A2660" s="3">
        <f>IFERROR(__xludf.DUMMYFUNCTION("""COMPUTED_VALUE"""),43027.99861111111)</f>
        <v>43027.99861</v>
      </c>
      <c r="B2660" s="1">
        <f>IFERROR(__xludf.DUMMYFUNCTION("""COMPUTED_VALUE"""),15982.1426)</f>
        <v>15982.1426</v>
      </c>
    </row>
    <row r="2661">
      <c r="A2661" s="3">
        <f>IFERROR(__xludf.DUMMYFUNCTION("""COMPUTED_VALUE"""),43028.99861111111)</f>
        <v>43028.99861</v>
      </c>
      <c r="B2661" s="1">
        <f>IFERROR(__xludf.DUMMYFUNCTION("""COMPUTED_VALUE"""),15925.9028)</f>
        <v>15925.9028</v>
      </c>
    </row>
    <row r="2662">
      <c r="A2662" s="3">
        <f>IFERROR(__xludf.DUMMYFUNCTION("""COMPUTED_VALUE"""),43029.99861111111)</f>
        <v>43029.99861</v>
      </c>
      <c r="B2662" s="1">
        <f>IFERROR(__xludf.DUMMYFUNCTION("""COMPUTED_VALUE"""),15921.848)</f>
        <v>15921.848</v>
      </c>
    </row>
    <row r="2663">
      <c r="A2663" s="3">
        <f>IFERROR(__xludf.DUMMYFUNCTION("""COMPUTED_VALUE"""),43030.99861111111)</f>
        <v>43030.99861</v>
      </c>
      <c r="B2663" s="1">
        <f>IFERROR(__xludf.DUMMYFUNCTION("""COMPUTED_VALUE"""),15885.3548)</f>
        <v>15885.3548</v>
      </c>
    </row>
    <row r="2664">
      <c r="A2664" s="3">
        <f>IFERROR(__xludf.DUMMYFUNCTION("""COMPUTED_VALUE"""),43031.99861111111)</f>
        <v>43031.99861</v>
      </c>
      <c r="B2664" s="1">
        <f>IFERROR(__xludf.DUMMYFUNCTION("""COMPUTED_VALUE"""),15910.1218)</f>
        <v>15910.1218</v>
      </c>
    </row>
    <row r="2665">
      <c r="A2665" s="3">
        <f>IFERROR(__xludf.DUMMYFUNCTION("""COMPUTED_VALUE"""),43032.99861111111)</f>
        <v>43032.99861</v>
      </c>
      <c r="B2665" s="1">
        <f>IFERROR(__xludf.DUMMYFUNCTION("""COMPUTED_VALUE"""),15903.10075)</f>
        <v>15903.10075</v>
      </c>
    </row>
    <row r="2666">
      <c r="A2666" s="3">
        <f>IFERROR(__xludf.DUMMYFUNCTION("""COMPUTED_VALUE"""),43033.99861111111)</f>
        <v>43033.99861</v>
      </c>
      <c r="B2666" s="1">
        <f>IFERROR(__xludf.DUMMYFUNCTION("""COMPUTED_VALUE"""),16039.3896)</f>
        <v>16039.3896</v>
      </c>
    </row>
    <row r="2667">
      <c r="A2667" s="3">
        <f>IFERROR(__xludf.DUMMYFUNCTION("""COMPUTED_VALUE"""),43034.99861111111)</f>
        <v>43034.99861</v>
      </c>
      <c r="B2667" s="1">
        <f>IFERROR(__xludf.DUMMYFUNCTION("""COMPUTED_VALUE"""),15875.67695)</f>
        <v>15875.67695</v>
      </c>
    </row>
    <row r="2668">
      <c r="A2668" s="3">
        <f>IFERROR(__xludf.DUMMYFUNCTION("""COMPUTED_VALUE"""),43035.99861111111)</f>
        <v>43035.99861</v>
      </c>
      <c r="B2668" s="1">
        <f>IFERROR(__xludf.DUMMYFUNCTION("""COMPUTED_VALUE"""),15773.98642)</f>
        <v>15773.98642</v>
      </c>
    </row>
    <row r="2669">
      <c r="A2669" s="3">
        <f>IFERROR(__xludf.DUMMYFUNCTION("""COMPUTED_VALUE"""),43036.99861111111)</f>
        <v>43036.99861</v>
      </c>
      <c r="B2669" s="1">
        <f>IFERROR(__xludf.DUMMYFUNCTION("""COMPUTED_VALUE"""),15796.21515)</f>
        <v>15796.21515</v>
      </c>
    </row>
    <row r="2670">
      <c r="A2670" s="3">
        <f>IFERROR(__xludf.DUMMYFUNCTION("""COMPUTED_VALUE"""),43037.99861111111)</f>
        <v>43037.99861</v>
      </c>
      <c r="B2670" s="1">
        <f>IFERROR(__xludf.DUMMYFUNCTION("""COMPUTED_VALUE"""),15767.37932)</f>
        <v>15767.37932</v>
      </c>
    </row>
    <row r="2671">
      <c r="A2671" s="3">
        <f>IFERROR(__xludf.DUMMYFUNCTION("""COMPUTED_VALUE"""),43038.99861111111)</f>
        <v>43038.99861</v>
      </c>
      <c r="B2671" s="1">
        <f>IFERROR(__xludf.DUMMYFUNCTION("""COMPUTED_VALUE"""),15816.4248)</f>
        <v>15816.4248</v>
      </c>
    </row>
    <row r="2672">
      <c r="A2672" s="3">
        <f>IFERROR(__xludf.DUMMYFUNCTION("""COMPUTED_VALUE"""),43039.99861111111)</f>
        <v>43039.99861</v>
      </c>
      <c r="B2672" s="1">
        <f>IFERROR(__xludf.DUMMYFUNCTION("""COMPUTED_VALUE"""),15792.03648)</f>
        <v>15792.03648</v>
      </c>
    </row>
    <row r="2673">
      <c r="A2673" s="3">
        <f>IFERROR(__xludf.DUMMYFUNCTION("""COMPUTED_VALUE"""),43040.99861111111)</f>
        <v>43040.99861</v>
      </c>
      <c r="B2673" s="1">
        <f>IFERROR(__xludf.DUMMYFUNCTION("""COMPUTED_VALUE"""),15759.4284)</f>
        <v>15759.4284</v>
      </c>
    </row>
    <row r="2674">
      <c r="A2674" s="3">
        <f>IFERROR(__xludf.DUMMYFUNCTION("""COMPUTED_VALUE"""),43041.99861111111)</f>
        <v>43041.99861</v>
      </c>
      <c r="B2674" s="1">
        <f>IFERROR(__xludf.DUMMYFUNCTION("""COMPUTED_VALUE"""),15789.37741)</f>
        <v>15789.37741</v>
      </c>
    </row>
    <row r="2675">
      <c r="A2675" s="3">
        <f>IFERROR(__xludf.DUMMYFUNCTION("""COMPUTED_VALUE"""),43042.99861111111)</f>
        <v>43042.99861</v>
      </c>
      <c r="B2675" s="1">
        <f>IFERROR(__xludf.DUMMYFUNCTION("""COMPUTED_VALUE"""),15645.2924)</f>
        <v>15645.2924</v>
      </c>
    </row>
    <row r="2676">
      <c r="A2676" s="3">
        <f>IFERROR(__xludf.DUMMYFUNCTION("""COMPUTED_VALUE"""),43043.99861111111)</f>
        <v>43043.99861</v>
      </c>
      <c r="B2676" s="1">
        <f>IFERROR(__xludf.DUMMYFUNCTION("""COMPUTED_VALUE"""),15661.064)</f>
        <v>15661.064</v>
      </c>
    </row>
    <row r="2677">
      <c r="A2677" s="3">
        <f>IFERROR(__xludf.DUMMYFUNCTION("""COMPUTED_VALUE"""),43044.99861111111)</f>
        <v>43044.99861</v>
      </c>
      <c r="B2677" s="1">
        <f>IFERROR(__xludf.DUMMYFUNCTION("""COMPUTED_VALUE"""),15655.8068)</f>
        <v>15655.8068</v>
      </c>
    </row>
    <row r="2678">
      <c r="A2678" s="3">
        <f>IFERROR(__xludf.DUMMYFUNCTION("""COMPUTED_VALUE"""),43045.99861111111)</f>
        <v>43045.99861</v>
      </c>
      <c r="B2678" s="1">
        <f>IFERROR(__xludf.DUMMYFUNCTION("""COMPUTED_VALUE"""),15656.4596)</f>
        <v>15656.4596</v>
      </c>
    </row>
    <row r="2679">
      <c r="A2679" s="3">
        <f>IFERROR(__xludf.DUMMYFUNCTION("""COMPUTED_VALUE"""),43046.99861111111)</f>
        <v>43046.99861</v>
      </c>
      <c r="B2679" s="1">
        <f>IFERROR(__xludf.DUMMYFUNCTION("""COMPUTED_VALUE"""),15677.05084)</f>
        <v>15677.05084</v>
      </c>
    </row>
    <row r="2680">
      <c r="A2680" s="3">
        <f>IFERROR(__xludf.DUMMYFUNCTION("""COMPUTED_VALUE"""),43047.99861111111)</f>
        <v>43047.99861</v>
      </c>
      <c r="B2680" s="1">
        <f>IFERROR(__xludf.DUMMYFUNCTION("""COMPUTED_VALUE"""),15653.89287)</f>
        <v>15653.89287</v>
      </c>
    </row>
    <row r="2681">
      <c r="A2681" s="3">
        <f>IFERROR(__xludf.DUMMYFUNCTION("""COMPUTED_VALUE"""),43048.99861111111)</f>
        <v>43048.99861</v>
      </c>
      <c r="B2681" s="1">
        <f>IFERROR(__xludf.DUMMYFUNCTION("""COMPUTED_VALUE"""),15753.95001)</f>
        <v>15753.95001</v>
      </c>
    </row>
    <row r="2682">
      <c r="A2682" s="3">
        <f>IFERROR(__xludf.DUMMYFUNCTION("""COMPUTED_VALUE"""),43049.99861111111)</f>
        <v>43049.99861</v>
      </c>
      <c r="B2682" s="1">
        <f>IFERROR(__xludf.DUMMYFUNCTION("""COMPUTED_VALUE"""),15793.76376)</f>
        <v>15793.76376</v>
      </c>
    </row>
    <row r="2683">
      <c r="A2683" s="3">
        <f>IFERROR(__xludf.DUMMYFUNCTION("""COMPUTED_VALUE"""),43050.99861111111)</f>
        <v>43050.99861</v>
      </c>
      <c r="B2683" s="1">
        <f>IFERROR(__xludf.DUMMYFUNCTION("""COMPUTED_VALUE"""),15808.71986)</f>
        <v>15808.71986</v>
      </c>
    </row>
    <row r="2684">
      <c r="A2684" s="3">
        <f>IFERROR(__xludf.DUMMYFUNCTION("""COMPUTED_VALUE"""),43051.99861111111)</f>
        <v>43051.99861</v>
      </c>
      <c r="B2684" s="1">
        <f>IFERROR(__xludf.DUMMYFUNCTION("""COMPUTED_VALUE"""),15755.39736)</f>
        <v>15755.39736</v>
      </c>
    </row>
    <row r="2685">
      <c r="A2685" s="3">
        <f>IFERROR(__xludf.DUMMYFUNCTION("""COMPUTED_VALUE"""),43052.99861111111)</f>
        <v>43052.99861</v>
      </c>
      <c r="B2685" s="1">
        <f>IFERROR(__xludf.DUMMYFUNCTION("""COMPUTED_VALUE"""),15808.89685)</f>
        <v>15808.89685</v>
      </c>
    </row>
    <row r="2686">
      <c r="A2686" s="3">
        <f>IFERROR(__xludf.DUMMYFUNCTION("""COMPUTED_VALUE"""),43053.99861111111)</f>
        <v>43053.99861</v>
      </c>
      <c r="B2686" s="1">
        <f>IFERROR(__xludf.DUMMYFUNCTION("""COMPUTED_VALUE"""),15971.4513)</f>
        <v>15971.4513</v>
      </c>
    </row>
    <row r="2687">
      <c r="A2687" s="3">
        <f>IFERROR(__xludf.DUMMYFUNCTION("""COMPUTED_VALUE"""),43054.99861111111)</f>
        <v>43054.99861</v>
      </c>
      <c r="B2687" s="1">
        <f>IFERROR(__xludf.DUMMYFUNCTION("""COMPUTED_VALUE"""),15947.34305)</f>
        <v>15947.34305</v>
      </c>
    </row>
    <row r="2688">
      <c r="A2688" s="3">
        <f>IFERROR(__xludf.DUMMYFUNCTION("""COMPUTED_VALUE"""),43055.99861111111)</f>
        <v>43055.99861</v>
      </c>
      <c r="B2688" s="1">
        <f>IFERROR(__xludf.DUMMYFUNCTION("""COMPUTED_VALUE"""),15912.735)</f>
        <v>15912.735</v>
      </c>
    </row>
    <row r="2689">
      <c r="A2689" s="3">
        <f>IFERROR(__xludf.DUMMYFUNCTION("""COMPUTED_VALUE"""),43056.99861111111)</f>
        <v>43056.99861</v>
      </c>
      <c r="B2689" s="1">
        <f>IFERROR(__xludf.DUMMYFUNCTION("""COMPUTED_VALUE"""),15925.12152)</f>
        <v>15925.12152</v>
      </c>
    </row>
    <row r="2690">
      <c r="A2690" s="3">
        <f>IFERROR(__xludf.DUMMYFUNCTION("""COMPUTED_VALUE"""),43057.99861111111)</f>
        <v>43057.99861</v>
      </c>
      <c r="B2690" s="1">
        <f>IFERROR(__xludf.DUMMYFUNCTION("""COMPUTED_VALUE"""),15937.23909)</f>
        <v>15937.23909</v>
      </c>
    </row>
    <row r="2691">
      <c r="A2691" s="3">
        <f>IFERROR(__xludf.DUMMYFUNCTION("""COMPUTED_VALUE"""),43058.99861111111)</f>
        <v>43058.99861</v>
      </c>
      <c r="B2691" s="1">
        <f>IFERROR(__xludf.DUMMYFUNCTION("""COMPUTED_VALUE"""),15846.50496)</f>
        <v>15846.50496</v>
      </c>
    </row>
    <row r="2692">
      <c r="A2692" s="3">
        <f>IFERROR(__xludf.DUMMYFUNCTION("""COMPUTED_VALUE"""),43059.99861111111)</f>
        <v>43059.99861</v>
      </c>
      <c r="B2692" s="1">
        <f>IFERROR(__xludf.DUMMYFUNCTION("""COMPUTED_VALUE"""),15874.2925)</f>
        <v>15874.2925</v>
      </c>
    </row>
    <row r="2693">
      <c r="A2693" s="3">
        <f>IFERROR(__xludf.DUMMYFUNCTION("""COMPUTED_VALUE"""),43060.99861111111)</f>
        <v>43060.99861</v>
      </c>
      <c r="B2693" s="1">
        <f>IFERROR(__xludf.DUMMYFUNCTION("""COMPUTED_VALUE"""),15866.30397)</f>
        <v>15866.30397</v>
      </c>
    </row>
    <row r="2694">
      <c r="A2694" s="3">
        <f>IFERROR(__xludf.DUMMYFUNCTION("""COMPUTED_VALUE"""),43061.99861111111)</f>
        <v>43061.99861</v>
      </c>
      <c r="B2694" s="1">
        <f>IFERROR(__xludf.DUMMYFUNCTION("""COMPUTED_VALUE"""),15938.40231)</f>
        <v>15938.40231</v>
      </c>
    </row>
    <row r="2695">
      <c r="A2695" s="3">
        <f>IFERROR(__xludf.DUMMYFUNCTION("""COMPUTED_VALUE"""),43062.99861111111)</f>
        <v>43062.99861</v>
      </c>
      <c r="B2695" s="1">
        <f>IFERROR(__xludf.DUMMYFUNCTION("""COMPUTED_VALUE"""),15981.7672)</f>
        <v>15981.7672</v>
      </c>
    </row>
    <row r="2696">
      <c r="A2696" s="3">
        <f>IFERROR(__xludf.DUMMYFUNCTION("""COMPUTED_VALUE"""),43063.99861111111)</f>
        <v>43063.99861</v>
      </c>
      <c r="B2696" s="1">
        <f>IFERROR(__xludf.DUMMYFUNCTION("""COMPUTED_VALUE"""),16102.84404)</f>
        <v>16102.84404</v>
      </c>
    </row>
    <row r="2697">
      <c r="A2697" s="3">
        <f>IFERROR(__xludf.DUMMYFUNCTION("""COMPUTED_VALUE"""),43064.99861111111)</f>
        <v>43064.99861</v>
      </c>
      <c r="B2697" s="1">
        <f>IFERROR(__xludf.DUMMYFUNCTION("""COMPUTED_VALUE"""),16103.114)</f>
        <v>16103.114</v>
      </c>
    </row>
    <row r="2698">
      <c r="A2698" s="3">
        <f>IFERROR(__xludf.DUMMYFUNCTION("""COMPUTED_VALUE"""),43065.99861111111)</f>
        <v>43065.99861</v>
      </c>
      <c r="B2698" s="1">
        <f>IFERROR(__xludf.DUMMYFUNCTION("""COMPUTED_VALUE"""),16096.63496)</f>
        <v>16096.63496</v>
      </c>
    </row>
    <row r="2699">
      <c r="A2699" s="3">
        <f>IFERROR(__xludf.DUMMYFUNCTION("""COMPUTED_VALUE"""),43066.99861111111)</f>
        <v>43066.99861</v>
      </c>
      <c r="B2699" s="1">
        <f>IFERROR(__xludf.DUMMYFUNCTION("""COMPUTED_VALUE"""),16084.16995)</f>
        <v>16084.16995</v>
      </c>
    </row>
    <row r="2700">
      <c r="A2700" s="3">
        <f>IFERROR(__xludf.DUMMYFUNCTION("""COMPUTED_VALUE"""),43067.99861111111)</f>
        <v>43067.99861</v>
      </c>
      <c r="B2700" s="1">
        <f>IFERROR(__xludf.DUMMYFUNCTION("""COMPUTED_VALUE"""),15993.855)</f>
        <v>15993.855</v>
      </c>
    </row>
    <row r="2701">
      <c r="A2701" s="3">
        <f>IFERROR(__xludf.DUMMYFUNCTION("""COMPUTED_VALUE"""),43068.99861111111)</f>
        <v>43068.99861</v>
      </c>
      <c r="B2701" s="1">
        <f>IFERROR(__xludf.DUMMYFUNCTION("""COMPUTED_VALUE"""),16004.9408)</f>
        <v>16004.9408</v>
      </c>
    </row>
    <row r="2702">
      <c r="A2702" s="3">
        <f>IFERROR(__xludf.DUMMYFUNCTION("""COMPUTED_VALUE"""),43069.99861111111)</f>
        <v>43069.99861</v>
      </c>
      <c r="B2702" s="1">
        <f>IFERROR(__xludf.DUMMYFUNCTION("""COMPUTED_VALUE"""),16110.67557)</f>
        <v>16110.67557</v>
      </c>
    </row>
    <row r="2703">
      <c r="A2703" s="3">
        <f>IFERROR(__xludf.DUMMYFUNCTION("""COMPUTED_VALUE"""),43070.99861111111)</f>
        <v>43070.99861</v>
      </c>
      <c r="B2703" s="1">
        <f>IFERROR(__xludf.DUMMYFUNCTION("""COMPUTED_VALUE"""),16089.44752)</f>
        <v>16089.44752</v>
      </c>
    </row>
    <row r="2704">
      <c r="A2704" s="3">
        <f>IFERROR(__xludf.DUMMYFUNCTION("""COMPUTED_VALUE"""),43071.99861111111)</f>
        <v>43071.99861</v>
      </c>
      <c r="B2704" s="1">
        <f>IFERROR(__xludf.DUMMYFUNCTION("""COMPUTED_VALUE"""),16101.97759)</f>
        <v>16101.97759</v>
      </c>
    </row>
    <row r="2705">
      <c r="A2705" s="3">
        <f>IFERROR(__xludf.DUMMYFUNCTION("""COMPUTED_VALUE"""),43072.99861111111)</f>
        <v>43072.99861</v>
      </c>
      <c r="B2705" s="1">
        <f>IFERROR(__xludf.DUMMYFUNCTION("""COMPUTED_VALUE"""),16080.5328)</f>
        <v>16080.5328</v>
      </c>
    </row>
    <row r="2706">
      <c r="A2706" s="3">
        <f>IFERROR(__xludf.DUMMYFUNCTION("""COMPUTED_VALUE"""),43073.99861111111)</f>
        <v>43073.99861</v>
      </c>
      <c r="B2706" s="1">
        <f>IFERROR(__xludf.DUMMYFUNCTION("""COMPUTED_VALUE"""),16013.86956)</f>
        <v>16013.86956</v>
      </c>
    </row>
    <row r="2707">
      <c r="A2707" s="3">
        <f>IFERROR(__xludf.DUMMYFUNCTION("""COMPUTED_VALUE"""),43074.99861111111)</f>
        <v>43074.99861</v>
      </c>
      <c r="B2707" s="1">
        <f>IFERROR(__xludf.DUMMYFUNCTION("""COMPUTED_VALUE"""),15986.96004)</f>
        <v>15986.96004</v>
      </c>
    </row>
    <row r="2708">
      <c r="A2708" s="3">
        <f>IFERROR(__xludf.DUMMYFUNCTION("""COMPUTED_VALUE"""),43075.99861111111)</f>
        <v>43075.99861</v>
      </c>
      <c r="B2708" s="1">
        <f>IFERROR(__xludf.DUMMYFUNCTION("""COMPUTED_VALUE"""),15975.39826)</f>
        <v>15975.39826</v>
      </c>
    </row>
    <row r="2709">
      <c r="A2709" s="3">
        <f>IFERROR(__xludf.DUMMYFUNCTION("""COMPUTED_VALUE"""),43076.99861111111)</f>
        <v>43076.99861</v>
      </c>
      <c r="B2709" s="1">
        <f>IFERROR(__xludf.DUMMYFUNCTION("""COMPUTED_VALUE"""),15954.5916)</f>
        <v>15954.5916</v>
      </c>
    </row>
    <row r="2710">
      <c r="A2710" s="3">
        <f>IFERROR(__xludf.DUMMYFUNCTION("""COMPUTED_VALUE"""),43077.99861111111)</f>
        <v>43077.99861</v>
      </c>
      <c r="B2710" s="1">
        <f>IFERROR(__xludf.DUMMYFUNCTION("""COMPUTED_VALUE"""),15936.9336)</f>
        <v>15936.9336</v>
      </c>
    </row>
    <row r="2711">
      <c r="A2711" s="3">
        <f>IFERROR(__xludf.DUMMYFUNCTION("""COMPUTED_VALUE"""),43078.99861111111)</f>
        <v>43078.99861</v>
      </c>
      <c r="B2711" s="1">
        <f>IFERROR(__xludf.DUMMYFUNCTION("""COMPUTED_VALUE"""),15926.1032)</f>
        <v>15926.1032</v>
      </c>
    </row>
    <row r="2712">
      <c r="A2712" s="3">
        <f>IFERROR(__xludf.DUMMYFUNCTION("""COMPUTED_VALUE"""),43079.99861111111)</f>
        <v>43079.99861</v>
      </c>
      <c r="B2712" s="1">
        <f>IFERROR(__xludf.DUMMYFUNCTION("""COMPUTED_VALUE"""),15893.6869)</f>
        <v>15893.6869</v>
      </c>
    </row>
    <row r="2713">
      <c r="A2713" s="3">
        <f>IFERROR(__xludf.DUMMYFUNCTION("""COMPUTED_VALUE"""),43080.99861111111)</f>
        <v>43080.99861</v>
      </c>
      <c r="B2713" s="1">
        <f>IFERROR(__xludf.DUMMYFUNCTION("""COMPUTED_VALUE"""),15958.29312)</f>
        <v>15958.29312</v>
      </c>
    </row>
    <row r="2714">
      <c r="A2714" s="3">
        <f>IFERROR(__xludf.DUMMYFUNCTION("""COMPUTED_VALUE"""),43081.99861111111)</f>
        <v>43081.99861</v>
      </c>
      <c r="B2714" s="1">
        <f>IFERROR(__xludf.DUMMYFUNCTION("""COMPUTED_VALUE"""),15910.2291)</f>
        <v>15910.2291</v>
      </c>
    </row>
    <row r="2715">
      <c r="A2715" s="3">
        <f>IFERROR(__xludf.DUMMYFUNCTION("""COMPUTED_VALUE"""),43082.99861111111)</f>
        <v>43082.99861</v>
      </c>
      <c r="B2715" s="1">
        <f>IFERROR(__xludf.DUMMYFUNCTION("""COMPUTED_VALUE"""),16023.236)</f>
        <v>16023.236</v>
      </c>
    </row>
    <row r="2716">
      <c r="A2716" s="3">
        <f>IFERROR(__xludf.DUMMYFUNCTION("""COMPUTED_VALUE"""),43083.99861111111)</f>
        <v>43083.99861</v>
      </c>
      <c r="B2716" s="1">
        <f>IFERROR(__xludf.DUMMYFUNCTION("""COMPUTED_VALUE"""),15958.75068)</f>
        <v>15958.75068</v>
      </c>
    </row>
    <row r="2717">
      <c r="A2717" s="3">
        <f>IFERROR(__xludf.DUMMYFUNCTION("""COMPUTED_VALUE"""),43084.99861111111)</f>
        <v>43084.99861</v>
      </c>
      <c r="B2717" s="1">
        <f>IFERROR(__xludf.DUMMYFUNCTION("""COMPUTED_VALUE"""),15938.87232)</f>
        <v>15938.87232</v>
      </c>
    </row>
    <row r="2718">
      <c r="A2718" s="3">
        <f>IFERROR(__xludf.DUMMYFUNCTION("""COMPUTED_VALUE"""),43085.99861111111)</f>
        <v>43085.99861</v>
      </c>
      <c r="B2718" s="1">
        <f>IFERROR(__xludf.DUMMYFUNCTION("""COMPUTED_VALUE"""),15966.22874)</f>
        <v>15966.22874</v>
      </c>
    </row>
    <row r="2719">
      <c r="A2719" s="3">
        <f>IFERROR(__xludf.DUMMYFUNCTION("""COMPUTED_VALUE"""),43086.99861111111)</f>
        <v>43086.99861</v>
      </c>
      <c r="B2719" s="1">
        <f>IFERROR(__xludf.DUMMYFUNCTION("""COMPUTED_VALUE"""),15932.76672)</f>
        <v>15932.76672</v>
      </c>
    </row>
    <row r="2720">
      <c r="A2720" s="3">
        <f>IFERROR(__xludf.DUMMYFUNCTION("""COMPUTED_VALUE"""),43087.99861111111)</f>
        <v>43087.99861</v>
      </c>
      <c r="B2720" s="1">
        <f>IFERROR(__xludf.DUMMYFUNCTION("""COMPUTED_VALUE"""),16001.314)</f>
        <v>16001.314</v>
      </c>
    </row>
    <row r="2721">
      <c r="A2721" s="3">
        <f>IFERROR(__xludf.DUMMYFUNCTION("""COMPUTED_VALUE"""),43088.99861111111)</f>
        <v>43088.99861</v>
      </c>
      <c r="B2721" s="1">
        <f>IFERROR(__xludf.DUMMYFUNCTION("""COMPUTED_VALUE"""),16068.7275)</f>
        <v>16068.7275</v>
      </c>
    </row>
    <row r="2722">
      <c r="A2722" s="3">
        <f>IFERROR(__xludf.DUMMYFUNCTION("""COMPUTED_VALUE"""),43089.99861111111)</f>
        <v>43089.99861</v>
      </c>
      <c r="B2722" s="1">
        <f>IFERROR(__xludf.DUMMYFUNCTION("""COMPUTED_VALUE"""),16121.46648)</f>
        <v>16121.46648</v>
      </c>
    </row>
    <row r="2723">
      <c r="A2723" s="3">
        <f>IFERROR(__xludf.DUMMYFUNCTION("""COMPUTED_VALUE"""),43090.99861111111)</f>
        <v>43090.99861</v>
      </c>
      <c r="B2723" s="1">
        <f>IFERROR(__xludf.DUMMYFUNCTION("""COMPUTED_VALUE"""),16079.92092)</f>
        <v>16079.92092</v>
      </c>
    </row>
    <row r="2724">
      <c r="A2724" s="3">
        <f>IFERROR(__xludf.DUMMYFUNCTION("""COMPUTED_VALUE"""),43091.99861111111)</f>
        <v>43091.99861</v>
      </c>
      <c r="B2724" s="1">
        <f>IFERROR(__xludf.DUMMYFUNCTION("""COMPUTED_VALUE"""),16067.14841)</f>
        <v>16067.14841</v>
      </c>
    </row>
    <row r="2725">
      <c r="A2725" s="3">
        <f>IFERROR(__xludf.DUMMYFUNCTION("""COMPUTED_VALUE"""),43092.99861111111)</f>
        <v>43092.99861</v>
      </c>
      <c r="B2725" s="1">
        <f>IFERROR(__xludf.DUMMYFUNCTION("""COMPUTED_VALUE"""),16064.0326)</f>
        <v>16064.0326</v>
      </c>
    </row>
    <row r="2726">
      <c r="A2726" s="3">
        <f>IFERROR(__xludf.DUMMYFUNCTION("""COMPUTED_VALUE"""),43093.99861111111)</f>
        <v>43093.99861</v>
      </c>
      <c r="B2726" s="1">
        <f>IFERROR(__xludf.DUMMYFUNCTION("""COMPUTED_VALUE"""),16053.8697)</f>
        <v>16053.8697</v>
      </c>
    </row>
    <row r="2727">
      <c r="A2727" s="3">
        <f>IFERROR(__xludf.DUMMYFUNCTION("""COMPUTED_VALUE"""),43094.99861111111)</f>
        <v>43094.99861</v>
      </c>
      <c r="B2727" s="1">
        <f>IFERROR(__xludf.DUMMYFUNCTION("""COMPUTED_VALUE"""),16065.1904)</f>
        <v>16065.1904</v>
      </c>
    </row>
    <row r="2728">
      <c r="A2728" s="3">
        <f>IFERROR(__xludf.DUMMYFUNCTION("""COMPUTED_VALUE"""),43095.99861111111)</f>
        <v>43095.99861</v>
      </c>
      <c r="B2728" s="1">
        <f>IFERROR(__xludf.DUMMYFUNCTION("""COMPUTED_VALUE"""),16069.14848)</f>
        <v>16069.14848</v>
      </c>
    </row>
    <row r="2729">
      <c r="A2729" s="3">
        <f>IFERROR(__xludf.DUMMYFUNCTION("""COMPUTED_VALUE"""),43096.99861111111)</f>
        <v>43096.99861</v>
      </c>
      <c r="B2729" s="1">
        <f>IFERROR(__xludf.DUMMYFUNCTION("""COMPUTED_VALUE"""),16134.15558)</f>
        <v>16134.15558</v>
      </c>
    </row>
    <row r="2730">
      <c r="A2730" s="3">
        <f>IFERROR(__xludf.DUMMYFUNCTION("""COMPUTED_VALUE"""),43097.99861111111)</f>
        <v>43097.99861</v>
      </c>
      <c r="B2730" s="1">
        <f>IFERROR(__xludf.DUMMYFUNCTION("""COMPUTED_VALUE"""),16185.5404)</f>
        <v>16185.5404</v>
      </c>
    </row>
    <row r="2731">
      <c r="A2731" s="3">
        <f>IFERROR(__xludf.DUMMYFUNCTION("""COMPUTED_VALUE"""),43098.99861111111)</f>
        <v>43098.99861</v>
      </c>
      <c r="B2731" s="1">
        <f>IFERROR(__xludf.DUMMYFUNCTION("""COMPUTED_VALUE"""),16202.7)</f>
        <v>16202.7</v>
      </c>
    </row>
    <row r="2732">
      <c r="A2732" s="3">
        <f>IFERROR(__xludf.DUMMYFUNCTION("""COMPUTED_VALUE"""),43099.99861111111)</f>
        <v>43099.99861</v>
      </c>
      <c r="B2732" s="1">
        <f>IFERROR(__xludf.DUMMYFUNCTION("""COMPUTED_VALUE"""),16168.3569)</f>
        <v>16168.3569</v>
      </c>
    </row>
    <row r="2733">
      <c r="A2733" s="3">
        <f>IFERROR(__xludf.DUMMYFUNCTION("""COMPUTED_VALUE"""),43100.99861111111)</f>
        <v>43100.99861</v>
      </c>
      <c r="B2733" s="1">
        <f>IFERROR(__xludf.DUMMYFUNCTION("""COMPUTED_VALUE"""),16253.1084)</f>
        <v>16253.1084</v>
      </c>
    </row>
    <row r="2734">
      <c r="A2734" s="3">
        <f>IFERROR(__xludf.DUMMYFUNCTION("""COMPUTED_VALUE"""),43101.99861111111)</f>
        <v>43101.99861</v>
      </c>
      <c r="B2734" s="1">
        <f>IFERROR(__xludf.DUMMYFUNCTION("""COMPUTED_VALUE"""),16274.7695)</f>
        <v>16274.7695</v>
      </c>
    </row>
    <row r="2735">
      <c r="A2735" s="3">
        <f>IFERROR(__xludf.DUMMYFUNCTION("""COMPUTED_VALUE"""),43102.99861111111)</f>
        <v>43102.99861</v>
      </c>
      <c r="B2735" s="1">
        <f>IFERROR(__xludf.DUMMYFUNCTION("""COMPUTED_VALUE"""),16280.08984)</f>
        <v>16280.08984</v>
      </c>
    </row>
    <row r="2736">
      <c r="A2736" s="3">
        <f>IFERROR(__xludf.DUMMYFUNCTION("""COMPUTED_VALUE"""),43103.99861111111)</f>
        <v>43103.99861</v>
      </c>
      <c r="B2736" s="1">
        <f>IFERROR(__xludf.DUMMYFUNCTION("""COMPUTED_VALUE"""),16174.79864)</f>
        <v>16174.79864</v>
      </c>
    </row>
    <row r="2737">
      <c r="A2737" s="3">
        <f>IFERROR(__xludf.DUMMYFUNCTION("""COMPUTED_VALUE"""),43104.99861111111)</f>
        <v>43104.99861</v>
      </c>
      <c r="B2737" s="1">
        <f>IFERROR(__xludf.DUMMYFUNCTION("""COMPUTED_VALUE"""),16189.35615)</f>
        <v>16189.35615</v>
      </c>
    </row>
    <row r="2738">
      <c r="A2738" s="3">
        <f>IFERROR(__xludf.DUMMYFUNCTION("""COMPUTED_VALUE"""),43105.99861111111)</f>
        <v>43105.99861</v>
      </c>
      <c r="B2738" s="1">
        <f>IFERROR(__xludf.DUMMYFUNCTION("""COMPUTED_VALUE"""),16131.01902)</f>
        <v>16131.01902</v>
      </c>
    </row>
    <row r="2739">
      <c r="A2739" s="3">
        <f>IFERROR(__xludf.DUMMYFUNCTION("""COMPUTED_VALUE"""),43106.99861111111)</f>
        <v>43106.99861</v>
      </c>
      <c r="B2739" s="1">
        <f>IFERROR(__xludf.DUMMYFUNCTION("""COMPUTED_VALUE"""),16150.64713)</f>
        <v>16150.64713</v>
      </c>
    </row>
    <row r="2740">
      <c r="A2740" s="3">
        <f>IFERROR(__xludf.DUMMYFUNCTION("""COMPUTED_VALUE"""),43107.99861111111)</f>
        <v>43107.99861</v>
      </c>
      <c r="B2740" s="1">
        <f>IFERROR(__xludf.DUMMYFUNCTION("""COMPUTED_VALUE"""),16161.81136)</f>
        <v>16161.81136</v>
      </c>
    </row>
    <row r="2741">
      <c r="A2741" s="3">
        <f>IFERROR(__xludf.DUMMYFUNCTION("""COMPUTED_VALUE"""),43108.99861111111)</f>
        <v>43108.99861</v>
      </c>
      <c r="B2741" s="1">
        <f>IFERROR(__xludf.DUMMYFUNCTION("""COMPUTED_VALUE"""),16071.85046)</f>
        <v>16071.85046</v>
      </c>
    </row>
    <row r="2742">
      <c r="A2742" s="3">
        <f>IFERROR(__xludf.DUMMYFUNCTION("""COMPUTED_VALUE"""),43109.99861111111)</f>
        <v>43109.99861</v>
      </c>
      <c r="B2742" s="1">
        <f>IFERROR(__xludf.DUMMYFUNCTION("""COMPUTED_VALUE"""),16020.1098)</f>
        <v>16020.1098</v>
      </c>
    </row>
    <row r="2743">
      <c r="A2743" s="3">
        <f>IFERROR(__xludf.DUMMYFUNCTION("""COMPUTED_VALUE"""),43110.99861111111)</f>
        <v>43110.99861</v>
      </c>
      <c r="B2743" s="1">
        <f>IFERROR(__xludf.DUMMYFUNCTION("""COMPUTED_VALUE"""),16069.52196)</f>
        <v>16069.52196</v>
      </c>
    </row>
    <row r="2744">
      <c r="A2744" s="3">
        <f>IFERROR(__xludf.DUMMYFUNCTION("""COMPUTED_VALUE"""),43111.99861111111)</f>
        <v>43111.99861</v>
      </c>
      <c r="B2744" s="1">
        <f>IFERROR(__xludf.DUMMYFUNCTION("""COMPUTED_VALUE"""),16127.18095)</f>
        <v>16127.18095</v>
      </c>
    </row>
    <row r="2745">
      <c r="A2745" s="3">
        <f>IFERROR(__xludf.DUMMYFUNCTION("""COMPUTED_VALUE"""),43112.99861111111)</f>
        <v>43112.99861</v>
      </c>
      <c r="B2745" s="1">
        <f>IFERROR(__xludf.DUMMYFUNCTION("""COMPUTED_VALUE"""),16251.5988)</f>
        <v>16251.5988</v>
      </c>
    </row>
    <row r="2746">
      <c r="A2746" s="3">
        <f>IFERROR(__xludf.DUMMYFUNCTION("""COMPUTED_VALUE"""),43113.99861111111)</f>
        <v>43113.99861</v>
      </c>
      <c r="B2746" s="1">
        <f>IFERROR(__xludf.DUMMYFUNCTION("""COMPUTED_VALUE"""),16213.2525)</f>
        <v>16213.2525</v>
      </c>
    </row>
    <row r="2747">
      <c r="A2747" s="3">
        <f>IFERROR(__xludf.DUMMYFUNCTION("""COMPUTED_VALUE"""),43114.99861111111)</f>
        <v>43114.99861</v>
      </c>
      <c r="B2747" s="1">
        <f>IFERROR(__xludf.DUMMYFUNCTION("""COMPUTED_VALUE"""),16209.264)</f>
        <v>16209.264</v>
      </c>
    </row>
    <row r="2748">
      <c r="A2748" s="3">
        <f>IFERROR(__xludf.DUMMYFUNCTION("""COMPUTED_VALUE"""),43115.99861111111)</f>
        <v>43115.99861</v>
      </c>
      <c r="B2748" s="1">
        <f>IFERROR(__xludf.DUMMYFUNCTION("""COMPUTED_VALUE"""),16321.37655)</f>
        <v>16321.37655</v>
      </c>
    </row>
    <row r="2749">
      <c r="A2749" s="3">
        <f>IFERROR(__xludf.DUMMYFUNCTION("""COMPUTED_VALUE"""),43116.99861111111)</f>
        <v>43116.99861</v>
      </c>
      <c r="B2749" s="1">
        <f>IFERROR(__xludf.DUMMYFUNCTION("""COMPUTED_VALUE"""),16327.1273)</f>
        <v>16327.1273</v>
      </c>
    </row>
    <row r="2750">
      <c r="A2750" s="3">
        <f>IFERROR(__xludf.DUMMYFUNCTION("""COMPUTED_VALUE"""),43117.99861111111)</f>
        <v>43117.99861</v>
      </c>
      <c r="B2750" s="1">
        <f>IFERROR(__xludf.DUMMYFUNCTION("""COMPUTED_VALUE"""),16247.51552)</f>
        <v>16247.51552</v>
      </c>
    </row>
    <row r="2751">
      <c r="A2751" s="3">
        <f>IFERROR(__xludf.DUMMYFUNCTION("""COMPUTED_VALUE"""),43118.99861111111)</f>
        <v>43118.99861</v>
      </c>
      <c r="B2751" s="1">
        <f>IFERROR(__xludf.DUMMYFUNCTION("""COMPUTED_VALUE"""),16314.41568)</f>
        <v>16314.41568</v>
      </c>
    </row>
    <row r="2752">
      <c r="A2752" s="3">
        <f>IFERROR(__xludf.DUMMYFUNCTION("""COMPUTED_VALUE"""),43119.99861111111)</f>
        <v>43119.99861</v>
      </c>
      <c r="B2752" s="1">
        <f>IFERROR(__xludf.DUMMYFUNCTION("""COMPUTED_VALUE"""),16273.8593)</f>
        <v>16273.8593</v>
      </c>
    </row>
    <row r="2753">
      <c r="A2753" s="3">
        <f>IFERROR(__xludf.DUMMYFUNCTION("""COMPUTED_VALUE"""),43120.99861111111)</f>
        <v>43120.99861</v>
      </c>
      <c r="B2753" s="1">
        <f>IFERROR(__xludf.DUMMYFUNCTION("""COMPUTED_VALUE"""),16301.50259)</f>
        <v>16301.50259</v>
      </c>
    </row>
    <row r="2754">
      <c r="A2754" s="3">
        <f>IFERROR(__xludf.DUMMYFUNCTION("""COMPUTED_VALUE"""),43121.99861111111)</f>
        <v>43121.99861</v>
      </c>
      <c r="B2754" s="1">
        <f>IFERROR(__xludf.DUMMYFUNCTION("""COMPUTED_VALUE"""),16329.521)</f>
        <v>16329.521</v>
      </c>
    </row>
    <row r="2755">
      <c r="A2755" s="3">
        <f>IFERROR(__xludf.DUMMYFUNCTION("""COMPUTED_VALUE"""),43122.99861111111)</f>
        <v>43122.99861</v>
      </c>
      <c r="B2755" s="1">
        <f>IFERROR(__xludf.DUMMYFUNCTION("""COMPUTED_VALUE"""),16349.2868)</f>
        <v>16349.2868</v>
      </c>
    </row>
    <row r="2756">
      <c r="A2756" s="3">
        <f>IFERROR(__xludf.DUMMYFUNCTION("""COMPUTED_VALUE"""),43123.99861111111)</f>
        <v>43123.99861</v>
      </c>
      <c r="B2756" s="1">
        <f>IFERROR(__xludf.DUMMYFUNCTION("""COMPUTED_VALUE"""),16415.9492)</f>
        <v>16415.9492</v>
      </c>
    </row>
    <row r="2757">
      <c r="A2757" s="3">
        <f>IFERROR(__xludf.DUMMYFUNCTION("""COMPUTED_VALUE"""),43124.99861111111)</f>
        <v>43124.99861</v>
      </c>
      <c r="B2757" s="1">
        <f>IFERROR(__xludf.DUMMYFUNCTION("""COMPUTED_VALUE"""),16476.222)</f>
        <v>16476.222</v>
      </c>
    </row>
    <row r="2758">
      <c r="A2758" s="3">
        <f>IFERROR(__xludf.DUMMYFUNCTION("""COMPUTED_VALUE"""),43125.99861111111)</f>
        <v>43125.99861</v>
      </c>
      <c r="B2758" s="1">
        <f>IFERROR(__xludf.DUMMYFUNCTION("""COMPUTED_VALUE"""),16479.72183)</f>
        <v>16479.72183</v>
      </c>
    </row>
    <row r="2759">
      <c r="A2759" s="3">
        <f>IFERROR(__xludf.DUMMYFUNCTION("""COMPUTED_VALUE"""),43126.99861111111)</f>
        <v>43126.99861</v>
      </c>
      <c r="B2759" s="1">
        <f>IFERROR(__xludf.DUMMYFUNCTION("""COMPUTED_VALUE"""),16526.4925)</f>
        <v>16526.4925</v>
      </c>
    </row>
    <row r="2760">
      <c r="A2760" s="3">
        <f>IFERROR(__xludf.DUMMYFUNCTION("""COMPUTED_VALUE"""),43127.99861111111)</f>
        <v>43127.99861</v>
      </c>
      <c r="B2760" s="1">
        <f>IFERROR(__xludf.DUMMYFUNCTION("""COMPUTED_VALUE"""),16551.14698)</f>
        <v>16551.14698</v>
      </c>
    </row>
    <row r="2761">
      <c r="A2761" s="3">
        <f>IFERROR(__xludf.DUMMYFUNCTION("""COMPUTED_VALUE"""),43128.99861111111)</f>
        <v>43128.99861</v>
      </c>
      <c r="B2761" s="1">
        <f>IFERROR(__xludf.DUMMYFUNCTION("""COMPUTED_VALUE"""),16523.47104)</f>
        <v>16523.47104</v>
      </c>
    </row>
    <row r="2762">
      <c r="A2762" s="3">
        <f>IFERROR(__xludf.DUMMYFUNCTION("""COMPUTED_VALUE"""),43129.99861111111)</f>
        <v>43129.99861</v>
      </c>
      <c r="B2762" s="1">
        <f>IFERROR(__xludf.DUMMYFUNCTION("""COMPUTED_VALUE"""),16548.47967)</f>
        <v>16548.47967</v>
      </c>
    </row>
    <row r="2763">
      <c r="A2763" s="3">
        <f>IFERROR(__xludf.DUMMYFUNCTION("""COMPUTED_VALUE"""),43130.99861111111)</f>
        <v>43130.99861</v>
      </c>
      <c r="B2763" s="1">
        <f>IFERROR(__xludf.DUMMYFUNCTION("""COMPUTED_VALUE"""),16653.85048)</f>
        <v>16653.85048</v>
      </c>
    </row>
    <row r="2764">
      <c r="A2764" s="3">
        <f>IFERROR(__xludf.DUMMYFUNCTION("""COMPUTED_VALUE"""),43131.99861111111)</f>
        <v>43131.99861</v>
      </c>
      <c r="B2764" s="1">
        <f>IFERROR(__xludf.DUMMYFUNCTION("""COMPUTED_VALUE"""),16618.20642)</f>
        <v>16618.20642</v>
      </c>
    </row>
    <row r="2765">
      <c r="A2765" s="3">
        <f>IFERROR(__xludf.DUMMYFUNCTION("""COMPUTED_VALUE"""),43132.99861111111)</f>
        <v>43132.99861</v>
      </c>
      <c r="B2765" s="1">
        <f>IFERROR(__xludf.DUMMYFUNCTION("""COMPUTED_VALUE"""),16744.81512)</f>
        <v>16744.81512</v>
      </c>
    </row>
    <row r="2766">
      <c r="A2766" s="3">
        <f>IFERROR(__xludf.DUMMYFUNCTION("""COMPUTED_VALUE"""),43133.99861111111)</f>
        <v>43133.99861</v>
      </c>
      <c r="B2766" s="1">
        <f>IFERROR(__xludf.DUMMYFUNCTION("""COMPUTED_VALUE"""),16711.4471)</f>
        <v>16711.4471</v>
      </c>
    </row>
    <row r="2767">
      <c r="A2767" s="3">
        <f>IFERROR(__xludf.DUMMYFUNCTION("""COMPUTED_VALUE"""),43134.99861111111)</f>
        <v>43134.99861</v>
      </c>
      <c r="B2767" s="1">
        <f>IFERROR(__xludf.DUMMYFUNCTION("""COMPUTED_VALUE"""),16711.4471)</f>
        <v>16711.4471</v>
      </c>
    </row>
    <row r="2768">
      <c r="A2768" s="3">
        <f>IFERROR(__xludf.DUMMYFUNCTION("""COMPUTED_VALUE"""),43135.99861111111)</f>
        <v>43135.99861</v>
      </c>
      <c r="B2768" s="1">
        <f>IFERROR(__xludf.DUMMYFUNCTION("""COMPUTED_VALUE"""),16691.73293)</f>
        <v>16691.73293</v>
      </c>
    </row>
    <row r="2769">
      <c r="A2769" s="3">
        <f>IFERROR(__xludf.DUMMYFUNCTION("""COMPUTED_VALUE"""),43136.99861111111)</f>
        <v>43136.99861</v>
      </c>
      <c r="B2769" s="1">
        <f>IFERROR(__xludf.DUMMYFUNCTION("""COMPUTED_VALUE"""),16774.5988)</f>
        <v>16774.5988</v>
      </c>
    </row>
    <row r="2770">
      <c r="A2770" s="3">
        <f>IFERROR(__xludf.DUMMYFUNCTION("""COMPUTED_VALUE"""),43137.99861111111)</f>
        <v>43137.99861</v>
      </c>
      <c r="B2770" s="1">
        <f>IFERROR(__xludf.DUMMYFUNCTION("""COMPUTED_VALUE"""),16768.1492)</f>
        <v>16768.1492</v>
      </c>
    </row>
    <row r="2771">
      <c r="A2771" s="3">
        <f>IFERROR(__xludf.DUMMYFUNCTION("""COMPUTED_VALUE"""),43138.99861111111)</f>
        <v>43138.99861</v>
      </c>
      <c r="B2771" s="1">
        <f>IFERROR(__xludf.DUMMYFUNCTION("""COMPUTED_VALUE"""),16733.4147)</f>
        <v>16733.4147</v>
      </c>
    </row>
    <row r="2772">
      <c r="A2772" s="3">
        <f>IFERROR(__xludf.DUMMYFUNCTION("""COMPUTED_VALUE"""),43139.99861111111)</f>
        <v>43139.99861</v>
      </c>
      <c r="B2772" s="1">
        <f>IFERROR(__xludf.DUMMYFUNCTION("""COMPUTED_VALUE"""),16671.01202)</f>
        <v>16671.01202</v>
      </c>
    </row>
    <row r="2773">
      <c r="A2773" s="3">
        <f>IFERROR(__xludf.DUMMYFUNCTION("""COMPUTED_VALUE"""),43140.99861111111)</f>
        <v>43140.99861</v>
      </c>
      <c r="B2773" s="1">
        <f>IFERROR(__xludf.DUMMYFUNCTION("""COMPUTED_VALUE"""),16659.1864)</f>
        <v>16659.1864</v>
      </c>
    </row>
    <row r="2774">
      <c r="A2774" s="3">
        <f>IFERROR(__xludf.DUMMYFUNCTION("""COMPUTED_VALUE"""),43141.99861111111)</f>
        <v>43141.99861</v>
      </c>
      <c r="B2774" s="1">
        <f>IFERROR(__xludf.DUMMYFUNCTION("""COMPUTED_VALUE"""),16659.1864)</f>
        <v>16659.1864</v>
      </c>
    </row>
    <row r="2775">
      <c r="A2775" s="3">
        <f>IFERROR(__xludf.DUMMYFUNCTION("""COMPUTED_VALUE"""),43142.99861111111)</f>
        <v>43142.99861</v>
      </c>
      <c r="B2775" s="1">
        <f>IFERROR(__xludf.DUMMYFUNCTION("""COMPUTED_VALUE"""),16675.2442)</f>
        <v>16675.2442</v>
      </c>
    </row>
    <row r="2776">
      <c r="A2776" s="3">
        <f>IFERROR(__xludf.DUMMYFUNCTION("""COMPUTED_VALUE"""),43143.99861111111)</f>
        <v>43143.99861</v>
      </c>
      <c r="B2776" s="1">
        <f>IFERROR(__xludf.DUMMYFUNCTION("""COMPUTED_VALUE"""),16782.2543)</f>
        <v>16782.2543</v>
      </c>
    </row>
    <row r="2777">
      <c r="A2777" s="3">
        <f>IFERROR(__xludf.DUMMYFUNCTION("""COMPUTED_VALUE"""),43144.99861111111)</f>
        <v>43144.99861</v>
      </c>
      <c r="B2777" s="1">
        <f>IFERROR(__xludf.DUMMYFUNCTION("""COMPUTED_VALUE"""),16849.7648)</f>
        <v>16849.7648</v>
      </c>
    </row>
    <row r="2778">
      <c r="A2778" s="3">
        <f>IFERROR(__xludf.DUMMYFUNCTION("""COMPUTED_VALUE"""),43145.99861111111)</f>
        <v>43145.99861</v>
      </c>
      <c r="B2778" s="1">
        <f>IFERROR(__xludf.DUMMYFUNCTION("""COMPUTED_VALUE"""),16982.00252)</f>
        <v>16982.00252</v>
      </c>
    </row>
    <row r="2779">
      <c r="A2779" s="3">
        <f>IFERROR(__xludf.DUMMYFUNCTION("""COMPUTED_VALUE"""),43146.99861111111)</f>
        <v>43146.99861</v>
      </c>
      <c r="B2779" s="1">
        <f>IFERROR(__xludf.DUMMYFUNCTION("""COMPUTED_VALUE"""),16943.93008)</f>
        <v>16943.93008</v>
      </c>
    </row>
    <row r="2780">
      <c r="A2780" s="3">
        <f>IFERROR(__xludf.DUMMYFUNCTION("""COMPUTED_VALUE"""),43147.99861111111)</f>
        <v>43147.99861</v>
      </c>
      <c r="B2780" s="1">
        <f>IFERROR(__xludf.DUMMYFUNCTION("""COMPUTED_VALUE"""),16812.6112)</f>
        <v>16812.6112</v>
      </c>
    </row>
    <row r="2781">
      <c r="A2781" s="3">
        <f>IFERROR(__xludf.DUMMYFUNCTION("""COMPUTED_VALUE"""),43148.99861111111)</f>
        <v>43148.99861</v>
      </c>
      <c r="B2781" s="1">
        <f>IFERROR(__xludf.DUMMYFUNCTION("""COMPUTED_VALUE"""),16812.6112)</f>
        <v>16812.6112</v>
      </c>
    </row>
    <row r="2782">
      <c r="A2782" s="3">
        <f>IFERROR(__xludf.DUMMYFUNCTION("""COMPUTED_VALUE"""),43149.99861111111)</f>
        <v>43149.99861</v>
      </c>
      <c r="B2782" s="1">
        <f>IFERROR(__xludf.DUMMYFUNCTION("""COMPUTED_VALUE"""),16819.3872)</f>
        <v>16819.3872</v>
      </c>
    </row>
    <row r="2783">
      <c r="A2783" s="3">
        <f>IFERROR(__xludf.DUMMYFUNCTION("""COMPUTED_VALUE"""),43150.99861111111)</f>
        <v>43150.99861</v>
      </c>
      <c r="B2783" s="1">
        <f>IFERROR(__xludf.DUMMYFUNCTION("""COMPUTED_VALUE"""),16803.84258)</f>
        <v>16803.84258</v>
      </c>
    </row>
    <row r="2784">
      <c r="A2784" s="3">
        <f>IFERROR(__xludf.DUMMYFUNCTION("""COMPUTED_VALUE"""),43151.99861111111)</f>
        <v>43151.99861</v>
      </c>
      <c r="B2784" s="1">
        <f>IFERROR(__xludf.DUMMYFUNCTION("""COMPUTED_VALUE"""),16785.05976)</f>
        <v>16785.05976</v>
      </c>
    </row>
    <row r="2785">
      <c r="A2785" s="3">
        <f>IFERROR(__xludf.DUMMYFUNCTION("""COMPUTED_VALUE"""),43152.99861111111)</f>
        <v>43152.99861</v>
      </c>
      <c r="B2785" s="1">
        <f>IFERROR(__xludf.DUMMYFUNCTION("""COMPUTED_VALUE"""),16717.16944)</f>
        <v>16717.16944</v>
      </c>
    </row>
    <row r="2786">
      <c r="A2786" s="3">
        <f>IFERROR(__xludf.DUMMYFUNCTION("""COMPUTED_VALUE"""),43153.99861111111)</f>
        <v>43153.99861</v>
      </c>
      <c r="B2786" s="1">
        <f>IFERROR(__xludf.DUMMYFUNCTION("""COMPUTED_VALUE"""),16856.90084)</f>
        <v>16856.90084</v>
      </c>
    </row>
    <row r="2787">
      <c r="A2787" s="3">
        <f>IFERROR(__xludf.DUMMYFUNCTION("""COMPUTED_VALUE"""),43154.99861111111)</f>
        <v>43154.99861</v>
      </c>
      <c r="B2787" s="1">
        <f>IFERROR(__xludf.DUMMYFUNCTION("""COMPUTED_VALUE"""),16782.4036)</f>
        <v>16782.4036</v>
      </c>
    </row>
    <row r="2788">
      <c r="A2788" s="3">
        <f>IFERROR(__xludf.DUMMYFUNCTION("""COMPUTED_VALUE"""),43155.99861111111)</f>
        <v>43155.99861</v>
      </c>
      <c r="B2788" s="1">
        <f>IFERROR(__xludf.DUMMYFUNCTION("""COMPUTED_VALUE"""),16782.4036)</f>
        <v>16782.4036</v>
      </c>
    </row>
    <row r="2789">
      <c r="A2789" s="3">
        <f>IFERROR(__xludf.DUMMYFUNCTION("""COMPUTED_VALUE"""),43156.99861111111)</f>
        <v>43156.99861</v>
      </c>
      <c r="B2789" s="1">
        <f>IFERROR(__xludf.DUMMYFUNCTION("""COMPUTED_VALUE"""),16784.83338)</f>
        <v>16784.83338</v>
      </c>
    </row>
    <row r="2790">
      <c r="A2790" s="3">
        <f>IFERROR(__xludf.DUMMYFUNCTION("""COMPUTED_VALUE"""),43157.99861111111)</f>
        <v>43157.99861</v>
      </c>
      <c r="B2790" s="1">
        <f>IFERROR(__xludf.DUMMYFUNCTION("""COMPUTED_VALUE"""),16811.2065)</f>
        <v>16811.2065</v>
      </c>
    </row>
    <row r="2791">
      <c r="A2791" s="3">
        <f>IFERROR(__xludf.DUMMYFUNCTION("""COMPUTED_VALUE"""),43158.99861111111)</f>
        <v>43158.99861</v>
      </c>
      <c r="B2791" s="1">
        <f>IFERROR(__xludf.DUMMYFUNCTION("""COMPUTED_VALUE"""),16747.21424)</f>
        <v>16747.21424</v>
      </c>
    </row>
    <row r="2792">
      <c r="A2792" s="3">
        <f>IFERROR(__xludf.DUMMYFUNCTION("""COMPUTED_VALUE"""),43159.99861111111)</f>
        <v>43159.99861</v>
      </c>
      <c r="B2792" s="1">
        <f>IFERROR(__xludf.DUMMYFUNCTION("""COMPUTED_VALUE"""),16768.564)</f>
        <v>16768.564</v>
      </c>
    </row>
    <row r="2793">
      <c r="A2793" s="3">
        <f>IFERROR(__xludf.DUMMYFUNCTION("""COMPUTED_VALUE"""),43160.99861111111)</f>
        <v>43160.99861</v>
      </c>
      <c r="B2793" s="1">
        <f>IFERROR(__xludf.DUMMYFUNCTION("""COMPUTED_VALUE"""),16859.38254)</f>
        <v>16859.38254</v>
      </c>
    </row>
    <row r="2794">
      <c r="A2794" s="3">
        <f>IFERROR(__xludf.DUMMYFUNCTION("""COMPUTED_VALUE"""),43161.99861111111)</f>
        <v>43161.99861</v>
      </c>
      <c r="B2794" s="1">
        <f>IFERROR(__xludf.DUMMYFUNCTION("""COMPUTED_VALUE"""),16937.1067)</f>
        <v>16937.1067</v>
      </c>
    </row>
    <row r="2795">
      <c r="A2795" s="3">
        <f>IFERROR(__xludf.DUMMYFUNCTION("""COMPUTED_VALUE"""),43162.99861111111)</f>
        <v>43162.99861</v>
      </c>
      <c r="B2795" s="1">
        <f>IFERROR(__xludf.DUMMYFUNCTION("""COMPUTED_VALUE"""),16937.1067)</f>
        <v>16937.1067</v>
      </c>
    </row>
    <row r="2796">
      <c r="A2796" s="3">
        <f>IFERROR(__xludf.DUMMYFUNCTION("""COMPUTED_VALUE"""),43163.99861111111)</f>
        <v>43163.99861</v>
      </c>
      <c r="B2796" s="1">
        <f>IFERROR(__xludf.DUMMYFUNCTION("""COMPUTED_VALUE"""),16933.94397)</f>
        <v>16933.94397</v>
      </c>
    </row>
    <row r="2797">
      <c r="A2797" s="3">
        <f>IFERROR(__xludf.DUMMYFUNCTION("""COMPUTED_VALUE"""),43164.99861111111)</f>
        <v>43164.99861</v>
      </c>
      <c r="B2797" s="1">
        <f>IFERROR(__xludf.DUMMYFUNCTION("""COMPUTED_VALUE"""),16944.86424)</f>
        <v>16944.86424</v>
      </c>
    </row>
    <row r="2798">
      <c r="A2798" s="3">
        <f>IFERROR(__xludf.DUMMYFUNCTION("""COMPUTED_VALUE"""),43165.99861111111)</f>
        <v>43165.99861</v>
      </c>
      <c r="B2798" s="1">
        <f>IFERROR(__xludf.DUMMYFUNCTION("""COMPUTED_VALUE"""),17083.03681)</f>
        <v>17083.03681</v>
      </c>
    </row>
    <row r="2799">
      <c r="A2799" s="3">
        <f>IFERROR(__xludf.DUMMYFUNCTION("""COMPUTED_VALUE"""),43166.99861111111)</f>
        <v>43166.99861</v>
      </c>
      <c r="B2799" s="1">
        <f>IFERROR(__xludf.DUMMYFUNCTION("""COMPUTED_VALUE"""),17058.9195)</f>
        <v>17058.9195</v>
      </c>
    </row>
    <row r="2800">
      <c r="A2800" s="3">
        <f>IFERROR(__xludf.DUMMYFUNCTION("""COMPUTED_VALUE"""),43167.99861111111)</f>
        <v>43167.99861</v>
      </c>
      <c r="B2800" s="1">
        <f>IFERROR(__xludf.DUMMYFUNCTION("""COMPUTED_VALUE"""),16963.673)</f>
        <v>16963.673</v>
      </c>
    </row>
    <row r="2801">
      <c r="A2801" s="3">
        <f>IFERROR(__xludf.DUMMYFUNCTION("""COMPUTED_VALUE"""),43168.99861111111)</f>
        <v>43168.99861</v>
      </c>
      <c r="B2801" s="1">
        <f>IFERROR(__xludf.DUMMYFUNCTION("""COMPUTED_VALUE"""),16945.362)</f>
        <v>16945.362</v>
      </c>
    </row>
    <row r="2802">
      <c r="A2802" s="3">
        <f>IFERROR(__xludf.DUMMYFUNCTION("""COMPUTED_VALUE"""),43169.99861111111)</f>
        <v>43169.99861</v>
      </c>
      <c r="B2802" s="1">
        <f>IFERROR(__xludf.DUMMYFUNCTION("""COMPUTED_VALUE"""),16977.99575)</f>
        <v>16977.99575</v>
      </c>
    </row>
    <row r="2803">
      <c r="A2803" s="3">
        <f>IFERROR(__xludf.DUMMYFUNCTION("""COMPUTED_VALUE"""),43170.99861111111)</f>
        <v>43170.99861</v>
      </c>
      <c r="B2803" s="1">
        <f>IFERROR(__xludf.DUMMYFUNCTION("""COMPUTED_VALUE"""),16949.2004)</f>
        <v>16949.2004</v>
      </c>
    </row>
    <row r="2804">
      <c r="A2804" s="3">
        <f>IFERROR(__xludf.DUMMYFUNCTION("""COMPUTED_VALUE"""),43171.99861111111)</f>
        <v>43171.99861</v>
      </c>
      <c r="B2804" s="1">
        <f>IFERROR(__xludf.DUMMYFUNCTION("""COMPUTED_VALUE"""),16972.43205)</f>
        <v>16972.43205</v>
      </c>
    </row>
    <row r="2805">
      <c r="A2805" s="3">
        <f>IFERROR(__xludf.DUMMYFUNCTION("""COMPUTED_VALUE"""),43172.99861111111)</f>
        <v>43172.99861</v>
      </c>
      <c r="B2805" s="1">
        <f>IFERROR(__xludf.DUMMYFUNCTION("""COMPUTED_VALUE"""),17026.4706)</f>
        <v>17026.4706</v>
      </c>
    </row>
    <row r="2806">
      <c r="A2806" s="3">
        <f>IFERROR(__xludf.DUMMYFUNCTION("""COMPUTED_VALUE"""),43173.99861111111)</f>
        <v>43173.99861</v>
      </c>
      <c r="B2806" s="1">
        <f>IFERROR(__xludf.DUMMYFUNCTION("""COMPUTED_VALUE"""),16984.6875)</f>
        <v>16984.6875</v>
      </c>
    </row>
    <row r="2807">
      <c r="A2807" s="3">
        <f>IFERROR(__xludf.DUMMYFUNCTION("""COMPUTED_VALUE"""),43174.99861111111)</f>
        <v>43174.99861</v>
      </c>
      <c r="B2807" s="1">
        <f>IFERROR(__xludf.DUMMYFUNCTION("""COMPUTED_VALUE"""),16929.219)</f>
        <v>16929.219</v>
      </c>
    </row>
    <row r="2808">
      <c r="A2808" s="3">
        <f>IFERROR(__xludf.DUMMYFUNCTION("""COMPUTED_VALUE"""),43175.99861111111)</f>
        <v>43175.99861</v>
      </c>
      <c r="B2808" s="1">
        <f>IFERROR(__xludf.DUMMYFUNCTION("""COMPUTED_VALUE"""),16898.248)</f>
        <v>16898.248</v>
      </c>
    </row>
    <row r="2809">
      <c r="A2809" s="3">
        <f>IFERROR(__xludf.DUMMYFUNCTION("""COMPUTED_VALUE"""),43176.99861111111)</f>
        <v>43176.99861</v>
      </c>
      <c r="B2809" s="1">
        <f>IFERROR(__xludf.DUMMYFUNCTION("""COMPUTED_VALUE"""),16916.08347)</f>
        <v>16916.08347</v>
      </c>
    </row>
    <row r="2810">
      <c r="A2810" s="3">
        <f>IFERROR(__xludf.DUMMYFUNCTION("""COMPUTED_VALUE"""),43177.99861111111)</f>
        <v>43177.99861</v>
      </c>
      <c r="B2810" s="1">
        <f>IFERROR(__xludf.DUMMYFUNCTION("""COMPUTED_VALUE"""),16882.81896)</f>
        <v>16882.81896</v>
      </c>
    </row>
    <row r="2811">
      <c r="A2811" s="3">
        <f>IFERROR(__xludf.DUMMYFUNCTION("""COMPUTED_VALUE"""),43178.99861111111)</f>
        <v>43178.99861</v>
      </c>
      <c r="B2811" s="1">
        <f>IFERROR(__xludf.DUMMYFUNCTION("""COMPUTED_VALUE"""),16988.59415)</f>
        <v>16988.59415</v>
      </c>
    </row>
    <row r="2812">
      <c r="A2812" s="3">
        <f>IFERROR(__xludf.DUMMYFUNCTION("""COMPUTED_VALUE"""),43179.99861111111)</f>
        <v>43179.99861</v>
      </c>
      <c r="B2812" s="1">
        <f>IFERROR(__xludf.DUMMYFUNCTION("""COMPUTED_VALUE"""),16831.73925)</f>
        <v>16831.73925</v>
      </c>
    </row>
    <row r="2813">
      <c r="A2813" s="3">
        <f>IFERROR(__xludf.DUMMYFUNCTION("""COMPUTED_VALUE"""),43180.99861111111)</f>
        <v>43180.99861</v>
      </c>
      <c r="B2813" s="1">
        <f>IFERROR(__xludf.DUMMYFUNCTION("""COMPUTED_VALUE"""),16921.5635)</f>
        <v>16921.5635</v>
      </c>
    </row>
    <row r="2814">
      <c r="A2814" s="3">
        <f>IFERROR(__xludf.DUMMYFUNCTION("""COMPUTED_VALUE"""),43181.99861111111)</f>
        <v>43181.99861</v>
      </c>
      <c r="B2814" s="1">
        <f>IFERROR(__xludf.DUMMYFUNCTION("""COMPUTED_VALUE"""),16949.87944)</f>
        <v>16949.87944</v>
      </c>
    </row>
    <row r="2815">
      <c r="A2815" s="3">
        <f>IFERROR(__xludf.DUMMYFUNCTION("""COMPUTED_VALUE"""),43182.99861111111)</f>
        <v>43182.99861</v>
      </c>
      <c r="B2815" s="1">
        <f>IFERROR(__xludf.DUMMYFUNCTION("""COMPUTED_VALUE"""),17022.8612)</f>
        <v>17022.8612</v>
      </c>
    </row>
    <row r="2816">
      <c r="A2816" s="3">
        <f>IFERROR(__xludf.DUMMYFUNCTION("""COMPUTED_VALUE"""),43183.99861111111)</f>
        <v>43183.99861</v>
      </c>
      <c r="B2816" s="1">
        <f>IFERROR(__xludf.DUMMYFUNCTION("""COMPUTED_VALUE"""),17022.8612)</f>
        <v>17022.8612</v>
      </c>
    </row>
    <row r="2817">
      <c r="A2817" s="3">
        <f>IFERROR(__xludf.DUMMYFUNCTION("""COMPUTED_VALUE"""),43184.99861111111)</f>
        <v>43184.99861</v>
      </c>
      <c r="B2817" s="1">
        <f>IFERROR(__xludf.DUMMYFUNCTION("""COMPUTED_VALUE"""),17001.16194)</f>
        <v>17001.16194</v>
      </c>
    </row>
    <row r="2818">
      <c r="A2818" s="3">
        <f>IFERROR(__xludf.DUMMYFUNCTION("""COMPUTED_VALUE"""),43185.99861111111)</f>
        <v>43185.99861</v>
      </c>
      <c r="B2818" s="1">
        <f>IFERROR(__xludf.DUMMYFUNCTION("""COMPUTED_VALUE"""),17088.23824)</f>
        <v>17088.23824</v>
      </c>
    </row>
    <row r="2819">
      <c r="A2819" s="3">
        <f>IFERROR(__xludf.DUMMYFUNCTION("""COMPUTED_VALUE"""),43186.99861111111)</f>
        <v>43186.99861</v>
      </c>
      <c r="B2819" s="1">
        <f>IFERROR(__xludf.DUMMYFUNCTION("""COMPUTED_VALUE"""),17047.218)</f>
        <v>17047.218</v>
      </c>
    </row>
    <row r="2820">
      <c r="A2820" s="3">
        <f>IFERROR(__xludf.DUMMYFUNCTION("""COMPUTED_VALUE"""),43187.99861111111)</f>
        <v>43187.99861</v>
      </c>
      <c r="B2820" s="1">
        <f>IFERROR(__xludf.DUMMYFUNCTION("""COMPUTED_VALUE"""),16933.49844)</f>
        <v>16933.49844</v>
      </c>
    </row>
    <row r="2821">
      <c r="A2821" s="3">
        <f>IFERROR(__xludf.DUMMYFUNCTION("""COMPUTED_VALUE"""),43188.99861111111)</f>
        <v>43188.99861</v>
      </c>
      <c r="B2821" s="1">
        <f>IFERROR(__xludf.DUMMYFUNCTION("""COMPUTED_VALUE"""),16923.58626)</f>
        <v>16923.58626</v>
      </c>
    </row>
    <row r="2822">
      <c r="A2822" s="3">
        <f>IFERROR(__xludf.DUMMYFUNCTION("""COMPUTED_VALUE"""),43189.99861111111)</f>
        <v>43189.99861</v>
      </c>
      <c r="B2822" s="1">
        <f>IFERROR(__xludf.DUMMYFUNCTION("""COMPUTED_VALUE"""),16935.1144)</f>
        <v>16935.1144</v>
      </c>
    </row>
    <row r="2823">
      <c r="A2823" s="3">
        <f>IFERROR(__xludf.DUMMYFUNCTION("""COMPUTED_VALUE"""),43190.99861111111)</f>
        <v>43190.99861</v>
      </c>
      <c r="B2823" s="1">
        <f>IFERROR(__xludf.DUMMYFUNCTION("""COMPUTED_VALUE"""),16949.9092)</f>
        <v>16949.9092</v>
      </c>
    </row>
    <row r="2824">
      <c r="A2824" s="3">
        <f>IFERROR(__xludf.DUMMYFUNCTION("""COMPUTED_VALUE"""),43191.99861111111)</f>
        <v>43191.99861</v>
      </c>
      <c r="B2824" s="1">
        <f>IFERROR(__xludf.DUMMYFUNCTION("""COMPUTED_VALUE"""),16953.2268)</f>
        <v>16953.2268</v>
      </c>
    </row>
    <row r="2825">
      <c r="A2825" s="3">
        <f>IFERROR(__xludf.DUMMYFUNCTION("""COMPUTED_VALUE"""),43192.99861111111)</f>
        <v>43192.99861</v>
      </c>
      <c r="B2825" s="1">
        <f>IFERROR(__xludf.DUMMYFUNCTION("""COMPUTED_VALUE"""),16899.0416)</f>
        <v>16899.0416</v>
      </c>
    </row>
    <row r="2826">
      <c r="A2826" s="3">
        <f>IFERROR(__xludf.DUMMYFUNCTION("""COMPUTED_VALUE"""),43193.99861111111)</f>
        <v>43193.99861</v>
      </c>
      <c r="B2826" s="1">
        <f>IFERROR(__xludf.DUMMYFUNCTION("""COMPUTED_VALUE"""),16870.78757)</f>
        <v>16870.78757</v>
      </c>
    </row>
    <row r="2827">
      <c r="A2827" s="3">
        <f>IFERROR(__xludf.DUMMYFUNCTION("""COMPUTED_VALUE"""),43194.99861111111)</f>
        <v>43194.99861</v>
      </c>
      <c r="B2827" s="1">
        <f>IFERROR(__xludf.DUMMYFUNCTION("""COMPUTED_VALUE"""),16894.4786)</f>
        <v>16894.4786</v>
      </c>
    </row>
    <row r="2828">
      <c r="A2828" s="3">
        <f>IFERROR(__xludf.DUMMYFUNCTION("""COMPUTED_VALUE"""),43195.99861111111)</f>
        <v>43195.99861</v>
      </c>
      <c r="B2828" s="1">
        <f>IFERROR(__xludf.DUMMYFUNCTION("""COMPUTED_VALUE"""),16857.2384)</f>
        <v>16857.2384</v>
      </c>
    </row>
    <row r="2829">
      <c r="A2829" s="3">
        <f>IFERROR(__xludf.DUMMYFUNCTION("""COMPUTED_VALUE"""),43196.99861111111)</f>
        <v>43196.99861</v>
      </c>
      <c r="B2829" s="1">
        <f>IFERROR(__xludf.DUMMYFUNCTION("""COMPUTED_VALUE"""),16924.3611)</f>
        <v>16924.3611</v>
      </c>
    </row>
    <row r="2830">
      <c r="A2830" s="3">
        <f>IFERROR(__xludf.DUMMYFUNCTION("""COMPUTED_VALUE"""),43197.99861111111)</f>
        <v>43197.99861</v>
      </c>
      <c r="B2830" s="1">
        <f>IFERROR(__xludf.DUMMYFUNCTION("""COMPUTED_VALUE"""),16924.3611)</f>
        <v>16924.3611</v>
      </c>
    </row>
    <row r="2831">
      <c r="A2831" s="3">
        <f>IFERROR(__xludf.DUMMYFUNCTION("""COMPUTED_VALUE"""),43198.99861111111)</f>
        <v>43198.99861</v>
      </c>
      <c r="B2831" s="1">
        <f>IFERROR(__xludf.DUMMYFUNCTION("""COMPUTED_VALUE"""),16888.30204)</f>
        <v>16888.30204</v>
      </c>
    </row>
    <row r="2832">
      <c r="A2832" s="3">
        <f>IFERROR(__xludf.DUMMYFUNCTION("""COMPUTED_VALUE"""),43199.99861111111)</f>
        <v>43199.99861</v>
      </c>
      <c r="B2832" s="1">
        <f>IFERROR(__xludf.DUMMYFUNCTION("""COMPUTED_VALUE"""),16964.51656)</f>
        <v>16964.51656</v>
      </c>
    </row>
    <row r="2833">
      <c r="A2833" s="3">
        <f>IFERROR(__xludf.DUMMYFUNCTION("""COMPUTED_VALUE"""),43200.99861111111)</f>
        <v>43200.99861</v>
      </c>
      <c r="B2833" s="1">
        <f>IFERROR(__xludf.DUMMYFUNCTION("""COMPUTED_VALUE"""),16988.5337)</f>
        <v>16988.5337</v>
      </c>
    </row>
    <row r="2834">
      <c r="A2834" s="3">
        <f>IFERROR(__xludf.DUMMYFUNCTION("""COMPUTED_VALUE"""),43201.99861111111)</f>
        <v>43201.99861</v>
      </c>
      <c r="B2834" s="1">
        <f>IFERROR(__xludf.DUMMYFUNCTION("""COMPUTED_VALUE"""),17014.86745)</f>
        <v>17014.86745</v>
      </c>
    </row>
    <row r="2835">
      <c r="A2835" s="3">
        <f>IFERROR(__xludf.DUMMYFUNCTION("""COMPUTED_VALUE"""),43202.99861111111)</f>
        <v>43202.99861</v>
      </c>
      <c r="B2835" s="1">
        <f>IFERROR(__xludf.DUMMYFUNCTION("""COMPUTED_VALUE"""),16973.74731)</f>
        <v>16973.74731</v>
      </c>
    </row>
    <row r="2836">
      <c r="A2836" s="3">
        <f>IFERROR(__xludf.DUMMYFUNCTION("""COMPUTED_VALUE"""),43203.99861111111)</f>
        <v>43203.99861</v>
      </c>
      <c r="B2836" s="1">
        <f>IFERROR(__xludf.DUMMYFUNCTION("""COMPUTED_VALUE"""),16999.2074)</f>
        <v>16999.2074</v>
      </c>
    </row>
    <row r="2837">
      <c r="A2837" s="3">
        <f>IFERROR(__xludf.DUMMYFUNCTION("""COMPUTED_VALUE"""),43204.99861111111)</f>
        <v>43204.99861</v>
      </c>
      <c r="B2837" s="1">
        <f>IFERROR(__xludf.DUMMYFUNCTION("""COMPUTED_VALUE"""),16962.94868)</f>
        <v>16962.94868</v>
      </c>
    </row>
    <row r="2838">
      <c r="A2838" s="3">
        <f>IFERROR(__xludf.DUMMYFUNCTION("""COMPUTED_VALUE"""),43205.99861111111)</f>
        <v>43205.99861</v>
      </c>
      <c r="B2838" s="1">
        <f>IFERROR(__xludf.DUMMYFUNCTION("""COMPUTED_VALUE"""),16934.71162)</f>
        <v>16934.71162</v>
      </c>
    </row>
    <row r="2839">
      <c r="A2839" s="3">
        <f>IFERROR(__xludf.DUMMYFUNCTION("""COMPUTED_VALUE"""),43206.99861111111)</f>
        <v>43206.99861</v>
      </c>
      <c r="B2839" s="1">
        <f>IFERROR(__xludf.DUMMYFUNCTION("""COMPUTED_VALUE"""),17048.36504)</f>
        <v>17048.36504</v>
      </c>
    </row>
    <row r="2840">
      <c r="A2840" s="3">
        <f>IFERROR(__xludf.DUMMYFUNCTION("""COMPUTED_VALUE"""),43207.99861111111)</f>
        <v>43207.99861</v>
      </c>
      <c r="B2840" s="1">
        <f>IFERROR(__xludf.DUMMYFUNCTION("""COMPUTED_VALUE"""),17021.12339)</f>
        <v>17021.12339</v>
      </c>
    </row>
    <row r="2841">
      <c r="A2841" s="3">
        <f>IFERROR(__xludf.DUMMYFUNCTION("""COMPUTED_VALUE"""),43208.99861111111)</f>
        <v>43208.99861</v>
      </c>
      <c r="B2841" s="1">
        <f>IFERROR(__xludf.DUMMYFUNCTION("""COMPUTED_VALUE"""),17043.2682)</f>
        <v>17043.2682</v>
      </c>
    </row>
    <row r="2842">
      <c r="A2842" s="3">
        <f>IFERROR(__xludf.DUMMYFUNCTION("""COMPUTED_VALUE"""),43209.99861111111)</f>
        <v>43209.99861</v>
      </c>
      <c r="B2842" s="1">
        <f>IFERROR(__xludf.DUMMYFUNCTION("""COMPUTED_VALUE"""),17034.72)</f>
        <v>17034.72</v>
      </c>
    </row>
    <row r="2843">
      <c r="A2843" s="3">
        <f>IFERROR(__xludf.DUMMYFUNCTION("""COMPUTED_VALUE"""),43210.99861111111)</f>
        <v>43210.99861</v>
      </c>
      <c r="B2843" s="1">
        <f>IFERROR(__xludf.DUMMYFUNCTION("""COMPUTED_VALUE"""),17042.1173)</f>
        <v>17042.1173</v>
      </c>
    </row>
    <row r="2844">
      <c r="A2844" s="3">
        <f>IFERROR(__xludf.DUMMYFUNCTION("""COMPUTED_VALUE"""),43211.99861111111)</f>
        <v>43211.99861</v>
      </c>
      <c r="B2844" s="1">
        <f>IFERROR(__xludf.DUMMYFUNCTION("""COMPUTED_VALUE"""),17055.46412)</f>
        <v>17055.46412</v>
      </c>
    </row>
    <row r="2845">
      <c r="A2845" s="3">
        <f>IFERROR(__xludf.DUMMYFUNCTION("""COMPUTED_VALUE"""),43212.99861111111)</f>
        <v>43212.99861</v>
      </c>
      <c r="B2845" s="1">
        <f>IFERROR(__xludf.DUMMYFUNCTION("""COMPUTED_VALUE"""),17056.8528)</f>
        <v>17056.8528</v>
      </c>
    </row>
    <row r="2846">
      <c r="A2846" s="3">
        <f>IFERROR(__xludf.DUMMYFUNCTION("""COMPUTED_VALUE"""),43213.99861111111)</f>
        <v>43213.99861</v>
      </c>
      <c r="B2846" s="1">
        <f>IFERROR(__xludf.DUMMYFUNCTION("""COMPUTED_VALUE"""),17044.00763)</f>
        <v>17044.00763</v>
      </c>
    </row>
    <row r="2847">
      <c r="A2847" s="3">
        <f>IFERROR(__xludf.DUMMYFUNCTION("""COMPUTED_VALUE"""),43214.99861111111)</f>
        <v>43214.99861</v>
      </c>
      <c r="B2847" s="1">
        <f>IFERROR(__xludf.DUMMYFUNCTION("""COMPUTED_VALUE"""),16976.5536)</f>
        <v>16976.5536</v>
      </c>
    </row>
    <row r="2848">
      <c r="A2848" s="3">
        <f>IFERROR(__xludf.DUMMYFUNCTION("""COMPUTED_VALUE"""),43215.99861111111)</f>
        <v>43215.99861</v>
      </c>
      <c r="B2848" s="1">
        <f>IFERROR(__xludf.DUMMYFUNCTION("""COMPUTED_VALUE"""),16942.2068)</f>
        <v>16942.2068</v>
      </c>
    </row>
    <row r="2849">
      <c r="A2849" s="3">
        <f>IFERROR(__xludf.DUMMYFUNCTION("""COMPUTED_VALUE"""),43216.99861111111)</f>
        <v>43216.99861</v>
      </c>
      <c r="B2849" s="1">
        <f>IFERROR(__xludf.DUMMYFUNCTION("""COMPUTED_VALUE"""),16805.94231)</f>
        <v>16805.94231</v>
      </c>
    </row>
    <row r="2850">
      <c r="A2850" s="3">
        <f>IFERROR(__xludf.DUMMYFUNCTION("""COMPUTED_VALUE"""),43217.99861111111)</f>
        <v>43217.99861</v>
      </c>
      <c r="B2850" s="1">
        <f>IFERROR(__xludf.DUMMYFUNCTION("""COMPUTED_VALUE"""),16807.6348)</f>
        <v>16807.6348</v>
      </c>
    </row>
    <row r="2851">
      <c r="A2851" s="3">
        <f>IFERROR(__xludf.DUMMYFUNCTION("""COMPUTED_VALUE"""),43218.99861111111)</f>
        <v>43218.99861</v>
      </c>
      <c r="B2851" s="1">
        <f>IFERROR(__xludf.DUMMYFUNCTION("""COMPUTED_VALUE"""),16826.91851)</f>
        <v>16826.91851</v>
      </c>
    </row>
    <row r="2852">
      <c r="A2852" s="3">
        <f>IFERROR(__xludf.DUMMYFUNCTION("""COMPUTED_VALUE"""),43219.99861111111)</f>
        <v>43219.99861</v>
      </c>
      <c r="B2852" s="1">
        <f>IFERROR(__xludf.DUMMYFUNCTION("""COMPUTED_VALUE"""),16811.827)</f>
        <v>16811.827</v>
      </c>
    </row>
    <row r="2853">
      <c r="A2853" s="3">
        <f>IFERROR(__xludf.DUMMYFUNCTION("""COMPUTED_VALUE"""),43220.99861111111)</f>
        <v>43220.99861</v>
      </c>
      <c r="B2853" s="1">
        <f>IFERROR(__xludf.DUMMYFUNCTION("""COMPUTED_VALUE"""),16791.0179)</f>
        <v>16791.0179</v>
      </c>
    </row>
    <row r="2854">
      <c r="A2854" s="3">
        <f>IFERROR(__xludf.DUMMYFUNCTION("""COMPUTED_VALUE"""),43221.99861111111)</f>
        <v>43221.99861</v>
      </c>
      <c r="B2854" s="1">
        <f>IFERROR(__xludf.DUMMYFUNCTION("""COMPUTED_VALUE"""),16766.45557)</f>
        <v>16766.45557</v>
      </c>
    </row>
    <row r="2855">
      <c r="A2855" s="3">
        <f>IFERROR(__xludf.DUMMYFUNCTION("""COMPUTED_VALUE"""),43222.99861111111)</f>
        <v>43222.99861</v>
      </c>
      <c r="B2855" s="1">
        <f>IFERROR(__xludf.DUMMYFUNCTION("""COMPUTED_VALUE"""),16733.16856)</f>
        <v>16733.16856</v>
      </c>
    </row>
    <row r="2856">
      <c r="A2856" s="3">
        <f>IFERROR(__xludf.DUMMYFUNCTION("""COMPUTED_VALUE"""),43223.99861111111)</f>
        <v>43223.99861</v>
      </c>
      <c r="B2856" s="1">
        <f>IFERROR(__xludf.DUMMYFUNCTION("""COMPUTED_VALUE"""),16701.31866)</f>
        <v>16701.31866</v>
      </c>
    </row>
    <row r="2857">
      <c r="A2857" s="3">
        <f>IFERROR(__xludf.DUMMYFUNCTION("""COMPUTED_VALUE"""),43224.99861111111)</f>
        <v>43224.99861</v>
      </c>
      <c r="B2857" s="1">
        <f>IFERROR(__xludf.DUMMYFUNCTION("""COMPUTED_VALUE"""),16681.72968)</f>
        <v>16681.72968</v>
      </c>
    </row>
    <row r="2858">
      <c r="A2858" s="3">
        <f>IFERROR(__xludf.DUMMYFUNCTION("""COMPUTED_VALUE"""),43225.99861111111)</f>
        <v>43225.99861</v>
      </c>
      <c r="B2858" s="1">
        <f>IFERROR(__xludf.DUMMYFUNCTION("""COMPUTED_VALUE"""),16683.91966)</f>
        <v>16683.91966</v>
      </c>
    </row>
    <row r="2859">
      <c r="A2859" s="3">
        <f>IFERROR(__xludf.DUMMYFUNCTION("""COMPUTED_VALUE"""),43226.99861111111)</f>
        <v>43226.99861</v>
      </c>
      <c r="B2859" s="1">
        <f>IFERROR(__xludf.DUMMYFUNCTION("""COMPUTED_VALUE"""),16655.92619)</f>
        <v>16655.92619</v>
      </c>
    </row>
    <row r="2860">
      <c r="A2860" s="3">
        <f>IFERROR(__xludf.DUMMYFUNCTION("""COMPUTED_VALUE"""),43227.99861111111)</f>
        <v>43227.99861</v>
      </c>
      <c r="B2860" s="1">
        <f>IFERROR(__xludf.DUMMYFUNCTION("""COMPUTED_VALUE"""),17026.60105)</f>
        <v>17026.60105</v>
      </c>
    </row>
    <row r="2861">
      <c r="A2861" s="3">
        <f>IFERROR(__xludf.DUMMYFUNCTION("""COMPUTED_VALUE"""),43228.99861111111)</f>
        <v>43228.99861</v>
      </c>
      <c r="B2861" s="1">
        <f>IFERROR(__xludf.DUMMYFUNCTION("""COMPUTED_VALUE"""),16928.63388)</f>
        <v>16928.63388</v>
      </c>
    </row>
    <row r="2862">
      <c r="A2862" s="3">
        <f>IFERROR(__xludf.DUMMYFUNCTION("""COMPUTED_VALUE"""),43229.99861111111)</f>
        <v>43229.99861</v>
      </c>
      <c r="B2862" s="1">
        <f>IFERROR(__xludf.DUMMYFUNCTION("""COMPUTED_VALUE"""),16671.57945)</f>
        <v>16671.57945</v>
      </c>
    </row>
    <row r="2863">
      <c r="A2863" s="3">
        <f>IFERROR(__xludf.DUMMYFUNCTION("""COMPUTED_VALUE"""),43230.99861111111)</f>
        <v>43230.99861</v>
      </c>
      <c r="B2863" s="1">
        <f>IFERROR(__xludf.DUMMYFUNCTION("""COMPUTED_VALUE"""),16763.7576)</f>
        <v>16763.7576</v>
      </c>
    </row>
    <row r="2864">
      <c r="A2864" s="3">
        <f>IFERROR(__xludf.DUMMYFUNCTION("""COMPUTED_VALUE"""),43231.99861111111)</f>
        <v>43231.99861</v>
      </c>
      <c r="B2864" s="1">
        <f>IFERROR(__xludf.DUMMYFUNCTION("""COMPUTED_VALUE"""),16670.846)</f>
        <v>16670.846</v>
      </c>
    </row>
    <row r="2865">
      <c r="A2865" s="3">
        <f>IFERROR(__xludf.DUMMYFUNCTION("""COMPUTED_VALUE"""),43232.99861111111)</f>
        <v>43232.99861</v>
      </c>
      <c r="B2865" s="1">
        <f>IFERROR(__xludf.DUMMYFUNCTION("""COMPUTED_VALUE"""),16674.4337)</f>
        <v>16674.4337</v>
      </c>
    </row>
    <row r="2866">
      <c r="A2866" s="3">
        <f>IFERROR(__xludf.DUMMYFUNCTION("""COMPUTED_VALUE"""),43233.99861111111)</f>
        <v>43233.99861</v>
      </c>
      <c r="B2866" s="1">
        <f>IFERROR(__xludf.DUMMYFUNCTION("""COMPUTED_VALUE"""),16664.11588)</f>
        <v>16664.11588</v>
      </c>
    </row>
    <row r="2867">
      <c r="A2867" s="3">
        <f>IFERROR(__xludf.DUMMYFUNCTION("""COMPUTED_VALUE"""),43234.99861111111)</f>
        <v>43234.99861</v>
      </c>
      <c r="B2867" s="1">
        <f>IFERROR(__xludf.DUMMYFUNCTION("""COMPUTED_VALUE"""),16658.55715)</f>
        <v>16658.55715</v>
      </c>
    </row>
    <row r="2868">
      <c r="A2868" s="3">
        <f>IFERROR(__xludf.DUMMYFUNCTION("""COMPUTED_VALUE"""),43235.99861111111)</f>
        <v>43235.99861</v>
      </c>
      <c r="B2868" s="1">
        <f>IFERROR(__xludf.DUMMYFUNCTION("""COMPUTED_VALUE"""),16584.1615)</f>
        <v>16584.1615</v>
      </c>
    </row>
    <row r="2869">
      <c r="A2869" s="3">
        <f>IFERROR(__xludf.DUMMYFUNCTION("""COMPUTED_VALUE"""),43236.99861111111)</f>
        <v>43236.99861</v>
      </c>
      <c r="B2869" s="1">
        <f>IFERROR(__xludf.DUMMYFUNCTION("""COMPUTED_VALUE"""),16716.71383)</f>
        <v>16716.71383</v>
      </c>
    </row>
    <row r="2870">
      <c r="A2870" s="3">
        <f>IFERROR(__xludf.DUMMYFUNCTION("""COMPUTED_VALUE"""),43237.99861111111)</f>
        <v>43237.99861</v>
      </c>
      <c r="B2870" s="1">
        <f>IFERROR(__xludf.DUMMYFUNCTION("""COMPUTED_VALUE"""),16688.39185)</f>
        <v>16688.39185</v>
      </c>
    </row>
    <row r="2871">
      <c r="A2871" s="3">
        <f>IFERROR(__xludf.DUMMYFUNCTION("""COMPUTED_VALUE"""),43238.99861111111)</f>
        <v>43238.99861</v>
      </c>
      <c r="B2871" s="1">
        <f>IFERROR(__xludf.DUMMYFUNCTION("""COMPUTED_VALUE"""),16662.5726)</f>
        <v>16662.5726</v>
      </c>
    </row>
    <row r="2872">
      <c r="A2872" s="3">
        <f>IFERROR(__xludf.DUMMYFUNCTION("""COMPUTED_VALUE"""),43239.99861111111)</f>
        <v>43239.99861</v>
      </c>
      <c r="B2872" s="1">
        <f>IFERROR(__xludf.DUMMYFUNCTION("""COMPUTED_VALUE"""),16662.5726)</f>
        <v>16662.5726</v>
      </c>
    </row>
    <row r="2873">
      <c r="A2873" s="3">
        <f>IFERROR(__xludf.DUMMYFUNCTION("""COMPUTED_VALUE"""),43240.99861111111)</f>
        <v>43240.99861</v>
      </c>
      <c r="B2873" s="1">
        <f>IFERROR(__xludf.DUMMYFUNCTION("""COMPUTED_VALUE"""),16662.7695)</f>
        <v>16662.7695</v>
      </c>
    </row>
    <row r="2874">
      <c r="A2874" s="3">
        <f>IFERROR(__xludf.DUMMYFUNCTION("""COMPUTED_VALUE"""),43241.99861111111)</f>
        <v>43241.99861</v>
      </c>
      <c r="B2874" s="1">
        <f>IFERROR(__xludf.DUMMYFUNCTION("""COMPUTED_VALUE"""),16764.9534)</f>
        <v>16764.9534</v>
      </c>
    </row>
    <row r="2875">
      <c r="A2875" s="3">
        <f>IFERROR(__xludf.DUMMYFUNCTION("""COMPUTED_VALUE"""),43242.99861111111)</f>
        <v>43242.99861</v>
      </c>
      <c r="B2875" s="1">
        <f>IFERROR(__xludf.DUMMYFUNCTION("""COMPUTED_VALUE"""),16739.61902)</f>
        <v>16739.61902</v>
      </c>
    </row>
    <row r="2876">
      <c r="A2876" s="3">
        <f>IFERROR(__xludf.DUMMYFUNCTION("""COMPUTED_VALUE"""),43243.99861111111)</f>
        <v>43243.99861</v>
      </c>
      <c r="B2876" s="1">
        <f>IFERROR(__xludf.DUMMYFUNCTION("""COMPUTED_VALUE"""),16591.33224)</f>
        <v>16591.33224</v>
      </c>
    </row>
    <row r="2877">
      <c r="A2877" s="3">
        <f>IFERROR(__xludf.DUMMYFUNCTION("""COMPUTED_VALUE"""),43244.99861111111)</f>
        <v>43244.99861</v>
      </c>
      <c r="B2877" s="1">
        <f>IFERROR(__xludf.DUMMYFUNCTION("""COMPUTED_VALUE"""),16556.29404)</f>
        <v>16556.29404</v>
      </c>
    </row>
    <row r="2878">
      <c r="A2878" s="3">
        <f>IFERROR(__xludf.DUMMYFUNCTION("""COMPUTED_VALUE"""),43245.99861111111)</f>
        <v>43245.99861</v>
      </c>
      <c r="B2878" s="1">
        <f>IFERROR(__xludf.DUMMYFUNCTION("""COMPUTED_VALUE"""),16445.205)</f>
        <v>16445.205</v>
      </c>
    </row>
    <row r="2879">
      <c r="A2879" s="3">
        <f>IFERROR(__xludf.DUMMYFUNCTION("""COMPUTED_VALUE"""),43246.99861111111)</f>
        <v>43246.99861</v>
      </c>
      <c r="B2879" s="1">
        <f>IFERROR(__xludf.DUMMYFUNCTION("""COMPUTED_VALUE"""),16370.613)</f>
        <v>16370.613</v>
      </c>
    </row>
    <row r="2880">
      <c r="A2880" s="3">
        <f>IFERROR(__xludf.DUMMYFUNCTION("""COMPUTED_VALUE"""),43247.99861111111)</f>
        <v>43247.99861</v>
      </c>
      <c r="B2880" s="1">
        <f>IFERROR(__xludf.DUMMYFUNCTION("""COMPUTED_VALUE"""),16454.64796)</f>
        <v>16454.64796</v>
      </c>
    </row>
    <row r="2881">
      <c r="A2881" s="3">
        <f>IFERROR(__xludf.DUMMYFUNCTION("""COMPUTED_VALUE"""),43248.99861111111)</f>
        <v>43248.99861</v>
      </c>
      <c r="B2881" s="1">
        <f>IFERROR(__xludf.DUMMYFUNCTION("""COMPUTED_VALUE"""),16288.026)</f>
        <v>16288.026</v>
      </c>
    </row>
    <row r="2882">
      <c r="A2882" s="3">
        <f>IFERROR(__xludf.DUMMYFUNCTION("""COMPUTED_VALUE"""),43249.99861111111)</f>
        <v>43249.99861</v>
      </c>
      <c r="B2882" s="1">
        <f>IFERROR(__xludf.DUMMYFUNCTION("""COMPUTED_VALUE"""),16184.41556)</f>
        <v>16184.41556</v>
      </c>
    </row>
    <row r="2883">
      <c r="A2883" s="3">
        <f>IFERROR(__xludf.DUMMYFUNCTION("""COMPUTED_VALUE"""),43250.99861111111)</f>
        <v>43250.99861</v>
      </c>
      <c r="B2883" s="1">
        <f>IFERROR(__xludf.DUMMYFUNCTION("""COMPUTED_VALUE"""),16301.3751)</f>
        <v>16301.3751</v>
      </c>
    </row>
    <row r="2884">
      <c r="A2884" s="3">
        <f>IFERROR(__xludf.DUMMYFUNCTION("""COMPUTED_VALUE"""),43251.99861111111)</f>
        <v>43251.99861</v>
      </c>
      <c r="B2884" s="1">
        <f>IFERROR(__xludf.DUMMYFUNCTION("""COMPUTED_VALUE"""),16229.4676)</f>
        <v>16229.4676</v>
      </c>
    </row>
    <row r="2885">
      <c r="A2885" s="3">
        <f>IFERROR(__xludf.DUMMYFUNCTION("""COMPUTED_VALUE"""),43252.99861111111)</f>
        <v>43252.99861</v>
      </c>
      <c r="B2885" s="1">
        <f>IFERROR(__xludf.DUMMYFUNCTION("""COMPUTED_VALUE"""),16127.5096)</f>
        <v>16127.5096</v>
      </c>
    </row>
    <row r="2886">
      <c r="A2886" s="3">
        <f>IFERROR(__xludf.DUMMYFUNCTION("""COMPUTED_VALUE"""),43253.99861111111)</f>
        <v>43253.99861</v>
      </c>
      <c r="B2886" s="1">
        <f>IFERROR(__xludf.DUMMYFUNCTION("""COMPUTED_VALUE"""),16142.53486)</f>
        <v>16142.53486</v>
      </c>
    </row>
    <row r="2887">
      <c r="A2887" s="3">
        <f>IFERROR(__xludf.DUMMYFUNCTION("""COMPUTED_VALUE"""),43254.99861111111)</f>
        <v>43254.99861</v>
      </c>
      <c r="B2887" s="1">
        <f>IFERROR(__xludf.DUMMYFUNCTION("""COMPUTED_VALUE"""),16261.4646)</f>
        <v>16261.4646</v>
      </c>
    </row>
    <row r="2888">
      <c r="A2888" s="3">
        <f>IFERROR(__xludf.DUMMYFUNCTION("""COMPUTED_VALUE"""),43255.99861111111)</f>
        <v>43255.99861</v>
      </c>
      <c r="B2888" s="1">
        <f>IFERROR(__xludf.DUMMYFUNCTION("""COMPUTED_VALUE"""),16216.2)</f>
        <v>16216.2</v>
      </c>
    </row>
    <row r="2889">
      <c r="A2889" s="3">
        <f>IFERROR(__xludf.DUMMYFUNCTION("""COMPUTED_VALUE"""),43256.99861111111)</f>
        <v>43256.99861</v>
      </c>
      <c r="B2889" s="1">
        <f>IFERROR(__xludf.DUMMYFUNCTION("""COMPUTED_VALUE"""),16261.188)</f>
        <v>16261.188</v>
      </c>
    </row>
    <row r="2890">
      <c r="A2890" s="3">
        <f>IFERROR(__xludf.DUMMYFUNCTION("""COMPUTED_VALUE"""),43257.99861111111)</f>
        <v>43257.99861</v>
      </c>
      <c r="B2890" s="1">
        <f>IFERROR(__xludf.DUMMYFUNCTION("""COMPUTED_VALUE"""),16285.21862)</f>
        <v>16285.21862</v>
      </c>
    </row>
    <row r="2891">
      <c r="A2891" s="3">
        <f>IFERROR(__xludf.DUMMYFUNCTION("""COMPUTED_VALUE"""),43258.99861111111)</f>
        <v>43258.99861</v>
      </c>
      <c r="B2891" s="1">
        <f>IFERROR(__xludf.DUMMYFUNCTION("""COMPUTED_VALUE"""),16347.2496)</f>
        <v>16347.2496</v>
      </c>
    </row>
    <row r="2892">
      <c r="A2892" s="3">
        <f>IFERROR(__xludf.DUMMYFUNCTION("""COMPUTED_VALUE"""),43259.99861111111)</f>
        <v>43259.99861</v>
      </c>
      <c r="B2892" s="1">
        <f>IFERROR(__xludf.DUMMYFUNCTION("""COMPUTED_VALUE"""),16413.074)</f>
        <v>16413.074</v>
      </c>
    </row>
    <row r="2893">
      <c r="A2893" s="3">
        <f>IFERROR(__xludf.DUMMYFUNCTION("""COMPUTED_VALUE"""),43260.99861111111)</f>
        <v>43260.99861</v>
      </c>
      <c r="B2893" s="1">
        <f>IFERROR(__xludf.DUMMYFUNCTION("""COMPUTED_VALUE"""),16433.7501)</f>
        <v>16433.7501</v>
      </c>
    </row>
    <row r="2894">
      <c r="A2894" s="3">
        <f>IFERROR(__xludf.DUMMYFUNCTION("""COMPUTED_VALUE"""),43261.99861111111)</f>
        <v>43261.99861</v>
      </c>
      <c r="B2894" s="1">
        <f>IFERROR(__xludf.DUMMYFUNCTION("""COMPUTED_VALUE"""),16338.72378)</f>
        <v>16338.72378</v>
      </c>
    </row>
    <row r="2895">
      <c r="A2895" s="3">
        <f>IFERROR(__xludf.DUMMYFUNCTION("""COMPUTED_VALUE"""),43262.99861111111)</f>
        <v>43262.99861</v>
      </c>
      <c r="B2895" s="1">
        <f>IFERROR(__xludf.DUMMYFUNCTION("""COMPUTED_VALUE"""),16392.24405)</f>
        <v>16392.24405</v>
      </c>
    </row>
    <row r="2896">
      <c r="A2896" s="3">
        <f>IFERROR(__xludf.DUMMYFUNCTION("""COMPUTED_VALUE"""),43263.99861111111)</f>
        <v>43263.99861</v>
      </c>
      <c r="B2896" s="1">
        <f>IFERROR(__xludf.DUMMYFUNCTION("""COMPUTED_VALUE"""),16355.62656)</f>
        <v>16355.62656</v>
      </c>
    </row>
    <row r="2897">
      <c r="A2897" s="3">
        <f>IFERROR(__xludf.DUMMYFUNCTION("""COMPUTED_VALUE"""),43264.99861111111)</f>
        <v>43264.99861</v>
      </c>
      <c r="B2897" s="1">
        <f>IFERROR(__xludf.DUMMYFUNCTION("""COMPUTED_VALUE"""),16434.7092)</f>
        <v>16434.7092</v>
      </c>
    </row>
    <row r="2898">
      <c r="A2898" s="3">
        <f>IFERROR(__xludf.DUMMYFUNCTION("""COMPUTED_VALUE"""),43265.99861111111)</f>
        <v>43265.99861</v>
      </c>
      <c r="B2898" s="1">
        <f>IFERROR(__xludf.DUMMYFUNCTION("""COMPUTED_VALUE"""),16332.67002)</f>
        <v>16332.67002</v>
      </c>
    </row>
    <row r="2899">
      <c r="A2899" s="3">
        <f>IFERROR(__xludf.DUMMYFUNCTION("""COMPUTED_VALUE"""),43266.99861111111)</f>
        <v>43266.99861</v>
      </c>
      <c r="B2899" s="1">
        <f>IFERROR(__xludf.DUMMYFUNCTION("""COMPUTED_VALUE"""),16349.1076)</f>
        <v>16349.1076</v>
      </c>
    </row>
    <row r="2900">
      <c r="A2900" s="3">
        <f>IFERROR(__xludf.DUMMYFUNCTION("""COMPUTED_VALUE"""),43267.99861111111)</f>
        <v>43267.99861</v>
      </c>
      <c r="B2900" s="1">
        <f>IFERROR(__xludf.DUMMYFUNCTION("""COMPUTED_VALUE"""),16165.55649)</f>
        <v>16165.55649</v>
      </c>
    </row>
    <row r="2901">
      <c r="A2901" s="3">
        <f>IFERROR(__xludf.DUMMYFUNCTION("""COMPUTED_VALUE"""),43268.99861111111)</f>
        <v>43268.99861</v>
      </c>
      <c r="B2901" s="1">
        <f>IFERROR(__xludf.DUMMYFUNCTION("""COMPUTED_VALUE"""),16141.07313)</f>
        <v>16141.07313</v>
      </c>
    </row>
    <row r="2902">
      <c r="A2902" s="3">
        <f>IFERROR(__xludf.DUMMYFUNCTION("""COMPUTED_VALUE"""),43269.99861111111)</f>
        <v>43269.99861</v>
      </c>
      <c r="B2902" s="1">
        <f>IFERROR(__xludf.DUMMYFUNCTION("""COMPUTED_VALUE"""),16192.03131)</f>
        <v>16192.03131</v>
      </c>
    </row>
    <row r="2903">
      <c r="A2903" s="3">
        <f>IFERROR(__xludf.DUMMYFUNCTION("""COMPUTED_VALUE"""),43270.99861111111)</f>
        <v>43270.99861</v>
      </c>
      <c r="B2903" s="1">
        <f>IFERROR(__xludf.DUMMYFUNCTION("""COMPUTED_VALUE"""),16133.9724)</f>
        <v>16133.9724</v>
      </c>
    </row>
    <row r="2904">
      <c r="A2904" s="3">
        <f>IFERROR(__xludf.DUMMYFUNCTION("""COMPUTED_VALUE"""),43271.99861111111)</f>
        <v>43271.99861</v>
      </c>
      <c r="B2904" s="1">
        <f>IFERROR(__xludf.DUMMYFUNCTION("""COMPUTED_VALUE"""),16120.60632)</f>
        <v>16120.60632</v>
      </c>
    </row>
    <row r="2905">
      <c r="A2905" s="3">
        <f>IFERROR(__xludf.DUMMYFUNCTION("""COMPUTED_VALUE"""),43272.99861111111)</f>
        <v>43272.99861</v>
      </c>
      <c r="B2905" s="1">
        <f>IFERROR(__xludf.DUMMYFUNCTION("""COMPUTED_VALUE"""),16349.124)</f>
        <v>16349.124</v>
      </c>
    </row>
    <row r="2906">
      <c r="A2906" s="3">
        <f>IFERROR(__xludf.DUMMYFUNCTION("""COMPUTED_VALUE"""),43273.99861111111)</f>
        <v>43273.99861</v>
      </c>
      <c r="B2906" s="1">
        <f>IFERROR(__xludf.DUMMYFUNCTION("""COMPUTED_VALUE"""),16434.82748)</f>
        <v>16434.82748</v>
      </c>
    </row>
    <row r="2907">
      <c r="A2907" s="3">
        <f>IFERROR(__xludf.DUMMYFUNCTION("""COMPUTED_VALUE"""),43274.99861111111)</f>
        <v>43274.99861</v>
      </c>
      <c r="B2907" s="1">
        <f>IFERROR(__xludf.DUMMYFUNCTION("""COMPUTED_VALUE"""),16412.10082)</f>
        <v>16412.10082</v>
      </c>
    </row>
    <row r="2908">
      <c r="A2908" s="3">
        <f>IFERROR(__xludf.DUMMYFUNCTION("""COMPUTED_VALUE"""),43275.99861111111)</f>
        <v>43275.99861</v>
      </c>
      <c r="B2908" s="1">
        <f>IFERROR(__xludf.DUMMYFUNCTION("""COMPUTED_VALUE"""),16410.10311)</f>
        <v>16410.10311</v>
      </c>
    </row>
    <row r="2909">
      <c r="A2909" s="3">
        <f>IFERROR(__xludf.DUMMYFUNCTION("""COMPUTED_VALUE"""),43276.99861111111)</f>
        <v>43276.99861</v>
      </c>
      <c r="B2909" s="1">
        <f>IFERROR(__xludf.DUMMYFUNCTION("""COMPUTED_VALUE"""),16553.58444)</f>
        <v>16553.58444</v>
      </c>
    </row>
    <row r="2910">
      <c r="A2910" s="3">
        <f>IFERROR(__xludf.DUMMYFUNCTION("""COMPUTED_VALUE"""),43277.99861111111)</f>
        <v>43277.99861</v>
      </c>
      <c r="B2910" s="1">
        <f>IFERROR(__xludf.DUMMYFUNCTION("""COMPUTED_VALUE"""),16528.59436)</f>
        <v>16528.59436</v>
      </c>
    </row>
    <row r="2911">
      <c r="A2911" s="3">
        <f>IFERROR(__xludf.DUMMYFUNCTION("""COMPUTED_VALUE"""),43278.99861111111)</f>
        <v>43278.99861</v>
      </c>
      <c r="B2911" s="1">
        <f>IFERROR(__xludf.DUMMYFUNCTION("""COMPUTED_VALUE"""),16460.2152)</f>
        <v>16460.2152</v>
      </c>
    </row>
    <row r="2912">
      <c r="A2912" s="3">
        <f>IFERROR(__xludf.DUMMYFUNCTION("""COMPUTED_VALUE"""),43279.99861111111)</f>
        <v>43279.99861</v>
      </c>
      <c r="B2912" s="1">
        <f>IFERROR(__xludf.DUMMYFUNCTION("""COMPUTED_VALUE"""),16591.6135)</f>
        <v>16591.6135</v>
      </c>
    </row>
    <row r="2913">
      <c r="A2913" s="3">
        <f>IFERROR(__xludf.DUMMYFUNCTION("""COMPUTED_VALUE"""),43280.99861111111)</f>
        <v>43280.99861</v>
      </c>
      <c r="B2913" s="1">
        <f>IFERROR(__xludf.DUMMYFUNCTION("""COMPUTED_VALUE"""),16702.2646)</f>
        <v>16702.2646</v>
      </c>
    </row>
    <row r="2914">
      <c r="A2914" s="3">
        <f>IFERROR(__xludf.DUMMYFUNCTION("""COMPUTED_VALUE"""),43281.99861111111)</f>
        <v>43281.99861</v>
      </c>
      <c r="B2914" s="1">
        <f>IFERROR(__xludf.DUMMYFUNCTION("""COMPUTED_VALUE"""),16702.2646)</f>
        <v>16702.2646</v>
      </c>
    </row>
    <row r="2915">
      <c r="A2915" s="3">
        <f>IFERROR(__xludf.DUMMYFUNCTION("""COMPUTED_VALUE"""),43282.99861111111)</f>
        <v>43282.99861</v>
      </c>
      <c r="B2915" s="1">
        <f>IFERROR(__xludf.DUMMYFUNCTION("""COMPUTED_VALUE"""),16717.9609)</f>
        <v>16717.9609</v>
      </c>
    </row>
    <row r="2916">
      <c r="A2916" s="3">
        <f>IFERROR(__xludf.DUMMYFUNCTION("""COMPUTED_VALUE"""),43283.99861111111)</f>
        <v>43283.99861</v>
      </c>
      <c r="B2916" s="1">
        <f>IFERROR(__xludf.DUMMYFUNCTION("""COMPUTED_VALUE"""),16699.908)</f>
        <v>16699.908</v>
      </c>
    </row>
    <row r="2917">
      <c r="A2917" s="3">
        <f>IFERROR(__xludf.DUMMYFUNCTION("""COMPUTED_VALUE"""),43284.99861111111)</f>
        <v>43284.99861</v>
      </c>
      <c r="B2917" s="1">
        <f>IFERROR(__xludf.DUMMYFUNCTION("""COMPUTED_VALUE"""),16733.30152)</f>
        <v>16733.30152</v>
      </c>
    </row>
    <row r="2918">
      <c r="A2918" s="3">
        <f>IFERROR(__xludf.DUMMYFUNCTION("""COMPUTED_VALUE"""),43285.99861111111)</f>
        <v>43285.99861</v>
      </c>
      <c r="B2918" s="1">
        <f>IFERROR(__xludf.DUMMYFUNCTION("""COMPUTED_VALUE"""),16792.56)</f>
        <v>16792.56</v>
      </c>
    </row>
    <row r="2919">
      <c r="A2919" s="3">
        <f>IFERROR(__xludf.DUMMYFUNCTION("""COMPUTED_VALUE"""),43286.99861111111)</f>
        <v>43286.99861</v>
      </c>
      <c r="B2919" s="1">
        <f>IFERROR(__xludf.DUMMYFUNCTION("""COMPUTED_VALUE"""),16811.98053)</f>
        <v>16811.98053</v>
      </c>
    </row>
    <row r="2920">
      <c r="A2920" s="3">
        <f>IFERROR(__xludf.DUMMYFUNCTION("""COMPUTED_VALUE"""),43287.99861111111)</f>
        <v>43287.99861</v>
      </c>
      <c r="B2920" s="1">
        <f>IFERROR(__xludf.DUMMYFUNCTION("""COMPUTED_VALUE"""),16850.2761)</f>
        <v>16850.2761</v>
      </c>
    </row>
    <row r="2921">
      <c r="A2921" s="3">
        <f>IFERROR(__xludf.DUMMYFUNCTION("""COMPUTED_VALUE"""),43288.99861111111)</f>
        <v>43288.99861</v>
      </c>
      <c r="B2921" s="1">
        <f>IFERROR(__xludf.DUMMYFUNCTION("""COMPUTED_VALUE"""),16850.2761)</f>
        <v>16850.2761</v>
      </c>
    </row>
    <row r="2922">
      <c r="A2922" s="3">
        <f>IFERROR(__xludf.DUMMYFUNCTION("""COMPUTED_VALUE"""),43289.99861111111)</f>
        <v>43289.99861</v>
      </c>
      <c r="B2922" s="1">
        <f>IFERROR(__xludf.DUMMYFUNCTION("""COMPUTED_VALUE"""),16812.87105)</f>
        <v>16812.87105</v>
      </c>
    </row>
    <row r="2923">
      <c r="A2923" s="3">
        <f>IFERROR(__xludf.DUMMYFUNCTION("""COMPUTED_VALUE"""),43290.99861111111)</f>
        <v>43290.99861</v>
      </c>
      <c r="B2923" s="1">
        <f>IFERROR(__xludf.DUMMYFUNCTION("""COMPUTED_VALUE"""),16824.0116)</f>
        <v>16824.0116</v>
      </c>
    </row>
    <row r="2924">
      <c r="A2924" s="3">
        <f>IFERROR(__xludf.DUMMYFUNCTION("""COMPUTED_VALUE"""),43291.99861111111)</f>
        <v>43291.99861</v>
      </c>
      <c r="B2924" s="1">
        <f>IFERROR(__xludf.DUMMYFUNCTION("""COMPUTED_VALUE"""),16855.55)</f>
        <v>16855.55</v>
      </c>
    </row>
    <row r="2925">
      <c r="A2925" s="3">
        <f>IFERROR(__xludf.DUMMYFUNCTION("""COMPUTED_VALUE"""),43292.99861111111)</f>
        <v>43292.99861</v>
      </c>
      <c r="B2925" s="1">
        <f>IFERROR(__xludf.DUMMYFUNCTION("""COMPUTED_VALUE"""),16786.02744)</f>
        <v>16786.02744</v>
      </c>
    </row>
    <row r="2926">
      <c r="A2926" s="3">
        <f>IFERROR(__xludf.DUMMYFUNCTION("""COMPUTED_VALUE"""),43293.99861111111)</f>
        <v>43293.99861</v>
      </c>
      <c r="B2926" s="1">
        <f>IFERROR(__xludf.DUMMYFUNCTION("""COMPUTED_VALUE"""),16778.9517)</f>
        <v>16778.9517</v>
      </c>
    </row>
    <row r="2927">
      <c r="A2927" s="3">
        <f>IFERROR(__xludf.DUMMYFUNCTION("""COMPUTED_VALUE"""),43294.99861111111)</f>
        <v>43294.99861</v>
      </c>
      <c r="B2927" s="1">
        <f>IFERROR(__xludf.DUMMYFUNCTION("""COMPUTED_VALUE"""),16816.059)</f>
        <v>16816.059</v>
      </c>
    </row>
    <row r="2928">
      <c r="A2928" s="3">
        <f>IFERROR(__xludf.DUMMYFUNCTION("""COMPUTED_VALUE"""),43295.99861111111)</f>
        <v>43295.99861</v>
      </c>
      <c r="B2928" s="1">
        <f>IFERROR(__xludf.DUMMYFUNCTION("""COMPUTED_VALUE"""),16813.5354)</f>
        <v>16813.5354</v>
      </c>
    </row>
    <row r="2929">
      <c r="A2929" s="3">
        <f>IFERROR(__xludf.DUMMYFUNCTION("""COMPUTED_VALUE"""),43296.99861111111)</f>
        <v>43296.99861</v>
      </c>
      <c r="B2929" s="1">
        <f>IFERROR(__xludf.DUMMYFUNCTION("""COMPUTED_VALUE"""),16785.36432)</f>
        <v>16785.36432</v>
      </c>
    </row>
    <row r="2930">
      <c r="A2930" s="3">
        <f>IFERROR(__xludf.DUMMYFUNCTION("""COMPUTED_VALUE"""),43297.99861111111)</f>
        <v>43297.99861</v>
      </c>
      <c r="B2930" s="1">
        <f>IFERROR(__xludf.DUMMYFUNCTION("""COMPUTED_VALUE"""),16820.27664)</f>
        <v>16820.27664</v>
      </c>
    </row>
    <row r="2931">
      <c r="A2931" s="3">
        <f>IFERROR(__xludf.DUMMYFUNCTION("""COMPUTED_VALUE"""),43298.99861111111)</f>
        <v>43298.99861</v>
      </c>
      <c r="B2931" s="1">
        <f>IFERROR(__xludf.DUMMYFUNCTION("""COMPUTED_VALUE"""),16753.5181)</f>
        <v>16753.5181</v>
      </c>
    </row>
    <row r="2932">
      <c r="A2932" s="3">
        <f>IFERROR(__xludf.DUMMYFUNCTION("""COMPUTED_VALUE"""),43299.99861111111)</f>
        <v>43299.99861</v>
      </c>
      <c r="B2932" s="1">
        <f>IFERROR(__xludf.DUMMYFUNCTION("""COMPUTED_VALUE"""),16816.25568)</f>
        <v>16816.25568</v>
      </c>
    </row>
    <row r="2933">
      <c r="A2933" s="3">
        <f>IFERROR(__xludf.DUMMYFUNCTION("""COMPUTED_VALUE"""),43300.99861111111)</f>
        <v>43300.99861</v>
      </c>
      <c r="B2933" s="1">
        <f>IFERROR(__xludf.DUMMYFUNCTION("""COMPUTED_VALUE"""),16862.01996)</f>
        <v>16862.01996</v>
      </c>
    </row>
    <row r="2934">
      <c r="A2934" s="3">
        <f>IFERROR(__xludf.DUMMYFUNCTION("""COMPUTED_VALUE"""),43301.99861111111)</f>
        <v>43301.99861</v>
      </c>
      <c r="B2934" s="1">
        <f>IFERROR(__xludf.DUMMYFUNCTION("""COMPUTED_VALUE"""),16989.10463)</f>
        <v>16989.10463</v>
      </c>
    </row>
    <row r="2935">
      <c r="A2935" s="3">
        <f>IFERROR(__xludf.DUMMYFUNCTION("""COMPUTED_VALUE"""),43302.99861111111)</f>
        <v>43302.99861</v>
      </c>
      <c r="B2935" s="1">
        <f>IFERROR(__xludf.DUMMYFUNCTION("""COMPUTED_VALUE"""),17008.29998)</f>
        <v>17008.29998</v>
      </c>
    </row>
    <row r="2936">
      <c r="A2936" s="3">
        <f>IFERROR(__xludf.DUMMYFUNCTION("""COMPUTED_VALUE"""),43303.99861111111)</f>
        <v>43303.99861</v>
      </c>
      <c r="B2936" s="1">
        <f>IFERROR(__xludf.DUMMYFUNCTION("""COMPUTED_VALUE"""),16993.03876)</f>
        <v>16993.03876</v>
      </c>
    </row>
    <row r="2937">
      <c r="A2937" s="3">
        <f>IFERROR(__xludf.DUMMYFUNCTION("""COMPUTED_VALUE"""),43304.99861111111)</f>
        <v>43304.99861</v>
      </c>
      <c r="B2937" s="1">
        <f>IFERROR(__xludf.DUMMYFUNCTION("""COMPUTED_VALUE"""),17034.21477)</f>
        <v>17034.21477</v>
      </c>
    </row>
    <row r="2938">
      <c r="A2938" s="3">
        <f>IFERROR(__xludf.DUMMYFUNCTION("""COMPUTED_VALUE"""),43305.99861111111)</f>
        <v>43305.99861</v>
      </c>
      <c r="B2938" s="1">
        <f>IFERROR(__xludf.DUMMYFUNCTION("""COMPUTED_VALUE"""),16992.39172)</f>
        <v>16992.39172</v>
      </c>
    </row>
    <row r="2939">
      <c r="A2939" s="3">
        <f>IFERROR(__xludf.DUMMYFUNCTION("""COMPUTED_VALUE"""),43306.99861111111)</f>
        <v>43306.99861</v>
      </c>
      <c r="B2939" s="1">
        <f>IFERROR(__xludf.DUMMYFUNCTION("""COMPUTED_VALUE"""),16976.124)</f>
        <v>16976.124</v>
      </c>
    </row>
    <row r="2940">
      <c r="A2940" s="3">
        <f>IFERROR(__xludf.DUMMYFUNCTION("""COMPUTED_VALUE"""),43307.99861111111)</f>
        <v>43307.99861</v>
      </c>
      <c r="B2940" s="1">
        <f>IFERROR(__xludf.DUMMYFUNCTION("""COMPUTED_VALUE"""),16910.44075)</f>
        <v>16910.44075</v>
      </c>
    </row>
    <row r="2941">
      <c r="A2941" s="3">
        <f>IFERROR(__xludf.DUMMYFUNCTION("""COMPUTED_VALUE"""),43308.99861111111)</f>
        <v>43308.99861</v>
      </c>
      <c r="B2941" s="1">
        <f>IFERROR(__xludf.DUMMYFUNCTION("""COMPUTED_VALUE"""),16776.12882)</f>
        <v>16776.12882</v>
      </c>
    </row>
    <row r="2942">
      <c r="A2942" s="3">
        <f>IFERROR(__xludf.DUMMYFUNCTION("""COMPUTED_VALUE"""),43309.99861111111)</f>
        <v>43309.99861</v>
      </c>
      <c r="B2942" s="1">
        <f>IFERROR(__xludf.DUMMYFUNCTION("""COMPUTED_VALUE"""),16787.05312)</f>
        <v>16787.05312</v>
      </c>
    </row>
    <row r="2943">
      <c r="A2943" s="3">
        <f>IFERROR(__xludf.DUMMYFUNCTION("""COMPUTED_VALUE"""),43310.99861111111)</f>
        <v>43310.99861</v>
      </c>
      <c r="B2943" s="1">
        <f>IFERROR(__xludf.DUMMYFUNCTION("""COMPUTED_VALUE"""),16803.226)</f>
        <v>16803.226</v>
      </c>
    </row>
    <row r="2944">
      <c r="A2944" s="3">
        <f>IFERROR(__xludf.DUMMYFUNCTION("""COMPUTED_VALUE"""),43311.99861111111)</f>
        <v>43311.99861</v>
      </c>
      <c r="B2944" s="1">
        <f>IFERROR(__xludf.DUMMYFUNCTION("""COMPUTED_VALUE"""),16861.88016)</f>
        <v>16861.88016</v>
      </c>
    </row>
    <row r="2945">
      <c r="A2945" s="3">
        <f>IFERROR(__xludf.DUMMYFUNCTION("""COMPUTED_VALUE"""),43312.99861111111)</f>
        <v>43312.99861</v>
      </c>
      <c r="B2945" s="1">
        <f>IFERROR(__xludf.DUMMYFUNCTION("""COMPUTED_VALUE"""),16842.91388)</f>
        <v>16842.91388</v>
      </c>
    </row>
    <row r="2946">
      <c r="A2946" s="3">
        <f>IFERROR(__xludf.DUMMYFUNCTION("""COMPUTED_VALUE"""),43313.99861111111)</f>
        <v>43313.99861</v>
      </c>
      <c r="B2946" s="1">
        <f>IFERROR(__xludf.DUMMYFUNCTION("""COMPUTED_VALUE"""),16899.24515)</f>
        <v>16899.24515</v>
      </c>
    </row>
    <row r="2947">
      <c r="A2947" s="3">
        <f>IFERROR(__xludf.DUMMYFUNCTION("""COMPUTED_VALUE"""),43314.99861111111)</f>
        <v>43314.99861</v>
      </c>
      <c r="B2947" s="1">
        <f>IFERROR(__xludf.DUMMYFUNCTION("""COMPUTED_VALUE"""),16819.6743)</f>
        <v>16819.6743</v>
      </c>
    </row>
    <row r="2948">
      <c r="A2948" s="3">
        <f>IFERROR(__xludf.DUMMYFUNCTION("""COMPUTED_VALUE"""),43315.99861111111)</f>
        <v>43315.99861</v>
      </c>
      <c r="B2948" s="1">
        <f>IFERROR(__xludf.DUMMYFUNCTION("""COMPUTED_VALUE"""),16761.87616)</f>
        <v>16761.87616</v>
      </c>
    </row>
    <row r="2949">
      <c r="A2949" s="3">
        <f>IFERROR(__xludf.DUMMYFUNCTION("""COMPUTED_VALUE"""),43316.99861111111)</f>
        <v>43316.99861</v>
      </c>
      <c r="B2949" s="1">
        <f>IFERROR(__xludf.DUMMYFUNCTION("""COMPUTED_VALUE"""),16806.16853)</f>
        <v>16806.16853</v>
      </c>
    </row>
    <row r="2950">
      <c r="A2950" s="3">
        <f>IFERROR(__xludf.DUMMYFUNCTION("""COMPUTED_VALUE"""),43317.99861111111)</f>
        <v>43317.99861</v>
      </c>
      <c r="B2950" s="1">
        <f>IFERROR(__xludf.DUMMYFUNCTION("""COMPUTED_VALUE"""),16748.42348)</f>
        <v>16748.42348</v>
      </c>
    </row>
    <row r="2951">
      <c r="A2951" s="3">
        <f>IFERROR(__xludf.DUMMYFUNCTION("""COMPUTED_VALUE"""),43318.99861111111)</f>
        <v>43318.99861</v>
      </c>
      <c r="B2951" s="1">
        <f>IFERROR(__xludf.DUMMYFUNCTION("""COMPUTED_VALUE"""),16807.69181)</f>
        <v>16807.69181</v>
      </c>
    </row>
    <row r="2952">
      <c r="A2952" s="3">
        <f>IFERROR(__xludf.DUMMYFUNCTION("""COMPUTED_VALUE"""),43319.99861111111)</f>
        <v>43319.99861</v>
      </c>
      <c r="B2952" s="1">
        <f>IFERROR(__xludf.DUMMYFUNCTION("""COMPUTED_VALUE"""),16730.9622)</f>
        <v>16730.9622</v>
      </c>
    </row>
    <row r="2953">
      <c r="A2953" s="3">
        <f>IFERROR(__xludf.DUMMYFUNCTION("""COMPUTED_VALUE"""),43320.99861111111)</f>
        <v>43320.99861</v>
      </c>
      <c r="B2953" s="1">
        <f>IFERROR(__xludf.DUMMYFUNCTION("""COMPUTED_VALUE"""),16716.078)</f>
        <v>16716.078</v>
      </c>
    </row>
    <row r="2954">
      <c r="A2954" s="3">
        <f>IFERROR(__xludf.DUMMYFUNCTION("""COMPUTED_VALUE"""),43321.99861111111)</f>
        <v>43321.99861</v>
      </c>
      <c r="B2954" s="1">
        <f>IFERROR(__xludf.DUMMYFUNCTION("""COMPUTED_VALUE"""),16676.37504)</f>
        <v>16676.37504</v>
      </c>
    </row>
    <row r="2955">
      <c r="A2955" s="3">
        <f>IFERROR(__xludf.DUMMYFUNCTION("""COMPUTED_VALUE"""),43322.99861111111)</f>
        <v>43322.99861</v>
      </c>
      <c r="B2955" s="1">
        <f>IFERROR(__xludf.DUMMYFUNCTION("""COMPUTED_VALUE"""),16535.3238)</f>
        <v>16535.3238</v>
      </c>
    </row>
    <row r="2956">
      <c r="A2956" s="3">
        <f>IFERROR(__xludf.DUMMYFUNCTION("""COMPUTED_VALUE"""),43323.99861111111)</f>
        <v>43323.99861</v>
      </c>
      <c r="B2956" s="1">
        <f>IFERROR(__xludf.DUMMYFUNCTION("""COMPUTED_VALUE"""),16555.55798)</f>
        <v>16555.55798</v>
      </c>
    </row>
    <row r="2957">
      <c r="A2957" s="3">
        <f>IFERROR(__xludf.DUMMYFUNCTION("""COMPUTED_VALUE"""),43324.99861111111)</f>
        <v>43324.99861</v>
      </c>
      <c r="B2957" s="1">
        <f>IFERROR(__xludf.DUMMYFUNCTION("""COMPUTED_VALUE"""),16488.07579)</f>
        <v>16488.07579</v>
      </c>
    </row>
    <row r="2958">
      <c r="A2958" s="3">
        <f>IFERROR(__xludf.DUMMYFUNCTION("""COMPUTED_VALUE"""),43325.99861111111)</f>
        <v>43325.99861</v>
      </c>
      <c r="B2958" s="1">
        <f>IFERROR(__xludf.DUMMYFUNCTION("""COMPUTED_VALUE"""),16637.59782)</f>
        <v>16637.59782</v>
      </c>
    </row>
    <row r="2959">
      <c r="A2959" s="3">
        <f>IFERROR(__xludf.DUMMYFUNCTION("""COMPUTED_VALUE"""),43326.99861111111)</f>
        <v>43326.99861</v>
      </c>
      <c r="B2959" s="1">
        <f>IFERROR(__xludf.DUMMYFUNCTION("""COMPUTED_VALUE"""),16611.349)</f>
        <v>16611.349</v>
      </c>
    </row>
    <row r="2960">
      <c r="A2960" s="3">
        <f>IFERROR(__xludf.DUMMYFUNCTION("""COMPUTED_VALUE"""),43327.99861111111)</f>
        <v>43327.99861</v>
      </c>
      <c r="B2960" s="1">
        <f>IFERROR(__xludf.DUMMYFUNCTION("""COMPUTED_VALUE"""),16506.71387)</f>
        <v>16506.71387</v>
      </c>
    </row>
    <row r="2961">
      <c r="A2961" s="3">
        <f>IFERROR(__xludf.DUMMYFUNCTION("""COMPUTED_VALUE"""),43328.99861111111)</f>
        <v>43328.99861</v>
      </c>
      <c r="B2961" s="1">
        <f>IFERROR(__xludf.DUMMYFUNCTION("""COMPUTED_VALUE"""),16599.6301)</f>
        <v>16599.6301</v>
      </c>
    </row>
    <row r="2962">
      <c r="A2962" s="3">
        <f>IFERROR(__xludf.DUMMYFUNCTION("""COMPUTED_VALUE"""),43329.99861111111)</f>
        <v>43329.99861</v>
      </c>
      <c r="B2962" s="1">
        <f>IFERROR(__xludf.DUMMYFUNCTION("""COMPUTED_VALUE"""),16687.4366)</f>
        <v>16687.4366</v>
      </c>
    </row>
    <row r="2963">
      <c r="A2963" s="3">
        <f>IFERROR(__xludf.DUMMYFUNCTION("""COMPUTED_VALUE"""),43330.99861111111)</f>
        <v>43330.99861</v>
      </c>
      <c r="B2963" s="1">
        <f>IFERROR(__xludf.DUMMYFUNCTION("""COMPUTED_VALUE"""),16693.67428)</f>
        <v>16693.67428</v>
      </c>
    </row>
    <row r="2964">
      <c r="A2964" s="3">
        <f>IFERROR(__xludf.DUMMYFUNCTION("""COMPUTED_VALUE"""),43331.99861111111)</f>
        <v>43331.99861</v>
      </c>
      <c r="B2964" s="1">
        <f>IFERROR(__xludf.DUMMYFUNCTION("""COMPUTED_VALUE"""),16666.14212)</f>
        <v>16666.14212</v>
      </c>
    </row>
    <row r="2965">
      <c r="A2965" s="3">
        <f>IFERROR(__xludf.DUMMYFUNCTION("""COMPUTED_VALUE"""),43332.99861111111)</f>
        <v>43332.99861</v>
      </c>
      <c r="B2965" s="1">
        <f>IFERROR(__xludf.DUMMYFUNCTION("""COMPUTED_VALUE"""),16732.61172)</f>
        <v>16732.61172</v>
      </c>
    </row>
    <row r="2966">
      <c r="A2966" s="3">
        <f>IFERROR(__xludf.DUMMYFUNCTION("""COMPUTED_VALUE"""),43333.99861111111)</f>
        <v>43333.99861</v>
      </c>
      <c r="B2966" s="1">
        <f>IFERROR(__xludf.DUMMYFUNCTION("""COMPUTED_VALUE"""),16863.9008)</f>
        <v>16863.9008</v>
      </c>
    </row>
    <row r="2967">
      <c r="A2967" s="3">
        <f>IFERROR(__xludf.DUMMYFUNCTION("""COMPUTED_VALUE"""),43334.99861111111)</f>
        <v>43334.99861</v>
      </c>
      <c r="B2967" s="1">
        <f>IFERROR(__xludf.DUMMYFUNCTION("""COMPUTED_VALUE"""),16880.2048)</f>
        <v>16880.2048</v>
      </c>
    </row>
    <row r="2968">
      <c r="A2968" s="3">
        <f>IFERROR(__xludf.DUMMYFUNCTION("""COMPUTED_VALUE"""),43335.99861111111)</f>
        <v>43335.99861</v>
      </c>
      <c r="B2968" s="1">
        <f>IFERROR(__xludf.DUMMYFUNCTION("""COMPUTED_VALUE"""),16921.81608)</f>
        <v>16921.81608</v>
      </c>
    </row>
    <row r="2969">
      <c r="A2969" s="3">
        <f>IFERROR(__xludf.DUMMYFUNCTION("""COMPUTED_VALUE"""),43336.99861111111)</f>
        <v>43336.99861</v>
      </c>
      <c r="B2969" s="1">
        <f>IFERROR(__xludf.DUMMYFUNCTION("""COMPUTED_VALUE"""),16949.8563)</f>
        <v>16949.8563</v>
      </c>
    </row>
    <row r="2970">
      <c r="A2970" s="3">
        <f>IFERROR(__xludf.DUMMYFUNCTION("""COMPUTED_VALUE"""),43337.99861111111)</f>
        <v>43337.99861</v>
      </c>
      <c r="B2970" s="1">
        <f>IFERROR(__xludf.DUMMYFUNCTION("""COMPUTED_VALUE"""),16970.54774)</f>
        <v>16970.54774</v>
      </c>
    </row>
    <row r="2971">
      <c r="A2971" s="3">
        <f>IFERROR(__xludf.DUMMYFUNCTION("""COMPUTED_VALUE"""),43338.99861111111)</f>
        <v>43338.99861</v>
      </c>
      <c r="B2971" s="1">
        <f>IFERROR(__xludf.DUMMYFUNCTION("""COMPUTED_VALUE"""),16958.3232)</f>
        <v>16958.3232</v>
      </c>
    </row>
    <row r="2972">
      <c r="A2972" s="3">
        <f>IFERROR(__xludf.DUMMYFUNCTION("""COMPUTED_VALUE"""),43339.99861111111)</f>
        <v>43339.99861</v>
      </c>
      <c r="B2972" s="1">
        <f>IFERROR(__xludf.DUMMYFUNCTION("""COMPUTED_VALUE"""),16997.0231)</f>
        <v>16997.0231</v>
      </c>
    </row>
    <row r="2973">
      <c r="A2973" s="3">
        <f>IFERROR(__xludf.DUMMYFUNCTION("""COMPUTED_VALUE"""),43340.99861111111)</f>
        <v>43340.99861</v>
      </c>
      <c r="B2973" s="1">
        <f>IFERROR(__xludf.DUMMYFUNCTION("""COMPUTED_VALUE"""),17130.38271)</f>
        <v>17130.38271</v>
      </c>
    </row>
    <row r="2974">
      <c r="A2974" s="3">
        <f>IFERROR(__xludf.DUMMYFUNCTION("""COMPUTED_VALUE"""),43341.99861111111)</f>
        <v>43341.99861</v>
      </c>
      <c r="B2974" s="1">
        <f>IFERROR(__xludf.DUMMYFUNCTION("""COMPUTED_VALUE"""),17116.36238)</f>
        <v>17116.36238</v>
      </c>
    </row>
    <row r="2975">
      <c r="A2975" s="3">
        <f>IFERROR(__xludf.DUMMYFUNCTION("""COMPUTED_VALUE"""),43342.99861111111)</f>
        <v>43342.99861</v>
      </c>
      <c r="B2975" s="1">
        <f>IFERROR(__xludf.DUMMYFUNCTION("""COMPUTED_VALUE"""),17205.71391)</f>
        <v>17205.71391</v>
      </c>
    </row>
    <row r="2976">
      <c r="A2976" s="3">
        <f>IFERROR(__xludf.DUMMYFUNCTION("""COMPUTED_VALUE"""),43343.99861111111)</f>
        <v>43343.99861</v>
      </c>
      <c r="B2976" s="1">
        <f>IFERROR(__xludf.DUMMYFUNCTION("""COMPUTED_VALUE"""),17110.45)</f>
        <v>17110.45</v>
      </c>
    </row>
    <row r="2977">
      <c r="A2977" s="3">
        <f>IFERROR(__xludf.DUMMYFUNCTION("""COMPUTED_VALUE"""),43344.99861111111)</f>
        <v>43344.99861</v>
      </c>
      <c r="B2977" s="1">
        <f>IFERROR(__xludf.DUMMYFUNCTION("""COMPUTED_VALUE"""),17108.126)</f>
        <v>17108.126</v>
      </c>
    </row>
    <row r="2978">
      <c r="A2978" s="3">
        <f>IFERROR(__xludf.DUMMYFUNCTION("""COMPUTED_VALUE"""),43345.99861111111)</f>
        <v>43345.99861</v>
      </c>
      <c r="B2978" s="1">
        <f>IFERROR(__xludf.DUMMYFUNCTION("""COMPUTED_VALUE"""),17075.7354)</f>
        <v>17075.7354</v>
      </c>
    </row>
    <row r="2979">
      <c r="A2979" s="3">
        <f>IFERROR(__xludf.DUMMYFUNCTION("""COMPUTED_VALUE"""),43346.99861111111)</f>
        <v>43346.99861</v>
      </c>
      <c r="B2979" s="1">
        <f>IFERROR(__xludf.DUMMYFUNCTION("""COMPUTED_VALUE"""),17227.21968)</f>
        <v>17227.21968</v>
      </c>
    </row>
    <row r="2980">
      <c r="A2980" s="3">
        <f>IFERROR(__xludf.DUMMYFUNCTION("""COMPUTED_VALUE"""),43347.99861111111)</f>
        <v>43347.99861</v>
      </c>
      <c r="B2980" s="1">
        <f>IFERROR(__xludf.DUMMYFUNCTION("""COMPUTED_VALUE"""),17297.7487)</f>
        <v>17297.7487</v>
      </c>
    </row>
    <row r="2981">
      <c r="A2981" s="3">
        <f>IFERROR(__xludf.DUMMYFUNCTION("""COMPUTED_VALUE"""),43348.99861111111)</f>
        <v>43348.99861</v>
      </c>
      <c r="B2981" s="1">
        <f>IFERROR(__xludf.DUMMYFUNCTION("""COMPUTED_VALUE"""),17427.46586)</f>
        <v>17427.46586</v>
      </c>
    </row>
    <row r="2982">
      <c r="A2982" s="3">
        <f>IFERROR(__xludf.DUMMYFUNCTION("""COMPUTED_VALUE"""),43349.99861111111)</f>
        <v>43349.99861</v>
      </c>
      <c r="B2982" s="1">
        <f>IFERROR(__xludf.DUMMYFUNCTION("""COMPUTED_VALUE"""),17304.77242)</f>
        <v>17304.77242</v>
      </c>
    </row>
    <row r="2983">
      <c r="A2983" s="3">
        <f>IFERROR(__xludf.DUMMYFUNCTION("""COMPUTED_VALUE"""),43350.99861111111)</f>
        <v>43350.99861</v>
      </c>
      <c r="B2983" s="1">
        <f>IFERROR(__xludf.DUMMYFUNCTION("""COMPUTED_VALUE"""),17325.4965)</f>
        <v>17325.4965</v>
      </c>
    </row>
    <row r="2984">
      <c r="A2984" s="3">
        <f>IFERROR(__xludf.DUMMYFUNCTION("""COMPUTED_VALUE"""),43351.99861111111)</f>
        <v>43351.99861</v>
      </c>
      <c r="B2984" s="1">
        <f>IFERROR(__xludf.DUMMYFUNCTION("""COMPUTED_VALUE"""),17138.641)</f>
        <v>17138.641</v>
      </c>
    </row>
    <row r="2985">
      <c r="A2985" s="3">
        <f>IFERROR(__xludf.DUMMYFUNCTION("""COMPUTED_VALUE"""),43352.99861111111)</f>
        <v>43352.99861</v>
      </c>
      <c r="B2985" s="1">
        <f>IFERROR(__xludf.DUMMYFUNCTION("""COMPUTED_VALUE"""),17123.828)</f>
        <v>17123.828</v>
      </c>
    </row>
    <row r="2986">
      <c r="A2986" s="3">
        <f>IFERROR(__xludf.DUMMYFUNCTION("""COMPUTED_VALUE"""),43353.99861111111)</f>
        <v>43353.99861</v>
      </c>
      <c r="B2986" s="1">
        <f>IFERROR(__xludf.DUMMYFUNCTION("""COMPUTED_VALUE"""),17209.52574)</f>
        <v>17209.52574</v>
      </c>
    </row>
    <row r="2987">
      <c r="A2987" s="3">
        <f>IFERROR(__xludf.DUMMYFUNCTION("""COMPUTED_VALUE"""),43354.99861111111)</f>
        <v>43354.99861</v>
      </c>
      <c r="B2987" s="1">
        <f>IFERROR(__xludf.DUMMYFUNCTION("""COMPUTED_VALUE"""),17203.5015)</f>
        <v>17203.5015</v>
      </c>
    </row>
    <row r="2988">
      <c r="A2988" s="3">
        <f>IFERROR(__xludf.DUMMYFUNCTION("""COMPUTED_VALUE"""),43355.99861111111)</f>
        <v>43355.99861</v>
      </c>
      <c r="B2988" s="1">
        <f>IFERROR(__xludf.DUMMYFUNCTION("""COMPUTED_VALUE"""),17214.02592)</f>
        <v>17214.02592</v>
      </c>
    </row>
    <row r="2989">
      <c r="A2989" s="3">
        <f>IFERROR(__xludf.DUMMYFUNCTION("""COMPUTED_VALUE"""),43356.99861111111)</f>
        <v>43356.99861</v>
      </c>
      <c r="B2989" s="1">
        <f>IFERROR(__xludf.DUMMYFUNCTION("""COMPUTED_VALUE"""),17232.534)</f>
        <v>17232.534</v>
      </c>
    </row>
    <row r="2990">
      <c r="A2990" s="3">
        <f>IFERROR(__xludf.DUMMYFUNCTION("""COMPUTED_VALUE"""),43357.99861111111)</f>
        <v>43357.99861</v>
      </c>
      <c r="B2990" s="1">
        <f>IFERROR(__xludf.DUMMYFUNCTION("""COMPUTED_VALUE"""),17218.0033)</f>
        <v>17218.0033</v>
      </c>
    </row>
    <row r="2991">
      <c r="A2991" s="3">
        <f>IFERROR(__xludf.DUMMYFUNCTION("""COMPUTED_VALUE"""),43358.99861111111)</f>
        <v>43358.99861</v>
      </c>
      <c r="B2991" s="1">
        <f>IFERROR(__xludf.DUMMYFUNCTION("""COMPUTED_VALUE"""),17230.11806)</f>
        <v>17230.11806</v>
      </c>
    </row>
    <row r="2992">
      <c r="A2992" s="3">
        <f>IFERROR(__xludf.DUMMYFUNCTION("""COMPUTED_VALUE"""),43359.99861111111)</f>
        <v>43359.99861</v>
      </c>
      <c r="B2992" s="1">
        <f>IFERROR(__xludf.DUMMYFUNCTION("""COMPUTED_VALUE"""),17216.0989)</f>
        <v>17216.0989</v>
      </c>
    </row>
    <row r="2993">
      <c r="A2993" s="3">
        <f>IFERROR(__xludf.DUMMYFUNCTION("""COMPUTED_VALUE"""),43360.99861111111)</f>
        <v>43360.99861</v>
      </c>
      <c r="B2993" s="1">
        <f>IFERROR(__xludf.DUMMYFUNCTION("""COMPUTED_VALUE"""),17394.4987)</f>
        <v>17394.4987</v>
      </c>
    </row>
    <row r="2994">
      <c r="A2994" s="3">
        <f>IFERROR(__xludf.DUMMYFUNCTION("""COMPUTED_VALUE"""),43361.99861111111)</f>
        <v>43361.99861</v>
      </c>
      <c r="B2994" s="1">
        <f>IFERROR(__xludf.DUMMYFUNCTION("""COMPUTED_VALUE"""),17363.46664)</f>
        <v>17363.46664</v>
      </c>
    </row>
    <row r="2995">
      <c r="A2995" s="3">
        <f>IFERROR(__xludf.DUMMYFUNCTION("""COMPUTED_VALUE"""),43362.99861111111)</f>
        <v>43362.99861</v>
      </c>
      <c r="B2995" s="1">
        <f>IFERROR(__xludf.DUMMYFUNCTION("""COMPUTED_VALUE"""),17370.7632)</f>
        <v>17370.7632</v>
      </c>
    </row>
    <row r="2996">
      <c r="A2996" s="3">
        <f>IFERROR(__xludf.DUMMYFUNCTION("""COMPUTED_VALUE"""),43363.99861111111)</f>
        <v>43363.99861</v>
      </c>
      <c r="B2996" s="1">
        <f>IFERROR(__xludf.DUMMYFUNCTION("""COMPUTED_VALUE"""),17464.68)</f>
        <v>17464.68</v>
      </c>
    </row>
    <row r="2997">
      <c r="A2997" s="3">
        <f>IFERROR(__xludf.DUMMYFUNCTION("""COMPUTED_VALUE"""),43364.99861111111)</f>
        <v>43364.99861</v>
      </c>
      <c r="B2997" s="1">
        <f>IFERROR(__xludf.DUMMYFUNCTION("""COMPUTED_VALUE"""),17481.364)</f>
        <v>17481.364</v>
      </c>
    </row>
    <row r="2998">
      <c r="A2998" s="3">
        <f>IFERROR(__xludf.DUMMYFUNCTION("""COMPUTED_VALUE"""),43365.99861111111)</f>
        <v>43365.99861</v>
      </c>
      <c r="B2998" s="1">
        <f>IFERROR(__xludf.DUMMYFUNCTION("""COMPUTED_VALUE"""),17430.7616)</f>
        <v>17430.7616</v>
      </c>
    </row>
    <row r="2999">
      <c r="A2999" s="3">
        <f>IFERROR(__xludf.DUMMYFUNCTION("""COMPUTED_VALUE"""),43366.99861111111)</f>
        <v>43366.99861</v>
      </c>
      <c r="B2999" s="1">
        <f>IFERROR(__xludf.DUMMYFUNCTION("""COMPUTED_VALUE"""),17401.1376)</f>
        <v>17401.1376</v>
      </c>
    </row>
    <row r="3000">
      <c r="A3000" s="3">
        <f>IFERROR(__xludf.DUMMYFUNCTION("""COMPUTED_VALUE"""),43367.99861111111)</f>
        <v>43367.99861</v>
      </c>
      <c r="B3000" s="1">
        <f>IFERROR(__xludf.DUMMYFUNCTION("""COMPUTED_VALUE"""),17464.6472)</f>
        <v>17464.6472</v>
      </c>
    </row>
    <row r="3001">
      <c r="A3001" s="3">
        <f>IFERROR(__xludf.DUMMYFUNCTION("""COMPUTED_VALUE"""),43368.99861111111)</f>
        <v>43368.99861</v>
      </c>
      <c r="B3001" s="1">
        <f>IFERROR(__xludf.DUMMYFUNCTION("""COMPUTED_VALUE"""),17669.3398)</f>
        <v>17669.3398</v>
      </c>
    </row>
    <row r="3002">
      <c r="A3002" s="3">
        <f>IFERROR(__xludf.DUMMYFUNCTION("""COMPUTED_VALUE"""),43369.99861111111)</f>
        <v>43369.99861</v>
      </c>
      <c r="B3002" s="1">
        <f>IFERROR(__xludf.DUMMYFUNCTION("""COMPUTED_VALUE"""),17603.92845)</f>
        <v>17603.92845</v>
      </c>
    </row>
    <row r="3003">
      <c r="A3003" s="3">
        <f>IFERROR(__xludf.DUMMYFUNCTION("""COMPUTED_VALUE"""),43370.99861111111)</f>
        <v>43370.99861</v>
      </c>
      <c r="B3003" s="1">
        <f>IFERROR(__xludf.DUMMYFUNCTION("""COMPUTED_VALUE"""),17360.70918)</f>
        <v>17360.70918</v>
      </c>
    </row>
    <row r="3004">
      <c r="A3004" s="3">
        <f>IFERROR(__xludf.DUMMYFUNCTION("""COMPUTED_VALUE"""),43371.99861111111)</f>
        <v>43371.99861</v>
      </c>
      <c r="B3004" s="1">
        <f>IFERROR(__xludf.DUMMYFUNCTION("""COMPUTED_VALUE"""),17302.18)</f>
        <v>17302.18</v>
      </c>
    </row>
    <row r="3005">
      <c r="A3005" s="3">
        <f>IFERROR(__xludf.DUMMYFUNCTION("""COMPUTED_VALUE"""),43372.99861111111)</f>
        <v>43372.99861</v>
      </c>
      <c r="B3005" s="1">
        <f>IFERROR(__xludf.DUMMYFUNCTION("""COMPUTED_VALUE"""),17322.99043)</f>
        <v>17322.99043</v>
      </c>
    </row>
    <row r="3006">
      <c r="A3006" s="3">
        <f>IFERROR(__xludf.DUMMYFUNCTION("""COMPUTED_VALUE"""),43373.99861111111)</f>
        <v>43373.99861</v>
      </c>
      <c r="B3006" s="1">
        <f>IFERROR(__xludf.DUMMYFUNCTION("""COMPUTED_VALUE"""),17292.87688)</f>
        <v>17292.87688</v>
      </c>
    </row>
    <row r="3007">
      <c r="A3007" s="3">
        <f>IFERROR(__xludf.DUMMYFUNCTION("""COMPUTED_VALUE"""),43374.99861111111)</f>
        <v>43374.99861</v>
      </c>
      <c r="B3007" s="1">
        <f>IFERROR(__xludf.DUMMYFUNCTION("""COMPUTED_VALUE"""),17427.20541)</f>
        <v>17427.20541</v>
      </c>
    </row>
    <row r="3008">
      <c r="A3008" s="3">
        <f>IFERROR(__xludf.DUMMYFUNCTION("""COMPUTED_VALUE"""),43375.99861111111)</f>
        <v>43375.99861</v>
      </c>
      <c r="B3008" s="1">
        <f>IFERROR(__xludf.DUMMYFUNCTION("""COMPUTED_VALUE"""),17370.69456)</f>
        <v>17370.69456</v>
      </c>
    </row>
    <row r="3009">
      <c r="A3009" s="3">
        <f>IFERROR(__xludf.DUMMYFUNCTION("""COMPUTED_VALUE"""),43376.99861111111)</f>
        <v>43376.99861</v>
      </c>
      <c r="B3009" s="1">
        <f>IFERROR(__xludf.DUMMYFUNCTION("""COMPUTED_VALUE"""),17370.71808)</f>
        <v>17370.71808</v>
      </c>
    </row>
    <row r="3010">
      <c r="A3010" s="3">
        <f>IFERROR(__xludf.DUMMYFUNCTION("""COMPUTED_VALUE"""),43377.99861111111)</f>
        <v>43377.99861</v>
      </c>
      <c r="B3010" s="1">
        <f>IFERROR(__xludf.DUMMYFUNCTION("""COMPUTED_VALUE"""),17747.04648)</f>
        <v>17747.04648</v>
      </c>
    </row>
    <row r="3011">
      <c r="A3011" s="3">
        <f>IFERROR(__xludf.DUMMYFUNCTION("""COMPUTED_VALUE"""),43378.99861111111)</f>
        <v>43378.99861</v>
      </c>
      <c r="B3011" s="1">
        <f>IFERROR(__xludf.DUMMYFUNCTION("""COMPUTED_VALUE"""),17423.47975)</f>
        <v>17423.47975</v>
      </c>
    </row>
    <row r="3012">
      <c r="A3012" s="3">
        <f>IFERROR(__xludf.DUMMYFUNCTION("""COMPUTED_VALUE"""),43379.99861111111)</f>
        <v>43379.99861</v>
      </c>
      <c r="B3012" s="1">
        <f>IFERROR(__xludf.DUMMYFUNCTION("""COMPUTED_VALUE"""),17531.93561)</f>
        <v>17531.93561</v>
      </c>
    </row>
    <row r="3013">
      <c r="A3013" s="3">
        <f>IFERROR(__xludf.DUMMYFUNCTION("""COMPUTED_VALUE"""),43380.99861111111)</f>
        <v>43380.99861</v>
      </c>
      <c r="B3013" s="1">
        <f>IFERROR(__xludf.DUMMYFUNCTION("""COMPUTED_VALUE"""),17480.8133)</f>
        <v>17480.8133</v>
      </c>
    </row>
    <row r="3014">
      <c r="A3014" s="3">
        <f>IFERROR(__xludf.DUMMYFUNCTION("""COMPUTED_VALUE"""),43381.99861111111)</f>
        <v>43381.99861</v>
      </c>
      <c r="B3014" s="1">
        <f>IFERROR(__xludf.DUMMYFUNCTION("""COMPUTED_VALUE"""),17699.22)</f>
        <v>17699.22</v>
      </c>
    </row>
    <row r="3015">
      <c r="A3015" s="3">
        <f>IFERROR(__xludf.DUMMYFUNCTION("""COMPUTED_VALUE"""),43382.99861111111)</f>
        <v>43382.99861</v>
      </c>
      <c r="B3015" s="1">
        <f>IFERROR(__xludf.DUMMYFUNCTION("""COMPUTED_VALUE"""),17512.5392)</f>
        <v>17512.5392</v>
      </c>
    </row>
    <row r="3016">
      <c r="A3016" s="3">
        <f>IFERROR(__xludf.DUMMYFUNCTION("""COMPUTED_VALUE"""),43383.99861111111)</f>
        <v>43383.99861</v>
      </c>
      <c r="B3016" s="1">
        <f>IFERROR(__xludf.DUMMYFUNCTION("""COMPUTED_VALUE"""),17525.39484)</f>
        <v>17525.39484</v>
      </c>
    </row>
    <row r="3017">
      <c r="A3017" s="3">
        <f>IFERROR(__xludf.DUMMYFUNCTION("""COMPUTED_VALUE"""),43384.99861111111)</f>
        <v>43384.99861</v>
      </c>
      <c r="B3017" s="1">
        <f>IFERROR(__xludf.DUMMYFUNCTION("""COMPUTED_VALUE"""),17731.46681)</f>
        <v>17731.46681</v>
      </c>
    </row>
    <row r="3018">
      <c r="A3018" s="3">
        <f>IFERROR(__xludf.DUMMYFUNCTION("""COMPUTED_VALUE"""),43385.99861111111)</f>
        <v>43385.99861</v>
      </c>
      <c r="B3018" s="1">
        <f>IFERROR(__xludf.DUMMYFUNCTION("""COMPUTED_VALUE"""),17573.3829)</f>
        <v>17573.3829</v>
      </c>
    </row>
    <row r="3019">
      <c r="A3019" s="3">
        <f>IFERROR(__xludf.DUMMYFUNCTION("""COMPUTED_VALUE"""),43386.99861111111)</f>
        <v>43386.99861</v>
      </c>
      <c r="B3019" s="1">
        <f>IFERROR(__xludf.DUMMYFUNCTION("""COMPUTED_VALUE"""),17588.36448)</f>
        <v>17588.36448</v>
      </c>
    </row>
    <row r="3020">
      <c r="A3020" s="3">
        <f>IFERROR(__xludf.DUMMYFUNCTION("""COMPUTED_VALUE"""),43387.99861111111)</f>
        <v>43387.99861</v>
      </c>
      <c r="B3020" s="1">
        <f>IFERROR(__xludf.DUMMYFUNCTION("""COMPUTED_VALUE"""),17554.60188)</f>
        <v>17554.60188</v>
      </c>
    </row>
    <row r="3021">
      <c r="A3021" s="3">
        <f>IFERROR(__xludf.DUMMYFUNCTION("""COMPUTED_VALUE"""),43388.99861111111)</f>
        <v>43388.99861</v>
      </c>
      <c r="B3021" s="1">
        <f>IFERROR(__xludf.DUMMYFUNCTION("""COMPUTED_VALUE"""),17598.52272)</f>
        <v>17598.52272</v>
      </c>
    </row>
    <row r="3022">
      <c r="A3022" s="3">
        <f>IFERROR(__xludf.DUMMYFUNCTION("""COMPUTED_VALUE"""),43389.99861111111)</f>
        <v>43389.99861</v>
      </c>
      <c r="B3022" s="1">
        <f>IFERROR(__xludf.DUMMYFUNCTION("""COMPUTED_VALUE"""),17585.28978)</f>
        <v>17585.28978</v>
      </c>
    </row>
    <row r="3023">
      <c r="A3023" s="3">
        <f>IFERROR(__xludf.DUMMYFUNCTION("""COMPUTED_VALUE"""),43390.99861111111)</f>
        <v>43390.99861</v>
      </c>
      <c r="B3023" s="1">
        <f>IFERROR(__xludf.DUMMYFUNCTION("""COMPUTED_VALUE"""),17554.09764)</f>
        <v>17554.09764</v>
      </c>
    </row>
    <row r="3024">
      <c r="A3024" s="3">
        <f>IFERROR(__xludf.DUMMYFUNCTION("""COMPUTED_VALUE"""),43391.99861111111)</f>
        <v>43391.99861</v>
      </c>
      <c r="B3024" s="1">
        <f>IFERROR(__xludf.DUMMYFUNCTION("""COMPUTED_VALUE"""),17557.11061)</f>
        <v>17557.11061</v>
      </c>
    </row>
    <row r="3025">
      <c r="A3025" s="3">
        <f>IFERROR(__xludf.DUMMYFUNCTION("""COMPUTED_VALUE"""),43392.99861111111)</f>
        <v>43392.99861</v>
      </c>
      <c r="B3025" s="1">
        <f>IFERROR(__xludf.DUMMYFUNCTION("""COMPUTED_VALUE"""),17491.22235)</f>
        <v>17491.22235</v>
      </c>
    </row>
    <row r="3026">
      <c r="A3026" s="3">
        <f>IFERROR(__xludf.DUMMYFUNCTION("""COMPUTED_VALUE"""),43393.99861111111)</f>
        <v>43393.99861</v>
      </c>
      <c r="B3026" s="1">
        <f>IFERROR(__xludf.DUMMYFUNCTION("""COMPUTED_VALUE"""),17480.18188)</f>
        <v>17480.18188</v>
      </c>
    </row>
    <row r="3027">
      <c r="A3027" s="3">
        <f>IFERROR(__xludf.DUMMYFUNCTION("""COMPUTED_VALUE"""),43394.99861111111)</f>
        <v>43394.99861</v>
      </c>
      <c r="B3027" s="1">
        <f>IFERROR(__xludf.DUMMYFUNCTION("""COMPUTED_VALUE"""),17470.2948)</f>
        <v>17470.2948</v>
      </c>
    </row>
    <row r="3028">
      <c r="A3028" s="3">
        <f>IFERROR(__xludf.DUMMYFUNCTION("""COMPUTED_VALUE"""),43395.99861111111)</f>
        <v>43395.99861</v>
      </c>
      <c r="B3028" s="1">
        <f>IFERROR(__xludf.DUMMYFUNCTION("""COMPUTED_VALUE"""),17499.75737)</f>
        <v>17499.75737</v>
      </c>
    </row>
    <row r="3029">
      <c r="A3029" s="3">
        <f>IFERROR(__xludf.DUMMYFUNCTION("""COMPUTED_VALUE"""),43396.99861111111)</f>
        <v>43396.99861</v>
      </c>
      <c r="B3029" s="1">
        <f>IFERROR(__xludf.DUMMYFUNCTION("""COMPUTED_VALUE"""),17417.48211)</f>
        <v>17417.48211</v>
      </c>
    </row>
    <row r="3030">
      <c r="A3030" s="3">
        <f>IFERROR(__xludf.DUMMYFUNCTION("""COMPUTED_VALUE"""),43397.99861111111)</f>
        <v>43397.99861</v>
      </c>
      <c r="B3030" s="1">
        <f>IFERROR(__xludf.DUMMYFUNCTION("""COMPUTED_VALUE"""),17405.09227)</f>
        <v>17405.09227</v>
      </c>
    </row>
    <row r="3031">
      <c r="A3031" s="3">
        <f>IFERROR(__xludf.DUMMYFUNCTION("""COMPUTED_VALUE"""),43398.99861111111)</f>
        <v>43398.99861</v>
      </c>
      <c r="B3031" s="1">
        <f>IFERROR(__xludf.DUMMYFUNCTION("""COMPUTED_VALUE"""),17352.12729)</f>
        <v>17352.12729</v>
      </c>
    </row>
    <row r="3032">
      <c r="A3032" s="3">
        <f>IFERROR(__xludf.DUMMYFUNCTION("""COMPUTED_VALUE"""),43399.99861111111)</f>
        <v>43399.99861</v>
      </c>
      <c r="B3032" s="1">
        <f>IFERROR(__xludf.DUMMYFUNCTION("""COMPUTED_VALUE"""),17352.22238)</f>
        <v>17352.22238</v>
      </c>
    </row>
    <row r="3033">
      <c r="A3033" s="3">
        <f>IFERROR(__xludf.DUMMYFUNCTION("""COMPUTED_VALUE"""),43400.99861111111)</f>
        <v>43400.99861</v>
      </c>
      <c r="B3033" s="1">
        <f>IFERROR(__xludf.DUMMYFUNCTION("""COMPUTED_VALUE"""),17374.383)</f>
        <v>17374.383</v>
      </c>
    </row>
    <row r="3034">
      <c r="A3034" s="3">
        <f>IFERROR(__xludf.DUMMYFUNCTION("""COMPUTED_VALUE"""),43401.99861111111)</f>
        <v>43401.99861</v>
      </c>
      <c r="B3034" s="1">
        <f>IFERROR(__xludf.DUMMYFUNCTION("""COMPUTED_VALUE"""),17333.316)</f>
        <v>17333.316</v>
      </c>
    </row>
    <row r="3035">
      <c r="A3035" s="3">
        <f>IFERROR(__xludf.DUMMYFUNCTION("""COMPUTED_VALUE"""),43402.99861111111)</f>
        <v>43402.99861</v>
      </c>
      <c r="B3035" s="1">
        <f>IFERROR(__xludf.DUMMYFUNCTION("""COMPUTED_VALUE"""),17402.01239)</f>
        <v>17402.01239</v>
      </c>
    </row>
    <row r="3036">
      <c r="A3036" s="3">
        <f>IFERROR(__xludf.DUMMYFUNCTION("""COMPUTED_VALUE"""),43403.99861111111)</f>
        <v>43403.99861</v>
      </c>
      <c r="B3036" s="1">
        <f>IFERROR(__xludf.DUMMYFUNCTION("""COMPUTED_VALUE"""),17328.24833)</f>
        <v>17328.24833</v>
      </c>
    </row>
    <row r="3037">
      <c r="A3037" s="3">
        <f>IFERROR(__xludf.DUMMYFUNCTION("""COMPUTED_VALUE"""),43404.99861111111)</f>
        <v>43404.99861</v>
      </c>
      <c r="B3037" s="1">
        <f>IFERROR(__xludf.DUMMYFUNCTION("""COMPUTED_VALUE"""),17196.09752)</f>
        <v>17196.09752</v>
      </c>
    </row>
    <row r="3038">
      <c r="A3038" s="3">
        <f>IFERROR(__xludf.DUMMYFUNCTION("""COMPUTED_VALUE"""),43405.99861111111)</f>
        <v>43405.99861</v>
      </c>
      <c r="B3038" s="1">
        <f>IFERROR(__xludf.DUMMYFUNCTION("""COMPUTED_VALUE"""),17182.23586)</f>
        <v>17182.23586</v>
      </c>
    </row>
    <row r="3039">
      <c r="A3039" s="3">
        <f>IFERROR(__xludf.DUMMYFUNCTION("""COMPUTED_VALUE"""),43406.99861111111)</f>
        <v>43406.99861</v>
      </c>
      <c r="B3039" s="1">
        <f>IFERROR(__xludf.DUMMYFUNCTION("""COMPUTED_VALUE"""),17019.0102)</f>
        <v>17019.0102</v>
      </c>
    </row>
    <row r="3040">
      <c r="A3040" s="3">
        <f>IFERROR(__xludf.DUMMYFUNCTION("""COMPUTED_VALUE"""),43407.99861111111)</f>
        <v>43407.99861</v>
      </c>
      <c r="B3040" s="1">
        <f>IFERROR(__xludf.DUMMYFUNCTION("""COMPUTED_VALUE"""),17042.279)</f>
        <v>17042.279</v>
      </c>
    </row>
    <row r="3041">
      <c r="A3041" s="3">
        <f>IFERROR(__xludf.DUMMYFUNCTION("""COMPUTED_VALUE"""),43408.99861111111)</f>
        <v>43408.99861</v>
      </c>
      <c r="B3041" s="1">
        <f>IFERROR(__xludf.DUMMYFUNCTION("""COMPUTED_VALUE"""),17030.967)</f>
        <v>17030.967</v>
      </c>
    </row>
    <row r="3042">
      <c r="A3042" s="3">
        <f>IFERROR(__xludf.DUMMYFUNCTION("""COMPUTED_VALUE"""),43409.99861111111)</f>
        <v>43409.99861</v>
      </c>
      <c r="B3042" s="1">
        <f>IFERROR(__xludf.DUMMYFUNCTION("""COMPUTED_VALUE"""),17024.05344)</f>
        <v>17024.05344</v>
      </c>
    </row>
    <row r="3043">
      <c r="A3043" s="3">
        <f>IFERROR(__xludf.DUMMYFUNCTION("""COMPUTED_VALUE"""),43410.99861111111)</f>
        <v>43410.99861</v>
      </c>
      <c r="B3043" s="1">
        <f>IFERROR(__xludf.DUMMYFUNCTION("""COMPUTED_VALUE"""),16962.1091)</f>
        <v>16962.1091</v>
      </c>
    </row>
    <row r="3044">
      <c r="A3044" s="3">
        <f>IFERROR(__xludf.DUMMYFUNCTION("""COMPUTED_VALUE"""),43411.99861111111)</f>
        <v>43411.99861</v>
      </c>
      <c r="B3044" s="1">
        <f>IFERROR(__xludf.DUMMYFUNCTION("""COMPUTED_VALUE"""),16692.38226)</f>
        <v>16692.38226</v>
      </c>
    </row>
    <row r="3045">
      <c r="A3045" s="3">
        <f>IFERROR(__xludf.DUMMYFUNCTION("""COMPUTED_VALUE"""),43412.99861111111)</f>
        <v>43412.99861</v>
      </c>
      <c r="B3045" s="1">
        <f>IFERROR(__xludf.DUMMYFUNCTION("""COMPUTED_VALUE"""),16733.2544)</f>
        <v>16733.2544</v>
      </c>
    </row>
    <row r="3046">
      <c r="A3046" s="3">
        <f>IFERROR(__xludf.DUMMYFUNCTION("""COMPUTED_VALUE"""),43413.99861111111)</f>
        <v>43413.99861</v>
      </c>
      <c r="B3046" s="1">
        <f>IFERROR(__xludf.DUMMYFUNCTION("""COMPUTED_VALUE"""),16638.9808)</f>
        <v>16638.9808</v>
      </c>
    </row>
    <row r="3047">
      <c r="A3047" s="3">
        <f>IFERROR(__xludf.DUMMYFUNCTION("""COMPUTED_VALUE"""),43414.99861111111)</f>
        <v>43414.99861</v>
      </c>
      <c r="B3047" s="1">
        <f>IFERROR(__xludf.DUMMYFUNCTION("""COMPUTED_VALUE"""),16638.9808)</f>
        <v>16638.9808</v>
      </c>
    </row>
    <row r="3048">
      <c r="A3048" s="3">
        <f>IFERROR(__xludf.DUMMYFUNCTION("""COMPUTED_VALUE"""),43415.99861111111)</f>
        <v>43415.99861</v>
      </c>
      <c r="B3048" s="1">
        <f>IFERROR(__xludf.DUMMYFUNCTION("""COMPUTED_VALUE"""),16621.3672)</f>
        <v>16621.3672</v>
      </c>
    </row>
    <row r="3049">
      <c r="A3049" s="3">
        <f>IFERROR(__xludf.DUMMYFUNCTION("""COMPUTED_VALUE"""),43416.99861111111)</f>
        <v>43416.99861</v>
      </c>
      <c r="B3049" s="1">
        <f>IFERROR(__xludf.DUMMYFUNCTION("""COMPUTED_VALUE"""),16620.4992)</f>
        <v>16620.4992</v>
      </c>
    </row>
    <row r="3050">
      <c r="A3050" s="3">
        <f>IFERROR(__xludf.DUMMYFUNCTION("""COMPUTED_VALUE"""),43417.99861111111)</f>
        <v>43417.99861</v>
      </c>
      <c r="B3050" s="1">
        <f>IFERROR(__xludf.DUMMYFUNCTION("""COMPUTED_VALUE"""),16730.87387)</f>
        <v>16730.87387</v>
      </c>
    </row>
    <row r="3051">
      <c r="A3051" s="3">
        <f>IFERROR(__xludf.DUMMYFUNCTION("""COMPUTED_VALUE"""),43418.99861111111)</f>
        <v>43418.99861</v>
      </c>
      <c r="B3051" s="1">
        <f>IFERROR(__xludf.DUMMYFUNCTION("""COMPUTED_VALUE"""),16755.47176)</f>
        <v>16755.47176</v>
      </c>
    </row>
    <row r="3052">
      <c r="A3052" s="3">
        <f>IFERROR(__xludf.DUMMYFUNCTION("""COMPUTED_VALUE"""),43419.99861111111)</f>
        <v>43419.99861</v>
      </c>
      <c r="B3052" s="1">
        <f>IFERROR(__xludf.DUMMYFUNCTION("""COMPUTED_VALUE"""),16491.6915)</f>
        <v>16491.6915</v>
      </c>
    </row>
    <row r="3053">
      <c r="A3053" s="3">
        <f>IFERROR(__xludf.DUMMYFUNCTION("""COMPUTED_VALUE"""),43420.99861111111)</f>
        <v>43420.99861</v>
      </c>
      <c r="B3053" s="1">
        <f>IFERROR(__xludf.DUMMYFUNCTION("""COMPUTED_VALUE"""),16677.4495)</f>
        <v>16677.4495</v>
      </c>
    </row>
    <row r="3054">
      <c r="A3054" s="3">
        <f>IFERROR(__xludf.DUMMYFUNCTION("""COMPUTED_VALUE"""),43421.99861111111)</f>
        <v>43421.99861</v>
      </c>
      <c r="B3054" s="1">
        <f>IFERROR(__xludf.DUMMYFUNCTION("""COMPUTED_VALUE"""),16677.4495)</f>
        <v>16677.4495</v>
      </c>
    </row>
    <row r="3055">
      <c r="A3055" s="3">
        <f>IFERROR(__xludf.DUMMYFUNCTION("""COMPUTED_VALUE"""),43422.99861111111)</f>
        <v>43422.99861</v>
      </c>
      <c r="B3055" s="1">
        <f>IFERROR(__xludf.DUMMYFUNCTION("""COMPUTED_VALUE"""),16668.9786)</f>
        <v>16668.9786</v>
      </c>
    </row>
    <row r="3056">
      <c r="A3056" s="3">
        <f>IFERROR(__xludf.DUMMYFUNCTION("""COMPUTED_VALUE"""),43423.99861111111)</f>
        <v>43423.99861</v>
      </c>
      <c r="B3056" s="1">
        <f>IFERROR(__xludf.DUMMYFUNCTION("""COMPUTED_VALUE"""),16783.3491)</f>
        <v>16783.3491</v>
      </c>
    </row>
    <row r="3057">
      <c r="A3057" s="3">
        <f>IFERROR(__xludf.DUMMYFUNCTION("""COMPUTED_VALUE"""),43424.99861111111)</f>
        <v>43424.99861</v>
      </c>
      <c r="B3057" s="1">
        <f>IFERROR(__xludf.DUMMYFUNCTION("""COMPUTED_VALUE"""),16675.65538)</f>
        <v>16675.65538</v>
      </c>
    </row>
    <row r="3058">
      <c r="A3058" s="3">
        <f>IFERROR(__xludf.DUMMYFUNCTION("""COMPUTED_VALUE"""),43425.99861111111)</f>
        <v>43425.99861</v>
      </c>
      <c r="B3058" s="1">
        <f>IFERROR(__xludf.DUMMYFUNCTION("""COMPUTED_VALUE"""),16660.0588)</f>
        <v>16660.0588</v>
      </c>
    </row>
    <row r="3059">
      <c r="A3059" s="3">
        <f>IFERROR(__xludf.DUMMYFUNCTION("""COMPUTED_VALUE"""),43426.99861111111)</f>
        <v>43426.99861</v>
      </c>
      <c r="B3059" s="1">
        <f>IFERROR(__xludf.DUMMYFUNCTION("""COMPUTED_VALUE"""),16647.504)</f>
        <v>16647.504</v>
      </c>
    </row>
    <row r="3060">
      <c r="A3060" s="3">
        <f>IFERROR(__xludf.DUMMYFUNCTION("""COMPUTED_VALUE"""),43427.99861111111)</f>
        <v>43427.99861</v>
      </c>
      <c r="B3060" s="1">
        <f>IFERROR(__xludf.DUMMYFUNCTION("""COMPUTED_VALUE"""),16481.8753)</f>
        <v>16481.8753</v>
      </c>
    </row>
    <row r="3061">
      <c r="A3061" s="3">
        <f>IFERROR(__xludf.DUMMYFUNCTION("""COMPUTED_VALUE"""),43428.99861111111)</f>
        <v>43428.99861</v>
      </c>
      <c r="B3061" s="1">
        <f>IFERROR(__xludf.DUMMYFUNCTION("""COMPUTED_VALUE"""),16502.09557)</f>
        <v>16502.09557</v>
      </c>
    </row>
    <row r="3062">
      <c r="A3062" s="3">
        <f>IFERROR(__xludf.DUMMYFUNCTION("""COMPUTED_VALUE"""),43429.99861111111)</f>
        <v>43429.99861</v>
      </c>
      <c r="B3062" s="1">
        <f>IFERROR(__xludf.DUMMYFUNCTION("""COMPUTED_VALUE"""),16475.04479)</f>
        <v>16475.04479</v>
      </c>
    </row>
    <row r="3063">
      <c r="A3063" s="3">
        <f>IFERROR(__xludf.DUMMYFUNCTION("""COMPUTED_VALUE"""),43430.99861111111)</f>
        <v>43430.99861</v>
      </c>
      <c r="B3063" s="1">
        <f>IFERROR(__xludf.DUMMYFUNCTION("""COMPUTED_VALUE"""),16462.89996)</f>
        <v>16462.89996</v>
      </c>
    </row>
    <row r="3064">
      <c r="A3064" s="3">
        <f>IFERROR(__xludf.DUMMYFUNCTION("""COMPUTED_VALUE"""),43431.99861111111)</f>
        <v>43431.99861</v>
      </c>
      <c r="B3064" s="1">
        <f>IFERROR(__xludf.DUMMYFUNCTION("""COMPUTED_VALUE"""),16465.94235)</f>
        <v>16465.94235</v>
      </c>
    </row>
    <row r="3065">
      <c r="A3065" s="3">
        <f>IFERROR(__xludf.DUMMYFUNCTION("""COMPUTED_VALUE"""),43432.99861111111)</f>
        <v>43432.99861</v>
      </c>
      <c r="B3065" s="1">
        <f>IFERROR(__xludf.DUMMYFUNCTION("""COMPUTED_VALUE"""),16437.90064)</f>
        <v>16437.90064</v>
      </c>
    </row>
    <row r="3066">
      <c r="A3066" s="3">
        <f>IFERROR(__xludf.DUMMYFUNCTION("""COMPUTED_VALUE"""),43433.99861111111)</f>
        <v>43433.99861</v>
      </c>
      <c r="B3066" s="1">
        <f>IFERROR(__xludf.DUMMYFUNCTION("""COMPUTED_VALUE"""),16354.3552)</f>
        <v>16354.3552</v>
      </c>
    </row>
    <row r="3067">
      <c r="A3067" s="3">
        <f>IFERROR(__xludf.DUMMYFUNCTION("""COMPUTED_VALUE"""),43434.99861111111)</f>
        <v>43434.99861</v>
      </c>
      <c r="B3067" s="1">
        <f>IFERROR(__xludf.DUMMYFUNCTION("""COMPUTED_VALUE"""),16205.0778)</f>
        <v>16205.0778</v>
      </c>
    </row>
    <row r="3068">
      <c r="A3068" s="3">
        <f>IFERROR(__xludf.DUMMYFUNCTION("""COMPUTED_VALUE"""),43435.99861111111)</f>
        <v>43435.99861</v>
      </c>
      <c r="B3068" s="1">
        <f>IFERROR(__xludf.DUMMYFUNCTION("""COMPUTED_VALUE"""),16290.78019)</f>
        <v>16290.78019</v>
      </c>
    </row>
    <row r="3069">
      <c r="A3069" s="3">
        <f>IFERROR(__xludf.DUMMYFUNCTION("""COMPUTED_VALUE"""),43436.99861111111)</f>
        <v>43436.99861</v>
      </c>
      <c r="B3069" s="1">
        <f>IFERROR(__xludf.DUMMYFUNCTION("""COMPUTED_VALUE"""),16213.66544)</f>
        <v>16213.66544</v>
      </c>
    </row>
    <row r="3070">
      <c r="A3070" s="3">
        <f>IFERROR(__xludf.DUMMYFUNCTION("""COMPUTED_VALUE"""),43437.99861111111)</f>
        <v>43437.99861</v>
      </c>
      <c r="B3070" s="1">
        <f>IFERROR(__xludf.DUMMYFUNCTION("""COMPUTED_VALUE"""),16188.0)</f>
        <v>16188</v>
      </c>
    </row>
    <row r="3071">
      <c r="A3071" s="3">
        <f>IFERROR(__xludf.DUMMYFUNCTION("""COMPUTED_VALUE"""),43438.99861111111)</f>
        <v>43438.99861</v>
      </c>
      <c r="B3071" s="1">
        <f>IFERROR(__xludf.DUMMYFUNCTION("""COMPUTED_VALUE"""),16140.8)</f>
        <v>16140.8</v>
      </c>
    </row>
    <row r="3072">
      <c r="A3072" s="3">
        <f>IFERROR(__xludf.DUMMYFUNCTION("""COMPUTED_VALUE"""),43439.99861111111)</f>
        <v>43439.99861</v>
      </c>
      <c r="B3072" s="1">
        <f>IFERROR(__xludf.DUMMYFUNCTION("""COMPUTED_VALUE"""),16165.0)</f>
        <v>16165</v>
      </c>
    </row>
    <row r="3073">
      <c r="A3073" s="3">
        <f>IFERROR(__xludf.DUMMYFUNCTION("""COMPUTED_VALUE"""),43440.99861111111)</f>
        <v>43440.99861</v>
      </c>
      <c r="B3073" s="1">
        <f>IFERROR(__xludf.DUMMYFUNCTION("""COMPUTED_VALUE"""),16345.5)</f>
        <v>16345.5</v>
      </c>
    </row>
    <row r="3074">
      <c r="A3074" s="3">
        <f>IFERROR(__xludf.DUMMYFUNCTION("""COMPUTED_VALUE"""),43441.99861111111)</f>
        <v>43441.99861</v>
      </c>
      <c r="B3074" s="1">
        <f>IFERROR(__xludf.DUMMYFUNCTION("""COMPUTED_VALUE"""),16483.0)</f>
        <v>16483</v>
      </c>
    </row>
    <row r="3075">
      <c r="A3075" s="3">
        <f>IFERROR(__xludf.DUMMYFUNCTION("""COMPUTED_VALUE"""),43442.99861111111)</f>
        <v>43442.99861</v>
      </c>
      <c r="B3075" s="1">
        <f>IFERROR(__xludf.DUMMYFUNCTION("""COMPUTED_VALUE"""),16490.09244)</f>
        <v>16490.09244</v>
      </c>
    </row>
    <row r="3076">
      <c r="A3076" s="3">
        <f>IFERROR(__xludf.DUMMYFUNCTION("""COMPUTED_VALUE"""),43443.99861111111)</f>
        <v>43443.99861</v>
      </c>
      <c r="B3076" s="1">
        <f>IFERROR(__xludf.DUMMYFUNCTION("""COMPUTED_VALUE"""),16487.67537)</f>
        <v>16487.67537</v>
      </c>
    </row>
    <row r="3077">
      <c r="A3077" s="3">
        <f>IFERROR(__xludf.DUMMYFUNCTION("""COMPUTED_VALUE"""),43444.99861111111)</f>
        <v>43444.99861</v>
      </c>
      <c r="B3077" s="1">
        <f>IFERROR(__xludf.DUMMYFUNCTION("""COMPUTED_VALUE"""),16483.0)</f>
        <v>16483</v>
      </c>
    </row>
    <row r="3078">
      <c r="A3078" s="3">
        <f>IFERROR(__xludf.DUMMYFUNCTION("""COMPUTED_VALUE"""),43445.99861111111)</f>
        <v>43445.99861</v>
      </c>
      <c r="B3078" s="1">
        <f>IFERROR(__xludf.DUMMYFUNCTION("""COMPUTED_VALUE"""),16543.0)</f>
        <v>16543</v>
      </c>
    </row>
    <row r="3079">
      <c r="A3079" s="3">
        <f>IFERROR(__xludf.DUMMYFUNCTION("""COMPUTED_VALUE"""),43446.99861111111)</f>
        <v>43446.99861</v>
      </c>
      <c r="B3079" s="1">
        <f>IFERROR(__xludf.DUMMYFUNCTION("""COMPUTED_VALUE"""),16585.0)</f>
        <v>16585</v>
      </c>
    </row>
    <row r="3080">
      <c r="A3080" s="3">
        <f>IFERROR(__xludf.DUMMYFUNCTION("""COMPUTED_VALUE"""),43447.99861111111)</f>
        <v>43447.99861</v>
      </c>
      <c r="B3080" s="1">
        <f>IFERROR(__xludf.DUMMYFUNCTION("""COMPUTED_VALUE"""),16585.0)</f>
        <v>16585</v>
      </c>
    </row>
    <row r="3081">
      <c r="A3081" s="3">
        <f>IFERROR(__xludf.DUMMYFUNCTION("""COMPUTED_VALUE"""),43448.99861111111)</f>
        <v>43448.99861</v>
      </c>
      <c r="B3081" s="1">
        <f>IFERROR(__xludf.DUMMYFUNCTION("""COMPUTED_VALUE"""),16483.0)</f>
        <v>16483</v>
      </c>
    </row>
    <row r="3082">
      <c r="A3082" s="3">
        <f>IFERROR(__xludf.DUMMYFUNCTION("""COMPUTED_VALUE"""),43449.99861111111)</f>
        <v>43449.99861</v>
      </c>
      <c r="B3082" s="1">
        <f>IFERROR(__xludf.DUMMYFUNCTION("""COMPUTED_VALUE"""),16490.14829)</f>
        <v>16490.14829</v>
      </c>
    </row>
    <row r="3083">
      <c r="A3083" s="3">
        <f>IFERROR(__xludf.DUMMYFUNCTION("""COMPUTED_VALUE"""),43450.99861111111)</f>
        <v>43450.99861</v>
      </c>
      <c r="B3083" s="1">
        <f>IFERROR(__xludf.DUMMYFUNCTION("""COMPUTED_VALUE"""),16480.28322)</f>
        <v>16480.28322</v>
      </c>
    </row>
    <row r="3084">
      <c r="A3084" s="3">
        <f>IFERROR(__xludf.DUMMYFUNCTION("""COMPUTED_VALUE"""),43451.99861111111)</f>
        <v>43451.99861</v>
      </c>
      <c r="B3084" s="1">
        <f>IFERROR(__xludf.DUMMYFUNCTION("""COMPUTED_VALUE"""),16546.0)</f>
        <v>16546</v>
      </c>
    </row>
    <row r="3085">
      <c r="A3085" s="3">
        <f>IFERROR(__xludf.DUMMYFUNCTION("""COMPUTED_VALUE"""),43452.99861111111)</f>
        <v>43452.99861</v>
      </c>
      <c r="B3085" s="1">
        <f>IFERROR(__xludf.DUMMYFUNCTION("""COMPUTED_VALUE"""),16543.0)</f>
        <v>16543</v>
      </c>
    </row>
    <row r="3086">
      <c r="A3086" s="3">
        <f>IFERROR(__xludf.DUMMYFUNCTION("""COMPUTED_VALUE"""),43453.99861111111)</f>
        <v>43453.99861</v>
      </c>
      <c r="B3086" s="1">
        <f>IFERROR(__xludf.DUMMYFUNCTION("""COMPUTED_VALUE"""),16495.0)</f>
        <v>16495</v>
      </c>
    </row>
    <row r="3087">
      <c r="A3087" s="3">
        <f>IFERROR(__xludf.DUMMYFUNCTION("""COMPUTED_VALUE"""),43454.99861111111)</f>
        <v>43454.99861</v>
      </c>
      <c r="B3087" s="1">
        <f>IFERROR(__xludf.DUMMYFUNCTION("""COMPUTED_VALUE"""),16469.9)</f>
        <v>16469.9</v>
      </c>
    </row>
    <row r="3088">
      <c r="A3088" s="3">
        <f>IFERROR(__xludf.DUMMYFUNCTION("""COMPUTED_VALUE"""),43455.99861111111)</f>
        <v>43455.99861</v>
      </c>
      <c r="B3088" s="1">
        <f>IFERROR(__xludf.DUMMYFUNCTION("""COMPUTED_VALUE"""),16579.0)</f>
        <v>16579</v>
      </c>
    </row>
    <row r="3089">
      <c r="A3089" s="3">
        <f>IFERROR(__xludf.DUMMYFUNCTION("""COMPUTED_VALUE"""),43456.99861111111)</f>
        <v>43456.99861</v>
      </c>
      <c r="B3089" s="1">
        <f>IFERROR(__xludf.DUMMYFUNCTION("""COMPUTED_VALUE"""),16558.5336)</f>
        <v>16558.5336</v>
      </c>
    </row>
    <row r="3090">
      <c r="A3090" s="3">
        <f>IFERROR(__xludf.DUMMYFUNCTION("""COMPUTED_VALUE"""),43457.99861111111)</f>
        <v>43457.99861</v>
      </c>
      <c r="B3090" s="1">
        <f>IFERROR(__xludf.DUMMYFUNCTION("""COMPUTED_VALUE"""),16544.13108)</f>
        <v>16544.13108</v>
      </c>
    </row>
    <row r="3091">
      <c r="A3091" s="3">
        <f>IFERROR(__xludf.DUMMYFUNCTION("""COMPUTED_VALUE"""),43458.99861111111)</f>
        <v>43458.99861</v>
      </c>
      <c r="B3091" s="1">
        <f>IFERROR(__xludf.DUMMYFUNCTION("""COMPUTED_VALUE"""),16584.72)</f>
        <v>16584.72</v>
      </c>
    </row>
    <row r="3092">
      <c r="A3092" s="3">
        <f>IFERROR(__xludf.DUMMYFUNCTION("""COMPUTED_VALUE"""),43459.99861111111)</f>
        <v>43459.99861</v>
      </c>
      <c r="B3092" s="1">
        <f>IFERROR(__xludf.DUMMYFUNCTION("""COMPUTED_VALUE"""),16588.8)</f>
        <v>16588.8</v>
      </c>
    </row>
    <row r="3093">
      <c r="A3093" s="3">
        <f>IFERROR(__xludf.DUMMYFUNCTION("""COMPUTED_VALUE"""),43460.99861111111)</f>
        <v>43460.99861</v>
      </c>
      <c r="B3093" s="1">
        <f>IFERROR(__xludf.DUMMYFUNCTION("""COMPUTED_VALUE"""),16547.0)</f>
        <v>16547</v>
      </c>
    </row>
    <row r="3094">
      <c r="A3094" s="3">
        <f>IFERROR(__xludf.DUMMYFUNCTION("""COMPUTED_VALUE"""),43461.99861111111)</f>
        <v>43461.99861</v>
      </c>
      <c r="B3094" s="1">
        <f>IFERROR(__xludf.DUMMYFUNCTION("""COMPUTED_VALUE"""),16670.0)</f>
        <v>16670</v>
      </c>
    </row>
    <row r="3095">
      <c r="A3095" s="3">
        <f>IFERROR(__xludf.DUMMYFUNCTION("""COMPUTED_VALUE"""),43462.99861111111)</f>
        <v>43462.99861</v>
      </c>
      <c r="B3095" s="1">
        <f>IFERROR(__xludf.DUMMYFUNCTION("""COMPUTED_VALUE"""),16657.0)</f>
        <v>16657</v>
      </c>
    </row>
    <row r="3096">
      <c r="A3096" s="3">
        <f>IFERROR(__xludf.DUMMYFUNCTION("""COMPUTED_VALUE"""),43463.99861111111)</f>
        <v>43463.99861</v>
      </c>
      <c r="B3096" s="1">
        <f>IFERROR(__xludf.DUMMYFUNCTION("""COMPUTED_VALUE"""),16673.62103)</f>
        <v>16673.62103</v>
      </c>
    </row>
    <row r="3097">
      <c r="A3097" s="3">
        <f>IFERROR(__xludf.DUMMYFUNCTION("""COMPUTED_VALUE"""),43464.99861111111)</f>
        <v>43464.99861</v>
      </c>
      <c r="B3097" s="1">
        <f>IFERROR(__xludf.DUMMYFUNCTION("""COMPUTED_VALUE"""),16647.1767)</f>
        <v>16647.1767</v>
      </c>
    </row>
    <row r="3098">
      <c r="A3098" s="3">
        <f>IFERROR(__xludf.DUMMYFUNCTION("""COMPUTED_VALUE"""),43465.99861111111)</f>
        <v>43465.99861</v>
      </c>
      <c r="B3098" s="1">
        <f>IFERROR(__xludf.DUMMYFUNCTION("""COMPUTED_VALUE"""),16657.0)</f>
        <v>16657</v>
      </c>
    </row>
    <row r="3099">
      <c r="A3099" s="3">
        <f>IFERROR(__xludf.DUMMYFUNCTION("""COMPUTED_VALUE"""),43466.99861111111)</f>
        <v>43466.99861</v>
      </c>
      <c r="B3099" s="1">
        <f>IFERROR(__xludf.DUMMYFUNCTION("""COMPUTED_VALUE"""),16572.3168)</f>
        <v>16572.3168</v>
      </c>
    </row>
    <row r="3100">
      <c r="A3100" s="3">
        <f>IFERROR(__xludf.DUMMYFUNCTION("""COMPUTED_VALUE"""),43467.99861111111)</f>
        <v>43467.99861</v>
      </c>
      <c r="B3100" s="1">
        <f>IFERROR(__xludf.DUMMYFUNCTION("""COMPUTED_VALUE"""),16387.0)</f>
        <v>16387</v>
      </c>
    </row>
    <row r="3101">
      <c r="A3101" s="3">
        <f>IFERROR(__xludf.DUMMYFUNCTION("""COMPUTED_VALUE"""),43468.99861111111)</f>
        <v>43468.99861</v>
      </c>
      <c r="B3101" s="1">
        <f>IFERROR(__xludf.DUMMYFUNCTION("""COMPUTED_VALUE"""),16416.0)</f>
        <v>16416</v>
      </c>
    </row>
    <row r="3102">
      <c r="A3102" s="3">
        <f>IFERROR(__xludf.DUMMYFUNCTION("""COMPUTED_VALUE"""),43469.99861111111)</f>
        <v>43469.99861</v>
      </c>
      <c r="B3102" s="1">
        <f>IFERROR(__xludf.DUMMYFUNCTION("""COMPUTED_VALUE"""),16345.5)</f>
        <v>16345.5</v>
      </c>
    </row>
    <row r="3103">
      <c r="A3103" s="3">
        <f>IFERROR(__xludf.DUMMYFUNCTION("""COMPUTED_VALUE"""),43470.99861111111)</f>
        <v>43470.99861</v>
      </c>
      <c r="B3103" s="1">
        <f>IFERROR(__xludf.DUMMYFUNCTION("""COMPUTED_VALUE"""),16201.1286)</f>
        <v>16201.1286</v>
      </c>
    </row>
    <row r="3104">
      <c r="A3104" s="3">
        <f>IFERROR(__xludf.DUMMYFUNCTION("""COMPUTED_VALUE"""),43471.99861111111)</f>
        <v>43471.99861</v>
      </c>
      <c r="B3104" s="1">
        <f>IFERROR(__xludf.DUMMYFUNCTION("""COMPUTED_VALUE"""),16278.21899)</f>
        <v>16278.21899</v>
      </c>
    </row>
    <row r="3105">
      <c r="A3105" s="3">
        <f>IFERROR(__xludf.DUMMYFUNCTION("""COMPUTED_VALUE"""),43472.99861111111)</f>
        <v>43472.99861</v>
      </c>
      <c r="B3105" s="1">
        <f>IFERROR(__xludf.DUMMYFUNCTION("""COMPUTED_VALUE"""),16165.0)</f>
        <v>16165</v>
      </c>
    </row>
    <row r="3106">
      <c r="A3106" s="3">
        <f>IFERROR(__xludf.DUMMYFUNCTION("""COMPUTED_VALUE"""),43473.99861111111)</f>
        <v>43473.99861</v>
      </c>
      <c r="B3106" s="1">
        <f>IFERROR(__xludf.DUMMYFUNCTION("""COMPUTED_VALUE"""),16195.64452)</f>
        <v>16195.64452</v>
      </c>
    </row>
    <row r="3107">
      <c r="A3107" s="3">
        <f>IFERROR(__xludf.DUMMYFUNCTION("""COMPUTED_VALUE"""),43474.99861111111)</f>
        <v>43474.99861</v>
      </c>
      <c r="B3107" s="1">
        <f>IFERROR(__xludf.DUMMYFUNCTION("""COMPUTED_VALUE"""),16326.0846)</f>
        <v>16326.0846</v>
      </c>
    </row>
    <row r="3108">
      <c r="A3108" s="3">
        <f>IFERROR(__xludf.DUMMYFUNCTION("""COMPUTED_VALUE"""),43475.99861111111)</f>
        <v>43475.99861</v>
      </c>
      <c r="B3108" s="1">
        <f>IFERROR(__xludf.DUMMYFUNCTION("""COMPUTED_VALUE"""),16165.0336)</f>
        <v>16165.0336</v>
      </c>
    </row>
    <row r="3109">
      <c r="A3109" s="3">
        <f>IFERROR(__xludf.DUMMYFUNCTION("""COMPUTED_VALUE"""),43476.99861111111)</f>
        <v>43476.99861</v>
      </c>
      <c r="B3109" s="1">
        <f>IFERROR(__xludf.DUMMYFUNCTION("""COMPUTED_VALUE"""),16187.0)</f>
        <v>16187</v>
      </c>
    </row>
    <row r="3110">
      <c r="A3110" s="3">
        <f>IFERROR(__xludf.DUMMYFUNCTION("""COMPUTED_VALUE"""),43477.99861111111)</f>
        <v>43477.99861</v>
      </c>
      <c r="B3110" s="1">
        <f>IFERROR(__xludf.DUMMYFUNCTION("""COMPUTED_VALUE"""),16098.7784)</f>
        <v>16098.7784</v>
      </c>
    </row>
    <row r="3111">
      <c r="A3111" s="3">
        <f>IFERROR(__xludf.DUMMYFUNCTION("""COMPUTED_VALUE"""),43478.99861111111)</f>
        <v>43478.99861</v>
      </c>
      <c r="B3111" s="1">
        <f>IFERROR(__xludf.DUMMYFUNCTION("""COMPUTED_VALUE"""),16087.548)</f>
        <v>16087.548</v>
      </c>
    </row>
    <row r="3112">
      <c r="A3112" s="3">
        <f>IFERROR(__xludf.DUMMYFUNCTION("""COMPUTED_VALUE"""),43479.99861111111)</f>
        <v>43479.99861</v>
      </c>
      <c r="B3112" s="1">
        <f>IFERROR(__xludf.DUMMYFUNCTION("""COMPUTED_VALUE"""),16209.0)</f>
        <v>16209</v>
      </c>
    </row>
    <row r="3113">
      <c r="A3113" s="3">
        <f>IFERROR(__xludf.DUMMYFUNCTION("""COMPUTED_VALUE"""),43480.99861111111)</f>
        <v>43480.99861</v>
      </c>
      <c r="B3113" s="1">
        <f>IFERROR(__xludf.DUMMYFUNCTION("""COMPUTED_VALUE"""),16083.0)</f>
        <v>16083</v>
      </c>
    </row>
    <row r="3114">
      <c r="A3114" s="3">
        <f>IFERROR(__xludf.DUMMYFUNCTION("""COMPUTED_VALUE"""),43481.99861111111)</f>
        <v>43481.99861</v>
      </c>
      <c r="B3114" s="1">
        <f>IFERROR(__xludf.DUMMYFUNCTION("""COMPUTED_VALUE"""),16104.0)</f>
        <v>16104</v>
      </c>
    </row>
    <row r="3115">
      <c r="A3115" s="3">
        <f>IFERROR(__xludf.DUMMYFUNCTION("""COMPUTED_VALUE"""),43482.99861111111)</f>
        <v>43482.99861</v>
      </c>
      <c r="B3115" s="1">
        <f>IFERROR(__xludf.DUMMYFUNCTION("""COMPUTED_VALUE"""),16104.0)</f>
        <v>16104</v>
      </c>
    </row>
    <row r="3116">
      <c r="A3116" s="3">
        <f>IFERROR(__xludf.DUMMYFUNCTION("""COMPUTED_VALUE"""),43483.99861111111)</f>
        <v>43483.99861</v>
      </c>
      <c r="B3116" s="1">
        <f>IFERROR(__xludf.DUMMYFUNCTION("""COMPUTED_VALUE"""),16100.0)</f>
        <v>16100</v>
      </c>
    </row>
    <row r="3117">
      <c r="A3117" s="3">
        <f>IFERROR(__xludf.DUMMYFUNCTION("""COMPUTED_VALUE"""),43484.99861111111)</f>
        <v>43484.99861</v>
      </c>
      <c r="B3117" s="1">
        <f>IFERROR(__xludf.DUMMYFUNCTION("""COMPUTED_VALUE"""),16107.00876)</f>
        <v>16107.00876</v>
      </c>
    </row>
    <row r="3118">
      <c r="A3118" s="3">
        <f>IFERROR(__xludf.DUMMYFUNCTION("""COMPUTED_VALUE"""),43485.99861111111)</f>
        <v>43485.99861</v>
      </c>
      <c r="B3118" s="1">
        <f>IFERROR(__xludf.DUMMYFUNCTION("""COMPUTED_VALUE"""),16101.64864)</f>
        <v>16101.64864</v>
      </c>
    </row>
    <row r="3119">
      <c r="A3119" s="3">
        <f>IFERROR(__xludf.DUMMYFUNCTION("""COMPUTED_VALUE"""),43486.99861111111)</f>
        <v>43486.99861</v>
      </c>
      <c r="B3119" s="1">
        <f>IFERROR(__xludf.DUMMYFUNCTION("""COMPUTED_VALUE"""),16169.1)</f>
        <v>16169.1</v>
      </c>
    </row>
    <row r="3120">
      <c r="A3120" s="3">
        <f>IFERROR(__xludf.DUMMYFUNCTION("""COMPUTED_VALUE"""),43487.99861111111)</f>
        <v>43487.99861</v>
      </c>
      <c r="B3120" s="1">
        <f>IFERROR(__xludf.DUMMYFUNCTION("""COMPUTED_VALUE"""),16160.0)</f>
        <v>16160</v>
      </c>
    </row>
    <row r="3121">
      <c r="A3121" s="3">
        <f>IFERROR(__xludf.DUMMYFUNCTION("""COMPUTED_VALUE"""),43488.99861111111)</f>
        <v>43488.99861</v>
      </c>
      <c r="B3121" s="1">
        <f>IFERROR(__xludf.DUMMYFUNCTION("""COMPUTED_VALUE"""),16153.0)</f>
        <v>16153</v>
      </c>
    </row>
    <row r="3122">
      <c r="A3122" s="3">
        <f>IFERROR(__xludf.DUMMYFUNCTION("""COMPUTED_VALUE"""),43489.99861111111)</f>
        <v>43489.99861</v>
      </c>
      <c r="B3122" s="1">
        <f>IFERROR(__xludf.DUMMYFUNCTION("""COMPUTED_VALUE"""),16049.1779)</f>
        <v>16049.1779</v>
      </c>
    </row>
    <row r="3123">
      <c r="A3123" s="3">
        <f>IFERROR(__xludf.DUMMYFUNCTION("""COMPUTED_VALUE"""),43490.99861111111)</f>
        <v>43490.99861</v>
      </c>
      <c r="B3123" s="1">
        <f>IFERROR(__xludf.DUMMYFUNCTION("""COMPUTED_VALUE"""),16003.0)</f>
        <v>16003</v>
      </c>
    </row>
    <row r="3124">
      <c r="A3124" s="3">
        <f>IFERROR(__xludf.DUMMYFUNCTION("""COMPUTED_VALUE"""),43491.99861111111)</f>
        <v>43491.99861</v>
      </c>
      <c r="B3124" s="1">
        <f>IFERROR(__xludf.DUMMYFUNCTION("""COMPUTED_VALUE"""),15981.3)</f>
        <v>15981.3</v>
      </c>
    </row>
    <row r="3125">
      <c r="A3125" s="3">
        <f>IFERROR(__xludf.DUMMYFUNCTION("""COMPUTED_VALUE"""),43492.99861111111)</f>
        <v>43492.99861</v>
      </c>
      <c r="B3125" s="1">
        <f>IFERROR(__xludf.DUMMYFUNCTION("""COMPUTED_VALUE"""),16066.37672)</f>
        <v>16066.37672</v>
      </c>
    </row>
    <row r="3126">
      <c r="A3126" s="3">
        <f>IFERROR(__xludf.DUMMYFUNCTION("""COMPUTED_VALUE"""),43493.99861111111)</f>
        <v>43493.99861</v>
      </c>
      <c r="B3126" s="1">
        <f>IFERROR(__xludf.DUMMYFUNCTION("""COMPUTED_VALUE"""),16049.6)</f>
        <v>16049.6</v>
      </c>
    </row>
    <row r="3127">
      <c r="A3127" s="3">
        <f>IFERROR(__xludf.DUMMYFUNCTION("""COMPUTED_VALUE"""),43494.99861111111)</f>
        <v>43494.99861</v>
      </c>
      <c r="B3127" s="1">
        <f>IFERROR(__xludf.DUMMYFUNCTION("""COMPUTED_VALUE"""),16105.0)</f>
        <v>16105</v>
      </c>
    </row>
    <row r="3128">
      <c r="A3128" s="3">
        <f>IFERROR(__xludf.DUMMYFUNCTION("""COMPUTED_VALUE"""),43495.99861111111)</f>
        <v>43495.99861</v>
      </c>
      <c r="B3128" s="1">
        <f>IFERROR(__xludf.DUMMYFUNCTION("""COMPUTED_VALUE"""),16115.4972)</f>
        <v>16115.4972</v>
      </c>
    </row>
    <row r="3129">
      <c r="A3129" s="3">
        <f>IFERROR(__xludf.DUMMYFUNCTION("""COMPUTED_VALUE"""),43496.99861111111)</f>
        <v>43496.99861</v>
      </c>
      <c r="B3129" s="1">
        <f>IFERROR(__xludf.DUMMYFUNCTION("""COMPUTED_VALUE"""),15988.2768)</f>
        <v>15988.2768</v>
      </c>
    </row>
    <row r="3130">
      <c r="A3130" s="3">
        <f>IFERROR(__xludf.DUMMYFUNCTION("""COMPUTED_VALUE"""),43497.99861111111)</f>
        <v>43497.99861</v>
      </c>
      <c r="B3130" s="1">
        <f>IFERROR(__xludf.DUMMYFUNCTION("""COMPUTED_VALUE"""),15988.1)</f>
        <v>15988.1</v>
      </c>
    </row>
    <row r="3131">
      <c r="A3131" s="3">
        <f>IFERROR(__xludf.DUMMYFUNCTION("""COMPUTED_VALUE"""),43498.99861111111)</f>
        <v>43498.99861</v>
      </c>
      <c r="B3131" s="1">
        <f>IFERROR(__xludf.DUMMYFUNCTION("""COMPUTED_VALUE"""),15985.13211)</f>
        <v>15985.13211</v>
      </c>
    </row>
    <row r="3132">
      <c r="A3132" s="3">
        <f>IFERROR(__xludf.DUMMYFUNCTION("""COMPUTED_VALUE"""),43499.99861111111)</f>
        <v>43499.99861</v>
      </c>
      <c r="B3132" s="1">
        <f>IFERROR(__xludf.DUMMYFUNCTION("""COMPUTED_VALUE"""),15959.41552)</f>
        <v>15959.41552</v>
      </c>
    </row>
    <row r="3133">
      <c r="A3133" s="3">
        <f>IFERROR(__xludf.DUMMYFUNCTION("""COMPUTED_VALUE"""),43500.99861111111)</f>
        <v>43500.99861</v>
      </c>
      <c r="B3133" s="1">
        <f>IFERROR(__xludf.DUMMYFUNCTION("""COMPUTED_VALUE"""),15988.1)</f>
        <v>15988.1</v>
      </c>
    </row>
    <row r="3134">
      <c r="A3134" s="3">
        <f>IFERROR(__xludf.DUMMYFUNCTION("""COMPUTED_VALUE"""),43501.99861111111)</f>
        <v>43501.99861</v>
      </c>
      <c r="B3134" s="1">
        <f>IFERROR(__xludf.DUMMYFUNCTION("""COMPUTED_VALUE"""),15916.12545)</f>
        <v>15916.12545</v>
      </c>
    </row>
    <row r="3135">
      <c r="A3135" s="3">
        <f>IFERROR(__xludf.DUMMYFUNCTION("""COMPUTED_VALUE"""),43502.99861111111)</f>
        <v>43502.99861</v>
      </c>
      <c r="B3135" s="1">
        <f>IFERROR(__xludf.DUMMYFUNCTION("""COMPUTED_VALUE"""),15938.6)</f>
        <v>15938.6</v>
      </c>
    </row>
    <row r="3136">
      <c r="A3136" s="3">
        <f>IFERROR(__xludf.DUMMYFUNCTION("""COMPUTED_VALUE"""),43503.99861111111)</f>
        <v>43503.99861</v>
      </c>
      <c r="B3136" s="1">
        <f>IFERROR(__xludf.DUMMYFUNCTION("""COMPUTED_VALUE"""),15820.0)</f>
        <v>15820</v>
      </c>
    </row>
    <row r="3137">
      <c r="A3137" s="3">
        <f>IFERROR(__xludf.DUMMYFUNCTION("""COMPUTED_VALUE"""),43504.99861111111)</f>
        <v>43504.99861</v>
      </c>
      <c r="B3137" s="1">
        <f>IFERROR(__xludf.DUMMYFUNCTION("""COMPUTED_VALUE"""),15902.39538)</f>
        <v>15902.39538</v>
      </c>
    </row>
    <row r="3138">
      <c r="A3138" s="3">
        <f>IFERROR(__xludf.DUMMYFUNCTION("""COMPUTED_VALUE"""),43505.99861111111)</f>
        <v>43505.99861</v>
      </c>
      <c r="B3138" s="1">
        <f>IFERROR(__xludf.DUMMYFUNCTION("""COMPUTED_VALUE"""),15835.4)</f>
        <v>15835.4</v>
      </c>
    </row>
    <row r="3139">
      <c r="A3139" s="3">
        <f>IFERROR(__xludf.DUMMYFUNCTION("""COMPUTED_VALUE"""),43506.99861111111)</f>
        <v>43506.99861</v>
      </c>
      <c r="B3139" s="1">
        <f>IFERROR(__xludf.DUMMYFUNCTION("""COMPUTED_VALUE"""),15805.3413)</f>
        <v>15805.3413</v>
      </c>
    </row>
    <row r="3140">
      <c r="A3140" s="3">
        <f>IFERROR(__xludf.DUMMYFUNCTION("""COMPUTED_VALUE"""),43507.99861111111)</f>
        <v>43507.99861</v>
      </c>
      <c r="B3140" s="1">
        <f>IFERROR(__xludf.DUMMYFUNCTION("""COMPUTED_VALUE"""),15835.4)</f>
        <v>15835.4</v>
      </c>
    </row>
    <row r="3141">
      <c r="A3141" s="3">
        <f>IFERROR(__xludf.DUMMYFUNCTION("""COMPUTED_VALUE"""),43508.99861111111)</f>
        <v>43508.99861</v>
      </c>
      <c r="B3141" s="1">
        <f>IFERROR(__xludf.DUMMYFUNCTION("""COMPUTED_VALUE"""),15872.6)</f>
        <v>15872.6</v>
      </c>
    </row>
    <row r="3142">
      <c r="A3142" s="3">
        <f>IFERROR(__xludf.DUMMYFUNCTION("""COMPUTED_VALUE"""),43509.99861111111)</f>
        <v>43509.99861</v>
      </c>
      <c r="B3142" s="1">
        <f>IFERROR(__xludf.DUMMYFUNCTION("""COMPUTED_VALUE"""),15939.96942)</f>
        <v>15939.96942</v>
      </c>
    </row>
    <row r="3143">
      <c r="A3143" s="3">
        <f>IFERROR(__xludf.DUMMYFUNCTION("""COMPUTED_VALUE"""),43510.99861111111)</f>
        <v>43510.99861</v>
      </c>
      <c r="B3143" s="1">
        <f>IFERROR(__xludf.DUMMYFUNCTION("""COMPUTED_VALUE"""),15911.0)</f>
        <v>15911</v>
      </c>
    </row>
    <row r="3144">
      <c r="A3144" s="3">
        <f>IFERROR(__xludf.DUMMYFUNCTION("""COMPUTED_VALUE"""),43511.99861111111)</f>
        <v>43511.99861</v>
      </c>
      <c r="B3144" s="1">
        <f>IFERROR(__xludf.DUMMYFUNCTION("""COMPUTED_VALUE"""),15930.6939)</f>
        <v>15930.6939</v>
      </c>
    </row>
    <row r="3145">
      <c r="A3145" s="3">
        <f>IFERROR(__xludf.DUMMYFUNCTION("""COMPUTED_VALUE"""),43512.99861111111)</f>
        <v>43512.99861</v>
      </c>
      <c r="B3145" s="1">
        <f>IFERROR(__xludf.DUMMYFUNCTION("""COMPUTED_VALUE"""),15966.612)</f>
        <v>15966.612</v>
      </c>
    </row>
    <row r="3146">
      <c r="A3146" s="3">
        <f>IFERROR(__xludf.DUMMYFUNCTION("""COMPUTED_VALUE"""),43513.99861111111)</f>
        <v>43513.99861</v>
      </c>
      <c r="B3146" s="1">
        <f>IFERROR(__xludf.DUMMYFUNCTION("""COMPUTED_VALUE"""),15966.612)</f>
        <v>15966.612</v>
      </c>
    </row>
    <row r="3147">
      <c r="A3147" s="3">
        <f>IFERROR(__xludf.DUMMYFUNCTION("""COMPUTED_VALUE"""),43514.99861111111)</f>
        <v>43514.99861</v>
      </c>
      <c r="B3147" s="1">
        <f>IFERROR(__xludf.DUMMYFUNCTION("""COMPUTED_VALUE"""),16053.56252)</f>
        <v>16053.56252</v>
      </c>
    </row>
    <row r="3148">
      <c r="A3148" s="3">
        <f>IFERROR(__xludf.DUMMYFUNCTION("""COMPUTED_VALUE"""),43515.99861111111)</f>
        <v>43515.99861</v>
      </c>
      <c r="B3148" s="1">
        <f>IFERROR(__xludf.DUMMYFUNCTION("""COMPUTED_VALUE"""),15984.02135)</f>
        <v>15984.02135</v>
      </c>
    </row>
    <row r="3149">
      <c r="A3149" s="3">
        <f>IFERROR(__xludf.DUMMYFUNCTION("""COMPUTED_VALUE"""),43516.99861111111)</f>
        <v>43516.99861</v>
      </c>
      <c r="B3149" s="1">
        <f>IFERROR(__xludf.DUMMYFUNCTION("""COMPUTED_VALUE"""),15920.4385)</f>
        <v>15920.4385</v>
      </c>
    </row>
    <row r="3150">
      <c r="A3150" s="3">
        <f>IFERROR(__xludf.DUMMYFUNCTION("""COMPUTED_VALUE"""),43517.99861111111)</f>
        <v>43517.99861</v>
      </c>
      <c r="B3150" s="1">
        <f>IFERROR(__xludf.DUMMYFUNCTION("""COMPUTED_VALUE"""),15915.3)</f>
        <v>15915.3</v>
      </c>
    </row>
    <row r="3151">
      <c r="A3151" s="3">
        <f>IFERROR(__xludf.DUMMYFUNCTION("""COMPUTED_VALUE"""),43518.99861111111)</f>
        <v>43518.99861</v>
      </c>
      <c r="B3151" s="1">
        <f>IFERROR(__xludf.DUMMYFUNCTION("""COMPUTED_VALUE"""),15932.0)</f>
        <v>15932</v>
      </c>
    </row>
    <row r="3152">
      <c r="A3152" s="3">
        <f>IFERROR(__xludf.DUMMYFUNCTION("""COMPUTED_VALUE"""),43519.99861111111)</f>
        <v>43519.99861</v>
      </c>
      <c r="B3152" s="1">
        <f>IFERROR(__xludf.DUMMYFUNCTION("""COMPUTED_VALUE"""),15939.1)</f>
        <v>15939.1</v>
      </c>
    </row>
    <row r="3153">
      <c r="A3153" s="3">
        <f>IFERROR(__xludf.DUMMYFUNCTION("""COMPUTED_VALUE"""),43520.99861111111)</f>
        <v>43520.99861</v>
      </c>
      <c r="B3153" s="1">
        <f>IFERROR(__xludf.DUMMYFUNCTION("""COMPUTED_VALUE"""),15935.80114)</f>
        <v>15935.80114</v>
      </c>
    </row>
    <row r="3154">
      <c r="A3154" s="3">
        <f>IFERROR(__xludf.DUMMYFUNCTION("""COMPUTED_VALUE"""),43521.99861111111)</f>
        <v>43521.99861</v>
      </c>
      <c r="B3154" s="1">
        <f>IFERROR(__xludf.DUMMYFUNCTION("""COMPUTED_VALUE"""),15930.6)</f>
        <v>15930.6</v>
      </c>
    </row>
    <row r="3155">
      <c r="A3155" s="3">
        <f>IFERROR(__xludf.DUMMYFUNCTION("""COMPUTED_VALUE"""),43522.99861111111)</f>
        <v>43522.99861</v>
      </c>
      <c r="B3155" s="1">
        <f>IFERROR(__xludf.DUMMYFUNCTION("""COMPUTED_VALUE"""),15930.6)</f>
        <v>15930.6</v>
      </c>
    </row>
    <row r="3156">
      <c r="A3156" s="3">
        <f>IFERROR(__xludf.DUMMYFUNCTION("""COMPUTED_VALUE"""),43523.99861111111)</f>
        <v>43523.99861</v>
      </c>
      <c r="B3156" s="1">
        <f>IFERROR(__xludf.DUMMYFUNCTION("""COMPUTED_VALUE"""),15948.36925)</f>
        <v>15948.36925</v>
      </c>
    </row>
    <row r="3157">
      <c r="A3157" s="3">
        <f>IFERROR(__xludf.DUMMYFUNCTION("""COMPUTED_VALUE"""),43524.99861111111)</f>
        <v>43524.99861</v>
      </c>
      <c r="B3157" s="1">
        <f>IFERROR(__xludf.DUMMYFUNCTION("""COMPUTED_VALUE"""),16057.9)</f>
        <v>16057.9</v>
      </c>
    </row>
    <row r="3158">
      <c r="A3158" s="3">
        <f>IFERROR(__xludf.DUMMYFUNCTION("""COMPUTED_VALUE"""),43525.99861111111)</f>
        <v>43525.99861</v>
      </c>
      <c r="B3158" s="1">
        <f>IFERROR(__xludf.DUMMYFUNCTION("""COMPUTED_VALUE"""),16080.0)</f>
        <v>16080</v>
      </c>
    </row>
    <row r="3159">
      <c r="A3159" s="3">
        <f>IFERROR(__xludf.DUMMYFUNCTION("""COMPUTED_VALUE"""),43526.99861111111)</f>
        <v>43526.99861</v>
      </c>
      <c r="B3159" s="1">
        <f>IFERROR(__xludf.DUMMYFUNCTION("""COMPUTED_VALUE"""),16049.2608)</f>
        <v>16049.2608</v>
      </c>
    </row>
    <row r="3160">
      <c r="A3160" s="3">
        <f>IFERROR(__xludf.DUMMYFUNCTION("""COMPUTED_VALUE"""),43527.99861111111)</f>
        <v>43527.99861</v>
      </c>
      <c r="B3160" s="1">
        <f>IFERROR(__xludf.DUMMYFUNCTION("""COMPUTED_VALUE"""),16056.64528)</f>
        <v>16056.64528</v>
      </c>
    </row>
    <row r="3161">
      <c r="A3161" s="3">
        <f>IFERROR(__xludf.DUMMYFUNCTION("""COMPUTED_VALUE"""),43528.99861111111)</f>
        <v>43528.99861</v>
      </c>
      <c r="B3161" s="1">
        <f>IFERROR(__xludf.DUMMYFUNCTION("""COMPUTED_VALUE"""),16017.0)</f>
        <v>16017</v>
      </c>
    </row>
    <row r="3162">
      <c r="A3162" s="3">
        <f>IFERROR(__xludf.DUMMYFUNCTION("""COMPUTED_VALUE"""),43529.99861111111)</f>
        <v>43529.99861</v>
      </c>
      <c r="B3162" s="1">
        <f>IFERROR(__xludf.DUMMYFUNCTION("""COMPUTED_VALUE"""),16005.20087)</f>
        <v>16005.20087</v>
      </c>
    </row>
    <row r="3163">
      <c r="A3163" s="3">
        <f>IFERROR(__xludf.DUMMYFUNCTION("""COMPUTED_VALUE"""),43530.99861111111)</f>
        <v>43530.99861</v>
      </c>
      <c r="B3163" s="1">
        <f>IFERROR(__xludf.DUMMYFUNCTION("""COMPUTED_VALUE"""),16003.2)</f>
        <v>16003.2</v>
      </c>
    </row>
    <row r="3164">
      <c r="A3164" s="3">
        <f>IFERROR(__xludf.DUMMYFUNCTION("""COMPUTED_VALUE"""),43531.99861111111)</f>
        <v>43531.99861</v>
      </c>
      <c r="B3164" s="1">
        <f>IFERROR(__xludf.DUMMYFUNCTION("""COMPUTED_VALUE"""),15943.5)</f>
        <v>15943.5</v>
      </c>
    </row>
    <row r="3165">
      <c r="A3165" s="3">
        <f>IFERROR(__xludf.DUMMYFUNCTION("""COMPUTED_VALUE"""),43532.99861111111)</f>
        <v>43532.99861</v>
      </c>
      <c r="B3165" s="1">
        <f>IFERROR(__xludf.DUMMYFUNCTION("""COMPUTED_VALUE"""),16083.71019)</f>
        <v>16083.71019</v>
      </c>
    </row>
    <row r="3166">
      <c r="A3166" s="3">
        <f>IFERROR(__xludf.DUMMYFUNCTION("""COMPUTED_VALUE"""),43533.99861111111)</f>
        <v>43533.99861</v>
      </c>
      <c r="B3166" s="1">
        <f>IFERROR(__xludf.DUMMYFUNCTION("""COMPUTED_VALUE"""),16083.71019)</f>
        <v>16083.71019</v>
      </c>
    </row>
    <row r="3167">
      <c r="A3167" s="3">
        <f>IFERROR(__xludf.DUMMYFUNCTION("""COMPUTED_VALUE"""),43534.99861111111)</f>
        <v>43534.99861</v>
      </c>
      <c r="B3167" s="1">
        <f>IFERROR(__xludf.DUMMYFUNCTION("""COMPUTED_VALUE"""),16072.92045)</f>
        <v>16072.92045</v>
      </c>
    </row>
    <row r="3168">
      <c r="A3168" s="3">
        <f>IFERROR(__xludf.DUMMYFUNCTION("""COMPUTED_VALUE"""),43535.99861111111)</f>
        <v>43535.99861</v>
      </c>
      <c r="B3168" s="1">
        <f>IFERROR(__xludf.DUMMYFUNCTION("""COMPUTED_VALUE"""),16088.89665)</f>
        <v>16088.89665</v>
      </c>
    </row>
    <row r="3169">
      <c r="A3169" s="3">
        <f>IFERROR(__xludf.DUMMYFUNCTION("""COMPUTED_VALUE"""),43536.99861111111)</f>
        <v>43536.99861</v>
      </c>
      <c r="B3169" s="1">
        <f>IFERROR(__xludf.DUMMYFUNCTION("""COMPUTED_VALUE"""),16100.0)</f>
        <v>16100</v>
      </c>
    </row>
    <row r="3170">
      <c r="A3170" s="3">
        <f>IFERROR(__xludf.DUMMYFUNCTION("""COMPUTED_VALUE"""),43537.99861111111)</f>
        <v>43537.99861</v>
      </c>
      <c r="B3170" s="1">
        <f>IFERROR(__xludf.DUMMYFUNCTION("""COMPUTED_VALUE"""),16163.3862)</f>
        <v>16163.3862</v>
      </c>
    </row>
    <row r="3171">
      <c r="A3171" s="3">
        <f>IFERROR(__xludf.DUMMYFUNCTION("""COMPUTED_VALUE"""),43538.99861111111)</f>
        <v>43538.99861</v>
      </c>
      <c r="B3171" s="1">
        <f>IFERROR(__xludf.DUMMYFUNCTION("""COMPUTED_VALUE"""),16124.1)</f>
        <v>16124.1</v>
      </c>
    </row>
    <row r="3172">
      <c r="A3172" s="3">
        <f>IFERROR(__xludf.DUMMYFUNCTION("""COMPUTED_VALUE"""),43539.99861111111)</f>
        <v>43539.99861</v>
      </c>
      <c r="B3172" s="1">
        <f>IFERROR(__xludf.DUMMYFUNCTION("""COMPUTED_VALUE"""),16124.1)</f>
        <v>16124.1</v>
      </c>
    </row>
    <row r="3173">
      <c r="A3173" s="3">
        <f>IFERROR(__xludf.DUMMYFUNCTION("""COMPUTED_VALUE"""),43540.99861111111)</f>
        <v>43540.99861</v>
      </c>
      <c r="B3173" s="1">
        <f>IFERROR(__xludf.DUMMYFUNCTION("""COMPUTED_VALUE"""),16171.57049)</f>
        <v>16171.57049</v>
      </c>
    </row>
    <row r="3174">
      <c r="A3174" s="3">
        <f>IFERROR(__xludf.DUMMYFUNCTION("""COMPUTED_VALUE"""),43541.99861111111)</f>
        <v>43541.99861</v>
      </c>
      <c r="B3174" s="1">
        <f>IFERROR(__xludf.DUMMYFUNCTION("""COMPUTED_VALUE"""),16140.33246)</f>
        <v>16140.33246</v>
      </c>
    </row>
    <row r="3175">
      <c r="A3175" s="3">
        <f>IFERROR(__xludf.DUMMYFUNCTION("""COMPUTED_VALUE"""),43542.99861111111)</f>
        <v>43542.99861</v>
      </c>
      <c r="B3175" s="1">
        <f>IFERROR(__xludf.DUMMYFUNCTION("""COMPUTED_VALUE"""),16169.7)</f>
        <v>16169.7</v>
      </c>
    </row>
    <row r="3176">
      <c r="A3176" s="3">
        <f>IFERROR(__xludf.DUMMYFUNCTION("""COMPUTED_VALUE"""),43543.99861111111)</f>
        <v>43543.99861</v>
      </c>
      <c r="B3176" s="1">
        <f>IFERROR(__xludf.DUMMYFUNCTION("""COMPUTED_VALUE"""),16153.0)</f>
        <v>16153</v>
      </c>
    </row>
    <row r="3177">
      <c r="A3177" s="3">
        <f>IFERROR(__xludf.DUMMYFUNCTION("""COMPUTED_VALUE"""),43544.99861111111)</f>
        <v>43544.99861</v>
      </c>
      <c r="B3177" s="1">
        <f>IFERROR(__xludf.DUMMYFUNCTION("""COMPUTED_VALUE"""),16167.0)</f>
        <v>16167</v>
      </c>
    </row>
    <row r="3178">
      <c r="A3178" s="3">
        <f>IFERROR(__xludf.DUMMYFUNCTION("""COMPUTED_VALUE"""),43545.99861111111)</f>
        <v>43545.99861</v>
      </c>
      <c r="B3178" s="1">
        <f>IFERROR(__xludf.DUMMYFUNCTION("""COMPUTED_VALUE"""),16050.0)</f>
        <v>16050</v>
      </c>
    </row>
    <row r="3179">
      <c r="A3179" s="3">
        <f>IFERROR(__xludf.DUMMYFUNCTION("""COMPUTED_VALUE"""),43546.99861111111)</f>
        <v>43546.99861</v>
      </c>
      <c r="B3179" s="1">
        <f>IFERROR(__xludf.DUMMYFUNCTION("""COMPUTED_VALUE"""),16196.76245)</f>
        <v>16196.76245</v>
      </c>
    </row>
    <row r="3180">
      <c r="A3180" s="3">
        <f>IFERROR(__xludf.DUMMYFUNCTION("""COMPUTED_VALUE"""),43547.99861111111)</f>
        <v>43547.99861</v>
      </c>
      <c r="B3180" s="1">
        <f>IFERROR(__xludf.DUMMYFUNCTION("""COMPUTED_VALUE"""),16196.76245)</f>
        <v>16196.76245</v>
      </c>
    </row>
    <row r="3181">
      <c r="A3181" s="3">
        <f>IFERROR(__xludf.DUMMYFUNCTION("""COMPUTED_VALUE"""),43548.99861111111)</f>
        <v>43548.99861</v>
      </c>
      <c r="B3181" s="1">
        <f>IFERROR(__xludf.DUMMYFUNCTION("""COMPUTED_VALUE"""),16000.13241)</f>
        <v>16000.13241</v>
      </c>
    </row>
    <row r="3182">
      <c r="A3182" s="3">
        <f>IFERROR(__xludf.DUMMYFUNCTION("""COMPUTED_VALUE"""),43549.99861111111)</f>
        <v>43549.99861</v>
      </c>
      <c r="B3182" s="1">
        <f>IFERROR(__xludf.DUMMYFUNCTION("""COMPUTED_VALUE"""),16036.3)</f>
        <v>16036.3</v>
      </c>
    </row>
    <row r="3183">
      <c r="A3183" s="3">
        <f>IFERROR(__xludf.DUMMYFUNCTION("""COMPUTED_VALUE"""),43550.99861111111)</f>
        <v>43550.99861</v>
      </c>
      <c r="B3183" s="1">
        <f>IFERROR(__xludf.DUMMYFUNCTION("""COMPUTED_VALUE"""),15977.3835)</f>
        <v>15977.3835</v>
      </c>
    </row>
    <row r="3184">
      <c r="A3184" s="3">
        <f>IFERROR(__xludf.DUMMYFUNCTION("""COMPUTED_VALUE"""),43551.99861111111)</f>
        <v>43551.99861</v>
      </c>
      <c r="B3184" s="1">
        <f>IFERROR(__xludf.DUMMYFUNCTION("""COMPUTED_VALUE"""),15975.0)</f>
        <v>15975</v>
      </c>
    </row>
    <row r="3185">
      <c r="A3185" s="3">
        <f>IFERROR(__xludf.DUMMYFUNCTION("""COMPUTED_VALUE"""),43552.99861111111)</f>
        <v>43552.99861</v>
      </c>
      <c r="B3185" s="1">
        <f>IFERROR(__xludf.DUMMYFUNCTION("""COMPUTED_VALUE"""),15979.0)</f>
        <v>15979</v>
      </c>
    </row>
    <row r="3186">
      <c r="A3186" s="3">
        <f>IFERROR(__xludf.DUMMYFUNCTION("""COMPUTED_VALUE"""),43553.99861111111)</f>
        <v>43553.99861</v>
      </c>
      <c r="B3186" s="1">
        <f>IFERROR(__xludf.DUMMYFUNCTION("""COMPUTED_VALUE"""),15970.0)</f>
        <v>15970</v>
      </c>
    </row>
    <row r="3187">
      <c r="A3187" s="3">
        <f>IFERROR(__xludf.DUMMYFUNCTION("""COMPUTED_VALUE"""),43554.99861111111)</f>
        <v>43554.99861</v>
      </c>
      <c r="B3187" s="1">
        <f>IFERROR(__xludf.DUMMYFUNCTION("""COMPUTED_VALUE"""),15970.0)</f>
        <v>15970</v>
      </c>
    </row>
    <row r="3188">
      <c r="A3188" s="3">
        <f>IFERROR(__xludf.DUMMYFUNCTION("""COMPUTED_VALUE"""),43555.99861111111)</f>
        <v>43555.99861</v>
      </c>
      <c r="B3188" s="1">
        <f>IFERROR(__xludf.DUMMYFUNCTION("""COMPUTED_VALUE"""),15970.0)</f>
        <v>15970</v>
      </c>
    </row>
    <row r="3189">
      <c r="A3189" s="3">
        <f>IFERROR(__xludf.DUMMYFUNCTION("""COMPUTED_VALUE"""),43556.99861111111)</f>
        <v>43556.99861</v>
      </c>
      <c r="B3189" s="1">
        <f>IFERROR(__xludf.DUMMYFUNCTION("""COMPUTED_VALUE"""),15945.0)</f>
        <v>15945</v>
      </c>
    </row>
    <row r="3190">
      <c r="A3190" s="3">
        <f>IFERROR(__xludf.DUMMYFUNCTION("""COMPUTED_VALUE"""),43557.99861111111)</f>
        <v>43557.99861</v>
      </c>
      <c r="B3190" s="1">
        <f>IFERROR(__xludf.DUMMYFUNCTION("""COMPUTED_VALUE"""),15945.0)</f>
        <v>15945</v>
      </c>
    </row>
    <row r="3191">
      <c r="A3191" s="3">
        <f>IFERROR(__xludf.DUMMYFUNCTION("""COMPUTED_VALUE"""),43558.99861111111)</f>
        <v>43558.99861</v>
      </c>
      <c r="B3191" s="1">
        <f>IFERROR(__xludf.DUMMYFUNCTION("""COMPUTED_VALUE"""),15980.0)</f>
        <v>15980</v>
      </c>
    </row>
    <row r="3192">
      <c r="A3192" s="3">
        <f>IFERROR(__xludf.DUMMYFUNCTION("""COMPUTED_VALUE"""),43559.99861111111)</f>
        <v>43559.99861</v>
      </c>
      <c r="B3192" s="1">
        <f>IFERROR(__xludf.DUMMYFUNCTION("""COMPUTED_VALUE"""),15910.0)</f>
        <v>15910</v>
      </c>
    </row>
    <row r="3193">
      <c r="A3193" s="3">
        <f>IFERROR(__xludf.DUMMYFUNCTION("""COMPUTED_VALUE"""),43560.99861111111)</f>
        <v>43560.99861</v>
      </c>
      <c r="B3193" s="1">
        <f>IFERROR(__xludf.DUMMYFUNCTION("""COMPUTED_VALUE"""),15838.0)</f>
        <v>15838</v>
      </c>
    </row>
    <row r="3194">
      <c r="A3194" s="3">
        <f>IFERROR(__xludf.DUMMYFUNCTION("""COMPUTED_VALUE"""),43561.99861111111)</f>
        <v>43561.99861</v>
      </c>
      <c r="B3194" s="1">
        <f>IFERROR(__xludf.DUMMYFUNCTION("""COMPUTED_VALUE"""),15838.0)</f>
        <v>15838</v>
      </c>
    </row>
    <row r="3195">
      <c r="A3195" s="3">
        <f>IFERROR(__xludf.DUMMYFUNCTION("""COMPUTED_VALUE"""),43562.99861111111)</f>
        <v>43562.99861</v>
      </c>
      <c r="B3195" s="1">
        <f>IFERROR(__xludf.DUMMYFUNCTION("""COMPUTED_VALUE"""),15838.0)</f>
        <v>15838</v>
      </c>
    </row>
    <row r="3196">
      <c r="A3196" s="3">
        <f>IFERROR(__xludf.DUMMYFUNCTION("""COMPUTED_VALUE"""),43563.99861111111)</f>
        <v>43563.99861</v>
      </c>
      <c r="B3196" s="1">
        <f>IFERROR(__xludf.DUMMYFUNCTION("""COMPUTED_VALUE"""),15949.0)</f>
        <v>15949</v>
      </c>
    </row>
    <row r="3197">
      <c r="A3197" s="3">
        <f>IFERROR(__xludf.DUMMYFUNCTION("""COMPUTED_VALUE"""),43564.99861111111)</f>
        <v>43564.99861</v>
      </c>
      <c r="B3197" s="1">
        <f>IFERROR(__xludf.DUMMYFUNCTION("""COMPUTED_VALUE"""),15920.0)</f>
        <v>15920</v>
      </c>
    </row>
    <row r="3198">
      <c r="A3198" s="3">
        <f>IFERROR(__xludf.DUMMYFUNCTION("""COMPUTED_VALUE"""),43565.99861111111)</f>
        <v>43565.99861</v>
      </c>
      <c r="B3198" s="1">
        <f>IFERROR(__xludf.DUMMYFUNCTION("""COMPUTED_VALUE"""),15945.0)</f>
        <v>15945</v>
      </c>
    </row>
    <row r="3199">
      <c r="A3199" s="3">
        <f>IFERROR(__xludf.DUMMYFUNCTION("""COMPUTED_VALUE"""),43566.99861111111)</f>
        <v>43566.99861</v>
      </c>
      <c r="B3199" s="1">
        <f>IFERROR(__xludf.DUMMYFUNCTION("""COMPUTED_VALUE"""),15949.6)</f>
        <v>15949.6</v>
      </c>
    </row>
    <row r="3200">
      <c r="A3200" s="3">
        <f>IFERROR(__xludf.DUMMYFUNCTION("""COMPUTED_VALUE"""),43567.99861111111)</f>
        <v>43567.99861</v>
      </c>
      <c r="B3200" s="1">
        <f>IFERROR(__xludf.DUMMYFUNCTION("""COMPUTED_VALUE"""),15920.0)</f>
        <v>15920</v>
      </c>
    </row>
    <row r="3201">
      <c r="A3201" s="3">
        <f>IFERROR(__xludf.DUMMYFUNCTION("""COMPUTED_VALUE"""),43568.99861111111)</f>
        <v>43568.99861</v>
      </c>
      <c r="B3201" s="1">
        <f>IFERROR(__xludf.DUMMYFUNCTION("""COMPUTED_VALUE"""),15943.1)</f>
        <v>15943.1</v>
      </c>
    </row>
    <row r="3202">
      <c r="A3202" s="3">
        <f>IFERROR(__xludf.DUMMYFUNCTION("""COMPUTED_VALUE"""),43569.99861111111)</f>
        <v>43569.99861</v>
      </c>
      <c r="B3202" s="1">
        <f>IFERROR(__xludf.DUMMYFUNCTION("""COMPUTED_VALUE"""),15943.1)</f>
        <v>15943.1</v>
      </c>
    </row>
    <row r="3203">
      <c r="A3203" s="3">
        <f>IFERROR(__xludf.DUMMYFUNCTION("""COMPUTED_VALUE"""),43570.99861111111)</f>
        <v>43570.99861</v>
      </c>
      <c r="B3203" s="1">
        <f>IFERROR(__xludf.DUMMYFUNCTION("""COMPUTED_VALUE"""),15895.0)</f>
        <v>15895</v>
      </c>
    </row>
    <row r="3204">
      <c r="A3204" s="3">
        <f>IFERROR(__xludf.DUMMYFUNCTION("""COMPUTED_VALUE"""),43571.99861111111)</f>
        <v>43571.99861</v>
      </c>
      <c r="B3204" s="1">
        <f>IFERROR(__xludf.DUMMYFUNCTION("""COMPUTED_VALUE"""),15900.0)</f>
        <v>15900</v>
      </c>
    </row>
    <row r="3205">
      <c r="A3205" s="3">
        <f>IFERROR(__xludf.DUMMYFUNCTION("""COMPUTED_VALUE"""),43572.99861111111)</f>
        <v>43572.99861</v>
      </c>
      <c r="B3205" s="1">
        <f>IFERROR(__xludf.DUMMYFUNCTION("""COMPUTED_VALUE"""),15909.0)</f>
        <v>15909</v>
      </c>
    </row>
    <row r="3206">
      <c r="A3206" s="3">
        <f>IFERROR(__xludf.DUMMYFUNCTION("""COMPUTED_VALUE"""),43573.99861111111)</f>
        <v>43573.99861</v>
      </c>
      <c r="B3206" s="1">
        <f>IFERROR(__xludf.DUMMYFUNCTION("""COMPUTED_VALUE"""),15775.0)</f>
        <v>15775</v>
      </c>
    </row>
    <row r="3207">
      <c r="A3207" s="3">
        <f>IFERROR(__xludf.DUMMYFUNCTION("""COMPUTED_VALUE"""),43574.99861111111)</f>
        <v>43574.99861</v>
      </c>
      <c r="B3207" s="1">
        <f>IFERROR(__xludf.DUMMYFUNCTION("""COMPUTED_VALUE"""),15803.6)</f>
        <v>15803.6</v>
      </c>
    </row>
    <row r="3208">
      <c r="A3208" s="3">
        <f>IFERROR(__xludf.DUMMYFUNCTION("""COMPUTED_VALUE"""),43575.99861111111)</f>
        <v>43575.99861</v>
      </c>
      <c r="B3208" s="1">
        <f>IFERROR(__xludf.DUMMYFUNCTION("""COMPUTED_VALUE"""),15803.6)</f>
        <v>15803.6</v>
      </c>
    </row>
    <row r="3209">
      <c r="A3209" s="3">
        <f>IFERROR(__xludf.DUMMYFUNCTION("""COMPUTED_VALUE"""),43576.99861111111)</f>
        <v>43576.99861</v>
      </c>
      <c r="B3209" s="1">
        <f>IFERROR(__xludf.DUMMYFUNCTION("""COMPUTED_VALUE"""),15803.6)</f>
        <v>15803.6</v>
      </c>
    </row>
    <row r="3210">
      <c r="A3210" s="3">
        <f>IFERROR(__xludf.DUMMYFUNCTION("""COMPUTED_VALUE"""),43577.99861111111)</f>
        <v>43577.99861</v>
      </c>
      <c r="B3210" s="1">
        <f>IFERROR(__xludf.DUMMYFUNCTION("""COMPUTED_VALUE"""),15845.0)</f>
        <v>15845</v>
      </c>
    </row>
    <row r="3211">
      <c r="A3211" s="3">
        <f>IFERROR(__xludf.DUMMYFUNCTION("""COMPUTED_VALUE"""),43578.99861111111)</f>
        <v>43578.99861</v>
      </c>
      <c r="B3211" s="1">
        <f>IFERROR(__xludf.DUMMYFUNCTION("""COMPUTED_VALUE"""),15780.0)</f>
        <v>15780</v>
      </c>
    </row>
    <row r="3212">
      <c r="A3212" s="3">
        <f>IFERROR(__xludf.DUMMYFUNCTION("""COMPUTED_VALUE"""),43579.99861111111)</f>
        <v>43579.99861</v>
      </c>
      <c r="B3212" s="1">
        <f>IFERROR(__xludf.DUMMYFUNCTION("""COMPUTED_VALUE"""),15729.0)</f>
        <v>15729</v>
      </c>
    </row>
    <row r="3213">
      <c r="A3213" s="3">
        <f>IFERROR(__xludf.DUMMYFUNCTION("""COMPUTED_VALUE"""),43580.99861111111)</f>
        <v>43580.99861</v>
      </c>
      <c r="B3213" s="1">
        <f>IFERROR(__xludf.DUMMYFUNCTION("""COMPUTED_VALUE"""),15729.0)</f>
        <v>15729</v>
      </c>
    </row>
    <row r="3214">
      <c r="A3214" s="3">
        <f>IFERROR(__xludf.DUMMYFUNCTION("""COMPUTED_VALUE"""),43581.99861111111)</f>
        <v>43581.99861</v>
      </c>
      <c r="B3214" s="1">
        <f>IFERROR(__xludf.DUMMYFUNCTION("""COMPUTED_VALUE"""),17315.0)</f>
        <v>17315</v>
      </c>
    </row>
    <row r="3215">
      <c r="A3215" s="3">
        <f>IFERROR(__xludf.DUMMYFUNCTION("""COMPUTED_VALUE"""),43582.99861111111)</f>
        <v>43582.99861</v>
      </c>
      <c r="B3215" s="1">
        <f>IFERROR(__xludf.DUMMYFUNCTION("""COMPUTED_VALUE"""),15800.5)</f>
        <v>15800.5</v>
      </c>
    </row>
    <row r="3216">
      <c r="A3216" s="3">
        <f>IFERROR(__xludf.DUMMYFUNCTION("""COMPUTED_VALUE"""),43583.99861111111)</f>
        <v>43583.99861</v>
      </c>
      <c r="B3216" s="1">
        <f>IFERROR(__xludf.DUMMYFUNCTION("""COMPUTED_VALUE"""),15800.5)</f>
        <v>15800.5</v>
      </c>
    </row>
    <row r="3217">
      <c r="A3217" s="3">
        <f>IFERROR(__xludf.DUMMYFUNCTION("""COMPUTED_VALUE"""),43584.99861111111)</f>
        <v>43584.99861</v>
      </c>
      <c r="B3217" s="1">
        <f>IFERROR(__xludf.DUMMYFUNCTION("""COMPUTED_VALUE"""),17345.5)</f>
        <v>17345.5</v>
      </c>
    </row>
    <row r="3218">
      <c r="A3218" s="3">
        <f>IFERROR(__xludf.DUMMYFUNCTION("""COMPUTED_VALUE"""),43585.99861111111)</f>
        <v>43585.99861</v>
      </c>
      <c r="B3218" s="1">
        <f>IFERROR(__xludf.DUMMYFUNCTION("""COMPUTED_VALUE"""),15980.0)</f>
        <v>15980</v>
      </c>
    </row>
    <row r="3219">
      <c r="A3219" s="3">
        <f>IFERROR(__xludf.DUMMYFUNCTION("""COMPUTED_VALUE"""),43586.99861111111)</f>
        <v>43586.99861</v>
      </c>
      <c r="B3219" s="1">
        <f>IFERROR(__xludf.DUMMYFUNCTION("""COMPUTED_VALUE"""),15980.0)</f>
        <v>15980</v>
      </c>
    </row>
    <row r="3220">
      <c r="A3220" s="3">
        <f>IFERROR(__xludf.DUMMYFUNCTION("""COMPUTED_VALUE"""),43587.99861111111)</f>
        <v>43587.99861</v>
      </c>
      <c r="B3220" s="1">
        <f>IFERROR(__xludf.DUMMYFUNCTION("""COMPUTED_VALUE"""),15923.0)</f>
        <v>15923</v>
      </c>
    </row>
    <row r="3221">
      <c r="A3221" s="3">
        <f>IFERROR(__xludf.DUMMYFUNCTION("""COMPUTED_VALUE"""),43588.99861111111)</f>
        <v>43588.99861</v>
      </c>
      <c r="B3221" s="1">
        <f>IFERROR(__xludf.DUMMYFUNCTION("""COMPUTED_VALUE"""),15923.0)</f>
        <v>15923</v>
      </c>
    </row>
    <row r="3222">
      <c r="A3222" s="3">
        <f>IFERROR(__xludf.DUMMYFUNCTION("""COMPUTED_VALUE"""),43589.99861111111)</f>
        <v>43589.99861</v>
      </c>
      <c r="B3222" s="1">
        <f>IFERROR(__xludf.DUMMYFUNCTION("""COMPUTED_VALUE"""),15923.0)</f>
        <v>15923</v>
      </c>
    </row>
    <row r="3223">
      <c r="A3223" s="3">
        <f>IFERROR(__xludf.DUMMYFUNCTION("""COMPUTED_VALUE"""),43590.99861111111)</f>
        <v>43590.99861</v>
      </c>
      <c r="B3223" s="1">
        <f>IFERROR(__xludf.DUMMYFUNCTION("""COMPUTED_VALUE"""),15923.0)</f>
        <v>15923</v>
      </c>
    </row>
    <row r="3224">
      <c r="A3224" s="3">
        <f>IFERROR(__xludf.DUMMYFUNCTION("""COMPUTED_VALUE"""),43591.99861111111)</f>
        <v>43591.99861</v>
      </c>
      <c r="B3224" s="1">
        <f>IFERROR(__xludf.DUMMYFUNCTION("""COMPUTED_VALUE"""),16018.0)</f>
        <v>16018</v>
      </c>
    </row>
    <row r="3225">
      <c r="A3225" s="3">
        <f>IFERROR(__xludf.DUMMYFUNCTION("""COMPUTED_VALUE"""),43592.99861111111)</f>
        <v>43592.99861</v>
      </c>
      <c r="B3225" s="1">
        <f>IFERROR(__xludf.DUMMYFUNCTION("""COMPUTED_VALUE"""),15960.0)</f>
        <v>15960</v>
      </c>
    </row>
    <row r="3226">
      <c r="A3226" s="3">
        <f>IFERROR(__xludf.DUMMYFUNCTION("""COMPUTED_VALUE"""),43593.99861111111)</f>
        <v>43593.99861</v>
      </c>
      <c r="B3226" s="1">
        <f>IFERROR(__xludf.DUMMYFUNCTION("""COMPUTED_VALUE"""),15992.0)</f>
        <v>15992</v>
      </c>
    </row>
    <row r="3227">
      <c r="A3227" s="3">
        <f>IFERROR(__xludf.DUMMYFUNCTION("""COMPUTED_VALUE"""),43594.99861111111)</f>
        <v>43594.99861</v>
      </c>
      <c r="B3227" s="1">
        <f>IFERROR(__xludf.DUMMYFUNCTION("""COMPUTED_VALUE"""),16089.0)</f>
        <v>16089</v>
      </c>
    </row>
    <row r="3228">
      <c r="A3228" s="3">
        <f>IFERROR(__xludf.DUMMYFUNCTION("""COMPUTED_VALUE"""),43595.99861111111)</f>
        <v>43595.99861</v>
      </c>
      <c r="B3228" s="1">
        <f>IFERROR(__xludf.DUMMYFUNCTION("""COMPUTED_VALUE"""),16085.0)</f>
        <v>16085</v>
      </c>
    </row>
    <row r="3229">
      <c r="A3229" s="3">
        <f>IFERROR(__xludf.DUMMYFUNCTION("""COMPUTED_VALUE"""),43596.99861111111)</f>
        <v>43596.99861</v>
      </c>
      <c r="B3229" s="1">
        <f>IFERROR(__xludf.DUMMYFUNCTION("""COMPUTED_VALUE"""),16085.0)</f>
        <v>16085</v>
      </c>
    </row>
    <row r="3230">
      <c r="A3230" s="3">
        <f>IFERROR(__xludf.DUMMYFUNCTION("""COMPUTED_VALUE"""),43597.99861111111)</f>
        <v>43597.99861</v>
      </c>
      <c r="B3230" s="1">
        <f>IFERROR(__xludf.DUMMYFUNCTION("""COMPUTED_VALUE"""),16085.0)</f>
        <v>16085</v>
      </c>
    </row>
    <row r="3231">
      <c r="A3231" s="3">
        <f>IFERROR(__xludf.DUMMYFUNCTION("""COMPUTED_VALUE"""),43598.99861111111)</f>
        <v>43598.99861</v>
      </c>
      <c r="B3231" s="1">
        <f>IFERROR(__xludf.DUMMYFUNCTION("""COMPUTED_VALUE"""),16085.0)</f>
        <v>16085</v>
      </c>
    </row>
    <row r="3232">
      <c r="A3232" s="3">
        <f>IFERROR(__xludf.DUMMYFUNCTION("""COMPUTED_VALUE"""),43599.99861111111)</f>
        <v>43599.99861</v>
      </c>
      <c r="B3232" s="1">
        <f>IFERROR(__xludf.DUMMYFUNCTION("""COMPUTED_VALUE"""),16177.0)</f>
        <v>16177</v>
      </c>
    </row>
    <row r="3233">
      <c r="A3233" s="3">
        <f>IFERROR(__xludf.DUMMYFUNCTION("""COMPUTED_VALUE"""),43600.99861111111)</f>
        <v>43600.99861</v>
      </c>
      <c r="B3233" s="1">
        <f>IFERROR(__xludf.DUMMYFUNCTION("""COMPUTED_VALUE"""),16205.0)</f>
        <v>16205</v>
      </c>
    </row>
    <row r="3234">
      <c r="A3234" s="3">
        <f>IFERROR(__xludf.DUMMYFUNCTION("""COMPUTED_VALUE"""),43601.99861111111)</f>
        <v>43601.99861</v>
      </c>
      <c r="B3234" s="1">
        <f>IFERROR(__xludf.DUMMYFUNCTION("""COMPUTED_VALUE"""),16150.0)</f>
        <v>16150</v>
      </c>
    </row>
    <row r="3235">
      <c r="A3235" s="3">
        <f>IFERROR(__xludf.DUMMYFUNCTION("""COMPUTED_VALUE"""),43602.99861111111)</f>
        <v>43602.99861</v>
      </c>
      <c r="B3235" s="1">
        <f>IFERROR(__xludf.DUMMYFUNCTION("""COMPUTED_VALUE"""),16125.0)</f>
        <v>16125</v>
      </c>
    </row>
    <row r="3236">
      <c r="A3236" s="3">
        <f>IFERROR(__xludf.DUMMYFUNCTION("""COMPUTED_VALUE"""),43603.99861111111)</f>
        <v>43603.99861</v>
      </c>
      <c r="B3236" s="1">
        <f>IFERROR(__xludf.DUMMYFUNCTION("""COMPUTED_VALUE"""),16125.0)</f>
        <v>16125</v>
      </c>
    </row>
    <row r="3237">
      <c r="A3237" s="3">
        <f>IFERROR(__xludf.DUMMYFUNCTION("""COMPUTED_VALUE"""),43604.99861111111)</f>
        <v>43604.99861</v>
      </c>
      <c r="B3237" s="1">
        <f>IFERROR(__xludf.DUMMYFUNCTION("""COMPUTED_VALUE"""),16125.0)</f>
        <v>16125</v>
      </c>
    </row>
    <row r="3238">
      <c r="A3238" s="3">
        <f>IFERROR(__xludf.DUMMYFUNCTION("""COMPUTED_VALUE"""),43605.99861111111)</f>
        <v>43605.99861</v>
      </c>
      <c r="B3238" s="1">
        <f>IFERROR(__xludf.DUMMYFUNCTION("""COMPUTED_VALUE"""),16143.0)</f>
        <v>16143</v>
      </c>
    </row>
    <row r="3239">
      <c r="A3239" s="3">
        <f>IFERROR(__xludf.DUMMYFUNCTION("""COMPUTED_VALUE"""),43606.99861111111)</f>
        <v>43606.99861</v>
      </c>
      <c r="B3239" s="1">
        <f>IFERROR(__xludf.DUMMYFUNCTION("""COMPUTED_VALUE"""),16139.1)</f>
        <v>16139.1</v>
      </c>
    </row>
    <row r="3240">
      <c r="A3240" s="3">
        <f>IFERROR(__xludf.DUMMYFUNCTION("""COMPUTED_VALUE"""),43607.99861111111)</f>
        <v>43607.99861</v>
      </c>
      <c r="B3240" s="1">
        <f>IFERROR(__xludf.DUMMYFUNCTION("""COMPUTED_VALUE"""),16223.1)</f>
        <v>16223.1</v>
      </c>
    </row>
    <row r="3241">
      <c r="A3241" s="3">
        <f>IFERROR(__xludf.DUMMYFUNCTION("""COMPUTED_VALUE"""),43608.99861111111)</f>
        <v>43608.99861</v>
      </c>
      <c r="B3241" s="1">
        <f>IFERROR(__xludf.DUMMYFUNCTION("""COMPUTED_VALUE"""),16155.0)</f>
        <v>16155</v>
      </c>
    </row>
    <row r="3242">
      <c r="A3242" s="3">
        <f>IFERROR(__xludf.DUMMYFUNCTION("""COMPUTED_VALUE"""),43609.99861111111)</f>
        <v>43609.99861</v>
      </c>
      <c r="B3242" s="1">
        <f>IFERROR(__xludf.DUMMYFUNCTION("""COMPUTED_VALUE"""),16120.0)</f>
        <v>16120</v>
      </c>
    </row>
    <row r="3243">
      <c r="A3243" s="3">
        <f>IFERROR(__xludf.DUMMYFUNCTION("""COMPUTED_VALUE"""),43610.99861111111)</f>
        <v>43610.99861</v>
      </c>
      <c r="B3243" s="1">
        <f>IFERROR(__xludf.DUMMYFUNCTION("""COMPUTED_VALUE"""),16099.2)</f>
        <v>16099.2</v>
      </c>
    </row>
    <row r="3244">
      <c r="A3244" s="3">
        <f>IFERROR(__xludf.DUMMYFUNCTION("""COMPUTED_VALUE"""),43611.99861111111)</f>
        <v>43611.99861</v>
      </c>
      <c r="B3244" s="1">
        <f>IFERROR(__xludf.DUMMYFUNCTION("""COMPUTED_VALUE"""),16099.2)</f>
        <v>16099.2</v>
      </c>
    </row>
    <row r="3245">
      <c r="A3245" s="3">
        <f>IFERROR(__xludf.DUMMYFUNCTION("""COMPUTED_VALUE"""),43612.99861111111)</f>
        <v>43612.99861</v>
      </c>
      <c r="B3245" s="1">
        <f>IFERROR(__xludf.DUMMYFUNCTION("""COMPUTED_VALUE"""),16094.4)</f>
        <v>16094.4</v>
      </c>
    </row>
    <row r="3246">
      <c r="A3246" s="3">
        <f>IFERROR(__xludf.DUMMYFUNCTION("""COMPUTED_VALUE"""),43613.99861111111)</f>
        <v>43613.99861</v>
      </c>
      <c r="B3246" s="1">
        <f>IFERROR(__xludf.DUMMYFUNCTION("""COMPUTED_VALUE"""),16083.6)</f>
        <v>16083.6</v>
      </c>
    </row>
    <row r="3247">
      <c r="A3247" s="3">
        <f>IFERROR(__xludf.DUMMYFUNCTION("""COMPUTED_VALUE"""),43614.99861111111)</f>
        <v>43614.99861</v>
      </c>
      <c r="B3247" s="1">
        <f>IFERROR(__xludf.DUMMYFUNCTION("""COMPUTED_VALUE"""),16032.0)</f>
        <v>16032</v>
      </c>
    </row>
    <row r="3248">
      <c r="A3248" s="3">
        <f>IFERROR(__xludf.DUMMYFUNCTION("""COMPUTED_VALUE"""),43615.99861111111)</f>
        <v>43615.99861</v>
      </c>
      <c r="B3248" s="1">
        <f>IFERROR(__xludf.DUMMYFUNCTION("""COMPUTED_VALUE"""),16038.0)</f>
        <v>16038</v>
      </c>
    </row>
    <row r="3249">
      <c r="A3249" s="3">
        <f>IFERROR(__xludf.DUMMYFUNCTION("""COMPUTED_VALUE"""),43616.99861111111)</f>
        <v>43616.99861</v>
      </c>
      <c r="B3249" s="1">
        <f>IFERROR(__xludf.DUMMYFUNCTION("""COMPUTED_VALUE"""),16038.0)</f>
        <v>16038</v>
      </c>
    </row>
    <row r="3250">
      <c r="A3250" s="3">
        <f>IFERROR(__xludf.DUMMYFUNCTION("""COMPUTED_VALUE"""),43617.99861111111)</f>
        <v>43617.99861</v>
      </c>
      <c r="B3250" s="1">
        <f>IFERROR(__xludf.DUMMYFUNCTION("""COMPUTED_VALUE"""),16038.0)</f>
        <v>16038</v>
      </c>
    </row>
    <row r="3251">
      <c r="A3251" s="3">
        <f>IFERROR(__xludf.DUMMYFUNCTION("""COMPUTED_VALUE"""),43618.99861111111)</f>
        <v>43618.99861</v>
      </c>
      <c r="B3251" s="1">
        <f>IFERROR(__xludf.DUMMYFUNCTION("""COMPUTED_VALUE"""),15911.3)</f>
        <v>15911.3</v>
      </c>
    </row>
    <row r="3252">
      <c r="A3252" s="3">
        <f>IFERROR(__xludf.DUMMYFUNCTION("""COMPUTED_VALUE"""),43619.99861111111)</f>
        <v>43619.99861</v>
      </c>
      <c r="B3252" s="1">
        <f>IFERROR(__xludf.DUMMYFUNCTION("""COMPUTED_VALUE"""),16050.0)</f>
        <v>16050</v>
      </c>
    </row>
    <row r="3253">
      <c r="A3253" s="3">
        <f>IFERROR(__xludf.DUMMYFUNCTION("""COMPUTED_VALUE"""),43620.99861111111)</f>
        <v>43620.99861</v>
      </c>
      <c r="B3253" s="1">
        <f>IFERROR(__xludf.DUMMYFUNCTION("""COMPUTED_VALUE"""),16070.0)</f>
        <v>16070</v>
      </c>
    </row>
    <row r="3254">
      <c r="A3254" s="3">
        <f>IFERROR(__xludf.DUMMYFUNCTION("""COMPUTED_VALUE"""),43621.99861111111)</f>
        <v>43621.99861</v>
      </c>
      <c r="B3254" s="1">
        <f>IFERROR(__xludf.DUMMYFUNCTION("""COMPUTED_VALUE"""),16074.9)</f>
        <v>16074.9</v>
      </c>
    </row>
    <row r="3255">
      <c r="A3255" s="3">
        <f>IFERROR(__xludf.DUMMYFUNCTION("""COMPUTED_VALUE"""),43622.99861111111)</f>
        <v>43622.99861</v>
      </c>
      <c r="B3255" s="1">
        <f>IFERROR(__xludf.DUMMYFUNCTION("""COMPUTED_VALUE"""),16122.0)</f>
        <v>16122</v>
      </c>
    </row>
    <row r="3256">
      <c r="A3256" s="3">
        <f>IFERROR(__xludf.DUMMYFUNCTION("""COMPUTED_VALUE"""),43623.99861111111)</f>
        <v>43623.99861</v>
      </c>
      <c r="B3256" s="1">
        <f>IFERROR(__xludf.DUMMYFUNCTION("""COMPUTED_VALUE"""),16175.0)</f>
        <v>16175</v>
      </c>
    </row>
    <row r="3257">
      <c r="A3257" s="3">
        <f>IFERROR(__xludf.DUMMYFUNCTION("""COMPUTED_VALUE"""),43624.99861111111)</f>
        <v>43624.99861</v>
      </c>
      <c r="B3257" s="1">
        <f>IFERROR(__xludf.DUMMYFUNCTION("""COMPUTED_VALUE"""),16175.0)</f>
        <v>16175</v>
      </c>
    </row>
    <row r="3258">
      <c r="A3258" s="3">
        <f>IFERROR(__xludf.DUMMYFUNCTION("""COMPUTED_VALUE"""),43625.99861111111)</f>
        <v>43625.99861</v>
      </c>
      <c r="B3258" s="1">
        <f>IFERROR(__xludf.DUMMYFUNCTION("""COMPUTED_VALUE"""),16175.0)</f>
        <v>16175</v>
      </c>
    </row>
    <row r="3259">
      <c r="A3259" s="3">
        <f>IFERROR(__xludf.DUMMYFUNCTION("""COMPUTED_VALUE"""),43626.99861111111)</f>
        <v>43626.99861</v>
      </c>
      <c r="B3259" s="1">
        <f>IFERROR(__xludf.DUMMYFUNCTION("""COMPUTED_VALUE"""),16125.0)</f>
        <v>16125</v>
      </c>
    </row>
    <row r="3260">
      <c r="A3260" s="3">
        <f>IFERROR(__xludf.DUMMYFUNCTION("""COMPUTED_VALUE"""),43627.99861111111)</f>
        <v>43627.99861</v>
      </c>
      <c r="B3260" s="1">
        <f>IFERROR(__xludf.DUMMYFUNCTION("""COMPUTED_VALUE"""),16126.0)</f>
        <v>16126</v>
      </c>
    </row>
    <row r="3261">
      <c r="A3261" s="3">
        <f>IFERROR(__xludf.DUMMYFUNCTION("""COMPUTED_VALUE"""),43628.99861111111)</f>
        <v>43628.99861</v>
      </c>
      <c r="B3261" s="1">
        <f>IFERROR(__xludf.DUMMYFUNCTION("""COMPUTED_VALUE"""),16075.0)</f>
        <v>16075</v>
      </c>
    </row>
    <row r="3262">
      <c r="A3262" s="3">
        <f>IFERROR(__xludf.DUMMYFUNCTION("""COMPUTED_VALUE"""),43629.99861111111)</f>
        <v>43629.99861</v>
      </c>
      <c r="B3262" s="1">
        <f>IFERROR(__xludf.DUMMYFUNCTION("""COMPUTED_VALUE"""),16095.0)</f>
        <v>16095</v>
      </c>
    </row>
    <row r="3263">
      <c r="A3263" s="3">
        <f>IFERROR(__xludf.DUMMYFUNCTION("""COMPUTED_VALUE"""),43630.99861111111)</f>
        <v>43630.99861</v>
      </c>
      <c r="B3263" s="1">
        <f>IFERROR(__xludf.DUMMYFUNCTION("""COMPUTED_VALUE"""),16075.0)</f>
        <v>16075</v>
      </c>
    </row>
    <row r="3264">
      <c r="A3264" s="3">
        <f>IFERROR(__xludf.DUMMYFUNCTION("""COMPUTED_VALUE"""),43631.99861111111)</f>
        <v>43631.99861</v>
      </c>
      <c r="B3264" s="1">
        <f>IFERROR(__xludf.DUMMYFUNCTION("""COMPUTED_VALUE"""),16136.1)</f>
        <v>16136.1</v>
      </c>
    </row>
    <row r="3265">
      <c r="A3265" s="3">
        <f>IFERROR(__xludf.DUMMYFUNCTION("""COMPUTED_VALUE"""),43632.99861111111)</f>
        <v>43632.99861</v>
      </c>
      <c r="B3265" s="1">
        <f>IFERROR(__xludf.DUMMYFUNCTION("""COMPUTED_VALUE"""),16136.1)</f>
        <v>16136.1</v>
      </c>
    </row>
    <row r="3266">
      <c r="A3266" s="3">
        <f>IFERROR(__xludf.DUMMYFUNCTION("""COMPUTED_VALUE"""),43633.99861111111)</f>
        <v>43633.99861</v>
      </c>
      <c r="B3266" s="1">
        <f>IFERROR(__xludf.DUMMYFUNCTION("""COMPUTED_VALUE"""),16077.0)</f>
        <v>16077</v>
      </c>
    </row>
    <row r="3267">
      <c r="A3267" s="3">
        <f>IFERROR(__xludf.DUMMYFUNCTION("""COMPUTED_VALUE"""),43634.99861111111)</f>
        <v>43634.99861</v>
      </c>
      <c r="B3267" s="1">
        <f>IFERROR(__xludf.DUMMYFUNCTION("""COMPUTED_VALUE"""),16077.0)</f>
        <v>16077</v>
      </c>
    </row>
    <row r="3268">
      <c r="A3268" s="3">
        <f>IFERROR(__xludf.DUMMYFUNCTION("""COMPUTED_VALUE"""),43635.99861111111)</f>
        <v>43635.99861</v>
      </c>
      <c r="B3268" s="1">
        <f>IFERROR(__xludf.DUMMYFUNCTION("""COMPUTED_VALUE"""),16027.0)</f>
        <v>16027</v>
      </c>
    </row>
    <row r="3269">
      <c r="A3269" s="3">
        <f>IFERROR(__xludf.DUMMYFUNCTION("""COMPUTED_VALUE"""),43636.99861111111)</f>
        <v>43636.99861</v>
      </c>
      <c r="B3269" s="1">
        <f>IFERROR(__xludf.DUMMYFUNCTION("""COMPUTED_VALUE"""),16005.0)</f>
        <v>16005</v>
      </c>
    </row>
    <row r="3270">
      <c r="A3270" s="3">
        <f>IFERROR(__xludf.DUMMYFUNCTION("""COMPUTED_VALUE"""),43637.99861111111)</f>
        <v>43637.99861</v>
      </c>
      <c r="B3270" s="1">
        <f>IFERROR(__xludf.DUMMYFUNCTION("""COMPUTED_VALUE"""),16107.0)</f>
        <v>16107</v>
      </c>
    </row>
    <row r="3271">
      <c r="A3271" s="3">
        <f>IFERROR(__xludf.DUMMYFUNCTION("""COMPUTED_VALUE"""),43638.99861111111)</f>
        <v>43638.99861</v>
      </c>
      <c r="B3271" s="1">
        <f>IFERROR(__xludf.DUMMYFUNCTION("""COMPUTED_VALUE"""),16107.0)</f>
        <v>16107</v>
      </c>
    </row>
    <row r="3272">
      <c r="A3272" s="3">
        <f>IFERROR(__xludf.DUMMYFUNCTION("""COMPUTED_VALUE"""),43639.99861111111)</f>
        <v>43639.99861</v>
      </c>
      <c r="B3272" s="1">
        <f>IFERROR(__xludf.DUMMYFUNCTION("""COMPUTED_VALUE"""),16107.0)</f>
        <v>16107</v>
      </c>
    </row>
    <row r="3273">
      <c r="A3273" s="3">
        <f>IFERROR(__xludf.DUMMYFUNCTION("""COMPUTED_VALUE"""),43640.99861111111)</f>
        <v>43640.99861</v>
      </c>
      <c r="B3273" s="1">
        <f>IFERROR(__xludf.DUMMYFUNCTION("""COMPUTED_VALUE"""),16103.5)</f>
        <v>16103.5</v>
      </c>
    </row>
    <row r="3274">
      <c r="A3274" s="3">
        <f>IFERROR(__xludf.DUMMYFUNCTION("""COMPUTED_VALUE"""),43641.99861111111)</f>
        <v>43641.99861</v>
      </c>
      <c r="B3274" s="1">
        <f>IFERROR(__xludf.DUMMYFUNCTION("""COMPUTED_VALUE"""),16055.0)</f>
        <v>16055</v>
      </c>
    </row>
    <row r="3275">
      <c r="A3275" s="3">
        <f>IFERROR(__xludf.DUMMYFUNCTION("""COMPUTED_VALUE"""),43642.99861111111)</f>
        <v>43642.99861</v>
      </c>
      <c r="B3275" s="1">
        <f>IFERROR(__xludf.DUMMYFUNCTION("""COMPUTED_VALUE"""),16115.0)</f>
        <v>16115</v>
      </c>
    </row>
    <row r="3276">
      <c r="A3276" s="3">
        <f>IFERROR(__xludf.DUMMYFUNCTION("""COMPUTED_VALUE"""),43643.99861111111)</f>
        <v>43643.99861</v>
      </c>
      <c r="B3276" s="1">
        <f>IFERROR(__xludf.DUMMYFUNCTION("""COMPUTED_VALUE"""),16068.0)</f>
        <v>16068</v>
      </c>
    </row>
    <row r="3277">
      <c r="A3277" s="3">
        <f>IFERROR(__xludf.DUMMYFUNCTION("""COMPUTED_VALUE"""),43644.99861111111)</f>
        <v>43644.99861</v>
      </c>
      <c r="B3277" s="1">
        <f>IFERROR(__xludf.DUMMYFUNCTION("""COMPUTED_VALUE"""),16052.0)</f>
        <v>16052</v>
      </c>
    </row>
    <row r="3278">
      <c r="A3278" s="3">
        <f>IFERROR(__xludf.DUMMYFUNCTION("""COMPUTED_VALUE"""),43645.99861111111)</f>
        <v>43645.99861</v>
      </c>
      <c r="B3278" s="1">
        <f>IFERROR(__xludf.DUMMYFUNCTION("""COMPUTED_VALUE"""),16052.0)</f>
        <v>16052</v>
      </c>
    </row>
    <row r="3279">
      <c r="A3279" s="3">
        <f>IFERROR(__xludf.DUMMYFUNCTION("""COMPUTED_VALUE"""),43646.99861111111)</f>
        <v>43646.99861</v>
      </c>
      <c r="B3279" s="1">
        <f>IFERROR(__xludf.DUMMYFUNCTION("""COMPUTED_VALUE"""),16052.0)</f>
        <v>16052</v>
      </c>
    </row>
    <row r="3280">
      <c r="A3280" s="3">
        <f>IFERROR(__xludf.DUMMYFUNCTION("""COMPUTED_VALUE"""),43647.99861111111)</f>
        <v>43647.99861</v>
      </c>
      <c r="B3280" s="1">
        <f>IFERROR(__xludf.DUMMYFUNCTION("""COMPUTED_VALUE"""),15943.0)</f>
        <v>15943</v>
      </c>
    </row>
    <row r="3281">
      <c r="A3281" s="3">
        <f>IFERROR(__xludf.DUMMYFUNCTION("""COMPUTED_VALUE"""),43648.99861111111)</f>
        <v>43648.99861</v>
      </c>
      <c r="B3281" s="1">
        <f>IFERROR(__xludf.DUMMYFUNCTION("""COMPUTED_VALUE"""),15974.2)</f>
        <v>15974.2</v>
      </c>
    </row>
    <row r="3282">
      <c r="A3282" s="3">
        <f>IFERROR(__xludf.DUMMYFUNCTION("""COMPUTED_VALUE"""),43649.99861111111)</f>
        <v>43649.99861</v>
      </c>
      <c r="B3282" s="1">
        <f>IFERROR(__xludf.DUMMYFUNCTION("""COMPUTED_VALUE"""),15925.0)</f>
        <v>15925</v>
      </c>
    </row>
    <row r="3283">
      <c r="A3283" s="3">
        <f>IFERROR(__xludf.DUMMYFUNCTION("""COMPUTED_VALUE"""),43650.99861111111)</f>
        <v>43650.99861</v>
      </c>
      <c r="B3283" s="1">
        <f>IFERROR(__xludf.DUMMYFUNCTION("""COMPUTED_VALUE"""),15958.2)</f>
        <v>15958.2</v>
      </c>
    </row>
    <row r="3284">
      <c r="A3284" s="3">
        <f>IFERROR(__xludf.DUMMYFUNCTION("""COMPUTED_VALUE"""),43651.99861111111)</f>
        <v>43651.99861</v>
      </c>
      <c r="B3284" s="1">
        <f>IFERROR(__xludf.DUMMYFUNCTION("""COMPUTED_VALUE"""),15797.0)</f>
        <v>15797</v>
      </c>
    </row>
    <row r="3285">
      <c r="A3285" s="3">
        <f>IFERROR(__xludf.DUMMYFUNCTION("""COMPUTED_VALUE"""),43652.99861111111)</f>
        <v>43652.99861</v>
      </c>
      <c r="B3285" s="1">
        <f>IFERROR(__xludf.DUMMYFUNCTION("""COMPUTED_VALUE"""),15797.0)</f>
        <v>15797</v>
      </c>
    </row>
    <row r="3286">
      <c r="A3286" s="3">
        <f>IFERROR(__xludf.DUMMYFUNCTION("""COMPUTED_VALUE"""),43653.99861111111)</f>
        <v>43653.99861</v>
      </c>
      <c r="B3286" s="1">
        <f>IFERROR(__xludf.DUMMYFUNCTION("""COMPUTED_VALUE"""),15797.0)</f>
        <v>15797</v>
      </c>
    </row>
    <row r="3287">
      <c r="A3287" s="3">
        <f>IFERROR(__xludf.DUMMYFUNCTION("""COMPUTED_VALUE"""),43654.99861111111)</f>
        <v>43654.99861</v>
      </c>
      <c r="B3287" s="1">
        <f>IFERROR(__xludf.DUMMYFUNCTION("""COMPUTED_VALUE"""),15866.0)</f>
        <v>15866</v>
      </c>
    </row>
    <row r="3288">
      <c r="A3288" s="3">
        <f>IFERROR(__xludf.DUMMYFUNCTION("""COMPUTED_VALUE"""),43655.99861111111)</f>
        <v>43655.99861</v>
      </c>
      <c r="B3288" s="1">
        <f>IFERROR(__xludf.DUMMYFUNCTION("""COMPUTED_VALUE"""),15855.0)</f>
        <v>15855</v>
      </c>
    </row>
    <row r="3289">
      <c r="A3289" s="3">
        <f>IFERROR(__xludf.DUMMYFUNCTION("""COMPUTED_VALUE"""),43656.99861111111)</f>
        <v>43656.99861</v>
      </c>
      <c r="B3289" s="1">
        <f>IFERROR(__xludf.DUMMYFUNCTION("""COMPUTED_VALUE"""),15897.0)</f>
        <v>15897</v>
      </c>
    </row>
    <row r="3290">
      <c r="A3290" s="3">
        <f>IFERROR(__xludf.DUMMYFUNCTION("""COMPUTED_VALUE"""),43657.99861111111)</f>
        <v>43657.99861</v>
      </c>
      <c r="B3290" s="1">
        <f>IFERROR(__xludf.DUMMYFUNCTION("""COMPUTED_VALUE"""),15897.0)</f>
        <v>15897</v>
      </c>
    </row>
    <row r="3291">
      <c r="A3291" s="3">
        <f>IFERROR(__xludf.DUMMYFUNCTION("""COMPUTED_VALUE"""),43658.99861111111)</f>
        <v>43658.99861</v>
      </c>
      <c r="B3291" s="1">
        <f>IFERROR(__xludf.DUMMYFUNCTION("""COMPUTED_VALUE"""),15785.0)</f>
        <v>15785</v>
      </c>
    </row>
    <row r="3292">
      <c r="A3292" s="3">
        <f>IFERROR(__xludf.DUMMYFUNCTION("""COMPUTED_VALUE"""),43659.99861111111)</f>
        <v>43659.99861</v>
      </c>
      <c r="B3292" s="1">
        <f>IFERROR(__xludf.DUMMYFUNCTION("""COMPUTED_VALUE"""),15785.0)</f>
        <v>15785</v>
      </c>
    </row>
    <row r="3293">
      <c r="A3293" s="3">
        <f>IFERROR(__xludf.DUMMYFUNCTION("""COMPUTED_VALUE"""),43660.99861111111)</f>
        <v>43660.99861</v>
      </c>
      <c r="B3293" s="1">
        <f>IFERROR(__xludf.DUMMYFUNCTION("""COMPUTED_VALUE"""),15785.0)</f>
        <v>15785</v>
      </c>
    </row>
    <row r="3294">
      <c r="A3294" s="3">
        <f>IFERROR(__xludf.DUMMYFUNCTION("""COMPUTED_VALUE"""),43661.99861111111)</f>
        <v>43661.99861</v>
      </c>
      <c r="B3294" s="1">
        <f>IFERROR(__xludf.DUMMYFUNCTION("""COMPUTED_VALUE"""),15665.0)</f>
        <v>15665</v>
      </c>
    </row>
    <row r="3295">
      <c r="A3295" s="3">
        <f>IFERROR(__xludf.DUMMYFUNCTION("""COMPUTED_VALUE"""),43662.99861111111)</f>
        <v>43662.99861</v>
      </c>
      <c r="B3295" s="1">
        <f>IFERROR(__xludf.DUMMYFUNCTION("""COMPUTED_VALUE"""),15639.7)</f>
        <v>15639.7</v>
      </c>
    </row>
    <row r="3296">
      <c r="A3296" s="3">
        <f>IFERROR(__xludf.DUMMYFUNCTION("""COMPUTED_VALUE"""),43663.99861111111)</f>
        <v>43663.99861</v>
      </c>
      <c r="B3296" s="1">
        <f>IFERROR(__xludf.DUMMYFUNCTION("""COMPUTED_VALUE"""),15687.0)</f>
        <v>15687</v>
      </c>
    </row>
    <row r="3297">
      <c r="A3297" s="3">
        <f>IFERROR(__xludf.DUMMYFUNCTION("""COMPUTED_VALUE"""),43664.99861111111)</f>
        <v>43664.99861</v>
      </c>
      <c r="B3297" s="1">
        <f>IFERROR(__xludf.DUMMYFUNCTION("""COMPUTED_VALUE"""),15670.0)</f>
        <v>15670</v>
      </c>
    </row>
    <row r="3298">
      <c r="A3298" s="3">
        <f>IFERROR(__xludf.DUMMYFUNCTION("""COMPUTED_VALUE"""),43665.99861111111)</f>
        <v>43665.99861</v>
      </c>
      <c r="B3298" s="1">
        <f>IFERROR(__xludf.DUMMYFUNCTION("""COMPUTED_VALUE"""),15637.0)</f>
        <v>15637</v>
      </c>
    </row>
    <row r="3299">
      <c r="A3299" s="3">
        <f>IFERROR(__xludf.DUMMYFUNCTION("""COMPUTED_VALUE"""),43666.99861111111)</f>
        <v>43666.99861</v>
      </c>
      <c r="B3299" s="1">
        <f>IFERROR(__xludf.DUMMYFUNCTION("""COMPUTED_VALUE"""),15660.7)</f>
        <v>15660.7</v>
      </c>
    </row>
    <row r="3300">
      <c r="A3300" s="3">
        <f>IFERROR(__xludf.DUMMYFUNCTION("""COMPUTED_VALUE"""),43667.99861111111)</f>
        <v>43667.99861</v>
      </c>
      <c r="B3300" s="1">
        <f>IFERROR(__xludf.DUMMYFUNCTION("""COMPUTED_VALUE"""),15660.7)</f>
        <v>15660.7</v>
      </c>
    </row>
    <row r="3301">
      <c r="A3301" s="3">
        <f>IFERROR(__xludf.DUMMYFUNCTION("""COMPUTED_VALUE"""),43668.99861111111)</f>
        <v>43668.99861</v>
      </c>
      <c r="B3301" s="1">
        <f>IFERROR(__xludf.DUMMYFUNCTION("""COMPUTED_VALUE"""),15625.0)</f>
        <v>15625</v>
      </c>
    </row>
    <row r="3302">
      <c r="A3302" s="3">
        <f>IFERROR(__xludf.DUMMYFUNCTION("""COMPUTED_VALUE"""),43669.99861111111)</f>
        <v>43669.99861</v>
      </c>
      <c r="B3302" s="1">
        <f>IFERROR(__xludf.DUMMYFUNCTION("""COMPUTED_VALUE"""),15635.9)</f>
        <v>15635.9</v>
      </c>
    </row>
    <row r="3303">
      <c r="A3303" s="3">
        <f>IFERROR(__xludf.DUMMYFUNCTION("""COMPUTED_VALUE"""),43670.99861111111)</f>
        <v>43670.99861</v>
      </c>
      <c r="B3303" s="1">
        <f>IFERROR(__xludf.DUMMYFUNCTION("""COMPUTED_VALUE"""),15595.0)</f>
        <v>15595</v>
      </c>
    </row>
    <row r="3304">
      <c r="A3304" s="3">
        <f>IFERROR(__xludf.DUMMYFUNCTION("""COMPUTED_VALUE"""),43671.99861111111)</f>
        <v>43671.99861</v>
      </c>
      <c r="B3304" s="1">
        <f>IFERROR(__xludf.DUMMYFUNCTION("""COMPUTED_VALUE"""),15579.0)</f>
        <v>15579</v>
      </c>
    </row>
    <row r="3305">
      <c r="A3305" s="3">
        <f>IFERROR(__xludf.DUMMYFUNCTION("""COMPUTED_VALUE"""),43672.99861111111)</f>
        <v>43672.99861</v>
      </c>
      <c r="B3305" s="1">
        <f>IFERROR(__xludf.DUMMYFUNCTION("""COMPUTED_VALUE"""),15570.0)</f>
        <v>15570</v>
      </c>
    </row>
    <row r="3306">
      <c r="A3306" s="3">
        <f>IFERROR(__xludf.DUMMYFUNCTION("""COMPUTED_VALUE"""),43673.99861111111)</f>
        <v>43673.99861</v>
      </c>
      <c r="B3306" s="1">
        <f>IFERROR(__xludf.DUMMYFUNCTION("""COMPUTED_VALUE"""),15570.0)</f>
        <v>15570</v>
      </c>
    </row>
    <row r="3307">
      <c r="A3307" s="3">
        <f>IFERROR(__xludf.DUMMYFUNCTION("""COMPUTED_VALUE"""),43674.99861111111)</f>
        <v>43674.99861</v>
      </c>
      <c r="B3307" s="1">
        <f>IFERROR(__xludf.DUMMYFUNCTION("""COMPUTED_VALUE"""),15570.0)</f>
        <v>15570</v>
      </c>
    </row>
    <row r="3308">
      <c r="A3308" s="3">
        <f>IFERROR(__xludf.DUMMYFUNCTION("""COMPUTED_VALUE"""),43675.99861111111)</f>
        <v>43675.99861</v>
      </c>
      <c r="B3308" s="1">
        <f>IFERROR(__xludf.DUMMYFUNCTION("""COMPUTED_VALUE"""),16119.0)</f>
        <v>16119</v>
      </c>
    </row>
    <row r="3309">
      <c r="A3309" s="3">
        <f>IFERROR(__xludf.DUMMYFUNCTION("""COMPUTED_VALUE"""),43676.99861111111)</f>
        <v>43676.99861</v>
      </c>
      <c r="B3309" s="1">
        <f>IFERROR(__xludf.DUMMYFUNCTION("""COMPUTED_VALUE"""),15640.0)</f>
        <v>15640</v>
      </c>
    </row>
    <row r="3310">
      <c r="A3310" s="3">
        <f>IFERROR(__xludf.DUMMYFUNCTION("""COMPUTED_VALUE"""),43677.99861111111)</f>
        <v>43677.99861</v>
      </c>
      <c r="B3310" s="1">
        <f>IFERROR(__xludf.DUMMYFUNCTION("""COMPUTED_VALUE"""),15605.0)</f>
        <v>15605</v>
      </c>
    </row>
    <row r="3311">
      <c r="A3311" s="3">
        <f>IFERROR(__xludf.DUMMYFUNCTION("""COMPUTED_VALUE"""),43678.99861111111)</f>
        <v>43678.99861</v>
      </c>
      <c r="B3311" s="1">
        <f>IFERROR(__xludf.DUMMYFUNCTION("""COMPUTED_VALUE"""),15643.0)</f>
        <v>15643</v>
      </c>
    </row>
    <row r="3312">
      <c r="A3312" s="3">
        <f>IFERROR(__xludf.DUMMYFUNCTION("""COMPUTED_VALUE"""),43679.99861111111)</f>
        <v>43679.99861</v>
      </c>
      <c r="B3312" s="1">
        <f>IFERROR(__xludf.DUMMYFUNCTION("""COMPUTED_VALUE"""),15750.0)</f>
        <v>15750</v>
      </c>
    </row>
    <row r="3313">
      <c r="A3313" s="3">
        <f>IFERROR(__xludf.DUMMYFUNCTION("""COMPUTED_VALUE"""),43680.99861111111)</f>
        <v>43680.99861</v>
      </c>
      <c r="B3313" s="1">
        <f>IFERROR(__xludf.DUMMYFUNCTION("""COMPUTED_VALUE"""),15750.0)</f>
        <v>15750</v>
      </c>
    </row>
    <row r="3314">
      <c r="A3314" s="3">
        <f>IFERROR(__xludf.DUMMYFUNCTION("""COMPUTED_VALUE"""),43681.99861111111)</f>
        <v>43681.99861</v>
      </c>
      <c r="B3314" s="1">
        <f>IFERROR(__xludf.DUMMYFUNCTION("""COMPUTED_VALUE"""),15750.0)</f>
        <v>15750</v>
      </c>
    </row>
    <row r="3315">
      <c r="A3315" s="3">
        <f>IFERROR(__xludf.DUMMYFUNCTION("""COMPUTED_VALUE"""),43682.99861111111)</f>
        <v>43682.99861</v>
      </c>
      <c r="B3315" s="1">
        <f>IFERROR(__xludf.DUMMYFUNCTION("""COMPUTED_VALUE"""),15955.0)</f>
        <v>15955</v>
      </c>
    </row>
    <row r="3316">
      <c r="A3316" s="3">
        <f>IFERROR(__xludf.DUMMYFUNCTION("""COMPUTED_VALUE"""),43683.99861111111)</f>
        <v>43683.99861</v>
      </c>
      <c r="B3316" s="1">
        <f>IFERROR(__xludf.DUMMYFUNCTION("""COMPUTED_VALUE"""),15933.0)</f>
        <v>15933</v>
      </c>
    </row>
    <row r="3317">
      <c r="A3317" s="3">
        <f>IFERROR(__xludf.DUMMYFUNCTION("""COMPUTED_VALUE"""),43684.99861111111)</f>
        <v>43684.99861</v>
      </c>
      <c r="B3317" s="1">
        <f>IFERROR(__xludf.DUMMYFUNCTION("""COMPUTED_VALUE"""),15971.0)</f>
        <v>15971</v>
      </c>
    </row>
    <row r="3318">
      <c r="A3318" s="3">
        <f>IFERROR(__xludf.DUMMYFUNCTION("""COMPUTED_VALUE"""),43685.99861111111)</f>
        <v>43685.99861</v>
      </c>
      <c r="B3318" s="1">
        <f>IFERROR(__xludf.DUMMYFUNCTION("""COMPUTED_VALUE"""),15923.0)</f>
        <v>15923</v>
      </c>
    </row>
    <row r="3319">
      <c r="A3319" s="3">
        <f>IFERROR(__xludf.DUMMYFUNCTION("""COMPUTED_VALUE"""),43686.99861111111)</f>
        <v>43686.99861</v>
      </c>
      <c r="B3319" s="1">
        <f>IFERROR(__xludf.DUMMYFUNCTION("""COMPUTED_VALUE"""),15900.6)</f>
        <v>15900.6</v>
      </c>
    </row>
    <row r="3320">
      <c r="A3320" s="3">
        <f>IFERROR(__xludf.DUMMYFUNCTION("""COMPUTED_VALUE"""),43687.99861111111)</f>
        <v>43687.99861</v>
      </c>
      <c r="B3320" s="1">
        <f>IFERROR(__xludf.DUMMYFUNCTION("""COMPUTED_VALUE"""),15900.6)</f>
        <v>15900.6</v>
      </c>
    </row>
    <row r="3321">
      <c r="A3321" s="3">
        <f>IFERROR(__xludf.DUMMYFUNCTION("""COMPUTED_VALUE"""),43688.99861111111)</f>
        <v>43688.99861</v>
      </c>
      <c r="B3321" s="1">
        <f>IFERROR(__xludf.DUMMYFUNCTION("""COMPUTED_VALUE"""),15900.6)</f>
        <v>15900.6</v>
      </c>
    </row>
    <row r="3322">
      <c r="A3322" s="3">
        <f>IFERROR(__xludf.DUMMYFUNCTION("""COMPUTED_VALUE"""),43689.99861111111)</f>
        <v>43689.99861</v>
      </c>
      <c r="B3322" s="1">
        <f>IFERROR(__xludf.DUMMYFUNCTION("""COMPUTED_VALUE"""),15953.6)</f>
        <v>15953.6</v>
      </c>
    </row>
    <row r="3323">
      <c r="A3323" s="3">
        <f>IFERROR(__xludf.DUMMYFUNCTION("""COMPUTED_VALUE"""),43690.99861111111)</f>
        <v>43690.99861</v>
      </c>
      <c r="B3323" s="1">
        <f>IFERROR(__xludf.DUMMYFUNCTION("""COMPUTED_VALUE"""),16058.9)</f>
        <v>16058.9</v>
      </c>
    </row>
    <row r="3324">
      <c r="A3324" s="3">
        <f>IFERROR(__xludf.DUMMYFUNCTION("""COMPUTED_VALUE"""),43691.99861111111)</f>
        <v>43691.99861</v>
      </c>
      <c r="B3324" s="1">
        <f>IFERROR(__xludf.DUMMYFUNCTION("""COMPUTED_VALUE"""),15925.7)</f>
        <v>15925.7</v>
      </c>
    </row>
    <row r="3325">
      <c r="A3325" s="3">
        <f>IFERROR(__xludf.DUMMYFUNCTION("""COMPUTED_VALUE"""),43692.99861111111)</f>
        <v>43692.99861</v>
      </c>
      <c r="B3325" s="1">
        <f>IFERROR(__xludf.DUMMYFUNCTION("""COMPUTED_VALUE"""),15914.0)</f>
        <v>15914</v>
      </c>
    </row>
    <row r="3326">
      <c r="A3326" s="3">
        <f>IFERROR(__xludf.DUMMYFUNCTION("""COMPUTED_VALUE"""),43693.99861111111)</f>
        <v>43693.99861</v>
      </c>
      <c r="B3326" s="1">
        <f>IFERROR(__xludf.DUMMYFUNCTION("""COMPUTED_VALUE"""),15768.5)</f>
        <v>15768.5</v>
      </c>
    </row>
    <row r="3327">
      <c r="A3327" s="3">
        <f>IFERROR(__xludf.DUMMYFUNCTION("""COMPUTED_VALUE"""),43694.99861111111)</f>
        <v>43694.99861</v>
      </c>
      <c r="B3327" s="1">
        <f>IFERROR(__xludf.DUMMYFUNCTION("""COMPUTED_VALUE"""),15768.5)</f>
        <v>15768.5</v>
      </c>
    </row>
    <row r="3328">
      <c r="A3328" s="3">
        <f>IFERROR(__xludf.DUMMYFUNCTION("""COMPUTED_VALUE"""),43695.99861111111)</f>
        <v>43695.99861</v>
      </c>
      <c r="B3328" s="1">
        <f>IFERROR(__xludf.DUMMYFUNCTION("""COMPUTED_VALUE"""),15768.5)</f>
        <v>15768.5</v>
      </c>
    </row>
    <row r="3329">
      <c r="A3329" s="3">
        <f>IFERROR(__xludf.DUMMYFUNCTION("""COMPUTED_VALUE"""),43696.99861111111)</f>
        <v>43696.99861</v>
      </c>
      <c r="B3329" s="1">
        <f>IFERROR(__xludf.DUMMYFUNCTION("""COMPUTED_VALUE"""),15810.7)</f>
        <v>15810.7</v>
      </c>
    </row>
    <row r="3330">
      <c r="A3330" s="3">
        <f>IFERROR(__xludf.DUMMYFUNCTION("""COMPUTED_VALUE"""),43697.99861111111)</f>
        <v>43697.99861</v>
      </c>
      <c r="B3330" s="1">
        <f>IFERROR(__xludf.DUMMYFUNCTION("""COMPUTED_VALUE"""),15803.1)</f>
        <v>15803.1</v>
      </c>
    </row>
    <row r="3331">
      <c r="A3331" s="3">
        <f>IFERROR(__xludf.DUMMYFUNCTION("""COMPUTED_VALUE"""),43698.99861111111)</f>
        <v>43698.99861</v>
      </c>
      <c r="B3331" s="1">
        <f>IFERROR(__xludf.DUMMYFUNCTION("""COMPUTED_VALUE"""),15808.7)</f>
        <v>15808.7</v>
      </c>
    </row>
    <row r="3332">
      <c r="A3332" s="3">
        <f>IFERROR(__xludf.DUMMYFUNCTION("""COMPUTED_VALUE"""),43699.99861111111)</f>
        <v>43699.99861</v>
      </c>
      <c r="B3332" s="1">
        <f>IFERROR(__xludf.DUMMYFUNCTION("""COMPUTED_VALUE"""),15756.2)</f>
        <v>15756.2</v>
      </c>
    </row>
    <row r="3333">
      <c r="A3333" s="3">
        <f>IFERROR(__xludf.DUMMYFUNCTION("""COMPUTED_VALUE"""),43700.99861111111)</f>
        <v>43700.99861</v>
      </c>
      <c r="B3333" s="1">
        <f>IFERROR(__xludf.DUMMYFUNCTION("""COMPUTED_VALUE"""),15711.7)</f>
        <v>15711.7</v>
      </c>
    </row>
    <row r="3334">
      <c r="A3334" s="3">
        <f>IFERROR(__xludf.DUMMYFUNCTION("""COMPUTED_VALUE"""),43701.99861111111)</f>
        <v>43701.99861</v>
      </c>
      <c r="B3334" s="1">
        <f>IFERROR(__xludf.DUMMYFUNCTION("""COMPUTED_VALUE"""),15711.7)</f>
        <v>15711.7</v>
      </c>
    </row>
    <row r="3335">
      <c r="A3335" s="3">
        <f>IFERROR(__xludf.DUMMYFUNCTION("""COMPUTED_VALUE"""),43702.99861111111)</f>
        <v>43702.99861</v>
      </c>
      <c r="B3335" s="1">
        <f>IFERROR(__xludf.DUMMYFUNCTION("""COMPUTED_VALUE"""),15711.7)</f>
        <v>15711.7</v>
      </c>
    </row>
    <row r="3336">
      <c r="A3336" s="3">
        <f>IFERROR(__xludf.DUMMYFUNCTION("""COMPUTED_VALUE"""),43703.99861111111)</f>
        <v>43703.99861</v>
      </c>
      <c r="B3336" s="1">
        <f>IFERROR(__xludf.DUMMYFUNCTION("""COMPUTED_VALUE"""),15805.0)</f>
        <v>15805</v>
      </c>
    </row>
    <row r="3337">
      <c r="A3337" s="3">
        <f>IFERROR(__xludf.DUMMYFUNCTION("""COMPUTED_VALUE"""),43704.99861111111)</f>
        <v>43704.99861</v>
      </c>
      <c r="B3337" s="1">
        <f>IFERROR(__xludf.DUMMYFUNCTION("""COMPUTED_VALUE"""),15812.0)</f>
        <v>15812</v>
      </c>
    </row>
    <row r="3338">
      <c r="A3338" s="3">
        <f>IFERROR(__xludf.DUMMYFUNCTION("""COMPUTED_VALUE"""),43705.99861111111)</f>
        <v>43705.99861</v>
      </c>
      <c r="B3338" s="1">
        <f>IFERROR(__xludf.DUMMYFUNCTION("""COMPUTED_VALUE"""),15792.0)</f>
        <v>15792</v>
      </c>
    </row>
    <row r="3339">
      <c r="A3339" s="3">
        <f>IFERROR(__xludf.DUMMYFUNCTION("""COMPUTED_VALUE"""),43706.99861111111)</f>
        <v>43706.99861</v>
      </c>
      <c r="B3339" s="1">
        <f>IFERROR(__xludf.DUMMYFUNCTION("""COMPUTED_VALUE"""),15749.0)</f>
        <v>15749</v>
      </c>
    </row>
    <row r="3340">
      <c r="A3340" s="3">
        <f>IFERROR(__xludf.DUMMYFUNCTION("""COMPUTED_VALUE"""),43707.99861111111)</f>
        <v>43707.99861</v>
      </c>
      <c r="B3340" s="1">
        <f>IFERROR(__xludf.DUMMYFUNCTION("""COMPUTED_VALUE"""),15669.5)</f>
        <v>15669.5</v>
      </c>
    </row>
    <row r="3341">
      <c r="A3341" s="3">
        <f>IFERROR(__xludf.DUMMYFUNCTION("""COMPUTED_VALUE"""),43708.99861111111)</f>
        <v>43708.99861</v>
      </c>
      <c r="B3341" s="1">
        <f>IFERROR(__xludf.DUMMYFUNCTION("""COMPUTED_VALUE"""),15669.5)</f>
        <v>15669.5</v>
      </c>
    </row>
    <row r="3342">
      <c r="A3342" s="3">
        <f>IFERROR(__xludf.DUMMYFUNCTION("""COMPUTED_VALUE"""),43709.99861111111)</f>
        <v>43709.99861</v>
      </c>
      <c r="B3342" s="1">
        <f>IFERROR(__xludf.DUMMYFUNCTION("""COMPUTED_VALUE"""),15669.5)</f>
        <v>15669.5</v>
      </c>
    </row>
    <row r="3343">
      <c r="A3343" s="3">
        <f>IFERROR(__xludf.DUMMYFUNCTION("""COMPUTED_VALUE"""),43710.99861111111)</f>
        <v>43710.99861</v>
      </c>
      <c r="B3343" s="1">
        <f>IFERROR(__xludf.DUMMYFUNCTION("""COMPUTED_VALUE"""),15565.8)</f>
        <v>15565.8</v>
      </c>
    </row>
    <row r="3344">
      <c r="A3344" s="3">
        <f>IFERROR(__xludf.DUMMYFUNCTION("""COMPUTED_VALUE"""),43711.99861111111)</f>
        <v>43711.99861</v>
      </c>
      <c r="B3344" s="1">
        <f>IFERROR(__xludf.DUMMYFUNCTION("""COMPUTED_VALUE"""),15601.0)</f>
        <v>15601</v>
      </c>
    </row>
    <row r="3345">
      <c r="A3345" s="3">
        <f>IFERROR(__xludf.DUMMYFUNCTION("""COMPUTED_VALUE"""),43712.99861111111)</f>
        <v>43712.99861</v>
      </c>
      <c r="B3345" s="1">
        <f>IFERROR(__xludf.DUMMYFUNCTION("""COMPUTED_VALUE"""),15610.0)</f>
        <v>15610</v>
      </c>
    </row>
    <row r="3346">
      <c r="A3346" s="3">
        <f>IFERROR(__xludf.DUMMYFUNCTION("""COMPUTED_VALUE"""),43713.99861111111)</f>
        <v>43713.99861</v>
      </c>
      <c r="B3346" s="1">
        <f>IFERROR(__xludf.DUMMYFUNCTION("""COMPUTED_VALUE"""),15615.0)</f>
        <v>15615</v>
      </c>
    </row>
    <row r="3347">
      <c r="A3347" s="3">
        <f>IFERROR(__xludf.DUMMYFUNCTION("""COMPUTED_VALUE"""),43714.99861111111)</f>
        <v>43714.99861</v>
      </c>
      <c r="B3347" s="1">
        <f>IFERROR(__xludf.DUMMYFUNCTION("""COMPUTED_VALUE"""),15553.0)</f>
        <v>15553</v>
      </c>
    </row>
    <row r="3348">
      <c r="A3348" s="3">
        <f>IFERROR(__xludf.DUMMYFUNCTION("""COMPUTED_VALUE"""),43715.99861111111)</f>
        <v>43715.99861</v>
      </c>
      <c r="B3348" s="1">
        <f>IFERROR(__xludf.DUMMYFUNCTION("""COMPUTED_VALUE"""),15547.3)</f>
        <v>15547.3</v>
      </c>
    </row>
    <row r="3349">
      <c r="A3349" s="3">
        <f>IFERROR(__xludf.DUMMYFUNCTION("""COMPUTED_VALUE"""),43716.99861111111)</f>
        <v>43716.99861</v>
      </c>
      <c r="B3349" s="1">
        <f>IFERROR(__xludf.DUMMYFUNCTION("""COMPUTED_VALUE"""),15547.3)</f>
        <v>15547.3</v>
      </c>
    </row>
    <row r="3350">
      <c r="A3350" s="3">
        <f>IFERROR(__xludf.DUMMYFUNCTION("""COMPUTED_VALUE"""),43717.99861111111)</f>
        <v>43717.99861</v>
      </c>
      <c r="B3350" s="1">
        <f>IFERROR(__xludf.DUMMYFUNCTION("""COMPUTED_VALUE"""),15495.0)</f>
        <v>15495</v>
      </c>
    </row>
    <row r="3351">
      <c r="A3351" s="3">
        <f>IFERROR(__xludf.DUMMYFUNCTION("""COMPUTED_VALUE"""),43718.99861111111)</f>
        <v>43718.99861</v>
      </c>
      <c r="B3351" s="1">
        <f>IFERROR(__xludf.DUMMYFUNCTION("""COMPUTED_VALUE"""),15515.0)</f>
        <v>15515</v>
      </c>
    </row>
    <row r="3352">
      <c r="A3352" s="3">
        <f>IFERROR(__xludf.DUMMYFUNCTION("""COMPUTED_VALUE"""),43719.99861111111)</f>
        <v>43719.99861</v>
      </c>
      <c r="B3352" s="1">
        <f>IFERROR(__xludf.DUMMYFUNCTION("""COMPUTED_VALUE"""),15460.0)</f>
        <v>15460</v>
      </c>
    </row>
    <row r="3353">
      <c r="A3353" s="3">
        <f>IFERROR(__xludf.DUMMYFUNCTION("""COMPUTED_VALUE"""),43720.99861111111)</f>
        <v>43720.99861</v>
      </c>
      <c r="B3353" s="1">
        <f>IFERROR(__xludf.DUMMYFUNCTION("""COMPUTED_VALUE"""),15422.6)</f>
        <v>15422.6</v>
      </c>
    </row>
    <row r="3354">
      <c r="A3354" s="3">
        <f>IFERROR(__xludf.DUMMYFUNCTION("""COMPUTED_VALUE"""),43721.99861111111)</f>
        <v>43721.99861</v>
      </c>
      <c r="B3354" s="1">
        <f>IFERROR(__xludf.DUMMYFUNCTION("""COMPUTED_VALUE"""),15460.0)</f>
        <v>15460</v>
      </c>
    </row>
    <row r="3355">
      <c r="A3355" s="3">
        <f>IFERROR(__xludf.DUMMYFUNCTION("""COMPUTED_VALUE"""),43722.99861111111)</f>
        <v>43722.99861</v>
      </c>
      <c r="B3355" s="1">
        <f>IFERROR(__xludf.DUMMYFUNCTION("""COMPUTED_VALUE"""),15460.0)</f>
        <v>15460</v>
      </c>
    </row>
    <row r="3356">
      <c r="A3356" s="3">
        <f>IFERROR(__xludf.DUMMYFUNCTION("""COMPUTED_VALUE"""),43723.99861111111)</f>
        <v>43723.99861</v>
      </c>
      <c r="B3356" s="1">
        <f>IFERROR(__xludf.DUMMYFUNCTION("""COMPUTED_VALUE"""),15460.0)</f>
        <v>15460</v>
      </c>
    </row>
    <row r="3357">
      <c r="A3357" s="3">
        <f>IFERROR(__xludf.DUMMYFUNCTION("""COMPUTED_VALUE"""),43724.99861111111)</f>
        <v>43724.99861</v>
      </c>
      <c r="B3357" s="1">
        <f>IFERROR(__xludf.DUMMYFUNCTION("""COMPUTED_VALUE"""),15450.0)</f>
        <v>15450</v>
      </c>
    </row>
    <row r="3358">
      <c r="A3358" s="3">
        <f>IFERROR(__xludf.DUMMYFUNCTION("""COMPUTED_VALUE"""),43725.99861111111)</f>
        <v>43725.99861</v>
      </c>
      <c r="B3358" s="1">
        <f>IFERROR(__xludf.DUMMYFUNCTION("""COMPUTED_VALUE"""),15450.0)</f>
        <v>15450</v>
      </c>
    </row>
    <row r="3359">
      <c r="A3359" s="3">
        <f>IFERROR(__xludf.DUMMYFUNCTION("""COMPUTED_VALUE"""),43726.99861111111)</f>
        <v>43726.99861</v>
      </c>
      <c r="B3359" s="1">
        <f>IFERROR(__xludf.DUMMYFUNCTION("""COMPUTED_VALUE"""),15600.0)</f>
        <v>15600</v>
      </c>
    </row>
    <row r="3360">
      <c r="A3360" s="3">
        <f>IFERROR(__xludf.DUMMYFUNCTION("""COMPUTED_VALUE"""),43727.99861111111)</f>
        <v>43727.99861</v>
      </c>
      <c r="B3360" s="1">
        <f>IFERROR(__xludf.DUMMYFUNCTION("""COMPUTED_VALUE"""),15600.0)</f>
        <v>15600</v>
      </c>
    </row>
    <row r="3361">
      <c r="A3361" s="3">
        <f>IFERROR(__xludf.DUMMYFUNCTION("""COMPUTED_VALUE"""),43728.99861111111)</f>
        <v>43728.99861</v>
      </c>
      <c r="B3361" s="1">
        <f>IFERROR(__xludf.DUMMYFUNCTION("""COMPUTED_VALUE"""),15508.5)</f>
        <v>15508.5</v>
      </c>
    </row>
    <row r="3362">
      <c r="A3362" s="3">
        <f>IFERROR(__xludf.DUMMYFUNCTION("""COMPUTED_VALUE"""),43729.99861111111)</f>
        <v>43729.99861</v>
      </c>
      <c r="B3362" s="1">
        <f>IFERROR(__xludf.DUMMYFUNCTION("""COMPUTED_VALUE"""),15472.0)</f>
        <v>15472</v>
      </c>
    </row>
    <row r="3363">
      <c r="A3363" s="3">
        <f>IFERROR(__xludf.DUMMYFUNCTION("""COMPUTED_VALUE"""),43730.99861111111)</f>
        <v>43730.99861</v>
      </c>
      <c r="B3363" s="1">
        <f>IFERROR(__xludf.DUMMYFUNCTION("""COMPUTED_VALUE"""),15472.0)</f>
        <v>15472</v>
      </c>
    </row>
    <row r="3364">
      <c r="A3364" s="3">
        <f>IFERROR(__xludf.DUMMYFUNCTION("""COMPUTED_VALUE"""),43731.99861111111)</f>
        <v>43731.99861</v>
      </c>
      <c r="B3364" s="1">
        <f>IFERROR(__xludf.DUMMYFUNCTION("""COMPUTED_VALUE"""),15472.0)</f>
        <v>15472</v>
      </c>
    </row>
    <row r="3365">
      <c r="A3365" s="3">
        <f>IFERROR(__xludf.DUMMYFUNCTION("""COMPUTED_VALUE"""),43732.99861111111)</f>
        <v>43732.99861</v>
      </c>
      <c r="B3365" s="1">
        <f>IFERROR(__xludf.DUMMYFUNCTION("""COMPUTED_VALUE"""),15550.0)</f>
        <v>15550</v>
      </c>
    </row>
    <row r="3366">
      <c r="A3366" s="3">
        <f>IFERROR(__xludf.DUMMYFUNCTION("""COMPUTED_VALUE"""),43733.99861111111)</f>
        <v>43733.99861</v>
      </c>
      <c r="B3366" s="1">
        <f>IFERROR(__xludf.DUMMYFUNCTION("""COMPUTED_VALUE"""),15485.0)</f>
        <v>15485</v>
      </c>
    </row>
    <row r="3367">
      <c r="A3367" s="3">
        <f>IFERROR(__xludf.DUMMYFUNCTION("""COMPUTED_VALUE"""),43734.99861111111)</f>
        <v>43734.99861</v>
      </c>
      <c r="B3367" s="1">
        <f>IFERROR(__xludf.DUMMYFUNCTION("""COMPUTED_VALUE"""),15496.3)</f>
        <v>15496.3</v>
      </c>
    </row>
    <row r="3368">
      <c r="A3368" s="3">
        <f>IFERROR(__xludf.DUMMYFUNCTION("""COMPUTED_VALUE"""),43735.99861111111)</f>
        <v>43735.99861</v>
      </c>
      <c r="B3368" s="1">
        <f>IFERROR(__xludf.DUMMYFUNCTION("""COMPUTED_VALUE"""),15495.0)</f>
        <v>15495</v>
      </c>
    </row>
    <row r="3369">
      <c r="A3369" s="3">
        <f>IFERROR(__xludf.DUMMYFUNCTION("""COMPUTED_VALUE"""),43736.99861111111)</f>
        <v>43736.99861</v>
      </c>
      <c r="B3369" s="1">
        <f>IFERROR(__xludf.DUMMYFUNCTION("""COMPUTED_VALUE"""),15495.2)</f>
        <v>15495.2</v>
      </c>
    </row>
    <row r="3370">
      <c r="A3370" s="3">
        <f>IFERROR(__xludf.DUMMYFUNCTION("""COMPUTED_VALUE"""),43737.99861111111)</f>
        <v>43737.99861</v>
      </c>
      <c r="B3370" s="1">
        <f>IFERROR(__xludf.DUMMYFUNCTION("""COMPUTED_VALUE"""),15495.2)</f>
        <v>15495.2</v>
      </c>
    </row>
    <row r="3371">
      <c r="A3371" s="3">
        <f>IFERROR(__xludf.DUMMYFUNCTION("""COMPUTED_VALUE"""),43738.99861111111)</f>
        <v>43738.99861</v>
      </c>
      <c r="B3371" s="1">
        <f>IFERROR(__xludf.DUMMYFUNCTION("""COMPUTED_VALUE"""),15503.4)</f>
        <v>15503.4</v>
      </c>
    </row>
    <row r="3372">
      <c r="A3372" s="3">
        <f>IFERROR(__xludf.DUMMYFUNCTION("""COMPUTED_VALUE"""),43739.99861111111)</f>
        <v>43739.99861</v>
      </c>
      <c r="B3372" s="1">
        <f>IFERROR(__xludf.DUMMYFUNCTION("""COMPUTED_VALUE"""),15492.5)</f>
        <v>15492.5</v>
      </c>
    </row>
    <row r="3373">
      <c r="A3373" s="3">
        <f>IFERROR(__xludf.DUMMYFUNCTION("""COMPUTED_VALUE"""),43740.99861111111)</f>
        <v>43740.99861</v>
      </c>
      <c r="B3373" s="1">
        <f>IFERROR(__xludf.DUMMYFUNCTION("""COMPUTED_VALUE"""),15501.9)</f>
        <v>15501.9</v>
      </c>
    </row>
    <row r="3374">
      <c r="A3374" s="3">
        <f>IFERROR(__xludf.DUMMYFUNCTION("""COMPUTED_VALUE"""),43741.99861111111)</f>
        <v>43741.99861</v>
      </c>
      <c r="B3374" s="1">
        <f>IFERROR(__xludf.DUMMYFUNCTION("""COMPUTED_VALUE"""),15565.0)</f>
        <v>15565</v>
      </c>
    </row>
    <row r="3375">
      <c r="A3375" s="3">
        <f>IFERROR(__xludf.DUMMYFUNCTION("""COMPUTED_VALUE"""),43742.99861111111)</f>
        <v>43742.99861</v>
      </c>
      <c r="B3375" s="1">
        <f>IFERROR(__xludf.DUMMYFUNCTION("""COMPUTED_VALUE"""),15505.0)</f>
        <v>15505</v>
      </c>
    </row>
    <row r="3376">
      <c r="A3376" s="3">
        <f>IFERROR(__xludf.DUMMYFUNCTION("""COMPUTED_VALUE"""),43743.99861111111)</f>
        <v>43743.99861</v>
      </c>
      <c r="B3376" s="1">
        <f>IFERROR(__xludf.DUMMYFUNCTION("""COMPUTED_VALUE"""),15532.9)</f>
        <v>15532.9</v>
      </c>
    </row>
    <row r="3377">
      <c r="A3377" s="3">
        <f>IFERROR(__xludf.DUMMYFUNCTION("""COMPUTED_VALUE"""),43744.99861111111)</f>
        <v>43744.99861</v>
      </c>
      <c r="B3377" s="1">
        <f>IFERROR(__xludf.DUMMYFUNCTION("""COMPUTED_VALUE"""),15532.9)</f>
        <v>15532.9</v>
      </c>
    </row>
    <row r="3378">
      <c r="A3378" s="3">
        <f>IFERROR(__xludf.DUMMYFUNCTION("""COMPUTED_VALUE"""),43745.99861111111)</f>
        <v>43745.99861</v>
      </c>
      <c r="B3378" s="1">
        <f>IFERROR(__xludf.DUMMYFUNCTION("""COMPUTED_VALUE"""),15537.0)</f>
        <v>15537</v>
      </c>
    </row>
    <row r="3379">
      <c r="A3379" s="3">
        <f>IFERROR(__xludf.DUMMYFUNCTION("""COMPUTED_VALUE"""),43746.99861111111)</f>
        <v>43746.99861</v>
      </c>
      <c r="B3379" s="1">
        <f>IFERROR(__xludf.DUMMYFUNCTION("""COMPUTED_VALUE"""),15535.0)</f>
        <v>15535</v>
      </c>
    </row>
    <row r="3380">
      <c r="A3380" s="3">
        <f>IFERROR(__xludf.DUMMYFUNCTION("""COMPUTED_VALUE"""),43747.99861111111)</f>
        <v>43747.99861</v>
      </c>
      <c r="B3380" s="1">
        <f>IFERROR(__xludf.DUMMYFUNCTION("""COMPUTED_VALUE"""),15545.0)</f>
        <v>15545</v>
      </c>
    </row>
    <row r="3381">
      <c r="A3381" s="3">
        <f>IFERROR(__xludf.DUMMYFUNCTION("""COMPUTED_VALUE"""),43748.99861111111)</f>
        <v>43748.99861</v>
      </c>
      <c r="B3381" s="1">
        <f>IFERROR(__xludf.DUMMYFUNCTION("""COMPUTED_VALUE"""),15590.0)</f>
        <v>15590</v>
      </c>
    </row>
    <row r="3382">
      <c r="A3382" s="3">
        <f>IFERROR(__xludf.DUMMYFUNCTION("""COMPUTED_VALUE"""),43749.99861111111)</f>
        <v>43749.99861</v>
      </c>
      <c r="B3382" s="1">
        <f>IFERROR(__xludf.DUMMYFUNCTION("""COMPUTED_VALUE"""),15592.0)</f>
        <v>15592</v>
      </c>
    </row>
    <row r="3383">
      <c r="A3383" s="3">
        <f>IFERROR(__xludf.DUMMYFUNCTION("""COMPUTED_VALUE"""),43750.99861111111)</f>
        <v>43750.99861</v>
      </c>
      <c r="B3383" s="1">
        <f>IFERROR(__xludf.DUMMYFUNCTION("""COMPUTED_VALUE"""),15592.0)</f>
        <v>15592</v>
      </c>
    </row>
    <row r="3384">
      <c r="A3384" s="3">
        <f>IFERROR(__xludf.DUMMYFUNCTION("""COMPUTED_VALUE"""),43751.99861111111)</f>
        <v>43751.99861</v>
      </c>
      <c r="B3384" s="1">
        <f>IFERROR(__xludf.DUMMYFUNCTION("""COMPUTED_VALUE"""),15590.53)</f>
        <v>15590.53</v>
      </c>
    </row>
    <row r="3385">
      <c r="A3385" s="3">
        <f>IFERROR(__xludf.DUMMYFUNCTION("""COMPUTED_VALUE"""),43752.99861111111)</f>
        <v>43752.99861</v>
      </c>
      <c r="B3385" s="1">
        <f>IFERROR(__xludf.DUMMYFUNCTION("""COMPUTED_VALUE"""),15596.94)</f>
        <v>15596.94</v>
      </c>
    </row>
    <row r="3386">
      <c r="A3386" s="3">
        <f>IFERROR(__xludf.DUMMYFUNCTION("""COMPUTED_VALUE"""),43753.99861111111)</f>
        <v>43753.99861</v>
      </c>
      <c r="B3386" s="1">
        <f>IFERROR(__xludf.DUMMYFUNCTION("""COMPUTED_VALUE"""),15630.0)</f>
        <v>15630</v>
      </c>
    </row>
    <row r="3387">
      <c r="A3387" s="3">
        <f>IFERROR(__xludf.DUMMYFUNCTION("""COMPUTED_VALUE"""),43754.99861111111)</f>
        <v>43754.99861</v>
      </c>
      <c r="B3387" s="1">
        <f>IFERROR(__xludf.DUMMYFUNCTION("""COMPUTED_VALUE"""),15630.0)</f>
        <v>15630</v>
      </c>
    </row>
    <row r="3388">
      <c r="A3388" s="3">
        <f>IFERROR(__xludf.DUMMYFUNCTION("""COMPUTED_VALUE"""),43755.99861111111)</f>
        <v>43755.99861</v>
      </c>
      <c r="B3388" s="1">
        <f>IFERROR(__xludf.DUMMYFUNCTION("""COMPUTED_VALUE"""),15737.0)</f>
        <v>15737</v>
      </c>
    </row>
    <row r="3389">
      <c r="A3389" s="3">
        <f>IFERROR(__xludf.DUMMYFUNCTION("""COMPUTED_VALUE"""),43756.99861111111)</f>
        <v>43756.99861</v>
      </c>
      <c r="B3389" s="1">
        <f>IFERROR(__xludf.DUMMYFUNCTION("""COMPUTED_VALUE"""),15785.0)</f>
        <v>15785</v>
      </c>
    </row>
    <row r="3390">
      <c r="A3390" s="3">
        <f>IFERROR(__xludf.DUMMYFUNCTION("""COMPUTED_VALUE"""),43757.99861111111)</f>
        <v>43757.99861</v>
      </c>
      <c r="B3390" s="1">
        <f>IFERROR(__xludf.DUMMYFUNCTION("""COMPUTED_VALUE"""),15785.0)</f>
        <v>15785</v>
      </c>
    </row>
    <row r="3391">
      <c r="A3391" s="3">
        <f>IFERROR(__xludf.DUMMYFUNCTION("""COMPUTED_VALUE"""),43758.99861111111)</f>
        <v>43758.99861</v>
      </c>
      <c r="B3391" s="1">
        <f>IFERROR(__xludf.DUMMYFUNCTION("""COMPUTED_VALUE"""),15785.0)</f>
        <v>15785</v>
      </c>
    </row>
    <row r="3392">
      <c r="A3392" s="3">
        <f>IFERROR(__xludf.DUMMYFUNCTION("""COMPUTED_VALUE"""),43759.99861111111)</f>
        <v>43759.99861</v>
      </c>
      <c r="B3392" s="1">
        <f>IFERROR(__xludf.DUMMYFUNCTION("""COMPUTED_VALUE"""),15690.0)</f>
        <v>15690</v>
      </c>
    </row>
    <row r="3393">
      <c r="A3393" s="3">
        <f>IFERROR(__xludf.DUMMYFUNCTION("""COMPUTED_VALUE"""),43760.99861111111)</f>
        <v>43760.99861</v>
      </c>
      <c r="B3393" s="1">
        <f>IFERROR(__xludf.DUMMYFUNCTION("""COMPUTED_VALUE"""),15690.0)</f>
        <v>15690</v>
      </c>
    </row>
    <row r="3394">
      <c r="A3394" s="3">
        <f>IFERROR(__xludf.DUMMYFUNCTION("""COMPUTED_VALUE"""),43761.99861111111)</f>
        <v>43761.99861</v>
      </c>
      <c r="B3394" s="1">
        <f>IFERROR(__xludf.DUMMYFUNCTION("""COMPUTED_VALUE"""),15582.36)</f>
        <v>15582.36</v>
      </c>
    </row>
    <row r="3395">
      <c r="A3395" s="3">
        <f>IFERROR(__xludf.DUMMYFUNCTION("""COMPUTED_VALUE"""),43762.99861111111)</f>
        <v>43762.99861</v>
      </c>
      <c r="B3395" s="1">
        <f>IFERROR(__xludf.DUMMYFUNCTION("""COMPUTED_VALUE"""),15613.0)</f>
        <v>15613</v>
      </c>
    </row>
    <row r="3396">
      <c r="A3396" s="3">
        <f>IFERROR(__xludf.DUMMYFUNCTION("""COMPUTED_VALUE"""),43763.99861111111)</f>
        <v>43763.99861</v>
      </c>
      <c r="B3396" s="1">
        <f>IFERROR(__xludf.DUMMYFUNCTION("""COMPUTED_VALUE"""),15547.0)</f>
        <v>15547</v>
      </c>
    </row>
    <row r="3397">
      <c r="A3397" s="3">
        <f>IFERROR(__xludf.DUMMYFUNCTION("""COMPUTED_VALUE"""),43764.99861111111)</f>
        <v>43764.99861</v>
      </c>
      <c r="B3397" s="1">
        <f>IFERROR(__xludf.DUMMYFUNCTION("""COMPUTED_VALUE"""),15547.0)</f>
        <v>15547</v>
      </c>
    </row>
    <row r="3398">
      <c r="A3398" s="3">
        <f>IFERROR(__xludf.DUMMYFUNCTION("""COMPUTED_VALUE"""),43765.99861111111)</f>
        <v>43765.99861</v>
      </c>
      <c r="B3398" s="1">
        <f>IFERROR(__xludf.DUMMYFUNCTION("""COMPUTED_VALUE"""),15547.0)</f>
        <v>15547</v>
      </c>
    </row>
    <row r="3399">
      <c r="A3399" s="3">
        <f>IFERROR(__xludf.DUMMYFUNCTION("""COMPUTED_VALUE"""),43766.99861111111)</f>
        <v>43766.99861</v>
      </c>
      <c r="B3399" s="1">
        <f>IFERROR(__xludf.DUMMYFUNCTION("""COMPUTED_VALUE"""),15565.0)</f>
        <v>15565</v>
      </c>
    </row>
    <row r="3400">
      <c r="A3400" s="3">
        <f>IFERROR(__xludf.DUMMYFUNCTION("""COMPUTED_VALUE"""),43767.99861111111)</f>
        <v>43767.99861</v>
      </c>
      <c r="B3400" s="1">
        <f>IFERROR(__xludf.DUMMYFUNCTION("""COMPUTED_VALUE"""),15567.0)</f>
        <v>15567</v>
      </c>
    </row>
    <row r="3401">
      <c r="A3401" s="3">
        <f>IFERROR(__xludf.DUMMYFUNCTION("""COMPUTED_VALUE"""),43768.99861111111)</f>
        <v>43768.99861</v>
      </c>
      <c r="B3401" s="1">
        <f>IFERROR(__xludf.DUMMYFUNCTION("""COMPUTED_VALUE"""),15602.0)</f>
        <v>15602</v>
      </c>
    </row>
    <row r="3402">
      <c r="A3402" s="3">
        <f>IFERROR(__xludf.DUMMYFUNCTION("""COMPUTED_VALUE"""),43769.99861111111)</f>
        <v>43769.99861</v>
      </c>
      <c r="B3402" s="1">
        <f>IFERROR(__xludf.DUMMYFUNCTION("""COMPUTED_VALUE"""),15645.0)</f>
        <v>15645</v>
      </c>
    </row>
    <row r="3403">
      <c r="A3403" s="3">
        <f>IFERROR(__xludf.DUMMYFUNCTION("""COMPUTED_VALUE"""),43770.99861111111)</f>
        <v>43770.99861</v>
      </c>
      <c r="B3403" s="1">
        <f>IFERROR(__xludf.DUMMYFUNCTION("""COMPUTED_VALUE"""),15656.74)</f>
        <v>15656.74</v>
      </c>
    </row>
    <row r="3404">
      <c r="A3404" s="3">
        <f>IFERROR(__xludf.DUMMYFUNCTION("""COMPUTED_VALUE"""),43771.99861111111)</f>
        <v>43771.99861</v>
      </c>
      <c r="B3404" s="1">
        <f>IFERROR(__xludf.DUMMYFUNCTION("""COMPUTED_VALUE"""),15656.74)</f>
        <v>15656.74</v>
      </c>
    </row>
    <row r="3405">
      <c r="A3405" s="3">
        <f>IFERROR(__xludf.DUMMYFUNCTION("""COMPUTED_VALUE"""),43772.99861111111)</f>
        <v>43772.99861</v>
      </c>
      <c r="B3405" s="1">
        <f>IFERROR(__xludf.DUMMYFUNCTION("""COMPUTED_VALUE"""),15656.74)</f>
        <v>15656.74</v>
      </c>
    </row>
    <row r="3406">
      <c r="A3406" s="3">
        <f>IFERROR(__xludf.DUMMYFUNCTION("""COMPUTED_VALUE"""),43773.99861111111)</f>
        <v>43773.99861</v>
      </c>
      <c r="B3406" s="1">
        <f>IFERROR(__xludf.DUMMYFUNCTION("""COMPUTED_VALUE"""),15647.61)</f>
        <v>15647.61</v>
      </c>
    </row>
    <row r="3407">
      <c r="A3407" s="3">
        <f>IFERROR(__xludf.DUMMYFUNCTION("""COMPUTED_VALUE"""),43774.99861111111)</f>
        <v>43774.99861</v>
      </c>
      <c r="B3407" s="1">
        <f>IFERROR(__xludf.DUMMYFUNCTION("""COMPUTED_VALUE"""),15556.0)</f>
        <v>15556</v>
      </c>
    </row>
    <row r="3408">
      <c r="A3408" s="3">
        <f>IFERROR(__xludf.DUMMYFUNCTION("""COMPUTED_VALUE"""),43775.99861111111)</f>
        <v>43775.99861</v>
      </c>
      <c r="B3408" s="1">
        <f>IFERROR(__xludf.DUMMYFUNCTION("""COMPUTED_VALUE"""),15512.0)</f>
        <v>15512</v>
      </c>
    </row>
    <row r="3409">
      <c r="A3409" s="3">
        <f>IFERROR(__xludf.DUMMYFUNCTION("""COMPUTED_VALUE"""),43776.99861111111)</f>
        <v>43776.99861</v>
      </c>
      <c r="B3409" s="1">
        <f>IFERROR(__xludf.DUMMYFUNCTION("""COMPUTED_VALUE"""),15450.0)</f>
        <v>15450</v>
      </c>
    </row>
    <row r="3410">
      <c r="A3410" s="3">
        <f>IFERROR(__xludf.DUMMYFUNCTION("""COMPUTED_VALUE"""),43777.99861111111)</f>
        <v>43777.99861</v>
      </c>
      <c r="B3410" s="1">
        <f>IFERROR(__xludf.DUMMYFUNCTION("""COMPUTED_VALUE"""),15447.0)</f>
        <v>15447</v>
      </c>
    </row>
    <row r="3411">
      <c r="A3411" s="3">
        <f>IFERROR(__xludf.DUMMYFUNCTION("""COMPUTED_VALUE"""),43778.99861111111)</f>
        <v>43778.99861</v>
      </c>
      <c r="B3411" s="1">
        <f>IFERROR(__xludf.DUMMYFUNCTION("""COMPUTED_VALUE"""),15447.0)</f>
        <v>15447</v>
      </c>
    </row>
    <row r="3412">
      <c r="A3412" s="3">
        <f>IFERROR(__xludf.DUMMYFUNCTION("""COMPUTED_VALUE"""),43779.99861111111)</f>
        <v>43779.99861</v>
      </c>
      <c r="B3412" s="1">
        <f>IFERROR(__xludf.DUMMYFUNCTION("""COMPUTED_VALUE"""),15447.0)</f>
        <v>15447</v>
      </c>
    </row>
    <row r="3413">
      <c r="A3413" s="3">
        <f>IFERROR(__xludf.DUMMYFUNCTION("""COMPUTED_VALUE"""),43780.99861111111)</f>
        <v>43780.99861</v>
      </c>
      <c r="B3413" s="1">
        <f>IFERROR(__xludf.DUMMYFUNCTION("""COMPUTED_VALUE"""),15450.0)</f>
        <v>15450</v>
      </c>
    </row>
    <row r="3414">
      <c r="A3414" s="3">
        <f>IFERROR(__xludf.DUMMYFUNCTION("""COMPUTED_VALUE"""),43781.99861111111)</f>
        <v>43781.99861</v>
      </c>
      <c r="B3414" s="1">
        <f>IFERROR(__xludf.DUMMYFUNCTION("""COMPUTED_VALUE"""),15485.45)</f>
        <v>15485.45</v>
      </c>
    </row>
    <row r="3415">
      <c r="A3415" s="3">
        <f>IFERROR(__xludf.DUMMYFUNCTION("""COMPUTED_VALUE"""),43782.99861111111)</f>
        <v>43782.99861</v>
      </c>
      <c r="B3415" s="1">
        <f>IFERROR(__xludf.DUMMYFUNCTION("""COMPUTED_VALUE"""),15501.91)</f>
        <v>15501.91</v>
      </c>
    </row>
    <row r="3416">
      <c r="A3416" s="3">
        <f>IFERROR(__xludf.DUMMYFUNCTION("""COMPUTED_VALUE"""),43783.99861111111)</f>
        <v>43783.99861</v>
      </c>
      <c r="B3416" s="1">
        <f>IFERROR(__xludf.DUMMYFUNCTION("""COMPUTED_VALUE"""),15517.0)</f>
        <v>15517</v>
      </c>
    </row>
    <row r="3417">
      <c r="A3417" s="3">
        <f>IFERROR(__xludf.DUMMYFUNCTION("""COMPUTED_VALUE"""),43784.99861111111)</f>
        <v>43784.99861</v>
      </c>
      <c r="B3417" s="1">
        <f>IFERROR(__xludf.DUMMYFUNCTION("""COMPUTED_VALUE"""),15553.0)</f>
        <v>15553</v>
      </c>
    </row>
    <row r="3418">
      <c r="A3418" s="3">
        <f>IFERROR(__xludf.DUMMYFUNCTION("""COMPUTED_VALUE"""),43785.99861111111)</f>
        <v>43785.99861</v>
      </c>
      <c r="B3418" s="1">
        <f>IFERROR(__xludf.DUMMYFUNCTION("""COMPUTED_VALUE"""),15525.33)</f>
        <v>15525.33</v>
      </c>
    </row>
    <row r="3419">
      <c r="A3419" s="3">
        <f>IFERROR(__xludf.DUMMYFUNCTION("""COMPUTED_VALUE"""),43786.99861111111)</f>
        <v>43786.99861</v>
      </c>
      <c r="B3419" s="1">
        <f>IFERROR(__xludf.DUMMYFUNCTION("""COMPUTED_VALUE"""),15525.33)</f>
        <v>15525.33</v>
      </c>
    </row>
    <row r="3420">
      <c r="A3420" s="3">
        <f>IFERROR(__xludf.DUMMYFUNCTION("""COMPUTED_VALUE"""),43787.99861111111)</f>
        <v>43787.99861</v>
      </c>
      <c r="B3420" s="1">
        <f>IFERROR(__xludf.DUMMYFUNCTION("""COMPUTED_VALUE"""),15569.88)</f>
        <v>15569.88</v>
      </c>
    </row>
    <row r="3421">
      <c r="A3421" s="3">
        <f>IFERROR(__xludf.DUMMYFUNCTION("""COMPUTED_VALUE"""),43788.99861111111)</f>
        <v>43788.99861</v>
      </c>
      <c r="B3421" s="1">
        <f>IFERROR(__xludf.DUMMYFUNCTION("""COMPUTED_VALUE"""),15608.41)</f>
        <v>15608.41</v>
      </c>
    </row>
    <row r="3422">
      <c r="A3422" s="3">
        <f>IFERROR(__xludf.DUMMYFUNCTION("""COMPUTED_VALUE"""),43789.99861111111)</f>
        <v>43789.99861</v>
      </c>
      <c r="B3422" s="1">
        <f>IFERROR(__xludf.DUMMYFUNCTION("""COMPUTED_VALUE"""),15553.0)</f>
        <v>15553</v>
      </c>
    </row>
    <row r="3423">
      <c r="A3423" s="3">
        <f>IFERROR(__xludf.DUMMYFUNCTION("""COMPUTED_VALUE"""),43790.99861111111)</f>
        <v>43790.99861</v>
      </c>
      <c r="B3423" s="1">
        <f>IFERROR(__xludf.DUMMYFUNCTION("""COMPUTED_VALUE"""),15577.0)</f>
        <v>15577</v>
      </c>
    </row>
    <row r="3424">
      <c r="A3424" s="3">
        <f>IFERROR(__xludf.DUMMYFUNCTION("""COMPUTED_VALUE"""),43791.99861111111)</f>
        <v>43791.99861</v>
      </c>
      <c r="B3424" s="1">
        <f>IFERROR(__xludf.DUMMYFUNCTION("""COMPUTED_VALUE"""),15528.0)</f>
        <v>15528</v>
      </c>
    </row>
    <row r="3425">
      <c r="A3425" s="3">
        <f>IFERROR(__xludf.DUMMYFUNCTION("""COMPUTED_VALUE"""),43792.99861111111)</f>
        <v>43792.99861</v>
      </c>
      <c r="B3425" s="1">
        <f>IFERROR(__xludf.DUMMYFUNCTION("""COMPUTED_VALUE"""),15528.0)</f>
        <v>15528</v>
      </c>
    </row>
    <row r="3426">
      <c r="A3426" s="3">
        <f>IFERROR(__xludf.DUMMYFUNCTION("""COMPUTED_VALUE"""),43793.99861111111)</f>
        <v>43793.99861</v>
      </c>
      <c r="B3426" s="1">
        <f>IFERROR(__xludf.DUMMYFUNCTION("""COMPUTED_VALUE"""),15528.0)</f>
        <v>15528</v>
      </c>
    </row>
    <row r="3427">
      <c r="A3427" s="3">
        <f>IFERROR(__xludf.DUMMYFUNCTION("""COMPUTED_VALUE"""),43794.99861111111)</f>
        <v>43794.99861</v>
      </c>
      <c r="B3427" s="1">
        <f>IFERROR(__xludf.DUMMYFUNCTION("""COMPUTED_VALUE"""),15490.0)</f>
        <v>15490</v>
      </c>
    </row>
    <row r="3428">
      <c r="A3428" s="3">
        <f>IFERROR(__xludf.DUMMYFUNCTION("""COMPUTED_VALUE"""),43795.99861111111)</f>
        <v>43795.99861</v>
      </c>
      <c r="B3428" s="1">
        <f>IFERROR(__xludf.DUMMYFUNCTION("""COMPUTED_VALUE"""),15520.0)</f>
        <v>15520</v>
      </c>
    </row>
    <row r="3429">
      <c r="A3429" s="3">
        <f>IFERROR(__xludf.DUMMYFUNCTION("""COMPUTED_VALUE"""),43796.99861111111)</f>
        <v>43796.99861</v>
      </c>
      <c r="B3429" s="1">
        <f>IFERROR(__xludf.DUMMYFUNCTION("""COMPUTED_VALUE"""),15510.0)</f>
        <v>15510</v>
      </c>
    </row>
    <row r="3430">
      <c r="A3430" s="3">
        <f>IFERROR(__xludf.DUMMYFUNCTION("""COMPUTED_VALUE"""),43797.99861111111)</f>
        <v>43797.99861</v>
      </c>
      <c r="B3430" s="1">
        <f>IFERROR(__xludf.DUMMYFUNCTION("""COMPUTED_VALUE"""),15502.31)</f>
        <v>15502.31</v>
      </c>
    </row>
    <row r="3431">
      <c r="A3431" s="3">
        <f>IFERROR(__xludf.DUMMYFUNCTION("""COMPUTED_VALUE"""),43798.99861111111)</f>
        <v>43798.99861</v>
      </c>
      <c r="B3431" s="1">
        <f>IFERROR(__xludf.DUMMYFUNCTION("""COMPUTED_VALUE"""),15520.0)</f>
        <v>15520</v>
      </c>
    </row>
    <row r="3432">
      <c r="A3432" s="3">
        <f>IFERROR(__xludf.DUMMYFUNCTION("""COMPUTED_VALUE"""),43799.99861111111)</f>
        <v>43799.99861</v>
      </c>
      <c r="B3432" s="1">
        <f>IFERROR(__xludf.DUMMYFUNCTION("""COMPUTED_VALUE"""),15510.35)</f>
        <v>15510.35</v>
      </c>
    </row>
    <row r="3433">
      <c r="A3433" s="3">
        <f>IFERROR(__xludf.DUMMYFUNCTION("""COMPUTED_VALUE"""),43800.99861111111)</f>
        <v>43800.99861</v>
      </c>
      <c r="B3433" s="1">
        <f>IFERROR(__xludf.DUMMYFUNCTION("""COMPUTED_VALUE"""),15510.35)</f>
        <v>15510.35</v>
      </c>
    </row>
    <row r="3434">
      <c r="A3434" s="3">
        <f>IFERROR(__xludf.DUMMYFUNCTION("""COMPUTED_VALUE"""),43801.99861111111)</f>
        <v>43801.99861</v>
      </c>
      <c r="B3434" s="1">
        <f>IFERROR(__xludf.DUMMYFUNCTION("""COMPUTED_VALUE"""),15649.0)</f>
        <v>15649</v>
      </c>
    </row>
    <row r="3435">
      <c r="A3435" s="3">
        <f>IFERROR(__xludf.DUMMYFUNCTION("""COMPUTED_VALUE"""),43802.99861111111)</f>
        <v>43802.99861</v>
      </c>
      <c r="B3435" s="1">
        <f>IFERROR(__xludf.DUMMYFUNCTION("""COMPUTED_VALUE"""),15628.0)</f>
        <v>15628</v>
      </c>
    </row>
    <row r="3436">
      <c r="A3436" s="3">
        <f>IFERROR(__xludf.DUMMYFUNCTION("""COMPUTED_VALUE"""),43803.99861111111)</f>
        <v>43803.99861</v>
      </c>
      <c r="B3436" s="1">
        <f>IFERROR(__xludf.DUMMYFUNCTION("""COMPUTED_VALUE"""),15515.0)</f>
        <v>15515</v>
      </c>
    </row>
    <row r="3437">
      <c r="A3437" s="3">
        <f>IFERROR(__xludf.DUMMYFUNCTION("""COMPUTED_VALUE"""),43804.99861111111)</f>
        <v>43804.99861</v>
      </c>
      <c r="B3437" s="1">
        <f>IFERROR(__xludf.DUMMYFUNCTION("""COMPUTED_VALUE"""),15515.0)</f>
        <v>15515</v>
      </c>
    </row>
    <row r="3438">
      <c r="A3438" s="3">
        <f>IFERROR(__xludf.DUMMYFUNCTION("""COMPUTED_VALUE"""),43805.99861111111)</f>
        <v>43805.99861</v>
      </c>
      <c r="B3438" s="1">
        <f>IFERROR(__xludf.DUMMYFUNCTION("""COMPUTED_VALUE"""),15512.0)</f>
        <v>15512</v>
      </c>
    </row>
    <row r="3439">
      <c r="A3439" s="3">
        <f>IFERROR(__xludf.DUMMYFUNCTION("""COMPUTED_VALUE"""),43806.99861111111)</f>
        <v>43806.99861</v>
      </c>
      <c r="B3439" s="1">
        <f>IFERROR(__xludf.DUMMYFUNCTION("""COMPUTED_VALUE"""),15512.0)</f>
        <v>15512</v>
      </c>
    </row>
    <row r="3440">
      <c r="A3440" s="3">
        <f>IFERROR(__xludf.DUMMYFUNCTION("""COMPUTED_VALUE"""),43807.99861111111)</f>
        <v>43807.99861</v>
      </c>
      <c r="B3440" s="1">
        <f>IFERROR(__xludf.DUMMYFUNCTION("""COMPUTED_VALUE"""),15512.0)</f>
        <v>15512</v>
      </c>
    </row>
    <row r="3441">
      <c r="A3441" s="3">
        <f>IFERROR(__xludf.DUMMYFUNCTION("""COMPUTED_VALUE"""),43808.99861111111)</f>
        <v>43808.99861</v>
      </c>
      <c r="B3441" s="1">
        <f>IFERROR(__xludf.DUMMYFUNCTION("""COMPUTED_VALUE"""),15500.0)</f>
        <v>15500</v>
      </c>
    </row>
    <row r="3442">
      <c r="A3442" s="3">
        <f>IFERROR(__xludf.DUMMYFUNCTION("""COMPUTED_VALUE"""),43809.99861111111)</f>
        <v>43809.99861</v>
      </c>
      <c r="B3442" s="1">
        <f>IFERROR(__xludf.DUMMYFUNCTION("""COMPUTED_VALUE"""),15542.0)</f>
        <v>15542</v>
      </c>
    </row>
    <row r="3443">
      <c r="A3443" s="3">
        <f>IFERROR(__xludf.DUMMYFUNCTION("""COMPUTED_VALUE"""),43810.99861111111)</f>
        <v>43810.99861</v>
      </c>
      <c r="B3443" s="1">
        <f>IFERROR(__xludf.DUMMYFUNCTION("""COMPUTED_VALUE"""),15565.0)</f>
        <v>15565</v>
      </c>
    </row>
    <row r="3444">
      <c r="A3444" s="3">
        <f>IFERROR(__xludf.DUMMYFUNCTION("""COMPUTED_VALUE"""),43811.99861111111)</f>
        <v>43811.99861</v>
      </c>
      <c r="B3444" s="1">
        <f>IFERROR(__xludf.DUMMYFUNCTION("""COMPUTED_VALUE"""),15585.0)</f>
        <v>15585</v>
      </c>
    </row>
    <row r="3445">
      <c r="A3445" s="3">
        <f>IFERROR(__xludf.DUMMYFUNCTION("""COMPUTED_VALUE"""),43812.99861111111)</f>
        <v>43812.99861</v>
      </c>
      <c r="B3445" s="1">
        <f>IFERROR(__xludf.DUMMYFUNCTION("""COMPUTED_VALUE"""),15538.0)</f>
        <v>15538</v>
      </c>
    </row>
    <row r="3446">
      <c r="A3446" s="3">
        <f>IFERROR(__xludf.DUMMYFUNCTION("""COMPUTED_VALUE"""),43813.99861111111)</f>
        <v>43813.99861</v>
      </c>
      <c r="B3446" s="1">
        <f>IFERROR(__xludf.DUMMYFUNCTION("""COMPUTED_VALUE"""),15538.0)</f>
        <v>15538</v>
      </c>
    </row>
    <row r="3447">
      <c r="A3447" s="3">
        <f>IFERROR(__xludf.DUMMYFUNCTION("""COMPUTED_VALUE"""),43814.99861111111)</f>
        <v>43814.99861</v>
      </c>
      <c r="B3447" s="1">
        <f>IFERROR(__xludf.DUMMYFUNCTION("""COMPUTED_VALUE"""),15538.0)</f>
        <v>15538</v>
      </c>
    </row>
    <row r="3448">
      <c r="A3448" s="3">
        <f>IFERROR(__xludf.DUMMYFUNCTION("""COMPUTED_VALUE"""),43815.99861111111)</f>
        <v>43815.99861</v>
      </c>
      <c r="B3448" s="1">
        <f>IFERROR(__xludf.DUMMYFUNCTION("""COMPUTED_VALUE"""),15607.0)</f>
        <v>15607</v>
      </c>
    </row>
    <row r="3449">
      <c r="A3449" s="3">
        <f>IFERROR(__xludf.DUMMYFUNCTION("""COMPUTED_VALUE"""),43816.99861111111)</f>
        <v>43816.99861</v>
      </c>
      <c r="B3449" s="1">
        <f>IFERROR(__xludf.DUMMYFUNCTION("""COMPUTED_VALUE"""),15595.0)</f>
        <v>15595</v>
      </c>
    </row>
    <row r="3450">
      <c r="A3450" s="3">
        <f>IFERROR(__xludf.DUMMYFUNCTION("""COMPUTED_VALUE"""),43817.99861111111)</f>
        <v>43817.99861</v>
      </c>
      <c r="B3450" s="1">
        <f>IFERROR(__xludf.DUMMYFUNCTION("""COMPUTED_VALUE"""),15530.0)</f>
        <v>15530</v>
      </c>
    </row>
    <row r="3451">
      <c r="A3451" s="3">
        <f>IFERROR(__xludf.DUMMYFUNCTION("""COMPUTED_VALUE"""),43818.99861111111)</f>
        <v>43818.99861</v>
      </c>
      <c r="B3451" s="1">
        <f>IFERROR(__xludf.DUMMYFUNCTION("""COMPUTED_VALUE"""),15555.0)</f>
        <v>15555</v>
      </c>
    </row>
    <row r="3452">
      <c r="A3452" s="3">
        <f>IFERROR(__xludf.DUMMYFUNCTION("""COMPUTED_VALUE"""),43819.99861111111)</f>
        <v>43819.99861</v>
      </c>
      <c r="B3452" s="1">
        <f>IFERROR(__xludf.DUMMYFUNCTION("""COMPUTED_VALUE"""),15470.0)</f>
        <v>15470</v>
      </c>
    </row>
    <row r="3453">
      <c r="A3453" s="3">
        <f>IFERROR(__xludf.DUMMYFUNCTION("""COMPUTED_VALUE"""),43820.99861111111)</f>
        <v>43820.99861</v>
      </c>
      <c r="B3453" s="1">
        <f>IFERROR(__xludf.DUMMYFUNCTION("""COMPUTED_VALUE"""),15470.0)</f>
        <v>15470</v>
      </c>
    </row>
    <row r="3454">
      <c r="A3454" s="3">
        <f>IFERROR(__xludf.DUMMYFUNCTION("""COMPUTED_VALUE"""),43821.99861111111)</f>
        <v>43821.99861</v>
      </c>
      <c r="B3454" s="1">
        <f>IFERROR(__xludf.DUMMYFUNCTION("""COMPUTED_VALUE"""),15470.0)</f>
        <v>15470</v>
      </c>
    </row>
    <row r="3455">
      <c r="A3455" s="3">
        <f>IFERROR(__xludf.DUMMYFUNCTION("""COMPUTED_VALUE"""),43822.99861111111)</f>
        <v>43822.99861</v>
      </c>
      <c r="B3455" s="1">
        <f>IFERROR(__xludf.DUMMYFUNCTION("""COMPUTED_VALUE"""),15485.0)</f>
        <v>15485</v>
      </c>
    </row>
    <row r="3456">
      <c r="A3456" s="3">
        <f>IFERROR(__xludf.DUMMYFUNCTION("""COMPUTED_VALUE"""),43823.99861111111)</f>
        <v>43823.99861</v>
      </c>
      <c r="B3456" s="1">
        <f>IFERROR(__xludf.DUMMYFUNCTION("""COMPUTED_VALUE"""),15480.0)</f>
        <v>15480</v>
      </c>
    </row>
    <row r="3457">
      <c r="A3457" s="3">
        <f>IFERROR(__xludf.DUMMYFUNCTION("""COMPUTED_VALUE"""),43824.99861111111)</f>
        <v>43824.99861</v>
      </c>
      <c r="B3457" s="1">
        <f>IFERROR(__xludf.DUMMYFUNCTION("""COMPUTED_VALUE"""),15467.19)</f>
        <v>15467.19</v>
      </c>
    </row>
    <row r="3458">
      <c r="A3458" s="3">
        <f>IFERROR(__xludf.DUMMYFUNCTION("""COMPUTED_VALUE"""),43825.99861111111)</f>
        <v>43825.99861</v>
      </c>
      <c r="B3458" s="1">
        <f>IFERROR(__xludf.DUMMYFUNCTION("""COMPUTED_VALUE"""),15493.0)</f>
        <v>15493</v>
      </c>
    </row>
    <row r="3459">
      <c r="A3459" s="3">
        <f>IFERROR(__xludf.DUMMYFUNCTION("""COMPUTED_VALUE"""),43826.99861111111)</f>
        <v>43826.99861</v>
      </c>
      <c r="B3459" s="1">
        <f>IFERROR(__xludf.DUMMYFUNCTION("""COMPUTED_VALUE"""),15598.0)</f>
        <v>15598</v>
      </c>
    </row>
    <row r="3460">
      <c r="A3460" s="3">
        <f>IFERROR(__xludf.DUMMYFUNCTION("""COMPUTED_VALUE"""),43827.99861111111)</f>
        <v>43827.99861</v>
      </c>
      <c r="B3460" s="1">
        <f>IFERROR(__xludf.DUMMYFUNCTION("""COMPUTED_VALUE"""),15598.0)</f>
        <v>15598</v>
      </c>
    </row>
    <row r="3461">
      <c r="A3461" s="3">
        <f>IFERROR(__xludf.DUMMYFUNCTION("""COMPUTED_VALUE"""),43828.99861111111)</f>
        <v>43828.99861</v>
      </c>
      <c r="B3461" s="1">
        <f>IFERROR(__xludf.DUMMYFUNCTION("""COMPUTED_VALUE"""),15598.0)</f>
        <v>15598</v>
      </c>
    </row>
    <row r="3462">
      <c r="A3462" s="3">
        <f>IFERROR(__xludf.DUMMYFUNCTION("""COMPUTED_VALUE"""),43829.99861111111)</f>
        <v>43829.99861</v>
      </c>
      <c r="B3462" s="1">
        <f>IFERROR(__xludf.DUMMYFUNCTION("""COMPUTED_VALUE"""),15600.0)</f>
        <v>15600</v>
      </c>
    </row>
    <row r="3463">
      <c r="A3463" s="3">
        <f>IFERROR(__xludf.DUMMYFUNCTION("""COMPUTED_VALUE"""),43830.99861111111)</f>
        <v>43830.99861</v>
      </c>
      <c r="B3463" s="1">
        <f>IFERROR(__xludf.DUMMYFUNCTION("""COMPUTED_VALUE"""),15587.06)</f>
        <v>15587.06</v>
      </c>
    </row>
    <row r="3464">
      <c r="A3464" s="3">
        <f>IFERROR(__xludf.DUMMYFUNCTION("""COMPUTED_VALUE"""),43831.99861111111)</f>
        <v>43831.99861</v>
      </c>
      <c r="B3464" s="1">
        <f>IFERROR(__xludf.DUMMYFUNCTION("""COMPUTED_VALUE"""),15587.06)</f>
        <v>15587.06</v>
      </c>
    </row>
    <row r="3465">
      <c r="A3465" s="3">
        <f>IFERROR(__xludf.DUMMYFUNCTION("""COMPUTED_VALUE"""),43832.99861111111)</f>
        <v>43832.99861</v>
      </c>
      <c r="B3465" s="1">
        <f>IFERROR(__xludf.DUMMYFUNCTION("""COMPUTED_VALUE"""),15515.0)</f>
        <v>15515</v>
      </c>
    </row>
    <row r="3466">
      <c r="A3466" s="3">
        <f>IFERROR(__xludf.DUMMYFUNCTION("""COMPUTED_VALUE"""),43833.99861111111)</f>
        <v>43833.99861</v>
      </c>
      <c r="B3466" s="1">
        <f>IFERROR(__xludf.DUMMYFUNCTION("""COMPUTED_VALUE"""),15555.0)</f>
        <v>15555</v>
      </c>
    </row>
    <row r="3467">
      <c r="A3467" s="3">
        <f>IFERROR(__xludf.DUMMYFUNCTION("""COMPUTED_VALUE"""),43834.99861111111)</f>
        <v>43834.99861</v>
      </c>
      <c r="B3467" s="1">
        <f>IFERROR(__xludf.DUMMYFUNCTION("""COMPUTED_VALUE"""),15555.0)</f>
        <v>15555</v>
      </c>
    </row>
    <row r="3468">
      <c r="A3468" s="3">
        <f>IFERROR(__xludf.DUMMYFUNCTION("""COMPUTED_VALUE"""),43835.99861111111)</f>
        <v>43835.99861</v>
      </c>
      <c r="B3468" s="1">
        <f>IFERROR(__xludf.DUMMYFUNCTION("""COMPUTED_VALUE"""),15555.0)</f>
        <v>15555</v>
      </c>
    </row>
    <row r="3469">
      <c r="A3469" s="3">
        <f>IFERROR(__xludf.DUMMYFUNCTION("""COMPUTED_VALUE"""),43836.99861111111)</f>
        <v>43836.99861</v>
      </c>
      <c r="B3469" s="1">
        <f>IFERROR(__xludf.DUMMYFUNCTION("""COMPUTED_VALUE"""),15555.0)</f>
        <v>15555</v>
      </c>
    </row>
    <row r="3470">
      <c r="A3470" s="3">
        <f>IFERROR(__xludf.DUMMYFUNCTION("""COMPUTED_VALUE"""),43837.99861111111)</f>
        <v>43837.99861</v>
      </c>
      <c r="B3470" s="1">
        <f>IFERROR(__xludf.DUMMYFUNCTION("""COMPUTED_VALUE"""),15465.0)</f>
        <v>15465</v>
      </c>
    </row>
    <row r="3471">
      <c r="A3471" s="3">
        <f>IFERROR(__xludf.DUMMYFUNCTION("""COMPUTED_VALUE"""),43838.99861111111)</f>
        <v>43838.99861</v>
      </c>
      <c r="B3471" s="1">
        <f>IFERROR(__xludf.DUMMYFUNCTION("""COMPUTED_VALUE"""),15451.0)</f>
        <v>15451</v>
      </c>
    </row>
    <row r="3472">
      <c r="A3472" s="3">
        <f>IFERROR(__xludf.DUMMYFUNCTION("""COMPUTED_VALUE"""),43839.99861111111)</f>
        <v>43839.99861</v>
      </c>
      <c r="B3472" s="1">
        <f>IFERROR(__xludf.DUMMYFUNCTION("""COMPUTED_VALUE"""),15365.0)</f>
        <v>15365</v>
      </c>
    </row>
    <row r="3473">
      <c r="A3473" s="3">
        <f>IFERROR(__xludf.DUMMYFUNCTION("""COMPUTED_VALUE"""),43840.99861111111)</f>
        <v>43840.99861</v>
      </c>
      <c r="B3473" s="1">
        <f>IFERROR(__xludf.DUMMYFUNCTION("""COMPUTED_VALUE"""),15300.0)</f>
        <v>15300</v>
      </c>
    </row>
    <row r="3474">
      <c r="A3474" s="3">
        <f>IFERROR(__xludf.DUMMYFUNCTION("""COMPUTED_VALUE"""),43841.99861111111)</f>
        <v>43841.99861</v>
      </c>
      <c r="B3474" s="1">
        <f>IFERROR(__xludf.DUMMYFUNCTION("""COMPUTED_VALUE"""),15266.95)</f>
        <v>15266.95</v>
      </c>
    </row>
    <row r="3475">
      <c r="A3475" s="3">
        <f>IFERROR(__xludf.DUMMYFUNCTION("""COMPUTED_VALUE"""),43842.99861111111)</f>
        <v>43842.99861</v>
      </c>
      <c r="B3475" s="1">
        <f>IFERROR(__xludf.DUMMYFUNCTION("""COMPUTED_VALUE"""),15266.95)</f>
        <v>15266.95</v>
      </c>
    </row>
    <row r="3476">
      <c r="A3476" s="3">
        <f>IFERROR(__xludf.DUMMYFUNCTION("""COMPUTED_VALUE"""),43843.99861111111)</f>
        <v>43843.99861</v>
      </c>
      <c r="B3476" s="1">
        <f>IFERROR(__xludf.DUMMYFUNCTION("""COMPUTED_VALUE"""),15222.0)</f>
        <v>15222</v>
      </c>
    </row>
    <row r="3477">
      <c r="A3477" s="3">
        <f>IFERROR(__xludf.DUMMYFUNCTION("""COMPUTED_VALUE"""),43844.99861111111)</f>
        <v>43844.99861</v>
      </c>
      <c r="B3477" s="1">
        <f>IFERROR(__xludf.DUMMYFUNCTION("""COMPUTED_VALUE"""),15214.0)</f>
        <v>15214</v>
      </c>
    </row>
    <row r="3478">
      <c r="A3478" s="3">
        <f>IFERROR(__xludf.DUMMYFUNCTION("""COMPUTED_VALUE"""),43845.99861111111)</f>
        <v>43845.99861</v>
      </c>
      <c r="B3478" s="1">
        <f>IFERROR(__xludf.DUMMYFUNCTION("""COMPUTED_VALUE"""),15244.0)</f>
        <v>15244</v>
      </c>
    </row>
    <row r="3479">
      <c r="A3479" s="3">
        <f>IFERROR(__xludf.DUMMYFUNCTION("""COMPUTED_VALUE"""),43846.99861111111)</f>
        <v>43846.99861</v>
      </c>
      <c r="B3479" s="1">
        <f>IFERROR(__xludf.DUMMYFUNCTION("""COMPUTED_VALUE"""),15172.0)</f>
        <v>15172</v>
      </c>
    </row>
    <row r="3480">
      <c r="A3480" s="3">
        <f>IFERROR(__xludf.DUMMYFUNCTION("""COMPUTED_VALUE"""),43847.99861111111)</f>
        <v>43847.99861</v>
      </c>
      <c r="B3480" s="1">
        <f>IFERROR(__xludf.DUMMYFUNCTION("""COMPUTED_VALUE"""),15154.88)</f>
        <v>15154.88</v>
      </c>
    </row>
    <row r="3481">
      <c r="A3481" s="3">
        <f>IFERROR(__xludf.DUMMYFUNCTION("""COMPUTED_VALUE"""),43848.99861111111)</f>
        <v>43848.99861</v>
      </c>
      <c r="B3481" s="1">
        <f>IFERROR(__xludf.DUMMYFUNCTION("""COMPUTED_VALUE"""),15154.88)</f>
        <v>15154.88</v>
      </c>
    </row>
    <row r="3482">
      <c r="A3482" s="3">
        <f>IFERROR(__xludf.DUMMYFUNCTION("""COMPUTED_VALUE"""),43849.99861111111)</f>
        <v>43849.99861</v>
      </c>
      <c r="B3482" s="1">
        <f>IFERROR(__xludf.DUMMYFUNCTION("""COMPUTED_VALUE"""),15154.88)</f>
        <v>15154.88</v>
      </c>
    </row>
    <row r="3483">
      <c r="A3483" s="3">
        <f>IFERROR(__xludf.DUMMYFUNCTION("""COMPUTED_VALUE"""),43850.99861111111)</f>
        <v>43850.99861</v>
      </c>
      <c r="B3483" s="1">
        <f>IFERROR(__xludf.DUMMYFUNCTION("""COMPUTED_VALUE"""),15112.72)</f>
        <v>15112.72</v>
      </c>
    </row>
    <row r="3484">
      <c r="A3484" s="3">
        <f>IFERROR(__xludf.DUMMYFUNCTION("""COMPUTED_VALUE"""),43851.99861111111)</f>
        <v>43851.99861</v>
      </c>
      <c r="B3484" s="1">
        <f>IFERROR(__xludf.DUMMYFUNCTION("""COMPUTED_VALUE"""),15143.0)</f>
        <v>15143</v>
      </c>
    </row>
    <row r="3485">
      <c r="A3485" s="3">
        <f>IFERROR(__xludf.DUMMYFUNCTION("""COMPUTED_VALUE"""),43852.99861111111)</f>
        <v>43852.99861</v>
      </c>
      <c r="B3485" s="1">
        <f>IFERROR(__xludf.DUMMYFUNCTION("""COMPUTED_VALUE"""),15123.0)</f>
        <v>15123</v>
      </c>
    </row>
    <row r="3486">
      <c r="A3486" s="3">
        <f>IFERROR(__xludf.DUMMYFUNCTION("""COMPUTED_VALUE"""),43853.99861111111)</f>
        <v>43853.99861</v>
      </c>
      <c r="B3486" s="1">
        <f>IFERROR(__xludf.DUMMYFUNCTION("""COMPUTED_VALUE"""),15050.0)</f>
        <v>15050</v>
      </c>
    </row>
    <row r="3487">
      <c r="A3487" s="3">
        <f>IFERROR(__xludf.DUMMYFUNCTION("""COMPUTED_VALUE"""),43854.99861111111)</f>
        <v>43854.99861</v>
      </c>
      <c r="B3487" s="1">
        <f>IFERROR(__xludf.DUMMYFUNCTION("""COMPUTED_VALUE"""),15123.0)</f>
        <v>15123</v>
      </c>
    </row>
    <row r="3488">
      <c r="A3488" s="3">
        <f>IFERROR(__xludf.DUMMYFUNCTION("""COMPUTED_VALUE"""),43855.99861111111)</f>
        <v>43855.99861</v>
      </c>
      <c r="B3488" s="1">
        <f>IFERROR(__xludf.DUMMYFUNCTION("""COMPUTED_VALUE"""),15123.0)</f>
        <v>15123</v>
      </c>
    </row>
    <row r="3489">
      <c r="A3489" s="3">
        <f>IFERROR(__xludf.DUMMYFUNCTION("""COMPUTED_VALUE"""),43856.99861111111)</f>
        <v>43856.99861</v>
      </c>
      <c r="B3489" s="1">
        <f>IFERROR(__xludf.DUMMYFUNCTION("""COMPUTED_VALUE"""),15123.0)</f>
        <v>15123</v>
      </c>
    </row>
    <row r="3490">
      <c r="A3490" s="3">
        <f>IFERROR(__xludf.DUMMYFUNCTION("""COMPUTED_VALUE"""),43857.99861111111)</f>
        <v>43857.99861</v>
      </c>
      <c r="B3490" s="1">
        <f>IFERROR(__xludf.DUMMYFUNCTION("""COMPUTED_VALUE"""),14565.0)</f>
        <v>14565</v>
      </c>
    </row>
    <row r="3491">
      <c r="A3491" s="3">
        <f>IFERROR(__xludf.DUMMYFUNCTION("""COMPUTED_VALUE"""),43858.99861111111)</f>
        <v>43858.99861</v>
      </c>
      <c r="B3491" s="1">
        <f>IFERROR(__xludf.DUMMYFUNCTION("""COMPUTED_VALUE"""),15000.0)</f>
        <v>15000</v>
      </c>
    </row>
    <row r="3492">
      <c r="A3492" s="3">
        <f>IFERROR(__xludf.DUMMYFUNCTION("""COMPUTED_VALUE"""),43859.99861111111)</f>
        <v>43859.99861</v>
      </c>
      <c r="B3492" s="1">
        <f>IFERROR(__xludf.DUMMYFUNCTION("""COMPUTED_VALUE"""),14999.0)</f>
        <v>14999</v>
      </c>
    </row>
    <row r="3493">
      <c r="A3493" s="3">
        <f>IFERROR(__xludf.DUMMYFUNCTION("""COMPUTED_VALUE"""),43860.99861111111)</f>
        <v>43860.99861</v>
      </c>
      <c r="B3493" s="1">
        <f>IFERROR(__xludf.DUMMYFUNCTION("""COMPUTED_VALUE"""),15054.0)</f>
        <v>15054</v>
      </c>
    </row>
    <row r="3494">
      <c r="A3494" s="3">
        <f>IFERROR(__xludf.DUMMYFUNCTION("""COMPUTED_VALUE"""),43861.99861111111)</f>
        <v>43861.99861</v>
      </c>
      <c r="B3494" s="1">
        <f>IFERROR(__xludf.DUMMYFUNCTION("""COMPUTED_VALUE"""),15130.0)</f>
        <v>15130</v>
      </c>
    </row>
    <row r="3495">
      <c r="A3495" s="3">
        <f>IFERROR(__xludf.DUMMYFUNCTION("""COMPUTED_VALUE"""),43862.99861111111)</f>
        <v>43862.99861</v>
      </c>
      <c r="B3495" s="1">
        <f>IFERROR(__xludf.DUMMYFUNCTION("""COMPUTED_VALUE"""),15130.0)</f>
        <v>15130</v>
      </c>
    </row>
    <row r="3496">
      <c r="A3496" s="3">
        <f>IFERROR(__xludf.DUMMYFUNCTION("""COMPUTED_VALUE"""),43863.99861111111)</f>
        <v>43863.99861</v>
      </c>
      <c r="B3496" s="1">
        <f>IFERROR(__xludf.DUMMYFUNCTION("""COMPUTED_VALUE"""),15130.0)</f>
        <v>15130</v>
      </c>
    </row>
    <row r="3497">
      <c r="A3497" s="3">
        <f>IFERROR(__xludf.DUMMYFUNCTION("""COMPUTED_VALUE"""),43864.99861111111)</f>
        <v>43864.99861</v>
      </c>
      <c r="B3497" s="1">
        <f>IFERROR(__xludf.DUMMYFUNCTION("""COMPUTED_VALUE"""),15202.64)</f>
        <v>15202.64</v>
      </c>
    </row>
    <row r="3498">
      <c r="A3498" s="3">
        <f>IFERROR(__xludf.DUMMYFUNCTION("""COMPUTED_VALUE"""),43865.99861111111)</f>
        <v>43865.99861</v>
      </c>
      <c r="B3498" s="1">
        <f>IFERROR(__xludf.DUMMYFUNCTION("""COMPUTED_VALUE"""),15139.0)</f>
        <v>15139</v>
      </c>
    </row>
    <row r="3499">
      <c r="A3499" s="3">
        <f>IFERROR(__xludf.DUMMYFUNCTION("""COMPUTED_VALUE"""),43866.99861111111)</f>
        <v>43866.99861</v>
      </c>
      <c r="B3499" s="1">
        <f>IFERROR(__xludf.DUMMYFUNCTION("""COMPUTED_VALUE"""),15040.0)</f>
        <v>15040</v>
      </c>
    </row>
    <row r="3500">
      <c r="A3500" s="3">
        <f>IFERROR(__xludf.DUMMYFUNCTION("""COMPUTED_VALUE"""),43867.99861111111)</f>
        <v>43867.99861</v>
      </c>
      <c r="B3500" s="1">
        <f>IFERROR(__xludf.DUMMYFUNCTION("""COMPUTED_VALUE"""),14982.48)</f>
        <v>14982.48</v>
      </c>
    </row>
    <row r="3501">
      <c r="A3501" s="3">
        <f>IFERROR(__xludf.DUMMYFUNCTION("""COMPUTED_VALUE"""),43868.99861111111)</f>
        <v>43868.99861</v>
      </c>
      <c r="B3501" s="1">
        <f>IFERROR(__xludf.DUMMYFUNCTION("""COMPUTED_VALUE"""),14975.0)</f>
        <v>14975</v>
      </c>
    </row>
    <row r="3502">
      <c r="A3502" s="3">
        <f>IFERROR(__xludf.DUMMYFUNCTION("""COMPUTED_VALUE"""),43869.99861111111)</f>
        <v>43869.99861</v>
      </c>
      <c r="B3502" s="1">
        <f>IFERROR(__xludf.DUMMYFUNCTION("""COMPUTED_VALUE"""),14975.0)</f>
        <v>14975</v>
      </c>
    </row>
    <row r="3503">
      <c r="A3503" s="3">
        <f>IFERROR(__xludf.DUMMYFUNCTION("""COMPUTED_VALUE"""),43870.99861111111)</f>
        <v>43870.99861</v>
      </c>
      <c r="B3503" s="1">
        <f>IFERROR(__xludf.DUMMYFUNCTION("""COMPUTED_VALUE"""),14975.0)</f>
        <v>14975</v>
      </c>
    </row>
    <row r="3504">
      <c r="A3504" s="3">
        <f>IFERROR(__xludf.DUMMYFUNCTION("""COMPUTED_VALUE"""),43871.99861111111)</f>
        <v>43871.99861</v>
      </c>
      <c r="B3504" s="1">
        <f>IFERROR(__xludf.DUMMYFUNCTION("""COMPUTED_VALUE"""),14955.0)</f>
        <v>14955</v>
      </c>
    </row>
    <row r="3505">
      <c r="A3505" s="3">
        <f>IFERROR(__xludf.DUMMYFUNCTION("""COMPUTED_VALUE"""),43872.99861111111)</f>
        <v>43872.99861</v>
      </c>
      <c r="B3505" s="1">
        <f>IFERROR(__xludf.DUMMYFUNCTION("""COMPUTED_VALUE"""),14917.0)</f>
        <v>14917</v>
      </c>
    </row>
    <row r="3506">
      <c r="A3506" s="3">
        <f>IFERROR(__xludf.DUMMYFUNCTION("""COMPUTED_VALUE"""),43873.99861111111)</f>
        <v>43873.99861</v>
      </c>
      <c r="B3506" s="1">
        <f>IFERROR(__xludf.DUMMYFUNCTION("""COMPUTED_VALUE"""),14905.86)</f>
        <v>14905.86</v>
      </c>
    </row>
    <row r="3507">
      <c r="A3507" s="3">
        <f>IFERROR(__xludf.DUMMYFUNCTION("""COMPUTED_VALUE"""),43874.99861111111)</f>
        <v>43874.99861</v>
      </c>
      <c r="B3507" s="1">
        <f>IFERROR(__xludf.DUMMYFUNCTION("""COMPUTED_VALUE"""),14834.0)</f>
        <v>14834</v>
      </c>
    </row>
    <row r="3508">
      <c r="A3508" s="3">
        <f>IFERROR(__xludf.DUMMYFUNCTION("""COMPUTED_VALUE"""),43875.99861111111)</f>
        <v>43875.99861</v>
      </c>
      <c r="B3508" s="1">
        <f>IFERROR(__xludf.DUMMYFUNCTION("""COMPUTED_VALUE"""),14823.0)</f>
        <v>14823</v>
      </c>
    </row>
    <row r="3509">
      <c r="A3509" s="3">
        <f>IFERROR(__xludf.DUMMYFUNCTION("""COMPUTED_VALUE"""),43876.99861111111)</f>
        <v>43876.99861</v>
      </c>
      <c r="B3509" s="1">
        <f>IFERROR(__xludf.DUMMYFUNCTION("""COMPUTED_VALUE"""),14823.0)</f>
        <v>14823</v>
      </c>
    </row>
    <row r="3510">
      <c r="A3510" s="3">
        <f>IFERROR(__xludf.DUMMYFUNCTION("""COMPUTED_VALUE"""),43877.99861111111)</f>
        <v>43877.99861</v>
      </c>
      <c r="B3510" s="1">
        <f>IFERROR(__xludf.DUMMYFUNCTION("""COMPUTED_VALUE"""),14823.0)</f>
        <v>14823</v>
      </c>
    </row>
    <row r="3511">
      <c r="A3511" s="3">
        <f>IFERROR(__xludf.DUMMYFUNCTION("""COMPUTED_VALUE"""),43878.99861111111)</f>
        <v>43878.99861</v>
      </c>
      <c r="B3511" s="1">
        <f>IFERROR(__xludf.DUMMYFUNCTION("""COMPUTED_VALUE"""),14796.0)</f>
        <v>14796</v>
      </c>
    </row>
    <row r="3512">
      <c r="A3512" s="3">
        <f>IFERROR(__xludf.DUMMYFUNCTION("""COMPUTED_VALUE"""),43879.99861111111)</f>
        <v>43879.99861</v>
      </c>
      <c r="B3512" s="1">
        <f>IFERROR(__xludf.DUMMYFUNCTION("""COMPUTED_VALUE"""),14748.0)</f>
        <v>14748</v>
      </c>
    </row>
    <row r="3513">
      <c r="A3513" s="3">
        <f>IFERROR(__xludf.DUMMYFUNCTION("""COMPUTED_VALUE"""),43880.99861111111)</f>
        <v>43880.99861</v>
      </c>
      <c r="B3513" s="1">
        <f>IFERROR(__xludf.DUMMYFUNCTION("""COMPUTED_VALUE"""),14772.0)</f>
        <v>14772</v>
      </c>
    </row>
    <row r="3514">
      <c r="A3514" s="3">
        <f>IFERROR(__xludf.DUMMYFUNCTION("""COMPUTED_VALUE"""),43881.99861111111)</f>
        <v>43881.99861</v>
      </c>
      <c r="B3514" s="1">
        <f>IFERROR(__xludf.DUMMYFUNCTION("""COMPUTED_VALUE"""),14789.0)</f>
        <v>14789</v>
      </c>
    </row>
    <row r="3515">
      <c r="A3515" s="3">
        <f>IFERROR(__xludf.DUMMYFUNCTION("""COMPUTED_VALUE"""),43882.99861111111)</f>
        <v>43882.99861</v>
      </c>
      <c r="B3515" s="1">
        <f>IFERROR(__xludf.DUMMYFUNCTION("""COMPUTED_VALUE"""),14943.0)</f>
        <v>14943</v>
      </c>
    </row>
    <row r="3516">
      <c r="A3516" s="3">
        <f>IFERROR(__xludf.DUMMYFUNCTION("""COMPUTED_VALUE"""),43883.99861111111)</f>
        <v>43883.99861</v>
      </c>
      <c r="B3516" s="1">
        <f>IFERROR(__xludf.DUMMYFUNCTION("""COMPUTED_VALUE"""),14943.0)</f>
        <v>14943</v>
      </c>
    </row>
    <row r="3517">
      <c r="A3517" s="3">
        <f>IFERROR(__xludf.DUMMYFUNCTION("""COMPUTED_VALUE"""),43884.99861111111)</f>
        <v>43884.99861</v>
      </c>
      <c r="B3517" s="1">
        <f>IFERROR(__xludf.DUMMYFUNCTION("""COMPUTED_VALUE"""),14943.0)</f>
        <v>14943</v>
      </c>
    </row>
    <row r="3518">
      <c r="A3518" s="3">
        <f>IFERROR(__xludf.DUMMYFUNCTION("""COMPUTED_VALUE"""),43885.99861111111)</f>
        <v>43885.99861</v>
      </c>
      <c r="B3518" s="1">
        <f>IFERROR(__xludf.DUMMYFUNCTION("""COMPUTED_VALUE"""),15067.0)</f>
        <v>15067</v>
      </c>
    </row>
    <row r="3519">
      <c r="A3519" s="3">
        <f>IFERROR(__xludf.DUMMYFUNCTION("""COMPUTED_VALUE"""),43886.99861111111)</f>
        <v>43886.99861</v>
      </c>
      <c r="B3519" s="1">
        <f>IFERROR(__xludf.DUMMYFUNCTION("""COMPUTED_VALUE"""),15079.0)</f>
        <v>15079</v>
      </c>
    </row>
    <row r="3520">
      <c r="A3520" s="3">
        <f>IFERROR(__xludf.DUMMYFUNCTION("""COMPUTED_VALUE"""),43887.99861111111)</f>
        <v>43887.99861</v>
      </c>
      <c r="B3520" s="1">
        <f>IFERROR(__xludf.DUMMYFUNCTION("""COMPUTED_VALUE"""),15170.0)</f>
        <v>15170</v>
      </c>
    </row>
    <row r="3521">
      <c r="A3521" s="3">
        <f>IFERROR(__xludf.DUMMYFUNCTION("""COMPUTED_VALUE"""),43888.99861111111)</f>
        <v>43888.99861</v>
      </c>
      <c r="B3521" s="1">
        <f>IFERROR(__xludf.DUMMYFUNCTION("""COMPUTED_VALUE"""),15413.0)</f>
        <v>15413</v>
      </c>
    </row>
    <row r="3522">
      <c r="A3522" s="3">
        <f>IFERROR(__xludf.DUMMYFUNCTION("""COMPUTED_VALUE"""),43889.99861111111)</f>
        <v>43889.99861</v>
      </c>
      <c r="B3522" s="1">
        <f>IFERROR(__xludf.DUMMYFUNCTION("""COMPUTED_VALUE"""),15413.0)</f>
        <v>15413</v>
      </c>
    </row>
    <row r="3523">
      <c r="A3523" s="3">
        <f>IFERROR(__xludf.DUMMYFUNCTION("""COMPUTED_VALUE"""),43890.99861111111)</f>
        <v>43890.99861</v>
      </c>
      <c r="B3523" s="1">
        <f>IFERROR(__xludf.DUMMYFUNCTION("""COMPUTED_VALUE"""),15413.0)</f>
        <v>15413</v>
      </c>
    </row>
    <row r="3524">
      <c r="A3524" s="3">
        <f>IFERROR(__xludf.DUMMYFUNCTION("""COMPUTED_VALUE"""),43891.99861111111)</f>
        <v>43891.99861</v>
      </c>
      <c r="B3524" s="1">
        <f>IFERROR(__xludf.DUMMYFUNCTION("""COMPUTED_VALUE"""),15413.0)</f>
        <v>15413</v>
      </c>
    </row>
    <row r="3525">
      <c r="A3525" s="3">
        <f>IFERROR(__xludf.DUMMYFUNCTION("""COMPUTED_VALUE"""),43892.99861111111)</f>
        <v>43892.99861</v>
      </c>
      <c r="B3525" s="1">
        <f>IFERROR(__xludf.DUMMYFUNCTION("""COMPUTED_VALUE"""),15860.97)</f>
        <v>15860.97</v>
      </c>
    </row>
    <row r="3526">
      <c r="A3526" s="3">
        <f>IFERROR(__xludf.DUMMYFUNCTION("""COMPUTED_VALUE"""),43893.99861111111)</f>
        <v>43893.99861</v>
      </c>
      <c r="B3526" s="1">
        <f>IFERROR(__xludf.DUMMYFUNCTION("""COMPUTED_VALUE"""),15963.85)</f>
        <v>15963.85</v>
      </c>
    </row>
    <row r="3527">
      <c r="A3527" s="3">
        <f>IFERROR(__xludf.DUMMYFUNCTION("""COMPUTED_VALUE"""),43894.99861111111)</f>
        <v>43894.99861</v>
      </c>
      <c r="B3527" s="1">
        <f>IFERROR(__xludf.DUMMYFUNCTION("""COMPUTED_VALUE"""),15708.6)</f>
        <v>15708.6</v>
      </c>
    </row>
    <row r="3528">
      <c r="A3528" s="3">
        <f>IFERROR(__xludf.DUMMYFUNCTION("""COMPUTED_VALUE"""),43895.99861111111)</f>
        <v>43895.99861</v>
      </c>
      <c r="B3528" s="1">
        <f>IFERROR(__xludf.DUMMYFUNCTION("""COMPUTED_VALUE"""),15846.74)</f>
        <v>15846.74</v>
      </c>
    </row>
    <row r="3529">
      <c r="A3529" s="3">
        <f>IFERROR(__xludf.DUMMYFUNCTION("""COMPUTED_VALUE"""),43896.99861111111)</f>
        <v>43896.99861</v>
      </c>
      <c r="B3529" s="1">
        <f>IFERROR(__xludf.DUMMYFUNCTION("""COMPUTED_VALUE"""),16090.0)</f>
        <v>16090</v>
      </c>
    </row>
    <row r="3530">
      <c r="A3530" s="3">
        <f>IFERROR(__xludf.DUMMYFUNCTION("""COMPUTED_VALUE"""),43897.99861111111)</f>
        <v>43897.99861</v>
      </c>
      <c r="B3530" s="1">
        <f>IFERROR(__xludf.DUMMYFUNCTION("""COMPUTED_VALUE"""),16090.0)</f>
        <v>16090</v>
      </c>
    </row>
    <row r="3531">
      <c r="A3531" s="3">
        <f>IFERROR(__xludf.DUMMYFUNCTION("""COMPUTED_VALUE"""),43898.99861111111)</f>
        <v>43898.99861</v>
      </c>
      <c r="B3531" s="1">
        <f>IFERROR(__xludf.DUMMYFUNCTION("""COMPUTED_VALUE"""),16090.0)</f>
        <v>16090</v>
      </c>
    </row>
    <row r="3532">
      <c r="A3532" s="3">
        <f>IFERROR(__xludf.DUMMYFUNCTION("""COMPUTED_VALUE"""),43899.99861111111)</f>
        <v>43899.99861</v>
      </c>
      <c r="B3532" s="1">
        <f>IFERROR(__xludf.DUMMYFUNCTION("""COMPUTED_VALUE"""),16090.0)</f>
        <v>16090</v>
      </c>
    </row>
    <row r="3533">
      <c r="A3533" s="3">
        <f>IFERROR(__xludf.DUMMYFUNCTION("""COMPUTED_VALUE"""),43900.99861111111)</f>
        <v>43900.99861</v>
      </c>
      <c r="B3533" s="1">
        <f>IFERROR(__xludf.DUMMYFUNCTION("""COMPUTED_VALUE"""),16351.0)</f>
        <v>16351</v>
      </c>
    </row>
    <row r="3534">
      <c r="A3534" s="3">
        <f>IFERROR(__xludf.DUMMYFUNCTION("""COMPUTED_VALUE"""),43901.99861111111)</f>
        <v>43901.99861</v>
      </c>
      <c r="B3534" s="1">
        <f>IFERROR(__xludf.DUMMYFUNCTION("""COMPUTED_VALUE"""),16259.44)</f>
        <v>16259.44</v>
      </c>
    </row>
    <row r="3535">
      <c r="A3535" s="3">
        <f>IFERROR(__xludf.DUMMYFUNCTION("""COMPUTED_VALUE"""),43902.99861111111)</f>
        <v>43902.99861</v>
      </c>
      <c r="B3535" s="1">
        <f>IFERROR(__xludf.DUMMYFUNCTION("""COMPUTED_VALUE"""),16272.0)</f>
        <v>16272</v>
      </c>
    </row>
    <row r="3536">
      <c r="A3536" s="3">
        <f>IFERROR(__xludf.DUMMYFUNCTION("""COMPUTED_VALUE"""),43903.99861111111)</f>
        <v>43903.99861</v>
      </c>
      <c r="B3536" s="1">
        <f>IFERROR(__xludf.DUMMYFUNCTION("""COMPUTED_VALUE"""),16315.0)</f>
        <v>16315</v>
      </c>
    </row>
    <row r="3537">
      <c r="A3537" s="3">
        <f>IFERROR(__xludf.DUMMYFUNCTION("""COMPUTED_VALUE"""),43904.99861111111)</f>
        <v>43904.99861</v>
      </c>
      <c r="B3537" s="1">
        <f>IFERROR(__xludf.DUMMYFUNCTION("""COMPUTED_VALUE"""),16315.0)</f>
        <v>16315</v>
      </c>
    </row>
    <row r="3538">
      <c r="A3538" s="3">
        <f>IFERROR(__xludf.DUMMYFUNCTION("""COMPUTED_VALUE"""),43905.99861111111)</f>
        <v>43905.99861</v>
      </c>
      <c r="B3538" s="1">
        <f>IFERROR(__xludf.DUMMYFUNCTION("""COMPUTED_VALUE"""),16315.0)</f>
        <v>16315</v>
      </c>
    </row>
    <row r="3539">
      <c r="A3539" s="3">
        <f>IFERROR(__xludf.DUMMYFUNCTION("""COMPUTED_VALUE"""),43906.99861111111)</f>
        <v>43906.99861</v>
      </c>
      <c r="B3539" s="1">
        <f>IFERROR(__xludf.DUMMYFUNCTION("""COMPUTED_VALUE"""),16600.0)</f>
        <v>16600</v>
      </c>
    </row>
    <row r="3540">
      <c r="A3540" s="3">
        <f>IFERROR(__xludf.DUMMYFUNCTION("""COMPUTED_VALUE"""),43907.99861111111)</f>
        <v>43907.99861</v>
      </c>
      <c r="B3540" s="1">
        <f>IFERROR(__xludf.DUMMYFUNCTION("""COMPUTED_VALUE"""),16706.42)</f>
        <v>16706.42</v>
      </c>
    </row>
    <row r="3541">
      <c r="A3541" s="3">
        <f>IFERROR(__xludf.DUMMYFUNCTION("""COMPUTED_VALUE"""),43908.99861111111)</f>
        <v>43908.99861</v>
      </c>
      <c r="B3541" s="1">
        <f>IFERROR(__xludf.DUMMYFUNCTION("""COMPUTED_VALUE"""),16532.5)</f>
        <v>16532.5</v>
      </c>
    </row>
    <row r="3542">
      <c r="A3542" s="3">
        <f>IFERROR(__xludf.DUMMYFUNCTION("""COMPUTED_VALUE"""),43909.99861111111)</f>
        <v>43909.99861</v>
      </c>
      <c r="B3542" s="1">
        <f>IFERROR(__xludf.DUMMYFUNCTION("""COMPUTED_VALUE"""),16965.0)</f>
        <v>16965</v>
      </c>
    </row>
    <row r="3543">
      <c r="A3543" s="3">
        <f>IFERROR(__xludf.DUMMYFUNCTION("""COMPUTED_VALUE"""),43910.99861111111)</f>
        <v>43910.99861</v>
      </c>
      <c r="B3543" s="1">
        <f>IFERROR(__xludf.DUMMYFUNCTION("""COMPUTED_VALUE"""),16975.0)</f>
        <v>16975</v>
      </c>
    </row>
    <row r="3544">
      <c r="A3544" s="3">
        <f>IFERROR(__xludf.DUMMYFUNCTION("""COMPUTED_VALUE"""),43911.99861111111)</f>
        <v>43911.99861</v>
      </c>
      <c r="B3544" s="1">
        <f>IFERROR(__xludf.DUMMYFUNCTION("""COMPUTED_VALUE"""),16975.0)</f>
        <v>16975</v>
      </c>
    </row>
    <row r="3545">
      <c r="A3545" s="3">
        <f>IFERROR(__xludf.DUMMYFUNCTION("""COMPUTED_VALUE"""),43912.99861111111)</f>
        <v>43912.99861</v>
      </c>
      <c r="B3545" s="1">
        <f>IFERROR(__xludf.DUMMYFUNCTION("""COMPUTED_VALUE"""),16975.0)</f>
        <v>16975</v>
      </c>
    </row>
    <row r="3546">
      <c r="A3546" s="3">
        <f>IFERROR(__xludf.DUMMYFUNCTION("""COMPUTED_VALUE"""),43913.99861111111)</f>
        <v>43913.99861</v>
      </c>
      <c r="B3546" s="1">
        <f>IFERROR(__xludf.DUMMYFUNCTION("""COMPUTED_VALUE"""),17770.0)</f>
        <v>17770</v>
      </c>
    </row>
    <row r="3547">
      <c r="A3547" s="3">
        <f>IFERROR(__xludf.DUMMYFUNCTION("""COMPUTED_VALUE"""),43914.99861111111)</f>
        <v>43914.99861</v>
      </c>
      <c r="B3547" s="1">
        <f>IFERROR(__xludf.DUMMYFUNCTION("""COMPUTED_VALUE"""),17750.0)</f>
        <v>17750</v>
      </c>
    </row>
    <row r="3548">
      <c r="A3548" s="3">
        <f>IFERROR(__xludf.DUMMYFUNCTION("""COMPUTED_VALUE"""),43915.99861111111)</f>
        <v>43915.99861</v>
      </c>
      <c r="B3548" s="1">
        <f>IFERROR(__xludf.DUMMYFUNCTION("""COMPUTED_VALUE"""),17915.0)</f>
        <v>17915</v>
      </c>
    </row>
    <row r="3549">
      <c r="A3549" s="3">
        <f>IFERROR(__xludf.DUMMYFUNCTION("""COMPUTED_VALUE"""),43916.99861111111)</f>
        <v>43916.99861</v>
      </c>
      <c r="B3549" s="1">
        <f>IFERROR(__xludf.DUMMYFUNCTION("""COMPUTED_VALUE"""),17935.0)</f>
        <v>17935</v>
      </c>
    </row>
    <row r="3550">
      <c r="A3550" s="3">
        <f>IFERROR(__xludf.DUMMYFUNCTION("""COMPUTED_VALUE"""),43917.99861111111)</f>
        <v>43917.99861</v>
      </c>
      <c r="B3550" s="1">
        <f>IFERROR(__xludf.DUMMYFUNCTION("""COMPUTED_VALUE"""),17946.1)</f>
        <v>17946.1</v>
      </c>
    </row>
    <row r="3551">
      <c r="A3551" s="3">
        <f>IFERROR(__xludf.DUMMYFUNCTION("""COMPUTED_VALUE"""),43918.99861111111)</f>
        <v>43918.99861</v>
      </c>
      <c r="B3551" s="1">
        <f>IFERROR(__xludf.DUMMYFUNCTION("""COMPUTED_VALUE"""),17891.8763)</f>
        <v>17891.8763</v>
      </c>
    </row>
    <row r="3552">
      <c r="A3552" s="3">
        <f>IFERROR(__xludf.DUMMYFUNCTION("""COMPUTED_VALUE"""),43919.99861111111)</f>
        <v>43919.99861</v>
      </c>
      <c r="B3552" s="1">
        <f>IFERROR(__xludf.DUMMYFUNCTION("""COMPUTED_VALUE"""),17763.93)</f>
        <v>17763.93</v>
      </c>
    </row>
    <row r="3553">
      <c r="A3553" s="3">
        <f>IFERROR(__xludf.DUMMYFUNCTION("""COMPUTED_VALUE"""),43920.99861111111)</f>
        <v>43920.99861</v>
      </c>
      <c r="B3553" s="1">
        <f>IFERROR(__xludf.DUMMYFUNCTION("""COMPUTED_VALUE"""),18034.0)</f>
        <v>18034</v>
      </c>
    </row>
    <row r="3554">
      <c r="A3554" s="3">
        <f>IFERROR(__xludf.DUMMYFUNCTION("""COMPUTED_VALUE"""),43921.99861111111)</f>
        <v>43921.99861</v>
      </c>
      <c r="B3554" s="1">
        <f>IFERROR(__xludf.DUMMYFUNCTION("""COMPUTED_VALUE"""),17960.0)</f>
        <v>17960</v>
      </c>
    </row>
    <row r="3555">
      <c r="A3555" s="3">
        <f>IFERROR(__xludf.DUMMYFUNCTION("""COMPUTED_VALUE"""),43922.99861111111)</f>
        <v>43922.99861</v>
      </c>
      <c r="B3555" s="1">
        <f>IFERROR(__xludf.DUMMYFUNCTION("""COMPUTED_VALUE"""),17977.0)</f>
        <v>17977</v>
      </c>
    </row>
    <row r="3556">
      <c r="A3556" s="3">
        <f>IFERROR(__xludf.DUMMYFUNCTION("""COMPUTED_VALUE"""),43923.99861111111)</f>
        <v>43923.99861</v>
      </c>
      <c r="B3556" s="1">
        <f>IFERROR(__xludf.DUMMYFUNCTION("""COMPUTED_VALUE"""),17840.0)</f>
        <v>17840</v>
      </c>
    </row>
    <row r="3557">
      <c r="A3557" s="3">
        <f>IFERROR(__xludf.DUMMYFUNCTION("""COMPUTED_VALUE"""),43924.99861111111)</f>
        <v>43924.99861</v>
      </c>
      <c r="B3557" s="1">
        <f>IFERROR(__xludf.DUMMYFUNCTION("""COMPUTED_VALUE"""),17700.0)</f>
        <v>17700</v>
      </c>
    </row>
    <row r="3558">
      <c r="A3558" s="3">
        <f>IFERROR(__xludf.DUMMYFUNCTION("""COMPUTED_VALUE"""),43925.99861111111)</f>
        <v>43925.99861</v>
      </c>
      <c r="B3558" s="1">
        <f>IFERROR(__xludf.DUMMYFUNCTION("""COMPUTED_VALUE"""),17705.0)</f>
        <v>17705</v>
      </c>
    </row>
    <row r="3559">
      <c r="A3559" s="3">
        <f>IFERROR(__xludf.DUMMYFUNCTION("""COMPUTED_VALUE"""),43926.99861111111)</f>
        <v>43926.99861</v>
      </c>
      <c r="B3559" s="1">
        <f>IFERROR(__xludf.DUMMYFUNCTION("""COMPUTED_VALUE"""),17705.0)</f>
        <v>17705</v>
      </c>
    </row>
    <row r="3560">
      <c r="A3560" s="3">
        <f>IFERROR(__xludf.DUMMYFUNCTION("""COMPUTED_VALUE"""),43927.99861111111)</f>
        <v>43927.99861</v>
      </c>
      <c r="B3560" s="1">
        <f>IFERROR(__xludf.DUMMYFUNCTION("""COMPUTED_VALUE"""),17675.0)</f>
        <v>17675</v>
      </c>
    </row>
    <row r="3561">
      <c r="A3561" s="3">
        <f>IFERROR(__xludf.DUMMYFUNCTION("""COMPUTED_VALUE"""),43928.99861111111)</f>
        <v>43928.99861</v>
      </c>
      <c r="B3561" s="1">
        <f>IFERROR(__xludf.DUMMYFUNCTION("""COMPUTED_VALUE"""),17590.0)</f>
        <v>17590</v>
      </c>
    </row>
    <row r="3562">
      <c r="A3562" s="3">
        <f>IFERROR(__xludf.DUMMYFUNCTION("""COMPUTED_VALUE"""),43929.99861111111)</f>
        <v>43929.99861</v>
      </c>
      <c r="B3562" s="1">
        <f>IFERROR(__xludf.DUMMYFUNCTION("""COMPUTED_VALUE"""),17600.0)</f>
        <v>17600</v>
      </c>
    </row>
    <row r="3563">
      <c r="A3563" s="3">
        <f>IFERROR(__xludf.DUMMYFUNCTION("""COMPUTED_VALUE"""),43930.99861111111)</f>
        <v>43930.99861</v>
      </c>
      <c r="B3563" s="1">
        <f>IFERROR(__xludf.DUMMYFUNCTION("""COMPUTED_VALUE"""),17462.5)</f>
        <v>17462.5</v>
      </c>
    </row>
    <row r="3564">
      <c r="A3564" s="3">
        <f>IFERROR(__xludf.DUMMYFUNCTION("""COMPUTED_VALUE"""),43931.99861111111)</f>
        <v>43931.99861</v>
      </c>
      <c r="B3564" s="1">
        <f>IFERROR(__xludf.DUMMYFUNCTION("""COMPUTED_VALUE"""),17279.0)</f>
        <v>17279</v>
      </c>
    </row>
    <row r="3565">
      <c r="A3565" s="3">
        <f>IFERROR(__xludf.DUMMYFUNCTION("""COMPUTED_VALUE"""),43932.99861111111)</f>
        <v>43932.99861</v>
      </c>
      <c r="B3565" s="1">
        <f>IFERROR(__xludf.DUMMYFUNCTION("""COMPUTED_VALUE"""),17279.0)</f>
        <v>17279</v>
      </c>
    </row>
    <row r="3566">
      <c r="A3566" s="3">
        <f>IFERROR(__xludf.DUMMYFUNCTION("""COMPUTED_VALUE"""),43933.99861111111)</f>
        <v>43933.99861</v>
      </c>
      <c r="B3566" s="1">
        <f>IFERROR(__xludf.DUMMYFUNCTION("""COMPUTED_VALUE"""),17279.0)</f>
        <v>17279</v>
      </c>
    </row>
    <row r="3567">
      <c r="A3567" s="3">
        <f>IFERROR(__xludf.DUMMYFUNCTION("""COMPUTED_VALUE"""),43934.99861111111)</f>
        <v>43934.99861</v>
      </c>
      <c r="B3567" s="1">
        <f>IFERROR(__xludf.DUMMYFUNCTION("""COMPUTED_VALUE"""),17169.5)</f>
        <v>17169.5</v>
      </c>
    </row>
    <row r="3568">
      <c r="A3568" s="3">
        <f>IFERROR(__xludf.DUMMYFUNCTION("""COMPUTED_VALUE"""),43935.99861111111)</f>
        <v>43935.99861</v>
      </c>
      <c r="B3568" s="1">
        <f>IFERROR(__xludf.DUMMYFUNCTION("""COMPUTED_VALUE"""),17121.0)</f>
        <v>17121</v>
      </c>
    </row>
    <row r="3569">
      <c r="A3569" s="3">
        <f>IFERROR(__xludf.DUMMYFUNCTION("""COMPUTED_VALUE"""),43936.99861111111)</f>
        <v>43936.99861</v>
      </c>
      <c r="B3569" s="1">
        <f>IFERROR(__xludf.DUMMYFUNCTION("""COMPUTED_VALUE"""),16980.0)</f>
        <v>16980</v>
      </c>
    </row>
    <row r="3570">
      <c r="A3570" s="3">
        <f>IFERROR(__xludf.DUMMYFUNCTION("""COMPUTED_VALUE"""),43937.99861111111)</f>
        <v>43937.99861</v>
      </c>
      <c r="B3570" s="1">
        <f>IFERROR(__xludf.DUMMYFUNCTION("""COMPUTED_VALUE"""),16930.0)</f>
        <v>16930</v>
      </c>
    </row>
    <row r="3571">
      <c r="A3571" s="3">
        <f>IFERROR(__xludf.DUMMYFUNCTION("""COMPUTED_VALUE"""),43938.99861111111)</f>
        <v>43938.99861</v>
      </c>
      <c r="B3571" s="1">
        <f>IFERROR(__xludf.DUMMYFUNCTION("""COMPUTED_VALUE"""),16796.0)</f>
        <v>16796</v>
      </c>
    </row>
    <row r="3572">
      <c r="A3572" s="3">
        <f>IFERROR(__xludf.DUMMYFUNCTION("""COMPUTED_VALUE"""),43939.99861111111)</f>
        <v>43939.99861</v>
      </c>
      <c r="B3572" s="1">
        <f>IFERROR(__xludf.DUMMYFUNCTION("""COMPUTED_VALUE"""),16720.03)</f>
        <v>16720.03</v>
      </c>
    </row>
    <row r="3573">
      <c r="A3573" s="3">
        <f>IFERROR(__xludf.DUMMYFUNCTION("""COMPUTED_VALUE"""),43940.99861111111)</f>
        <v>43940.99861</v>
      </c>
      <c r="B3573" s="1">
        <f>IFERROR(__xludf.DUMMYFUNCTION("""COMPUTED_VALUE"""),16720.03)</f>
        <v>16720.03</v>
      </c>
    </row>
    <row r="3574">
      <c r="A3574" s="3">
        <f>IFERROR(__xludf.DUMMYFUNCTION("""COMPUTED_VALUE"""),43941.99861111111)</f>
        <v>43941.99861</v>
      </c>
      <c r="B3574" s="1">
        <f>IFERROR(__xludf.DUMMYFUNCTION("""COMPUTED_VALUE"""),16710.0)</f>
        <v>16710</v>
      </c>
    </row>
    <row r="3575">
      <c r="A3575" s="3">
        <f>IFERROR(__xludf.DUMMYFUNCTION("""COMPUTED_VALUE"""),43942.99861111111)</f>
        <v>43942.99861</v>
      </c>
      <c r="B3575" s="1">
        <f>IFERROR(__xludf.DUMMYFUNCTION("""COMPUTED_VALUE"""),16722.0)</f>
        <v>16722</v>
      </c>
    </row>
    <row r="3576">
      <c r="A3576" s="3">
        <f>IFERROR(__xludf.DUMMYFUNCTION("""COMPUTED_VALUE"""),43943.99861111111)</f>
        <v>43943.99861</v>
      </c>
      <c r="B3576" s="1">
        <f>IFERROR(__xludf.DUMMYFUNCTION("""COMPUTED_VALUE"""),16670.0)</f>
        <v>16670</v>
      </c>
    </row>
    <row r="3577">
      <c r="A3577" s="3">
        <f>IFERROR(__xludf.DUMMYFUNCTION("""COMPUTED_VALUE"""),43944.99861111111)</f>
        <v>43944.99861</v>
      </c>
      <c r="B3577" s="1">
        <f>IFERROR(__xludf.DUMMYFUNCTION("""COMPUTED_VALUE"""),16600.0)</f>
        <v>16600</v>
      </c>
    </row>
    <row r="3578">
      <c r="A3578" s="3">
        <f>IFERROR(__xludf.DUMMYFUNCTION("""COMPUTED_VALUE"""),43945.99861111111)</f>
        <v>43945.99861</v>
      </c>
      <c r="B3578" s="1">
        <f>IFERROR(__xludf.DUMMYFUNCTION("""COMPUTED_VALUE"""),16613.0)</f>
        <v>16613</v>
      </c>
    </row>
    <row r="3579">
      <c r="A3579" s="3">
        <f>IFERROR(__xludf.DUMMYFUNCTION("""COMPUTED_VALUE"""),43946.99861111111)</f>
        <v>43946.99861</v>
      </c>
      <c r="B3579" s="1">
        <f>IFERROR(__xludf.DUMMYFUNCTION("""COMPUTED_VALUE"""),16613.0)</f>
        <v>16613</v>
      </c>
    </row>
    <row r="3580">
      <c r="A3580" s="3">
        <f>IFERROR(__xludf.DUMMYFUNCTION("""COMPUTED_VALUE"""),43947.99861111111)</f>
        <v>43947.99861</v>
      </c>
      <c r="B3580" s="1">
        <f>IFERROR(__xludf.DUMMYFUNCTION("""COMPUTED_VALUE"""),16613.0)</f>
        <v>16613</v>
      </c>
    </row>
    <row r="3581">
      <c r="A3581" s="3">
        <f>IFERROR(__xludf.DUMMYFUNCTION("""COMPUTED_VALUE"""),43948.99861111111)</f>
        <v>43948.99861</v>
      </c>
      <c r="B3581" s="1">
        <f>IFERROR(__xludf.DUMMYFUNCTION("""COMPUTED_VALUE"""),16613.0)</f>
        <v>16613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IFERROR(__xludf.DUMMYFUNCTION("googlefinance(""Currency:GBPIDR"",""price"",""01/01/2010"",""28/04/2020"",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IFERROR(__xludf.DUMMYFUNCTION("""COMPUTED_VALUE"""),15189.65504)</f>
        <v>15189.65504</v>
      </c>
    </row>
    <row r="3">
      <c r="A3" s="3">
        <f>IFERROR(__xludf.DUMMYFUNCTION("""COMPUTED_VALUE"""),40182.99861111111)</f>
        <v>40182.99861</v>
      </c>
      <c r="B3" s="1">
        <f>IFERROR(__xludf.DUMMYFUNCTION("""COMPUTED_VALUE"""),15085.7262)</f>
        <v>15085.7262</v>
      </c>
    </row>
    <row r="4">
      <c r="A4" s="3">
        <f>IFERROR(__xludf.DUMMYFUNCTION("""COMPUTED_VALUE"""),40183.99861111111)</f>
        <v>40183.99861</v>
      </c>
      <c r="B4" s="1">
        <f>IFERROR(__xludf.DUMMYFUNCTION("""COMPUTED_VALUE"""),14875.47882)</f>
        <v>14875.47882</v>
      </c>
    </row>
    <row r="5">
      <c r="A5" s="3">
        <f>IFERROR(__xludf.DUMMYFUNCTION("""COMPUTED_VALUE"""),40184.99861111111)</f>
        <v>40184.99861</v>
      </c>
      <c r="B5" s="1">
        <f>IFERROR(__xludf.DUMMYFUNCTION("""COMPUTED_VALUE"""),14767.3962)</f>
        <v>14767.3962</v>
      </c>
    </row>
    <row r="6">
      <c r="A6" s="3">
        <f>IFERROR(__xludf.DUMMYFUNCTION("""COMPUTED_VALUE"""),40185.99861111111)</f>
        <v>40185.99861</v>
      </c>
      <c r="B6" s="1">
        <f>IFERROR(__xludf.DUMMYFUNCTION("""COMPUTED_VALUE"""),14772.947)</f>
        <v>14772.947</v>
      </c>
    </row>
    <row r="7">
      <c r="A7" s="3">
        <f>IFERROR(__xludf.DUMMYFUNCTION("""COMPUTED_VALUE"""),40186.99861111111)</f>
        <v>40186.99861</v>
      </c>
      <c r="B7" s="1">
        <f>IFERROR(__xludf.DUMMYFUNCTION("""COMPUTED_VALUE"""),14703.4692)</f>
        <v>14703.4692</v>
      </c>
    </row>
    <row r="8">
      <c r="A8" s="3">
        <f>IFERROR(__xludf.DUMMYFUNCTION("""COMPUTED_VALUE"""),40189.99861111111)</f>
        <v>40189.99861</v>
      </c>
      <c r="B8" s="1">
        <f>IFERROR(__xludf.DUMMYFUNCTION("""COMPUTED_VALUE"""),14737.5891)</f>
        <v>14737.5891</v>
      </c>
    </row>
    <row r="9">
      <c r="A9" s="3">
        <f>IFERROR(__xludf.DUMMYFUNCTION("""COMPUTED_VALUE"""),40190.99861111111)</f>
        <v>40190.99861</v>
      </c>
      <c r="B9" s="1">
        <f>IFERROR(__xludf.DUMMYFUNCTION("""COMPUTED_VALUE"""),14809.3308)</f>
        <v>14809.3308</v>
      </c>
    </row>
    <row r="10">
      <c r="A10" s="3">
        <f>IFERROR(__xludf.DUMMYFUNCTION("""COMPUTED_VALUE"""),40191.99861111111)</f>
        <v>40191.99861</v>
      </c>
      <c r="B10" s="1">
        <f>IFERROR(__xludf.DUMMYFUNCTION("""COMPUTED_VALUE"""),14883.10197)</f>
        <v>14883.10197</v>
      </c>
    </row>
    <row r="11">
      <c r="A11" s="3">
        <f>IFERROR(__xludf.DUMMYFUNCTION("""COMPUTED_VALUE"""),40192.99861111111)</f>
        <v>40192.99861</v>
      </c>
      <c r="B11" s="1">
        <f>IFERROR(__xludf.DUMMYFUNCTION("""COMPUTED_VALUE"""),14952.33698)</f>
        <v>14952.33698</v>
      </c>
    </row>
    <row r="12">
      <c r="A12" s="3">
        <f>IFERROR(__xludf.DUMMYFUNCTION("""COMPUTED_VALUE"""),40193.99861111111)</f>
        <v>40193.99861</v>
      </c>
      <c r="B12" s="1">
        <f>IFERROR(__xludf.DUMMYFUNCTION("""COMPUTED_VALUE"""),14998.87077)</f>
        <v>14998.87077</v>
      </c>
    </row>
    <row r="13">
      <c r="A13" s="3">
        <f>IFERROR(__xludf.DUMMYFUNCTION("""COMPUTED_VALUE"""),40196.99861111111)</f>
        <v>40196.99861</v>
      </c>
      <c r="B13" s="1">
        <f>IFERROR(__xludf.DUMMYFUNCTION("""COMPUTED_VALUE"""),14927.55)</f>
        <v>14927.55</v>
      </c>
    </row>
    <row r="14">
      <c r="A14" s="3">
        <f>IFERROR(__xludf.DUMMYFUNCTION("""COMPUTED_VALUE"""),40197.99861111111)</f>
        <v>40197.99861</v>
      </c>
      <c r="B14" s="1">
        <f>IFERROR(__xludf.DUMMYFUNCTION("""COMPUTED_VALUE"""),15100.1982)</f>
        <v>15100.1982</v>
      </c>
    </row>
    <row r="15">
      <c r="A15" s="3">
        <f>IFERROR(__xludf.DUMMYFUNCTION("""COMPUTED_VALUE"""),40198.99861111111)</f>
        <v>40198.99861</v>
      </c>
      <c r="B15" s="1">
        <f>IFERROR(__xludf.DUMMYFUNCTION("""COMPUTED_VALUE"""),15149.839)</f>
        <v>15149.839</v>
      </c>
    </row>
    <row r="16">
      <c r="A16" s="3">
        <f>IFERROR(__xludf.DUMMYFUNCTION("""COMPUTED_VALUE"""),40199.99861111111)</f>
        <v>40199.99861</v>
      </c>
      <c r="B16" s="1">
        <f>IFERROR(__xludf.DUMMYFUNCTION("""COMPUTED_VALUE"""),14874.89889)</f>
        <v>14874.89889</v>
      </c>
    </row>
    <row r="17">
      <c r="A17" s="3">
        <f>IFERROR(__xludf.DUMMYFUNCTION("""COMPUTED_VALUE"""),40200.99861111111)</f>
        <v>40200.99861</v>
      </c>
      <c r="B17" s="1">
        <f>IFERROR(__xludf.DUMMYFUNCTION("""COMPUTED_VALUE"""),14881.02)</f>
        <v>14881.02</v>
      </c>
    </row>
    <row r="18">
      <c r="A18" s="3">
        <f>IFERROR(__xludf.DUMMYFUNCTION("""COMPUTED_VALUE"""),40203.99861111111)</f>
        <v>40203.99861</v>
      </c>
      <c r="B18" s="1">
        <f>IFERROR(__xludf.DUMMYFUNCTION("""COMPUTED_VALUE"""),15140.25877)</f>
        <v>15140.25877</v>
      </c>
    </row>
    <row r="19">
      <c r="A19" s="3">
        <f>IFERROR(__xludf.DUMMYFUNCTION("""COMPUTED_VALUE"""),40204.99861111111)</f>
        <v>40204.99861</v>
      </c>
      <c r="B19" s="1">
        <f>IFERROR(__xludf.DUMMYFUNCTION("""COMPUTED_VALUE"""),15140.17729)</f>
        <v>15140.17729</v>
      </c>
    </row>
    <row r="20">
      <c r="A20" s="3">
        <f>IFERROR(__xludf.DUMMYFUNCTION("""COMPUTED_VALUE"""),40205.99861111111)</f>
        <v>40205.99861</v>
      </c>
      <c r="B20" s="1">
        <f>IFERROR(__xludf.DUMMYFUNCTION("""COMPUTED_VALUE"""),15203.47913)</f>
        <v>15203.47913</v>
      </c>
    </row>
    <row r="21">
      <c r="A21" s="3">
        <f>IFERROR(__xludf.DUMMYFUNCTION("""COMPUTED_VALUE"""),40206.99861111111)</f>
        <v>40206.99861</v>
      </c>
      <c r="B21" s="1">
        <f>IFERROR(__xludf.DUMMYFUNCTION("""COMPUTED_VALUE"""),15054.19928)</f>
        <v>15054.19928</v>
      </c>
    </row>
    <row r="22">
      <c r="A22" s="3">
        <f>IFERROR(__xludf.DUMMYFUNCTION("""COMPUTED_VALUE"""),40207.99861111111)</f>
        <v>40207.99861</v>
      </c>
      <c r="B22" s="1">
        <f>IFERROR(__xludf.DUMMYFUNCTION("""COMPUTED_VALUE"""),14778.725)</f>
        <v>14778.725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IFERROR(__xludf.DUMMYFUNCTION("""COMPUTED_VALUE"""),14762.10672)</f>
        <v>14762.10672</v>
      </c>
    </row>
    <row r="24">
      <c r="A24" s="3">
        <f>IFERROR(__xludf.DUMMYFUNCTION("""COMPUTED_VALUE"""),40211.99861111111)</f>
        <v>40211.99861</v>
      </c>
      <c r="B24" s="1">
        <f>IFERROR(__xludf.DUMMYFUNCTION("""COMPUTED_VALUE"""),14889.81219)</f>
        <v>14889.81219</v>
      </c>
    </row>
    <row r="25">
      <c r="A25" s="3">
        <f>IFERROR(__xludf.DUMMYFUNCTION("""COMPUTED_VALUE"""),40212.99861111111)</f>
        <v>40212.99861</v>
      </c>
      <c r="B25" s="1">
        <f>IFERROR(__xludf.DUMMYFUNCTION("""COMPUTED_VALUE"""),14902.82444)</f>
        <v>14902.82444</v>
      </c>
    </row>
    <row r="26">
      <c r="A26" s="3">
        <f>IFERROR(__xludf.DUMMYFUNCTION("""COMPUTED_VALUE"""),40213.99861111111)</f>
        <v>40213.99861</v>
      </c>
      <c r="B26" s="1">
        <f>IFERROR(__xludf.DUMMYFUNCTION("""COMPUTED_VALUE"""),14799.38654)</f>
        <v>14799.38654</v>
      </c>
    </row>
    <row r="27">
      <c r="A27" s="3">
        <f>IFERROR(__xludf.DUMMYFUNCTION("""COMPUTED_VALUE"""),40214.99861111111)</f>
        <v>40214.99861</v>
      </c>
      <c r="B27" s="1">
        <f>IFERROR(__xludf.DUMMYFUNCTION("""COMPUTED_VALUE"""),14808.1084)</f>
        <v>14808.1084</v>
      </c>
    </row>
    <row r="28">
      <c r="A28" s="3">
        <f>IFERROR(__xludf.DUMMYFUNCTION("""COMPUTED_VALUE"""),40217.99861111111)</f>
        <v>40217.99861</v>
      </c>
      <c r="B28" s="1">
        <f>IFERROR(__xludf.DUMMYFUNCTION("""COMPUTED_VALUE"""),14768.88402)</f>
        <v>14768.88402</v>
      </c>
    </row>
    <row r="29">
      <c r="A29" s="3">
        <f>IFERROR(__xludf.DUMMYFUNCTION("""COMPUTED_VALUE"""),40218.99861111111)</f>
        <v>40218.99861</v>
      </c>
      <c r="B29" s="1">
        <f>IFERROR(__xludf.DUMMYFUNCTION("""COMPUTED_VALUE"""),14653.3617)</f>
        <v>14653.3617</v>
      </c>
    </row>
    <row r="30">
      <c r="A30" s="3">
        <f>IFERROR(__xludf.DUMMYFUNCTION("""COMPUTED_VALUE"""),40219.99861111111)</f>
        <v>40219.99861</v>
      </c>
      <c r="B30" s="1">
        <f>IFERROR(__xludf.DUMMYFUNCTION("""COMPUTED_VALUE"""),14537.91552)</f>
        <v>14537.91552</v>
      </c>
    </row>
    <row r="31">
      <c r="A31" s="3">
        <f>IFERROR(__xludf.DUMMYFUNCTION("""COMPUTED_VALUE"""),40220.99861111111)</f>
        <v>40220.99861</v>
      </c>
      <c r="B31" s="1">
        <f>IFERROR(__xludf.DUMMYFUNCTION("""COMPUTED_VALUE"""),14642.09913)</f>
        <v>14642.09913</v>
      </c>
    </row>
    <row r="32">
      <c r="A32" s="3">
        <f>IFERROR(__xludf.DUMMYFUNCTION("""COMPUTED_VALUE"""),40221.99861111111)</f>
        <v>40221.99861</v>
      </c>
      <c r="B32" s="1">
        <f>IFERROR(__xludf.DUMMYFUNCTION("""COMPUTED_VALUE"""),14628.8853)</f>
        <v>14628.8853</v>
      </c>
    </row>
    <row r="33">
      <c r="A33" s="3">
        <f>IFERROR(__xludf.DUMMYFUNCTION("""COMPUTED_VALUE"""),40224.99861111111)</f>
        <v>40224.99861</v>
      </c>
      <c r="B33" s="1">
        <f>IFERROR(__xludf.DUMMYFUNCTION("""COMPUTED_VALUE"""),14639.00299)</f>
        <v>14639.00299</v>
      </c>
    </row>
    <row r="34">
      <c r="A34" s="3">
        <f>IFERROR(__xludf.DUMMYFUNCTION("""COMPUTED_VALUE"""),40225.99861111111)</f>
        <v>40225.99861</v>
      </c>
      <c r="B34" s="1">
        <f>IFERROR(__xludf.DUMMYFUNCTION("""COMPUTED_VALUE"""),14667.91336)</f>
        <v>14667.91336</v>
      </c>
    </row>
    <row r="35">
      <c r="A35" s="3">
        <f>IFERROR(__xludf.DUMMYFUNCTION("""COMPUTED_VALUE"""),40226.99861111111)</f>
        <v>40226.99861</v>
      </c>
      <c r="B35" s="1">
        <f>IFERROR(__xludf.DUMMYFUNCTION("""COMPUTED_VALUE"""),14738.26068)</f>
        <v>14738.26068</v>
      </c>
    </row>
    <row r="36">
      <c r="A36" s="3">
        <f>IFERROR(__xludf.DUMMYFUNCTION("""COMPUTED_VALUE"""),40227.99861111111)</f>
        <v>40227.99861</v>
      </c>
      <c r="B36" s="1">
        <f>IFERROR(__xludf.DUMMYFUNCTION("""COMPUTED_VALUE"""),14650.49656)</f>
        <v>14650.49656</v>
      </c>
    </row>
    <row r="37">
      <c r="A37" s="3">
        <f>IFERROR(__xludf.DUMMYFUNCTION("""COMPUTED_VALUE"""),40228.99861111111)</f>
        <v>40228.99861</v>
      </c>
      <c r="B37" s="1">
        <f>IFERROR(__xludf.DUMMYFUNCTION("""COMPUTED_VALUE"""),14364.81198)</f>
        <v>14364.81198</v>
      </c>
    </row>
    <row r="38">
      <c r="A38" s="3">
        <f>IFERROR(__xludf.DUMMYFUNCTION("""COMPUTED_VALUE"""),40231.99861111111)</f>
        <v>40231.99861</v>
      </c>
      <c r="B38" s="1">
        <f>IFERROR(__xludf.DUMMYFUNCTION("""COMPUTED_VALUE"""),14381.99415)</f>
        <v>14381.99415</v>
      </c>
    </row>
    <row r="39">
      <c r="A39" s="3">
        <f>IFERROR(__xludf.DUMMYFUNCTION("""COMPUTED_VALUE"""),40232.99861111111)</f>
        <v>40232.99861</v>
      </c>
      <c r="B39" s="1">
        <f>IFERROR(__xludf.DUMMYFUNCTION("""COMPUTED_VALUE"""),14426.3549)</f>
        <v>14426.3549</v>
      </c>
    </row>
    <row r="40">
      <c r="A40" s="3">
        <f>IFERROR(__xludf.DUMMYFUNCTION("""COMPUTED_VALUE"""),40233.99861111111)</f>
        <v>40233.99861</v>
      </c>
      <c r="B40" s="1">
        <f>IFERROR(__xludf.DUMMYFUNCTION("""COMPUTED_VALUE"""),14415.1676)</f>
        <v>14415.1676</v>
      </c>
    </row>
    <row r="41">
      <c r="A41" s="3">
        <f>IFERROR(__xludf.DUMMYFUNCTION("""COMPUTED_VALUE"""),40234.99861111111)</f>
        <v>40234.99861</v>
      </c>
      <c r="B41" s="1">
        <f>IFERROR(__xludf.DUMMYFUNCTION("""COMPUTED_VALUE"""),14225.91128)</f>
        <v>14225.91128</v>
      </c>
    </row>
    <row r="42">
      <c r="A42" s="3">
        <f>IFERROR(__xludf.DUMMYFUNCTION("""COMPUTED_VALUE"""),40235.99861111111)</f>
        <v>40235.99861</v>
      </c>
      <c r="B42" s="1">
        <f>IFERROR(__xludf.DUMMYFUNCTION("""COMPUTED_VALUE"""),14223.886)</f>
        <v>14223.886</v>
      </c>
    </row>
    <row r="43">
      <c r="A43" s="3">
        <f>IFERROR(__xludf.DUMMYFUNCTION("""COMPUTED_VALUE"""),40238.99861111111)</f>
        <v>40238.99861</v>
      </c>
      <c r="B43" s="1">
        <f>IFERROR(__xludf.DUMMYFUNCTION("""COMPUTED_VALUE"""),14050.43321)</f>
        <v>14050.43321</v>
      </c>
    </row>
    <row r="44">
      <c r="A44" s="3">
        <f>IFERROR(__xludf.DUMMYFUNCTION("""COMPUTED_VALUE"""),40239.99861111111)</f>
        <v>40239.99861</v>
      </c>
      <c r="B44" s="1">
        <f>IFERROR(__xludf.DUMMYFUNCTION("""COMPUTED_VALUE"""),13798.64256)</f>
        <v>13798.64256</v>
      </c>
    </row>
    <row r="45">
      <c r="A45" s="3">
        <f>IFERROR(__xludf.DUMMYFUNCTION("""COMPUTED_VALUE"""),40240.99861111111)</f>
        <v>40240.99861</v>
      </c>
      <c r="B45" s="1">
        <f>IFERROR(__xludf.DUMMYFUNCTION("""COMPUTED_VALUE"""),13813.61314)</f>
        <v>13813.61314</v>
      </c>
    </row>
    <row r="46">
      <c r="A46" s="3">
        <f>IFERROR(__xludf.DUMMYFUNCTION("""COMPUTED_VALUE"""),40241.99861111111)</f>
        <v>40241.99861</v>
      </c>
      <c r="B46" s="1">
        <f>IFERROR(__xludf.DUMMYFUNCTION("""COMPUTED_VALUE"""),14022.26959)</f>
        <v>14022.26959</v>
      </c>
    </row>
    <row r="47">
      <c r="A47" s="3">
        <f>IFERROR(__xludf.DUMMYFUNCTION("""COMPUTED_VALUE"""),40242.99861111111)</f>
        <v>40242.99861</v>
      </c>
      <c r="B47" s="1">
        <f>IFERROR(__xludf.DUMMYFUNCTION("""COMPUTED_VALUE"""),13912.58)</f>
        <v>13912.58</v>
      </c>
    </row>
    <row r="48">
      <c r="A48" s="3">
        <f>IFERROR(__xludf.DUMMYFUNCTION("""COMPUTED_VALUE"""),40245.99861111111)</f>
        <v>40245.99861</v>
      </c>
      <c r="B48" s="1">
        <f>IFERROR(__xludf.DUMMYFUNCTION("""COMPUTED_VALUE"""),13804.884)</f>
        <v>13804.884</v>
      </c>
    </row>
    <row r="49">
      <c r="A49" s="3">
        <f>IFERROR(__xludf.DUMMYFUNCTION("""COMPUTED_VALUE"""),40246.99861111111)</f>
        <v>40246.99861</v>
      </c>
      <c r="B49" s="1">
        <f>IFERROR(__xludf.DUMMYFUNCTION("""COMPUTED_VALUE"""),13772.21714)</f>
        <v>13772.21714</v>
      </c>
    </row>
    <row r="50">
      <c r="A50" s="3">
        <f>IFERROR(__xludf.DUMMYFUNCTION("""COMPUTED_VALUE"""),40247.99861111111)</f>
        <v>40247.99861</v>
      </c>
      <c r="B50" s="1">
        <f>IFERROR(__xludf.DUMMYFUNCTION("""COMPUTED_VALUE"""),13723.85573)</f>
        <v>13723.85573</v>
      </c>
    </row>
    <row r="51">
      <c r="A51" s="3">
        <f>IFERROR(__xludf.DUMMYFUNCTION("""COMPUTED_VALUE"""),40248.99861111111)</f>
        <v>40248.99861</v>
      </c>
      <c r="B51" s="1">
        <f>IFERROR(__xludf.DUMMYFUNCTION("""COMPUTED_VALUE"""),13788.93537)</f>
        <v>13788.93537</v>
      </c>
    </row>
    <row r="52">
      <c r="A52" s="3">
        <f>IFERROR(__xludf.DUMMYFUNCTION("""COMPUTED_VALUE"""),40249.99861111111)</f>
        <v>40249.99861</v>
      </c>
      <c r="B52" s="1">
        <f>IFERROR(__xludf.DUMMYFUNCTION("""COMPUTED_VALUE"""),13826.7864)</f>
        <v>13826.7864</v>
      </c>
    </row>
    <row r="53">
      <c r="A53" s="3">
        <f>IFERROR(__xludf.DUMMYFUNCTION("""COMPUTED_VALUE"""),40252.99861111111)</f>
        <v>40252.99861</v>
      </c>
      <c r="B53" s="1">
        <f>IFERROR(__xludf.DUMMYFUNCTION("""COMPUTED_VALUE"""),13854.78744)</f>
        <v>13854.78744</v>
      </c>
    </row>
    <row r="54">
      <c r="A54" s="3">
        <f>IFERROR(__xludf.DUMMYFUNCTION("""COMPUTED_VALUE"""),40253.99861111111)</f>
        <v>40253.99861</v>
      </c>
      <c r="B54" s="1">
        <f>IFERROR(__xludf.DUMMYFUNCTION("""COMPUTED_VALUE"""),13941.85212)</f>
        <v>13941.85212</v>
      </c>
    </row>
    <row r="55">
      <c r="A55" s="3">
        <f>IFERROR(__xludf.DUMMYFUNCTION("""COMPUTED_VALUE"""),40254.99861111111)</f>
        <v>40254.99861</v>
      </c>
      <c r="B55" s="1">
        <f>IFERROR(__xludf.DUMMYFUNCTION("""COMPUTED_VALUE"""),13934.9743)</f>
        <v>13934.9743</v>
      </c>
    </row>
    <row r="56">
      <c r="A56" s="3">
        <f>IFERROR(__xludf.DUMMYFUNCTION("""COMPUTED_VALUE"""),40255.99861111111)</f>
        <v>40255.99861</v>
      </c>
      <c r="B56" s="1">
        <f>IFERROR(__xludf.DUMMYFUNCTION("""COMPUTED_VALUE"""),13908.4575)</f>
        <v>13908.4575</v>
      </c>
    </row>
    <row r="57">
      <c r="A57" s="3">
        <f>IFERROR(__xludf.DUMMYFUNCTION("""COMPUTED_VALUE"""),40256.99861111111)</f>
        <v>40256.99861</v>
      </c>
      <c r="B57" s="1">
        <f>IFERROR(__xludf.DUMMYFUNCTION("""COMPUTED_VALUE"""),13672.88832)</f>
        <v>13672.88832</v>
      </c>
    </row>
    <row r="58">
      <c r="A58" s="3">
        <f>IFERROR(__xludf.DUMMYFUNCTION("""COMPUTED_VALUE"""),40259.99861111111)</f>
        <v>40259.99861</v>
      </c>
      <c r="B58" s="1">
        <f>IFERROR(__xludf.DUMMYFUNCTION("""COMPUTED_VALUE"""),13767.35323)</f>
        <v>13767.35323</v>
      </c>
    </row>
    <row r="59">
      <c r="A59" s="3">
        <f>IFERROR(__xludf.DUMMYFUNCTION("""COMPUTED_VALUE"""),40260.99861111111)</f>
        <v>40260.99861</v>
      </c>
      <c r="B59" s="1">
        <f>IFERROR(__xludf.DUMMYFUNCTION("""COMPUTED_VALUE"""),13733.08594)</f>
        <v>13733.08594</v>
      </c>
    </row>
    <row r="60">
      <c r="A60" s="3">
        <f>IFERROR(__xludf.DUMMYFUNCTION("""COMPUTED_VALUE"""),40261.99861111111)</f>
        <v>40261.99861</v>
      </c>
      <c r="B60" s="1">
        <f>IFERROR(__xludf.DUMMYFUNCTION("""COMPUTED_VALUE"""),13577.25712)</f>
        <v>13577.25712</v>
      </c>
    </row>
    <row r="61">
      <c r="A61" s="3">
        <f>IFERROR(__xludf.DUMMYFUNCTION("""COMPUTED_VALUE"""),40262.99861111111)</f>
        <v>40262.99861</v>
      </c>
      <c r="B61" s="1">
        <f>IFERROR(__xludf.DUMMYFUNCTION("""COMPUTED_VALUE"""),13557.3447)</f>
        <v>13557.3447</v>
      </c>
    </row>
    <row r="62">
      <c r="A62" s="3">
        <f>IFERROR(__xludf.DUMMYFUNCTION("""COMPUTED_VALUE"""),40263.99861111111)</f>
        <v>40263.99861</v>
      </c>
      <c r="B62" s="1">
        <f>IFERROR(__xludf.DUMMYFUNCTION("""COMPUTED_VALUE"""),13576.58067)</f>
        <v>13576.58067</v>
      </c>
    </row>
    <row r="63">
      <c r="A63" s="3">
        <f>IFERROR(__xludf.DUMMYFUNCTION("""COMPUTED_VALUE"""),40266.99861111111)</f>
        <v>40266.99861</v>
      </c>
      <c r="B63" s="1">
        <f>IFERROR(__xludf.DUMMYFUNCTION("""COMPUTED_VALUE"""),13588.26918)</f>
        <v>13588.26918</v>
      </c>
    </row>
    <row r="64">
      <c r="A64" s="3">
        <f>IFERROR(__xludf.DUMMYFUNCTION("""COMPUTED_VALUE"""),40267.99861111111)</f>
        <v>40267.99861</v>
      </c>
      <c r="B64" s="1">
        <f>IFERROR(__xludf.DUMMYFUNCTION("""COMPUTED_VALUE"""),13676.6278)</f>
        <v>13676.6278</v>
      </c>
    </row>
    <row r="65">
      <c r="A65" s="3">
        <f>IFERROR(__xludf.DUMMYFUNCTION("""COMPUTED_VALUE"""),40268.99861111111)</f>
        <v>40268.99861</v>
      </c>
      <c r="B65" s="1">
        <f>IFERROR(__xludf.DUMMYFUNCTION("""COMPUTED_VALUE"""),13818.354)</f>
        <v>13818.354</v>
      </c>
    </row>
    <row r="66">
      <c r="A66" s="3">
        <f>IFERROR(__xludf.DUMMYFUNCTION("""COMPUTED_VALUE"""),40269.99861111111)</f>
        <v>40269.99861</v>
      </c>
      <c r="B66" s="1">
        <f>IFERROR(__xludf.DUMMYFUNCTION("""COMPUTED_VALUE"""),13823.6677)</f>
        <v>13823.6677</v>
      </c>
    </row>
    <row r="67">
      <c r="A67" s="3">
        <f>IFERROR(__xludf.DUMMYFUNCTION("""COMPUTED_VALUE"""),40270.99861111111)</f>
        <v>40270.99861</v>
      </c>
      <c r="B67" s="1">
        <f>IFERROR(__xludf.DUMMYFUNCTION("""COMPUTED_VALUE"""),13792.41585)</f>
        <v>13792.41585</v>
      </c>
    </row>
    <row r="68">
      <c r="A68" s="3">
        <f>IFERROR(__xludf.DUMMYFUNCTION("""COMPUTED_VALUE"""),40273.99861111111)</f>
        <v>40273.99861</v>
      </c>
      <c r="B68" s="1">
        <f>IFERROR(__xludf.DUMMYFUNCTION("""COMPUTED_VALUE"""),13848.06816)</f>
        <v>13848.06816</v>
      </c>
    </row>
    <row r="69">
      <c r="A69" s="3">
        <f>IFERROR(__xludf.DUMMYFUNCTION("""COMPUTED_VALUE"""),40274.99861111111)</f>
        <v>40274.99861</v>
      </c>
      <c r="B69" s="1">
        <f>IFERROR(__xludf.DUMMYFUNCTION("""COMPUTED_VALUE"""),13798.14964)</f>
        <v>13798.14964</v>
      </c>
    </row>
    <row r="70">
      <c r="A70" s="3">
        <f>IFERROR(__xludf.DUMMYFUNCTION("""COMPUTED_VALUE"""),40275.99861111111)</f>
        <v>40275.99861</v>
      </c>
      <c r="B70" s="1">
        <f>IFERROR(__xludf.DUMMYFUNCTION("""COMPUTED_VALUE"""),13796.34165)</f>
        <v>13796.34165</v>
      </c>
    </row>
    <row r="71">
      <c r="A71" s="3">
        <f>IFERROR(__xludf.DUMMYFUNCTION("""COMPUTED_VALUE"""),40276.99861111111)</f>
        <v>40276.99861</v>
      </c>
      <c r="B71" s="1">
        <f>IFERROR(__xludf.DUMMYFUNCTION("""COMPUTED_VALUE"""),13838.35406)</f>
        <v>13838.35406</v>
      </c>
    </row>
    <row r="72">
      <c r="A72" s="3">
        <f>IFERROR(__xludf.DUMMYFUNCTION("""COMPUTED_VALUE"""),40277.99861111111)</f>
        <v>40277.99861</v>
      </c>
      <c r="B72" s="1">
        <f>IFERROR(__xludf.DUMMYFUNCTION("""COMPUTED_VALUE"""),13798.70576)</f>
        <v>13798.70576</v>
      </c>
    </row>
    <row r="73">
      <c r="A73" s="3">
        <f>IFERROR(__xludf.DUMMYFUNCTION("""COMPUTED_VALUE"""),40280.99861111111)</f>
        <v>40280.99861</v>
      </c>
      <c r="B73" s="1">
        <f>IFERROR(__xludf.DUMMYFUNCTION("""COMPUTED_VALUE"""),13850.8081)</f>
        <v>13850.8081</v>
      </c>
    </row>
    <row r="74">
      <c r="A74" s="3">
        <f>IFERROR(__xludf.DUMMYFUNCTION("""COMPUTED_VALUE"""),40281.99861111111)</f>
        <v>40281.99861</v>
      </c>
      <c r="B74" s="1">
        <f>IFERROR(__xludf.DUMMYFUNCTION("""COMPUTED_VALUE"""),13851.2053)</f>
        <v>13851.2053</v>
      </c>
    </row>
    <row r="75">
      <c r="A75" s="3">
        <f>IFERROR(__xludf.DUMMYFUNCTION("""COMPUTED_VALUE"""),40282.99861111111)</f>
        <v>40282.99861</v>
      </c>
      <c r="B75" s="1">
        <f>IFERROR(__xludf.DUMMYFUNCTION("""COMPUTED_VALUE"""),13937.03124)</f>
        <v>13937.03124</v>
      </c>
    </row>
    <row r="76">
      <c r="A76" s="3">
        <f>IFERROR(__xludf.DUMMYFUNCTION("""COMPUTED_VALUE"""),40283.99861111111)</f>
        <v>40283.99861</v>
      </c>
      <c r="B76" s="1">
        <f>IFERROR(__xludf.DUMMYFUNCTION("""COMPUTED_VALUE"""),13917.32079)</f>
        <v>13917.32079</v>
      </c>
    </row>
    <row r="77">
      <c r="A77" s="3">
        <f>IFERROR(__xludf.DUMMYFUNCTION("""COMPUTED_VALUE"""),40284.99861111111)</f>
        <v>40284.99861</v>
      </c>
      <c r="B77" s="1">
        <f>IFERROR(__xludf.DUMMYFUNCTION("""COMPUTED_VALUE"""),13827.06533)</f>
        <v>13827.06533</v>
      </c>
    </row>
    <row r="78">
      <c r="A78" s="3">
        <f>IFERROR(__xludf.DUMMYFUNCTION("""COMPUTED_VALUE"""),40287.99861111111)</f>
        <v>40287.99861</v>
      </c>
      <c r="B78" s="1">
        <f>IFERROR(__xludf.DUMMYFUNCTION("""COMPUTED_VALUE"""),13823.04284)</f>
        <v>13823.04284</v>
      </c>
    </row>
    <row r="79">
      <c r="A79" s="3">
        <f>IFERROR(__xludf.DUMMYFUNCTION("""COMPUTED_VALUE"""),40288.99861111111)</f>
        <v>40288.99861</v>
      </c>
      <c r="B79" s="1">
        <f>IFERROR(__xludf.DUMMYFUNCTION("""COMPUTED_VALUE"""),13852.24258)</f>
        <v>13852.24258</v>
      </c>
    </row>
    <row r="80">
      <c r="A80" s="3">
        <f>IFERROR(__xludf.DUMMYFUNCTION("""COMPUTED_VALUE"""),40289.99861111111)</f>
        <v>40289.99861</v>
      </c>
      <c r="B80" s="1">
        <f>IFERROR(__xludf.DUMMYFUNCTION("""COMPUTED_VALUE"""),13904.00297)</f>
        <v>13904.00297</v>
      </c>
    </row>
    <row r="81">
      <c r="A81" s="3">
        <f>IFERROR(__xludf.DUMMYFUNCTION("""COMPUTED_VALUE"""),40290.99861111111)</f>
        <v>40290.99861</v>
      </c>
      <c r="B81" s="1">
        <f>IFERROR(__xludf.DUMMYFUNCTION("""COMPUTED_VALUE"""),13993.3091)</f>
        <v>13993.3091</v>
      </c>
    </row>
    <row r="82">
      <c r="A82" s="3">
        <f>IFERROR(__xludf.DUMMYFUNCTION("""COMPUTED_VALUE"""),40291.99861111111)</f>
        <v>40291.99861</v>
      </c>
      <c r="B82" s="1">
        <f>IFERROR(__xludf.DUMMYFUNCTION("""COMPUTED_VALUE"""),13842.7496)</f>
        <v>13842.7496</v>
      </c>
    </row>
    <row r="83">
      <c r="A83" s="3">
        <f>IFERROR(__xludf.DUMMYFUNCTION("""COMPUTED_VALUE"""),40294.99861111111)</f>
        <v>40294.99861</v>
      </c>
      <c r="B83" s="1">
        <f>IFERROR(__xludf.DUMMYFUNCTION("""COMPUTED_VALUE"""),13859.48873)</f>
        <v>13859.48873</v>
      </c>
    </row>
    <row r="84">
      <c r="A84" s="3">
        <f>IFERROR(__xludf.DUMMYFUNCTION("""COMPUTED_VALUE"""),40295.99861111111)</f>
        <v>40295.99861</v>
      </c>
      <c r="B84" s="1">
        <f>IFERROR(__xludf.DUMMYFUNCTION("""COMPUTED_VALUE"""),13866.09484)</f>
        <v>13866.09484</v>
      </c>
    </row>
    <row r="85">
      <c r="A85" s="3">
        <f>IFERROR(__xludf.DUMMYFUNCTION("""COMPUTED_VALUE"""),40296.99861111111)</f>
        <v>40296.99861</v>
      </c>
      <c r="B85" s="1">
        <f>IFERROR(__xludf.DUMMYFUNCTION("""COMPUTED_VALUE"""),13714.048)</f>
        <v>13714.048</v>
      </c>
    </row>
    <row r="86">
      <c r="A86" s="3">
        <f>IFERROR(__xludf.DUMMYFUNCTION("""COMPUTED_VALUE"""),40297.99861111111)</f>
        <v>40297.99861</v>
      </c>
      <c r="B86" s="1">
        <f>IFERROR(__xludf.DUMMYFUNCTION("""COMPUTED_VALUE"""),13821.53825)</f>
        <v>13821.53825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IFERROR(__xludf.DUMMYFUNCTION("""COMPUTED_VALUE"""),13795.8536)</f>
        <v>13795.8536</v>
      </c>
    </row>
    <row r="88">
      <c r="A88" s="3">
        <f>IFERROR(__xludf.DUMMYFUNCTION("""COMPUTED_VALUE"""),40301.99861111111)</f>
        <v>40301.99861</v>
      </c>
      <c r="B88" s="1">
        <f>IFERROR(__xludf.DUMMYFUNCTION("""COMPUTED_VALUE"""),13752.66695)</f>
        <v>13752.66695</v>
      </c>
    </row>
    <row r="89">
      <c r="A89" s="3">
        <f>IFERROR(__xludf.DUMMYFUNCTION("""COMPUTED_VALUE"""),40302.99861111111)</f>
        <v>40302.99861</v>
      </c>
      <c r="B89" s="1">
        <f>IFERROR(__xludf.DUMMYFUNCTION("""COMPUTED_VALUE"""),13717.01428)</f>
        <v>13717.01428</v>
      </c>
    </row>
    <row r="90">
      <c r="A90" s="3">
        <f>IFERROR(__xludf.DUMMYFUNCTION("""COMPUTED_VALUE"""),40303.99861111111)</f>
        <v>40303.99861</v>
      </c>
      <c r="B90" s="1">
        <f>IFERROR(__xludf.DUMMYFUNCTION("""COMPUTED_VALUE"""),13761.35675)</f>
        <v>13761.35675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IFERROR(__xludf.DUMMYFUNCTION("""COMPUTED_VALUE"""),13779.34506)</f>
        <v>13779.34506</v>
      </c>
    </row>
    <row r="92">
      <c r="A92" s="3">
        <f>IFERROR(__xludf.DUMMYFUNCTION("""COMPUTED_VALUE"""),40305.99861111111)</f>
        <v>40305.99861</v>
      </c>
      <c r="B92" s="1">
        <f>IFERROR(__xludf.DUMMYFUNCTION("""COMPUTED_VALUE"""),13618.3831)</f>
        <v>13618.3831</v>
      </c>
    </row>
    <row r="93">
      <c r="A93" s="3">
        <f>IFERROR(__xludf.DUMMYFUNCTION("""COMPUTED_VALUE"""),40308.99861111111)</f>
        <v>40308.99861</v>
      </c>
      <c r="B93" s="1">
        <f>IFERROR(__xludf.DUMMYFUNCTION("""COMPUTED_VALUE"""),13673.19424)</f>
        <v>13673.19424</v>
      </c>
    </row>
    <row r="94">
      <c r="A94" s="3">
        <f>IFERROR(__xludf.DUMMYFUNCTION("""COMPUTED_VALUE"""),40309.99861111111)</f>
        <v>40309.99861</v>
      </c>
      <c r="B94" s="1">
        <f>IFERROR(__xludf.DUMMYFUNCTION("""COMPUTED_VALUE"""),13704.71906)</f>
        <v>13704.71906</v>
      </c>
    </row>
    <row r="95">
      <c r="A95" s="3">
        <f>IFERROR(__xludf.DUMMYFUNCTION("""COMPUTED_VALUE"""),40310.99861111111)</f>
        <v>40310.99861</v>
      </c>
      <c r="B95" s="1">
        <f>IFERROR(__xludf.DUMMYFUNCTION("""COMPUTED_VALUE"""),13615.2107)</f>
        <v>13615.2107</v>
      </c>
    </row>
    <row r="96">
      <c r="A96" s="3">
        <f>IFERROR(__xludf.DUMMYFUNCTION("""COMPUTED_VALUE"""),40311.99861111111)</f>
        <v>40311.99861</v>
      </c>
      <c r="B96" s="1">
        <f>IFERROR(__xludf.DUMMYFUNCTION("""COMPUTED_VALUE"""),13299.59533)</f>
        <v>13299.59533</v>
      </c>
    </row>
    <row r="97">
      <c r="A97" s="3">
        <f>IFERROR(__xludf.DUMMYFUNCTION("""COMPUTED_VALUE"""),40312.99861111111)</f>
        <v>40312.99861</v>
      </c>
      <c r="B97" s="1">
        <f>IFERROR(__xludf.DUMMYFUNCTION("""COMPUTED_VALUE"""),13214.7463)</f>
        <v>13214.7463</v>
      </c>
    </row>
    <row r="98">
      <c r="A98" s="3">
        <f>IFERROR(__xludf.DUMMYFUNCTION("""COMPUTED_VALUE"""),40315.99861111111)</f>
        <v>40315.99861</v>
      </c>
      <c r="B98" s="1">
        <f>IFERROR(__xludf.DUMMYFUNCTION("""COMPUTED_VALUE"""),13143.37876)</f>
        <v>13143.37876</v>
      </c>
    </row>
    <row r="99">
      <c r="A99" s="3">
        <f>IFERROR(__xludf.DUMMYFUNCTION("""COMPUTED_VALUE"""),40316.99861111111)</f>
        <v>40316.99861</v>
      </c>
      <c r="B99" s="1">
        <f>IFERROR(__xludf.DUMMYFUNCTION("""COMPUTED_VALUE"""),13269.8349)</f>
        <v>13269.8349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IFERROR(__xludf.DUMMYFUNCTION("""COMPUTED_VALUE"""),13148.45229)</f>
        <v>13148.45229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IFERROR(__xludf.DUMMYFUNCTION("""COMPUTED_VALUE"""),13084.12673)</f>
        <v>13084.12673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IFERROR(__xludf.DUMMYFUNCTION("""COMPUTED_VALUE"""),13392.67972)</f>
        <v>13392.67972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IFERROR(__xludf.DUMMYFUNCTION("""COMPUTED_VALUE"""),13372.22544)</f>
        <v>13372.22544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IFERROR(__xludf.DUMMYFUNCTION("""COMPUTED_VALUE"""),13376.33595)</f>
        <v>13376.33595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IFERROR(__xludf.DUMMYFUNCTION("""COMPUTED_VALUE"""),13486.72608)</f>
        <v>13486.72608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IFERROR(__xludf.DUMMYFUNCTION("""COMPUTED_VALUE"""),13408.7465)</f>
        <v>13408.7465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IFERROR(__xludf.DUMMYFUNCTION("""COMPUTED_VALUE"""),13420.98728)</f>
        <v>13420.98728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IFERROR(__xludf.DUMMYFUNCTION("""COMPUTED_VALUE"""),13480.31074)</f>
        <v>13480.31074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IFERROR(__xludf.DUMMYFUNCTION("""COMPUTED_VALUE"""),13556.09013)</f>
        <v>13556.09013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IFERROR(__xludf.DUMMYFUNCTION("""COMPUTED_VALUE"""),13535.05545)</f>
        <v>13535.05545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IFERROR(__xludf.DUMMYFUNCTION("""COMPUTED_VALUE"""),13513.53875)</f>
        <v>13513.53875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IFERROR(__xludf.DUMMYFUNCTION("""COMPUTED_VALUE"""),13408.86015)</f>
        <v>13408.86015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IFERROR(__xludf.DUMMYFUNCTION("""COMPUTED_VALUE"""),13482.35889)</f>
        <v>13482.35889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IFERROR(__xludf.DUMMYFUNCTION("""COMPUTED_VALUE"""),13324.12364)</f>
        <v>13324.12364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IFERROR(__xludf.DUMMYFUNCTION("""COMPUTED_VALUE"""),13499.5054)</f>
        <v>13499.5054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IFERROR(__xludf.DUMMYFUNCTION("""COMPUTED_VALUE"""),13519.81404)</f>
        <v>13519.81404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IFERROR(__xludf.DUMMYFUNCTION("""COMPUTED_VALUE"""),13358.0615)</f>
        <v>13358.0615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IFERROR(__xludf.DUMMYFUNCTION("""COMPUTED_VALUE"""),13561.10064)</f>
        <v>13561.10064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IFERROR(__xludf.DUMMYFUNCTION("""COMPUTED_VALUE"""),13525.0236)</f>
        <v>13525.0236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IFERROR(__xludf.DUMMYFUNCTION("""COMPUTED_VALUE"""),13500.28989)</f>
        <v>13500.28989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IFERROR(__xludf.DUMMYFUNCTION("""COMPUTED_VALUE"""),13543.19491)</f>
        <v>13543.19491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IFERROR(__xludf.DUMMYFUNCTION("""COMPUTED_VALUE"""),13443.963)</f>
        <v>13443.963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IFERROR(__xludf.DUMMYFUNCTION("""COMPUTED_VALUE"""),13276.40145)</f>
        <v>13276.40145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IFERROR(__xludf.DUMMYFUNCTION("""COMPUTED_VALUE"""),13353.9816)</f>
        <v>13353.9816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IFERROR(__xludf.DUMMYFUNCTION("""COMPUTED_VALUE"""),13436.9238)</f>
        <v>13436.9238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IFERROR(__xludf.DUMMYFUNCTION("""COMPUTED_VALUE"""),13532.07185)</f>
        <v>13532.07185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IFERROR(__xludf.DUMMYFUNCTION("""COMPUTED_VALUE"""),13656.41984)</f>
        <v>13656.41984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IFERROR(__xludf.DUMMYFUNCTION("""COMPUTED_VALUE"""),13673.80554)</f>
        <v>13673.80554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IFERROR(__xludf.DUMMYFUNCTION("""COMPUTED_VALUE"""),13661.0355)</f>
        <v>13661.0355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IFERROR(__xludf.DUMMYFUNCTION("""COMPUTED_VALUE"""),13514.74016)</f>
        <v>13514.74016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IFERROR(__xludf.DUMMYFUNCTION("""COMPUTED_VALUE"""),13699.02477)</f>
        <v>13699.02477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IFERROR(__xludf.DUMMYFUNCTION("""COMPUTED_VALUE"""),13757.1786)</f>
        <v>13757.1786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IFERROR(__xludf.DUMMYFUNCTION("""COMPUTED_VALUE"""),13745.7563)</f>
        <v>13745.7563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IFERROR(__xludf.DUMMYFUNCTION("""COMPUTED_VALUE"""),13661.7304)</f>
        <v>13661.7304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IFERROR(__xludf.DUMMYFUNCTION("""COMPUTED_VALUE"""),13749.00525)</f>
        <v>13749.00525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IFERROR(__xludf.DUMMYFUNCTION("""COMPUTED_VALUE"""),13704.83248)</f>
        <v>13704.83248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IFERROR(__xludf.DUMMYFUNCTION("""COMPUTED_VALUE"""),13587.2864)</f>
        <v>13587.2864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IFERROR(__xludf.DUMMYFUNCTION("""COMPUTED_VALUE"""),13627.29213)</f>
        <v>13627.29213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IFERROR(__xludf.DUMMYFUNCTION("""COMPUTED_VALUE"""),13629.61932)</f>
        <v>13629.61932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IFERROR(__xludf.DUMMYFUNCTION("""COMPUTED_VALUE"""),13767.82951)</f>
        <v>13767.82951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IFERROR(__xludf.DUMMYFUNCTION("""COMPUTED_VALUE"""),13951.03438)</f>
        <v>13951.03438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IFERROR(__xludf.DUMMYFUNCTION("""COMPUTED_VALUE"""),13754.265)</f>
        <v>13754.265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IFERROR(__xludf.DUMMYFUNCTION("""COMPUTED_VALUE"""),13819.90695)</f>
        <v>13819.90695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IFERROR(__xludf.DUMMYFUNCTION("""COMPUTED_VALUE"""),13815.02822)</f>
        <v>13815.02822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IFERROR(__xludf.DUMMYFUNCTION("""COMPUTED_VALUE"""),13800.16714)</f>
        <v>13800.16714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IFERROR(__xludf.DUMMYFUNCTION("""COMPUTED_VALUE"""),13735.09401)</f>
        <v>13735.09401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IFERROR(__xludf.DUMMYFUNCTION("""COMPUTED_VALUE"""),13850.487)</f>
        <v>13850.487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IFERROR(__xludf.DUMMYFUNCTION("""COMPUTED_VALUE"""),13809.91277)</f>
        <v>13809.91277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IFERROR(__xludf.DUMMYFUNCTION("""COMPUTED_VALUE"""),13904.78115)</f>
        <v>13904.78115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IFERROR(__xludf.DUMMYFUNCTION("""COMPUTED_VALUE"""),14069.975)</f>
        <v>14069.975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IFERROR(__xludf.DUMMYFUNCTION("""COMPUTED_VALUE"""),14001.31248)</f>
        <v>14001.31248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IFERROR(__xludf.DUMMYFUNCTION("""COMPUTED_VALUE"""),13840.5036)</f>
        <v>13840.5036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IFERROR(__xludf.DUMMYFUNCTION("""COMPUTED_VALUE"""),14030.19748)</f>
        <v>14030.19748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IFERROR(__xludf.DUMMYFUNCTION("""COMPUTED_VALUE"""),14027.12969)</f>
        <v>14027.12969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IFERROR(__xludf.DUMMYFUNCTION("""COMPUTED_VALUE"""),14208.6384)</f>
        <v>14208.6384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IFERROR(__xludf.DUMMYFUNCTION("""COMPUTED_VALUE"""),14183.85312)</f>
        <v>14183.85312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IFERROR(__xludf.DUMMYFUNCTION("""COMPUTED_VALUE"""),14130.81)</f>
        <v>14130.81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IFERROR(__xludf.DUMMYFUNCTION("""COMPUTED_VALUE"""),14210.50426)</f>
        <v>14210.50426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IFERROR(__xludf.DUMMYFUNCTION("""COMPUTED_VALUE"""),14081.30115)</f>
        <v>14081.30115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IFERROR(__xludf.DUMMYFUNCTION("""COMPUTED_VALUE"""),14074.30128)</f>
        <v>14074.30128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IFERROR(__xludf.DUMMYFUNCTION("""COMPUTED_VALUE"""),14064.81388)</f>
        <v>14064.81388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IFERROR(__xludf.DUMMYFUNCTION("""COMPUTED_VALUE"""),13980.05931)</f>
        <v>13980.05931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IFERROR(__xludf.DUMMYFUNCTION("""COMPUTED_VALUE"""),13957.55917)</f>
        <v>13957.55917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IFERROR(__xludf.DUMMYFUNCTION("""COMPUTED_VALUE"""),13826.33232)</f>
        <v>13826.33232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IFERROR(__xludf.DUMMYFUNCTION("""COMPUTED_VALUE"""),13874.60556)</f>
        <v>13874.60556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IFERROR(__xludf.DUMMYFUNCTION("""COMPUTED_VALUE"""),13906.2945)</f>
        <v>13906.2945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IFERROR(__xludf.DUMMYFUNCTION("""COMPUTED_VALUE"""),13974.3599)</f>
        <v>13974.3599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IFERROR(__xludf.DUMMYFUNCTION("""COMPUTED_VALUE"""),13733.2096)</f>
        <v>13733.2096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IFERROR(__xludf.DUMMYFUNCTION("""COMPUTED_VALUE"""),13830.65947)</f>
        <v>13830.65947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IFERROR(__xludf.DUMMYFUNCTION("""COMPUTED_VALUE"""),13733.3782)</f>
        <v>13733.3782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IFERROR(__xludf.DUMMYFUNCTION("""COMPUTED_VALUE"""),13944.92742)</f>
        <v>13944.92742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IFERROR(__xludf.DUMMYFUNCTION("""COMPUTED_VALUE"""),13983.08894)</f>
        <v>13983.08894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IFERROR(__xludf.DUMMYFUNCTION("""COMPUTED_VALUE"""),13789.9034)</f>
        <v>13789.9034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IFERROR(__xludf.DUMMYFUNCTION("""COMPUTED_VALUE"""),13833.19132)</f>
        <v>13833.19132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IFERROR(__xludf.DUMMYFUNCTION("""COMPUTED_VALUE"""),13909.20124)</f>
        <v>13909.20124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IFERROR(__xludf.DUMMYFUNCTION("""COMPUTED_VALUE"""),13838.02368)</f>
        <v>13838.02368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IFERROR(__xludf.DUMMYFUNCTION("""COMPUTED_VALUE"""),13884.4714)</f>
        <v>13884.4714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IFERROR(__xludf.DUMMYFUNCTION("""COMPUTED_VALUE"""),13850.27334)</f>
        <v>13850.27334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IFERROR(__xludf.DUMMYFUNCTION("""COMPUTED_VALUE"""),13858.24048)</f>
        <v>13858.24048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IFERROR(__xludf.DUMMYFUNCTION("""COMPUTED_VALUE"""),13931.7624)</f>
        <v>13931.7624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IFERROR(__xludf.DUMMYFUNCTION("""COMPUTED_VALUE"""),13928.775)</f>
        <v>13928.775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IFERROR(__xludf.DUMMYFUNCTION("""COMPUTED_VALUE"""),13850.24836)</f>
        <v>13850.24836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IFERROR(__xludf.DUMMYFUNCTION("""COMPUTED_VALUE"""),13877.21696)</f>
        <v>13877.21696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IFERROR(__xludf.DUMMYFUNCTION("""COMPUTED_VALUE"""),13958.17563)</f>
        <v>13958.17563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IFERROR(__xludf.DUMMYFUNCTION("""COMPUTED_VALUE"""),14029.76036)</f>
        <v>14029.76036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IFERROR(__xludf.DUMMYFUNCTION("""COMPUTED_VALUE"""),13954.018)</f>
        <v>13954.018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IFERROR(__xludf.DUMMYFUNCTION("""COMPUTED_VALUE"""),14019.30202)</f>
        <v>14019.30202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IFERROR(__xludf.DUMMYFUNCTION("""COMPUTED_VALUE"""),13961.93168)</f>
        <v>13961.93168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IFERROR(__xludf.DUMMYFUNCTION("""COMPUTED_VALUE"""),13854.71328)</f>
        <v>13854.71328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IFERROR(__xludf.DUMMYFUNCTION("""COMPUTED_VALUE"""),13950.16128)</f>
        <v>13950.16128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IFERROR(__xludf.DUMMYFUNCTION("""COMPUTED_VALUE"""),14054.44929)</f>
        <v>14054.44929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IFERROR(__xludf.DUMMYFUNCTION("""COMPUTED_VALUE"""),14006.7075)</f>
        <v>14006.7075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IFERROR(__xludf.DUMMYFUNCTION("""COMPUTED_VALUE"""),14178.08865)</f>
        <v>14178.08865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IFERROR(__xludf.DUMMYFUNCTION("""COMPUTED_VALUE"""),14141.41096)</f>
        <v>14141.41096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IFERROR(__xludf.DUMMYFUNCTION("""COMPUTED_VALUE"""),14103.3122)</f>
        <v>14103.3122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IFERROR(__xludf.DUMMYFUNCTION("""COMPUTED_VALUE"""),14040.66541)</f>
        <v>14040.66541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IFERROR(__xludf.DUMMYFUNCTION("""COMPUTED_VALUE"""),14123.25224)</f>
        <v>14123.25224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IFERROR(__xludf.DUMMYFUNCTION("""COMPUTED_VALUE"""),14130.2194)</f>
        <v>14130.2194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IFERROR(__xludf.DUMMYFUNCTION("""COMPUTED_VALUE"""),14027.67408)</f>
        <v>14027.67408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IFERROR(__xludf.DUMMYFUNCTION("""COMPUTED_VALUE"""),14071.19606)</f>
        <v>14071.19606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IFERROR(__xludf.DUMMYFUNCTION("""COMPUTED_VALUE"""),14149.07)</f>
        <v>14149.07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IFERROR(__xludf.DUMMYFUNCTION("""COMPUTED_VALUE"""),14226.72587)</f>
        <v>14226.72587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IFERROR(__xludf.DUMMYFUNCTION("""COMPUTED_VALUE"""),14293.5317)</f>
        <v>14293.5317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IFERROR(__xludf.DUMMYFUNCTION("""COMPUTED_VALUE"""),14087.1843)</f>
        <v>14087.1843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IFERROR(__xludf.DUMMYFUNCTION("""COMPUTED_VALUE"""),14117.133)</f>
        <v>14117.133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IFERROR(__xludf.DUMMYFUNCTION("""COMPUTED_VALUE"""),14248.50084)</f>
        <v>14248.50084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IFERROR(__xludf.DUMMYFUNCTION("""COMPUTED_VALUE"""),14291.64849)</f>
        <v>14291.64849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IFERROR(__xludf.DUMMYFUNCTION("""COMPUTED_VALUE"""),14218.09564)</f>
        <v>14218.09564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IFERROR(__xludf.DUMMYFUNCTION("""COMPUTED_VALUE"""),14079.917)</f>
        <v>14079.917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IFERROR(__xludf.DUMMYFUNCTION("""COMPUTED_VALUE"""),13967.5536)</f>
        <v>13967.5536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IFERROR(__xludf.DUMMYFUNCTION("""COMPUTED_VALUE"""),13900.52911)</f>
        <v>13900.52911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IFERROR(__xludf.DUMMYFUNCTION("""COMPUTED_VALUE"""),13981.68922)</f>
        <v>13981.68922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IFERROR(__xludf.DUMMYFUNCTION("""COMPUTED_VALUE"""),14021.6389)</f>
        <v>14021.6389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IFERROR(__xludf.DUMMYFUNCTION("""COMPUTED_VALUE"""),14126.23362)</f>
        <v>14126.23362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IFERROR(__xludf.DUMMYFUNCTION("""COMPUTED_VALUE"""),14077.66404)</f>
        <v>14077.66404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IFERROR(__xludf.DUMMYFUNCTION("""COMPUTED_VALUE"""),14070.31164)</f>
        <v>14070.31164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IFERROR(__xludf.DUMMYFUNCTION("""COMPUTED_VALUE"""),14309.9572)</f>
        <v>14309.9572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IFERROR(__xludf.DUMMYFUNCTION("""COMPUTED_VALUE"""),14300.74266)</f>
        <v>14300.74266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IFERROR(__xludf.DUMMYFUNCTION("""COMPUTED_VALUE"""),14148.8795)</f>
        <v>14148.8795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IFERROR(__xludf.DUMMYFUNCTION("""COMPUTED_VALUE"""),14129.45436)</f>
        <v>14129.45436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IFERROR(__xludf.DUMMYFUNCTION("""COMPUTED_VALUE"""),14497.37964)</f>
        <v>14497.37964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IFERROR(__xludf.DUMMYFUNCTION("""COMPUTED_VALUE"""),14398.42)</f>
        <v>14398.42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IFERROR(__xludf.DUMMYFUNCTION("""COMPUTED_VALUE"""),14348.09646)</f>
        <v>14348.09646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IFERROR(__xludf.DUMMYFUNCTION("""COMPUTED_VALUE"""),14088.0)</f>
        <v>14088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IFERROR(__xludf.DUMMYFUNCTION("""COMPUTED_VALUE"""),14150.95928)</f>
        <v>14150.95928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IFERROR(__xludf.DUMMYFUNCTION("""COMPUTED_VALUE"""),14166.45162)</f>
        <v>14166.45162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IFERROR(__xludf.DUMMYFUNCTION("""COMPUTED_VALUE"""),14396.92274)</f>
        <v>14396.92274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IFERROR(__xludf.DUMMYFUNCTION("""COMPUTED_VALUE"""),14382.89305)</f>
        <v>14382.89305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IFERROR(__xludf.DUMMYFUNCTION("""COMPUTED_VALUE"""),14066.51616)</f>
        <v>14066.51616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IFERROR(__xludf.DUMMYFUNCTION("""COMPUTED_VALUE"""),14079.2936)</f>
        <v>14079.2936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IFERROR(__xludf.DUMMYFUNCTION("""COMPUTED_VALUE"""),14192.1307)</f>
        <v>14192.1307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IFERROR(__xludf.DUMMYFUNCTION("""COMPUTED_VALUE"""),14278.70911)</f>
        <v>14278.70911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IFERROR(__xludf.DUMMYFUNCTION("""COMPUTED_VALUE"""),14235.32919)</f>
        <v>14235.32919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IFERROR(__xludf.DUMMYFUNCTION("""COMPUTED_VALUE"""),14166.754)</f>
        <v>14166.754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IFERROR(__xludf.DUMMYFUNCTION("""COMPUTED_VALUE"""),14151.1708)</f>
        <v>14151.1708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IFERROR(__xludf.DUMMYFUNCTION("""COMPUTED_VALUE"""),14129.47291)</f>
        <v>14129.47291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IFERROR(__xludf.DUMMYFUNCTION("""COMPUTED_VALUE"""),13873.7616)</f>
        <v>13873.7616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IFERROR(__xludf.DUMMYFUNCTION("""COMPUTED_VALUE"""),14022.63093)</f>
        <v>14022.63093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IFERROR(__xludf.DUMMYFUNCTION("""COMPUTED_VALUE"""),14061.34317)</f>
        <v>14061.34317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IFERROR(__xludf.DUMMYFUNCTION("""COMPUTED_VALUE"""),14075.09491)</f>
        <v>14075.09491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IFERROR(__xludf.DUMMYFUNCTION("""COMPUTED_VALUE"""),13898.2608)</f>
        <v>13898.2608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IFERROR(__xludf.DUMMYFUNCTION("""COMPUTED_VALUE"""),14168.4465)</f>
        <v>14168.4465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IFERROR(__xludf.DUMMYFUNCTION("""COMPUTED_VALUE"""),14151.02747)</f>
        <v>14151.02747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IFERROR(__xludf.DUMMYFUNCTION("""COMPUTED_VALUE"""),14156.553)</f>
        <v>14156.553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IFERROR(__xludf.DUMMYFUNCTION("""COMPUTED_VALUE"""),14246.188)</f>
        <v>14246.188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IFERROR(__xludf.DUMMYFUNCTION("""COMPUTED_VALUE"""),14222.2878)</f>
        <v>14222.2878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IFERROR(__xludf.DUMMYFUNCTION("""COMPUTED_VALUE"""),14251.8135)</f>
        <v>14251.8135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IFERROR(__xludf.DUMMYFUNCTION("""COMPUTED_VALUE"""),14296.8885)</f>
        <v>14296.8885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IFERROR(__xludf.DUMMYFUNCTION("""COMPUTED_VALUE"""),14198.8932)</f>
        <v>14198.8932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IFERROR(__xludf.DUMMYFUNCTION("""COMPUTED_VALUE"""),14037.12771)</f>
        <v>14037.12771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IFERROR(__xludf.DUMMYFUNCTION("""COMPUTED_VALUE"""),13969.2002)</f>
        <v>13969.2002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IFERROR(__xludf.DUMMYFUNCTION("""COMPUTED_VALUE"""),14019.65951)</f>
        <v>14019.65951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IFERROR(__xludf.DUMMYFUNCTION("""COMPUTED_VALUE"""),13864.3329)</f>
        <v>13864.3329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IFERROR(__xludf.DUMMYFUNCTION("""COMPUTED_VALUE"""),13982.1098)</f>
        <v>13982.1098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IFERROR(__xludf.DUMMYFUNCTION("""COMPUTED_VALUE"""),13924.96816)</f>
        <v>13924.96816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IFERROR(__xludf.DUMMYFUNCTION("""COMPUTED_VALUE"""),13958.77327)</f>
        <v>13958.77327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IFERROR(__xludf.DUMMYFUNCTION("""COMPUTED_VALUE"""),13942.42744)</f>
        <v>13942.42744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IFERROR(__xludf.DUMMYFUNCTION("""COMPUTED_VALUE"""),13800.0282)</f>
        <v>13800.0282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IFERROR(__xludf.DUMMYFUNCTION("""COMPUTED_VALUE"""),13843.58924)</f>
        <v>13843.58924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IFERROR(__xludf.DUMMYFUNCTION("""COMPUTED_VALUE"""),13952.33751)</f>
        <v>13952.33751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IFERROR(__xludf.DUMMYFUNCTION("""COMPUTED_VALUE"""),13714.6524)</f>
        <v>13714.6524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IFERROR(__xludf.DUMMYFUNCTION("""COMPUTED_VALUE"""),14060.92797)</f>
        <v>14060.92797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IFERROR(__xludf.DUMMYFUNCTION("""COMPUTED_VALUE"""),13922.10626)</f>
        <v>13922.10626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IFERROR(__xludf.DUMMYFUNCTION("""COMPUTED_VALUE"""),13859.22762)</f>
        <v>13859.22762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IFERROR(__xludf.DUMMYFUNCTION("""COMPUTED_VALUE"""),13934.01661)</f>
        <v>13934.01661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IFERROR(__xludf.DUMMYFUNCTION("""COMPUTED_VALUE"""),13928.50942)</f>
        <v>13928.50942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IFERROR(__xludf.DUMMYFUNCTION("""COMPUTED_VALUE"""),13840.5873)</f>
        <v>13840.5873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IFERROR(__xludf.DUMMYFUNCTION("""COMPUTED_VALUE"""),14106.81067)</f>
        <v>14106.81067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IFERROR(__xludf.DUMMYFUNCTION("""COMPUTED_VALUE"""),13943.26628)</f>
        <v>13943.26628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IFERROR(__xludf.DUMMYFUNCTION("""COMPUTED_VALUE"""),14232.576)</f>
        <v>14232.576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IFERROR(__xludf.DUMMYFUNCTION("""COMPUTED_VALUE"""),14334.2158)</f>
        <v>14334.2158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IFERROR(__xludf.DUMMYFUNCTION("""COMPUTED_VALUE"""),14367.25504)</f>
        <v>14367.25504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IFERROR(__xludf.DUMMYFUNCTION("""COMPUTED_VALUE"""),14402.5914)</f>
        <v>14402.5914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IFERROR(__xludf.DUMMYFUNCTION("""COMPUTED_VALUE"""),14451.00959)</f>
        <v>14451.00959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IFERROR(__xludf.DUMMYFUNCTION("""COMPUTED_VALUE"""),14291.20872)</f>
        <v>14291.20872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IFERROR(__xludf.DUMMYFUNCTION("""COMPUTED_VALUE"""),14175.04584)</f>
        <v>14175.04584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IFERROR(__xludf.DUMMYFUNCTION("""COMPUTED_VALUE"""),14126.64825)</f>
        <v>14126.64825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IFERROR(__xludf.DUMMYFUNCTION("""COMPUTED_VALUE"""),14460.995)</f>
        <v>14460.995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IFERROR(__xludf.DUMMYFUNCTION("""COMPUTED_VALUE"""),14290.24203)</f>
        <v>14290.24203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IFERROR(__xludf.DUMMYFUNCTION("""COMPUTED_VALUE"""),14205.16344)</f>
        <v>14205.16344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IFERROR(__xludf.DUMMYFUNCTION("""COMPUTED_VALUE"""),14373.61248)</f>
        <v>14373.61248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IFERROR(__xludf.DUMMYFUNCTION("""COMPUTED_VALUE"""),14318.3287)</f>
        <v>14318.3287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IFERROR(__xludf.DUMMYFUNCTION("""COMPUTED_VALUE"""),14353.76172)</f>
        <v>14353.76172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IFERROR(__xludf.DUMMYFUNCTION("""COMPUTED_VALUE"""),14519.7)</f>
        <v>14519.7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IFERROR(__xludf.DUMMYFUNCTION("""COMPUTED_VALUE"""),14613.939)</f>
        <v>14613.939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IFERROR(__xludf.DUMMYFUNCTION("""COMPUTED_VALUE"""),14391.08957)</f>
        <v>14391.08957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IFERROR(__xludf.DUMMYFUNCTION("""COMPUTED_VALUE"""),14475.14676)</f>
        <v>14475.14676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IFERROR(__xludf.DUMMYFUNCTION("""COMPUTED_VALUE"""),14227.17264)</f>
        <v>14227.17264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IFERROR(__xludf.DUMMYFUNCTION("""COMPUTED_VALUE"""),14296.07)</f>
        <v>14296.07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IFERROR(__xludf.DUMMYFUNCTION("""COMPUTED_VALUE"""),14375.43351)</f>
        <v>14375.43351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IFERROR(__xludf.DUMMYFUNCTION("""COMPUTED_VALUE"""),14363.0025)</f>
        <v>14363.0025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IFERROR(__xludf.DUMMYFUNCTION("""COMPUTED_VALUE"""),14287.61292)</f>
        <v>14287.61292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IFERROR(__xludf.DUMMYFUNCTION("""COMPUTED_VALUE"""),14282.73179)</f>
        <v>14282.73179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IFERROR(__xludf.DUMMYFUNCTION("""COMPUTED_VALUE"""),14225.647)</f>
        <v>14225.647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IFERROR(__xludf.DUMMYFUNCTION("""COMPUTED_VALUE"""),14310.9961)</f>
        <v>14310.9961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IFERROR(__xludf.DUMMYFUNCTION("""COMPUTED_VALUE"""),14199.016)</f>
        <v>14199.016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IFERROR(__xludf.DUMMYFUNCTION("""COMPUTED_VALUE"""),14378.29858)</f>
        <v>14378.29858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IFERROR(__xludf.DUMMYFUNCTION("""COMPUTED_VALUE"""),14197.75)</f>
        <v>14197.75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IFERROR(__xludf.DUMMYFUNCTION("""COMPUTED_VALUE"""),14344.3432)</f>
        <v>14344.3432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IFERROR(__xludf.DUMMYFUNCTION("""COMPUTED_VALUE"""),14400.32064)</f>
        <v>14400.32064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IFERROR(__xludf.DUMMYFUNCTION("""COMPUTED_VALUE"""),14309.883)</f>
        <v>14309.883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IFERROR(__xludf.DUMMYFUNCTION("""COMPUTED_VALUE"""),14247.11253)</f>
        <v>14247.11253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IFERROR(__xludf.DUMMYFUNCTION("""COMPUTED_VALUE"""),14349.67628)</f>
        <v>14349.67628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IFERROR(__xludf.DUMMYFUNCTION("""COMPUTED_VALUE"""),14303.7884)</f>
        <v>14303.7884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IFERROR(__xludf.DUMMYFUNCTION("""COMPUTED_VALUE"""),14388.96836)</f>
        <v>14388.96836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IFERROR(__xludf.DUMMYFUNCTION("""COMPUTED_VALUE"""),14329.10878)</f>
        <v>14329.10878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IFERROR(__xludf.DUMMYFUNCTION("""COMPUTED_VALUE"""),14254.60943)</f>
        <v>14254.60943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IFERROR(__xludf.DUMMYFUNCTION("""COMPUTED_VALUE"""),14230.60321)</f>
        <v>14230.60321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IFERROR(__xludf.DUMMYFUNCTION("""COMPUTED_VALUE"""),14201.33896)</f>
        <v>14201.33896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IFERROR(__xludf.DUMMYFUNCTION("""COMPUTED_VALUE"""),14188.572)</f>
        <v>14188.572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IFERROR(__xludf.DUMMYFUNCTION("""COMPUTED_VALUE"""),14107.45038)</f>
        <v>14107.45038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IFERROR(__xludf.DUMMYFUNCTION("""COMPUTED_VALUE"""),14115.96868)</f>
        <v>14115.96868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IFERROR(__xludf.DUMMYFUNCTION("""COMPUTED_VALUE"""),14168.61877)</f>
        <v>14168.61877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IFERROR(__xludf.DUMMYFUNCTION("""COMPUTED_VALUE"""),14102.6535)</f>
        <v>14102.6535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IFERROR(__xludf.DUMMYFUNCTION("""COMPUTED_VALUE"""),14005.41135)</f>
        <v>14005.41135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IFERROR(__xludf.DUMMYFUNCTION("""COMPUTED_VALUE"""),14154.9554)</f>
        <v>14154.9554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IFERROR(__xludf.DUMMYFUNCTION("""COMPUTED_VALUE"""),14194.884)</f>
        <v>14194.884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IFERROR(__xludf.DUMMYFUNCTION("""COMPUTED_VALUE"""),14217.96)</f>
        <v>14217.96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IFERROR(__xludf.DUMMYFUNCTION("""COMPUTED_VALUE"""),14264.9397)</f>
        <v>14264.9397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IFERROR(__xludf.DUMMYFUNCTION("""COMPUTED_VALUE"""),14169.91424)</f>
        <v>14169.91424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IFERROR(__xludf.DUMMYFUNCTION("""COMPUTED_VALUE"""),14038.778)</f>
        <v>14038.778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IFERROR(__xludf.DUMMYFUNCTION("""COMPUTED_VALUE"""),13964.01132)</f>
        <v>13964.01132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IFERROR(__xludf.DUMMYFUNCTION("""COMPUTED_VALUE"""),13938.65816)</f>
        <v>13938.65816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IFERROR(__xludf.DUMMYFUNCTION("""COMPUTED_VALUE"""),13907.45334)</f>
        <v>13907.45334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IFERROR(__xludf.DUMMYFUNCTION("""COMPUTED_VALUE"""),13980.50489)</f>
        <v>13980.50489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IFERROR(__xludf.DUMMYFUNCTION("""COMPUTED_VALUE"""),13978.94208)</f>
        <v>13978.94208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IFERROR(__xludf.DUMMYFUNCTION("""COMPUTED_VALUE"""),13957.96523)</f>
        <v>13957.96523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IFERROR(__xludf.DUMMYFUNCTION("""COMPUTED_VALUE"""),13958.26908)</f>
        <v>13958.26908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IFERROR(__xludf.DUMMYFUNCTION("""COMPUTED_VALUE"""),13967.67625)</f>
        <v>13967.67625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IFERROR(__xludf.DUMMYFUNCTION("""COMPUTED_VALUE"""),13942.37834)</f>
        <v>13942.37834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IFERROR(__xludf.DUMMYFUNCTION("""COMPUTED_VALUE"""),14101.41768)</f>
        <v>14101.41768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IFERROR(__xludf.DUMMYFUNCTION("""COMPUTED_VALUE"""),14096.61091)</f>
        <v>14096.61091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IFERROR(__xludf.DUMMYFUNCTION("""COMPUTED_VALUE"""),14102.94627)</f>
        <v>14102.94627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IFERROR(__xludf.DUMMYFUNCTION("""COMPUTED_VALUE"""),14102.73052)</f>
        <v>14102.73052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IFERROR(__xludf.DUMMYFUNCTION("""COMPUTED_VALUE"""),14147.6841)</f>
        <v>14147.6841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IFERROR(__xludf.DUMMYFUNCTION("""COMPUTED_VALUE"""),14106.07215)</f>
        <v>14106.07215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IFERROR(__xludf.DUMMYFUNCTION("""COMPUTED_VALUE"""),14144.8181)</f>
        <v>14144.8181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IFERROR(__xludf.DUMMYFUNCTION("""COMPUTED_VALUE"""),14004.39745)</f>
        <v>14004.39745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IFERROR(__xludf.DUMMYFUNCTION("""COMPUTED_VALUE"""),14100.1821)</f>
        <v>14100.1821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IFERROR(__xludf.DUMMYFUNCTION("""COMPUTED_VALUE"""),14138.42976)</f>
        <v>14138.42976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IFERROR(__xludf.DUMMYFUNCTION("""COMPUTED_VALUE"""),14151.06162)</f>
        <v>14151.06162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IFERROR(__xludf.DUMMYFUNCTION("""COMPUTED_VALUE"""),14129.38812)</f>
        <v>14129.38812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IFERROR(__xludf.DUMMYFUNCTION("""COMPUTED_VALUE"""),14089.29744)</f>
        <v>14089.29744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IFERROR(__xludf.DUMMYFUNCTION("""COMPUTED_VALUE"""),14074.92853)</f>
        <v>14074.92853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IFERROR(__xludf.DUMMYFUNCTION("""COMPUTED_VALUE"""),14145.1968)</f>
        <v>14145.1968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IFERROR(__xludf.DUMMYFUNCTION("""COMPUTED_VALUE"""),14151.50643)</f>
        <v>14151.50643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IFERROR(__xludf.DUMMYFUNCTION("""COMPUTED_VALUE"""),14268.41861)</f>
        <v>14268.41861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IFERROR(__xludf.DUMMYFUNCTION("""COMPUTED_VALUE"""),14254.25148)</f>
        <v>14254.25148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IFERROR(__xludf.DUMMYFUNCTION("""COMPUTED_VALUE"""),14253.3879)</f>
        <v>14253.3879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IFERROR(__xludf.DUMMYFUNCTION("""COMPUTED_VALUE"""),14246.75538)</f>
        <v>14246.75538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IFERROR(__xludf.DUMMYFUNCTION("""COMPUTED_VALUE"""),14228.28)</f>
        <v>14228.28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IFERROR(__xludf.DUMMYFUNCTION("""COMPUTED_VALUE"""),14222.20073)</f>
        <v>14222.20073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IFERROR(__xludf.DUMMYFUNCTION("""COMPUTED_VALUE"""),14243.11072)</f>
        <v>14243.11072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IFERROR(__xludf.DUMMYFUNCTION("""COMPUTED_VALUE"""),14236.63495)</f>
        <v>14236.63495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IFERROR(__xludf.DUMMYFUNCTION("""COMPUTED_VALUE"""),14316.54082)</f>
        <v>14316.54082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IFERROR(__xludf.DUMMYFUNCTION("""COMPUTED_VALUE"""),14286.096)</f>
        <v>14286.096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IFERROR(__xludf.DUMMYFUNCTION("""COMPUTED_VALUE"""),14296.63245)</f>
        <v>14296.63245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IFERROR(__xludf.DUMMYFUNCTION("""COMPUTED_VALUE"""),14258.15556)</f>
        <v>14258.15556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IFERROR(__xludf.DUMMYFUNCTION("""COMPUTED_VALUE"""),14117.18335)</f>
        <v>14117.18335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IFERROR(__xludf.DUMMYFUNCTION("""COMPUTED_VALUE"""),14077.10536)</f>
        <v>14077.10536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IFERROR(__xludf.DUMMYFUNCTION("""COMPUTED_VALUE"""),14058.74379)</f>
        <v>14058.74379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IFERROR(__xludf.DUMMYFUNCTION("""COMPUTED_VALUE"""),14225.38884)</f>
        <v>14225.38884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IFERROR(__xludf.DUMMYFUNCTION("""COMPUTED_VALUE"""),13967.72636)</f>
        <v>13967.72636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IFERROR(__xludf.DUMMYFUNCTION("""COMPUTED_VALUE"""),14090.9205)</f>
        <v>14090.9205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IFERROR(__xludf.DUMMYFUNCTION("""COMPUTED_VALUE"""),13983.7498)</f>
        <v>13983.7498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IFERROR(__xludf.DUMMYFUNCTION("""COMPUTED_VALUE"""),13958.01965)</f>
        <v>13958.01965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IFERROR(__xludf.DUMMYFUNCTION("""COMPUTED_VALUE"""),14051.11224)</f>
        <v>14051.11224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IFERROR(__xludf.DUMMYFUNCTION("""COMPUTED_VALUE"""),13921.11)</f>
        <v>13921.11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IFERROR(__xludf.DUMMYFUNCTION("""COMPUTED_VALUE"""),13936.18159)</f>
        <v>13936.18159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IFERROR(__xludf.DUMMYFUNCTION("""COMPUTED_VALUE"""),13924.88317)</f>
        <v>13924.88317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IFERROR(__xludf.DUMMYFUNCTION("""COMPUTED_VALUE"""),13831.9116)</f>
        <v>13831.9116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IFERROR(__xludf.DUMMYFUNCTION("""COMPUTED_VALUE"""),13925.70268)</f>
        <v>13925.70268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IFERROR(__xludf.DUMMYFUNCTION("""COMPUTED_VALUE"""),13613.24971)</f>
        <v>13613.24971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IFERROR(__xludf.DUMMYFUNCTION("""COMPUTED_VALUE"""),13808.02319)</f>
        <v>13808.02319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IFERROR(__xludf.DUMMYFUNCTION("""COMPUTED_VALUE"""),13878.1856)</f>
        <v>13878.1856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IFERROR(__xludf.DUMMYFUNCTION("""COMPUTED_VALUE"""),13887.9224)</f>
        <v>13887.9224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IFERROR(__xludf.DUMMYFUNCTION("""COMPUTED_VALUE"""),13669.05825)</f>
        <v>13669.05825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IFERROR(__xludf.DUMMYFUNCTION("""COMPUTED_VALUE"""),13879.27946)</f>
        <v>13879.27946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IFERROR(__xludf.DUMMYFUNCTION("""COMPUTED_VALUE"""),13851.246)</f>
        <v>13851.246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IFERROR(__xludf.DUMMYFUNCTION("""COMPUTED_VALUE"""),13601.42498)</f>
        <v>13601.42498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IFERROR(__xludf.DUMMYFUNCTION("""COMPUTED_VALUE"""),13984.25782)</f>
        <v>13984.25782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IFERROR(__xludf.DUMMYFUNCTION("""COMPUTED_VALUE"""),14047.30775)</f>
        <v>14047.30775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IFERROR(__xludf.DUMMYFUNCTION("""COMPUTED_VALUE"""),14127.34148)</f>
        <v>14127.34148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IFERROR(__xludf.DUMMYFUNCTION("""COMPUTED_VALUE"""),13798.8402)</f>
        <v>13798.8402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IFERROR(__xludf.DUMMYFUNCTION("""COMPUTED_VALUE"""),14130.76546)</f>
        <v>14130.76546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IFERROR(__xludf.DUMMYFUNCTION("""COMPUTED_VALUE"""),14084.67138)</f>
        <v>14084.67138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IFERROR(__xludf.DUMMYFUNCTION("""COMPUTED_VALUE"""),14054.23719)</f>
        <v>14054.23719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IFERROR(__xludf.DUMMYFUNCTION("""COMPUTED_VALUE"""),13944.966)</f>
        <v>13944.966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IFERROR(__xludf.DUMMYFUNCTION("""COMPUTED_VALUE"""),13971.6036)</f>
        <v>13971.6036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IFERROR(__xludf.DUMMYFUNCTION("""COMPUTED_VALUE"""),13993.13503)</f>
        <v>13993.13503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IFERROR(__xludf.DUMMYFUNCTION("""COMPUTED_VALUE"""),13994.88834)</f>
        <v>13994.88834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IFERROR(__xludf.DUMMYFUNCTION("""COMPUTED_VALUE"""),14016.14025)</f>
        <v>14016.14025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IFERROR(__xludf.DUMMYFUNCTION("""COMPUTED_VALUE"""),13898.35)</f>
        <v>13898.35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IFERROR(__xludf.DUMMYFUNCTION("""COMPUTED_VALUE"""),14000.25134)</f>
        <v>14000.25134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IFERROR(__xludf.DUMMYFUNCTION("""COMPUTED_VALUE"""),13926.28212)</f>
        <v>13926.28212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IFERROR(__xludf.DUMMYFUNCTION("""COMPUTED_VALUE"""),13942.128)</f>
        <v>13942.128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IFERROR(__xludf.DUMMYFUNCTION("""COMPUTED_VALUE"""),13836.43447)</f>
        <v>13836.43447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IFERROR(__xludf.DUMMYFUNCTION("""COMPUTED_VALUE"""),13806.0)</f>
        <v>13806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IFERROR(__xludf.DUMMYFUNCTION("""COMPUTED_VALUE"""),13817.85913)</f>
        <v>13817.85913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IFERROR(__xludf.DUMMYFUNCTION("""COMPUTED_VALUE"""),13978.2257)</f>
        <v>13978.2257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IFERROR(__xludf.DUMMYFUNCTION("""COMPUTED_VALUE"""),13974.34312)</f>
        <v>13974.34312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IFERROR(__xludf.DUMMYFUNCTION("""COMPUTED_VALUE"""),13798.17472)</f>
        <v>13798.17472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IFERROR(__xludf.DUMMYFUNCTION("""COMPUTED_VALUE"""),13911.177)</f>
        <v>13911.177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IFERROR(__xludf.DUMMYFUNCTION("""COMPUTED_VALUE"""),13891.878)</f>
        <v>13891.878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IFERROR(__xludf.DUMMYFUNCTION("""COMPUTED_VALUE"""),13563.97164)</f>
        <v>13563.97164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IFERROR(__xludf.DUMMYFUNCTION("""COMPUTED_VALUE"""),13920.39428)</f>
        <v>13920.39428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IFERROR(__xludf.DUMMYFUNCTION("""COMPUTED_VALUE"""),13953.91256)</f>
        <v>13953.91256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IFERROR(__xludf.DUMMYFUNCTION("""COMPUTED_VALUE"""),13949.2)</f>
        <v>13949.2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IFERROR(__xludf.DUMMYFUNCTION("""COMPUTED_VALUE"""),13776.6486)</f>
        <v>13776.6486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IFERROR(__xludf.DUMMYFUNCTION("""COMPUTED_VALUE"""),13779.26988)</f>
        <v>13779.26988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IFERROR(__xludf.DUMMYFUNCTION("""COMPUTED_VALUE"""),13687.415)</f>
        <v>13687.415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IFERROR(__xludf.DUMMYFUNCTION("""COMPUTED_VALUE"""),13480.68008)</f>
        <v>13480.68008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IFERROR(__xludf.DUMMYFUNCTION("""COMPUTED_VALUE"""),13722.94021)</f>
        <v>13722.94021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IFERROR(__xludf.DUMMYFUNCTION("""COMPUTED_VALUE"""),13787.925)</f>
        <v>13787.925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IFERROR(__xludf.DUMMYFUNCTION("""COMPUTED_VALUE"""),13776.484)</f>
        <v>13776.484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IFERROR(__xludf.DUMMYFUNCTION("""COMPUTED_VALUE"""),13848.30034)</f>
        <v>13848.30034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IFERROR(__xludf.DUMMYFUNCTION("""COMPUTED_VALUE"""),13745.6424)</f>
        <v>13745.6424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IFERROR(__xludf.DUMMYFUNCTION("""COMPUTED_VALUE"""),13725.387)</f>
        <v>13725.387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IFERROR(__xludf.DUMMYFUNCTION("""COMPUTED_VALUE"""),13454.27685)</f>
        <v>13454.27685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IFERROR(__xludf.DUMMYFUNCTION("""COMPUTED_VALUE"""),13727.41088)</f>
        <v>13727.41088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IFERROR(__xludf.DUMMYFUNCTION("""COMPUTED_VALUE"""),13716.03103)</f>
        <v>13716.03103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IFERROR(__xludf.DUMMYFUNCTION("""COMPUTED_VALUE"""),13716.26717)</f>
        <v>13716.26717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IFERROR(__xludf.DUMMYFUNCTION("""COMPUTED_VALUE"""),13659.04059)</f>
        <v>13659.04059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IFERROR(__xludf.DUMMYFUNCTION("""COMPUTED_VALUE"""),13635.59975)</f>
        <v>13635.59975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IFERROR(__xludf.DUMMYFUNCTION("""COMPUTED_VALUE"""),13668.44096)</f>
        <v>13668.44096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IFERROR(__xludf.DUMMYFUNCTION("""COMPUTED_VALUE"""),13700.25514)</f>
        <v>13700.25514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IFERROR(__xludf.DUMMYFUNCTION("""COMPUTED_VALUE"""),13637.79614)</f>
        <v>13637.79614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IFERROR(__xludf.DUMMYFUNCTION("""COMPUTED_VALUE"""),13558.81828)</f>
        <v>13558.81828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IFERROR(__xludf.DUMMYFUNCTION("""COMPUTED_VALUE"""),13635.15762)</f>
        <v>13635.15762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IFERROR(__xludf.DUMMYFUNCTION("""COMPUTED_VALUE"""),13824.4095)</f>
        <v>13824.4095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IFERROR(__xludf.DUMMYFUNCTION("""COMPUTED_VALUE"""),13774.83327)</f>
        <v>13774.83327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IFERROR(__xludf.DUMMYFUNCTION("""COMPUTED_VALUE"""),13766.96814)</f>
        <v>13766.96814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IFERROR(__xludf.DUMMYFUNCTION("""COMPUTED_VALUE"""),13492.84608)</f>
        <v>13492.84608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IFERROR(__xludf.DUMMYFUNCTION("""COMPUTED_VALUE"""),13826.60785)</f>
        <v>13826.60785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IFERROR(__xludf.DUMMYFUNCTION("""COMPUTED_VALUE"""),13748.60289)</f>
        <v>13748.60289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IFERROR(__xludf.DUMMYFUNCTION("""COMPUTED_VALUE"""),13775.874)</f>
        <v>13775.874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IFERROR(__xludf.DUMMYFUNCTION("""COMPUTED_VALUE"""),13783.627)</f>
        <v>13783.627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IFERROR(__xludf.DUMMYFUNCTION("""COMPUTED_VALUE"""),13932.384)</f>
        <v>13932.384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IFERROR(__xludf.DUMMYFUNCTION("""COMPUTED_VALUE"""),13894.045)</f>
        <v>13894.045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IFERROR(__xludf.DUMMYFUNCTION("""COMPUTED_VALUE"""),13920.57964)</f>
        <v>13920.57964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IFERROR(__xludf.DUMMYFUNCTION("""COMPUTED_VALUE"""),13908.30814)</f>
        <v>13908.30814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IFERROR(__xludf.DUMMYFUNCTION("""COMPUTED_VALUE"""),13872.80571)</f>
        <v>13872.80571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IFERROR(__xludf.DUMMYFUNCTION("""COMPUTED_VALUE"""),13956.15)</f>
        <v>13956.15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IFERROR(__xludf.DUMMYFUNCTION("""COMPUTED_VALUE"""),13846.69536)</f>
        <v>13846.69536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IFERROR(__xludf.DUMMYFUNCTION("""COMPUTED_VALUE"""),13902.4073)</f>
        <v>13902.4073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IFERROR(__xludf.DUMMYFUNCTION("""COMPUTED_VALUE"""),13959.55)</f>
        <v>13959.55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IFERROR(__xludf.DUMMYFUNCTION("""COMPUTED_VALUE"""),13553.8704)</f>
        <v>13553.8704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IFERROR(__xludf.DUMMYFUNCTION("""COMPUTED_VALUE"""),13945.86796)</f>
        <v>13945.86796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IFERROR(__xludf.DUMMYFUNCTION("""COMPUTED_VALUE"""),13748.45472)</f>
        <v>13748.45472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IFERROR(__xludf.DUMMYFUNCTION("""COMPUTED_VALUE"""),13781.62162)</f>
        <v>13781.62162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IFERROR(__xludf.DUMMYFUNCTION("""COMPUTED_VALUE"""),13680.30164)</f>
        <v>13680.30164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IFERROR(__xludf.DUMMYFUNCTION("""COMPUTED_VALUE"""),13753.24692)</f>
        <v>13753.24692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IFERROR(__xludf.DUMMYFUNCTION("""COMPUTED_VALUE"""),13954.30006)</f>
        <v>13954.30006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IFERROR(__xludf.DUMMYFUNCTION("""COMPUTED_VALUE"""),13696.6313)</f>
        <v>13696.6313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IFERROR(__xludf.DUMMYFUNCTION("""COMPUTED_VALUE"""),13980.6964)</f>
        <v>13980.6964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IFERROR(__xludf.DUMMYFUNCTION("""COMPUTED_VALUE"""),13830.98992)</f>
        <v>13830.98992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IFERROR(__xludf.DUMMYFUNCTION("""COMPUTED_VALUE"""),13891.35384)</f>
        <v>13891.35384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IFERROR(__xludf.DUMMYFUNCTION("""COMPUTED_VALUE"""),13699.08348)</f>
        <v>13699.08348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IFERROR(__xludf.DUMMYFUNCTION("""COMPUTED_VALUE"""),13809.74297)</f>
        <v>13809.74297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IFERROR(__xludf.DUMMYFUNCTION("""COMPUTED_VALUE"""),13588.41822)</f>
        <v>13588.41822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IFERROR(__xludf.DUMMYFUNCTION("""COMPUTED_VALUE"""),13740.03106)</f>
        <v>13740.03106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IFERROR(__xludf.DUMMYFUNCTION("""COMPUTED_VALUE"""),13848.41454)</f>
        <v>13848.41454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IFERROR(__xludf.DUMMYFUNCTION("""COMPUTED_VALUE"""),14127.424)</f>
        <v>14127.424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IFERROR(__xludf.DUMMYFUNCTION("""COMPUTED_VALUE"""),14057.88952)</f>
        <v>14057.88952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IFERROR(__xludf.DUMMYFUNCTION("""COMPUTED_VALUE"""),13794.87006)</f>
        <v>13794.87006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IFERROR(__xludf.DUMMYFUNCTION("""COMPUTED_VALUE"""),14128.64439)</f>
        <v>14128.64439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IFERROR(__xludf.DUMMYFUNCTION("""COMPUTED_VALUE"""),14055.74365)</f>
        <v>14055.74365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IFERROR(__xludf.DUMMYFUNCTION("""COMPUTED_VALUE"""),14092.10565)</f>
        <v>14092.10565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IFERROR(__xludf.DUMMYFUNCTION("""COMPUTED_VALUE"""),13992.93)</f>
        <v>13992.93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IFERROR(__xludf.DUMMYFUNCTION("""COMPUTED_VALUE"""),13999.596)</f>
        <v>13999.596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IFERROR(__xludf.DUMMYFUNCTION("""COMPUTED_VALUE"""),13961.7504)</f>
        <v>13961.7504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IFERROR(__xludf.DUMMYFUNCTION("""COMPUTED_VALUE"""),13641.37848)</f>
        <v>13641.37848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IFERROR(__xludf.DUMMYFUNCTION("""COMPUTED_VALUE"""),13947.10677)</f>
        <v>13947.10677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IFERROR(__xludf.DUMMYFUNCTION("""COMPUTED_VALUE"""),13982.172)</f>
        <v>13982.172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IFERROR(__xludf.DUMMYFUNCTION("""COMPUTED_VALUE"""),13912.12168)</f>
        <v>13912.12168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IFERROR(__xludf.DUMMYFUNCTION("""COMPUTED_VALUE"""),13863.48386)</f>
        <v>13863.48386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IFERROR(__xludf.DUMMYFUNCTION("""COMPUTED_VALUE"""),13739.367)</f>
        <v>13739.367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IFERROR(__xludf.DUMMYFUNCTION("""COMPUTED_VALUE"""),13764.9)</f>
        <v>13764.9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IFERROR(__xludf.DUMMYFUNCTION("""COMPUTED_VALUE"""),13606.1988)</f>
        <v>13606.1988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IFERROR(__xludf.DUMMYFUNCTION("""COMPUTED_VALUE"""),13879.82673)</f>
        <v>13879.82673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IFERROR(__xludf.DUMMYFUNCTION("""COMPUTED_VALUE"""),13487.6432)</f>
        <v>13487.6432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IFERROR(__xludf.DUMMYFUNCTION("""COMPUTED_VALUE"""),13637.67877)</f>
        <v>13637.67877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IFERROR(__xludf.DUMMYFUNCTION("""COMPUTED_VALUE"""),13641.40515)</f>
        <v>13641.40515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IFERROR(__xludf.DUMMYFUNCTION("""COMPUTED_VALUE"""),13685.75789)</f>
        <v>13685.75789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IFERROR(__xludf.DUMMYFUNCTION("""COMPUTED_VALUE"""),13607.36661)</f>
        <v>13607.36661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IFERROR(__xludf.DUMMYFUNCTION("""COMPUTED_VALUE"""),13618.02418)</f>
        <v>13618.02418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IFERROR(__xludf.DUMMYFUNCTION("""COMPUTED_VALUE"""),13459.3445)</f>
        <v>13459.3445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IFERROR(__xludf.DUMMYFUNCTION("""COMPUTED_VALUE"""),13592.3246)</f>
        <v>13592.3246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IFERROR(__xludf.DUMMYFUNCTION("""COMPUTED_VALUE"""),13622.3073)</f>
        <v>13622.3073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IFERROR(__xludf.DUMMYFUNCTION("""COMPUTED_VALUE"""),13747.87317)</f>
        <v>13747.87317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IFERROR(__xludf.DUMMYFUNCTION("""COMPUTED_VALUE"""),13910.2919)</f>
        <v>13910.2919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IFERROR(__xludf.DUMMYFUNCTION("""COMPUTED_VALUE"""),13835.47357)</f>
        <v>13835.47357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IFERROR(__xludf.DUMMYFUNCTION("""COMPUTED_VALUE"""),13901.3205)</f>
        <v>13901.3205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IFERROR(__xludf.DUMMYFUNCTION("""COMPUTED_VALUE"""),13779.37789)</f>
        <v>13779.37789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IFERROR(__xludf.DUMMYFUNCTION("""COMPUTED_VALUE"""),13811.55542)</f>
        <v>13811.55542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IFERROR(__xludf.DUMMYFUNCTION("""COMPUTED_VALUE"""),13864.13964)</f>
        <v>13864.13964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IFERROR(__xludf.DUMMYFUNCTION("""COMPUTED_VALUE"""),13709.58363)</f>
        <v>13709.58363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IFERROR(__xludf.DUMMYFUNCTION("""COMPUTED_VALUE"""),13458.05098)</f>
        <v>13458.05098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IFERROR(__xludf.DUMMYFUNCTION("""COMPUTED_VALUE"""),13522.767)</f>
        <v>13522.767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IFERROR(__xludf.DUMMYFUNCTION("""COMPUTED_VALUE"""),13262.75312)</f>
        <v>13262.75312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IFERROR(__xludf.DUMMYFUNCTION("""COMPUTED_VALUE"""),13601.81074)</f>
        <v>13601.81074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IFERROR(__xludf.DUMMYFUNCTION("""COMPUTED_VALUE"""),14118.2196)</f>
        <v>14118.2196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IFERROR(__xludf.DUMMYFUNCTION("""COMPUTED_VALUE"""),13923.77982)</f>
        <v>13923.77982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IFERROR(__xludf.DUMMYFUNCTION("""COMPUTED_VALUE"""),13844.31913)</f>
        <v>13844.31913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IFERROR(__xludf.DUMMYFUNCTION("""COMPUTED_VALUE"""),13961.5797)</f>
        <v>13961.5797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IFERROR(__xludf.DUMMYFUNCTION("""COMPUTED_VALUE"""),13695.62109)</f>
        <v>13695.62109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IFERROR(__xludf.DUMMYFUNCTION("""COMPUTED_VALUE"""),14114.13041)</f>
        <v>14114.13041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IFERROR(__xludf.DUMMYFUNCTION("""COMPUTED_VALUE"""),13692.98411)</f>
        <v>13692.98411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IFERROR(__xludf.DUMMYFUNCTION("""COMPUTED_VALUE"""),13728.76535)</f>
        <v>13728.76535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IFERROR(__xludf.DUMMYFUNCTION("""COMPUTED_VALUE"""),13333.14702)</f>
        <v>13333.14702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IFERROR(__xludf.DUMMYFUNCTION("""COMPUTED_VALUE"""),13847.33543)</f>
        <v>13847.33543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IFERROR(__xludf.DUMMYFUNCTION("""COMPUTED_VALUE"""),13719.5814)</f>
        <v>13719.5814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IFERROR(__xludf.DUMMYFUNCTION("""COMPUTED_VALUE"""),13842.65271)</f>
        <v>13842.65271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IFERROR(__xludf.DUMMYFUNCTION("""COMPUTED_VALUE"""),14103.35427)</f>
        <v>14103.35427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IFERROR(__xludf.DUMMYFUNCTION("""COMPUTED_VALUE"""),13816.8501)</f>
        <v>13816.8501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IFERROR(__xludf.DUMMYFUNCTION("""COMPUTED_VALUE"""),13921.13047)</f>
        <v>13921.13047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IFERROR(__xludf.DUMMYFUNCTION("""COMPUTED_VALUE"""),13584.65997)</f>
        <v>13584.65997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IFERROR(__xludf.DUMMYFUNCTION("""COMPUTED_VALUE"""),13948.06272)</f>
        <v>13948.06272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IFERROR(__xludf.DUMMYFUNCTION("""COMPUTED_VALUE"""),13962.18829)</f>
        <v>13962.18829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IFERROR(__xludf.DUMMYFUNCTION("""COMPUTED_VALUE"""),13996.77964)</f>
        <v>13996.77964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IFERROR(__xludf.DUMMYFUNCTION("""COMPUTED_VALUE"""),13651.7268)</f>
        <v>13651.7268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IFERROR(__xludf.DUMMYFUNCTION("""COMPUTED_VALUE"""),14064.88748)</f>
        <v>14064.88748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IFERROR(__xludf.DUMMYFUNCTION("""COMPUTED_VALUE"""),13978.32282)</f>
        <v>13978.32282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IFERROR(__xludf.DUMMYFUNCTION("""COMPUTED_VALUE"""),13945.152)</f>
        <v>13945.152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IFERROR(__xludf.DUMMYFUNCTION("""COMPUTED_VALUE"""),13944.59384)</f>
        <v>13944.59384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IFERROR(__xludf.DUMMYFUNCTION("""COMPUTED_VALUE"""),13936.36104)</f>
        <v>13936.36104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IFERROR(__xludf.DUMMYFUNCTION("""COMPUTED_VALUE"""),14113.98)</f>
        <v>14113.98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IFERROR(__xludf.DUMMYFUNCTION("""COMPUTED_VALUE"""),13640.19308)</f>
        <v>13640.19308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IFERROR(__xludf.DUMMYFUNCTION("""COMPUTED_VALUE"""),14122.7603)</f>
        <v>14122.7603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IFERROR(__xludf.DUMMYFUNCTION("""COMPUTED_VALUE"""),14138.61603)</f>
        <v>14138.61603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IFERROR(__xludf.DUMMYFUNCTION("""COMPUTED_VALUE"""),14155.49502)</f>
        <v>14155.49502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IFERROR(__xludf.DUMMYFUNCTION("""COMPUTED_VALUE"""),14163.00279)</f>
        <v>14163.00279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IFERROR(__xludf.DUMMYFUNCTION("""COMPUTED_VALUE"""),14241.03027)</f>
        <v>14241.03027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IFERROR(__xludf.DUMMYFUNCTION("""COMPUTED_VALUE"""),14206.9814)</f>
        <v>14206.9814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IFERROR(__xludf.DUMMYFUNCTION("""COMPUTED_VALUE"""),14218.69464)</f>
        <v>14218.69464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IFERROR(__xludf.DUMMYFUNCTION("""COMPUTED_VALUE"""),14220.6526)</f>
        <v>14220.6526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IFERROR(__xludf.DUMMYFUNCTION("""COMPUTED_VALUE"""),14185.38688)</f>
        <v>14185.38688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IFERROR(__xludf.DUMMYFUNCTION("""COMPUTED_VALUE"""),14134.53097)</f>
        <v>14134.53097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IFERROR(__xludf.DUMMYFUNCTION("""COMPUTED_VALUE"""),14161.90377)</f>
        <v>14161.90377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IFERROR(__xludf.DUMMYFUNCTION("""COMPUTED_VALUE"""),14341.0626)</f>
        <v>14341.0626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IFERROR(__xludf.DUMMYFUNCTION("""COMPUTED_VALUE"""),14337.9405)</f>
        <v>14337.9405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IFERROR(__xludf.DUMMYFUNCTION("""COMPUTED_VALUE"""),14152.37824)</f>
        <v>14152.37824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IFERROR(__xludf.DUMMYFUNCTION("""COMPUTED_VALUE"""),14341.39988)</f>
        <v>14341.39988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IFERROR(__xludf.DUMMYFUNCTION("""COMPUTED_VALUE"""),14378.96321)</f>
        <v>14378.96321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IFERROR(__xludf.DUMMYFUNCTION("""COMPUTED_VALUE"""),14349.584)</f>
        <v>14349.584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IFERROR(__xludf.DUMMYFUNCTION("""COMPUTED_VALUE"""),14146.22183)</f>
        <v>14146.22183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IFERROR(__xludf.DUMMYFUNCTION("""COMPUTED_VALUE"""),14293.61532)</f>
        <v>14293.61532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IFERROR(__xludf.DUMMYFUNCTION("""COMPUTED_VALUE"""),14383.19976)</f>
        <v>14383.19976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IFERROR(__xludf.DUMMYFUNCTION("""COMPUTED_VALUE"""),14408.60138)</f>
        <v>14408.60138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IFERROR(__xludf.DUMMYFUNCTION("""COMPUTED_VALUE"""),14413.28924)</f>
        <v>14413.28924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IFERROR(__xludf.DUMMYFUNCTION("""COMPUTED_VALUE"""),14248.89153)</f>
        <v>14248.89153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IFERROR(__xludf.DUMMYFUNCTION("""COMPUTED_VALUE"""),14213.81999)</f>
        <v>14213.81999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IFERROR(__xludf.DUMMYFUNCTION("""COMPUTED_VALUE"""),14125.2025)</f>
        <v>14125.2025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IFERROR(__xludf.DUMMYFUNCTION("""COMPUTED_VALUE"""),14130.20796)</f>
        <v>14130.20796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IFERROR(__xludf.DUMMYFUNCTION("""COMPUTED_VALUE"""),14210.1666)</f>
        <v>14210.1666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IFERROR(__xludf.DUMMYFUNCTION("""COMPUTED_VALUE"""),14043.78337)</f>
        <v>14043.78337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IFERROR(__xludf.DUMMYFUNCTION("""COMPUTED_VALUE"""),14226.26514)</f>
        <v>14226.26514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IFERROR(__xludf.DUMMYFUNCTION("""COMPUTED_VALUE"""),14109.60683)</f>
        <v>14109.60683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IFERROR(__xludf.DUMMYFUNCTION("""COMPUTED_VALUE"""),14150.82427)</f>
        <v>14150.82427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IFERROR(__xludf.DUMMYFUNCTION("""COMPUTED_VALUE"""),14002.88502)</f>
        <v>14002.88502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IFERROR(__xludf.DUMMYFUNCTION("""COMPUTED_VALUE"""),13867.61114)</f>
        <v>13867.61114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IFERROR(__xludf.DUMMYFUNCTION("""COMPUTED_VALUE"""),13934.36242)</f>
        <v>13934.36242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IFERROR(__xludf.DUMMYFUNCTION("""COMPUTED_VALUE"""),13968.50105)</f>
        <v>13968.50105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IFERROR(__xludf.DUMMYFUNCTION("""COMPUTED_VALUE"""),14016.1571)</f>
        <v>14016.1571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IFERROR(__xludf.DUMMYFUNCTION("""COMPUTED_VALUE"""),14123.61502)</f>
        <v>14123.61502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IFERROR(__xludf.DUMMYFUNCTION("""COMPUTED_VALUE"""),14222.78131)</f>
        <v>14222.78131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IFERROR(__xludf.DUMMYFUNCTION("""COMPUTED_VALUE"""),14251.41743)</f>
        <v>14251.41743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IFERROR(__xludf.DUMMYFUNCTION("""COMPUTED_VALUE"""),14104.0816)</f>
        <v>14104.0816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IFERROR(__xludf.DUMMYFUNCTION("""COMPUTED_VALUE"""),14057.991)</f>
        <v>14057.991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IFERROR(__xludf.DUMMYFUNCTION("""COMPUTED_VALUE"""),13893.98499)</f>
        <v>13893.98499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IFERROR(__xludf.DUMMYFUNCTION("""COMPUTED_VALUE"""),14067.82947)</f>
        <v>14067.82947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IFERROR(__xludf.DUMMYFUNCTION("""COMPUTED_VALUE"""),14098.62625)</f>
        <v>14098.62625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IFERROR(__xludf.DUMMYFUNCTION("""COMPUTED_VALUE"""),14098.94912)</f>
        <v>14098.94912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IFERROR(__xludf.DUMMYFUNCTION("""COMPUTED_VALUE"""),14172.11526)</f>
        <v>14172.11526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IFERROR(__xludf.DUMMYFUNCTION("""COMPUTED_VALUE"""),14063.24452)</f>
        <v>14063.24452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IFERROR(__xludf.DUMMYFUNCTION("""COMPUTED_VALUE"""),14178.635)</f>
        <v>14178.635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IFERROR(__xludf.DUMMYFUNCTION("""COMPUTED_VALUE"""),13920.99562)</f>
        <v>13920.99562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IFERROR(__xludf.DUMMYFUNCTION("""COMPUTED_VALUE"""),14241.12818)</f>
        <v>14241.12818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IFERROR(__xludf.DUMMYFUNCTION("""COMPUTED_VALUE"""),14098.9171)</f>
        <v>14098.9171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IFERROR(__xludf.DUMMYFUNCTION("""COMPUTED_VALUE"""),14098.24112)</f>
        <v>14098.24112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IFERROR(__xludf.DUMMYFUNCTION("""COMPUTED_VALUE"""),14077.336)</f>
        <v>14077.336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IFERROR(__xludf.DUMMYFUNCTION("""COMPUTED_VALUE"""),14106.6934)</f>
        <v>14106.6934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IFERROR(__xludf.DUMMYFUNCTION("""COMPUTED_VALUE"""),14102.13856)</f>
        <v>14102.13856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IFERROR(__xludf.DUMMYFUNCTION("""COMPUTED_VALUE"""),14085.2992)</f>
        <v>14085.2992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IFERROR(__xludf.DUMMYFUNCTION("""COMPUTED_VALUE"""),13992.70635)</f>
        <v>13992.70635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IFERROR(__xludf.DUMMYFUNCTION("""COMPUTED_VALUE"""),14133.54501)</f>
        <v>14133.54501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IFERROR(__xludf.DUMMYFUNCTION("""COMPUTED_VALUE"""),14174.87492)</f>
        <v>14174.87492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IFERROR(__xludf.DUMMYFUNCTION("""COMPUTED_VALUE"""),14168.45145)</f>
        <v>14168.45145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IFERROR(__xludf.DUMMYFUNCTION("""COMPUTED_VALUE"""),14321.46375)</f>
        <v>14321.46375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IFERROR(__xludf.DUMMYFUNCTION("""COMPUTED_VALUE"""),14088.84)</f>
        <v>14088.84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IFERROR(__xludf.DUMMYFUNCTION("""COMPUTED_VALUE"""),14109.84624)</f>
        <v>14109.84624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IFERROR(__xludf.DUMMYFUNCTION("""COMPUTED_VALUE"""),14188.35293)</f>
        <v>14188.35293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IFERROR(__xludf.DUMMYFUNCTION("""COMPUTED_VALUE"""),14197.27258)</f>
        <v>14197.27258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IFERROR(__xludf.DUMMYFUNCTION("""COMPUTED_VALUE"""),14192.9044)</f>
        <v>14192.9044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IFERROR(__xludf.DUMMYFUNCTION("""COMPUTED_VALUE"""),13965.45804)</f>
        <v>13965.45804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IFERROR(__xludf.DUMMYFUNCTION("""COMPUTED_VALUE"""),13643.47584)</f>
        <v>13643.47584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IFERROR(__xludf.DUMMYFUNCTION("""COMPUTED_VALUE"""),14062.026)</f>
        <v>14062.026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IFERROR(__xludf.DUMMYFUNCTION("""COMPUTED_VALUE"""),14054.2655)</f>
        <v>14054.2655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IFERROR(__xludf.DUMMYFUNCTION("""COMPUTED_VALUE"""),14135.70108)</f>
        <v>14135.70108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IFERROR(__xludf.DUMMYFUNCTION("""COMPUTED_VALUE"""),13814.2457)</f>
        <v>13814.2457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IFERROR(__xludf.DUMMYFUNCTION("""COMPUTED_VALUE"""),14256.4069)</f>
        <v>14256.4069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IFERROR(__xludf.DUMMYFUNCTION("""COMPUTED_VALUE"""),14227.576)</f>
        <v>14227.576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IFERROR(__xludf.DUMMYFUNCTION("""COMPUTED_VALUE"""),14115.034)</f>
        <v>14115.034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IFERROR(__xludf.DUMMYFUNCTION("""COMPUTED_VALUE"""),14005.872)</f>
        <v>14005.872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IFERROR(__xludf.DUMMYFUNCTION("""COMPUTED_VALUE"""),13975.29952)</f>
        <v>13975.29952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IFERROR(__xludf.DUMMYFUNCTION("""COMPUTED_VALUE"""),14052.87103)</f>
        <v>14052.87103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IFERROR(__xludf.DUMMYFUNCTION("""COMPUTED_VALUE"""),14137.06366)</f>
        <v>14137.06366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IFERROR(__xludf.DUMMYFUNCTION("""COMPUTED_VALUE"""),14155.5455)</f>
        <v>14155.5455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IFERROR(__xludf.DUMMYFUNCTION("""COMPUTED_VALUE"""),14088.27)</f>
        <v>14088.27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IFERROR(__xludf.DUMMYFUNCTION("""COMPUTED_VALUE"""),14035.551)</f>
        <v>14035.551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IFERROR(__xludf.DUMMYFUNCTION("""COMPUTED_VALUE"""),13903.8648)</f>
        <v>13903.8648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IFERROR(__xludf.DUMMYFUNCTION("""COMPUTED_VALUE"""),13849.12642)</f>
        <v>13849.12642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IFERROR(__xludf.DUMMYFUNCTION("""COMPUTED_VALUE"""),13947.1281)</f>
        <v>13947.1281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IFERROR(__xludf.DUMMYFUNCTION("""COMPUTED_VALUE"""),13940.13681)</f>
        <v>13940.13681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IFERROR(__xludf.DUMMYFUNCTION("""COMPUTED_VALUE"""),13909.2985)</f>
        <v>13909.2985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IFERROR(__xludf.DUMMYFUNCTION("""COMPUTED_VALUE"""),13899.4983)</f>
        <v>13899.4983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IFERROR(__xludf.DUMMYFUNCTION("""COMPUTED_VALUE"""),13847.7545)</f>
        <v>13847.7545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IFERROR(__xludf.DUMMYFUNCTION("""COMPUTED_VALUE"""),13926.2708)</f>
        <v>13926.2708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IFERROR(__xludf.DUMMYFUNCTION("""COMPUTED_VALUE"""),13860.788)</f>
        <v>13860.788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IFERROR(__xludf.DUMMYFUNCTION("""COMPUTED_VALUE"""),13939.90896)</f>
        <v>13939.90896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IFERROR(__xludf.DUMMYFUNCTION("""COMPUTED_VALUE"""),13893.792)</f>
        <v>13893.792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IFERROR(__xludf.DUMMYFUNCTION("""COMPUTED_VALUE"""),13994.1876)</f>
        <v>13994.1876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IFERROR(__xludf.DUMMYFUNCTION("""COMPUTED_VALUE"""),14170.52442)</f>
        <v>14170.52442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IFERROR(__xludf.DUMMYFUNCTION("""COMPUTED_VALUE"""),14072.86998)</f>
        <v>14072.86998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IFERROR(__xludf.DUMMYFUNCTION("""COMPUTED_VALUE"""),14119.49744)</f>
        <v>14119.49744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IFERROR(__xludf.DUMMYFUNCTION("""COMPUTED_VALUE"""),14068.9632)</f>
        <v>14068.9632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IFERROR(__xludf.DUMMYFUNCTION("""COMPUTED_VALUE"""),14149.4148)</f>
        <v>14149.4148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IFERROR(__xludf.DUMMYFUNCTION("""COMPUTED_VALUE"""),14088.7316)</f>
        <v>14088.7316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IFERROR(__xludf.DUMMYFUNCTION("""COMPUTED_VALUE"""),14150.98345)</f>
        <v>14150.98345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IFERROR(__xludf.DUMMYFUNCTION("""COMPUTED_VALUE"""),14225.5772)</f>
        <v>14225.5772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IFERROR(__xludf.DUMMYFUNCTION("""COMPUTED_VALUE"""),14155.79988)</f>
        <v>14155.79988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IFERROR(__xludf.DUMMYFUNCTION("""COMPUTED_VALUE"""),14162.65028)</f>
        <v>14162.65028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IFERROR(__xludf.DUMMYFUNCTION("""COMPUTED_VALUE"""),14119.79015)</f>
        <v>14119.79015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IFERROR(__xludf.DUMMYFUNCTION("""COMPUTED_VALUE"""),14165.91791)</f>
        <v>14165.91791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IFERROR(__xludf.DUMMYFUNCTION("""COMPUTED_VALUE"""),14203.704)</f>
        <v>14203.704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IFERROR(__xludf.DUMMYFUNCTION("""COMPUTED_VALUE"""),14188.877)</f>
        <v>14188.877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IFERROR(__xludf.DUMMYFUNCTION("""COMPUTED_VALUE"""),13997.31952)</f>
        <v>13997.31952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IFERROR(__xludf.DUMMYFUNCTION("""COMPUTED_VALUE"""),14099.844)</f>
        <v>14099.844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IFERROR(__xludf.DUMMYFUNCTION("""COMPUTED_VALUE"""),14122.5645)</f>
        <v>14122.5645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IFERROR(__xludf.DUMMYFUNCTION("""COMPUTED_VALUE"""),14124.3575)</f>
        <v>14124.3575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IFERROR(__xludf.DUMMYFUNCTION("""COMPUTED_VALUE"""),14141.391)</f>
        <v>14141.391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IFERROR(__xludf.DUMMYFUNCTION("""COMPUTED_VALUE"""),14101.4037)</f>
        <v>14101.4037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IFERROR(__xludf.DUMMYFUNCTION("""COMPUTED_VALUE"""),14118.7618)</f>
        <v>14118.7618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IFERROR(__xludf.DUMMYFUNCTION("""COMPUTED_VALUE"""),14007.598)</f>
        <v>14007.598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IFERROR(__xludf.DUMMYFUNCTION("""COMPUTED_VALUE"""),14191.094)</f>
        <v>14191.094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IFERROR(__xludf.DUMMYFUNCTION("""COMPUTED_VALUE"""),14249.9484)</f>
        <v>14249.9484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IFERROR(__xludf.DUMMYFUNCTION("""COMPUTED_VALUE"""),14220.4056)</f>
        <v>14220.4056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IFERROR(__xludf.DUMMYFUNCTION("""COMPUTED_VALUE"""),14258.13504)</f>
        <v>14258.13504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IFERROR(__xludf.DUMMYFUNCTION("""COMPUTED_VALUE"""),14196.65984)</f>
        <v>14196.65984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IFERROR(__xludf.DUMMYFUNCTION("""COMPUTED_VALUE"""),14256.7446)</f>
        <v>14256.7446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IFERROR(__xludf.DUMMYFUNCTION("""COMPUTED_VALUE"""),14162.968)</f>
        <v>14162.968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IFERROR(__xludf.DUMMYFUNCTION("""COMPUTED_VALUE"""),14230.768)</f>
        <v>14230.768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IFERROR(__xludf.DUMMYFUNCTION("""COMPUTED_VALUE"""),14349.192)</f>
        <v>14349.192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IFERROR(__xludf.DUMMYFUNCTION("""COMPUTED_VALUE"""),14317.97248)</f>
        <v>14317.97248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IFERROR(__xludf.DUMMYFUNCTION("""COMPUTED_VALUE"""),14399.81845)</f>
        <v>14399.81845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IFERROR(__xludf.DUMMYFUNCTION("""COMPUTED_VALUE"""),14412.3045)</f>
        <v>14412.3045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IFERROR(__xludf.DUMMYFUNCTION("""COMPUTED_VALUE"""),14330.557)</f>
        <v>14330.557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IFERROR(__xludf.DUMMYFUNCTION("""COMPUTED_VALUE"""),14342.2081)</f>
        <v>14342.2081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IFERROR(__xludf.DUMMYFUNCTION("""COMPUTED_VALUE"""),14445.4415)</f>
        <v>14445.4415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IFERROR(__xludf.DUMMYFUNCTION("""COMPUTED_VALUE"""),14336.7815)</f>
        <v>14336.7815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IFERROR(__xludf.DUMMYFUNCTION("""COMPUTED_VALUE"""),14337.687)</f>
        <v>14337.687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IFERROR(__xludf.DUMMYFUNCTION("""COMPUTED_VALUE"""),14337.687)</f>
        <v>14337.687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IFERROR(__xludf.DUMMYFUNCTION("""COMPUTED_VALUE"""),14464.1536)</f>
        <v>14464.1536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IFERROR(__xludf.DUMMYFUNCTION("""COMPUTED_VALUE"""),14328.78)</f>
        <v>14328.78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IFERROR(__xludf.DUMMYFUNCTION("""COMPUTED_VALUE"""),14292.522)</f>
        <v>14292.522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IFERROR(__xludf.DUMMYFUNCTION("""COMPUTED_VALUE"""),14405.931)</f>
        <v>14405.931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IFERROR(__xludf.DUMMYFUNCTION("""COMPUTED_VALUE"""),14265.714)</f>
        <v>14265.714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IFERROR(__xludf.DUMMYFUNCTION("""COMPUTED_VALUE"""),14334.85688)</f>
        <v>14334.85688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IFERROR(__xludf.DUMMYFUNCTION("""COMPUTED_VALUE"""),14310.54915)</f>
        <v>14310.54915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IFERROR(__xludf.DUMMYFUNCTION("""COMPUTED_VALUE"""),14294.0583)</f>
        <v>14294.0583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IFERROR(__xludf.DUMMYFUNCTION("""COMPUTED_VALUE"""),14339.7233)</f>
        <v>14339.7233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IFERROR(__xludf.DUMMYFUNCTION("""COMPUTED_VALUE"""),14341.0113)</f>
        <v>14341.0113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IFERROR(__xludf.DUMMYFUNCTION("""COMPUTED_VALUE"""),14387.7426)</f>
        <v>14387.7426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IFERROR(__xludf.DUMMYFUNCTION("""COMPUTED_VALUE"""),14415.31)</f>
        <v>14415.31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IFERROR(__xludf.DUMMYFUNCTION("""COMPUTED_VALUE"""),14392.3824)</f>
        <v>14392.3824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IFERROR(__xludf.DUMMYFUNCTION("""COMPUTED_VALUE"""),14445.168)</f>
        <v>14445.168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IFERROR(__xludf.DUMMYFUNCTION("""COMPUTED_VALUE"""),14473.057)</f>
        <v>14473.057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IFERROR(__xludf.DUMMYFUNCTION("""COMPUTED_VALUE"""),14503.97)</f>
        <v>14503.97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IFERROR(__xludf.DUMMYFUNCTION("""COMPUTED_VALUE"""),14511.286)</f>
        <v>14511.286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IFERROR(__xludf.DUMMYFUNCTION("""COMPUTED_VALUE"""),14590.65)</f>
        <v>14590.65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IFERROR(__xludf.DUMMYFUNCTION("""COMPUTED_VALUE"""),14511.286)</f>
        <v>14511.286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IFERROR(__xludf.DUMMYFUNCTION("""COMPUTED_VALUE"""),14211.48295)</f>
        <v>14211.48295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IFERROR(__xludf.DUMMYFUNCTION("""COMPUTED_VALUE"""),14524.71)</f>
        <v>14524.71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IFERROR(__xludf.DUMMYFUNCTION("""COMPUTED_VALUE"""),14600.655)</f>
        <v>14600.655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IFERROR(__xludf.DUMMYFUNCTION("""COMPUTED_VALUE"""),14592.6945)</f>
        <v>14592.6945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IFERROR(__xludf.DUMMYFUNCTION("""COMPUTED_VALUE"""),14535.69)</f>
        <v>14535.69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IFERROR(__xludf.DUMMYFUNCTION("""COMPUTED_VALUE"""),14598.825)</f>
        <v>14598.825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IFERROR(__xludf.DUMMYFUNCTION("""COMPUTED_VALUE"""),14601.12)</f>
        <v>14601.12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IFERROR(__xludf.DUMMYFUNCTION("""COMPUTED_VALUE"""),14588.312)</f>
        <v>14588.312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IFERROR(__xludf.DUMMYFUNCTION("""COMPUTED_VALUE"""),14682.85841)</f>
        <v>14682.85841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IFERROR(__xludf.DUMMYFUNCTION("""COMPUTED_VALUE"""),14616.154)</f>
        <v>14616.154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IFERROR(__xludf.DUMMYFUNCTION("""COMPUTED_VALUE"""),14527.1536)</f>
        <v>14527.1536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IFERROR(__xludf.DUMMYFUNCTION("""COMPUTED_VALUE"""),14514.1636)</f>
        <v>14514.1636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IFERROR(__xludf.DUMMYFUNCTION("""COMPUTED_VALUE"""),14375.1955)</f>
        <v>14375.1955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IFERROR(__xludf.DUMMYFUNCTION("""COMPUTED_VALUE"""),14604.23874)</f>
        <v>14604.23874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IFERROR(__xludf.DUMMYFUNCTION("""COMPUTED_VALUE"""),14422.12)</f>
        <v>14422.12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IFERROR(__xludf.DUMMYFUNCTION("""COMPUTED_VALUE"""),14420.6205)</f>
        <v>14420.6205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IFERROR(__xludf.DUMMYFUNCTION("""COMPUTED_VALUE"""),14553.63045)</f>
        <v>14553.63045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IFERROR(__xludf.DUMMYFUNCTION("""COMPUTED_VALUE"""),14510.314)</f>
        <v>14510.314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IFERROR(__xludf.DUMMYFUNCTION("""COMPUTED_VALUE"""),14562.4633)</f>
        <v>14562.4633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IFERROR(__xludf.DUMMYFUNCTION("""COMPUTED_VALUE"""),14597.2295)</f>
        <v>14597.2295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IFERROR(__xludf.DUMMYFUNCTION("""COMPUTED_VALUE"""),14443.629)</f>
        <v>14443.629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IFERROR(__xludf.DUMMYFUNCTION("""COMPUTED_VALUE"""),14303.07498)</f>
        <v>14303.07498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IFERROR(__xludf.DUMMYFUNCTION("""COMPUTED_VALUE"""),14486.82075)</f>
        <v>14486.82075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IFERROR(__xludf.DUMMYFUNCTION("""COMPUTED_VALUE"""),14558.281)</f>
        <v>14558.281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IFERROR(__xludf.DUMMYFUNCTION("""COMPUTED_VALUE"""),14585.746)</f>
        <v>14585.746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IFERROR(__xludf.DUMMYFUNCTION("""COMPUTED_VALUE"""),14661.7325)</f>
        <v>14661.7325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IFERROR(__xludf.DUMMYFUNCTION("""COMPUTED_VALUE"""),14697.57086)</f>
        <v>14697.57086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IFERROR(__xludf.DUMMYFUNCTION("""COMPUTED_VALUE"""),14758.0788)</f>
        <v>14758.0788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IFERROR(__xludf.DUMMYFUNCTION("""COMPUTED_VALUE"""),14833.48663)</f>
        <v>14833.48663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IFERROR(__xludf.DUMMYFUNCTION("""COMPUTED_VALUE"""),14744.39912)</f>
        <v>14744.39912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IFERROR(__xludf.DUMMYFUNCTION("""COMPUTED_VALUE"""),14772.5886)</f>
        <v>14772.5886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IFERROR(__xludf.DUMMYFUNCTION("""COMPUTED_VALUE"""),14791.8309)</f>
        <v>14791.8309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IFERROR(__xludf.DUMMYFUNCTION("""COMPUTED_VALUE"""),14809.2406)</f>
        <v>14809.2406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IFERROR(__xludf.DUMMYFUNCTION("""COMPUTED_VALUE"""),14808.21524)</f>
        <v>14808.21524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IFERROR(__xludf.DUMMYFUNCTION("""COMPUTED_VALUE"""),14945.82717)</f>
        <v>14945.82717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IFERROR(__xludf.DUMMYFUNCTION("""COMPUTED_VALUE"""),14941.1757)</f>
        <v>14941.1757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IFERROR(__xludf.DUMMYFUNCTION("""COMPUTED_VALUE"""),14947.66496)</f>
        <v>14947.66496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IFERROR(__xludf.DUMMYFUNCTION("""COMPUTED_VALUE"""),14892.0686)</f>
        <v>14892.0686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IFERROR(__xludf.DUMMYFUNCTION("""COMPUTED_VALUE"""),14843.634)</f>
        <v>14843.634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IFERROR(__xludf.DUMMYFUNCTION("""COMPUTED_VALUE"""),14828.97)</f>
        <v>14828.97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IFERROR(__xludf.DUMMYFUNCTION("""COMPUTED_VALUE"""),14838.09327)</f>
        <v>14838.09327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IFERROR(__xludf.DUMMYFUNCTION("""COMPUTED_VALUE"""),14611.90471)</f>
        <v>14611.90471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IFERROR(__xludf.DUMMYFUNCTION("""COMPUTED_VALUE"""),14589.255)</f>
        <v>14589.255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IFERROR(__xludf.DUMMYFUNCTION("""COMPUTED_VALUE"""),14848.064)</f>
        <v>14848.064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IFERROR(__xludf.DUMMYFUNCTION("""COMPUTED_VALUE"""),14801.2568)</f>
        <v>14801.2568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IFERROR(__xludf.DUMMYFUNCTION("""COMPUTED_VALUE"""),14860.569)</f>
        <v>14860.569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IFERROR(__xludf.DUMMYFUNCTION("""COMPUTED_VALUE"""),14793.961)</f>
        <v>14793.961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IFERROR(__xludf.DUMMYFUNCTION("""COMPUTED_VALUE"""),14753.4078)</f>
        <v>14753.4078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IFERROR(__xludf.DUMMYFUNCTION("""COMPUTED_VALUE"""),14751.4565)</f>
        <v>14751.4565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IFERROR(__xludf.DUMMYFUNCTION("""COMPUTED_VALUE"""),14728.155)</f>
        <v>14728.155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IFERROR(__xludf.DUMMYFUNCTION("""COMPUTED_VALUE"""),14872.2562)</f>
        <v>14872.2562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IFERROR(__xludf.DUMMYFUNCTION("""COMPUTED_VALUE"""),14771.562)</f>
        <v>14771.562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IFERROR(__xludf.DUMMYFUNCTION("""COMPUTED_VALUE"""),14700.4294)</f>
        <v>14700.4294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IFERROR(__xludf.DUMMYFUNCTION("""COMPUTED_VALUE"""),14549.0345)</f>
        <v>14549.0345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IFERROR(__xludf.DUMMYFUNCTION("""COMPUTED_VALUE"""),14554.65794)</f>
        <v>14554.65794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IFERROR(__xludf.DUMMYFUNCTION("""COMPUTED_VALUE"""),14226.80832)</f>
        <v>14226.80832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IFERROR(__xludf.DUMMYFUNCTION("""COMPUTED_VALUE"""),14660.48103)</f>
        <v>14660.48103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IFERROR(__xludf.DUMMYFUNCTION("""COMPUTED_VALUE"""),14626.21563)</f>
        <v>14626.21563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IFERROR(__xludf.DUMMYFUNCTION("""COMPUTED_VALUE"""),14520.486)</f>
        <v>14520.486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IFERROR(__xludf.DUMMYFUNCTION("""COMPUTED_VALUE"""),14528.499)</f>
        <v>14528.499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IFERROR(__xludf.DUMMYFUNCTION("""COMPUTED_VALUE"""),14497.032)</f>
        <v>14497.032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IFERROR(__xludf.DUMMYFUNCTION("""COMPUTED_VALUE"""),14512.696)</f>
        <v>14512.696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IFERROR(__xludf.DUMMYFUNCTION("""COMPUTED_VALUE"""),14583.79737)</f>
        <v>14583.79737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IFERROR(__xludf.DUMMYFUNCTION("""COMPUTED_VALUE"""),14571.0803)</f>
        <v>14571.0803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IFERROR(__xludf.DUMMYFUNCTION("""COMPUTED_VALUE"""),14528.35385)</f>
        <v>14528.35385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IFERROR(__xludf.DUMMYFUNCTION("""COMPUTED_VALUE"""),14644.373)</f>
        <v>14644.373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IFERROR(__xludf.DUMMYFUNCTION("""COMPUTED_VALUE"""),14558.7756)</f>
        <v>14558.7756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IFERROR(__xludf.DUMMYFUNCTION("""COMPUTED_VALUE"""),14440.3125)</f>
        <v>14440.3125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IFERROR(__xludf.DUMMYFUNCTION("""COMPUTED_VALUE"""),14400.9375)</f>
        <v>14400.9375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IFERROR(__xludf.DUMMYFUNCTION("""COMPUTED_VALUE"""),14476.90752)</f>
        <v>14476.90752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IFERROR(__xludf.DUMMYFUNCTION("""COMPUTED_VALUE"""),14411.61324)</f>
        <v>14411.61324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IFERROR(__xludf.DUMMYFUNCTION("""COMPUTED_VALUE"""),14416.875)</f>
        <v>14416.875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IFERROR(__xludf.DUMMYFUNCTION("""COMPUTED_VALUE"""),14418.675)</f>
        <v>14418.675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IFERROR(__xludf.DUMMYFUNCTION("""COMPUTED_VALUE"""),14365.12)</f>
        <v>14365.12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IFERROR(__xludf.DUMMYFUNCTION("""COMPUTED_VALUE"""),14530.186)</f>
        <v>14530.186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IFERROR(__xludf.DUMMYFUNCTION("""COMPUTED_VALUE"""),14480.856)</f>
        <v>14480.856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IFERROR(__xludf.DUMMYFUNCTION("""COMPUTED_VALUE"""),14167.24624)</f>
        <v>14167.24624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IFERROR(__xludf.DUMMYFUNCTION("""COMPUTED_VALUE"""),14575.76584)</f>
        <v>14575.76584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IFERROR(__xludf.DUMMYFUNCTION("""COMPUTED_VALUE"""),14518.364)</f>
        <v>14518.364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IFERROR(__xludf.DUMMYFUNCTION("""COMPUTED_VALUE"""),14648.2875)</f>
        <v>14648.2875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IFERROR(__xludf.DUMMYFUNCTION("""COMPUTED_VALUE"""),14576.3425)</f>
        <v>14576.3425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IFERROR(__xludf.DUMMYFUNCTION("""COMPUTED_VALUE"""),14606.4065)</f>
        <v>14606.4065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IFERROR(__xludf.DUMMYFUNCTION("""COMPUTED_VALUE"""),14717.0975)</f>
        <v>14717.0975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IFERROR(__xludf.DUMMYFUNCTION("""COMPUTED_VALUE"""),14603.0202)</f>
        <v>14603.0202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IFERROR(__xludf.DUMMYFUNCTION("""COMPUTED_VALUE"""),15054.5976)</f>
        <v>15054.5976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IFERROR(__xludf.DUMMYFUNCTION("""COMPUTED_VALUE"""),14666.81916)</f>
        <v>14666.81916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IFERROR(__xludf.DUMMYFUNCTION("""COMPUTED_VALUE"""),14742.50792)</f>
        <v>14742.50792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IFERROR(__xludf.DUMMYFUNCTION("""COMPUTED_VALUE"""),14754.97839)</f>
        <v>14754.97839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IFERROR(__xludf.DUMMYFUNCTION("""COMPUTED_VALUE"""),14658.20406)</f>
        <v>14658.20406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IFERROR(__xludf.DUMMYFUNCTION("""COMPUTED_VALUE"""),14669.2192)</f>
        <v>14669.2192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IFERROR(__xludf.DUMMYFUNCTION("""COMPUTED_VALUE"""),14528.0309)</f>
        <v>14528.0309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IFERROR(__xludf.DUMMYFUNCTION("""COMPUTED_VALUE"""),14707.32208)</f>
        <v>14707.32208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IFERROR(__xludf.DUMMYFUNCTION("""COMPUTED_VALUE"""),14649.32535)</f>
        <v>14649.32535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IFERROR(__xludf.DUMMYFUNCTION("""COMPUTED_VALUE"""),14710.96566)</f>
        <v>14710.96566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IFERROR(__xludf.DUMMYFUNCTION("""COMPUTED_VALUE"""),14658.05781)</f>
        <v>14658.05781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IFERROR(__xludf.DUMMYFUNCTION("""COMPUTED_VALUE"""),14603.92752)</f>
        <v>14603.92752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IFERROR(__xludf.DUMMYFUNCTION("""COMPUTED_VALUE"""),14711.5072)</f>
        <v>14711.5072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IFERROR(__xludf.DUMMYFUNCTION("""COMPUTED_VALUE"""),14714.3176)</f>
        <v>14714.3176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IFERROR(__xludf.DUMMYFUNCTION("""COMPUTED_VALUE"""),14766.19451)</f>
        <v>14766.19451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IFERROR(__xludf.DUMMYFUNCTION("""COMPUTED_VALUE"""),14722.28376)</f>
        <v>14722.28376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IFERROR(__xludf.DUMMYFUNCTION("""COMPUTED_VALUE"""),14609.61684)</f>
        <v>14609.61684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IFERROR(__xludf.DUMMYFUNCTION("""COMPUTED_VALUE"""),14544.07785)</f>
        <v>14544.07785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IFERROR(__xludf.DUMMYFUNCTION("""COMPUTED_VALUE"""),14528.26196)</f>
        <v>14528.26196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IFERROR(__xludf.DUMMYFUNCTION("""COMPUTED_VALUE"""),14583.1662)</f>
        <v>14583.1662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IFERROR(__xludf.DUMMYFUNCTION("""COMPUTED_VALUE"""),14397.02528)</f>
        <v>14397.02528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IFERROR(__xludf.DUMMYFUNCTION("""COMPUTED_VALUE"""),14618.02699)</f>
        <v>14618.02699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IFERROR(__xludf.DUMMYFUNCTION("""COMPUTED_VALUE"""),14558.8632)</f>
        <v>14558.8632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IFERROR(__xludf.DUMMYFUNCTION("""COMPUTED_VALUE"""),14581.45797)</f>
        <v>14581.45797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IFERROR(__xludf.DUMMYFUNCTION("""COMPUTED_VALUE"""),14552.11155)</f>
        <v>14552.11155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IFERROR(__xludf.DUMMYFUNCTION("""COMPUTED_VALUE"""),14523.59488)</f>
        <v>14523.59488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IFERROR(__xludf.DUMMYFUNCTION("""COMPUTED_VALUE"""),14675.3802)</f>
        <v>14675.3802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IFERROR(__xludf.DUMMYFUNCTION("""COMPUTED_VALUE"""),14675.3802)</f>
        <v>14675.3802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IFERROR(__xludf.DUMMYFUNCTION("""COMPUTED_VALUE"""),14763.25606)</f>
        <v>14763.25606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IFERROR(__xludf.DUMMYFUNCTION("""COMPUTED_VALUE"""),14720.16078)</f>
        <v>14720.16078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IFERROR(__xludf.DUMMYFUNCTION("""COMPUTED_VALUE"""),14722.57308)</f>
        <v>14722.57308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IFERROR(__xludf.DUMMYFUNCTION("""COMPUTED_VALUE"""),14736.0255)</f>
        <v>14736.0255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IFERROR(__xludf.DUMMYFUNCTION("""COMPUTED_VALUE"""),14800.38456)</f>
        <v>14800.38456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IFERROR(__xludf.DUMMYFUNCTION("""COMPUTED_VALUE"""),14720.9075)</f>
        <v>14720.9075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IFERROR(__xludf.DUMMYFUNCTION("""COMPUTED_VALUE"""),14720.9075)</f>
        <v>14720.9075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IFERROR(__xludf.DUMMYFUNCTION("""COMPUTED_VALUE"""),14792.41552)</f>
        <v>14792.41552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IFERROR(__xludf.DUMMYFUNCTION("""COMPUTED_VALUE"""),14615.6816)</f>
        <v>14615.6816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IFERROR(__xludf.DUMMYFUNCTION("""COMPUTED_VALUE"""),14628.80584)</f>
        <v>14628.80584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IFERROR(__xludf.DUMMYFUNCTION("""COMPUTED_VALUE"""),14643.4715)</f>
        <v>14643.4715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IFERROR(__xludf.DUMMYFUNCTION("""COMPUTED_VALUE"""),14820.77074)</f>
        <v>14820.77074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IFERROR(__xludf.DUMMYFUNCTION("""COMPUTED_VALUE"""),14840.934)</f>
        <v>14840.934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IFERROR(__xludf.DUMMYFUNCTION("""COMPUTED_VALUE"""),14925.11693)</f>
        <v>14925.11693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IFERROR(__xludf.DUMMYFUNCTION("""COMPUTED_VALUE"""),14835.276)</f>
        <v>14835.276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IFERROR(__xludf.DUMMYFUNCTION("""COMPUTED_VALUE"""),14803.2192)</f>
        <v>14803.2192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IFERROR(__xludf.DUMMYFUNCTION("""COMPUTED_VALUE"""),14749.54048)</f>
        <v>14749.54048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IFERROR(__xludf.DUMMYFUNCTION("""COMPUTED_VALUE"""),14630.00418)</f>
        <v>14630.00418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IFERROR(__xludf.DUMMYFUNCTION("""COMPUTED_VALUE"""),14634.6156)</f>
        <v>14634.6156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IFERROR(__xludf.DUMMYFUNCTION("""COMPUTED_VALUE"""),14768.852)</f>
        <v>14768.852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IFERROR(__xludf.DUMMYFUNCTION("""COMPUTED_VALUE"""),14748.98451)</f>
        <v>14748.98451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IFERROR(__xludf.DUMMYFUNCTION("""COMPUTED_VALUE"""),14838.23524)</f>
        <v>14838.23524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IFERROR(__xludf.DUMMYFUNCTION("""COMPUTED_VALUE"""),14710.36674)</f>
        <v>14710.36674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IFERROR(__xludf.DUMMYFUNCTION("""COMPUTED_VALUE"""),14792.5188)</f>
        <v>14792.5188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IFERROR(__xludf.DUMMYFUNCTION("""COMPUTED_VALUE"""),14781.93941)</f>
        <v>14781.93941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IFERROR(__xludf.DUMMYFUNCTION("""COMPUTED_VALUE"""),14756.1267)</f>
        <v>14756.1267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IFERROR(__xludf.DUMMYFUNCTION("""COMPUTED_VALUE"""),14819.65855)</f>
        <v>14819.65855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IFERROR(__xludf.DUMMYFUNCTION("""COMPUTED_VALUE"""),14827.9758)</f>
        <v>14827.9758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IFERROR(__xludf.DUMMYFUNCTION("""COMPUTED_VALUE"""),14858.84088)</f>
        <v>14858.84088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IFERROR(__xludf.DUMMYFUNCTION("""COMPUTED_VALUE"""),14826.0119)</f>
        <v>14826.0119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IFERROR(__xludf.DUMMYFUNCTION("""COMPUTED_VALUE"""),14816.16675)</f>
        <v>14816.16675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IFERROR(__xludf.DUMMYFUNCTION("""COMPUTED_VALUE"""),14841.40976)</f>
        <v>14841.40976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IFERROR(__xludf.DUMMYFUNCTION("""COMPUTED_VALUE"""),14882.94794)</f>
        <v>14882.94794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IFERROR(__xludf.DUMMYFUNCTION("""COMPUTED_VALUE"""),14854.371)</f>
        <v>14854.371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IFERROR(__xludf.DUMMYFUNCTION("""COMPUTED_VALUE"""),14857.2105)</f>
        <v>14857.2105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IFERROR(__xludf.DUMMYFUNCTION("""COMPUTED_VALUE"""),14889.82644)</f>
        <v>14889.82644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IFERROR(__xludf.DUMMYFUNCTION("""COMPUTED_VALUE"""),14861.47415)</f>
        <v>14861.47415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IFERROR(__xludf.DUMMYFUNCTION("""COMPUTED_VALUE"""),15026.634)</f>
        <v>15026.634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IFERROR(__xludf.DUMMYFUNCTION("""COMPUTED_VALUE"""),15007.5687)</f>
        <v>15007.5687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IFERROR(__xludf.DUMMYFUNCTION("""COMPUTED_VALUE"""),14982.192)</f>
        <v>14982.192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IFERROR(__xludf.DUMMYFUNCTION("""COMPUTED_VALUE"""),14982.192)</f>
        <v>14982.192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IFERROR(__xludf.DUMMYFUNCTION("""COMPUTED_VALUE"""),15077.88296)</f>
        <v>15077.88296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IFERROR(__xludf.DUMMYFUNCTION("""COMPUTED_VALUE"""),14976.815)</f>
        <v>14976.815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IFERROR(__xludf.DUMMYFUNCTION("""COMPUTED_VALUE"""),15033.90033)</f>
        <v>15033.90033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IFERROR(__xludf.DUMMYFUNCTION("""COMPUTED_VALUE"""),15066.04608)</f>
        <v>15066.04608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IFERROR(__xludf.DUMMYFUNCTION("""COMPUTED_VALUE"""),15020.03299)</f>
        <v>15020.03299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IFERROR(__xludf.DUMMYFUNCTION("""COMPUTED_VALUE"""),15085.713)</f>
        <v>15085.713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IFERROR(__xludf.DUMMYFUNCTION("""COMPUTED_VALUE"""),15085.713)</f>
        <v>15085.713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IFERROR(__xludf.DUMMYFUNCTION("""COMPUTED_VALUE"""),15131.96565)</f>
        <v>15131.96565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IFERROR(__xludf.DUMMYFUNCTION("""COMPUTED_VALUE"""),15097.39554)</f>
        <v>15097.39554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IFERROR(__xludf.DUMMYFUNCTION("""COMPUTED_VALUE"""),15141.4083)</f>
        <v>15141.4083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IFERROR(__xludf.DUMMYFUNCTION("""COMPUTED_VALUE"""),15168.59994)</f>
        <v>15168.59994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IFERROR(__xludf.DUMMYFUNCTION("""COMPUTED_VALUE"""),15188.14221)</f>
        <v>15188.14221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IFERROR(__xludf.DUMMYFUNCTION("""COMPUTED_VALUE"""),15280.5905)</f>
        <v>15280.5905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IFERROR(__xludf.DUMMYFUNCTION("""COMPUTED_VALUE"""),15273.71933)</f>
        <v>15273.71933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IFERROR(__xludf.DUMMYFUNCTION("""COMPUTED_VALUE"""),15394.22978)</f>
        <v>15394.22978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IFERROR(__xludf.DUMMYFUNCTION("""COMPUTED_VALUE"""),15264.86721)</f>
        <v>15264.86721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IFERROR(__xludf.DUMMYFUNCTION("""COMPUTED_VALUE"""),15341.75667)</f>
        <v>15341.75667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IFERROR(__xludf.DUMMYFUNCTION("""COMPUTED_VALUE"""),15360.15624)</f>
        <v>15360.15624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IFERROR(__xludf.DUMMYFUNCTION("""COMPUTED_VALUE"""),15417.17649)</f>
        <v>15417.17649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IFERROR(__xludf.DUMMYFUNCTION("""COMPUTED_VALUE"""),15371.82)</f>
        <v>15371.82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IFERROR(__xludf.DUMMYFUNCTION("""COMPUTED_VALUE"""),15104.81717)</f>
        <v>15104.81717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IFERROR(__xludf.DUMMYFUNCTION("""COMPUTED_VALUE"""),15688.58657)</f>
        <v>15688.58657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IFERROR(__xludf.DUMMYFUNCTION("""COMPUTED_VALUE"""),15326.51311)</f>
        <v>15326.51311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IFERROR(__xludf.DUMMYFUNCTION("""COMPUTED_VALUE"""),15384.8016)</f>
        <v>15384.8016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IFERROR(__xludf.DUMMYFUNCTION("""COMPUTED_VALUE"""),15422.44579)</f>
        <v>15422.44579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IFERROR(__xludf.DUMMYFUNCTION("""COMPUTED_VALUE"""),15424.09475)</f>
        <v>15424.09475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IFERROR(__xludf.DUMMYFUNCTION("""COMPUTED_VALUE"""),15450.008)</f>
        <v>15450.008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IFERROR(__xludf.DUMMYFUNCTION("""COMPUTED_VALUE"""),15447.152)</f>
        <v>15447.152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IFERROR(__xludf.DUMMYFUNCTION("""COMPUTED_VALUE"""),15551.72403)</f>
        <v>15551.72403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IFERROR(__xludf.DUMMYFUNCTION("""COMPUTED_VALUE"""),15465.55815)</f>
        <v>15465.55815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IFERROR(__xludf.DUMMYFUNCTION("""COMPUTED_VALUE"""),15455.2978)</f>
        <v>15455.2978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IFERROR(__xludf.DUMMYFUNCTION("""COMPUTED_VALUE"""),15447.58296)</f>
        <v>15447.58296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IFERROR(__xludf.DUMMYFUNCTION("""COMPUTED_VALUE"""),15496.99578)</f>
        <v>15496.99578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IFERROR(__xludf.DUMMYFUNCTION("""COMPUTED_VALUE"""),15424.72)</f>
        <v>15424.72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IFERROR(__xludf.DUMMYFUNCTION("""COMPUTED_VALUE"""),15424.72)</f>
        <v>15424.72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IFERROR(__xludf.DUMMYFUNCTION("""COMPUTED_VALUE"""),15445.8993)</f>
        <v>15445.8993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IFERROR(__xludf.DUMMYFUNCTION("""COMPUTED_VALUE"""),15405.91155)</f>
        <v>15405.91155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IFERROR(__xludf.DUMMYFUNCTION("""COMPUTED_VALUE"""),15405.763)</f>
        <v>15405.763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IFERROR(__xludf.DUMMYFUNCTION("""COMPUTED_VALUE"""),15377.35428)</f>
        <v>15377.35428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IFERROR(__xludf.DUMMYFUNCTION("""COMPUTED_VALUE"""),15480.70083)</f>
        <v>15480.70083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IFERROR(__xludf.DUMMYFUNCTION("""COMPUTED_VALUE"""),15427.6884)</f>
        <v>15427.6884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IFERROR(__xludf.DUMMYFUNCTION("""COMPUTED_VALUE"""),15511.53746)</f>
        <v>15511.53746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IFERROR(__xludf.DUMMYFUNCTION("""COMPUTED_VALUE"""),15175.69504)</f>
        <v>15175.69504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IFERROR(__xludf.DUMMYFUNCTION("""COMPUTED_VALUE"""),15316.08628)</f>
        <v>15316.08628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IFERROR(__xludf.DUMMYFUNCTION("""COMPUTED_VALUE"""),15299.24216)</f>
        <v>15299.24216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IFERROR(__xludf.DUMMYFUNCTION("""COMPUTED_VALUE"""),15300.16)</f>
        <v>15300.16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IFERROR(__xludf.DUMMYFUNCTION("""COMPUTED_VALUE"""),15329.55345)</f>
        <v>15329.55345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IFERROR(__xludf.DUMMYFUNCTION("""COMPUTED_VALUE"""),15350.7157)</f>
        <v>15350.7157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IFERROR(__xludf.DUMMYFUNCTION("""COMPUTED_VALUE"""),15350.7157)</f>
        <v>15350.7157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IFERROR(__xludf.DUMMYFUNCTION("""COMPUTED_VALUE"""),15389.04666)</f>
        <v>15389.04666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IFERROR(__xludf.DUMMYFUNCTION("""COMPUTED_VALUE"""),15363.8842)</f>
        <v>15363.8842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IFERROR(__xludf.DUMMYFUNCTION("""COMPUTED_VALUE"""),15398.94495)</f>
        <v>15398.94495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IFERROR(__xludf.DUMMYFUNCTION("""COMPUTED_VALUE"""),15411.1311)</f>
        <v>15411.1311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IFERROR(__xludf.DUMMYFUNCTION("""COMPUTED_VALUE"""),15348.57264)</f>
        <v>15348.57264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IFERROR(__xludf.DUMMYFUNCTION("""COMPUTED_VALUE"""),15312.6272)</f>
        <v>15312.6272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IFERROR(__xludf.DUMMYFUNCTION("""COMPUTED_VALUE"""),15306.8619)</f>
        <v>15306.8619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IFERROR(__xludf.DUMMYFUNCTION("""COMPUTED_VALUE"""),15347.92)</f>
        <v>15347.92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IFERROR(__xludf.DUMMYFUNCTION("""COMPUTED_VALUE"""),15335.0064)</f>
        <v>15335.0064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IFERROR(__xludf.DUMMYFUNCTION("""COMPUTED_VALUE"""),15274.0366)</f>
        <v>15274.0366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IFERROR(__xludf.DUMMYFUNCTION("""COMPUTED_VALUE"""),15357.3812)</f>
        <v>15357.3812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IFERROR(__xludf.DUMMYFUNCTION("""COMPUTED_VALUE"""),15435.23202)</f>
        <v>15435.23202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IFERROR(__xludf.DUMMYFUNCTION("""COMPUTED_VALUE"""),15427.632)</f>
        <v>15427.632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IFERROR(__xludf.DUMMYFUNCTION("""COMPUTED_VALUE"""),15425.716)</f>
        <v>15425.716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IFERROR(__xludf.DUMMYFUNCTION("""COMPUTED_VALUE"""),15446.68059)</f>
        <v>15446.68059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IFERROR(__xludf.DUMMYFUNCTION("""COMPUTED_VALUE"""),15349.6868)</f>
        <v>15349.6868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IFERROR(__xludf.DUMMYFUNCTION("""COMPUTED_VALUE"""),15406.45848)</f>
        <v>15406.45848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IFERROR(__xludf.DUMMYFUNCTION("""COMPUTED_VALUE"""),15447.0456)</f>
        <v>15447.0456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IFERROR(__xludf.DUMMYFUNCTION("""COMPUTED_VALUE"""),15472.04865)</f>
        <v>15472.04865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IFERROR(__xludf.DUMMYFUNCTION("""COMPUTED_VALUE"""),15358.36596)</f>
        <v>15358.36596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IFERROR(__xludf.DUMMYFUNCTION("""COMPUTED_VALUE"""),15373.729)</f>
        <v>15373.729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IFERROR(__xludf.DUMMYFUNCTION("""COMPUTED_VALUE"""),15327.94456)</f>
        <v>15327.94456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IFERROR(__xludf.DUMMYFUNCTION("""COMPUTED_VALUE"""),15331.27741)</f>
        <v>15331.27741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IFERROR(__xludf.DUMMYFUNCTION("""COMPUTED_VALUE"""),15336.13664)</f>
        <v>15336.13664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IFERROR(__xludf.DUMMYFUNCTION("""COMPUTED_VALUE"""),15300.05346)</f>
        <v>15300.05346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IFERROR(__xludf.DUMMYFUNCTION("""COMPUTED_VALUE"""),15339.83568)</f>
        <v>15339.83568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IFERROR(__xludf.DUMMYFUNCTION("""COMPUTED_VALUE"""),15244.09434)</f>
        <v>15244.09434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IFERROR(__xludf.DUMMYFUNCTION("""COMPUTED_VALUE"""),15250.293)</f>
        <v>15250.293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IFERROR(__xludf.DUMMYFUNCTION("""COMPUTED_VALUE"""),15324.64476)</f>
        <v>15324.64476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IFERROR(__xludf.DUMMYFUNCTION("""COMPUTED_VALUE"""),15223.32474)</f>
        <v>15223.32474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IFERROR(__xludf.DUMMYFUNCTION("""COMPUTED_VALUE"""),15230.77842)</f>
        <v>15230.77842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IFERROR(__xludf.DUMMYFUNCTION("""COMPUTED_VALUE"""),15198.9552)</f>
        <v>15198.9552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IFERROR(__xludf.DUMMYFUNCTION("""COMPUTED_VALUE"""),15219.42255)</f>
        <v>15219.42255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IFERROR(__xludf.DUMMYFUNCTION("""COMPUTED_VALUE"""),15242.43186)</f>
        <v>15242.43186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IFERROR(__xludf.DUMMYFUNCTION("""COMPUTED_VALUE"""),15250.56)</f>
        <v>15250.56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IFERROR(__xludf.DUMMYFUNCTION("""COMPUTED_VALUE"""),15306.17298)</f>
        <v>15306.17298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IFERROR(__xludf.DUMMYFUNCTION("""COMPUTED_VALUE"""),15260.34887)</f>
        <v>15260.34887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IFERROR(__xludf.DUMMYFUNCTION("""COMPUTED_VALUE"""),15293.25036)</f>
        <v>15293.25036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IFERROR(__xludf.DUMMYFUNCTION("""COMPUTED_VALUE"""),15336.52552)</f>
        <v>15336.52552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IFERROR(__xludf.DUMMYFUNCTION("""COMPUTED_VALUE"""),15294.413)</f>
        <v>15294.413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IFERROR(__xludf.DUMMYFUNCTION("""COMPUTED_VALUE"""),15356.9003)</f>
        <v>15356.9003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IFERROR(__xludf.DUMMYFUNCTION("""COMPUTED_VALUE"""),15354.1791)</f>
        <v>15354.1791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IFERROR(__xludf.DUMMYFUNCTION("""COMPUTED_VALUE"""),15402.98988)</f>
        <v>15402.98988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IFERROR(__xludf.DUMMYFUNCTION("""COMPUTED_VALUE"""),15342.95185)</f>
        <v>15342.95185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IFERROR(__xludf.DUMMYFUNCTION("""COMPUTED_VALUE"""),15332.90623)</f>
        <v>15332.90623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IFERROR(__xludf.DUMMYFUNCTION("""COMPUTED_VALUE"""),15326.84295)</f>
        <v>15326.84295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IFERROR(__xludf.DUMMYFUNCTION("""COMPUTED_VALUE"""),15346.78276)</f>
        <v>15346.78276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IFERROR(__xludf.DUMMYFUNCTION("""COMPUTED_VALUE"""),15335.82155)</f>
        <v>15335.82155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IFERROR(__xludf.DUMMYFUNCTION("""COMPUTED_VALUE"""),15324.7535)</f>
        <v>15324.7535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IFERROR(__xludf.DUMMYFUNCTION("""COMPUTED_VALUE"""),15404.03747)</f>
        <v>15404.03747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IFERROR(__xludf.DUMMYFUNCTION("""COMPUTED_VALUE"""),15397.555)</f>
        <v>15397.555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IFERROR(__xludf.DUMMYFUNCTION("""COMPUTED_VALUE"""),15412.92158)</f>
        <v>15412.92158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IFERROR(__xludf.DUMMYFUNCTION("""COMPUTED_VALUE"""),15399.5129)</f>
        <v>15399.5129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IFERROR(__xludf.DUMMYFUNCTION("""COMPUTED_VALUE"""),15375.42832)</f>
        <v>15375.42832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IFERROR(__xludf.DUMMYFUNCTION("""COMPUTED_VALUE"""),15380.29382)</f>
        <v>15380.29382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IFERROR(__xludf.DUMMYFUNCTION("""COMPUTED_VALUE"""),15383.6635)</f>
        <v>15383.6635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IFERROR(__xludf.DUMMYFUNCTION("""COMPUTED_VALUE"""),15410.67984)</f>
        <v>15410.67984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IFERROR(__xludf.DUMMYFUNCTION("""COMPUTED_VALUE"""),15430.40576)</f>
        <v>15430.40576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IFERROR(__xludf.DUMMYFUNCTION("""COMPUTED_VALUE"""),15480.86524)</f>
        <v>15480.86524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IFERROR(__xludf.DUMMYFUNCTION("""COMPUTED_VALUE"""),15490.58394)</f>
        <v>15490.58394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IFERROR(__xludf.DUMMYFUNCTION("""COMPUTED_VALUE"""),15478.21286)</f>
        <v>15478.21286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IFERROR(__xludf.DUMMYFUNCTION("""COMPUTED_VALUE"""),15534.8703)</f>
        <v>15534.8703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IFERROR(__xludf.DUMMYFUNCTION("""COMPUTED_VALUE"""),15533.58608)</f>
        <v>15533.58608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IFERROR(__xludf.DUMMYFUNCTION("""COMPUTED_VALUE"""),15548.13787)</f>
        <v>15548.13787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IFERROR(__xludf.DUMMYFUNCTION("""COMPUTED_VALUE"""),15572.07718)</f>
        <v>15572.07718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IFERROR(__xludf.DUMMYFUNCTION("""COMPUTED_VALUE"""),15622.8201)</f>
        <v>15622.8201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IFERROR(__xludf.DUMMYFUNCTION("""COMPUTED_VALUE"""),15634.31304)</f>
        <v>15634.31304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IFERROR(__xludf.DUMMYFUNCTION("""COMPUTED_VALUE"""),15658.248)</f>
        <v>15658.248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IFERROR(__xludf.DUMMYFUNCTION("""COMPUTED_VALUE"""),15560.2746)</f>
        <v>15560.2746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IFERROR(__xludf.DUMMYFUNCTION("""COMPUTED_VALUE"""),15533.604)</f>
        <v>15533.604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IFERROR(__xludf.DUMMYFUNCTION("""COMPUTED_VALUE"""),15654.06899)</f>
        <v>15654.06899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IFERROR(__xludf.DUMMYFUNCTION("""COMPUTED_VALUE"""),15532.89)</f>
        <v>15532.89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IFERROR(__xludf.DUMMYFUNCTION("""COMPUTED_VALUE"""),15539.7748)</f>
        <v>15539.7748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IFERROR(__xludf.DUMMYFUNCTION("""COMPUTED_VALUE"""),15527.7254)</f>
        <v>15527.7254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IFERROR(__xludf.DUMMYFUNCTION("""COMPUTED_VALUE"""),15525.02985)</f>
        <v>15525.02985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IFERROR(__xludf.DUMMYFUNCTION("""COMPUTED_VALUE"""),15569.784)</f>
        <v>15569.784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IFERROR(__xludf.DUMMYFUNCTION("""COMPUTED_VALUE"""),15524.349)</f>
        <v>15524.349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IFERROR(__xludf.DUMMYFUNCTION("""COMPUTED_VALUE"""),15535.64169)</f>
        <v>15535.64169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IFERROR(__xludf.DUMMYFUNCTION("""COMPUTED_VALUE"""),15601.1724)</f>
        <v>15601.1724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IFERROR(__xludf.DUMMYFUNCTION("""COMPUTED_VALUE"""),15607.8987)</f>
        <v>15607.8987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IFERROR(__xludf.DUMMYFUNCTION("""COMPUTED_VALUE"""),15624.05325)</f>
        <v>15624.05325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IFERROR(__xludf.DUMMYFUNCTION("""COMPUTED_VALUE"""),15475.23988)</f>
        <v>15475.23988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IFERROR(__xludf.DUMMYFUNCTION("""COMPUTED_VALUE"""),15481.03596)</f>
        <v>15481.03596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IFERROR(__xludf.DUMMYFUNCTION("""COMPUTED_VALUE"""),15695.505)</f>
        <v>15695.505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IFERROR(__xludf.DUMMYFUNCTION("""COMPUTED_VALUE"""),15719.95955)</f>
        <v>15719.95955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IFERROR(__xludf.DUMMYFUNCTION("""COMPUTED_VALUE"""),15541.60288)</f>
        <v>15541.60288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IFERROR(__xludf.DUMMYFUNCTION("""COMPUTED_VALUE"""),15481.45331)</f>
        <v>15481.45331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IFERROR(__xludf.DUMMYFUNCTION("""COMPUTED_VALUE"""),15424.17069)</f>
        <v>15424.17069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IFERROR(__xludf.DUMMYFUNCTION("""COMPUTED_VALUE"""),15568.2016)</f>
        <v>15568.2016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IFERROR(__xludf.DUMMYFUNCTION("""COMPUTED_VALUE"""),15489.66804)</f>
        <v>15489.66804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IFERROR(__xludf.DUMMYFUNCTION("""COMPUTED_VALUE"""),15491.7359)</f>
        <v>15491.7359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IFERROR(__xludf.DUMMYFUNCTION("""COMPUTED_VALUE"""),15498.15313)</f>
        <v>15498.15313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IFERROR(__xludf.DUMMYFUNCTION("""COMPUTED_VALUE"""),15442.73886)</f>
        <v>15442.73886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IFERROR(__xludf.DUMMYFUNCTION("""COMPUTED_VALUE"""),15460.94904)</f>
        <v>15460.94904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IFERROR(__xludf.DUMMYFUNCTION("""COMPUTED_VALUE"""),15399.03214)</f>
        <v>15399.03214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IFERROR(__xludf.DUMMYFUNCTION("""COMPUTED_VALUE"""),15374.09691)</f>
        <v>15374.09691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IFERROR(__xludf.DUMMYFUNCTION("""COMPUTED_VALUE"""),15230.84247)</f>
        <v>15230.84247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IFERROR(__xludf.DUMMYFUNCTION("""COMPUTED_VALUE"""),15228.16274)</f>
        <v>15228.16274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IFERROR(__xludf.DUMMYFUNCTION("""COMPUTED_VALUE"""),15350.23008)</f>
        <v>15350.23008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IFERROR(__xludf.DUMMYFUNCTION("""COMPUTED_VALUE"""),15185.77384)</f>
        <v>15185.77384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IFERROR(__xludf.DUMMYFUNCTION("""COMPUTED_VALUE"""),15189.25776)</f>
        <v>15189.25776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IFERROR(__xludf.DUMMYFUNCTION("""COMPUTED_VALUE"""),15190.93301)</f>
        <v>15190.93301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IFERROR(__xludf.DUMMYFUNCTION("""COMPUTED_VALUE"""),15147.73425)</f>
        <v>15147.73425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IFERROR(__xludf.DUMMYFUNCTION("""COMPUTED_VALUE"""),15205.31648)</f>
        <v>15205.31648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IFERROR(__xludf.DUMMYFUNCTION("""COMPUTED_VALUE"""),15141.15024)</f>
        <v>15141.15024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IFERROR(__xludf.DUMMYFUNCTION("""COMPUTED_VALUE"""),15164.60112)</f>
        <v>15164.60112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IFERROR(__xludf.DUMMYFUNCTION("""COMPUTED_VALUE"""),15145.3611)</f>
        <v>15145.3611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IFERROR(__xludf.DUMMYFUNCTION("""COMPUTED_VALUE"""),15195.9515)</f>
        <v>15195.9515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IFERROR(__xludf.DUMMYFUNCTION("""COMPUTED_VALUE"""),15258.46212)</f>
        <v>15258.46212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IFERROR(__xludf.DUMMYFUNCTION("""COMPUTED_VALUE"""),15342.26334)</f>
        <v>15342.26334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IFERROR(__xludf.DUMMYFUNCTION("""COMPUTED_VALUE"""),15212.9789)</f>
        <v>15212.9789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IFERROR(__xludf.DUMMYFUNCTION("""COMPUTED_VALUE"""),15296.2952)</f>
        <v>15296.2952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IFERROR(__xludf.DUMMYFUNCTION("""COMPUTED_VALUE"""),15093.46899)</f>
        <v>15093.46899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IFERROR(__xludf.DUMMYFUNCTION("""COMPUTED_VALUE"""),15192.07385)</f>
        <v>15192.07385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IFERROR(__xludf.DUMMYFUNCTION("""COMPUTED_VALUE"""),15110.54098)</f>
        <v>15110.54098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IFERROR(__xludf.DUMMYFUNCTION("""COMPUTED_VALUE"""),15162.1686)</f>
        <v>15162.1686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IFERROR(__xludf.DUMMYFUNCTION("""COMPUTED_VALUE"""),15186.44592)</f>
        <v>15186.44592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IFERROR(__xludf.DUMMYFUNCTION("""COMPUTED_VALUE"""),15231.042)</f>
        <v>15231.042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IFERROR(__xludf.DUMMYFUNCTION("""COMPUTED_VALUE"""),15227.882)</f>
        <v>15227.882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IFERROR(__xludf.DUMMYFUNCTION("""COMPUTED_VALUE"""),15186.70975)</f>
        <v>15186.70975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IFERROR(__xludf.DUMMYFUNCTION("""COMPUTED_VALUE"""),15013.2015)</f>
        <v>15013.2015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IFERROR(__xludf.DUMMYFUNCTION("""COMPUTED_VALUE"""),15076.70652)</f>
        <v>15076.70652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IFERROR(__xludf.DUMMYFUNCTION("""COMPUTED_VALUE"""),14938.49235)</f>
        <v>14938.49235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IFERROR(__xludf.DUMMYFUNCTION("""COMPUTED_VALUE"""),14919.44471)</f>
        <v>14919.44471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IFERROR(__xludf.DUMMYFUNCTION("""COMPUTED_VALUE"""),14950.77584)</f>
        <v>14950.77584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IFERROR(__xludf.DUMMYFUNCTION("""COMPUTED_VALUE"""),14962.2885)</f>
        <v>14962.2885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IFERROR(__xludf.DUMMYFUNCTION("""COMPUTED_VALUE"""),15012.60904)</f>
        <v>15012.60904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IFERROR(__xludf.DUMMYFUNCTION("""COMPUTED_VALUE"""),14942.80744)</f>
        <v>14942.80744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IFERROR(__xludf.DUMMYFUNCTION("""COMPUTED_VALUE"""),14922.56576)</f>
        <v>14922.56576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IFERROR(__xludf.DUMMYFUNCTION("""COMPUTED_VALUE"""),14701.4643)</f>
        <v>14701.4643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IFERROR(__xludf.DUMMYFUNCTION("""COMPUTED_VALUE"""),14761.93257)</f>
        <v>14761.93257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IFERROR(__xludf.DUMMYFUNCTION("""COMPUTED_VALUE"""),14668.058)</f>
        <v>14668.058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IFERROR(__xludf.DUMMYFUNCTION("""COMPUTED_VALUE"""),14683.8492)</f>
        <v>14683.8492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IFERROR(__xludf.DUMMYFUNCTION("""COMPUTED_VALUE"""),14703.01798)</f>
        <v>14703.01798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IFERROR(__xludf.DUMMYFUNCTION("""COMPUTED_VALUE"""),14669.4224)</f>
        <v>14669.4224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IFERROR(__xludf.DUMMYFUNCTION("""COMPUTED_VALUE"""),14640.66695)</f>
        <v>14640.66695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IFERROR(__xludf.DUMMYFUNCTION("""COMPUTED_VALUE"""),14643.36399)</f>
        <v>14643.36399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IFERROR(__xludf.DUMMYFUNCTION("""COMPUTED_VALUE"""),14605.80418)</f>
        <v>14605.80418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IFERROR(__xludf.DUMMYFUNCTION("""COMPUTED_VALUE"""),14507.24649)</f>
        <v>14507.24649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IFERROR(__xludf.DUMMYFUNCTION("""COMPUTED_VALUE"""),14514.2508)</f>
        <v>14514.2508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IFERROR(__xludf.DUMMYFUNCTION("""COMPUTED_VALUE"""),14451.35733)</f>
        <v>14451.35733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IFERROR(__xludf.DUMMYFUNCTION("""COMPUTED_VALUE"""),14643.993)</f>
        <v>14643.993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IFERROR(__xludf.DUMMYFUNCTION("""COMPUTED_VALUE"""),14624.22854)</f>
        <v>14624.22854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IFERROR(__xludf.DUMMYFUNCTION("""COMPUTED_VALUE"""),14481.43884)</f>
        <v>14481.43884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IFERROR(__xludf.DUMMYFUNCTION("""COMPUTED_VALUE"""),14519.04336)</f>
        <v>14519.04336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IFERROR(__xludf.DUMMYFUNCTION("""COMPUTED_VALUE"""),14402.03807)</f>
        <v>14402.03807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IFERROR(__xludf.DUMMYFUNCTION("""COMPUTED_VALUE"""),14399.87922)</f>
        <v>14399.87922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IFERROR(__xludf.DUMMYFUNCTION("""COMPUTED_VALUE"""),14329.27921)</f>
        <v>14329.27921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IFERROR(__xludf.DUMMYFUNCTION("""COMPUTED_VALUE"""),14408.43777)</f>
        <v>14408.43777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IFERROR(__xludf.DUMMYFUNCTION("""COMPUTED_VALUE"""),14407.2536)</f>
        <v>14407.2536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IFERROR(__xludf.DUMMYFUNCTION("""COMPUTED_VALUE"""),14418.59399)</f>
        <v>14418.59399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IFERROR(__xludf.DUMMYFUNCTION("""COMPUTED_VALUE"""),14595.12918)</f>
        <v>14595.12918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IFERROR(__xludf.DUMMYFUNCTION("""COMPUTED_VALUE"""),14625.84696)</f>
        <v>14625.84696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IFERROR(__xludf.DUMMYFUNCTION("""COMPUTED_VALUE"""),14620.1338)</f>
        <v>14620.1338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IFERROR(__xludf.DUMMYFUNCTION("""COMPUTED_VALUE"""),14716.3578)</f>
        <v>14716.3578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IFERROR(__xludf.DUMMYFUNCTION("""COMPUTED_VALUE"""),14614.0108)</f>
        <v>14614.0108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IFERROR(__xludf.DUMMYFUNCTION("""COMPUTED_VALUE"""),14614.09911)</f>
        <v>14614.09911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IFERROR(__xludf.DUMMYFUNCTION("""COMPUTED_VALUE"""),14631.02632)</f>
        <v>14631.02632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IFERROR(__xludf.DUMMYFUNCTION("""COMPUTED_VALUE"""),14729.4576)</f>
        <v>14729.4576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IFERROR(__xludf.DUMMYFUNCTION("""COMPUTED_VALUE"""),14791.87008)</f>
        <v>14791.87008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IFERROR(__xludf.DUMMYFUNCTION("""COMPUTED_VALUE"""),14798.5704)</f>
        <v>14798.5704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IFERROR(__xludf.DUMMYFUNCTION("""COMPUTED_VALUE"""),14658.98625)</f>
        <v>14658.98625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IFERROR(__xludf.DUMMYFUNCTION("""COMPUTED_VALUE"""),14728.308)</f>
        <v>14728.308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IFERROR(__xludf.DUMMYFUNCTION("""COMPUTED_VALUE"""),14709.4448)</f>
        <v>14709.4448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IFERROR(__xludf.DUMMYFUNCTION("""COMPUTED_VALUE"""),14666.77818)</f>
        <v>14666.77818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IFERROR(__xludf.DUMMYFUNCTION("""COMPUTED_VALUE"""),14721.8277)</f>
        <v>14721.8277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IFERROR(__xludf.DUMMYFUNCTION("""COMPUTED_VALUE"""),14710.4136)</f>
        <v>14710.4136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IFERROR(__xludf.DUMMYFUNCTION("""COMPUTED_VALUE"""),14725.6056)</f>
        <v>14725.6056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IFERROR(__xludf.DUMMYFUNCTION("""COMPUTED_VALUE"""),14605.15653)</f>
        <v>14605.15653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IFERROR(__xludf.DUMMYFUNCTION("""COMPUTED_VALUE"""),14791.0875)</f>
        <v>14791.0875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IFERROR(__xludf.DUMMYFUNCTION("""COMPUTED_VALUE"""),14662.74755)</f>
        <v>14662.74755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IFERROR(__xludf.DUMMYFUNCTION("""COMPUTED_VALUE"""),14702.8801)</f>
        <v>14702.8801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IFERROR(__xludf.DUMMYFUNCTION("""COMPUTED_VALUE"""),14804.7424)</f>
        <v>14804.7424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IFERROR(__xludf.DUMMYFUNCTION("""COMPUTED_VALUE"""),14886.59463)</f>
        <v>14886.59463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IFERROR(__xludf.DUMMYFUNCTION("""COMPUTED_VALUE"""),14981.29816)</f>
        <v>14981.29816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IFERROR(__xludf.DUMMYFUNCTION("""COMPUTED_VALUE"""),14925.15786)</f>
        <v>14925.15786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IFERROR(__xludf.DUMMYFUNCTION("""COMPUTED_VALUE"""),14827.70745)</f>
        <v>14827.70745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IFERROR(__xludf.DUMMYFUNCTION("""COMPUTED_VALUE"""),14844.66438)</f>
        <v>14844.66438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IFERROR(__xludf.DUMMYFUNCTION("""COMPUTED_VALUE"""),14803.56012)</f>
        <v>14803.56012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IFERROR(__xludf.DUMMYFUNCTION("""COMPUTED_VALUE"""),14884.83365)</f>
        <v>14884.83365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IFERROR(__xludf.DUMMYFUNCTION("""COMPUTED_VALUE"""),14858.727)</f>
        <v>14858.727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IFERROR(__xludf.DUMMYFUNCTION("""COMPUTED_VALUE"""),14864.2984)</f>
        <v>14864.2984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IFERROR(__xludf.DUMMYFUNCTION("""COMPUTED_VALUE"""),14859.33075)</f>
        <v>14859.33075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IFERROR(__xludf.DUMMYFUNCTION("""COMPUTED_VALUE"""),14806.45362)</f>
        <v>14806.45362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IFERROR(__xludf.DUMMYFUNCTION("""COMPUTED_VALUE"""),14884.3008)</f>
        <v>14884.3008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IFERROR(__xludf.DUMMYFUNCTION("""COMPUTED_VALUE"""),14753.68236)</f>
        <v>14753.68236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IFERROR(__xludf.DUMMYFUNCTION("""COMPUTED_VALUE"""),14805.30663)</f>
        <v>14805.30663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IFERROR(__xludf.DUMMYFUNCTION("""COMPUTED_VALUE"""),14750.75448)</f>
        <v>14750.75448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IFERROR(__xludf.DUMMYFUNCTION("""COMPUTED_VALUE"""),14844.05352)</f>
        <v>14844.05352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IFERROR(__xludf.DUMMYFUNCTION("""COMPUTED_VALUE"""),14752.8864)</f>
        <v>14752.8864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IFERROR(__xludf.DUMMYFUNCTION("""COMPUTED_VALUE"""),14816.21445)</f>
        <v>14816.21445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IFERROR(__xludf.DUMMYFUNCTION("""COMPUTED_VALUE"""),14769.87545)</f>
        <v>14769.87545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IFERROR(__xludf.DUMMYFUNCTION("""COMPUTED_VALUE"""),14793.82872)</f>
        <v>14793.82872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IFERROR(__xludf.DUMMYFUNCTION("""COMPUTED_VALUE"""),14956.05195)</f>
        <v>14956.05195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IFERROR(__xludf.DUMMYFUNCTION("""COMPUTED_VALUE"""),15007.4688)</f>
        <v>15007.4688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IFERROR(__xludf.DUMMYFUNCTION("""COMPUTED_VALUE"""),15001.58716)</f>
        <v>15001.58716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IFERROR(__xludf.DUMMYFUNCTION("""COMPUTED_VALUE"""),14881.03384)</f>
        <v>14881.03384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IFERROR(__xludf.DUMMYFUNCTION("""COMPUTED_VALUE"""),15013.91688)</f>
        <v>15013.91688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IFERROR(__xludf.DUMMYFUNCTION("""COMPUTED_VALUE"""),15054.82057)</f>
        <v>15054.82057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IFERROR(__xludf.DUMMYFUNCTION("""COMPUTED_VALUE"""),15092.50927)</f>
        <v>15092.50927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IFERROR(__xludf.DUMMYFUNCTION("""COMPUTED_VALUE"""),15082.67905)</f>
        <v>15082.67905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IFERROR(__xludf.DUMMYFUNCTION("""COMPUTED_VALUE"""),15111.38024)</f>
        <v>15111.38024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IFERROR(__xludf.DUMMYFUNCTION("""COMPUTED_VALUE"""),15120.412)</f>
        <v>15120.412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IFERROR(__xludf.DUMMYFUNCTION("""COMPUTED_VALUE"""),14960.1443)</f>
        <v>14960.1443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IFERROR(__xludf.DUMMYFUNCTION("""COMPUTED_VALUE"""),15076.5237)</f>
        <v>15076.5237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IFERROR(__xludf.DUMMYFUNCTION("""COMPUTED_VALUE"""),15025.29213)</f>
        <v>15025.29213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IFERROR(__xludf.DUMMYFUNCTION("""COMPUTED_VALUE"""),15081.57)</f>
        <v>15081.57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IFERROR(__xludf.DUMMYFUNCTION("""COMPUTED_VALUE"""),14987.21143)</f>
        <v>14987.21143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IFERROR(__xludf.DUMMYFUNCTION("""COMPUTED_VALUE"""),14925.6457)</f>
        <v>14925.6457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IFERROR(__xludf.DUMMYFUNCTION("""COMPUTED_VALUE"""),14915.9367)</f>
        <v>14915.9367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IFERROR(__xludf.DUMMYFUNCTION("""COMPUTED_VALUE"""),14980.48694)</f>
        <v>14980.48694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IFERROR(__xludf.DUMMYFUNCTION("""COMPUTED_VALUE"""),14852.52224)</f>
        <v>14852.52224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IFERROR(__xludf.DUMMYFUNCTION("""COMPUTED_VALUE"""),14772.05492)</f>
        <v>14772.05492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IFERROR(__xludf.DUMMYFUNCTION("""COMPUTED_VALUE"""),14794.98768)</f>
        <v>14794.98768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IFERROR(__xludf.DUMMYFUNCTION("""COMPUTED_VALUE"""),14850.63283)</f>
        <v>14850.63283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IFERROR(__xludf.DUMMYFUNCTION("""COMPUTED_VALUE"""),14760.9539)</f>
        <v>14760.9539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IFERROR(__xludf.DUMMYFUNCTION("""COMPUTED_VALUE"""),14760.9539)</f>
        <v>14760.9539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IFERROR(__xludf.DUMMYFUNCTION("""COMPUTED_VALUE"""),14770.6849)</f>
        <v>14770.6849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IFERROR(__xludf.DUMMYFUNCTION("""COMPUTED_VALUE"""),14854.38988)</f>
        <v>14854.38988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IFERROR(__xludf.DUMMYFUNCTION("""COMPUTED_VALUE"""),14753.00196)</f>
        <v>14753.00196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IFERROR(__xludf.DUMMYFUNCTION("""COMPUTED_VALUE"""),14644.36883)</f>
        <v>14644.36883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IFERROR(__xludf.DUMMYFUNCTION("""COMPUTED_VALUE"""),14715.22304)</f>
        <v>14715.22304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IFERROR(__xludf.DUMMYFUNCTION("""COMPUTED_VALUE"""),14743.85)</f>
        <v>14743.85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IFERROR(__xludf.DUMMYFUNCTION("""COMPUTED_VALUE"""),14737.8)</f>
        <v>14737.8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IFERROR(__xludf.DUMMYFUNCTION("""COMPUTED_VALUE"""),14832.35208)</f>
        <v>14832.35208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IFERROR(__xludf.DUMMYFUNCTION("""COMPUTED_VALUE"""),14744.41581)</f>
        <v>14744.41581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IFERROR(__xludf.DUMMYFUNCTION("""COMPUTED_VALUE"""),14676.64352)</f>
        <v>14676.64352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IFERROR(__xludf.DUMMYFUNCTION("""COMPUTED_VALUE"""),14778.42816)</f>
        <v>14778.42816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IFERROR(__xludf.DUMMYFUNCTION("""COMPUTED_VALUE"""),14892.23779)</f>
        <v>14892.23779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IFERROR(__xludf.DUMMYFUNCTION("""COMPUTED_VALUE"""),14848.446)</f>
        <v>14848.446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IFERROR(__xludf.DUMMYFUNCTION("""COMPUTED_VALUE"""),14933.15216)</f>
        <v>14933.15216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IFERROR(__xludf.DUMMYFUNCTION("""COMPUTED_VALUE"""),14605.4449)</f>
        <v>14605.4449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IFERROR(__xludf.DUMMYFUNCTION("""COMPUTED_VALUE"""),14974.49882)</f>
        <v>14974.49882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IFERROR(__xludf.DUMMYFUNCTION("""COMPUTED_VALUE"""),14958.35545)</f>
        <v>14958.35545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IFERROR(__xludf.DUMMYFUNCTION("""COMPUTED_VALUE"""),15040.31156)</f>
        <v>15040.31156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IFERROR(__xludf.DUMMYFUNCTION("""COMPUTED_VALUE"""),15226.80205)</f>
        <v>15226.80205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IFERROR(__xludf.DUMMYFUNCTION("""COMPUTED_VALUE"""),15213.0834)</f>
        <v>15213.0834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IFERROR(__xludf.DUMMYFUNCTION("""COMPUTED_VALUE"""),15278.06299)</f>
        <v>15278.06299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IFERROR(__xludf.DUMMYFUNCTION("""COMPUTED_VALUE"""),15185.5038)</f>
        <v>15185.5038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IFERROR(__xludf.DUMMYFUNCTION("""COMPUTED_VALUE"""),15233.9994)</f>
        <v>15233.9994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IFERROR(__xludf.DUMMYFUNCTION("""COMPUTED_VALUE"""),15324.83868)</f>
        <v>15324.83868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IFERROR(__xludf.DUMMYFUNCTION("""COMPUTED_VALUE"""),15415.08514)</f>
        <v>15415.08514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IFERROR(__xludf.DUMMYFUNCTION("""COMPUTED_VALUE"""),15482.20786)</f>
        <v>15482.20786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IFERROR(__xludf.DUMMYFUNCTION("""COMPUTED_VALUE"""),15466.284)</f>
        <v>15466.284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IFERROR(__xludf.DUMMYFUNCTION("""COMPUTED_VALUE"""),15314.10255)</f>
        <v>15314.10255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IFERROR(__xludf.DUMMYFUNCTION("""COMPUTED_VALUE"""),15110.7714)</f>
        <v>15110.7714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IFERROR(__xludf.DUMMYFUNCTION("""COMPUTED_VALUE"""),15495.14715)</f>
        <v>15495.14715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IFERROR(__xludf.DUMMYFUNCTION("""COMPUTED_VALUE"""),15442.01448)</f>
        <v>15442.01448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IFERROR(__xludf.DUMMYFUNCTION("""COMPUTED_VALUE"""),15291.58554)</f>
        <v>15291.58554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IFERROR(__xludf.DUMMYFUNCTION("""COMPUTED_VALUE"""),15348.88792)</f>
        <v>15348.88792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IFERROR(__xludf.DUMMYFUNCTION("""COMPUTED_VALUE"""),15291.7792)</f>
        <v>15291.7792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IFERROR(__xludf.DUMMYFUNCTION("""COMPUTED_VALUE"""),15260.82579)</f>
        <v>15260.82579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IFERROR(__xludf.DUMMYFUNCTION("""COMPUTED_VALUE"""),14792.31093)</f>
        <v>14792.31093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IFERROR(__xludf.DUMMYFUNCTION("""COMPUTED_VALUE"""),15291.34974)</f>
        <v>15291.34974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IFERROR(__xludf.DUMMYFUNCTION("""COMPUTED_VALUE"""),15246.5396)</f>
        <v>15246.5396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IFERROR(__xludf.DUMMYFUNCTION("""COMPUTED_VALUE"""),15163.33434)</f>
        <v>15163.33434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IFERROR(__xludf.DUMMYFUNCTION("""COMPUTED_VALUE"""),15100.05906)</f>
        <v>15100.05906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IFERROR(__xludf.DUMMYFUNCTION("""COMPUTED_VALUE"""),15058.197)</f>
        <v>15058.197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IFERROR(__xludf.DUMMYFUNCTION("""COMPUTED_VALUE"""),15058.89)</f>
        <v>15058.89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IFERROR(__xludf.DUMMYFUNCTION("""COMPUTED_VALUE"""),14612.84649)</f>
        <v>14612.84649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IFERROR(__xludf.DUMMYFUNCTION("""COMPUTED_VALUE"""),15057.14184)</f>
        <v>15057.14184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IFERROR(__xludf.DUMMYFUNCTION("""COMPUTED_VALUE"""),15005.24738)</f>
        <v>15005.24738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IFERROR(__xludf.DUMMYFUNCTION("""COMPUTED_VALUE"""),15134.62997)</f>
        <v>15134.62997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IFERROR(__xludf.DUMMYFUNCTION("""COMPUTED_VALUE"""),14922.9927)</f>
        <v>14922.9927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IFERROR(__xludf.DUMMYFUNCTION("""COMPUTED_VALUE"""),14766.9102)</f>
        <v>14766.9102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IFERROR(__xludf.DUMMYFUNCTION("""COMPUTED_VALUE"""),14766.9102)</f>
        <v>14766.9102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IFERROR(__xludf.DUMMYFUNCTION("""COMPUTED_VALUE"""),14753.025)</f>
        <v>14753.025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IFERROR(__xludf.DUMMYFUNCTION("""COMPUTED_VALUE"""),14840.566)</f>
        <v>14840.566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IFERROR(__xludf.DUMMYFUNCTION("""COMPUTED_VALUE"""),14752.70748)</f>
        <v>14752.70748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IFERROR(__xludf.DUMMYFUNCTION("""COMPUTED_VALUE"""),15057.0938)</f>
        <v>15057.0938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IFERROR(__xludf.DUMMYFUNCTION("""COMPUTED_VALUE"""),15085.771)</f>
        <v>15085.771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IFERROR(__xludf.DUMMYFUNCTION("""COMPUTED_VALUE"""),15060.6512)</f>
        <v>15060.6512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IFERROR(__xludf.DUMMYFUNCTION("""COMPUTED_VALUE"""),14996.89122)</f>
        <v>14996.89122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IFERROR(__xludf.DUMMYFUNCTION("""COMPUTED_VALUE"""),14514.7995)</f>
        <v>14514.7995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IFERROR(__xludf.DUMMYFUNCTION("""COMPUTED_VALUE"""),15079.69632)</f>
        <v>15079.69632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IFERROR(__xludf.DUMMYFUNCTION("""COMPUTED_VALUE"""),15152.5994)</f>
        <v>15152.5994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IFERROR(__xludf.DUMMYFUNCTION("""COMPUTED_VALUE"""),15230.94867)</f>
        <v>15230.94867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IFERROR(__xludf.DUMMYFUNCTION("""COMPUTED_VALUE"""),15268.704)</f>
        <v>15268.704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IFERROR(__xludf.DUMMYFUNCTION("""COMPUTED_VALUE"""),15390.144)</f>
        <v>15390.144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IFERROR(__xludf.DUMMYFUNCTION("""COMPUTED_VALUE"""),15348.9204)</f>
        <v>15348.9204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IFERROR(__xludf.DUMMYFUNCTION("""COMPUTED_VALUE"""),15345.80397)</f>
        <v>15345.80397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IFERROR(__xludf.DUMMYFUNCTION("""COMPUTED_VALUE"""),15414.8246)</f>
        <v>15414.8246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IFERROR(__xludf.DUMMYFUNCTION("""COMPUTED_VALUE"""),15636.29668)</f>
        <v>15636.29668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IFERROR(__xludf.DUMMYFUNCTION("""COMPUTED_VALUE"""),15668.7765)</f>
        <v>15668.7765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IFERROR(__xludf.DUMMYFUNCTION("""COMPUTED_VALUE"""),15759.8688)</f>
        <v>15759.8688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IFERROR(__xludf.DUMMYFUNCTION("""COMPUTED_VALUE"""),15740.4006)</f>
        <v>15740.4006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IFERROR(__xludf.DUMMYFUNCTION("""COMPUTED_VALUE"""),15751.168)</f>
        <v>15751.168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IFERROR(__xludf.DUMMYFUNCTION("""COMPUTED_VALUE"""),15805.42866)</f>
        <v>15805.42866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IFERROR(__xludf.DUMMYFUNCTION("""COMPUTED_VALUE"""),15711.2228)</f>
        <v>15711.2228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IFERROR(__xludf.DUMMYFUNCTION("""COMPUTED_VALUE"""),15605.7096)</f>
        <v>15605.7096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IFERROR(__xludf.DUMMYFUNCTION("""COMPUTED_VALUE"""),15557.45)</f>
        <v>15557.45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IFERROR(__xludf.DUMMYFUNCTION("""COMPUTED_VALUE"""),15496.9232)</f>
        <v>15496.9232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IFERROR(__xludf.DUMMYFUNCTION("""COMPUTED_VALUE"""),15696.3599)</f>
        <v>15696.3599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IFERROR(__xludf.DUMMYFUNCTION("""COMPUTED_VALUE"""),15683.436)</f>
        <v>15683.436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IFERROR(__xludf.DUMMYFUNCTION("""COMPUTED_VALUE"""),15634.61734)</f>
        <v>15634.61734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IFERROR(__xludf.DUMMYFUNCTION("""COMPUTED_VALUE"""),15737.21664)</f>
        <v>15737.21664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IFERROR(__xludf.DUMMYFUNCTION("""COMPUTED_VALUE"""),15740.3922)</f>
        <v>15740.3922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IFERROR(__xludf.DUMMYFUNCTION("""COMPUTED_VALUE"""),15889.642)</f>
        <v>15889.642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IFERROR(__xludf.DUMMYFUNCTION("""COMPUTED_VALUE"""),15935.17263)</f>
        <v>15935.17263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IFERROR(__xludf.DUMMYFUNCTION("""COMPUTED_VALUE"""),15906.4884)</f>
        <v>15906.4884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IFERROR(__xludf.DUMMYFUNCTION("""COMPUTED_VALUE"""),15927.41436)</f>
        <v>15927.41436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IFERROR(__xludf.DUMMYFUNCTION("""COMPUTED_VALUE"""),15923.1114)</f>
        <v>15923.1114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IFERROR(__xludf.DUMMYFUNCTION("""COMPUTED_VALUE"""),15857.8686)</f>
        <v>15857.8686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IFERROR(__xludf.DUMMYFUNCTION("""COMPUTED_VALUE"""),15914.32192)</f>
        <v>15914.32192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IFERROR(__xludf.DUMMYFUNCTION("""COMPUTED_VALUE"""),15968.5995)</f>
        <v>15968.5995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IFERROR(__xludf.DUMMYFUNCTION("""COMPUTED_VALUE"""),16141.0428)</f>
        <v>16141.0428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IFERROR(__xludf.DUMMYFUNCTION("""COMPUTED_VALUE"""),16189.572)</f>
        <v>16189.572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IFERROR(__xludf.DUMMYFUNCTION("""COMPUTED_VALUE"""),16183.3212)</f>
        <v>16183.3212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IFERROR(__xludf.DUMMYFUNCTION("""COMPUTED_VALUE"""),16194.816)</f>
        <v>16194.816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IFERROR(__xludf.DUMMYFUNCTION("""COMPUTED_VALUE"""),16369.26819)</f>
        <v>16369.26819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IFERROR(__xludf.DUMMYFUNCTION("""COMPUTED_VALUE"""),16693.44451)</f>
        <v>16693.44451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IFERROR(__xludf.DUMMYFUNCTION("""COMPUTED_VALUE"""),16790.31064)</f>
        <v>16790.31064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IFERROR(__xludf.DUMMYFUNCTION("""COMPUTED_VALUE"""),17199.9912)</f>
        <v>17199.9912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IFERROR(__xludf.DUMMYFUNCTION("""COMPUTED_VALUE"""),16735.6)</f>
        <v>16735.6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IFERROR(__xludf.DUMMYFUNCTION("""COMPUTED_VALUE"""),16735.6)</f>
        <v>16735.6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IFERROR(__xludf.DUMMYFUNCTION("""COMPUTED_VALUE"""),17136.986)</f>
        <v>17136.986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IFERROR(__xludf.DUMMYFUNCTION("""COMPUTED_VALUE"""),17298.9216)</f>
        <v>17298.9216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IFERROR(__xludf.DUMMYFUNCTION("""COMPUTED_VALUE"""),16942.54663)</f>
        <v>16942.54663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IFERROR(__xludf.DUMMYFUNCTION("""COMPUTED_VALUE"""),16956.2844)</f>
        <v>16956.2844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IFERROR(__xludf.DUMMYFUNCTION("""COMPUTED_VALUE"""),16908.57675)</f>
        <v>16908.57675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IFERROR(__xludf.DUMMYFUNCTION("""COMPUTED_VALUE"""),16883.5596)</f>
        <v>16883.5596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IFERROR(__xludf.DUMMYFUNCTION("""COMPUTED_VALUE"""),16895.966)</f>
        <v>16895.966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IFERROR(__xludf.DUMMYFUNCTION("""COMPUTED_VALUE"""),16902.503)</f>
        <v>16902.503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IFERROR(__xludf.DUMMYFUNCTION("""COMPUTED_VALUE"""),17016.4764)</f>
        <v>17016.4764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IFERROR(__xludf.DUMMYFUNCTION("""COMPUTED_VALUE"""),17172.90978)</f>
        <v>17172.90978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IFERROR(__xludf.DUMMYFUNCTION("""COMPUTED_VALUE"""),17335.7334)</f>
        <v>17335.7334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IFERROR(__xludf.DUMMYFUNCTION("""COMPUTED_VALUE"""),17295.22935)</f>
        <v>17295.22935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IFERROR(__xludf.DUMMYFUNCTION("""COMPUTED_VALUE"""),17424.9904)</f>
        <v>17424.9904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IFERROR(__xludf.DUMMYFUNCTION("""COMPUTED_VALUE"""),17429.68)</f>
        <v>17429.68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IFERROR(__xludf.DUMMYFUNCTION("""COMPUTED_VALUE"""),17425.22)</f>
        <v>17425.22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IFERROR(__xludf.DUMMYFUNCTION("""COMPUTED_VALUE"""),17469.4476)</f>
        <v>17469.4476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IFERROR(__xludf.DUMMYFUNCTION("""COMPUTED_VALUE"""),17631.6485)</f>
        <v>17631.6485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IFERROR(__xludf.DUMMYFUNCTION("""COMPUTED_VALUE"""),17898.5172)</f>
        <v>17898.5172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IFERROR(__xludf.DUMMYFUNCTION("""COMPUTED_VALUE"""),17891.0244)</f>
        <v>17891.0244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IFERROR(__xludf.DUMMYFUNCTION("""COMPUTED_VALUE"""),18064.49225)</f>
        <v>18064.49225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IFERROR(__xludf.DUMMYFUNCTION("""COMPUTED_VALUE"""),18066.1994)</f>
        <v>18066.1994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IFERROR(__xludf.DUMMYFUNCTION("""COMPUTED_VALUE"""),18145.8664)</f>
        <v>18145.8664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IFERROR(__xludf.DUMMYFUNCTION("""COMPUTED_VALUE"""),18042.98067)</f>
        <v>18042.98067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IFERROR(__xludf.DUMMYFUNCTION("""COMPUTED_VALUE"""),18159.65186)</f>
        <v>18159.65186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IFERROR(__xludf.DUMMYFUNCTION("""COMPUTED_VALUE"""),18462.1896)</f>
        <v>18462.1896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IFERROR(__xludf.DUMMYFUNCTION("""COMPUTED_VALUE"""),18041.765)</f>
        <v>18041.765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IFERROR(__xludf.DUMMYFUNCTION("""COMPUTED_VALUE"""),18118.48338)</f>
        <v>18118.48338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IFERROR(__xludf.DUMMYFUNCTION("""COMPUTED_VALUE"""),18124.53)</f>
        <v>18124.53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IFERROR(__xludf.DUMMYFUNCTION("""COMPUTED_VALUE"""),18170.7825)</f>
        <v>18170.7825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IFERROR(__xludf.DUMMYFUNCTION("""COMPUTED_VALUE"""),18312.868)</f>
        <v>18312.868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IFERROR(__xludf.DUMMYFUNCTION("""COMPUTED_VALUE"""),18310.74105)</f>
        <v>18310.74105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IFERROR(__xludf.DUMMYFUNCTION("""COMPUTED_VALUE"""),18418.1621)</f>
        <v>18418.1621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IFERROR(__xludf.DUMMYFUNCTION("""COMPUTED_VALUE"""),18329.3766)</f>
        <v>18329.3766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IFERROR(__xludf.DUMMYFUNCTION("""COMPUTED_VALUE"""),18570.57713)</f>
        <v>18570.57713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IFERROR(__xludf.DUMMYFUNCTION("""COMPUTED_VALUE"""),18658.90741)</f>
        <v>18658.90741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IFERROR(__xludf.DUMMYFUNCTION("""COMPUTED_VALUE"""),18598.544)</f>
        <v>18598.544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IFERROR(__xludf.DUMMYFUNCTION("""COMPUTED_VALUE"""),18702.688)</f>
        <v>18702.688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IFERROR(__xludf.DUMMYFUNCTION("""COMPUTED_VALUE"""),18587.80489)</f>
        <v>18587.80489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IFERROR(__xludf.DUMMYFUNCTION("""COMPUTED_VALUE"""),18660.03966)</f>
        <v>18660.03966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IFERROR(__xludf.DUMMYFUNCTION("""COMPUTED_VALUE"""),18588.96303)</f>
        <v>18588.96303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IFERROR(__xludf.DUMMYFUNCTION("""COMPUTED_VALUE"""),18394.7928)</f>
        <v>18394.7928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IFERROR(__xludf.DUMMYFUNCTION("""COMPUTED_VALUE"""),18405.9984)</f>
        <v>18405.9984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IFERROR(__xludf.DUMMYFUNCTION("""COMPUTED_VALUE"""),18428.811)</f>
        <v>18428.811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IFERROR(__xludf.DUMMYFUNCTION("""COMPUTED_VALUE"""),18498.673)</f>
        <v>18498.673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IFERROR(__xludf.DUMMYFUNCTION("""COMPUTED_VALUE"""),18480.63072)</f>
        <v>18480.63072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IFERROR(__xludf.DUMMYFUNCTION("""COMPUTED_VALUE"""),18357.95325)</f>
        <v>18357.95325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IFERROR(__xludf.DUMMYFUNCTION("""COMPUTED_VALUE"""),18309.73527)</f>
        <v>18309.73527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IFERROR(__xludf.DUMMYFUNCTION("""COMPUTED_VALUE"""),18089.001)</f>
        <v>18089.001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IFERROR(__xludf.DUMMYFUNCTION("""COMPUTED_VALUE"""),18091.836)</f>
        <v>18091.836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IFERROR(__xludf.DUMMYFUNCTION("""COMPUTED_VALUE"""),18106.1244)</f>
        <v>18106.1244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IFERROR(__xludf.DUMMYFUNCTION("""COMPUTED_VALUE"""),18108.36336)</f>
        <v>18108.36336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IFERROR(__xludf.DUMMYFUNCTION("""COMPUTED_VALUE"""),18128.88333)</f>
        <v>18128.88333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IFERROR(__xludf.DUMMYFUNCTION("""COMPUTED_VALUE"""),18075.252)</f>
        <v>18075.252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IFERROR(__xludf.DUMMYFUNCTION("""COMPUTED_VALUE"""),18261.43254)</f>
        <v>18261.43254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IFERROR(__xludf.DUMMYFUNCTION("""COMPUTED_VALUE"""),18262.0872)</f>
        <v>18262.0872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IFERROR(__xludf.DUMMYFUNCTION("""COMPUTED_VALUE"""),18262.0872)</f>
        <v>18262.0872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IFERROR(__xludf.DUMMYFUNCTION("""COMPUTED_VALUE"""),18271.01262)</f>
        <v>18271.01262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IFERROR(__xludf.DUMMYFUNCTION("""COMPUTED_VALUE"""),18257.8968)</f>
        <v>18257.8968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IFERROR(__xludf.DUMMYFUNCTION("""COMPUTED_VALUE"""),18285.52704)</f>
        <v>18285.52704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IFERROR(__xludf.DUMMYFUNCTION("""COMPUTED_VALUE"""),18172.5528)</f>
        <v>18172.5528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IFERROR(__xludf.DUMMYFUNCTION("""COMPUTED_VALUE"""),18024.35544)</f>
        <v>18024.35544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IFERROR(__xludf.DUMMYFUNCTION("""COMPUTED_VALUE"""),17763.137)</f>
        <v>17763.137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IFERROR(__xludf.DUMMYFUNCTION("""COMPUTED_VALUE"""),17764.236)</f>
        <v>17764.236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IFERROR(__xludf.DUMMYFUNCTION("""COMPUTED_VALUE"""),17770.83)</f>
        <v>17770.83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IFERROR(__xludf.DUMMYFUNCTION("""COMPUTED_VALUE"""),17794.23975)</f>
        <v>17794.23975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IFERROR(__xludf.DUMMYFUNCTION("""COMPUTED_VALUE"""),17770.945)</f>
        <v>17770.945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IFERROR(__xludf.DUMMYFUNCTION("""COMPUTED_VALUE"""),17861.9528)</f>
        <v>17861.9528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IFERROR(__xludf.DUMMYFUNCTION("""COMPUTED_VALUE"""),18041.7029)</f>
        <v>18041.7029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IFERROR(__xludf.DUMMYFUNCTION("""COMPUTED_VALUE"""),18007.99)</f>
        <v>18007.99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IFERROR(__xludf.DUMMYFUNCTION("""COMPUTED_VALUE"""),18007.99)</f>
        <v>18007.99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IFERROR(__xludf.DUMMYFUNCTION("""COMPUTED_VALUE"""),18092.6035)</f>
        <v>18092.6035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IFERROR(__xludf.DUMMYFUNCTION("""COMPUTED_VALUE"""),18090.91805)</f>
        <v>18090.91805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IFERROR(__xludf.DUMMYFUNCTION("""COMPUTED_VALUE"""),18177.852)</f>
        <v>18177.852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IFERROR(__xludf.DUMMYFUNCTION("""COMPUTED_VALUE"""),18301.9988)</f>
        <v>18301.9988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IFERROR(__xludf.DUMMYFUNCTION("""COMPUTED_VALUE"""),18276.9132)</f>
        <v>18276.9132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IFERROR(__xludf.DUMMYFUNCTION("""COMPUTED_VALUE"""),18232.14288)</f>
        <v>18232.14288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IFERROR(__xludf.DUMMYFUNCTION("""COMPUTED_VALUE"""),18333.01986)</f>
        <v>18333.01986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IFERROR(__xludf.DUMMYFUNCTION("""COMPUTED_VALUE"""),18207.5379)</f>
        <v>18207.5379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IFERROR(__xludf.DUMMYFUNCTION("""COMPUTED_VALUE"""),18433.902)</f>
        <v>18433.902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IFERROR(__xludf.DUMMYFUNCTION("""COMPUTED_VALUE"""),18373.7781)</f>
        <v>18373.7781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IFERROR(__xludf.DUMMYFUNCTION("""COMPUTED_VALUE"""),18570.6657)</f>
        <v>18570.6657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IFERROR(__xludf.DUMMYFUNCTION("""COMPUTED_VALUE"""),18481.1214)</f>
        <v>18481.1214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IFERROR(__xludf.DUMMYFUNCTION("""COMPUTED_VALUE"""),18685.45845)</f>
        <v>18685.45845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IFERROR(__xludf.DUMMYFUNCTION("""COMPUTED_VALUE"""),18764.70908)</f>
        <v>18764.70908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IFERROR(__xludf.DUMMYFUNCTION("""COMPUTED_VALUE"""),18681.864)</f>
        <v>18681.864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IFERROR(__xludf.DUMMYFUNCTION("""COMPUTED_VALUE"""),18700.297)</f>
        <v>18700.297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IFERROR(__xludf.DUMMYFUNCTION("""COMPUTED_VALUE"""),18665.881)</f>
        <v>18665.881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IFERROR(__xludf.DUMMYFUNCTION("""COMPUTED_VALUE"""),18719.2013)</f>
        <v>18719.2013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IFERROR(__xludf.DUMMYFUNCTION("""COMPUTED_VALUE"""),18895.5364)</f>
        <v>18895.5364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IFERROR(__xludf.DUMMYFUNCTION("""COMPUTED_VALUE"""),18926.67408)</f>
        <v>18926.67408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IFERROR(__xludf.DUMMYFUNCTION("""COMPUTED_VALUE"""),18927.3741)</f>
        <v>18927.3741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IFERROR(__xludf.DUMMYFUNCTION("""COMPUTED_VALUE"""),18936.12435)</f>
        <v>18936.12435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IFERROR(__xludf.DUMMYFUNCTION("""COMPUTED_VALUE"""),18937.904)</f>
        <v>18937.904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IFERROR(__xludf.DUMMYFUNCTION("""COMPUTED_VALUE"""),19044.5175)</f>
        <v>19044.5175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IFERROR(__xludf.DUMMYFUNCTION("""COMPUTED_VALUE"""),19341.828)</f>
        <v>19341.828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IFERROR(__xludf.DUMMYFUNCTION("""COMPUTED_VALUE"""),19409.0688)</f>
        <v>19409.0688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IFERROR(__xludf.DUMMYFUNCTION("""COMPUTED_VALUE"""),19405.26126)</f>
        <v>19405.26126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IFERROR(__xludf.DUMMYFUNCTION("""COMPUTED_VALUE"""),19025.475)</f>
        <v>19025.475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IFERROR(__xludf.DUMMYFUNCTION("""COMPUTED_VALUE"""),19037.7975)</f>
        <v>19037.7975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IFERROR(__xludf.DUMMYFUNCTION("""COMPUTED_VALUE"""),19439.106)</f>
        <v>19439.106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IFERROR(__xludf.DUMMYFUNCTION("""COMPUTED_VALUE"""),19475.9495)</f>
        <v>19475.9495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IFERROR(__xludf.DUMMYFUNCTION("""COMPUTED_VALUE"""),19606.5444)</f>
        <v>19606.5444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IFERROR(__xludf.DUMMYFUNCTION("""COMPUTED_VALUE"""),19553.9775)</f>
        <v>19553.9775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IFERROR(__xludf.DUMMYFUNCTION("""COMPUTED_VALUE"""),19535.2625)</f>
        <v>19535.2625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IFERROR(__xludf.DUMMYFUNCTION("""COMPUTED_VALUE"""),19088.8588)</f>
        <v>19088.8588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IFERROR(__xludf.DUMMYFUNCTION("""COMPUTED_VALUE"""),19067.8384)</f>
        <v>19067.8384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IFERROR(__xludf.DUMMYFUNCTION("""COMPUTED_VALUE"""),19403.20689)</f>
        <v>19403.20689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IFERROR(__xludf.DUMMYFUNCTION("""COMPUTED_VALUE"""),19469.2968)</f>
        <v>19469.2968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IFERROR(__xludf.DUMMYFUNCTION("""COMPUTED_VALUE"""),19449.15598)</f>
        <v>19449.15598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IFERROR(__xludf.DUMMYFUNCTION("""COMPUTED_VALUE"""),19603.12627)</f>
        <v>19603.12627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IFERROR(__xludf.DUMMYFUNCTION("""COMPUTED_VALUE"""),19587.3643)</f>
        <v>19587.3643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IFERROR(__xludf.DUMMYFUNCTION("""COMPUTED_VALUE"""),19587.73913)</f>
        <v>19587.73913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IFERROR(__xludf.DUMMYFUNCTION("""COMPUTED_VALUE"""),19544.0364)</f>
        <v>19544.0364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IFERROR(__xludf.DUMMYFUNCTION("""COMPUTED_VALUE"""),19496.5344)</f>
        <v>19496.5344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IFERROR(__xludf.DUMMYFUNCTION("""COMPUTED_VALUE"""),19501.80288)</f>
        <v>19501.80288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IFERROR(__xludf.DUMMYFUNCTION("""COMPUTED_VALUE"""),19678.659)</f>
        <v>19678.659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IFERROR(__xludf.DUMMYFUNCTION("""COMPUTED_VALUE"""),19827.4716)</f>
        <v>19827.4716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IFERROR(__xludf.DUMMYFUNCTION("""COMPUTED_VALUE"""),19851.9255)</f>
        <v>19851.9255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IFERROR(__xludf.DUMMYFUNCTION("""COMPUTED_VALUE"""),19848.10311)</f>
        <v>19848.10311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IFERROR(__xludf.DUMMYFUNCTION("""COMPUTED_VALUE"""),19842.2031)</f>
        <v>19842.2031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IFERROR(__xludf.DUMMYFUNCTION("""COMPUTED_VALUE"""),19856.21502)</f>
        <v>19856.21502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IFERROR(__xludf.DUMMYFUNCTION("""COMPUTED_VALUE"""),19872.9132)</f>
        <v>19872.9132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IFERROR(__xludf.DUMMYFUNCTION("""COMPUTED_VALUE"""),19861.98)</f>
        <v>19861.98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IFERROR(__xludf.DUMMYFUNCTION("""COMPUTED_VALUE"""),19937.41908)</f>
        <v>19937.41908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IFERROR(__xludf.DUMMYFUNCTION("""COMPUTED_VALUE"""),20008.8018)</f>
        <v>20008.8018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IFERROR(__xludf.DUMMYFUNCTION("""COMPUTED_VALUE"""),20023.07261)</f>
        <v>20023.07261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IFERROR(__xludf.DUMMYFUNCTION("""COMPUTED_VALUE"""),20008.92322)</f>
        <v>20008.92322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IFERROR(__xludf.DUMMYFUNCTION("""COMPUTED_VALUE"""),20132.2128)</f>
        <v>20132.2128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IFERROR(__xludf.DUMMYFUNCTION("""COMPUTED_VALUE"""),20130.0006)</f>
        <v>20130.0006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IFERROR(__xludf.DUMMYFUNCTION("""COMPUTED_VALUE"""),20151.885)</f>
        <v>20151.885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IFERROR(__xludf.DUMMYFUNCTION("""COMPUTED_VALUE"""),19901.01288)</f>
        <v>19901.01288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IFERROR(__xludf.DUMMYFUNCTION("""COMPUTED_VALUE"""),19876.97712)</f>
        <v>19876.97712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IFERROR(__xludf.DUMMYFUNCTION("""COMPUTED_VALUE"""),19871.65834)</f>
        <v>19871.65834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IFERROR(__xludf.DUMMYFUNCTION("""COMPUTED_VALUE"""),19877.0032)</f>
        <v>19877.0032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IFERROR(__xludf.DUMMYFUNCTION("""COMPUTED_VALUE"""),19916.68349)</f>
        <v>19916.68349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IFERROR(__xludf.DUMMYFUNCTION("""COMPUTED_VALUE"""),19780.5675)</f>
        <v>19780.5675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IFERROR(__xludf.DUMMYFUNCTION("""COMPUTED_VALUE"""),19855.7957)</f>
        <v>19855.7957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IFERROR(__xludf.DUMMYFUNCTION("""COMPUTED_VALUE"""),19825.24672)</f>
        <v>19825.24672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IFERROR(__xludf.DUMMYFUNCTION("""COMPUTED_VALUE"""),19487.96208)</f>
        <v>19487.96208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IFERROR(__xludf.DUMMYFUNCTION("""COMPUTED_VALUE"""),19478.7218)</f>
        <v>19478.7218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IFERROR(__xludf.DUMMYFUNCTION("""COMPUTED_VALUE"""),19812.4279)</f>
        <v>19812.4279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IFERROR(__xludf.DUMMYFUNCTION("""COMPUTED_VALUE"""),19357.15124)</f>
        <v>19357.15124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IFERROR(__xludf.DUMMYFUNCTION("""COMPUTED_VALUE"""),19391.28519)</f>
        <v>19391.28519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IFERROR(__xludf.DUMMYFUNCTION("""COMPUTED_VALUE"""),19349.30692)</f>
        <v>19349.30692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IFERROR(__xludf.DUMMYFUNCTION("""COMPUTED_VALUE"""),19424.0934)</f>
        <v>19424.0934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IFERROR(__xludf.DUMMYFUNCTION("""COMPUTED_VALUE"""),19475.5792)</f>
        <v>19475.5792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IFERROR(__xludf.DUMMYFUNCTION("""COMPUTED_VALUE"""),19482.78933)</f>
        <v>19482.78933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IFERROR(__xludf.DUMMYFUNCTION("""COMPUTED_VALUE"""),19462.5354)</f>
        <v>19462.5354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IFERROR(__xludf.DUMMYFUNCTION("""COMPUTED_VALUE"""),19535.94473)</f>
        <v>19535.94473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IFERROR(__xludf.DUMMYFUNCTION("""COMPUTED_VALUE"""),19870.57694)</f>
        <v>19870.57694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IFERROR(__xludf.DUMMYFUNCTION("""COMPUTED_VALUE"""),19959.3172)</f>
        <v>19959.3172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IFERROR(__xludf.DUMMYFUNCTION("""COMPUTED_VALUE"""),20110.659)</f>
        <v>20110.659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IFERROR(__xludf.DUMMYFUNCTION("""COMPUTED_VALUE"""),19987.7214)</f>
        <v>19987.7214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IFERROR(__xludf.DUMMYFUNCTION("""COMPUTED_VALUE"""),20002.42334)</f>
        <v>20002.42334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IFERROR(__xludf.DUMMYFUNCTION("""COMPUTED_VALUE"""),19997.423)</f>
        <v>19997.423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IFERROR(__xludf.DUMMYFUNCTION("""COMPUTED_VALUE"""),20212.8684)</f>
        <v>20212.8684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IFERROR(__xludf.DUMMYFUNCTION("""COMPUTED_VALUE"""),20034.4731)</f>
        <v>20034.4731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IFERROR(__xludf.DUMMYFUNCTION("""COMPUTED_VALUE"""),20011.2372)</f>
        <v>20011.2372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IFERROR(__xludf.DUMMYFUNCTION("""COMPUTED_VALUE"""),20031.0928)</f>
        <v>20031.0928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IFERROR(__xludf.DUMMYFUNCTION("""COMPUTED_VALUE"""),19968.525)</f>
        <v>19968.525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IFERROR(__xludf.DUMMYFUNCTION("""COMPUTED_VALUE"""),20018.25731)</f>
        <v>20018.25731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IFERROR(__xludf.DUMMYFUNCTION("""COMPUTED_VALUE"""),19964.88)</f>
        <v>19964.88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IFERROR(__xludf.DUMMYFUNCTION("""COMPUTED_VALUE"""),19720.17603)</f>
        <v>19720.17603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IFERROR(__xludf.DUMMYFUNCTION("""COMPUTED_VALUE"""),19564.13433)</f>
        <v>19564.13433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IFERROR(__xludf.DUMMYFUNCTION("""COMPUTED_VALUE"""),19617.3612)</f>
        <v>19617.3612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IFERROR(__xludf.DUMMYFUNCTION("""COMPUTED_VALUE"""),19485.0054)</f>
        <v>19485.0054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IFERROR(__xludf.DUMMYFUNCTION("""COMPUTED_VALUE"""),19688.72059)</f>
        <v>19688.72059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IFERROR(__xludf.DUMMYFUNCTION("""COMPUTED_VALUE"""),19722.3545)</f>
        <v>19722.3545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IFERROR(__xludf.DUMMYFUNCTION("""COMPUTED_VALUE"""),19688.8406)</f>
        <v>19688.8406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IFERROR(__xludf.DUMMYFUNCTION("""COMPUTED_VALUE"""),19731.90002)</f>
        <v>19731.90002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IFERROR(__xludf.DUMMYFUNCTION("""COMPUTED_VALUE"""),19717.9147)</f>
        <v>19717.9147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IFERROR(__xludf.DUMMYFUNCTION("""COMPUTED_VALUE"""),19815.0048)</f>
        <v>19815.0048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IFERROR(__xludf.DUMMYFUNCTION("""COMPUTED_VALUE"""),19779.478)</f>
        <v>19779.478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IFERROR(__xludf.DUMMYFUNCTION("""COMPUTED_VALUE"""),19434.13094)</f>
        <v>19434.13094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IFERROR(__xludf.DUMMYFUNCTION("""COMPUTED_VALUE"""),19470.91855)</f>
        <v>19470.91855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IFERROR(__xludf.DUMMYFUNCTION("""COMPUTED_VALUE"""),19583.3988)</f>
        <v>19583.3988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IFERROR(__xludf.DUMMYFUNCTION("""COMPUTED_VALUE"""),19444.7058)</f>
        <v>19444.7058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IFERROR(__xludf.DUMMYFUNCTION("""COMPUTED_VALUE"""),19752.4352)</f>
        <v>19752.4352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IFERROR(__xludf.DUMMYFUNCTION("""COMPUTED_VALUE"""),19461.97605)</f>
        <v>19461.97605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IFERROR(__xludf.DUMMYFUNCTION("""COMPUTED_VALUE"""),19592.17946)</f>
        <v>19592.17946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IFERROR(__xludf.DUMMYFUNCTION("""COMPUTED_VALUE"""),19408.56555)</f>
        <v>19408.56555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IFERROR(__xludf.DUMMYFUNCTION("""COMPUTED_VALUE"""),19433.90744)</f>
        <v>19433.90744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IFERROR(__xludf.DUMMYFUNCTION("""COMPUTED_VALUE"""),19426.55429)</f>
        <v>19426.55429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IFERROR(__xludf.DUMMYFUNCTION("""COMPUTED_VALUE"""),19278.6704)</f>
        <v>19278.6704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IFERROR(__xludf.DUMMYFUNCTION("""COMPUTED_VALUE"""),19374.026)</f>
        <v>19374.026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IFERROR(__xludf.DUMMYFUNCTION("""COMPUTED_VALUE"""),19443.95552)</f>
        <v>19443.95552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IFERROR(__xludf.DUMMYFUNCTION("""COMPUTED_VALUE"""),19361.60496)</f>
        <v>19361.60496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IFERROR(__xludf.DUMMYFUNCTION("""COMPUTED_VALUE"""),19369.9767)</f>
        <v>19369.9767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IFERROR(__xludf.DUMMYFUNCTION("""COMPUTED_VALUE"""),19400.91776)</f>
        <v>19400.91776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IFERROR(__xludf.DUMMYFUNCTION("""COMPUTED_VALUE"""),19353.54872)</f>
        <v>19353.54872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IFERROR(__xludf.DUMMYFUNCTION("""COMPUTED_VALUE"""),19425.8896)</f>
        <v>19425.8896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IFERROR(__xludf.DUMMYFUNCTION("""COMPUTED_VALUE"""),19270.6909)</f>
        <v>19270.6909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IFERROR(__xludf.DUMMYFUNCTION("""COMPUTED_VALUE"""),19340.9265)</f>
        <v>19340.9265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IFERROR(__xludf.DUMMYFUNCTION("""COMPUTED_VALUE"""),19099.9977)</f>
        <v>19099.9977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IFERROR(__xludf.DUMMYFUNCTION("""COMPUTED_VALUE"""),19029.4218)</f>
        <v>19029.4218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IFERROR(__xludf.DUMMYFUNCTION("""COMPUTED_VALUE"""),19056.99825)</f>
        <v>19056.99825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IFERROR(__xludf.DUMMYFUNCTION("""COMPUTED_VALUE"""),19046.38694)</f>
        <v>19046.38694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IFERROR(__xludf.DUMMYFUNCTION("""COMPUTED_VALUE"""),19017.234)</f>
        <v>19017.234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IFERROR(__xludf.DUMMYFUNCTION("""COMPUTED_VALUE"""),19084.73935)</f>
        <v>19084.73935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IFERROR(__xludf.DUMMYFUNCTION("""COMPUTED_VALUE"""),19002.683)</f>
        <v>19002.683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IFERROR(__xludf.DUMMYFUNCTION("""COMPUTED_VALUE"""),18984.21462)</f>
        <v>18984.21462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IFERROR(__xludf.DUMMYFUNCTION("""COMPUTED_VALUE"""),18803.3216)</f>
        <v>18803.3216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IFERROR(__xludf.DUMMYFUNCTION("""COMPUTED_VALUE"""),18830.30476)</f>
        <v>18830.30476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IFERROR(__xludf.DUMMYFUNCTION("""COMPUTED_VALUE"""),18799.02912)</f>
        <v>18799.02912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IFERROR(__xludf.DUMMYFUNCTION("""COMPUTED_VALUE"""),18777.30822)</f>
        <v>18777.30822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IFERROR(__xludf.DUMMYFUNCTION("""COMPUTED_VALUE"""),18793.158)</f>
        <v>18793.158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IFERROR(__xludf.DUMMYFUNCTION("""COMPUTED_VALUE"""),18699.954)</f>
        <v>18699.954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IFERROR(__xludf.DUMMYFUNCTION("""COMPUTED_VALUE"""),18872.7814)</f>
        <v>18872.7814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IFERROR(__xludf.DUMMYFUNCTION("""COMPUTED_VALUE"""),18795.91662)</f>
        <v>18795.91662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IFERROR(__xludf.DUMMYFUNCTION("""COMPUTED_VALUE"""),18818.48472)</f>
        <v>18818.48472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IFERROR(__xludf.DUMMYFUNCTION("""COMPUTED_VALUE"""),18797.62677)</f>
        <v>18797.62677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IFERROR(__xludf.DUMMYFUNCTION("""COMPUTED_VALUE"""),18741.1056)</f>
        <v>18741.1056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IFERROR(__xludf.DUMMYFUNCTION("""COMPUTED_VALUE"""),18812.793)</f>
        <v>18812.793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IFERROR(__xludf.DUMMYFUNCTION("""COMPUTED_VALUE"""),18950.42505)</f>
        <v>18950.42505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IFERROR(__xludf.DUMMYFUNCTION("""COMPUTED_VALUE"""),18896.89859)</f>
        <v>18896.89859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IFERROR(__xludf.DUMMYFUNCTION("""COMPUTED_VALUE"""),18809.37205)</f>
        <v>18809.37205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IFERROR(__xludf.DUMMYFUNCTION("""COMPUTED_VALUE"""),18847.09828)</f>
        <v>18847.09828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IFERROR(__xludf.DUMMYFUNCTION("""COMPUTED_VALUE"""),18811.85915)</f>
        <v>18811.85915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IFERROR(__xludf.DUMMYFUNCTION("""COMPUTED_VALUE"""),18753.9814)</f>
        <v>18753.9814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IFERROR(__xludf.DUMMYFUNCTION("""COMPUTED_VALUE"""),18719.8024)</f>
        <v>18719.8024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IFERROR(__xludf.DUMMYFUNCTION("""COMPUTED_VALUE"""),18741.64325)</f>
        <v>18741.64325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IFERROR(__xludf.DUMMYFUNCTION("""COMPUTED_VALUE"""),18809.41235)</f>
        <v>18809.41235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IFERROR(__xludf.DUMMYFUNCTION("""COMPUTED_VALUE"""),18749.718)</f>
        <v>18749.718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IFERROR(__xludf.DUMMYFUNCTION("""COMPUTED_VALUE"""),18774.61815)</f>
        <v>18774.61815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IFERROR(__xludf.DUMMYFUNCTION("""COMPUTED_VALUE"""),18748.8132)</f>
        <v>18748.8132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IFERROR(__xludf.DUMMYFUNCTION("""COMPUTED_VALUE"""),18758.17125)</f>
        <v>18758.17125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IFERROR(__xludf.DUMMYFUNCTION("""COMPUTED_VALUE"""),18854.87)</f>
        <v>18854.87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IFERROR(__xludf.DUMMYFUNCTION("""COMPUTED_VALUE"""),18925.0348)</f>
        <v>18925.0348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IFERROR(__xludf.DUMMYFUNCTION("""COMPUTED_VALUE"""),19035.7755)</f>
        <v>19035.7755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IFERROR(__xludf.DUMMYFUNCTION("""COMPUTED_VALUE"""),19062.12575)</f>
        <v>19062.12575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IFERROR(__xludf.DUMMYFUNCTION("""COMPUTED_VALUE"""),19100.44806)</f>
        <v>19100.44806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IFERROR(__xludf.DUMMYFUNCTION("""COMPUTED_VALUE"""),19064.9745)</f>
        <v>19064.9745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IFERROR(__xludf.DUMMYFUNCTION("""COMPUTED_VALUE"""),19127.05308)</f>
        <v>19127.05308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IFERROR(__xludf.DUMMYFUNCTION("""COMPUTED_VALUE"""),19154.705)</f>
        <v>19154.705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IFERROR(__xludf.DUMMYFUNCTION("""COMPUTED_VALUE"""),19156.18015)</f>
        <v>19156.18015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IFERROR(__xludf.DUMMYFUNCTION("""COMPUTED_VALUE"""),19215.12495)</f>
        <v>19215.12495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IFERROR(__xludf.DUMMYFUNCTION("""COMPUTED_VALUE"""),19218.444)</f>
        <v>19218.444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IFERROR(__xludf.DUMMYFUNCTION("""COMPUTED_VALUE"""),19256.86409)</f>
        <v>19256.86409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IFERROR(__xludf.DUMMYFUNCTION("""COMPUTED_VALUE"""),19220.733)</f>
        <v>19220.733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IFERROR(__xludf.DUMMYFUNCTION("""COMPUTED_VALUE"""),19200.5085)</f>
        <v>19200.5085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IFERROR(__xludf.DUMMYFUNCTION("""COMPUTED_VALUE"""),19413.2804)</f>
        <v>19413.2804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IFERROR(__xludf.DUMMYFUNCTION("""COMPUTED_VALUE"""),19494.874)</f>
        <v>19494.874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IFERROR(__xludf.DUMMYFUNCTION("""COMPUTED_VALUE"""),19479.6)</f>
        <v>19479.6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IFERROR(__xludf.DUMMYFUNCTION("""COMPUTED_VALUE"""),19433.826)</f>
        <v>19433.826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IFERROR(__xludf.DUMMYFUNCTION("""COMPUTED_VALUE"""),19420.80313)</f>
        <v>19420.80313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IFERROR(__xludf.DUMMYFUNCTION("""COMPUTED_VALUE"""),19427.69655)</f>
        <v>19427.69655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IFERROR(__xludf.DUMMYFUNCTION("""COMPUTED_VALUE"""),19473.2265)</f>
        <v>19473.2265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IFERROR(__xludf.DUMMYFUNCTION("""COMPUTED_VALUE"""),19420.999)</f>
        <v>19420.999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IFERROR(__xludf.DUMMYFUNCTION("""COMPUTED_VALUE"""),19481.033)</f>
        <v>19481.033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IFERROR(__xludf.DUMMYFUNCTION("""COMPUTED_VALUE"""),19498.5814)</f>
        <v>19498.5814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IFERROR(__xludf.DUMMYFUNCTION("""COMPUTED_VALUE"""),19428.7989)</f>
        <v>19428.7989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IFERROR(__xludf.DUMMYFUNCTION("""COMPUTED_VALUE"""),19467.02668)</f>
        <v>19467.02668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IFERROR(__xludf.DUMMYFUNCTION("""COMPUTED_VALUE"""),19431.7928)</f>
        <v>19431.7928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IFERROR(__xludf.DUMMYFUNCTION("""COMPUTED_VALUE"""),19404.333)</f>
        <v>19404.333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IFERROR(__xludf.DUMMYFUNCTION("""COMPUTED_VALUE"""),19536.4985)</f>
        <v>19536.4985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IFERROR(__xludf.DUMMYFUNCTION("""COMPUTED_VALUE"""),19614.5053)</f>
        <v>19614.5053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IFERROR(__xludf.DUMMYFUNCTION("""COMPUTED_VALUE"""),19514.13)</f>
        <v>19514.13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IFERROR(__xludf.DUMMYFUNCTION("""COMPUTED_VALUE"""),19438.782)</f>
        <v>19438.782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IFERROR(__xludf.DUMMYFUNCTION("""COMPUTED_VALUE"""),19482.07478)</f>
        <v>19482.07478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IFERROR(__xludf.DUMMYFUNCTION("""COMPUTED_VALUE"""),19325.8626)</f>
        <v>19325.8626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IFERROR(__xludf.DUMMYFUNCTION("""COMPUTED_VALUE"""),19429.632)</f>
        <v>19429.632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IFERROR(__xludf.DUMMYFUNCTION("""COMPUTED_VALUE"""),19326.61345)</f>
        <v>19326.61345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IFERROR(__xludf.DUMMYFUNCTION("""COMPUTED_VALUE"""),19121.05275)</f>
        <v>19121.05275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IFERROR(__xludf.DUMMYFUNCTION("""COMPUTED_VALUE"""),19116.5535)</f>
        <v>19116.5535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IFERROR(__xludf.DUMMYFUNCTION("""COMPUTED_VALUE"""),19032.4292)</f>
        <v>19032.4292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IFERROR(__xludf.DUMMYFUNCTION("""COMPUTED_VALUE"""),19086.25249)</f>
        <v>19086.25249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IFERROR(__xludf.DUMMYFUNCTION("""COMPUTED_VALUE"""),19161.397)</f>
        <v>19161.397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IFERROR(__xludf.DUMMYFUNCTION("""COMPUTED_VALUE"""),19198.3904)</f>
        <v>19198.3904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IFERROR(__xludf.DUMMYFUNCTION("""COMPUTED_VALUE"""),19292.6808)</f>
        <v>19292.6808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IFERROR(__xludf.DUMMYFUNCTION("""COMPUTED_VALUE"""),19423.44635)</f>
        <v>19423.44635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IFERROR(__xludf.DUMMYFUNCTION("""COMPUTED_VALUE"""),19413.917)</f>
        <v>19413.917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IFERROR(__xludf.DUMMYFUNCTION("""COMPUTED_VALUE"""),19514.385)</f>
        <v>19514.385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IFERROR(__xludf.DUMMYFUNCTION("""COMPUTED_VALUE"""),19462.43317)</f>
        <v>19462.43317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IFERROR(__xludf.DUMMYFUNCTION("""COMPUTED_VALUE"""),19519.023)</f>
        <v>19519.023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IFERROR(__xludf.DUMMYFUNCTION("""COMPUTED_VALUE"""),19464.728)</f>
        <v>19464.728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IFERROR(__xludf.DUMMYFUNCTION("""COMPUTED_VALUE"""),19431.5508)</f>
        <v>19431.5508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IFERROR(__xludf.DUMMYFUNCTION("""COMPUTED_VALUE"""),19438.382)</f>
        <v>19438.382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IFERROR(__xludf.DUMMYFUNCTION("""COMPUTED_VALUE"""),19386.1443)</f>
        <v>19386.1443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IFERROR(__xludf.DUMMYFUNCTION("""COMPUTED_VALUE"""),19535.164)</f>
        <v>19535.164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IFERROR(__xludf.DUMMYFUNCTION("""COMPUTED_VALUE"""),19601.29916)</f>
        <v>19601.29916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IFERROR(__xludf.DUMMYFUNCTION("""COMPUTED_VALUE"""),19594.14127)</f>
        <v>19594.14127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IFERROR(__xludf.DUMMYFUNCTION("""COMPUTED_VALUE"""),19692.12)</f>
        <v>19692.12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IFERROR(__xludf.DUMMYFUNCTION("""COMPUTED_VALUE"""),19707.688)</f>
        <v>19707.688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IFERROR(__xludf.DUMMYFUNCTION("""COMPUTED_VALUE"""),19873.40625)</f>
        <v>19873.40625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IFERROR(__xludf.DUMMYFUNCTION("""COMPUTED_VALUE"""),19910.4974)</f>
        <v>19910.4974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IFERROR(__xludf.DUMMYFUNCTION("""COMPUTED_VALUE"""),19848.0185)</f>
        <v>19848.0185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IFERROR(__xludf.DUMMYFUNCTION("""COMPUTED_VALUE"""),19880.45736)</f>
        <v>19880.45736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IFERROR(__xludf.DUMMYFUNCTION("""COMPUTED_VALUE"""),19880.45736)</f>
        <v>19880.45736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IFERROR(__xludf.DUMMYFUNCTION("""COMPUTED_VALUE"""),19784.00175)</f>
        <v>19784.00175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IFERROR(__xludf.DUMMYFUNCTION("""COMPUTED_VALUE"""),19792.488)</f>
        <v>19792.488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IFERROR(__xludf.DUMMYFUNCTION("""COMPUTED_VALUE"""),19819.4145)</f>
        <v>19819.4145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IFERROR(__xludf.DUMMYFUNCTION("""COMPUTED_VALUE"""),19940.006)</f>
        <v>19940.006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IFERROR(__xludf.DUMMYFUNCTION("""COMPUTED_VALUE"""),19986.29935)</f>
        <v>19986.29935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IFERROR(__xludf.DUMMYFUNCTION("""COMPUTED_VALUE"""),20035.40989)</f>
        <v>20035.40989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IFERROR(__xludf.DUMMYFUNCTION("""COMPUTED_VALUE"""),20038.12535)</f>
        <v>20038.12535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IFERROR(__xludf.DUMMYFUNCTION("""COMPUTED_VALUE"""),20057.144)</f>
        <v>20057.144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IFERROR(__xludf.DUMMYFUNCTION("""COMPUTED_VALUE"""),20156.2469)</f>
        <v>20156.2469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IFERROR(__xludf.DUMMYFUNCTION("""COMPUTED_VALUE"""),20394.45415)</f>
        <v>20394.45415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IFERROR(__xludf.DUMMYFUNCTION("""COMPUTED_VALUE"""),20299.3472)</f>
        <v>20299.3472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IFERROR(__xludf.DUMMYFUNCTION("""COMPUTED_VALUE"""),20328.145)</f>
        <v>20328.145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IFERROR(__xludf.DUMMYFUNCTION("""COMPUTED_VALUE"""),20372.44164)</f>
        <v>20372.44164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IFERROR(__xludf.DUMMYFUNCTION("""COMPUTED_VALUE"""),20380.58535)</f>
        <v>20380.58535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IFERROR(__xludf.DUMMYFUNCTION("""COMPUTED_VALUE"""),20414.00556)</f>
        <v>20414.00556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IFERROR(__xludf.DUMMYFUNCTION("""COMPUTED_VALUE"""),20372.0681)</f>
        <v>20372.0681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IFERROR(__xludf.DUMMYFUNCTION("""COMPUTED_VALUE"""),20534.865)</f>
        <v>20534.865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IFERROR(__xludf.DUMMYFUNCTION("""COMPUTED_VALUE"""),20586.852)</f>
        <v>20586.852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IFERROR(__xludf.DUMMYFUNCTION("""COMPUTED_VALUE"""),20476.07)</f>
        <v>20476.07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IFERROR(__xludf.DUMMYFUNCTION("""COMPUTED_VALUE"""),20478.47224)</f>
        <v>20478.47224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IFERROR(__xludf.DUMMYFUNCTION("""COMPUTED_VALUE"""),20474.27753)</f>
        <v>20474.27753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IFERROR(__xludf.DUMMYFUNCTION("""COMPUTED_VALUE"""),20328.22285)</f>
        <v>20328.22285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IFERROR(__xludf.DUMMYFUNCTION("""COMPUTED_VALUE"""),20405.882)</f>
        <v>20405.882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IFERROR(__xludf.DUMMYFUNCTION("""COMPUTED_VALUE"""),20420.638)</f>
        <v>20420.638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IFERROR(__xludf.DUMMYFUNCTION("""COMPUTED_VALUE"""),20421.1227)</f>
        <v>20421.1227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IFERROR(__xludf.DUMMYFUNCTION("""COMPUTED_VALUE"""),20349.2694)</f>
        <v>20349.2694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IFERROR(__xludf.DUMMYFUNCTION("""COMPUTED_VALUE"""),20377.66438)</f>
        <v>20377.66438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IFERROR(__xludf.DUMMYFUNCTION("""COMPUTED_VALUE"""),20375.17032)</f>
        <v>20375.17032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IFERROR(__xludf.DUMMYFUNCTION("""COMPUTED_VALUE"""),20087.9735)</f>
        <v>20087.9735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IFERROR(__xludf.DUMMYFUNCTION("""COMPUTED_VALUE"""),19983.7781)</f>
        <v>19983.7781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IFERROR(__xludf.DUMMYFUNCTION("""COMPUTED_VALUE"""),19925.5325)</f>
        <v>19925.5325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IFERROR(__xludf.DUMMYFUNCTION("""COMPUTED_VALUE"""),19817.096)</f>
        <v>19817.096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IFERROR(__xludf.DUMMYFUNCTION("""COMPUTED_VALUE"""),19860.797)</f>
        <v>19860.797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IFERROR(__xludf.DUMMYFUNCTION("""COMPUTED_VALUE"""),19923.16041)</f>
        <v>19923.16041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IFERROR(__xludf.DUMMYFUNCTION("""COMPUTED_VALUE"""),19930.14528)</f>
        <v>19930.14528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IFERROR(__xludf.DUMMYFUNCTION("""COMPUTED_VALUE"""),19922.276)</f>
        <v>19922.276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IFERROR(__xludf.DUMMYFUNCTION("""COMPUTED_VALUE"""),20088.08)</f>
        <v>20088.08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IFERROR(__xludf.DUMMYFUNCTION("""COMPUTED_VALUE"""),19950.8954)</f>
        <v>19950.8954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IFERROR(__xludf.DUMMYFUNCTION("""COMPUTED_VALUE"""),19924.608)</f>
        <v>19924.608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IFERROR(__xludf.DUMMYFUNCTION("""COMPUTED_VALUE"""),19845.389)</f>
        <v>19845.389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IFERROR(__xludf.DUMMYFUNCTION("""COMPUTED_VALUE"""),19891.72852)</f>
        <v>19891.72852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IFERROR(__xludf.DUMMYFUNCTION("""COMPUTED_VALUE"""),19891.72852)</f>
        <v>19891.72852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IFERROR(__xludf.DUMMYFUNCTION("""COMPUTED_VALUE"""),19735.232)</f>
        <v>19735.232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IFERROR(__xludf.DUMMYFUNCTION("""COMPUTED_VALUE"""),19761.849)</f>
        <v>19761.849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IFERROR(__xludf.DUMMYFUNCTION("""COMPUTED_VALUE"""),19563.549)</f>
        <v>19563.549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IFERROR(__xludf.DUMMYFUNCTION("""COMPUTED_VALUE"""),19620.60992)</f>
        <v>19620.60992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IFERROR(__xludf.DUMMYFUNCTION("""COMPUTED_VALUE"""),19622.4853)</f>
        <v>19622.4853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IFERROR(__xludf.DUMMYFUNCTION("""COMPUTED_VALUE"""),19669.7473)</f>
        <v>19669.7473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IFERROR(__xludf.DUMMYFUNCTION("""COMPUTED_VALUE"""),19673.22354)</f>
        <v>19673.22354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IFERROR(__xludf.DUMMYFUNCTION("""COMPUTED_VALUE"""),19630.578)</f>
        <v>19630.578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IFERROR(__xludf.DUMMYFUNCTION("""COMPUTED_VALUE"""),19588.9584)</f>
        <v>19588.9584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IFERROR(__xludf.DUMMYFUNCTION("""COMPUTED_VALUE"""),19549.99783)</f>
        <v>19549.99783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IFERROR(__xludf.DUMMYFUNCTION("""COMPUTED_VALUE"""),19859.6246)</f>
        <v>19859.6246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IFERROR(__xludf.DUMMYFUNCTION("""COMPUTED_VALUE"""),19947.59258)</f>
        <v>19947.59258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IFERROR(__xludf.DUMMYFUNCTION("""COMPUTED_VALUE"""),19858.31434)</f>
        <v>19858.31434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IFERROR(__xludf.DUMMYFUNCTION("""COMPUTED_VALUE"""),19972.67641)</f>
        <v>19972.67641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IFERROR(__xludf.DUMMYFUNCTION("""COMPUTED_VALUE"""),19819.28265)</f>
        <v>19819.28265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IFERROR(__xludf.DUMMYFUNCTION("""COMPUTED_VALUE"""),19706.2325)</f>
        <v>19706.2325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IFERROR(__xludf.DUMMYFUNCTION("""COMPUTED_VALUE"""),19815.7574)</f>
        <v>19815.7574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IFERROR(__xludf.DUMMYFUNCTION("""COMPUTED_VALUE"""),19872.3617)</f>
        <v>19872.3617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IFERROR(__xludf.DUMMYFUNCTION("""COMPUTED_VALUE"""),19698.714)</f>
        <v>19698.714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IFERROR(__xludf.DUMMYFUNCTION("""COMPUTED_VALUE"""),19808.68036)</f>
        <v>19808.68036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IFERROR(__xludf.DUMMYFUNCTION("""COMPUTED_VALUE"""),19833.3317)</f>
        <v>19833.3317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IFERROR(__xludf.DUMMYFUNCTION("""COMPUTED_VALUE"""),19639.62)</f>
        <v>19639.62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IFERROR(__xludf.DUMMYFUNCTION("""COMPUTED_VALUE"""),19632.912)</f>
        <v>19632.912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IFERROR(__xludf.DUMMYFUNCTION("""COMPUTED_VALUE"""),19497.7587)</f>
        <v>19497.7587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IFERROR(__xludf.DUMMYFUNCTION("""COMPUTED_VALUE"""),19467.894)</f>
        <v>19467.894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IFERROR(__xludf.DUMMYFUNCTION("""COMPUTED_VALUE"""),19474.5564)</f>
        <v>19474.5564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IFERROR(__xludf.DUMMYFUNCTION("""COMPUTED_VALUE"""),19507.13285)</f>
        <v>19507.13285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IFERROR(__xludf.DUMMYFUNCTION("""COMPUTED_VALUE"""),19528.26602)</f>
        <v>19528.26602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IFERROR(__xludf.DUMMYFUNCTION("""COMPUTED_VALUE"""),19532.464)</f>
        <v>19532.464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IFERROR(__xludf.DUMMYFUNCTION("""COMPUTED_VALUE"""),19381.5734)</f>
        <v>19381.5734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IFERROR(__xludf.DUMMYFUNCTION("""COMPUTED_VALUE"""),19418.49)</f>
        <v>19418.49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IFERROR(__xludf.DUMMYFUNCTION("""COMPUTED_VALUE"""),19375.1976)</f>
        <v>19375.1976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IFERROR(__xludf.DUMMYFUNCTION("""COMPUTED_VALUE"""),19321.786)</f>
        <v>19321.786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IFERROR(__xludf.DUMMYFUNCTION("""COMPUTED_VALUE"""),19358.6399)</f>
        <v>19358.6399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IFERROR(__xludf.DUMMYFUNCTION("""COMPUTED_VALUE"""),19322.42496)</f>
        <v>19322.42496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IFERROR(__xludf.DUMMYFUNCTION("""COMPUTED_VALUE"""),19380.0766)</f>
        <v>19380.0766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IFERROR(__xludf.DUMMYFUNCTION("""COMPUTED_VALUE"""),19354.10704)</f>
        <v>19354.10704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IFERROR(__xludf.DUMMYFUNCTION("""COMPUTED_VALUE"""),19332.75445)</f>
        <v>19332.75445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IFERROR(__xludf.DUMMYFUNCTION("""COMPUTED_VALUE"""),19425.813)</f>
        <v>19425.813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IFERROR(__xludf.DUMMYFUNCTION("""COMPUTED_VALUE"""),19407.3624)</f>
        <v>19407.3624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IFERROR(__xludf.DUMMYFUNCTION("""COMPUTED_VALUE"""),19439.10696)</f>
        <v>19439.10696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IFERROR(__xludf.DUMMYFUNCTION("""COMPUTED_VALUE"""),19425.05544)</f>
        <v>19425.05544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IFERROR(__xludf.DUMMYFUNCTION("""COMPUTED_VALUE"""),19448.1588)</f>
        <v>19448.1588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IFERROR(__xludf.DUMMYFUNCTION("""COMPUTED_VALUE"""),19341.8953)</f>
        <v>19341.8953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IFERROR(__xludf.DUMMYFUNCTION("""COMPUTED_VALUE"""),19369.6587)</f>
        <v>19369.6587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IFERROR(__xludf.DUMMYFUNCTION("""COMPUTED_VALUE"""),19162.25128)</f>
        <v>19162.25128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IFERROR(__xludf.DUMMYFUNCTION("""COMPUTED_VALUE"""),19135.81334)</f>
        <v>19135.81334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IFERROR(__xludf.DUMMYFUNCTION("""COMPUTED_VALUE"""),19165.38403)</f>
        <v>19165.38403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IFERROR(__xludf.DUMMYFUNCTION("""COMPUTED_VALUE"""),19033.31841)</f>
        <v>19033.31841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IFERROR(__xludf.DUMMYFUNCTION("""COMPUTED_VALUE"""),18849.7309)</f>
        <v>18849.7309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IFERROR(__xludf.DUMMYFUNCTION("""COMPUTED_VALUE"""),19009.4814)</f>
        <v>19009.4814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IFERROR(__xludf.DUMMYFUNCTION("""COMPUTED_VALUE"""),19142.663)</f>
        <v>19142.663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IFERROR(__xludf.DUMMYFUNCTION("""COMPUTED_VALUE"""),19227.299)</f>
        <v>19227.299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IFERROR(__xludf.DUMMYFUNCTION("""COMPUTED_VALUE"""),19329.0509)</f>
        <v>19329.0509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IFERROR(__xludf.DUMMYFUNCTION("""COMPUTED_VALUE"""),19365.47309)</f>
        <v>19365.47309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IFERROR(__xludf.DUMMYFUNCTION("""COMPUTED_VALUE"""),19352.37785)</f>
        <v>19352.37785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IFERROR(__xludf.DUMMYFUNCTION("""COMPUTED_VALUE"""),19370.2663)</f>
        <v>19370.2663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IFERROR(__xludf.DUMMYFUNCTION("""COMPUTED_VALUE"""),19474.54635)</f>
        <v>19474.54635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IFERROR(__xludf.DUMMYFUNCTION("""COMPUTED_VALUE"""),19434.0633)</f>
        <v>19434.0633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IFERROR(__xludf.DUMMYFUNCTION("""COMPUTED_VALUE"""),19683.49926)</f>
        <v>19683.49926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IFERROR(__xludf.DUMMYFUNCTION("""COMPUTED_VALUE"""),19516.7121)</f>
        <v>19516.7121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IFERROR(__xludf.DUMMYFUNCTION("""COMPUTED_VALUE"""),19552.21776)</f>
        <v>19552.21776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IFERROR(__xludf.DUMMYFUNCTION("""COMPUTED_VALUE"""),19571.42544)</f>
        <v>19571.42544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IFERROR(__xludf.DUMMYFUNCTION("""COMPUTED_VALUE"""),19617.1632)</f>
        <v>19617.1632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IFERROR(__xludf.DUMMYFUNCTION("""COMPUTED_VALUE"""),19617.633)</f>
        <v>19617.633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IFERROR(__xludf.DUMMYFUNCTION("""COMPUTED_VALUE"""),19504.1133)</f>
        <v>19504.1133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IFERROR(__xludf.DUMMYFUNCTION("""COMPUTED_VALUE"""),19551.0905)</f>
        <v>19551.0905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IFERROR(__xludf.DUMMYFUNCTION("""COMPUTED_VALUE"""),19571.369)</f>
        <v>19571.369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IFERROR(__xludf.DUMMYFUNCTION("""COMPUTED_VALUE"""),19594.68236)</f>
        <v>19594.68236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IFERROR(__xludf.DUMMYFUNCTION("""COMPUTED_VALUE"""),19586.23846)</f>
        <v>19586.23846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IFERROR(__xludf.DUMMYFUNCTION("""COMPUTED_VALUE"""),19719.09368)</f>
        <v>19719.09368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IFERROR(__xludf.DUMMYFUNCTION("""COMPUTED_VALUE"""),19741.88425)</f>
        <v>19741.88425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IFERROR(__xludf.DUMMYFUNCTION("""COMPUTED_VALUE"""),19632.405)</f>
        <v>19632.405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IFERROR(__xludf.DUMMYFUNCTION("""COMPUTED_VALUE"""),19559.6688)</f>
        <v>19559.6688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IFERROR(__xludf.DUMMYFUNCTION("""COMPUTED_VALUE"""),19444.5303)</f>
        <v>19444.5303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IFERROR(__xludf.DUMMYFUNCTION("""COMPUTED_VALUE"""),19480.48468)</f>
        <v>19480.48468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IFERROR(__xludf.DUMMYFUNCTION("""COMPUTED_VALUE"""),19462.192)</f>
        <v>19462.192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IFERROR(__xludf.DUMMYFUNCTION("""COMPUTED_VALUE"""),19535.89863)</f>
        <v>19535.89863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IFERROR(__xludf.DUMMYFUNCTION("""COMPUTED_VALUE"""),19664.01574)</f>
        <v>19664.01574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IFERROR(__xludf.DUMMYFUNCTION("""COMPUTED_VALUE"""),19727.697)</f>
        <v>19727.697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IFERROR(__xludf.DUMMYFUNCTION("""COMPUTED_VALUE"""),19648.6272)</f>
        <v>19648.6272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IFERROR(__xludf.DUMMYFUNCTION("""COMPUTED_VALUE"""),19626.354)</f>
        <v>19626.354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IFERROR(__xludf.DUMMYFUNCTION("""COMPUTED_VALUE"""),19651.57497)</f>
        <v>19651.57497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IFERROR(__xludf.DUMMYFUNCTION("""COMPUTED_VALUE"""),19671.86835)</f>
        <v>19671.86835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IFERROR(__xludf.DUMMYFUNCTION("""COMPUTED_VALUE"""),19608.084)</f>
        <v>19608.084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IFERROR(__xludf.DUMMYFUNCTION("""COMPUTED_VALUE"""),19379.45052)</f>
        <v>19379.45052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IFERROR(__xludf.DUMMYFUNCTION("""COMPUTED_VALUE"""),19557.0865)</f>
        <v>19557.0865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IFERROR(__xludf.DUMMYFUNCTION("""COMPUTED_VALUE"""),19631.238)</f>
        <v>19631.238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IFERROR(__xludf.DUMMYFUNCTION("""COMPUTED_VALUE"""),19472.36004)</f>
        <v>19472.36004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IFERROR(__xludf.DUMMYFUNCTION("""COMPUTED_VALUE"""),19501.81476)</f>
        <v>19501.81476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IFERROR(__xludf.DUMMYFUNCTION("""COMPUTED_VALUE"""),19500.60264)</f>
        <v>19500.60264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IFERROR(__xludf.DUMMYFUNCTION("""COMPUTED_VALUE"""),19421.088)</f>
        <v>19421.088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IFERROR(__xludf.DUMMYFUNCTION("""COMPUTED_VALUE"""),19309.8583)</f>
        <v>19309.8583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IFERROR(__xludf.DUMMYFUNCTION("""COMPUTED_VALUE"""),19220.712)</f>
        <v>19220.712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IFERROR(__xludf.DUMMYFUNCTION("""COMPUTED_VALUE"""),19328.987)</f>
        <v>19328.987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IFERROR(__xludf.DUMMYFUNCTION("""COMPUTED_VALUE"""),19426.86375)</f>
        <v>19426.86375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IFERROR(__xludf.DUMMYFUNCTION("""COMPUTED_VALUE"""),19454.64182)</f>
        <v>19454.64182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IFERROR(__xludf.DUMMYFUNCTION("""COMPUTED_VALUE"""),19453.43263)</f>
        <v>19453.43263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IFERROR(__xludf.DUMMYFUNCTION("""COMPUTED_VALUE"""),19508.467)</f>
        <v>19508.467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IFERROR(__xludf.DUMMYFUNCTION("""COMPUTED_VALUE"""),19590.3317)</f>
        <v>19590.3317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IFERROR(__xludf.DUMMYFUNCTION("""COMPUTED_VALUE"""),19350.8276)</f>
        <v>19350.8276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IFERROR(__xludf.DUMMYFUNCTION("""COMPUTED_VALUE"""),19433.925)</f>
        <v>19433.925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IFERROR(__xludf.DUMMYFUNCTION("""COMPUTED_VALUE"""),19308.379)</f>
        <v>19308.379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IFERROR(__xludf.DUMMYFUNCTION("""COMPUTED_VALUE"""),19344.54516)</f>
        <v>19344.54516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IFERROR(__xludf.DUMMYFUNCTION("""COMPUTED_VALUE"""),19310.74833)</f>
        <v>19310.74833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IFERROR(__xludf.DUMMYFUNCTION("""COMPUTED_VALUE"""),19342.1432)</f>
        <v>19342.1432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IFERROR(__xludf.DUMMYFUNCTION("""COMPUTED_VALUE"""),19379.633)</f>
        <v>19379.633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IFERROR(__xludf.DUMMYFUNCTION("""COMPUTED_VALUE"""),19433.36975)</f>
        <v>19433.36975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IFERROR(__xludf.DUMMYFUNCTION("""COMPUTED_VALUE"""),19244.385)</f>
        <v>19244.385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IFERROR(__xludf.DUMMYFUNCTION("""COMPUTED_VALUE"""),19322.9425)</f>
        <v>19322.9425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IFERROR(__xludf.DUMMYFUNCTION("""COMPUTED_VALUE"""),19357.32617)</f>
        <v>19357.32617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IFERROR(__xludf.DUMMYFUNCTION("""COMPUTED_VALUE"""),19366.33836)</f>
        <v>19366.33836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IFERROR(__xludf.DUMMYFUNCTION("""COMPUTED_VALUE"""),19265.675)</f>
        <v>19265.675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IFERROR(__xludf.DUMMYFUNCTION("""COMPUTED_VALUE"""),19311.4144)</f>
        <v>19311.4144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IFERROR(__xludf.DUMMYFUNCTION("""COMPUTED_VALUE"""),19215.2429)</f>
        <v>19215.2429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IFERROR(__xludf.DUMMYFUNCTION("""COMPUTED_VALUE"""),19134.8087)</f>
        <v>19134.8087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IFERROR(__xludf.DUMMYFUNCTION("""COMPUTED_VALUE"""),19113.374)</f>
        <v>19113.374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IFERROR(__xludf.DUMMYFUNCTION("""COMPUTED_VALUE"""),19154.02032)</f>
        <v>19154.02032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IFERROR(__xludf.DUMMYFUNCTION("""COMPUTED_VALUE"""),19152.79783)</f>
        <v>19152.79783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IFERROR(__xludf.DUMMYFUNCTION("""COMPUTED_VALUE"""),19067.8581)</f>
        <v>19067.8581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IFERROR(__xludf.DUMMYFUNCTION("""COMPUTED_VALUE"""),18949.1925)</f>
        <v>18949.1925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IFERROR(__xludf.DUMMYFUNCTION("""COMPUTED_VALUE"""),18962.6238)</f>
        <v>18962.6238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IFERROR(__xludf.DUMMYFUNCTION("""COMPUTED_VALUE"""),19038.49695)</f>
        <v>19038.49695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IFERROR(__xludf.DUMMYFUNCTION("""COMPUTED_VALUE"""),18999.0647)</f>
        <v>18999.0647</v>
      </c>
    </row>
    <row r="1653">
      <c r="A1653" s="3">
        <f>IFERROR(__xludf.DUMMYFUNCTION("""COMPUTED_VALUE"""),41965.99861111111)</f>
        <v>41965.99861</v>
      </c>
      <c r="B1653" s="1">
        <f>IFERROR(__xludf.DUMMYFUNCTION("""COMPUTED_VALUE"""),19189.94791)</f>
        <v>19189.94791</v>
      </c>
    </row>
    <row r="1654">
      <c r="A1654" s="3">
        <f>IFERROR(__xludf.DUMMYFUNCTION("""COMPUTED_VALUE"""),41966.99861111111)</f>
        <v>41966.99861</v>
      </c>
      <c r="B1654" s="1">
        <f>IFERROR(__xludf.DUMMYFUNCTION("""COMPUTED_VALUE"""),19009.70757)</f>
        <v>19009.70757</v>
      </c>
    </row>
    <row r="1655">
      <c r="A1655" s="3">
        <f>IFERROR(__xludf.DUMMYFUNCTION("""COMPUTED_VALUE"""),41967.99861111111)</f>
        <v>41967.99861</v>
      </c>
      <c r="B1655" s="1">
        <f>IFERROR(__xludf.DUMMYFUNCTION("""COMPUTED_VALUE"""),19040.3169)</f>
        <v>19040.3169</v>
      </c>
    </row>
    <row r="1656">
      <c r="A1656" s="3">
        <f>IFERROR(__xludf.DUMMYFUNCTION("""COMPUTED_VALUE"""),41968.99861111111)</f>
        <v>41968.99861</v>
      </c>
      <c r="B1656" s="1">
        <f>IFERROR(__xludf.DUMMYFUNCTION("""COMPUTED_VALUE"""),19064.21891)</f>
        <v>19064.21891</v>
      </c>
    </row>
    <row r="1657">
      <c r="A1657" s="3">
        <f>IFERROR(__xludf.DUMMYFUNCTION("""COMPUTED_VALUE"""),41969.99861111111)</f>
        <v>41969.99861</v>
      </c>
      <c r="B1657" s="1">
        <f>IFERROR(__xludf.DUMMYFUNCTION("""COMPUTED_VALUE"""),19219.82025)</f>
        <v>19219.82025</v>
      </c>
    </row>
    <row r="1658">
      <c r="A1658" s="3">
        <f>IFERROR(__xludf.DUMMYFUNCTION("""COMPUTED_VALUE"""),41970.99861111111)</f>
        <v>41970.99861</v>
      </c>
      <c r="B1658" s="1">
        <f>IFERROR(__xludf.DUMMYFUNCTION("""COMPUTED_VALUE"""),19141.535)</f>
        <v>19141.535</v>
      </c>
    </row>
    <row r="1659">
      <c r="A1659" s="3">
        <f>IFERROR(__xludf.DUMMYFUNCTION("""COMPUTED_VALUE"""),41971.99861111111)</f>
        <v>41971.99861</v>
      </c>
      <c r="B1659" s="1">
        <f>IFERROR(__xludf.DUMMYFUNCTION("""COMPUTED_VALUE"""),19050.2225)</f>
        <v>19050.2225</v>
      </c>
    </row>
    <row r="1660">
      <c r="A1660" s="3">
        <f>IFERROR(__xludf.DUMMYFUNCTION("""COMPUTED_VALUE"""),41972.99861111111)</f>
        <v>41972.99861</v>
      </c>
      <c r="B1660" s="1">
        <f>IFERROR(__xludf.DUMMYFUNCTION("""COMPUTED_VALUE"""),19093.94816)</f>
        <v>19093.94816</v>
      </c>
    </row>
    <row r="1661">
      <c r="A1661" s="3">
        <f>IFERROR(__xludf.DUMMYFUNCTION("""COMPUTED_VALUE"""),41973.99861111111)</f>
        <v>41973.99861</v>
      </c>
      <c r="B1661" s="1">
        <f>IFERROR(__xludf.DUMMYFUNCTION("""COMPUTED_VALUE"""),19036.58232)</f>
        <v>19036.58232</v>
      </c>
    </row>
    <row r="1662">
      <c r="A1662" s="3">
        <f>IFERROR(__xludf.DUMMYFUNCTION("""COMPUTED_VALUE"""),41974.99861111111)</f>
        <v>41974.99861</v>
      </c>
      <c r="B1662" s="1">
        <f>IFERROR(__xludf.DUMMYFUNCTION("""COMPUTED_VALUE"""),19325.5335)</f>
        <v>19325.5335</v>
      </c>
    </row>
    <row r="1663">
      <c r="A1663" s="3">
        <f>IFERROR(__xludf.DUMMYFUNCTION("""COMPUTED_VALUE"""),41975.99861111111)</f>
        <v>41975.99861</v>
      </c>
      <c r="B1663" s="1">
        <f>IFERROR(__xludf.DUMMYFUNCTION("""COMPUTED_VALUE"""),19219.8825)</f>
        <v>19219.8825</v>
      </c>
    </row>
    <row r="1664">
      <c r="A1664" s="3">
        <f>IFERROR(__xludf.DUMMYFUNCTION("""COMPUTED_VALUE"""),41976.99861111111)</f>
        <v>41976.99861</v>
      </c>
      <c r="B1664" s="1">
        <f>IFERROR(__xludf.DUMMYFUNCTION("""COMPUTED_VALUE"""),19278.1134)</f>
        <v>19278.1134</v>
      </c>
    </row>
    <row r="1665">
      <c r="A1665" s="3">
        <f>IFERROR(__xludf.DUMMYFUNCTION("""COMPUTED_VALUE"""),41977.99861111111)</f>
        <v>41977.99861</v>
      </c>
      <c r="B1665" s="1">
        <f>IFERROR(__xludf.DUMMYFUNCTION("""COMPUTED_VALUE"""),19257.966)</f>
        <v>19257.966</v>
      </c>
    </row>
    <row r="1666">
      <c r="A1666" s="3">
        <f>IFERROR(__xludf.DUMMYFUNCTION("""COMPUTED_VALUE"""),41978.99861111111)</f>
        <v>41978.99861</v>
      </c>
      <c r="B1666" s="1">
        <f>IFERROR(__xludf.DUMMYFUNCTION("""COMPUTED_VALUE"""),19142.487)</f>
        <v>19142.487</v>
      </c>
    </row>
    <row r="1667">
      <c r="A1667" s="3">
        <f>IFERROR(__xludf.DUMMYFUNCTION("""COMPUTED_VALUE"""),41979.99861111111)</f>
        <v>41979.99861</v>
      </c>
      <c r="B1667" s="1">
        <f>IFERROR(__xludf.DUMMYFUNCTION("""COMPUTED_VALUE"""),19332.4939)</f>
        <v>19332.4939</v>
      </c>
    </row>
    <row r="1668">
      <c r="A1668" s="3">
        <f>IFERROR(__xludf.DUMMYFUNCTION("""COMPUTED_VALUE"""),41980.99861111111)</f>
        <v>41980.99861</v>
      </c>
      <c r="B1668" s="1">
        <f>IFERROR(__xludf.DUMMYFUNCTION("""COMPUTED_VALUE"""),19144.15277)</f>
        <v>19144.15277</v>
      </c>
    </row>
    <row r="1669">
      <c r="A1669" s="3">
        <f>IFERROR(__xludf.DUMMYFUNCTION("""COMPUTED_VALUE"""),41981.99861111111)</f>
        <v>41981.99861</v>
      </c>
      <c r="B1669" s="1">
        <f>IFERROR(__xludf.DUMMYFUNCTION("""COMPUTED_VALUE"""),19224.18225)</f>
        <v>19224.18225</v>
      </c>
    </row>
    <row r="1670">
      <c r="A1670" s="3">
        <f>IFERROR(__xludf.DUMMYFUNCTION("""COMPUTED_VALUE"""),41982.99861111111)</f>
        <v>41982.99861</v>
      </c>
      <c r="B1670" s="1">
        <f>IFERROR(__xludf.DUMMYFUNCTION("""COMPUTED_VALUE"""),19269.0225)</f>
        <v>19269.0225</v>
      </c>
    </row>
    <row r="1671">
      <c r="A1671" s="3">
        <f>IFERROR(__xludf.DUMMYFUNCTION("""COMPUTED_VALUE"""),41983.99861111111)</f>
        <v>41983.99861</v>
      </c>
      <c r="B1671" s="1">
        <f>IFERROR(__xludf.DUMMYFUNCTION("""COMPUTED_VALUE"""),19324.305)</f>
        <v>19324.305</v>
      </c>
    </row>
    <row r="1672">
      <c r="A1672" s="3">
        <f>IFERROR(__xludf.DUMMYFUNCTION("""COMPUTED_VALUE"""),41984.99861111111)</f>
        <v>41984.99861</v>
      </c>
      <c r="B1672" s="1">
        <f>IFERROR(__xludf.DUMMYFUNCTION("""COMPUTED_VALUE"""),19590.71433)</f>
        <v>19590.71433</v>
      </c>
    </row>
    <row r="1673">
      <c r="A1673" s="3">
        <f>IFERROR(__xludf.DUMMYFUNCTION("""COMPUTED_VALUE"""),41985.99861111111)</f>
        <v>41985.99861</v>
      </c>
      <c r="B1673" s="1">
        <f>IFERROR(__xludf.DUMMYFUNCTION("""COMPUTED_VALUE"""),19812.44304)</f>
        <v>19812.44304</v>
      </c>
    </row>
    <row r="1674">
      <c r="A1674" s="3">
        <f>IFERROR(__xludf.DUMMYFUNCTION("""COMPUTED_VALUE"""),41986.99861111111)</f>
        <v>41986.99861</v>
      </c>
      <c r="B1674" s="1">
        <f>IFERROR(__xludf.DUMMYFUNCTION("""COMPUTED_VALUE"""),19843.43021)</f>
        <v>19843.43021</v>
      </c>
    </row>
    <row r="1675">
      <c r="A1675" s="3">
        <f>IFERROR(__xludf.DUMMYFUNCTION("""COMPUTED_VALUE"""),41987.99861111111)</f>
        <v>41987.99861</v>
      </c>
      <c r="B1675" s="1">
        <f>IFERROR(__xludf.DUMMYFUNCTION("""COMPUTED_VALUE"""),19858.3292)</f>
        <v>19858.3292</v>
      </c>
    </row>
    <row r="1676">
      <c r="A1676" s="3">
        <f>IFERROR(__xludf.DUMMYFUNCTION("""COMPUTED_VALUE"""),41988.99861111111)</f>
        <v>41988.99861</v>
      </c>
      <c r="B1676" s="1">
        <f>IFERROR(__xludf.DUMMYFUNCTION("""COMPUTED_VALUE"""),20099.713)</f>
        <v>20099.713</v>
      </c>
    </row>
    <row r="1677">
      <c r="A1677" s="3">
        <f>IFERROR(__xludf.DUMMYFUNCTION("""COMPUTED_VALUE"""),41989.99861111111)</f>
        <v>41989.99861</v>
      </c>
      <c r="B1677" s="1">
        <f>IFERROR(__xludf.DUMMYFUNCTION("""COMPUTED_VALUE"""),19996.3995)</f>
        <v>19996.3995</v>
      </c>
    </row>
    <row r="1678">
      <c r="A1678" s="3">
        <f>IFERROR(__xludf.DUMMYFUNCTION("""COMPUTED_VALUE"""),41990.99861111111)</f>
        <v>41990.99861</v>
      </c>
      <c r="B1678" s="1">
        <f>IFERROR(__xludf.DUMMYFUNCTION("""COMPUTED_VALUE"""),19732.49465)</f>
        <v>19732.49465</v>
      </c>
    </row>
    <row r="1679">
      <c r="A1679" s="3">
        <f>IFERROR(__xludf.DUMMYFUNCTION("""COMPUTED_VALUE"""),41991.99861111111)</f>
        <v>41991.99861</v>
      </c>
      <c r="B1679" s="1">
        <f>IFERROR(__xludf.DUMMYFUNCTION("""COMPUTED_VALUE"""),19548.672)</f>
        <v>19548.672</v>
      </c>
    </row>
    <row r="1680">
      <c r="A1680" s="3">
        <f>IFERROR(__xludf.DUMMYFUNCTION("""COMPUTED_VALUE"""),41992.99861111111)</f>
        <v>41992.99861</v>
      </c>
      <c r="B1680" s="1">
        <f>IFERROR(__xludf.DUMMYFUNCTION("""COMPUTED_VALUE"""),19327.1476)</f>
        <v>19327.1476</v>
      </c>
    </row>
    <row r="1681">
      <c r="A1681" s="3">
        <f>IFERROR(__xludf.DUMMYFUNCTION("""COMPUTED_VALUE"""),41993.99861111111)</f>
        <v>41993.99861</v>
      </c>
      <c r="B1681" s="1">
        <f>IFERROR(__xludf.DUMMYFUNCTION("""COMPUTED_VALUE"""),19414.78222)</f>
        <v>19414.78222</v>
      </c>
    </row>
    <row r="1682">
      <c r="A1682" s="3">
        <f>IFERROR(__xludf.DUMMYFUNCTION("""COMPUTED_VALUE"""),41994.99861111111)</f>
        <v>41994.99861</v>
      </c>
      <c r="B1682" s="1">
        <f>IFERROR(__xludf.DUMMYFUNCTION("""COMPUTED_VALUE"""),19412.91886)</f>
        <v>19412.91886</v>
      </c>
    </row>
    <row r="1683">
      <c r="A1683" s="3">
        <f>IFERROR(__xludf.DUMMYFUNCTION("""COMPUTED_VALUE"""),41995.99861111111)</f>
        <v>41995.99861</v>
      </c>
      <c r="B1683" s="1">
        <f>IFERROR(__xludf.DUMMYFUNCTION("""COMPUTED_VALUE"""),19406.5746)</f>
        <v>19406.5746</v>
      </c>
    </row>
    <row r="1684">
      <c r="A1684" s="3">
        <f>IFERROR(__xludf.DUMMYFUNCTION("""COMPUTED_VALUE"""),41996.99861111111)</f>
        <v>41996.99861</v>
      </c>
      <c r="B1684" s="1">
        <f>IFERROR(__xludf.DUMMYFUNCTION("""COMPUTED_VALUE"""),19268.08)</f>
        <v>19268.08</v>
      </c>
    </row>
    <row r="1685">
      <c r="A1685" s="3">
        <f>IFERROR(__xludf.DUMMYFUNCTION("""COMPUTED_VALUE"""),41997.99861111111)</f>
        <v>41997.99861</v>
      </c>
      <c r="B1685" s="1">
        <f>IFERROR(__xludf.DUMMYFUNCTION("""COMPUTED_VALUE"""),19388.356)</f>
        <v>19388.356</v>
      </c>
    </row>
    <row r="1686">
      <c r="A1686" s="3">
        <f>IFERROR(__xludf.DUMMYFUNCTION("""COMPUTED_VALUE"""),41998.99861111111)</f>
        <v>41998.99861</v>
      </c>
      <c r="B1686" s="1">
        <f>IFERROR(__xludf.DUMMYFUNCTION("""COMPUTED_VALUE"""),19400.826)</f>
        <v>19400.826</v>
      </c>
    </row>
    <row r="1687">
      <c r="A1687" s="3">
        <f>IFERROR(__xludf.DUMMYFUNCTION("""COMPUTED_VALUE"""),41999.99861111111)</f>
        <v>41999.99861</v>
      </c>
      <c r="B1687" s="1">
        <f>IFERROR(__xludf.DUMMYFUNCTION("""COMPUTED_VALUE"""),19307.478)</f>
        <v>19307.478</v>
      </c>
    </row>
    <row r="1688">
      <c r="A1688" s="3">
        <f>IFERROR(__xludf.DUMMYFUNCTION("""COMPUTED_VALUE"""),42000.99861111111)</f>
        <v>42000.99861</v>
      </c>
      <c r="B1688" s="1">
        <f>IFERROR(__xludf.DUMMYFUNCTION("""COMPUTED_VALUE"""),19303.48252)</f>
        <v>19303.48252</v>
      </c>
    </row>
    <row r="1689">
      <c r="A1689" s="3">
        <f>IFERROR(__xludf.DUMMYFUNCTION("""COMPUTED_VALUE"""),42001.99861111111)</f>
        <v>42001.99861</v>
      </c>
      <c r="B1689" s="1">
        <f>IFERROR(__xludf.DUMMYFUNCTION("""COMPUTED_VALUE"""),19366.12683)</f>
        <v>19366.12683</v>
      </c>
    </row>
    <row r="1690">
      <c r="A1690" s="3">
        <f>IFERROR(__xludf.DUMMYFUNCTION("""COMPUTED_VALUE"""),42002.99861111111)</f>
        <v>42002.99861</v>
      </c>
      <c r="B1690" s="1">
        <f>IFERROR(__xludf.DUMMYFUNCTION("""COMPUTED_VALUE"""),19251.8812)</f>
        <v>19251.8812</v>
      </c>
    </row>
    <row r="1691">
      <c r="A1691" s="3">
        <f>IFERROR(__xludf.DUMMYFUNCTION("""COMPUTED_VALUE"""),42003.99861111111)</f>
        <v>42003.99861</v>
      </c>
      <c r="B1691" s="1">
        <f>IFERROR(__xludf.DUMMYFUNCTION("""COMPUTED_VALUE"""),19331.73)</f>
        <v>19331.73</v>
      </c>
    </row>
    <row r="1692">
      <c r="A1692" s="3">
        <f>IFERROR(__xludf.DUMMYFUNCTION("""COMPUTED_VALUE"""),42004.99861111111)</f>
        <v>42004.99861</v>
      </c>
      <c r="B1692" s="1">
        <f>IFERROR(__xludf.DUMMYFUNCTION("""COMPUTED_VALUE"""),19297.425)</f>
        <v>19297.425</v>
      </c>
    </row>
    <row r="1693">
      <c r="A1693" s="3">
        <f>IFERROR(__xludf.DUMMYFUNCTION("""COMPUTED_VALUE"""),42005.99861111111)</f>
        <v>42005.99861</v>
      </c>
      <c r="B1693" s="1">
        <f>IFERROR(__xludf.DUMMYFUNCTION("""COMPUTED_VALUE"""),19303.3722)</f>
        <v>19303.3722</v>
      </c>
    </row>
    <row r="1694">
      <c r="A1694" s="3">
        <f>IFERROR(__xludf.DUMMYFUNCTION("""COMPUTED_VALUE"""),42006.99861111111)</f>
        <v>42006.99861</v>
      </c>
      <c r="B1694" s="1">
        <f>IFERROR(__xludf.DUMMYFUNCTION("""COMPUTED_VALUE"""),19125.8496)</f>
        <v>19125.8496</v>
      </c>
    </row>
    <row r="1695">
      <c r="A1695" s="3">
        <f>IFERROR(__xludf.DUMMYFUNCTION("""COMPUTED_VALUE"""),42007.99861111111)</f>
        <v>42007.99861</v>
      </c>
      <c r="B1695" s="1">
        <f>IFERROR(__xludf.DUMMYFUNCTION("""COMPUTED_VALUE"""),19234.20105)</f>
        <v>19234.20105</v>
      </c>
    </row>
    <row r="1696">
      <c r="A1696" s="3">
        <f>IFERROR(__xludf.DUMMYFUNCTION("""COMPUTED_VALUE"""),42008.99861111111)</f>
        <v>42008.99861</v>
      </c>
      <c r="B1696" s="1">
        <f>IFERROR(__xludf.DUMMYFUNCTION("""COMPUTED_VALUE"""),19176.91122)</f>
        <v>19176.91122</v>
      </c>
    </row>
    <row r="1697">
      <c r="A1697" s="3">
        <f>IFERROR(__xludf.DUMMYFUNCTION("""COMPUTED_VALUE"""),42009.99861111111)</f>
        <v>42009.99861</v>
      </c>
      <c r="B1697" s="1">
        <f>IFERROR(__xludf.DUMMYFUNCTION("""COMPUTED_VALUE"""),19260.7)</f>
        <v>19260.7</v>
      </c>
    </row>
    <row r="1698">
      <c r="A1698" s="3">
        <f>IFERROR(__xludf.DUMMYFUNCTION("""COMPUTED_VALUE"""),42010.99861111111)</f>
        <v>42010.99861</v>
      </c>
      <c r="B1698" s="1">
        <f>IFERROR(__xludf.DUMMYFUNCTION("""COMPUTED_VALUE"""),19124.336)</f>
        <v>19124.336</v>
      </c>
    </row>
    <row r="1699">
      <c r="A1699" s="3">
        <f>IFERROR(__xludf.DUMMYFUNCTION("""COMPUTED_VALUE"""),42011.99861111111)</f>
        <v>42011.99861</v>
      </c>
      <c r="B1699" s="1">
        <f>IFERROR(__xludf.DUMMYFUNCTION("""COMPUTED_VALUE"""),19212.288)</f>
        <v>19212.288</v>
      </c>
    </row>
    <row r="1700">
      <c r="A1700" s="3">
        <f>IFERROR(__xludf.DUMMYFUNCTION("""COMPUTED_VALUE"""),42012.99861111111)</f>
        <v>42012.99861</v>
      </c>
      <c r="B1700" s="1">
        <f>IFERROR(__xludf.DUMMYFUNCTION("""COMPUTED_VALUE"""),19021.9328)</f>
        <v>19021.9328</v>
      </c>
    </row>
    <row r="1701">
      <c r="A1701" s="3">
        <f>IFERROR(__xludf.DUMMYFUNCTION("""COMPUTED_VALUE"""),42013.99861111111)</f>
        <v>42013.99861</v>
      </c>
      <c r="B1701" s="1">
        <f>IFERROR(__xludf.DUMMYFUNCTION("""COMPUTED_VALUE"""),19047.2835)</f>
        <v>19047.2835</v>
      </c>
    </row>
    <row r="1702">
      <c r="A1702" s="3">
        <f>IFERROR(__xludf.DUMMYFUNCTION("""COMPUTED_VALUE"""),42014.99861111111)</f>
        <v>42014.99861</v>
      </c>
      <c r="B1702" s="1">
        <f>IFERROR(__xludf.DUMMYFUNCTION("""COMPUTED_VALUE"""),19413.66369)</f>
        <v>19413.66369</v>
      </c>
    </row>
    <row r="1703">
      <c r="A1703" s="3">
        <f>IFERROR(__xludf.DUMMYFUNCTION("""COMPUTED_VALUE"""),42015.99861111111)</f>
        <v>42015.99861</v>
      </c>
      <c r="B1703" s="1">
        <f>IFERROR(__xludf.DUMMYFUNCTION("""COMPUTED_VALUE"""),19420.71036)</f>
        <v>19420.71036</v>
      </c>
    </row>
    <row r="1704">
      <c r="A1704" s="3">
        <f>IFERROR(__xludf.DUMMYFUNCTION("""COMPUTED_VALUE"""),42016.99861111111)</f>
        <v>42016.99861</v>
      </c>
      <c r="B1704" s="1">
        <f>IFERROR(__xludf.DUMMYFUNCTION("""COMPUTED_VALUE"""),19045.4628)</f>
        <v>19045.4628</v>
      </c>
    </row>
    <row r="1705">
      <c r="A1705" s="3">
        <f>IFERROR(__xludf.DUMMYFUNCTION("""COMPUTED_VALUE"""),42017.99861111111)</f>
        <v>42017.99861</v>
      </c>
      <c r="B1705" s="1">
        <f>IFERROR(__xludf.DUMMYFUNCTION("""COMPUTED_VALUE"""),19090.7029)</f>
        <v>19090.7029</v>
      </c>
    </row>
    <row r="1706">
      <c r="A1706" s="3">
        <f>IFERROR(__xludf.DUMMYFUNCTION("""COMPUTED_VALUE"""),42018.99861111111)</f>
        <v>42018.99861</v>
      </c>
      <c r="B1706" s="1">
        <f>IFERROR(__xludf.DUMMYFUNCTION("""COMPUTED_VALUE"""),19122.5205)</f>
        <v>19122.5205</v>
      </c>
    </row>
    <row r="1707">
      <c r="A1707" s="3">
        <f>IFERROR(__xludf.DUMMYFUNCTION("""COMPUTED_VALUE"""),42019.99861111111)</f>
        <v>42019.99861</v>
      </c>
      <c r="B1707" s="1">
        <f>IFERROR(__xludf.DUMMYFUNCTION("""COMPUTED_VALUE"""),18925.4482)</f>
        <v>18925.4482</v>
      </c>
    </row>
    <row r="1708">
      <c r="A1708" s="3">
        <f>IFERROR(__xludf.DUMMYFUNCTION("""COMPUTED_VALUE"""),42020.99861111111)</f>
        <v>42020.99861</v>
      </c>
      <c r="B1708" s="1">
        <f>IFERROR(__xludf.DUMMYFUNCTION("""COMPUTED_VALUE"""),19057.442)</f>
        <v>19057.442</v>
      </c>
    </row>
    <row r="1709">
      <c r="A1709" s="3">
        <f>IFERROR(__xludf.DUMMYFUNCTION("""COMPUTED_VALUE"""),42021.99861111111)</f>
        <v>42021.99861</v>
      </c>
      <c r="B1709" s="1">
        <f>IFERROR(__xludf.DUMMYFUNCTION("""COMPUTED_VALUE"""),19425.59829)</f>
        <v>19425.59829</v>
      </c>
    </row>
    <row r="1710">
      <c r="A1710" s="3">
        <f>IFERROR(__xludf.DUMMYFUNCTION("""COMPUTED_VALUE"""),42022.99861111111)</f>
        <v>42022.99861</v>
      </c>
      <c r="B1710" s="1">
        <f>IFERROR(__xludf.DUMMYFUNCTION("""COMPUTED_VALUE"""),19385.39226)</f>
        <v>19385.39226</v>
      </c>
    </row>
    <row r="1711">
      <c r="A1711" s="3">
        <f>IFERROR(__xludf.DUMMYFUNCTION("""COMPUTED_VALUE"""),42023.99861111111)</f>
        <v>42023.99861</v>
      </c>
      <c r="B1711" s="1">
        <f>IFERROR(__xludf.DUMMYFUNCTION("""COMPUTED_VALUE"""),19054.881)</f>
        <v>19054.881</v>
      </c>
    </row>
    <row r="1712">
      <c r="A1712" s="3">
        <f>IFERROR(__xludf.DUMMYFUNCTION("""COMPUTED_VALUE"""),42024.99861111111)</f>
        <v>42024.99861</v>
      </c>
      <c r="B1712" s="1">
        <f>IFERROR(__xludf.DUMMYFUNCTION("""COMPUTED_VALUE"""),19022.6366)</f>
        <v>19022.6366</v>
      </c>
    </row>
    <row r="1713">
      <c r="A1713" s="3">
        <f>IFERROR(__xludf.DUMMYFUNCTION("""COMPUTED_VALUE"""),42025.99861111111)</f>
        <v>42025.99861</v>
      </c>
      <c r="B1713" s="1">
        <f>IFERROR(__xludf.DUMMYFUNCTION("""COMPUTED_VALUE"""),18874.62765)</f>
        <v>18874.62765</v>
      </c>
    </row>
    <row r="1714">
      <c r="A1714" s="3">
        <f>IFERROR(__xludf.DUMMYFUNCTION("""COMPUTED_VALUE"""),42026.99861111111)</f>
        <v>42026.99861</v>
      </c>
      <c r="B1714" s="1">
        <f>IFERROR(__xludf.DUMMYFUNCTION("""COMPUTED_VALUE"""),18615.06705)</f>
        <v>18615.06705</v>
      </c>
    </row>
    <row r="1715">
      <c r="A1715" s="3">
        <f>IFERROR(__xludf.DUMMYFUNCTION("""COMPUTED_VALUE"""),42027.99861111111)</f>
        <v>42027.99861</v>
      </c>
      <c r="B1715" s="1">
        <f>IFERROR(__xludf.DUMMYFUNCTION("""COMPUTED_VALUE"""),18620.8347)</f>
        <v>18620.8347</v>
      </c>
    </row>
    <row r="1716">
      <c r="A1716" s="3">
        <f>IFERROR(__xludf.DUMMYFUNCTION("""COMPUTED_VALUE"""),42028.99861111111)</f>
        <v>42028.99861</v>
      </c>
      <c r="B1716" s="1">
        <f>IFERROR(__xludf.DUMMYFUNCTION("""COMPUTED_VALUE"""),18762.10831)</f>
        <v>18762.10831</v>
      </c>
    </row>
    <row r="1717">
      <c r="A1717" s="3">
        <f>IFERROR(__xludf.DUMMYFUNCTION("""COMPUTED_VALUE"""),42029.99861111111)</f>
        <v>42029.99861</v>
      </c>
      <c r="B1717" s="1">
        <f>IFERROR(__xludf.DUMMYFUNCTION("""COMPUTED_VALUE"""),18764.19842)</f>
        <v>18764.19842</v>
      </c>
    </row>
    <row r="1718">
      <c r="A1718" s="3">
        <f>IFERROR(__xludf.DUMMYFUNCTION("""COMPUTED_VALUE"""),42030.99861111111)</f>
        <v>42030.99861</v>
      </c>
      <c r="B1718" s="1">
        <f>IFERROR(__xludf.DUMMYFUNCTION("""COMPUTED_VALUE"""),18835.14106)</f>
        <v>18835.14106</v>
      </c>
    </row>
    <row r="1719">
      <c r="A1719" s="3">
        <f>IFERROR(__xludf.DUMMYFUNCTION("""COMPUTED_VALUE"""),42031.99861111111)</f>
        <v>42031.99861</v>
      </c>
      <c r="B1719" s="1">
        <f>IFERROR(__xludf.DUMMYFUNCTION("""COMPUTED_VALUE"""),18905.325)</f>
        <v>18905.325</v>
      </c>
    </row>
    <row r="1720">
      <c r="A1720" s="3">
        <f>IFERROR(__xludf.DUMMYFUNCTION("""COMPUTED_VALUE"""),42032.99861111111)</f>
        <v>42032.99861</v>
      </c>
      <c r="B1720" s="1">
        <f>IFERROR(__xludf.DUMMYFUNCTION("""COMPUTED_VALUE"""),18857.8664)</f>
        <v>18857.8664</v>
      </c>
    </row>
    <row r="1721">
      <c r="A1721" s="3">
        <f>IFERROR(__xludf.DUMMYFUNCTION("""COMPUTED_VALUE"""),42033.99861111111)</f>
        <v>42033.99861</v>
      </c>
      <c r="B1721" s="1">
        <f>IFERROR(__xludf.DUMMYFUNCTION("""COMPUTED_VALUE"""),18951.789)</f>
        <v>18951.789</v>
      </c>
    </row>
    <row r="1722">
      <c r="A1722" s="3">
        <f>IFERROR(__xludf.DUMMYFUNCTION("""COMPUTED_VALUE"""),42034.99861111111)</f>
        <v>42034.99861</v>
      </c>
      <c r="B1722" s="1">
        <f>IFERROR(__xludf.DUMMYFUNCTION("""COMPUTED_VALUE"""),19180.291)</f>
        <v>19180.291</v>
      </c>
    </row>
    <row r="1723">
      <c r="A1723" s="3">
        <f>IFERROR(__xludf.DUMMYFUNCTION("""COMPUTED_VALUE"""),42035.99861111111)</f>
        <v>42035.99861</v>
      </c>
      <c r="B1723" s="1">
        <f>IFERROR(__xludf.DUMMYFUNCTION("""COMPUTED_VALUE"""),19267.25772)</f>
        <v>19267.25772</v>
      </c>
    </row>
    <row r="1724">
      <c r="A1724" s="3">
        <f>IFERROR(__xludf.DUMMYFUNCTION("""COMPUTED_VALUE"""),42036.99861111111)</f>
        <v>42036.99861</v>
      </c>
      <c r="B1724" s="1">
        <f>IFERROR(__xludf.DUMMYFUNCTION("""COMPUTED_VALUE"""),19288.99684)</f>
        <v>19288.99684</v>
      </c>
    </row>
    <row r="1725">
      <c r="A1725" s="3">
        <f>IFERROR(__xludf.DUMMYFUNCTION("""COMPUTED_VALUE"""),42037.99861111111)</f>
        <v>42037.99861</v>
      </c>
      <c r="B1725" s="1">
        <f>IFERROR(__xludf.DUMMYFUNCTION("""COMPUTED_VALUE"""),18999.23895)</f>
        <v>18999.23895</v>
      </c>
    </row>
    <row r="1726">
      <c r="A1726" s="3">
        <f>IFERROR(__xludf.DUMMYFUNCTION("""COMPUTED_VALUE"""),42038.99861111111)</f>
        <v>42038.99861</v>
      </c>
      <c r="B1726" s="1">
        <f>IFERROR(__xludf.DUMMYFUNCTION("""COMPUTED_VALUE"""),19038.55)</f>
        <v>19038.55</v>
      </c>
    </row>
    <row r="1727">
      <c r="A1727" s="3">
        <f>IFERROR(__xludf.DUMMYFUNCTION("""COMPUTED_VALUE"""),42039.99861111111)</f>
        <v>42039.99861</v>
      </c>
      <c r="B1727" s="1">
        <f>IFERROR(__xludf.DUMMYFUNCTION("""COMPUTED_VALUE"""),19159.7)</f>
        <v>19159.7</v>
      </c>
    </row>
    <row r="1728">
      <c r="A1728" s="3">
        <f>IFERROR(__xludf.DUMMYFUNCTION("""COMPUTED_VALUE"""),42040.99861111111)</f>
        <v>42040.99861</v>
      </c>
      <c r="B1728" s="1">
        <f>IFERROR(__xludf.DUMMYFUNCTION("""COMPUTED_VALUE"""),19285.8014)</f>
        <v>19285.8014</v>
      </c>
    </row>
    <row r="1729">
      <c r="A1729" s="3">
        <f>IFERROR(__xludf.DUMMYFUNCTION("""COMPUTED_VALUE"""),42041.99861111111)</f>
        <v>42041.99861</v>
      </c>
      <c r="B1729" s="1">
        <f>IFERROR(__xludf.DUMMYFUNCTION("""COMPUTED_VALUE"""),19253.9553)</f>
        <v>19253.9553</v>
      </c>
    </row>
    <row r="1730">
      <c r="A1730" s="3">
        <f>IFERROR(__xludf.DUMMYFUNCTION("""COMPUTED_VALUE"""),42042.99861111111)</f>
        <v>42042.99861</v>
      </c>
      <c r="B1730" s="1">
        <f>IFERROR(__xludf.DUMMYFUNCTION("""COMPUTED_VALUE"""),19749.88436)</f>
        <v>19749.88436</v>
      </c>
    </row>
    <row r="1731">
      <c r="A1731" s="3">
        <f>IFERROR(__xludf.DUMMYFUNCTION("""COMPUTED_VALUE"""),42043.99861111111)</f>
        <v>42043.99861</v>
      </c>
      <c r="B1731" s="1">
        <f>IFERROR(__xludf.DUMMYFUNCTION("""COMPUTED_VALUE"""),19733.14862)</f>
        <v>19733.14862</v>
      </c>
    </row>
    <row r="1732">
      <c r="A1732" s="3">
        <f>IFERROR(__xludf.DUMMYFUNCTION("""COMPUTED_VALUE"""),42044.99861111111)</f>
        <v>42044.99861</v>
      </c>
      <c r="B1732" s="1">
        <f>IFERROR(__xludf.DUMMYFUNCTION("""COMPUTED_VALUE"""),19269.67085)</f>
        <v>19269.67085</v>
      </c>
    </row>
    <row r="1733">
      <c r="A1733" s="3">
        <f>IFERROR(__xludf.DUMMYFUNCTION("""COMPUTED_VALUE"""),42045.99861111111)</f>
        <v>42045.99861</v>
      </c>
      <c r="B1733" s="1">
        <f>IFERROR(__xludf.DUMMYFUNCTION("""COMPUTED_VALUE"""),19417.5839)</f>
        <v>19417.5839</v>
      </c>
    </row>
    <row r="1734">
      <c r="A1734" s="3">
        <f>IFERROR(__xludf.DUMMYFUNCTION("""COMPUTED_VALUE"""),42046.99861111111)</f>
        <v>42046.99861</v>
      </c>
      <c r="B1734" s="1">
        <f>IFERROR(__xludf.DUMMYFUNCTION("""COMPUTED_VALUE"""),19516.1005)</f>
        <v>19516.1005</v>
      </c>
    </row>
    <row r="1735">
      <c r="A1735" s="3">
        <f>IFERROR(__xludf.DUMMYFUNCTION("""COMPUTED_VALUE"""),42047.99861111111)</f>
        <v>42047.99861</v>
      </c>
      <c r="B1735" s="1">
        <f>IFERROR(__xludf.DUMMYFUNCTION("""COMPUTED_VALUE"""),19651.753)</f>
        <v>19651.753</v>
      </c>
    </row>
    <row r="1736">
      <c r="A1736" s="3">
        <f>IFERROR(__xludf.DUMMYFUNCTION("""COMPUTED_VALUE"""),42048.99861111111)</f>
        <v>42048.99861</v>
      </c>
      <c r="B1736" s="1">
        <f>IFERROR(__xludf.DUMMYFUNCTION("""COMPUTED_VALUE"""),19520.0446)</f>
        <v>19520.0446</v>
      </c>
    </row>
    <row r="1737">
      <c r="A1737" s="3">
        <f>IFERROR(__xludf.DUMMYFUNCTION("""COMPUTED_VALUE"""),42049.99861111111)</f>
        <v>42049.99861</v>
      </c>
      <c r="B1737" s="1">
        <f>IFERROR(__xludf.DUMMYFUNCTION("""COMPUTED_VALUE"""),19719.52779)</f>
        <v>19719.52779</v>
      </c>
    </row>
    <row r="1738">
      <c r="A1738" s="3">
        <f>IFERROR(__xludf.DUMMYFUNCTION("""COMPUTED_VALUE"""),42050.99861111111)</f>
        <v>42050.99861</v>
      </c>
      <c r="B1738" s="1">
        <f>IFERROR(__xludf.DUMMYFUNCTION("""COMPUTED_VALUE"""),19698.20388)</f>
        <v>19698.20388</v>
      </c>
    </row>
    <row r="1739">
      <c r="A1739" s="3">
        <f>IFERROR(__xludf.DUMMYFUNCTION("""COMPUTED_VALUE"""),42051.99861111111)</f>
        <v>42051.99861</v>
      </c>
      <c r="B1739" s="1">
        <f>IFERROR(__xludf.DUMMYFUNCTION("""COMPUTED_VALUE"""),19367.8095)</f>
        <v>19367.8095</v>
      </c>
    </row>
    <row r="1740">
      <c r="A1740" s="3">
        <f>IFERROR(__xludf.DUMMYFUNCTION("""COMPUTED_VALUE"""),42052.99861111111)</f>
        <v>42052.99861</v>
      </c>
      <c r="B1740" s="1">
        <f>IFERROR(__xludf.DUMMYFUNCTION("""COMPUTED_VALUE"""),19608.59616)</f>
        <v>19608.59616</v>
      </c>
    </row>
    <row r="1741">
      <c r="A1741" s="3">
        <f>IFERROR(__xludf.DUMMYFUNCTION("""COMPUTED_VALUE"""),42053.99861111111)</f>
        <v>42053.99861</v>
      </c>
      <c r="B1741" s="1">
        <f>IFERROR(__xludf.DUMMYFUNCTION("""COMPUTED_VALUE"""),19773.516)</f>
        <v>19773.516</v>
      </c>
    </row>
    <row r="1742">
      <c r="A1742" s="3">
        <f>IFERROR(__xludf.DUMMYFUNCTION("""COMPUTED_VALUE"""),42054.99861111111)</f>
        <v>42054.99861</v>
      </c>
      <c r="B1742" s="1">
        <f>IFERROR(__xludf.DUMMYFUNCTION("""COMPUTED_VALUE"""),19864.8045)</f>
        <v>19864.8045</v>
      </c>
    </row>
    <row r="1743">
      <c r="A1743" s="3">
        <f>IFERROR(__xludf.DUMMYFUNCTION("""COMPUTED_VALUE"""),42055.99861111111)</f>
        <v>42055.99861</v>
      </c>
      <c r="B1743" s="1">
        <f>IFERROR(__xludf.DUMMYFUNCTION("""COMPUTED_VALUE"""),19735.8639)</f>
        <v>19735.8639</v>
      </c>
    </row>
    <row r="1744">
      <c r="A1744" s="3">
        <f>IFERROR(__xludf.DUMMYFUNCTION("""COMPUTED_VALUE"""),42056.99861111111)</f>
        <v>42056.99861</v>
      </c>
      <c r="B1744" s="1">
        <f>IFERROR(__xludf.DUMMYFUNCTION("""COMPUTED_VALUE"""),19821.05092)</f>
        <v>19821.05092</v>
      </c>
    </row>
    <row r="1745">
      <c r="A1745" s="3">
        <f>IFERROR(__xludf.DUMMYFUNCTION("""COMPUTED_VALUE"""),42057.99861111111)</f>
        <v>42057.99861</v>
      </c>
      <c r="B1745" s="1">
        <f>IFERROR(__xludf.DUMMYFUNCTION("""COMPUTED_VALUE"""),19801.92608)</f>
        <v>19801.92608</v>
      </c>
    </row>
    <row r="1746">
      <c r="A1746" s="3">
        <f>IFERROR(__xludf.DUMMYFUNCTION("""COMPUTED_VALUE"""),42058.99861111111)</f>
        <v>42058.99861</v>
      </c>
      <c r="B1746" s="1">
        <f>IFERROR(__xludf.DUMMYFUNCTION("""COMPUTED_VALUE"""),19871.272)</f>
        <v>19871.272</v>
      </c>
    </row>
    <row r="1747">
      <c r="A1747" s="3">
        <f>IFERROR(__xludf.DUMMYFUNCTION("""COMPUTED_VALUE"""),42059.99861111111)</f>
        <v>42059.99861</v>
      </c>
      <c r="B1747" s="1">
        <f>IFERROR(__xludf.DUMMYFUNCTION("""COMPUTED_VALUE"""),19754.7289)</f>
        <v>19754.7289</v>
      </c>
    </row>
    <row r="1748">
      <c r="A1748" s="3">
        <f>IFERROR(__xludf.DUMMYFUNCTION("""COMPUTED_VALUE"""),42060.99861111111)</f>
        <v>42060.99861</v>
      </c>
      <c r="B1748" s="1">
        <f>IFERROR(__xludf.DUMMYFUNCTION("""COMPUTED_VALUE"""),19958.673)</f>
        <v>19958.673</v>
      </c>
    </row>
    <row r="1749">
      <c r="A1749" s="3">
        <f>IFERROR(__xludf.DUMMYFUNCTION("""COMPUTED_VALUE"""),42061.99861111111)</f>
        <v>42061.99861</v>
      </c>
      <c r="B1749" s="1">
        <f>IFERROR(__xludf.DUMMYFUNCTION("""COMPUTED_VALUE"""),19819.45121)</f>
        <v>19819.45121</v>
      </c>
    </row>
    <row r="1750">
      <c r="A1750" s="3">
        <f>IFERROR(__xludf.DUMMYFUNCTION("""COMPUTED_VALUE"""),42062.99861111111)</f>
        <v>42062.99861</v>
      </c>
      <c r="B1750" s="1">
        <f>IFERROR(__xludf.DUMMYFUNCTION("""COMPUTED_VALUE"""),20028.9474)</f>
        <v>20028.9474</v>
      </c>
    </row>
    <row r="1751">
      <c r="A1751" s="3">
        <f>IFERROR(__xludf.DUMMYFUNCTION("""COMPUTED_VALUE"""),42063.99861111111)</f>
        <v>42063.99861</v>
      </c>
      <c r="B1751" s="1">
        <f>IFERROR(__xludf.DUMMYFUNCTION("""COMPUTED_VALUE"""),20075.48583)</f>
        <v>20075.48583</v>
      </c>
    </row>
    <row r="1752">
      <c r="A1752" s="3">
        <f>IFERROR(__xludf.DUMMYFUNCTION("""COMPUTED_VALUE"""),42064.99861111111)</f>
        <v>42064.99861</v>
      </c>
      <c r="B1752" s="1">
        <f>IFERROR(__xludf.DUMMYFUNCTION("""COMPUTED_VALUE"""),20031.20756)</f>
        <v>20031.20756</v>
      </c>
    </row>
    <row r="1753">
      <c r="A1753" s="3">
        <f>IFERROR(__xludf.DUMMYFUNCTION("""COMPUTED_VALUE"""),42065.99861111111)</f>
        <v>42065.99861</v>
      </c>
      <c r="B1753" s="1">
        <f>IFERROR(__xludf.DUMMYFUNCTION("""COMPUTED_VALUE"""),19957.07125)</f>
        <v>19957.07125</v>
      </c>
    </row>
    <row r="1754">
      <c r="A1754" s="3">
        <f>IFERROR(__xludf.DUMMYFUNCTION("""COMPUTED_VALUE"""),42066.99861111111)</f>
        <v>42066.99861</v>
      </c>
      <c r="B1754" s="1">
        <f>IFERROR(__xludf.DUMMYFUNCTION("""COMPUTED_VALUE"""),19928.6644)</f>
        <v>19928.6644</v>
      </c>
    </row>
    <row r="1755">
      <c r="A1755" s="3">
        <f>IFERROR(__xludf.DUMMYFUNCTION("""COMPUTED_VALUE"""),42067.99861111111)</f>
        <v>42067.99861</v>
      </c>
      <c r="B1755" s="1">
        <f>IFERROR(__xludf.DUMMYFUNCTION("""COMPUTED_VALUE"""),19864.2739)</f>
        <v>19864.2739</v>
      </c>
    </row>
    <row r="1756">
      <c r="A1756" s="3">
        <f>IFERROR(__xludf.DUMMYFUNCTION("""COMPUTED_VALUE"""),42068.99861111111)</f>
        <v>42068.99861</v>
      </c>
      <c r="B1756" s="1">
        <f>IFERROR(__xludf.DUMMYFUNCTION("""COMPUTED_VALUE"""),19667.469)</f>
        <v>19667.469</v>
      </c>
    </row>
    <row r="1757">
      <c r="A1757" s="3">
        <f>IFERROR(__xludf.DUMMYFUNCTION("""COMPUTED_VALUE"""),42069.99861111111)</f>
        <v>42069.99861</v>
      </c>
      <c r="B1757" s="1">
        <f>IFERROR(__xludf.DUMMYFUNCTION("""COMPUTED_VALUE"""),19589.302)</f>
        <v>19589.302</v>
      </c>
    </row>
    <row r="1758">
      <c r="A1758" s="3">
        <f>IFERROR(__xludf.DUMMYFUNCTION("""COMPUTED_VALUE"""),42070.99861111111)</f>
        <v>42070.99861</v>
      </c>
      <c r="B1758" s="1">
        <f>IFERROR(__xludf.DUMMYFUNCTION("""COMPUTED_VALUE"""),19894.28086)</f>
        <v>19894.28086</v>
      </c>
    </row>
    <row r="1759">
      <c r="A1759" s="3">
        <f>IFERROR(__xludf.DUMMYFUNCTION("""COMPUTED_VALUE"""),42071.99861111111)</f>
        <v>42071.99861</v>
      </c>
      <c r="B1759" s="1">
        <f>IFERROR(__xludf.DUMMYFUNCTION("""COMPUTED_VALUE"""),19916.6618)</f>
        <v>19916.6618</v>
      </c>
    </row>
    <row r="1760">
      <c r="A1760" s="3">
        <f>IFERROR(__xludf.DUMMYFUNCTION("""COMPUTED_VALUE"""),42072.99861111111)</f>
        <v>42072.99861</v>
      </c>
      <c r="B1760" s="1">
        <f>IFERROR(__xludf.DUMMYFUNCTION("""COMPUTED_VALUE"""),19742.97533)</f>
        <v>19742.97533</v>
      </c>
    </row>
    <row r="1761">
      <c r="A1761" s="3">
        <f>IFERROR(__xludf.DUMMYFUNCTION("""COMPUTED_VALUE"""),42073.99861111111)</f>
        <v>42073.99861</v>
      </c>
      <c r="B1761" s="1">
        <f>IFERROR(__xludf.DUMMYFUNCTION("""COMPUTED_VALUE"""),19705.639)</f>
        <v>19705.639</v>
      </c>
    </row>
    <row r="1762">
      <c r="A1762" s="3">
        <f>IFERROR(__xludf.DUMMYFUNCTION("""COMPUTED_VALUE"""),42074.99861111111)</f>
        <v>42074.99861</v>
      </c>
      <c r="B1762" s="1">
        <f>IFERROR(__xludf.DUMMYFUNCTION("""COMPUTED_VALUE"""),19674.2275)</f>
        <v>19674.2275</v>
      </c>
    </row>
    <row r="1763">
      <c r="A1763" s="3">
        <f>IFERROR(__xludf.DUMMYFUNCTION("""COMPUTED_VALUE"""),42075.99861111111)</f>
        <v>42075.99861</v>
      </c>
      <c r="B1763" s="1">
        <f>IFERROR(__xludf.DUMMYFUNCTION("""COMPUTED_VALUE"""),19612.2372)</f>
        <v>19612.2372</v>
      </c>
    </row>
    <row r="1764">
      <c r="A1764" s="3">
        <f>IFERROR(__xludf.DUMMYFUNCTION("""COMPUTED_VALUE"""),42076.99861111111)</f>
        <v>42076.99861</v>
      </c>
      <c r="B1764" s="1">
        <f>IFERROR(__xludf.DUMMYFUNCTION("""COMPUTED_VALUE"""),19434.69)</f>
        <v>19434.69</v>
      </c>
    </row>
    <row r="1765">
      <c r="A1765" s="3">
        <f>IFERROR(__xludf.DUMMYFUNCTION("""COMPUTED_VALUE"""),42077.99861111111)</f>
        <v>42077.99861</v>
      </c>
      <c r="B1765" s="1">
        <f>IFERROR(__xludf.DUMMYFUNCTION("""COMPUTED_VALUE"""),19575.02954)</f>
        <v>19575.02954</v>
      </c>
    </row>
    <row r="1766">
      <c r="A1766" s="3">
        <f>IFERROR(__xludf.DUMMYFUNCTION("""COMPUTED_VALUE"""),42078.99861111111)</f>
        <v>42078.99861</v>
      </c>
      <c r="B1766" s="1">
        <f>IFERROR(__xludf.DUMMYFUNCTION("""COMPUTED_VALUE"""),19590.96579)</f>
        <v>19590.96579</v>
      </c>
    </row>
    <row r="1767">
      <c r="A1767" s="3">
        <f>IFERROR(__xludf.DUMMYFUNCTION("""COMPUTED_VALUE"""),42079.99861111111)</f>
        <v>42079.99861</v>
      </c>
      <c r="B1767" s="1">
        <f>IFERROR(__xludf.DUMMYFUNCTION("""COMPUTED_VALUE"""),19558.55265)</f>
        <v>19558.55265</v>
      </c>
    </row>
    <row r="1768">
      <c r="A1768" s="3">
        <f>IFERROR(__xludf.DUMMYFUNCTION("""COMPUTED_VALUE"""),42080.99861111111)</f>
        <v>42080.99861</v>
      </c>
      <c r="B1768" s="1">
        <f>IFERROR(__xludf.DUMMYFUNCTION("""COMPUTED_VALUE"""),19352.9184)</f>
        <v>19352.9184</v>
      </c>
    </row>
    <row r="1769">
      <c r="A1769" s="3">
        <f>IFERROR(__xludf.DUMMYFUNCTION("""COMPUTED_VALUE"""),42081.99861111111)</f>
        <v>42081.99861</v>
      </c>
      <c r="B1769" s="1">
        <f>IFERROR(__xludf.DUMMYFUNCTION("""COMPUTED_VALUE"""),19268.0936)</f>
        <v>19268.0936</v>
      </c>
    </row>
    <row r="1770">
      <c r="A1770" s="3">
        <f>IFERROR(__xludf.DUMMYFUNCTION("""COMPUTED_VALUE"""),42082.99861111111)</f>
        <v>42082.99861</v>
      </c>
      <c r="B1770" s="1">
        <f>IFERROR(__xludf.DUMMYFUNCTION("""COMPUTED_VALUE"""),19272.69394)</f>
        <v>19272.69394</v>
      </c>
    </row>
    <row r="1771">
      <c r="A1771" s="3">
        <f>IFERROR(__xludf.DUMMYFUNCTION("""COMPUTED_VALUE"""),42083.99861111111)</f>
        <v>42083.99861</v>
      </c>
      <c r="B1771" s="1">
        <f>IFERROR(__xludf.DUMMYFUNCTION("""COMPUTED_VALUE"""),19472.375)</f>
        <v>19472.375</v>
      </c>
    </row>
    <row r="1772">
      <c r="A1772" s="3">
        <f>IFERROR(__xludf.DUMMYFUNCTION("""COMPUTED_VALUE"""),42084.99861111111)</f>
        <v>42084.99861</v>
      </c>
      <c r="B1772" s="1">
        <f>IFERROR(__xludf.DUMMYFUNCTION("""COMPUTED_VALUE"""),19499.26849)</f>
        <v>19499.26849</v>
      </c>
    </row>
    <row r="1773">
      <c r="A1773" s="3">
        <f>IFERROR(__xludf.DUMMYFUNCTION("""COMPUTED_VALUE"""),42085.99861111111)</f>
        <v>42085.99861</v>
      </c>
      <c r="B1773" s="1">
        <f>IFERROR(__xludf.DUMMYFUNCTION("""COMPUTED_VALUE"""),19477.03904)</f>
        <v>19477.03904</v>
      </c>
    </row>
    <row r="1774">
      <c r="A1774" s="3">
        <f>IFERROR(__xludf.DUMMYFUNCTION("""COMPUTED_VALUE"""),42086.99861111111)</f>
        <v>42086.99861</v>
      </c>
      <c r="B1774" s="1">
        <f>IFERROR(__xludf.DUMMYFUNCTION("""COMPUTED_VALUE"""),19348.4907)</f>
        <v>19348.4907</v>
      </c>
    </row>
    <row r="1775">
      <c r="A1775" s="3">
        <f>IFERROR(__xludf.DUMMYFUNCTION("""COMPUTED_VALUE"""),42087.99861111111)</f>
        <v>42087.99861</v>
      </c>
      <c r="B1775" s="1">
        <f>IFERROR(__xludf.DUMMYFUNCTION("""COMPUTED_VALUE"""),19140.696)</f>
        <v>19140.696</v>
      </c>
    </row>
    <row r="1776">
      <c r="A1776" s="3">
        <f>IFERROR(__xludf.DUMMYFUNCTION("""COMPUTED_VALUE"""),42088.99861111111)</f>
        <v>42088.99861</v>
      </c>
      <c r="B1776" s="1">
        <f>IFERROR(__xludf.DUMMYFUNCTION("""COMPUTED_VALUE"""),19233.5043)</f>
        <v>19233.5043</v>
      </c>
    </row>
    <row r="1777">
      <c r="A1777" s="3">
        <f>IFERROR(__xludf.DUMMYFUNCTION("""COMPUTED_VALUE"""),42089.99861111111)</f>
        <v>42089.99861</v>
      </c>
      <c r="B1777" s="1">
        <f>IFERROR(__xludf.DUMMYFUNCTION("""COMPUTED_VALUE"""),19328.957)</f>
        <v>19328.957</v>
      </c>
    </row>
    <row r="1778">
      <c r="A1778" s="3">
        <f>IFERROR(__xludf.DUMMYFUNCTION("""COMPUTED_VALUE"""),42090.99861111111)</f>
        <v>42090.99861</v>
      </c>
      <c r="B1778" s="1">
        <f>IFERROR(__xludf.DUMMYFUNCTION("""COMPUTED_VALUE"""),19388.259)</f>
        <v>19388.259</v>
      </c>
    </row>
    <row r="1779">
      <c r="A1779" s="3">
        <f>IFERROR(__xludf.DUMMYFUNCTION("""COMPUTED_VALUE"""),42091.99861111111)</f>
        <v>42091.99861</v>
      </c>
      <c r="B1779" s="1">
        <f>IFERROR(__xludf.DUMMYFUNCTION("""COMPUTED_VALUE"""),19550.67666)</f>
        <v>19550.67666</v>
      </c>
    </row>
    <row r="1780">
      <c r="A1780" s="3">
        <f>IFERROR(__xludf.DUMMYFUNCTION("""COMPUTED_VALUE"""),42092.99861111111)</f>
        <v>42092.99861</v>
      </c>
      <c r="B1780" s="1">
        <f>IFERROR(__xludf.DUMMYFUNCTION("""COMPUTED_VALUE"""),19557.15498)</f>
        <v>19557.15498</v>
      </c>
    </row>
    <row r="1781">
      <c r="A1781" s="3">
        <f>IFERROR(__xludf.DUMMYFUNCTION("""COMPUTED_VALUE"""),42093.99861111111)</f>
        <v>42093.99861</v>
      </c>
      <c r="B1781" s="1">
        <f>IFERROR(__xludf.DUMMYFUNCTION("""COMPUTED_VALUE"""),19379.2296)</f>
        <v>19379.2296</v>
      </c>
    </row>
    <row r="1782">
      <c r="A1782" s="3">
        <f>IFERROR(__xludf.DUMMYFUNCTION("""COMPUTED_VALUE"""),42094.99861111111)</f>
        <v>42094.99861</v>
      </c>
      <c r="B1782" s="1">
        <f>IFERROR(__xludf.DUMMYFUNCTION("""COMPUTED_VALUE"""),19365.368)</f>
        <v>19365.368</v>
      </c>
    </row>
    <row r="1783">
      <c r="A1783" s="3">
        <f>IFERROR(__xludf.DUMMYFUNCTION("""COMPUTED_VALUE"""),42095.99861111111)</f>
        <v>42095.99861</v>
      </c>
      <c r="B1783" s="1">
        <f>IFERROR(__xludf.DUMMYFUNCTION("""COMPUTED_VALUE"""),19222.67468)</f>
        <v>19222.67468</v>
      </c>
    </row>
    <row r="1784">
      <c r="A1784" s="3">
        <f>IFERROR(__xludf.DUMMYFUNCTION("""COMPUTED_VALUE"""),42096.99861111111)</f>
        <v>42096.99861</v>
      </c>
      <c r="B1784" s="1">
        <f>IFERROR(__xludf.DUMMYFUNCTION("""COMPUTED_VALUE"""),19253.6386)</f>
        <v>19253.6386</v>
      </c>
    </row>
    <row r="1785">
      <c r="A1785" s="3">
        <f>IFERROR(__xludf.DUMMYFUNCTION("""COMPUTED_VALUE"""),42097.99861111111)</f>
        <v>42097.99861</v>
      </c>
      <c r="B1785" s="1">
        <f>IFERROR(__xludf.DUMMYFUNCTION("""COMPUTED_VALUE"""),19223.2055)</f>
        <v>19223.2055</v>
      </c>
    </row>
    <row r="1786">
      <c r="A1786" s="3">
        <f>IFERROR(__xludf.DUMMYFUNCTION("""COMPUTED_VALUE"""),42098.99861111111)</f>
        <v>42098.99861</v>
      </c>
      <c r="B1786" s="1">
        <f>IFERROR(__xludf.DUMMYFUNCTION("""COMPUTED_VALUE"""),19284.74468)</f>
        <v>19284.74468</v>
      </c>
    </row>
    <row r="1787">
      <c r="A1787" s="3">
        <f>IFERROR(__xludf.DUMMYFUNCTION("""COMPUTED_VALUE"""),42099.99861111111)</f>
        <v>42099.99861</v>
      </c>
      <c r="B1787" s="1">
        <f>IFERROR(__xludf.DUMMYFUNCTION("""COMPUTED_VALUE"""),19361.85484)</f>
        <v>19361.85484</v>
      </c>
    </row>
    <row r="1788">
      <c r="A1788" s="3">
        <f>IFERROR(__xludf.DUMMYFUNCTION("""COMPUTED_VALUE"""),42100.99861111111)</f>
        <v>42100.99861</v>
      </c>
      <c r="B1788" s="1">
        <f>IFERROR(__xludf.DUMMYFUNCTION("""COMPUTED_VALUE"""),19272.12765)</f>
        <v>19272.12765</v>
      </c>
    </row>
    <row r="1789">
      <c r="A1789" s="3">
        <f>IFERROR(__xludf.DUMMYFUNCTION("""COMPUTED_VALUE"""),42101.99861111111)</f>
        <v>42101.99861</v>
      </c>
      <c r="B1789" s="1">
        <f>IFERROR(__xludf.DUMMYFUNCTION("""COMPUTED_VALUE"""),19259.8895)</f>
        <v>19259.8895</v>
      </c>
    </row>
    <row r="1790">
      <c r="A1790" s="3">
        <f>IFERROR(__xludf.DUMMYFUNCTION("""COMPUTED_VALUE"""),42102.99861111111)</f>
        <v>42102.99861</v>
      </c>
      <c r="B1790" s="1">
        <f>IFERROR(__xludf.DUMMYFUNCTION("""COMPUTED_VALUE"""),19225.9375)</f>
        <v>19225.9375</v>
      </c>
    </row>
    <row r="1791">
      <c r="A1791" s="3">
        <f>IFERROR(__xludf.DUMMYFUNCTION("""COMPUTED_VALUE"""),42103.99861111111)</f>
        <v>42103.99861</v>
      </c>
      <c r="B1791" s="1">
        <f>IFERROR(__xludf.DUMMYFUNCTION("""COMPUTED_VALUE"""),19033.8525)</f>
        <v>19033.8525</v>
      </c>
    </row>
    <row r="1792">
      <c r="A1792" s="3">
        <f>IFERROR(__xludf.DUMMYFUNCTION("""COMPUTED_VALUE"""),42104.99861111111)</f>
        <v>42104.99861</v>
      </c>
      <c r="B1792" s="1">
        <f>IFERROR(__xludf.DUMMYFUNCTION("""COMPUTED_VALUE"""),18860.7769)</f>
        <v>18860.7769</v>
      </c>
    </row>
    <row r="1793">
      <c r="A1793" s="3">
        <f>IFERROR(__xludf.DUMMYFUNCTION("""COMPUTED_VALUE"""),42105.99861111111)</f>
        <v>42105.99861</v>
      </c>
      <c r="B1793" s="1">
        <f>IFERROR(__xludf.DUMMYFUNCTION("""COMPUTED_VALUE"""),18932.81929)</f>
        <v>18932.81929</v>
      </c>
    </row>
    <row r="1794">
      <c r="A1794" s="3">
        <f>IFERROR(__xludf.DUMMYFUNCTION("""COMPUTED_VALUE"""),42106.99861111111)</f>
        <v>42106.99861</v>
      </c>
      <c r="B1794" s="1">
        <f>IFERROR(__xludf.DUMMYFUNCTION("""COMPUTED_VALUE"""),18938.16211)</f>
        <v>18938.16211</v>
      </c>
    </row>
    <row r="1795">
      <c r="A1795" s="3">
        <f>IFERROR(__xludf.DUMMYFUNCTION("""COMPUTED_VALUE"""),42107.99861111111)</f>
        <v>42107.99861</v>
      </c>
      <c r="B1795" s="1">
        <f>IFERROR(__xludf.DUMMYFUNCTION("""COMPUTED_VALUE"""),19132.8406)</f>
        <v>19132.8406</v>
      </c>
    </row>
    <row r="1796">
      <c r="A1796" s="3">
        <f>IFERROR(__xludf.DUMMYFUNCTION("""COMPUTED_VALUE"""),42108.99861111111)</f>
        <v>42108.99861</v>
      </c>
      <c r="B1796" s="1">
        <f>IFERROR(__xludf.DUMMYFUNCTION("""COMPUTED_VALUE"""),19164.075)</f>
        <v>19164.075</v>
      </c>
    </row>
    <row r="1797">
      <c r="A1797" s="3">
        <f>IFERROR(__xludf.DUMMYFUNCTION("""COMPUTED_VALUE"""),42109.99861111111)</f>
        <v>42109.99861</v>
      </c>
      <c r="B1797" s="1">
        <f>IFERROR(__xludf.DUMMYFUNCTION("""COMPUTED_VALUE"""),19121.86602)</f>
        <v>19121.86602</v>
      </c>
    </row>
    <row r="1798">
      <c r="A1798" s="3">
        <f>IFERROR(__xludf.DUMMYFUNCTION("""COMPUTED_VALUE"""),42110.99861111111)</f>
        <v>42110.99861</v>
      </c>
      <c r="B1798" s="1">
        <f>IFERROR(__xludf.DUMMYFUNCTION("""COMPUTED_VALUE"""),19131.0296)</f>
        <v>19131.0296</v>
      </c>
    </row>
    <row r="1799">
      <c r="A1799" s="3">
        <f>IFERROR(__xludf.DUMMYFUNCTION("""COMPUTED_VALUE"""),42111.99861111111)</f>
        <v>42111.99861</v>
      </c>
      <c r="B1799" s="1">
        <f>IFERROR(__xludf.DUMMYFUNCTION("""COMPUTED_VALUE"""),19151.36)</f>
        <v>19151.36</v>
      </c>
    </row>
    <row r="1800">
      <c r="A1800" s="3">
        <f>IFERROR(__xludf.DUMMYFUNCTION("""COMPUTED_VALUE"""),42112.99861111111)</f>
        <v>42112.99861</v>
      </c>
      <c r="B1800" s="1">
        <f>IFERROR(__xludf.DUMMYFUNCTION("""COMPUTED_VALUE"""),19212.9903)</f>
        <v>19212.9903</v>
      </c>
    </row>
    <row r="1801">
      <c r="A1801" s="3">
        <f>IFERROR(__xludf.DUMMYFUNCTION("""COMPUTED_VALUE"""),42113.99861111111)</f>
        <v>42113.99861</v>
      </c>
      <c r="B1801" s="1">
        <f>IFERROR(__xludf.DUMMYFUNCTION("""COMPUTED_VALUE"""),19285.03966)</f>
        <v>19285.03966</v>
      </c>
    </row>
    <row r="1802">
      <c r="A1802" s="3">
        <f>IFERROR(__xludf.DUMMYFUNCTION("""COMPUTED_VALUE"""),42114.99861111111)</f>
        <v>42114.99861</v>
      </c>
      <c r="B1802" s="1">
        <f>IFERROR(__xludf.DUMMYFUNCTION("""COMPUTED_VALUE"""),19336.1948)</f>
        <v>19336.1948</v>
      </c>
    </row>
    <row r="1803">
      <c r="A1803" s="3">
        <f>IFERROR(__xludf.DUMMYFUNCTION("""COMPUTED_VALUE"""),42115.99861111111)</f>
        <v>42115.99861</v>
      </c>
      <c r="B1803" s="1">
        <f>IFERROR(__xludf.DUMMYFUNCTION("""COMPUTED_VALUE"""),19299.61)</f>
        <v>19299.61</v>
      </c>
    </row>
    <row r="1804">
      <c r="A1804" s="3">
        <f>IFERROR(__xludf.DUMMYFUNCTION("""COMPUTED_VALUE"""),42116.99861111111)</f>
        <v>42116.99861</v>
      </c>
      <c r="B1804" s="1">
        <f>IFERROR(__xludf.DUMMYFUNCTION("""COMPUTED_VALUE"""),19396.44)</f>
        <v>19396.44</v>
      </c>
    </row>
    <row r="1805">
      <c r="A1805" s="3">
        <f>IFERROR(__xludf.DUMMYFUNCTION("""COMPUTED_VALUE"""),42117.99861111111)</f>
        <v>42117.99861</v>
      </c>
      <c r="B1805" s="1">
        <f>IFERROR(__xludf.DUMMYFUNCTION("""COMPUTED_VALUE"""),19460.943)</f>
        <v>19460.943</v>
      </c>
    </row>
    <row r="1806">
      <c r="A1806" s="3">
        <f>IFERROR(__xludf.DUMMYFUNCTION("""COMPUTED_VALUE"""),42118.99861111111)</f>
        <v>42118.99861</v>
      </c>
      <c r="B1806" s="1">
        <f>IFERROR(__xludf.DUMMYFUNCTION("""COMPUTED_VALUE"""),19654.10946)</f>
        <v>19654.10946</v>
      </c>
    </row>
    <row r="1807">
      <c r="A1807" s="3">
        <f>IFERROR(__xludf.DUMMYFUNCTION("""COMPUTED_VALUE"""),42119.99861111111)</f>
        <v>42119.99861</v>
      </c>
      <c r="B1807" s="1">
        <f>IFERROR(__xludf.DUMMYFUNCTION("""COMPUTED_VALUE"""),19701.2969)</f>
        <v>19701.2969</v>
      </c>
    </row>
    <row r="1808">
      <c r="A1808" s="3">
        <f>IFERROR(__xludf.DUMMYFUNCTION("""COMPUTED_VALUE"""),42120.99861111111)</f>
        <v>42120.99861</v>
      </c>
      <c r="B1808" s="1">
        <f>IFERROR(__xludf.DUMMYFUNCTION("""COMPUTED_VALUE"""),19681.82869)</f>
        <v>19681.82869</v>
      </c>
    </row>
    <row r="1809">
      <c r="A1809" s="3">
        <f>IFERROR(__xludf.DUMMYFUNCTION("""COMPUTED_VALUE"""),42121.99861111111)</f>
        <v>42121.99861</v>
      </c>
      <c r="B1809" s="1">
        <f>IFERROR(__xludf.DUMMYFUNCTION("""COMPUTED_VALUE"""),19677.99648)</f>
        <v>19677.99648</v>
      </c>
    </row>
    <row r="1810">
      <c r="A1810" s="3">
        <f>IFERROR(__xludf.DUMMYFUNCTION("""COMPUTED_VALUE"""),42122.99861111111)</f>
        <v>42122.99861</v>
      </c>
      <c r="B1810" s="1">
        <f>IFERROR(__xludf.DUMMYFUNCTION("""COMPUTED_VALUE"""),19832.33005)</f>
        <v>19832.33005</v>
      </c>
    </row>
    <row r="1811">
      <c r="A1811" s="3">
        <f>IFERROR(__xludf.DUMMYFUNCTION("""COMPUTED_VALUE"""),42123.99861111111)</f>
        <v>42123.99861</v>
      </c>
      <c r="B1811" s="1">
        <f>IFERROR(__xludf.DUMMYFUNCTION("""COMPUTED_VALUE"""),19920.8709)</f>
        <v>19920.8709</v>
      </c>
    </row>
    <row r="1812">
      <c r="A1812" s="3">
        <f>IFERROR(__xludf.DUMMYFUNCTION("""COMPUTED_VALUE"""),42124.99861111111)</f>
        <v>42124.99861</v>
      </c>
      <c r="B1812" s="1">
        <f>IFERROR(__xludf.DUMMYFUNCTION("""COMPUTED_VALUE"""),19893.01167)</f>
        <v>19893.01167</v>
      </c>
    </row>
    <row r="1813">
      <c r="A1813" s="3">
        <f>IFERROR(__xludf.DUMMYFUNCTION("""COMPUTED_VALUE"""),42125.99861111111)</f>
        <v>42125.99861</v>
      </c>
      <c r="B1813" s="1">
        <f>IFERROR(__xludf.DUMMYFUNCTION("""COMPUTED_VALUE"""),19917.9225)</f>
        <v>19917.9225</v>
      </c>
    </row>
    <row r="1814">
      <c r="A1814" s="3">
        <f>IFERROR(__xludf.DUMMYFUNCTION("""COMPUTED_VALUE"""),42126.99861111111)</f>
        <v>42126.99861</v>
      </c>
      <c r="B1814" s="1">
        <f>IFERROR(__xludf.DUMMYFUNCTION("""COMPUTED_VALUE"""),20070.44918)</f>
        <v>20070.44918</v>
      </c>
    </row>
    <row r="1815">
      <c r="A1815" s="3">
        <f>IFERROR(__xludf.DUMMYFUNCTION("""COMPUTED_VALUE"""),42127.99861111111)</f>
        <v>42127.99861</v>
      </c>
      <c r="B1815" s="1">
        <f>IFERROR(__xludf.DUMMYFUNCTION("""COMPUTED_VALUE"""),19745.7481)</f>
        <v>19745.7481</v>
      </c>
    </row>
    <row r="1816">
      <c r="A1816" s="3">
        <f>IFERROR(__xludf.DUMMYFUNCTION("""COMPUTED_VALUE"""),42128.99861111111)</f>
        <v>42128.99861</v>
      </c>
      <c r="B1816" s="1">
        <f>IFERROR(__xludf.DUMMYFUNCTION("""COMPUTED_VALUE"""),19444.32)</f>
        <v>19444.32</v>
      </c>
    </row>
    <row r="1817">
      <c r="A1817" s="3">
        <f>IFERROR(__xludf.DUMMYFUNCTION("""COMPUTED_VALUE"""),42129.99861111111)</f>
        <v>42129.99861</v>
      </c>
      <c r="B1817" s="1">
        <f>IFERROR(__xludf.DUMMYFUNCTION("""COMPUTED_VALUE"""),19729.8855)</f>
        <v>19729.8855</v>
      </c>
    </row>
    <row r="1818">
      <c r="A1818" s="3">
        <f>IFERROR(__xludf.DUMMYFUNCTION("""COMPUTED_VALUE"""),42130.99861111111)</f>
        <v>42130.99861</v>
      </c>
      <c r="B1818" s="1">
        <f>IFERROR(__xludf.DUMMYFUNCTION("""COMPUTED_VALUE"""),19815.4952)</f>
        <v>19815.4952</v>
      </c>
    </row>
    <row r="1819">
      <c r="A1819" s="3">
        <f>IFERROR(__xludf.DUMMYFUNCTION("""COMPUTED_VALUE"""),42131.99861111111)</f>
        <v>42131.99861</v>
      </c>
      <c r="B1819" s="1">
        <f>IFERROR(__xludf.DUMMYFUNCTION("""COMPUTED_VALUE"""),20166.3)</f>
        <v>20166.3</v>
      </c>
    </row>
    <row r="1820">
      <c r="A1820" s="3">
        <f>IFERROR(__xludf.DUMMYFUNCTION("""COMPUTED_VALUE"""),42132.99861111111)</f>
        <v>42132.99861</v>
      </c>
      <c r="B1820" s="1">
        <f>IFERROR(__xludf.DUMMYFUNCTION("""COMPUTED_VALUE"""),20143.2633)</f>
        <v>20143.2633</v>
      </c>
    </row>
    <row r="1821">
      <c r="A1821" s="3">
        <f>IFERROR(__xludf.DUMMYFUNCTION("""COMPUTED_VALUE"""),42133.99861111111)</f>
        <v>42133.99861</v>
      </c>
      <c r="B1821" s="1">
        <f>IFERROR(__xludf.DUMMYFUNCTION("""COMPUTED_VALUE"""),20318.54531)</f>
        <v>20318.54531</v>
      </c>
    </row>
    <row r="1822">
      <c r="A1822" s="3">
        <f>IFERROR(__xludf.DUMMYFUNCTION("""COMPUTED_VALUE"""),42134.99861111111)</f>
        <v>42134.99861</v>
      </c>
      <c r="B1822" s="1">
        <f>IFERROR(__xludf.DUMMYFUNCTION("""COMPUTED_VALUE"""),20308.019)</f>
        <v>20308.019</v>
      </c>
    </row>
    <row r="1823">
      <c r="A1823" s="3">
        <f>IFERROR(__xludf.DUMMYFUNCTION("""COMPUTED_VALUE"""),42135.99861111111)</f>
        <v>42135.99861</v>
      </c>
      <c r="B1823" s="1">
        <f>IFERROR(__xludf.DUMMYFUNCTION("""COMPUTED_VALUE"""),20513.592)</f>
        <v>20513.592</v>
      </c>
    </row>
    <row r="1824">
      <c r="A1824" s="3">
        <f>IFERROR(__xludf.DUMMYFUNCTION("""COMPUTED_VALUE"""),42136.99861111111)</f>
        <v>42136.99861</v>
      </c>
      <c r="B1824" s="1">
        <f>IFERROR(__xludf.DUMMYFUNCTION("""COMPUTED_VALUE"""),20594.2715)</f>
        <v>20594.2715</v>
      </c>
    </row>
    <row r="1825">
      <c r="A1825" s="3">
        <f>IFERROR(__xludf.DUMMYFUNCTION("""COMPUTED_VALUE"""),42137.99861111111)</f>
        <v>42137.99861</v>
      </c>
      <c r="B1825" s="1">
        <f>IFERROR(__xludf.DUMMYFUNCTION("""COMPUTED_VALUE"""),20614.6868)</f>
        <v>20614.6868</v>
      </c>
    </row>
    <row r="1826">
      <c r="A1826" s="3">
        <f>IFERROR(__xludf.DUMMYFUNCTION("""COMPUTED_VALUE"""),42138.99861111111)</f>
        <v>42138.99861</v>
      </c>
      <c r="B1826" s="1">
        <f>IFERROR(__xludf.DUMMYFUNCTION("""COMPUTED_VALUE"""),20521.501)</f>
        <v>20521.501</v>
      </c>
    </row>
    <row r="1827">
      <c r="A1827" s="3">
        <f>IFERROR(__xludf.DUMMYFUNCTION("""COMPUTED_VALUE"""),42139.99861111111)</f>
        <v>42139.99861</v>
      </c>
      <c r="B1827" s="1">
        <f>IFERROR(__xludf.DUMMYFUNCTION("""COMPUTED_VALUE"""),20516.4075)</f>
        <v>20516.4075</v>
      </c>
    </row>
    <row r="1828">
      <c r="A1828" s="3">
        <f>IFERROR(__xludf.DUMMYFUNCTION("""COMPUTED_VALUE"""),42140.99861111111)</f>
        <v>42140.99861</v>
      </c>
      <c r="B1828" s="1">
        <f>IFERROR(__xludf.DUMMYFUNCTION("""COMPUTED_VALUE"""),20560.71042)</f>
        <v>20560.71042</v>
      </c>
    </row>
    <row r="1829">
      <c r="A1829" s="3">
        <f>IFERROR(__xludf.DUMMYFUNCTION("""COMPUTED_VALUE"""),42141.99861111111)</f>
        <v>42141.99861</v>
      </c>
      <c r="B1829" s="1">
        <f>IFERROR(__xludf.DUMMYFUNCTION("""COMPUTED_VALUE"""),20573.84767)</f>
        <v>20573.84767</v>
      </c>
    </row>
    <row r="1830">
      <c r="A1830" s="3">
        <f>IFERROR(__xludf.DUMMYFUNCTION("""COMPUTED_VALUE"""),42142.99861111111)</f>
        <v>42142.99861</v>
      </c>
      <c r="B1830" s="1">
        <f>IFERROR(__xludf.DUMMYFUNCTION("""COMPUTED_VALUE"""),20613.0082)</f>
        <v>20613.0082</v>
      </c>
    </row>
    <row r="1831">
      <c r="A1831" s="3">
        <f>IFERROR(__xludf.DUMMYFUNCTION("""COMPUTED_VALUE"""),42143.99861111111)</f>
        <v>42143.99861</v>
      </c>
      <c r="B1831" s="1">
        <f>IFERROR(__xludf.DUMMYFUNCTION("""COMPUTED_VALUE"""),20426.2016)</f>
        <v>20426.2016</v>
      </c>
    </row>
    <row r="1832">
      <c r="A1832" s="3">
        <f>IFERROR(__xludf.DUMMYFUNCTION("""COMPUTED_VALUE"""),42144.99861111111)</f>
        <v>42144.99861</v>
      </c>
      <c r="B1832" s="1">
        <f>IFERROR(__xludf.DUMMYFUNCTION("""COMPUTED_VALUE"""),20225.96075)</f>
        <v>20225.96075</v>
      </c>
    </row>
    <row r="1833">
      <c r="A1833" s="3">
        <f>IFERROR(__xludf.DUMMYFUNCTION("""COMPUTED_VALUE"""),42145.99861111111)</f>
        <v>42145.99861</v>
      </c>
      <c r="B1833" s="1">
        <f>IFERROR(__xludf.DUMMYFUNCTION("""COMPUTED_VALUE"""),20529.7496)</f>
        <v>20529.7496</v>
      </c>
    </row>
    <row r="1834">
      <c r="A1834" s="3">
        <f>IFERROR(__xludf.DUMMYFUNCTION("""COMPUTED_VALUE"""),42146.99861111111)</f>
        <v>42146.99861</v>
      </c>
      <c r="B1834" s="1">
        <f>IFERROR(__xludf.DUMMYFUNCTION("""COMPUTED_VALUE"""),20351.232)</f>
        <v>20351.232</v>
      </c>
    </row>
    <row r="1835">
      <c r="A1835" s="3">
        <f>IFERROR(__xludf.DUMMYFUNCTION("""COMPUTED_VALUE"""),42147.99861111111)</f>
        <v>42147.99861</v>
      </c>
      <c r="B1835" s="1">
        <f>IFERROR(__xludf.DUMMYFUNCTION("""COMPUTED_VALUE"""),20409.61704)</f>
        <v>20409.61704</v>
      </c>
    </row>
    <row r="1836">
      <c r="A1836" s="3">
        <f>IFERROR(__xludf.DUMMYFUNCTION("""COMPUTED_VALUE"""),42149.99861111111)</f>
        <v>42149.99861</v>
      </c>
      <c r="B1836" s="1">
        <f>IFERROR(__xludf.DUMMYFUNCTION("""COMPUTED_VALUE"""),20378.23581)</f>
        <v>20378.23581</v>
      </c>
    </row>
    <row r="1837">
      <c r="A1837" s="3">
        <f>IFERROR(__xludf.DUMMYFUNCTION("""COMPUTED_VALUE"""),42150.99861111111)</f>
        <v>42150.99861</v>
      </c>
      <c r="B1837" s="1">
        <f>IFERROR(__xludf.DUMMYFUNCTION("""COMPUTED_VALUE"""),20346.2498)</f>
        <v>20346.2498</v>
      </c>
    </row>
    <row r="1838">
      <c r="A1838" s="3">
        <f>IFERROR(__xludf.DUMMYFUNCTION("""COMPUTED_VALUE"""),42151.99861111111)</f>
        <v>42151.99861</v>
      </c>
      <c r="B1838" s="1">
        <f>IFERROR(__xludf.DUMMYFUNCTION("""COMPUTED_VALUE"""),20211.999)</f>
        <v>20211.999</v>
      </c>
    </row>
    <row r="1839">
      <c r="A1839" s="3">
        <f>IFERROR(__xludf.DUMMYFUNCTION("""COMPUTED_VALUE"""),42152.99861111111)</f>
        <v>42152.99861</v>
      </c>
      <c r="B1839" s="1">
        <f>IFERROR(__xludf.DUMMYFUNCTION("""COMPUTED_VALUE"""),20164.8305)</f>
        <v>20164.8305</v>
      </c>
    </row>
    <row r="1840">
      <c r="A1840" s="3">
        <f>IFERROR(__xludf.DUMMYFUNCTION("""COMPUTED_VALUE"""),42153.99861111111)</f>
        <v>42153.99861</v>
      </c>
      <c r="B1840" s="1">
        <f>IFERROR(__xludf.DUMMYFUNCTION("""COMPUTED_VALUE"""),20182.8)</f>
        <v>20182.8</v>
      </c>
    </row>
    <row r="1841">
      <c r="A1841" s="3">
        <f>IFERROR(__xludf.DUMMYFUNCTION("""COMPUTED_VALUE"""),42156.99861111111)</f>
        <v>42156.99861</v>
      </c>
      <c r="B1841" s="1">
        <f>IFERROR(__xludf.DUMMYFUNCTION("""COMPUTED_VALUE"""),20040.4848)</f>
        <v>20040.4848</v>
      </c>
    </row>
    <row r="1842">
      <c r="A1842" s="3">
        <f>IFERROR(__xludf.DUMMYFUNCTION("""COMPUTED_VALUE"""),42157.99861111111)</f>
        <v>42157.99861</v>
      </c>
      <c r="B1842" s="1">
        <f>IFERROR(__xludf.DUMMYFUNCTION("""COMPUTED_VALUE"""),20168.155)</f>
        <v>20168.155</v>
      </c>
    </row>
    <row r="1843">
      <c r="A1843" s="3">
        <f>IFERROR(__xludf.DUMMYFUNCTION("""COMPUTED_VALUE"""),42158.99861111111)</f>
        <v>42158.99861</v>
      </c>
      <c r="B1843" s="1">
        <f>IFERROR(__xludf.DUMMYFUNCTION("""COMPUTED_VALUE"""),20275.3719)</f>
        <v>20275.3719</v>
      </c>
    </row>
    <row r="1844">
      <c r="A1844" s="3">
        <f>IFERROR(__xludf.DUMMYFUNCTION("""COMPUTED_VALUE"""),42159.99861111111)</f>
        <v>42159.99861</v>
      </c>
      <c r="B1844" s="1">
        <f>IFERROR(__xludf.DUMMYFUNCTION("""COMPUTED_VALUE"""),20390.4)</f>
        <v>20390.4</v>
      </c>
    </row>
    <row r="1845">
      <c r="A1845" s="3">
        <f>IFERROR(__xludf.DUMMYFUNCTION("""COMPUTED_VALUE"""),42160.99861111111)</f>
        <v>42160.99861</v>
      </c>
      <c r="B1845" s="1">
        <f>IFERROR(__xludf.DUMMYFUNCTION("""COMPUTED_VALUE"""),20443.476)</f>
        <v>20443.476</v>
      </c>
    </row>
    <row r="1846">
      <c r="A1846" s="3">
        <f>IFERROR(__xludf.DUMMYFUNCTION("""COMPUTED_VALUE"""),42163.99861111111)</f>
        <v>42163.99861</v>
      </c>
      <c r="B1846" s="1">
        <f>IFERROR(__xludf.DUMMYFUNCTION("""COMPUTED_VALUE"""),20418.871)</f>
        <v>20418.871</v>
      </c>
    </row>
    <row r="1847">
      <c r="A1847" s="3">
        <f>IFERROR(__xludf.DUMMYFUNCTION("""COMPUTED_VALUE"""),42164.99861111111)</f>
        <v>42164.99861</v>
      </c>
      <c r="B1847" s="1">
        <f>IFERROR(__xludf.DUMMYFUNCTION("""COMPUTED_VALUE"""),20536.22015)</f>
        <v>20536.22015</v>
      </c>
    </row>
    <row r="1848">
      <c r="A1848" s="3">
        <f>IFERROR(__xludf.DUMMYFUNCTION("""COMPUTED_VALUE"""),42165.99861111111)</f>
        <v>42165.99861</v>
      </c>
      <c r="B1848" s="1">
        <f>IFERROR(__xludf.DUMMYFUNCTION("""COMPUTED_VALUE"""),20462.468)</f>
        <v>20462.468</v>
      </c>
    </row>
    <row r="1849">
      <c r="A1849" s="3">
        <f>IFERROR(__xludf.DUMMYFUNCTION("""COMPUTED_VALUE"""),42166.99861111111)</f>
        <v>42166.99861</v>
      </c>
      <c r="B1849" s="1">
        <f>IFERROR(__xludf.DUMMYFUNCTION("""COMPUTED_VALUE"""),20520.6561)</f>
        <v>20520.6561</v>
      </c>
    </row>
    <row r="1850">
      <c r="A1850" s="3">
        <f>IFERROR(__xludf.DUMMYFUNCTION("""COMPUTED_VALUE"""),42167.99861111111)</f>
        <v>42167.99861</v>
      </c>
      <c r="B1850" s="1">
        <f>IFERROR(__xludf.DUMMYFUNCTION("""COMPUTED_VALUE"""),20714.1455)</f>
        <v>20714.1455</v>
      </c>
    </row>
    <row r="1851">
      <c r="A1851" s="3">
        <f>IFERROR(__xludf.DUMMYFUNCTION("""COMPUTED_VALUE"""),42170.99861111111)</f>
        <v>42170.99861</v>
      </c>
      <c r="B1851" s="1">
        <f>IFERROR(__xludf.DUMMYFUNCTION("""COMPUTED_VALUE"""),20770.2756)</f>
        <v>20770.2756</v>
      </c>
    </row>
    <row r="1852">
      <c r="A1852" s="3">
        <f>IFERROR(__xludf.DUMMYFUNCTION("""COMPUTED_VALUE"""),42171.99861111111)</f>
        <v>42171.99861</v>
      </c>
      <c r="B1852" s="1">
        <f>IFERROR(__xludf.DUMMYFUNCTION("""COMPUTED_VALUE"""),20855.756)</f>
        <v>20855.756</v>
      </c>
    </row>
    <row r="1853">
      <c r="A1853" s="3">
        <f>IFERROR(__xludf.DUMMYFUNCTION("""COMPUTED_VALUE"""),42172.99861111111)</f>
        <v>42172.99861</v>
      </c>
      <c r="B1853" s="1">
        <f>IFERROR(__xludf.DUMMYFUNCTION("""COMPUTED_VALUE"""),21121.9182)</f>
        <v>21121.9182</v>
      </c>
    </row>
    <row r="1854">
      <c r="A1854" s="3">
        <f>IFERROR(__xludf.DUMMYFUNCTION("""COMPUTED_VALUE"""),42173.99861111111)</f>
        <v>42173.99861</v>
      </c>
      <c r="B1854" s="1">
        <f>IFERROR(__xludf.DUMMYFUNCTION("""COMPUTED_VALUE"""),21097.875)</f>
        <v>21097.875</v>
      </c>
    </row>
    <row r="1855">
      <c r="A1855" s="3">
        <f>IFERROR(__xludf.DUMMYFUNCTION("""COMPUTED_VALUE"""),42174.99861111111)</f>
        <v>42174.99861</v>
      </c>
      <c r="B1855" s="1">
        <f>IFERROR(__xludf.DUMMYFUNCTION("""COMPUTED_VALUE"""),21138.942)</f>
        <v>21138.942</v>
      </c>
    </row>
    <row r="1856">
      <c r="A1856" s="3">
        <f>IFERROR(__xludf.DUMMYFUNCTION("""COMPUTED_VALUE"""),42177.99861111111)</f>
        <v>42177.99861</v>
      </c>
      <c r="B1856" s="1">
        <f>IFERROR(__xludf.DUMMYFUNCTION("""COMPUTED_VALUE"""),21051.7452)</f>
        <v>21051.7452</v>
      </c>
    </row>
    <row r="1857">
      <c r="A1857" s="3">
        <f>IFERROR(__xludf.DUMMYFUNCTION("""COMPUTED_VALUE"""),42178.99861111111)</f>
        <v>42178.99861</v>
      </c>
      <c r="B1857" s="1">
        <f>IFERROR(__xludf.DUMMYFUNCTION("""COMPUTED_VALUE"""),20850.2)</f>
        <v>20850.2</v>
      </c>
    </row>
    <row r="1858">
      <c r="A1858" s="3">
        <f>IFERROR(__xludf.DUMMYFUNCTION("""COMPUTED_VALUE"""),42179.99861111111)</f>
        <v>42179.99861</v>
      </c>
      <c r="B1858" s="1">
        <f>IFERROR(__xludf.DUMMYFUNCTION("""COMPUTED_VALUE"""),20871.945)</f>
        <v>20871.945</v>
      </c>
    </row>
    <row r="1859">
      <c r="A1859" s="3">
        <f>IFERROR(__xludf.DUMMYFUNCTION("""COMPUTED_VALUE"""),42180.99861111111)</f>
        <v>42180.99861</v>
      </c>
      <c r="B1859" s="1">
        <f>IFERROR(__xludf.DUMMYFUNCTION("""COMPUTED_VALUE"""),20943.71108)</f>
        <v>20943.71108</v>
      </c>
    </row>
    <row r="1860">
      <c r="A1860" s="3">
        <f>IFERROR(__xludf.DUMMYFUNCTION("""COMPUTED_VALUE"""),42181.99861111111)</f>
        <v>42181.99861</v>
      </c>
      <c r="B1860" s="1">
        <f>IFERROR(__xludf.DUMMYFUNCTION("""COMPUTED_VALUE"""),20982.15)</f>
        <v>20982.15</v>
      </c>
    </row>
    <row r="1861">
      <c r="A1861" s="3">
        <f>IFERROR(__xludf.DUMMYFUNCTION("""COMPUTED_VALUE"""),42184.99861111111)</f>
        <v>42184.99861</v>
      </c>
      <c r="B1861" s="1">
        <f>IFERROR(__xludf.DUMMYFUNCTION("""COMPUTED_VALUE"""),20948.845)</f>
        <v>20948.845</v>
      </c>
    </row>
    <row r="1862">
      <c r="A1862" s="3">
        <f>IFERROR(__xludf.DUMMYFUNCTION("""COMPUTED_VALUE"""),42185.99861111111)</f>
        <v>42185.99861</v>
      </c>
      <c r="B1862" s="1">
        <f>IFERROR(__xludf.DUMMYFUNCTION("""COMPUTED_VALUE"""),20925.5928)</f>
        <v>20925.5928</v>
      </c>
    </row>
    <row r="1863">
      <c r="A1863" s="3">
        <f>IFERROR(__xludf.DUMMYFUNCTION("""COMPUTED_VALUE"""),42186.99861111111)</f>
        <v>42186.99861</v>
      </c>
      <c r="B1863" s="1">
        <f>IFERROR(__xludf.DUMMYFUNCTION("""COMPUTED_VALUE"""),20780.0754)</f>
        <v>20780.0754</v>
      </c>
    </row>
    <row r="1864">
      <c r="A1864" s="3">
        <f>IFERROR(__xludf.DUMMYFUNCTION("""COMPUTED_VALUE"""),42187.99861111111)</f>
        <v>42187.99861</v>
      </c>
      <c r="B1864" s="1">
        <f>IFERROR(__xludf.DUMMYFUNCTION("""COMPUTED_VALUE"""),20693.556)</f>
        <v>20693.556</v>
      </c>
    </row>
    <row r="1865">
      <c r="A1865" s="3">
        <f>IFERROR(__xludf.DUMMYFUNCTION("""COMPUTED_VALUE"""),42188.99861111111)</f>
        <v>42188.99861</v>
      </c>
      <c r="B1865" s="1">
        <f>IFERROR(__xludf.DUMMYFUNCTION("""COMPUTED_VALUE"""),20769.046)</f>
        <v>20769.046</v>
      </c>
    </row>
    <row r="1866">
      <c r="A1866" s="3">
        <f>IFERROR(__xludf.DUMMYFUNCTION("""COMPUTED_VALUE"""),42191.99861111111)</f>
        <v>42191.99861</v>
      </c>
      <c r="B1866" s="1">
        <f>IFERROR(__xludf.DUMMYFUNCTION("""COMPUTED_VALUE"""),20807.4652)</f>
        <v>20807.4652</v>
      </c>
    </row>
    <row r="1867">
      <c r="A1867" s="3">
        <f>IFERROR(__xludf.DUMMYFUNCTION("""COMPUTED_VALUE"""),42192.99861111111)</f>
        <v>42192.99861</v>
      </c>
      <c r="B1867" s="1">
        <f>IFERROR(__xludf.DUMMYFUNCTION("""COMPUTED_VALUE"""),20600.45)</f>
        <v>20600.45</v>
      </c>
    </row>
    <row r="1868">
      <c r="A1868" s="3">
        <f>IFERROR(__xludf.DUMMYFUNCTION("""COMPUTED_VALUE"""),42193.99861111111)</f>
        <v>42193.99861</v>
      </c>
      <c r="B1868" s="1">
        <f>IFERROR(__xludf.DUMMYFUNCTION("""COMPUTED_VALUE"""),20491.8945)</f>
        <v>20491.8945</v>
      </c>
    </row>
    <row r="1869">
      <c r="A1869" s="3">
        <f>IFERROR(__xludf.DUMMYFUNCTION("""COMPUTED_VALUE"""),42194.99861111111)</f>
        <v>42194.99861</v>
      </c>
      <c r="B1869" s="1">
        <f>IFERROR(__xludf.DUMMYFUNCTION("""COMPUTED_VALUE"""),20446.97706)</f>
        <v>20446.97706</v>
      </c>
    </row>
    <row r="1870">
      <c r="A1870" s="3">
        <f>IFERROR(__xludf.DUMMYFUNCTION("""COMPUTED_VALUE"""),42195.99861111111)</f>
        <v>42195.99861</v>
      </c>
      <c r="B1870" s="1">
        <f>IFERROR(__xludf.DUMMYFUNCTION("""COMPUTED_VALUE"""),20612.7672)</f>
        <v>20612.7672</v>
      </c>
    </row>
    <row r="1871">
      <c r="A1871" s="3">
        <f>IFERROR(__xludf.DUMMYFUNCTION("""COMPUTED_VALUE"""),42198.99861111111)</f>
        <v>42198.99861</v>
      </c>
      <c r="B1871" s="1">
        <f>IFERROR(__xludf.DUMMYFUNCTION("""COMPUTED_VALUE"""),20557.44)</f>
        <v>20557.44</v>
      </c>
    </row>
    <row r="1872">
      <c r="A1872" s="3">
        <f>IFERROR(__xludf.DUMMYFUNCTION("""COMPUTED_VALUE"""),42199.99861111111)</f>
        <v>42199.99861</v>
      </c>
      <c r="B1872" s="1">
        <f>IFERROR(__xludf.DUMMYFUNCTION("""COMPUTED_VALUE"""),20799.7065)</f>
        <v>20799.7065</v>
      </c>
    </row>
    <row r="1873">
      <c r="A1873" s="3">
        <f>IFERROR(__xludf.DUMMYFUNCTION("""COMPUTED_VALUE"""),42200.99861111111)</f>
        <v>42200.99861</v>
      </c>
      <c r="B1873" s="1">
        <f>IFERROR(__xludf.DUMMYFUNCTION("""COMPUTED_VALUE"""),20845.9602)</f>
        <v>20845.9602</v>
      </c>
    </row>
    <row r="1874">
      <c r="A1874" s="3">
        <f>IFERROR(__xludf.DUMMYFUNCTION("""COMPUTED_VALUE"""),42201.99861111111)</f>
        <v>42201.99861</v>
      </c>
      <c r="B1874" s="1">
        <f>IFERROR(__xludf.DUMMYFUNCTION("""COMPUTED_VALUE"""),20809.95762)</f>
        <v>20809.95762</v>
      </c>
    </row>
    <row r="1875">
      <c r="A1875" s="3">
        <f>IFERROR(__xludf.DUMMYFUNCTION("""COMPUTED_VALUE"""),42202.99861111111)</f>
        <v>42202.99861</v>
      </c>
      <c r="B1875" s="1">
        <f>IFERROR(__xludf.DUMMYFUNCTION("""COMPUTED_VALUE"""),20838.015)</f>
        <v>20838.015</v>
      </c>
    </row>
    <row r="1876">
      <c r="A1876" s="3">
        <f>IFERROR(__xludf.DUMMYFUNCTION("""COMPUTED_VALUE"""),42205.99861111111)</f>
        <v>42205.99861</v>
      </c>
      <c r="B1876" s="1">
        <f>IFERROR(__xludf.DUMMYFUNCTION("""COMPUTED_VALUE"""),20766.378)</f>
        <v>20766.378</v>
      </c>
    </row>
    <row r="1877">
      <c r="A1877" s="3">
        <f>IFERROR(__xludf.DUMMYFUNCTION("""COMPUTED_VALUE"""),42206.99861111111)</f>
        <v>42206.99861</v>
      </c>
      <c r="B1877" s="1">
        <f>IFERROR(__xludf.DUMMYFUNCTION("""COMPUTED_VALUE"""),20738.592)</f>
        <v>20738.592</v>
      </c>
    </row>
    <row r="1878">
      <c r="A1878" s="3">
        <f>IFERROR(__xludf.DUMMYFUNCTION("""COMPUTED_VALUE"""),42207.99861111111)</f>
        <v>42207.99861</v>
      </c>
      <c r="B1878" s="1">
        <f>IFERROR(__xludf.DUMMYFUNCTION("""COMPUTED_VALUE"""),20920.08)</f>
        <v>20920.08</v>
      </c>
    </row>
    <row r="1879">
      <c r="A1879" s="3">
        <f>IFERROR(__xludf.DUMMYFUNCTION("""COMPUTED_VALUE"""),42208.99861111111)</f>
        <v>42208.99861</v>
      </c>
      <c r="B1879" s="1">
        <f>IFERROR(__xludf.DUMMYFUNCTION("""COMPUTED_VALUE"""),20837.988)</f>
        <v>20837.988</v>
      </c>
    </row>
    <row r="1880">
      <c r="A1880" s="3">
        <f>IFERROR(__xludf.DUMMYFUNCTION("""COMPUTED_VALUE"""),42209.99861111111)</f>
        <v>42209.99861</v>
      </c>
      <c r="B1880" s="1">
        <f>IFERROR(__xludf.DUMMYFUNCTION("""COMPUTED_VALUE"""),20832.616)</f>
        <v>20832.616</v>
      </c>
    </row>
    <row r="1881">
      <c r="A1881" s="3">
        <f>IFERROR(__xludf.DUMMYFUNCTION("""COMPUTED_VALUE"""),42212.99861111111)</f>
        <v>42212.99861</v>
      </c>
      <c r="B1881" s="1">
        <f>IFERROR(__xludf.DUMMYFUNCTION("""COMPUTED_VALUE"""),20952.8865)</f>
        <v>20952.8865</v>
      </c>
    </row>
    <row r="1882">
      <c r="A1882" s="3">
        <f>IFERROR(__xludf.DUMMYFUNCTION("""COMPUTED_VALUE"""),42213.99861111111)</f>
        <v>42213.99861</v>
      </c>
      <c r="B1882" s="1">
        <f>IFERROR(__xludf.DUMMYFUNCTION("""COMPUTED_VALUE"""),20741.8359)</f>
        <v>20741.8359</v>
      </c>
    </row>
    <row r="1883">
      <c r="A1883" s="3">
        <f>IFERROR(__xludf.DUMMYFUNCTION("""COMPUTED_VALUE"""),42214.99861111111)</f>
        <v>42214.99861</v>
      </c>
      <c r="B1883" s="1">
        <f>IFERROR(__xludf.DUMMYFUNCTION("""COMPUTED_VALUE"""),20996.3886)</f>
        <v>20996.3886</v>
      </c>
    </row>
    <row r="1884">
      <c r="A1884" s="3">
        <f>IFERROR(__xludf.DUMMYFUNCTION("""COMPUTED_VALUE"""),42215.99861111111)</f>
        <v>42215.99861</v>
      </c>
      <c r="B1884" s="1">
        <f>IFERROR(__xludf.DUMMYFUNCTION("""COMPUTED_VALUE"""),21050.35332)</f>
        <v>21050.35332</v>
      </c>
    </row>
    <row r="1885">
      <c r="A1885" s="3">
        <f>IFERROR(__xludf.DUMMYFUNCTION("""COMPUTED_VALUE"""),42216.99861111111)</f>
        <v>42216.99861</v>
      </c>
      <c r="B1885" s="1">
        <f>IFERROR(__xludf.DUMMYFUNCTION("""COMPUTED_VALUE"""),20973.8775)</f>
        <v>20973.8775</v>
      </c>
    </row>
    <row r="1886">
      <c r="A1886" s="3">
        <f>IFERROR(__xludf.DUMMYFUNCTION("""COMPUTED_VALUE"""),42219.99861111111)</f>
        <v>42219.99861</v>
      </c>
      <c r="B1886" s="1">
        <f>IFERROR(__xludf.DUMMYFUNCTION("""COMPUTED_VALUE"""),20948.928)</f>
        <v>20948.928</v>
      </c>
    </row>
    <row r="1887">
      <c r="A1887" s="3">
        <f>IFERROR(__xludf.DUMMYFUNCTION("""COMPUTED_VALUE"""),42220.99861111111)</f>
        <v>42220.99861</v>
      </c>
      <c r="B1887" s="1">
        <f>IFERROR(__xludf.DUMMYFUNCTION("""COMPUTED_VALUE"""),20986.7055)</f>
        <v>20986.7055</v>
      </c>
    </row>
    <row r="1888">
      <c r="A1888" s="3">
        <f>IFERROR(__xludf.DUMMYFUNCTION("""COMPUTED_VALUE"""),42221.99861111111)</f>
        <v>42221.99861</v>
      </c>
      <c r="B1888" s="1">
        <f>IFERROR(__xludf.DUMMYFUNCTION("""COMPUTED_VALUE"""),21089.2234)</f>
        <v>21089.2234</v>
      </c>
    </row>
    <row r="1889">
      <c r="A1889" s="3">
        <f>IFERROR(__xludf.DUMMYFUNCTION("""COMPUTED_VALUE"""),42222.99861111111)</f>
        <v>42222.99861</v>
      </c>
      <c r="B1889" s="1">
        <f>IFERROR(__xludf.DUMMYFUNCTION("""COMPUTED_VALUE"""),20886.908)</f>
        <v>20886.908</v>
      </c>
    </row>
    <row r="1890">
      <c r="A1890" s="3">
        <f>IFERROR(__xludf.DUMMYFUNCTION("""COMPUTED_VALUE"""),42223.99861111111)</f>
        <v>42223.99861</v>
      </c>
      <c r="B1890" s="1">
        <f>IFERROR(__xludf.DUMMYFUNCTION("""COMPUTED_VALUE"""),20891.9085)</f>
        <v>20891.9085</v>
      </c>
    </row>
    <row r="1891">
      <c r="A1891" s="3">
        <f>IFERROR(__xludf.DUMMYFUNCTION("""COMPUTED_VALUE"""),42226.99861111111)</f>
        <v>42226.99861</v>
      </c>
      <c r="B1891" s="1">
        <f>IFERROR(__xludf.DUMMYFUNCTION("""COMPUTED_VALUE"""),20986.29945)</f>
        <v>20986.29945</v>
      </c>
    </row>
    <row r="1892">
      <c r="A1892" s="3">
        <f>IFERROR(__xludf.DUMMYFUNCTION("""COMPUTED_VALUE"""),42227.99861111111)</f>
        <v>42227.99861</v>
      </c>
      <c r="B1892" s="1">
        <f>IFERROR(__xludf.DUMMYFUNCTION("""COMPUTED_VALUE"""),21195.2295)</f>
        <v>21195.2295</v>
      </c>
    </row>
    <row r="1893">
      <c r="A1893" s="3">
        <f>IFERROR(__xludf.DUMMYFUNCTION("""COMPUTED_VALUE"""),42228.99861111111)</f>
        <v>42228.99861</v>
      </c>
      <c r="B1893" s="1">
        <f>IFERROR(__xludf.DUMMYFUNCTION("""COMPUTED_VALUE"""),21455.945)</f>
        <v>21455.945</v>
      </c>
    </row>
    <row r="1894">
      <c r="A1894" s="3">
        <f>IFERROR(__xludf.DUMMYFUNCTION("""COMPUTED_VALUE"""),42229.99861111111)</f>
        <v>42229.99861</v>
      </c>
      <c r="B1894" s="1">
        <f>IFERROR(__xludf.DUMMYFUNCTION("""COMPUTED_VALUE"""),21350.7775)</f>
        <v>21350.7775</v>
      </c>
    </row>
    <row r="1895">
      <c r="A1895" s="3">
        <f>IFERROR(__xludf.DUMMYFUNCTION("""COMPUTED_VALUE"""),42230.99861111111)</f>
        <v>42230.99861</v>
      </c>
      <c r="B1895" s="1">
        <f>IFERROR(__xludf.DUMMYFUNCTION("""COMPUTED_VALUE"""),21451.6315)</f>
        <v>21451.6315</v>
      </c>
    </row>
    <row r="1896">
      <c r="A1896" s="3">
        <f>IFERROR(__xludf.DUMMYFUNCTION("""COMPUTED_VALUE"""),42233.99861111111)</f>
        <v>42233.99861</v>
      </c>
      <c r="B1896" s="1">
        <f>IFERROR(__xludf.DUMMYFUNCTION("""COMPUTED_VALUE"""),21549.906)</f>
        <v>21549.906</v>
      </c>
    </row>
    <row r="1897">
      <c r="A1897" s="3">
        <f>IFERROR(__xludf.DUMMYFUNCTION("""COMPUTED_VALUE"""),42234.99861111111)</f>
        <v>42234.99861</v>
      </c>
      <c r="B1897" s="1">
        <f>IFERROR(__xludf.DUMMYFUNCTION("""COMPUTED_VALUE"""),21658.38156)</f>
        <v>21658.38156</v>
      </c>
    </row>
    <row r="1898">
      <c r="A1898" s="3">
        <f>IFERROR(__xludf.DUMMYFUNCTION("""COMPUTED_VALUE"""),42235.99861111111)</f>
        <v>42235.99861</v>
      </c>
      <c r="B1898" s="1">
        <f>IFERROR(__xludf.DUMMYFUNCTION("""COMPUTED_VALUE"""),21558.2388)</f>
        <v>21558.2388</v>
      </c>
    </row>
    <row r="1899">
      <c r="A1899" s="3">
        <f>IFERROR(__xludf.DUMMYFUNCTION("""COMPUTED_VALUE"""),42236.99861111111)</f>
        <v>42236.99861</v>
      </c>
      <c r="B1899" s="1">
        <f>IFERROR(__xludf.DUMMYFUNCTION("""COMPUTED_VALUE"""),21781.3995)</f>
        <v>21781.3995</v>
      </c>
    </row>
    <row r="1900">
      <c r="A1900" s="3">
        <f>IFERROR(__xludf.DUMMYFUNCTION("""COMPUTED_VALUE"""),42237.99861111111)</f>
        <v>42237.99861</v>
      </c>
      <c r="B1900" s="1">
        <f>IFERROR(__xludf.DUMMYFUNCTION("""COMPUTED_VALUE"""),21685.4055)</f>
        <v>21685.4055</v>
      </c>
    </row>
    <row r="1901">
      <c r="A1901" s="3">
        <f>IFERROR(__xludf.DUMMYFUNCTION("""COMPUTED_VALUE"""),42240.99861111111)</f>
        <v>42240.99861</v>
      </c>
      <c r="B1901" s="1">
        <f>IFERROR(__xludf.DUMMYFUNCTION("""COMPUTED_VALUE"""),21927.257)</f>
        <v>21927.257</v>
      </c>
    </row>
    <row r="1902">
      <c r="A1902" s="3">
        <f>IFERROR(__xludf.DUMMYFUNCTION("""COMPUTED_VALUE"""),42241.99861111111)</f>
        <v>42241.99861</v>
      </c>
      <c r="B1902" s="1">
        <f>IFERROR(__xludf.DUMMYFUNCTION("""COMPUTED_VALUE"""),21656.616)</f>
        <v>21656.616</v>
      </c>
    </row>
    <row r="1903">
      <c r="A1903" s="3">
        <f>IFERROR(__xludf.DUMMYFUNCTION("""COMPUTED_VALUE"""),42242.99861111111)</f>
        <v>42242.99861</v>
      </c>
      <c r="B1903" s="1">
        <f>IFERROR(__xludf.DUMMYFUNCTION("""COMPUTED_VALUE"""),21605.892)</f>
        <v>21605.892</v>
      </c>
    </row>
    <row r="1904">
      <c r="A1904" s="3">
        <f>IFERROR(__xludf.DUMMYFUNCTION("""COMPUTED_VALUE"""),42243.99861111111)</f>
        <v>42243.99861</v>
      </c>
      <c r="B1904" s="1">
        <f>IFERROR(__xludf.DUMMYFUNCTION("""COMPUTED_VALUE"""),21256.7155)</f>
        <v>21256.7155</v>
      </c>
    </row>
    <row r="1905">
      <c r="A1905" s="3">
        <f>IFERROR(__xludf.DUMMYFUNCTION("""COMPUTED_VALUE"""),42244.99861111111)</f>
        <v>42244.99861</v>
      </c>
      <c r="B1905" s="1">
        <f>IFERROR(__xludf.DUMMYFUNCTION("""COMPUTED_VALUE"""),21408.881)</f>
        <v>21408.881</v>
      </c>
    </row>
    <row r="1906">
      <c r="A1906" s="3">
        <f>IFERROR(__xludf.DUMMYFUNCTION("""COMPUTED_VALUE"""),42247.99861111111)</f>
        <v>42247.99861</v>
      </c>
      <c r="B1906" s="1">
        <f>IFERROR(__xludf.DUMMYFUNCTION("""COMPUTED_VALUE"""),21508.9)</f>
        <v>21508.9</v>
      </c>
    </row>
    <row r="1907">
      <c r="A1907" s="3">
        <f>IFERROR(__xludf.DUMMYFUNCTION("""COMPUTED_VALUE"""),42248.99861111111)</f>
        <v>42248.99861</v>
      </c>
      <c r="B1907" s="1">
        <f>IFERROR(__xludf.DUMMYFUNCTION("""COMPUTED_VALUE"""),21404.57748)</f>
        <v>21404.57748</v>
      </c>
    </row>
    <row r="1908">
      <c r="A1908" s="3">
        <f>IFERROR(__xludf.DUMMYFUNCTION("""COMPUTED_VALUE"""),42249.99861111111)</f>
        <v>42249.99861</v>
      </c>
      <c r="B1908" s="1">
        <f>IFERROR(__xludf.DUMMYFUNCTION("""COMPUTED_VALUE"""),21500.715)</f>
        <v>21500.715</v>
      </c>
    </row>
    <row r="1909">
      <c r="A1909" s="3">
        <f>IFERROR(__xludf.DUMMYFUNCTION("""COMPUTED_VALUE"""),42250.99861111111)</f>
        <v>42250.99861</v>
      </c>
      <c r="B1909" s="1">
        <f>IFERROR(__xludf.DUMMYFUNCTION("""COMPUTED_VALUE"""),21460.9396)</f>
        <v>21460.9396</v>
      </c>
    </row>
    <row r="1910">
      <c r="A1910" s="3">
        <f>IFERROR(__xludf.DUMMYFUNCTION("""COMPUTED_VALUE"""),42251.99861111111)</f>
        <v>42251.99861</v>
      </c>
      <c r="B1910" s="1">
        <f>IFERROR(__xludf.DUMMYFUNCTION("""COMPUTED_VALUE"""),21524.811)</f>
        <v>21524.811</v>
      </c>
    </row>
    <row r="1911">
      <c r="A1911" s="3">
        <f>IFERROR(__xludf.DUMMYFUNCTION("""COMPUTED_VALUE"""),42254.99861111111)</f>
        <v>42254.99861</v>
      </c>
      <c r="B1911" s="1">
        <f>IFERROR(__xludf.DUMMYFUNCTION("""COMPUTED_VALUE"""),21807.20375)</f>
        <v>21807.20375</v>
      </c>
    </row>
    <row r="1912">
      <c r="A1912" s="3">
        <f>IFERROR(__xludf.DUMMYFUNCTION("""COMPUTED_VALUE"""),42255.99861111111)</f>
        <v>42255.99861</v>
      </c>
      <c r="B1912" s="1">
        <f>IFERROR(__xludf.DUMMYFUNCTION("""COMPUTED_VALUE"""),21800.736)</f>
        <v>21800.736</v>
      </c>
    </row>
    <row r="1913">
      <c r="A1913" s="3">
        <f>IFERROR(__xludf.DUMMYFUNCTION("""COMPUTED_VALUE"""),42256.99861111111)</f>
        <v>42256.99861</v>
      </c>
      <c r="B1913" s="1">
        <f>IFERROR(__xludf.DUMMYFUNCTION("""COMPUTED_VALUE"""),21880.875)</f>
        <v>21880.875</v>
      </c>
    </row>
    <row r="1914">
      <c r="A1914" s="3">
        <f>IFERROR(__xludf.DUMMYFUNCTION("""COMPUTED_VALUE"""),42257.99861111111)</f>
        <v>42257.99861</v>
      </c>
      <c r="B1914" s="1">
        <f>IFERROR(__xludf.DUMMYFUNCTION("""COMPUTED_VALUE"""),21977.1318)</f>
        <v>21977.1318</v>
      </c>
    </row>
    <row r="1915">
      <c r="A1915" s="3">
        <f>IFERROR(__xludf.DUMMYFUNCTION("""COMPUTED_VALUE"""),42258.99861111111)</f>
        <v>42258.99861</v>
      </c>
      <c r="B1915" s="1">
        <f>IFERROR(__xludf.DUMMYFUNCTION("""COMPUTED_VALUE"""),22015.0425)</f>
        <v>22015.0425</v>
      </c>
    </row>
    <row r="1916">
      <c r="A1916" s="3">
        <f>IFERROR(__xludf.DUMMYFUNCTION("""COMPUTED_VALUE"""),42261.99861111111)</f>
        <v>42261.99861</v>
      </c>
      <c r="B1916" s="1">
        <f>IFERROR(__xludf.DUMMYFUNCTION("""COMPUTED_VALUE"""),22073.175)</f>
        <v>22073.175</v>
      </c>
    </row>
    <row r="1917">
      <c r="A1917" s="3">
        <f>IFERROR(__xludf.DUMMYFUNCTION("""COMPUTED_VALUE"""),42262.99861111111)</f>
        <v>42262.99861</v>
      </c>
      <c r="B1917" s="1">
        <f>IFERROR(__xludf.DUMMYFUNCTION("""COMPUTED_VALUE"""),22092.48)</f>
        <v>22092.48</v>
      </c>
    </row>
    <row r="1918">
      <c r="A1918" s="3">
        <f>IFERROR(__xludf.DUMMYFUNCTION("""COMPUTED_VALUE"""),42263.99861111111)</f>
        <v>42263.99861</v>
      </c>
      <c r="B1918" s="1">
        <f>IFERROR(__xludf.DUMMYFUNCTION("""COMPUTED_VALUE"""),22311.6663)</f>
        <v>22311.6663</v>
      </c>
    </row>
    <row r="1919">
      <c r="A1919" s="3">
        <f>IFERROR(__xludf.DUMMYFUNCTION("""COMPUTED_VALUE"""),42264.99861111111)</f>
        <v>42264.99861</v>
      </c>
      <c r="B1919" s="1">
        <f>IFERROR(__xludf.DUMMYFUNCTION("""COMPUTED_VALUE"""),22141.2125)</f>
        <v>22141.2125</v>
      </c>
    </row>
    <row r="1920">
      <c r="A1920" s="3">
        <f>IFERROR(__xludf.DUMMYFUNCTION("""COMPUTED_VALUE"""),42265.99861111111)</f>
        <v>42265.99861</v>
      </c>
      <c r="B1920" s="1">
        <f>IFERROR(__xludf.DUMMYFUNCTION("""COMPUTED_VALUE"""),22369.2993)</f>
        <v>22369.2993</v>
      </c>
    </row>
    <row r="1921">
      <c r="A1921" s="3">
        <f>IFERROR(__xludf.DUMMYFUNCTION("""COMPUTED_VALUE"""),42268.99861111111)</f>
        <v>42268.99861</v>
      </c>
      <c r="B1921" s="1">
        <f>IFERROR(__xludf.DUMMYFUNCTION("""COMPUTED_VALUE"""),22435.735)</f>
        <v>22435.735</v>
      </c>
    </row>
    <row r="1922">
      <c r="A1922" s="3">
        <f>IFERROR(__xludf.DUMMYFUNCTION("""COMPUTED_VALUE"""),42269.99861111111)</f>
        <v>42269.99861</v>
      </c>
      <c r="B1922" s="1">
        <f>IFERROR(__xludf.DUMMYFUNCTION("""COMPUTED_VALUE"""),22403.325)</f>
        <v>22403.325</v>
      </c>
    </row>
    <row r="1923">
      <c r="A1923" s="3">
        <f>IFERROR(__xludf.DUMMYFUNCTION("""COMPUTED_VALUE"""),42270.99861111111)</f>
        <v>42270.99861</v>
      </c>
      <c r="B1923" s="1">
        <f>IFERROR(__xludf.DUMMYFUNCTION("""COMPUTED_VALUE"""),22320.144)</f>
        <v>22320.144</v>
      </c>
    </row>
    <row r="1924">
      <c r="A1924" s="3">
        <f>IFERROR(__xludf.DUMMYFUNCTION("""COMPUTED_VALUE"""),42271.99861111111)</f>
        <v>42271.99861</v>
      </c>
      <c r="B1924" s="1">
        <f>IFERROR(__xludf.DUMMYFUNCTION("""COMPUTED_VALUE"""),22336.542)</f>
        <v>22336.542</v>
      </c>
    </row>
    <row r="1925">
      <c r="A1925" s="3">
        <f>IFERROR(__xludf.DUMMYFUNCTION("""COMPUTED_VALUE"""),42272.99861111111)</f>
        <v>42272.99861</v>
      </c>
      <c r="B1925" s="1">
        <f>IFERROR(__xludf.DUMMYFUNCTION("""COMPUTED_VALUE"""),22187.72898)</f>
        <v>22187.72898</v>
      </c>
    </row>
    <row r="1926">
      <c r="A1926" s="3">
        <f>IFERROR(__xludf.DUMMYFUNCTION("""COMPUTED_VALUE"""),42275.99861111111)</f>
        <v>42275.99861</v>
      </c>
      <c r="B1926" s="1">
        <f>IFERROR(__xludf.DUMMYFUNCTION("""COMPUTED_VALUE"""),22280.652)</f>
        <v>22280.652</v>
      </c>
    </row>
    <row r="1927">
      <c r="A1927" s="3">
        <f>IFERROR(__xludf.DUMMYFUNCTION("""COMPUTED_VALUE"""),42276.99861111111)</f>
        <v>42276.99861</v>
      </c>
      <c r="B1927" s="1">
        <f>IFERROR(__xludf.DUMMYFUNCTION("""COMPUTED_VALUE"""),22246.072)</f>
        <v>22246.072</v>
      </c>
    </row>
    <row r="1928">
      <c r="A1928" s="3">
        <f>IFERROR(__xludf.DUMMYFUNCTION("""COMPUTED_VALUE"""),42277.99861111111)</f>
        <v>42277.99861</v>
      </c>
      <c r="B1928" s="1">
        <f>IFERROR(__xludf.DUMMYFUNCTION("""COMPUTED_VALUE"""),22001.1688)</f>
        <v>22001.1688</v>
      </c>
    </row>
    <row r="1929">
      <c r="A1929" s="3">
        <f>IFERROR(__xludf.DUMMYFUNCTION("""COMPUTED_VALUE"""),42278.99861111111)</f>
        <v>42278.99861</v>
      </c>
      <c r="B1929" s="1">
        <f>IFERROR(__xludf.DUMMYFUNCTION("""COMPUTED_VALUE"""),22198.4105)</f>
        <v>22198.4105</v>
      </c>
    </row>
    <row r="1930">
      <c r="A1930" s="3">
        <f>IFERROR(__xludf.DUMMYFUNCTION("""COMPUTED_VALUE"""),42279.99861111111)</f>
        <v>42279.99861</v>
      </c>
      <c r="B1930" s="1">
        <f>IFERROR(__xludf.DUMMYFUNCTION("""COMPUTED_VALUE"""),22171.8505)</f>
        <v>22171.8505</v>
      </c>
    </row>
    <row r="1931">
      <c r="A1931" s="3">
        <f>IFERROR(__xludf.DUMMYFUNCTION("""COMPUTED_VALUE"""),42282.99861111111)</f>
        <v>42282.99861</v>
      </c>
      <c r="B1931" s="1">
        <f>IFERROR(__xludf.DUMMYFUNCTION("""COMPUTED_VALUE"""),21867.4383)</f>
        <v>21867.4383</v>
      </c>
    </row>
    <row r="1932">
      <c r="A1932" s="3">
        <f>IFERROR(__xludf.DUMMYFUNCTION("""COMPUTED_VALUE"""),42283.99861111111)</f>
        <v>42283.99861</v>
      </c>
      <c r="B1932" s="1">
        <f>IFERROR(__xludf.DUMMYFUNCTION("""COMPUTED_VALUE"""),21404.944)</f>
        <v>21404.944</v>
      </c>
    </row>
    <row r="1933">
      <c r="A1933" s="3">
        <f>IFERROR(__xludf.DUMMYFUNCTION("""COMPUTED_VALUE"""),42284.99861111111)</f>
        <v>42284.99861</v>
      </c>
      <c r="B1933" s="1">
        <f>IFERROR(__xludf.DUMMYFUNCTION("""COMPUTED_VALUE"""),21231.4745)</f>
        <v>21231.4745</v>
      </c>
    </row>
    <row r="1934">
      <c r="A1934" s="3">
        <f>IFERROR(__xludf.DUMMYFUNCTION("""COMPUTED_VALUE"""),42285.99861111111)</f>
        <v>42285.99861</v>
      </c>
      <c r="B1934" s="1">
        <f>IFERROR(__xludf.DUMMYFUNCTION("""COMPUTED_VALUE"""),20581.668)</f>
        <v>20581.668</v>
      </c>
    </row>
    <row r="1935">
      <c r="A1935" s="3">
        <f>IFERROR(__xludf.DUMMYFUNCTION("""COMPUTED_VALUE"""),42286.99861111111)</f>
        <v>42286.99861</v>
      </c>
      <c r="B1935" s="1">
        <f>IFERROR(__xludf.DUMMYFUNCTION("""COMPUTED_VALUE"""),20388.924)</f>
        <v>20388.924</v>
      </c>
    </row>
    <row r="1936">
      <c r="A1936" s="3">
        <f>IFERROR(__xludf.DUMMYFUNCTION("""COMPUTED_VALUE"""),42289.99861111111)</f>
        <v>42289.99861</v>
      </c>
      <c r="B1936" s="1">
        <f>IFERROR(__xludf.DUMMYFUNCTION("""COMPUTED_VALUE"""),20705.317)</f>
        <v>20705.317</v>
      </c>
    </row>
    <row r="1937">
      <c r="A1937" s="3">
        <f>IFERROR(__xludf.DUMMYFUNCTION("""COMPUTED_VALUE"""),42290.99861111111)</f>
        <v>42290.99861</v>
      </c>
      <c r="B1937" s="1">
        <f>IFERROR(__xludf.DUMMYFUNCTION("""COMPUTED_VALUE"""),20820.345)</f>
        <v>20820.345</v>
      </c>
    </row>
    <row r="1938">
      <c r="A1938" s="3">
        <f>IFERROR(__xludf.DUMMYFUNCTION("""COMPUTED_VALUE"""),42291.99861111111)</f>
        <v>42291.99861</v>
      </c>
      <c r="B1938" s="1">
        <f>IFERROR(__xludf.DUMMYFUNCTION("""COMPUTED_VALUE"""),20519.85)</f>
        <v>20519.85</v>
      </c>
    </row>
    <row r="1939">
      <c r="A1939" s="3">
        <f>IFERROR(__xludf.DUMMYFUNCTION("""COMPUTED_VALUE"""),42292.99861111111)</f>
        <v>42292.99861</v>
      </c>
      <c r="B1939" s="1">
        <f>IFERROR(__xludf.DUMMYFUNCTION("""COMPUTED_VALUE"""),20729.8)</f>
        <v>20729.8</v>
      </c>
    </row>
    <row r="1940">
      <c r="A1940" s="3">
        <f>IFERROR(__xludf.DUMMYFUNCTION("""COMPUTED_VALUE"""),42293.99861111111)</f>
        <v>42293.99861</v>
      </c>
      <c r="B1940" s="1">
        <f>IFERROR(__xludf.DUMMYFUNCTION("""COMPUTED_VALUE"""),20797.315)</f>
        <v>20797.315</v>
      </c>
    </row>
    <row r="1941">
      <c r="A1941" s="3">
        <f>IFERROR(__xludf.DUMMYFUNCTION("""COMPUTED_VALUE"""),42296.99861111111)</f>
        <v>42296.99861</v>
      </c>
      <c r="B1941" s="1">
        <f>IFERROR(__xludf.DUMMYFUNCTION("""COMPUTED_VALUE"""),21112.455)</f>
        <v>21112.455</v>
      </c>
    </row>
    <row r="1942">
      <c r="A1942" s="3">
        <f>IFERROR(__xludf.DUMMYFUNCTION("""COMPUTED_VALUE"""),42297.99861111111)</f>
        <v>42297.99861</v>
      </c>
      <c r="B1942" s="1">
        <f>IFERROR(__xludf.DUMMYFUNCTION("""COMPUTED_VALUE"""),21209.2452)</f>
        <v>21209.2452</v>
      </c>
    </row>
    <row r="1943">
      <c r="A1943" s="3">
        <f>IFERROR(__xludf.DUMMYFUNCTION("""COMPUTED_VALUE"""),42298.99861111111)</f>
        <v>42298.99861</v>
      </c>
      <c r="B1943" s="1">
        <f>IFERROR(__xludf.DUMMYFUNCTION("""COMPUTED_VALUE"""),21127.592)</f>
        <v>21127.592</v>
      </c>
    </row>
    <row r="1944">
      <c r="A1944" s="3">
        <f>IFERROR(__xludf.DUMMYFUNCTION("""COMPUTED_VALUE"""),42299.99861111111)</f>
        <v>42299.99861</v>
      </c>
      <c r="B1944" s="1">
        <f>IFERROR(__xludf.DUMMYFUNCTION("""COMPUTED_VALUE"""),20730.5118)</f>
        <v>20730.5118</v>
      </c>
    </row>
    <row r="1945">
      <c r="A1945" s="3">
        <f>IFERROR(__xludf.DUMMYFUNCTION("""COMPUTED_VALUE"""),42300.99861111111)</f>
        <v>42300.99861</v>
      </c>
      <c r="B1945" s="1">
        <f>IFERROR(__xludf.DUMMYFUNCTION("""COMPUTED_VALUE"""),20703.176)</f>
        <v>20703.176</v>
      </c>
    </row>
    <row r="1946">
      <c r="A1946" s="3">
        <f>IFERROR(__xludf.DUMMYFUNCTION("""COMPUTED_VALUE"""),42303.99861111111)</f>
        <v>42303.99861</v>
      </c>
      <c r="B1946" s="1">
        <f>IFERROR(__xludf.DUMMYFUNCTION("""COMPUTED_VALUE"""),20899.9243)</f>
        <v>20899.9243</v>
      </c>
    </row>
    <row r="1947">
      <c r="A1947" s="3">
        <f>IFERROR(__xludf.DUMMYFUNCTION("""COMPUTED_VALUE"""),42304.99861111111)</f>
        <v>42304.99861</v>
      </c>
      <c r="B1947" s="1">
        <f>IFERROR(__xludf.DUMMYFUNCTION("""COMPUTED_VALUE"""),20898.15)</f>
        <v>20898.15</v>
      </c>
    </row>
    <row r="1948">
      <c r="A1948" s="3">
        <f>IFERROR(__xludf.DUMMYFUNCTION("""COMPUTED_VALUE"""),42305.99861111111)</f>
        <v>42305.99861</v>
      </c>
      <c r="B1948" s="1">
        <f>IFERROR(__xludf.DUMMYFUNCTION("""COMPUTED_VALUE"""),20766.1734)</f>
        <v>20766.1734</v>
      </c>
    </row>
    <row r="1949">
      <c r="A1949" s="3">
        <f>IFERROR(__xludf.DUMMYFUNCTION("""COMPUTED_VALUE"""),42306.99861111111)</f>
        <v>42306.99861</v>
      </c>
      <c r="B1949" s="1">
        <f>IFERROR(__xludf.DUMMYFUNCTION("""COMPUTED_VALUE"""),20836.9038)</f>
        <v>20836.9038</v>
      </c>
    </row>
    <row r="1950">
      <c r="A1950" s="3">
        <f>IFERROR(__xludf.DUMMYFUNCTION("""COMPUTED_VALUE"""),42307.99861111111)</f>
        <v>42307.99861</v>
      </c>
      <c r="B1950" s="1">
        <f>IFERROR(__xludf.DUMMYFUNCTION("""COMPUTED_VALUE"""),21027.001)</f>
        <v>21027.001</v>
      </c>
    </row>
    <row r="1951">
      <c r="A1951" s="3">
        <f>IFERROR(__xludf.DUMMYFUNCTION("""COMPUTED_VALUE"""),42308.99861111111)</f>
        <v>42308.99861</v>
      </c>
      <c r="B1951" s="1">
        <f>IFERROR(__xludf.DUMMYFUNCTION("""COMPUTED_VALUE"""),21281.37399)</f>
        <v>21281.37399</v>
      </c>
    </row>
    <row r="1952">
      <c r="A1952" s="3">
        <f>IFERROR(__xludf.DUMMYFUNCTION("""COMPUTED_VALUE"""),42310.99861111111)</f>
        <v>42310.99861</v>
      </c>
      <c r="B1952" s="1">
        <f>IFERROR(__xludf.DUMMYFUNCTION("""COMPUTED_VALUE"""),20941.9896)</f>
        <v>20941.9896</v>
      </c>
    </row>
    <row r="1953">
      <c r="A1953" s="3">
        <f>IFERROR(__xludf.DUMMYFUNCTION("""COMPUTED_VALUE"""),42311.99861111111)</f>
        <v>42311.99861</v>
      </c>
      <c r="B1953" s="1">
        <f>IFERROR(__xludf.DUMMYFUNCTION("""COMPUTED_VALUE"""),20652.00915)</f>
        <v>20652.00915</v>
      </c>
    </row>
    <row r="1954">
      <c r="A1954" s="3">
        <f>IFERROR(__xludf.DUMMYFUNCTION("""COMPUTED_VALUE"""),42312.99861111111)</f>
        <v>42312.99861</v>
      </c>
      <c r="B1954" s="1">
        <f>IFERROR(__xludf.DUMMYFUNCTION("""COMPUTED_VALUE"""),20704.15035)</f>
        <v>20704.15035</v>
      </c>
    </row>
    <row r="1955">
      <c r="A1955" s="3">
        <f>IFERROR(__xludf.DUMMYFUNCTION("""COMPUTED_VALUE"""),42313.99861111111)</f>
        <v>42313.99861</v>
      </c>
      <c r="B1955" s="1">
        <f>IFERROR(__xludf.DUMMYFUNCTION("""COMPUTED_VALUE"""),20569.0905)</f>
        <v>20569.0905</v>
      </c>
    </row>
    <row r="1956">
      <c r="A1956" s="3">
        <f>IFERROR(__xludf.DUMMYFUNCTION("""COMPUTED_VALUE"""),42314.99861111111)</f>
        <v>42314.99861</v>
      </c>
      <c r="B1956" s="1">
        <f>IFERROR(__xludf.DUMMYFUNCTION("""COMPUTED_VALUE"""),20480.328)</f>
        <v>20480.328</v>
      </c>
    </row>
    <row r="1957">
      <c r="A1957" s="3">
        <f>IFERROR(__xludf.DUMMYFUNCTION("""COMPUTED_VALUE"""),42315.99861111111)</f>
        <v>42315.99861</v>
      </c>
      <c r="B1957" s="1">
        <f>IFERROR(__xludf.DUMMYFUNCTION("""COMPUTED_VALUE"""),20646.00653)</f>
        <v>20646.00653</v>
      </c>
    </row>
    <row r="1958">
      <c r="A1958" s="3">
        <f>IFERROR(__xludf.DUMMYFUNCTION("""COMPUTED_VALUE"""),42317.99861111111)</f>
        <v>42317.99861</v>
      </c>
      <c r="B1958" s="1">
        <f>IFERROR(__xludf.DUMMYFUNCTION("""COMPUTED_VALUE"""),20629.3297)</f>
        <v>20629.3297</v>
      </c>
    </row>
    <row r="1959">
      <c r="A1959" s="3">
        <f>IFERROR(__xludf.DUMMYFUNCTION("""COMPUTED_VALUE"""),42318.99861111111)</f>
        <v>42318.99861</v>
      </c>
      <c r="B1959" s="1">
        <f>IFERROR(__xludf.DUMMYFUNCTION("""COMPUTED_VALUE"""),20523.4668)</f>
        <v>20523.4668</v>
      </c>
    </row>
    <row r="1960">
      <c r="A1960" s="3">
        <f>IFERROR(__xludf.DUMMYFUNCTION("""COMPUTED_VALUE"""),42319.99861111111)</f>
        <v>42319.99861</v>
      </c>
      <c r="B1960" s="1">
        <f>IFERROR(__xludf.DUMMYFUNCTION("""COMPUTED_VALUE"""),20585.05)</f>
        <v>20585.05</v>
      </c>
    </row>
    <row r="1961">
      <c r="A1961" s="3">
        <f>IFERROR(__xludf.DUMMYFUNCTION("""COMPUTED_VALUE"""),42320.99861111111)</f>
        <v>42320.99861</v>
      </c>
      <c r="B1961" s="1">
        <f>IFERROR(__xludf.DUMMYFUNCTION("""COMPUTED_VALUE"""),20729.9354)</f>
        <v>20729.9354</v>
      </c>
    </row>
    <row r="1962">
      <c r="A1962" s="3">
        <f>IFERROR(__xludf.DUMMYFUNCTION("""COMPUTED_VALUE"""),42321.99861111111)</f>
        <v>42321.99861</v>
      </c>
      <c r="B1962" s="1">
        <f>IFERROR(__xludf.DUMMYFUNCTION("""COMPUTED_VALUE"""),20934.7119)</f>
        <v>20934.7119</v>
      </c>
    </row>
    <row r="1963">
      <c r="A1963" s="3">
        <f>IFERROR(__xludf.DUMMYFUNCTION("""COMPUTED_VALUE"""),42322.99861111111)</f>
        <v>42322.99861</v>
      </c>
      <c r="B1963" s="1">
        <f>IFERROR(__xludf.DUMMYFUNCTION("""COMPUTED_VALUE"""),20756.21366)</f>
        <v>20756.21366</v>
      </c>
    </row>
    <row r="1964">
      <c r="A1964" s="3">
        <f>IFERROR(__xludf.DUMMYFUNCTION("""COMPUTED_VALUE"""),42324.99861111111)</f>
        <v>42324.99861</v>
      </c>
      <c r="B1964" s="1">
        <f>IFERROR(__xludf.DUMMYFUNCTION("""COMPUTED_VALUE"""),20836.29708)</f>
        <v>20836.29708</v>
      </c>
    </row>
    <row r="1965">
      <c r="A1965" s="3">
        <f>IFERROR(__xludf.DUMMYFUNCTION("""COMPUTED_VALUE"""),42325.99861111111)</f>
        <v>42325.99861</v>
      </c>
      <c r="B1965" s="1">
        <f>IFERROR(__xludf.DUMMYFUNCTION("""COMPUTED_VALUE"""),20874.98)</f>
        <v>20874.98</v>
      </c>
    </row>
    <row r="1966">
      <c r="A1966" s="3">
        <f>IFERROR(__xludf.DUMMYFUNCTION("""COMPUTED_VALUE"""),42326.99861111111)</f>
        <v>42326.99861</v>
      </c>
      <c r="B1966" s="1">
        <f>IFERROR(__xludf.DUMMYFUNCTION("""COMPUTED_VALUE"""),20883.679)</f>
        <v>20883.679</v>
      </c>
    </row>
    <row r="1967">
      <c r="A1967" s="3">
        <f>IFERROR(__xludf.DUMMYFUNCTION("""COMPUTED_VALUE"""),42327.99861111111)</f>
        <v>42327.99861</v>
      </c>
      <c r="B1967" s="1">
        <f>IFERROR(__xludf.DUMMYFUNCTION("""COMPUTED_VALUE"""),20870.43855)</f>
        <v>20870.43855</v>
      </c>
    </row>
    <row r="1968">
      <c r="A1968" s="3">
        <f>IFERROR(__xludf.DUMMYFUNCTION("""COMPUTED_VALUE"""),42328.99861111111)</f>
        <v>42328.99861</v>
      </c>
      <c r="B1968" s="1">
        <f>IFERROR(__xludf.DUMMYFUNCTION("""COMPUTED_VALUE"""),20567.26)</f>
        <v>20567.26</v>
      </c>
    </row>
    <row r="1969">
      <c r="A1969" s="3">
        <f>IFERROR(__xludf.DUMMYFUNCTION("""COMPUTED_VALUE"""),42330.99861111111)</f>
        <v>42330.99861</v>
      </c>
      <c r="B1969" s="1">
        <f>IFERROR(__xludf.DUMMYFUNCTION("""COMPUTED_VALUE"""),20860.84597)</f>
        <v>20860.84597</v>
      </c>
    </row>
    <row r="1970">
      <c r="A1970" s="3">
        <f>IFERROR(__xludf.DUMMYFUNCTION("""COMPUTED_VALUE"""),42331.99861111111)</f>
        <v>42331.99861</v>
      </c>
      <c r="B1970" s="1">
        <f>IFERROR(__xludf.DUMMYFUNCTION("""COMPUTED_VALUE"""),20667.90255)</f>
        <v>20667.90255</v>
      </c>
    </row>
    <row r="1971">
      <c r="A1971" s="3">
        <f>IFERROR(__xludf.DUMMYFUNCTION("""COMPUTED_VALUE"""),42332.99861111111)</f>
        <v>42332.99861</v>
      </c>
      <c r="B1971" s="1">
        <f>IFERROR(__xludf.DUMMYFUNCTION("""COMPUTED_VALUE"""),20543.046)</f>
        <v>20543.046</v>
      </c>
    </row>
    <row r="1972">
      <c r="A1972" s="3">
        <f>IFERROR(__xludf.DUMMYFUNCTION("""COMPUTED_VALUE"""),42333.99861111111)</f>
        <v>42333.99861</v>
      </c>
      <c r="B1972" s="1">
        <f>IFERROR(__xludf.DUMMYFUNCTION("""COMPUTED_VALUE"""),20550.2544)</f>
        <v>20550.2544</v>
      </c>
    </row>
    <row r="1973">
      <c r="A1973" s="3">
        <f>IFERROR(__xludf.DUMMYFUNCTION("""COMPUTED_VALUE"""),42334.99861111111)</f>
        <v>42334.99861</v>
      </c>
      <c r="B1973" s="1">
        <f>IFERROR(__xludf.DUMMYFUNCTION("""COMPUTED_VALUE"""),20736.2789)</f>
        <v>20736.2789</v>
      </c>
    </row>
    <row r="1974">
      <c r="A1974" s="3">
        <f>IFERROR(__xludf.DUMMYFUNCTION("""COMPUTED_VALUE"""),42335.99861111111)</f>
        <v>42335.99861</v>
      </c>
      <c r="B1974" s="1">
        <f>IFERROR(__xludf.DUMMYFUNCTION("""COMPUTED_VALUE"""),20497.36848)</f>
        <v>20497.36848</v>
      </c>
    </row>
    <row r="1975">
      <c r="A1975" s="3">
        <f>IFERROR(__xludf.DUMMYFUNCTION("""COMPUTED_VALUE"""),42336.99861111111)</f>
        <v>42336.99861</v>
      </c>
      <c r="B1975" s="1">
        <f>IFERROR(__xludf.DUMMYFUNCTION("""COMPUTED_VALUE"""),21027.15484)</f>
        <v>21027.15484</v>
      </c>
    </row>
    <row r="1976">
      <c r="A1976" s="3">
        <f>IFERROR(__xludf.DUMMYFUNCTION("""COMPUTED_VALUE"""),42338.99861111111)</f>
        <v>42338.99861</v>
      </c>
      <c r="B1976" s="1">
        <f>IFERROR(__xludf.DUMMYFUNCTION("""COMPUTED_VALUE"""),20900.8565)</f>
        <v>20900.8565</v>
      </c>
    </row>
    <row r="1977">
      <c r="A1977" s="3">
        <f>IFERROR(__xludf.DUMMYFUNCTION("""COMPUTED_VALUE"""),42339.99861111111)</f>
        <v>42339.99861</v>
      </c>
      <c r="B1977" s="1">
        <f>IFERROR(__xludf.DUMMYFUNCTION("""COMPUTED_VALUE"""),20832.268)</f>
        <v>20832.268</v>
      </c>
    </row>
    <row r="1978">
      <c r="A1978" s="3">
        <f>IFERROR(__xludf.DUMMYFUNCTION("""COMPUTED_VALUE"""),42340.99861111111)</f>
        <v>42340.99861</v>
      </c>
      <c r="B1978" s="1">
        <f>IFERROR(__xludf.DUMMYFUNCTION("""COMPUTED_VALUE"""),20634.69957)</f>
        <v>20634.69957</v>
      </c>
    </row>
    <row r="1979">
      <c r="A1979" s="3">
        <f>IFERROR(__xludf.DUMMYFUNCTION("""COMPUTED_VALUE"""),42341.99861111111)</f>
        <v>42341.99861</v>
      </c>
      <c r="B1979" s="1">
        <f>IFERROR(__xludf.DUMMYFUNCTION("""COMPUTED_VALUE"""),20721.9045)</f>
        <v>20721.9045</v>
      </c>
    </row>
    <row r="1980">
      <c r="A1980" s="3">
        <f>IFERROR(__xludf.DUMMYFUNCTION("""COMPUTED_VALUE"""),42342.99861111111)</f>
        <v>42342.99861</v>
      </c>
      <c r="B1980" s="1">
        <f>IFERROR(__xludf.DUMMYFUNCTION("""COMPUTED_VALUE"""),20788.338)</f>
        <v>20788.338</v>
      </c>
    </row>
    <row r="1981">
      <c r="A1981" s="3">
        <f>IFERROR(__xludf.DUMMYFUNCTION("""COMPUTED_VALUE"""),42343.99861111111)</f>
        <v>42343.99861</v>
      </c>
      <c r="B1981" s="1">
        <f>IFERROR(__xludf.DUMMYFUNCTION("""COMPUTED_VALUE"""),20932.18003)</f>
        <v>20932.18003</v>
      </c>
    </row>
    <row r="1982">
      <c r="A1982" s="3">
        <f>IFERROR(__xludf.DUMMYFUNCTION("""COMPUTED_VALUE"""),42345.99861111111)</f>
        <v>42345.99861</v>
      </c>
      <c r="B1982" s="1">
        <f>IFERROR(__xludf.DUMMYFUNCTION("""COMPUTED_VALUE"""),20871.4373)</f>
        <v>20871.4373</v>
      </c>
    </row>
    <row r="1983">
      <c r="A1983" s="3">
        <f>IFERROR(__xludf.DUMMYFUNCTION("""COMPUTED_VALUE"""),42346.99861111111)</f>
        <v>42346.99861</v>
      </c>
      <c r="B1983" s="1">
        <f>IFERROR(__xludf.DUMMYFUNCTION("""COMPUTED_VALUE"""),20979.12404)</f>
        <v>20979.12404</v>
      </c>
    </row>
    <row r="1984">
      <c r="A1984" s="3">
        <f>IFERROR(__xludf.DUMMYFUNCTION("""COMPUTED_VALUE"""),42347.99861111111)</f>
        <v>42347.99861</v>
      </c>
      <c r="B1984" s="1">
        <f>IFERROR(__xludf.DUMMYFUNCTION("""COMPUTED_VALUE"""),21129.168)</f>
        <v>21129.168</v>
      </c>
    </row>
    <row r="1985">
      <c r="A1985" s="3">
        <f>IFERROR(__xludf.DUMMYFUNCTION("""COMPUTED_VALUE"""),42348.99861111111)</f>
        <v>42348.99861</v>
      </c>
      <c r="B1985" s="1">
        <f>IFERROR(__xludf.DUMMYFUNCTION("""COMPUTED_VALUE"""),21106.1225)</f>
        <v>21106.1225</v>
      </c>
    </row>
    <row r="1986">
      <c r="A1986" s="3">
        <f>IFERROR(__xludf.DUMMYFUNCTION("""COMPUTED_VALUE"""),42349.99861111111)</f>
        <v>42349.99861</v>
      </c>
      <c r="B1986" s="1">
        <f>IFERROR(__xludf.DUMMYFUNCTION("""COMPUTED_VALUE"""),21500.208)</f>
        <v>21500.208</v>
      </c>
    </row>
    <row r="1987">
      <c r="A1987" s="3">
        <f>IFERROR(__xludf.DUMMYFUNCTION("""COMPUTED_VALUE"""),42350.99861111111)</f>
        <v>42350.99861</v>
      </c>
      <c r="B1987" s="1">
        <f>IFERROR(__xludf.DUMMYFUNCTION("""COMPUTED_VALUE"""),21617.98885)</f>
        <v>21617.98885</v>
      </c>
    </row>
    <row r="1988">
      <c r="A1988" s="3">
        <f>IFERROR(__xludf.DUMMYFUNCTION("""COMPUTED_VALUE"""),42352.99861111111)</f>
        <v>42352.99861</v>
      </c>
      <c r="B1988" s="1">
        <f>IFERROR(__xludf.DUMMYFUNCTION("""COMPUTED_VALUE"""),21213.8532)</f>
        <v>21213.8532</v>
      </c>
    </row>
    <row r="1989">
      <c r="A1989" s="3">
        <f>IFERROR(__xludf.DUMMYFUNCTION("""COMPUTED_VALUE"""),42353.99861111111)</f>
        <v>42353.99861</v>
      </c>
      <c r="B1989" s="1">
        <f>IFERROR(__xludf.DUMMYFUNCTION("""COMPUTED_VALUE"""),21010.88)</f>
        <v>21010.88</v>
      </c>
    </row>
    <row r="1990">
      <c r="A1990" s="3">
        <f>IFERROR(__xludf.DUMMYFUNCTION("""COMPUTED_VALUE"""),42354.99861111111)</f>
        <v>42354.99861</v>
      </c>
      <c r="B1990" s="1">
        <f>IFERROR(__xludf.DUMMYFUNCTION("""COMPUTED_VALUE"""),20601.472)</f>
        <v>20601.472</v>
      </c>
    </row>
    <row r="1991">
      <c r="A1991" s="3">
        <f>IFERROR(__xludf.DUMMYFUNCTION("""COMPUTED_VALUE"""),42355.99861111111)</f>
        <v>42355.99861</v>
      </c>
      <c r="B1991" s="1">
        <f>IFERROR(__xludf.DUMMYFUNCTION("""COMPUTED_VALUE"""),20926.252)</f>
        <v>20926.252</v>
      </c>
    </row>
    <row r="1992">
      <c r="A1992" s="3">
        <f>IFERROR(__xludf.DUMMYFUNCTION("""COMPUTED_VALUE"""),42356.99861111111)</f>
        <v>42356.99861</v>
      </c>
      <c r="B1992" s="1">
        <f>IFERROR(__xludf.DUMMYFUNCTION("""COMPUTED_VALUE"""),20646.0942)</f>
        <v>20646.0942</v>
      </c>
    </row>
    <row r="1993">
      <c r="A1993" s="3">
        <f>IFERROR(__xludf.DUMMYFUNCTION("""COMPUTED_VALUE"""),42357.99861111111)</f>
        <v>42357.99861</v>
      </c>
      <c r="B1993" s="1">
        <f>IFERROR(__xludf.DUMMYFUNCTION("""COMPUTED_VALUE"""),20772.38286)</f>
        <v>20772.38286</v>
      </c>
    </row>
    <row r="1994">
      <c r="A1994" s="3">
        <f>IFERROR(__xludf.DUMMYFUNCTION("""COMPUTED_VALUE"""),42359.99861111111)</f>
        <v>42359.99861</v>
      </c>
      <c r="B1994" s="1">
        <f>IFERROR(__xludf.DUMMYFUNCTION("""COMPUTED_VALUE"""),20495.52)</f>
        <v>20495.52</v>
      </c>
    </row>
    <row r="1995">
      <c r="A1995" s="3">
        <f>IFERROR(__xludf.DUMMYFUNCTION("""COMPUTED_VALUE"""),42360.99861111111)</f>
        <v>42360.99861</v>
      </c>
      <c r="B1995" s="1">
        <f>IFERROR(__xludf.DUMMYFUNCTION("""COMPUTED_VALUE"""),20219.161)</f>
        <v>20219.161</v>
      </c>
    </row>
    <row r="1996">
      <c r="A1996" s="3">
        <f>IFERROR(__xludf.DUMMYFUNCTION("""COMPUTED_VALUE"""),42361.99861111111)</f>
        <v>42361.99861</v>
      </c>
      <c r="B1996" s="1">
        <f>IFERROR(__xludf.DUMMYFUNCTION("""COMPUTED_VALUE"""),20263.9175)</f>
        <v>20263.9175</v>
      </c>
    </row>
    <row r="1997">
      <c r="A1997" s="3">
        <f>IFERROR(__xludf.DUMMYFUNCTION("""COMPUTED_VALUE"""),42362.99861111111)</f>
        <v>42362.99861</v>
      </c>
      <c r="B1997" s="1">
        <f>IFERROR(__xludf.DUMMYFUNCTION("""COMPUTED_VALUE"""),20323.2841)</f>
        <v>20323.2841</v>
      </c>
    </row>
    <row r="1998">
      <c r="A1998" s="3">
        <f>IFERROR(__xludf.DUMMYFUNCTION("""COMPUTED_VALUE"""),42363.99861111111)</f>
        <v>42363.99861</v>
      </c>
      <c r="B1998" s="1">
        <f>IFERROR(__xludf.DUMMYFUNCTION("""COMPUTED_VALUE"""),20329.145)</f>
        <v>20329.145</v>
      </c>
    </row>
    <row r="1999">
      <c r="A1999" s="3">
        <f>IFERROR(__xludf.DUMMYFUNCTION("""COMPUTED_VALUE"""),42364.99861111111)</f>
        <v>42364.99861</v>
      </c>
      <c r="B1999" s="1">
        <f>IFERROR(__xludf.DUMMYFUNCTION("""COMPUTED_VALUE"""),20379.80548)</f>
        <v>20379.80548</v>
      </c>
    </row>
    <row r="2000">
      <c r="A2000" s="3">
        <f>IFERROR(__xludf.DUMMYFUNCTION("""COMPUTED_VALUE"""),42366.99861111111)</f>
        <v>42366.99861</v>
      </c>
      <c r="B2000" s="1">
        <f>IFERROR(__xludf.DUMMYFUNCTION("""COMPUTED_VALUE"""),20091.356)</f>
        <v>20091.356</v>
      </c>
    </row>
    <row r="2001">
      <c r="A2001" s="3">
        <f>IFERROR(__xludf.DUMMYFUNCTION("""COMPUTED_VALUE"""),42367.99861111111)</f>
        <v>42367.99861</v>
      </c>
      <c r="B2001" s="1">
        <f>IFERROR(__xludf.DUMMYFUNCTION("""COMPUTED_VALUE"""),20276.45036)</f>
        <v>20276.45036</v>
      </c>
    </row>
    <row r="2002">
      <c r="A2002" s="3">
        <f>IFERROR(__xludf.DUMMYFUNCTION("""COMPUTED_VALUE"""),42368.99861111111)</f>
        <v>42368.99861</v>
      </c>
      <c r="B2002" s="1">
        <f>IFERROR(__xludf.DUMMYFUNCTION("""COMPUTED_VALUE"""),20511.3675)</f>
        <v>20511.3675</v>
      </c>
    </row>
    <row r="2003">
      <c r="A2003" s="3">
        <f>IFERROR(__xludf.DUMMYFUNCTION("""COMPUTED_VALUE"""),42369.99861111111)</f>
        <v>42369.99861</v>
      </c>
      <c r="B2003" s="1">
        <f>IFERROR(__xludf.DUMMYFUNCTION("""COMPUTED_VALUE"""),20299.25325)</f>
        <v>20299.25325</v>
      </c>
    </row>
    <row r="2004">
      <c r="A2004" s="3">
        <f>IFERROR(__xludf.DUMMYFUNCTION("""COMPUTED_VALUE"""),42370.99861111111)</f>
        <v>42370.99861</v>
      </c>
      <c r="B2004" s="1">
        <f>IFERROR(__xludf.DUMMYFUNCTION("""COMPUTED_VALUE"""),20308.4825)</f>
        <v>20308.4825</v>
      </c>
    </row>
    <row r="2005">
      <c r="A2005" s="3">
        <f>IFERROR(__xludf.DUMMYFUNCTION("""COMPUTED_VALUE"""),42371.99861111111)</f>
        <v>42371.99861</v>
      </c>
      <c r="B2005" s="1">
        <f>IFERROR(__xludf.DUMMYFUNCTION("""COMPUTED_VALUE"""),20367.39639)</f>
        <v>20367.39639</v>
      </c>
    </row>
    <row r="2006">
      <c r="A2006" s="3">
        <f>IFERROR(__xludf.DUMMYFUNCTION("""COMPUTED_VALUE"""),42372.99861111111)</f>
        <v>42372.99861</v>
      </c>
      <c r="B2006" s="1">
        <f>IFERROR(__xludf.DUMMYFUNCTION("""COMPUTED_VALUE"""),20349.44059)</f>
        <v>20349.44059</v>
      </c>
    </row>
    <row r="2007">
      <c r="A2007" s="3">
        <f>IFERROR(__xludf.DUMMYFUNCTION("""COMPUTED_VALUE"""),42373.99861111111)</f>
        <v>42373.99861</v>
      </c>
      <c r="B2007" s="1">
        <f>IFERROR(__xludf.DUMMYFUNCTION("""COMPUTED_VALUE"""),20533.39883)</f>
        <v>20533.39883</v>
      </c>
    </row>
    <row r="2008">
      <c r="A2008" s="3">
        <f>IFERROR(__xludf.DUMMYFUNCTION("""COMPUTED_VALUE"""),42374.99861111111)</f>
        <v>42374.99861</v>
      </c>
      <c r="B2008" s="1">
        <f>IFERROR(__xludf.DUMMYFUNCTION("""COMPUTED_VALUE"""),20252.4872)</f>
        <v>20252.4872</v>
      </c>
    </row>
    <row r="2009">
      <c r="A2009" s="3">
        <f>IFERROR(__xludf.DUMMYFUNCTION("""COMPUTED_VALUE"""),42375.99861111111)</f>
        <v>42375.99861</v>
      </c>
      <c r="B2009" s="1">
        <f>IFERROR(__xludf.DUMMYFUNCTION("""COMPUTED_VALUE"""),20337.453)</f>
        <v>20337.453</v>
      </c>
    </row>
    <row r="2010">
      <c r="A2010" s="3">
        <f>IFERROR(__xludf.DUMMYFUNCTION("""COMPUTED_VALUE"""),42376.99861111111)</f>
        <v>42376.99861</v>
      </c>
      <c r="B2010" s="1">
        <f>IFERROR(__xludf.DUMMYFUNCTION("""COMPUTED_VALUE"""),20367.053)</f>
        <v>20367.053</v>
      </c>
    </row>
    <row r="2011">
      <c r="A2011" s="3">
        <f>IFERROR(__xludf.DUMMYFUNCTION("""COMPUTED_VALUE"""),42377.99861111111)</f>
        <v>42377.99861</v>
      </c>
      <c r="B2011" s="1">
        <f>IFERROR(__xludf.DUMMYFUNCTION("""COMPUTED_VALUE"""),20164.9464)</f>
        <v>20164.9464</v>
      </c>
    </row>
    <row r="2012">
      <c r="A2012" s="3">
        <f>IFERROR(__xludf.DUMMYFUNCTION("""COMPUTED_VALUE"""),42378.99861111111)</f>
        <v>42378.99861</v>
      </c>
      <c r="B2012" s="1">
        <f>IFERROR(__xludf.DUMMYFUNCTION("""COMPUTED_VALUE"""),20427.11975)</f>
        <v>20427.11975</v>
      </c>
    </row>
    <row r="2013">
      <c r="A2013" s="3">
        <f>IFERROR(__xludf.DUMMYFUNCTION("""COMPUTED_VALUE"""),42379.99861111111)</f>
        <v>42379.99861</v>
      </c>
      <c r="B2013" s="1">
        <f>IFERROR(__xludf.DUMMYFUNCTION("""COMPUTED_VALUE"""),20394.65737)</f>
        <v>20394.65737</v>
      </c>
    </row>
    <row r="2014">
      <c r="A2014" s="3">
        <f>IFERROR(__xludf.DUMMYFUNCTION("""COMPUTED_VALUE"""),42380.99861111111)</f>
        <v>42380.99861</v>
      </c>
      <c r="B2014" s="1">
        <f>IFERROR(__xludf.DUMMYFUNCTION("""COMPUTED_VALUE"""),20072.47)</f>
        <v>20072.47</v>
      </c>
    </row>
    <row r="2015">
      <c r="A2015" s="3">
        <f>IFERROR(__xludf.DUMMYFUNCTION("""COMPUTED_VALUE"""),42381.99861111111)</f>
        <v>42381.99861</v>
      </c>
      <c r="B2015" s="1">
        <f>IFERROR(__xludf.DUMMYFUNCTION("""COMPUTED_VALUE"""),19911.703)</f>
        <v>19911.703</v>
      </c>
    </row>
    <row r="2016">
      <c r="A2016" s="3">
        <f>IFERROR(__xludf.DUMMYFUNCTION("""COMPUTED_VALUE"""),42382.99861111111)</f>
        <v>42382.99861</v>
      </c>
      <c r="B2016" s="1">
        <f>IFERROR(__xludf.DUMMYFUNCTION("""COMPUTED_VALUE"""),19946.6035)</f>
        <v>19946.6035</v>
      </c>
    </row>
    <row r="2017">
      <c r="A2017" s="3">
        <f>IFERROR(__xludf.DUMMYFUNCTION("""COMPUTED_VALUE"""),42383.99861111111)</f>
        <v>42383.99861</v>
      </c>
      <c r="B2017" s="1">
        <f>IFERROR(__xludf.DUMMYFUNCTION("""COMPUTED_VALUE"""),19935.65)</f>
        <v>19935.65</v>
      </c>
    </row>
    <row r="2018">
      <c r="A2018" s="3">
        <f>IFERROR(__xludf.DUMMYFUNCTION("""COMPUTED_VALUE"""),42384.99861111111)</f>
        <v>42384.99861</v>
      </c>
      <c r="B2018" s="1">
        <f>IFERROR(__xludf.DUMMYFUNCTION("""COMPUTED_VALUE"""),19915.85663)</f>
        <v>19915.85663</v>
      </c>
    </row>
    <row r="2019">
      <c r="A2019" s="3">
        <f>IFERROR(__xludf.DUMMYFUNCTION("""COMPUTED_VALUE"""),42385.99861111111)</f>
        <v>42385.99861</v>
      </c>
      <c r="B2019" s="1">
        <f>IFERROR(__xludf.DUMMYFUNCTION("""COMPUTED_VALUE"""),19942.12019)</f>
        <v>19942.12019</v>
      </c>
    </row>
    <row r="2020">
      <c r="A2020" s="3">
        <f>IFERROR(__xludf.DUMMYFUNCTION("""COMPUTED_VALUE"""),42386.99861111111)</f>
        <v>42386.99861</v>
      </c>
      <c r="B2020" s="1">
        <f>IFERROR(__xludf.DUMMYFUNCTION("""COMPUTED_VALUE"""),19959.43487)</f>
        <v>19959.43487</v>
      </c>
    </row>
    <row r="2021">
      <c r="A2021" s="3">
        <f>IFERROR(__xludf.DUMMYFUNCTION("""COMPUTED_VALUE"""),42387.99861111111)</f>
        <v>42387.99861</v>
      </c>
      <c r="B2021" s="1">
        <f>IFERROR(__xludf.DUMMYFUNCTION("""COMPUTED_VALUE"""),19844.5175)</f>
        <v>19844.5175</v>
      </c>
    </row>
    <row r="2022">
      <c r="A2022" s="3">
        <f>IFERROR(__xludf.DUMMYFUNCTION("""COMPUTED_VALUE"""),42388.99861111111)</f>
        <v>42388.99861</v>
      </c>
      <c r="B2022" s="1">
        <f>IFERROR(__xludf.DUMMYFUNCTION("""COMPUTED_VALUE"""),19609.557)</f>
        <v>19609.557</v>
      </c>
    </row>
    <row r="2023">
      <c r="A2023" s="3">
        <f>IFERROR(__xludf.DUMMYFUNCTION("""COMPUTED_VALUE"""),42389.99861111111)</f>
        <v>42389.99861</v>
      </c>
      <c r="B2023" s="1">
        <f>IFERROR(__xludf.DUMMYFUNCTION("""COMPUTED_VALUE"""),19625.97)</f>
        <v>19625.97</v>
      </c>
    </row>
    <row r="2024">
      <c r="A2024" s="3">
        <f>IFERROR(__xludf.DUMMYFUNCTION("""COMPUTED_VALUE"""),42390.99861111111)</f>
        <v>42390.99861</v>
      </c>
      <c r="B2024" s="1">
        <f>IFERROR(__xludf.DUMMYFUNCTION("""COMPUTED_VALUE"""),19583.92408)</f>
        <v>19583.92408</v>
      </c>
    </row>
    <row r="2025">
      <c r="A2025" s="3">
        <f>IFERROR(__xludf.DUMMYFUNCTION("""COMPUTED_VALUE"""),42391.99861111111)</f>
        <v>42391.99861</v>
      </c>
      <c r="B2025" s="1">
        <f>IFERROR(__xludf.DUMMYFUNCTION("""COMPUTED_VALUE"""),19608.99574)</f>
        <v>19608.99574</v>
      </c>
    </row>
    <row r="2026">
      <c r="A2026" s="3">
        <f>IFERROR(__xludf.DUMMYFUNCTION("""COMPUTED_VALUE"""),42392.99861111111)</f>
        <v>42392.99861</v>
      </c>
      <c r="B2026" s="1">
        <f>IFERROR(__xludf.DUMMYFUNCTION("""COMPUTED_VALUE"""),19756.22482)</f>
        <v>19756.22482</v>
      </c>
    </row>
    <row r="2027">
      <c r="A2027" s="3">
        <f>IFERROR(__xludf.DUMMYFUNCTION("""COMPUTED_VALUE"""),42393.99861111111)</f>
        <v>42393.99861</v>
      </c>
      <c r="B2027" s="1">
        <f>IFERROR(__xludf.DUMMYFUNCTION("""COMPUTED_VALUE"""),19743.34394)</f>
        <v>19743.34394</v>
      </c>
    </row>
    <row r="2028">
      <c r="A2028" s="3">
        <f>IFERROR(__xludf.DUMMYFUNCTION("""COMPUTED_VALUE"""),42394.99861111111)</f>
        <v>42394.99861</v>
      </c>
      <c r="B2028" s="1">
        <f>IFERROR(__xludf.DUMMYFUNCTION("""COMPUTED_VALUE"""),19693.5051)</f>
        <v>19693.5051</v>
      </c>
    </row>
    <row r="2029">
      <c r="A2029" s="3">
        <f>IFERROR(__xludf.DUMMYFUNCTION("""COMPUTED_VALUE"""),42395.99861111111)</f>
        <v>42395.99861</v>
      </c>
      <c r="B2029" s="1">
        <f>IFERROR(__xludf.DUMMYFUNCTION("""COMPUTED_VALUE"""),19902.532)</f>
        <v>19902.532</v>
      </c>
    </row>
    <row r="2030">
      <c r="A2030" s="3">
        <f>IFERROR(__xludf.DUMMYFUNCTION("""COMPUTED_VALUE"""),42396.99861111111)</f>
        <v>42396.99861</v>
      </c>
      <c r="B2030" s="1">
        <f>IFERROR(__xludf.DUMMYFUNCTION("""COMPUTED_VALUE"""),19659.5688)</f>
        <v>19659.5688</v>
      </c>
    </row>
    <row r="2031">
      <c r="A2031" s="3">
        <f>IFERROR(__xludf.DUMMYFUNCTION("""COMPUTED_VALUE"""),42397.99861111111)</f>
        <v>42397.99861</v>
      </c>
      <c r="B2031" s="1">
        <f>IFERROR(__xludf.DUMMYFUNCTION("""COMPUTED_VALUE"""),19761.034)</f>
        <v>19761.034</v>
      </c>
    </row>
    <row r="2032">
      <c r="A2032" s="3">
        <f>IFERROR(__xludf.DUMMYFUNCTION("""COMPUTED_VALUE"""),42398.99861111111)</f>
        <v>42398.99861</v>
      </c>
      <c r="B2032" s="1">
        <f>IFERROR(__xludf.DUMMYFUNCTION("""COMPUTED_VALUE"""),19480.0375)</f>
        <v>19480.0375</v>
      </c>
    </row>
    <row r="2033">
      <c r="A2033" s="3">
        <f>IFERROR(__xludf.DUMMYFUNCTION("""COMPUTED_VALUE"""),42399.99861111111)</f>
        <v>42399.99861</v>
      </c>
      <c r="B2033" s="1">
        <f>IFERROR(__xludf.DUMMYFUNCTION("""COMPUTED_VALUE"""),20067.66602)</f>
        <v>20067.66602</v>
      </c>
    </row>
    <row r="2034">
      <c r="A2034" s="3">
        <f>IFERROR(__xludf.DUMMYFUNCTION("""COMPUTED_VALUE"""),42400.99861111111)</f>
        <v>42400.99861</v>
      </c>
      <c r="B2034" s="1">
        <f>IFERROR(__xludf.DUMMYFUNCTION("""COMPUTED_VALUE"""),20087.44375)</f>
        <v>20087.44375</v>
      </c>
    </row>
    <row r="2035">
      <c r="A2035" s="3">
        <f>IFERROR(__xludf.DUMMYFUNCTION("""COMPUTED_VALUE"""),42401.99861111111)</f>
        <v>42401.99861</v>
      </c>
      <c r="B2035" s="1">
        <f>IFERROR(__xludf.DUMMYFUNCTION("""COMPUTED_VALUE"""),19657.186)</f>
        <v>19657.186</v>
      </c>
    </row>
    <row r="2036">
      <c r="A2036" s="3">
        <f>IFERROR(__xludf.DUMMYFUNCTION("""COMPUTED_VALUE"""),42402.99861111111)</f>
        <v>42402.99861</v>
      </c>
      <c r="B2036" s="1">
        <f>IFERROR(__xludf.DUMMYFUNCTION("""COMPUTED_VALUE"""),19779.438)</f>
        <v>19779.438</v>
      </c>
    </row>
    <row r="2037">
      <c r="A2037" s="3">
        <f>IFERROR(__xludf.DUMMYFUNCTION("""COMPUTED_VALUE"""),42403.99861111111)</f>
        <v>42403.99861</v>
      </c>
      <c r="B2037" s="1">
        <f>IFERROR(__xludf.DUMMYFUNCTION("""COMPUTED_VALUE"""),19808.80372)</f>
        <v>19808.80372</v>
      </c>
    </row>
    <row r="2038">
      <c r="A2038" s="3">
        <f>IFERROR(__xludf.DUMMYFUNCTION("""COMPUTED_VALUE"""),42404.99861111111)</f>
        <v>42404.99861</v>
      </c>
      <c r="B2038" s="1">
        <f>IFERROR(__xludf.DUMMYFUNCTION("""COMPUTED_VALUE"""),19842.893)</f>
        <v>19842.893</v>
      </c>
    </row>
    <row r="2039">
      <c r="A2039" s="3">
        <f>IFERROR(__xludf.DUMMYFUNCTION("""COMPUTED_VALUE"""),42405.99861111111)</f>
        <v>42405.99861</v>
      </c>
      <c r="B2039" s="1">
        <f>IFERROR(__xludf.DUMMYFUNCTION("""COMPUTED_VALUE"""),19698.38585)</f>
        <v>19698.38585</v>
      </c>
    </row>
    <row r="2040">
      <c r="A2040" s="3">
        <f>IFERROR(__xludf.DUMMYFUNCTION("""COMPUTED_VALUE"""),42406.99861111111)</f>
        <v>42406.99861</v>
      </c>
      <c r="B2040" s="1">
        <f>IFERROR(__xludf.DUMMYFUNCTION("""COMPUTED_VALUE"""),19727.888)</f>
        <v>19727.888</v>
      </c>
    </row>
    <row r="2041">
      <c r="A2041" s="3">
        <f>IFERROR(__xludf.DUMMYFUNCTION("""COMPUTED_VALUE"""),42407.99861111111)</f>
        <v>42407.99861</v>
      </c>
      <c r="B2041" s="1">
        <f>IFERROR(__xludf.DUMMYFUNCTION("""COMPUTED_VALUE"""),19765.92815)</f>
        <v>19765.92815</v>
      </c>
    </row>
    <row r="2042">
      <c r="A2042" s="3">
        <f>IFERROR(__xludf.DUMMYFUNCTION("""COMPUTED_VALUE"""),42408.99861111111)</f>
        <v>42408.99861</v>
      </c>
      <c r="B2042" s="1">
        <f>IFERROR(__xludf.DUMMYFUNCTION("""COMPUTED_VALUE"""),19738.5708)</f>
        <v>19738.5708</v>
      </c>
    </row>
    <row r="2043">
      <c r="A2043" s="3">
        <f>IFERROR(__xludf.DUMMYFUNCTION("""COMPUTED_VALUE"""),42409.99861111111)</f>
        <v>42409.99861</v>
      </c>
      <c r="B2043" s="1">
        <f>IFERROR(__xludf.DUMMYFUNCTION("""COMPUTED_VALUE"""),19610.472)</f>
        <v>19610.472</v>
      </c>
    </row>
    <row r="2044">
      <c r="A2044" s="3">
        <f>IFERROR(__xludf.DUMMYFUNCTION("""COMPUTED_VALUE"""),42410.99861111111)</f>
        <v>42410.99861</v>
      </c>
      <c r="B2044" s="1">
        <f>IFERROR(__xludf.DUMMYFUNCTION("""COMPUTED_VALUE"""),19538.94735)</f>
        <v>19538.94735</v>
      </c>
    </row>
    <row r="2045">
      <c r="A2045" s="3">
        <f>IFERROR(__xludf.DUMMYFUNCTION("""COMPUTED_VALUE"""),42411.99861111111)</f>
        <v>42411.99861</v>
      </c>
      <c r="B2045" s="1">
        <f>IFERROR(__xludf.DUMMYFUNCTION("""COMPUTED_VALUE"""),19513.648)</f>
        <v>19513.648</v>
      </c>
    </row>
    <row r="2046">
      <c r="A2046" s="3">
        <f>IFERROR(__xludf.DUMMYFUNCTION("""COMPUTED_VALUE"""),42412.99861111111)</f>
        <v>42412.99861</v>
      </c>
      <c r="B2046" s="1">
        <f>IFERROR(__xludf.DUMMYFUNCTION("""COMPUTED_VALUE"""),19526.943)</f>
        <v>19526.943</v>
      </c>
    </row>
    <row r="2047">
      <c r="A2047" s="3">
        <f>IFERROR(__xludf.DUMMYFUNCTION("""COMPUTED_VALUE"""),42413.99861111111)</f>
        <v>42413.99861</v>
      </c>
      <c r="B2047" s="1">
        <f>IFERROR(__xludf.DUMMYFUNCTION("""COMPUTED_VALUE"""),19661.22507)</f>
        <v>19661.22507</v>
      </c>
    </row>
    <row r="2048">
      <c r="A2048" s="3">
        <f>IFERROR(__xludf.DUMMYFUNCTION("""COMPUTED_VALUE"""),42414.99861111111)</f>
        <v>42414.99861</v>
      </c>
      <c r="B2048" s="1">
        <f>IFERROR(__xludf.DUMMYFUNCTION("""COMPUTED_VALUE"""),19665.30366)</f>
        <v>19665.30366</v>
      </c>
    </row>
    <row r="2049">
      <c r="A2049" s="3">
        <f>IFERROR(__xludf.DUMMYFUNCTION("""COMPUTED_VALUE"""),42415.99861111111)</f>
        <v>42415.99861</v>
      </c>
      <c r="B2049" s="1">
        <f>IFERROR(__xludf.DUMMYFUNCTION("""COMPUTED_VALUE"""),19181.71125)</f>
        <v>19181.71125</v>
      </c>
    </row>
    <row r="2050">
      <c r="A2050" s="3">
        <f>IFERROR(__xludf.DUMMYFUNCTION("""COMPUTED_VALUE"""),42416.99861111111)</f>
        <v>42416.99861</v>
      </c>
      <c r="B2050" s="1">
        <f>IFERROR(__xludf.DUMMYFUNCTION("""COMPUTED_VALUE"""),19159.0497)</f>
        <v>19159.0497</v>
      </c>
    </row>
    <row r="2051">
      <c r="A2051" s="3">
        <f>IFERROR(__xludf.DUMMYFUNCTION("""COMPUTED_VALUE"""),42417.99861111111)</f>
        <v>42417.99861</v>
      </c>
      <c r="B2051" s="1">
        <f>IFERROR(__xludf.DUMMYFUNCTION("""COMPUTED_VALUE"""),19275.3)</f>
        <v>19275.3</v>
      </c>
    </row>
    <row r="2052">
      <c r="A2052" s="3">
        <f>IFERROR(__xludf.DUMMYFUNCTION("""COMPUTED_VALUE"""),42418.99861111111)</f>
        <v>42418.99861</v>
      </c>
      <c r="B2052" s="1">
        <f>IFERROR(__xludf.DUMMYFUNCTION("""COMPUTED_VALUE"""),19223.4267)</f>
        <v>19223.4267</v>
      </c>
    </row>
    <row r="2053">
      <c r="A2053" s="3">
        <f>IFERROR(__xludf.DUMMYFUNCTION("""COMPUTED_VALUE"""),42419.99861111111)</f>
        <v>42419.99861</v>
      </c>
      <c r="B2053" s="1">
        <f>IFERROR(__xludf.DUMMYFUNCTION("""COMPUTED_VALUE"""),19339.84799)</f>
        <v>19339.84799</v>
      </c>
    </row>
    <row r="2054">
      <c r="A2054" s="3">
        <f>IFERROR(__xludf.DUMMYFUNCTION("""COMPUTED_VALUE"""),42420.99861111111)</f>
        <v>42420.99861</v>
      </c>
      <c r="B2054" s="1">
        <f>IFERROR(__xludf.DUMMYFUNCTION("""COMPUTED_VALUE"""),19492.54349)</f>
        <v>19492.54349</v>
      </c>
    </row>
    <row r="2055">
      <c r="A2055" s="3">
        <f>IFERROR(__xludf.DUMMYFUNCTION("""COMPUTED_VALUE"""),42421.99861111111)</f>
        <v>42421.99861</v>
      </c>
      <c r="B2055" s="1">
        <f>IFERROR(__xludf.DUMMYFUNCTION("""COMPUTED_VALUE"""),19296.33254)</f>
        <v>19296.33254</v>
      </c>
    </row>
    <row r="2056">
      <c r="A2056" s="3">
        <f>IFERROR(__xludf.DUMMYFUNCTION("""COMPUTED_VALUE"""),42422.99861111111)</f>
        <v>42422.99861</v>
      </c>
      <c r="B2056" s="1">
        <f>IFERROR(__xludf.DUMMYFUNCTION("""COMPUTED_VALUE"""),18935.7595)</f>
        <v>18935.7595</v>
      </c>
    </row>
    <row r="2057">
      <c r="A2057" s="3">
        <f>IFERROR(__xludf.DUMMYFUNCTION("""COMPUTED_VALUE"""),42423.99861111111)</f>
        <v>42423.99861</v>
      </c>
      <c r="B2057" s="1">
        <f>IFERROR(__xludf.DUMMYFUNCTION("""COMPUTED_VALUE"""),18787.41)</f>
        <v>18787.41</v>
      </c>
    </row>
    <row r="2058">
      <c r="A2058" s="3">
        <f>IFERROR(__xludf.DUMMYFUNCTION("""COMPUTED_VALUE"""),42424.99861111111)</f>
        <v>42424.99861</v>
      </c>
      <c r="B2058" s="1">
        <f>IFERROR(__xludf.DUMMYFUNCTION("""COMPUTED_VALUE"""),18641.2895)</f>
        <v>18641.2895</v>
      </c>
    </row>
    <row r="2059">
      <c r="A2059" s="3">
        <f>IFERROR(__xludf.DUMMYFUNCTION("""COMPUTED_VALUE"""),42425.99861111111)</f>
        <v>42425.99861</v>
      </c>
      <c r="B2059" s="1">
        <f>IFERROR(__xludf.DUMMYFUNCTION("""COMPUTED_VALUE"""),18752.309)</f>
        <v>18752.309</v>
      </c>
    </row>
    <row r="2060">
      <c r="A2060" s="3">
        <f>IFERROR(__xludf.DUMMYFUNCTION("""COMPUTED_VALUE"""),42426.99861111111)</f>
        <v>42426.99861</v>
      </c>
      <c r="B2060" s="1">
        <f>IFERROR(__xludf.DUMMYFUNCTION("""COMPUTED_VALUE"""),18619.1325)</f>
        <v>18619.1325</v>
      </c>
    </row>
    <row r="2061">
      <c r="A2061" s="3">
        <f>IFERROR(__xludf.DUMMYFUNCTION("""COMPUTED_VALUE"""),42427.99861111111)</f>
        <v>42427.99861</v>
      </c>
      <c r="B2061" s="1">
        <f>IFERROR(__xludf.DUMMYFUNCTION("""COMPUTED_VALUE"""),18649.20669)</f>
        <v>18649.20669</v>
      </c>
    </row>
    <row r="2062">
      <c r="A2062" s="3">
        <f>IFERROR(__xludf.DUMMYFUNCTION("""COMPUTED_VALUE"""),42428.99861111111)</f>
        <v>42428.99861</v>
      </c>
      <c r="B2062" s="1">
        <f>IFERROR(__xludf.DUMMYFUNCTION("""COMPUTED_VALUE"""),18630.37604)</f>
        <v>18630.37604</v>
      </c>
    </row>
    <row r="2063">
      <c r="A2063" s="3">
        <f>IFERROR(__xludf.DUMMYFUNCTION("""COMPUTED_VALUE"""),42429.99861111111)</f>
        <v>42429.99861</v>
      </c>
      <c r="B2063" s="1">
        <f>IFERROR(__xludf.DUMMYFUNCTION("""COMPUTED_VALUE"""),18612.49995)</f>
        <v>18612.49995</v>
      </c>
    </row>
    <row r="2064">
      <c r="A2064" s="3">
        <f>IFERROR(__xludf.DUMMYFUNCTION("""COMPUTED_VALUE"""),42430.99861111111)</f>
        <v>42430.99861</v>
      </c>
      <c r="B2064" s="1">
        <f>IFERROR(__xludf.DUMMYFUNCTION("""COMPUTED_VALUE"""),18490.0914)</f>
        <v>18490.0914</v>
      </c>
    </row>
    <row r="2065">
      <c r="A2065" s="3">
        <f>IFERROR(__xludf.DUMMYFUNCTION("""COMPUTED_VALUE"""),42431.99861111111)</f>
        <v>42431.99861</v>
      </c>
      <c r="B2065" s="1">
        <f>IFERROR(__xludf.DUMMYFUNCTION("""COMPUTED_VALUE"""),18650.6173)</f>
        <v>18650.6173</v>
      </c>
    </row>
    <row r="2066">
      <c r="A2066" s="3">
        <f>IFERROR(__xludf.DUMMYFUNCTION("""COMPUTED_VALUE"""),42432.99861111111)</f>
        <v>42432.99861</v>
      </c>
      <c r="B2066" s="1">
        <f>IFERROR(__xludf.DUMMYFUNCTION("""COMPUTED_VALUE"""),18619.38)</f>
        <v>18619.38</v>
      </c>
    </row>
    <row r="2067">
      <c r="A2067" s="3">
        <f>IFERROR(__xludf.DUMMYFUNCTION("""COMPUTED_VALUE"""),42433.99861111111)</f>
        <v>42433.99861</v>
      </c>
      <c r="B2067" s="1">
        <f>IFERROR(__xludf.DUMMYFUNCTION("""COMPUTED_VALUE"""),18534.9356)</f>
        <v>18534.9356</v>
      </c>
    </row>
    <row r="2068">
      <c r="A2068" s="3">
        <f>IFERROR(__xludf.DUMMYFUNCTION("""COMPUTED_VALUE"""),42434.99861111111)</f>
        <v>42434.99861</v>
      </c>
      <c r="B2068" s="1">
        <f>IFERROR(__xludf.DUMMYFUNCTION("""COMPUTED_VALUE"""),18957.24385)</f>
        <v>18957.24385</v>
      </c>
    </row>
    <row r="2069">
      <c r="A2069" s="3">
        <f>IFERROR(__xludf.DUMMYFUNCTION("""COMPUTED_VALUE"""),42435.99861111111)</f>
        <v>42435.99861</v>
      </c>
      <c r="B2069" s="1">
        <f>IFERROR(__xludf.DUMMYFUNCTION("""COMPUTED_VALUE"""),18949.99526)</f>
        <v>18949.99526</v>
      </c>
    </row>
    <row r="2070">
      <c r="A2070" s="3">
        <f>IFERROR(__xludf.DUMMYFUNCTION("""COMPUTED_VALUE"""),42436.99861111111)</f>
        <v>42436.99861</v>
      </c>
      <c r="B2070" s="1">
        <f>IFERROR(__xludf.DUMMYFUNCTION("""COMPUTED_VALUE"""),18532.8)</f>
        <v>18532.8</v>
      </c>
    </row>
    <row r="2071">
      <c r="A2071" s="3">
        <f>IFERROR(__xludf.DUMMYFUNCTION("""COMPUTED_VALUE"""),42437.99861111111)</f>
        <v>42437.99861</v>
      </c>
      <c r="B2071" s="1">
        <f>IFERROR(__xludf.DUMMYFUNCTION("""COMPUTED_VALUE"""),18723.6105)</f>
        <v>18723.6105</v>
      </c>
    </row>
    <row r="2072">
      <c r="A2072" s="3">
        <f>IFERROR(__xludf.DUMMYFUNCTION("""COMPUTED_VALUE"""),42438.99861111111)</f>
        <v>42438.99861</v>
      </c>
      <c r="B2072" s="1">
        <f>IFERROR(__xludf.DUMMYFUNCTION("""COMPUTED_VALUE"""),18606.847)</f>
        <v>18606.847</v>
      </c>
    </row>
    <row r="2073">
      <c r="A2073" s="3">
        <f>IFERROR(__xludf.DUMMYFUNCTION("""COMPUTED_VALUE"""),42439.99861111111)</f>
        <v>42439.99861</v>
      </c>
      <c r="B2073" s="1">
        <f>IFERROR(__xludf.DUMMYFUNCTION("""COMPUTED_VALUE"""),18756.205)</f>
        <v>18756.205</v>
      </c>
    </row>
    <row r="2074">
      <c r="A2074" s="3">
        <f>IFERROR(__xludf.DUMMYFUNCTION("""COMPUTED_VALUE"""),42440.99861111111)</f>
        <v>42440.99861</v>
      </c>
      <c r="B2074" s="1">
        <f>IFERROR(__xludf.DUMMYFUNCTION("""COMPUTED_VALUE"""),18615.78747)</f>
        <v>18615.78747</v>
      </c>
    </row>
    <row r="2075">
      <c r="A2075" s="3">
        <f>IFERROR(__xludf.DUMMYFUNCTION("""COMPUTED_VALUE"""),42441.99861111111)</f>
        <v>42441.99861</v>
      </c>
      <c r="B2075" s="1">
        <f>IFERROR(__xludf.DUMMYFUNCTION("""COMPUTED_VALUE"""),18756.17908)</f>
        <v>18756.17908</v>
      </c>
    </row>
    <row r="2076">
      <c r="A2076" s="3">
        <f>IFERROR(__xludf.DUMMYFUNCTION("""COMPUTED_VALUE"""),42442.99861111111)</f>
        <v>42442.99861</v>
      </c>
      <c r="B2076" s="1">
        <f>IFERROR(__xludf.DUMMYFUNCTION("""COMPUTED_VALUE"""),18743.14128)</f>
        <v>18743.14128</v>
      </c>
    </row>
    <row r="2077">
      <c r="A2077" s="3">
        <f>IFERROR(__xludf.DUMMYFUNCTION("""COMPUTED_VALUE"""),42443.99861111111)</f>
        <v>42443.99861</v>
      </c>
      <c r="B2077" s="1">
        <f>IFERROR(__xludf.DUMMYFUNCTION("""COMPUTED_VALUE"""),18533.8824)</f>
        <v>18533.8824</v>
      </c>
    </row>
    <row r="2078">
      <c r="A2078" s="3">
        <f>IFERROR(__xludf.DUMMYFUNCTION("""COMPUTED_VALUE"""),42444.99861111111)</f>
        <v>42444.99861</v>
      </c>
      <c r="B2078" s="1">
        <f>IFERROR(__xludf.DUMMYFUNCTION("""COMPUTED_VALUE"""),18575.47527)</f>
        <v>18575.47527</v>
      </c>
    </row>
    <row r="2079">
      <c r="A2079" s="3">
        <f>IFERROR(__xludf.DUMMYFUNCTION("""COMPUTED_VALUE"""),42445.99861111111)</f>
        <v>42445.99861</v>
      </c>
      <c r="B2079" s="1">
        <f>IFERROR(__xludf.DUMMYFUNCTION("""COMPUTED_VALUE"""),18200.0594)</f>
        <v>18200.0594</v>
      </c>
    </row>
    <row r="2080">
      <c r="A2080" s="3">
        <f>IFERROR(__xludf.DUMMYFUNCTION("""COMPUTED_VALUE"""),42446.99861111111)</f>
        <v>42446.99861</v>
      </c>
      <c r="B2080" s="1">
        <f>IFERROR(__xludf.DUMMYFUNCTION("""COMPUTED_VALUE"""),18720.8255)</f>
        <v>18720.8255</v>
      </c>
    </row>
    <row r="2081">
      <c r="A2081" s="3">
        <f>IFERROR(__xludf.DUMMYFUNCTION("""COMPUTED_VALUE"""),42447.99861111111)</f>
        <v>42447.99861</v>
      </c>
      <c r="B2081" s="1">
        <f>IFERROR(__xludf.DUMMYFUNCTION("""COMPUTED_VALUE"""),18879.024)</f>
        <v>18879.024</v>
      </c>
    </row>
    <row r="2082">
      <c r="A2082" s="3">
        <f>IFERROR(__xludf.DUMMYFUNCTION("""COMPUTED_VALUE"""),42448.99861111111)</f>
        <v>42448.99861</v>
      </c>
      <c r="B2082" s="1">
        <f>IFERROR(__xludf.DUMMYFUNCTION("""COMPUTED_VALUE"""),19027.5888)</f>
        <v>19027.5888</v>
      </c>
    </row>
    <row r="2083">
      <c r="A2083" s="3">
        <f>IFERROR(__xludf.DUMMYFUNCTION("""COMPUTED_VALUE"""),42449.99861111111)</f>
        <v>42449.99861</v>
      </c>
      <c r="B2083" s="1">
        <f>IFERROR(__xludf.DUMMYFUNCTION("""COMPUTED_VALUE"""),19005.24978)</f>
        <v>19005.24978</v>
      </c>
    </row>
    <row r="2084">
      <c r="A2084" s="3">
        <f>IFERROR(__xludf.DUMMYFUNCTION("""COMPUTED_VALUE"""),42450.99861111111)</f>
        <v>42450.99861</v>
      </c>
      <c r="B2084" s="1">
        <f>IFERROR(__xludf.DUMMYFUNCTION("""COMPUTED_VALUE"""),18939.22512)</f>
        <v>18939.22512</v>
      </c>
    </row>
    <row r="2085">
      <c r="A2085" s="3">
        <f>IFERROR(__xludf.DUMMYFUNCTION("""COMPUTED_VALUE"""),42451.99861111111)</f>
        <v>42451.99861</v>
      </c>
      <c r="B2085" s="1">
        <f>IFERROR(__xludf.DUMMYFUNCTION("""COMPUTED_VALUE"""),18633.5523)</f>
        <v>18633.5523</v>
      </c>
    </row>
    <row r="2086">
      <c r="A2086" s="3">
        <f>IFERROR(__xludf.DUMMYFUNCTION("""COMPUTED_VALUE"""),42452.99861111111)</f>
        <v>42452.99861</v>
      </c>
      <c r="B2086" s="1">
        <f>IFERROR(__xludf.DUMMYFUNCTION("""COMPUTED_VALUE"""),18650.99025)</f>
        <v>18650.99025</v>
      </c>
    </row>
    <row r="2087">
      <c r="A2087" s="3">
        <f>IFERROR(__xludf.DUMMYFUNCTION("""COMPUTED_VALUE"""),42453.99861111111)</f>
        <v>42453.99861</v>
      </c>
      <c r="B2087" s="1">
        <f>IFERROR(__xludf.DUMMYFUNCTION("""COMPUTED_VALUE"""),18695.5824)</f>
        <v>18695.5824</v>
      </c>
    </row>
    <row r="2088">
      <c r="A2088" s="3">
        <f>IFERROR(__xludf.DUMMYFUNCTION("""COMPUTED_VALUE"""),42454.99861111111)</f>
        <v>42454.99861</v>
      </c>
      <c r="B2088" s="1">
        <f>IFERROR(__xludf.DUMMYFUNCTION("""COMPUTED_VALUE"""),18639.501)</f>
        <v>18639.501</v>
      </c>
    </row>
    <row r="2089">
      <c r="A2089" s="3">
        <f>IFERROR(__xludf.DUMMYFUNCTION("""COMPUTED_VALUE"""),42455.99861111111)</f>
        <v>42455.99861</v>
      </c>
      <c r="B2089" s="1">
        <f>IFERROR(__xludf.DUMMYFUNCTION("""COMPUTED_VALUE"""),18799.57151)</f>
        <v>18799.57151</v>
      </c>
    </row>
    <row r="2090">
      <c r="A2090" s="3">
        <f>IFERROR(__xludf.DUMMYFUNCTION("""COMPUTED_VALUE"""),42456.99861111111)</f>
        <v>42456.99861</v>
      </c>
      <c r="B2090" s="1">
        <f>IFERROR(__xludf.DUMMYFUNCTION("""COMPUTED_VALUE"""),18759.62464)</f>
        <v>18759.62464</v>
      </c>
    </row>
    <row r="2091">
      <c r="A2091" s="3">
        <f>IFERROR(__xludf.DUMMYFUNCTION("""COMPUTED_VALUE"""),42457.99861111111)</f>
        <v>42457.99861</v>
      </c>
      <c r="B2091" s="1">
        <f>IFERROR(__xludf.DUMMYFUNCTION("""COMPUTED_VALUE"""),18931.7724)</f>
        <v>18931.7724</v>
      </c>
    </row>
    <row r="2092">
      <c r="A2092" s="3">
        <f>IFERROR(__xludf.DUMMYFUNCTION("""COMPUTED_VALUE"""),42458.99861111111)</f>
        <v>42458.99861</v>
      </c>
      <c r="B2092" s="1">
        <f>IFERROR(__xludf.DUMMYFUNCTION("""COMPUTED_VALUE"""),18957.7166)</f>
        <v>18957.7166</v>
      </c>
    </row>
    <row r="2093">
      <c r="A2093" s="3">
        <f>IFERROR(__xludf.DUMMYFUNCTION("""COMPUTED_VALUE"""),42459.99861111111)</f>
        <v>42459.99861</v>
      </c>
      <c r="B2093" s="1">
        <f>IFERROR(__xludf.DUMMYFUNCTION("""COMPUTED_VALUE"""),19027.204)</f>
        <v>19027.204</v>
      </c>
    </row>
    <row r="2094">
      <c r="A2094" s="3">
        <f>IFERROR(__xludf.DUMMYFUNCTION("""COMPUTED_VALUE"""),42460.99861111111)</f>
        <v>42460.99861</v>
      </c>
      <c r="B2094" s="1">
        <f>IFERROR(__xludf.DUMMYFUNCTION("""COMPUTED_VALUE"""),18901.59858)</f>
        <v>18901.59858</v>
      </c>
    </row>
    <row r="2095">
      <c r="A2095" s="3">
        <f>IFERROR(__xludf.DUMMYFUNCTION("""COMPUTED_VALUE"""),42461.99861111111)</f>
        <v>42461.99861</v>
      </c>
      <c r="B2095" s="1">
        <f>IFERROR(__xludf.DUMMYFUNCTION("""COMPUTED_VALUE"""),18673.1575)</f>
        <v>18673.1575</v>
      </c>
    </row>
    <row r="2096">
      <c r="A2096" s="3">
        <f>IFERROR(__xludf.DUMMYFUNCTION("""COMPUTED_VALUE"""),42462.99861111111)</f>
        <v>42462.99861</v>
      </c>
      <c r="B2096" s="1">
        <f>IFERROR(__xludf.DUMMYFUNCTION("""COMPUTED_VALUE"""),18692.5035)</f>
        <v>18692.5035</v>
      </c>
    </row>
    <row r="2097">
      <c r="A2097" s="3">
        <f>IFERROR(__xludf.DUMMYFUNCTION("""COMPUTED_VALUE"""),42463.99861111111)</f>
        <v>42463.99861</v>
      </c>
      <c r="B2097" s="1">
        <f>IFERROR(__xludf.DUMMYFUNCTION("""COMPUTED_VALUE"""),18689.08694)</f>
        <v>18689.08694</v>
      </c>
    </row>
    <row r="2098">
      <c r="A2098" s="3">
        <f>IFERROR(__xludf.DUMMYFUNCTION("""COMPUTED_VALUE"""),42464.99861111111)</f>
        <v>42464.99861</v>
      </c>
      <c r="B2098" s="1">
        <f>IFERROR(__xludf.DUMMYFUNCTION("""COMPUTED_VALUE"""),18740.1366)</f>
        <v>18740.1366</v>
      </c>
    </row>
    <row r="2099">
      <c r="A2099" s="3">
        <f>IFERROR(__xludf.DUMMYFUNCTION("""COMPUTED_VALUE"""),42465.99861111111)</f>
        <v>42465.99861</v>
      </c>
      <c r="B2099" s="1">
        <f>IFERROR(__xludf.DUMMYFUNCTION("""COMPUTED_VALUE"""),18698.3587)</f>
        <v>18698.3587</v>
      </c>
    </row>
    <row r="2100">
      <c r="A2100" s="3">
        <f>IFERROR(__xludf.DUMMYFUNCTION("""COMPUTED_VALUE"""),42466.99861111111)</f>
        <v>42466.99861</v>
      </c>
      <c r="B2100" s="1">
        <f>IFERROR(__xludf.DUMMYFUNCTION("""COMPUTED_VALUE"""),18617.04136)</f>
        <v>18617.04136</v>
      </c>
    </row>
    <row r="2101">
      <c r="A2101" s="3">
        <f>IFERROR(__xludf.DUMMYFUNCTION("""COMPUTED_VALUE"""),42467.99861111111)</f>
        <v>42467.99861</v>
      </c>
      <c r="B2101" s="1">
        <f>IFERROR(__xludf.DUMMYFUNCTION("""COMPUTED_VALUE"""),18512.5874)</f>
        <v>18512.5874</v>
      </c>
    </row>
    <row r="2102">
      <c r="A2102" s="3">
        <f>IFERROR(__xludf.DUMMYFUNCTION("""COMPUTED_VALUE"""),42468.99861111111)</f>
        <v>42468.99861</v>
      </c>
      <c r="B2102" s="1">
        <f>IFERROR(__xludf.DUMMYFUNCTION("""COMPUTED_VALUE"""),18521.92105)</f>
        <v>18521.92105</v>
      </c>
    </row>
    <row r="2103">
      <c r="A2103" s="3">
        <f>IFERROR(__xludf.DUMMYFUNCTION("""COMPUTED_VALUE"""),42469.99861111111)</f>
        <v>42469.99861</v>
      </c>
      <c r="B2103" s="1">
        <f>IFERROR(__xludf.DUMMYFUNCTION("""COMPUTED_VALUE"""),18561.0975)</f>
        <v>18561.0975</v>
      </c>
    </row>
    <row r="2104">
      <c r="A2104" s="3">
        <f>IFERROR(__xludf.DUMMYFUNCTION("""COMPUTED_VALUE"""),42470.99861111111)</f>
        <v>42470.99861</v>
      </c>
      <c r="B2104" s="1">
        <f>IFERROR(__xludf.DUMMYFUNCTION("""COMPUTED_VALUE"""),18565.17108)</f>
        <v>18565.17108</v>
      </c>
    </row>
    <row r="2105">
      <c r="A2105" s="3">
        <f>IFERROR(__xludf.DUMMYFUNCTION("""COMPUTED_VALUE"""),42471.99861111111)</f>
        <v>42471.99861</v>
      </c>
      <c r="B2105" s="1">
        <f>IFERROR(__xludf.DUMMYFUNCTION("""COMPUTED_VALUE"""),18634.185)</f>
        <v>18634.185</v>
      </c>
    </row>
    <row r="2106">
      <c r="A2106" s="3">
        <f>IFERROR(__xludf.DUMMYFUNCTION("""COMPUTED_VALUE"""),42472.99861111111)</f>
        <v>42472.99861</v>
      </c>
      <c r="B2106" s="1">
        <f>IFERROR(__xludf.DUMMYFUNCTION("""COMPUTED_VALUE"""),18648.24231)</f>
        <v>18648.24231</v>
      </c>
    </row>
    <row r="2107">
      <c r="A2107" s="3">
        <f>IFERROR(__xludf.DUMMYFUNCTION("""COMPUTED_VALUE"""),42473.99861111111)</f>
        <v>42473.99861</v>
      </c>
      <c r="B2107" s="1">
        <f>IFERROR(__xludf.DUMMYFUNCTION("""COMPUTED_VALUE"""),18651.4405)</f>
        <v>18651.4405</v>
      </c>
    </row>
    <row r="2108">
      <c r="A2108" s="3">
        <f>IFERROR(__xludf.DUMMYFUNCTION("""COMPUTED_VALUE"""),42474.99861111111)</f>
        <v>42474.99861</v>
      </c>
      <c r="B2108" s="1">
        <f>IFERROR(__xludf.DUMMYFUNCTION("""COMPUTED_VALUE"""),18626.5252)</f>
        <v>18626.5252</v>
      </c>
    </row>
    <row r="2109">
      <c r="A2109" s="3">
        <f>IFERROR(__xludf.DUMMYFUNCTION("""COMPUTED_VALUE"""),42475.99861111111)</f>
        <v>42475.99861</v>
      </c>
      <c r="B2109" s="1">
        <f>IFERROR(__xludf.DUMMYFUNCTION("""COMPUTED_VALUE"""),18636.722)</f>
        <v>18636.722</v>
      </c>
    </row>
    <row r="2110">
      <c r="A2110" s="3">
        <f>IFERROR(__xludf.DUMMYFUNCTION("""COMPUTED_VALUE"""),42476.99861111111)</f>
        <v>42476.99861</v>
      </c>
      <c r="B2110" s="1">
        <f>IFERROR(__xludf.DUMMYFUNCTION("""COMPUTED_VALUE"""),18789.59858)</f>
        <v>18789.59858</v>
      </c>
    </row>
    <row r="2111">
      <c r="A2111" s="3">
        <f>IFERROR(__xludf.DUMMYFUNCTION("""COMPUTED_VALUE"""),42477.99861111111)</f>
        <v>42477.99861</v>
      </c>
      <c r="B2111" s="1">
        <f>IFERROR(__xludf.DUMMYFUNCTION("""COMPUTED_VALUE"""),18748.67267)</f>
        <v>18748.67267</v>
      </c>
    </row>
    <row r="2112">
      <c r="A2112" s="3">
        <f>IFERROR(__xludf.DUMMYFUNCTION("""COMPUTED_VALUE"""),42478.99861111111)</f>
        <v>42478.99861</v>
      </c>
      <c r="B2112" s="1">
        <f>IFERROR(__xludf.DUMMYFUNCTION("""COMPUTED_VALUE"""),18725.48496)</f>
        <v>18725.48496</v>
      </c>
    </row>
    <row r="2113">
      <c r="A2113" s="3">
        <f>IFERROR(__xludf.DUMMYFUNCTION("""COMPUTED_VALUE"""),42479.99861111111)</f>
        <v>42479.99861</v>
      </c>
      <c r="B2113" s="1">
        <f>IFERROR(__xludf.DUMMYFUNCTION("""COMPUTED_VALUE"""),18827.4825)</f>
        <v>18827.4825</v>
      </c>
    </row>
    <row r="2114">
      <c r="A2114" s="3">
        <f>IFERROR(__xludf.DUMMYFUNCTION("""COMPUTED_VALUE"""),42480.99861111111)</f>
        <v>42480.99861</v>
      </c>
      <c r="B2114" s="1">
        <f>IFERROR(__xludf.DUMMYFUNCTION("""COMPUTED_VALUE"""),18874.7776)</f>
        <v>18874.7776</v>
      </c>
    </row>
    <row r="2115">
      <c r="A2115" s="3">
        <f>IFERROR(__xludf.DUMMYFUNCTION("""COMPUTED_VALUE"""),42481.99861111111)</f>
        <v>42481.99861</v>
      </c>
      <c r="B2115" s="1">
        <f>IFERROR(__xludf.DUMMYFUNCTION("""COMPUTED_VALUE"""),18863.75292)</f>
        <v>18863.75292</v>
      </c>
    </row>
    <row r="2116">
      <c r="A2116" s="3">
        <f>IFERROR(__xludf.DUMMYFUNCTION("""COMPUTED_VALUE"""),42482.99861111111)</f>
        <v>42482.99861</v>
      </c>
      <c r="B2116" s="1">
        <f>IFERROR(__xludf.DUMMYFUNCTION("""COMPUTED_VALUE"""),19002.1195)</f>
        <v>19002.1195</v>
      </c>
    </row>
    <row r="2117">
      <c r="A2117" s="3">
        <f>IFERROR(__xludf.DUMMYFUNCTION("""COMPUTED_VALUE"""),42483.99861111111)</f>
        <v>42483.99861</v>
      </c>
      <c r="B2117" s="1">
        <f>IFERROR(__xludf.DUMMYFUNCTION("""COMPUTED_VALUE"""),19059.53238)</f>
        <v>19059.53238</v>
      </c>
    </row>
    <row r="2118">
      <c r="A2118" s="3">
        <f>IFERROR(__xludf.DUMMYFUNCTION("""COMPUTED_VALUE"""),42484.99861111111)</f>
        <v>42484.99861</v>
      </c>
      <c r="B2118" s="1">
        <f>IFERROR(__xludf.DUMMYFUNCTION("""COMPUTED_VALUE"""),19078.18952)</f>
        <v>19078.18952</v>
      </c>
    </row>
    <row r="2119">
      <c r="A2119" s="3">
        <f>IFERROR(__xludf.DUMMYFUNCTION("""COMPUTED_VALUE"""),42485.99861111111)</f>
        <v>42485.99861</v>
      </c>
      <c r="B2119" s="1">
        <f>IFERROR(__xludf.DUMMYFUNCTION("""COMPUTED_VALUE"""),19107.034)</f>
        <v>19107.034</v>
      </c>
    </row>
    <row r="2120">
      <c r="A2120" s="3">
        <f>IFERROR(__xludf.DUMMYFUNCTION("""COMPUTED_VALUE"""),42486.99861111111)</f>
        <v>42486.99861</v>
      </c>
      <c r="B2120" s="1">
        <f>IFERROR(__xludf.DUMMYFUNCTION("""COMPUTED_VALUE"""),19176.752)</f>
        <v>19176.752</v>
      </c>
    </row>
    <row r="2121">
      <c r="A2121" s="3">
        <f>IFERROR(__xludf.DUMMYFUNCTION("""COMPUTED_VALUE"""),42487.99861111111)</f>
        <v>42487.99861</v>
      </c>
      <c r="B2121" s="1">
        <f>IFERROR(__xludf.DUMMYFUNCTION("""COMPUTED_VALUE"""),19125.13365)</f>
        <v>19125.13365</v>
      </c>
    </row>
    <row r="2122">
      <c r="A2122" s="3">
        <f>IFERROR(__xludf.DUMMYFUNCTION("""COMPUTED_VALUE"""),42488.99861111111)</f>
        <v>42488.99861</v>
      </c>
      <c r="B2122" s="1">
        <f>IFERROR(__xludf.DUMMYFUNCTION("""COMPUTED_VALUE"""),19238.736)</f>
        <v>19238.736</v>
      </c>
    </row>
    <row r="2123">
      <c r="A2123" s="3">
        <f>IFERROR(__xludf.DUMMYFUNCTION("""COMPUTED_VALUE"""),42489.99861111111)</f>
        <v>42489.99861</v>
      </c>
      <c r="B2123" s="1">
        <f>IFERROR(__xludf.DUMMYFUNCTION("""COMPUTED_VALUE"""),19245.38125)</f>
        <v>19245.38125</v>
      </c>
    </row>
    <row r="2124">
      <c r="A2124" s="3">
        <f>IFERROR(__xludf.DUMMYFUNCTION("""COMPUTED_VALUE"""),42490.99861111111)</f>
        <v>42490.99861</v>
      </c>
      <c r="B2124" s="1">
        <f>IFERROR(__xludf.DUMMYFUNCTION("""COMPUTED_VALUE"""),19305.13784)</f>
        <v>19305.13784</v>
      </c>
    </row>
    <row r="2125">
      <c r="A2125" s="3">
        <f>IFERROR(__xludf.DUMMYFUNCTION("""COMPUTED_VALUE"""),42491.99861111111)</f>
        <v>42491.99861</v>
      </c>
      <c r="B2125" s="1">
        <f>IFERROR(__xludf.DUMMYFUNCTION("""COMPUTED_VALUE"""),19284.00179)</f>
        <v>19284.00179</v>
      </c>
    </row>
    <row r="2126">
      <c r="A2126" s="3">
        <f>IFERROR(__xludf.DUMMYFUNCTION("""COMPUTED_VALUE"""),42492.99861111111)</f>
        <v>42492.99861</v>
      </c>
      <c r="B2126" s="1">
        <f>IFERROR(__xludf.DUMMYFUNCTION("""COMPUTED_VALUE"""),19199.889)</f>
        <v>19199.889</v>
      </c>
    </row>
    <row r="2127">
      <c r="A2127" s="3">
        <f>IFERROR(__xludf.DUMMYFUNCTION("""COMPUTED_VALUE"""),42493.99861111111)</f>
        <v>42493.99861</v>
      </c>
      <c r="B2127" s="1">
        <f>IFERROR(__xludf.DUMMYFUNCTION("""COMPUTED_VALUE"""),19180.2195)</f>
        <v>19180.2195</v>
      </c>
    </row>
    <row r="2128">
      <c r="A2128" s="3">
        <f>IFERROR(__xludf.DUMMYFUNCTION("""COMPUTED_VALUE"""),42494.99861111111)</f>
        <v>42494.99861</v>
      </c>
      <c r="B2128" s="1">
        <f>IFERROR(__xludf.DUMMYFUNCTION("""COMPUTED_VALUE"""),19361.505)</f>
        <v>19361.505</v>
      </c>
    </row>
    <row r="2129">
      <c r="A2129" s="3">
        <f>IFERROR(__xludf.DUMMYFUNCTION("""COMPUTED_VALUE"""),42495.99861111111)</f>
        <v>42495.99861</v>
      </c>
      <c r="B2129" s="1">
        <f>IFERROR(__xludf.DUMMYFUNCTION("""COMPUTED_VALUE"""),19337.83915)</f>
        <v>19337.83915</v>
      </c>
    </row>
    <row r="2130">
      <c r="A2130" s="3">
        <f>IFERROR(__xludf.DUMMYFUNCTION("""COMPUTED_VALUE"""),42496.99861111111)</f>
        <v>42496.99861</v>
      </c>
      <c r="B2130" s="1">
        <f>IFERROR(__xludf.DUMMYFUNCTION("""COMPUTED_VALUE"""),19204.4666)</f>
        <v>19204.4666</v>
      </c>
    </row>
    <row r="2131">
      <c r="A2131" s="3">
        <f>IFERROR(__xludf.DUMMYFUNCTION("""COMPUTED_VALUE"""),42497.99861111111)</f>
        <v>42497.99861</v>
      </c>
      <c r="B2131" s="1">
        <f>IFERROR(__xludf.DUMMYFUNCTION("""COMPUTED_VALUE"""),19344.84426)</f>
        <v>19344.84426</v>
      </c>
    </row>
    <row r="2132">
      <c r="A2132" s="3">
        <f>IFERROR(__xludf.DUMMYFUNCTION("""COMPUTED_VALUE"""),42498.99861111111)</f>
        <v>42498.99861</v>
      </c>
      <c r="B2132" s="1">
        <f>IFERROR(__xludf.DUMMYFUNCTION("""COMPUTED_VALUE"""),19340.47429)</f>
        <v>19340.47429</v>
      </c>
    </row>
    <row r="2133">
      <c r="A2133" s="3">
        <f>IFERROR(__xludf.DUMMYFUNCTION("""COMPUTED_VALUE"""),42499.99861111111)</f>
        <v>42499.99861</v>
      </c>
      <c r="B2133" s="1">
        <f>IFERROR(__xludf.DUMMYFUNCTION("""COMPUTED_VALUE"""),19280.2701)</f>
        <v>19280.2701</v>
      </c>
    </row>
    <row r="2134">
      <c r="A2134" s="3">
        <f>IFERROR(__xludf.DUMMYFUNCTION("""COMPUTED_VALUE"""),42500.99861111111)</f>
        <v>42500.99861</v>
      </c>
      <c r="B2134" s="1">
        <f>IFERROR(__xludf.DUMMYFUNCTION("""COMPUTED_VALUE"""),19212.9504)</f>
        <v>19212.9504</v>
      </c>
    </row>
    <row r="2135">
      <c r="A2135" s="3">
        <f>IFERROR(__xludf.DUMMYFUNCTION("""COMPUTED_VALUE"""),42501.99861111111)</f>
        <v>42501.99861</v>
      </c>
      <c r="B2135" s="1">
        <f>IFERROR(__xludf.DUMMYFUNCTION("""COMPUTED_VALUE"""),19122.0445)</f>
        <v>19122.0445</v>
      </c>
    </row>
    <row r="2136">
      <c r="A2136" s="3">
        <f>IFERROR(__xludf.DUMMYFUNCTION("""COMPUTED_VALUE"""),42502.99861111111)</f>
        <v>42502.99861</v>
      </c>
      <c r="B2136" s="1">
        <f>IFERROR(__xludf.DUMMYFUNCTION("""COMPUTED_VALUE"""),19145.38945)</f>
        <v>19145.38945</v>
      </c>
    </row>
    <row r="2137">
      <c r="A2137" s="3">
        <f>IFERROR(__xludf.DUMMYFUNCTION("""COMPUTED_VALUE"""),42503.99861111111)</f>
        <v>42503.99861</v>
      </c>
      <c r="B2137" s="1">
        <f>IFERROR(__xludf.DUMMYFUNCTION("""COMPUTED_VALUE"""),19140.35244)</f>
        <v>19140.35244</v>
      </c>
    </row>
    <row r="2138">
      <c r="A2138" s="3">
        <f>IFERROR(__xludf.DUMMYFUNCTION("""COMPUTED_VALUE"""),42504.99861111111)</f>
        <v>42504.99861</v>
      </c>
      <c r="B2138" s="1">
        <f>IFERROR(__xludf.DUMMYFUNCTION("""COMPUTED_VALUE"""),19149.10187)</f>
        <v>19149.10187</v>
      </c>
    </row>
    <row r="2139">
      <c r="A2139" s="3">
        <f>IFERROR(__xludf.DUMMYFUNCTION("""COMPUTED_VALUE"""),42505.99861111111)</f>
        <v>42505.99861</v>
      </c>
      <c r="B2139" s="1">
        <f>IFERROR(__xludf.DUMMYFUNCTION("""COMPUTED_VALUE"""),19102.64987)</f>
        <v>19102.64987</v>
      </c>
    </row>
    <row r="2140">
      <c r="A2140" s="3">
        <f>IFERROR(__xludf.DUMMYFUNCTION("""COMPUTED_VALUE"""),42506.99861111111)</f>
        <v>42506.99861</v>
      </c>
      <c r="B2140" s="1">
        <f>IFERROR(__xludf.DUMMYFUNCTION("""COMPUTED_VALUE"""),19239.2748)</f>
        <v>19239.2748</v>
      </c>
    </row>
    <row r="2141">
      <c r="A2141" s="3">
        <f>IFERROR(__xludf.DUMMYFUNCTION("""COMPUTED_VALUE"""),42507.99861111111)</f>
        <v>42507.99861</v>
      </c>
      <c r="B2141" s="1">
        <f>IFERROR(__xludf.DUMMYFUNCTION("""COMPUTED_VALUE"""),19247.1736)</f>
        <v>19247.1736</v>
      </c>
    </row>
    <row r="2142">
      <c r="A2142" s="3">
        <f>IFERROR(__xludf.DUMMYFUNCTION("""COMPUTED_VALUE"""),42508.99861111111)</f>
        <v>42508.99861</v>
      </c>
      <c r="B2142" s="1">
        <f>IFERROR(__xludf.DUMMYFUNCTION("""COMPUTED_VALUE"""),19605.6955)</f>
        <v>19605.6955</v>
      </c>
    </row>
    <row r="2143">
      <c r="A2143" s="3">
        <f>IFERROR(__xludf.DUMMYFUNCTION("""COMPUTED_VALUE"""),42509.99861111111)</f>
        <v>42509.99861</v>
      </c>
      <c r="B2143" s="1">
        <f>IFERROR(__xludf.DUMMYFUNCTION("""COMPUTED_VALUE"""),19844.6215)</f>
        <v>19844.6215</v>
      </c>
    </row>
    <row r="2144">
      <c r="A2144" s="3">
        <f>IFERROR(__xludf.DUMMYFUNCTION("""COMPUTED_VALUE"""),42510.99861111111)</f>
        <v>42510.99861</v>
      </c>
      <c r="B2144" s="1">
        <f>IFERROR(__xludf.DUMMYFUNCTION("""COMPUTED_VALUE"""),19723.7127)</f>
        <v>19723.7127</v>
      </c>
    </row>
    <row r="2145">
      <c r="A2145" s="3">
        <f>IFERROR(__xludf.DUMMYFUNCTION("""COMPUTED_VALUE"""),42511.99861111111)</f>
        <v>42511.99861</v>
      </c>
      <c r="B2145" s="1">
        <f>IFERROR(__xludf.DUMMYFUNCTION("""COMPUTED_VALUE"""),19759.19791)</f>
        <v>19759.19791</v>
      </c>
    </row>
    <row r="2146">
      <c r="A2146" s="3">
        <f>IFERROR(__xludf.DUMMYFUNCTION("""COMPUTED_VALUE"""),42512.99861111111)</f>
        <v>42512.99861</v>
      </c>
      <c r="B2146" s="1">
        <f>IFERROR(__xludf.DUMMYFUNCTION("""COMPUTED_VALUE"""),19740.31509)</f>
        <v>19740.31509</v>
      </c>
    </row>
    <row r="2147">
      <c r="A2147" s="3">
        <f>IFERROR(__xludf.DUMMYFUNCTION("""COMPUTED_VALUE"""),42513.99861111111)</f>
        <v>42513.99861</v>
      </c>
      <c r="B2147" s="1">
        <f>IFERROR(__xludf.DUMMYFUNCTION("""COMPUTED_VALUE"""),19603.212)</f>
        <v>19603.212</v>
      </c>
    </row>
    <row r="2148">
      <c r="A2148" s="3">
        <f>IFERROR(__xludf.DUMMYFUNCTION("""COMPUTED_VALUE"""),42514.99861111111)</f>
        <v>42514.99861</v>
      </c>
      <c r="B2148" s="1">
        <f>IFERROR(__xludf.DUMMYFUNCTION("""COMPUTED_VALUE"""),19825.0915)</f>
        <v>19825.0915</v>
      </c>
    </row>
    <row r="2149">
      <c r="A2149" s="3">
        <f>IFERROR(__xludf.DUMMYFUNCTION("""COMPUTED_VALUE"""),42515.99861111111)</f>
        <v>42515.99861</v>
      </c>
      <c r="B2149" s="1">
        <f>IFERROR(__xludf.DUMMYFUNCTION("""COMPUTED_VALUE"""),19995.5952)</f>
        <v>19995.5952</v>
      </c>
    </row>
    <row r="2150">
      <c r="A2150" s="3">
        <f>IFERROR(__xludf.DUMMYFUNCTION("""COMPUTED_VALUE"""),42516.99861111111)</f>
        <v>42516.99861</v>
      </c>
      <c r="B2150" s="1">
        <f>IFERROR(__xludf.DUMMYFUNCTION("""COMPUTED_VALUE"""),19867.03419)</f>
        <v>19867.03419</v>
      </c>
    </row>
    <row r="2151">
      <c r="A2151" s="3">
        <f>IFERROR(__xludf.DUMMYFUNCTION("""COMPUTED_VALUE"""),42517.99861111111)</f>
        <v>42517.99861</v>
      </c>
      <c r="B2151" s="1">
        <f>IFERROR(__xludf.DUMMYFUNCTION("""COMPUTED_VALUE"""),19820.652)</f>
        <v>19820.652</v>
      </c>
    </row>
    <row r="2152">
      <c r="A2152" s="3">
        <f>IFERROR(__xludf.DUMMYFUNCTION("""COMPUTED_VALUE"""),42518.99861111111)</f>
        <v>42518.99861</v>
      </c>
      <c r="B2152" s="1">
        <f>IFERROR(__xludf.DUMMYFUNCTION("""COMPUTED_VALUE"""),20084.00552)</f>
        <v>20084.00552</v>
      </c>
    </row>
    <row r="2153">
      <c r="A2153" s="3">
        <f>IFERROR(__xludf.DUMMYFUNCTION("""COMPUTED_VALUE"""),42519.99861111111)</f>
        <v>42519.99861</v>
      </c>
      <c r="B2153" s="1">
        <f>IFERROR(__xludf.DUMMYFUNCTION("""COMPUTED_VALUE"""),20086.53299)</f>
        <v>20086.53299</v>
      </c>
    </row>
    <row r="2154">
      <c r="A2154" s="3">
        <f>IFERROR(__xludf.DUMMYFUNCTION("""COMPUTED_VALUE"""),42520.99861111111)</f>
        <v>42520.99861</v>
      </c>
      <c r="B2154" s="1">
        <f>IFERROR(__xludf.DUMMYFUNCTION("""COMPUTED_VALUE"""),19942.153)</f>
        <v>19942.153</v>
      </c>
    </row>
    <row r="2155">
      <c r="A2155" s="3">
        <f>IFERROR(__xludf.DUMMYFUNCTION("""COMPUTED_VALUE"""),42521.99861111111)</f>
        <v>42521.99861</v>
      </c>
      <c r="B2155" s="1">
        <f>IFERROR(__xludf.DUMMYFUNCTION("""COMPUTED_VALUE"""),19755.064)</f>
        <v>19755.064</v>
      </c>
    </row>
    <row r="2156">
      <c r="A2156" s="3">
        <f>IFERROR(__xludf.DUMMYFUNCTION("""COMPUTED_VALUE"""),42522.99861111111)</f>
        <v>42522.99861</v>
      </c>
      <c r="B2156" s="1">
        <f>IFERROR(__xludf.DUMMYFUNCTION("""COMPUTED_VALUE"""),19621.8092)</f>
        <v>19621.8092</v>
      </c>
    </row>
    <row r="2157">
      <c r="A2157" s="3">
        <f>IFERROR(__xludf.DUMMYFUNCTION("""COMPUTED_VALUE"""),42523.99861111111)</f>
        <v>42523.99861</v>
      </c>
      <c r="B2157" s="1">
        <f>IFERROR(__xludf.DUMMYFUNCTION("""COMPUTED_VALUE"""),19606.2938)</f>
        <v>19606.2938</v>
      </c>
    </row>
    <row r="2158">
      <c r="A2158" s="3">
        <f>IFERROR(__xludf.DUMMYFUNCTION("""COMPUTED_VALUE"""),42524.99861111111)</f>
        <v>42524.99861</v>
      </c>
      <c r="B2158" s="1">
        <f>IFERROR(__xludf.DUMMYFUNCTION("""COMPUTED_VALUE"""),19473.40922)</f>
        <v>19473.40922</v>
      </c>
    </row>
    <row r="2159">
      <c r="A2159" s="3">
        <f>IFERROR(__xludf.DUMMYFUNCTION("""COMPUTED_VALUE"""),42525.99861111111)</f>
        <v>42525.99861</v>
      </c>
      <c r="B2159" s="1">
        <f>IFERROR(__xludf.DUMMYFUNCTION("""COMPUTED_VALUE"""),19539.70361)</f>
        <v>19539.70361</v>
      </c>
    </row>
    <row r="2160">
      <c r="A2160" s="3">
        <f>IFERROR(__xludf.DUMMYFUNCTION("""COMPUTED_VALUE"""),42526.99861111111)</f>
        <v>42526.99861</v>
      </c>
      <c r="B2160" s="1">
        <f>IFERROR(__xludf.DUMMYFUNCTION("""COMPUTED_VALUE"""),19381.38874)</f>
        <v>19381.38874</v>
      </c>
    </row>
    <row r="2161">
      <c r="A2161" s="3">
        <f>IFERROR(__xludf.DUMMYFUNCTION("""COMPUTED_VALUE"""),42527.99861111111)</f>
        <v>42527.99861</v>
      </c>
      <c r="B2161" s="1">
        <f>IFERROR(__xludf.DUMMYFUNCTION("""COMPUTED_VALUE"""),19294.95708)</f>
        <v>19294.95708</v>
      </c>
    </row>
    <row r="2162">
      <c r="A2162" s="3">
        <f>IFERROR(__xludf.DUMMYFUNCTION("""COMPUTED_VALUE"""),42528.99861111111)</f>
        <v>42528.99861</v>
      </c>
      <c r="B2162" s="1">
        <f>IFERROR(__xludf.DUMMYFUNCTION("""COMPUTED_VALUE"""),19232.058)</f>
        <v>19232.058</v>
      </c>
    </row>
    <row r="2163">
      <c r="A2163" s="3">
        <f>IFERROR(__xludf.DUMMYFUNCTION("""COMPUTED_VALUE"""),42529.99861111111)</f>
        <v>42529.99861</v>
      </c>
      <c r="B2163" s="1">
        <f>IFERROR(__xludf.DUMMYFUNCTION("""COMPUTED_VALUE"""),19165.737)</f>
        <v>19165.737</v>
      </c>
    </row>
    <row r="2164">
      <c r="A2164" s="3">
        <f>IFERROR(__xludf.DUMMYFUNCTION("""COMPUTED_VALUE"""),42530.99861111111)</f>
        <v>42530.99861</v>
      </c>
      <c r="B2164" s="1">
        <f>IFERROR(__xludf.DUMMYFUNCTION("""COMPUTED_VALUE"""),19160.56)</f>
        <v>19160.56</v>
      </c>
    </row>
    <row r="2165">
      <c r="A2165" s="3">
        <f>IFERROR(__xludf.DUMMYFUNCTION("""COMPUTED_VALUE"""),42531.99861111111)</f>
        <v>42531.99861</v>
      </c>
      <c r="B2165" s="1">
        <f>IFERROR(__xludf.DUMMYFUNCTION("""COMPUTED_VALUE"""),18994.8804)</f>
        <v>18994.8804</v>
      </c>
    </row>
    <row r="2166">
      <c r="A2166" s="3">
        <f>IFERROR(__xludf.DUMMYFUNCTION("""COMPUTED_VALUE"""),42532.99861111111)</f>
        <v>42532.99861</v>
      </c>
      <c r="B2166" s="1">
        <f>IFERROR(__xludf.DUMMYFUNCTION("""COMPUTED_VALUE"""),19045.28013)</f>
        <v>19045.28013</v>
      </c>
    </row>
    <row r="2167">
      <c r="A2167" s="3">
        <f>IFERROR(__xludf.DUMMYFUNCTION("""COMPUTED_VALUE"""),42533.99861111111)</f>
        <v>42533.99861</v>
      </c>
      <c r="B2167" s="1">
        <f>IFERROR(__xludf.DUMMYFUNCTION("""COMPUTED_VALUE"""),18965.23502)</f>
        <v>18965.23502</v>
      </c>
    </row>
    <row r="2168">
      <c r="A2168" s="3">
        <f>IFERROR(__xludf.DUMMYFUNCTION("""COMPUTED_VALUE"""),42534.99861111111)</f>
        <v>42534.99861</v>
      </c>
      <c r="B2168" s="1">
        <f>IFERROR(__xludf.DUMMYFUNCTION("""COMPUTED_VALUE"""),18919.94951)</f>
        <v>18919.94951</v>
      </c>
    </row>
    <row r="2169">
      <c r="A2169" s="3">
        <f>IFERROR(__xludf.DUMMYFUNCTION("""COMPUTED_VALUE"""),42535.99861111111)</f>
        <v>42535.99861</v>
      </c>
      <c r="B2169" s="1">
        <f>IFERROR(__xludf.DUMMYFUNCTION("""COMPUTED_VALUE"""),18851.535)</f>
        <v>18851.535</v>
      </c>
    </row>
    <row r="2170">
      <c r="A2170" s="3">
        <f>IFERROR(__xludf.DUMMYFUNCTION("""COMPUTED_VALUE"""),42536.99861111111)</f>
        <v>42536.99861</v>
      </c>
      <c r="B2170" s="1">
        <f>IFERROR(__xludf.DUMMYFUNCTION("""COMPUTED_VALUE"""),18905.076)</f>
        <v>18905.076</v>
      </c>
    </row>
    <row r="2171">
      <c r="A2171" s="3">
        <f>IFERROR(__xludf.DUMMYFUNCTION("""COMPUTED_VALUE"""),42537.99861111111)</f>
        <v>42537.99861</v>
      </c>
      <c r="B2171" s="1">
        <f>IFERROR(__xludf.DUMMYFUNCTION("""COMPUTED_VALUE"""),19130.6019)</f>
        <v>19130.6019</v>
      </c>
    </row>
    <row r="2172">
      <c r="A2172" s="3">
        <f>IFERROR(__xludf.DUMMYFUNCTION("""COMPUTED_VALUE"""),42538.99861111111)</f>
        <v>42538.99861</v>
      </c>
      <c r="B2172" s="1">
        <f>IFERROR(__xludf.DUMMYFUNCTION("""COMPUTED_VALUE"""),19139.4192)</f>
        <v>19139.4192</v>
      </c>
    </row>
    <row r="2173">
      <c r="A2173" s="3">
        <f>IFERROR(__xludf.DUMMYFUNCTION("""COMPUTED_VALUE"""),42539.99861111111)</f>
        <v>42539.99861</v>
      </c>
      <c r="B2173" s="1">
        <f>IFERROR(__xludf.DUMMYFUNCTION("""COMPUTED_VALUE"""),19147.99521)</f>
        <v>19147.99521</v>
      </c>
    </row>
    <row r="2174">
      <c r="A2174" s="3">
        <f>IFERROR(__xludf.DUMMYFUNCTION("""COMPUTED_VALUE"""),42540.99861111111)</f>
        <v>42540.99861</v>
      </c>
      <c r="B2174" s="1">
        <f>IFERROR(__xludf.DUMMYFUNCTION("""COMPUTED_VALUE"""),19443.4618)</f>
        <v>19443.4618</v>
      </c>
    </row>
    <row r="2175">
      <c r="A2175" s="3">
        <f>IFERROR(__xludf.DUMMYFUNCTION("""COMPUTED_VALUE"""),42541.99861111111)</f>
        <v>42541.99861</v>
      </c>
      <c r="B2175" s="1">
        <f>IFERROR(__xludf.DUMMYFUNCTION("""COMPUTED_VALUE"""),19439.075)</f>
        <v>19439.075</v>
      </c>
    </row>
    <row r="2176">
      <c r="A2176" s="3">
        <f>IFERROR(__xludf.DUMMYFUNCTION("""COMPUTED_VALUE"""),42542.99861111111)</f>
        <v>42542.99861</v>
      </c>
      <c r="B2176" s="1">
        <f>IFERROR(__xludf.DUMMYFUNCTION("""COMPUTED_VALUE"""),19438.59005)</f>
        <v>19438.59005</v>
      </c>
    </row>
    <row r="2177">
      <c r="A2177" s="3">
        <f>IFERROR(__xludf.DUMMYFUNCTION("""COMPUTED_VALUE"""),42543.99861111111)</f>
        <v>42543.99861</v>
      </c>
      <c r="B2177" s="1">
        <f>IFERROR(__xludf.DUMMYFUNCTION("""COMPUTED_VALUE"""),19504.849)</f>
        <v>19504.849</v>
      </c>
    </row>
    <row r="2178">
      <c r="A2178" s="3">
        <f>IFERROR(__xludf.DUMMYFUNCTION("""COMPUTED_VALUE"""),42544.99861111111)</f>
        <v>42544.99861</v>
      </c>
      <c r="B2178" s="1">
        <f>IFERROR(__xludf.DUMMYFUNCTION("""COMPUTED_VALUE"""),19279.545)</f>
        <v>19279.545</v>
      </c>
    </row>
    <row r="2179">
      <c r="A2179" s="3">
        <f>IFERROR(__xludf.DUMMYFUNCTION("""COMPUTED_VALUE"""),42545.99861111111)</f>
        <v>42545.99861</v>
      </c>
      <c r="B2179" s="1">
        <f>IFERROR(__xludf.DUMMYFUNCTION("""COMPUTED_VALUE"""),18295.6625)</f>
        <v>18295.6625</v>
      </c>
    </row>
    <row r="2180">
      <c r="A2180" s="3">
        <f>IFERROR(__xludf.DUMMYFUNCTION("""COMPUTED_VALUE"""),42546.99861111111)</f>
        <v>42546.99861</v>
      </c>
      <c r="B2180" s="1">
        <f>IFERROR(__xludf.DUMMYFUNCTION("""COMPUTED_VALUE"""),18439.25999)</f>
        <v>18439.25999</v>
      </c>
    </row>
    <row r="2181">
      <c r="A2181" s="3">
        <f>IFERROR(__xludf.DUMMYFUNCTION("""COMPUTED_VALUE"""),42547.99861111111)</f>
        <v>42547.99861</v>
      </c>
      <c r="B2181" s="1">
        <f>IFERROR(__xludf.DUMMYFUNCTION("""COMPUTED_VALUE"""),18291.42564)</f>
        <v>18291.42564</v>
      </c>
    </row>
    <row r="2182">
      <c r="A2182" s="3">
        <f>IFERROR(__xludf.DUMMYFUNCTION("""COMPUTED_VALUE"""),42548.99861111111)</f>
        <v>42548.99861</v>
      </c>
      <c r="B2182" s="1">
        <f>IFERROR(__xludf.DUMMYFUNCTION("""COMPUTED_VALUE"""),17709.6935)</f>
        <v>17709.6935</v>
      </c>
    </row>
    <row r="2183">
      <c r="A2183" s="3">
        <f>IFERROR(__xludf.DUMMYFUNCTION("""COMPUTED_VALUE"""),42549.99861111111)</f>
        <v>42549.99861</v>
      </c>
      <c r="B2183" s="1">
        <f>IFERROR(__xludf.DUMMYFUNCTION("""COMPUTED_VALUE"""),17563.336)</f>
        <v>17563.336</v>
      </c>
    </row>
    <row r="2184">
      <c r="A2184" s="3">
        <f>IFERROR(__xludf.DUMMYFUNCTION("""COMPUTED_VALUE"""),42550.99861111111)</f>
        <v>42550.99861</v>
      </c>
      <c r="B2184" s="1">
        <f>IFERROR(__xludf.DUMMYFUNCTION("""COMPUTED_VALUE"""),17687.32763)</f>
        <v>17687.32763</v>
      </c>
    </row>
    <row r="2185">
      <c r="A2185" s="3">
        <f>IFERROR(__xludf.DUMMYFUNCTION("""COMPUTED_VALUE"""),42551.99861111111)</f>
        <v>42551.99861</v>
      </c>
      <c r="B2185" s="1">
        <f>IFERROR(__xludf.DUMMYFUNCTION("""COMPUTED_VALUE"""),17557.0348)</f>
        <v>17557.0348</v>
      </c>
    </row>
    <row r="2186">
      <c r="A2186" s="3">
        <f>IFERROR(__xludf.DUMMYFUNCTION("""COMPUTED_VALUE"""),42552.99861111111)</f>
        <v>42552.99861</v>
      </c>
      <c r="B2186" s="1">
        <f>IFERROR(__xludf.DUMMYFUNCTION("""COMPUTED_VALUE"""),17393.113)</f>
        <v>17393.113</v>
      </c>
    </row>
    <row r="2187">
      <c r="A2187" s="3">
        <f>IFERROR(__xludf.DUMMYFUNCTION("""COMPUTED_VALUE"""),42553.99861111111)</f>
        <v>42553.99861</v>
      </c>
      <c r="B2187" s="1">
        <f>IFERROR(__xludf.DUMMYFUNCTION("""COMPUTED_VALUE"""),17404.18677)</f>
        <v>17404.18677</v>
      </c>
    </row>
    <row r="2188">
      <c r="A2188" s="3">
        <f>IFERROR(__xludf.DUMMYFUNCTION("""COMPUTED_VALUE"""),42554.99861111111)</f>
        <v>42554.99861</v>
      </c>
      <c r="B2188" s="1">
        <f>IFERROR(__xludf.DUMMYFUNCTION("""COMPUTED_VALUE"""),17427.8088)</f>
        <v>17427.8088</v>
      </c>
    </row>
    <row r="2189">
      <c r="A2189" s="3">
        <f>IFERROR(__xludf.DUMMYFUNCTION("""COMPUTED_VALUE"""),42555.99861111111)</f>
        <v>42555.99861</v>
      </c>
      <c r="B2189" s="1">
        <f>IFERROR(__xludf.DUMMYFUNCTION("""COMPUTED_VALUE"""),17341.068)</f>
        <v>17341.068</v>
      </c>
    </row>
    <row r="2190">
      <c r="A2190" s="3">
        <f>IFERROR(__xludf.DUMMYFUNCTION("""COMPUTED_VALUE"""),42556.99861111111)</f>
        <v>42556.99861</v>
      </c>
      <c r="B2190" s="1">
        <f>IFERROR(__xludf.DUMMYFUNCTION("""COMPUTED_VALUE"""),17044.832)</f>
        <v>17044.832</v>
      </c>
    </row>
    <row r="2191">
      <c r="A2191" s="3">
        <f>IFERROR(__xludf.DUMMYFUNCTION("""COMPUTED_VALUE"""),42557.99861111111)</f>
        <v>42557.99861</v>
      </c>
      <c r="B2191" s="1">
        <f>IFERROR(__xludf.DUMMYFUNCTION("""COMPUTED_VALUE"""),17072.01792)</f>
        <v>17072.01792</v>
      </c>
    </row>
    <row r="2192">
      <c r="A2192" s="3">
        <f>IFERROR(__xludf.DUMMYFUNCTION("""COMPUTED_VALUE"""),42558.99861111111)</f>
        <v>42558.99861</v>
      </c>
      <c r="B2192" s="1">
        <f>IFERROR(__xludf.DUMMYFUNCTION("""COMPUTED_VALUE"""),16916.685)</f>
        <v>16916.685</v>
      </c>
    </row>
    <row r="2193">
      <c r="A2193" s="3">
        <f>IFERROR(__xludf.DUMMYFUNCTION("""COMPUTED_VALUE"""),42559.99861111111)</f>
        <v>42559.99861</v>
      </c>
      <c r="B2193" s="1">
        <f>IFERROR(__xludf.DUMMYFUNCTION("""COMPUTED_VALUE"""),16965.733)</f>
        <v>16965.733</v>
      </c>
    </row>
    <row r="2194">
      <c r="A2194" s="3">
        <f>IFERROR(__xludf.DUMMYFUNCTION("""COMPUTED_VALUE"""),42560.99861111111)</f>
        <v>42560.99861</v>
      </c>
      <c r="B2194" s="1">
        <f>IFERROR(__xludf.DUMMYFUNCTION("""COMPUTED_VALUE"""),17011.82076)</f>
        <v>17011.82076</v>
      </c>
    </row>
    <row r="2195">
      <c r="A2195" s="3">
        <f>IFERROR(__xludf.DUMMYFUNCTION("""COMPUTED_VALUE"""),42561.99861111111)</f>
        <v>42561.99861</v>
      </c>
      <c r="B2195" s="1">
        <f>IFERROR(__xludf.DUMMYFUNCTION("""COMPUTED_VALUE"""),17007.61576)</f>
        <v>17007.61576</v>
      </c>
    </row>
    <row r="2196">
      <c r="A2196" s="3">
        <f>IFERROR(__xludf.DUMMYFUNCTION("""COMPUTED_VALUE"""),42562.99861111111)</f>
        <v>42562.99861</v>
      </c>
      <c r="B2196" s="1">
        <f>IFERROR(__xludf.DUMMYFUNCTION("""COMPUTED_VALUE"""),17029.4976)</f>
        <v>17029.4976</v>
      </c>
    </row>
    <row r="2197">
      <c r="A2197" s="3">
        <f>IFERROR(__xludf.DUMMYFUNCTION("""COMPUTED_VALUE"""),42563.99861111111)</f>
        <v>42563.99861</v>
      </c>
      <c r="B2197" s="1">
        <f>IFERROR(__xludf.DUMMYFUNCTION("""COMPUTED_VALUE"""),17358.6315)</f>
        <v>17358.6315</v>
      </c>
    </row>
    <row r="2198">
      <c r="A2198" s="3">
        <f>IFERROR(__xludf.DUMMYFUNCTION("""COMPUTED_VALUE"""),42564.99861111111)</f>
        <v>42564.99861</v>
      </c>
      <c r="B2198" s="1">
        <f>IFERROR(__xludf.DUMMYFUNCTION("""COMPUTED_VALUE"""),17070.60415)</f>
        <v>17070.60415</v>
      </c>
    </row>
    <row r="2199">
      <c r="A2199" s="3">
        <f>IFERROR(__xludf.DUMMYFUNCTION("""COMPUTED_VALUE"""),42565.99861111111)</f>
        <v>42565.99861</v>
      </c>
      <c r="B2199" s="1">
        <f>IFERROR(__xludf.DUMMYFUNCTION("""COMPUTED_VALUE"""),17385.7362)</f>
        <v>17385.7362</v>
      </c>
    </row>
    <row r="2200">
      <c r="A2200" s="3">
        <f>IFERROR(__xludf.DUMMYFUNCTION("""COMPUTED_VALUE"""),42566.99861111111)</f>
        <v>42566.99861</v>
      </c>
      <c r="B2200" s="1">
        <f>IFERROR(__xludf.DUMMYFUNCTION("""COMPUTED_VALUE"""),17230.0842)</f>
        <v>17230.0842</v>
      </c>
    </row>
    <row r="2201">
      <c r="A2201" s="3">
        <f>IFERROR(__xludf.DUMMYFUNCTION("""COMPUTED_VALUE"""),42567.99861111111)</f>
        <v>42567.99861</v>
      </c>
      <c r="B2201" s="1">
        <f>IFERROR(__xludf.DUMMYFUNCTION("""COMPUTED_VALUE"""),17353.94112)</f>
        <v>17353.94112</v>
      </c>
    </row>
    <row r="2202">
      <c r="A2202" s="3">
        <f>IFERROR(__xludf.DUMMYFUNCTION("""COMPUTED_VALUE"""),42568.99861111111)</f>
        <v>42568.99861</v>
      </c>
      <c r="B2202" s="1">
        <f>IFERROR(__xludf.DUMMYFUNCTION("""COMPUTED_VALUE"""),17403.54636)</f>
        <v>17403.54636</v>
      </c>
    </row>
    <row r="2203">
      <c r="A2203" s="3">
        <f>IFERROR(__xludf.DUMMYFUNCTION("""COMPUTED_VALUE"""),42569.99861111111)</f>
        <v>42569.99861</v>
      </c>
      <c r="B2203" s="1">
        <f>IFERROR(__xludf.DUMMYFUNCTION("""COMPUTED_VALUE"""),17348.22856)</f>
        <v>17348.22856</v>
      </c>
    </row>
    <row r="2204">
      <c r="A2204" s="3">
        <f>IFERROR(__xludf.DUMMYFUNCTION("""COMPUTED_VALUE"""),42570.99861111111)</f>
        <v>42570.99861</v>
      </c>
      <c r="B2204" s="1">
        <f>IFERROR(__xludf.DUMMYFUNCTION("""COMPUTED_VALUE"""),17158.90022)</f>
        <v>17158.90022</v>
      </c>
    </row>
    <row r="2205">
      <c r="A2205" s="3">
        <f>IFERROR(__xludf.DUMMYFUNCTION("""COMPUTED_VALUE"""),42571.99861111111)</f>
        <v>42571.99861</v>
      </c>
      <c r="B2205" s="1">
        <f>IFERROR(__xludf.DUMMYFUNCTION("""COMPUTED_VALUE"""),17374.0848)</f>
        <v>17374.0848</v>
      </c>
    </row>
    <row r="2206">
      <c r="A2206" s="3">
        <f>IFERROR(__xludf.DUMMYFUNCTION("""COMPUTED_VALUE"""),42572.99861111111)</f>
        <v>42572.99861</v>
      </c>
      <c r="B2206" s="1">
        <f>IFERROR(__xludf.DUMMYFUNCTION("""COMPUTED_VALUE"""),17356.60402)</f>
        <v>17356.60402</v>
      </c>
    </row>
    <row r="2207">
      <c r="A2207" s="3">
        <f>IFERROR(__xludf.DUMMYFUNCTION("""COMPUTED_VALUE"""),42573.99861111111)</f>
        <v>42573.99861</v>
      </c>
      <c r="B2207" s="1">
        <f>IFERROR(__xludf.DUMMYFUNCTION("""COMPUTED_VALUE"""),17192.97882)</f>
        <v>17192.97882</v>
      </c>
    </row>
    <row r="2208">
      <c r="A2208" s="3">
        <f>IFERROR(__xludf.DUMMYFUNCTION("""COMPUTED_VALUE"""),42574.99861111111)</f>
        <v>42574.99861</v>
      </c>
      <c r="B2208" s="1">
        <f>IFERROR(__xludf.DUMMYFUNCTION("""COMPUTED_VALUE"""),17211.62785)</f>
        <v>17211.62785</v>
      </c>
    </row>
    <row r="2209">
      <c r="A2209" s="3">
        <f>IFERROR(__xludf.DUMMYFUNCTION("""COMPUTED_VALUE"""),42575.99861111111)</f>
        <v>42575.99861</v>
      </c>
      <c r="B2209" s="1">
        <f>IFERROR(__xludf.DUMMYFUNCTION("""COMPUTED_VALUE"""),17226.62784)</f>
        <v>17226.62784</v>
      </c>
    </row>
    <row r="2210">
      <c r="A2210" s="3">
        <f>IFERROR(__xludf.DUMMYFUNCTION("""COMPUTED_VALUE"""),42576.99861111111)</f>
        <v>42576.99861</v>
      </c>
      <c r="B2210" s="1">
        <f>IFERROR(__xludf.DUMMYFUNCTION("""COMPUTED_VALUE"""),17160.2118)</f>
        <v>17160.2118</v>
      </c>
    </row>
    <row r="2211">
      <c r="A2211" s="3">
        <f>IFERROR(__xludf.DUMMYFUNCTION("""COMPUTED_VALUE"""),42577.99861111111)</f>
        <v>42577.99861</v>
      </c>
      <c r="B2211" s="1">
        <f>IFERROR(__xludf.DUMMYFUNCTION("""COMPUTED_VALUE"""),17307.63514)</f>
        <v>17307.63514</v>
      </c>
    </row>
    <row r="2212">
      <c r="A2212" s="3">
        <f>IFERROR(__xludf.DUMMYFUNCTION("""COMPUTED_VALUE"""),42578.99861111111)</f>
        <v>42578.99861</v>
      </c>
      <c r="B2212" s="1">
        <f>IFERROR(__xludf.DUMMYFUNCTION("""COMPUTED_VALUE"""),17334.81006)</f>
        <v>17334.81006</v>
      </c>
    </row>
    <row r="2213">
      <c r="A2213" s="3">
        <f>IFERROR(__xludf.DUMMYFUNCTION("""COMPUTED_VALUE"""),42579.99861111111)</f>
        <v>42579.99861</v>
      </c>
      <c r="B2213" s="1">
        <f>IFERROR(__xludf.DUMMYFUNCTION("""COMPUTED_VALUE"""),17181.32466)</f>
        <v>17181.32466</v>
      </c>
    </row>
    <row r="2214">
      <c r="A2214" s="3">
        <f>IFERROR(__xludf.DUMMYFUNCTION("""COMPUTED_VALUE"""),42580.99861111111)</f>
        <v>42580.99861</v>
      </c>
      <c r="B2214" s="1">
        <f>IFERROR(__xludf.DUMMYFUNCTION("""COMPUTED_VALUE"""),17222.856)</f>
        <v>17222.856</v>
      </c>
    </row>
    <row r="2215">
      <c r="A2215" s="3">
        <f>IFERROR(__xludf.DUMMYFUNCTION("""COMPUTED_VALUE"""),42581.99861111111)</f>
        <v>42581.99861</v>
      </c>
      <c r="B2215" s="1">
        <f>IFERROR(__xludf.DUMMYFUNCTION("""COMPUTED_VALUE"""),17359.56738)</f>
        <v>17359.56738</v>
      </c>
    </row>
    <row r="2216">
      <c r="A2216" s="3">
        <f>IFERROR(__xludf.DUMMYFUNCTION("""COMPUTED_VALUE"""),42582.99861111111)</f>
        <v>42582.99861</v>
      </c>
      <c r="B2216" s="1">
        <f>IFERROR(__xludf.DUMMYFUNCTION("""COMPUTED_VALUE"""),17340.40728)</f>
        <v>17340.40728</v>
      </c>
    </row>
    <row r="2217">
      <c r="A2217" s="3">
        <f>IFERROR(__xludf.DUMMYFUNCTION("""COMPUTED_VALUE"""),42583.99861111111)</f>
        <v>42583.99861</v>
      </c>
      <c r="B2217" s="1">
        <f>IFERROR(__xludf.DUMMYFUNCTION("""COMPUTED_VALUE"""),17148.8713)</f>
        <v>17148.8713</v>
      </c>
    </row>
    <row r="2218">
      <c r="A2218" s="3">
        <f>IFERROR(__xludf.DUMMYFUNCTION("""COMPUTED_VALUE"""),42584.99861111111)</f>
        <v>42584.99861</v>
      </c>
      <c r="B2218" s="1">
        <f>IFERROR(__xludf.DUMMYFUNCTION("""COMPUTED_VALUE"""),17459.09844)</f>
        <v>17459.09844</v>
      </c>
    </row>
    <row r="2219">
      <c r="A2219" s="3">
        <f>IFERROR(__xludf.DUMMYFUNCTION("""COMPUTED_VALUE"""),42585.99861111111)</f>
        <v>42585.99861</v>
      </c>
      <c r="B2219" s="1">
        <f>IFERROR(__xludf.DUMMYFUNCTION("""COMPUTED_VALUE"""),17508.5244)</f>
        <v>17508.5244</v>
      </c>
    </row>
    <row r="2220">
      <c r="A2220" s="3">
        <f>IFERROR(__xludf.DUMMYFUNCTION("""COMPUTED_VALUE"""),42586.99861111111)</f>
        <v>42586.99861</v>
      </c>
      <c r="B2220" s="1">
        <f>IFERROR(__xludf.DUMMYFUNCTION("""COMPUTED_VALUE"""),17198.47368)</f>
        <v>17198.47368</v>
      </c>
    </row>
    <row r="2221">
      <c r="A2221" s="3">
        <f>IFERROR(__xludf.DUMMYFUNCTION("""COMPUTED_VALUE"""),42587.99861111111)</f>
        <v>42587.99861</v>
      </c>
      <c r="B2221" s="1">
        <f>IFERROR(__xludf.DUMMYFUNCTION("""COMPUTED_VALUE"""),17151.7662)</f>
        <v>17151.7662</v>
      </c>
    </row>
    <row r="2222">
      <c r="A2222" s="3">
        <f>IFERROR(__xludf.DUMMYFUNCTION("""COMPUTED_VALUE"""),42588.99861111111)</f>
        <v>42588.99861</v>
      </c>
      <c r="B2222" s="1">
        <f>IFERROR(__xludf.DUMMYFUNCTION("""COMPUTED_VALUE"""),17179.94159)</f>
        <v>17179.94159</v>
      </c>
    </row>
    <row r="2223">
      <c r="A2223" s="3">
        <f>IFERROR(__xludf.DUMMYFUNCTION("""COMPUTED_VALUE"""),42589.99861111111)</f>
        <v>42589.99861</v>
      </c>
      <c r="B2223" s="1">
        <f>IFERROR(__xludf.DUMMYFUNCTION("""COMPUTED_VALUE"""),17193.02963)</f>
        <v>17193.02963</v>
      </c>
    </row>
    <row r="2224">
      <c r="A2224" s="3">
        <f>IFERROR(__xludf.DUMMYFUNCTION("""COMPUTED_VALUE"""),42590.99861111111)</f>
        <v>42590.99861</v>
      </c>
      <c r="B2224" s="1">
        <f>IFERROR(__xludf.DUMMYFUNCTION("""COMPUTED_VALUE"""),17077.3876)</f>
        <v>17077.3876</v>
      </c>
    </row>
    <row r="2225">
      <c r="A2225" s="3">
        <f>IFERROR(__xludf.DUMMYFUNCTION("""COMPUTED_VALUE"""),42591.99861111111)</f>
        <v>42591.99861</v>
      </c>
      <c r="B2225" s="1">
        <f>IFERROR(__xludf.DUMMYFUNCTION("""COMPUTED_VALUE"""),17036.27838)</f>
        <v>17036.27838</v>
      </c>
    </row>
    <row r="2226">
      <c r="A2226" s="3">
        <f>IFERROR(__xludf.DUMMYFUNCTION("""COMPUTED_VALUE"""),42592.99861111111)</f>
        <v>42592.99861</v>
      </c>
      <c r="B2226" s="1">
        <f>IFERROR(__xludf.DUMMYFUNCTION("""COMPUTED_VALUE"""),17030.1411)</f>
        <v>17030.1411</v>
      </c>
    </row>
    <row r="2227">
      <c r="A2227" s="3">
        <f>IFERROR(__xludf.DUMMYFUNCTION("""COMPUTED_VALUE"""),42593.99861111111)</f>
        <v>42593.99861</v>
      </c>
      <c r="B2227" s="1">
        <f>IFERROR(__xludf.DUMMYFUNCTION("""COMPUTED_VALUE"""),16963.48176)</f>
        <v>16963.48176</v>
      </c>
    </row>
    <row r="2228">
      <c r="A2228" s="3">
        <f>IFERROR(__xludf.DUMMYFUNCTION("""COMPUTED_VALUE"""),42594.99861111111)</f>
        <v>42594.99861</v>
      </c>
      <c r="B2228" s="1">
        <f>IFERROR(__xludf.DUMMYFUNCTION("""COMPUTED_VALUE"""),16933.90538)</f>
        <v>16933.90538</v>
      </c>
    </row>
    <row r="2229">
      <c r="A2229" s="3">
        <f>IFERROR(__xludf.DUMMYFUNCTION("""COMPUTED_VALUE"""),42595.99861111111)</f>
        <v>42595.99861</v>
      </c>
      <c r="B2229" s="1">
        <f>IFERROR(__xludf.DUMMYFUNCTION("""COMPUTED_VALUE"""),16957.63853)</f>
        <v>16957.63853</v>
      </c>
    </row>
    <row r="2230">
      <c r="A2230" s="3">
        <f>IFERROR(__xludf.DUMMYFUNCTION("""COMPUTED_VALUE"""),42596.99861111111)</f>
        <v>42596.99861</v>
      </c>
      <c r="B2230" s="1">
        <f>IFERROR(__xludf.DUMMYFUNCTION("""COMPUTED_VALUE"""),16917.2248)</f>
        <v>16917.2248</v>
      </c>
    </row>
    <row r="2231">
      <c r="A2231" s="3">
        <f>IFERROR(__xludf.DUMMYFUNCTION("""COMPUTED_VALUE"""),42597.99861111111)</f>
        <v>42597.99861</v>
      </c>
      <c r="B2231" s="1">
        <f>IFERROR(__xludf.DUMMYFUNCTION("""COMPUTED_VALUE"""),16824.63972)</f>
        <v>16824.63972</v>
      </c>
    </row>
    <row r="2232">
      <c r="A2232" s="3">
        <f>IFERROR(__xludf.DUMMYFUNCTION("""COMPUTED_VALUE"""),42598.99861111111)</f>
        <v>42598.99861</v>
      </c>
      <c r="B2232" s="1">
        <f>IFERROR(__xludf.DUMMYFUNCTION("""COMPUTED_VALUE"""),17084.28855)</f>
        <v>17084.28855</v>
      </c>
    </row>
    <row r="2233">
      <c r="A2233" s="3">
        <f>IFERROR(__xludf.DUMMYFUNCTION("""COMPUTED_VALUE"""),42599.99861111111)</f>
        <v>42599.99861</v>
      </c>
      <c r="B2233" s="1">
        <f>IFERROR(__xludf.DUMMYFUNCTION("""COMPUTED_VALUE"""),17105.3699)</f>
        <v>17105.3699</v>
      </c>
    </row>
    <row r="2234">
      <c r="A2234" s="3">
        <f>IFERROR(__xludf.DUMMYFUNCTION("""COMPUTED_VALUE"""),42600.99861111111)</f>
        <v>42600.99861</v>
      </c>
      <c r="B2234" s="1">
        <f>IFERROR(__xludf.DUMMYFUNCTION("""COMPUTED_VALUE"""),17252.88599)</f>
        <v>17252.88599</v>
      </c>
    </row>
    <row r="2235">
      <c r="A2235" s="3">
        <f>IFERROR(__xludf.DUMMYFUNCTION("""COMPUTED_VALUE"""),42601.99861111111)</f>
        <v>42601.99861</v>
      </c>
      <c r="B2235" s="1">
        <f>IFERROR(__xludf.DUMMYFUNCTION("""COMPUTED_VALUE"""),17180.1558)</f>
        <v>17180.1558</v>
      </c>
    </row>
    <row r="2236">
      <c r="A2236" s="3">
        <f>IFERROR(__xludf.DUMMYFUNCTION("""COMPUTED_VALUE"""),42602.99861111111)</f>
        <v>42602.99861</v>
      </c>
      <c r="B2236" s="1">
        <f>IFERROR(__xludf.DUMMYFUNCTION("""COMPUTED_VALUE"""),17231.75156)</f>
        <v>17231.75156</v>
      </c>
    </row>
    <row r="2237">
      <c r="A2237" s="3">
        <f>IFERROR(__xludf.DUMMYFUNCTION("""COMPUTED_VALUE"""),42603.99861111111)</f>
        <v>42603.99861</v>
      </c>
      <c r="B2237" s="1">
        <f>IFERROR(__xludf.DUMMYFUNCTION("""COMPUTED_VALUE"""),17204.52555)</f>
        <v>17204.52555</v>
      </c>
    </row>
    <row r="2238">
      <c r="A2238" s="3">
        <f>IFERROR(__xludf.DUMMYFUNCTION("""COMPUTED_VALUE"""),42604.99861111111)</f>
        <v>42604.99861</v>
      </c>
      <c r="B2238" s="1">
        <f>IFERROR(__xludf.DUMMYFUNCTION("""COMPUTED_VALUE"""),17346.19089)</f>
        <v>17346.19089</v>
      </c>
    </row>
    <row r="2239">
      <c r="A2239" s="3">
        <f>IFERROR(__xludf.DUMMYFUNCTION("""COMPUTED_VALUE"""),42605.99861111111)</f>
        <v>42605.99861</v>
      </c>
      <c r="B2239" s="1">
        <f>IFERROR(__xludf.DUMMYFUNCTION("""COMPUTED_VALUE"""),17458.2928)</f>
        <v>17458.2928</v>
      </c>
    </row>
    <row r="2240">
      <c r="A2240" s="3">
        <f>IFERROR(__xludf.DUMMYFUNCTION("""COMPUTED_VALUE"""),42606.99861111111)</f>
        <v>42606.99861</v>
      </c>
      <c r="B2240" s="1">
        <f>IFERROR(__xludf.DUMMYFUNCTION("""COMPUTED_VALUE"""),17546.963)</f>
        <v>17546.963</v>
      </c>
    </row>
    <row r="2241">
      <c r="A2241" s="3">
        <f>IFERROR(__xludf.DUMMYFUNCTION("""COMPUTED_VALUE"""),42607.99861111111)</f>
        <v>42607.99861</v>
      </c>
      <c r="B2241" s="1">
        <f>IFERROR(__xludf.DUMMYFUNCTION("""COMPUTED_VALUE"""),17474.65304)</f>
        <v>17474.65304</v>
      </c>
    </row>
    <row r="2242">
      <c r="A2242" s="3">
        <f>IFERROR(__xludf.DUMMYFUNCTION("""COMPUTED_VALUE"""),42608.99861111111)</f>
        <v>42608.99861</v>
      </c>
      <c r="B2242" s="1">
        <f>IFERROR(__xludf.DUMMYFUNCTION("""COMPUTED_VALUE"""),17464.3278)</f>
        <v>17464.3278</v>
      </c>
    </row>
    <row r="2243">
      <c r="A2243" s="3">
        <f>IFERROR(__xludf.DUMMYFUNCTION("""COMPUTED_VALUE"""),42609.99861111111)</f>
        <v>42609.99861</v>
      </c>
      <c r="B2243" s="1">
        <f>IFERROR(__xludf.DUMMYFUNCTION("""COMPUTED_VALUE"""),17492.6643)</f>
        <v>17492.6643</v>
      </c>
    </row>
    <row r="2244">
      <c r="A2244" s="3">
        <f>IFERROR(__xludf.DUMMYFUNCTION("""COMPUTED_VALUE"""),42610.99861111111)</f>
        <v>42610.99861</v>
      </c>
      <c r="B2244" s="1">
        <f>IFERROR(__xludf.DUMMYFUNCTION("""COMPUTED_VALUE"""),17473.368)</f>
        <v>17473.368</v>
      </c>
    </row>
    <row r="2245">
      <c r="A2245" s="3">
        <f>IFERROR(__xludf.DUMMYFUNCTION("""COMPUTED_VALUE"""),42611.99861111111)</f>
        <v>42611.99861</v>
      </c>
      <c r="B2245" s="1">
        <f>IFERROR(__xludf.DUMMYFUNCTION("""COMPUTED_VALUE"""),17364.1536)</f>
        <v>17364.1536</v>
      </c>
    </row>
    <row r="2246">
      <c r="A2246" s="3">
        <f>IFERROR(__xludf.DUMMYFUNCTION("""COMPUTED_VALUE"""),42612.99861111111)</f>
        <v>42612.99861</v>
      </c>
      <c r="B2246" s="1">
        <f>IFERROR(__xludf.DUMMYFUNCTION("""COMPUTED_VALUE"""),17388.37681)</f>
        <v>17388.37681</v>
      </c>
    </row>
    <row r="2247">
      <c r="A2247" s="3">
        <f>IFERROR(__xludf.DUMMYFUNCTION("""COMPUTED_VALUE"""),42613.99861111111)</f>
        <v>42613.99861</v>
      </c>
      <c r="B2247" s="1">
        <f>IFERROR(__xludf.DUMMYFUNCTION("""COMPUTED_VALUE"""),17439.1632)</f>
        <v>17439.1632</v>
      </c>
    </row>
    <row r="2248">
      <c r="A2248" s="3">
        <f>IFERROR(__xludf.DUMMYFUNCTION("""COMPUTED_VALUE"""),42614.99861111111)</f>
        <v>42614.99861</v>
      </c>
      <c r="B2248" s="1">
        <f>IFERROR(__xludf.DUMMYFUNCTION("""COMPUTED_VALUE"""),17615.9256)</f>
        <v>17615.9256</v>
      </c>
    </row>
    <row r="2249">
      <c r="A2249" s="3">
        <f>IFERROR(__xludf.DUMMYFUNCTION("""COMPUTED_VALUE"""),42615.99861111111)</f>
        <v>42615.99861</v>
      </c>
      <c r="B2249" s="1">
        <f>IFERROR(__xludf.DUMMYFUNCTION("""COMPUTED_VALUE"""),17540.1135)</f>
        <v>17540.1135</v>
      </c>
    </row>
    <row r="2250">
      <c r="A2250" s="3">
        <f>IFERROR(__xludf.DUMMYFUNCTION("""COMPUTED_VALUE"""),42616.99861111111)</f>
        <v>42616.99861</v>
      </c>
      <c r="B2250" s="1">
        <f>IFERROR(__xludf.DUMMYFUNCTION("""COMPUTED_VALUE"""),17540.1135)</f>
        <v>17540.1135</v>
      </c>
    </row>
    <row r="2251">
      <c r="A2251" s="3">
        <f>IFERROR(__xludf.DUMMYFUNCTION("""COMPUTED_VALUE"""),42617.99861111111)</f>
        <v>42617.99861</v>
      </c>
      <c r="B2251" s="1">
        <f>IFERROR(__xludf.DUMMYFUNCTION("""COMPUTED_VALUE"""),17540.3774)</f>
        <v>17540.3774</v>
      </c>
    </row>
    <row r="2252">
      <c r="A2252" s="3">
        <f>IFERROR(__xludf.DUMMYFUNCTION("""COMPUTED_VALUE"""),42618.99861111111)</f>
        <v>42618.99861</v>
      </c>
      <c r="B2252" s="1">
        <f>IFERROR(__xludf.DUMMYFUNCTION("""COMPUTED_VALUE"""),17470.1625)</f>
        <v>17470.1625</v>
      </c>
    </row>
    <row r="2253">
      <c r="A2253" s="3">
        <f>IFERROR(__xludf.DUMMYFUNCTION("""COMPUTED_VALUE"""),42619.99861111111)</f>
        <v>42619.99861</v>
      </c>
      <c r="B2253" s="1">
        <f>IFERROR(__xludf.DUMMYFUNCTION("""COMPUTED_VALUE"""),17522.39962)</f>
        <v>17522.39962</v>
      </c>
    </row>
    <row r="2254">
      <c r="A2254" s="3">
        <f>IFERROR(__xludf.DUMMYFUNCTION("""COMPUTED_VALUE"""),42620.99861111111)</f>
        <v>42620.99861</v>
      </c>
      <c r="B2254" s="1">
        <f>IFERROR(__xludf.DUMMYFUNCTION("""COMPUTED_VALUE"""),17433.5502)</f>
        <v>17433.5502</v>
      </c>
    </row>
    <row r="2255">
      <c r="A2255" s="3">
        <f>IFERROR(__xludf.DUMMYFUNCTION("""COMPUTED_VALUE"""),42621.99861111111)</f>
        <v>42621.99861</v>
      </c>
      <c r="B2255" s="1">
        <f>IFERROR(__xludf.DUMMYFUNCTION("""COMPUTED_VALUE"""),17392.2726)</f>
        <v>17392.2726</v>
      </c>
    </row>
    <row r="2256">
      <c r="A2256" s="3">
        <f>IFERROR(__xludf.DUMMYFUNCTION("""COMPUTED_VALUE"""),42622.99861111111)</f>
        <v>42622.99861</v>
      </c>
      <c r="B2256" s="1">
        <f>IFERROR(__xludf.DUMMYFUNCTION("""COMPUTED_VALUE"""),17478.36811)</f>
        <v>17478.36811</v>
      </c>
    </row>
    <row r="2257">
      <c r="A2257" s="3">
        <f>IFERROR(__xludf.DUMMYFUNCTION("""COMPUTED_VALUE"""),42623.99861111111)</f>
        <v>42623.99861</v>
      </c>
      <c r="B2257" s="1">
        <f>IFERROR(__xludf.DUMMYFUNCTION("""COMPUTED_VALUE"""),17471.2923)</f>
        <v>17471.2923</v>
      </c>
    </row>
    <row r="2258">
      <c r="A2258" s="3">
        <f>IFERROR(__xludf.DUMMYFUNCTION("""COMPUTED_VALUE"""),42624.99861111111)</f>
        <v>42624.99861</v>
      </c>
      <c r="B2258" s="1">
        <f>IFERROR(__xludf.DUMMYFUNCTION("""COMPUTED_VALUE"""),17486.92368)</f>
        <v>17486.92368</v>
      </c>
    </row>
    <row r="2259">
      <c r="A2259" s="3">
        <f>IFERROR(__xludf.DUMMYFUNCTION("""COMPUTED_VALUE"""),42625.99861111111)</f>
        <v>42625.99861</v>
      </c>
      <c r="B2259" s="1">
        <f>IFERROR(__xludf.DUMMYFUNCTION("""COMPUTED_VALUE"""),17567.62812)</f>
        <v>17567.62812</v>
      </c>
    </row>
    <row r="2260">
      <c r="A2260" s="3">
        <f>IFERROR(__xludf.DUMMYFUNCTION("""COMPUTED_VALUE"""),42626.99861111111)</f>
        <v>42626.99861</v>
      </c>
      <c r="B2260" s="1">
        <f>IFERROR(__xludf.DUMMYFUNCTION("""COMPUTED_VALUE"""),17468.05684)</f>
        <v>17468.05684</v>
      </c>
    </row>
    <row r="2261">
      <c r="A2261" s="3">
        <f>IFERROR(__xludf.DUMMYFUNCTION("""COMPUTED_VALUE"""),42627.99861111111)</f>
        <v>42627.99861</v>
      </c>
      <c r="B2261" s="1">
        <f>IFERROR(__xludf.DUMMYFUNCTION("""COMPUTED_VALUE"""),17495.35521)</f>
        <v>17495.35521</v>
      </c>
    </row>
    <row r="2262">
      <c r="A2262" s="3">
        <f>IFERROR(__xludf.DUMMYFUNCTION("""COMPUTED_VALUE"""),42628.99861111111)</f>
        <v>42628.99861</v>
      </c>
      <c r="B2262" s="1">
        <f>IFERROR(__xludf.DUMMYFUNCTION("""COMPUTED_VALUE"""),17408.30792)</f>
        <v>17408.30792</v>
      </c>
    </row>
    <row r="2263">
      <c r="A2263" s="3">
        <f>IFERROR(__xludf.DUMMYFUNCTION("""COMPUTED_VALUE"""),42629.99861111111)</f>
        <v>42629.99861</v>
      </c>
      <c r="B2263" s="1">
        <f>IFERROR(__xludf.DUMMYFUNCTION("""COMPUTED_VALUE"""),17111.9)</f>
        <v>17111.9</v>
      </c>
    </row>
    <row r="2264">
      <c r="A2264" s="3">
        <f>IFERROR(__xludf.DUMMYFUNCTION("""COMPUTED_VALUE"""),42630.99861111111)</f>
        <v>42630.99861</v>
      </c>
      <c r="B2264" s="1">
        <f>IFERROR(__xludf.DUMMYFUNCTION("""COMPUTED_VALUE"""),17127.799)</f>
        <v>17127.799</v>
      </c>
    </row>
    <row r="2265">
      <c r="A2265" s="3">
        <f>IFERROR(__xludf.DUMMYFUNCTION("""COMPUTED_VALUE"""),42631.99861111111)</f>
        <v>42631.99861</v>
      </c>
      <c r="B2265" s="1">
        <f>IFERROR(__xludf.DUMMYFUNCTION("""COMPUTED_VALUE"""),17129.0119)</f>
        <v>17129.0119</v>
      </c>
    </row>
    <row r="2266">
      <c r="A2266" s="3">
        <f>IFERROR(__xludf.DUMMYFUNCTION("""COMPUTED_VALUE"""),42632.99861111111)</f>
        <v>42632.99861</v>
      </c>
      <c r="B2266" s="1">
        <f>IFERROR(__xludf.DUMMYFUNCTION("""COMPUTED_VALUE"""),17133.256)</f>
        <v>17133.256</v>
      </c>
    </row>
    <row r="2267">
      <c r="A2267" s="3">
        <f>IFERROR(__xludf.DUMMYFUNCTION("""COMPUTED_VALUE"""),42633.99861111111)</f>
        <v>42633.99861</v>
      </c>
      <c r="B2267" s="1">
        <f>IFERROR(__xludf.DUMMYFUNCTION("""COMPUTED_VALUE"""),17083.16298)</f>
        <v>17083.16298</v>
      </c>
    </row>
    <row r="2268">
      <c r="A2268" s="3">
        <f>IFERROR(__xludf.DUMMYFUNCTION("""COMPUTED_VALUE"""),42634.99861111111)</f>
        <v>42634.99861</v>
      </c>
      <c r="B2268" s="1">
        <f>IFERROR(__xludf.DUMMYFUNCTION("""COMPUTED_VALUE"""),17018.88314)</f>
        <v>17018.88314</v>
      </c>
    </row>
    <row r="2269">
      <c r="A2269" s="3">
        <f>IFERROR(__xludf.DUMMYFUNCTION("""COMPUTED_VALUE"""),42635.99861111111)</f>
        <v>42635.99861</v>
      </c>
      <c r="B2269" s="1">
        <f>IFERROR(__xludf.DUMMYFUNCTION("""COMPUTED_VALUE"""),17089.79832)</f>
        <v>17089.79832</v>
      </c>
    </row>
    <row r="2270">
      <c r="A2270" s="3">
        <f>IFERROR(__xludf.DUMMYFUNCTION("""COMPUTED_VALUE"""),42636.99861111111)</f>
        <v>42636.99861</v>
      </c>
      <c r="B2270" s="1">
        <f>IFERROR(__xludf.DUMMYFUNCTION("""COMPUTED_VALUE"""),16968.6732)</f>
        <v>16968.6732</v>
      </c>
    </row>
    <row r="2271">
      <c r="A2271" s="3">
        <f>IFERROR(__xludf.DUMMYFUNCTION("""COMPUTED_VALUE"""),42637.99861111111)</f>
        <v>42637.99861</v>
      </c>
      <c r="B2271" s="1">
        <f>IFERROR(__xludf.DUMMYFUNCTION("""COMPUTED_VALUE"""),16959.5504)</f>
        <v>16959.5504</v>
      </c>
    </row>
    <row r="2272">
      <c r="A2272" s="3">
        <f>IFERROR(__xludf.DUMMYFUNCTION("""COMPUTED_VALUE"""),42638.99861111111)</f>
        <v>42638.99861</v>
      </c>
      <c r="B2272" s="1">
        <f>IFERROR(__xludf.DUMMYFUNCTION("""COMPUTED_VALUE"""),16939.26969)</f>
        <v>16939.26969</v>
      </c>
    </row>
    <row r="2273">
      <c r="A2273" s="3">
        <f>IFERROR(__xludf.DUMMYFUNCTION("""COMPUTED_VALUE"""),42639.99861111111)</f>
        <v>42639.99861</v>
      </c>
      <c r="B2273" s="1">
        <f>IFERROR(__xludf.DUMMYFUNCTION("""COMPUTED_VALUE"""),16906.75857)</f>
        <v>16906.75857</v>
      </c>
    </row>
    <row r="2274">
      <c r="A2274" s="3">
        <f>IFERROR(__xludf.DUMMYFUNCTION("""COMPUTED_VALUE"""),42640.99861111111)</f>
        <v>42640.99861</v>
      </c>
      <c r="B2274" s="1">
        <f>IFERROR(__xludf.DUMMYFUNCTION("""COMPUTED_VALUE"""),16805.14617)</f>
        <v>16805.14617</v>
      </c>
    </row>
    <row r="2275">
      <c r="A2275" s="3">
        <f>IFERROR(__xludf.DUMMYFUNCTION("""COMPUTED_VALUE"""),42641.99861111111)</f>
        <v>42641.99861</v>
      </c>
      <c r="B2275" s="1">
        <f>IFERROR(__xludf.DUMMYFUNCTION("""COMPUTED_VALUE"""),16846.78743)</f>
        <v>16846.78743</v>
      </c>
    </row>
    <row r="2276">
      <c r="A2276" s="3">
        <f>IFERROR(__xludf.DUMMYFUNCTION("""COMPUTED_VALUE"""),42642.99861111111)</f>
        <v>42642.99861</v>
      </c>
      <c r="B2276" s="1">
        <f>IFERROR(__xludf.DUMMYFUNCTION("""COMPUTED_VALUE"""),16855.91893)</f>
        <v>16855.91893</v>
      </c>
    </row>
    <row r="2277">
      <c r="A2277" s="3">
        <f>IFERROR(__xludf.DUMMYFUNCTION("""COMPUTED_VALUE"""),42643.99861111111)</f>
        <v>42643.99861</v>
      </c>
      <c r="B2277" s="1">
        <f>IFERROR(__xludf.DUMMYFUNCTION("""COMPUTED_VALUE"""),16885.665)</f>
        <v>16885.665</v>
      </c>
    </row>
    <row r="2278">
      <c r="A2278" s="3">
        <f>IFERROR(__xludf.DUMMYFUNCTION("""COMPUTED_VALUE"""),42644.99861111111)</f>
        <v>42644.99861</v>
      </c>
      <c r="B2278" s="1">
        <f>IFERROR(__xludf.DUMMYFUNCTION("""COMPUTED_VALUE"""),16866.1544)</f>
        <v>16866.1544</v>
      </c>
    </row>
    <row r="2279">
      <c r="A2279" s="3">
        <f>IFERROR(__xludf.DUMMYFUNCTION("""COMPUTED_VALUE"""),42645.99861111111)</f>
        <v>42645.99861</v>
      </c>
      <c r="B2279" s="1">
        <f>IFERROR(__xludf.DUMMYFUNCTION("""COMPUTED_VALUE"""),16764.00072)</f>
        <v>16764.00072</v>
      </c>
    </row>
    <row r="2280">
      <c r="A2280" s="3">
        <f>IFERROR(__xludf.DUMMYFUNCTION("""COMPUTED_VALUE"""),42646.99861111111)</f>
        <v>42646.99861</v>
      </c>
      <c r="B2280" s="1">
        <f>IFERROR(__xludf.DUMMYFUNCTION("""COMPUTED_VALUE"""),16661.09556)</f>
        <v>16661.09556</v>
      </c>
    </row>
    <row r="2281">
      <c r="A2281" s="3">
        <f>IFERROR(__xludf.DUMMYFUNCTION("""COMPUTED_VALUE"""),42647.99861111111)</f>
        <v>42647.99861</v>
      </c>
      <c r="B2281" s="1">
        <f>IFERROR(__xludf.DUMMYFUNCTION("""COMPUTED_VALUE"""),16587.94176)</f>
        <v>16587.94176</v>
      </c>
    </row>
    <row r="2282">
      <c r="A2282" s="3">
        <f>IFERROR(__xludf.DUMMYFUNCTION("""COMPUTED_VALUE"""),42648.99861111111)</f>
        <v>42648.99861</v>
      </c>
      <c r="B2282" s="1">
        <f>IFERROR(__xludf.DUMMYFUNCTION("""COMPUTED_VALUE"""),16597.53504)</f>
        <v>16597.53504</v>
      </c>
    </row>
    <row r="2283">
      <c r="A2283" s="3">
        <f>IFERROR(__xludf.DUMMYFUNCTION("""COMPUTED_VALUE"""),42649.99861111111)</f>
        <v>42649.99861</v>
      </c>
      <c r="B2283" s="1">
        <f>IFERROR(__xludf.DUMMYFUNCTION("""COMPUTED_VALUE"""),16114.88565)</f>
        <v>16114.88565</v>
      </c>
    </row>
    <row r="2284">
      <c r="A2284" s="3">
        <f>IFERROR(__xludf.DUMMYFUNCTION("""COMPUTED_VALUE"""),42650.99861111111)</f>
        <v>42650.99861</v>
      </c>
      <c r="B2284" s="1">
        <f>IFERROR(__xludf.DUMMYFUNCTION("""COMPUTED_VALUE"""),16128.91966)</f>
        <v>16128.91966</v>
      </c>
    </row>
    <row r="2285">
      <c r="A2285" s="3">
        <f>IFERROR(__xludf.DUMMYFUNCTION("""COMPUTED_VALUE"""),42651.99861111111)</f>
        <v>42651.99861</v>
      </c>
      <c r="B2285" s="1">
        <f>IFERROR(__xludf.DUMMYFUNCTION("""COMPUTED_VALUE"""),16134.03597)</f>
        <v>16134.03597</v>
      </c>
    </row>
    <row r="2286">
      <c r="A2286" s="3">
        <f>IFERROR(__xludf.DUMMYFUNCTION("""COMPUTED_VALUE"""),42652.99861111111)</f>
        <v>42652.99861</v>
      </c>
      <c r="B2286" s="1">
        <f>IFERROR(__xludf.DUMMYFUNCTION("""COMPUTED_VALUE"""),16121.22275)</f>
        <v>16121.22275</v>
      </c>
    </row>
    <row r="2287">
      <c r="A2287" s="3">
        <f>IFERROR(__xludf.DUMMYFUNCTION("""COMPUTED_VALUE"""),42653.99861111111)</f>
        <v>42653.99861</v>
      </c>
      <c r="B2287" s="1">
        <f>IFERROR(__xludf.DUMMYFUNCTION("""COMPUTED_VALUE"""),15948.0988)</f>
        <v>15948.0988</v>
      </c>
    </row>
    <row r="2288">
      <c r="A2288" s="3">
        <f>IFERROR(__xludf.DUMMYFUNCTION("""COMPUTED_VALUE"""),42654.99861111111)</f>
        <v>42654.99861</v>
      </c>
      <c r="B2288" s="1">
        <f>IFERROR(__xludf.DUMMYFUNCTION("""COMPUTED_VALUE"""),16036.13484)</f>
        <v>16036.13484</v>
      </c>
    </row>
    <row r="2289">
      <c r="A2289" s="3">
        <f>IFERROR(__xludf.DUMMYFUNCTION("""COMPUTED_VALUE"""),42655.99861111111)</f>
        <v>42655.99861</v>
      </c>
      <c r="B2289" s="1">
        <f>IFERROR(__xludf.DUMMYFUNCTION("""COMPUTED_VALUE"""),15865.21378)</f>
        <v>15865.21378</v>
      </c>
    </row>
    <row r="2290">
      <c r="A2290" s="3">
        <f>IFERROR(__xludf.DUMMYFUNCTION("""COMPUTED_VALUE"""),42656.99861111111)</f>
        <v>42656.99861</v>
      </c>
      <c r="B2290" s="1">
        <f>IFERROR(__xludf.DUMMYFUNCTION("""COMPUTED_VALUE"""),15940.68108)</f>
        <v>15940.68108</v>
      </c>
    </row>
    <row r="2291">
      <c r="A2291" s="3">
        <f>IFERROR(__xludf.DUMMYFUNCTION("""COMPUTED_VALUE"""),42657.99861111111)</f>
        <v>42657.99861</v>
      </c>
      <c r="B2291" s="1">
        <f>IFERROR(__xludf.DUMMYFUNCTION("""COMPUTED_VALUE"""),15924.05374)</f>
        <v>15924.05374</v>
      </c>
    </row>
    <row r="2292">
      <c r="A2292" s="3">
        <f>IFERROR(__xludf.DUMMYFUNCTION("""COMPUTED_VALUE"""),42658.99861111111)</f>
        <v>42658.99861</v>
      </c>
      <c r="B2292" s="1">
        <f>IFERROR(__xludf.DUMMYFUNCTION("""COMPUTED_VALUE"""),15940.7742)</f>
        <v>15940.7742</v>
      </c>
    </row>
    <row r="2293">
      <c r="A2293" s="3">
        <f>IFERROR(__xludf.DUMMYFUNCTION("""COMPUTED_VALUE"""),42659.99861111111)</f>
        <v>42659.99861</v>
      </c>
      <c r="B2293" s="1">
        <f>IFERROR(__xludf.DUMMYFUNCTION("""COMPUTED_VALUE"""),15943.04484)</f>
        <v>15943.04484</v>
      </c>
    </row>
    <row r="2294">
      <c r="A2294" s="3">
        <f>IFERROR(__xludf.DUMMYFUNCTION("""COMPUTED_VALUE"""),42660.99861111111)</f>
        <v>42660.99861</v>
      </c>
      <c r="B2294" s="1">
        <f>IFERROR(__xludf.DUMMYFUNCTION("""COMPUTED_VALUE"""),15947.0169)</f>
        <v>15947.0169</v>
      </c>
    </row>
    <row r="2295">
      <c r="A2295" s="3">
        <f>IFERROR(__xludf.DUMMYFUNCTION("""COMPUTED_VALUE"""),42661.99861111111)</f>
        <v>42661.99861</v>
      </c>
      <c r="B2295" s="1">
        <f>IFERROR(__xludf.DUMMYFUNCTION("""COMPUTED_VALUE"""),16018.1154)</f>
        <v>16018.1154</v>
      </c>
    </row>
    <row r="2296">
      <c r="A2296" s="3">
        <f>IFERROR(__xludf.DUMMYFUNCTION("""COMPUTED_VALUE"""),42662.99861111111)</f>
        <v>42662.99861</v>
      </c>
      <c r="B2296" s="1">
        <f>IFERROR(__xludf.DUMMYFUNCTION("""COMPUTED_VALUE"""),15942.19884)</f>
        <v>15942.19884</v>
      </c>
    </row>
    <row r="2297">
      <c r="A2297" s="3">
        <f>IFERROR(__xludf.DUMMYFUNCTION("""COMPUTED_VALUE"""),42663.99861111111)</f>
        <v>42663.99861</v>
      </c>
      <c r="B2297" s="1">
        <f>IFERROR(__xludf.DUMMYFUNCTION("""COMPUTED_VALUE"""),15938.6679)</f>
        <v>15938.6679</v>
      </c>
    </row>
    <row r="2298">
      <c r="A2298" s="3">
        <f>IFERROR(__xludf.DUMMYFUNCTION("""COMPUTED_VALUE"""),42664.99861111111)</f>
        <v>42664.99861</v>
      </c>
      <c r="B2298" s="1">
        <f>IFERROR(__xludf.DUMMYFUNCTION("""COMPUTED_VALUE"""),15933.6405)</f>
        <v>15933.6405</v>
      </c>
    </row>
    <row r="2299">
      <c r="A2299" s="3">
        <f>IFERROR(__xludf.DUMMYFUNCTION("""COMPUTED_VALUE"""),42665.99861111111)</f>
        <v>42665.99861</v>
      </c>
      <c r="B2299" s="1">
        <f>IFERROR(__xludf.DUMMYFUNCTION("""COMPUTED_VALUE"""),15974.827)</f>
        <v>15974.827</v>
      </c>
    </row>
    <row r="2300">
      <c r="A2300" s="3">
        <f>IFERROR(__xludf.DUMMYFUNCTION("""COMPUTED_VALUE"""),42666.99861111111)</f>
        <v>42666.99861</v>
      </c>
      <c r="B2300" s="1">
        <f>IFERROR(__xludf.DUMMYFUNCTION("""COMPUTED_VALUE"""),15940.314)</f>
        <v>15940.314</v>
      </c>
    </row>
    <row r="2301">
      <c r="A2301" s="3">
        <f>IFERROR(__xludf.DUMMYFUNCTION("""COMPUTED_VALUE"""),42667.99861111111)</f>
        <v>42667.99861</v>
      </c>
      <c r="B2301" s="1">
        <f>IFERROR(__xludf.DUMMYFUNCTION("""COMPUTED_VALUE"""),15895.32908)</f>
        <v>15895.32908</v>
      </c>
    </row>
    <row r="2302">
      <c r="A2302" s="3">
        <f>IFERROR(__xludf.DUMMYFUNCTION("""COMPUTED_VALUE"""),42668.99861111111)</f>
        <v>42668.99861</v>
      </c>
      <c r="B2302" s="1">
        <f>IFERROR(__xludf.DUMMYFUNCTION("""COMPUTED_VALUE"""),15799.5776)</f>
        <v>15799.5776</v>
      </c>
    </row>
    <row r="2303">
      <c r="A2303" s="3">
        <f>IFERROR(__xludf.DUMMYFUNCTION("""COMPUTED_VALUE"""),42669.99861111111)</f>
        <v>42669.99861</v>
      </c>
      <c r="B2303" s="1">
        <f>IFERROR(__xludf.DUMMYFUNCTION("""COMPUTED_VALUE"""),15933.43136)</f>
        <v>15933.43136</v>
      </c>
    </row>
    <row r="2304">
      <c r="A2304" s="3">
        <f>IFERROR(__xludf.DUMMYFUNCTION("""COMPUTED_VALUE"""),42670.99861111111)</f>
        <v>42670.99861</v>
      </c>
      <c r="B2304" s="1">
        <f>IFERROR(__xludf.DUMMYFUNCTION("""COMPUTED_VALUE"""),15883.54305)</f>
        <v>15883.54305</v>
      </c>
    </row>
    <row r="2305">
      <c r="A2305" s="3">
        <f>IFERROR(__xludf.DUMMYFUNCTION("""COMPUTED_VALUE"""),42671.99861111111)</f>
        <v>42671.99861</v>
      </c>
      <c r="B2305" s="1">
        <f>IFERROR(__xludf.DUMMYFUNCTION("""COMPUTED_VALUE"""),15921.1844)</f>
        <v>15921.1844</v>
      </c>
    </row>
    <row r="2306">
      <c r="A2306" s="3">
        <f>IFERROR(__xludf.DUMMYFUNCTION("""COMPUTED_VALUE"""),42672.99861111111)</f>
        <v>42672.99861</v>
      </c>
      <c r="B2306" s="1">
        <f>IFERROR(__xludf.DUMMYFUNCTION("""COMPUTED_VALUE"""),15925.1033)</f>
        <v>15925.1033</v>
      </c>
    </row>
    <row r="2307">
      <c r="A2307" s="3">
        <f>IFERROR(__xludf.DUMMYFUNCTION("""COMPUTED_VALUE"""),42673.99861111111)</f>
        <v>42673.99861</v>
      </c>
      <c r="B2307" s="1">
        <f>IFERROR(__xludf.DUMMYFUNCTION("""COMPUTED_VALUE"""),15951.35993)</f>
        <v>15951.35993</v>
      </c>
    </row>
    <row r="2308">
      <c r="A2308" s="3">
        <f>IFERROR(__xludf.DUMMYFUNCTION("""COMPUTED_VALUE"""),42674.99861111111)</f>
        <v>42674.99861</v>
      </c>
      <c r="B2308" s="1">
        <f>IFERROR(__xludf.DUMMYFUNCTION("""COMPUTED_VALUE"""),15920.75485)</f>
        <v>15920.75485</v>
      </c>
    </row>
    <row r="2309">
      <c r="A2309" s="3">
        <f>IFERROR(__xludf.DUMMYFUNCTION("""COMPUTED_VALUE"""),42675.99861111111)</f>
        <v>42675.99861</v>
      </c>
      <c r="B2309" s="1">
        <f>IFERROR(__xludf.DUMMYFUNCTION("""COMPUTED_VALUE"""),15952.6449)</f>
        <v>15952.6449</v>
      </c>
    </row>
    <row r="2310">
      <c r="A2310" s="3">
        <f>IFERROR(__xludf.DUMMYFUNCTION("""COMPUTED_VALUE"""),42676.99861111111)</f>
        <v>42676.99861</v>
      </c>
      <c r="B2310" s="1">
        <f>IFERROR(__xludf.DUMMYFUNCTION("""COMPUTED_VALUE"""),16049.45012)</f>
        <v>16049.45012</v>
      </c>
    </row>
    <row r="2311">
      <c r="A2311" s="3">
        <f>IFERROR(__xludf.DUMMYFUNCTION("""COMPUTED_VALUE"""),42677.99861111111)</f>
        <v>42677.99861</v>
      </c>
      <c r="B2311" s="1">
        <f>IFERROR(__xludf.DUMMYFUNCTION("""COMPUTED_VALUE"""),16291.8756)</f>
        <v>16291.8756</v>
      </c>
    </row>
    <row r="2312">
      <c r="A2312" s="3">
        <f>IFERROR(__xludf.DUMMYFUNCTION("""COMPUTED_VALUE"""),42678.99861111111)</f>
        <v>42678.99861</v>
      </c>
      <c r="B2312" s="1">
        <f>IFERROR(__xludf.DUMMYFUNCTION("""COMPUTED_VALUE"""),16412.2308)</f>
        <v>16412.2308</v>
      </c>
    </row>
    <row r="2313">
      <c r="A2313" s="3">
        <f>IFERROR(__xludf.DUMMYFUNCTION("""COMPUTED_VALUE"""),42679.99861111111)</f>
        <v>42679.99861</v>
      </c>
      <c r="B2313" s="1">
        <f>IFERROR(__xludf.DUMMYFUNCTION("""COMPUTED_VALUE"""),16413.5421)</f>
        <v>16413.5421</v>
      </c>
    </row>
    <row r="2314">
      <c r="A2314" s="3">
        <f>IFERROR(__xludf.DUMMYFUNCTION("""COMPUTED_VALUE"""),42680.99861111111)</f>
        <v>42680.99861</v>
      </c>
      <c r="B2314" s="1">
        <f>IFERROR(__xludf.DUMMYFUNCTION("""COMPUTED_VALUE"""),16374.99555)</f>
        <v>16374.99555</v>
      </c>
    </row>
    <row r="2315">
      <c r="A2315" s="3">
        <f>IFERROR(__xludf.DUMMYFUNCTION("""COMPUTED_VALUE"""),42681.99861111111)</f>
        <v>42681.99861</v>
      </c>
      <c r="B2315" s="1">
        <f>IFERROR(__xludf.DUMMYFUNCTION("""COMPUTED_VALUE"""),16224.86999)</f>
        <v>16224.86999</v>
      </c>
    </row>
    <row r="2316">
      <c r="A2316" s="3">
        <f>IFERROR(__xludf.DUMMYFUNCTION("""COMPUTED_VALUE"""),42682.99861111111)</f>
        <v>42682.99861</v>
      </c>
      <c r="B2316" s="1">
        <f>IFERROR(__xludf.DUMMYFUNCTION("""COMPUTED_VALUE"""),16151.66973)</f>
        <v>16151.66973</v>
      </c>
    </row>
    <row r="2317">
      <c r="A2317" s="3">
        <f>IFERROR(__xludf.DUMMYFUNCTION("""COMPUTED_VALUE"""),42683.99861111111)</f>
        <v>42683.99861</v>
      </c>
      <c r="B2317" s="1">
        <f>IFERROR(__xludf.DUMMYFUNCTION("""COMPUTED_VALUE"""),16311.55605)</f>
        <v>16311.55605</v>
      </c>
    </row>
    <row r="2318">
      <c r="A2318" s="3">
        <f>IFERROR(__xludf.DUMMYFUNCTION("""COMPUTED_VALUE"""),42684.99861111111)</f>
        <v>42684.99861</v>
      </c>
      <c r="B2318" s="1">
        <f>IFERROR(__xludf.DUMMYFUNCTION("""COMPUTED_VALUE"""),17056.47288)</f>
        <v>17056.47288</v>
      </c>
    </row>
    <row r="2319">
      <c r="A2319" s="3">
        <f>IFERROR(__xludf.DUMMYFUNCTION("""COMPUTED_VALUE"""),42685.99861111111)</f>
        <v>42685.99861</v>
      </c>
      <c r="B2319" s="1">
        <f>IFERROR(__xludf.DUMMYFUNCTION("""COMPUTED_VALUE"""),16831.08)</f>
        <v>16831.08</v>
      </c>
    </row>
    <row r="2320">
      <c r="A2320" s="3">
        <f>IFERROR(__xludf.DUMMYFUNCTION("""COMPUTED_VALUE"""),42686.99861111111)</f>
        <v>42686.99861</v>
      </c>
      <c r="B2320" s="1">
        <f>IFERROR(__xludf.DUMMYFUNCTION("""COMPUTED_VALUE"""),17027.0226)</f>
        <v>17027.0226</v>
      </c>
    </row>
    <row r="2321">
      <c r="A2321" s="3">
        <f>IFERROR(__xludf.DUMMYFUNCTION("""COMPUTED_VALUE"""),42687.99861111111)</f>
        <v>42687.99861</v>
      </c>
      <c r="B2321" s="1">
        <f>IFERROR(__xludf.DUMMYFUNCTION("""COMPUTED_VALUE"""),16772.36162)</f>
        <v>16772.36162</v>
      </c>
    </row>
    <row r="2322">
      <c r="A2322" s="3">
        <f>IFERROR(__xludf.DUMMYFUNCTION("""COMPUTED_VALUE"""),42688.99861111111)</f>
        <v>42688.99861</v>
      </c>
      <c r="B2322" s="1">
        <f>IFERROR(__xludf.DUMMYFUNCTION("""COMPUTED_VALUE"""),16847.03407)</f>
        <v>16847.03407</v>
      </c>
    </row>
    <row r="2323">
      <c r="A2323" s="3">
        <f>IFERROR(__xludf.DUMMYFUNCTION("""COMPUTED_VALUE"""),42689.99861111111)</f>
        <v>42689.99861</v>
      </c>
      <c r="B2323" s="1">
        <f>IFERROR(__xludf.DUMMYFUNCTION("""COMPUTED_VALUE"""),16576.54882)</f>
        <v>16576.54882</v>
      </c>
    </row>
    <row r="2324">
      <c r="A2324" s="3">
        <f>IFERROR(__xludf.DUMMYFUNCTION("""COMPUTED_VALUE"""),42690.99861111111)</f>
        <v>42690.99861</v>
      </c>
      <c r="B2324" s="1">
        <f>IFERROR(__xludf.DUMMYFUNCTION("""COMPUTED_VALUE"""),16628.32152)</f>
        <v>16628.32152</v>
      </c>
    </row>
    <row r="2325">
      <c r="A2325" s="3">
        <f>IFERROR(__xludf.DUMMYFUNCTION("""COMPUTED_VALUE"""),42691.99861111111)</f>
        <v>42691.99861</v>
      </c>
      <c r="B2325" s="1">
        <f>IFERROR(__xludf.DUMMYFUNCTION("""COMPUTED_VALUE"""),16639.16181)</f>
        <v>16639.16181</v>
      </c>
    </row>
    <row r="2326">
      <c r="A2326" s="3">
        <f>IFERROR(__xludf.DUMMYFUNCTION("""COMPUTED_VALUE"""),42692.99861111111)</f>
        <v>42692.99861</v>
      </c>
      <c r="B2326" s="1">
        <f>IFERROR(__xludf.DUMMYFUNCTION("""COMPUTED_VALUE"""),16493.9509)</f>
        <v>16493.9509</v>
      </c>
    </row>
    <row r="2327">
      <c r="A2327" s="3">
        <f>IFERROR(__xludf.DUMMYFUNCTION("""COMPUTED_VALUE"""),42693.99861111111)</f>
        <v>42693.99861</v>
      </c>
      <c r="B2327" s="1">
        <f>IFERROR(__xludf.DUMMYFUNCTION("""COMPUTED_VALUE"""),16501.33201)</f>
        <v>16501.33201</v>
      </c>
    </row>
    <row r="2328">
      <c r="A2328" s="3">
        <f>IFERROR(__xludf.DUMMYFUNCTION("""COMPUTED_VALUE"""),42694.99861111111)</f>
        <v>42694.99861</v>
      </c>
      <c r="B2328" s="1">
        <f>IFERROR(__xludf.DUMMYFUNCTION("""COMPUTED_VALUE"""),16608.68901)</f>
        <v>16608.68901</v>
      </c>
    </row>
    <row r="2329">
      <c r="A2329" s="3">
        <f>IFERROR(__xludf.DUMMYFUNCTION("""COMPUTED_VALUE"""),42695.99861111111)</f>
        <v>42695.99861</v>
      </c>
      <c r="B2329" s="1">
        <f>IFERROR(__xludf.DUMMYFUNCTION("""COMPUTED_VALUE"""),16754.00216)</f>
        <v>16754.00216</v>
      </c>
    </row>
    <row r="2330">
      <c r="A2330" s="3">
        <f>IFERROR(__xludf.DUMMYFUNCTION("""COMPUTED_VALUE"""),42696.99861111111)</f>
        <v>42696.99861</v>
      </c>
      <c r="B2330" s="1">
        <f>IFERROR(__xludf.DUMMYFUNCTION("""COMPUTED_VALUE"""),16684.82744)</f>
        <v>16684.82744</v>
      </c>
    </row>
    <row r="2331">
      <c r="A2331" s="3">
        <f>IFERROR(__xludf.DUMMYFUNCTION("""COMPUTED_VALUE"""),42697.99861111111)</f>
        <v>42697.99861</v>
      </c>
      <c r="B2331" s="1">
        <f>IFERROR(__xludf.DUMMYFUNCTION("""COMPUTED_VALUE"""),16913.63707)</f>
        <v>16913.63707</v>
      </c>
    </row>
    <row r="2332">
      <c r="A2332" s="3">
        <f>IFERROR(__xludf.DUMMYFUNCTION("""COMPUTED_VALUE"""),42698.99861111111)</f>
        <v>42698.99861</v>
      </c>
      <c r="B2332" s="1">
        <f>IFERROR(__xludf.DUMMYFUNCTION("""COMPUTED_VALUE"""),16880.79464)</f>
        <v>16880.79464</v>
      </c>
    </row>
    <row r="2333">
      <c r="A2333" s="3">
        <f>IFERROR(__xludf.DUMMYFUNCTION("""COMPUTED_VALUE"""),42699.99861111111)</f>
        <v>42699.99861</v>
      </c>
      <c r="B2333" s="1">
        <f>IFERROR(__xludf.DUMMYFUNCTION("""COMPUTED_VALUE"""),16879.9225)</f>
        <v>16879.9225</v>
      </c>
    </row>
    <row r="2334">
      <c r="A2334" s="3">
        <f>IFERROR(__xludf.DUMMYFUNCTION("""COMPUTED_VALUE"""),42700.99861111111)</f>
        <v>42700.99861</v>
      </c>
      <c r="B2334" s="1">
        <f>IFERROR(__xludf.DUMMYFUNCTION("""COMPUTED_VALUE"""),16880.90802)</f>
        <v>16880.90802</v>
      </c>
    </row>
    <row r="2335">
      <c r="A2335" s="3">
        <f>IFERROR(__xludf.DUMMYFUNCTION("""COMPUTED_VALUE"""),42701.99861111111)</f>
        <v>42701.99861</v>
      </c>
      <c r="B2335" s="1">
        <f>IFERROR(__xludf.DUMMYFUNCTION("""COMPUTED_VALUE"""),16821.018)</f>
        <v>16821.018</v>
      </c>
    </row>
    <row r="2336">
      <c r="A2336" s="3">
        <f>IFERROR(__xludf.DUMMYFUNCTION("""COMPUTED_VALUE"""),42702.99861111111)</f>
        <v>42702.99861</v>
      </c>
      <c r="B2336" s="1">
        <f>IFERROR(__xludf.DUMMYFUNCTION("""COMPUTED_VALUE"""),16723.93446)</f>
        <v>16723.93446</v>
      </c>
    </row>
    <row r="2337">
      <c r="A2337" s="3">
        <f>IFERROR(__xludf.DUMMYFUNCTION("""COMPUTED_VALUE"""),42703.99861111111)</f>
        <v>42703.99861</v>
      </c>
      <c r="B2337" s="1">
        <f>IFERROR(__xludf.DUMMYFUNCTION("""COMPUTED_VALUE"""),16862.37776)</f>
        <v>16862.37776</v>
      </c>
    </row>
    <row r="2338">
      <c r="A2338" s="3">
        <f>IFERROR(__xludf.DUMMYFUNCTION("""COMPUTED_VALUE"""),42704.99861111111)</f>
        <v>42704.99861</v>
      </c>
      <c r="B2338" s="1">
        <f>IFERROR(__xludf.DUMMYFUNCTION("""COMPUTED_VALUE"""),16985.358)</f>
        <v>16985.358</v>
      </c>
    </row>
    <row r="2339">
      <c r="A2339" s="3">
        <f>IFERROR(__xludf.DUMMYFUNCTION("""COMPUTED_VALUE"""),42705.99861111111)</f>
        <v>42705.99861</v>
      </c>
      <c r="B2339" s="1">
        <f>IFERROR(__xludf.DUMMYFUNCTION("""COMPUTED_VALUE"""),17015.64732)</f>
        <v>17015.64732</v>
      </c>
    </row>
    <row r="2340">
      <c r="A2340" s="3">
        <f>IFERROR(__xludf.DUMMYFUNCTION("""COMPUTED_VALUE"""),42706.99861111111)</f>
        <v>42706.99861</v>
      </c>
      <c r="B2340" s="1">
        <f>IFERROR(__xludf.DUMMYFUNCTION("""COMPUTED_VALUE"""),17136.599)</f>
        <v>17136.599</v>
      </c>
    </row>
    <row r="2341">
      <c r="A2341" s="3">
        <f>IFERROR(__xludf.DUMMYFUNCTION("""COMPUTED_VALUE"""),42707.99861111111)</f>
        <v>42707.99861</v>
      </c>
      <c r="B2341" s="1">
        <f>IFERROR(__xludf.DUMMYFUNCTION("""COMPUTED_VALUE"""),17162.56272)</f>
        <v>17162.56272</v>
      </c>
    </row>
    <row r="2342">
      <c r="A2342" s="3">
        <f>IFERROR(__xludf.DUMMYFUNCTION("""COMPUTED_VALUE"""),42708.99861111111)</f>
        <v>42708.99861</v>
      </c>
      <c r="B2342" s="1">
        <f>IFERROR(__xludf.DUMMYFUNCTION("""COMPUTED_VALUE"""),17282.2892)</f>
        <v>17282.2892</v>
      </c>
    </row>
    <row r="2343">
      <c r="A2343" s="3">
        <f>IFERROR(__xludf.DUMMYFUNCTION("""COMPUTED_VALUE"""),42709.99861111111)</f>
        <v>42709.99861</v>
      </c>
      <c r="B2343" s="1">
        <f>IFERROR(__xludf.DUMMYFUNCTION("""COMPUTED_VALUE"""),17097.04128)</f>
        <v>17097.04128</v>
      </c>
    </row>
    <row r="2344">
      <c r="A2344" s="3">
        <f>IFERROR(__xludf.DUMMYFUNCTION("""COMPUTED_VALUE"""),42710.99861111111)</f>
        <v>42710.99861</v>
      </c>
      <c r="B2344" s="1">
        <f>IFERROR(__xludf.DUMMYFUNCTION("""COMPUTED_VALUE"""),16844.96832)</f>
        <v>16844.96832</v>
      </c>
    </row>
    <row r="2345">
      <c r="A2345" s="3">
        <f>IFERROR(__xludf.DUMMYFUNCTION("""COMPUTED_VALUE"""),42711.99861111111)</f>
        <v>42711.99861</v>
      </c>
      <c r="B2345" s="1">
        <f>IFERROR(__xludf.DUMMYFUNCTION("""COMPUTED_VALUE"""),16763.93851)</f>
        <v>16763.93851</v>
      </c>
    </row>
    <row r="2346">
      <c r="A2346" s="3">
        <f>IFERROR(__xludf.DUMMYFUNCTION("""COMPUTED_VALUE"""),42712.99861111111)</f>
        <v>42712.99861</v>
      </c>
      <c r="B2346" s="1">
        <f>IFERROR(__xludf.DUMMYFUNCTION("""COMPUTED_VALUE"""),16740.2786)</f>
        <v>16740.2786</v>
      </c>
    </row>
    <row r="2347">
      <c r="A2347" s="3">
        <f>IFERROR(__xludf.DUMMYFUNCTION("""COMPUTED_VALUE"""),42713.99861111111)</f>
        <v>42713.99861</v>
      </c>
      <c r="B2347" s="1">
        <f>IFERROR(__xludf.DUMMYFUNCTION("""COMPUTED_VALUE"""),16780.40335)</f>
        <v>16780.40335</v>
      </c>
    </row>
    <row r="2348">
      <c r="A2348" s="3">
        <f>IFERROR(__xludf.DUMMYFUNCTION("""COMPUTED_VALUE"""),42714.99861111111)</f>
        <v>42714.99861</v>
      </c>
      <c r="B2348" s="1">
        <f>IFERROR(__xludf.DUMMYFUNCTION("""COMPUTED_VALUE"""),16790.38108)</f>
        <v>16790.38108</v>
      </c>
    </row>
    <row r="2349">
      <c r="A2349" s="3">
        <f>IFERROR(__xludf.DUMMYFUNCTION("""COMPUTED_VALUE"""),42715.99861111111)</f>
        <v>42715.99861</v>
      </c>
      <c r="B2349" s="1">
        <f>IFERROR(__xludf.DUMMYFUNCTION("""COMPUTED_VALUE"""),16824.34363)</f>
        <v>16824.34363</v>
      </c>
    </row>
    <row r="2350">
      <c r="A2350" s="3">
        <f>IFERROR(__xludf.DUMMYFUNCTION("""COMPUTED_VALUE"""),42716.99861111111)</f>
        <v>42716.99861</v>
      </c>
      <c r="B2350" s="1">
        <f>IFERROR(__xludf.DUMMYFUNCTION("""COMPUTED_VALUE"""),16829.865)</f>
        <v>16829.865</v>
      </c>
    </row>
    <row r="2351">
      <c r="A2351" s="3">
        <f>IFERROR(__xludf.DUMMYFUNCTION("""COMPUTED_VALUE"""),42717.99861111111)</f>
        <v>42717.99861</v>
      </c>
      <c r="B2351" s="1">
        <f>IFERROR(__xludf.DUMMYFUNCTION("""COMPUTED_VALUE"""),16811.6832)</f>
        <v>16811.6832</v>
      </c>
    </row>
    <row r="2352">
      <c r="A2352" s="3">
        <f>IFERROR(__xludf.DUMMYFUNCTION("""COMPUTED_VALUE"""),42718.99861111111)</f>
        <v>42718.99861</v>
      </c>
      <c r="B2352" s="1">
        <f>IFERROR(__xludf.DUMMYFUNCTION("""COMPUTED_VALUE"""),16818.65792)</f>
        <v>16818.65792</v>
      </c>
    </row>
    <row r="2353">
      <c r="A2353" s="3">
        <f>IFERROR(__xludf.DUMMYFUNCTION("""COMPUTED_VALUE"""),42719.99861111111)</f>
        <v>42719.99861</v>
      </c>
      <c r="B2353" s="1">
        <f>IFERROR(__xludf.DUMMYFUNCTION("""COMPUTED_VALUE"""),16658.87598)</f>
        <v>16658.87598</v>
      </c>
    </row>
    <row r="2354">
      <c r="A2354" s="3">
        <f>IFERROR(__xludf.DUMMYFUNCTION("""COMPUTED_VALUE"""),42720.99861111111)</f>
        <v>42720.99861</v>
      </c>
      <c r="B2354" s="1">
        <f>IFERROR(__xludf.DUMMYFUNCTION("""COMPUTED_VALUE"""),16754.5455)</f>
        <v>16754.5455</v>
      </c>
    </row>
    <row r="2355">
      <c r="A2355" s="3">
        <f>IFERROR(__xludf.DUMMYFUNCTION("""COMPUTED_VALUE"""),42721.99861111111)</f>
        <v>42721.99861</v>
      </c>
      <c r="B2355" s="1">
        <f>IFERROR(__xludf.DUMMYFUNCTION("""COMPUTED_VALUE"""),16746.5001)</f>
        <v>16746.5001</v>
      </c>
    </row>
    <row r="2356">
      <c r="A2356" s="3">
        <f>IFERROR(__xludf.DUMMYFUNCTION("""COMPUTED_VALUE"""),42722.99861111111)</f>
        <v>42722.99861</v>
      </c>
      <c r="B2356" s="1">
        <f>IFERROR(__xludf.DUMMYFUNCTION("""COMPUTED_VALUE"""),16713.62721)</f>
        <v>16713.62721</v>
      </c>
    </row>
    <row r="2357">
      <c r="A2357" s="3">
        <f>IFERROR(__xludf.DUMMYFUNCTION("""COMPUTED_VALUE"""),42723.99861111111)</f>
        <v>42723.99861</v>
      </c>
      <c r="B2357" s="1">
        <f>IFERROR(__xludf.DUMMYFUNCTION("""COMPUTED_VALUE"""),16561.419)</f>
        <v>16561.419</v>
      </c>
    </row>
    <row r="2358">
      <c r="A2358" s="3">
        <f>IFERROR(__xludf.DUMMYFUNCTION("""COMPUTED_VALUE"""),42724.99861111111)</f>
        <v>42724.99861</v>
      </c>
      <c r="B2358" s="1">
        <f>IFERROR(__xludf.DUMMYFUNCTION("""COMPUTED_VALUE"""),16591.71125)</f>
        <v>16591.71125</v>
      </c>
    </row>
    <row r="2359">
      <c r="A2359" s="3">
        <f>IFERROR(__xludf.DUMMYFUNCTION("""COMPUTED_VALUE"""),42725.99861111111)</f>
        <v>42725.99861</v>
      </c>
      <c r="B2359" s="1">
        <f>IFERROR(__xludf.DUMMYFUNCTION("""COMPUTED_VALUE"""),16599.8528)</f>
        <v>16599.8528</v>
      </c>
    </row>
    <row r="2360">
      <c r="A2360" s="3">
        <f>IFERROR(__xludf.DUMMYFUNCTION("""COMPUTED_VALUE"""),42726.99861111111)</f>
        <v>42726.99861</v>
      </c>
      <c r="B2360" s="1">
        <f>IFERROR(__xludf.DUMMYFUNCTION("""COMPUTED_VALUE"""),16518.59976)</f>
        <v>16518.59976</v>
      </c>
    </row>
    <row r="2361">
      <c r="A2361" s="3">
        <f>IFERROR(__xludf.DUMMYFUNCTION("""COMPUTED_VALUE"""),42727.99861111111)</f>
        <v>42727.99861</v>
      </c>
      <c r="B2361" s="1">
        <f>IFERROR(__xludf.DUMMYFUNCTION("""COMPUTED_VALUE"""),16490.88812)</f>
        <v>16490.88812</v>
      </c>
    </row>
    <row r="2362">
      <c r="A2362" s="3">
        <f>IFERROR(__xludf.DUMMYFUNCTION("""COMPUTED_VALUE"""),42728.99861111111)</f>
        <v>42728.99861</v>
      </c>
      <c r="B2362" s="1">
        <f>IFERROR(__xludf.DUMMYFUNCTION("""COMPUTED_VALUE"""),16491.6941)</f>
        <v>16491.6941</v>
      </c>
    </row>
    <row r="2363">
      <c r="A2363" s="3">
        <f>IFERROR(__xludf.DUMMYFUNCTION("""COMPUTED_VALUE"""),42729.99861111111)</f>
        <v>42729.99861</v>
      </c>
      <c r="B2363" s="1">
        <f>IFERROR(__xludf.DUMMYFUNCTION("""COMPUTED_VALUE"""),16517.93286)</f>
        <v>16517.93286</v>
      </c>
    </row>
    <row r="2364">
      <c r="A2364" s="3">
        <f>IFERROR(__xludf.DUMMYFUNCTION("""COMPUTED_VALUE"""),42730.99861111111)</f>
        <v>42730.99861</v>
      </c>
      <c r="B2364" s="1">
        <f>IFERROR(__xludf.DUMMYFUNCTION("""COMPUTED_VALUE"""),16500.055)</f>
        <v>16500.055</v>
      </c>
    </row>
    <row r="2365">
      <c r="A2365" s="3">
        <f>IFERROR(__xludf.DUMMYFUNCTION("""COMPUTED_VALUE"""),42731.99861111111)</f>
        <v>42731.99861</v>
      </c>
      <c r="B2365" s="1">
        <f>IFERROR(__xludf.DUMMYFUNCTION("""COMPUTED_VALUE"""),16484.0975)</f>
        <v>16484.0975</v>
      </c>
    </row>
    <row r="2366">
      <c r="A2366" s="3">
        <f>IFERROR(__xludf.DUMMYFUNCTION("""COMPUTED_VALUE"""),42732.99861111111)</f>
        <v>42732.99861</v>
      </c>
      <c r="B2366" s="1">
        <f>IFERROR(__xludf.DUMMYFUNCTION("""COMPUTED_VALUE"""),16489.5015)</f>
        <v>16489.5015</v>
      </c>
    </row>
    <row r="2367">
      <c r="A2367" s="3">
        <f>IFERROR(__xludf.DUMMYFUNCTION("""COMPUTED_VALUE"""),42733.99861111111)</f>
        <v>42733.99861</v>
      </c>
      <c r="B2367" s="1">
        <f>IFERROR(__xludf.DUMMYFUNCTION("""COMPUTED_VALUE"""),16543.11566)</f>
        <v>16543.11566</v>
      </c>
    </row>
    <row r="2368">
      <c r="A2368" s="3">
        <f>IFERROR(__xludf.DUMMYFUNCTION("""COMPUTED_VALUE"""),42734.99861111111)</f>
        <v>42734.99861</v>
      </c>
      <c r="B2368" s="1">
        <f>IFERROR(__xludf.DUMMYFUNCTION("""COMPUTED_VALUE"""),16677.1566)</f>
        <v>16677.1566</v>
      </c>
    </row>
    <row r="2369">
      <c r="A2369" s="3">
        <f>IFERROR(__xludf.DUMMYFUNCTION("""COMPUTED_VALUE"""),42735.99861111111)</f>
        <v>42735.99861</v>
      </c>
      <c r="B2369" s="1">
        <f>IFERROR(__xludf.DUMMYFUNCTION("""COMPUTED_VALUE"""),16678.5084)</f>
        <v>16678.5084</v>
      </c>
    </row>
    <row r="2370">
      <c r="A2370" s="3">
        <f>IFERROR(__xludf.DUMMYFUNCTION("""COMPUTED_VALUE"""),42736.99861111111)</f>
        <v>42736.99861</v>
      </c>
      <c r="B2370" s="1">
        <f>IFERROR(__xludf.DUMMYFUNCTION("""COMPUTED_VALUE"""),16675.42944)</f>
        <v>16675.42944</v>
      </c>
    </row>
    <row r="2371">
      <c r="A2371" s="3">
        <f>IFERROR(__xludf.DUMMYFUNCTION("""COMPUTED_VALUE"""),42737.99861111111)</f>
        <v>42737.99861</v>
      </c>
      <c r="B2371" s="1">
        <f>IFERROR(__xludf.DUMMYFUNCTION("""COMPUTED_VALUE"""),16582.6668)</f>
        <v>16582.6668</v>
      </c>
    </row>
    <row r="2372">
      <c r="A2372" s="3">
        <f>IFERROR(__xludf.DUMMYFUNCTION("""COMPUTED_VALUE"""),42738.99861111111)</f>
        <v>42738.99861</v>
      </c>
      <c r="B2372" s="1">
        <f>IFERROR(__xludf.DUMMYFUNCTION("""COMPUTED_VALUE"""),16459.6092)</f>
        <v>16459.6092</v>
      </c>
    </row>
    <row r="2373">
      <c r="A2373" s="3">
        <f>IFERROR(__xludf.DUMMYFUNCTION("""COMPUTED_VALUE"""),42739.99861111111)</f>
        <v>42739.99861</v>
      </c>
      <c r="B2373" s="1">
        <f>IFERROR(__xludf.DUMMYFUNCTION("""COMPUTED_VALUE"""),16448.87388)</f>
        <v>16448.87388</v>
      </c>
    </row>
    <row r="2374">
      <c r="A2374" s="3">
        <f>IFERROR(__xludf.DUMMYFUNCTION("""COMPUTED_VALUE"""),42740.99861111111)</f>
        <v>42740.99861</v>
      </c>
      <c r="B2374" s="1">
        <f>IFERROR(__xludf.DUMMYFUNCTION("""COMPUTED_VALUE"""),16545.12818)</f>
        <v>16545.12818</v>
      </c>
    </row>
    <row r="2375">
      <c r="A2375" s="3">
        <f>IFERROR(__xludf.DUMMYFUNCTION("""COMPUTED_VALUE"""),42741.99861111111)</f>
        <v>42741.99861</v>
      </c>
      <c r="B2375" s="1">
        <f>IFERROR(__xludf.DUMMYFUNCTION("""COMPUTED_VALUE"""),16391.9812)</f>
        <v>16391.9812</v>
      </c>
    </row>
    <row r="2376">
      <c r="A2376" s="3">
        <f>IFERROR(__xludf.DUMMYFUNCTION("""COMPUTED_VALUE"""),42742.99861111111)</f>
        <v>42742.99861</v>
      </c>
      <c r="B2376" s="1">
        <f>IFERROR(__xludf.DUMMYFUNCTION("""COMPUTED_VALUE"""),16393.3154)</f>
        <v>16393.3154</v>
      </c>
    </row>
    <row r="2377">
      <c r="A2377" s="3">
        <f>IFERROR(__xludf.DUMMYFUNCTION("""COMPUTED_VALUE"""),42743.99861111111)</f>
        <v>42743.99861</v>
      </c>
      <c r="B2377" s="1">
        <f>IFERROR(__xludf.DUMMYFUNCTION("""COMPUTED_VALUE"""),16361.6505)</f>
        <v>16361.6505</v>
      </c>
    </row>
    <row r="2378">
      <c r="A2378" s="3">
        <f>IFERROR(__xludf.DUMMYFUNCTION("""COMPUTED_VALUE"""),42744.99861111111)</f>
        <v>42744.99861</v>
      </c>
      <c r="B2378" s="1">
        <f>IFERROR(__xludf.DUMMYFUNCTION("""COMPUTED_VALUE"""),16204.06998)</f>
        <v>16204.06998</v>
      </c>
    </row>
    <row r="2379">
      <c r="A2379" s="3">
        <f>IFERROR(__xludf.DUMMYFUNCTION("""COMPUTED_VALUE"""),42745.99861111111)</f>
        <v>42745.99861</v>
      </c>
      <c r="B2379" s="1">
        <f>IFERROR(__xludf.DUMMYFUNCTION("""COMPUTED_VALUE"""),16177.27356)</f>
        <v>16177.27356</v>
      </c>
    </row>
    <row r="2380">
      <c r="A2380" s="3">
        <f>IFERROR(__xludf.DUMMYFUNCTION("""COMPUTED_VALUE"""),42746.99861111111)</f>
        <v>42746.99861</v>
      </c>
      <c r="B2380" s="1">
        <f>IFERROR(__xludf.DUMMYFUNCTION("""COMPUTED_VALUE"""),16168.84992)</f>
        <v>16168.84992</v>
      </c>
    </row>
    <row r="2381">
      <c r="A2381" s="3">
        <f>IFERROR(__xludf.DUMMYFUNCTION("""COMPUTED_VALUE"""),42747.99861111111)</f>
        <v>42747.99861</v>
      </c>
      <c r="B2381" s="1">
        <f>IFERROR(__xludf.DUMMYFUNCTION("""COMPUTED_VALUE"""),16127.0312)</f>
        <v>16127.0312</v>
      </c>
    </row>
    <row r="2382">
      <c r="A2382" s="3">
        <f>IFERROR(__xludf.DUMMYFUNCTION("""COMPUTED_VALUE"""),42748.99861111111)</f>
        <v>42748.99861</v>
      </c>
      <c r="B2382" s="1">
        <f>IFERROR(__xludf.DUMMYFUNCTION("""COMPUTED_VALUE"""),16211.2401)</f>
        <v>16211.2401</v>
      </c>
    </row>
    <row r="2383">
      <c r="A2383" s="3">
        <f>IFERROR(__xludf.DUMMYFUNCTION("""COMPUTED_VALUE"""),42749.99861111111)</f>
        <v>42749.99861</v>
      </c>
      <c r="B2383" s="1">
        <f>IFERROR(__xludf.DUMMYFUNCTION("""COMPUTED_VALUE"""),16208.5775)</f>
        <v>16208.5775</v>
      </c>
    </row>
    <row r="2384">
      <c r="A2384" s="3">
        <f>IFERROR(__xludf.DUMMYFUNCTION("""COMPUTED_VALUE"""),42750.99861111111)</f>
        <v>42750.99861</v>
      </c>
      <c r="B2384" s="1">
        <f>IFERROR(__xludf.DUMMYFUNCTION("""COMPUTED_VALUE"""),16025.39062)</f>
        <v>16025.39062</v>
      </c>
    </row>
    <row r="2385">
      <c r="A2385" s="3">
        <f>IFERROR(__xludf.DUMMYFUNCTION("""COMPUTED_VALUE"""),42751.99861111111)</f>
        <v>42751.99861</v>
      </c>
      <c r="B2385" s="1">
        <f>IFERROR(__xludf.DUMMYFUNCTION("""COMPUTED_VALUE"""),16070.8611)</f>
        <v>16070.8611</v>
      </c>
    </row>
    <row r="2386">
      <c r="A2386" s="3">
        <f>IFERROR(__xludf.DUMMYFUNCTION("""COMPUTED_VALUE"""),42752.99861111111)</f>
        <v>42752.99861</v>
      </c>
      <c r="B2386" s="1">
        <f>IFERROR(__xludf.DUMMYFUNCTION("""COMPUTED_VALUE"""),16469.88816)</f>
        <v>16469.88816</v>
      </c>
    </row>
    <row r="2387">
      <c r="A2387" s="3">
        <f>IFERROR(__xludf.DUMMYFUNCTION("""COMPUTED_VALUE"""),42753.99861111111)</f>
        <v>42753.99861</v>
      </c>
      <c r="B2387" s="1">
        <f>IFERROR(__xludf.DUMMYFUNCTION("""COMPUTED_VALUE"""),16388.946)</f>
        <v>16388.946</v>
      </c>
    </row>
    <row r="2388">
      <c r="A2388" s="3">
        <f>IFERROR(__xludf.DUMMYFUNCTION("""COMPUTED_VALUE"""),42754.99861111111)</f>
        <v>42754.99861</v>
      </c>
      <c r="B2388" s="1">
        <f>IFERROR(__xludf.DUMMYFUNCTION("""COMPUTED_VALUE"""),16502.03056)</f>
        <v>16502.03056</v>
      </c>
    </row>
    <row r="2389">
      <c r="A2389" s="3">
        <f>IFERROR(__xludf.DUMMYFUNCTION("""COMPUTED_VALUE"""),42755.99861111111)</f>
        <v>42755.99861</v>
      </c>
      <c r="B2389" s="1">
        <f>IFERROR(__xludf.DUMMYFUNCTION("""COMPUTED_VALUE"""),16558.97127)</f>
        <v>16558.97127</v>
      </c>
    </row>
    <row r="2390">
      <c r="A2390" s="3">
        <f>IFERROR(__xludf.DUMMYFUNCTION("""COMPUTED_VALUE"""),42756.99861111111)</f>
        <v>42756.99861</v>
      </c>
      <c r="B2390" s="1">
        <f>IFERROR(__xludf.DUMMYFUNCTION("""COMPUTED_VALUE"""),16559.1052)</f>
        <v>16559.1052</v>
      </c>
    </row>
    <row r="2391">
      <c r="A2391" s="3">
        <f>IFERROR(__xludf.DUMMYFUNCTION("""COMPUTED_VALUE"""),42757.99861111111)</f>
        <v>42757.99861</v>
      </c>
      <c r="B2391" s="1">
        <f>IFERROR(__xludf.DUMMYFUNCTION("""COMPUTED_VALUE"""),16604.0013)</f>
        <v>16604.0013</v>
      </c>
    </row>
    <row r="2392">
      <c r="A2392" s="3">
        <f>IFERROR(__xludf.DUMMYFUNCTION("""COMPUTED_VALUE"""),42758.99861111111)</f>
        <v>42758.99861</v>
      </c>
      <c r="B2392" s="1">
        <f>IFERROR(__xludf.DUMMYFUNCTION("""COMPUTED_VALUE"""),16701.2675)</f>
        <v>16701.2675</v>
      </c>
    </row>
    <row r="2393">
      <c r="A2393" s="3">
        <f>IFERROR(__xludf.DUMMYFUNCTION("""COMPUTED_VALUE"""),42759.99861111111)</f>
        <v>42759.99861</v>
      </c>
      <c r="B2393" s="1">
        <f>IFERROR(__xludf.DUMMYFUNCTION("""COMPUTED_VALUE"""),16719.66072)</f>
        <v>16719.66072</v>
      </c>
    </row>
    <row r="2394">
      <c r="A2394" s="3">
        <f>IFERROR(__xludf.DUMMYFUNCTION("""COMPUTED_VALUE"""),42760.99861111111)</f>
        <v>42760.99861</v>
      </c>
      <c r="B2394" s="1">
        <f>IFERROR(__xludf.DUMMYFUNCTION("""COMPUTED_VALUE"""),16821.83648)</f>
        <v>16821.83648</v>
      </c>
    </row>
    <row r="2395">
      <c r="A2395" s="3">
        <f>IFERROR(__xludf.DUMMYFUNCTION("""COMPUTED_VALUE"""),42761.99861111111)</f>
        <v>42761.99861</v>
      </c>
      <c r="B2395" s="1">
        <f>IFERROR(__xludf.DUMMYFUNCTION("""COMPUTED_VALUE"""),16860.12328)</f>
        <v>16860.12328</v>
      </c>
    </row>
    <row r="2396">
      <c r="A2396" s="3">
        <f>IFERROR(__xludf.DUMMYFUNCTION("""COMPUTED_VALUE"""),42762.99861111111)</f>
        <v>42762.99861</v>
      </c>
      <c r="B2396" s="1">
        <f>IFERROR(__xludf.DUMMYFUNCTION("""COMPUTED_VALUE"""),16758.62719)</f>
        <v>16758.62719</v>
      </c>
    </row>
    <row r="2397">
      <c r="A2397" s="3">
        <f>IFERROR(__xludf.DUMMYFUNCTION("""COMPUTED_VALUE"""),42763.99861111111)</f>
        <v>42763.99861</v>
      </c>
      <c r="B2397" s="1">
        <f>IFERROR(__xludf.DUMMYFUNCTION("""COMPUTED_VALUE"""),16779.40679)</f>
        <v>16779.40679</v>
      </c>
    </row>
    <row r="2398">
      <c r="A2398" s="3">
        <f>IFERROR(__xludf.DUMMYFUNCTION("""COMPUTED_VALUE"""),42764.99861111111)</f>
        <v>42764.99861</v>
      </c>
      <c r="B2398" s="1">
        <f>IFERROR(__xludf.DUMMYFUNCTION("""COMPUTED_VALUE"""),16778.23356)</f>
        <v>16778.23356</v>
      </c>
    </row>
    <row r="2399">
      <c r="A2399" s="3">
        <f>IFERROR(__xludf.DUMMYFUNCTION("""COMPUTED_VALUE"""),42765.99861111111)</f>
        <v>42765.99861</v>
      </c>
      <c r="B2399" s="1">
        <f>IFERROR(__xludf.DUMMYFUNCTION("""COMPUTED_VALUE"""),16671.96648)</f>
        <v>16671.96648</v>
      </c>
    </row>
    <row r="2400">
      <c r="A2400" s="3">
        <f>IFERROR(__xludf.DUMMYFUNCTION("""COMPUTED_VALUE"""),42766.99861111111)</f>
        <v>42766.99861</v>
      </c>
      <c r="B2400" s="1">
        <f>IFERROR(__xludf.DUMMYFUNCTION("""COMPUTED_VALUE"""),16797.3515)</f>
        <v>16797.3515</v>
      </c>
    </row>
    <row r="2401">
      <c r="A2401" s="3">
        <f>IFERROR(__xludf.DUMMYFUNCTION("""COMPUTED_VALUE"""),42767.99861111111)</f>
        <v>42767.99861</v>
      </c>
      <c r="B2401" s="1">
        <f>IFERROR(__xludf.DUMMYFUNCTION("""COMPUTED_VALUE"""),16909.084)</f>
        <v>16909.084</v>
      </c>
    </row>
    <row r="2402">
      <c r="A2402" s="3">
        <f>IFERROR(__xludf.DUMMYFUNCTION("""COMPUTED_VALUE"""),42768.99861111111)</f>
        <v>42768.99861</v>
      </c>
      <c r="B2402" s="1">
        <f>IFERROR(__xludf.DUMMYFUNCTION("""COMPUTED_VALUE"""),16707.45702)</f>
        <v>16707.45702</v>
      </c>
    </row>
    <row r="2403">
      <c r="A2403" s="3">
        <f>IFERROR(__xludf.DUMMYFUNCTION("""COMPUTED_VALUE"""),42769.99861111111)</f>
        <v>42769.99861</v>
      </c>
      <c r="B2403" s="1">
        <f>IFERROR(__xludf.DUMMYFUNCTION("""COMPUTED_VALUE"""),16622.72852)</f>
        <v>16622.72852</v>
      </c>
    </row>
    <row r="2404">
      <c r="A2404" s="3">
        <f>IFERROR(__xludf.DUMMYFUNCTION("""COMPUTED_VALUE"""),42770.99861111111)</f>
        <v>42770.99861</v>
      </c>
      <c r="B2404" s="1">
        <f>IFERROR(__xludf.DUMMYFUNCTION("""COMPUTED_VALUE"""),16647.99583)</f>
        <v>16647.99583</v>
      </c>
    </row>
    <row r="2405">
      <c r="A2405" s="3">
        <f>IFERROR(__xludf.DUMMYFUNCTION("""COMPUTED_VALUE"""),42771.99861111111)</f>
        <v>42771.99861</v>
      </c>
      <c r="B2405" s="1">
        <f>IFERROR(__xludf.DUMMYFUNCTION("""COMPUTED_VALUE"""),16647.1578)</f>
        <v>16647.1578</v>
      </c>
    </row>
    <row r="2406">
      <c r="A2406" s="3">
        <f>IFERROR(__xludf.DUMMYFUNCTION("""COMPUTED_VALUE"""),42772.99861111111)</f>
        <v>42772.99861</v>
      </c>
      <c r="B2406" s="1">
        <f>IFERROR(__xludf.DUMMYFUNCTION("""COMPUTED_VALUE"""),16613.92398)</f>
        <v>16613.92398</v>
      </c>
    </row>
    <row r="2407">
      <c r="A2407" s="3">
        <f>IFERROR(__xludf.DUMMYFUNCTION("""COMPUTED_VALUE"""),42773.99861111111)</f>
        <v>42773.99861</v>
      </c>
      <c r="B2407" s="1">
        <f>IFERROR(__xludf.DUMMYFUNCTION("""COMPUTED_VALUE"""),16630.1795)</f>
        <v>16630.1795</v>
      </c>
    </row>
    <row r="2408">
      <c r="A2408" s="3">
        <f>IFERROR(__xludf.DUMMYFUNCTION("""COMPUTED_VALUE"""),42774.99861111111)</f>
        <v>42774.99861</v>
      </c>
      <c r="B2408" s="1">
        <f>IFERROR(__xludf.DUMMYFUNCTION("""COMPUTED_VALUE"""),16662.48426)</f>
        <v>16662.48426</v>
      </c>
    </row>
    <row r="2409">
      <c r="A2409" s="3">
        <f>IFERROR(__xludf.DUMMYFUNCTION("""COMPUTED_VALUE"""),42775.99861111111)</f>
        <v>42775.99861</v>
      </c>
      <c r="B2409" s="1">
        <f>IFERROR(__xludf.DUMMYFUNCTION("""COMPUTED_VALUE"""),16605.88072)</f>
        <v>16605.88072</v>
      </c>
    </row>
    <row r="2410">
      <c r="A2410" s="3">
        <f>IFERROR(__xludf.DUMMYFUNCTION("""COMPUTED_VALUE"""),42776.99861111111)</f>
        <v>42776.99861</v>
      </c>
      <c r="B2410" s="1">
        <f>IFERROR(__xludf.DUMMYFUNCTION("""COMPUTED_VALUE"""),16627.937)</f>
        <v>16627.937</v>
      </c>
    </row>
    <row r="2411">
      <c r="A2411" s="3">
        <f>IFERROR(__xludf.DUMMYFUNCTION("""COMPUTED_VALUE"""),42777.99861111111)</f>
        <v>42777.99861</v>
      </c>
      <c r="B2411" s="1">
        <f>IFERROR(__xludf.DUMMYFUNCTION("""COMPUTED_VALUE"""),16653.32917)</f>
        <v>16653.32917</v>
      </c>
    </row>
    <row r="2412">
      <c r="A2412" s="3">
        <f>IFERROR(__xludf.DUMMYFUNCTION("""COMPUTED_VALUE"""),42778.99861111111)</f>
        <v>42778.99861</v>
      </c>
      <c r="B2412" s="1">
        <f>IFERROR(__xludf.DUMMYFUNCTION("""COMPUTED_VALUE"""),16645.5471)</f>
        <v>16645.5471</v>
      </c>
    </row>
    <row r="2413">
      <c r="A2413" s="3">
        <f>IFERROR(__xludf.DUMMYFUNCTION("""COMPUTED_VALUE"""),42779.99861111111)</f>
        <v>42779.99861</v>
      </c>
      <c r="B2413" s="1">
        <f>IFERROR(__xludf.DUMMYFUNCTION("""COMPUTED_VALUE"""),16682.12799)</f>
        <v>16682.12799</v>
      </c>
    </row>
    <row r="2414">
      <c r="A2414" s="3">
        <f>IFERROR(__xludf.DUMMYFUNCTION("""COMPUTED_VALUE"""),42780.99861111111)</f>
        <v>42780.99861</v>
      </c>
      <c r="B2414" s="1">
        <f>IFERROR(__xludf.DUMMYFUNCTION("""COMPUTED_VALUE"""),16609.68848)</f>
        <v>16609.68848</v>
      </c>
    </row>
    <row r="2415">
      <c r="A2415" s="3">
        <f>IFERROR(__xludf.DUMMYFUNCTION("""COMPUTED_VALUE"""),42781.99861111111)</f>
        <v>42781.99861</v>
      </c>
      <c r="B2415" s="1">
        <f>IFERROR(__xludf.DUMMYFUNCTION("""COMPUTED_VALUE"""),16603.45408)</f>
        <v>16603.45408</v>
      </c>
    </row>
    <row r="2416">
      <c r="A2416" s="3">
        <f>IFERROR(__xludf.DUMMYFUNCTION("""COMPUTED_VALUE"""),42782.99861111111)</f>
        <v>42782.99861</v>
      </c>
      <c r="B2416" s="1">
        <f>IFERROR(__xludf.DUMMYFUNCTION("""COMPUTED_VALUE"""),16634.86517)</f>
        <v>16634.86517</v>
      </c>
    </row>
    <row r="2417">
      <c r="A2417" s="3">
        <f>IFERROR(__xludf.DUMMYFUNCTION("""COMPUTED_VALUE"""),42783.99861111111)</f>
        <v>42783.99861</v>
      </c>
      <c r="B2417" s="1">
        <f>IFERROR(__xludf.DUMMYFUNCTION("""COMPUTED_VALUE"""),16548.99012)</f>
        <v>16548.99012</v>
      </c>
    </row>
    <row r="2418">
      <c r="A2418" s="3">
        <f>IFERROR(__xludf.DUMMYFUNCTION("""COMPUTED_VALUE"""),42784.99861111111)</f>
        <v>42784.99861</v>
      </c>
      <c r="B2418" s="1">
        <f>IFERROR(__xludf.DUMMYFUNCTION("""COMPUTED_VALUE"""),16570.08744)</f>
        <v>16570.08744</v>
      </c>
    </row>
    <row r="2419">
      <c r="A2419" s="3">
        <f>IFERROR(__xludf.DUMMYFUNCTION("""COMPUTED_VALUE"""),42785.99861111111)</f>
        <v>42785.99861</v>
      </c>
      <c r="B2419" s="1">
        <f>IFERROR(__xludf.DUMMYFUNCTION("""COMPUTED_VALUE"""),16597.521)</f>
        <v>16597.521</v>
      </c>
    </row>
    <row r="2420">
      <c r="A2420" s="3">
        <f>IFERROR(__xludf.DUMMYFUNCTION("""COMPUTED_VALUE"""),42786.99861111111)</f>
        <v>42786.99861</v>
      </c>
      <c r="B2420" s="1">
        <f>IFERROR(__xludf.DUMMYFUNCTION("""COMPUTED_VALUE"""),16645.44411)</f>
        <v>16645.44411</v>
      </c>
    </row>
    <row r="2421">
      <c r="A2421" s="3">
        <f>IFERROR(__xludf.DUMMYFUNCTION("""COMPUTED_VALUE"""),42787.99861111111)</f>
        <v>42787.99861</v>
      </c>
      <c r="B2421" s="1">
        <f>IFERROR(__xludf.DUMMYFUNCTION("""COMPUTED_VALUE"""),16679.06596)</f>
        <v>16679.06596</v>
      </c>
    </row>
    <row r="2422">
      <c r="A2422" s="3">
        <f>IFERROR(__xludf.DUMMYFUNCTION("""COMPUTED_VALUE"""),42788.99861111111)</f>
        <v>42788.99861</v>
      </c>
      <c r="B2422" s="1">
        <f>IFERROR(__xludf.DUMMYFUNCTION("""COMPUTED_VALUE"""),16609.54464)</f>
        <v>16609.54464</v>
      </c>
    </row>
    <row r="2423">
      <c r="A2423" s="3">
        <f>IFERROR(__xludf.DUMMYFUNCTION("""COMPUTED_VALUE"""),42789.99861111111)</f>
        <v>42789.99861</v>
      </c>
      <c r="B2423" s="1">
        <f>IFERROR(__xludf.DUMMYFUNCTION("""COMPUTED_VALUE"""),16728.60475)</f>
        <v>16728.60475</v>
      </c>
    </row>
    <row r="2424">
      <c r="A2424" s="3">
        <f>IFERROR(__xludf.DUMMYFUNCTION("""COMPUTED_VALUE"""),42790.99861111111)</f>
        <v>42790.99861</v>
      </c>
      <c r="B2424" s="1">
        <f>IFERROR(__xludf.DUMMYFUNCTION("""COMPUTED_VALUE"""),16608.4518)</f>
        <v>16608.4518</v>
      </c>
    </row>
    <row r="2425">
      <c r="A2425" s="3">
        <f>IFERROR(__xludf.DUMMYFUNCTION("""COMPUTED_VALUE"""),42791.99861111111)</f>
        <v>42791.99861</v>
      </c>
      <c r="B2425" s="1">
        <f>IFERROR(__xludf.DUMMYFUNCTION("""COMPUTED_VALUE"""),16609.7841)</f>
        <v>16609.7841</v>
      </c>
    </row>
    <row r="2426">
      <c r="A2426" s="3">
        <f>IFERROR(__xludf.DUMMYFUNCTION("""COMPUTED_VALUE"""),42792.99861111111)</f>
        <v>42792.99861</v>
      </c>
      <c r="B2426" s="1">
        <f>IFERROR(__xludf.DUMMYFUNCTION("""COMPUTED_VALUE"""),16518.16252)</f>
        <v>16518.16252</v>
      </c>
    </row>
    <row r="2427">
      <c r="A2427" s="3">
        <f>IFERROR(__xludf.DUMMYFUNCTION("""COMPUTED_VALUE"""),42793.99861111111)</f>
        <v>42793.99861</v>
      </c>
      <c r="B2427" s="1">
        <f>IFERROR(__xludf.DUMMYFUNCTION("""COMPUTED_VALUE"""),16589.7143)</f>
        <v>16589.7143</v>
      </c>
    </row>
    <row r="2428">
      <c r="A2428" s="3">
        <f>IFERROR(__xludf.DUMMYFUNCTION("""COMPUTED_VALUE"""),42794.99861111111)</f>
        <v>42794.99861</v>
      </c>
      <c r="B2428" s="1">
        <f>IFERROR(__xludf.DUMMYFUNCTION("""COMPUTED_VALUE"""),16573.90679)</f>
        <v>16573.90679</v>
      </c>
    </row>
    <row r="2429">
      <c r="A2429" s="3">
        <f>IFERROR(__xludf.DUMMYFUNCTION("""COMPUTED_VALUE"""),42795.99861111111)</f>
        <v>42795.99861</v>
      </c>
      <c r="B2429" s="1">
        <f>IFERROR(__xludf.DUMMYFUNCTION("""COMPUTED_VALUE"""),16433.72496)</f>
        <v>16433.72496</v>
      </c>
    </row>
    <row r="2430">
      <c r="A2430" s="3">
        <f>IFERROR(__xludf.DUMMYFUNCTION("""COMPUTED_VALUE"""),42796.99861111111)</f>
        <v>42796.99861</v>
      </c>
      <c r="B2430" s="1">
        <f>IFERROR(__xludf.DUMMYFUNCTION("""COMPUTED_VALUE"""),16412.95036)</f>
        <v>16412.95036</v>
      </c>
    </row>
    <row r="2431">
      <c r="A2431" s="3">
        <f>IFERROR(__xludf.DUMMYFUNCTION("""COMPUTED_VALUE"""),42797.99861111111)</f>
        <v>42797.99861</v>
      </c>
      <c r="B2431" s="1">
        <f>IFERROR(__xludf.DUMMYFUNCTION("""COMPUTED_VALUE"""),16369.09248)</f>
        <v>16369.09248</v>
      </c>
    </row>
    <row r="2432">
      <c r="A2432" s="3">
        <f>IFERROR(__xludf.DUMMYFUNCTION("""COMPUTED_VALUE"""),42798.99861111111)</f>
        <v>42798.99861</v>
      </c>
      <c r="B2432" s="1">
        <f>IFERROR(__xludf.DUMMYFUNCTION("""COMPUTED_VALUE"""),16391.9959)</f>
        <v>16391.9959</v>
      </c>
    </row>
    <row r="2433">
      <c r="A2433" s="3">
        <f>IFERROR(__xludf.DUMMYFUNCTION("""COMPUTED_VALUE"""),42799.99861111111)</f>
        <v>42799.99861</v>
      </c>
      <c r="B2433" s="1">
        <f>IFERROR(__xludf.DUMMYFUNCTION("""COMPUTED_VALUE"""),16330.6122)</f>
        <v>16330.6122</v>
      </c>
    </row>
    <row r="2434">
      <c r="A2434" s="3">
        <f>IFERROR(__xludf.DUMMYFUNCTION("""COMPUTED_VALUE"""),42800.99861111111)</f>
        <v>42800.99861</v>
      </c>
      <c r="B2434" s="1">
        <f>IFERROR(__xludf.DUMMYFUNCTION("""COMPUTED_VALUE"""),16327.9396)</f>
        <v>16327.9396</v>
      </c>
    </row>
    <row r="2435">
      <c r="A2435" s="3">
        <f>IFERROR(__xludf.DUMMYFUNCTION("""COMPUTED_VALUE"""),42801.99861111111)</f>
        <v>42801.99861</v>
      </c>
      <c r="B2435" s="1">
        <f>IFERROR(__xludf.DUMMYFUNCTION("""COMPUTED_VALUE"""),16273.9208)</f>
        <v>16273.9208</v>
      </c>
    </row>
    <row r="2436">
      <c r="A2436" s="3">
        <f>IFERROR(__xludf.DUMMYFUNCTION("""COMPUTED_VALUE"""),42802.99861111111)</f>
        <v>42802.99861</v>
      </c>
      <c r="B2436" s="1">
        <f>IFERROR(__xludf.DUMMYFUNCTION("""COMPUTED_VALUE"""),16272.8664)</f>
        <v>16272.8664</v>
      </c>
    </row>
    <row r="2437">
      <c r="A2437" s="3">
        <f>IFERROR(__xludf.DUMMYFUNCTION("""COMPUTED_VALUE"""),42803.99861111111)</f>
        <v>42803.99861</v>
      </c>
      <c r="B2437" s="1">
        <f>IFERROR(__xludf.DUMMYFUNCTION("""COMPUTED_VALUE"""),16291.3465)</f>
        <v>16291.3465</v>
      </c>
    </row>
    <row r="2438">
      <c r="A2438" s="3">
        <f>IFERROR(__xludf.DUMMYFUNCTION("""COMPUTED_VALUE"""),42804.99861111111)</f>
        <v>42804.99861</v>
      </c>
      <c r="B2438" s="1">
        <f>IFERROR(__xludf.DUMMYFUNCTION("""COMPUTED_VALUE"""),16245.733)</f>
        <v>16245.733</v>
      </c>
    </row>
    <row r="2439">
      <c r="A2439" s="3">
        <f>IFERROR(__xludf.DUMMYFUNCTION("""COMPUTED_VALUE"""),42806.99861111111)</f>
        <v>42806.99861</v>
      </c>
      <c r="B2439" s="1">
        <f>IFERROR(__xludf.DUMMYFUNCTION("""COMPUTED_VALUE"""),16240.7474)</f>
        <v>16240.7474</v>
      </c>
    </row>
    <row r="2440">
      <c r="A2440" s="3">
        <f>IFERROR(__xludf.DUMMYFUNCTION("""COMPUTED_VALUE"""),42807.99861111111)</f>
        <v>42807.99861</v>
      </c>
      <c r="B2440" s="1">
        <f>IFERROR(__xludf.DUMMYFUNCTION("""COMPUTED_VALUE"""),16321.46204)</f>
        <v>16321.46204</v>
      </c>
    </row>
    <row r="2441">
      <c r="A2441" s="3">
        <f>IFERROR(__xludf.DUMMYFUNCTION("""COMPUTED_VALUE"""),42808.99861111111)</f>
        <v>42808.99861</v>
      </c>
      <c r="B2441" s="1">
        <f>IFERROR(__xludf.DUMMYFUNCTION("""COMPUTED_VALUE"""),16277.2857)</f>
        <v>16277.2857</v>
      </c>
    </row>
    <row r="2442">
      <c r="A2442" s="3">
        <f>IFERROR(__xludf.DUMMYFUNCTION("""COMPUTED_VALUE"""),42809.99861111111)</f>
        <v>42809.99861</v>
      </c>
      <c r="B2442" s="1">
        <f>IFERROR(__xludf.DUMMYFUNCTION("""COMPUTED_VALUE"""),16230.74034)</f>
        <v>16230.74034</v>
      </c>
    </row>
    <row r="2443">
      <c r="A2443" s="3">
        <f>IFERROR(__xludf.DUMMYFUNCTION("""COMPUTED_VALUE"""),42810.99861111111)</f>
        <v>42810.99861</v>
      </c>
      <c r="B2443" s="1">
        <f>IFERROR(__xludf.DUMMYFUNCTION("""COMPUTED_VALUE"""),16403.57519)</f>
        <v>16403.57519</v>
      </c>
    </row>
    <row r="2444">
      <c r="A2444" s="3">
        <f>IFERROR(__xludf.DUMMYFUNCTION("""COMPUTED_VALUE"""),42811.99861111111)</f>
        <v>42811.99861</v>
      </c>
      <c r="B2444" s="1">
        <f>IFERROR(__xludf.DUMMYFUNCTION("""COMPUTED_VALUE"""),16534.1296)</f>
        <v>16534.1296</v>
      </c>
    </row>
    <row r="2445">
      <c r="A2445" s="3">
        <f>IFERROR(__xludf.DUMMYFUNCTION("""COMPUTED_VALUE"""),42812.99861111111)</f>
        <v>42812.99861</v>
      </c>
      <c r="B2445" s="1">
        <f>IFERROR(__xludf.DUMMYFUNCTION("""COMPUTED_VALUE"""),16538.932)</f>
        <v>16538.932</v>
      </c>
    </row>
    <row r="2446">
      <c r="A2446" s="3">
        <f>IFERROR(__xludf.DUMMYFUNCTION("""COMPUTED_VALUE"""),42813.99861111111)</f>
        <v>42813.99861</v>
      </c>
      <c r="B2446" s="1">
        <f>IFERROR(__xludf.DUMMYFUNCTION("""COMPUTED_VALUE"""),16506.6723)</f>
        <v>16506.6723</v>
      </c>
    </row>
    <row r="2447">
      <c r="A2447" s="3">
        <f>IFERROR(__xludf.DUMMYFUNCTION("""COMPUTED_VALUE"""),42814.99861111111)</f>
        <v>42814.99861</v>
      </c>
      <c r="B2447" s="1">
        <f>IFERROR(__xludf.DUMMYFUNCTION("""COMPUTED_VALUE"""),16489.6842)</f>
        <v>16489.6842</v>
      </c>
    </row>
    <row r="2448">
      <c r="A2448" s="3">
        <f>IFERROR(__xludf.DUMMYFUNCTION("""COMPUTED_VALUE"""),42815.99861111111)</f>
        <v>42815.99861</v>
      </c>
      <c r="B2448" s="1">
        <f>IFERROR(__xludf.DUMMYFUNCTION("""COMPUTED_VALUE"""),16607.0532)</f>
        <v>16607.0532</v>
      </c>
    </row>
    <row r="2449">
      <c r="A2449" s="3">
        <f>IFERROR(__xludf.DUMMYFUNCTION("""COMPUTED_VALUE"""),42816.99861111111)</f>
        <v>42816.99861</v>
      </c>
      <c r="B2449" s="1">
        <f>IFERROR(__xludf.DUMMYFUNCTION("""COMPUTED_VALUE"""),16623.69999)</f>
        <v>16623.69999</v>
      </c>
    </row>
    <row r="2450">
      <c r="A2450" s="3">
        <f>IFERROR(__xludf.DUMMYFUNCTION("""COMPUTED_VALUE"""),42817.99861111111)</f>
        <v>42817.99861</v>
      </c>
      <c r="B2450" s="1">
        <f>IFERROR(__xludf.DUMMYFUNCTION("""COMPUTED_VALUE"""),16669.34152)</f>
        <v>16669.34152</v>
      </c>
    </row>
    <row r="2451">
      <c r="A2451" s="3">
        <f>IFERROR(__xludf.DUMMYFUNCTION("""COMPUTED_VALUE"""),42818.99861111111)</f>
        <v>42818.99861</v>
      </c>
      <c r="B2451" s="1">
        <f>IFERROR(__xludf.DUMMYFUNCTION("""COMPUTED_VALUE"""),16581.55527)</f>
        <v>16581.55527</v>
      </c>
    </row>
    <row r="2452">
      <c r="A2452" s="3">
        <f>IFERROR(__xludf.DUMMYFUNCTION("""COMPUTED_VALUE"""),42819.99861111111)</f>
        <v>42819.99861</v>
      </c>
      <c r="B2452" s="1">
        <f>IFERROR(__xludf.DUMMYFUNCTION("""COMPUTED_VALUE"""),16581.6882)</f>
        <v>16581.6882</v>
      </c>
    </row>
    <row r="2453">
      <c r="A2453" s="3">
        <f>IFERROR(__xludf.DUMMYFUNCTION("""COMPUTED_VALUE"""),42820.99861111111)</f>
        <v>42820.99861</v>
      </c>
      <c r="B2453" s="1">
        <f>IFERROR(__xludf.DUMMYFUNCTION("""COMPUTED_VALUE"""),16667.8488)</f>
        <v>16667.8488</v>
      </c>
    </row>
    <row r="2454">
      <c r="A2454" s="3">
        <f>IFERROR(__xludf.DUMMYFUNCTION("""COMPUTED_VALUE"""),42821.99861111111)</f>
        <v>42821.99861</v>
      </c>
      <c r="B2454" s="1">
        <f>IFERROR(__xludf.DUMMYFUNCTION("""COMPUTED_VALUE"""),16710.8556)</f>
        <v>16710.8556</v>
      </c>
    </row>
    <row r="2455">
      <c r="A2455" s="3">
        <f>IFERROR(__xludf.DUMMYFUNCTION("""COMPUTED_VALUE"""),42822.99861111111)</f>
        <v>42822.99861</v>
      </c>
      <c r="B2455" s="1">
        <f>IFERROR(__xludf.DUMMYFUNCTION("""COMPUTED_VALUE"""),16530.44345)</f>
        <v>16530.44345</v>
      </c>
    </row>
    <row r="2456">
      <c r="A2456" s="3">
        <f>IFERROR(__xludf.DUMMYFUNCTION("""COMPUTED_VALUE"""),42823.99861111111)</f>
        <v>42823.99861</v>
      </c>
      <c r="B2456" s="1">
        <f>IFERROR(__xludf.DUMMYFUNCTION("""COMPUTED_VALUE"""),16547.33564)</f>
        <v>16547.33564</v>
      </c>
    </row>
    <row r="2457">
      <c r="A2457" s="3">
        <f>IFERROR(__xludf.DUMMYFUNCTION("""COMPUTED_VALUE"""),42824.99861111111)</f>
        <v>42824.99861</v>
      </c>
      <c r="B2457" s="1">
        <f>IFERROR(__xludf.DUMMYFUNCTION("""COMPUTED_VALUE"""),16593.1623)</f>
        <v>16593.1623</v>
      </c>
    </row>
    <row r="2458">
      <c r="A2458" s="3">
        <f>IFERROR(__xludf.DUMMYFUNCTION("""COMPUTED_VALUE"""),42825.99861111111)</f>
        <v>42825.99861</v>
      </c>
      <c r="B2458" s="1">
        <f>IFERROR(__xludf.DUMMYFUNCTION("""COMPUTED_VALUE"""),16708.5303)</f>
        <v>16708.5303</v>
      </c>
    </row>
    <row r="2459">
      <c r="A2459" s="3">
        <f>IFERROR(__xludf.DUMMYFUNCTION("""COMPUTED_VALUE"""),42826.99861111111)</f>
        <v>42826.99861</v>
      </c>
      <c r="B2459" s="1">
        <f>IFERROR(__xludf.DUMMYFUNCTION("""COMPUTED_VALUE"""),17032.60386)</f>
        <v>17032.60386</v>
      </c>
    </row>
    <row r="2460">
      <c r="A2460" s="3">
        <f>IFERROR(__xludf.DUMMYFUNCTION("""COMPUTED_VALUE"""),42827.99861111111)</f>
        <v>42827.99861</v>
      </c>
      <c r="B2460" s="1">
        <f>IFERROR(__xludf.DUMMYFUNCTION("""COMPUTED_VALUE"""),16720.08975)</f>
        <v>16720.08975</v>
      </c>
    </row>
    <row r="2461">
      <c r="A2461" s="3">
        <f>IFERROR(__xludf.DUMMYFUNCTION("""COMPUTED_VALUE"""),42828.99861111111)</f>
        <v>42828.99861</v>
      </c>
      <c r="B2461" s="1">
        <f>IFERROR(__xludf.DUMMYFUNCTION("""COMPUTED_VALUE"""),16631.81716)</f>
        <v>16631.81716</v>
      </c>
    </row>
    <row r="2462">
      <c r="A2462" s="3">
        <f>IFERROR(__xludf.DUMMYFUNCTION("""COMPUTED_VALUE"""),42829.99861111111)</f>
        <v>42829.99861</v>
      </c>
      <c r="B2462" s="1">
        <f>IFERROR(__xludf.DUMMYFUNCTION("""COMPUTED_VALUE"""),16582.3416)</f>
        <v>16582.3416</v>
      </c>
    </row>
    <row r="2463">
      <c r="A2463" s="3">
        <f>IFERROR(__xludf.DUMMYFUNCTION("""COMPUTED_VALUE"""),42830.99861111111)</f>
        <v>42830.99861</v>
      </c>
      <c r="B2463" s="1">
        <f>IFERROR(__xludf.DUMMYFUNCTION("""COMPUTED_VALUE"""),16636.16364)</f>
        <v>16636.16364</v>
      </c>
    </row>
    <row r="2464">
      <c r="A2464" s="3">
        <f>IFERROR(__xludf.DUMMYFUNCTION("""COMPUTED_VALUE"""),42831.99861111111)</f>
        <v>42831.99861</v>
      </c>
      <c r="B2464" s="1">
        <f>IFERROR(__xludf.DUMMYFUNCTION("""COMPUTED_VALUE"""),16647.71922)</f>
        <v>16647.71922</v>
      </c>
    </row>
    <row r="2465">
      <c r="A2465" s="3">
        <f>IFERROR(__xludf.DUMMYFUNCTION("""COMPUTED_VALUE"""),42832.99861111111)</f>
        <v>42832.99861</v>
      </c>
      <c r="B2465" s="1">
        <f>IFERROR(__xludf.DUMMYFUNCTION("""COMPUTED_VALUE"""),16499.26215)</f>
        <v>16499.26215</v>
      </c>
    </row>
    <row r="2466">
      <c r="A2466" s="3">
        <f>IFERROR(__xludf.DUMMYFUNCTION("""COMPUTED_VALUE"""),42833.99861111111)</f>
        <v>42833.99861</v>
      </c>
      <c r="B2466" s="1">
        <f>IFERROR(__xludf.DUMMYFUNCTION("""COMPUTED_VALUE"""),16518.01803)</f>
        <v>16518.01803</v>
      </c>
    </row>
    <row r="2467">
      <c r="A2467" s="3">
        <f>IFERROR(__xludf.DUMMYFUNCTION("""COMPUTED_VALUE"""),42834.99861111111)</f>
        <v>42834.99861</v>
      </c>
      <c r="B2467" s="1">
        <f>IFERROR(__xludf.DUMMYFUNCTION("""COMPUTED_VALUE"""),16547.88393)</f>
        <v>16547.88393</v>
      </c>
    </row>
    <row r="2468">
      <c r="A2468" s="3">
        <f>IFERROR(__xludf.DUMMYFUNCTION("""COMPUTED_VALUE"""),42835.99861111111)</f>
        <v>42835.99861</v>
      </c>
      <c r="B2468" s="1">
        <f>IFERROR(__xludf.DUMMYFUNCTION("""COMPUTED_VALUE"""),16487.22685)</f>
        <v>16487.22685</v>
      </c>
    </row>
    <row r="2469">
      <c r="A2469" s="3">
        <f>IFERROR(__xludf.DUMMYFUNCTION("""COMPUTED_VALUE"""),42836.99861111111)</f>
        <v>42836.99861</v>
      </c>
      <c r="B2469" s="1">
        <f>IFERROR(__xludf.DUMMYFUNCTION("""COMPUTED_VALUE"""),16601.7881)</f>
        <v>16601.7881</v>
      </c>
    </row>
    <row r="2470">
      <c r="A2470" s="3">
        <f>IFERROR(__xludf.DUMMYFUNCTION("""COMPUTED_VALUE"""),42837.99861111111)</f>
        <v>42837.99861</v>
      </c>
      <c r="B2470" s="1">
        <f>IFERROR(__xludf.DUMMYFUNCTION("""COMPUTED_VALUE"""),16660.90899)</f>
        <v>16660.90899</v>
      </c>
    </row>
    <row r="2471">
      <c r="A2471" s="3">
        <f>IFERROR(__xludf.DUMMYFUNCTION("""COMPUTED_VALUE"""),42838.99861111111)</f>
        <v>42838.99861</v>
      </c>
      <c r="B2471" s="1">
        <f>IFERROR(__xludf.DUMMYFUNCTION("""COMPUTED_VALUE"""),16598.9828)</f>
        <v>16598.9828</v>
      </c>
    </row>
    <row r="2472">
      <c r="A2472" s="3">
        <f>IFERROR(__xludf.DUMMYFUNCTION("""COMPUTED_VALUE"""),42839.99861111111)</f>
        <v>42839.99861</v>
      </c>
      <c r="B2472" s="1">
        <f>IFERROR(__xludf.DUMMYFUNCTION("""COMPUTED_VALUE"""),16623.8277)</f>
        <v>16623.8277</v>
      </c>
    </row>
    <row r="2473">
      <c r="A2473" s="3">
        <f>IFERROR(__xludf.DUMMYFUNCTION("""COMPUTED_VALUE"""),42840.99861111111)</f>
        <v>42840.99861</v>
      </c>
      <c r="B2473" s="1">
        <f>IFERROR(__xludf.DUMMYFUNCTION("""COMPUTED_VALUE"""),16630.3922)</f>
        <v>16630.3922</v>
      </c>
    </row>
    <row r="2474">
      <c r="A2474" s="3">
        <f>IFERROR(__xludf.DUMMYFUNCTION("""COMPUTED_VALUE"""),42841.99861111111)</f>
        <v>42841.99861</v>
      </c>
      <c r="B2474" s="1">
        <f>IFERROR(__xludf.DUMMYFUNCTION("""COMPUTED_VALUE"""),16652.99571)</f>
        <v>16652.99571</v>
      </c>
    </row>
    <row r="2475">
      <c r="A2475" s="3">
        <f>IFERROR(__xludf.DUMMYFUNCTION("""COMPUTED_VALUE"""),42842.99861111111)</f>
        <v>42842.99861</v>
      </c>
      <c r="B2475" s="1">
        <f>IFERROR(__xludf.DUMMYFUNCTION("""COMPUTED_VALUE"""),16673.51077)</f>
        <v>16673.51077</v>
      </c>
    </row>
    <row r="2476">
      <c r="A2476" s="3">
        <f>IFERROR(__xludf.DUMMYFUNCTION("""COMPUTED_VALUE"""),42843.99861111111)</f>
        <v>42843.99861</v>
      </c>
      <c r="B2476" s="1">
        <f>IFERROR(__xludf.DUMMYFUNCTION("""COMPUTED_VALUE"""),17076.58464)</f>
        <v>17076.58464</v>
      </c>
    </row>
    <row r="2477">
      <c r="A2477" s="3">
        <f>IFERROR(__xludf.DUMMYFUNCTION("""COMPUTED_VALUE"""),42844.99861111111)</f>
        <v>42844.99861</v>
      </c>
      <c r="B2477" s="1">
        <f>IFERROR(__xludf.DUMMYFUNCTION("""COMPUTED_VALUE"""),17053.55487)</f>
        <v>17053.55487</v>
      </c>
    </row>
    <row r="2478">
      <c r="A2478" s="3">
        <f>IFERROR(__xludf.DUMMYFUNCTION("""COMPUTED_VALUE"""),42845.99861111111)</f>
        <v>42845.99861</v>
      </c>
      <c r="B2478" s="1">
        <f>IFERROR(__xludf.DUMMYFUNCTION("""COMPUTED_VALUE"""),17046.55902)</f>
        <v>17046.55902</v>
      </c>
    </row>
    <row r="2479">
      <c r="A2479" s="3">
        <f>IFERROR(__xludf.DUMMYFUNCTION("""COMPUTED_VALUE"""),42846.99861111111)</f>
        <v>42846.99861</v>
      </c>
      <c r="B2479" s="1">
        <f>IFERROR(__xludf.DUMMYFUNCTION("""COMPUTED_VALUE"""),17029.7104)</f>
        <v>17029.7104</v>
      </c>
    </row>
    <row r="2480">
      <c r="A2480" s="3">
        <f>IFERROR(__xludf.DUMMYFUNCTION("""COMPUTED_VALUE"""),42847.99861111111)</f>
        <v>42847.99861</v>
      </c>
      <c r="B2480" s="1">
        <f>IFERROR(__xludf.DUMMYFUNCTION("""COMPUTED_VALUE"""),17039.81083)</f>
        <v>17039.81083</v>
      </c>
    </row>
    <row r="2481">
      <c r="A2481" s="3">
        <f>IFERROR(__xludf.DUMMYFUNCTION("""COMPUTED_VALUE"""),42848.99861111111)</f>
        <v>42848.99861</v>
      </c>
      <c r="B2481" s="1">
        <f>IFERROR(__xludf.DUMMYFUNCTION("""COMPUTED_VALUE"""),16806.6383)</f>
        <v>16806.6383</v>
      </c>
    </row>
    <row r="2482">
      <c r="A2482" s="3">
        <f>IFERROR(__xludf.DUMMYFUNCTION("""COMPUTED_VALUE"""),42849.99861111111)</f>
        <v>42849.99861</v>
      </c>
      <c r="B2482" s="1">
        <f>IFERROR(__xludf.DUMMYFUNCTION("""COMPUTED_VALUE"""),16766.82868)</f>
        <v>16766.82868</v>
      </c>
    </row>
    <row r="2483">
      <c r="A2483" s="3">
        <f>IFERROR(__xludf.DUMMYFUNCTION("""COMPUTED_VALUE"""),42850.99861111111)</f>
        <v>42850.99861</v>
      </c>
      <c r="B2483" s="1">
        <f>IFERROR(__xludf.DUMMYFUNCTION("""COMPUTED_VALUE"""),17069.0793)</f>
        <v>17069.0793</v>
      </c>
    </row>
    <row r="2484">
      <c r="A2484" s="3">
        <f>IFERROR(__xludf.DUMMYFUNCTION("""COMPUTED_VALUE"""),42851.99861111111)</f>
        <v>42851.99861</v>
      </c>
      <c r="B2484" s="1">
        <f>IFERROR(__xludf.DUMMYFUNCTION("""COMPUTED_VALUE"""),17034.55016)</f>
        <v>17034.55016</v>
      </c>
    </row>
    <row r="2485">
      <c r="A2485" s="3">
        <f>IFERROR(__xludf.DUMMYFUNCTION("""COMPUTED_VALUE"""),42852.99861111111)</f>
        <v>42852.99861</v>
      </c>
      <c r="B2485" s="1">
        <f>IFERROR(__xludf.DUMMYFUNCTION("""COMPUTED_VALUE"""),17213.04377)</f>
        <v>17213.04377</v>
      </c>
    </row>
    <row r="2486">
      <c r="A2486" s="3">
        <f>IFERROR(__xludf.DUMMYFUNCTION("""COMPUTED_VALUE"""),42853.99861111111)</f>
        <v>42853.99861</v>
      </c>
      <c r="B2486" s="1">
        <f>IFERROR(__xludf.DUMMYFUNCTION("""COMPUTED_VALUE"""),17277.8112)</f>
        <v>17277.8112</v>
      </c>
    </row>
    <row r="2487">
      <c r="A2487" s="3">
        <f>IFERROR(__xludf.DUMMYFUNCTION("""COMPUTED_VALUE"""),42854.99861111111)</f>
        <v>42854.99861</v>
      </c>
      <c r="B2487" s="1">
        <f>IFERROR(__xludf.DUMMYFUNCTION("""COMPUTED_VALUE"""),17287.04312)</f>
        <v>17287.04312</v>
      </c>
    </row>
    <row r="2488">
      <c r="A2488" s="3">
        <f>IFERROR(__xludf.DUMMYFUNCTION("""COMPUTED_VALUE"""),42855.99861111111)</f>
        <v>42855.99861</v>
      </c>
      <c r="B2488" s="1">
        <f>IFERROR(__xludf.DUMMYFUNCTION("""COMPUTED_VALUE"""),17226.0121)</f>
        <v>17226.0121</v>
      </c>
    </row>
    <row r="2489">
      <c r="A2489" s="3">
        <f>IFERROR(__xludf.DUMMYFUNCTION("""COMPUTED_VALUE"""),42856.99861111111)</f>
        <v>42856.99861</v>
      </c>
      <c r="B2489" s="1">
        <f>IFERROR(__xludf.DUMMYFUNCTION("""COMPUTED_VALUE"""),17182.5875)</f>
        <v>17182.5875</v>
      </c>
    </row>
    <row r="2490">
      <c r="A2490" s="3">
        <f>IFERROR(__xludf.DUMMYFUNCTION("""COMPUTED_VALUE"""),42857.99861111111)</f>
        <v>42857.99861</v>
      </c>
      <c r="B2490" s="1">
        <f>IFERROR(__xludf.DUMMYFUNCTION("""COMPUTED_VALUE"""),17204.2618)</f>
        <v>17204.2618</v>
      </c>
    </row>
    <row r="2491">
      <c r="A2491" s="3">
        <f>IFERROR(__xludf.DUMMYFUNCTION("""COMPUTED_VALUE"""),42858.99861111111)</f>
        <v>42858.99861</v>
      </c>
      <c r="B2491" s="1">
        <f>IFERROR(__xludf.DUMMYFUNCTION("""COMPUTED_VALUE"""),17123.97752)</f>
        <v>17123.97752</v>
      </c>
    </row>
    <row r="2492">
      <c r="A2492" s="3">
        <f>IFERROR(__xludf.DUMMYFUNCTION("""COMPUTED_VALUE"""),42859.99861111111)</f>
        <v>42859.99861</v>
      </c>
      <c r="B2492" s="1">
        <f>IFERROR(__xludf.DUMMYFUNCTION("""COMPUTED_VALUE"""),17241.4164)</f>
        <v>17241.4164</v>
      </c>
    </row>
    <row r="2493">
      <c r="A2493" s="3">
        <f>IFERROR(__xludf.DUMMYFUNCTION("""COMPUTED_VALUE"""),42860.99861111111)</f>
        <v>42860.99861</v>
      </c>
      <c r="B2493" s="1">
        <f>IFERROR(__xludf.DUMMYFUNCTION("""COMPUTED_VALUE"""),17281.5385)</f>
        <v>17281.5385</v>
      </c>
    </row>
    <row r="2494">
      <c r="A2494" s="3">
        <f>IFERROR(__xludf.DUMMYFUNCTION("""COMPUTED_VALUE"""),42861.99861111111)</f>
        <v>42861.99861</v>
      </c>
      <c r="B2494" s="1">
        <f>IFERROR(__xludf.DUMMYFUNCTION("""COMPUTED_VALUE"""),17311.95567)</f>
        <v>17311.95567</v>
      </c>
    </row>
    <row r="2495">
      <c r="A2495" s="3">
        <f>IFERROR(__xludf.DUMMYFUNCTION("""COMPUTED_VALUE"""),42862.99861111111)</f>
        <v>42862.99861</v>
      </c>
      <c r="B2495" s="1">
        <f>IFERROR(__xludf.DUMMYFUNCTION("""COMPUTED_VALUE"""),17286.12901)</f>
        <v>17286.12901</v>
      </c>
    </row>
    <row r="2496">
      <c r="A2496" s="3">
        <f>IFERROR(__xludf.DUMMYFUNCTION("""COMPUTED_VALUE"""),42863.99861111111)</f>
        <v>42863.99861</v>
      </c>
      <c r="B2496" s="1">
        <f>IFERROR(__xludf.DUMMYFUNCTION("""COMPUTED_VALUE"""),17242.05544)</f>
        <v>17242.05544</v>
      </c>
    </row>
    <row r="2497">
      <c r="A2497" s="3">
        <f>IFERROR(__xludf.DUMMYFUNCTION("""COMPUTED_VALUE"""),42864.99861111111)</f>
        <v>42864.99861</v>
      </c>
      <c r="B2497" s="1">
        <f>IFERROR(__xludf.DUMMYFUNCTION("""COMPUTED_VALUE"""),17296.96602)</f>
        <v>17296.96602</v>
      </c>
    </row>
    <row r="2498">
      <c r="A2498" s="3">
        <f>IFERROR(__xludf.DUMMYFUNCTION("""COMPUTED_VALUE"""),42865.99861111111)</f>
        <v>42865.99861</v>
      </c>
      <c r="B2498" s="1">
        <f>IFERROR(__xludf.DUMMYFUNCTION("""COMPUTED_VALUE"""),17264.0937)</f>
        <v>17264.0937</v>
      </c>
    </row>
    <row r="2499">
      <c r="A2499" s="3">
        <f>IFERROR(__xludf.DUMMYFUNCTION("""COMPUTED_VALUE"""),42866.99861111111)</f>
        <v>42866.99861</v>
      </c>
      <c r="B2499" s="1">
        <f>IFERROR(__xludf.DUMMYFUNCTION("""COMPUTED_VALUE"""),17157.96992)</f>
        <v>17157.96992</v>
      </c>
    </row>
    <row r="2500">
      <c r="A2500" s="3">
        <f>IFERROR(__xludf.DUMMYFUNCTION("""COMPUTED_VALUE"""),42867.99861111111)</f>
        <v>42867.99861</v>
      </c>
      <c r="B2500" s="1">
        <f>IFERROR(__xludf.DUMMYFUNCTION("""COMPUTED_VALUE"""),17157.4427)</f>
        <v>17157.4427</v>
      </c>
    </row>
    <row r="2501">
      <c r="A2501" s="3">
        <f>IFERROR(__xludf.DUMMYFUNCTION("""COMPUTED_VALUE"""),42868.99861111111)</f>
        <v>42868.99861</v>
      </c>
      <c r="B2501" s="1">
        <f>IFERROR(__xludf.DUMMYFUNCTION("""COMPUTED_VALUE"""),17183.00903)</f>
        <v>17183.00903</v>
      </c>
    </row>
    <row r="2502">
      <c r="A2502" s="3">
        <f>IFERROR(__xludf.DUMMYFUNCTION("""COMPUTED_VALUE"""),42869.99861111111)</f>
        <v>42869.99861</v>
      </c>
      <c r="B2502" s="1">
        <f>IFERROR(__xludf.DUMMYFUNCTION("""COMPUTED_VALUE"""),17165.08674)</f>
        <v>17165.08674</v>
      </c>
    </row>
    <row r="2503">
      <c r="A2503" s="3">
        <f>IFERROR(__xludf.DUMMYFUNCTION("""COMPUTED_VALUE"""),42870.99861111111)</f>
        <v>42870.99861</v>
      </c>
      <c r="B2503" s="1">
        <f>IFERROR(__xludf.DUMMYFUNCTION("""COMPUTED_VALUE"""),17138.04855)</f>
        <v>17138.04855</v>
      </c>
    </row>
    <row r="2504">
      <c r="A2504" s="3">
        <f>IFERROR(__xludf.DUMMYFUNCTION("""COMPUTED_VALUE"""),42871.99861111111)</f>
        <v>42871.99861</v>
      </c>
      <c r="B2504" s="1">
        <f>IFERROR(__xludf.DUMMYFUNCTION("""COMPUTED_VALUE"""),17144.56566)</f>
        <v>17144.56566</v>
      </c>
    </row>
    <row r="2505">
      <c r="A2505" s="3">
        <f>IFERROR(__xludf.DUMMYFUNCTION("""COMPUTED_VALUE"""),42872.99861111111)</f>
        <v>42872.99861</v>
      </c>
      <c r="B2505" s="1">
        <f>IFERROR(__xludf.DUMMYFUNCTION("""COMPUTED_VALUE"""),17271.18194)</f>
        <v>17271.18194</v>
      </c>
    </row>
    <row r="2506">
      <c r="A2506" s="3">
        <f>IFERROR(__xludf.DUMMYFUNCTION("""COMPUTED_VALUE"""),42873.99861111111)</f>
        <v>42873.99861</v>
      </c>
      <c r="B2506" s="1">
        <f>IFERROR(__xludf.DUMMYFUNCTION("""COMPUTED_VALUE"""),17358.67248)</f>
        <v>17358.67248</v>
      </c>
    </row>
    <row r="2507">
      <c r="A2507" s="3">
        <f>IFERROR(__xludf.DUMMYFUNCTION("""COMPUTED_VALUE"""),42874.99861111111)</f>
        <v>42874.99861</v>
      </c>
      <c r="B2507" s="1">
        <f>IFERROR(__xludf.DUMMYFUNCTION("""COMPUTED_VALUE"""),17367.2253)</f>
        <v>17367.2253</v>
      </c>
    </row>
    <row r="2508">
      <c r="A2508" s="3">
        <f>IFERROR(__xludf.DUMMYFUNCTION("""COMPUTED_VALUE"""),42875.99861111111)</f>
        <v>42875.99861</v>
      </c>
      <c r="B2508" s="1">
        <f>IFERROR(__xludf.DUMMYFUNCTION("""COMPUTED_VALUE"""),17378.66232)</f>
        <v>17378.66232</v>
      </c>
    </row>
    <row r="2509">
      <c r="A2509" s="3">
        <f>IFERROR(__xludf.DUMMYFUNCTION("""COMPUTED_VALUE"""),42876.99861111111)</f>
        <v>42876.99861</v>
      </c>
      <c r="B2509" s="1">
        <f>IFERROR(__xludf.DUMMYFUNCTION("""COMPUTED_VALUE"""),17340.79424)</f>
        <v>17340.79424</v>
      </c>
    </row>
    <row r="2510">
      <c r="A2510" s="3">
        <f>IFERROR(__xludf.DUMMYFUNCTION("""COMPUTED_VALUE"""),42877.99861111111)</f>
        <v>42877.99861</v>
      </c>
      <c r="B2510" s="1">
        <f>IFERROR(__xludf.DUMMYFUNCTION("""COMPUTED_VALUE"""),17276.8224)</f>
        <v>17276.8224</v>
      </c>
    </row>
    <row r="2511">
      <c r="A2511" s="3">
        <f>IFERROR(__xludf.DUMMYFUNCTION("""COMPUTED_VALUE"""),42878.99861111111)</f>
        <v>42878.99861</v>
      </c>
      <c r="B2511" s="1">
        <f>IFERROR(__xludf.DUMMYFUNCTION("""COMPUTED_VALUE"""),17226.03168)</f>
        <v>17226.03168</v>
      </c>
    </row>
    <row r="2512">
      <c r="A2512" s="3">
        <f>IFERROR(__xludf.DUMMYFUNCTION("""COMPUTED_VALUE"""),42879.99861111111)</f>
        <v>42879.99861</v>
      </c>
      <c r="B2512" s="1">
        <f>IFERROR(__xludf.DUMMYFUNCTION("""COMPUTED_VALUE"""),17263.46862)</f>
        <v>17263.46862</v>
      </c>
    </row>
    <row r="2513">
      <c r="A2513" s="3">
        <f>IFERROR(__xludf.DUMMYFUNCTION("""COMPUTED_VALUE"""),42880.99861111111)</f>
        <v>42880.99861</v>
      </c>
      <c r="B2513" s="1">
        <f>IFERROR(__xludf.DUMMYFUNCTION("""COMPUTED_VALUE"""),17200.1511)</f>
        <v>17200.1511</v>
      </c>
    </row>
    <row r="2514">
      <c r="A2514" s="3">
        <f>IFERROR(__xludf.DUMMYFUNCTION("""COMPUTED_VALUE"""),42881.99861111111)</f>
        <v>42881.99861</v>
      </c>
      <c r="B2514" s="1">
        <f>IFERROR(__xludf.DUMMYFUNCTION("""COMPUTED_VALUE"""),17024.5134)</f>
        <v>17024.5134</v>
      </c>
    </row>
    <row r="2515">
      <c r="A2515" s="3">
        <f>IFERROR(__xludf.DUMMYFUNCTION("""COMPUTED_VALUE"""),42882.99861111111)</f>
        <v>42882.99861</v>
      </c>
      <c r="B2515" s="1">
        <f>IFERROR(__xludf.DUMMYFUNCTION("""COMPUTED_VALUE"""),17015.284)</f>
        <v>17015.284</v>
      </c>
    </row>
    <row r="2516">
      <c r="A2516" s="3">
        <f>IFERROR(__xludf.DUMMYFUNCTION("""COMPUTED_VALUE"""),42883.99861111111)</f>
        <v>42883.99861</v>
      </c>
      <c r="B2516" s="1">
        <f>IFERROR(__xludf.DUMMYFUNCTION("""COMPUTED_VALUE"""),17025.78152)</f>
        <v>17025.78152</v>
      </c>
    </row>
    <row r="2517">
      <c r="A2517" s="3">
        <f>IFERROR(__xludf.DUMMYFUNCTION("""COMPUTED_VALUE"""),42884.99861111111)</f>
        <v>42884.99861</v>
      </c>
      <c r="B2517" s="1">
        <f>IFERROR(__xludf.DUMMYFUNCTION("""COMPUTED_VALUE"""),17060.64265)</f>
        <v>17060.64265</v>
      </c>
    </row>
    <row r="2518">
      <c r="A2518" s="3">
        <f>IFERROR(__xludf.DUMMYFUNCTION("""COMPUTED_VALUE"""),42885.99861111111)</f>
        <v>42885.99861</v>
      </c>
      <c r="B2518" s="1">
        <f>IFERROR(__xludf.DUMMYFUNCTION("""COMPUTED_VALUE"""),17059.64115)</f>
        <v>17059.64115</v>
      </c>
    </row>
    <row r="2519">
      <c r="A2519" s="3">
        <f>IFERROR(__xludf.DUMMYFUNCTION("""COMPUTED_VALUE"""),42886.99861111111)</f>
        <v>42886.99861</v>
      </c>
      <c r="B2519" s="1">
        <f>IFERROR(__xludf.DUMMYFUNCTION("""COMPUTED_VALUE"""),17114.6956)</f>
        <v>17114.6956</v>
      </c>
    </row>
    <row r="2520">
      <c r="A2520" s="3">
        <f>IFERROR(__xludf.DUMMYFUNCTION("""COMPUTED_VALUE"""),42887.99861111111)</f>
        <v>42887.99861</v>
      </c>
      <c r="B2520" s="1">
        <f>IFERROR(__xludf.DUMMYFUNCTION("""COMPUTED_VALUE"""),17122.78392)</f>
        <v>17122.78392</v>
      </c>
    </row>
    <row r="2521">
      <c r="A2521" s="3">
        <f>IFERROR(__xludf.DUMMYFUNCTION("""COMPUTED_VALUE"""),42888.99861111111)</f>
        <v>42888.99861</v>
      </c>
      <c r="B2521" s="1">
        <f>IFERROR(__xludf.DUMMYFUNCTION("""COMPUTED_VALUE"""),17123.12966)</f>
        <v>17123.12966</v>
      </c>
    </row>
    <row r="2522">
      <c r="A2522" s="3">
        <f>IFERROR(__xludf.DUMMYFUNCTION("""COMPUTED_VALUE"""),42889.99861111111)</f>
        <v>42889.99861</v>
      </c>
      <c r="B2522" s="1">
        <f>IFERROR(__xludf.DUMMYFUNCTION("""COMPUTED_VALUE"""),17148.856)</f>
        <v>17148.856</v>
      </c>
    </row>
    <row r="2523">
      <c r="A2523" s="3">
        <f>IFERROR(__xludf.DUMMYFUNCTION("""COMPUTED_VALUE"""),42890.99861111111)</f>
        <v>42890.99861</v>
      </c>
      <c r="B2523" s="1">
        <f>IFERROR(__xludf.DUMMYFUNCTION("""COMPUTED_VALUE"""),17121.18368)</f>
        <v>17121.18368</v>
      </c>
    </row>
    <row r="2524">
      <c r="A2524" s="3">
        <f>IFERROR(__xludf.DUMMYFUNCTION("""COMPUTED_VALUE"""),42891.99861111111)</f>
        <v>42891.99861</v>
      </c>
      <c r="B2524" s="1">
        <f>IFERROR(__xludf.DUMMYFUNCTION("""COMPUTED_VALUE"""),17143.43829)</f>
        <v>17143.43829</v>
      </c>
    </row>
    <row r="2525">
      <c r="A2525" s="3">
        <f>IFERROR(__xludf.DUMMYFUNCTION("""COMPUTED_VALUE"""),42892.99861111111)</f>
        <v>42892.99861</v>
      </c>
      <c r="B2525" s="1">
        <f>IFERROR(__xludf.DUMMYFUNCTION("""COMPUTED_VALUE"""),17110.20914)</f>
        <v>17110.20914</v>
      </c>
    </row>
    <row r="2526">
      <c r="A2526" s="3">
        <f>IFERROR(__xludf.DUMMYFUNCTION("""COMPUTED_VALUE"""),42893.99861111111)</f>
        <v>42893.99861</v>
      </c>
      <c r="B2526" s="1">
        <f>IFERROR(__xludf.DUMMYFUNCTION("""COMPUTED_VALUE"""),17255.24556)</f>
        <v>17255.24556</v>
      </c>
    </row>
    <row r="2527">
      <c r="A2527" s="3">
        <f>IFERROR(__xludf.DUMMYFUNCTION("""COMPUTED_VALUE"""),42894.99861111111)</f>
        <v>42894.99861</v>
      </c>
      <c r="B2527" s="1">
        <f>IFERROR(__xludf.DUMMYFUNCTION("""COMPUTED_VALUE"""),16908.43014)</f>
        <v>16908.43014</v>
      </c>
    </row>
    <row r="2528">
      <c r="A2528" s="3">
        <f>IFERROR(__xludf.DUMMYFUNCTION("""COMPUTED_VALUE"""),42895.99861111111)</f>
        <v>42895.99861</v>
      </c>
      <c r="B2528" s="1">
        <f>IFERROR(__xludf.DUMMYFUNCTION("""COMPUTED_VALUE"""),16932.44513)</f>
        <v>16932.44513</v>
      </c>
    </row>
    <row r="2529">
      <c r="A2529" s="3">
        <f>IFERROR(__xludf.DUMMYFUNCTION("""COMPUTED_VALUE"""),42896.99861111111)</f>
        <v>42896.99861</v>
      </c>
      <c r="B2529" s="1">
        <f>IFERROR(__xludf.DUMMYFUNCTION("""COMPUTED_VALUE"""),16923.9783)</f>
        <v>16923.9783</v>
      </c>
    </row>
    <row r="2530">
      <c r="A2530" s="3">
        <f>IFERROR(__xludf.DUMMYFUNCTION("""COMPUTED_VALUE"""),42897.99861111111)</f>
        <v>42897.99861</v>
      </c>
      <c r="B2530" s="1">
        <f>IFERROR(__xludf.DUMMYFUNCTION("""COMPUTED_VALUE"""),16935.171)</f>
        <v>16935.171</v>
      </c>
    </row>
    <row r="2531">
      <c r="A2531" s="3">
        <f>IFERROR(__xludf.DUMMYFUNCTION("""COMPUTED_VALUE"""),42898.99861111111)</f>
        <v>42898.99861</v>
      </c>
      <c r="B2531" s="1">
        <f>IFERROR(__xludf.DUMMYFUNCTION("""COMPUTED_VALUE"""),16867.10718)</f>
        <v>16867.10718</v>
      </c>
    </row>
    <row r="2532">
      <c r="A2532" s="3">
        <f>IFERROR(__xludf.DUMMYFUNCTION("""COMPUTED_VALUE"""),42899.99861111111)</f>
        <v>42899.99861</v>
      </c>
      <c r="B2532" s="1">
        <f>IFERROR(__xludf.DUMMYFUNCTION("""COMPUTED_VALUE"""),16932.82334)</f>
        <v>16932.82334</v>
      </c>
    </row>
    <row r="2533">
      <c r="A2533" s="3">
        <f>IFERROR(__xludf.DUMMYFUNCTION("""COMPUTED_VALUE"""),42900.99861111111)</f>
        <v>42900.99861</v>
      </c>
      <c r="B2533" s="1">
        <f>IFERROR(__xludf.DUMMYFUNCTION("""COMPUTED_VALUE"""),16944.56582)</f>
        <v>16944.56582</v>
      </c>
    </row>
    <row r="2534">
      <c r="A2534" s="3">
        <f>IFERROR(__xludf.DUMMYFUNCTION("""COMPUTED_VALUE"""),42901.99861111111)</f>
        <v>42901.99861</v>
      </c>
      <c r="B2534" s="1">
        <f>IFERROR(__xludf.DUMMYFUNCTION("""COMPUTED_VALUE"""),16957.95934)</f>
        <v>16957.95934</v>
      </c>
    </row>
    <row r="2535">
      <c r="A2535" s="3">
        <f>IFERROR(__xludf.DUMMYFUNCTION("""COMPUTED_VALUE"""),42902.99861111111)</f>
        <v>42902.99861</v>
      </c>
      <c r="B2535" s="1">
        <f>IFERROR(__xludf.DUMMYFUNCTION("""COMPUTED_VALUE"""),16978.5066)</f>
        <v>16978.5066</v>
      </c>
    </row>
    <row r="2536">
      <c r="A2536" s="3">
        <f>IFERROR(__xludf.DUMMYFUNCTION("""COMPUTED_VALUE"""),42903.99861111111)</f>
        <v>42903.99861</v>
      </c>
      <c r="B2536" s="1">
        <f>IFERROR(__xludf.DUMMYFUNCTION("""COMPUTED_VALUE"""),16982.064)</f>
        <v>16982.064</v>
      </c>
    </row>
    <row r="2537">
      <c r="A2537" s="3">
        <f>IFERROR(__xludf.DUMMYFUNCTION("""COMPUTED_VALUE"""),42904.99861111111)</f>
        <v>42904.99861</v>
      </c>
      <c r="B2537" s="1">
        <f>IFERROR(__xludf.DUMMYFUNCTION("""COMPUTED_VALUE"""),16962.6952)</f>
        <v>16962.6952</v>
      </c>
    </row>
    <row r="2538">
      <c r="A2538" s="3">
        <f>IFERROR(__xludf.DUMMYFUNCTION("""COMPUTED_VALUE"""),42905.99861111111)</f>
        <v>42905.99861</v>
      </c>
      <c r="B2538" s="1">
        <f>IFERROR(__xludf.DUMMYFUNCTION("""COMPUTED_VALUE"""),16913.34372)</f>
        <v>16913.34372</v>
      </c>
    </row>
    <row r="2539">
      <c r="A2539" s="3">
        <f>IFERROR(__xludf.DUMMYFUNCTION("""COMPUTED_VALUE"""),42906.99861111111)</f>
        <v>42906.99861</v>
      </c>
      <c r="B2539" s="1">
        <f>IFERROR(__xludf.DUMMYFUNCTION("""COMPUTED_VALUE"""),16788.52665)</f>
        <v>16788.52665</v>
      </c>
    </row>
    <row r="2540">
      <c r="A2540" s="3">
        <f>IFERROR(__xludf.DUMMYFUNCTION("""COMPUTED_VALUE"""),42907.99861111111)</f>
        <v>42907.99861</v>
      </c>
      <c r="B2540" s="1">
        <f>IFERROR(__xludf.DUMMYFUNCTION("""COMPUTED_VALUE"""),16858.48546)</f>
        <v>16858.48546</v>
      </c>
    </row>
    <row r="2541">
      <c r="A2541" s="3">
        <f>IFERROR(__xludf.DUMMYFUNCTION("""COMPUTED_VALUE"""),42908.99861111111)</f>
        <v>42908.99861</v>
      </c>
      <c r="B2541" s="1">
        <f>IFERROR(__xludf.DUMMYFUNCTION("""COMPUTED_VALUE"""),16912.51911)</f>
        <v>16912.51911</v>
      </c>
    </row>
    <row r="2542">
      <c r="A2542" s="3">
        <f>IFERROR(__xludf.DUMMYFUNCTION("""COMPUTED_VALUE"""),42909.99861111111)</f>
        <v>42909.99861</v>
      </c>
      <c r="B2542" s="1">
        <f>IFERROR(__xludf.DUMMYFUNCTION("""COMPUTED_VALUE"""),16927.58401)</f>
        <v>16927.58401</v>
      </c>
    </row>
    <row r="2543">
      <c r="A2543" s="3">
        <f>IFERROR(__xludf.DUMMYFUNCTION("""COMPUTED_VALUE"""),42910.99861111111)</f>
        <v>42910.99861</v>
      </c>
      <c r="B2543" s="1">
        <f>IFERROR(__xludf.DUMMYFUNCTION("""COMPUTED_VALUE"""),16933.41036)</f>
        <v>16933.41036</v>
      </c>
    </row>
    <row r="2544">
      <c r="A2544" s="3">
        <f>IFERROR(__xludf.DUMMYFUNCTION("""COMPUTED_VALUE"""),42911.99861111111)</f>
        <v>42911.99861</v>
      </c>
      <c r="B2544" s="1">
        <f>IFERROR(__xludf.DUMMYFUNCTION("""COMPUTED_VALUE"""),16927.00416)</f>
        <v>16927.00416</v>
      </c>
    </row>
    <row r="2545">
      <c r="A2545" s="3">
        <f>IFERROR(__xludf.DUMMYFUNCTION("""COMPUTED_VALUE"""),42912.99861111111)</f>
        <v>42912.99861</v>
      </c>
      <c r="B2545" s="1">
        <f>IFERROR(__xludf.DUMMYFUNCTION("""COMPUTED_VALUE"""),16944.4914)</f>
        <v>16944.4914</v>
      </c>
    </row>
    <row r="2546">
      <c r="A2546" s="3">
        <f>IFERROR(__xludf.DUMMYFUNCTION("""COMPUTED_VALUE"""),42913.99861111111)</f>
        <v>42913.99861</v>
      </c>
      <c r="B2546" s="1">
        <f>IFERROR(__xludf.DUMMYFUNCTION("""COMPUTED_VALUE"""),17050.07652)</f>
        <v>17050.07652</v>
      </c>
    </row>
    <row r="2547">
      <c r="A2547" s="3">
        <f>IFERROR(__xludf.DUMMYFUNCTION("""COMPUTED_VALUE"""),42914.99861111111)</f>
        <v>42914.99861</v>
      </c>
      <c r="B2547" s="1">
        <f>IFERROR(__xludf.DUMMYFUNCTION("""COMPUTED_VALUE"""),17205.42288)</f>
        <v>17205.42288</v>
      </c>
    </row>
    <row r="2548">
      <c r="A2548" s="3">
        <f>IFERROR(__xludf.DUMMYFUNCTION("""COMPUTED_VALUE"""),42915.99861111111)</f>
        <v>42915.99861</v>
      </c>
      <c r="B2548" s="1">
        <f>IFERROR(__xludf.DUMMYFUNCTION("""COMPUTED_VALUE"""),17274.94356)</f>
        <v>17274.94356</v>
      </c>
    </row>
    <row r="2549">
      <c r="A2549" s="3">
        <f>IFERROR(__xludf.DUMMYFUNCTION("""COMPUTED_VALUE"""),42916.99861111111)</f>
        <v>42916.99861</v>
      </c>
      <c r="B2549" s="1">
        <f>IFERROR(__xludf.DUMMYFUNCTION("""COMPUTED_VALUE"""),17341.91319)</f>
        <v>17341.91319</v>
      </c>
    </row>
    <row r="2550">
      <c r="A2550" s="3">
        <f>IFERROR(__xludf.DUMMYFUNCTION("""COMPUTED_VALUE"""),42917.99861111111)</f>
        <v>42917.99861</v>
      </c>
      <c r="B2550" s="1">
        <f>IFERROR(__xludf.DUMMYFUNCTION("""COMPUTED_VALUE"""),17322.01561)</f>
        <v>17322.01561</v>
      </c>
    </row>
    <row r="2551">
      <c r="A2551" s="3">
        <f>IFERROR(__xludf.DUMMYFUNCTION("""COMPUTED_VALUE"""),42918.99861111111)</f>
        <v>42918.99861</v>
      </c>
      <c r="B2551" s="1">
        <f>IFERROR(__xludf.DUMMYFUNCTION("""COMPUTED_VALUE"""),17307.74594)</f>
        <v>17307.74594</v>
      </c>
    </row>
    <row r="2552">
      <c r="A2552" s="3">
        <f>IFERROR(__xludf.DUMMYFUNCTION("""COMPUTED_VALUE"""),42919.99861111111)</f>
        <v>42919.99861</v>
      </c>
      <c r="B2552" s="1">
        <f>IFERROR(__xludf.DUMMYFUNCTION("""COMPUTED_VALUE"""),17299.698)</f>
        <v>17299.698</v>
      </c>
    </row>
    <row r="2553">
      <c r="A2553" s="3">
        <f>IFERROR(__xludf.DUMMYFUNCTION("""COMPUTED_VALUE"""),42920.99861111111)</f>
        <v>42920.99861</v>
      </c>
      <c r="B2553" s="1">
        <f>IFERROR(__xludf.DUMMYFUNCTION("""COMPUTED_VALUE"""),17270.05254)</f>
        <v>17270.05254</v>
      </c>
    </row>
    <row r="2554">
      <c r="A2554" s="3">
        <f>IFERROR(__xludf.DUMMYFUNCTION("""COMPUTED_VALUE"""),42921.99861111111)</f>
        <v>42921.99861</v>
      </c>
      <c r="B2554" s="1">
        <f>IFERROR(__xludf.DUMMYFUNCTION("""COMPUTED_VALUE"""),17279.42804)</f>
        <v>17279.42804</v>
      </c>
    </row>
    <row r="2555">
      <c r="A2555" s="3">
        <f>IFERROR(__xludf.DUMMYFUNCTION("""COMPUTED_VALUE"""),42922.99861111111)</f>
        <v>42922.99861</v>
      </c>
      <c r="B2555" s="1">
        <f>IFERROR(__xludf.DUMMYFUNCTION("""COMPUTED_VALUE"""),17357.751)</f>
        <v>17357.751</v>
      </c>
    </row>
    <row r="2556">
      <c r="A2556" s="3">
        <f>IFERROR(__xludf.DUMMYFUNCTION("""COMPUTED_VALUE"""),42923.99861111111)</f>
        <v>42923.99861</v>
      </c>
      <c r="B2556" s="1">
        <f>IFERROR(__xludf.DUMMYFUNCTION("""COMPUTED_VALUE"""),17267.2486)</f>
        <v>17267.2486</v>
      </c>
    </row>
    <row r="2557">
      <c r="A2557" s="3">
        <f>IFERROR(__xludf.DUMMYFUNCTION("""COMPUTED_VALUE"""),42924.99861111111)</f>
        <v>42924.99861</v>
      </c>
      <c r="B2557" s="1">
        <f>IFERROR(__xludf.DUMMYFUNCTION("""COMPUTED_VALUE"""),17304.68665)</f>
        <v>17304.68665</v>
      </c>
    </row>
    <row r="2558">
      <c r="A2558" s="3">
        <f>IFERROR(__xludf.DUMMYFUNCTION("""COMPUTED_VALUE"""),42925.99861111111)</f>
        <v>42925.99861</v>
      </c>
      <c r="B2558" s="1">
        <f>IFERROR(__xludf.DUMMYFUNCTION("""COMPUTED_VALUE"""),17284.2528)</f>
        <v>17284.2528</v>
      </c>
    </row>
    <row r="2559">
      <c r="A2559" s="3">
        <f>IFERROR(__xludf.DUMMYFUNCTION("""COMPUTED_VALUE"""),42926.99861111111)</f>
        <v>42926.99861</v>
      </c>
      <c r="B2559" s="1">
        <f>IFERROR(__xludf.DUMMYFUNCTION("""COMPUTED_VALUE"""),17243.47624)</f>
        <v>17243.47624</v>
      </c>
    </row>
    <row r="2560">
      <c r="A2560" s="3">
        <f>IFERROR(__xludf.DUMMYFUNCTION("""COMPUTED_VALUE"""),42927.99861111111)</f>
        <v>42927.99861</v>
      </c>
      <c r="B2560" s="1">
        <f>IFERROR(__xludf.DUMMYFUNCTION("""COMPUTED_VALUE"""),17165.21212)</f>
        <v>17165.21212</v>
      </c>
    </row>
    <row r="2561">
      <c r="A2561" s="3">
        <f>IFERROR(__xludf.DUMMYFUNCTION("""COMPUTED_VALUE"""),42928.99861111111)</f>
        <v>42928.99861</v>
      </c>
      <c r="B2561" s="1">
        <f>IFERROR(__xludf.DUMMYFUNCTION("""COMPUTED_VALUE"""),17227.98049)</f>
        <v>17227.98049</v>
      </c>
    </row>
    <row r="2562">
      <c r="A2562" s="3">
        <f>IFERROR(__xludf.DUMMYFUNCTION("""COMPUTED_VALUE"""),42929.99861111111)</f>
        <v>42929.99861</v>
      </c>
      <c r="B2562" s="1">
        <f>IFERROR(__xludf.DUMMYFUNCTION("""COMPUTED_VALUE"""),17271.2586)</f>
        <v>17271.2586</v>
      </c>
    </row>
    <row r="2563">
      <c r="A2563" s="3">
        <f>IFERROR(__xludf.DUMMYFUNCTION("""COMPUTED_VALUE"""),42930.99861111111)</f>
        <v>42930.99861</v>
      </c>
      <c r="B2563" s="1">
        <f>IFERROR(__xludf.DUMMYFUNCTION("""COMPUTED_VALUE"""),17409.8025)</f>
        <v>17409.8025</v>
      </c>
    </row>
    <row r="2564">
      <c r="A2564" s="3">
        <f>IFERROR(__xludf.DUMMYFUNCTION("""COMPUTED_VALUE"""),42931.99861111111)</f>
        <v>42931.99861</v>
      </c>
      <c r="B2564" s="1">
        <f>IFERROR(__xludf.DUMMYFUNCTION("""COMPUTED_VALUE"""),17417.44374)</f>
        <v>17417.44374</v>
      </c>
    </row>
    <row r="2565">
      <c r="A2565" s="3">
        <f>IFERROR(__xludf.DUMMYFUNCTION("""COMPUTED_VALUE"""),42932.99861111111)</f>
        <v>42932.99861</v>
      </c>
      <c r="B2565" s="1">
        <f>IFERROR(__xludf.DUMMYFUNCTION("""COMPUTED_VALUE"""),17477.31876)</f>
        <v>17477.31876</v>
      </c>
    </row>
    <row r="2566">
      <c r="A2566" s="3">
        <f>IFERROR(__xludf.DUMMYFUNCTION("""COMPUTED_VALUE"""),42933.99861111111)</f>
        <v>42933.99861</v>
      </c>
      <c r="B2566" s="1">
        <f>IFERROR(__xludf.DUMMYFUNCTION("""COMPUTED_VALUE"""),17385.50352)</f>
        <v>17385.50352</v>
      </c>
    </row>
    <row r="2567">
      <c r="A2567" s="3">
        <f>IFERROR(__xludf.DUMMYFUNCTION("""COMPUTED_VALUE"""),42934.99861111111)</f>
        <v>42934.99861</v>
      </c>
      <c r="B2567" s="1">
        <f>IFERROR(__xludf.DUMMYFUNCTION("""COMPUTED_VALUE"""),17342.4825)</f>
        <v>17342.4825</v>
      </c>
    </row>
    <row r="2568">
      <c r="A2568" s="3">
        <f>IFERROR(__xludf.DUMMYFUNCTION("""COMPUTED_VALUE"""),42935.99861111111)</f>
        <v>42935.99861</v>
      </c>
      <c r="B2568" s="1">
        <f>IFERROR(__xludf.DUMMYFUNCTION("""COMPUTED_VALUE"""),17340.42919)</f>
        <v>17340.42919</v>
      </c>
    </row>
    <row r="2569">
      <c r="A2569" s="3">
        <f>IFERROR(__xludf.DUMMYFUNCTION("""COMPUTED_VALUE"""),42936.99861111111)</f>
        <v>42936.99861</v>
      </c>
      <c r="B2569" s="1">
        <f>IFERROR(__xludf.DUMMYFUNCTION("""COMPUTED_VALUE"""),17246.40829)</f>
        <v>17246.40829</v>
      </c>
    </row>
    <row r="2570">
      <c r="A2570" s="3">
        <f>IFERROR(__xludf.DUMMYFUNCTION("""COMPUTED_VALUE"""),42937.99861111111)</f>
        <v>42937.99861</v>
      </c>
      <c r="B2570" s="1">
        <f>IFERROR(__xludf.DUMMYFUNCTION("""COMPUTED_VALUE"""),17309.17419)</f>
        <v>17309.17419</v>
      </c>
    </row>
    <row r="2571">
      <c r="A2571" s="3">
        <f>IFERROR(__xludf.DUMMYFUNCTION("""COMPUTED_VALUE"""),42938.99861111111)</f>
        <v>42938.99861</v>
      </c>
      <c r="B2571" s="1">
        <f>IFERROR(__xludf.DUMMYFUNCTION("""COMPUTED_VALUE"""),17314.56343)</f>
        <v>17314.56343</v>
      </c>
    </row>
    <row r="2572">
      <c r="A2572" s="3">
        <f>IFERROR(__xludf.DUMMYFUNCTION("""COMPUTED_VALUE"""),42939.99861111111)</f>
        <v>42939.99861</v>
      </c>
      <c r="B2572" s="1">
        <f>IFERROR(__xludf.DUMMYFUNCTION("""COMPUTED_VALUE"""),17249.0101)</f>
        <v>17249.0101</v>
      </c>
    </row>
    <row r="2573">
      <c r="A2573" s="3">
        <f>IFERROR(__xludf.DUMMYFUNCTION("""COMPUTED_VALUE"""),42940.99861111111)</f>
        <v>42940.99861</v>
      </c>
      <c r="B2573" s="1">
        <f>IFERROR(__xludf.DUMMYFUNCTION("""COMPUTED_VALUE"""),17347.419)</f>
        <v>17347.419</v>
      </c>
    </row>
    <row r="2574">
      <c r="A2574" s="3">
        <f>IFERROR(__xludf.DUMMYFUNCTION("""COMPUTED_VALUE"""),42941.99861111111)</f>
        <v>42941.99861</v>
      </c>
      <c r="B2574" s="1">
        <f>IFERROR(__xludf.DUMMYFUNCTION("""COMPUTED_VALUE"""),17360.65296)</f>
        <v>17360.65296</v>
      </c>
    </row>
    <row r="2575">
      <c r="A2575" s="3">
        <f>IFERROR(__xludf.DUMMYFUNCTION("""COMPUTED_VALUE"""),42942.99861111111)</f>
        <v>42942.99861</v>
      </c>
      <c r="B2575" s="1">
        <f>IFERROR(__xludf.DUMMYFUNCTION("""COMPUTED_VALUE"""),17478.45099)</f>
        <v>17478.45099</v>
      </c>
    </row>
    <row r="2576">
      <c r="A2576" s="3">
        <f>IFERROR(__xludf.DUMMYFUNCTION("""COMPUTED_VALUE"""),42943.99861111111)</f>
        <v>42943.99861</v>
      </c>
      <c r="B2576" s="1">
        <f>IFERROR(__xludf.DUMMYFUNCTION("""COMPUTED_VALUE"""),17404.66494)</f>
        <v>17404.66494</v>
      </c>
    </row>
    <row r="2577">
      <c r="A2577" s="3">
        <f>IFERROR(__xludf.DUMMYFUNCTION("""COMPUTED_VALUE"""),42944.99861111111)</f>
        <v>42944.99861</v>
      </c>
      <c r="B2577" s="1">
        <f>IFERROR(__xludf.DUMMYFUNCTION("""COMPUTED_VALUE"""),17512.8555)</f>
        <v>17512.8555</v>
      </c>
    </row>
    <row r="2578">
      <c r="A2578" s="3">
        <f>IFERROR(__xludf.DUMMYFUNCTION("""COMPUTED_VALUE"""),42945.99861111111)</f>
        <v>42945.99861</v>
      </c>
      <c r="B2578" s="1">
        <f>IFERROR(__xludf.DUMMYFUNCTION("""COMPUTED_VALUE"""),17494.488)</f>
        <v>17494.488</v>
      </c>
    </row>
    <row r="2579">
      <c r="A2579" s="3">
        <f>IFERROR(__xludf.DUMMYFUNCTION("""COMPUTED_VALUE"""),42946.99861111111)</f>
        <v>42946.99861</v>
      </c>
      <c r="B2579" s="1">
        <f>IFERROR(__xludf.DUMMYFUNCTION("""COMPUTED_VALUE"""),17506.8756)</f>
        <v>17506.8756</v>
      </c>
    </row>
    <row r="2580">
      <c r="A2580" s="3">
        <f>IFERROR(__xludf.DUMMYFUNCTION("""COMPUTED_VALUE"""),42947.99861111111)</f>
        <v>42947.99861</v>
      </c>
      <c r="B2580" s="1">
        <f>IFERROR(__xludf.DUMMYFUNCTION("""COMPUTED_VALUE"""),17572.30192)</f>
        <v>17572.30192</v>
      </c>
    </row>
    <row r="2581">
      <c r="A2581" s="3">
        <f>IFERROR(__xludf.DUMMYFUNCTION("""COMPUTED_VALUE"""),42948.99861111111)</f>
        <v>42948.99861</v>
      </c>
      <c r="B2581" s="1">
        <f>IFERROR(__xludf.DUMMYFUNCTION("""COMPUTED_VALUE"""),17587.09605)</f>
        <v>17587.09605</v>
      </c>
    </row>
    <row r="2582">
      <c r="A2582" s="3">
        <f>IFERROR(__xludf.DUMMYFUNCTION("""COMPUTED_VALUE"""),42949.99861111111)</f>
        <v>42949.99861</v>
      </c>
      <c r="B2582" s="1">
        <f>IFERROR(__xludf.DUMMYFUNCTION("""COMPUTED_VALUE"""),17614.79541)</f>
        <v>17614.79541</v>
      </c>
    </row>
    <row r="2583">
      <c r="A2583" s="3">
        <f>IFERROR(__xludf.DUMMYFUNCTION("""COMPUTED_VALUE"""),42950.99861111111)</f>
        <v>42950.99861</v>
      </c>
      <c r="B2583" s="1">
        <f>IFERROR(__xludf.DUMMYFUNCTION("""COMPUTED_VALUE"""),17503.8298)</f>
        <v>17503.8298</v>
      </c>
    </row>
    <row r="2584">
      <c r="A2584" s="3">
        <f>IFERROR(__xludf.DUMMYFUNCTION("""COMPUTED_VALUE"""),42951.99861111111)</f>
        <v>42951.99861</v>
      </c>
      <c r="B2584" s="1">
        <f>IFERROR(__xludf.DUMMYFUNCTION("""COMPUTED_VALUE"""),17352.05888)</f>
        <v>17352.05888</v>
      </c>
    </row>
    <row r="2585">
      <c r="A2585" s="3">
        <f>IFERROR(__xludf.DUMMYFUNCTION("""COMPUTED_VALUE"""),42952.99861111111)</f>
        <v>42952.99861</v>
      </c>
      <c r="B2585" s="1">
        <f>IFERROR(__xludf.DUMMYFUNCTION("""COMPUTED_VALUE"""),17384.40898)</f>
        <v>17384.40898</v>
      </c>
    </row>
    <row r="2586">
      <c r="A2586" s="3">
        <f>IFERROR(__xludf.DUMMYFUNCTION("""COMPUTED_VALUE"""),42953.99861111111)</f>
        <v>42953.99861</v>
      </c>
      <c r="B2586" s="1">
        <f>IFERROR(__xludf.DUMMYFUNCTION("""COMPUTED_VALUE"""),17362.52213)</f>
        <v>17362.52213</v>
      </c>
    </row>
    <row r="2587">
      <c r="A2587" s="3">
        <f>IFERROR(__xludf.DUMMYFUNCTION("""COMPUTED_VALUE"""),42954.99861111111)</f>
        <v>42954.99861</v>
      </c>
      <c r="B2587" s="1">
        <f>IFERROR(__xludf.DUMMYFUNCTION("""COMPUTED_VALUE"""),17356.9014)</f>
        <v>17356.9014</v>
      </c>
    </row>
    <row r="2588">
      <c r="A2588" s="3">
        <f>IFERROR(__xludf.DUMMYFUNCTION("""COMPUTED_VALUE"""),42955.99861111111)</f>
        <v>42955.99861</v>
      </c>
      <c r="B2588" s="1">
        <f>IFERROR(__xludf.DUMMYFUNCTION("""COMPUTED_VALUE"""),17277.57488)</f>
        <v>17277.57488</v>
      </c>
    </row>
    <row r="2589">
      <c r="A2589" s="3">
        <f>IFERROR(__xludf.DUMMYFUNCTION("""COMPUTED_VALUE"""),42956.99861111111)</f>
        <v>42956.99861</v>
      </c>
      <c r="B2589" s="1">
        <f>IFERROR(__xludf.DUMMYFUNCTION("""COMPUTED_VALUE"""),17335.7934)</f>
        <v>17335.7934</v>
      </c>
    </row>
    <row r="2590">
      <c r="A2590" s="3">
        <f>IFERROR(__xludf.DUMMYFUNCTION("""COMPUTED_VALUE"""),42957.99861111111)</f>
        <v>42957.99861</v>
      </c>
      <c r="B2590" s="1">
        <f>IFERROR(__xludf.DUMMYFUNCTION("""COMPUTED_VALUE"""),17292.18231)</f>
        <v>17292.18231</v>
      </c>
    </row>
    <row r="2591">
      <c r="A2591" s="3">
        <f>IFERROR(__xludf.DUMMYFUNCTION("""COMPUTED_VALUE"""),42958.99861111111)</f>
        <v>42958.99861</v>
      </c>
      <c r="B2591" s="1">
        <f>IFERROR(__xludf.DUMMYFUNCTION("""COMPUTED_VALUE"""),17365.18014)</f>
        <v>17365.18014</v>
      </c>
    </row>
    <row r="2592">
      <c r="A2592" s="3">
        <f>IFERROR(__xludf.DUMMYFUNCTION("""COMPUTED_VALUE"""),42959.99861111111)</f>
        <v>42959.99861</v>
      </c>
      <c r="B2592" s="1">
        <f>IFERROR(__xludf.DUMMYFUNCTION("""COMPUTED_VALUE"""),17370.9861)</f>
        <v>17370.9861</v>
      </c>
    </row>
    <row r="2593">
      <c r="A2593" s="3">
        <f>IFERROR(__xludf.DUMMYFUNCTION("""COMPUTED_VALUE"""),42960.99861111111)</f>
        <v>42960.99861</v>
      </c>
      <c r="B2593" s="1">
        <f>IFERROR(__xludf.DUMMYFUNCTION("""COMPUTED_VALUE"""),17362.9755)</f>
        <v>17362.9755</v>
      </c>
    </row>
    <row r="2594">
      <c r="A2594" s="3">
        <f>IFERROR(__xludf.DUMMYFUNCTION("""COMPUTED_VALUE"""),42961.99861111111)</f>
        <v>42961.99861</v>
      </c>
      <c r="B2594" s="1">
        <f>IFERROR(__xludf.DUMMYFUNCTION("""COMPUTED_VALUE"""),17293.9004)</f>
        <v>17293.9004</v>
      </c>
    </row>
    <row r="2595">
      <c r="A2595" s="3">
        <f>IFERROR(__xludf.DUMMYFUNCTION("""COMPUTED_VALUE"""),42962.99861111111)</f>
        <v>42962.99861</v>
      </c>
      <c r="B2595" s="1">
        <f>IFERROR(__xludf.DUMMYFUNCTION("""COMPUTED_VALUE"""),17181.2564)</f>
        <v>17181.2564</v>
      </c>
    </row>
    <row r="2596">
      <c r="A2596" s="3">
        <f>IFERROR(__xludf.DUMMYFUNCTION("""COMPUTED_VALUE"""),42963.99861111111)</f>
        <v>42963.99861</v>
      </c>
      <c r="B2596" s="1">
        <f>IFERROR(__xludf.DUMMYFUNCTION("""COMPUTED_VALUE"""),17209.3515)</f>
        <v>17209.3515</v>
      </c>
    </row>
    <row r="2597">
      <c r="A2597" s="3">
        <f>IFERROR(__xludf.DUMMYFUNCTION("""COMPUTED_VALUE"""),42964.99861111111)</f>
        <v>42964.99861</v>
      </c>
      <c r="B2597" s="1">
        <f>IFERROR(__xludf.DUMMYFUNCTION("""COMPUTED_VALUE"""),17203.078)</f>
        <v>17203.078</v>
      </c>
    </row>
    <row r="2598">
      <c r="A2598" s="3">
        <f>IFERROR(__xludf.DUMMYFUNCTION("""COMPUTED_VALUE"""),42965.99861111111)</f>
        <v>42965.99861</v>
      </c>
      <c r="B2598" s="1">
        <f>IFERROR(__xludf.DUMMYFUNCTION("""COMPUTED_VALUE"""),17194.95192)</f>
        <v>17194.95192</v>
      </c>
    </row>
    <row r="2599">
      <c r="A2599" s="3">
        <f>IFERROR(__xludf.DUMMYFUNCTION("""COMPUTED_VALUE"""),42966.99861111111)</f>
        <v>42966.99861</v>
      </c>
      <c r="B2599" s="1">
        <f>IFERROR(__xludf.DUMMYFUNCTION("""COMPUTED_VALUE"""),17190.556)</f>
        <v>17190.556</v>
      </c>
    </row>
    <row r="2600">
      <c r="A2600" s="3">
        <f>IFERROR(__xludf.DUMMYFUNCTION("""COMPUTED_VALUE"""),42967.99861111111)</f>
        <v>42967.99861</v>
      </c>
      <c r="B2600" s="1">
        <f>IFERROR(__xludf.DUMMYFUNCTION("""COMPUTED_VALUE"""),17191.0902)</f>
        <v>17191.0902</v>
      </c>
    </row>
    <row r="2601">
      <c r="A2601" s="3">
        <f>IFERROR(__xludf.DUMMYFUNCTION("""COMPUTED_VALUE"""),42968.99861111111)</f>
        <v>42968.99861</v>
      </c>
      <c r="B2601" s="1">
        <f>IFERROR(__xludf.DUMMYFUNCTION("""COMPUTED_VALUE"""),17208.55584)</f>
        <v>17208.55584</v>
      </c>
    </row>
    <row r="2602">
      <c r="A2602" s="3">
        <f>IFERROR(__xludf.DUMMYFUNCTION("""COMPUTED_VALUE"""),42969.99861111111)</f>
        <v>42969.99861</v>
      </c>
      <c r="B2602" s="1">
        <f>IFERROR(__xludf.DUMMYFUNCTION("""COMPUTED_VALUE"""),17087.84675)</f>
        <v>17087.84675</v>
      </c>
    </row>
    <row r="2603">
      <c r="A2603" s="3">
        <f>IFERROR(__xludf.DUMMYFUNCTION("""COMPUTED_VALUE"""),42970.99861111111)</f>
        <v>42970.99861</v>
      </c>
      <c r="B2603" s="1">
        <f>IFERROR(__xludf.DUMMYFUNCTION("""COMPUTED_VALUE"""),17093.15179)</f>
        <v>17093.15179</v>
      </c>
    </row>
    <row r="2604">
      <c r="A2604" s="3">
        <f>IFERROR(__xludf.DUMMYFUNCTION("""COMPUTED_VALUE"""),42971.99861111111)</f>
        <v>42971.99861</v>
      </c>
      <c r="B2604" s="1">
        <f>IFERROR(__xludf.DUMMYFUNCTION("""COMPUTED_VALUE"""),17069.57325)</f>
        <v>17069.57325</v>
      </c>
    </row>
    <row r="2605">
      <c r="A2605" s="3">
        <f>IFERROR(__xludf.DUMMYFUNCTION("""COMPUTED_VALUE"""),42972.99861111111)</f>
        <v>42972.99861</v>
      </c>
      <c r="B2605" s="1">
        <f>IFERROR(__xludf.DUMMYFUNCTION("""COMPUTED_VALUE"""),17179.07229)</f>
        <v>17179.07229</v>
      </c>
    </row>
    <row r="2606">
      <c r="A2606" s="3">
        <f>IFERROR(__xludf.DUMMYFUNCTION("""COMPUTED_VALUE"""),42973.99861111111)</f>
        <v>42973.99861</v>
      </c>
      <c r="B2606" s="1">
        <f>IFERROR(__xludf.DUMMYFUNCTION("""COMPUTED_VALUE"""),17191.2126)</f>
        <v>17191.2126</v>
      </c>
    </row>
    <row r="2607">
      <c r="A2607" s="3">
        <f>IFERROR(__xludf.DUMMYFUNCTION("""COMPUTED_VALUE"""),42974.99861111111)</f>
        <v>42974.99861</v>
      </c>
      <c r="B2607" s="1">
        <f>IFERROR(__xludf.DUMMYFUNCTION("""COMPUTED_VALUE"""),17212.37882)</f>
        <v>17212.37882</v>
      </c>
    </row>
    <row r="2608">
      <c r="A2608" s="3">
        <f>IFERROR(__xludf.DUMMYFUNCTION("""COMPUTED_VALUE"""),42975.99861111111)</f>
        <v>42975.99861</v>
      </c>
      <c r="B2608" s="1">
        <f>IFERROR(__xludf.DUMMYFUNCTION("""COMPUTED_VALUE"""),17194.1275)</f>
        <v>17194.1275</v>
      </c>
    </row>
    <row r="2609">
      <c r="A2609" s="3">
        <f>IFERROR(__xludf.DUMMYFUNCTION("""COMPUTED_VALUE"""),42976.99861111111)</f>
        <v>42976.99861</v>
      </c>
      <c r="B2609" s="1">
        <f>IFERROR(__xludf.DUMMYFUNCTION("""COMPUTED_VALUE"""),17229.03593)</f>
        <v>17229.03593</v>
      </c>
    </row>
    <row r="2610">
      <c r="A2610" s="3">
        <f>IFERROR(__xludf.DUMMYFUNCTION("""COMPUTED_VALUE"""),42977.99861111111)</f>
        <v>42977.99861</v>
      </c>
      <c r="B2610" s="1">
        <f>IFERROR(__xludf.DUMMYFUNCTION("""COMPUTED_VALUE"""),17226.72796)</f>
        <v>17226.72796</v>
      </c>
    </row>
    <row r="2611">
      <c r="A2611" s="3">
        <f>IFERROR(__xludf.DUMMYFUNCTION("""COMPUTED_VALUE"""),42978.99861111111)</f>
        <v>42978.99861</v>
      </c>
      <c r="B2611" s="1">
        <f>IFERROR(__xludf.DUMMYFUNCTION("""COMPUTED_VALUE"""),17234.84301)</f>
        <v>17234.84301</v>
      </c>
    </row>
    <row r="2612">
      <c r="A2612" s="3">
        <f>IFERROR(__xludf.DUMMYFUNCTION("""COMPUTED_VALUE"""),42979.99861111111)</f>
        <v>42979.99861</v>
      </c>
      <c r="B2612" s="1">
        <f>IFERROR(__xludf.DUMMYFUNCTION("""COMPUTED_VALUE"""),17264.9017)</f>
        <v>17264.9017</v>
      </c>
    </row>
    <row r="2613">
      <c r="A2613" s="3">
        <f>IFERROR(__xludf.DUMMYFUNCTION("""COMPUTED_VALUE"""),42980.99861111111)</f>
        <v>42980.99861</v>
      </c>
      <c r="B2613" s="1">
        <f>IFERROR(__xludf.DUMMYFUNCTION("""COMPUTED_VALUE"""),17267.4915)</f>
        <v>17267.4915</v>
      </c>
    </row>
    <row r="2614">
      <c r="A2614" s="3">
        <f>IFERROR(__xludf.DUMMYFUNCTION("""COMPUTED_VALUE"""),42981.99861111111)</f>
        <v>42981.99861</v>
      </c>
      <c r="B2614" s="1">
        <f>IFERROR(__xludf.DUMMYFUNCTION("""COMPUTED_VALUE"""),17281.24192)</f>
        <v>17281.24192</v>
      </c>
    </row>
    <row r="2615">
      <c r="A2615" s="3">
        <f>IFERROR(__xludf.DUMMYFUNCTION("""COMPUTED_VALUE"""),42982.99861111111)</f>
        <v>42982.99861</v>
      </c>
      <c r="B2615" s="1">
        <f>IFERROR(__xludf.DUMMYFUNCTION("""COMPUTED_VALUE"""),17255.68131)</f>
        <v>17255.68131</v>
      </c>
    </row>
    <row r="2616">
      <c r="A2616" s="3">
        <f>IFERROR(__xludf.DUMMYFUNCTION("""COMPUTED_VALUE"""),42983.99861111111)</f>
        <v>42983.99861</v>
      </c>
      <c r="B2616" s="1">
        <f>IFERROR(__xludf.DUMMYFUNCTION("""COMPUTED_VALUE"""),17388.49861)</f>
        <v>17388.49861</v>
      </c>
    </row>
    <row r="2617">
      <c r="A2617" s="3">
        <f>IFERROR(__xludf.DUMMYFUNCTION("""COMPUTED_VALUE"""),42984.99861111111)</f>
        <v>42984.99861</v>
      </c>
      <c r="B2617" s="1">
        <f>IFERROR(__xludf.DUMMYFUNCTION("""COMPUTED_VALUE"""),17402.99313)</f>
        <v>17402.99313</v>
      </c>
    </row>
    <row r="2618">
      <c r="A2618" s="3">
        <f>IFERROR(__xludf.DUMMYFUNCTION("""COMPUTED_VALUE"""),42985.99861111111)</f>
        <v>42985.99861</v>
      </c>
      <c r="B2618" s="1">
        <f>IFERROR(__xludf.DUMMYFUNCTION("""COMPUTED_VALUE"""),17413.10826)</f>
        <v>17413.10826</v>
      </c>
    </row>
    <row r="2619">
      <c r="A2619" s="3">
        <f>IFERROR(__xludf.DUMMYFUNCTION("""COMPUTED_VALUE"""),42986.99861111111)</f>
        <v>42986.99861</v>
      </c>
      <c r="B2619" s="1">
        <f>IFERROR(__xludf.DUMMYFUNCTION("""COMPUTED_VALUE"""),17416.0809)</f>
        <v>17416.0809</v>
      </c>
    </row>
    <row r="2620">
      <c r="A2620" s="3">
        <f>IFERROR(__xludf.DUMMYFUNCTION("""COMPUTED_VALUE"""),42987.99861111111)</f>
        <v>42987.99861</v>
      </c>
      <c r="B2620" s="1">
        <f>IFERROR(__xludf.DUMMYFUNCTION("""COMPUTED_VALUE"""),17414.761)</f>
        <v>17414.761</v>
      </c>
    </row>
    <row r="2621">
      <c r="A2621" s="3">
        <f>IFERROR(__xludf.DUMMYFUNCTION("""COMPUTED_VALUE"""),42988.99861111111)</f>
        <v>42988.99861</v>
      </c>
      <c r="B2621" s="1">
        <f>IFERROR(__xludf.DUMMYFUNCTION("""COMPUTED_VALUE"""),17414.49726)</f>
        <v>17414.49726</v>
      </c>
    </row>
    <row r="2622">
      <c r="A2622" s="3">
        <f>IFERROR(__xludf.DUMMYFUNCTION("""COMPUTED_VALUE"""),42989.99861111111)</f>
        <v>42989.99861</v>
      </c>
      <c r="B2622" s="1">
        <f>IFERROR(__xludf.DUMMYFUNCTION("""COMPUTED_VALUE"""),17350.68384)</f>
        <v>17350.68384</v>
      </c>
    </row>
    <row r="2623">
      <c r="A2623" s="3">
        <f>IFERROR(__xludf.DUMMYFUNCTION("""COMPUTED_VALUE"""),42990.99861111111)</f>
        <v>42990.99861</v>
      </c>
      <c r="B2623" s="1">
        <f>IFERROR(__xludf.DUMMYFUNCTION("""COMPUTED_VALUE"""),17551.18664)</f>
        <v>17551.18664</v>
      </c>
    </row>
    <row r="2624">
      <c r="A2624" s="3">
        <f>IFERROR(__xludf.DUMMYFUNCTION("""COMPUTED_VALUE"""),42991.99861111111)</f>
        <v>42991.99861</v>
      </c>
      <c r="B2624" s="1">
        <f>IFERROR(__xludf.DUMMYFUNCTION("""COMPUTED_VALUE"""),17485.92858)</f>
        <v>17485.92858</v>
      </c>
    </row>
    <row r="2625">
      <c r="A2625" s="3">
        <f>IFERROR(__xludf.DUMMYFUNCTION("""COMPUTED_VALUE"""),42992.99861111111)</f>
        <v>42992.99861</v>
      </c>
      <c r="B2625" s="1">
        <f>IFERROR(__xludf.DUMMYFUNCTION("""COMPUTED_VALUE"""),17768.29498)</f>
        <v>17768.29498</v>
      </c>
    </row>
    <row r="2626">
      <c r="A2626" s="3">
        <f>IFERROR(__xludf.DUMMYFUNCTION("""COMPUTED_VALUE"""),42993.99861111111)</f>
        <v>42993.99861</v>
      </c>
      <c r="B2626" s="1">
        <f>IFERROR(__xludf.DUMMYFUNCTION("""COMPUTED_VALUE"""),18003.9632)</f>
        <v>18003.9632</v>
      </c>
    </row>
    <row r="2627">
      <c r="A2627" s="3">
        <f>IFERROR(__xludf.DUMMYFUNCTION("""COMPUTED_VALUE"""),42994.99861111111)</f>
        <v>42994.99861</v>
      </c>
      <c r="B2627" s="1">
        <f>IFERROR(__xludf.DUMMYFUNCTION("""COMPUTED_VALUE"""),18030.5972)</f>
        <v>18030.5972</v>
      </c>
    </row>
    <row r="2628">
      <c r="A2628" s="3">
        <f>IFERROR(__xludf.DUMMYFUNCTION("""COMPUTED_VALUE"""),42995.99861111111)</f>
        <v>42995.99861</v>
      </c>
      <c r="B2628" s="1">
        <f>IFERROR(__xludf.DUMMYFUNCTION("""COMPUTED_VALUE"""),17985.6144)</f>
        <v>17985.6144</v>
      </c>
    </row>
    <row r="2629">
      <c r="A2629" s="3">
        <f>IFERROR(__xludf.DUMMYFUNCTION("""COMPUTED_VALUE"""),42996.99861111111)</f>
        <v>42996.99861</v>
      </c>
      <c r="B2629" s="1">
        <f>IFERROR(__xludf.DUMMYFUNCTION("""COMPUTED_VALUE"""),17931.702)</f>
        <v>17931.702</v>
      </c>
    </row>
    <row r="2630">
      <c r="A2630" s="3">
        <f>IFERROR(__xludf.DUMMYFUNCTION("""COMPUTED_VALUE"""),42997.99861111111)</f>
        <v>42997.99861</v>
      </c>
      <c r="B2630" s="1">
        <f>IFERROR(__xludf.DUMMYFUNCTION("""COMPUTED_VALUE"""),17913.89328)</f>
        <v>17913.89328</v>
      </c>
    </row>
    <row r="2631">
      <c r="A2631" s="3">
        <f>IFERROR(__xludf.DUMMYFUNCTION("""COMPUTED_VALUE"""),42998.99861111111)</f>
        <v>42998.99861</v>
      </c>
      <c r="B2631" s="1">
        <f>IFERROR(__xludf.DUMMYFUNCTION("""COMPUTED_VALUE"""),17901.69329)</f>
        <v>17901.69329</v>
      </c>
    </row>
    <row r="2632">
      <c r="A2632" s="3">
        <f>IFERROR(__xludf.DUMMYFUNCTION("""COMPUTED_VALUE"""),42999.99861111111)</f>
        <v>42999.99861</v>
      </c>
      <c r="B2632" s="1">
        <f>IFERROR(__xludf.DUMMYFUNCTION("""COMPUTED_VALUE"""),18022.34486)</f>
        <v>18022.34486</v>
      </c>
    </row>
    <row r="2633">
      <c r="A2633" s="3">
        <f>IFERROR(__xludf.DUMMYFUNCTION("""COMPUTED_VALUE"""),43000.99861111111)</f>
        <v>43000.99861</v>
      </c>
      <c r="B2633" s="1">
        <f>IFERROR(__xludf.DUMMYFUNCTION("""COMPUTED_VALUE"""),17930.868)</f>
        <v>17930.868</v>
      </c>
    </row>
    <row r="2634">
      <c r="A2634" s="3">
        <f>IFERROR(__xludf.DUMMYFUNCTION("""COMPUTED_VALUE"""),43001.99861111111)</f>
        <v>43001.99861</v>
      </c>
      <c r="B2634" s="1">
        <f>IFERROR(__xludf.DUMMYFUNCTION("""COMPUTED_VALUE"""),17949.46492)</f>
        <v>17949.46492</v>
      </c>
    </row>
    <row r="2635">
      <c r="A2635" s="3">
        <f>IFERROR(__xludf.DUMMYFUNCTION("""COMPUTED_VALUE"""),43002.99861111111)</f>
        <v>43002.99861</v>
      </c>
      <c r="B2635" s="1">
        <f>IFERROR(__xludf.DUMMYFUNCTION("""COMPUTED_VALUE"""),17971.34972)</f>
        <v>17971.34972</v>
      </c>
    </row>
    <row r="2636">
      <c r="A2636" s="3">
        <f>IFERROR(__xludf.DUMMYFUNCTION("""COMPUTED_VALUE"""),43003.99861111111)</f>
        <v>43003.99861</v>
      </c>
      <c r="B2636" s="1">
        <f>IFERROR(__xludf.DUMMYFUNCTION("""COMPUTED_VALUE"""),17948.6844)</f>
        <v>17948.6844</v>
      </c>
    </row>
    <row r="2637">
      <c r="A2637" s="3">
        <f>IFERROR(__xludf.DUMMYFUNCTION("""COMPUTED_VALUE"""),43004.99861111111)</f>
        <v>43004.99861</v>
      </c>
      <c r="B2637" s="1">
        <f>IFERROR(__xludf.DUMMYFUNCTION("""COMPUTED_VALUE"""),17980.0125)</f>
        <v>17980.0125</v>
      </c>
    </row>
    <row r="2638">
      <c r="A2638" s="3">
        <f>IFERROR(__xludf.DUMMYFUNCTION("""COMPUTED_VALUE"""),43005.99861111111)</f>
        <v>43005.99861</v>
      </c>
      <c r="B2638" s="1">
        <f>IFERROR(__xludf.DUMMYFUNCTION("""COMPUTED_VALUE"""),17996.86175)</f>
        <v>17996.86175</v>
      </c>
    </row>
    <row r="2639">
      <c r="A2639" s="3">
        <f>IFERROR(__xludf.DUMMYFUNCTION("""COMPUTED_VALUE"""),43006.99861111111)</f>
        <v>43006.99861</v>
      </c>
      <c r="B2639" s="1">
        <f>IFERROR(__xludf.DUMMYFUNCTION("""COMPUTED_VALUE"""),18140.02828)</f>
        <v>18140.02828</v>
      </c>
    </row>
    <row r="2640">
      <c r="A2640" s="3">
        <f>IFERROR(__xludf.DUMMYFUNCTION("""COMPUTED_VALUE"""),43007.99861111111)</f>
        <v>43007.99861</v>
      </c>
      <c r="B2640" s="1">
        <f>IFERROR(__xludf.DUMMYFUNCTION("""COMPUTED_VALUE"""),18031.016)</f>
        <v>18031.016</v>
      </c>
    </row>
    <row r="2641">
      <c r="A2641" s="3">
        <f>IFERROR(__xludf.DUMMYFUNCTION("""COMPUTED_VALUE"""),43008.99861111111)</f>
        <v>43008.99861</v>
      </c>
      <c r="B2641" s="1">
        <f>IFERROR(__xludf.DUMMYFUNCTION("""COMPUTED_VALUE"""),18054.89367)</f>
        <v>18054.89367</v>
      </c>
    </row>
    <row r="2642">
      <c r="A2642" s="3">
        <f>IFERROR(__xludf.DUMMYFUNCTION("""COMPUTED_VALUE"""),43009.99861111111)</f>
        <v>43009.99861</v>
      </c>
      <c r="B2642" s="1">
        <f>IFERROR(__xludf.DUMMYFUNCTION("""COMPUTED_VALUE"""),18037.714)</f>
        <v>18037.714</v>
      </c>
    </row>
    <row r="2643">
      <c r="A2643" s="3">
        <f>IFERROR(__xludf.DUMMYFUNCTION("""COMPUTED_VALUE"""),43010.99861111111)</f>
        <v>43010.99861</v>
      </c>
      <c r="B2643" s="1">
        <f>IFERROR(__xludf.DUMMYFUNCTION("""COMPUTED_VALUE"""),17961.18471)</f>
        <v>17961.18471</v>
      </c>
    </row>
    <row r="2644">
      <c r="A2644" s="3">
        <f>IFERROR(__xludf.DUMMYFUNCTION("""COMPUTED_VALUE"""),43011.99861111111)</f>
        <v>43011.99861</v>
      </c>
      <c r="B2644" s="1">
        <f>IFERROR(__xludf.DUMMYFUNCTION("""COMPUTED_VALUE"""),17923.0176)</f>
        <v>17923.0176</v>
      </c>
    </row>
    <row r="2645">
      <c r="A2645" s="3">
        <f>IFERROR(__xludf.DUMMYFUNCTION("""COMPUTED_VALUE"""),43012.99861111111)</f>
        <v>43012.99861</v>
      </c>
      <c r="B2645" s="1">
        <f>IFERROR(__xludf.DUMMYFUNCTION("""COMPUTED_VALUE"""),17824.851)</f>
        <v>17824.851</v>
      </c>
    </row>
    <row r="2646">
      <c r="A2646" s="3">
        <f>IFERROR(__xludf.DUMMYFUNCTION("""COMPUTED_VALUE"""),43013.99861111111)</f>
        <v>43013.99861</v>
      </c>
      <c r="B2646" s="1">
        <f>IFERROR(__xludf.DUMMYFUNCTION("""COMPUTED_VALUE"""),17635.74061)</f>
        <v>17635.74061</v>
      </c>
    </row>
    <row r="2647">
      <c r="A2647" s="3">
        <f>IFERROR(__xludf.DUMMYFUNCTION("""COMPUTED_VALUE"""),43014.99861111111)</f>
        <v>43014.99861</v>
      </c>
      <c r="B2647" s="1">
        <f>IFERROR(__xludf.DUMMYFUNCTION("""COMPUTED_VALUE"""),17642.98238)</f>
        <v>17642.98238</v>
      </c>
    </row>
    <row r="2648">
      <c r="A2648" s="3">
        <f>IFERROR(__xludf.DUMMYFUNCTION("""COMPUTED_VALUE"""),43015.99861111111)</f>
        <v>43015.99861</v>
      </c>
      <c r="B2648" s="1">
        <f>IFERROR(__xludf.DUMMYFUNCTION("""COMPUTED_VALUE"""),17632.4808)</f>
        <v>17632.4808</v>
      </c>
    </row>
    <row r="2649">
      <c r="A2649" s="3">
        <f>IFERROR(__xludf.DUMMYFUNCTION("""COMPUTED_VALUE"""),43016.99861111111)</f>
        <v>43016.99861</v>
      </c>
      <c r="B2649" s="1">
        <f>IFERROR(__xludf.DUMMYFUNCTION("""COMPUTED_VALUE"""),17657.04534)</f>
        <v>17657.04534</v>
      </c>
    </row>
    <row r="2650">
      <c r="A2650" s="3">
        <f>IFERROR(__xludf.DUMMYFUNCTION("""COMPUTED_VALUE"""),43017.99861111111)</f>
        <v>43017.99861</v>
      </c>
      <c r="B2650" s="1">
        <f>IFERROR(__xludf.DUMMYFUNCTION("""COMPUTED_VALUE"""),17754.0314)</f>
        <v>17754.0314</v>
      </c>
    </row>
    <row r="2651">
      <c r="A2651" s="3">
        <f>IFERROR(__xludf.DUMMYFUNCTION("""COMPUTED_VALUE"""),43018.99861111111)</f>
        <v>43018.99861</v>
      </c>
      <c r="B2651" s="1">
        <f>IFERROR(__xludf.DUMMYFUNCTION("""COMPUTED_VALUE"""),17844.008)</f>
        <v>17844.008</v>
      </c>
    </row>
    <row r="2652">
      <c r="A2652" s="3">
        <f>IFERROR(__xludf.DUMMYFUNCTION("""COMPUTED_VALUE"""),43019.99861111111)</f>
        <v>43019.99861</v>
      </c>
      <c r="B2652" s="1">
        <f>IFERROR(__xludf.DUMMYFUNCTION("""COMPUTED_VALUE"""),17884.9433)</f>
        <v>17884.9433</v>
      </c>
    </row>
    <row r="2653">
      <c r="A2653" s="3">
        <f>IFERROR(__xludf.DUMMYFUNCTION("""COMPUTED_VALUE"""),43020.99861111111)</f>
        <v>43020.99861</v>
      </c>
      <c r="B2653" s="1">
        <f>IFERROR(__xludf.DUMMYFUNCTION("""COMPUTED_VALUE"""),17901.31756)</f>
        <v>17901.31756</v>
      </c>
    </row>
    <row r="2654">
      <c r="A2654" s="3">
        <f>IFERROR(__xludf.DUMMYFUNCTION("""COMPUTED_VALUE"""),43021.99861111111)</f>
        <v>43021.99861</v>
      </c>
      <c r="B2654" s="1">
        <f>IFERROR(__xludf.DUMMYFUNCTION("""COMPUTED_VALUE"""),17841.755)</f>
        <v>17841.755</v>
      </c>
    </row>
    <row r="2655">
      <c r="A2655" s="3">
        <f>IFERROR(__xludf.DUMMYFUNCTION("""COMPUTED_VALUE"""),43022.99861111111)</f>
        <v>43022.99861</v>
      </c>
      <c r="B2655" s="1">
        <f>IFERROR(__xludf.DUMMYFUNCTION("""COMPUTED_VALUE"""),17925.4712)</f>
        <v>17925.4712</v>
      </c>
    </row>
    <row r="2656">
      <c r="A2656" s="3">
        <f>IFERROR(__xludf.DUMMYFUNCTION("""COMPUTED_VALUE"""),43023.99861111111)</f>
        <v>43023.99861</v>
      </c>
      <c r="B2656" s="1">
        <f>IFERROR(__xludf.DUMMYFUNCTION("""COMPUTED_VALUE"""),17925.4712)</f>
        <v>17925.4712</v>
      </c>
    </row>
    <row r="2657">
      <c r="A2657" s="3">
        <f>IFERROR(__xludf.DUMMYFUNCTION("""COMPUTED_VALUE"""),43024.99861111111)</f>
        <v>43024.99861</v>
      </c>
      <c r="B2657" s="1">
        <f>IFERROR(__xludf.DUMMYFUNCTION("""COMPUTED_VALUE"""),17858.3952)</f>
        <v>17858.3952</v>
      </c>
    </row>
    <row r="2658">
      <c r="A2658" s="3">
        <f>IFERROR(__xludf.DUMMYFUNCTION("""COMPUTED_VALUE"""),43025.99861111111)</f>
        <v>43025.99861</v>
      </c>
      <c r="B2658" s="1">
        <f>IFERROR(__xludf.DUMMYFUNCTION("""COMPUTED_VALUE"""),17802.604)</f>
        <v>17802.604</v>
      </c>
    </row>
    <row r="2659">
      <c r="A2659" s="3">
        <f>IFERROR(__xludf.DUMMYFUNCTION("""COMPUTED_VALUE"""),43026.99861111111)</f>
        <v>43026.99861</v>
      </c>
      <c r="B2659" s="1">
        <f>IFERROR(__xludf.DUMMYFUNCTION("""COMPUTED_VALUE"""),17848.7365)</f>
        <v>17848.7365</v>
      </c>
    </row>
    <row r="2660">
      <c r="A2660" s="3">
        <f>IFERROR(__xludf.DUMMYFUNCTION("""COMPUTED_VALUE"""),43027.99861111111)</f>
        <v>43027.99861</v>
      </c>
      <c r="B2660" s="1">
        <f>IFERROR(__xludf.DUMMYFUNCTION("""COMPUTED_VALUE"""),17738.2708)</f>
        <v>17738.2708</v>
      </c>
    </row>
    <row r="2661">
      <c r="A2661" s="3">
        <f>IFERROR(__xludf.DUMMYFUNCTION("""COMPUTED_VALUE"""),43028.99861111111)</f>
        <v>43028.99861</v>
      </c>
      <c r="B2661" s="1">
        <f>IFERROR(__xludf.DUMMYFUNCTION("""COMPUTED_VALUE"""),17827.604)</f>
        <v>17827.604</v>
      </c>
    </row>
    <row r="2662">
      <c r="A2662" s="3">
        <f>IFERROR(__xludf.DUMMYFUNCTION("""COMPUTED_VALUE"""),43029.99861111111)</f>
        <v>43029.99861</v>
      </c>
      <c r="B2662" s="1">
        <f>IFERROR(__xludf.DUMMYFUNCTION("""COMPUTED_VALUE"""),17834.362)</f>
        <v>17834.362</v>
      </c>
    </row>
    <row r="2663">
      <c r="A2663" s="3">
        <f>IFERROR(__xludf.DUMMYFUNCTION("""COMPUTED_VALUE"""),43030.99861111111)</f>
        <v>43030.99861</v>
      </c>
      <c r="B2663" s="1">
        <f>IFERROR(__xludf.DUMMYFUNCTION("""COMPUTED_VALUE"""),17826.65788)</f>
        <v>17826.65788</v>
      </c>
    </row>
    <row r="2664">
      <c r="A2664" s="3">
        <f>IFERROR(__xludf.DUMMYFUNCTION("""COMPUTED_VALUE"""),43031.99861111111)</f>
        <v>43031.99861</v>
      </c>
      <c r="B2664" s="1">
        <f>IFERROR(__xludf.DUMMYFUNCTION("""COMPUTED_VALUE"""),17872.9675)</f>
        <v>17872.9675</v>
      </c>
    </row>
    <row r="2665">
      <c r="A2665" s="3">
        <f>IFERROR(__xludf.DUMMYFUNCTION("""COMPUTED_VALUE"""),43032.99861111111)</f>
        <v>43032.99861</v>
      </c>
      <c r="B2665" s="1">
        <f>IFERROR(__xludf.DUMMYFUNCTION("""COMPUTED_VALUE"""),17755.3495)</f>
        <v>17755.3495</v>
      </c>
    </row>
    <row r="2666">
      <c r="A2666" s="3">
        <f>IFERROR(__xludf.DUMMYFUNCTION("""COMPUTED_VALUE"""),43033.99861111111)</f>
        <v>43033.99861</v>
      </c>
      <c r="B2666" s="1">
        <f>IFERROR(__xludf.DUMMYFUNCTION("""COMPUTED_VALUE"""),18013.57272)</f>
        <v>18013.57272</v>
      </c>
    </row>
    <row r="2667">
      <c r="A2667" s="3">
        <f>IFERROR(__xludf.DUMMYFUNCTION("""COMPUTED_VALUE"""),43034.99861111111)</f>
        <v>43034.99861</v>
      </c>
      <c r="B2667" s="1">
        <f>IFERROR(__xludf.DUMMYFUNCTION("""COMPUTED_VALUE"""),17909.1661)</f>
        <v>17909.1661</v>
      </c>
    </row>
    <row r="2668">
      <c r="A2668" s="3">
        <f>IFERROR(__xludf.DUMMYFUNCTION("""COMPUTED_VALUE"""),43035.99861111111)</f>
        <v>43035.99861</v>
      </c>
      <c r="B2668" s="1">
        <f>IFERROR(__xludf.DUMMYFUNCTION("""COMPUTED_VALUE"""),17840.9057)</f>
        <v>17840.9057</v>
      </c>
    </row>
    <row r="2669">
      <c r="A2669" s="3">
        <f>IFERROR(__xludf.DUMMYFUNCTION("""COMPUTED_VALUE"""),43036.99861111111)</f>
        <v>43036.99861</v>
      </c>
      <c r="B2669" s="1">
        <f>IFERROR(__xludf.DUMMYFUNCTION("""COMPUTED_VALUE"""),17864.03795)</f>
        <v>17864.03795</v>
      </c>
    </row>
    <row r="2670">
      <c r="A2670" s="3">
        <f>IFERROR(__xludf.DUMMYFUNCTION("""COMPUTED_VALUE"""),43037.99861111111)</f>
        <v>43037.99861</v>
      </c>
      <c r="B2670" s="1">
        <f>IFERROR(__xludf.DUMMYFUNCTION("""COMPUTED_VALUE"""),17844.84864)</f>
        <v>17844.84864</v>
      </c>
    </row>
    <row r="2671">
      <c r="A2671" s="3">
        <f>IFERROR(__xludf.DUMMYFUNCTION("""COMPUTED_VALUE"""),43038.99861111111)</f>
        <v>43038.99861</v>
      </c>
      <c r="B2671" s="1">
        <f>IFERROR(__xludf.DUMMYFUNCTION("""COMPUTED_VALUE"""),17933.15436)</f>
        <v>17933.15436</v>
      </c>
    </row>
    <row r="2672">
      <c r="A2672" s="3">
        <f>IFERROR(__xludf.DUMMYFUNCTION("""COMPUTED_VALUE"""),43039.99861111111)</f>
        <v>43039.99861</v>
      </c>
      <c r="B2672" s="1">
        <f>IFERROR(__xludf.DUMMYFUNCTION("""COMPUTED_VALUE"""),18014.48586)</f>
        <v>18014.48586</v>
      </c>
    </row>
    <row r="2673">
      <c r="A2673" s="3">
        <f>IFERROR(__xludf.DUMMYFUNCTION("""COMPUTED_VALUE"""),43040.99861111111)</f>
        <v>43040.99861</v>
      </c>
      <c r="B2673" s="1">
        <f>IFERROR(__xludf.DUMMYFUNCTION("""COMPUTED_VALUE"""),17963.41726)</f>
        <v>17963.41726</v>
      </c>
    </row>
    <row r="2674">
      <c r="A2674" s="3">
        <f>IFERROR(__xludf.DUMMYFUNCTION("""COMPUTED_VALUE"""),43041.99861111111)</f>
        <v>43041.99861</v>
      </c>
      <c r="B2674" s="1">
        <f>IFERROR(__xludf.DUMMYFUNCTION("""COMPUTED_VALUE"""),17676.45903)</f>
        <v>17676.45903</v>
      </c>
    </row>
    <row r="2675">
      <c r="A2675" s="3">
        <f>IFERROR(__xludf.DUMMYFUNCTION("""COMPUTED_VALUE"""),43042.99861111111)</f>
        <v>43042.99861</v>
      </c>
      <c r="B2675" s="1">
        <f>IFERROR(__xludf.DUMMYFUNCTION("""COMPUTED_VALUE"""),17625.1)</f>
        <v>17625.1</v>
      </c>
    </row>
    <row r="2676">
      <c r="A2676" s="3">
        <f>IFERROR(__xludf.DUMMYFUNCTION("""COMPUTED_VALUE"""),43043.99861111111)</f>
        <v>43043.99861</v>
      </c>
      <c r="B2676" s="1">
        <f>IFERROR(__xludf.DUMMYFUNCTION("""COMPUTED_VALUE"""),17629.144)</f>
        <v>17629.144</v>
      </c>
    </row>
    <row r="2677">
      <c r="A2677" s="3">
        <f>IFERROR(__xludf.DUMMYFUNCTION("""COMPUTED_VALUE"""),43044.99861111111)</f>
        <v>43044.99861</v>
      </c>
      <c r="B2677" s="1">
        <f>IFERROR(__xludf.DUMMYFUNCTION("""COMPUTED_VALUE"""),17630.2224)</f>
        <v>17630.2224</v>
      </c>
    </row>
    <row r="2678">
      <c r="A2678" s="3">
        <f>IFERROR(__xludf.DUMMYFUNCTION("""COMPUTED_VALUE"""),43045.99861111111)</f>
        <v>43045.99861</v>
      </c>
      <c r="B2678" s="1">
        <f>IFERROR(__xludf.DUMMYFUNCTION("""COMPUTED_VALUE"""),17757.111)</f>
        <v>17757.111</v>
      </c>
    </row>
    <row r="2679">
      <c r="A2679" s="3">
        <f>IFERROR(__xludf.DUMMYFUNCTION("""COMPUTED_VALUE"""),43046.99861111111)</f>
        <v>43046.99861</v>
      </c>
      <c r="B2679" s="1">
        <f>IFERROR(__xludf.DUMMYFUNCTION("""COMPUTED_VALUE"""),17800.10024)</f>
        <v>17800.10024</v>
      </c>
    </row>
    <row r="2680">
      <c r="A2680" s="3">
        <f>IFERROR(__xludf.DUMMYFUNCTION("""COMPUTED_VALUE"""),43047.99861111111)</f>
        <v>43047.99861</v>
      </c>
      <c r="B2680" s="1">
        <f>IFERROR(__xludf.DUMMYFUNCTION("""COMPUTED_VALUE"""),17705.26863)</f>
        <v>17705.26863</v>
      </c>
    </row>
    <row r="2681">
      <c r="A2681" s="3">
        <f>IFERROR(__xludf.DUMMYFUNCTION("""COMPUTED_VALUE"""),43048.99861111111)</f>
        <v>43048.99861</v>
      </c>
      <c r="B2681" s="1">
        <f>IFERROR(__xludf.DUMMYFUNCTION("""COMPUTED_VALUE"""),17778.80664)</f>
        <v>17778.80664</v>
      </c>
    </row>
    <row r="2682">
      <c r="A2682" s="3">
        <f>IFERROR(__xludf.DUMMYFUNCTION("""COMPUTED_VALUE"""),43049.99861111111)</f>
        <v>43049.99861</v>
      </c>
      <c r="B2682" s="1">
        <f>IFERROR(__xludf.DUMMYFUNCTION("""COMPUTED_VALUE"""),17859.1896)</f>
        <v>17859.1896</v>
      </c>
    </row>
    <row r="2683">
      <c r="A2683" s="3">
        <f>IFERROR(__xludf.DUMMYFUNCTION("""COMPUTED_VALUE"""),43050.99861111111)</f>
        <v>43050.99861</v>
      </c>
      <c r="B2683" s="1">
        <f>IFERROR(__xludf.DUMMYFUNCTION("""COMPUTED_VALUE"""),17869.91144)</f>
        <v>17869.91144</v>
      </c>
    </row>
    <row r="2684">
      <c r="A2684" s="3">
        <f>IFERROR(__xludf.DUMMYFUNCTION("""COMPUTED_VALUE"""),43051.99861111111)</f>
        <v>43051.99861</v>
      </c>
      <c r="B2684" s="1">
        <f>IFERROR(__xludf.DUMMYFUNCTION("""COMPUTED_VALUE"""),17726.25768)</f>
        <v>17726.25768</v>
      </c>
    </row>
    <row r="2685">
      <c r="A2685" s="3">
        <f>IFERROR(__xludf.DUMMYFUNCTION("""COMPUTED_VALUE"""),43052.99861111111)</f>
        <v>43052.99861</v>
      </c>
      <c r="B2685" s="1">
        <f>IFERROR(__xludf.DUMMYFUNCTION("""COMPUTED_VALUE"""),17781.536)</f>
        <v>17781.536</v>
      </c>
    </row>
    <row r="2686">
      <c r="A2686" s="3">
        <f>IFERROR(__xludf.DUMMYFUNCTION("""COMPUTED_VALUE"""),43053.99861111111)</f>
        <v>43053.99861</v>
      </c>
      <c r="B2686" s="1">
        <f>IFERROR(__xludf.DUMMYFUNCTION("""COMPUTED_VALUE"""),17818.9893)</f>
        <v>17818.9893</v>
      </c>
    </row>
    <row r="2687">
      <c r="A2687" s="3">
        <f>IFERROR(__xludf.DUMMYFUNCTION("""COMPUTED_VALUE"""),43054.99861111111)</f>
        <v>43054.99861</v>
      </c>
      <c r="B2687" s="1">
        <f>IFERROR(__xludf.DUMMYFUNCTION("""COMPUTED_VALUE"""),17830.1969)</f>
        <v>17830.1969</v>
      </c>
    </row>
    <row r="2688">
      <c r="A2688" s="3">
        <f>IFERROR(__xludf.DUMMYFUNCTION("""COMPUTED_VALUE"""),43055.99861111111)</f>
        <v>43055.99861</v>
      </c>
      <c r="B2688" s="1">
        <f>IFERROR(__xludf.DUMMYFUNCTION("""COMPUTED_VALUE"""),17837.26374)</f>
        <v>17837.26374</v>
      </c>
    </row>
    <row r="2689">
      <c r="A2689" s="3">
        <f>IFERROR(__xludf.DUMMYFUNCTION("""COMPUTED_VALUE"""),43056.99861111111)</f>
        <v>43056.99861</v>
      </c>
      <c r="B2689" s="1">
        <f>IFERROR(__xludf.DUMMYFUNCTION("""COMPUTED_VALUE"""),17845.4188)</f>
        <v>17845.4188</v>
      </c>
    </row>
    <row r="2690">
      <c r="A2690" s="3">
        <f>IFERROR(__xludf.DUMMYFUNCTION("""COMPUTED_VALUE"""),43057.99861111111)</f>
        <v>43057.99861</v>
      </c>
      <c r="B2690" s="1">
        <f>IFERROR(__xludf.DUMMYFUNCTION("""COMPUTED_VALUE"""),17852.69806)</f>
        <v>17852.69806</v>
      </c>
    </row>
    <row r="2691">
      <c r="A2691" s="3">
        <f>IFERROR(__xludf.DUMMYFUNCTION("""COMPUTED_VALUE"""),43058.99861111111)</f>
        <v>43058.99861</v>
      </c>
      <c r="B2691" s="1">
        <f>IFERROR(__xludf.DUMMYFUNCTION("""COMPUTED_VALUE"""),17832.72128)</f>
        <v>17832.72128</v>
      </c>
    </row>
    <row r="2692">
      <c r="A2692" s="3">
        <f>IFERROR(__xludf.DUMMYFUNCTION("""COMPUTED_VALUE"""),43059.99861111111)</f>
        <v>43059.99861</v>
      </c>
      <c r="B2692" s="1">
        <f>IFERROR(__xludf.DUMMYFUNCTION("""COMPUTED_VALUE"""),17908.723)</f>
        <v>17908.723</v>
      </c>
    </row>
    <row r="2693">
      <c r="A2693" s="3">
        <f>IFERROR(__xludf.DUMMYFUNCTION("""COMPUTED_VALUE"""),43060.99861111111)</f>
        <v>43060.99861</v>
      </c>
      <c r="B2693" s="1">
        <f>IFERROR(__xludf.DUMMYFUNCTION("""COMPUTED_VALUE"""),17904.83398)</f>
        <v>17904.83398</v>
      </c>
    </row>
    <row r="2694">
      <c r="A2694" s="3">
        <f>IFERROR(__xludf.DUMMYFUNCTION("""COMPUTED_VALUE"""),43061.99861111111)</f>
        <v>43061.99861</v>
      </c>
      <c r="B2694" s="1">
        <f>IFERROR(__xludf.DUMMYFUNCTION("""COMPUTED_VALUE"""),17963.2665)</f>
        <v>17963.2665</v>
      </c>
    </row>
    <row r="2695">
      <c r="A2695" s="3">
        <f>IFERROR(__xludf.DUMMYFUNCTION("""COMPUTED_VALUE"""),43062.99861111111)</f>
        <v>43062.99861</v>
      </c>
      <c r="B2695" s="1">
        <f>IFERROR(__xludf.DUMMYFUNCTION("""COMPUTED_VALUE"""),17945.7656)</f>
        <v>17945.7656</v>
      </c>
    </row>
    <row r="2696">
      <c r="A2696" s="3">
        <f>IFERROR(__xludf.DUMMYFUNCTION("""COMPUTED_VALUE"""),43063.99861111111)</f>
        <v>43063.99861</v>
      </c>
      <c r="B2696" s="1">
        <f>IFERROR(__xludf.DUMMYFUNCTION("""COMPUTED_VALUE"""),18000.9328)</f>
        <v>18000.9328</v>
      </c>
    </row>
    <row r="2697">
      <c r="A2697" s="3">
        <f>IFERROR(__xludf.DUMMYFUNCTION("""COMPUTED_VALUE"""),43064.99861111111)</f>
        <v>43064.99861</v>
      </c>
      <c r="B2697" s="1">
        <f>IFERROR(__xludf.DUMMYFUNCTION("""COMPUTED_VALUE"""),18002.2826)</f>
        <v>18002.2826</v>
      </c>
    </row>
    <row r="2698">
      <c r="A2698" s="3">
        <f>IFERROR(__xludf.DUMMYFUNCTION("""COMPUTED_VALUE"""),43065.99861111111)</f>
        <v>43065.99861</v>
      </c>
      <c r="B2698" s="1">
        <f>IFERROR(__xludf.DUMMYFUNCTION("""COMPUTED_VALUE"""),17983.3854)</f>
        <v>17983.3854</v>
      </c>
    </row>
    <row r="2699">
      <c r="A2699" s="3">
        <f>IFERROR(__xludf.DUMMYFUNCTION("""COMPUTED_VALUE"""),43066.99861111111)</f>
        <v>43066.99861</v>
      </c>
      <c r="B2699" s="1">
        <f>IFERROR(__xludf.DUMMYFUNCTION("""COMPUTED_VALUE"""),17995.3009)</f>
        <v>17995.3009</v>
      </c>
    </row>
    <row r="2700">
      <c r="A2700" s="3">
        <f>IFERROR(__xludf.DUMMYFUNCTION("""COMPUTED_VALUE"""),43067.99861111111)</f>
        <v>43067.99861</v>
      </c>
      <c r="B2700" s="1">
        <f>IFERROR(__xludf.DUMMYFUNCTION("""COMPUTED_VALUE"""),18038.7)</f>
        <v>18038.7</v>
      </c>
    </row>
    <row r="2701">
      <c r="A2701" s="3">
        <f>IFERROR(__xludf.DUMMYFUNCTION("""COMPUTED_VALUE"""),43068.99861111111)</f>
        <v>43068.99861</v>
      </c>
      <c r="B2701" s="1">
        <f>IFERROR(__xludf.DUMMYFUNCTION("""COMPUTED_VALUE"""),18116.56128)</f>
        <v>18116.56128</v>
      </c>
    </row>
    <row r="2702">
      <c r="A2702" s="3">
        <f>IFERROR(__xludf.DUMMYFUNCTION("""COMPUTED_VALUE"""),43069.99861111111)</f>
        <v>43069.99861</v>
      </c>
      <c r="B2702" s="1">
        <f>IFERROR(__xludf.DUMMYFUNCTION("""COMPUTED_VALUE"""),18319.6189)</f>
        <v>18319.6189</v>
      </c>
    </row>
    <row r="2703">
      <c r="A2703" s="3">
        <f>IFERROR(__xludf.DUMMYFUNCTION("""COMPUTED_VALUE"""),43070.99861111111)</f>
        <v>43070.99861</v>
      </c>
      <c r="B2703" s="1">
        <f>IFERROR(__xludf.DUMMYFUNCTION("""COMPUTED_VALUE"""),18220.8746)</f>
        <v>18220.8746</v>
      </c>
    </row>
    <row r="2704">
      <c r="A2704" s="3">
        <f>IFERROR(__xludf.DUMMYFUNCTION("""COMPUTED_VALUE"""),43071.99861111111)</f>
        <v>43071.99861</v>
      </c>
      <c r="B2704" s="1">
        <f>IFERROR(__xludf.DUMMYFUNCTION("""COMPUTED_VALUE"""),18228.6743)</f>
        <v>18228.6743</v>
      </c>
    </row>
    <row r="2705">
      <c r="A2705" s="3">
        <f>IFERROR(__xludf.DUMMYFUNCTION("""COMPUTED_VALUE"""),43072.99861111111)</f>
        <v>43072.99861</v>
      </c>
      <c r="B2705" s="1">
        <f>IFERROR(__xludf.DUMMYFUNCTION("""COMPUTED_VALUE"""),18294.474)</f>
        <v>18294.474</v>
      </c>
    </row>
    <row r="2706">
      <c r="A2706" s="3">
        <f>IFERROR(__xludf.DUMMYFUNCTION("""COMPUTED_VALUE"""),43073.99861111111)</f>
        <v>43073.99861</v>
      </c>
      <c r="B2706" s="1">
        <f>IFERROR(__xludf.DUMMYFUNCTION("""COMPUTED_VALUE"""),18180.06138)</f>
        <v>18180.06138</v>
      </c>
    </row>
    <row r="2707">
      <c r="A2707" s="3">
        <f>IFERROR(__xludf.DUMMYFUNCTION("""COMPUTED_VALUE"""),43074.99861111111)</f>
        <v>43074.99861</v>
      </c>
      <c r="B2707" s="1">
        <f>IFERROR(__xludf.DUMMYFUNCTION("""COMPUTED_VALUE"""),18125.79768)</f>
        <v>18125.79768</v>
      </c>
    </row>
    <row r="2708">
      <c r="A2708" s="3">
        <f>IFERROR(__xludf.DUMMYFUNCTION("""COMPUTED_VALUE"""),43075.99861111111)</f>
        <v>43075.99861</v>
      </c>
      <c r="B2708" s="1">
        <f>IFERROR(__xludf.DUMMYFUNCTION("""COMPUTED_VALUE"""),18120.94328)</f>
        <v>18120.94328</v>
      </c>
    </row>
    <row r="2709">
      <c r="A2709" s="3">
        <f>IFERROR(__xludf.DUMMYFUNCTION("""COMPUTED_VALUE"""),43076.99861111111)</f>
        <v>43076.99861</v>
      </c>
      <c r="B2709" s="1">
        <f>IFERROR(__xludf.DUMMYFUNCTION("""COMPUTED_VALUE"""),18270.93483)</f>
        <v>18270.93483</v>
      </c>
    </row>
    <row r="2710">
      <c r="A2710" s="3">
        <f>IFERROR(__xludf.DUMMYFUNCTION("""COMPUTED_VALUE"""),43077.99861111111)</f>
        <v>43077.99861</v>
      </c>
      <c r="B2710" s="1">
        <f>IFERROR(__xludf.DUMMYFUNCTION("""COMPUTED_VALUE"""),18126.0282)</f>
        <v>18126.0282</v>
      </c>
    </row>
    <row r="2711">
      <c r="A2711" s="3">
        <f>IFERROR(__xludf.DUMMYFUNCTION("""COMPUTED_VALUE"""),43078.99861111111)</f>
        <v>43078.99861</v>
      </c>
      <c r="B2711" s="1">
        <f>IFERROR(__xludf.DUMMYFUNCTION("""COMPUTED_VALUE"""),18120.613)</f>
        <v>18120.613</v>
      </c>
    </row>
    <row r="2712">
      <c r="A2712" s="3">
        <f>IFERROR(__xludf.DUMMYFUNCTION("""COMPUTED_VALUE"""),43079.99861111111)</f>
        <v>43079.99861</v>
      </c>
      <c r="B2712" s="1">
        <f>IFERROR(__xludf.DUMMYFUNCTION("""COMPUTED_VALUE"""),18084.5223)</f>
        <v>18084.5223</v>
      </c>
    </row>
    <row r="2713">
      <c r="A2713" s="3">
        <f>IFERROR(__xludf.DUMMYFUNCTION("""COMPUTED_VALUE"""),43080.99861111111)</f>
        <v>43080.99861</v>
      </c>
      <c r="B2713" s="1">
        <f>IFERROR(__xludf.DUMMYFUNCTION("""COMPUTED_VALUE"""),18085.95712)</f>
        <v>18085.95712</v>
      </c>
    </row>
    <row r="2714">
      <c r="A2714" s="3">
        <f>IFERROR(__xludf.DUMMYFUNCTION("""COMPUTED_VALUE"""),43081.99861111111)</f>
        <v>43081.99861</v>
      </c>
      <c r="B2714" s="1">
        <f>IFERROR(__xludf.DUMMYFUNCTION("""COMPUTED_VALUE"""),18047.35731)</f>
        <v>18047.35731</v>
      </c>
    </row>
    <row r="2715">
      <c r="A2715" s="3">
        <f>IFERROR(__xludf.DUMMYFUNCTION("""COMPUTED_VALUE"""),43082.99861111111)</f>
        <v>43082.99861</v>
      </c>
      <c r="B2715" s="1">
        <f>IFERROR(__xludf.DUMMYFUNCTION("""COMPUTED_VALUE"""),18154.2966)</f>
        <v>18154.2966</v>
      </c>
    </row>
    <row r="2716">
      <c r="A2716" s="3">
        <f>IFERROR(__xludf.DUMMYFUNCTION("""COMPUTED_VALUE"""),43083.99861111111)</f>
        <v>43083.99861</v>
      </c>
      <c r="B2716" s="1">
        <f>IFERROR(__xludf.DUMMYFUNCTION("""COMPUTED_VALUE"""),18205.19064)</f>
        <v>18205.19064</v>
      </c>
    </row>
    <row r="2717">
      <c r="A2717" s="3">
        <f>IFERROR(__xludf.DUMMYFUNCTION("""COMPUTED_VALUE"""),43084.99861111111)</f>
        <v>43084.99861</v>
      </c>
      <c r="B2717" s="1">
        <f>IFERROR(__xludf.DUMMYFUNCTION("""COMPUTED_VALUE"""),18072.576)</f>
        <v>18072.576</v>
      </c>
    </row>
    <row r="2718">
      <c r="A2718" s="3">
        <f>IFERROR(__xludf.DUMMYFUNCTION("""COMPUTED_VALUE"""),43085.99861111111)</f>
        <v>43085.99861</v>
      </c>
      <c r="B2718" s="1">
        <f>IFERROR(__xludf.DUMMYFUNCTION("""COMPUTED_VALUE"""),18101.93424)</f>
        <v>18101.93424</v>
      </c>
    </row>
    <row r="2719">
      <c r="A2719" s="3">
        <f>IFERROR(__xludf.DUMMYFUNCTION("""COMPUTED_VALUE"""),43086.99861111111)</f>
        <v>43086.99861</v>
      </c>
      <c r="B2719" s="1">
        <f>IFERROR(__xludf.DUMMYFUNCTION("""COMPUTED_VALUE"""),18066.60608)</f>
        <v>18066.60608</v>
      </c>
    </row>
    <row r="2720">
      <c r="A2720" s="3">
        <f>IFERROR(__xludf.DUMMYFUNCTION("""COMPUTED_VALUE"""),43087.99861111111)</f>
        <v>43087.99861</v>
      </c>
      <c r="B2720" s="1">
        <f>IFERROR(__xludf.DUMMYFUNCTION("""COMPUTED_VALUE"""),18167.324)</f>
        <v>18167.324</v>
      </c>
    </row>
    <row r="2721">
      <c r="A2721" s="3">
        <f>IFERROR(__xludf.DUMMYFUNCTION("""COMPUTED_VALUE"""),43088.99861111111)</f>
        <v>43088.99861</v>
      </c>
      <c r="B2721" s="1">
        <f>IFERROR(__xludf.DUMMYFUNCTION("""COMPUTED_VALUE"""),18170.409)</f>
        <v>18170.409</v>
      </c>
    </row>
    <row r="2722">
      <c r="A2722" s="3">
        <f>IFERROR(__xludf.DUMMYFUNCTION("""COMPUTED_VALUE"""),43089.99861111111)</f>
        <v>43089.99861</v>
      </c>
      <c r="B2722" s="1">
        <f>IFERROR(__xludf.DUMMYFUNCTION("""COMPUTED_VALUE"""),18147.91538)</f>
        <v>18147.91538</v>
      </c>
    </row>
    <row r="2723">
      <c r="A2723" s="3">
        <f>IFERROR(__xludf.DUMMYFUNCTION("""COMPUTED_VALUE"""),43090.99861111111)</f>
        <v>43090.99861</v>
      </c>
      <c r="B2723" s="1">
        <f>IFERROR(__xludf.DUMMYFUNCTION("""COMPUTED_VALUE"""),18144.46418)</f>
        <v>18144.46418</v>
      </c>
    </row>
    <row r="2724">
      <c r="A2724" s="3">
        <f>IFERROR(__xludf.DUMMYFUNCTION("""COMPUTED_VALUE"""),43091.99861111111)</f>
        <v>43091.99861</v>
      </c>
      <c r="B2724" s="1">
        <f>IFERROR(__xludf.DUMMYFUNCTION("""COMPUTED_VALUE"""),18100.1467)</f>
        <v>18100.1467</v>
      </c>
    </row>
    <row r="2725">
      <c r="A2725" s="3">
        <f>IFERROR(__xludf.DUMMYFUNCTION("""COMPUTED_VALUE"""),43092.99861111111)</f>
        <v>43092.99861</v>
      </c>
      <c r="B2725" s="1">
        <f>IFERROR(__xludf.DUMMYFUNCTION("""COMPUTED_VALUE"""),18096.0826)</f>
        <v>18096.0826</v>
      </c>
    </row>
    <row r="2726">
      <c r="A2726" s="3">
        <f>IFERROR(__xludf.DUMMYFUNCTION("""COMPUTED_VALUE"""),43093.99861111111)</f>
        <v>43093.99861</v>
      </c>
      <c r="B2726" s="1">
        <f>IFERROR(__xludf.DUMMYFUNCTION("""COMPUTED_VALUE"""),18108.2013)</f>
        <v>18108.2013</v>
      </c>
    </row>
    <row r="2727">
      <c r="A2727" s="3">
        <f>IFERROR(__xludf.DUMMYFUNCTION("""COMPUTED_VALUE"""),43094.99861111111)</f>
        <v>43094.99861</v>
      </c>
      <c r="B2727" s="1">
        <f>IFERROR(__xludf.DUMMYFUNCTION("""COMPUTED_VALUE"""),18097.42616)</f>
        <v>18097.42616</v>
      </c>
    </row>
    <row r="2728">
      <c r="A2728" s="3">
        <f>IFERROR(__xludf.DUMMYFUNCTION("""COMPUTED_VALUE"""),43095.99861111111)</f>
        <v>43095.99861</v>
      </c>
      <c r="B2728" s="1">
        <f>IFERROR(__xludf.DUMMYFUNCTION("""COMPUTED_VALUE"""),18123.0896)</f>
        <v>18123.0896</v>
      </c>
    </row>
    <row r="2729">
      <c r="A2729" s="3">
        <f>IFERROR(__xludf.DUMMYFUNCTION("""COMPUTED_VALUE"""),43096.99861111111)</f>
        <v>43096.99861</v>
      </c>
      <c r="B2729" s="1">
        <f>IFERROR(__xludf.DUMMYFUNCTION("""COMPUTED_VALUE"""),18170.97392)</f>
        <v>18170.97392</v>
      </c>
    </row>
    <row r="2730">
      <c r="A2730" s="3">
        <f>IFERROR(__xludf.DUMMYFUNCTION("""COMPUTED_VALUE"""),43097.99861111111)</f>
        <v>43097.99861</v>
      </c>
      <c r="B2730" s="1">
        <f>IFERROR(__xludf.DUMMYFUNCTION("""COMPUTED_VALUE"""),18220.73178)</f>
        <v>18220.73178</v>
      </c>
    </row>
    <row r="2731">
      <c r="A2731" s="3">
        <f>IFERROR(__xludf.DUMMYFUNCTION("""COMPUTED_VALUE"""),43098.99861111111)</f>
        <v>43098.99861</v>
      </c>
      <c r="B2731" s="1">
        <f>IFERROR(__xludf.DUMMYFUNCTION("""COMPUTED_VALUE"""),18241.2)</f>
        <v>18241.2</v>
      </c>
    </row>
    <row r="2732">
      <c r="A2732" s="3">
        <f>IFERROR(__xludf.DUMMYFUNCTION("""COMPUTED_VALUE"""),43099.99861111111)</f>
        <v>43099.99861</v>
      </c>
      <c r="B2732" s="1">
        <f>IFERROR(__xludf.DUMMYFUNCTION("""COMPUTED_VALUE"""),18212.8178)</f>
        <v>18212.8178</v>
      </c>
    </row>
    <row r="2733">
      <c r="A2733" s="3">
        <f>IFERROR(__xludf.DUMMYFUNCTION("""COMPUTED_VALUE"""),43100.99861111111)</f>
        <v>43100.99861</v>
      </c>
      <c r="B2733" s="1">
        <f>IFERROR(__xludf.DUMMYFUNCTION("""COMPUTED_VALUE"""),18300.6588)</f>
        <v>18300.6588</v>
      </c>
    </row>
    <row r="2734">
      <c r="A2734" s="3">
        <f>IFERROR(__xludf.DUMMYFUNCTION("""COMPUTED_VALUE"""),43101.99861111111)</f>
        <v>43101.99861</v>
      </c>
      <c r="B2734" s="1">
        <f>IFERROR(__xludf.DUMMYFUNCTION("""COMPUTED_VALUE"""),18306.05)</f>
        <v>18306.05</v>
      </c>
    </row>
    <row r="2735">
      <c r="A2735" s="3">
        <f>IFERROR(__xludf.DUMMYFUNCTION("""COMPUTED_VALUE"""),43102.99861111111)</f>
        <v>43102.99861</v>
      </c>
      <c r="B2735" s="1">
        <f>IFERROR(__xludf.DUMMYFUNCTION("""COMPUTED_VALUE"""),18346.4624)</f>
        <v>18346.4624</v>
      </c>
    </row>
    <row r="2736">
      <c r="A2736" s="3">
        <f>IFERROR(__xludf.DUMMYFUNCTION("""COMPUTED_VALUE"""),43103.99861111111)</f>
        <v>43103.99861</v>
      </c>
      <c r="B2736" s="1">
        <f>IFERROR(__xludf.DUMMYFUNCTION("""COMPUTED_VALUE"""),18195.9414)</f>
        <v>18195.9414</v>
      </c>
    </row>
    <row r="2737">
      <c r="A2737" s="3">
        <f>IFERROR(__xludf.DUMMYFUNCTION("""COMPUTED_VALUE"""),43104.99861111111)</f>
        <v>43104.99861</v>
      </c>
      <c r="B2737" s="1">
        <f>IFERROR(__xludf.DUMMYFUNCTION("""COMPUTED_VALUE"""),18177.325)</f>
        <v>18177.325</v>
      </c>
    </row>
    <row r="2738">
      <c r="A2738" s="3">
        <f>IFERROR(__xludf.DUMMYFUNCTION("""COMPUTED_VALUE"""),43105.99861111111)</f>
        <v>43105.99861</v>
      </c>
      <c r="B2738" s="1">
        <f>IFERROR(__xludf.DUMMYFUNCTION("""COMPUTED_VALUE"""),18196.0448)</f>
        <v>18196.0448</v>
      </c>
    </row>
    <row r="2739">
      <c r="A2739" s="3">
        <f>IFERROR(__xludf.DUMMYFUNCTION("""COMPUTED_VALUE"""),43106.99861111111)</f>
        <v>43106.99861</v>
      </c>
      <c r="B2739" s="1">
        <f>IFERROR(__xludf.DUMMYFUNCTION("""COMPUTED_VALUE"""),18215.97464)</f>
        <v>18215.97464</v>
      </c>
    </row>
    <row r="2740">
      <c r="A2740" s="3">
        <f>IFERROR(__xludf.DUMMYFUNCTION("""COMPUTED_VALUE"""),43107.99861111111)</f>
        <v>43107.99861</v>
      </c>
      <c r="B2740" s="1">
        <f>IFERROR(__xludf.DUMMYFUNCTION("""COMPUTED_VALUE"""),18226.88396)</f>
        <v>18226.88396</v>
      </c>
    </row>
    <row r="2741">
      <c r="A2741" s="3">
        <f>IFERROR(__xludf.DUMMYFUNCTION("""COMPUTED_VALUE"""),43108.99861111111)</f>
        <v>43108.99861</v>
      </c>
      <c r="B2741" s="1">
        <f>IFERROR(__xludf.DUMMYFUNCTION("""COMPUTED_VALUE"""),18219.63338)</f>
        <v>18219.63338</v>
      </c>
    </row>
    <row r="2742">
      <c r="A2742" s="3">
        <f>IFERROR(__xludf.DUMMYFUNCTION("""COMPUTED_VALUE"""),43109.99861111111)</f>
        <v>43109.99861</v>
      </c>
      <c r="B2742" s="1">
        <f>IFERROR(__xludf.DUMMYFUNCTION("""COMPUTED_VALUE"""),18172.9388)</f>
        <v>18172.9388</v>
      </c>
    </row>
    <row r="2743">
      <c r="A2743" s="3">
        <f>IFERROR(__xludf.DUMMYFUNCTION("""COMPUTED_VALUE"""),43110.99861111111)</f>
        <v>43110.99861</v>
      </c>
      <c r="B2743" s="1">
        <f>IFERROR(__xludf.DUMMYFUNCTION("""COMPUTED_VALUE"""),18161.4792)</f>
        <v>18161.4792</v>
      </c>
    </row>
    <row r="2744">
      <c r="A2744" s="3">
        <f>IFERROR(__xludf.DUMMYFUNCTION("""COMPUTED_VALUE"""),43111.99861111111)</f>
        <v>43111.99861</v>
      </c>
      <c r="B2744" s="1">
        <f>IFERROR(__xludf.DUMMYFUNCTION("""COMPUTED_VALUE"""),18134.52379)</f>
        <v>18134.52379</v>
      </c>
    </row>
    <row r="2745">
      <c r="A2745" s="3">
        <f>IFERROR(__xludf.DUMMYFUNCTION("""COMPUTED_VALUE"""),43112.99861111111)</f>
        <v>43112.99861</v>
      </c>
      <c r="B2745" s="1">
        <f>IFERROR(__xludf.DUMMYFUNCTION("""COMPUTED_VALUE"""),18285.696)</f>
        <v>18285.696</v>
      </c>
    </row>
    <row r="2746">
      <c r="A2746" s="3">
        <f>IFERROR(__xludf.DUMMYFUNCTION("""COMPUTED_VALUE"""),43113.99861111111)</f>
        <v>43113.99861</v>
      </c>
      <c r="B2746" s="1">
        <f>IFERROR(__xludf.DUMMYFUNCTION("""COMPUTED_VALUE"""),18256.694)</f>
        <v>18256.694</v>
      </c>
    </row>
    <row r="2747">
      <c r="A2747" s="3">
        <f>IFERROR(__xludf.DUMMYFUNCTION("""COMPUTED_VALUE"""),43114.99861111111)</f>
        <v>43114.99861</v>
      </c>
      <c r="B2747" s="1">
        <f>IFERROR(__xludf.DUMMYFUNCTION("""COMPUTED_VALUE"""),18256.1622)</f>
        <v>18256.1622</v>
      </c>
    </row>
    <row r="2748">
      <c r="A2748" s="3">
        <f>IFERROR(__xludf.DUMMYFUNCTION("""COMPUTED_VALUE"""),43115.99861111111)</f>
        <v>43115.99861</v>
      </c>
      <c r="B2748" s="1">
        <f>IFERROR(__xludf.DUMMYFUNCTION("""COMPUTED_VALUE"""),18354.7797)</f>
        <v>18354.7797</v>
      </c>
    </row>
    <row r="2749">
      <c r="A2749" s="3">
        <f>IFERROR(__xludf.DUMMYFUNCTION("""COMPUTED_VALUE"""),43116.99861111111)</f>
        <v>43116.99861</v>
      </c>
      <c r="B2749" s="1">
        <f>IFERROR(__xludf.DUMMYFUNCTION("""COMPUTED_VALUE"""),18358.2882)</f>
        <v>18358.2882</v>
      </c>
    </row>
    <row r="2750">
      <c r="A2750" s="3">
        <f>IFERROR(__xludf.DUMMYFUNCTION("""COMPUTED_VALUE"""),43117.99861111111)</f>
        <v>43117.99861</v>
      </c>
      <c r="B2750" s="1">
        <f>IFERROR(__xludf.DUMMYFUNCTION("""COMPUTED_VALUE"""),18438.88704)</f>
        <v>18438.88704</v>
      </c>
    </row>
    <row r="2751">
      <c r="A2751" s="3">
        <f>IFERROR(__xludf.DUMMYFUNCTION("""COMPUTED_VALUE"""),43118.99861111111)</f>
        <v>43118.99861</v>
      </c>
      <c r="B2751" s="1">
        <f>IFERROR(__xludf.DUMMYFUNCTION("""COMPUTED_VALUE"""),18522.52608)</f>
        <v>18522.52608</v>
      </c>
    </row>
    <row r="2752">
      <c r="A2752" s="3">
        <f>IFERROR(__xludf.DUMMYFUNCTION("""COMPUTED_VALUE"""),43119.99861111111)</f>
        <v>43119.99861</v>
      </c>
      <c r="B2752" s="1">
        <f>IFERROR(__xludf.DUMMYFUNCTION("""COMPUTED_VALUE"""),18451.927)</f>
        <v>18451.927</v>
      </c>
    </row>
    <row r="2753">
      <c r="A2753" s="3">
        <f>IFERROR(__xludf.DUMMYFUNCTION("""COMPUTED_VALUE"""),43120.99861111111)</f>
        <v>43120.99861</v>
      </c>
      <c r="B2753" s="1">
        <f>IFERROR(__xludf.DUMMYFUNCTION("""COMPUTED_VALUE"""),18477.32871)</f>
        <v>18477.32871</v>
      </c>
    </row>
    <row r="2754">
      <c r="A2754" s="3">
        <f>IFERROR(__xludf.DUMMYFUNCTION("""COMPUTED_VALUE"""),43121.99861111111)</f>
        <v>43121.99861</v>
      </c>
      <c r="B2754" s="1">
        <f>IFERROR(__xludf.DUMMYFUNCTION("""COMPUTED_VALUE"""),18507.0925)</f>
        <v>18507.0925</v>
      </c>
    </row>
    <row r="2755">
      <c r="A2755" s="3">
        <f>IFERROR(__xludf.DUMMYFUNCTION("""COMPUTED_VALUE"""),43122.99861111111)</f>
        <v>43122.99861</v>
      </c>
      <c r="B2755" s="1">
        <f>IFERROR(__xludf.DUMMYFUNCTION("""COMPUTED_VALUE"""),18653.4502)</f>
        <v>18653.4502</v>
      </c>
    </row>
    <row r="2756">
      <c r="A2756" s="3">
        <f>IFERROR(__xludf.DUMMYFUNCTION("""COMPUTED_VALUE"""),43123.99861111111)</f>
        <v>43123.99861</v>
      </c>
      <c r="B2756" s="1">
        <f>IFERROR(__xludf.DUMMYFUNCTION("""COMPUTED_VALUE"""),18687.7368)</f>
        <v>18687.7368</v>
      </c>
    </row>
    <row r="2757">
      <c r="A2757" s="3">
        <f>IFERROR(__xludf.DUMMYFUNCTION("""COMPUTED_VALUE"""),43124.99861111111)</f>
        <v>43124.99861</v>
      </c>
      <c r="B2757" s="1">
        <f>IFERROR(__xludf.DUMMYFUNCTION("""COMPUTED_VALUE"""),18905.7666)</f>
        <v>18905.7666</v>
      </c>
    </row>
    <row r="2758">
      <c r="A2758" s="3">
        <f>IFERROR(__xludf.DUMMYFUNCTION("""COMPUTED_VALUE"""),43125.99861111111)</f>
        <v>43125.99861</v>
      </c>
      <c r="B2758" s="1">
        <f>IFERROR(__xludf.DUMMYFUNCTION("""COMPUTED_VALUE"""),18816.7551)</f>
        <v>18816.7551</v>
      </c>
    </row>
    <row r="2759">
      <c r="A2759" s="3">
        <f>IFERROR(__xludf.DUMMYFUNCTION("""COMPUTED_VALUE"""),43126.99861111111)</f>
        <v>43126.99861</v>
      </c>
      <c r="B2759" s="1">
        <f>IFERROR(__xludf.DUMMYFUNCTION("""COMPUTED_VALUE"""),18846.1869)</f>
        <v>18846.1869</v>
      </c>
    </row>
    <row r="2760">
      <c r="A2760" s="3">
        <f>IFERROR(__xludf.DUMMYFUNCTION("""COMPUTED_VALUE"""),43127.99861111111)</f>
        <v>43127.99861</v>
      </c>
      <c r="B2760" s="1">
        <f>IFERROR(__xludf.DUMMYFUNCTION("""COMPUTED_VALUE"""),18870.73259)</f>
        <v>18870.73259</v>
      </c>
    </row>
    <row r="2761">
      <c r="A2761" s="3">
        <f>IFERROR(__xludf.DUMMYFUNCTION("""COMPUTED_VALUE"""),43128.99861111111)</f>
        <v>43128.99861</v>
      </c>
      <c r="B2761" s="1">
        <f>IFERROR(__xludf.DUMMYFUNCTION("""COMPUTED_VALUE"""),18810.91488)</f>
        <v>18810.91488</v>
      </c>
    </row>
    <row r="2762">
      <c r="A2762" s="3">
        <f>IFERROR(__xludf.DUMMYFUNCTION("""COMPUTED_VALUE"""),43129.99861111111)</f>
        <v>43129.99861</v>
      </c>
      <c r="B2762" s="1">
        <f>IFERROR(__xludf.DUMMYFUNCTION("""COMPUTED_VALUE"""),18812.7158)</f>
        <v>18812.7158</v>
      </c>
    </row>
    <row r="2763">
      <c r="A2763" s="3">
        <f>IFERROR(__xludf.DUMMYFUNCTION("""COMPUTED_VALUE"""),43130.99861111111)</f>
        <v>43130.99861</v>
      </c>
      <c r="B2763" s="1">
        <f>IFERROR(__xludf.DUMMYFUNCTION("""COMPUTED_VALUE"""),18997.02287)</f>
        <v>18997.02287</v>
      </c>
    </row>
    <row r="2764">
      <c r="A2764" s="3">
        <f>IFERROR(__xludf.DUMMYFUNCTION("""COMPUTED_VALUE"""),43131.99861111111)</f>
        <v>43131.99861</v>
      </c>
      <c r="B2764" s="1">
        <f>IFERROR(__xludf.DUMMYFUNCTION("""COMPUTED_VALUE"""),19002.78936)</f>
        <v>19002.78936</v>
      </c>
    </row>
    <row r="2765">
      <c r="A2765" s="3">
        <f>IFERROR(__xludf.DUMMYFUNCTION("""COMPUTED_VALUE"""),43132.99861111111)</f>
        <v>43132.99861</v>
      </c>
      <c r="B2765" s="1">
        <f>IFERROR(__xludf.DUMMYFUNCTION("""COMPUTED_VALUE"""),19096.19988)</f>
        <v>19096.19988</v>
      </c>
    </row>
    <row r="2766">
      <c r="A2766" s="3">
        <f>IFERROR(__xludf.DUMMYFUNCTION("""COMPUTED_VALUE"""),43133.99861111111)</f>
        <v>43133.99861</v>
      </c>
      <c r="B2766" s="1">
        <f>IFERROR(__xludf.DUMMYFUNCTION("""COMPUTED_VALUE"""),18939.0142)</f>
        <v>18939.0142</v>
      </c>
    </row>
    <row r="2767">
      <c r="A2767" s="3">
        <f>IFERROR(__xludf.DUMMYFUNCTION("""COMPUTED_VALUE"""),43134.99861111111)</f>
        <v>43134.99861</v>
      </c>
      <c r="B2767" s="1">
        <f>IFERROR(__xludf.DUMMYFUNCTION("""COMPUTED_VALUE"""),18939.0142)</f>
        <v>18939.0142</v>
      </c>
    </row>
    <row r="2768">
      <c r="A2768" s="3">
        <f>IFERROR(__xludf.DUMMYFUNCTION("""COMPUTED_VALUE"""),43135.99861111111)</f>
        <v>43135.99861</v>
      </c>
      <c r="B2768" s="1">
        <f>IFERROR(__xludf.DUMMYFUNCTION("""COMPUTED_VALUE"""),18923.05511)</f>
        <v>18923.05511</v>
      </c>
    </row>
    <row r="2769">
      <c r="A2769" s="3">
        <f>IFERROR(__xludf.DUMMYFUNCTION("""COMPUTED_VALUE"""),43136.99861111111)</f>
        <v>43136.99861</v>
      </c>
      <c r="B2769" s="1">
        <f>IFERROR(__xludf.DUMMYFUNCTION("""COMPUTED_VALUE"""),18911.33572)</f>
        <v>18911.33572</v>
      </c>
    </row>
    <row r="2770">
      <c r="A2770" s="3">
        <f>IFERROR(__xludf.DUMMYFUNCTION("""COMPUTED_VALUE"""),43137.99861111111)</f>
        <v>43137.99861</v>
      </c>
      <c r="B2770" s="1">
        <f>IFERROR(__xludf.DUMMYFUNCTION("""COMPUTED_VALUE"""),18902.27728)</f>
        <v>18902.27728</v>
      </c>
    </row>
    <row r="2771">
      <c r="A2771" s="3">
        <f>IFERROR(__xludf.DUMMYFUNCTION("""COMPUTED_VALUE"""),43138.99861111111)</f>
        <v>43138.99861</v>
      </c>
      <c r="B2771" s="1">
        <f>IFERROR(__xludf.DUMMYFUNCTION("""COMPUTED_VALUE"""),18929.6157)</f>
        <v>18929.6157</v>
      </c>
    </row>
    <row r="2772">
      <c r="A2772" s="3">
        <f>IFERROR(__xludf.DUMMYFUNCTION("""COMPUTED_VALUE"""),43139.99861111111)</f>
        <v>43139.99861</v>
      </c>
      <c r="B2772" s="1">
        <f>IFERROR(__xludf.DUMMYFUNCTION("""COMPUTED_VALUE"""),18946.7733)</f>
        <v>18946.7733</v>
      </c>
    </row>
    <row r="2773">
      <c r="A2773" s="3">
        <f>IFERROR(__xludf.DUMMYFUNCTION("""COMPUTED_VALUE"""),43140.99861111111)</f>
        <v>43140.99861</v>
      </c>
      <c r="B2773" s="1">
        <f>IFERROR(__xludf.DUMMYFUNCTION("""COMPUTED_VALUE"""),18815.7374)</f>
        <v>18815.7374</v>
      </c>
    </row>
    <row r="2774">
      <c r="A2774" s="3">
        <f>IFERROR(__xludf.DUMMYFUNCTION("""COMPUTED_VALUE"""),43141.99861111111)</f>
        <v>43141.99861</v>
      </c>
      <c r="B2774" s="1">
        <f>IFERROR(__xludf.DUMMYFUNCTION("""COMPUTED_VALUE"""),18815.7374)</f>
        <v>18815.7374</v>
      </c>
    </row>
    <row r="2775">
      <c r="A2775" s="3">
        <f>IFERROR(__xludf.DUMMYFUNCTION("""COMPUTED_VALUE"""),43142.99861111111)</f>
        <v>43142.99861</v>
      </c>
      <c r="B2775" s="1">
        <f>IFERROR(__xludf.DUMMYFUNCTION("""COMPUTED_VALUE"""),18813.103)</f>
        <v>18813.103</v>
      </c>
    </row>
    <row r="2776">
      <c r="A2776" s="3">
        <f>IFERROR(__xludf.DUMMYFUNCTION("""COMPUTED_VALUE"""),43143.99861111111)</f>
        <v>43143.99861</v>
      </c>
      <c r="B2776" s="1">
        <f>IFERROR(__xludf.DUMMYFUNCTION("""COMPUTED_VALUE"""),18895.555)</f>
        <v>18895.555</v>
      </c>
    </row>
    <row r="2777">
      <c r="A2777" s="3">
        <f>IFERROR(__xludf.DUMMYFUNCTION("""COMPUTED_VALUE"""),43144.99861111111)</f>
        <v>43144.99861</v>
      </c>
      <c r="B2777" s="1">
        <f>IFERROR(__xludf.DUMMYFUNCTION("""COMPUTED_VALUE"""),18937.776)</f>
        <v>18937.776</v>
      </c>
    </row>
    <row r="2778">
      <c r="A2778" s="3">
        <f>IFERROR(__xludf.DUMMYFUNCTION("""COMPUTED_VALUE"""),43145.99861111111)</f>
        <v>43145.99861</v>
      </c>
      <c r="B2778" s="1">
        <f>IFERROR(__xludf.DUMMYFUNCTION("""COMPUTED_VALUE"""),19089.46214)</f>
        <v>19089.46214</v>
      </c>
    </row>
    <row r="2779">
      <c r="A2779" s="3">
        <f>IFERROR(__xludf.DUMMYFUNCTION("""COMPUTED_VALUE"""),43146.99861111111)</f>
        <v>43146.99861</v>
      </c>
      <c r="B2779" s="1">
        <f>IFERROR(__xludf.DUMMYFUNCTION("""COMPUTED_VALUE"""),19111.97904)</f>
        <v>19111.97904</v>
      </c>
    </row>
    <row r="2780">
      <c r="A2780" s="3">
        <f>IFERROR(__xludf.DUMMYFUNCTION("""COMPUTED_VALUE"""),43147.99861111111)</f>
        <v>43147.99861</v>
      </c>
      <c r="B2780" s="1">
        <f>IFERROR(__xludf.DUMMYFUNCTION("""COMPUTED_VALUE"""),19009.3904)</f>
        <v>19009.3904</v>
      </c>
    </row>
    <row r="2781">
      <c r="A2781" s="3">
        <f>IFERROR(__xludf.DUMMYFUNCTION("""COMPUTED_VALUE"""),43148.99861111111)</f>
        <v>43148.99861</v>
      </c>
      <c r="B2781" s="1">
        <f>IFERROR(__xludf.DUMMYFUNCTION("""COMPUTED_VALUE"""),19009.3904)</f>
        <v>19009.3904</v>
      </c>
    </row>
    <row r="2782">
      <c r="A2782" s="3">
        <f>IFERROR(__xludf.DUMMYFUNCTION("""COMPUTED_VALUE"""),43149.99861111111)</f>
        <v>43149.99861</v>
      </c>
      <c r="B2782" s="1">
        <f>IFERROR(__xludf.DUMMYFUNCTION("""COMPUTED_VALUE"""),19013.18496)</f>
        <v>19013.18496</v>
      </c>
    </row>
    <row r="2783">
      <c r="A2783" s="3">
        <f>IFERROR(__xludf.DUMMYFUNCTION("""COMPUTED_VALUE"""),43150.99861111111)</f>
        <v>43150.99861</v>
      </c>
      <c r="B2783" s="1">
        <f>IFERROR(__xludf.DUMMYFUNCTION("""COMPUTED_VALUE"""),18964.0791)</f>
        <v>18964.0791</v>
      </c>
    </row>
    <row r="2784">
      <c r="A2784" s="3">
        <f>IFERROR(__xludf.DUMMYFUNCTION("""COMPUTED_VALUE"""),43151.99861111111)</f>
        <v>43151.99861</v>
      </c>
      <c r="B2784" s="1">
        <f>IFERROR(__xludf.DUMMYFUNCTION("""COMPUTED_VALUE"""),19050.24744)</f>
        <v>19050.24744</v>
      </c>
    </row>
    <row r="2785">
      <c r="A2785" s="3">
        <f>IFERROR(__xludf.DUMMYFUNCTION("""COMPUTED_VALUE"""),43152.99861111111)</f>
        <v>43152.99861</v>
      </c>
      <c r="B2785" s="1">
        <f>IFERROR(__xludf.DUMMYFUNCTION("""COMPUTED_VALUE"""),18932.79468)</f>
        <v>18932.79468</v>
      </c>
    </row>
    <row r="2786">
      <c r="A2786" s="3">
        <f>IFERROR(__xludf.DUMMYFUNCTION("""COMPUTED_VALUE"""),43153.99861111111)</f>
        <v>43153.99861</v>
      </c>
      <c r="B2786" s="1">
        <f>IFERROR(__xludf.DUMMYFUNCTION("""COMPUTED_VALUE"""),19079.3876)</f>
        <v>19079.3876</v>
      </c>
    </row>
    <row r="2787">
      <c r="A2787" s="3">
        <f>IFERROR(__xludf.DUMMYFUNCTION("""COMPUTED_VALUE"""),43154.99861111111)</f>
        <v>43154.99861</v>
      </c>
      <c r="B2787" s="1">
        <f>IFERROR(__xludf.DUMMYFUNCTION("""COMPUTED_VALUE"""),19067.7484)</f>
        <v>19067.7484</v>
      </c>
    </row>
    <row r="2788">
      <c r="A2788" s="3">
        <f>IFERROR(__xludf.DUMMYFUNCTION("""COMPUTED_VALUE"""),43155.99861111111)</f>
        <v>43155.99861</v>
      </c>
      <c r="B2788" s="1">
        <f>IFERROR(__xludf.DUMMYFUNCTION("""COMPUTED_VALUE"""),19066.3832)</f>
        <v>19066.3832</v>
      </c>
    </row>
    <row r="2789">
      <c r="A2789" s="3">
        <f>IFERROR(__xludf.DUMMYFUNCTION("""COMPUTED_VALUE"""),43156.99861111111)</f>
        <v>43156.99861</v>
      </c>
      <c r="B2789" s="1">
        <f>IFERROR(__xludf.DUMMYFUNCTION("""COMPUTED_VALUE"""),19080.32481)</f>
        <v>19080.32481</v>
      </c>
    </row>
    <row r="2790">
      <c r="A2790" s="3">
        <f>IFERROR(__xludf.DUMMYFUNCTION("""COMPUTED_VALUE"""),43157.99861111111)</f>
        <v>43157.99861</v>
      </c>
      <c r="B2790" s="1">
        <f>IFERROR(__xludf.DUMMYFUNCTION("""COMPUTED_VALUE"""),19063.89452)</f>
        <v>19063.89452</v>
      </c>
    </row>
    <row r="2791">
      <c r="A2791" s="3">
        <f>IFERROR(__xludf.DUMMYFUNCTION("""COMPUTED_VALUE"""),43158.99861111111)</f>
        <v>43158.99861</v>
      </c>
      <c r="B2791" s="1">
        <f>IFERROR(__xludf.DUMMYFUNCTION("""COMPUTED_VALUE"""),19041.507)</f>
        <v>19041.507</v>
      </c>
    </row>
    <row r="2792">
      <c r="A2792" s="3">
        <f>IFERROR(__xludf.DUMMYFUNCTION("""COMPUTED_VALUE"""),43159.99861111111)</f>
        <v>43159.99861</v>
      </c>
      <c r="B2792" s="1">
        <f>IFERROR(__xludf.DUMMYFUNCTION("""COMPUTED_VALUE"""),18917.2512)</f>
        <v>18917.2512</v>
      </c>
    </row>
    <row r="2793">
      <c r="A2793" s="3">
        <f>IFERROR(__xludf.DUMMYFUNCTION("""COMPUTED_VALUE"""),43160.99861111111)</f>
        <v>43160.99861</v>
      </c>
      <c r="B2793" s="1">
        <f>IFERROR(__xludf.DUMMYFUNCTION("""COMPUTED_VALUE"""),18926.8534)</f>
        <v>18926.8534</v>
      </c>
    </row>
    <row r="2794">
      <c r="A2794" s="3">
        <f>IFERROR(__xludf.DUMMYFUNCTION("""COMPUTED_VALUE"""),43161.99861111111)</f>
        <v>43161.99861</v>
      </c>
      <c r="B2794" s="1">
        <f>IFERROR(__xludf.DUMMYFUNCTION("""COMPUTED_VALUE"""),18984.6306)</f>
        <v>18984.6306</v>
      </c>
    </row>
    <row r="2795">
      <c r="A2795" s="3">
        <f>IFERROR(__xludf.DUMMYFUNCTION("""COMPUTED_VALUE"""),43162.99861111111)</f>
        <v>43162.99861</v>
      </c>
      <c r="B2795" s="1">
        <f>IFERROR(__xludf.DUMMYFUNCTION("""COMPUTED_VALUE"""),18984.6306)</f>
        <v>18984.6306</v>
      </c>
    </row>
    <row r="2796">
      <c r="A2796" s="3">
        <f>IFERROR(__xludf.DUMMYFUNCTION("""COMPUTED_VALUE"""),43163.99861111111)</f>
        <v>43163.99861</v>
      </c>
      <c r="B2796" s="1">
        <f>IFERROR(__xludf.DUMMYFUNCTION("""COMPUTED_VALUE"""),18962.629)</f>
        <v>18962.629</v>
      </c>
    </row>
    <row r="2797">
      <c r="A2797" s="3">
        <f>IFERROR(__xludf.DUMMYFUNCTION("""COMPUTED_VALUE"""),43164.99861111111)</f>
        <v>43164.99861</v>
      </c>
      <c r="B2797" s="1">
        <f>IFERROR(__xludf.DUMMYFUNCTION("""COMPUTED_VALUE"""),19021.6239)</f>
        <v>19021.6239</v>
      </c>
    </row>
    <row r="2798">
      <c r="A2798" s="3">
        <f>IFERROR(__xludf.DUMMYFUNCTION("""COMPUTED_VALUE"""),43165.99861111111)</f>
        <v>43165.99861</v>
      </c>
      <c r="B2798" s="1">
        <f>IFERROR(__xludf.DUMMYFUNCTION("""COMPUTED_VALUE"""),19123.08374)</f>
        <v>19123.08374</v>
      </c>
    </row>
    <row r="2799">
      <c r="A2799" s="3">
        <f>IFERROR(__xludf.DUMMYFUNCTION("""COMPUTED_VALUE"""),43166.99861111111)</f>
        <v>43166.99861</v>
      </c>
      <c r="B2799" s="1">
        <f>IFERROR(__xludf.DUMMYFUNCTION("""COMPUTED_VALUE"""),19108.299)</f>
        <v>19108.299</v>
      </c>
    </row>
    <row r="2800">
      <c r="A2800" s="3">
        <f>IFERROR(__xludf.DUMMYFUNCTION("""COMPUTED_VALUE"""),43167.99861111111)</f>
        <v>43167.99861</v>
      </c>
      <c r="B2800" s="1">
        <f>IFERROR(__xludf.DUMMYFUNCTION("""COMPUTED_VALUE"""),19030.1944)</f>
        <v>19030.1944</v>
      </c>
    </row>
    <row r="2801">
      <c r="A2801" s="3">
        <f>IFERROR(__xludf.DUMMYFUNCTION("""COMPUTED_VALUE"""),43168.99861111111)</f>
        <v>43168.99861</v>
      </c>
      <c r="B2801" s="1">
        <f>IFERROR(__xludf.DUMMYFUNCTION("""COMPUTED_VALUE"""),19074.204)</f>
        <v>19074.204</v>
      </c>
    </row>
    <row r="2802">
      <c r="A2802" s="3">
        <f>IFERROR(__xludf.DUMMYFUNCTION("""COMPUTED_VALUE"""),43169.99861111111)</f>
        <v>43169.99861</v>
      </c>
      <c r="B2802" s="1">
        <f>IFERROR(__xludf.DUMMYFUNCTION("""COMPUTED_VALUE"""),19109.04349)</f>
        <v>19109.04349</v>
      </c>
    </row>
    <row r="2803">
      <c r="A2803" s="3">
        <f>IFERROR(__xludf.DUMMYFUNCTION("""COMPUTED_VALUE"""),43170.99861111111)</f>
        <v>43170.99861</v>
      </c>
      <c r="B2803" s="1">
        <f>IFERROR(__xludf.DUMMYFUNCTION("""COMPUTED_VALUE"""),19079.7288)</f>
        <v>19079.7288</v>
      </c>
    </row>
    <row r="2804">
      <c r="A2804" s="3">
        <f>IFERROR(__xludf.DUMMYFUNCTION("""COMPUTED_VALUE"""),43171.99861111111)</f>
        <v>43171.99861</v>
      </c>
      <c r="B2804" s="1">
        <f>IFERROR(__xludf.DUMMYFUNCTION("""COMPUTED_VALUE"""),19128.66585)</f>
        <v>19128.66585</v>
      </c>
    </row>
    <row r="2805">
      <c r="A2805" s="3">
        <f>IFERROR(__xludf.DUMMYFUNCTION("""COMPUTED_VALUE"""),43172.99861111111)</f>
        <v>43172.99861</v>
      </c>
      <c r="B2805" s="1">
        <f>IFERROR(__xludf.DUMMYFUNCTION("""COMPUTED_VALUE"""),19192.032)</f>
        <v>19192.032</v>
      </c>
    </row>
    <row r="2806">
      <c r="A2806" s="3">
        <f>IFERROR(__xludf.DUMMYFUNCTION("""COMPUTED_VALUE"""),43173.99861111111)</f>
        <v>43173.99861</v>
      </c>
      <c r="B2806" s="1">
        <f>IFERROR(__xludf.DUMMYFUNCTION("""COMPUTED_VALUE"""),19173.825)</f>
        <v>19173.825</v>
      </c>
    </row>
    <row r="2807">
      <c r="A2807" s="3">
        <f>IFERROR(__xludf.DUMMYFUNCTION("""COMPUTED_VALUE"""),43174.99861111111)</f>
        <v>43174.99861</v>
      </c>
      <c r="B2807" s="1">
        <f>IFERROR(__xludf.DUMMYFUNCTION("""COMPUTED_VALUE"""),19173.1488)</f>
        <v>19173.1488</v>
      </c>
    </row>
    <row r="2808">
      <c r="A2808" s="3">
        <f>IFERROR(__xludf.DUMMYFUNCTION("""COMPUTED_VALUE"""),43175.99861111111)</f>
        <v>43175.99861</v>
      </c>
      <c r="B2808" s="1">
        <f>IFERROR(__xludf.DUMMYFUNCTION("""COMPUTED_VALUE"""),19161.8848)</f>
        <v>19161.8848</v>
      </c>
    </row>
    <row r="2809">
      <c r="A2809" s="3">
        <f>IFERROR(__xludf.DUMMYFUNCTION("""COMPUTED_VALUE"""),43176.99861111111)</f>
        <v>43176.99861</v>
      </c>
      <c r="B2809" s="1">
        <f>IFERROR(__xludf.DUMMYFUNCTION("""COMPUTED_VALUE"""),19180.2912)</f>
        <v>19180.2912</v>
      </c>
    </row>
    <row r="2810">
      <c r="A2810" s="3">
        <f>IFERROR(__xludf.DUMMYFUNCTION("""COMPUTED_VALUE"""),43177.99861111111)</f>
        <v>43177.99861</v>
      </c>
      <c r="B2810" s="1">
        <f>IFERROR(__xludf.DUMMYFUNCTION("""COMPUTED_VALUE"""),19167.73656)</f>
        <v>19167.73656</v>
      </c>
    </row>
    <row r="2811">
      <c r="A2811" s="3">
        <f>IFERROR(__xludf.DUMMYFUNCTION("""COMPUTED_VALUE"""),43178.99861111111)</f>
        <v>43178.99861</v>
      </c>
      <c r="B2811" s="1">
        <f>IFERROR(__xludf.DUMMYFUNCTION("""COMPUTED_VALUE"""),19312.86353)</f>
        <v>19312.86353</v>
      </c>
    </row>
    <row r="2812">
      <c r="A2812" s="3">
        <f>IFERROR(__xludf.DUMMYFUNCTION("""COMPUTED_VALUE"""),43179.99861111111)</f>
        <v>43179.99861</v>
      </c>
      <c r="B2812" s="1">
        <f>IFERROR(__xludf.DUMMYFUNCTION("""COMPUTED_VALUE"""),19244.18547)</f>
        <v>19244.18547</v>
      </c>
    </row>
    <row r="2813">
      <c r="A2813" s="3">
        <f>IFERROR(__xludf.DUMMYFUNCTION("""COMPUTED_VALUE"""),43180.99861111111)</f>
        <v>43180.99861</v>
      </c>
      <c r="B2813" s="1">
        <f>IFERROR(__xludf.DUMMYFUNCTION("""COMPUTED_VALUE"""),19383.2556)</f>
        <v>19383.2556</v>
      </c>
    </row>
    <row r="2814">
      <c r="A2814" s="3">
        <f>IFERROR(__xludf.DUMMYFUNCTION("""COMPUTED_VALUE"""),43181.99861111111)</f>
        <v>43181.99861</v>
      </c>
      <c r="B2814" s="1">
        <f>IFERROR(__xludf.DUMMYFUNCTION("""COMPUTED_VALUE"""),19410.88266)</f>
        <v>19410.88266</v>
      </c>
    </row>
    <row r="2815">
      <c r="A2815" s="3">
        <f>IFERROR(__xludf.DUMMYFUNCTION("""COMPUTED_VALUE"""),43182.99861111111)</f>
        <v>43182.99861</v>
      </c>
      <c r="B2815" s="1">
        <f>IFERROR(__xludf.DUMMYFUNCTION("""COMPUTED_VALUE"""),19475.1672)</f>
        <v>19475.1672</v>
      </c>
    </row>
    <row r="2816">
      <c r="A2816" s="3">
        <f>IFERROR(__xludf.DUMMYFUNCTION("""COMPUTED_VALUE"""),43183.99861111111)</f>
        <v>43183.99861</v>
      </c>
      <c r="B2816" s="1">
        <f>IFERROR(__xludf.DUMMYFUNCTION("""COMPUTED_VALUE"""),19475.1672)</f>
        <v>19475.1672</v>
      </c>
    </row>
    <row r="2817">
      <c r="A2817" s="3">
        <f>IFERROR(__xludf.DUMMYFUNCTION("""COMPUTED_VALUE"""),43184.99861111111)</f>
        <v>43184.99861</v>
      </c>
      <c r="B2817" s="1">
        <f>IFERROR(__xludf.DUMMYFUNCTION("""COMPUTED_VALUE"""),19468.13806)</f>
        <v>19468.13806</v>
      </c>
    </row>
    <row r="2818">
      <c r="A2818" s="3">
        <f>IFERROR(__xludf.DUMMYFUNCTION("""COMPUTED_VALUE"""),43185.99861111111)</f>
        <v>43185.99861</v>
      </c>
      <c r="B2818" s="1">
        <f>IFERROR(__xludf.DUMMYFUNCTION("""COMPUTED_VALUE"""),19530.72814)</f>
        <v>19530.72814</v>
      </c>
    </row>
    <row r="2819">
      <c r="A2819" s="3">
        <f>IFERROR(__xludf.DUMMYFUNCTION("""COMPUTED_VALUE"""),43186.99861111111)</f>
        <v>43186.99861</v>
      </c>
      <c r="B2819" s="1">
        <f>IFERROR(__xludf.DUMMYFUNCTION("""COMPUTED_VALUE"""),19475.763)</f>
        <v>19475.763</v>
      </c>
    </row>
    <row r="2820">
      <c r="A2820" s="3">
        <f>IFERROR(__xludf.DUMMYFUNCTION("""COMPUTED_VALUE"""),43187.99861111111)</f>
        <v>43187.99861</v>
      </c>
      <c r="B2820" s="1">
        <f>IFERROR(__xludf.DUMMYFUNCTION("""COMPUTED_VALUE"""),19367.20996)</f>
        <v>19367.20996</v>
      </c>
    </row>
    <row r="2821">
      <c r="A2821" s="3">
        <f>IFERROR(__xludf.DUMMYFUNCTION("""COMPUTED_VALUE"""),43188.99861111111)</f>
        <v>43188.99861</v>
      </c>
      <c r="B2821" s="1">
        <f>IFERROR(__xludf.DUMMYFUNCTION("""COMPUTED_VALUE"""),19294.1925)</f>
        <v>19294.1925</v>
      </c>
    </row>
    <row r="2822">
      <c r="A2822" s="3">
        <f>IFERROR(__xludf.DUMMYFUNCTION("""COMPUTED_VALUE"""),43189.99861111111)</f>
        <v>43189.99861</v>
      </c>
      <c r="B2822" s="1">
        <f>IFERROR(__xludf.DUMMYFUNCTION("""COMPUTED_VALUE"""),19251.004)</f>
        <v>19251.004</v>
      </c>
    </row>
    <row r="2823">
      <c r="A2823" s="3">
        <f>IFERROR(__xludf.DUMMYFUNCTION("""COMPUTED_VALUE"""),43190.99861111111)</f>
        <v>43190.99861</v>
      </c>
      <c r="B2823" s="1">
        <f>IFERROR(__xludf.DUMMYFUNCTION("""COMPUTED_VALUE"""),19267.822)</f>
        <v>19267.822</v>
      </c>
    </row>
    <row r="2824">
      <c r="A2824" s="3">
        <f>IFERROR(__xludf.DUMMYFUNCTION("""COMPUTED_VALUE"""),43191.99861111111)</f>
        <v>43191.99861</v>
      </c>
      <c r="B2824" s="1">
        <f>IFERROR(__xludf.DUMMYFUNCTION("""COMPUTED_VALUE"""),19326.27928)</f>
        <v>19326.27928</v>
      </c>
    </row>
    <row r="2825">
      <c r="A2825" s="3">
        <f>IFERROR(__xludf.DUMMYFUNCTION("""COMPUTED_VALUE"""),43192.99861111111)</f>
        <v>43192.99861</v>
      </c>
      <c r="B2825" s="1">
        <f>IFERROR(__xludf.DUMMYFUNCTION("""COMPUTED_VALUE"""),19309.7534)</f>
        <v>19309.7534</v>
      </c>
    </row>
    <row r="2826">
      <c r="A2826" s="3">
        <f>IFERROR(__xludf.DUMMYFUNCTION("""COMPUTED_VALUE"""),43193.99861111111)</f>
        <v>43193.99861</v>
      </c>
      <c r="B2826" s="1">
        <f>IFERROR(__xludf.DUMMYFUNCTION("""COMPUTED_VALUE"""),19330.01434)</f>
        <v>19330.01434</v>
      </c>
    </row>
    <row r="2827">
      <c r="A2827" s="3">
        <f>IFERROR(__xludf.DUMMYFUNCTION("""COMPUTED_VALUE"""),43194.99861111111)</f>
        <v>43194.99861</v>
      </c>
      <c r="B2827" s="1">
        <f>IFERROR(__xludf.DUMMYFUNCTION("""COMPUTED_VALUE"""),19370.75868)</f>
        <v>19370.75868</v>
      </c>
    </row>
    <row r="2828">
      <c r="A2828" s="3">
        <f>IFERROR(__xludf.DUMMYFUNCTION("""COMPUTED_VALUE"""),43195.99861111111)</f>
        <v>43195.99861</v>
      </c>
      <c r="B2828" s="1">
        <f>IFERROR(__xludf.DUMMYFUNCTION("""COMPUTED_VALUE"""),19274.0448)</f>
        <v>19274.0448</v>
      </c>
    </row>
    <row r="2829">
      <c r="A2829" s="3">
        <f>IFERROR(__xludf.DUMMYFUNCTION("""COMPUTED_VALUE"""),43196.99861111111)</f>
        <v>43196.99861</v>
      </c>
      <c r="B2829" s="1">
        <f>IFERROR(__xludf.DUMMYFUNCTION("""COMPUTED_VALUE"""),19386.5618)</f>
        <v>19386.5618</v>
      </c>
    </row>
    <row r="2830">
      <c r="A2830" s="3">
        <f>IFERROR(__xludf.DUMMYFUNCTION("""COMPUTED_VALUE"""),43197.99861111111)</f>
        <v>43197.99861</v>
      </c>
      <c r="B2830" s="1">
        <f>IFERROR(__xludf.DUMMYFUNCTION("""COMPUTED_VALUE"""),19386.5618)</f>
        <v>19386.5618</v>
      </c>
    </row>
    <row r="2831">
      <c r="A2831" s="3">
        <f>IFERROR(__xludf.DUMMYFUNCTION("""COMPUTED_VALUE"""),43198.99861111111)</f>
        <v>43198.99861</v>
      </c>
      <c r="B2831" s="1">
        <f>IFERROR(__xludf.DUMMYFUNCTION("""COMPUTED_VALUE"""),19392.47989)</f>
        <v>19392.47989</v>
      </c>
    </row>
    <row r="2832">
      <c r="A2832" s="3">
        <f>IFERROR(__xludf.DUMMYFUNCTION("""COMPUTED_VALUE"""),43199.99861111111)</f>
        <v>43199.99861</v>
      </c>
      <c r="B2832" s="1">
        <f>IFERROR(__xludf.DUMMYFUNCTION("""COMPUTED_VALUE"""),19459.6912)</f>
        <v>19459.6912</v>
      </c>
    </row>
    <row r="2833">
      <c r="A2833" s="3">
        <f>IFERROR(__xludf.DUMMYFUNCTION("""COMPUTED_VALUE"""),43200.99861111111)</f>
        <v>43200.99861</v>
      </c>
      <c r="B2833" s="1">
        <f>IFERROR(__xludf.DUMMYFUNCTION("""COMPUTED_VALUE"""),19489.04622)</f>
        <v>19489.04622</v>
      </c>
    </row>
    <row r="2834">
      <c r="A2834" s="3">
        <f>IFERROR(__xludf.DUMMYFUNCTION("""COMPUTED_VALUE"""),43201.99861111111)</f>
        <v>43201.99861</v>
      </c>
      <c r="B2834" s="1">
        <f>IFERROR(__xludf.DUMMYFUNCTION("""COMPUTED_VALUE"""),19512.09045)</f>
        <v>19512.09045</v>
      </c>
    </row>
    <row r="2835">
      <c r="A2835" s="3">
        <f>IFERROR(__xludf.DUMMYFUNCTION("""COMPUTED_VALUE"""),43202.99861111111)</f>
        <v>43202.99861</v>
      </c>
      <c r="B2835" s="1">
        <f>IFERROR(__xludf.DUMMYFUNCTION("""COMPUTED_VALUE"""),19598.83887)</f>
        <v>19598.83887</v>
      </c>
    </row>
    <row r="2836">
      <c r="A2836" s="3">
        <f>IFERROR(__xludf.DUMMYFUNCTION("""COMPUTED_VALUE"""),43203.99861111111)</f>
        <v>43203.99861</v>
      </c>
      <c r="B2836" s="1">
        <f>IFERROR(__xludf.DUMMYFUNCTION("""COMPUTED_VALUE"""),19608.4329)</f>
        <v>19608.4329</v>
      </c>
    </row>
    <row r="2837">
      <c r="A2837" s="3">
        <f>IFERROR(__xludf.DUMMYFUNCTION("""COMPUTED_VALUE"""),43204.99861111111)</f>
        <v>43204.99861</v>
      </c>
      <c r="B2837" s="1">
        <f>IFERROR(__xludf.DUMMYFUNCTION("""COMPUTED_VALUE"""),19564.52764)</f>
        <v>19564.52764</v>
      </c>
    </row>
    <row r="2838">
      <c r="A2838" s="3">
        <f>IFERROR(__xludf.DUMMYFUNCTION("""COMPUTED_VALUE"""),43205.99861111111)</f>
        <v>43205.99861</v>
      </c>
      <c r="B2838" s="1">
        <f>IFERROR(__xludf.DUMMYFUNCTION("""COMPUTED_VALUE"""),19561.2852)</f>
        <v>19561.2852</v>
      </c>
    </row>
    <row r="2839">
      <c r="A2839" s="3">
        <f>IFERROR(__xludf.DUMMYFUNCTION("""COMPUTED_VALUE"""),43206.99861111111)</f>
        <v>43206.99861</v>
      </c>
      <c r="B2839" s="1">
        <f>IFERROR(__xludf.DUMMYFUNCTION("""COMPUTED_VALUE"""),19741.8206)</f>
        <v>19741.8206</v>
      </c>
    </row>
    <row r="2840">
      <c r="A2840" s="3">
        <f>IFERROR(__xludf.DUMMYFUNCTION("""COMPUTED_VALUE"""),43207.99861111111)</f>
        <v>43207.99861</v>
      </c>
      <c r="B2840" s="1">
        <f>IFERROR(__xludf.DUMMYFUNCTION("""COMPUTED_VALUE"""),19666.73206)</f>
        <v>19666.73206</v>
      </c>
    </row>
    <row r="2841">
      <c r="A2841" s="3">
        <f>IFERROR(__xludf.DUMMYFUNCTION("""COMPUTED_VALUE"""),43208.99861111111)</f>
        <v>43208.99861</v>
      </c>
      <c r="B2841" s="1">
        <f>IFERROR(__xludf.DUMMYFUNCTION("""COMPUTED_VALUE"""),19554.7338)</f>
        <v>19554.7338</v>
      </c>
    </row>
    <row r="2842">
      <c r="A2842" s="3">
        <f>IFERROR(__xludf.DUMMYFUNCTION("""COMPUTED_VALUE"""),43209.99861111111)</f>
        <v>43209.99861</v>
      </c>
      <c r="B2842" s="1">
        <f>IFERROR(__xludf.DUMMYFUNCTION("""COMPUTED_VALUE"""),19436.61)</f>
        <v>19436.61</v>
      </c>
    </row>
    <row r="2843">
      <c r="A2843" s="3">
        <f>IFERROR(__xludf.DUMMYFUNCTION("""COMPUTED_VALUE"""),43210.99861111111)</f>
        <v>43210.99861</v>
      </c>
      <c r="B2843" s="1">
        <f>IFERROR(__xludf.DUMMYFUNCTION("""COMPUTED_VALUE"""),19384.3529)</f>
        <v>19384.3529</v>
      </c>
    </row>
    <row r="2844">
      <c r="A2844" s="3">
        <f>IFERROR(__xludf.DUMMYFUNCTION("""COMPUTED_VALUE"""),43211.99861111111)</f>
        <v>43211.99861</v>
      </c>
      <c r="B2844" s="1">
        <f>IFERROR(__xludf.DUMMYFUNCTION("""COMPUTED_VALUE"""),19394.72912)</f>
        <v>19394.72912</v>
      </c>
    </row>
    <row r="2845">
      <c r="A2845" s="3">
        <f>IFERROR(__xludf.DUMMYFUNCTION("""COMPUTED_VALUE"""),43212.99861111111)</f>
        <v>43212.99861</v>
      </c>
      <c r="B2845" s="1">
        <f>IFERROR(__xludf.DUMMYFUNCTION("""COMPUTED_VALUE"""),19459.15596)</f>
        <v>19459.15596</v>
      </c>
    </row>
    <row r="2846">
      <c r="A2846" s="3">
        <f>IFERROR(__xludf.DUMMYFUNCTION("""COMPUTED_VALUE"""),43213.99861111111)</f>
        <v>43213.99861</v>
      </c>
      <c r="B2846" s="1">
        <f>IFERROR(__xludf.DUMMYFUNCTION("""COMPUTED_VALUE"""),19458.00414)</f>
        <v>19458.00414</v>
      </c>
    </row>
    <row r="2847">
      <c r="A2847" s="3">
        <f>IFERROR(__xludf.DUMMYFUNCTION("""COMPUTED_VALUE"""),43214.99861111111)</f>
        <v>43214.99861</v>
      </c>
      <c r="B2847" s="1">
        <f>IFERROR(__xludf.DUMMYFUNCTION("""COMPUTED_VALUE"""),19413.03168)</f>
        <v>19413.03168</v>
      </c>
    </row>
    <row r="2848">
      <c r="A2848" s="3">
        <f>IFERROR(__xludf.DUMMYFUNCTION("""COMPUTED_VALUE"""),43215.99861111111)</f>
        <v>43215.99861</v>
      </c>
      <c r="B2848" s="1">
        <f>IFERROR(__xludf.DUMMYFUNCTION("""COMPUTED_VALUE"""),19398.9103)</f>
        <v>19398.9103</v>
      </c>
    </row>
    <row r="2849">
      <c r="A2849" s="3">
        <f>IFERROR(__xludf.DUMMYFUNCTION("""COMPUTED_VALUE"""),43216.99861111111)</f>
        <v>43216.99861</v>
      </c>
      <c r="B2849" s="1">
        <f>IFERROR(__xludf.DUMMYFUNCTION("""COMPUTED_VALUE"""),19317.34736)</f>
        <v>19317.34736</v>
      </c>
    </row>
    <row r="2850">
      <c r="A2850" s="3">
        <f>IFERROR(__xludf.DUMMYFUNCTION("""COMPUTED_VALUE"""),43217.99861111111)</f>
        <v>43217.99861</v>
      </c>
      <c r="B2850" s="1">
        <f>IFERROR(__xludf.DUMMYFUNCTION("""COMPUTED_VALUE"""),19067.3802)</f>
        <v>19067.3802</v>
      </c>
    </row>
    <row r="2851">
      <c r="A2851" s="3">
        <f>IFERROR(__xludf.DUMMYFUNCTION("""COMPUTED_VALUE"""),43218.99861111111)</f>
        <v>43218.99861</v>
      </c>
      <c r="B2851" s="1">
        <f>IFERROR(__xludf.DUMMYFUNCTION("""COMPUTED_VALUE"""),19087.15306)</f>
        <v>19087.15306</v>
      </c>
    </row>
    <row r="2852">
      <c r="A2852" s="3">
        <f>IFERROR(__xludf.DUMMYFUNCTION("""COMPUTED_VALUE"""),43219.99861111111)</f>
        <v>43219.99861</v>
      </c>
      <c r="B2852" s="1">
        <f>IFERROR(__xludf.DUMMYFUNCTION("""COMPUTED_VALUE"""),19097.603)</f>
        <v>19097.603</v>
      </c>
    </row>
    <row r="2853">
      <c r="A2853" s="3">
        <f>IFERROR(__xludf.DUMMYFUNCTION("""COMPUTED_VALUE"""),43220.99861111111)</f>
        <v>43220.99861</v>
      </c>
      <c r="B2853" s="1">
        <f>IFERROR(__xludf.DUMMYFUNCTION("""COMPUTED_VALUE"""),19141.677)</f>
        <v>19141.677</v>
      </c>
    </row>
    <row r="2854">
      <c r="A2854" s="3">
        <f>IFERROR(__xludf.DUMMYFUNCTION("""COMPUTED_VALUE"""),43221.99861111111)</f>
        <v>43221.99861</v>
      </c>
      <c r="B2854" s="1">
        <f>IFERROR(__xludf.DUMMYFUNCTION("""COMPUTED_VALUE"""),19027.81295)</f>
        <v>19027.81295</v>
      </c>
    </row>
    <row r="2855">
      <c r="A2855" s="3">
        <f>IFERROR(__xludf.DUMMYFUNCTION("""COMPUTED_VALUE"""),43222.99861111111)</f>
        <v>43222.99861</v>
      </c>
      <c r="B2855" s="1">
        <f>IFERROR(__xludf.DUMMYFUNCTION("""COMPUTED_VALUE"""),19003.92156)</f>
        <v>19003.92156</v>
      </c>
    </row>
    <row r="2856">
      <c r="A2856" s="3">
        <f>IFERROR(__xludf.DUMMYFUNCTION("""COMPUTED_VALUE"""),43223.99861111111)</f>
        <v>43223.99861</v>
      </c>
      <c r="B2856" s="1">
        <f>IFERROR(__xludf.DUMMYFUNCTION("""COMPUTED_VALUE"""),18905.7601)</f>
        <v>18905.7601</v>
      </c>
    </row>
    <row r="2857">
      <c r="A2857" s="3">
        <f>IFERROR(__xludf.DUMMYFUNCTION("""COMPUTED_VALUE"""),43224.99861111111)</f>
        <v>43224.99861</v>
      </c>
      <c r="B2857" s="1">
        <f>IFERROR(__xludf.DUMMYFUNCTION("""COMPUTED_VALUE"""),18843.55704)</f>
        <v>18843.55704</v>
      </c>
    </row>
    <row r="2858">
      <c r="A2858" s="3">
        <f>IFERROR(__xludf.DUMMYFUNCTION("""COMPUTED_VALUE"""),43225.99861111111)</f>
        <v>43225.99861</v>
      </c>
      <c r="B2858" s="1">
        <f>IFERROR(__xludf.DUMMYFUNCTION("""COMPUTED_VALUE"""),18849.57323)</f>
        <v>18849.57323</v>
      </c>
    </row>
    <row r="2859">
      <c r="A2859" s="3">
        <f>IFERROR(__xludf.DUMMYFUNCTION("""COMPUTED_VALUE"""),43226.99861111111)</f>
        <v>43226.99861</v>
      </c>
      <c r="B2859" s="1">
        <f>IFERROR(__xludf.DUMMYFUNCTION("""COMPUTED_VALUE"""),18852.88163)</f>
        <v>18852.88163</v>
      </c>
    </row>
    <row r="2860">
      <c r="A2860" s="3">
        <f>IFERROR(__xludf.DUMMYFUNCTION("""COMPUTED_VALUE"""),43227.99861111111)</f>
        <v>43227.99861</v>
      </c>
      <c r="B2860" s="1">
        <f>IFERROR(__xludf.DUMMYFUNCTION("""COMPUTED_VALUE"""),19359.5008)</f>
        <v>19359.5008</v>
      </c>
    </row>
    <row r="2861">
      <c r="A2861" s="3">
        <f>IFERROR(__xludf.DUMMYFUNCTION("""COMPUTED_VALUE"""),43228.99861111111)</f>
        <v>43228.99861</v>
      </c>
      <c r="B2861" s="1">
        <f>IFERROR(__xludf.DUMMYFUNCTION("""COMPUTED_VALUE"""),19330.70832)</f>
        <v>19330.70832</v>
      </c>
    </row>
    <row r="2862">
      <c r="A2862" s="3">
        <f>IFERROR(__xludf.DUMMYFUNCTION("""COMPUTED_VALUE"""),43229.99861111111)</f>
        <v>43229.99861</v>
      </c>
      <c r="B2862" s="1">
        <f>IFERROR(__xludf.DUMMYFUNCTION("""COMPUTED_VALUE"""),19059.76755)</f>
        <v>19059.76755</v>
      </c>
    </row>
    <row r="2863">
      <c r="A2863" s="3">
        <f>IFERROR(__xludf.DUMMYFUNCTION("""COMPUTED_VALUE"""),43230.99861111111)</f>
        <v>43230.99861</v>
      </c>
      <c r="B2863" s="1">
        <f>IFERROR(__xludf.DUMMYFUNCTION("""COMPUTED_VALUE"""),19026.696)</f>
        <v>19026.696</v>
      </c>
    </row>
    <row r="2864">
      <c r="A2864" s="3">
        <f>IFERROR(__xludf.DUMMYFUNCTION("""COMPUTED_VALUE"""),43231.99861111111)</f>
        <v>43231.99861</v>
      </c>
      <c r="B2864" s="1">
        <f>IFERROR(__xludf.DUMMYFUNCTION("""COMPUTED_VALUE"""),18881.73)</f>
        <v>18881.73</v>
      </c>
    </row>
    <row r="2865">
      <c r="A2865" s="3">
        <f>IFERROR(__xludf.DUMMYFUNCTION("""COMPUTED_VALUE"""),43232.99861111111)</f>
        <v>43232.99861</v>
      </c>
      <c r="B2865" s="1">
        <f>IFERROR(__xludf.DUMMYFUNCTION("""COMPUTED_VALUE"""),18885.7935)</f>
        <v>18885.7935</v>
      </c>
    </row>
    <row r="2866">
      <c r="A2866" s="3">
        <f>IFERROR(__xludf.DUMMYFUNCTION("""COMPUTED_VALUE"""),43233.99861111111)</f>
        <v>43233.99861</v>
      </c>
      <c r="B2866" s="1">
        <f>IFERROR(__xludf.DUMMYFUNCTION("""COMPUTED_VALUE"""),18892.62557)</f>
        <v>18892.62557</v>
      </c>
    </row>
    <row r="2867">
      <c r="A2867" s="3">
        <f>IFERROR(__xludf.DUMMYFUNCTION("""COMPUTED_VALUE"""),43234.99861111111)</f>
        <v>43234.99861</v>
      </c>
      <c r="B2867" s="1">
        <f>IFERROR(__xludf.DUMMYFUNCTION("""COMPUTED_VALUE"""),18935.64319)</f>
        <v>18935.64319</v>
      </c>
    </row>
    <row r="2868">
      <c r="A2868" s="3">
        <f>IFERROR(__xludf.DUMMYFUNCTION("""COMPUTED_VALUE"""),43235.99861111111)</f>
        <v>43235.99861</v>
      </c>
      <c r="B2868" s="1">
        <f>IFERROR(__xludf.DUMMYFUNCTION("""COMPUTED_VALUE"""),18939.3776)</f>
        <v>18939.3776</v>
      </c>
    </row>
    <row r="2869">
      <c r="A2869" s="3">
        <f>IFERROR(__xludf.DUMMYFUNCTION("""COMPUTED_VALUE"""),43236.99861111111)</f>
        <v>43236.99861</v>
      </c>
      <c r="B2869" s="1">
        <f>IFERROR(__xludf.DUMMYFUNCTION("""COMPUTED_VALUE"""),19166.36482)</f>
        <v>19166.36482</v>
      </c>
    </row>
    <row r="2870">
      <c r="A2870" s="3">
        <f>IFERROR(__xludf.DUMMYFUNCTION("""COMPUTED_VALUE"""),43237.99861111111)</f>
        <v>43237.99861</v>
      </c>
      <c r="B2870" s="1">
        <f>IFERROR(__xludf.DUMMYFUNCTION("""COMPUTED_VALUE"""),19122.65231)</f>
        <v>19122.65231</v>
      </c>
    </row>
    <row r="2871">
      <c r="A2871" s="3">
        <f>IFERROR(__xludf.DUMMYFUNCTION("""COMPUTED_VALUE"""),43238.99861111111)</f>
        <v>43238.99861</v>
      </c>
      <c r="B2871" s="1">
        <f>IFERROR(__xludf.DUMMYFUNCTION("""COMPUTED_VALUE"""),19038.498)</f>
        <v>19038.498</v>
      </c>
    </row>
    <row r="2872">
      <c r="A2872" s="3">
        <f>IFERROR(__xludf.DUMMYFUNCTION("""COMPUTED_VALUE"""),43239.99861111111)</f>
        <v>43239.99861</v>
      </c>
      <c r="B2872" s="1">
        <f>IFERROR(__xludf.DUMMYFUNCTION("""COMPUTED_VALUE"""),19038.498)</f>
        <v>19038.498</v>
      </c>
    </row>
    <row r="2873">
      <c r="A2873" s="3">
        <f>IFERROR(__xludf.DUMMYFUNCTION("""COMPUTED_VALUE"""),43240.99861111111)</f>
        <v>43240.99861</v>
      </c>
      <c r="B2873" s="1">
        <f>IFERROR(__xludf.DUMMYFUNCTION("""COMPUTED_VALUE"""),19087.4751)</f>
        <v>19087.4751</v>
      </c>
    </row>
    <row r="2874">
      <c r="A2874" s="3">
        <f>IFERROR(__xludf.DUMMYFUNCTION("""COMPUTED_VALUE"""),43241.99861111111)</f>
        <v>43241.99861</v>
      </c>
      <c r="B2874" s="1">
        <f>IFERROR(__xludf.DUMMYFUNCTION("""COMPUTED_VALUE"""),19099.3086)</f>
        <v>19099.3086</v>
      </c>
    </row>
    <row r="2875">
      <c r="A2875" s="3">
        <f>IFERROR(__xludf.DUMMYFUNCTION("""COMPUTED_VALUE"""),43242.99861111111)</f>
        <v>43242.99861</v>
      </c>
      <c r="B2875" s="1">
        <f>IFERROR(__xludf.DUMMYFUNCTION("""COMPUTED_VALUE"""),19084.45512)</f>
        <v>19084.45512</v>
      </c>
    </row>
    <row r="2876">
      <c r="A2876" s="3">
        <f>IFERROR(__xludf.DUMMYFUNCTION("""COMPUTED_VALUE"""),43243.99861111111)</f>
        <v>43243.99861</v>
      </c>
      <c r="B2876" s="1">
        <f>IFERROR(__xludf.DUMMYFUNCTION("""COMPUTED_VALUE"""),18942.96117)</f>
        <v>18942.96117</v>
      </c>
    </row>
    <row r="2877">
      <c r="A2877" s="3">
        <f>IFERROR(__xludf.DUMMYFUNCTION("""COMPUTED_VALUE"""),43244.99861111111)</f>
        <v>43244.99861</v>
      </c>
      <c r="B2877" s="1">
        <f>IFERROR(__xludf.DUMMYFUNCTION("""COMPUTED_VALUE"""),18901.30176)</f>
        <v>18901.30176</v>
      </c>
    </row>
    <row r="2878">
      <c r="A2878" s="3">
        <f>IFERROR(__xludf.DUMMYFUNCTION("""COMPUTED_VALUE"""),43245.99861111111)</f>
        <v>43245.99861</v>
      </c>
      <c r="B2878" s="1">
        <f>IFERROR(__xludf.DUMMYFUNCTION("""COMPUTED_VALUE"""),18776.177)</f>
        <v>18776.177</v>
      </c>
    </row>
    <row r="2879">
      <c r="A2879" s="3">
        <f>IFERROR(__xludf.DUMMYFUNCTION("""COMPUTED_VALUE"""),43246.99861111111)</f>
        <v>43246.99861</v>
      </c>
      <c r="B2879" s="1">
        <f>IFERROR(__xludf.DUMMYFUNCTION("""COMPUTED_VALUE"""),18691.0122)</f>
        <v>18691.0122</v>
      </c>
    </row>
    <row r="2880">
      <c r="A2880" s="3">
        <f>IFERROR(__xludf.DUMMYFUNCTION("""COMPUTED_VALUE"""),43247.99861111111)</f>
        <v>43247.99861</v>
      </c>
      <c r="B2880" s="1">
        <f>IFERROR(__xludf.DUMMYFUNCTION("""COMPUTED_VALUE"""),18735.0024)</f>
        <v>18735.0024</v>
      </c>
    </row>
    <row r="2881">
      <c r="A2881" s="3">
        <f>IFERROR(__xludf.DUMMYFUNCTION("""COMPUTED_VALUE"""),43248.99861111111)</f>
        <v>43248.99861</v>
      </c>
      <c r="B2881" s="1">
        <f>IFERROR(__xludf.DUMMYFUNCTION("""COMPUTED_VALUE"""),18651.513)</f>
        <v>18651.513</v>
      </c>
    </row>
    <row r="2882">
      <c r="A2882" s="3">
        <f>IFERROR(__xludf.DUMMYFUNCTION("""COMPUTED_VALUE"""),43249.99861111111)</f>
        <v>43249.99861</v>
      </c>
      <c r="B2882" s="1">
        <f>IFERROR(__xludf.DUMMYFUNCTION("""COMPUTED_VALUE"""),18592.6337)</f>
        <v>18592.6337</v>
      </c>
    </row>
    <row r="2883">
      <c r="A2883" s="3">
        <f>IFERROR(__xludf.DUMMYFUNCTION("""COMPUTED_VALUE"""),43250.99861111111)</f>
        <v>43250.99861</v>
      </c>
      <c r="B2883" s="1">
        <f>IFERROR(__xludf.DUMMYFUNCTION("""COMPUTED_VALUE"""),18565.22979)</f>
        <v>18565.22979</v>
      </c>
    </row>
    <row r="2884">
      <c r="A2884" s="3">
        <f>IFERROR(__xludf.DUMMYFUNCTION("""COMPUTED_VALUE"""),43251.99861111111)</f>
        <v>43251.99861</v>
      </c>
      <c r="B2884" s="1">
        <f>IFERROR(__xludf.DUMMYFUNCTION("""COMPUTED_VALUE"""),18444.1604)</f>
        <v>18444.1604</v>
      </c>
    </row>
    <row r="2885">
      <c r="A2885" s="3">
        <f>IFERROR(__xludf.DUMMYFUNCTION("""COMPUTED_VALUE"""),43252.99861111111)</f>
        <v>43252.99861</v>
      </c>
      <c r="B2885" s="1">
        <f>IFERROR(__xludf.DUMMYFUNCTION("""COMPUTED_VALUE"""),18452.45293)</f>
        <v>18452.45293</v>
      </c>
    </row>
    <row r="2886">
      <c r="A2886" s="3">
        <f>IFERROR(__xludf.DUMMYFUNCTION("""COMPUTED_VALUE"""),43253.99861111111)</f>
        <v>43253.99861</v>
      </c>
      <c r="B2886" s="1">
        <f>IFERROR(__xludf.DUMMYFUNCTION("""COMPUTED_VALUE"""),18457.80312)</f>
        <v>18457.80312</v>
      </c>
    </row>
    <row r="2887">
      <c r="A2887" s="3">
        <f>IFERROR(__xludf.DUMMYFUNCTION("""COMPUTED_VALUE"""),43254.99861111111)</f>
        <v>43254.99861</v>
      </c>
      <c r="B2887" s="1">
        <f>IFERROR(__xludf.DUMMYFUNCTION("""COMPUTED_VALUE"""),18612.1083)</f>
        <v>18612.1083</v>
      </c>
    </row>
    <row r="2888">
      <c r="A2888" s="3">
        <f>IFERROR(__xludf.DUMMYFUNCTION("""COMPUTED_VALUE"""),43255.99861111111)</f>
        <v>43255.99861</v>
      </c>
      <c r="B2888" s="1">
        <f>IFERROR(__xludf.DUMMYFUNCTION("""COMPUTED_VALUE"""),18455.1444)</f>
        <v>18455.1444</v>
      </c>
    </row>
    <row r="2889">
      <c r="A2889" s="3">
        <f>IFERROR(__xludf.DUMMYFUNCTION("""COMPUTED_VALUE"""),43256.99861111111)</f>
        <v>43256.99861</v>
      </c>
      <c r="B2889" s="1">
        <f>IFERROR(__xludf.DUMMYFUNCTION("""COMPUTED_VALUE"""),18594.122)</f>
        <v>18594.122</v>
      </c>
    </row>
    <row r="2890">
      <c r="A2890" s="3">
        <f>IFERROR(__xludf.DUMMYFUNCTION("""COMPUTED_VALUE"""),43257.99861111111)</f>
        <v>43257.99861</v>
      </c>
      <c r="B2890" s="1">
        <f>IFERROR(__xludf.DUMMYFUNCTION("""COMPUTED_VALUE"""),18549.8151)</f>
        <v>18549.8151</v>
      </c>
    </row>
    <row r="2891">
      <c r="A2891" s="3">
        <f>IFERROR(__xludf.DUMMYFUNCTION("""COMPUTED_VALUE"""),43258.99861111111)</f>
        <v>43258.99861</v>
      </c>
      <c r="B2891" s="1">
        <f>IFERROR(__xludf.DUMMYFUNCTION("""COMPUTED_VALUE"""),18597.2145)</f>
        <v>18597.2145</v>
      </c>
    </row>
    <row r="2892">
      <c r="A2892" s="3">
        <f>IFERROR(__xludf.DUMMYFUNCTION("""COMPUTED_VALUE"""),43259.99861111111)</f>
        <v>43259.99861</v>
      </c>
      <c r="B2892" s="1">
        <f>IFERROR(__xludf.DUMMYFUNCTION("""COMPUTED_VALUE"""),18661.8602)</f>
        <v>18661.8602</v>
      </c>
    </row>
    <row r="2893">
      <c r="A2893" s="3">
        <f>IFERROR(__xludf.DUMMYFUNCTION("""COMPUTED_VALUE"""),43260.99861111111)</f>
        <v>43260.99861</v>
      </c>
      <c r="B2893" s="1">
        <f>IFERROR(__xludf.DUMMYFUNCTION("""COMPUTED_VALUE"""),18702.927)</f>
        <v>18702.927</v>
      </c>
    </row>
    <row r="2894">
      <c r="A2894" s="3">
        <f>IFERROR(__xludf.DUMMYFUNCTION("""COMPUTED_VALUE"""),43261.99861111111)</f>
        <v>43261.99861</v>
      </c>
      <c r="B2894" s="1">
        <f>IFERROR(__xludf.DUMMYFUNCTION("""COMPUTED_VALUE"""),18597.0792)</f>
        <v>18597.0792</v>
      </c>
    </row>
    <row r="2895">
      <c r="A2895" s="3">
        <f>IFERROR(__xludf.DUMMYFUNCTION("""COMPUTED_VALUE"""),43262.99861111111)</f>
        <v>43262.99861</v>
      </c>
      <c r="B2895" s="1">
        <f>IFERROR(__xludf.DUMMYFUNCTION("""COMPUTED_VALUE"""),18617.97483)</f>
        <v>18617.97483</v>
      </c>
    </row>
    <row r="2896">
      <c r="A2896" s="3">
        <f>IFERROR(__xludf.DUMMYFUNCTION("""COMPUTED_VALUE"""),43263.99861111111)</f>
        <v>43263.99861</v>
      </c>
      <c r="B2896" s="1">
        <f>IFERROR(__xludf.DUMMYFUNCTION("""COMPUTED_VALUE"""),18617.8356)</f>
        <v>18617.8356</v>
      </c>
    </row>
    <row r="2897">
      <c r="A2897" s="3">
        <f>IFERROR(__xludf.DUMMYFUNCTION("""COMPUTED_VALUE"""),43264.99861111111)</f>
        <v>43264.99861</v>
      </c>
      <c r="B2897" s="1">
        <f>IFERROR(__xludf.DUMMYFUNCTION("""COMPUTED_VALUE"""),18630.3663)</f>
        <v>18630.3663</v>
      </c>
    </row>
    <row r="2898">
      <c r="A2898" s="3">
        <f>IFERROR(__xludf.DUMMYFUNCTION("""COMPUTED_VALUE"""),43265.99861111111)</f>
        <v>43265.99861</v>
      </c>
      <c r="B2898" s="1">
        <f>IFERROR(__xludf.DUMMYFUNCTION("""COMPUTED_VALUE"""),18719.32784)</f>
        <v>18719.32784</v>
      </c>
    </row>
    <row r="2899">
      <c r="A2899" s="3">
        <f>IFERROR(__xludf.DUMMYFUNCTION("""COMPUTED_VALUE"""),43266.99861111111)</f>
        <v>43266.99861</v>
      </c>
      <c r="B2899" s="1">
        <f>IFERROR(__xludf.DUMMYFUNCTION("""COMPUTED_VALUE"""),18681.88044)</f>
        <v>18681.88044</v>
      </c>
    </row>
    <row r="2900">
      <c r="A2900" s="3">
        <f>IFERROR(__xludf.DUMMYFUNCTION("""COMPUTED_VALUE"""),43267.99861111111)</f>
        <v>43267.99861</v>
      </c>
      <c r="B2900" s="1">
        <f>IFERROR(__xludf.DUMMYFUNCTION("""COMPUTED_VALUE"""),18470.13132)</f>
        <v>18470.13132</v>
      </c>
    </row>
    <row r="2901">
      <c r="A2901" s="3">
        <f>IFERROR(__xludf.DUMMYFUNCTION("""COMPUTED_VALUE"""),43268.99861111111)</f>
        <v>43268.99861</v>
      </c>
      <c r="B2901" s="1">
        <f>IFERROR(__xludf.DUMMYFUNCTION("""COMPUTED_VALUE"""),18478.6056)</f>
        <v>18478.6056</v>
      </c>
    </row>
    <row r="2902">
      <c r="A2902" s="3">
        <f>IFERROR(__xludf.DUMMYFUNCTION("""COMPUTED_VALUE"""),43269.99861111111)</f>
        <v>43269.99861</v>
      </c>
      <c r="B2902" s="1">
        <f>IFERROR(__xludf.DUMMYFUNCTION("""COMPUTED_VALUE"""),18458.55648)</f>
        <v>18458.55648</v>
      </c>
    </row>
    <row r="2903">
      <c r="A2903" s="3">
        <f>IFERROR(__xludf.DUMMYFUNCTION("""COMPUTED_VALUE"""),43270.99861111111)</f>
        <v>43270.99861</v>
      </c>
      <c r="B2903" s="1">
        <f>IFERROR(__xludf.DUMMYFUNCTION("""COMPUTED_VALUE"""),18339.79329)</f>
        <v>18339.79329</v>
      </c>
    </row>
    <row r="2904">
      <c r="A2904" s="3">
        <f>IFERROR(__xludf.DUMMYFUNCTION("""COMPUTED_VALUE"""),43271.99861111111)</f>
        <v>43271.99861</v>
      </c>
      <c r="B2904" s="1">
        <f>IFERROR(__xludf.DUMMYFUNCTION("""COMPUTED_VALUE"""),18337.9833)</f>
        <v>18337.9833</v>
      </c>
    </row>
    <row r="2905">
      <c r="A2905" s="3">
        <f>IFERROR(__xludf.DUMMYFUNCTION("""COMPUTED_VALUE"""),43272.99861111111)</f>
        <v>43272.99861</v>
      </c>
      <c r="B2905" s="1">
        <f>IFERROR(__xludf.DUMMYFUNCTION("""COMPUTED_VALUE"""),18661.6692)</f>
        <v>18661.6692</v>
      </c>
    </row>
    <row r="2906">
      <c r="A2906" s="3">
        <f>IFERROR(__xludf.DUMMYFUNCTION("""COMPUTED_VALUE"""),43273.99861111111)</f>
        <v>43273.99861</v>
      </c>
      <c r="B2906" s="1">
        <f>IFERROR(__xludf.DUMMYFUNCTION("""COMPUTED_VALUE"""),18690.28426)</f>
        <v>18690.28426</v>
      </c>
    </row>
    <row r="2907">
      <c r="A2907" s="3">
        <f>IFERROR(__xludf.DUMMYFUNCTION("""COMPUTED_VALUE"""),43274.99861111111)</f>
        <v>43274.99861</v>
      </c>
      <c r="B2907" s="1">
        <f>IFERROR(__xludf.DUMMYFUNCTION("""COMPUTED_VALUE"""),18662.3387)</f>
        <v>18662.3387</v>
      </c>
    </row>
    <row r="2908">
      <c r="A2908" s="3">
        <f>IFERROR(__xludf.DUMMYFUNCTION("""COMPUTED_VALUE"""),43275.99861111111)</f>
        <v>43275.99861</v>
      </c>
      <c r="B2908" s="1">
        <f>IFERROR(__xludf.DUMMYFUNCTION("""COMPUTED_VALUE"""),18662.2053)</f>
        <v>18662.2053</v>
      </c>
    </row>
    <row r="2909">
      <c r="A2909" s="3">
        <f>IFERROR(__xludf.DUMMYFUNCTION("""COMPUTED_VALUE"""),43276.99861111111)</f>
        <v>43276.99861</v>
      </c>
      <c r="B2909" s="1">
        <f>IFERROR(__xludf.DUMMYFUNCTION("""COMPUTED_VALUE"""),18785.007)</f>
        <v>18785.007</v>
      </c>
    </row>
    <row r="2910">
      <c r="A2910" s="3">
        <f>IFERROR(__xludf.DUMMYFUNCTION("""COMPUTED_VALUE"""),43277.99861111111)</f>
        <v>43277.99861</v>
      </c>
      <c r="B2910" s="1">
        <f>IFERROR(__xludf.DUMMYFUNCTION("""COMPUTED_VALUE"""),18756.39412)</f>
        <v>18756.39412</v>
      </c>
    </row>
    <row r="2911">
      <c r="A2911" s="3">
        <f>IFERROR(__xludf.DUMMYFUNCTION("""COMPUTED_VALUE"""),43278.99861111111)</f>
        <v>43278.99861</v>
      </c>
      <c r="B2911" s="1">
        <f>IFERROR(__xludf.DUMMYFUNCTION("""COMPUTED_VALUE"""),18675.32355)</f>
        <v>18675.32355</v>
      </c>
    </row>
    <row r="2912">
      <c r="A2912" s="3">
        <f>IFERROR(__xludf.DUMMYFUNCTION("""COMPUTED_VALUE"""),43279.99861111111)</f>
        <v>43279.99861</v>
      </c>
      <c r="B2912" s="1">
        <f>IFERROR(__xludf.DUMMYFUNCTION("""COMPUTED_VALUE"""),18761.0465)</f>
        <v>18761.0465</v>
      </c>
    </row>
    <row r="2913">
      <c r="A2913" s="3">
        <f>IFERROR(__xludf.DUMMYFUNCTION("""COMPUTED_VALUE"""),43280.99861111111)</f>
        <v>43280.99861</v>
      </c>
      <c r="B2913" s="1">
        <f>IFERROR(__xludf.DUMMYFUNCTION("""COMPUTED_VALUE"""),18851.7784)</f>
        <v>18851.7784</v>
      </c>
    </row>
    <row r="2914">
      <c r="A2914" s="3">
        <f>IFERROR(__xludf.DUMMYFUNCTION("""COMPUTED_VALUE"""),43281.99861111111)</f>
        <v>43281.99861</v>
      </c>
      <c r="B2914" s="1">
        <f>IFERROR(__xludf.DUMMYFUNCTION("""COMPUTED_VALUE"""),18851.7784)</f>
        <v>18851.7784</v>
      </c>
    </row>
    <row r="2915">
      <c r="A2915" s="3">
        <f>IFERROR(__xludf.DUMMYFUNCTION("""COMPUTED_VALUE"""),43282.99861111111)</f>
        <v>43282.99861</v>
      </c>
      <c r="B2915" s="1">
        <f>IFERROR(__xludf.DUMMYFUNCTION("""COMPUTED_VALUE"""),18907.88922)</f>
        <v>18907.88922</v>
      </c>
    </row>
    <row r="2916">
      <c r="A2916" s="3">
        <f>IFERROR(__xludf.DUMMYFUNCTION("""COMPUTED_VALUE"""),43283.99861111111)</f>
        <v>43283.99861</v>
      </c>
      <c r="B2916" s="1">
        <f>IFERROR(__xludf.DUMMYFUNCTION("""COMPUTED_VALUE"""),18854.8274)</f>
        <v>18854.8274</v>
      </c>
    </row>
    <row r="2917">
      <c r="A2917" s="3">
        <f>IFERROR(__xludf.DUMMYFUNCTION("""COMPUTED_VALUE"""),43284.99861111111)</f>
        <v>43284.99861</v>
      </c>
      <c r="B2917" s="1">
        <f>IFERROR(__xludf.DUMMYFUNCTION("""COMPUTED_VALUE"""),18933.0423)</f>
        <v>18933.0423</v>
      </c>
    </row>
    <row r="2918">
      <c r="A2918" s="3">
        <f>IFERROR(__xludf.DUMMYFUNCTION("""COMPUTED_VALUE"""),43285.99861111111)</f>
        <v>43285.99861</v>
      </c>
      <c r="B2918" s="1">
        <f>IFERROR(__xludf.DUMMYFUNCTION("""COMPUTED_VALUE"""),19048.32)</f>
        <v>19048.32</v>
      </c>
    </row>
    <row r="2919">
      <c r="A2919" s="3">
        <f>IFERROR(__xludf.DUMMYFUNCTION("""COMPUTED_VALUE"""),43286.99861111111)</f>
        <v>43286.99861</v>
      </c>
      <c r="B2919" s="1">
        <f>IFERROR(__xludf.DUMMYFUNCTION("""COMPUTED_VALUE"""),19010.78663)</f>
        <v>19010.78663</v>
      </c>
    </row>
    <row r="2920">
      <c r="A2920" s="3">
        <f>IFERROR(__xludf.DUMMYFUNCTION("""COMPUTED_VALUE"""),43287.99861111111)</f>
        <v>43287.99861</v>
      </c>
      <c r="B2920" s="1">
        <f>IFERROR(__xludf.DUMMYFUNCTION("""COMPUTED_VALUE"""),19049.5719)</f>
        <v>19049.5719</v>
      </c>
    </row>
    <row r="2921">
      <c r="A2921" s="3">
        <f>IFERROR(__xludf.DUMMYFUNCTION("""COMPUTED_VALUE"""),43288.99861111111)</f>
        <v>43288.99861</v>
      </c>
      <c r="B2921" s="1">
        <f>IFERROR(__xludf.DUMMYFUNCTION("""COMPUTED_VALUE"""),19045.2708)</f>
        <v>19045.2708</v>
      </c>
    </row>
    <row r="2922">
      <c r="A2922" s="3">
        <f>IFERROR(__xludf.DUMMYFUNCTION("""COMPUTED_VALUE"""),43289.99861111111)</f>
        <v>43289.99861</v>
      </c>
      <c r="B2922" s="1">
        <f>IFERROR(__xludf.DUMMYFUNCTION("""COMPUTED_VALUE"""),19020.58422)</f>
        <v>19020.58422</v>
      </c>
    </row>
    <row r="2923">
      <c r="A2923" s="3">
        <f>IFERROR(__xludf.DUMMYFUNCTION("""COMPUTED_VALUE"""),43290.99861111111)</f>
        <v>43290.99861</v>
      </c>
      <c r="B2923" s="1">
        <f>IFERROR(__xludf.DUMMYFUNCTION("""COMPUTED_VALUE"""),18968.08562)</f>
        <v>18968.08562</v>
      </c>
    </row>
    <row r="2924">
      <c r="A2924" s="3">
        <f>IFERROR(__xludf.DUMMYFUNCTION("""COMPUTED_VALUE"""),43291.99861111111)</f>
        <v>43291.99861</v>
      </c>
      <c r="B2924" s="1">
        <f>IFERROR(__xludf.DUMMYFUNCTION("""COMPUTED_VALUE"""),19055.93125)</f>
        <v>19055.93125</v>
      </c>
    </row>
    <row r="2925">
      <c r="A2925" s="3">
        <f>IFERROR(__xludf.DUMMYFUNCTION("""COMPUTED_VALUE"""),43292.99861111111)</f>
        <v>43292.99861</v>
      </c>
      <c r="B2925" s="1">
        <f>IFERROR(__xludf.DUMMYFUNCTION("""COMPUTED_VALUE"""),18987.5868)</f>
        <v>18987.5868</v>
      </c>
    </row>
    <row r="2926">
      <c r="A2926" s="3">
        <f>IFERROR(__xludf.DUMMYFUNCTION("""COMPUTED_VALUE"""),43293.99861111111)</f>
        <v>43293.99861</v>
      </c>
      <c r="B2926" s="1">
        <f>IFERROR(__xludf.DUMMYFUNCTION("""COMPUTED_VALUE"""),18955.1145)</f>
        <v>18955.1145</v>
      </c>
    </row>
    <row r="2927">
      <c r="A2927" s="3">
        <f>IFERROR(__xludf.DUMMYFUNCTION("""COMPUTED_VALUE"""),43294.99861111111)</f>
        <v>43294.99861</v>
      </c>
      <c r="B2927" s="1">
        <f>IFERROR(__xludf.DUMMYFUNCTION("""COMPUTED_VALUE"""),19013.64483)</f>
        <v>19013.64483</v>
      </c>
    </row>
    <row r="2928">
      <c r="A2928" s="3">
        <f>IFERROR(__xludf.DUMMYFUNCTION("""COMPUTED_VALUE"""),43295.99861111111)</f>
        <v>43295.99861</v>
      </c>
      <c r="B2928" s="1">
        <f>IFERROR(__xludf.DUMMYFUNCTION("""COMPUTED_VALUE"""),19014.0417)</f>
        <v>19014.0417</v>
      </c>
    </row>
    <row r="2929">
      <c r="A2929" s="3">
        <f>IFERROR(__xludf.DUMMYFUNCTION("""COMPUTED_VALUE"""),43296.99861111111)</f>
        <v>43296.99861</v>
      </c>
      <c r="B2929" s="1">
        <f>IFERROR(__xludf.DUMMYFUNCTION("""COMPUTED_VALUE"""),19010.73591)</f>
        <v>19010.73591</v>
      </c>
    </row>
    <row r="2930">
      <c r="A2930" s="3">
        <f>IFERROR(__xludf.DUMMYFUNCTION("""COMPUTED_VALUE"""),43297.99861111111)</f>
        <v>43297.99861</v>
      </c>
      <c r="B2930" s="1">
        <f>IFERROR(__xludf.DUMMYFUNCTION("""COMPUTED_VALUE"""),19013.31387)</f>
        <v>19013.31387</v>
      </c>
    </row>
    <row r="2931">
      <c r="A2931" s="3">
        <f>IFERROR(__xludf.DUMMYFUNCTION("""COMPUTED_VALUE"""),43298.99861111111)</f>
        <v>43298.99861</v>
      </c>
      <c r="B2931" s="1">
        <f>IFERROR(__xludf.DUMMYFUNCTION("""COMPUTED_VALUE"""),18838.90195)</f>
        <v>18838.90195</v>
      </c>
    </row>
    <row r="2932">
      <c r="A2932" s="3">
        <f>IFERROR(__xludf.DUMMYFUNCTION("""COMPUTED_VALUE"""),43299.99861111111)</f>
        <v>43299.99861</v>
      </c>
      <c r="B2932" s="1">
        <f>IFERROR(__xludf.DUMMYFUNCTION("""COMPUTED_VALUE"""),18884.35129)</f>
        <v>18884.35129</v>
      </c>
    </row>
    <row r="2933">
      <c r="A2933" s="3">
        <f>IFERROR(__xludf.DUMMYFUNCTION("""COMPUTED_VALUE"""),43300.99861111111)</f>
        <v>43300.99861</v>
      </c>
      <c r="B2933" s="1">
        <f>IFERROR(__xludf.DUMMYFUNCTION("""COMPUTED_VALUE"""),18840.08492)</f>
        <v>18840.08492</v>
      </c>
    </row>
    <row r="2934">
      <c r="A2934" s="3">
        <f>IFERROR(__xludf.DUMMYFUNCTION("""COMPUTED_VALUE"""),43301.99861111111)</f>
        <v>43301.99861</v>
      </c>
      <c r="B2934" s="1">
        <f>IFERROR(__xludf.DUMMYFUNCTION("""COMPUTED_VALUE"""),19021.30804)</f>
        <v>19021.30804</v>
      </c>
    </row>
    <row r="2935">
      <c r="A2935" s="3">
        <f>IFERROR(__xludf.DUMMYFUNCTION("""COMPUTED_VALUE"""),43302.99861111111)</f>
        <v>43302.99861</v>
      </c>
      <c r="B2935" s="1">
        <f>IFERROR(__xludf.DUMMYFUNCTION("""COMPUTED_VALUE"""),19046.6447)</f>
        <v>19046.6447</v>
      </c>
    </row>
    <row r="2936">
      <c r="A2936" s="3">
        <f>IFERROR(__xludf.DUMMYFUNCTION("""COMPUTED_VALUE"""),43303.99861111111)</f>
        <v>43303.99861</v>
      </c>
      <c r="B2936" s="1">
        <f>IFERROR(__xludf.DUMMYFUNCTION("""COMPUTED_VALUE"""),19026.35053)</f>
        <v>19026.35053</v>
      </c>
    </row>
    <row r="2937">
      <c r="A2937" s="3">
        <f>IFERROR(__xludf.DUMMYFUNCTION("""COMPUTED_VALUE"""),43304.99861111111)</f>
        <v>43304.99861</v>
      </c>
      <c r="B2937" s="1">
        <f>IFERROR(__xludf.DUMMYFUNCTION("""COMPUTED_VALUE"""),19086.3385)</f>
        <v>19086.3385</v>
      </c>
    </row>
    <row r="2938">
      <c r="A2938" s="3">
        <f>IFERROR(__xludf.DUMMYFUNCTION("""COMPUTED_VALUE"""),43305.99861111111)</f>
        <v>43305.99861</v>
      </c>
      <c r="B2938" s="1">
        <f>IFERROR(__xludf.DUMMYFUNCTION("""COMPUTED_VALUE"""),19125.89383)</f>
        <v>19125.89383</v>
      </c>
    </row>
    <row r="2939">
      <c r="A2939" s="3">
        <f>IFERROR(__xludf.DUMMYFUNCTION("""COMPUTED_VALUE"""),43306.99861111111)</f>
        <v>43306.99861</v>
      </c>
      <c r="B2939" s="1">
        <f>IFERROR(__xludf.DUMMYFUNCTION("""COMPUTED_VALUE"""),19089.4605)</f>
        <v>19089.4605</v>
      </c>
    </row>
    <row r="2940">
      <c r="A2940" s="3">
        <f>IFERROR(__xludf.DUMMYFUNCTION("""COMPUTED_VALUE"""),43307.99861111111)</f>
        <v>43307.99861</v>
      </c>
      <c r="B2940" s="1">
        <f>IFERROR(__xludf.DUMMYFUNCTION("""COMPUTED_VALUE"""),19038.789)</f>
        <v>19038.789</v>
      </c>
    </row>
    <row r="2941">
      <c r="A2941" s="3">
        <f>IFERROR(__xludf.DUMMYFUNCTION("""COMPUTED_VALUE"""),43308.99861111111)</f>
        <v>43308.99861</v>
      </c>
      <c r="B2941" s="1">
        <f>IFERROR(__xludf.DUMMYFUNCTION("""COMPUTED_VALUE"""),18837.3891)</f>
        <v>18837.3891</v>
      </c>
    </row>
    <row r="2942">
      <c r="A2942" s="3">
        <f>IFERROR(__xludf.DUMMYFUNCTION("""COMPUTED_VALUE"""),43309.99861111111)</f>
        <v>43309.99861</v>
      </c>
      <c r="B2942" s="1">
        <f>IFERROR(__xludf.DUMMYFUNCTION("""COMPUTED_VALUE"""),18847.60513)</f>
        <v>18847.60513</v>
      </c>
    </row>
    <row r="2943">
      <c r="A2943" s="3">
        <f>IFERROR(__xludf.DUMMYFUNCTION("""COMPUTED_VALUE"""),43310.99861111111)</f>
        <v>43310.99861</v>
      </c>
      <c r="B2943" s="1">
        <f>IFERROR(__xludf.DUMMYFUNCTION("""COMPUTED_VALUE"""),18894.11799)</f>
        <v>18894.11799</v>
      </c>
    </row>
    <row r="2944">
      <c r="A2944" s="3">
        <f>IFERROR(__xludf.DUMMYFUNCTION("""COMPUTED_VALUE"""),43311.99861111111)</f>
        <v>43311.99861</v>
      </c>
      <c r="B2944" s="1">
        <f>IFERROR(__xludf.DUMMYFUNCTION("""COMPUTED_VALUE"""),18917.47632)</f>
        <v>18917.47632</v>
      </c>
    </row>
    <row r="2945">
      <c r="A2945" s="3">
        <f>IFERROR(__xludf.DUMMYFUNCTION("""COMPUTED_VALUE"""),43312.99861111111)</f>
        <v>43312.99861</v>
      </c>
      <c r="B2945" s="1">
        <f>IFERROR(__xludf.DUMMYFUNCTION("""COMPUTED_VALUE"""),18902.56492)</f>
        <v>18902.56492</v>
      </c>
    </row>
    <row r="2946">
      <c r="A2946" s="3">
        <f>IFERROR(__xludf.DUMMYFUNCTION("""COMPUTED_VALUE"""),43313.99861111111)</f>
        <v>43313.99861</v>
      </c>
      <c r="B2946" s="1">
        <f>IFERROR(__xludf.DUMMYFUNCTION("""COMPUTED_VALUE"""),19016.95739)</f>
        <v>19016.95739</v>
      </c>
    </row>
    <row r="2947">
      <c r="A2947" s="3">
        <f>IFERROR(__xludf.DUMMYFUNCTION("""COMPUTED_VALUE"""),43314.99861111111)</f>
        <v>43314.99861</v>
      </c>
      <c r="B2947" s="1">
        <f>IFERROR(__xludf.DUMMYFUNCTION("""COMPUTED_VALUE"""),18901.9857)</f>
        <v>18901.9857</v>
      </c>
    </row>
    <row r="2948">
      <c r="A2948" s="3">
        <f>IFERROR(__xludf.DUMMYFUNCTION("""COMPUTED_VALUE"""),43315.99861111111)</f>
        <v>43315.99861</v>
      </c>
      <c r="B2948" s="1">
        <f>IFERROR(__xludf.DUMMYFUNCTION("""COMPUTED_VALUE"""),18815.68)</f>
        <v>18815.68</v>
      </c>
    </row>
    <row r="2949">
      <c r="A2949" s="3">
        <f>IFERROR(__xludf.DUMMYFUNCTION("""COMPUTED_VALUE"""),43316.99861111111)</f>
        <v>43316.99861</v>
      </c>
      <c r="B2949" s="1">
        <f>IFERROR(__xludf.DUMMYFUNCTION("""COMPUTED_VALUE"""),18863.48965)</f>
        <v>18863.48965</v>
      </c>
    </row>
    <row r="2950">
      <c r="A2950" s="3">
        <f>IFERROR(__xludf.DUMMYFUNCTION("""COMPUTED_VALUE"""),43317.99861111111)</f>
        <v>43317.99861</v>
      </c>
      <c r="B2950" s="1">
        <f>IFERROR(__xludf.DUMMYFUNCTION("""COMPUTED_VALUE"""),18835.27664)</f>
        <v>18835.27664</v>
      </c>
    </row>
    <row r="2951">
      <c r="A2951" s="3">
        <f>IFERROR(__xludf.DUMMYFUNCTION("""COMPUTED_VALUE"""),43318.99861111111)</f>
        <v>43318.99861</v>
      </c>
      <c r="B2951" s="1">
        <f>IFERROR(__xludf.DUMMYFUNCTION("""COMPUTED_VALUE"""),18822.95689)</f>
        <v>18822.95689</v>
      </c>
    </row>
    <row r="2952">
      <c r="A2952" s="3">
        <f>IFERROR(__xludf.DUMMYFUNCTION("""COMPUTED_VALUE"""),43319.99861111111)</f>
        <v>43319.99861</v>
      </c>
      <c r="B2952" s="1">
        <f>IFERROR(__xludf.DUMMYFUNCTION("""COMPUTED_VALUE"""),18669.279)</f>
        <v>18669.279</v>
      </c>
    </row>
    <row r="2953">
      <c r="A2953" s="3">
        <f>IFERROR(__xludf.DUMMYFUNCTION("""COMPUTED_VALUE"""),43320.99861111111)</f>
        <v>43320.99861</v>
      </c>
      <c r="B2953" s="1">
        <f>IFERROR(__xludf.DUMMYFUNCTION("""COMPUTED_VALUE"""),18541.88838)</f>
        <v>18541.88838</v>
      </c>
    </row>
    <row r="2954">
      <c r="A2954" s="3">
        <f>IFERROR(__xludf.DUMMYFUNCTION("""COMPUTED_VALUE"""),43321.99861111111)</f>
        <v>43321.99861</v>
      </c>
      <c r="B2954" s="1">
        <f>IFERROR(__xludf.DUMMYFUNCTION("""COMPUTED_VALUE"""),18563.958)</f>
        <v>18563.958</v>
      </c>
    </row>
    <row r="2955">
      <c r="A2955" s="3">
        <f>IFERROR(__xludf.DUMMYFUNCTION("""COMPUTED_VALUE"""),43322.99861111111)</f>
        <v>43322.99861</v>
      </c>
      <c r="B2955" s="1">
        <f>IFERROR(__xludf.DUMMYFUNCTION("""COMPUTED_VALUE"""),18485.5104)</f>
        <v>18485.5104</v>
      </c>
    </row>
    <row r="2956">
      <c r="A2956" s="3">
        <f>IFERROR(__xludf.DUMMYFUNCTION("""COMPUTED_VALUE"""),43323.99861111111)</f>
        <v>43323.99861</v>
      </c>
      <c r="B2956" s="1">
        <f>IFERROR(__xludf.DUMMYFUNCTION("""COMPUTED_VALUE"""),18506.05313)</f>
        <v>18506.05313</v>
      </c>
    </row>
    <row r="2957">
      <c r="A2957" s="3">
        <f>IFERROR(__xludf.DUMMYFUNCTION("""COMPUTED_VALUE"""),43324.99861111111)</f>
        <v>43324.99861</v>
      </c>
      <c r="B2957" s="1">
        <f>IFERROR(__xludf.DUMMYFUNCTION("""COMPUTED_VALUE"""),18463.78502)</f>
        <v>18463.78502</v>
      </c>
    </row>
    <row r="2958">
      <c r="A2958" s="3">
        <f>IFERROR(__xludf.DUMMYFUNCTION("""COMPUTED_VALUE"""),43325.99861111111)</f>
        <v>43325.99861</v>
      </c>
      <c r="B2958" s="1">
        <f>IFERROR(__xludf.DUMMYFUNCTION("""COMPUTED_VALUE"""),18624.1331)</f>
        <v>18624.1331</v>
      </c>
    </row>
    <row r="2959">
      <c r="A2959" s="3">
        <f>IFERROR(__xludf.DUMMYFUNCTION("""COMPUTED_VALUE"""),43326.99861111111)</f>
        <v>43326.99861</v>
      </c>
      <c r="B2959" s="1">
        <f>IFERROR(__xludf.DUMMYFUNCTION("""COMPUTED_VALUE"""),18620.9635)</f>
        <v>18620.9635</v>
      </c>
    </row>
    <row r="2960">
      <c r="A2960" s="3">
        <f>IFERROR(__xludf.DUMMYFUNCTION("""COMPUTED_VALUE"""),43327.99861111111)</f>
        <v>43327.99861</v>
      </c>
      <c r="B2960" s="1">
        <f>IFERROR(__xludf.DUMMYFUNCTION("""COMPUTED_VALUE"""),18472.76578)</f>
        <v>18472.76578</v>
      </c>
    </row>
    <row r="2961">
      <c r="A2961" s="3">
        <f>IFERROR(__xludf.DUMMYFUNCTION("""COMPUTED_VALUE"""),43328.99861111111)</f>
        <v>43328.99861</v>
      </c>
      <c r="B2961" s="1">
        <f>IFERROR(__xludf.DUMMYFUNCTION("""COMPUTED_VALUE"""),18557.59433)</f>
        <v>18557.59433</v>
      </c>
    </row>
    <row r="2962">
      <c r="A2962" s="3">
        <f>IFERROR(__xludf.DUMMYFUNCTION("""COMPUTED_VALUE"""),43329.99861111111)</f>
        <v>43329.99861</v>
      </c>
      <c r="B2962" s="1">
        <f>IFERROR(__xludf.DUMMYFUNCTION("""COMPUTED_VALUE"""),18594.239)</f>
        <v>18594.239</v>
      </c>
    </row>
    <row r="2963">
      <c r="A2963" s="3">
        <f>IFERROR(__xludf.DUMMYFUNCTION("""COMPUTED_VALUE"""),43330.99861111111)</f>
        <v>43330.99861</v>
      </c>
      <c r="B2963" s="1">
        <f>IFERROR(__xludf.DUMMYFUNCTION("""COMPUTED_VALUE"""),18599.25586)</f>
        <v>18599.25586</v>
      </c>
    </row>
    <row r="2964">
      <c r="A2964" s="3">
        <f>IFERROR(__xludf.DUMMYFUNCTION("""COMPUTED_VALUE"""),43331.99861111111)</f>
        <v>43331.99861</v>
      </c>
      <c r="B2964" s="1">
        <f>IFERROR(__xludf.DUMMYFUNCTION("""COMPUTED_VALUE"""),18572.014)</f>
        <v>18572.014</v>
      </c>
    </row>
    <row r="2965">
      <c r="A2965" s="3">
        <f>IFERROR(__xludf.DUMMYFUNCTION("""COMPUTED_VALUE"""),43332.99861111111)</f>
        <v>43332.99861</v>
      </c>
      <c r="B2965" s="1">
        <f>IFERROR(__xludf.DUMMYFUNCTION("""COMPUTED_VALUE"""),18644.16546)</f>
        <v>18644.16546</v>
      </c>
    </row>
    <row r="2966">
      <c r="A2966" s="3">
        <f>IFERROR(__xludf.DUMMYFUNCTION("""COMPUTED_VALUE"""),43333.99861111111)</f>
        <v>43333.99861</v>
      </c>
      <c r="B2966" s="1">
        <f>IFERROR(__xludf.DUMMYFUNCTION("""COMPUTED_VALUE"""),18802.585)</f>
        <v>18802.585</v>
      </c>
    </row>
    <row r="2967">
      <c r="A2967" s="3">
        <f>IFERROR(__xludf.DUMMYFUNCTION("""COMPUTED_VALUE"""),43334.99861111111)</f>
        <v>43334.99861</v>
      </c>
      <c r="B2967" s="1">
        <f>IFERROR(__xludf.DUMMYFUNCTION("""COMPUTED_VALUE"""),18802.9802)</f>
        <v>18802.9802</v>
      </c>
    </row>
    <row r="2968">
      <c r="A2968" s="3">
        <f>IFERROR(__xludf.DUMMYFUNCTION("""COMPUTED_VALUE"""),43335.99861111111)</f>
        <v>43335.99861</v>
      </c>
      <c r="B2968" s="1">
        <f>IFERROR(__xludf.DUMMYFUNCTION("""COMPUTED_VALUE"""),18782.09112)</f>
        <v>18782.09112</v>
      </c>
    </row>
    <row r="2969">
      <c r="A2969" s="3">
        <f>IFERROR(__xludf.DUMMYFUNCTION("""COMPUTED_VALUE"""),43336.99861111111)</f>
        <v>43336.99861</v>
      </c>
      <c r="B2969" s="1">
        <f>IFERROR(__xludf.DUMMYFUNCTION("""COMPUTED_VALUE"""),18717.5612)</f>
        <v>18717.5612</v>
      </c>
    </row>
    <row r="2970">
      <c r="A2970" s="3">
        <f>IFERROR(__xludf.DUMMYFUNCTION("""COMPUTED_VALUE"""),43337.99861111111)</f>
        <v>43337.99861</v>
      </c>
      <c r="B2970" s="1">
        <f>IFERROR(__xludf.DUMMYFUNCTION("""COMPUTED_VALUE"""),18738.56993)</f>
        <v>18738.56993</v>
      </c>
    </row>
    <row r="2971">
      <c r="A2971" s="3">
        <f>IFERROR(__xludf.DUMMYFUNCTION("""COMPUTED_VALUE"""),43338.99861111111)</f>
        <v>43338.99861</v>
      </c>
      <c r="B2971" s="1">
        <f>IFERROR(__xludf.DUMMYFUNCTION("""COMPUTED_VALUE"""),18721.4181)</f>
        <v>18721.4181</v>
      </c>
    </row>
    <row r="2972">
      <c r="A2972" s="3">
        <f>IFERROR(__xludf.DUMMYFUNCTION("""COMPUTED_VALUE"""),43339.99861111111)</f>
        <v>43339.99861</v>
      </c>
      <c r="B2972" s="1">
        <f>IFERROR(__xludf.DUMMYFUNCTION("""COMPUTED_VALUE"""),18764.53307)</f>
        <v>18764.53307</v>
      </c>
    </row>
    <row r="2973">
      <c r="A2973" s="3">
        <f>IFERROR(__xludf.DUMMYFUNCTION("""COMPUTED_VALUE"""),43340.99861111111)</f>
        <v>43340.99861</v>
      </c>
      <c r="B2973" s="1">
        <f>IFERROR(__xludf.DUMMYFUNCTION("""COMPUTED_VALUE"""),18853.57551)</f>
        <v>18853.57551</v>
      </c>
    </row>
    <row r="2974">
      <c r="A2974" s="3">
        <f>IFERROR(__xludf.DUMMYFUNCTION("""COMPUTED_VALUE"""),43341.99861111111)</f>
        <v>43341.99861</v>
      </c>
      <c r="B2974" s="1">
        <f>IFERROR(__xludf.DUMMYFUNCTION("""COMPUTED_VALUE"""),19056.0248)</f>
        <v>19056.0248</v>
      </c>
    </row>
    <row r="2975">
      <c r="A2975" s="3">
        <f>IFERROR(__xludf.DUMMYFUNCTION("""COMPUTED_VALUE"""),43342.99861111111)</f>
        <v>43342.99861</v>
      </c>
      <c r="B2975" s="1">
        <f>IFERROR(__xludf.DUMMYFUNCTION("""COMPUTED_VALUE"""),19190.75598)</f>
        <v>19190.75598</v>
      </c>
    </row>
    <row r="2976">
      <c r="A2976" s="3">
        <f>IFERROR(__xludf.DUMMYFUNCTION("""COMPUTED_VALUE"""),43343.99861111111)</f>
        <v>43343.99861</v>
      </c>
      <c r="B2976" s="1">
        <f>IFERROR(__xludf.DUMMYFUNCTION("""COMPUTED_VALUE"""),19083.6)</f>
        <v>19083.6</v>
      </c>
    </row>
    <row r="2977">
      <c r="A2977" s="3">
        <f>IFERROR(__xludf.DUMMYFUNCTION("""COMPUTED_VALUE"""),43344.99861111111)</f>
        <v>43344.99861</v>
      </c>
      <c r="B2977" s="1">
        <f>IFERROR(__xludf.DUMMYFUNCTION("""COMPUTED_VALUE"""),19081.008)</f>
        <v>19081.008</v>
      </c>
    </row>
    <row r="2978">
      <c r="A2978" s="3">
        <f>IFERROR(__xludf.DUMMYFUNCTION("""COMPUTED_VALUE"""),43345.99861111111)</f>
        <v>43345.99861</v>
      </c>
      <c r="B2978" s="1">
        <f>IFERROR(__xludf.DUMMYFUNCTION("""COMPUTED_VALUE"""),19025.0606)</f>
        <v>19025.0606</v>
      </c>
    </row>
    <row r="2979">
      <c r="A2979" s="3">
        <f>IFERROR(__xludf.DUMMYFUNCTION("""COMPUTED_VALUE"""),43346.99861111111)</f>
        <v>43346.99861</v>
      </c>
      <c r="B2979" s="1">
        <f>IFERROR(__xludf.DUMMYFUNCTION("""COMPUTED_VALUE"""),19085.52096)</f>
        <v>19085.52096</v>
      </c>
    </row>
    <row r="2980">
      <c r="A2980" s="3">
        <f>IFERROR(__xludf.DUMMYFUNCTION("""COMPUTED_VALUE"""),43347.99861111111)</f>
        <v>43347.99861</v>
      </c>
      <c r="B2980" s="1">
        <f>IFERROR(__xludf.DUMMYFUNCTION("""COMPUTED_VALUE"""),19196.0982)</f>
        <v>19196.0982</v>
      </c>
    </row>
    <row r="2981">
      <c r="A2981" s="3">
        <f>IFERROR(__xludf.DUMMYFUNCTION("""COMPUTED_VALUE"""),43348.99861111111)</f>
        <v>43348.99861</v>
      </c>
      <c r="B2981" s="1">
        <f>IFERROR(__xludf.DUMMYFUNCTION("""COMPUTED_VALUE"""),19343.39507)</f>
        <v>19343.39507</v>
      </c>
    </row>
    <row r="2982">
      <c r="A2982" s="3">
        <f>IFERROR(__xludf.DUMMYFUNCTION("""COMPUTED_VALUE"""),43349.99861111111)</f>
        <v>43349.99861</v>
      </c>
      <c r="B2982" s="1">
        <f>IFERROR(__xludf.DUMMYFUNCTION("""COMPUTED_VALUE"""),19248.01106)</f>
        <v>19248.01106</v>
      </c>
    </row>
    <row r="2983">
      <c r="A2983" s="3">
        <f>IFERROR(__xludf.DUMMYFUNCTION("""COMPUTED_VALUE"""),43350.99861111111)</f>
        <v>43350.99861</v>
      </c>
      <c r="B2983" s="1">
        <f>IFERROR(__xludf.DUMMYFUNCTION("""COMPUTED_VALUE"""),19347.054)</f>
        <v>19347.054</v>
      </c>
    </row>
    <row r="2984">
      <c r="A2984" s="3">
        <f>IFERROR(__xludf.DUMMYFUNCTION("""COMPUTED_VALUE"""),43351.99861111111)</f>
        <v>43351.99861</v>
      </c>
      <c r="B2984" s="1">
        <f>IFERROR(__xludf.DUMMYFUNCTION("""COMPUTED_VALUE"""),19138.396)</f>
        <v>19138.396</v>
      </c>
    </row>
    <row r="2985">
      <c r="A2985" s="3">
        <f>IFERROR(__xludf.DUMMYFUNCTION("""COMPUTED_VALUE"""),43352.99861111111)</f>
        <v>43352.99861</v>
      </c>
      <c r="B2985" s="1">
        <f>IFERROR(__xludf.DUMMYFUNCTION("""COMPUTED_VALUE"""),19151.43144)</f>
        <v>19151.43144</v>
      </c>
    </row>
    <row r="2986">
      <c r="A2986" s="3">
        <f>IFERROR(__xludf.DUMMYFUNCTION("""COMPUTED_VALUE"""),43353.99861111111)</f>
        <v>43353.99861</v>
      </c>
      <c r="B2986" s="1">
        <f>IFERROR(__xludf.DUMMYFUNCTION("""COMPUTED_VALUE"""),19333.4768)</f>
        <v>19333.4768</v>
      </c>
    </row>
    <row r="2987">
      <c r="A2987" s="3">
        <f>IFERROR(__xludf.DUMMYFUNCTION("""COMPUTED_VALUE"""),43354.99861111111)</f>
        <v>43354.99861</v>
      </c>
      <c r="B2987" s="1">
        <f>IFERROR(__xludf.DUMMYFUNCTION("""COMPUTED_VALUE"""),19309.31691)</f>
        <v>19309.31691</v>
      </c>
    </row>
    <row r="2988">
      <c r="A2988" s="3">
        <f>IFERROR(__xludf.DUMMYFUNCTION("""COMPUTED_VALUE"""),43355.99861111111)</f>
        <v>43355.99861</v>
      </c>
      <c r="B2988" s="1">
        <f>IFERROR(__xludf.DUMMYFUNCTION("""COMPUTED_VALUE"""),19314.54694)</f>
        <v>19314.54694</v>
      </c>
    </row>
    <row r="2989">
      <c r="A2989" s="3">
        <f>IFERROR(__xludf.DUMMYFUNCTION("""COMPUTED_VALUE"""),43356.99861111111)</f>
        <v>43356.99861</v>
      </c>
      <c r="B2989" s="1">
        <f>IFERROR(__xludf.DUMMYFUNCTION("""COMPUTED_VALUE"""),19324.5822)</f>
        <v>19324.5822</v>
      </c>
    </row>
    <row r="2990">
      <c r="A2990" s="3">
        <f>IFERROR(__xludf.DUMMYFUNCTION("""COMPUTED_VALUE"""),43357.99861111111)</f>
        <v>43357.99861</v>
      </c>
      <c r="B2990" s="1">
        <f>IFERROR(__xludf.DUMMYFUNCTION("""COMPUTED_VALUE"""),19343.4269)</f>
        <v>19343.4269</v>
      </c>
    </row>
    <row r="2991">
      <c r="A2991" s="3">
        <f>IFERROR(__xludf.DUMMYFUNCTION("""COMPUTED_VALUE"""),43358.99861111111)</f>
        <v>43358.99861</v>
      </c>
      <c r="B2991" s="1">
        <f>IFERROR(__xludf.DUMMYFUNCTION("""COMPUTED_VALUE"""),19355.03397)</f>
        <v>19355.03397</v>
      </c>
    </row>
    <row r="2992">
      <c r="A2992" s="3">
        <f>IFERROR(__xludf.DUMMYFUNCTION("""COMPUTED_VALUE"""),43359.99861111111)</f>
        <v>43359.99861</v>
      </c>
      <c r="B2992" s="1">
        <f>IFERROR(__xludf.DUMMYFUNCTION("""COMPUTED_VALUE"""),19355.56233)</f>
        <v>19355.56233</v>
      </c>
    </row>
    <row r="2993">
      <c r="A2993" s="3">
        <f>IFERROR(__xludf.DUMMYFUNCTION("""COMPUTED_VALUE"""),43360.99861111111)</f>
        <v>43360.99861</v>
      </c>
      <c r="B2993" s="1">
        <f>IFERROR(__xludf.DUMMYFUNCTION("""COMPUTED_VALUE"""),19593.89224)</f>
        <v>19593.89224</v>
      </c>
    </row>
    <row r="2994">
      <c r="A2994" s="3">
        <f>IFERROR(__xludf.DUMMYFUNCTION("""COMPUTED_VALUE"""),43361.99861111111)</f>
        <v>43361.99861</v>
      </c>
      <c r="B2994" s="1">
        <f>IFERROR(__xludf.DUMMYFUNCTION("""COMPUTED_VALUE"""),19576.12225)</f>
        <v>19576.12225</v>
      </c>
    </row>
    <row r="2995">
      <c r="A2995" s="3">
        <f>IFERROR(__xludf.DUMMYFUNCTION("""COMPUTED_VALUE"""),43362.99861111111)</f>
        <v>43362.99861</v>
      </c>
      <c r="B2995" s="1">
        <f>IFERROR(__xludf.DUMMYFUNCTION("""COMPUTED_VALUE"""),19552.4688)</f>
        <v>19552.4688</v>
      </c>
    </row>
    <row r="2996">
      <c r="A2996" s="3">
        <f>IFERROR(__xludf.DUMMYFUNCTION("""COMPUTED_VALUE"""),43363.99861111111)</f>
        <v>43363.99861</v>
      </c>
      <c r="B2996" s="1">
        <f>IFERROR(__xludf.DUMMYFUNCTION("""COMPUTED_VALUE"""),19682.064)</f>
        <v>19682.064</v>
      </c>
    </row>
    <row r="2997">
      <c r="A2997" s="3">
        <f>IFERROR(__xludf.DUMMYFUNCTION("""COMPUTED_VALUE"""),43364.99861111111)</f>
        <v>43364.99861</v>
      </c>
      <c r="B2997" s="1">
        <f>IFERROR(__xludf.DUMMYFUNCTION("""COMPUTED_VALUE"""),19418.456)</f>
        <v>19418.456</v>
      </c>
    </row>
    <row r="2998">
      <c r="A2998" s="3">
        <f>IFERROR(__xludf.DUMMYFUNCTION("""COMPUTED_VALUE"""),43365.99861111111)</f>
        <v>43365.99861</v>
      </c>
      <c r="B2998" s="1">
        <f>IFERROR(__xludf.DUMMYFUNCTION("""COMPUTED_VALUE"""),19362.2464)</f>
        <v>19362.2464</v>
      </c>
    </row>
    <row r="2999">
      <c r="A2999" s="3">
        <f>IFERROR(__xludf.DUMMYFUNCTION("""COMPUTED_VALUE"""),43366.99861111111)</f>
        <v>43366.99861</v>
      </c>
      <c r="B2999" s="1">
        <f>IFERROR(__xludf.DUMMYFUNCTION("""COMPUTED_VALUE"""),19372.31856)</f>
        <v>19372.31856</v>
      </c>
    </row>
    <row r="3000">
      <c r="A3000" s="3">
        <f>IFERROR(__xludf.DUMMYFUNCTION("""COMPUTED_VALUE"""),43367.99861111111)</f>
        <v>43367.99861</v>
      </c>
      <c r="B3000" s="1">
        <f>IFERROR(__xludf.DUMMYFUNCTION("""COMPUTED_VALUE"""),19491.98482)</f>
        <v>19491.98482</v>
      </c>
    </row>
    <row r="3001">
      <c r="A3001" s="3">
        <f>IFERROR(__xludf.DUMMYFUNCTION("""COMPUTED_VALUE"""),43368.99861111111)</f>
        <v>43368.99861</v>
      </c>
      <c r="B3001" s="1">
        <f>IFERROR(__xludf.DUMMYFUNCTION("""COMPUTED_VALUE"""),19796.68463)</f>
        <v>19796.68463</v>
      </c>
    </row>
    <row r="3002">
      <c r="A3002" s="3">
        <f>IFERROR(__xludf.DUMMYFUNCTION("""COMPUTED_VALUE"""),43369.99861111111)</f>
        <v>43369.99861</v>
      </c>
      <c r="B3002" s="1">
        <f>IFERROR(__xludf.DUMMYFUNCTION("""COMPUTED_VALUE"""),19735.245)</f>
        <v>19735.245</v>
      </c>
    </row>
    <row r="3003">
      <c r="A3003" s="3">
        <f>IFERROR(__xludf.DUMMYFUNCTION("""COMPUTED_VALUE"""),43370.99861111111)</f>
        <v>43370.99861</v>
      </c>
      <c r="B3003" s="1">
        <f>IFERROR(__xludf.DUMMYFUNCTION("""COMPUTED_VALUE"""),19505.43587)</f>
        <v>19505.43587</v>
      </c>
    </row>
    <row r="3004">
      <c r="A3004" s="3">
        <f>IFERROR(__xludf.DUMMYFUNCTION("""COMPUTED_VALUE"""),43371.99861111111)</f>
        <v>43371.99861</v>
      </c>
      <c r="B3004" s="1">
        <f>IFERROR(__xludf.DUMMYFUNCTION("""COMPUTED_VALUE"""),19400.181)</f>
        <v>19400.181</v>
      </c>
    </row>
    <row r="3005">
      <c r="A3005" s="3">
        <f>IFERROR(__xludf.DUMMYFUNCTION("""COMPUTED_VALUE"""),43372.99861111111)</f>
        <v>43372.99861</v>
      </c>
      <c r="B3005" s="1">
        <f>IFERROR(__xludf.DUMMYFUNCTION("""COMPUTED_VALUE"""),19421.43033)</f>
        <v>19421.43033</v>
      </c>
    </row>
    <row r="3006">
      <c r="A3006" s="3">
        <f>IFERROR(__xludf.DUMMYFUNCTION("""COMPUTED_VALUE"""),43373.99861111111)</f>
        <v>43373.99861</v>
      </c>
      <c r="B3006" s="1">
        <f>IFERROR(__xludf.DUMMYFUNCTION("""COMPUTED_VALUE"""),19428.33348)</f>
        <v>19428.33348</v>
      </c>
    </row>
    <row r="3007">
      <c r="A3007" s="3">
        <f>IFERROR(__xludf.DUMMYFUNCTION("""COMPUTED_VALUE"""),43374.99861111111)</f>
        <v>43374.99861</v>
      </c>
      <c r="B3007" s="1">
        <f>IFERROR(__xludf.DUMMYFUNCTION("""COMPUTED_VALUE"""),19633.56759)</f>
        <v>19633.56759</v>
      </c>
    </row>
    <row r="3008">
      <c r="A3008" s="3">
        <f>IFERROR(__xludf.DUMMYFUNCTION("""COMPUTED_VALUE"""),43375.99861111111)</f>
        <v>43375.99861</v>
      </c>
      <c r="B3008" s="1">
        <f>IFERROR(__xludf.DUMMYFUNCTION("""COMPUTED_VALUE"""),19517.66982)</f>
        <v>19517.66982</v>
      </c>
    </row>
    <row r="3009">
      <c r="A3009" s="3">
        <f>IFERROR(__xludf.DUMMYFUNCTION("""COMPUTED_VALUE"""),43376.99861111111)</f>
        <v>43376.99861</v>
      </c>
      <c r="B3009" s="1">
        <f>IFERROR(__xludf.DUMMYFUNCTION("""COMPUTED_VALUE"""),19589.36784)</f>
        <v>19589.36784</v>
      </c>
    </row>
    <row r="3010">
      <c r="A3010" s="3">
        <f>IFERROR(__xludf.DUMMYFUNCTION("""COMPUTED_VALUE"""),43377.99861111111)</f>
        <v>43377.99861</v>
      </c>
      <c r="B3010" s="1">
        <f>IFERROR(__xludf.DUMMYFUNCTION("""COMPUTED_VALUE"""),20067.01047)</f>
        <v>20067.01047</v>
      </c>
    </row>
    <row r="3011">
      <c r="A3011" s="3">
        <f>IFERROR(__xludf.DUMMYFUNCTION("""COMPUTED_VALUE"""),43378.99861111111)</f>
        <v>43378.99861</v>
      </c>
      <c r="B3011" s="1">
        <f>IFERROR(__xludf.DUMMYFUNCTION("""COMPUTED_VALUE"""),19819.52925)</f>
        <v>19819.52925</v>
      </c>
    </row>
    <row r="3012">
      <c r="A3012" s="3">
        <f>IFERROR(__xludf.DUMMYFUNCTION("""COMPUTED_VALUE"""),43379.99861111111)</f>
        <v>43379.99861</v>
      </c>
      <c r="B3012" s="1">
        <f>IFERROR(__xludf.DUMMYFUNCTION("""COMPUTED_VALUE"""),19942.23823)</f>
        <v>19942.23823</v>
      </c>
    </row>
    <row r="3013">
      <c r="A3013" s="3">
        <f>IFERROR(__xludf.DUMMYFUNCTION("""COMPUTED_VALUE"""),43380.99861111111)</f>
        <v>43380.99861</v>
      </c>
      <c r="B3013" s="1">
        <f>IFERROR(__xludf.DUMMYFUNCTION("""COMPUTED_VALUE"""),19915.32115)</f>
        <v>19915.32115</v>
      </c>
    </row>
    <row r="3014">
      <c r="A3014" s="3">
        <f>IFERROR(__xludf.DUMMYFUNCTION("""COMPUTED_VALUE"""),43381.99861111111)</f>
        <v>43381.99861</v>
      </c>
      <c r="B3014" s="1">
        <f>IFERROR(__xludf.DUMMYFUNCTION("""COMPUTED_VALUE"""),20161.372)</f>
        <v>20161.372</v>
      </c>
    </row>
    <row r="3015">
      <c r="A3015" s="3">
        <f>IFERROR(__xludf.DUMMYFUNCTION("""COMPUTED_VALUE"""),43382.99861111111)</f>
        <v>43382.99861</v>
      </c>
      <c r="B3015" s="1">
        <f>IFERROR(__xludf.DUMMYFUNCTION("""COMPUTED_VALUE"""),20024.3342)</f>
        <v>20024.3342</v>
      </c>
    </row>
    <row r="3016">
      <c r="A3016" s="3">
        <f>IFERROR(__xludf.DUMMYFUNCTION("""COMPUTED_VALUE"""),43383.99861111111)</f>
        <v>43383.99861</v>
      </c>
      <c r="B3016" s="1">
        <f>IFERROR(__xludf.DUMMYFUNCTION("""COMPUTED_VALUE"""),20067.8376)</f>
        <v>20067.8376</v>
      </c>
    </row>
    <row r="3017">
      <c r="A3017" s="3">
        <f>IFERROR(__xludf.DUMMYFUNCTION("""COMPUTED_VALUE"""),43384.99861111111)</f>
        <v>43384.99861</v>
      </c>
      <c r="B3017" s="1">
        <f>IFERROR(__xludf.DUMMYFUNCTION("""COMPUTED_VALUE"""),20245.43136)</f>
        <v>20245.43136</v>
      </c>
    </row>
    <row r="3018">
      <c r="A3018" s="3">
        <f>IFERROR(__xludf.DUMMYFUNCTION("""COMPUTED_VALUE"""),43385.99861111111)</f>
        <v>43385.99861</v>
      </c>
      <c r="B3018" s="1">
        <f>IFERROR(__xludf.DUMMYFUNCTION("""COMPUTED_VALUE"""),19970.85755)</f>
        <v>19970.85755</v>
      </c>
    </row>
    <row r="3019">
      <c r="A3019" s="3">
        <f>IFERROR(__xludf.DUMMYFUNCTION("""COMPUTED_VALUE"""),43386.99861111111)</f>
        <v>43386.99861</v>
      </c>
      <c r="B3019" s="1">
        <f>IFERROR(__xludf.DUMMYFUNCTION("""COMPUTED_VALUE"""),19985.63147)</f>
        <v>19985.63147</v>
      </c>
    </row>
    <row r="3020">
      <c r="A3020" s="3">
        <f>IFERROR(__xludf.DUMMYFUNCTION("""COMPUTED_VALUE"""),43387.99861111111)</f>
        <v>43387.99861</v>
      </c>
      <c r="B3020" s="1">
        <f>IFERROR(__xludf.DUMMYFUNCTION("""COMPUTED_VALUE"""),19913.78742)</f>
        <v>19913.78742</v>
      </c>
    </row>
    <row r="3021">
      <c r="A3021" s="3">
        <f>IFERROR(__xludf.DUMMYFUNCTION("""COMPUTED_VALUE"""),43388.99861111111)</f>
        <v>43388.99861</v>
      </c>
      <c r="B3021" s="1">
        <f>IFERROR(__xludf.DUMMYFUNCTION("""COMPUTED_VALUE"""),19985.31676)</f>
        <v>19985.31676</v>
      </c>
    </row>
    <row r="3022">
      <c r="A3022" s="3">
        <f>IFERROR(__xludf.DUMMYFUNCTION("""COMPUTED_VALUE"""),43389.99861111111)</f>
        <v>43389.99861</v>
      </c>
      <c r="B3022" s="1">
        <f>IFERROR(__xludf.DUMMYFUNCTION("""COMPUTED_VALUE"""),20033.79366)</f>
        <v>20033.79366</v>
      </c>
    </row>
    <row r="3023">
      <c r="A3023" s="3">
        <f>IFERROR(__xludf.DUMMYFUNCTION("""COMPUTED_VALUE"""),43390.99861111111)</f>
        <v>43390.99861</v>
      </c>
      <c r="B3023" s="1">
        <f>IFERROR(__xludf.DUMMYFUNCTION("""COMPUTED_VALUE"""),19997.75943)</f>
        <v>19997.75943</v>
      </c>
    </row>
    <row r="3024">
      <c r="A3024" s="3">
        <f>IFERROR(__xludf.DUMMYFUNCTION("""COMPUTED_VALUE"""),43391.99861111111)</f>
        <v>43391.99861</v>
      </c>
      <c r="B3024" s="1">
        <f>IFERROR(__xludf.DUMMYFUNCTION("""COMPUTED_VALUE"""),19957.09386)</f>
        <v>19957.09386</v>
      </c>
    </row>
    <row r="3025">
      <c r="A3025" s="3">
        <f>IFERROR(__xludf.DUMMYFUNCTION("""COMPUTED_VALUE"""),43392.99861111111)</f>
        <v>43392.99861</v>
      </c>
      <c r="B3025" s="1">
        <f>IFERROR(__xludf.DUMMYFUNCTION("""COMPUTED_VALUE"""),19830.66765)</f>
        <v>19830.66765</v>
      </c>
    </row>
    <row r="3026">
      <c r="A3026" s="3">
        <f>IFERROR(__xludf.DUMMYFUNCTION("""COMPUTED_VALUE"""),43393.99861111111)</f>
        <v>43393.99861</v>
      </c>
      <c r="B3026" s="1">
        <f>IFERROR(__xludf.DUMMYFUNCTION("""COMPUTED_VALUE"""),19815.85369)</f>
        <v>19815.85369</v>
      </c>
    </row>
    <row r="3027">
      <c r="A3027" s="3">
        <f>IFERROR(__xludf.DUMMYFUNCTION("""COMPUTED_VALUE"""),43394.99861111111)</f>
        <v>43394.99861</v>
      </c>
      <c r="B3027" s="1">
        <f>IFERROR(__xludf.DUMMYFUNCTION("""COMPUTED_VALUE"""),19833.21745)</f>
        <v>19833.21745</v>
      </c>
    </row>
    <row r="3028">
      <c r="A3028" s="3">
        <f>IFERROR(__xludf.DUMMYFUNCTION("""COMPUTED_VALUE"""),43395.99861111111)</f>
        <v>43395.99861</v>
      </c>
      <c r="B3028" s="1">
        <f>IFERROR(__xludf.DUMMYFUNCTION("""COMPUTED_VALUE"""),19790.37825)</f>
        <v>19790.37825</v>
      </c>
    </row>
    <row r="3029">
      <c r="A3029" s="3">
        <f>IFERROR(__xludf.DUMMYFUNCTION("""COMPUTED_VALUE"""),43396.99861111111)</f>
        <v>43396.99861</v>
      </c>
      <c r="B3029" s="1">
        <f>IFERROR(__xludf.DUMMYFUNCTION("""COMPUTED_VALUE"""),19707.68583)</f>
        <v>19707.68583</v>
      </c>
    </row>
    <row r="3030">
      <c r="A3030" s="3">
        <f>IFERROR(__xludf.DUMMYFUNCTION("""COMPUTED_VALUE"""),43397.99861111111)</f>
        <v>43397.99861</v>
      </c>
      <c r="B3030" s="1">
        <f>IFERROR(__xludf.DUMMYFUNCTION("""COMPUTED_VALUE"""),19675.81961)</f>
        <v>19675.81961</v>
      </c>
    </row>
    <row r="3031">
      <c r="A3031" s="3">
        <f>IFERROR(__xludf.DUMMYFUNCTION("""COMPUTED_VALUE"""),43398.99861111111)</f>
        <v>43398.99861</v>
      </c>
      <c r="B3031" s="1">
        <f>IFERROR(__xludf.DUMMYFUNCTION("""COMPUTED_VALUE"""),19565.96152)</f>
        <v>19565.96152</v>
      </c>
    </row>
    <row r="3032">
      <c r="A3032" s="3">
        <f>IFERROR(__xludf.DUMMYFUNCTION("""COMPUTED_VALUE"""),43399.99861111111)</f>
        <v>43399.99861</v>
      </c>
      <c r="B3032" s="1">
        <f>IFERROR(__xludf.DUMMYFUNCTION("""COMPUTED_VALUE"""),19492.57792)</f>
        <v>19492.57792</v>
      </c>
    </row>
    <row r="3033">
      <c r="A3033" s="3">
        <f>IFERROR(__xludf.DUMMYFUNCTION("""COMPUTED_VALUE"""),43400.99861111111)</f>
        <v>43400.99861</v>
      </c>
      <c r="B3033" s="1">
        <f>IFERROR(__xludf.DUMMYFUNCTION("""COMPUTED_VALUE"""),19517.472)</f>
        <v>19517.472</v>
      </c>
    </row>
    <row r="3034">
      <c r="A3034" s="3">
        <f>IFERROR(__xludf.DUMMYFUNCTION("""COMPUTED_VALUE"""),43401.99861111111)</f>
        <v>43401.99861</v>
      </c>
      <c r="B3034" s="1">
        <f>IFERROR(__xludf.DUMMYFUNCTION("""COMPUTED_VALUE"""),19514.43)</f>
        <v>19514.43</v>
      </c>
    </row>
    <row r="3035">
      <c r="A3035" s="3">
        <f>IFERROR(__xludf.DUMMYFUNCTION("""COMPUTED_VALUE"""),43402.99861111111)</f>
        <v>43402.99861</v>
      </c>
      <c r="B3035" s="1">
        <f>IFERROR(__xludf.DUMMYFUNCTION("""COMPUTED_VALUE"""),19583.01973)</f>
        <v>19583.01973</v>
      </c>
    </row>
    <row r="3036">
      <c r="A3036" s="3">
        <f>IFERROR(__xludf.DUMMYFUNCTION("""COMPUTED_VALUE"""),43403.99861111111)</f>
        <v>43403.99861</v>
      </c>
      <c r="B3036" s="1">
        <f>IFERROR(__xludf.DUMMYFUNCTION("""COMPUTED_VALUE"""),19408.59728)</f>
        <v>19408.59728</v>
      </c>
    </row>
    <row r="3037">
      <c r="A3037" s="3">
        <f>IFERROR(__xludf.DUMMYFUNCTION("""COMPUTED_VALUE"""),43404.99861111111)</f>
        <v>43404.99861</v>
      </c>
      <c r="B3037" s="1">
        <f>IFERROR(__xludf.DUMMYFUNCTION("""COMPUTED_VALUE"""),19403.16456)</f>
        <v>19403.16456</v>
      </c>
    </row>
    <row r="3038">
      <c r="A3038" s="3">
        <f>IFERROR(__xludf.DUMMYFUNCTION("""COMPUTED_VALUE"""),43405.99861111111)</f>
        <v>43405.99861</v>
      </c>
      <c r="B3038" s="1">
        <f>IFERROR(__xludf.DUMMYFUNCTION("""COMPUTED_VALUE"""),19593.22786)</f>
        <v>19593.22786</v>
      </c>
    </row>
    <row r="3039">
      <c r="A3039" s="3">
        <f>IFERROR(__xludf.DUMMYFUNCTION("""COMPUTED_VALUE"""),43406.99861111111)</f>
        <v>43406.99861</v>
      </c>
      <c r="B3039" s="1">
        <f>IFERROR(__xludf.DUMMYFUNCTION("""COMPUTED_VALUE"""),19401.4026)</f>
        <v>19401.4026</v>
      </c>
    </row>
    <row r="3040">
      <c r="A3040" s="3">
        <f>IFERROR(__xludf.DUMMYFUNCTION("""COMPUTED_VALUE"""),43407.99861111111)</f>
        <v>43407.99861</v>
      </c>
      <c r="B3040" s="1">
        <f>IFERROR(__xludf.DUMMYFUNCTION("""COMPUTED_VALUE"""),19425.676)</f>
        <v>19425.676</v>
      </c>
    </row>
    <row r="3041">
      <c r="A3041" s="3">
        <f>IFERROR(__xludf.DUMMYFUNCTION("""COMPUTED_VALUE"""),43408.99861111111)</f>
        <v>43408.99861</v>
      </c>
      <c r="B3041" s="1">
        <f>IFERROR(__xludf.DUMMYFUNCTION("""COMPUTED_VALUE"""),19437.12354)</f>
        <v>19437.12354</v>
      </c>
    </row>
    <row r="3042">
      <c r="A3042" s="3">
        <f>IFERROR(__xludf.DUMMYFUNCTION("""COMPUTED_VALUE"""),43409.99861111111)</f>
        <v>43409.99861</v>
      </c>
      <c r="B3042" s="1">
        <f>IFERROR(__xludf.DUMMYFUNCTION("""COMPUTED_VALUE"""),19481.49174)</f>
        <v>19481.49174</v>
      </c>
    </row>
    <row r="3043">
      <c r="A3043" s="3">
        <f>IFERROR(__xludf.DUMMYFUNCTION("""COMPUTED_VALUE"""),43410.99861111111)</f>
        <v>43410.99861</v>
      </c>
      <c r="B3043" s="1">
        <f>IFERROR(__xludf.DUMMYFUNCTION("""COMPUTED_VALUE"""),19444.5028)</f>
        <v>19444.5028</v>
      </c>
    </row>
    <row r="3044">
      <c r="A3044" s="3">
        <f>IFERROR(__xludf.DUMMYFUNCTION("""COMPUTED_VALUE"""),43411.99861111111)</f>
        <v>43411.99861</v>
      </c>
      <c r="B3044" s="1">
        <f>IFERROR(__xludf.DUMMYFUNCTION("""COMPUTED_VALUE"""),19164.55998)</f>
        <v>19164.55998</v>
      </c>
    </row>
    <row r="3045">
      <c r="A3045" s="3">
        <f>IFERROR(__xludf.DUMMYFUNCTION("""COMPUTED_VALUE"""),43412.99861111111)</f>
        <v>43412.99861</v>
      </c>
      <c r="B3045" s="1">
        <f>IFERROR(__xludf.DUMMYFUNCTION("""COMPUTED_VALUE"""),19232.2688)</f>
        <v>19232.2688</v>
      </c>
    </row>
    <row r="3046">
      <c r="A3046" s="3">
        <f>IFERROR(__xludf.DUMMYFUNCTION("""COMPUTED_VALUE"""),43413.99861111111)</f>
        <v>43413.99861</v>
      </c>
      <c r="B3046" s="1">
        <f>IFERROR(__xludf.DUMMYFUNCTION("""COMPUTED_VALUE"""),19047.6406)</f>
        <v>19047.6406</v>
      </c>
    </row>
    <row r="3047">
      <c r="A3047" s="3">
        <f>IFERROR(__xludf.DUMMYFUNCTION("""COMPUTED_VALUE"""),43414.99861111111)</f>
        <v>43414.99861</v>
      </c>
      <c r="B3047" s="1">
        <f>IFERROR(__xludf.DUMMYFUNCTION("""COMPUTED_VALUE"""),19047.6406)</f>
        <v>19047.6406</v>
      </c>
    </row>
    <row r="3048">
      <c r="A3048" s="3">
        <f>IFERROR(__xludf.DUMMYFUNCTION("""COMPUTED_VALUE"""),43415.99861111111)</f>
        <v>43415.99861</v>
      </c>
      <c r="B3048" s="1">
        <f>IFERROR(__xludf.DUMMYFUNCTION("""COMPUTED_VALUE"""),18989.6625)</f>
        <v>18989.6625</v>
      </c>
    </row>
    <row r="3049">
      <c r="A3049" s="3">
        <f>IFERROR(__xludf.DUMMYFUNCTION("""COMPUTED_VALUE"""),43416.99861111111)</f>
        <v>43416.99861</v>
      </c>
      <c r="B3049" s="1">
        <f>IFERROR(__xludf.DUMMYFUNCTION("""COMPUTED_VALUE"""),19037.1648)</f>
        <v>19037.1648</v>
      </c>
    </row>
    <row r="3050">
      <c r="A3050" s="3">
        <f>IFERROR(__xludf.DUMMYFUNCTION("""COMPUTED_VALUE"""),43417.99861111111)</f>
        <v>43417.99861</v>
      </c>
      <c r="B3050" s="1">
        <f>IFERROR(__xludf.DUMMYFUNCTION("""COMPUTED_VALUE"""),19251.67464)</f>
        <v>19251.67464</v>
      </c>
    </row>
    <row r="3051">
      <c r="A3051" s="3">
        <f>IFERROR(__xludf.DUMMYFUNCTION("""COMPUTED_VALUE"""),43418.99861111111)</f>
        <v>43418.99861</v>
      </c>
      <c r="B3051" s="1">
        <f>IFERROR(__xludf.DUMMYFUNCTION("""COMPUTED_VALUE"""),19234.92191)</f>
        <v>19234.92191</v>
      </c>
    </row>
    <row r="3052">
      <c r="A3052" s="3">
        <f>IFERROR(__xludf.DUMMYFUNCTION("""COMPUTED_VALUE"""),43419.99861111111)</f>
        <v>43419.99861</v>
      </c>
      <c r="B3052" s="1">
        <f>IFERROR(__xludf.DUMMYFUNCTION("""COMPUTED_VALUE"""),18588.21143)</f>
        <v>18588.21143</v>
      </c>
    </row>
    <row r="3053">
      <c r="A3053" s="3">
        <f>IFERROR(__xludf.DUMMYFUNCTION("""COMPUTED_VALUE"""),43420.99861111111)</f>
        <v>43420.99861</v>
      </c>
      <c r="B3053" s="1">
        <f>IFERROR(__xludf.DUMMYFUNCTION("""COMPUTED_VALUE"""),18751.3595)</f>
        <v>18751.3595</v>
      </c>
    </row>
    <row r="3054">
      <c r="A3054" s="3">
        <f>IFERROR(__xludf.DUMMYFUNCTION("""COMPUTED_VALUE"""),43421.99861111111)</f>
        <v>43421.99861</v>
      </c>
      <c r="B3054" s="1">
        <f>IFERROR(__xludf.DUMMYFUNCTION("""COMPUTED_VALUE"""),18752.82)</f>
        <v>18752.82</v>
      </c>
    </row>
    <row r="3055">
      <c r="A3055" s="3">
        <f>IFERROR(__xludf.DUMMYFUNCTION("""COMPUTED_VALUE"""),43422.99861111111)</f>
        <v>43422.99861</v>
      </c>
      <c r="B3055" s="1">
        <f>IFERROR(__xludf.DUMMYFUNCTION("""COMPUTED_VALUE"""),18740.69785)</f>
        <v>18740.69785</v>
      </c>
    </row>
    <row r="3056">
      <c r="A3056" s="3">
        <f>IFERROR(__xludf.DUMMYFUNCTION("""COMPUTED_VALUE"""),43423.99861111111)</f>
        <v>43423.99861</v>
      </c>
      <c r="B3056" s="1">
        <f>IFERROR(__xludf.DUMMYFUNCTION("""COMPUTED_VALUE"""),18840.1486)</f>
        <v>18840.1486</v>
      </c>
    </row>
    <row r="3057">
      <c r="A3057" s="3">
        <f>IFERROR(__xludf.DUMMYFUNCTION("""COMPUTED_VALUE"""),43424.99861111111)</f>
        <v>43424.99861</v>
      </c>
      <c r="B3057" s="1">
        <f>IFERROR(__xludf.DUMMYFUNCTION("""COMPUTED_VALUE"""),18752.70684)</f>
        <v>18752.70684</v>
      </c>
    </row>
    <row r="3058">
      <c r="A3058" s="3">
        <f>IFERROR(__xludf.DUMMYFUNCTION("""COMPUTED_VALUE"""),43425.99861111111)</f>
        <v>43425.99861</v>
      </c>
      <c r="B3058" s="1">
        <f>IFERROR(__xludf.DUMMYFUNCTION("""COMPUTED_VALUE"""),18688.362)</f>
        <v>18688.362</v>
      </c>
    </row>
    <row r="3059">
      <c r="A3059" s="3">
        <f>IFERROR(__xludf.DUMMYFUNCTION("""COMPUTED_VALUE"""),43426.99861111111)</f>
        <v>43426.99861</v>
      </c>
      <c r="B3059" s="1">
        <f>IFERROR(__xludf.DUMMYFUNCTION("""COMPUTED_VALUE"""),18798.96)</f>
        <v>18798.96</v>
      </c>
    </row>
    <row r="3060">
      <c r="A3060" s="3">
        <f>IFERROR(__xludf.DUMMYFUNCTION("""COMPUTED_VALUE"""),43427.99861111111)</f>
        <v>43427.99861</v>
      </c>
      <c r="B3060" s="1">
        <f>IFERROR(__xludf.DUMMYFUNCTION("""COMPUTED_VALUE"""),18632.7593)</f>
        <v>18632.7593</v>
      </c>
    </row>
    <row r="3061">
      <c r="A3061" s="3">
        <f>IFERROR(__xludf.DUMMYFUNCTION("""COMPUTED_VALUE"""),43428.99861111111)</f>
        <v>43428.99861</v>
      </c>
      <c r="B3061" s="1">
        <f>IFERROR(__xludf.DUMMYFUNCTION("""COMPUTED_VALUE"""),18650.61895)</f>
        <v>18650.61895</v>
      </c>
    </row>
    <row r="3062">
      <c r="A3062" s="3">
        <f>IFERROR(__xludf.DUMMYFUNCTION("""COMPUTED_VALUE"""),43429.99861111111)</f>
        <v>43429.99861</v>
      </c>
      <c r="B3062" s="1">
        <f>IFERROR(__xludf.DUMMYFUNCTION("""COMPUTED_VALUE"""),18616.773)</f>
        <v>18616.773</v>
      </c>
    </row>
    <row r="3063">
      <c r="A3063" s="3">
        <f>IFERROR(__xludf.DUMMYFUNCTION("""COMPUTED_VALUE"""),43430.99861111111)</f>
        <v>43430.99861</v>
      </c>
      <c r="B3063" s="1">
        <f>IFERROR(__xludf.DUMMYFUNCTION("""COMPUTED_VALUE"""),18612.44535)</f>
        <v>18612.44535</v>
      </c>
    </row>
    <row r="3064">
      <c r="A3064" s="3">
        <f>IFERROR(__xludf.DUMMYFUNCTION("""COMPUTED_VALUE"""),43431.99861111111)</f>
        <v>43431.99861</v>
      </c>
      <c r="B3064" s="1">
        <f>IFERROR(__xludf.DUMMYFUNCTION("""COMPUTED_VALUE"""),18569.187)</f>
        <v>18569.187</v>
      </c>
    </row>
    <row r="3065">
      <c r="A3065" s="3">
        <f>IFERROR(__xludf.DUMMYFUNCTION("""COMPUTED_VALUE"""),43432.99861111111)</f>
        <v>43432.99861</v>
      </c>
      <c r="B3065" s="1">
        <f>IFERROR(__xludf.DUMMYFUNCTION("""COMPUTED_VALUE"""),18540.06636)</f>
        <v>18540.06636</v>
      </c>
    </row>
    <row r="3066">
      <c r="A3066" s="3">
        <f>IFERROR(__xludf.DUMMYFUNCTION("""COMPUTED_VALUE"""),43433.99861111111)</f>
        <v>43433.99861</v>
      </c>
      <c r="B3066" s="1">
        <f>IFERROR(__xludf.DUMMYFUNCTION("""COMPUTED_VALUE"""),18349.8392)</f>
        <v>18349.8392</v>
      </c>
    </row>
    <row r="3067">
      <c r="A3067" s="3">
        <f>IFERROR(__xludf.DUMMYFUNCTION("""COMPUTED_VALUE"""),43434.99861111111)</f>
        <v>43434.99861</v>
      </c>
      <c r="B3067" s="1">
        <f>IFERROR(__xludf.DUMMYFUNCTION("""COMPUTED_VALUE"""),18274.39005)</f>
        <v>18274.39005</v>
      </c>
    </row>
    <row r="3068">
      <c r="A3068" s="3">
        <f>IFERROR(__xludf.DUMMYFUNCTION("""COMPUTED_VALUE"""),43435.99861111111)</f>
        <v>43435.99861</v>
      </c>
      <c r="B3068" s="1">
        <f>IFERROR(__xludf.DUMMYFUNCTION("""COMPUTED_VALUE"""),18351.77474)</f>
        <v>18351.77474</v>
      </c>
    </row>
    <row r="3069">
      <c r="A3069" s="3">
        <f>IFERROR(__xludf.DUMMYFUNCTION("""COMPUTED_VALUE"""),43436.99861111111)</f>
        <v>43436.99861</v>
      </c>
      <c r="B3069" s="1">
        <f>IFERROR(__xludf.DUMMYFUNCTION("""COMPUTED_VALUE"""),18227.4)</f>
        <v>18227.4</v>
      </c>
    </row>
    <row r="3070">
      <c r="A3070" s="3">
        <f>IFERROR(__xludf.DUMMYFUNCTION("""COMPUTED_VALUE"""),43437.99861111111)</f>
        <v>43437.99861</v>
      </c>
      <c r="B3070" s="1">
        <f>IFERROR(__xludf.DUMMYFUNCTION("""COMPUTED_VALUE"""),18117.4)</f>
        <v>18117.4</v>
      </c>
    </row>
    <row r="3071">
      <c r="A3071" s="3">
        <f>IFERROR(__xludf.DUMMYFUNCTION("""COMPUTED_VALUE"""),43438.99861111111)</f>
        <v>43438.99861</v>
      </c>
      <c r="B3071" s="1">
        <f>IFERROR(__xludf.DUMMYFUNCTION("""COMPUTED_VALUE"""),18257.2)</f>
        <v>18257.2</v>
      </c>
    </row>
    <row r="3072">
      <c r="A3072" s="3">
        <f>IFERROR(__xludf.DUMMYFUNCTION("""COMPUTED_VALUE"""),43439.99861111111)</f>
        <v>43439.99861</v>
      </c>
      <c r="B3072" s="1">
        <f>IFERROR(__xludf.DUMMYFUNCTION("""COMPUTED_VALUE"""),18131.0)</f>
        <v>18131</v>
      </c>
    </row>
    <row r="3073">
      <c r="A3073" s="3">
        <f>IFERROR(__xludf.DUMMYFUNCTION("""COMPUTED_VALUE"""),43440.99861111111)</f>
        <v>43440.99861</v>
      </c>
      <c r="B3073" s="1">
        <f>IFERROR(__xludf.DUMMYFUNCTION("""COMPUTED_VALUE"""),18573.65)</f>
        <v>18573.65</v>
      </c>
    </row>
    <row r="3074">
      <c r="A3074" s="3">
        <f>IFERROR(__xludf.DUMMYFUNCTION("""COMPUTED_VALUE"""),43441.99861111111)</f>
        <v>43441.99861</v>
      </c>
      <c r="B3074" s="1">
        <f>IFERROR(__xludf.DUMMYFUNCTION("""COMPUTED_VALUE"""),18434.3)</f>
        <v>18434.3</v>
      </c>
    </row>
    <row r="3075">
      <c r="A3075" s="3">
        <f>IFERROR(__xludf.DUMMYFUNCTION("""COMPUTED_VALUE"""),43442.99861111111)</f>
        <v>43442.99861</v>
      </c>
      <c r="B3075" s="1">
        <f>IFERROR(__xludf.DUMMYFUNCTION("""COMPUTED_VALUE"""),18434.3)</f>
        <v>18434.3</v>
      </c>
    </row>
    <row r="3076">
      <c r="A3076" s="3">
        <f>IFERROR(__xludf.DUMMYFUNCTION("""COMPUTED_VALUE"""),43443.99861111111)</f>
        <v>43443.99861</v>
      </c>
      <c r="B3076" s="1">
        <f>IFERROR(__xludf.DUMMYFUNCTION("""COMPUTED_VALUE"""),18389.0)</f>
        <v>18389</v>
      </c>
    </row>
    <row r="3077">
      <c r="A3077" s="3">
        <f>IFERROR(__xludf.DUMMYFUNCTION("""COMPUTED_VALUE"""),43444.99861111111)</f>
        <v>43444.99861</v>
      </c>
      <c r="B3077" s="1">
        <f>IFERROR(__xludf.DUMMYFUNCTION("""COMPUTED_VALUE"""),18297.15)</f>
        <v>18297.15</v>
      </c>
    </row>
    <row r="3078">
      <c r="A3078" s="3">
        <f>IFERROR(__xludf.DUMMYFUNCTION("""COMPUTED_VALUE"""),43445.99861111111)</f>
        <v>43445.99861</v>
      </c>
      <c r="B3078" s="1">
        <f>IFERROR(__xludf.DUMMYFUNCTION("""COMPUTED_VALUE"""),18230.5)</f>
        <v>18230.5</v>
      </c>
    </row>
    <row r="3079">
      <c r="A3079" s="3">
        <f>IFERROR(__xludf.DUMMYFUNCTION("""COMPUTED_VALUE"""),43446.99861111111)</f>
        <v>43446.99861</v>
      </c>
      <c r="B3079" s="1">
        <f>IFERROR(__xludf.DUMMYFUNCTION("""COMPUTED_VALUE"""),18416.55)</f>
        <v>18416.55</v>
      </c>
    </row>
    <row r="3080">
      <c r="A3080" s="3">
        <f>IFERROR(__xludf.DUMMYFUNCTION("""COMPUTED_VALUE"""),43447.99861111111)</f>
        <v>43447.99861</v>
      </c>
      <c r="B3080" s="1">
        <f>IFERROR(__xludf.DUMMYFUNCTION("""COMPUTED_VALUE"""),18465.75)</f>
        <v>18465.75</v>
      </c>
    </row>
    <row r="3081">
      <c r="A3081" s="3">
        <f>IFERROR(__xludf.DUMMYFUNCTION("""COMPUTED_VALUE"""),43448.99861111111)</f>
        <v>43448.99861</v>
      </c>
      <c r="B3081" s="1">
        <f>IFERROR(__xludf.DUMMYFUNCTION("""COMPUTED_VALUE"""),18346.05)</f>
        <v>18346.05</v>
      </c>
    </row>
    <row r="3082">
      <c r="A3082" s="3">
        <f>IFERROR(__xludf.DUMMYFUNCTION("""COMPUTED_VALUE"""),43449.99861111111)</f>
        <v>43449.99861</v>
      </c>
      <c r="B3082" s="1">
        <f>IFERROR(__xludf.DUMMYFUNCTION("""COMPUTED_VALUE"""),18346.05)</f>
        <v>18346.05</v>
      </c>
    </row>
    <row r="3083">
      <c r="A3083" s="3">
        <f>IFERROR(__xludf.DUMMYFUNCTION("""COMPUTED_VALUE"""),43450.99861111111)</f>
        <v>43450.99861</v>
      </c>
      <c r="B3083" s="1">
        <f>IFERROR(__xludf.DUMMYFUNCTION("""COMPUTED_VALUE"""),18346.05)</f>
        <v>18346.05</v>
      </c>
    </row>
    <row r="3084">
      <c r="A3084" s="3">
        <f>IFERROR(__xludf.DUMMYFUNCTION("""COMPUTED_VALUE"""),43451.99861111111)</f>
        <v>43451.99861</v>
      </c>
      <c r="B3084" s="1">
        <f>IFERROR(__xludf.DUMMYFUNCTION("""COMPUTED_VALUE"""),18390.05)</f>
        <v>18390.05</v>
      </c>
    </row>
    <row r="3085">
      <c r="A3085" s="3">
        <f>IFERROR(__xludf.DUMMYFUNCTION("""COMPUTED_VALUE"""),43452.99861111111)</f>
        <v>43452.99861</v>
      </c>
      <c r="B3085" s="1">
        <f>IFERROR(__xludf.DUMMYFUNCTION("""COMPUTED_VALUE"""),18332.85)</f>
        <v>18332.85</v>
      </c>
    </row>
    <row r="3086">
      <c r="A3086" s="3">
        <f>IFERROR(__xludf.DUMMYFUNCTION("""COMPUTED_VALUE"""),43453.99861111111)</f>
        <v>43453.99861</v>
      </c>
      <c r="B3086" s="1">
        <f>IFERROR(__xludf.DUMMYFUNCTION("""COMPUTED_VALUE"""),18285.15)</f>
        <v>18285.15</v>
      </c>
    </row>
    <row r="3087">
      <c r="A3087" s="3">
        <f>IFERROR(__xludf.DUMMYFUNCTION("""COMPUTED_VALUE"""),43454.99861111111)</f>
        <v>43454.99861</v>
      </c>
      <c r="B3087" s="1">
        <f>IFERROR(__xludf.DUMMYFUNCTION("""COMPUTED_VALUE"""),18273.6)</f>
        <v>18273.6</v>
      </c>
    </row>
    <row r="3088">
      <c r="A3088" s="3">
        <f>IFERROR(__xludf.DUMMYFUNCTION("""COMPUTED_VALUE"""),43455.99861111111)</f>
        <v>43455.99861</v>
      </c>
      <c r="B3088" s="1">
        <f>IFERROR(__xludf.DUMMYFUNCTION("""COMPUTED_VALUE"""),18434.45)</f>
        <v>18434.45</v>
      </c>
    </row>
    <row r="3089">
      <c r="A3089" s="3">
        <f>IFERROR(__xludf.DUMMYFUNCTION("""COMPUTED_VALUE"""),43456.99861111111)</f>
        <v>43456.99861</v>
      </c>
      <c r="B3089" s="1">
        <f>IFERROR(__xludf.DUMMYFUNCTION("""COMPUTED_VALUE"""),18434.45)</f>
        <v>18434.45</v>
      </c>
    </row>
    <row r="3090">
      <c r="A3090" s="3">
        <f>IFERROR(__xludf.DUMMYFUNCTION("""COMPUTED_VALUE"""),43457.99861111111)</f>
        <v>43457.99861</v>
      </c>
      <c r="B3090" s="1">
        <f>IFERROR(__xludf.DUMMYFUNCTION("""COMPUTED_VALUE"""),18439.25)</f>
        <v>18439.25</v>
      </c>
    </row>
    <row r="3091">
      <c r="A3091" s="3">
        <f>IFERROR(__xludf.DUMMYFUNCTION("""COMPUTED_VALUE"""),43458.99861111111)</f>
        <v>43458.99861</v>
      </c>
      <c r="B3091" s="1">
        <f>IFERROR(__xludf.DUMMYFUNCTION("""COMPUTED_VALUE"""),18455.6)</f>
        <v>18455.6</v>
      </c>
    </row>
    <row r="3092">
      <c r="A3092" s="3">
        <f>IFERROR(__xludf.DUMMYFUNCTION("""COMPUTED_VALUE"""),43459.99861111111)</f>
        <v>43459.99861</v>
      </c>
      <c r="B3092" s="1">
        <f>IFERROR(__xludf.DUMMYFUNCTION("""COMPUTED_VALUE"""),18442.6)</f>
        <v>18442.6</v>
      </c>
    </row>
    <row r="3093">
      <c r="A3093" s="3">
        <f>IFERROR(__xludf.DUMMYFUNCTION("""COMPUTED_VALUE"""),43460.99861111111)</f>
        <v>43460.99861</v>
      </c>
      <c r="B3093" s="1">
        <f>IFERROR(__xludf.DUMMYFUNCTION("""COMPUTED_VALUE"""),18421.35)</f>
        <v>18421.35</v>
      </c>
    </row>
    <row r="3094">
      <c r="A3094" s="3">
        <f>IFERROR(__xludf.DUMMYFUNCTION("""COMPUTED_VALUE"""),43461.99861111111)</f>
        <v>43461.99861</v>
      </c>
      <c r="B3094" s="1">
        <f>IFERROR(__xludf.DUMMYFUNCTION("""COMPUTED_VALUE"""),18445.35)</f>
        <v>18445.35</v>
      </c>
    </row>
    <row r="3095">
      <c r="A3095" s="3">
        <f>IFERROR(__xludf.DUMMYFUNCTION("""COMPUTED_VALUE"""),43462.99861111111)</f>
        <v>43462.99861</v>
      </c>
      <c r="B3095" s="1">
        <f>IFERROR(__xludf.DUMMYFUNCTION("""COMPUTED_VALUE"""),18482.15)</f>
        <v>18482.15</v>
      </c>
    </row>
    <row r="3096">
      <c r="A3096" s="3">
        <f>IFERROR(__xludf.DUMMYFUNCTION("""COMPUTED_VALUE"""),43463.99861111111)</f>
        <v>43463.99861</v>
      </c>
      <c r="B3096" s="1">
        <f>IFERROR(__xludf.DUMMYFUNCTION("""COMPUTED_VALUE"""),18482.15)</f>
        <v>18482.15</v>
      </c>
    </row>
    <row r="3097">
      <c r="A3097" s="3">
        <f>IFERROR(__xludf.DUMMYFUNCTION("""COMPUTED_VALUE"""),43464.99861111111)</f>
        <v>43464.99861</v>
      </c>
      <c r="B3097" s="1">
        <f>IFERROR(__xludf.DUMMYFUNCTION("""COMPUTED_VALUE"""),18479.85)</f>
        <v>18479.85</v>
      </c>
    </row>
    <row r="3098">
      <c r="A3098" s="3">
        <f>IFERROR(__xludf.DUMMYFUNCTION("""COMPUTED_VALUE"""),43465.99861111111)</f>
        <v>43465.99861</v>
      </c>
      <c r="B3098" s="1">
        <f>IFERROR(__xludf.DUMMYFUNCTION("""COMPUTED_VALUE"""),18351.15)</f>
        <v>18351.15</v>
      </c>
    </row>
    <row r="3099">
      <c r="A3099" s="3">
        <f>IFERROR(__xludf.DUMMYFUNCTION("""COMPUTED_VALUE"""),43466.99861111111)</f>
        <v>43466.99861</v>
      </c>
      <c r="B3099" s="1">
        <f>IFERROR(__xludf.DUMMYFUNCTION("""COMPUTED_VALUE"""),18325.55)</f>
        <v>18325.55</v>
      </c>
    </row>
    <row r="3100">
      <c r="A3100" s="3">
        <f>IFERROR(__xludf.DUMMYFUNCTION("""COMPUTED_VALUE"""),43467.99861111111)</f>
        <v>43467.99861</v>
      </c>
      <c r="B3100" s="1">
        <f>IFERROR(__xludf.DUMMYFUNCTION("""COMPUTED_VALUE"""),18125.1)</f>
        <v>18125.1</v>
      </c>
    </row>
    <row r="3101">
      <c r="A3101" s="3">
        <f>IFERROR(__xludf.DUMMYFUNCTION("""COMPUTED_VALUE"""),43468.99861111111)</f>
        <v>43468.99861</v>
      </c>
      <c r="B3101" s="1">
        <f>IFERROR(__xludf.DUMMYFUNCTION("""COMPUTED_VALUE"""),18197.45)</f>
        <v>18197.45</v>
      </c>
    </row>
    <row r="3102">
      <c r="A3102" s="3">
        <f>IFERROR(__xludf.DUMMYFUNCTION("""COMPUTED_VALUE"""),43469.99861111111)</f>
        <v>43469.99861</v>
      </c>
      <c r="B3102" s="1">
        <f>IFERROR(__xludf.DUMMYFUNCTION("""COMPUTED_VALUE"""),18247.85)</f>
        <v>18247.85</v>
      </c>
    </row>
    <row r="3103">
      <c r="A3103" s="3">
        <f>IFERROR(__xludf.DUMMYFUNCTION("""COMPUTED_VALUE"""),43470.99861111111)</f>
        <v>43470.99861</v>
      </c>
      <c r="B3103" s="1">
        <f>IFERROR(__xludf.DUMMYFUNCTION("""COMPUTED_VALUE"""),18247.85)</f>
        <v>18247.85</v>
      </c>
    </row>
    <row r="3104">
      <c r="A3104" s="3">
        <f>IFERROR(__xludf.DUMMYFUNCTION("""COMPUTED_VALUE"""),43471.99861111111)</f>
        <v>43471.99861</v>
      </c>
      <c r="B3104" s="1">
        <f>IFERROR(__xludf.DUMMYFUNCTION("""COMPUTED_VALUE"""),18249.8)</f>
        <v>18249.8</v>
      </c>
    </row>
    <row r="3105">
      <c r="A3105" s="3">
        <f>IFERROR(__xludf.DUMMYFUNCTION("""COMPUTED_VALUE"""),43472.99861111111)</f>
        <v>43472.99861</v>
      </c>
      <c r="B3105" s="1">
        <f>IFERROR(__xludf.DUMMYFUNCTION("""COMPUTED_VALUE"""),18002.9)</f>
        <v>18002.9</v>
      </c>
    </row>
    <row r="3106">
      <c r="A3106" s="3">
        <f>IFERROR(__xludf.DUMMYFUNCTION("""COMPUTED_VALUE"""),43473.99861111111)</f>
        <v>43473.99861</v>
      </c>
      <c r="B3106" s="1">
        <f>IFERROR(__xludf.DUMMYFUNCTION("""COMPUTED_VALUE"""),18002.35)</f>
        <v>18002.35</v>
      </c>
    </row>
    <row r="3107">
      <c r="A3107" s="3">
        <f>IFERROR(__xludf.DUMMYFUNCTION("""COMPUTED_VALUE"""),43474.99861111111)</f>
        <v>43474.99861</v>
      </c>
      <c r="B3107" s="1">
        <f>IFERROR(__xludf.DUMMYFUNCTION("""COMPUTED_VALUE"""),17926.6)</f>
        <v>17926.6</v>
      </c>
    </row>
    <row r="3108">
      <c r="A3108" s="3">
        <f>IFERROR(__xludf.DUMMYFUNCTION("""COMPUTED_VALUE"""),43475.99861111111)</f>
        <v>43475.99861</v>
      </c>
      <c r="B3108" s="1">
        <f>IFERROR(__xludf.DUMMYFUNCTION("""COMPUTED_VALUE"""),17941.9)</f>
        <v>17941.9</v>
      </c>
    </row>
    <row r="3109">
      <c r="A3109" s="3">
        <f>IFERROR(__xludf.DUMMYFUNCTION("""COMPUTED_VALUE"""),43476.99861111111)</f>
        <v>43476.99861</v>
      </c>
      <c r="B3109" s="1">
        <f>IFERROR(__xludf.DUMMYFUNCTION("""COMPUTED_VALUE"""),18133.6)</f>
        <v>18133.6</v>
      </c>
    </row>
    <row r="3110">
      <c r="A3110" s="3">
        <f>IFERROR(__xludf.DUMMYFUNCTION("""COMPUTED_VALUE"""),43477.99861111111)</f>
        <v>43477.99861</v>
      </c>
      <c r="B3110" s="1">
        <f>IFERROR(__xludf.DUMMYFUNCTION("""COMPUTED_VALUE"""),18133.6)</f>
        <v>18133.6</v>
      </c>
    </row>
    <row r="3111">
      <c r="A3111" s="3">
        <f>IFERROR(__xludf.DUMMYFUNCTION("""COMPUTED_VALUE"""),43478.99861111111)</f>
        <v>43478.99861</v>
      </c>
      <c r="B3111" s="1">
        <f>IFERROR(__xludf.DUMMYFUNCTION("""COMPUTED_VALUE"""),18160.3)</f>
        <v>18160.3</v>
      </c>
    </row>
    <row r="3112">
      <c r="A3112" s="3">
        <f>IFERROR(__xludf.DUMMYFUNCTION("""COMPUTED_VALUE"""),43479.99861111111)</f>
        <v>43479.99861</v>
      </c>
      <c r="B3112" s="1">
        <f>IFERROR(__xludf.DUMMYFUNCTION("""COMPUTED_VALUE"""),18188.85)</f>
        <v>18188.85</v>
      </c>
    </row>
    <row r="3113">
      <c r="A3113" s="3">
        <f>IFERROR(__xludf.DUMMYFUNCTION("""COMPUTED_VALUE"""),43480.99861111111)</f>
        <v>43480.99861</v>
      </c>
      <c r="B3113" s="1">
        <f>IFERROR(__xludf.DUMMYFUNCTION("""COMPUTED_VALUE"""),18137.85)</f>
        <v>18137.85</v>
      </c>
    </row>
    <row r="3114">
      <c r="A3114" s="3">
        <f>IFERROR(__xludf.DUMMYFUNCTION("""COMPUTED_VALUE"""),43481.99861111111)</f>
        <v>43481.99861</v>
      </c>
      <c r="B3114" s="1">
        <f>IFERROR(__xludf.DUMMYFUNCTION("""COMPUTED_VALUE"""),18203.85)</f>
        <v>18203.85</v>
      </c>
    </row>
    <row r="3115">
      <c r="A3115" s="3">
        <f>IFERROR(__xludf.DUMMYFUNCTION("""COMPUTED_VALUE"""),43482.99861111111)</f>
        <v>43482.99861</v>
      </c>
      <c r="B3115" s="1">
        <f>IFERROR(__xludf.DUMMYFUNCTION("""COMPUTED_VALUE"""),18404.1)</f>
        <v>18404.1</v>
      </c>
    </row>
    <row r="3116">
      <c r="A3116" s="3">
        <f>IFERROR(__xludf.DUMMYFUNCTION("""COMPUTED_VALUE"""),43483.99861111111)</f>
        <v>43483.99861</v>
      </c>
      <c r="B3116" s="1">
        <f>IFERROR(__xludf.DUMMYFUNCTION("""COMPUTED_VALUE"""),18236.4)</f>
        <v>18236.4</v>
      </c>
    </row>
    <row r="3117">
      <c r="A3117" s="3">
        <f>IFERROR(__xludf.DUMMYFUNCTION("""COMPUTED_VALUE"""),43484.99861111111)</f>
        <v>43484.99861</v>
      </c>
      <c r="B3117" s="1">
        <f>IFERROR(__xludf.DUMMYFUNCTION("""COMPUTED_VALUE"""),18236.4)</f>
        <v>18236.4</v>
      </c>
    </row>
    <row r="3118">
      <c r="A3118" s="3">
        <f>IFERROR(__xludf.DUMMYFUNCTION("""COMPUTED_VALUE"""),43485.99861111111)</f>
        <v>43485.99861</v>
      </c>
      <c r="B3118" s="1">
        <f>IFERROR(__xludf.DUMMYFUNCTION("""COMPUTED_VALUE"""),18211.65)</f>
        <v>18211.65</v>
      </c>
    </row>
    <row r="3119">
      <c r="A3119" s="3">
        <f>IFERROR(__xludf.DUMMYFUNCTION("""COMPUTED_VALUE"""),43486.99861111111)</f>
        <v>43486.99861</v>
      </c>
      <c r="B3119" s="1">
        <f>IFERROR(__xludf.DUMMYFUNCTION("""COMPUTED_VALUE"""),18333.05)</f>
        <v>18333.05</v>
      </c>
    </row>
    <row r="3120">
      <c r="A3120" s="3">
        <f>IFERROR(__xludf.DUMMYFUNCTION("""COMPUTED_VALUE"""),43487.99861111111)</f>
        <v>43487.99861</v>
      </c>
      <c r="B3120" s="1">
        <f>IFERROR(__xludf.DUMMYFUNCTION("""COMPUTED_VALUE"""),18426.6)</f>
        <v>18426.6</v>
      </c>
    </row>
    <row r="3121">
      <c r="A3121" s="3">
        <f>IFERROR(__xludf.DUMMYFUNCTION("""COMPUTED_VALUE"""),43488.99861111111)</f>
        <v>43488.99861</v>
      </c>
      <c r="B3121" s="1">
        <f>IFERROR(__xludf.DUMMYFUNCTION("""COMPUTED_VALUE"""),18559.05)</f>
        <v>18559.05</v>
      </c>
    </row>
    <row r="3122">
      <c r="A3122" s="3">
        <f>IFERROR(__xludf.DUMMYFUNCTION("""COMPUTED_VALUE"""),43489.99861111111)</f>
        <v>43489.99861</v>
      </c>
      <c r="B3122" s="1">
        <f>IFERROR(__xludf.DUMMYFUNCTION("""COMPUTED_VALUE"""),18566.5)</f>
        <v>18566.5</v>
      </c>
    </row>
    <row r="3123">
      <c r="A3123" s="3">
        <f>IFERROR(__xludf.DUMMYFUNCTION("""COMPUTED_VALUE"""),43490.99861111111)</f>
        <v>43490.99861</v>
      </c>
      <c r="B3123" s="1">
        <f>IFERROR(__xludf.DUMMYFUNCTION("""COMPUTED_VALUE"""),18531.65)</f>
        <v>18531.65</v>
      </c>
    </row>
    <row r="3124">
      <c r="A3124" s="3">
        <f>IFERROR(__xludf.DUMMYFUNCTION("""COMPUTED_VALUE"""),43491.99861111111)</f>
        <v>43491.99861</v>
      </c>
      <c r="B3124" s="1">
        <f>IFERROR(__xludf.DUMMYFUNCTION("""COMPUTED_VALUE"""),18494.75)</f>
        <v>18494.75</v>
      </c>
    </row>
    <row r="3125">
      <c r="A3125" s="3">
        <f>IFERROR(__xludf.DUMMYFUNCTION("""COMPUTED_VALUE"""),43492.99861111111)</f>
        <v>43492.99861</v>
      </c>
      <c r="B3125" s="1">
        <f>IFERROR(__xludf.DUMMYFUNCTION("""COMPUTED_VALUE"""),18495.3)</f>
        <v>18495.3</v>
      </c>
    </row>
    <row r="3126">
      <c r="A3126" s="3">
        <f>IFERROR(__xludf.DUMMYFUNCTION("""COMPUTED_VALUE"""),43493.99861111111)</f>
        <v>43493.99861</v>
      </c>
      <c r="B3126" s="1">
        <f>IFERROR(__xludf.DUMMYFUNCTION("""COMPUTED_VALUE"""),18508.15)</f>
        <v>18508.15</v>
      </c>
    </row>
    <row r="3127">
      <c r="A3127" s="3">
        <f>IFERROR(__xludf.DUMMYFUNCTION("""COMPUTED_VALUE"""),43494.99861111111)</f>
        <v>43494.99861</v>
      </c>
      <c r="B3127" s="1">
        <f>IFERROR(__xludf.DUMMYFUNCTION("""COMPUTED_VALUE"""),18417.1)</f>
        <v>18417.1</v>
      </c>
    </row>
    <row r="3128">
      <c r="A3128" s="3">
        <f>IFERROR(__xludf.DUMMYFUNCTION("""COMPUTED_VALUE"""),43495.99861111111)</f>
        <v>43495.99861</v>
      </c>
      <c r="B3128" s="1">
        <f>IFERROR(__xludf.DUMMYFUNCTION("""COMPUTED_VALUE"""),18523.8)</f>
        <v>18523.8</v>
      </c>
    </row>
    <row r="3129">
      <c r="A3129" s="3">
        <f>IFERROR(__xludf.DUMMYFUNCTION("""COMPUTED_VALUE"""),43496.99861111111)</f>
        <v>43496.99861</v>
      </c>
      <c r="B3129" s="1">
        <f>IFERROR(__xludf.DUMMYFUNCTION("""COMPUTED_VALUE"""),18378.2)</f>
        <v>18378.2</v>
      </c>
    </row>
    <row r="3130">
      <c r="A3130" s="3">
        <f>IFERROR(__xludf.DUMMYFUNCTION("""COMPUTED_VALUE"""),43497.99861111111)</f>
        <v>43497.99861</v>
      </c>
      <c r="B3130" s="1">
        <f>IFERROR(__xludf.DUMMYFUNCTION("""COMPUTED_VALUE"""),18262.2)</f>
        <v>18262.2</v>
      </c>
    </row>
    <row r="3131">
      <c r="A3131" s="3">
        <f>IFERROR(__xludf.DUMMYFUNCTION("""COMPUTED_VALUE"""),43498.99861111111)</f>
        <v>43498.99861</v>
      </c>
      <c r="B3131" s="1">
        <f>IFERROR(__xludf.DUMMYFUNCTION("""COMPUTED_VALUE"""),18262.2)</f>
        <v>18262.2</v>
      </c>
    </row>
    <row r="3132">
      <c r="A3132" s="3">
        <f>IFERROR(__xludf.DUMMYFUNCTION("""COMPUTED_VALUE"""),43499.99861111111)</f>
        <v>43499.99861</v>
      </c>
      <c r="B3132" s="1">
        <f>IFERROR(__xludf.DUMMYFUNCTION("""COMPUTED_VALUE"""),18246.9)</f>
        <v>18246.9</v>
      </c>
    </row>
    <row r="3133">
      <c r="A3133" s="3">
        <f>IFERROR(__xludf.DUMMYFUNCTION("""COMPUTED_VALUE"""),43500.99861111111)</f>
        <v>43500.99861</v>
      </c>
      <c r="B3133" s="1">
        <f>IFERROR(__xludf.DUMMYFUNCTION("""COMPUTED_VALUE"""),18181.2)</f>
        <v>18181.2</v>
      </c>
    </row>
    <row r="3134">
      <c r="A3134" s="3">
        <f>IFERROR(__xludf.DUMMYFUNCTION("""COMPUTED_VALUE"""),43501.99861111111)</f>
        <v>43501.99861</v>
      </c>
      <c r="B3134" s="1">
        <f>IFERROR(__xludf.DUMMYFUNCTION("""COMPUTED_VALUE"""),18100.1)</f>
        <v>18100.1</v>
      </c>
    </row>
    <row r="3135">
      <c r="A3135" s="3">
        <f>IFERROR(__xludf.DUMMYFUNCTION("""COMPUTED_VALUE"""),43502.99861111111)</f>
        <v>43502.99861</v>
      </c>
      <c r="B3135" s="1">
        <f>IFERROR(__xludf.DUMMYFUNCTION("""COMPUTED_VALUE"""),18001.8)</f>
        <v>18001.8</v>
      </c>
    </row>
    <row r="3136">
      <c r="A3136" s="3">
        <f>IFERROR(__xludf.DUMMYFUNCTION("""COMPUTED_VALUE"""),43503.99861111111)</f>
        <v>43503.99861</v>
      </c>
      <c r="B3136" s="1">
        <f>IFERROR(__xludf.DUMMYFUNCTION("""COMPUTED_VALUE"""),18112.6)</f>
        <v>18112.6</v>
      </c>
    </row>
    <row r="3137">
      <c r="A3137" s="3">
        <f>IFERROR(__xludf.DUMMYFUNCTION("""COMPUTED_VALUE"""),43504.99861111111)</f>
        <v>43504.99861</v>
      </c>
      <c r="B3137" s="1">
        <f>IFERROR(__xludf.DUMMYFUNCTION("""COMPUTED_VALUE"""),18056.5)</f>
        <v>18056.5</v>
      </c>
    </row>
    <row r="3138">
      <c r="A3138" s="3">
        <f>IFERROR(__xludf.DUMMYFUNCTION("""COMPUTED_VALUE"""),43505.99861111111)</f>
        <v>43505.99861</v>
      </c>
      <c r="B3138" s="1">
        <f>IFERROR(__xludf.DUMMYFUNCTION("""COMPUTED_VALUE"""),18097.6)</f>
        <v>18097.6</v>
      </c>
    </row>
    <row r="3139">
      <c r="A3139" s="3">
        <f>IFERROR(__xludf.DUMMYFUNCTION("""COMPUTED_VALUE"""),43506.99861111111)</f>
        <v>43506.99861</v>
      </c>
      <c r="B3139" s="1">
        <f>IFERROR(__xludf.DUMMYFUNCTION("""COMPUTED_VALUE"""),18090.05)</f>
        <v>18090.05</v>
      </c>
    </row>
    <row r="3140">
      <c r="A3140" s="3">
        <f>IFERROR(__xludf.DUMMYFUNCTION("""COMPUTED_VALUE"""),43507.99861111111)</f>
        <v>43507.99861</v>
      </c>
      <c r="B3140" s="1">
        <f>IFERROR(__xludf.DUMMYFUNCTION("""COMPUTED_VALUE"""),18049.9)</f>
        <v>18049.9</v>
      </c>
    </row>
    <row r="3141">
      <c r="A3141" s="3">
        <f>IFERROR(__xludf.DUMMYFUNCTION("""COMPUTED_VALUE"""),43508.99861111111)</f>
        <v>43508.99861</v>
      </c>
      <c r="B3141" s="1">
        <f>IFERROR(__xludf.DUMMYFUNCTION("""COMPUTED_VALUE"""),18135.7)</f>
        <v>18135.7</v>
      </c>
    </row>
    <row r="3142">
      <c r="A3142" s="3">
        <f>IFERROR(__xludf.DUMMYFUNCTION("""COMPUTED_VALUE"""),43509.99861111111)</f>
        <v>43509.99861</v>
      </c>
      <c r="B3142" s="1">
        <f>IFERROR(__xludf.DUMMYFUNCTION("""COMPUTED_VALUE"""),18090.8)</f>
        <v>18090.8</v>
      </c>
    </row>
    <row r="3143">
      <c r="A3143" s="3">
        <f>IFERROR(__xludf.DUMMYFUNCTION("""COMPUTED_VALUE"""),43510.99861111111)</f>
        <v>43510.99861</v>
      </c>
      <c r="B3143" s="1">
        <f>IFERROR(__xludf.DUMMYFUNCTION("""COMPUTED_VALUE"""),18027.85)</f>
        <v>18027.85</v>
      </c>
    </row>
    <row r="3144">
      <c r="A3144" s="3">
        <f>IFERROR(__xludf.DUMMYFUNCTION("""COMPUTED_VALUE"""),43511.99861111111)</f>
        <v>43511.99861</v>
      </c>
      <c r="B3144" s="1">
        <f>IFERROR(__xludf.DUMMYFUNCTION("""COMPUTED_VALUE"""),18203.1)</f>
        <v>18203.1</v>
      </c>
    </row>
    <row r="3145">
      <c r="A3145" s="3">
        <f>IFERROR(__xludf.DUMMYFUNCTION("""COMPUTED_VALUE"""),43512.99861111111)</f>
        <v>43512.99861</v>
      </c>
      <c r="B3145" s="1">
        <f>IFERROR(__xludf.DUMMYFUNCTION("""COMPUTED_VALUE"""),18203.1)</f>
        <v>18203.1</v>
      </c>
    </row>
    <row r="3146">
      <c r="A3146" s="3">
        <f>IFERROR(__xludf.DUMMYFUNCTION("""COMPUTED_VALUE"""),43513.99861111111)</f>
        <v>43513.99861</v>
      </c>
      <c r="B3146" s="1">
        <f>IFERROR(__xludf.DUMMYFUNCTION("""COMPUTED_VALUE"""),18215.6)</f>
        <v>18215.6</v>
      </c>
    </row>
    <row r="3147">
      <c r="A3147" s="3">
        <f>IFERROR(__xludf.DUMMYFUNCTION("""COMPUTED_VALUE"""),43514.99861111111)</f>
        <v>43514.99861</v>
      </c>
      <c r="B3147" s="1">
        <f>IFERROR(__xludf.DUMMYFUNCTION("""COMPUTED_VALUE"""),18261.2)</f>
        <v>18261.2</v>
      </c>
    </row>
    <row r="3148">
      <c r="A3148" s="3">
        <f>IFERROR(__xludf.DUMMYFUNCTION("""COMPUTED_VALUE"""),43515.99861111111)</f>
        <v>43515.99861</v>
      </c>
      <c r="B3148" s="1">
        <f>IFERROR(__xludf.DUMMYFUNCTION("""COMPUTED_VALUE"""),18438.05)</f>
        <v>18438.05</v>
      </c>
    </row>
    <row r="3149">
      <c r="A3149" s="3">
        <f>IFERROR(__xludf.DUMMYFUNCTION("""COMPUTED_VALUE"""),43516.99861111111)</f>
        <v>43516.99861</v>
      </c>
      <c r="B3149" s="1">
        <f>IFERROR(__xludf.DUMMYFUNCTION("""COMPUTED_VALUE"""),18347.95)</f>
        <v>18347.95</v>
      </c>
    </row>
    <row r="3150">
      <c r="A3150" s="3">
        <f>IFERROR(__xludf.DUMMYFUNCTION("""COMPUTED_VALUE"""),43517.99861111111)</f>
        <v>43517.99861</v>
      </c>
      <c r="B3150" s="1">
        <f>IFERROR(__xludf.DUMMYFUNCTION("""COMPUTED_VALUE"""),18329.95)</f>
        <v>18329.95</v>
      </c>
    </row>
    <row r="3151">
      <c r="A3151" s="3">
        <f>IFERROR(__xludf.DUMMYFUNCTION("""COMPUTED_VALUE"""),43518.99861111111)</f>
        <v>43518.99861</v>
      </c>
      <c r="B3151" s="1">
        <f>IFERROR(__xludf.DUMMYFUNCTION("""COMPUTED_VALUE"""),18334.75)</f>
        <v>18334.75</v>
      </c>
    </row>
    <row r="3152">
      <c r="A3152" s="3">
        <f>IFERROR(__xludf.DUMMYFUNCTION("""COMPUTED_VALUE"""),43519.99861111111)</f>
        <v>43519.99861</v>
      </c>
      <c r="B3152" s="1">
        <f>IFERROR(__xludf.DUMMYFUNCTION("""COMPUTED_VALUE"""),18290.3)</f>
        <v>18290.3</v>
      </c>
    </row>
    <row r="3153">
      <c r="A3153" s="3">
        <f>IFERROR(__xludf.DUMMYFUNCTION("""COMPUTED_VALUE"""),43520.99861111111)</f>
        <v>43520.99861</v>
      </c>
      <c r="B3153" s="1">
        <f>IFERROR(__xludf.DUMMYFUNCTION("""COMPUTED_VALUE"""),18371.1)</f>
        <v>18371.1</v>
      </c>
    </row>
    <row r="3154">
      <c r="A3154" s="3">
        <f>IFERROR(__xludf.DUMMYFUNCTION("""COMPUTED_VALUE"""),43521.99861111111)</f>
        <v>43521.99861</v>
      </c>
      <c r="B3154" s="1">
        <f>IFERROR(__xludf.DUMMYFUNCTION("""COMPUTED_VALUE"""),18408.9)</f>
        <v>18408.9</v>
      </c>
    </row>
    <row r="3155">
      <c r="A3155" s="3">
        <f>IFERROR(__xludf.DUMMYFUNCTION("""COMPUTED_VALUE"""),43522.99861111111)</f>
        <v>43522.99861</v>
      </c>
      <c r="B3155" s="1">
        <f>IFERROR(__xludf.DUMMYFUNCTION("""COMPUTED_VALUE"""),18517.95)</f>
        <v>18517.95</v>
      </c>
    </row>
    <row r="3156">
      <c r="A3156" s="3">
        <f>IFERROR(__xludf.DUMMYFUNCTION("""COMPUTED_VALUE"""),43523.99861111111)</f>
        <v>43523.99861</v>
      </c>
      <c r="B3156" s="1">
        <f>IFERROR(__xludf.DUMMYFUNCTION("""COMPUTED_VALUE"""),18676.65)</f>
        <v>18676.65</v>
      </c>
    </row>
    <row r="3157">
      <c r="A3157" s="3">
        <f>IFERROR(__xludf.DUMMYFUNCTION("""COMPUTED_VALUE"""),43524.99861111111)</f>
        <v>43524.99861</v>
      </c>
      <c r="B3157" s="1">
        <f>IFERROR(__xludf.DUMMYFUNCTION("""COMPUTED_VALUE"""),18670.5)</f>
        <v>18670.5</v>
      </c>
    </row>
    <row r="3158">
      <c r="A3158" s="3">
        <f>IFERROR(__xludf.DUMMYFUNCTION("""COMPUTED_VALUE"""),43525.99861111111)</f>
        <v>43525.99861</v>
      </c>
      <c r="B3158" s="1">
        <f>IFERROR(__xludf.DUMMYFUNCTION("""COMPUTED_VALUE"""),18627.7)</f>
        <v>18627.7</v>
      </c>
    </row>
    <row r="3159">
      <c r="A3159" s="3">
        <f>IFERROR(__xludf.DUMMYFUNCTION("""COMPUTED_VALUE"""),43526.99861111111)</f>
        <v>43526.99861</v>
      </c>
      <c r="B3159" s="1">
        <f>IFERROR(__xludf.DUMMYFUNCTION("""COMPUTED_VALUE"""),18627.7)</f>
        <v>18627.7</v>
      </c>
    </row>
    <row r="3160">
      <c r="A3160" s="3">
        <f>IFERROR(__xludf.DUMMYFUNCTION("""COMPUTED_VALUE"""),43527.99861111111)</f>
        <v>43527.99861</v>
      </c>
      <c r="B3160" s="1">
        <f>IFERROR(__xludf.DUMMYFUNCTION("""COMPUTED_VALUE"""),18673.25)</f>
        <v>18673.25</v>
      </c>
    </row>
    <row r="3161">
      <c r="A3161" s="3">
        <f>IFERROR(__xludf.DUMMYFUNCTION("""COMPUTED_VALUE"""),43528.99861111111)</f>
        <v>43528.99861</v>
      </c>
      <c r="B3161" s="1">
        <f>IFERROR(__xludf.DUMMYFUNCTION("""COMPUTED_VALUE"""),18616.95)</f>
        <v>18616.95</v>
      </c>
    </row>
    <row r="3162">
      <c r="A3162" s="3">
        <f>IFERROR(__xludf.DUMMYFUNCTION("""COMPUTED_VALUE"""),43529.99861111111)</f>
        <v>43529.99861</v>
      </c>
      <c r="B3162" s="1">
        <f>IFERROR(__xludf.DUMMYFUNCTION("""COMPUTED_VALUE"""),18644.35)</f>
        <v>18644.35</v>
      </c>
    </row>
    <row r="3163">
      <c r="A3163" s="3">
        <f>IFERROR(__xludf.DUMMYFUNCTION("""COMPUTED_VALUE"""),43530.99861111111)</f>
        <v>43530.99861</v>
      </c>
      <c r="B3163" s="1">
        <f>IFERROR(__xludf.DUMMYFUNCTION("""COMPUTED_VALUE"""),18642.25)</f>
        <v>18642.25</v>
      </c>
    </row>
    <row r="3164">
      <c r="A3164" s="3">
        <f>IFERROR(__xludf.DUMMYFUNCTION("""COMPUTED_VALUE"""),43531.99861111111)</f>
        <v>43531.99861</v>
      </c>
      <c r="B3164" s="1">
        <f>IFERROR(__xludf.DUMMYFUNCTION("""COMPUTED_VALUE"""),18481.65)</f>
        <v>18481.65</v>
      </c>
    </row>
    <row r="3165">
      <c r="A3165" s="3">
        <f>IFERROR(__xludf.DUMMYFUNCTION("""COMPUTED_VALUE"""),43532.99861111111)</f>
        <v>43532.99861</v>
      </c>
      <c r="B3165" s="1">
        <f>IFERROR(__xludf.DUMMYFUNCTION("""COMPUTED_VALUE"""),18312.6)</f>
        <v>18312.6</v>
      </c>
    </row>
    <row r="3166">
      <c r="A3166" s="3">
        <f>IFERROR(__xludf.DUMMYFUNCTION("""COMPUTED_VALUE"""),43533.99861111111)</f>
        <v>43533.99861</v>
      </c>
      <c r="B3166" s="1">
        <f>IFERROR(__xludf.DUMMYFUNCTION("""COMPUTED_VALUE"""),18312.6)</f>
        <v>18312.6</v>
      </c>
    </row>
    <row r="3167">
      <c r="A3167" s="3">
        <f>IFERROR(__xludf.DUMMYFUNCTION("""COMPUTED_VALUE"""),43534.99861111111)</f>
        <v>43534.99861</v>
      </c>
      <c r="B3167" s="1">
        <f>IFERROR(__xludf.DUMMYFUNCTION("""COMPUTED_VALUE"""),18555.25)</f>
        <v>18555.25</v>
      </c>
    </row>
    <row r="3168">
      <c r="A3168" s="3">
        <f>IFERROR(__xludf.DUMMYFUNCTION("""COMPUTED_VALUE"""),43535.99861111111)</f>
        <v>43535.99861</v>
      </c>
      <c r="B3168" s="1">
        <f>IFERROR(__xludf.DUMMYFUNCTION("""COMPUTED_VALUE"""),18864.9)</f>
        <v>18864.9</v>
      </c>
    </row>
    <row r="3169">
      <c r="A3169" s="3">
        <f>IFERROR(__xludf.DUMMYFUNCTION("""COMPUTED_VALUE"""),43536.99861111111)</f>
        <v>43536.99861</v>
      </c>
      <c r="B3169" s="1">
        <f>IFERROR(__xludf.DUMMYFUNCTION("""COMPUTED_VALUE"""),18646.1)</f>
        <v>18646.1</v>
      </c>
    </row>
    <row r="3170">
      <c r="A3170" s="3">
        <f>IFERROR(__xludf.DUMMYFUNCTION("""COMPUTED_VALUE"""),43537.99861111111)</f>
        <v>43537.99861</v>
      </c>
      <c r="B3170" s="1">
        <f>IFERROR(__xludf.DUMMYFUNCTION("""COMPUTED_VALUE"""),18909.55)</f>
        <v>18909.55</v>
      </c>
    </row>
    <row r="3171">
      <c r="A3171" s="3">
        <f>IFERROR(__xludf.DUMMYFUNCTION("""COMPUTED_VALUE"""),43538.99861111111)</f>
        <v>43538.99861</v>
      </c>
      <c r="B3171" s="1">
        <f>IFERROR(__xludf.DUMMYFUNCTION("""COMPUTED_VALUE"""),18890.85)</f>
        <v>18890.85</v>
      </c>
    </row>
    <row r="3172">
      <c r="A3172" s="3">
        <f>IFERROR(__xludf.DUMMYFUNCTION("""COMPUTED_VALUE"""),43539.99861111111)</f>
        <v>43539.99861</v>
      </c>
      <c r="B3172" s="1">
        <f>IFERROR(__xludf.DUMMYFUNCTION("""COMPUTED_VALUE"""),18914.85)</f>
        <v>18914.85</v>
      </c>
    </row>
    <row r="3173">
      <c r="A3173" s="3">
        <f>IFERROR(__xludf.DUMMYFUNCTION("""COMPUTED_VALUE"""),43540.99861111111)</f>
        <v>43540.99861</v>
      </c>
      <c r="B3173" s="1">
        <f>IFERROR(__xludf.DUMMYFUNCTION("""COMPUTED_VALUE"""),18941.5)</f>
        <v>18941.5</v>
      </c>
    </row>
    <row r="3174">
      <c r="A3174" s="3">
        <f>IFERROR(__xludf.DUMMYFUNCTION("""COMPUTED_VALUE"""),43541.99861111111)</f>
        <v>43541.99861</v>
      </c>
      <c r="B3174" s="1">
        <f>IFERROR(__xludf.DUMMYFUNCTION("""COMPUTED_VALUE"""),18957.05)</f>
        <v>18957.05</v>
      </c>
    </row>
    <row r="3175">
      <c r="A3175" s="3">
        <f>IFERROR(__xludf.DUMMYFUNCTION("""COMPUTED_VALUE"""),43542.99861111111)</f>
        <v>43542.99861</v>
      </c>
      <c r="B3175" s="1">
        <f>IFERROR(__xludf.DUMMYFUNCTION("""COMPUTED_VALUE"""),18866.85)</f>
        <v>18866.85</v>
      </c>
    </row>
    <row r="3176">
      <c r="A3176" s="3">
        <f>IFERROR(__xludf.DUMMYFUNCTION("""COMPUTED_VALUE"""),43543.99861111111)</f>
        <v>43543.99861</v>
      </c>
      <c r="B3176" s="1">
        <f>IFERROR(__xludf.DUMMYFUNCTION("""COMPUTED_VALUE"""),18880.35)</f>
        <v>18880.35</v>
      </c>
    </row>
    <row r="3177">
      <c r="A3177" s="3">
        <f>IFERROR(__xludf.DUMMYFUNCTION("""COMPUTED_VALUE"""),43544.99861111111)</f>
        <v>43544.99861</v>
      </c>
      <c r="B3177" s="1">
        <f>IFERROR(__xludf.DUMMYFUNCTION("""COMPUTED_VALUE"""),18681.4)</f>
        <v>18681.4</v>
      </c>
    </row>
    <row r="3178">
      <c r="A3178" s="3">
        <f>IFERROR(__xludf.DUMMYFUNCTION("""COMPUTED_VALUE"""),43545.99861111111)</f>
        <v>43545.99861</v>
      </c>
      <c r="B3178" s="1">
        <f>IFERROR(__xludf.DUMMYFUNCTION("""COMPUTED_VALUE"""),18528.25)</f>
        <v>18528.25</v>
      </c>
    </row>
    <row r="3179">
      <c r="A3179" s="3">
        <f>IFERROR(__xludf.DUMMYFUNCTION("""COMPUTED_VALUE"""),43546.99861111111)</f>
        <v>43546.99861</v>
      </c>
      <c r="B3179" s="1">
        <f>IFERROR(__xludf.DUMMYFUNCTION("""COMPUTED_VALUE"""),18676.5)</f>
        <v>18676.5</v>
      </c>
    </row>
    <row r="3180">
      <c r="A3180" s="3">
        <f>IFERROR(__xludf.DUMMYFUNCTION("""COMPUTED_VALUE"""),43547.99861111111)</f>
        <v>43547.99861</v>
      </c>
      <c r="B3180" s="1">
        <f>IFERROR(__xludf.DUMMYFUNCTION("""COMPUTED_VALUE"""),18695.05)</f>
        <v>18695.05</v>
      </c>
    </row>
    <row r="3181">
      <c r="A3181" s="3">
        <f>IFERROR(__xludf.DUMMYFUNCTION("""COMPUTED_VALUE"""),43548.99861111111)</f>
        <v>43548.99861</v>
      </c>
      <c r="B3181" s="1">
        <f>IFERROR(__xludf.DUMMYFUNCTION("""COMPUTED_VALUE"""),18713.6)</f>
        <v>18713.6</v>
      </c>
    </row>
    <row r="3182">
      <c r="A3182" s="3">
        <f>IFERROR(__xludf.DUMMYFUNCTION("""COMPUTED_VALUE"""),43549.99861111111)</f>
        <v>43549.99861</v>
      </c>
      <c r="B3182" s="1">
        <f>IFERROR(__xludf.DUMMYFUNCTION("""COMPUTED_VALUE"""),18713.4)</f>
        <v>18713.4</v>
      </c>
    </row>
    <row r="3183">
      <c r="A3183" s="3">
        <f>IFERROR(__xludf.DUMMYFUNCTION("""COMPUTED_VALUE"""),43550.99861111111)</f>
        <v>43550.99861</v>
      </c>
      <c r="B3183" s="1">
        <f>IFERROR(__xludf.DUMMYFUNCTION("""COMPUTED_VALUE"""),18730.05)</f>
        <v>18730.05</v>
      </c>
    </row>
    <row r="3184">
      <c r="A3184" s="3">
        <f>IFERROR(__xludf.DUMMYFUNCTION("""COMPUTED_VALUE"""),43551.99861111111)</f>
        <v>43551.99861</v>
      </c>
      <c r="B3184" s="1">
        <f>IFERROR(__xludf.DUMMYFUNCTION("""COMPUTED_VALUE"""),18674.35)</f>
        <v>18674.35</v>
      </c>
    </row>
    <row r="3185">
      <c r="A3185" s="3">
        <f>IFERROR(__xludf.DUMMYFUNCTION("""COMPUTED_VALUE"""),43552.99861111111)</f>
        <v>43552.99861</v>
      </c>
      <c r="B3185" s="1">
        <f>IFERROR(__xludf.DUMMYFUNCTION("""COMPUTED_VALUE"""),18573.75)</f>
        <v>18573.75</v>
      </c>
    </row>
    <row r="3186">
      <c r="A3186" s="3">
        <f>IFERROR(__xludf.DUMMYFUNCTION("""COMPUTED_VALUE"""),43553.99861111111)</f>
        <v>43553.99861</v>
      </c>
      <c r="B3186" s="1">
        <f>IFERROR(__xludf.DUMMYFUNCTION("""COMPUTED_VALUE"""),18540.7)</f>
        <v>18540.7</v>
      </c>
    </row>
    <row r="3187">
      <c r="A3187" s="3">
        <f>IFERROR(__xludf.DUMMYFUNCTION("""COMPUTED_VALUE"""),43554.99861111111)</f>
        <v>43554.99861</v>
      </c>
      <c r="B3187" s="1">
        <f>IFERROR(__xludf.DUMMYFUNCTION("""COMPUTED_VALUE"""),18540.7)</f>
        <v>18540.7</v>
      </c>
    </row>
    <row r="3188">
      <c r="A3188" s="3">
        <f>IFERROR(__xludf.DUMMYFUNCTION("""COMPUTED_VALUE"""),43555.99861111111)</f>
        <v>43555.99861</v>
      </c>
      <c r="B3188" s="1">
        <f>IFERROR(__xludf.DUMMYFUNCTION("""COMPUTED_VALUE"""),18529.5)</f>
        <v>18529.5</v>
      </c>
    </row>
    <row r="3189">
      <c r="A3189" s="3">
        <f>IFERROR(__xludf.DUMMYFUNCTION("""COMPUTED_VALUE"""),43556.99861111111)</f>
        <v>43556.99861</v>
      </c>
      <c r="B3189" s="1">
        <f>IFERROR(__xludf.DUMMYFUNCTION("""COMPUTED_VALUE"""),18621.05)</f>
        <v>18621.05</v>
      </c>
    </row>
    <row r="3190">
      <c r="A3190" s="3">
        <f>IFERROR(__xludf.DUMMYFUNCTION("""COMPUTED_VALUE"""),43557.99861111111)</f>
        <v>43557.99861</v>
      </c>
      <c r="B3190" s="1">
        <f>IFERROR(__xludf.DUMMYFUNCTION("""COMPUTED_VALUE"""),18681.9)</f>
        <v>18681.9</v>
      </c>
    </row>
    <row r="3191">
      <c r="A3191" s="3">
        <f>IFERROR(__xludf.DUMMYFUNCTION("""COMPUTED_VALUE"""),43558.99861111111)</f>
        <v>43558.99861</v>
      </c>
      <c r="B3191" s="1">
        <f>IFERROR(__xludf.DUMMYFUNCTION("""COMPUTED_VALUE"""),18726.2)</f>
        <v>18726.2</v>
      </c>
    </row>
    <row r="3192">
      <c r="A3192" s="3">
        <f>IFERROR(__xludf.DUMMYFUNCTION("""COMPUTED_VALUE"""),43559.99861111111)</f>
        <v>43559.99861</v>
      </c>
      <c r="B3192" s="1">
        <f>IFERROR(__xludf.DUMMYFUNCTION("""COMPUTED_VALUE"""),18533.5)</f>
        <v>18533.5</v>
      </c>
    </row>
    <row r="3193">
      <c r="A3193" s="3">
        <f>IFERROR(__xludf.DUMMYFUNCTION("""COMPUTED_VALUE"""),43560.99861111111)</f>
        <v>43560.99861</v>
      </c>
      <c r="B3193" s="1">
        <f>IFERROR(__xludf.DUMMYFUNCTION("""COMPUTED_VALUE"""),18374.6)</f>
        <v>18374.6</v>
      </c>
    </row>
    <row r="3194">
      <c r="A3194" s="3">
        <f>IFERROR(__xludf.DUMMYFUNCTION("""COMPUTED_VALUE"""),43561.99861111111)</f>
        <v>43561.99861</v>
      </c>
      <c r="B3194" s="1">
        <f>IFERROR(__xludf.DUMMYFUNCTION("""COMPUTED_VALUE"""),18374.6)</f>
        <v>18374.6</v>
      </c>
    </row>
    <row r="3195">
      <c r="A3195" s="3">
        <f>IFERROR(__xludf.DUMMYFUNCTION("""COMPUTED_VALUE"""),43562.99861111111)</f>
        <v>43562.99861</v>
      </c>
      <c r="B3195" s="1">
        <f>IFERROR(__xludf.DUMMYFUNCTION("""COMPUTED_VALUE"""),18405.6)</f>
        <v>18405.6</v>
      </c>
    </row>
    <row r="3196">
      <c r="A3196" s="3">
        <f>IFERROR(__xludf.DUMMYFUNCTION("""COMPUTED_VALUE"""),43563.99861111111)</f>
        <v>43563.99861</v>
      </c>
      <c r="B3196" s="1">
        <f>IFERROR(__xludf.DUMMYFUNCTION("""COMPUTED_VALUE"""),18506.3)</f>
        <v>18506.3</v>
      </c>
    </row>
    <row r="3197">
      <c r="A3197" s="3">
        <f>IFERROR(__xludf.DUMMYFUNCTION("""COMPUTED_VALUE"""),43564.99861111111)</f>
        <v>43564.99861</v>
      </c>
      <c r="B3197" s="1">
        <f>IFERROR(__xludf.DUMMYFUNCTION("""COMPUTED_VALUE"""),18447.3)</f>
        <v>18447.3</v>
      </c>
    </row>
    <row r="3198">
      <c r="A3198" s="3">
        <f>IFERROR(__xludf.DUMMYFUNCTION("""COMPUTED_VALUE"""),43565.99861111111)</f>
        <v>43565.99861</v>
      </c>
      <c r="B3198" s="1">
        <f>IFERROR(__xludf.DUMMYFUNCTION("""COMPUTED_VALUE"""),18520.8)</f>
        <v>18520.8</v>
      </c>
    </row>
    <row r="3199">
      <c r="A3199" s="3">
        <f>IFERROR(__xludf.DUMMYFUNCTION("""COMPUTED_VALUE"""),43566.99861111111)</f>
        <v>43566.99861</v>
      </c>
      <c r="B3199" s="1">
        <f>IFERROR(__xludf.DUMMYFUNCTION("""COMPUTED_VALUE"""),18491.95)</f>
        <v>18491.95</v>
      </c>
    </row>
    <row r="3200">
      <c r="A3200" s="3">
        <f>IFERROR(__xludf.DUMMYFUNCTION("""COMPUTED_VALUE"""),43567.99861111111)</f>
        <v>43567.99861</v>
      </c>
      <c r="B3200" s="1">
        <f>IFERROR(__xludf.DUMMYFUNCTION("""COMPUTED_VALUE"""),18373.85)</f>
        <v>18373.85</v>
      </c>
    </row>
    <row r="3201">
      <c r="A3201" s="3">
        <f>IFERROR(__xludf.DUMMYFUNCTION("""COMPUTED_VALUE"""),43568.99861111111)</f>
        <v>43568.99861</v>
      </c>
      <c r="B3201" s="1">
        <f>IFERROR(__xludf.DUMMYFUNCTION("""COMPUTED_VALUE"""),18439.85)</f>
        <v>18439.85</v>
      </c>
    </row>
    <row r="3202">
      <c r="A3202" s="3">
        <f>IFERROR(__xludf.DUMMYFUNCTION("""COMPUTED_VALUE"""),43569.99861111111)</f>
        <v>43569.99861</v>
      </c>
      <c r="B3202" s="1">
        <f>IFERROR(__xludf.DUMMYFUNCTION("""COMPUTED_VALUE"""),18452.9)</f>
        <v>18452.9</v>
      </c>
    </row>
    <row r="3203">
      <c r="A3203" s="3">
        <f>IFERROR(__xludf.DUMMYFUNCTION("""COMPUTED_VALUE"""),43570.99861111111)</f>
        <v>43570.99861</v>
      </c>
      <c r="B3203" s="1">
        <f>IFERROR(__xludf.DUMMYFUNCTION("""COMPUTED_VALUE"""),18420.1)</f>
        <v>18420.1</v>
      </c>
    </row>
    <row r="3204">
      <c r="A3204" s="3">
        <f>IFERROR(__xludf.DUMMYFUNCTION("""COMPUTED_VALUE"""),43571.99861111111)</f>
        <v>43571.99861</v>
      </c>
      <c r="B3204" s="1">
        <f>IFERROR(__xludf.DUMMYFUNCTION("""COMPUTED_VALUE"""),18373.8)</f>
        <v>18373.8</v>
      </c>
    </row>
    <row r="3205">
      <c r="A3205" s="3">
        <f>IFERROR(__xludf.DUMMYFUNCTION("""COMPUTED_VALUE"""),43572.99861111111)</f>
        <v>43572.99861</v>
      </c>
      <c r="B3205" s="1">
        <f>IFERROR(__xludf.DUMMYFUNCTION("""COMPUTED_VALUE"""),18361.25)</f>
        <v>18361.25</v>
      </c>
    </row>
    <row r="3206">
      <c r="A3206" s="3">
        <f>IFERROR(__xludf.DUMMYFUNCTION("""COMPUTED_VALUE"""),43573.99861111111)</f>
        <v>43573.99861</v>
      </c>
      <c r="B3206" s="1">
        <f>IFERROR(__xludf.DUMMYFUNCTION("""COMPUTED_VALUE"""),18242.25)</f>
        <v>18242.25</v>
      </c>
    </row>
    <row r="3207">
      <c r="A3207" s="3">
        <f>IFERROR(__xludf.DUMMYFUNCTION("""COMPUTED_VALUE"""),43574.99861111111)</f>
        <v>43574.99861</v>
      </c>
      <c r="B3207" s="1">
        <f>IFERROR(__xludf.DUMMYFUNCTION("""COMPUTED_VALUE"""),18260.55)</f>
        <v>18260.55</v>
      </c>
    </row>
    <row r="3208">
      <c r="A3208" s="3">
        <f>IFERROR(__xludf.DUMMYFUNCTION("""COMPUTED_VALUE"""),43575.99861111111)</f>
        <v>43575.99861</v>
      </c>
      <c r="B3208" s="1">
        <f>IFERROR(__xludf.DUMMYFUNCTION("""COMPUTED_VALUE"""),18260.55)</f>
        <v>18260.55</v>
      </c>
    </row>
    <row r="3209">
      <c r="A3209" s="3">
        <f>IFERROR(__xludf.DUMMYFUNCTION("""COMPUTED_VALUE"""),43576.99861111111)</f>
        <v>43576.99861</v>
      </c>
      <c r="B3209" s="1">
        <f>IFERROR(__xludf.DUMMYFUNCTION("""COMPUTED_VALUE"""),18260.55)</f>
        <v>18260.55</v>
      </c>
    </row>
    <row r="3210">
      <c r="A3210" s="3">
        <f>IFERROR(__xludf.DUMMYFUNCTION("""COMPUTED_VALUE"""),43577.99861111111)</f>
        <v>43577.99861</v>
      </c>
      <c r="B3210" s="1">
        <f>IFERROR(__xludf.DUMMYFUNCTION("""COMPUTED_VALUE"""),18268.6)</f>
        <v>18268.6</v>
      </c>
    </row>
    <row r="3211">
      <c r="A3211" s="3">
        <f>IFERROR(__xludf.DUMMYFUNCTION("""COMPUTED_VALUE"""),43578.99861111111)</f>
        <v>43578.99861</v>
      </c>
      <c r="B3211" s="1">
        <f>IFERROR(__xludf.DUMMYFUNCTION("""COMPUTED_VALUE"""),18187.05)</f>
        <v>18187.05</v>
      </c>
    </row>
    <row r="3212">
      <c r="A3212" s="3">
        <f>IFERROR(__xludf.DUMMYFUNCTION("""COMPUTED_VALUE"""),43579.99861111111)</f>
        <v>43579.99861</v>
      </c>
      <c r="B3212" s="1">
        <f>IFERROR(__xludf.DUMMYFUNCTION("""COMPUTED_VALUE"""),18193.3)</f>
        <v>18193.3</v>
      </c>
    </row>
    <row r="3213">
      <c r="A3213" s="3">
        <f>IFERROR(__xludf.DUMMYFUNCTION("""COMPUTED_VALUE"""),43580.99861111111)</f>
        <v>43580.99861</v>
      </c>
      <c r="B3213" s="1">
        <f>IFERROR(__xludf.DUMMYFUNCTION("""COMPUTED_VALUE"""),18213.4)</f>
        <v>18213.4</v>
      </c>
    </row>
    <row r="3214">
      <c r="A3214" s="3">
        <f>IFERROR(__xludf.DUMMYFUNCTION("""COMPUTED_VALUE"""),43581.99861111111)</f>
        <v>43581.99861</v>
      </c>
      <c r="B3214" s="1">
        <f>IFERROR(__xludf.DUMMYFUNCTION("""COMPUTED_VALUE"""),20025.45)</f>
        <v>20025.45</v>
      </c>
    </row>
    <row r="3215">
      <c r="A3215" s="3">
        <f>IFERROR(__xludf.DUMMYFUNCTION("""COMPUTED_VALUE"""),43582.99861111111)</f>
        <v>43582.99861</v>
      </c>
      <c r="B3215" s="1">
        <f>IFERROR(__xludf.DUMMYFUNCTION("""COMPUTED_VALUE"""),18317.75)</f>
        <v>18317.75</v>
      </c>
    </row>
    <row r="3216">
      <c r="A3216" s="3">
        <f>IFERROR(__xludf.DUMMYFUNCTION("""COMPUTED_VALUE"""),43583.99861111111)</f>
        <v>43583.99861</v>
      </c>
      <c r="B3216" s="1">
        <f>IFERROR(__xludf.DUMMYFUNCTION("""COMPUTED_VALUE"""),18307.7)</f>
        <v>18307.7</v>
      </c>
    </row>
    <row r="3217">
      <c r="A3217" s="3">
        <f>IFERROR(__xludf.DUMMYFUNCTION("""COMPUTED_VALUE"""),43584.99861111111)</f>
        <v>43584.99861</v>
      </c>
      <c r="B3217" s="1">
        <f>IFERROR(__xludf.DUMMYFUNCTION("""COMPUTED_VALUE"""),18360.95)</f>
        <v>18360.95</v>
      </c>
    </row>
    <row r="3218">
      <c r="A3218" s="3">
        <f>IFERROR(__xludf.DUMMYFUNCTION("""COMPUTED_VALUE"""),43585.99861111111)</f>
        <v>43585.99861</v>
      </c>
      <c r="B3218" s="1">
        <f>IFERROR(__xludf.DUMMYFUNCTION("""COMPUTED_VALUE"""),18578.9)</f>
        <v>18578.9</v>
      </c>
    </row>
    <row r="3219">
      <c r="A3219" s="3">
        <f>IFERROR(__xludf.DUMMYFUNCTION("""COMPUTED_VALUE"""),43586.99861111111)</f>
        <v>43586.99861</v>
      </c>
      <c r="B3219" s="1">
        <f>IFERROR(__xludf.DUMMYFUNCTION("""COMPUTED_VALUE"""),18621.45)</f>
        <v>18621.45</v>
      </c>
    </row>
    <row r="3220">
      <c r="A3220" s="3">
        <f>IFERROR(__xludf.DUMMYFUNCTION("""COMPUTED_VALUE"""),43587.99861111111)</f>
        <v>43587.99861</v>
      </c>
      <c r="B3220" s="1">
        <f>IFERROR(__xludf.DUMMYFUNCTION("""COMPUTED_VALUE"""),18566.95)</f>
        <v>18566.95</v>
      </c>
    </row>
    <row r="3221">
      <c r="A3221" s="3">
        <f>IFERROR(__xludf.DUMMYFUNCTION("""COMPUTED_VALUE"""),43588.99861111111)</f>
        <v>43588.99861</v>
      </c>
      <c r="B3221" s="1">
        <f>IFERROR(__xludf.DUMMYFUNCTION("""COMPUTED_VALUE"""),18690.05)</f>
        <v>18690.05</v>
      </c>
    </row>
    <row r="3222">
      <c r="A3222" s="3">
        <f>IFERROR(__xludf.DUMMYFUNCTION("""COMPUTED_VALUE"""),43589.99861111111)</f>
        <v>43589.99861</v>
      </c>
      <c r="B3222" s="1">
        <f>IFERROR(__xludf.DUMMYFUNCTION("""COMPUTED_VALUE"""),18690.05)</f>
        <v>18690.05</v>
      </c>
    </row>
    <row r="3223">
      <c r="A3223" s="3">
        <f>IFERROR(__xludf.DUMMYFUNCTION("""COMPUTED_VALUE"""),43590.99861111111)</f>
        <v>43590.99861</v>
      </c>
      <c r="B3223" s="1">
        <f>IFERROR(__xludf.DUMMYFUNCTION("""COMPUTED_VALUE"""),18721.05)</f>
        <v>18721.05</v>
      </c>
    </row>
    <row r="3224">
      <c r="A3224" s="3">
        <f>IFERROR(__xludf.DUMMYFUNCTION("""COMPUTED_VALUE"""),43591.99861111111)</f>
        <v>43591.99861</v>
      </c>
      <c r="B3224" s="1">
        <f>IFERROR(__xludf.DUMMYFUNCTION("""COMPUTED_VALUE"""),18730.05)</f>
        <v>18730.05</v>
      </c>
    </row>
    <row r="3225">
      <c r="A3225" s="3">
        <f>IFERROR(__xludf.DUMMYFUNCTION("""COMPUTED_VALUE"""),43592.99861111111)</f>
        <v>43592.99861</v>
      </c>
      <c r="B3225" s="1">
        <f>IFERROR(__xludf.DUMMYFUNCTION("""COMPUTED_VALUE"""),18632.9)</f>
        <v>18632.9</v>
      </c>
    </row>
    <row r="3226">
      <c r="A3226" s="3">
        <f>IFERROR(__xludf.DUMMYFUNCTION("""COMPUTED_VALUE"""),43593.99861111111)</f>
        <v>43593.99861</v>
      </c>
      <c r="B3226" s="1">
        <f>IFERROR(__xludf.DUMMYFUNCTION("""COMPUTED_VALUE"""),18582.4)</f>
        <v>18582.4</v>
      </c>
    </row>
    <row r="3227">
      <c r="A3227" s="3">
        <f>IFERROR(__xludf.DUMMYFUNCTION("""COMPUTED_VALUE"""),43594.99861111111)</f>
        <v>43594.99861</v>
      </c>
      <c r="B3227" s="1">
        <f>IFERROR(__xludf.DUMMYFUNCTION("""COMPUTED_VALUE"""),18657.05)</f>
        <v>18657.05</v>
      </c>
    </row>
    <row r="3228">
      <c r="A3228" s="3">
        <f>IFERROR(__xludf.DUMMYFUNCTION("""COMPUTED_VALUE"""),43595.99861111111)</f>
        <v>43595.99861</v>
      </c>
      <c r="B3228" s="1">
        <f>IFERROR(__xludf.DUMMYFUNCTION("""COMPUTED_VALUE"""),18615.8)</f>
        <v>18615.8</v>
      </c>
    </row>
    <row r="3229">
      <c r="A3229" s="3">
        <f>IFERROR(__xludf.DUMMYFUNCTION("""COMPUTED_VALUE"""),43596.99861111111)</f>
        <v>43596.99861</v>
      </c>
      <c r="B3229" s="1">
        <f>IFERROR(__xludf.DUMMYFUNCTION("""COMPUTED_VALUE"""),18616.9)</f>
        <v>18616.9</v>
      </c>
    </row>
    <row r="3230">
      <c r="A3230" s="3">
        <f>IFERROR(__xludf.DUMMYFUNCTION("""COMPUTED_VALUE"""),43597.99861111111)</f>
        <v>43597.99861</v>
      </c>
      <c r="B3230" s="1">
        <f>IFERROR(__xludf.DUMMYFUNCTION("""COMPUTED_VALUE"""),18623.6)</f>
        <v>18623.6</v>
      </c>
    </row>
    <row r="3231">
      <c r="A3231" s="3">
        <f>IFERROR(__xludf.DUMMYFUNCTION("""COMPUTED_VALUE"""),43598.99861111111)</f>
        <v>43598.99861</v>
      </c>
      <c r="B3231" s="1">
        <f>IFERROR(__xludf.DUMMYFUNCTION("""COMPUTED_VALUE"""),18561.25)</f>
        <v>18561.25</v>
      </c>
    </row>
    <row r="3232">
      <c r="A3232" s="3">
        <f>IFERROR(__xludf.DUMMYFUNCTION("""COMPUTED_VALUE"""),43599.99861111111)</f>
        <v>43599.99861</v>
      </c>
      <c r="B3232" s="1">
        <f>IFERROR(__xludf.DUMMYFUNCTION("""COMPUTED_VALUE"""),18634.3)</f>
        <v>18634.3</v>
      </c>
    </row>
    <row r="3233">
      <c r="A3233" s="3">
        <f>IFERROR(__xludf.DUMMYFUNCTION("""COMPUTED_VALUE"""),43600.99861111111)</f>
        <v>43600.99861</v>
      </c>
      <c r="B3233" s="1">
        <f>IFERROR(__xludf.DUMMYFUNCTION("""COMPUTED_VALUE"""),18575.3)</f>
        <v>18575.3</v>
      </c>
    </row>
    <row r="3234">
      <c r="A3234" s="3">
        <f>IFERROR(__xludf.DUMMYFUNCTION("""COMPUTED_VALUE"""),43601.99861111111)</f>
        <v>43601.99861</v>
      </c>
      <c r="B3234" s="1">
        <f>IFERROR(__xludf.DUMMYFUNCTION("""COMPUTED_VALUE"""),18494.15)</f>
        <v>18494.15</v>
      </c>
    </row>
    <row r="3235">
      <c r="A3235" s="3">
        <f>IFERROR(__xludf.DUMMYFUNCTION("""COMPUTED_VALUE"""),43602.99861111111)</f>
        <v>43602.99861</v>
      </c>
      <c r="B3235" s="1">
        <f>IFERROR(__xludf.DUMMYFUNCTION("""COMPUTED_VALUE"""),18343.7)</f>
        <v>18343.7</v>
      </c>
    </row>
    <row r="3236">
      <c r="A3236" s="3">
        <f>IFERROR(__xludf.DUMMYFUNCTION("""COMPUTED_VALUE"""),43603.99861111111)</f>
        <v>43603.99861</v>
      </c>
      <c r="B3236" s="1">
        <f>IFERROR(__xludf.DUMMYFUNCTION("""COMPUTED_VALUE"""),18343.7)</f>
        <v>18343.7</v>
      </c>
    </row>
    <row r="3237">
      <c r="A3237" s="3">
        <f>IFERROR(__xludf.DUMMYFUNCTION("""COMPUTED_VALUE"""),43604.99861111111)</f>
        <v>43604.99861</v>
      </c>
      <c r="B3237" s="1">
        <f>IFERROR(__xludf.DUMMYFUNCTION("""COMPUTED_VALUE"""),18385.3)</f>
        <v>18385.3</v>
      </c>
    </row>
    <row r="3238">
      <c r="A3238" s="3">
        <f>IFERROR(__xludf.DUMMYFUNCTION("""COMPUTED_VALUE"""),43605.99861111111)</f>
        <v>43605.99861</v>
      </c>
      <c r="B3238" s="1">
        <f>IFERROR(__xludf.DUMMYFUNCTION("""COMPUTED_VALUE"""),18396.6)</f>
        <v>18396.6</v>
      </c>
    </row>
    <row r="3239">
      <c r="A3239" s="3">
        <f>IFERROR(__xludf.DUMMYFUNCTION("""COMPUTED_VALUE"""),43606.99861111111)</f>
        <v>43606.99861</v>
      </c>
      <c r="B3239" s="1">
        <f>IFERROR(__xludf.DUMMYFUNCTION("""COMPUTED_VALUE"""),18369.1)</f>
        <v>18369.1</v>
      </c>
    </row>
    <row r="3240">
      <c r="A3240" s="3">
        <f>IFERROR(__xludf.DUMMYFUNCTION("""COMPUTED_VALUE"""),43607.99861111111)</f>
        <v>43607.99861</v>
      </c>
      <c r="B3240" s="1">
        <f>IFERROR(__xludf.DUMMYFUNCTION("""COMPUTED_VALUE"""),18415.7)</f>
        <v>18415.7</v>
      </c>
    </row>
    <row r="3241">
      <c r="A3241" s="3">
        <f>IFERROR(__xludf.DUMMYFUNCTION("""COMPUTED_VALUE"""),43608.99861111111)</f>
        <v>43608.99861</v>
      </c>
      <c r="B3241" s="1">
        <f>IFERROR(__xludf.DUMMYFUNCTION("""COMPUTED_VALUE"""),18291.35)</f>
        <v>18291.35</v>
      </c>
    </row>
    <row r="3242">
      <c r="A3242" s="3">
        <f>IFERROR(__xludf.DUMMYFUNCTION("""COMPUTED_VALUE"""),43609.99861111111)</f>
        <v>43609.99861</v>
      </c>
      <c r="B3242" s="1">
        <f>IFERROR(__xludf.DUMMYFUNCTION("""COMPUTED_VALUE"""),18271.45)</f>
        <v>18271.45</v>
      </c>
    </row>
    <row r="3243">
      <c r="A3243" s="3">
        <f>IFERROR(__xludf.DUMMYFUNCTION("""COMPUTED_VALUE"""),43610.99861111111)</f>
        <v>43610.99861</v>
      </c>
      <c r="B3243" s="1">
        <f>IFERROR(__xludf.DUMMYFUNCTION("""COMPUTED_VALUE"""),18267.55)</f>
        <v>18267.55</v>
      </c>
    </row>
    <row r="3244">
      <c r="A3244" s="3">
        <f>IFERROR(__xludf.DUMMYFUNCTION("""COMPUTED_VALUE"""),43611.99861111111)</f>
        <v>43611.99861</v>
      </c>
      <c r="B3244" s="1">
        <f>IFERROR(__xludf.DUMMYFUNCTION("""COMPUTED_VALUE"""),18275.2)</f>
        <v>18275.2</v>
      </c>
    </row>
    <row r="3245">
      <c r="A3245" s="3">
        <f>IFERROR(__xludf.DUMMYFUNCTION("""COMPUTED_VALUE"""),43612.99861111111)</f>
        <v>43612.99861</v>
      </c>
      <c r="B3245" s="1">
        <f>IFERROR(__xludf.DUMMYFUNCTION("""COMPUTED_VALUE"""),18232.15)</f>
        <v>18232.15</v>
      </c>
    </row>
    <row r="3246">
      <c r="A3246" s="3">
        <f>IFERROR(__xludf.DUMMYFUNCTION("""COMPUTED_VALUE"""),43613.99861111111)</f>
        <v>43613.99861</v>
      </c>
      <c r="B3246" s="1">
        <f>IFERROR(__xludf.DUMMYFUNCTION("""COMPUTED_VALUE"""),18226.05)</f>
        <v>18226.05</v>
      </c>
    </row>
    <row r="3247">
      <c r="A3247" s="3">
        <f>IFERROR(__xludf.DUMMYFUNCTION("""COMPUTED_VALUE"""),43614.99861111111)</f>
        <v>43614.99861</v>
      </c>
      <c r="B3247" s="1">
        <f>IFERROR(__xludf.DUMMYFUNCTION("""COMPUTED_VALUE"""),18179.15)</f>
        <v>18179.15</v>
      </c>
    </row>
    <row r="3248">
      <c r="A3248" s="3">
        <f>IFERROR(__xludf.DUMMYFUNCTION("""COMPUTED_VALUE"""),43615.99861111111)</f>
        <v>43615.99861</v>
      </c>
      <c r="B3248" s="1">
        <f>IFERROR(__xludf.DUMMYFUNCTION("""COMPUTED_VALUE"""),18163.55)</f>
        <v>18163.55</v>
      </c>
    </row>
    <row r="3249">
      <c r="A3249" s="3">
        <f>IFERROR(__xludf.DUMMYFUNCTION("""COMPUTED_VALUE"""),43616.99861111111)</f>
        <v>43616.99861</v>
      </c>
      <c r="B3249" s="1">
        <f>IFERROR(__xludf.DUMMYFUNCTION("""COMPUTED_VALUE"""),18098.55)</f>
        <v>18098.55</v>
      </c>
    </row>
    <row r="3250">
      <c r="A3250" s="3">
        <f>IFERROR(__xludf.DUMMYFUNCTION("""COMPUTED_VALUE"""),43617.99861111111)</f>
        <v>43617.99861</v>
      </c>
      <c r="B3250" s="1">
        <f>IFERROR(__xludf.DUMMYFUNCTION("""COMPUTED_VALUE"""),18098.55)</f>
        <v>18098.55</v>
      </c>
    </row>
    <row r="3251">
      <c r="A3251" s="3">
        <f>IFERROR(__xludf.DUMMYFUNCTION("""COMPUTED_VALUE"""),43618.99861111111)</f>
        <v>43618.99861</v>
      </c>
      <c r="B3251" s="1">
        <f>IFERROR(__xludf.DUMMYFUNCTION("""COMPUTED_VALUE"""),17994.4)</f>
        <v>17994.4</v>
      </c>
    </row>
    <row r="3252">
      <c r="A3252" s="3">
        <f>IFERROR(__xludf.DUMMYFUNCTION("""COMPUTED_VALUE"""),43619.99861111111)</f>
        <v>43619.99861</v>
      </c>
      <c r="B3252" s="1">
        <f>IFERROR(__xludf.DUMMYFUNCTION("""COMPUTED_VALUE"""),18074.15)</f>
        <v>18074.15</v>
      </c>
    </row>
    <row r="3253">
      <c r="A3253" s="3">
        <f>IFERROR(__xludf.DUMMYFUNCTION("""COMPUTED_VALUE"""),43620.99861111111)</f>
        <v>43620.99861</v>
      </c>
      <c r="B3253" s="1">
        <f>IFERROR(__xludf.DUMMYFUNCTION("""COMPUTED_VALUE"""),18135.75)</f>
        <v>18135.75</v>
      </c>
    </row>
    <row r="3254">
      <c r="A3254" s="3">
        <f>IFERROR(__xludf.DUMMYFUNCTION("""COMPUTED_VALUE"""),43621.99861111111)</f>
        <v>43621.99861</v>
      </c>
      <c r="B3254" s="1">
        <f>IFERROR(__xludf.DUMMYFUNCTION("""COMPUTED_VALUE"""),18160.65)</f>
        <v>18160.65</v>
      </c>
    </row>
    <row r="3255">
      <c r="A3255" s="3">
        <f>IFERROR(__xludf.DUMMYFUNCTION("""COMPUTED_VALUE"""),43622.99861111111)</f>
        <v>43622.99861</v>
      </c>
      <c r="B3255" s="1">
        <f>IFERROR(__xludf.DUMMYFUNCTION("""COMPUTED_VALUE"""),18151.65)</f>
        <v>18151.65</v>
      </c>
    </row>
    <row r="3256">
      <c r="A3256" s="3">
        <f>IFERROR(__xludf.DUMMYFUNCTION("""COMPUTED_VALUE"""),43623.99861111111)</f>
        <v>43623.99861</v>
      </c>
      <c r="B3256" s="1">
        <f>IFERROR(__xludf.DUMMYFUNCTION("""COMPUTED_VALUE"""),18160.9)</f>
        <v>18160.9</v>
      </c>
    </row>
    <row r="3257">
      <c r="A3257" s="3">
        <f>IFERROR(__xludf.DUMMYFUNCTION("""COMPUTED_VALUE"""),43624.99861111111)</f>
        <v>43624.99861</v>
      </c>
      <c r="B3257" s="1">
        <f>IFERROR(__xludf.DUMMYFUNCTION("""COMPUTED_VALUE"""),18160.9)</f>
        <v>18160.9</v>
      </c>
    </row>
    <row r="3258">
      <c r="A3258" s="3">
        <f>IFERROR(__xludf.DUMMYFUNCTION("""COMPUTED_VALUE"""),43625.99861111111)</f>
        <v>43625.99861</v>
      </c>
      <c r="B3258" s="1">
        <f>IFERROR(__xludf.DUMMYFUNCTION("""COMPUTED_VALUE"""),18179.35)</f>
        <v>18179.35</v>
      </c>
    </row>
    <row r="3259">
      <c r="A3259" s="3">
        <f>IFERROR(__xludf.DUMMYFUNCTION("""COMPUTED_VALUE"""),43626.99861111111)</f>
        <v>43626.99861</v>
      </c>
      <c r="B3259" s="1">
        <f>IFERROR(__xludf.DUMMYFUNCTION("""COMPUTED_VALUE"""),18081.1)</f>
        <v>18081.1</v>
      </c>
    </row>
    <row r="3260">
      <c r="A3260" s="3">
        <f>IFERROR(__xludf.DUMMYFUNCTION("""COMPUTED_VALUE"""),43627.99861111111)</f>
        <v>43627.99861</v>
      </c>
      <c r="B3260" s="1">
        <f>IFERROR(__xludf.DUMMYFUNCTION("""COMPUTED_VALUE"""),18111.6)</f>
        <v>18111.6</v>
      </c>
    </row>
    <row r="3261">
      <c r="A3261" s="3">
        <f>IFERROR(__xludf.DUMMYFUNCTION("""COMPUTED_VALUE"""),43628.99861111111)</f>
        <v>43628.99861</v>
      </c>
      <c r="B3261" s="1">
        <f>IFERROR(__xludf.DUMMYFUNCTION("""COMPUTED_VALUE"""),18065.85)</f>
        <v>18065.85</v>
      </c>
    </row>
    <row r="3262">
      <c r="A3262" s="3">
        <f>IFERROR(__xludf.DUMMYFUNCTION("""COMPUTED_VALUE"""),43629.99861111111)</f>
        <v>43629.99861</v>
      </c>
      <c r="B3262" s="1">
        <f>IFERROR(__xludf.DUMMYFUNCTION("""COMPUTED_VALUE"""),18092.3)</f>
        <v>18092.3</v>
      </c>
    </row>
    <row r="3263">
      <c r="A3263" s="3">
        <f>IFERROR(__xludf.DUMMYFUNCTION("""COMPUTED_VALUE"""),43630.99861111111)</f>
        <v>43630.99861</v>
      </c>
      <c r="B3263" s="1">
        <f>IFERROR(__xludf.DUMMYFUNCTION("""COMPUTED_VALUE"""),17971.9)</f>
        <v>17971.9</v>
      </c>
    </row>
    <row r="3264">
      <c r="A3264" s="3">
        <f>IFERROR(__xludf.DUMMYFUNCTION("""COMPUTED_VALUE"""),43631.99861111111)</f>
        <v>43631.99861</v>
      </c>
      <c r="B3264" s="1">
        <f>IFERROR(__xludf.DUMMYFUNCTION("""COMPUTED_VALUE"""),18108.5)</f>
        <v>18108.5</v>
      </c>
    </row>
    <row r="3265">
      <c r="A3265" s="3">
        <f>IFERROR(__xludf.DUMMYFUNCTION("""COMPUTED_VALUE"""),43632.99861111111)</f>
        <v>43632.99861</v>
      </c>
      <c r="B3265" s="1">
        <f>IFERROR(__xludf.DUMMYFUNCTION("""COMPUTED_VALUE"""),18115.9)</f>
        <v>18115.9</v>
      </c>
    </row>
    <row r="3266">
      <c r="A3266" s="3">
        <f>IFERROR(__xludf.DUMMYFUNCTION("""COMPUTED_VALUE"""),43633.99861111111)</f>
        <v>43633.99861</v>
      </c>
      <c r="B3266" s="1">
        <f>IFERROR(__xludf.DUMMYFUNCTION("""COMPUTED_VALUE"""),18079.75)</f>
        <v>18079.75</v>
      </c>
    </row>
    <row r="3267">
      <c r="A3267" s="3">
        <f>IFERROR(__xludf.DUMMYFUNCTION("""COMPUTED_VALUE"""),43634.99861111111)</f>
        <v>43634.99861</v>
      </c>
      <c r="B3267" s="1">
        <f>IFERROR(__xludf.DUMMYFUNCTION("""COMPUTED_VALUE"""),18040.0)</f>
        <v>18040</v>
      </c>
    </row>
    <row r="3268">
      <c r="A3268" s="3">
        <f>IFERROR(__xludf.DUMMYFUNCTION("""COMPUTED_VALUE"""),43635.99861111111)</f>
        <v>43635.99861</v>
      </c>
      <c r="B3268" s="1">
        <f>IFERROR(__xludf.DUMMYFUNCTION("""COMPUTED_VALUE"""),18045.35)</f>
        <v>18045.35</v>
      </c>
    </row>
    <row r="3269">
      <c r="A3269" s="3">
        <f>IFERROR(__xludf.DUMMYFUNCTION("""COMPUTED_VALUE"""),43636.99861111111)</f>
        <v>43636.99861</v>
      </c>
      <c r="B3269" s="1">
        <f>IFERROR(__xludf.DUMMYFUNCTION("""COMPUTED_VALUE"""),18008.45)</f>
        <v>18008.45</v>
      </c>
    </row>
    <row r="3270">
      <c r="A3270" s="3">
        <f>IFERROR(__xludf.DUMMYFUNCTION("""COMPUTED_VALUE"""),43637.99861111111)</f>
        <v>43637.99861</v>
      </c>
      <c r="B3270" s="1">
        <f>IFERROR(__xludf.DUMMYFUNCTION("""COMPUTED_VALUE"""),19672.5)</f>
        <v>19672.5</v>
      </c>
    </row>
    <row r="3271">
      <c r="A3271" s="3">
        <f>IFERROR(__xludf.DUMMYFUNCTION("""COMPUTED_VALUE"""),43638.99861111111)</f>
        <v>43638.99861</v>
      </c>
      <c r="B3271" s="1">
        <f>IFERROR(__xludf.DUMMYFUNCTION("""COMPUTED_VALUE"""),19672.5)</f>
        <v>19672.5</v>
      </c>
    </row>
    <row r="3272">
      <c r="A3272" s="3">
        <f>IFERROR(__xludf.DUMMYFUNCTION("""COMPUTED_VALUE"""),43639.99861111111)</f>
        <v>43639.99861</v>
      </c>
      <c r="B3272" s="1">
        <f>IFERROR(__xludf.DUMMYFUNCTION("""COMPUTED_VALUE"""),19708.6)</f>
        <v>19708.6</v>
      </c>
    </row>
    <row r="3273">
      <c r="A3273" s="3">
        <f>IFERROR(__xludf.DUMMYFUNCTION("""COMPUTED_VALUE"""),43640.99861111111)</f>
        <v>43640.99861</v>
      </c>
      <c r="B3273" s="1">
        <f>IFERROR(__xludf.DUMMYFUNCTION("""COMPUTED_VALUE"""),18071.55)</f>
        <v>18071.55</v>
      </c>
    </row>
    <row r="3274">
      <c r="A3274" s="3">
        <f>IFERROR(__xludf.DUMMYFUNCTION("""COMPUTED_VALUE"""),43641.99861111111)</f>
        <v>43641.99861</v>
      </c>
      <c r="B3274" s="1">
        <f>IFERROR(__xludf.DUMMYFUNCTION("""COMPUTED_VALUE"""),17922.3)</f>
        <v>17922.3</v>
      </c>
    </row>
    <row r="3275">
      <c r="A3275" s="3">
        <f>IFERROR(__xludf.DUMMYFUNCTION("""COMPUTED_VALUE"""),43642.99861111111)</f>
        <v>43642.99861</v>
      </c>
      <c r="B3275" s="1">
        <f>IFERROR(__xludf.DUMMYFUNCTION("""COMPUTED_VALUE"""),17984.5)</f>
        <v>17984.5</v>
      </c>
    </row>
    <row r="3276">
      <c r="A3276" s="3">
        <f>IFERROR(__xludf.DUMMYFUNCTION("""COMPUTED_VALUE"""),43643.99861111111)</f>
        <v>43643.99861</v>
      </c>
      <c r="B3276" s="1">
        <f>IFERROR(__xludf.DUMMYFUNCTION("""COMPUTED_VALUE"""),17908.15)</f>
        <v>17908.15</v>
      </c>
    </row>
    <row r="3277">
      <c r="A3277" s="3">
        <f>IFERROR(__xludf.DUMMYFUNCTION("""COMPUTED_VALUE"""),43644.99861111111)</f>
        <v>43644.99861</v>
      </c>
      <c r="B3277" s="1">
        <f>IFERROR(__xludf.DUMMYFUNCTION("""COMPUTED_VALUE"""),17890.2)</f>
        <v>17890.2</v>
      </c>
    </row>
    <row r="3278">
      <c r="A3278" s="3">
        <f>IFERROR(__xludf.DUMMYFUNCTION("""COMPUTED_VALUE"""),43645.99861111111)</f>
        <v>43645.99861</v>
      </c>
      <c r="B3278" s="1">
        <f>IFERROR(__xludf.DUMMYFUNCTION("""COMPUTED_VALUE"""),17890.2)</f>
        <v>17890.2</v>
      </c>
    </row>
    <row r="3279">
      <c r="A3279" s="3">
        <f>IFERROR(__xludf.DUMMYFUNCTION("""COMPUTED_VALUE"""),43646.99861111111)</f>
        <v>43646.99861</v>
      </c>
      <c r="B3279" s="1">
        <f>IFERROR(__xludf.DUMMYFUNCTION("""COMPUTED_VALUE"""),17934.2)</f>
        <v>17934.2</v>
      </c>
    </row>
    <row r="3280">
      <c r="A3280" s="3">
        <f>IFERROR(__xludf.DUMMYFUNCTION("""COMPUTED_VALUE"""),43647.99861111111)</f>
        <v>43647.99861</v>
      </c>
      <c r="B3280" s="1">
        <f>IFERROR(__xludf.DUMMYFUNCTION("""COMPUTED_VALUE"""),17858.3)</f>
        <v>17858.3</v>
      </c>
    </row>
    <row r="3281">
      <c r="A3281" s="3">
        <f>IFERROR(__xludf.DUMMYFUNCTION("""COMPUTED_VALUE"""),43648.99861111111)</f>
        <v>43648.99861</v>
      </c>
      <c r="B3281" s="1">
        <f>IFERROR(__xludf.DUMMYFUNCTION("""COMPUTED_VALUE"""),17823.45)</f>
        <v>17823.45</v>
      </c>
    </row>
    <row r="3282">
      <c r="A3282" s="3">
        <f>IFERROR(__xludf.DUMMYFUNCTION("""COMPUTED_VALUE"""),43649.99861111111)</f>
        <v>43649.99861</v>
      </c>
      <c r="B3282" s="1">
        <f>IFERROR(__xludf.DUMMYFUNCTION("""COMPUTED_VALUE"""),17748.65)</f>
        <v>17748.65</v>
      </c>
    </row>
    <row r="3283">
      <c r="A3283" s="3">
        <f>IFERROR(__xludf.DUMMYFUNCTION("""COMPUTED_VALUE"""),43650.99861111111)</f>
        <v>43650.99861</v>
      </c>
      <c r="B3283" s="1">
        <f>IFERROR(__xludf.DUMMYFUNCTION("""COMPUTED_VALUE"""),17789.6)</f>
        <v>17789.6</v>
      </c>
    </row>
    <row r="3284">
      <c r="A3284" s="3">
        <f>IFERROR(__xludf.DUMMYFUNCTION("""COMPUTED_VALUE"""),43651.99861111111)</f>
        <v>43651.99861</v>
      </c>
      <c r="B3284" s="1">
        <f>IFERROR(__xludf.DUMMYFUNCTION("""COMPUTED_VALUE"""),17598.15)</f>
        <v>17598.15</v>
      </c>
    </row>
    <row r="3285">
      <c r="A3285" s="3">
        <f>IFERROR(__xludf.DUMMYFUNCTION("""COMPUTED_VALUE"""),43652.99861111111)</f>
        <v>43652.99861</v>
      </c>
      <c r="B3285" s="1">
        <f>IFERROR(__xludf.DUMMYFUNCTION("""COMPUTED_VALUE"""),17598.15)</f>
        <v>17598.15</v>
      </c>
    </row>
    <row r="3286">
      <c r="A3286" s="3">
        <f>IFERROR(__xludf.DUMMYFUNCTION("""COMPUTED_VALUE"""),43653.99861111111)</f>
        <v>43653.99861</v>
      </c>
      <c r="B3286" s="1">
        <f>IFERROR(__xludf.DUMMYFUNCTION("""COMPUTED_VALUE"""),17622.2)</f>
        <v>17622.2</v>
      </c>
    </row>
    <row r="3287">
      <c r="A3287" s="3">
        <f>IFERROR(__xludf.DUMMYFUNCTION("""COMPUTED_VALUE"""),43654.99861111111)</f>
        <v>43654.99861</v>
      </c>
      <c r="B3287" s="1">
        <f>IFERROR(__xludf.DUMMYFUNCTION("""COMPUTED_VALUE"""),17758.7)</f>
        <v>17758.7</v>
      </c>
    </row>
    <row r="3288">
      <c r="A3288" s="3">
        <f>IFERROR(__xludf.DUMMYFUNCTION("""COMPUTED_VALUE"""),43655.99861111111)</f>
        <v>43655.99861</v>
      </c>
      <c r="B3288" s="1">
        <f>IFERROR(__xludf.DUMMYFUNCTION("""COMPUTED_VALUE"""),17742.35)</f>
        <v>17742.35</v>
      </c>
    </row>
    <row r="3289">
      <c r="A3289" s="3">
        <f>IFERROR(__xludf.DUMMYFUNCTION("""COMPUTED_VALUE"""),43656.99861111111)</f>
        <v>43656.99861</v>
      </c>
      <c r="B3289" s="1">
        <f>IFERROR(__xludf.DUMMYFUNCTION("""COMPUTED_VALUE"""),17656.45)</f>
        <v>17656.45</v>
      </c>
    </row>
    <row r="3290">
      <c r="A3290" s="3">
        <f>IFERROR(__xludf.DUMMYFUNCTION("""COMPUTED_VALUE"""),43657.99861111111)</f>
        <v>43657.99861</v>
      </c>
      <c r="B3290" s="1">
        <f>IFERROR(__xludf.DUMMYFUNCTION("""COMPUTED_VALUE"""),17691.0)</f>
        <v>17691</v>
      </c>
    </row>
    <row r="3291">
      <c r="A3291" s="3">
        <f>IFERROR(__xludf.DUMMYFUNCTION("""COMPUTED_VALUE"""),43658.99861111111)</f>
        <v>43658.99861</v>
      </c>
      <c r="B3291" s="1">
        <f>IFERROR(__xludf.DUMMYFUNCTION("""COMPUTED_VALUE"""),17545.75)</f>
        <v>17545.75</v>
      </c>
    </row>
    <row r="3292">
      <c r="A3292" s="3">
        <f>IFERROR(__xludf.DUMMYFUNCTION("""COMPUTED_VALUE"""),43659.99861111111)</f>
        <v>43659.99861</v>
      </c>
      <c r="B3292" s="1">
        <f>IFERROR(__xludf.DUMMYFUNCTION("""COMPUTED_VALUE"""),17545.75)</f>
        <v>17545.75</v>
      </c>
    </row>
    <row r="3293">
      <c r="A3293" s="3">
        <f>IFERROR(__xludf.DUMMYFUNCTION("""COMPUTED_VALUE"""),43660.99861111111)</f>
        <v>43660.99861</v>
      </c>
      <c r="B3293" s="1">
        <f>IFERROR(__xludf.DUMMYFUNCTION("""COMPUTED_VALUE"""),17605.1)</f>
        <v>17605.1</v>
      </c>
    </row>
    <row r="3294">
      <c r="A3294" s="3">
        <f>IFERROR(__xludf.DUMMYFUNCTION("""COMPUTED_VALUE"""),43661.99861111111)</f>
        <v>43661.99861</v>
      </c>
      <c r="B3294" s="1">
        <f>IFERROR(__xludf.DUMMYFUNCTION("""COMPUTED_VALUE"""),17412.15)</f>
        <v>17412.15</v>
      </c>
    </row>
    <row r="3295">
      <c r="A3295" s="3">
        <f>IFERROR(__xludf.DUMMYFUNCTION("""COMPUTED_VALUE"""),43662.99861111111)</f>
        <v>43662.99861</v>
      </c>
      <c r="B3295" s="1">
        <f>IFERROR(__xludf.DUMMYFUNCTION("""COMPUTED_VALUE"""),17311.65)</f>
        <v>17311.65</v>
      </c>
    </row>
    <row r="3296">
      <c r="A3296" s="3">
        <f>IFERROR(__xludf.DUMMYFUNCTION("""COMPUTED_VALUE"""),43663.99861111111)</f>
        <v>43663.99861</v>
      </c>
      <c r="B3296" s="1">
        <f>IFERROR(__xludf.DUMMYFUNCTION("""COMPUTED_VALUE"""),17371.15)</f>
        <v>17371.15</v>
      </c>
    </row>
    <row r="3297">
      <c r="A3297" s="3">
        <f>IFERROR(__xludf.DUMMYFUNCTION("""COMPUTED_VALUE"""),43664.99861111111)</f>
        <v>43664.99861</v>
      </c>
      <c r="B3297" s="1">
        <f>IFERROR(__xludf.DUMMYFUNCTION("""COMPUTED_VALUE"""),17451.85)</f>
        <v>17451.85</v>
      </c>
    </row>
    <row r="3298">
      <c r="A3298" s="3">
        <f>IFERROR(__xludf.DUMMYFUNCTION("""COMPUTED_VALUE"""),43665.99861111111)</f>
        <v>43665.99861</v>
      </c>
      <c r="B3298" s="1">
        <f>IFERROR(__xludf.DUMMYFUNCTION("""COMPUTED_VALUE"""),17390.85)</f>
        <v>17390.85</v>
      </c>
    </row>
    <row r="3299">
      <c r="A3299" s="3">
        <f>IFERROR(__xludf.DUMMYFUNCTION("""COMPUTED_VALUE"""),43666.99861111111)</f>
        <v>43666.99861</v>
      </c>
      <c r="B3299" s="1">
        <f>IFERROR(__xludf.DUMMYFUNCTION("""COMPUTED_VALUE"""),17453.15)</f>
        <v>17453.15</v>
      </c>
    </row>
    <row r="3300">
      <c r="A3300" s="3">
        <f>IFERROR(__xludf.DUMMYFUNCTION("""COMPUTED_VALUE"""),43667.99861111111)</f>
        <v>43667.99861</v>
      </c>
      <c r="B3300" s="1">
        <f>IFERROR(__xludf.DUMMYFUNCTION("""COMPUTED_VALUE"""),17467.75)</f>
        <v>17467.75</v>
      </c>
    </row>
    <row r="3301">
      <c r="A3301" s="3">
        <f>IFERROR(__xludf.DUMMYFUNCTION("""COMPUTED_VALUE"""),43668.99861111111)</f>
        <v>43668.99861</v>
      </c>
      <c r="B3301" s="1">
        <f>IFERROR(__xludf.DUMMYFUNCTION("""COMPUTED_VALUE"""),17392.05)</f>
        <v>17392.05</v>
      </c>
    </row>
    <row r="3302">
      <c r="A3302" s="3">
        <f>IFERROR(__xludf.DUMMYFUNCTION("""COMPUTED_VALUE"""),43669.99861111111)</f>
        <v>43669.99861</v>
      </c>
      <c r="B3302" s="1">
        <f>IFERROR(__xludf.DUMMYFUNCTION("""COMPUTED_VALUE"""),17436.2)</f>
        <v>17436.2</v>
      </c>
    </row>
    <row r="3303">
      <c r="A3303" s="3">
        <f>IFERROR(__xludf.DUMMYFUNCTION("""COMPUTED_VALUE"""),43670.99861111111)</f>
        <v>43670.99861</v>
      </c>
      <c r="B3303" s="1">
        <f>IFERROR(__xludf.DUMMYFUNCTION("""COMPUTED_VALUE"""),17517.3)</f>
        <v>17517.3</v>
      </c>
    </row>
    <row r="3304">
      <c r="A3304" s="3">
        <f>IFERROR(__xludf.DUMMYFUNCTION("""COMPUTED_VALUE"""),43671.99861111111)</f>
        <v>43671.99861</v>
      </c>
      <c r="B3304" s="1">
        <f>IFERROR(__xludf.DUMMYFUNCTION("""COMPUTED_VALUE"""),17406.2)</f>
        <v>17406.2</v>
      </c>
    </row>
    <row r="3305">
      <c r="A3305" s="3">
        <f>IFERROR(__xludf.DUMMYFUNCTION("""COMPUTED_VALUE"""),43672.99861111111)</f>
        <v>43672.99861</v>
      </c>
      <c r="B3305" s="1">
        <f>IFERROR(__xludf.DUMMYFUNCTION("""COMPUTED_VALUE"""),17281.75)</f>
        <v>17281.75</v>
      </c>
    </row>
    <row r="3306">
      <c r="A3306" s="3">
        <f>IFERROR(__xludf.DUMMYFUNCTION("""COMPUTED_VALUE"""),43673.99861111111)</f>
        <v>43673.99861</v>
      </c>
      <c r="B3306" s="1">
        <f>IFERROR(__xludf.DUMMYFUNCTION("""COMPUTED_VALUE"""),17281.75)</f>
        <v>17281.75</v>
      </c>
    </row>
    <row r="3307">
      <c r="A3307" s="3">
        <f>IFERROR(__xludf.DUMMYFUNCTION("""COMPUTED_VALUE"""),43674.99861111111)</f>
        <v>43674.99861</v>
      </c>
      <c r="B3307" s="1">
        <f>IFERROR(__xludf.DUMMYFUNCTION("""COMPUTED_VALUE"""),17313.65)</f>
        <v>17313.65</v>
      </c>
    </row>
    <row r="3308">
      <c r="A3308" s="3">
        <f>IFERROR(__xludf.DUMMYFUNCTION("""COMPUTED_VALUE"""),43675.99861111111)</f>
        <v>43675.99861</v>
      </c>
      <c r="B3308" s="1">
        <f>IFERROR(__xludf.DUMMYFUNCTION("""COMPUTED_VALUE"""),17674.75)</f>
        <v>17674.75</v>
      </c>
    </row>
    <row r="3309">
      <c r="A3309" s="3">
        <f>IFERROR(__xludf.DUMMYFUNCTION("""COMPUTED_VALUE"""),43676.99861111111)</f>
        <v>43676.99861</v>
      </c>
      <c r="B3309" s="1">
        <f>IFERROR(__xludf.DUMMYFUNCTION("""COMPUTED_VALUE"""),17044.85)</f>
        <v>17044.85</v>
      </c>
    </row>
    <row r="3310">
      <c r="A3310" s="3">
        <f>IFERROR(__xludf.DUMMYFUNCTION("""COMPUTED_VALUE"""),43677.99861111111)</f>
        <v>43677.99861</v>
      </c>
      <c r="B3310" s="1">
        <f>IFERROR(__xludf.DUMMYFUNCTION("""COMPUTED_VALUE"""),17130.1)</f>
        <v>17130.1</v>
      </c>
    </row>
    <row r="3311">
      <c r="A3311" s="3">
        <f>IFERROR(__xludf.DUMMYFUNCTION("""COMPUTED_VALUE"""),43678.99861111111)</f>
        <v>43678.99861</v>
      </c>
      <c r="B3311" s="1">
        <f>IFERROR(__xludf.DUMMYFUNCTION("""COMPUTED_VALUE"""),17120.05)</f>
        <v>17120.05</v>
      </c>
    </row>
    <row r="3312">
      <c r="A3312" s="3">
        <f>IFERROR(__xludf.DUMMYFUNCTION("""COMPUTED_VALUE"""),43679.99861111111)</f>
        <v>43679.99861</v>
      </c>
      <c r="B3312" s="1">
        <f>IFERROR(__xludf.DUMMYFUNCTION("""COMPUTED_VALUE"""),17206.55)</f>
        <v>17206.55</v>
      </c>
    </row>
    <row r="3313">
      <c r="A3313" s="3">
        <f>IFERROR(__xludf.DUMMYFUNCTION("""COMPUTED_VALUE"""),43680.99861111111)</f>
        <v>43680.99861</v>
      </c>
      <c r="B3313" s="1">
        <f>IFERROR(__xludf.DUMMYFUNCTION("""COMPUTED_VALUE"""),17206.55)</f>
        <v>17206.55</v>
      </c>
    </row>
    <row r="3314">
      <c r="A3314" s="3">
        <f>IFERROR(__xludf.DUMMYFUNCTION("""COMPUTED_VALUE"""),43681.99861111111)</f>
        <v>43681.99861</v>
      </c>
      <c r="B3314" s="1">
        <f>IFERROR(__xludf.DUMMYFUNCTION("""COMPUTED_VALUE"""),17227.35)</f>
        <v>17227.35</v>
      </c>
    </row>
    <row r="3315">
      <c r="A3315" s="3">
        <f>IFERROR(__xludf.DUMMYFUNCTION("""COMPUTED_VALUE"""),43682.99861111111)</f>
        <v>43682.99861</v>
      </c>
      <c r="B3315" s="1">
        <f>IFERROR(__xludf.DUMMYFUNCTION("""COMPUTED_VALUE"""),17252.3)</f>
        <v>17252.3</v>
      </c>
    </row>
    <row r="3316">
      <c r="A3316" s="3">
        <f>IFERROR(__xludf.DUMMYFUNCTION("""COMPUTED_VALUE"""),43683.99861111111)</f>
        <v>43683.99861</v>
      </c>
      <c r="B3316" s="1">
        <f>IFERROR(__xludf.DUMMYFUNCTION("""COMPUTED_VALUE"""),17300.6)</f>
        <v>17300.6</v>
      </c>
    </row>
    <row r="3317">
      <c r="A3317" s="3">
        <f>IFERROR(__xludf.DUMMYFUNCTION("""COMPUTED_VALUE"""),43684.99861111111)</f>
        <v>43684.99861</v>
      </c>
      <c r="B3317" s="1">
        <f>IFERROR(__xludf.DUMMYFUNCTION("""COMPUTED_VALUE"""),17304.5)</f>
        <v>17304.5</v>
      </c>
    </row>
    <row r="3318">
      <c r="A3318" s="3">
        <f>IFERROR(__xludf.DUMMYFUNCTION("""COMPUTED_VALUE"""),43685.99861111111)</f>
        <v>43685.99861</v>
      </c>
      <c r="B3318" s="1">
        <f>IFERROR(__xludf.DUMMYFUNCTION("""COMPUTED_VALUE"""),17284.85)</f>
        <v>17284.85</v>
      </c>
    </row>
    <row r="3319">
      <c r="A3319" s="3">
        <f>IFERROR(__xludf.DUMMYFUNCTION("""COMPUTED_VALUE"""),43686.99861111111)</f>
        <v>43686.99861</v>
      </c>
      <c r="B3319" s="1">
        <f>IFERROR(__xludf.DUMMYFUNCTION("""COMPUTED_VALUE"""),16920.05)</f>
        <v>16920.05</v>
      </c>
    </row>
    <row r="3320">
      <c r="A3320" s="3">
        <f>IFERROR(__xludf.DUMMYFUNCTION("""COMPUTED_VALUE"""),43687.99861111111)</f>
        <v>43687.99861</v>
      </c>
      <c r="B3320" s="1">
        <f>IFERROR(__xludf.DUMMYFUNCTION("""COMPUTED_VALUE"""),16920.05)</f>
        <v>16920.05</v>
      </c>
    </row>
    <row r="3321">
      <c r="A3321" s="3">
        <f>IFERROR(__xludf.DUMMYFUNCTION("""COMPUTED_VALUE"""),43688.99861111111)</f>
        <v>43688.99861</v>
      </c>
      <c r="B3321" s="1">
        <f>IFERROR(__xludf.DUMMYFUNCTION("""COMPUTED_VALUE"""),17056.15)</f>
        <v>17056.15</v>
      </c>
    </row>
    <row r="3322">
      <c r="A3322" s="3">
        <f>IFERROR(__xludf.DUMMYFUNCTION("""COMPUTED_VALUE"""),43689.99861111111)</f>
        <v>43689.99861</v>
      </c>
      <c r="B3322" s="1">
        <f>IFERROR(__xludf.DUMMYFUNCTION("""COMPUTED_VALUE"""),17180.2)</f>
        <v>17180.2</v>
      </c>
    </row>
    <row r="3323">
      <c r="A3323" s="3">
        <f>IFERROR(__xludf.DUMMYFUNCTION("""COMPUTED_VALUE"""),43690.99861111111)</f>
        <v>43690.99861</v>
      </c>
      <c r="B3323" s="1">
        <f>IFERROR(__xludf.DUMMYFUNCTION("""COMPUTED_VALUE"""),17331.0)</f>
        <v>17331</v>
      </c>
    </row>
    <row r="3324">
      <c r="A3324" s="3">
        <f>IFERROR(__xludf.DUMMYFUNCTION("""COMPUTED_VALUE"""),43691.99861111111)</f>
        <v>43691.99861</v>
      </c>
      <c r="B3324" s="1">
        <f>IFERROR(__xludf.DUMMYFUNCTION("""COMPUTED_VALUE"""),17236.45)</f>
        <v>17236.45</v>
      </c>
    </row>
    <row r="3325">
      <c r="A3325" s="3">
        <f>IFERROR(__xludf.DUMMYFUNCTION("""COMPUTED_VALUE"""),43692.99861111111)</f>
        <v>43692.99861</v>
      </c>
      <c r="B3325" s="1">
        <f>IFERROR(__xludf.DUMMYFUNCTION("""COMPUTED_VALUE"""),17317.1)</f>
        <v>17317.1</v>
      </c>
    </row>
    <row r="3326">
      <c r="A3326" s="3">
        <f>IFERROR(__xludf.DUMMYFUNCTION("""COMPUTED_VALUE"""),43693.99861111111)</f>
        <v>43693.99861</v>
      </c>
      <c r="B3326" s="1">
        <f>IFERROR(__xludf.DUMMYFUNCTION("""COMPUTED_VALUE"""),17264.45)</f>
        <v>17264.45</v>
      </c>
    </row>
    <row r="3327">
      <c r="A3327" s="3">
        <f>IFERROR(__xludf.DUMMYFUNCTION("""COMPUTED_VALUE"""),43694.99861111111)</f>
        <v>43694.99861</v>
      </c>
      <c r="B3327" s="1">
        <f>IFERROR(__xludf.DUMMYFUNCTION("""COMPUTED_VALUE"""),17264.45)</f>
        <v>17264.45</v>
      </c>
    </row>
    <row r="3328">
      <c r="A3328" s="3">
        <f>IFERROR(__xludf.DUMMYFUNCTION("""COMPUTED_VALUE"""),43695.99861111111)</f>
        <v>43695.99861</v>
      </c>
      <c r="B3328" s="1">
        <f>IFERROR(__xludf.DUMMYFUNCTION("""COMPUTED_VALUE"""),17284.9)</f>
        <v>17284.9</v>
      </c>
    </row>
    <row r="3329">
      <c r="A3329" s="3">
        <f>IFERROR(__xludf.DUMMYFUNCTION("""COMPUTED_VALUE"""),43696.99861111111)</f>
        <v>43696.99861</v>
      </c>
      <c r="B3329" s="1">
        <f>IFERROR(__xludf.DUMMYFUNCTION("""COMPUTED_VALUE"""),17312.5)</f>
        <v>17312.5</v>
      </c>
    </row>
    <row r="3330">
      <c r="A3330" s="3">
        <f>IFERROR(__xludf.DUMMYFUNCTION("""COMPUTED_VALUE"""),43697.99861111111)</f>
        <v>43697.99861</v>
      </c>
      <c r="B3330" s="1">
        <f>IFERROR(__xludf.DUMMYFUNCTION("""COMPUTED_VALUE"""),17319.15)</f>
        <v>17319.15</v>
      </c>
    </row>
    <row r="3331">
      <c r="A3331" s="3">
        <f>IFERROR(__xludf.DUMMYFUNCTION("""COMPUTED_VALUE"""),43698.99861111111)</f>
        <v>43698.99861</v>
      </c>
      <c r="B3331" s="1">
        <f>IFERROR(__xludf.DUMMYFUNCTION("""COMPUTED_VALUE"""),17292.0)</f>
        <v>17292</v>
      </c>
    </row>
    <row r="3332">
      <c r="A3332" s="3">
        <f>IFERROR(__xludf.DUMMYFUNCTION("""COMPUTED_VALUE"""),43699.99861111111)</f>
        <v>43699.99861</v>
      </c>
      <c r="B3332" s="1">
        <f>IFERROR(__xludf.DUMMYFUNCTION("""COMPUTED_VALUE"""),17416.7)</f>
        <v>17416.7</v>
      </c>
    </row>
    <row r="3333">
      <c r="A3333" s="3">
        <f>IFERROR(__xludf.DUMMYFUNCTION("""COMPUTED_VALUE"""),43700.99861111111)</f>
        <v>43700.99861</v>
      </c>
      <c r="B3333" s="1">
        <f>IFERROR(__xludf.DUMMYFUNCTION("""COMPUTED_VALUE"""),17160.95)</f>
        <v>17160.95</v>
      </c>
    </row>
    <row r="3334">
      <c r="A3334" s="3">
        <f>IFERROR(__xludf.DUMMYFUNCTION("""COMPUTED_VALUE"""),43701.99861111111)</f>
        <v>43701.99861</v>
      </c>
      <c r="B3334" s="1">
        <f>IFERROR(__xludf.DUMMYFUNCTION("""COMPUTED_VALUE"""),17162.6)</f>
        <v>17162.6</v>
      </c>
    </row>
    <row r="3335">
      <c r="A3335" s="3">
        <f>IFERROR(__xludf.DUMMYFUNCTION("""COMPUTED_VALUE"""),43702.99861111111)</f>
        <v>43702.99861</v>
      </c>
      <c r="B3335" s="1">
        <f>IFERROR(__xludf.DUMMYFUNCTION("""COMPUTED_VALUE"""),17283.65)</f>
        <v>17283.65</v>
      </c>
    </row>
    <row r="3336">
      <c r="A3336" s="3">
        <f>IFERROR(__xludf.DUMMYFUNCTION("""COMPUTED_VALUE"""),43703.99861111111)</f>
        <v>43703.99861</v>
      </c>
      <c r="B3336" s="1">
        <f>IFERROR(__xludf.DUMMYFUNCTION("""COMPUTED_VALUE"""),17401.6)</f>
        <v>17401.6</v>
      </c>
    </row>
    <row r="3337">
      <c r="A3337" s="3">
        <f>IFERROR(__xludf.DUMMYFUNCTION("""COMPUTED_VALUE"""),43704.99861111111)</f>
        <v>43704.99861</v>
      </c>
      <c r="B3337" s="1">
        <f>IFERROR(__xludf.DUMMYFUNCTION("""COMPUTED_VALUE"""),17512.45)</f>
        <v>17512.45</v>
      </c>
    </row>
    <row r="3338">
      <c r="A3338" s="3">
        <f>IFERROR(__xludf.DUMMYFUNCTION("""COMPUTED_VALUE"""),43705.99861111111)</f>
        <v>43705.99861</v>
      </c>
      <c r="B3338" s="1">
        <f>IFERROR(__xludf.DUMMYFUNCTION("""COMPUTED_VALUE"""),17405.8)</f>
        <v>17405.8</v>
      </c>
    </row>
    <row r="3339">
      <c r="A3339" s="3">
        <f>IFERROR(__xludf.DUMMYFUNCTION("""COMPUTED_VALUE"""),43706.99861111111)</f>
        <v>43706.99861</v>
      </c>
      <c r="B3339" s="1">
        <f>IFERROR(__xludf.DUMMYFUNCTION("""COMPUTED_VALUE"""),17351.6)</f>
        <v>17351.6</v>
      </c>
    </row>
    <row r="3340">
      <c r="A3340" s="3">
        <f>IFERROR(__xludf.DUMMYFUNCTION("""COMPUTED_VALUE"""),43707.99861111111)</f>
        <v>43707.99861</v>
      </c>
      <c r="B3340" s="1">
        <f>IFERROR(__xludf.DUMMYFUNCTION("""COMPUTED_VALUE"""),17301.9)</f>
        <v>17301.9</v>
      </c>
    </row>
    <row r="3341">
      <c r="A3341" s="3">
        <f>IFERROR(__xludf.DUMMYFUNCTION("""COMPUTED_VALUE"""),43708.99861111111)</f>
        <v>43708.99861</v>
      </c>
      <c r="B3341" s="1">
        <f>IFERROR(__xludf.DUMMYFUNCTION("""COMPUTED_VALUE"""),17301.9)</f>
        <v>17301.9</v>
      </c>
    </row>
    <row r="3342">
      <c r="A3342" s="3">
        <f>IFERROR(__xludf.DUMMYFUNCTION("""COMPUTED_VALUE"""),43709.99861111111)</f>
        <v>43709.99861</v>
      </c>
      <c r="B3342" s="1">
        <f>IFERROR(__xludf.DUMMYFUNCTION("""COMPUTED_VALUE"""),17333.05)</f>
        <v>17333.05</v>
      </c>
    </row>
    <row r="3343">
      <c r="A3343" s="3">
        <f>IFERROR(__xludf.DUMMYFUNCTION("""COMPUTED_VALUE"""),43710.99861111111)</f>
        <v>43710.99861</v>
      </c>
      <c r="B3343" s="1">
        <f>IFERROR(__xludf.DUMMYFUNCTION("""COMPUTED_VALUE"""),17128.8)</f>
        <v>17128.8</v>
      </c>
    </row>
    <row r="3344">
      <c r="A3344" s="3">
        <f>IFERROR(__xludf.DUMMYFUNCTION("""COMPUTED_VALUE"""),43711.99861111111)</f>
        <v>43711.99861</v>
      </c>
      <c r="B3344" s="1">
        <f>IFERROR(__xludf.DUMMYFUNCTION("""COMPUTED_VALUE"""),17189.8)</f>
        <v>17189.8</v>
      </c>
    </row>
    <row r="3345">
      <c r="A3345" s="3">
        <f>IFERROR(__xludf.DUMMYFUNCTION("""COMPUTED_VALUE"""),43712.99861111111)</f>
        <v>43712.99861</v>
      </c>
      <c r="B3345" s="1">
        <f>IFERROR(__xludf.DUMMYFUNCTION("""COMPUTED_VALUE"""),17320.35)</f>
        <v>17320.35</v>
      </c>
    </row>
    <row r="3346">
      <c r="A3346" s="3">
        <f>IFERROR(__xludf.DUMMYFUNCTION("""COMPUTED_VALUE"""),43713.99861111111)</f>
        <v>43713.99861</v>
      </c>
      <c r="B3346" s="1">
        <f>IFERROR(__xludf.DUMMYFUNCTION("""COMPUTED_VALUE"""),17441.0)</f>
        <v>17441</v>
      </c>
    </row>
    <row r="3347">
      <c r="A3347" s="3">
        <f>IFERROR(__xludf.DUMMYFUNCTION("""COMPUTED_VALUE"""),43714.99861111111)</f>
        <v>43714.99861</v>
      </c>
      <c r="B3347" s="1">
        <f>IFERROR(__xludf.DUMMYFUNCTION("""COMPUTED_VALUE"""),17144.9)</f>
        <v>17144.9</v>
      </c>
    </row>
    <row r="3348">
      <c r="A3348" s="3">
        <f>IFERROR(__xludf.DUMMYFUNCTION("""COMPUTED_VALUE"""),43715.99861111111)</f>
        <v>43715.99861</v>
      </c>
      <c r="B3348" s="1">
        <f>IFERROR(__xludf.DUMMYFUNCTION("""COMPUTED_VALUE"""),17156.2)</f>
        <v>17156.2</v>
      </c>
    </row>
    <row r="3349">
      <c r="A3349" s="3">
        <f>IFERROR(__xludf.DUMMYFUNCTION("""COMPUTED_VALUE"""),43716.99861111111)</f>
        <v>43716.99861</v>
      </c>
      <c r="B3349" s="1">
        <f>IFERROR(__xludf.DUMMYFUNCTION("""COMPUTED_VALUE"""),17328.45)</f>
        <v>17328.45</v>
      </c>
    </row>
    <row r="3350">
      <c r="A3350" s="3">
        <f>IFERROR(__xludf.DUMMYFUNCTION("""COMPUTED_VALUE"""),43717.99861111111)</f>
        <v>43717.99861</v>
      </c>
      <c r="B3350" s="1">
        <f>IFERROR(__xludf.DUMMYFUNCTION("""COMPUTED_VALUE"""),17315.3)</f>
        <v>17315.3</v>
      </c>
    </row>
    <row r="3351">
      <c r="A3351" s="3">
        <f>IFERROR(__xludf.DUMMYFUNCTION("""COMPUTED_VALUE"""),43718.99861111111)</f>
        <v>43718.99861</v>
      </c>
      <c r="B3351" s="1">
        <f>IFERROR(__xludf.DUMMYFUNCTION("""COMPUTED_VALUE"""),17351.1)</f>
        <v>17351.1</v>
      </c>
    </row>
    <row r="3352">
      <c r="A3352" s="3">
        <f>IFERROR(__xludf.DUMMYFUNCTION("""COMPUTED_VALUE"""),43719.99861111111)</f>
        <v>43719.99861</v>
      </c>
      <c r="B3352" s="1">
        <f>IFERROR(__xludf.DUMMYFUNCTION("""COMPUTED_VALUE"""),17312.7)</f>
        <v>17312.7</v>
      </c>
    </row>
    <row r="3353">
      <c r="A3353" s="3">
        <f>IFERROR(__xludf.DUMMYFUNCTION("""COMPUTED_VALUE"""),43720.99861111111)</f>
        <v>43720.99861</v>
      </c>
      <c r="B3353" s="1">
        <f>IFERROR(__xludf.DUMMYFUNCTION("""COMPUTED_VALUE"""),17200.25)</f>
        <v>17200.25</v>
      </c>
    </row>
    <row r="3354">
      <c r="A3354" s="3">
        <f>IFERROR(__xludf.DUMMYFUNCTION("""COMPUTED_VALUE"""),43721.99861111111)</f>
        <v>43721.99861</v>
      </c>
      <c r="B3354" s="1">
        <f>IFERROR(__xludf.DUMMYFUNCTION("""COMPUTED_VALUE"""),17323.1)</f>
        <v>17323.1</v>
      </c>
    </row>
    <row r="3355">
      <c r="A3355" s="3">
        <f>IFERROR(__xludf.DUMMYFUNCTION("""COMPUTED_VALUE"""),43722.99861111111)</f>
        <v>43722.99861</v>
      </c>
      <c r="B3355" s="1">
        <f>IFERROR(__xludf.DUMMYFUNCTION("""COMPUTED_VALUE"""),17323.1)</f>
        <v>17323.1</v>
      </c>
    </row>
    <row r="3356">
      <c r="A3356" s="3">
        <f>IFERROR(__xludf.DUMMYFUNCTION("""COMPUTED_VALUE"""),43723.99861111111)</f>
        <v>43723.99861</v>
      </c>
      <c r="B3356" s="1">
        <f>IFERROR(__xludf.DUMMYFUNCTION("""COMPUTED_VALUE"""),17431.7)</f>
        <v>17431.7</v>
      </c>
    </row>
    <row r="3357">
      <c r="A3357" s="3">
        <f>IFERROR(__xludf.DUMMYFUNCTION("""COMPUTED_VALUE"""),43724.99861111111)</f>
        <v>43724.99861</v>
      </c>
      <c r="B3357" s="1">
        <f>IFERROR(__xludf.DUMMYFUNCTION("""COMPUTED_VALUE"""),17445.6)</f>
        <v>17445.6</v>
      </c>
    </row>
    <row r="3358">
      <c r="A3358" s="3">
        <f>IFERROR(__xludf.DUMMYFUNCTION("""COMPUTED_VALUE"""),43725.99861111111)</f>
        <v>43725.99861</v>
      </c>
      <c r="B3358" s="1">
        <f>IFERROR(__xludf.DUMMYFUNCTION("""COMPUTED_VALUE"""),17440.05)</f>
        <v>17440.05</v>
      </c>
    </row>
    <row r="3359">
      <c r="A3359" s="3">
        <f>IFERROR(__xludf.DUMMYFUNCTION("""COMPUTED_VALUE"""),43726.99861111111)</f>
        <v>43726.99861</v>
      </c>
      <c r="B3359" s="1">
        <f>IFERROR(__xludf.DUMMYFUNCTION("""COMPUTED_VALUE"""),17638.45)</f>
        <v>17638.45</v>
      </c>
    </row>
    <row r="3360">
      <c r="A3360" s="3">
        <f>IFERROR(__xludf.DUMMYFUNCTION("""COMPUTED_VALUE"""),43727.99861111111)</f>
        <v>43727.99861</v>
      </c>
      <c r="B3360" s="1">
        <f>IFERROR(__xludf.DUMMYFUNCTION("""COMPUTED_VALUE"""),17689.4)</f>
        <v>17689.4</v>
      </c>
    </row>
    <row r="3361">
      <c r="A3361" s="3">
        <f>IFERROR(__xludf.DUMMYFUNCTION("""COMPUTED_VALUE"""),43728.99861111111)</f>
        <v>43728.99861</v>
      </c>
      <c r="B3361" s="1">
        <f>IFERROR(__xludf.DUMMYFUNCTION("""COMPUTED_VALUE"""),17531.9)</f>
        <v>17531.9</v>
      </c>
    </row>
    <row r="3362">
      <c r="A3362" s="3">
        <f>IFERROR(__xludf.DUMMYFUNCTION("""COMPUTED_VALUE"""),43729.99861111111)</f>
        <v>43729.99861</v>
      </c>
      <c r="B3362" s="1">
        <f>IFERROR(__xludf.DUMMYFUNCTION("""COMPUTED_VALUE"""),17531.9)</f>
        <v>17531.9</v>
      </c>
    </row>
    <row r="3363">
      <c r="A3363" s="3">
        <f>IFERROR(__xludf.DUMMYFUNCTION("""COMPUTED_VALUE"""),43730.99861111111)</f>
        <v>43730.99861</v>
      </c>
      <c r="B3363" s="1">
        <f>IFERROR(__xludf.DUMMYFUNCTION("""COMPUTED_VALUE"""),17508.9)</f>
        <v>17508.9</v>
      </c>
    </row>
    <row r="3364">
      <c r="A3364" s="3">
        <f>IFERROR(__xludf.DUMMYFUNCTION("""COMPUTED_VALUE"""),43731.99861111111)</f>
        <v>43731.99861</v>
      </c>
      <c r="B3364" s="1">
        <f>IFERROR(__xludf.DUMMYFUNCTION("""COMPUTED_VALUE"""),17499.35)</f>
        <v>17499.35</v>
      </c>
    </row>
    <row r="3365">
      <c r="A3365" s="3">
        <f>IFERROR(__xludf.DUMMYFUNCTION("""COMPUTED_VALUE"""),43732.99861111111)</f>
        <v>43732.99861</v>
      </c>
      <c r="B3365" s="1">
        <f>IFERROR(__xludf.DUMMYFUNCTION("""COMPUTED_VALUE"""),17627.3)</f>
        <v>17627.3</v>
      </c>
    </row>
    <row r="3366">
      <c r="A3366" s="3">
        <f>IFERROR(__xludf.DUMMYFUNCTION("""COMPUTED_VALUE"""),43733.99861111111)</f>
        <v>43733.99861</v>
      </c>
      <c r="B3366" s="1">
        <f>IFERROR(__xludf.DUMMYFUNCTION("""COMPUTED_VALUE"""),17474.45)</f>
        <v>17474.45</v>
      </c>
    </row>
    <row r="3367">
      <c r="A3367" s="3">
        <f>IFERROR(__xludf.DUMMYFUNCTION("""COMPUTED_VALUE"""),43734.99861111111)</f>
        <v>43734.99861</v>
      </c>
      <c r="B3367" s="1">
        <f>IFERROR(__xludf.DUMMYFUNCTION("""COMPUTED_VALUE"""),17491.65)</f>
        <v>17491.65</v>
      </c>
    </row>
    <row r="3368">
      <c r="A3368" s="3">
        <f>IFERROR(__xludf.DUMMYFUNCTION("""COMPUTED_VALUE"""),43735.99861111111)</f>
        <v>43735.99861</v>
      </c>
      <c r="B3368" s="1">
        <f>IFERROR(__xludf.DUMMYFUNCTION("""COMPUTED_VALUE"""),17418.6)</f>
        <v>17418.6</v>
      </c>
    </row>
    <row r="3369">
      <c r="A3369" s="3">
        <f>IFERROR(__xludf.DUMMYFUNCTION("""COMPUTED_VALUE"""),43736.99861111111)</f>
        <v>43736.99861</v>
      </c>
      <c r="B3369" s="1">
        <f>IFERROR(__xludf.DUMMYFUNCTION("""COMPUTED_VALUE"""),17412.25)</f>
        <v>17412.25</v>
      </c>
    </row>
    <row r="3370">
      <c r="A3370" s="3">
        <f>IFERROR(__xludf.DUMMYFUNCTION("""COMPUTED_VALUE"""),43737.99861111111)</f>
        <v>43737.99861</v>
      </c>
      <c r="B3370" s="1">
        <f>IFERROR(__xludf.DUMMYFUNCTION("""COMPUTED_VALUE"""),17405.45)</f>
        <v>17405.45</v>
      </c>
    </row>
    <row r="3371">
      <c r="A3371" s="3">
        <f>IFERROR(__xludf.DUMMYFUNCTION("""COMPUTED_VALUE"""),43738.99861111111)</f>
        <v>43738.99861</v>
      </c>
      <c r="B3371" s="1">
        <f>IFERROR(__xludf.DUMMYFUNCTION("""COMPUTED_VALUE"""),17480.15)</f>
        <v>17480.15</v>
      </c>
    </row>
    <row r="3372">
      <c r="A3372" s="3">
        <f>IFERROR(__xludf.DUMMYFUNCTION("""COMPUTED_VALUE"""),43739.99861111111)</f>
        <v>43739.99861</v>
      </c>
      <c r="B3372" s="1">
        <f>IFERROR(__xludf.DUMMYFUNCTION("""COMPUTED_VALUE"""),17416.15)</f>
        <v>17416.15</v>
      </c>
    </row>
    <row r="3373">
      <c r="A3373" s="3">
        <f>IFERROR(__xludf.DUMMYFUNCTION("""COMPUTED_VALUE"""),43740.99861111111)</f>
        <v>43740.99861</v>
      </c>
      <c r="B3373" s="1">
        <f>IFERROR(__xludf.DUMMYFUNCTION("""COMPUTED_VALUE"""),17399.55)</f>
        <v>17399.55</v>
      </c>
    </row>
    <row r="3374">
      <c r="A3374" s="3">
        <f>IFERROR(__xludf.DUMMYFUNCTION("""COMPUTED_VALUE"""),43741.99861111111)</f>
        <v>43741.99861</v>
      </c>
      <c r="B3374" s="1">
        <f>IFERROR(__xludf.DUMMYFUNCTION("""COMPUTED_VALUE"""),17502.65)</f>
        <v>17502.65</v>
      </c>
    </row>
    <row r="3375">
      <c r="A3375" s="3">
        <f>IFERROR(__xludf.DUMMYFUNCTION("""COMPUTED_VALUE"""),43742.99861111111)</f>
        <v>43742.99861</v>
      </c>
      <c r="B3375" s="1">
        <f>IFERROR(__xludf.DUMMYFUNCTION("""COMPUTED_VALUE"""),17371.5)</f>
        <v>17371.5</v>
      </c>
    </row>
    <row r="3376">
      <c r="A3376" s="3">
        <f>IFERROR(__xludf.DUMMYFUNCTION("""COMPUTED_VALUE"""),43743.99861111111)</f>
        <v>43743.99861</v>
      </c>
      <c r="B3376" s="1">
        <f>IFERROR(__xludf.DUMMYFUNCTION("""COMPUTED_VALUE"""),17441.35)</f>
        <v>17441.35</v>
      </c>
    </row>
    <row r="3377">
      <c r="A3377" s="3">
        <f>IFERROR(__xludf.DUMMYFUNCTION("""COMPUTED_VALUE"""),43744.99861111111)</f>
        <v>43744.99861</v>
      </c>
      <c r="B3377" s="1">
        <f>IFERROR(__xludf.DUMMYFUNCTION("""COMPUTED_VALUE"""),17443.0)</f>
        <v>17443</v>
      </c>
    </row>
    <row r="3378">
      <c r="A3378" s="3">
        <f>IFERROR(__xludf.DUMMYFUNCTION("""COMPUTED_VALUE"""),43745.99861111111)</f>
        <v>43745.99861</v>
      </c>
      <c r="B3378" s="1">
        <f>IFERROR(__xludf.DUMMYFUNCTION("""COMPUTED_VALUE"""),17400.3)</f>
        <v>17400.3</v>
      </c>
    </row>
    <row r="3379">
      <c r="A3379" s="3">
        <f>IFERROR(__xludf.DUMMYFUNCTION("""COMPUTED_VALUE"""),43746.99861111111)</f>
        <v>43746.99861</v>
      </c>
      <c r="B3379" s="1">
        <f>IFERROR(__xludf.DUMMYFUNCTION("""COMPUTED_VALUE"""),17320.6)</f>
        <v>17320.6</v>
      </c>
    </row>
    <row r="3380">
      <c r="A3380" s="3">
        <f>IFERROR(__xludf.DUMMYFUNCTION("""COMPUTED_VALUE"""),43747.99861111111)</f>
        <v>43747.99861</v>
      </c>
      <c r="B3380" s="1">
        <f>IFERROR(__xludf.DUMMYFUNCTION("""COMPUTED_VALUE"""),17281.65)</f>
        <v>17281.65</v>
      </c>
    </row>
    <row r="3381">
      <c r="A3381" s="3">
        <f>IFERROR(__xludf.DUMMYFUNCTION("""COMPUTED_VALUE"""),43748.99861111111)</f>
        <v>43748.99861</v>
      </c>
      <c r="B3381" s="1">
        <f>IFERROR(__xludf.DUMMYFUNCTION("""COMPUTED_VALUE"""),17606.85)</f>
        <v>17606.85</v>
      </c>
    </row>
    <row r="3382">
      <c r="A3382" s="3">
        <f>IFERROR(__xludf.DUMMYFUNCTION("""COMPUTED_VALUE"""),43749.99861111111)</f>
        <v>43749.99861</v>
      </c>
      <c r="B3382" s="1">
        <f>IFERROR(__xludf.DUMMYFUNCTION("""COMPUTED_VALUE"""),17867.95)</f>
        <v>17867.95</v>
      </c>
    </row>
    <row r="3383">
      <c r="A3383" s="3">
        <f>IFERROR(__xludf.DUMMYFUNCTION("""COMPUTED_VALUE"""),43750.99861111111)</f>
        <v>43750.99861</v>
      </c>
      <c r="B3383" s="1">
        <f>IFERROR(__xludf.DUMMYFUNCTION("""COMPUTED_VALUE"""),17867.93)</f>
        <v>17867.93</v>
      </c>
    </row>
    <row r="3384">
      <c r="A3384" s="3">
        <f>IFERROR(__xludf.DUMMYFUNCTION("""COMPUTED_VALUE"""),43751.99861111111)</f>
        <v>43751.99861</v>
      </c>
      <c r="B3384" s="1">
        <f>IFERROR(__xludf.DUMMYFUNCTION("""COMPUTED_VALUE"""),17838.14)</f>
        <v>17838.14</v>
      </c>
    </row>
    <row r="3385">
      <c r="A3385" s="3">
        <f>IFERROR(__xludf.DUMMYFUNCTION("""COMPUTED_VALUE"""),43752.99861111111)</f>
        <v>43752.99861</v>
      </c>
      <c r="B3385" s="1">
        <f>IFERROR(__xludf.DUMMYFUNCTION("""COMPUTED_VALUE"""),17837.41)</f>
        <v>17837.41</v>
      </c>
    </row>
    <row r="3386">
      <c r="A3386" s="3">
        <f>IFERROR(__xludf.DUMMYFUNCTION("""COMPUTED_VALUE"""),43753.99861111111)</f>
        <v>43753.99861</v>
      </c>
      <c r="B3386" s="1">
        <f>IFERROR(__xludf.DUMMYFUNCTION("""COMPUTED_VALUE"""),18075.63)</f>
        <v>18075.63</v>
      </c>
    </row>
    <row r="3387">
      <c r="A3387" s="3">
        <f>IFERROR(__xludf.DUMMYFUNCTION("""COMPUTED_VALUE"""),43754.99861111111)</f>
        <v>43754.99861</v>
      </c>
      <c r="B3387" s="1">
        <f>IFERROR(__xludf.DUMMYFUNCTION("""COMPUTED_VALUE"""),18094.88)</f>
        <v>18094.88</v>
      </c>
    </row>
    <row r="3388">
      <c r="A3388" s="3">
        <f>IFERROR(__xludf.DUMMYFUNCTION("""COMPUTED_VALUE"""),43755.99861111111)</f>
        <v>43755.99861</v>
      </c>
      <c r="B3388" s="1">
        <f>IFERROR(__xludf.DUMMYFUNCTION("""COMPUTED_VALUE"""),18200.43)</f>
        <v>18200.43</v>
      </c>
    </row>
    <row r="3389">
      <c r="A3389" s="3">
        <f>IFERROR(__xludf.DUMMYFUNCTION("""COMPUTED_VALUE"""),43756.99861111111)</f>
        <v>43756.99861</v>
      </c>
      <c r="B3389" s="1">
        <f>IFERROR(__xludf.DUMMYFUNCTION("""COMPUTED_VALUE"""),18340.58)</f>
        <v>18340.58</v>
      </c>
    </row>
    <row r="3390">
      <c r="A3390" s="3">
        <f>IFERROR(__xludf.DUMMYFUNCTION("""COMPUTED_VALUE"""),43757.99861111111)</f>
        <v>43757.99861</v>
      </c>
      <c r="B3390" s="1">
        <f>IFERROR(__xludf.DUMMYFUNCTION("""COMPUTED_VALUE"""),18340.58)</f>
        <v>18340.58</v>
      </c>
    </row>
    <row r="3391">
      <c r="A3391" s="3">
        <f>IFERROR(__xludf.DUMMYFUNCTION("""COMPUTED_VALUE"""),43758.99861111111)</f>
        <v>43758.99861</v>
      </c>
      <c r="B3391" s="1">
        <f>IFERROR(__xludf.DUMMYFUNCTION("""COMPUTED_VALUE"""),18250.66)</f>
        <v>18250.66</v>
      </c>
    </row>
    <row r="3392">
      <c r="A3392" s="3">
        <f>IFERROR(__xludf.DUMMYFUNCTION("""COMPUTED_VALUE"""),43759.99861111111)</f>
        <v>43759.99861</v>
      </c>
      <c r="B3392" s="1">
        <f>IFERROR(__xludf.DUMMYFUNCTION("""COMPUTED_VALUE"""),18250.34)</f>
        <v>18250.34</v>
      </c>
    </row>
    <row r="3393">
      <c r="A3393" s="3">
        <f>IFERROR(__xludf.DUMMYFUNCTION("""COMPUTED_VALUE"""),43760.99861111111)</f>
        <v>43760.99861</v>
      </c>
      <c r="B3393" s="1">
        <f>IFERROR(__xludf.DUMMYFUNCTION("""COMPUTED_VALUE"""),18162.77)</f>
        <v>18162.77</v>
      </c>
    </row>
    <row r="3394">
      <c r="A3394" s="3">
        <f>IFERROR(__xludf.DUMMYFUNCTION("""COMPUTED_VALUE"""),43761.99861111111)</f>
        <v>43761.99861</v>
      </c>
      <c r="B3394" s="1">
        <f>IFERROR(__xludf.DUMMYFUNCTION("""COMPUTED_VALUE"""),18084.85)</f>
        <v>18084.85</v>
      </c>
    </row>
    <row r="3395">
      <c r="A3395" s="3">
        <f>IFERROR(__xludf.DUMMYFUNCTION("""COMPUTED_VALUE"""),43762.99861111111)</f>
        <v>43762.99861</v>
      </c>
      <c r="B3395" s="1">
        <f>IFERROR(__xludf.DUMMYFUNCTION("""COMPUTED_VALUE"""),18048.67)</f>
        <v>18048.67</v>
      </c>
    </row>
    <row r="3396">
      <c r="A3396" s="3">
        <f>IFERROR(__xludf.DUMMYFUNCTION("""COMPUTED_VALUE"""),43763.99861111111)</f>
        <v>43763.99861</v>
      </c>
      <c r="B3396" s="1">
        <f>IFERROR(__xludf.DUMMYFUNCTION("""COMPUTED_VALUE"""),17995.25)</f>
        <v>17995.25</v>
      </c>
    </row>
    <row r="3397">
      <c r="A3397" s="3">
        <f>IFERROR(__xludf.DUMMYFUNCTION("""COMPUTED_VALUE"""),43764.99861111111)</f>
        <v>43764.99861</v>
      </c>
      <c r="B3397" s="1">
        <f>IFERROR(__xludf.DUMMYFUNCTION("""COMPUTED_VALUE"""),17995.25)</f>
        <v>17995.25</v>
      </c>
    </row>
    <row r="3398">
      <c r="A3398" s="3">
        <f>IFERROR(__xludf.DUMMYFUNCTION("""COMPUTED_VALUE"""),43765.99861111111)</f>
        <v>43765.99861</v>
      </c>
      <c r="B3398" s="1">
        <f>IFERROR(__xludf.DUMMYFUNCTION("""COMPUTED_VALUE"""),17993.17)</f>
        <v>17993.17</v>
      </c>
    </row>
    <row r="3399">
      <c r="A3399" s="3">
        <f>IFERROR(__xludf.DUMMYFUNCTION("""COMPUTED_VALUE"""),43766.99861111111)</f>
        <v>43766.99861</v>
      </c>
      <c r="B3399" s="1">
        <f>IFERROR(__xludf.DUMMYFUNCTION("""COMPUTED_VALUE"""),18030.59)</f>
        <v>18030.59</v>
      </c>
    </row>
    <row r="3400">
      <c r="A3400" s="3">
        <f>IFERROR(__xludf.DUMMYFUNCTION("""COMPUTED_VALUE"""),43767.99861111111)</f>
        <v>43767.99861</v>
      </c>
      <c r="B3400" s="1">
        <f>IFERROR(__xludf.DUMMYFUNCTION("""COMPUTED_VALUE"""),18021.95)</f>
        <v>18021.95</v>
      </c>
    </row>
    <row r="3401">
      <c r="A3401" s="3">
        <f>IFERROR(__xludf.DUMMYFUNCTION("""COMPUTED_VALUE"""),43768.99861111111)</f>
        <v>43768.99861</v>
      </c>
      <c r="B3401" s="1">
        <f>IFERROR(__xludf.DUMMYFUNCTION("""COMPUTED_VALUE"""),18048.78)</f>
        <v>18048.78</v>
      </c>
    </row>
    <row r="3402">
      <c r="A3402" s="3">
        <f>IFERROR(__xludf.DUMMYFUNCTION("""COMPUTED_VALUE"""),43769.99861111111)</f>
        <v>43769.99861</v>
      </c>
      <c r="B3402" s="1">
        <f>IFERROR(__xludf.DUMMYFUNCTION("""COMPUTED_VALUE"""),18147.55)</f>
        <v>18147.55</v>
      </c>
    </row>
    <row r="3403">
      <c r="A3403" s="3">
        <f>IFERROR(__xludf.DUMMYFUNCTION("""COMPUTED_VALUE"""),43770.99861111111)</f>
        <v>43770.99861</v>
      </c>
      <c r="B3403" s="1">
        <f>IFERROR(__xludf.DUMMYFUNCTION("""COMPUTED_VALUE"""),18092.96)</f>
        <v>18092.96</v>
      </c>
    </row>
    <row r="3404">
      <c r="A3404" s="3">
        <f>IFERROR(__xludf.DUMMYFUNCTION("""COMPUTED_VALUE"""),43771.99861111111)</f>
        <v>43771.99861</v>
      </c>
      <c r="B3404" s="1">
        <f>IFERROR(__xludf.DUMMYFUNCTION("""COMPUTED_VALUE"""),18143.28)</f>
        <v>18143.28</v>
      </c>
    </row>
    <row r="3405">
      <c r="A3405" s="3">
        <f>IFERROR(__xludf.DUMMYFUNCTION("""COMPUTED_VALUE"""),43772.99861111111)</f>
        <v>43772.99861</v>
      </c>
      <c r="B3405" s="1">
        <f>IFERROR(__xludf.DUMMYFUNCTION("""COMPUTED_VALUE"""),18136.98)</f>
        <v>18136.98</v>
      </c>
    </row>
    <row r="3406">
      <c r="A3406" s="3">
        <f>IFERROR(__xludf.DUMMYFUNCTION("""COMPUTED_VALUE"""),43773.99861111111)</f>
        <v>43773.99861</v>
      </c>
      <c r="B3406" s="1">
        <f>IFERROR(__xludf.DUMMYFUNCTION("""COMPUTED_VALUE"""),18125.24)</f>
        <v>18125.24</v>
      </c>
    </row>
    <row r="3407">
      <c r="A3407" s="3">
        <f>IFERROR(__xludf.DUMMYFUNCTION("""COMPUTED_VALUE"""),43774.99861111111)</f>
        <v>43774.99861</v>
      </c>
      <c r="B3407" s="1">
        <f>IFERROR(__xludf.DUMMYFUNCTION("""COMPUTED_VALUE"""),18093.63)</f>
        <v>18093.63</v>
      </c>
    </row>
    <row r="3408">
      <c r="A3408" s="3">
        <f>IFERROR(__xludf.DUMMYFUNCTION("""COMPUTED_VALUE"""),43775.99861111111)</f>
        <v>43775.99861</v>
      </c>
      <c r="B3408" s="1">
        <f>IFERROR(__xludf.DUMMYFUNCTION("""COMPUTED_VALUE"""),18017.31)</f>
        <v>18017.31</v>
      </c>
    </row>
    <row r="3409">
      <c r="A3409" s="3">
        <f>IFERROR(__xludf.DUMMYFUNCTION("""COMPUTED_VALUE"""),43776.99861111111)</f>
        <v>43776.99861</v>
      </c>
      <c r="B3409" s="1">
        <f>IFERROR(__xludf.DUMMYFUNCTION("""COMPUTED_VALUE"""),17921.67)</f>
        <v>17921.67</v>
      </c>
    </row>
    <row r="3410">
      <c r="A3410" s="3">
        <f>IFERROR(__xludf.DUMMYFUNCTION("""COMPUTED_VALUE"""),43777.99861111111)</f>
        <v>43777.99861</v>
      </c>
      <c r="B3410" s="1">
        <f>IFERROR(__xludf.DUMMYFUNCTION("""COMPUTED_VALUE"""),17907.7)</f>
        <v>17907.7</v>
      </c>
    </row>
    <row r="3411">
      <c r="A3411" s="3">
        <f>IFERROR(__xludf.DUMMYFUNCTION("""COMPUTED_VALUE"""),43778.99861111111)</f>
        <v>43778.99861</v>
      </c>
      <c r="B3411" s="1">
        <f>IFERROR(__xludf.DUMMYFUNCTION("""COMPUTED_VALUE"""),17907.7)</f>
        <v>17907.7</v>
      </c>
    </row>
    <row r="3412">
      <c r="A3412" s="3">
        <f>IFERROR(__xludf.DUMMYFUNCTION("""COMPUTED_VALUE"""),43779.99861111111)</f>
        <v>43779.99861</v>
      </c>
      <c r="B3412" s="1">
        <f>IFERROR(__xludf.DUMMYFUNCTION("""COMPUTED_VALUE"""),17930.67)</f>
        <v>17930.67</v>
      </c>
    </row>
    <row r="3413">
      <c r="A3413" s="3">
        <f>IFERROR(__xludf.DUMMYFUNCTION("""COMPUTED_VALUE"""),43780.99861111111)</f>
        <v>43780.99861</v>
      </c>
      <c r="B3413" s="1">
        <f>IFERROR(__xludf.DUMMYFUNCTION("""COMPUTED_VALUE"""),17993.36)</f>
        <v>17993.36</v>
      </c>
    </row>
    <row r="3414">
      <c r="A3414" s="3">
        <f>IFERROR(__xludf.DUMMYFUNCTION("""COMPUTED_VALUE"""),43781.99861111111)</f>
        <v>43781.99861</v>
      </c>
      <c r="B3414" s="1">
        <f>IFERROR(__xludf.DUMMYFUNCTION("""COMPUTED_VALUE"""),18070.42)</f>
        <v>18070.42</v>
      </c>
    </row>
    <row r="3415">
      <c r="A3415" s="3">
        <f>IFERROR(__xludf.DUMMYFUNCTION("""COMPUTED_VALUE"""),43782.99861111111)</f>
        <v>43782.99861</v>
      </c>
      <c r="B3415" s="1">
        <f>IFERROR(__xludf.DUMMYFUNCTION("""COMPUTED_VALUE"""),18098.08)</f>
        <v>18098.08</v>
      </c>
    </row>
    <row r="3416">
      <c r="A3416" s="3">
        <f>IFERROR(__xludf.DUMMYFUNCTION("""COMPUTED_VALUE"""),43783.99861111111)</f>
        <v>43783.99861</v>
      </c>
      <c r="B3416" s="1">
        <f>IFERROR(__xludf.DUMMYFUNCTION("""COMPUTED_VALUE"""),18137.61)</f>
        <v>18137.61</v>
      </c>
    </row>
    <row r="3417">
      <c r="A3417" s="3">
        <f>IFERROR(__xludf.DUMMYFUNCTION("""COMPUTED_VALUE"""),43784.99861111111)</f>
        <v>43784.99861</v>
      </c>
      <c r="B3417" s="1">
        <f>IFERROR(__xludf.DUMMYFUNCTION("""COMPUTED_VALUE"""),18107.73)</f>
        <v>18107.73</v>
      </c>
    </row>
    <row r="3418">
      <c r="A3418" s="3">
        <f>IFERROR(__xludf.DUMMYFUNCTION("""COMPUTED_VALUE"""),43785.99861111111)</f>
        <v>43785.99861</v>
      </c>
      <c r="B3418" s="1">
        <f>IFERROR(__xludf.DUMMYFUNCTION("""COMPUTED_VALUE"""),18127.54)</f>
        <v>18127.54</v>
      </c>
    </row>
    <row r="3419">
      <c r="A3419" s="3">
        <f>IFERROR(__xludf.DUMMYFUNCTION("""COMPUTED_VALUE"""),43786.99861111111)</f>
        <v>43786.99861</v>
      </c>
      <c r="B3419" s="1">
        <f>IFERROR(__xludf.DUMMYFUNCTION("""COMPUTED_VALUE"""),18145.76)</f>
        <v>18145.76</v>
      </c>
    </row>
    <row r="3420">
      <c r="A3420" s="3">
        <f>IFERROR(__xludf.DUMMYFUNCTION("""COMPUTED_VALUE"""),43787.99861111111)</f>
        <v>43787.99861</v>
      </c>
      <c r="B3420" s="1">
        <f>IFERROR(__xludf.DUMMYFUNCTION("""COMPUTED_VALUE"""),18209.74)</f>
        <v>18209.74</v>
      </c>
    </row>
    <row r="3421">
      <c r="A3421" s="3">
        <f>IFERROR(__xludf.DUMMYFUNCTION("""COMPUTED_VALUE"""),43788.99861111111)</f>
        <v>43788.99861</v>
      </c>
      <c r="B3421" s="1">
        <f>IFERROR(__xludf.DUMMYFUNCTION("""COMPUTED_VALUE"""),18213.91)</f>
        <v>18213.91</v>
      </c>
    </row>
    <row r="3422">
      <c r="A3422" s="3">
        <f>IFERROR(__xludf.DUMMYFUNCTION("""COMPUTED_VALUE"""),43789.99861111111)</f>
        <v>43789.99861</v>
      </c>
      <c r="B3422" s="1">
        <f>IFERROR(__xludf.DUMMYFUNCTION("""COMPUTED_VALUE"""),18146.81)</f>
        <v>18146.81</v>
      </c>
    </row>
    <row r="3423">
      <c r="A3423" s="3">
        <f>IFERROR(__xludf.DUMMYFUNCTION("""COMPUTED_VALUE"""),43790.99861111111)</f>
        <v>43790.99861</v>
      </c>
      <c r="B3423" s="1">
        <f>IFERROR(__xludf.DUMMYFUNCTION("""COMPUTED_VALUE"""),18183.62)</f>
        <v>18183.62</v>
      </c>
    </row>
    <row r="3424">
      <c r="A3424" s="3">
        <f>IFERROR(__xludf.DUMMYFUNCTION("""COMPUTED_VALUE"""),43791.99861111111)</f>
        <v>43791.99861</v>
      </c>
      <c r="B3424" s="1">
        <f>IFERROR(__xludf.DUMMYFUNCTION("""COMPUTED_VALUE"""),18073.36)</f>
        <v>18073.36</v>
      </c>
    </row>
    <row r="3425">
      <c r="A3425" s="3">
        <f>IFERROR(__xludf.DUMMYFUNCTION("""COMPUTED_VALUE"""),43792.99861111111)</f>
        <v>43792.99861</v>
      </c>
      <c r="B3425" s="1">
        <f>IFERROR(__xludf.DUMMYFUNCTION("""COMPUTED_VALUE"""),18073.36)</f>
        <v>18073.36</v>
      </c>
    </row>
    <row r="3426">
      <c r="A3426" s="3">
        <f>IFERROR(__xludf.DUMMYFUNCTION("""COMPUTED_VALUE"""),43793.99861111111)</f>
        <v>43793.99861</v>
      </c>
      <c r="B3426" s="1">
        <f>IFERROR(__xludf.DUMMYFUNCTION("""COMPUTED_VALUE"""),18101.07)</f>
        <v>18101.07</v>
      </c>
    </row>
    <row r="3427">
      <c r="A3427" s="3">
        <f>IFERROR(__xludf.DUMMYFUNCTION("""COMPUTED_VALUE"""),43794.99861111111)</f>
        <v>43794.99861</v>
      </c>
      <c r="B3427" s="1">
        <f>IFERROR(__xludf.DUMMYFUNCTION("""COMPUTED_VALUE"""),18143.48)</f>
        <v>18143.48</v>
      </c>
    </row>
    <row r="3428">
      <c r="A3428" s="3">
        <f>IFERROR(__xludf.DUMMYFUNCTION("""COMPUTED_VALUE"""),43795.99861111111)</f>
        <v>43795.99861</v>
      </c>
      <c r="B3428" s="1">
        <f>IFERROR(__xludf.DUMMYFUNCTION("""COMPUTED_VALUE"""),18108.63)</f>
        <v>18108.63</v>
      </c>
    </row>
    <row r="3429">
      <c r="A3429" s="3">
        <f>IFERROR(__xludf.DUMMYFUNCTION("""COMPUTED_VALUE"""),43796.99861111111)</f>
        <v>43796.99861</v>
      </c>
      <c r="B3429" s="1">
        <f>IFERROR(__xludf.DUMMYFUNCTION("""COMPUTED_VALUE"""),18223.26)</f>
        <v>18223.26</v>
      </c>
    </row>
    <row r="3430">
      <c r="A3430" s="3">
        <f>IFERROR(__xludf.DUMMYFUNCTION("""COMPUTED_VALUE"""),43797.99861111111)</f>
        <v>43797.99861</v>
      </c>
      <c r="B3430" s="1">
        <f>IFERROR(__xludf.DUMMYFUNCTION("""COMPUTED_VALUE"""),18178.77)</f>
        <v>18178.77</v>
      </c>
    </row>
    <row r="3431">
      <c r="A3431" s="3">
        <f>IFERROR(__xludf.DUMMYFUNCTION("""COMPUTED_VALUE"""),43798.99861111111)</f>
        <v>43798.99861</v>
      </c>
      <c r="B3431" s="1">
        <f>IFERROR(__xludf.DUMMYFUNCTION("""COMPUTED_VALUE"""),18216.6)</f>
        <v>18216.6</v>
      </c>
    </row>
    <row r="3432">
      <c r="A3432" s="3">
        <f>IFERROR(__xludf.DUMMYFUNCTION("""COMPUTED_VALUE"""),43799.99861111111)</f>
        <v>43799.99861</v>
      </c>
      <c r="B3432" s="1">
        <f>IFERROR(__xludf.DUMMYFUNCTION("""COMPUTED_VALUE"""),18192.89)</f>
        <v>18192.89</v>
      </c>
    </row>
    <row r="3433">
      <c r="A3433" s="3">
        <f>IFERROR(__xludf.DUMMYFUNCTION("""COMPUTED_VALUE"""),43800.99861111111)</f>
        <v>43800.99861</v>
      </c>
      <c r="B3433" s="1">
        <f>IFERROR(__xludf.DUMMYFUNCTION("""COMPUTED_VALUE"""),18177.86)</f>
        <v>18177.86</v>
      </c>
    </row>
    <row r="3434">
      <c r="A3434" s="3">
        <f>IFERROR(__xludf.DUMMYFUNCTION("""COMPUTED_VALUE"""),43801.99861111111)</f>
        <v>43801.99861</v>
      </c>
      <c r="B3434" s="1">
        <f>IFERROR(__xludf.DUMMYFUNCTION("""COMPUTED_VALUE"""),18280.47)</f>
        <v>18280.47</v>
      </c>
    </row>
    <row r="3435">
      <c r="A3435" s="3">
        <f>IFERROR(__xludf.DUMMYFUNCTION("""COMPUTED_VALUE"""),43802.99861111111)</f>
        <v>43802.99861</v>
      </c>
      <c r="B3435" s="1">
        <f>IFERROR(__xludf.DUMMYFUNCTION("""COMPUTED_VALUE"""),18327.66)</f>
        <v>18327.66</v>
      </c>
    </row>
    <row r="3436">
      <c r="A3436" s="3">
        <f>IFERROR(__xludf.DUMMYFUNCTION("""COMPUTED_VALUE"""),43803.99861111111)</f>
        <v>43803.99861</v>
      </c>
      <c r="B3436" s="1">
        <f>IFERROR(__xludf.DUMMYFUNCTION("""COMPUTED_VALUE"""),18352.8)</f>
        <v>18352.8</v>
      </c>
    </row>
    <row r="3437">
      <c r="A3437" s="3">
        <f>IFERROR(__xludf.DUMMYFUNCTION("""COMPUTED_VALUE"""),43804.99861111111)</f>
        <v>43804.99861</v>
      </c>
      <c r="B3437" s="1">
        <f>IFERROR(__xludf.DUMMYFUNCTION("""COMPUTED_VALUE"""),18385.86)</f>
        <v>18385.86</v>
      </c>
    </row>
    <row r="3438">
      <c r="A3438" s="3">
        <f>IFERROR(__xludf.DUMMYFUNCTION("""COMPUTED_VALUE"""),43805.99861111111)</f>
        <v>43805.99861</v>
      </c>
      <c r="B3438" s="1">
        <f>IFERROR(__xludf.DUMMYFUNCTION("""COMPUTED_VALUE"""),18434.62)</f>
        <v>18434.62</v>
      </c>
    </row>
    <row r="3439">
      <c r="A3439" s="3">
        <f>IFERROR(__xludf.DUMMYFUNCTION("""COMPUTED_VALUE"""),43806.99861111111)</f>
        <v>43806.99861</v>
      </c>
      <c r="B3439" s="1">
        <f>IFERROR(__xludf.DUMMYFUNCTION("""COMPUTED_VALUE"""),18434.62)</f>
        <v>18434.62</v>
      </c>
    </row>
    <row r="3440">
      <c r="A3440" s="3">
        <f>IFERROR(__xludf.DUMMYFUNCTION("""COMPUTED_VALUE"""),43807.99861111111)</f>
        <v>43807.99861</v>
      </c>
      <c r="B3440" s="1">
        <f>IFERROR(__xludf.DUMMYFUNCTION("""COMPUTED_VALUE"""),18430.46)</f>
        <v>18430.46</v>
      </c>
    </row>
    <row r="3441">
      <c r="A3441" s="3">
        <f>IFERROR(__xludf.DUMMYFUNCTION("""COMPUTED_VALUE"""),43808.99861111111)</f>
        <v>43808.99861</v>
      </c>
      <c r="B3441" s="1">
        <f>IFERROR(__xludf.DUMMYFUNCTION("""COMPUTED_VALUE"""),18415.33)</f>
        <v>18415.33</v>
      </c>
    </row>
    <row r="3442">
      <c r="A3442" s="3">
        <f>IFERROR(__xludf.DUMMYFUNCTION("""COMPUTED_VALUE"""),43809.99861111111)</f>
        <v>43809.99861</v>
      </c>
      <c r="B3442" s="1">
        <f>IFERROR(__xludf.DUMMYFUNCTION("""COMPUTED_VALUE"""),18391.81)</f>
        <v>18391.81</v>
      </c>
    </row>
    <row r="3443">
      <c r="A3443" s="3">
        <f>IFERROR(__xludf.DUMMYFUNCTION("""COMPUTED_VALUE"""),43810.99861111111)</f>
        <v>43810.99861</v>
      </c>
      <c r="B3443" s="1">
        <f>IFERROR(__xludf.DUMMYFUNCTION("""COMPUTED_VALUE"""),18454.84)</f>
        <v>18454.84</v>
      </c>
    </row>
    <row r="3444">
      <c r="A3444" s="3">
        <f>IFERROR(__xludf.DUMMYFUNCTION("""COMPUTED_VALUE"""),43811.99861111111)</f>
        <v>43811.99861</v>
      </c>
      <c r="B3444" s="1">
        <f>IFERROR(__xludf.DUMMYFUNCTION("""COMPUTED_VALUE"""),18772.36)</f>
        <v>18772.36</v>
      </c>
    </row>
    <row r="3445">
      <c r="A3445" s="3">
        <f>IFERROR(__xludf.DUMMYFUNCTION("""COMPUTED_VALUE"""),43812.99861111111)</f>
        <v>43812.99861</v>
      </c>
      <c r="B3445" s="1">
        <f>IFERROR(__xludf.DUMMYFUNCTION("""COMPUTED_VALUE"""),18629.58)</f>
        <v>18629.58</v>
      </c>
    </row>
    <row r="3446">
      <c r="A3446" s="3">
        <f>IFERROR(__xludf.DUMMYFUNCTION("""COMPUTED_VALUE"""),43813.99861111111)</f>
        <v>43813.99861</v>
      </c>
      <c r="B3446" s="1">
        <f>IFERROR(__xludf.DUMMYFUNCTION("""COMPUTED_VALUE"""),18629.58)</f>
        <v>18629.58</v>
      </c>
    </row>
    <row r="3447">
      <c r="A3447" s="3">
        <f>IFERROR(__xludf.DUMMYFUNCTION("""COMPUTED_VALUE"""),43814.99861111111)</f>
        <v>43814.99861</v>
      </c>
      <c r="B3447" s="1">
        <f>IFERROR(__xludf.DUMMYFUNCTION("""COMPUTED_VALUE"""),18651.05)</f>
        <v>18651.05</v>
      </c>
    </row>
    <row r="3448">
      <c r="A3448" s="3">
        <f>IFERROR(__xludf.DUMMYFUNCTION("""COMPUTED_VALUE"""),43815.99861111111)</f>
        <v>43815.99861</v>
      </c>
      <c r="B3448" s="1">
        <f>IFERROR(__xludf.DUMMYFUNCTION("""COMPUTED_VALUE"""),18597.81)</f>
        <v>18597.81</v>
      </c>
    </row>
    <row r="3449">
      <c r="A3449" s="3">
        <f>IFERROR(__xludf.DUMMYFUNCTION("""COMPUTED_VALUE"""),43816.99861111111)</f>
        <v>43816.99861</v>
      </c>
      <c r="B3449" s="1">
        <f>IFERROR(__xludf.DUMMYFUNCTION("""COMPUTED_VALUE"""),18353.32)</f>
        <v>18353.32</v>
      </c>
    </row>
    <row r="3450">
      <c r="A3450" s="3">
        <f>IFERROR(__xludf.DUMMYFUNCTION("""COMPUTED_VALUE"""),43817.99861111111)</f>
        <v>43817.99861</v>
      </c>
      <c r="B3450" s="1">
        <f>IFERROR(__xludf.DUMMYFUNCTION("""COMPUTED_VALUE"""),18280.27)</f>
        <v>18280.27</v>
      </c>
    </row>
    <row r="3451">
      <c r="A3451" s="3">
        <f>IFERROR(__xludf.DUMMYFUNCTION("""COMPUTED_VALUE"""),43818.99861111111)</f>
        <v>43818.99861</v>
      </c>
      <c r="B3451" s="1">
        <f>IFERROR(__xludf.DUMMYFUNCTION("""COMPUTED_VALUE"""),18200.43)</f>
        <v>18200.43</v>
      </c>
    </row>
    <row r="3452">
      <c r="A3452" s="3">
        <f>IFERROR(__xludf.DUMMYFUNCTION("""COMPUTED_VALUE"""),43819.99861111111)</f>
        <v>43819.99861</v>
      </c>
      <c r="B3452" s="1">
        <f>IFERROR(__xludf.DUMMYFUNCTION("""COMPUTED_VALUE"""),18153.65)</f>
        <v>18153.65</v>
      </c>
    </row>
    <row r="3453">
      <c r="A3453" s="3">
        <f>IFERROR(__xludf.DUMMYFUNCTION("""COMPUTED_VALUE"""),43820.99861111111)</f>
        <v>43820.99861</v>
      </c>
      <c r="B3453" s="1">
        <f>IFERROR(__xludf.DUMMYFUNCTION("""COMPUTED_VALUE"""),18153.65)</f>
        <v>18153.65</v>
      </c>
    </row>
    <row r="3454">
      <c r="A3454" s="3">
        <f>IFERROR(__xludf.DUMMYFUNCTION("""COMPUTED_VALUE"""),43821.99861111111)</f>
        <v>43821.99861</v>
      </c>
      <c r="B3454" s="1">
        <f>IFERROR(__xludf.DUMMYFUNCTION("""COMPUTED_VALUE"""),18157.81)</f>
        <v>18157.81</v>
      </c>
    </row>
    <row r="3455">
      <c r="A3455" s="3">
        <f>IFERROR(__xludf.DUMMYFUNCTION("""COMPUTED_VALUE"""),43822.99861111111)</f>
        <v>43822.99861</v>
      </c>
      <c r="B3455" s="1">
        <f>IFERROR(__xludf.DUMMYFUNCTION("""COMPUTED_VALUE"""),18069.27)</f>
        <v>18069.27</v>
      </c>
    </row>
    <row r="3456">
      <c r="A3456" s="3">
        <f>IFERROR(__xludf.DUMMYFUNCTION("""COMPUTED_VALUE"""),43823.99861111111)</f>
        <v>43823.99861</v>
      </c>
      <c r="B3456" s="1">
        <f>IFERROR(__xludf.DUMMYFUNCTION("""COMPUTED_VALUE"""),18057.74)</f>
        <v>18057.74</v>
      </c>
    </row>
    <row r="3457">
      <c r="A3457" s="3">
        <f>IFERROR(__xludf.DUMMYFUNCTION("""COMPUTED_VALUE"""),43824.99861111111)</f>
        <v>43824.99861</v>
      </c>
      <c r="B3457" s="1">
        <f>IFERROR(__xludf.DUMMYFUNCTION("""COMPUTED_VALUE"""),18084.99)</f>
        <v>18084.99</v>
      </c>
    </row>
    <row r="3458">
      <c r="A3458" s="3">
        <f>IFERROR(__xludf.DUMMYFUNCTION("""COMPUTED_VALUE"""),43825.99861111111)</f>
        <v>43825.99861</v>
      </c>
      <c r="B3458" s="1">
        <f>IFERROR(__xludf.DUMMYFUNCTION("""COMPUTED_VALUE"""),18141.05)</f>
        <v>18141.05</v>
      </c>
    </row>
    <row r="3459">
      <c r="A3459" s="3">
        <f>IFERROR(__xludf.DUMMYFUNCTION("""COMPUTED_VALUE"""),43826.99861111111)</f>
        <v>43826.99861</v>
      </c>
      <c r="B3459" s="1">
        <f>IFERROR(__xludf.DUMMYFUNCTION("""COMPUTED_VALUE"""),18270.2)</f>
        <v>18270.2</v>
      </c>
    </row>
    <row r="3460">
      <c r="A3460" s="3">
        <f>IFERROR(__xludf.DUMMYFUNCTION("""COMPUTED_VALUE"""),43827.99861111111)</f>
        <v>43827.99861</v>
      </c>
      <c r="B3460" s="1">
        <f>IFERROR(__xludf.DUMMYFUNCTION("""COMPUTED_VALUE"""),18270.2)</f>
        <v>18270.2</v>
      </c>
    </row>
    <row r="3461">
      <c r="A3461" s="3">
        <f>IFERROR(__xludf.DUMMYFUNCTION("""COMPUTED_VALUE"""),43828.99861111111)</f>
        <v>43828.99861</v>
      </c>
      <c r="B3461" s="1">
        <f>IFERROR(__xludf.DUMMYFUNCTION("""COMPUTED_VALUE"""),18261.11)</f>
        <v>18261.11</v>
      </c>
    </row>
    <row r="3462">
      <c r="A3462" s="3">
        <f>IFERROR(__xludf.DUMMYFUNCTION("""COMPUTED_VALUE"""),43829.99861111111)</f>
        <v>43829.99861</v>
      </c>
      <c r="B3462" s="1">
        <f>IFERROR(__xludf.DUMMYFUNCTION("""COMPUTED_VALUE"""),18260.46)</f>
        <v>18260.46</v>
      </c>
    </row>
    <row r="3463">
      <c r="A3463" s="3">
        <f>IFERROR(__xludf.DUMMYFUNCTION("""COMPUTED_VALUE"""),43830.99861111111)</f>
        <v>43830.99861</v>
      </c>
      <c r="B3463" s="1">
        <f>IFERROR(__xludf.DUMMYFUNCTION("""COMPUTED_VALUE"""),18457.59)</f>
        <v>18457.59</v>
      </c>
    </row>
    <row r="3464">
      <c r="A3464" s="3">
        <f>IFERROR(__xludf.DUMMYFUNCTION("""COMPUTED_VALUE"""),43831.99861111111)</f>
        <v>43831.99861</v>
      </c>
      <c r="B3464" s="1">
        <f>IFERROR(__xludf.DUMMYFUNCTION("""COMPUTED_VALUE"""),18409.52)</f>
        <v>18409.52</v>
      </c>
    </row>
    <row r="3465">
      <c r="A3465" s="3">
        <f>IFERROR(__xludf.DUMMYFUNCTION("""COMPUTED_VALUE"""),43832.99861111111)</f>
        <v>43832.99861</v>
      </c>
      <c r="B3465" s="1">
        <f>IFERROR(__xludf.DUMMYFUNCTION("""COMPUTED_VALUE"""),18258.63)</f>
        <v>18258.63</v>
      </c>
    </row>
    <row r="3466">
      <c r="A3466" s="3">
        <f>IFERROR(__xludf.DUMMYFUNCTION("""COMPUTED_VALUE"""),43833.99861111111)</f>
        <v>43833.99861</v>
      </c>
      <c r="B3466" s="1">
        <f>IFERROR(__xludf.DUMMYFUNCTION("""COMPUTED_VALUE"""),18244.41)</f>
        <v>18244.41</v>
      </c>
    </row>
    <row r="3467">
      <c r="A3467" s="3">
        <f>IFERROR(__xludf.DUMMYFUNCTION("""COMPUTED_VALUE"""),43834.99861111111)</f>
        <v>43834.99861</v>
      </c>
      <c r="B3467" s="1">
        <f>IFERROR(__xludf.DUMMYFUNCTION("""COMPUTED_VALUE"""),18244.41)</f>
        <v>18244.41</v>
      </c>
    </row>
    <row r="3468">
      <c r="A3468" s="3">
        <f>IFERROR(__xludf.DUMMYFUNCTION("""COMPUTED_VALUE"""),43835.99861111111)</f>
        <v>43835.99861</v>
      </c>
      <c r="B3468" s="1">
        <f>IFERROR(__xludf.DUMMYFUNCTION("""COMPUTED_VALUE"""),18231.15)</f>
        <v>18231.15</v>
      </c>
    </row>
    <row r="3469">
      <c r="A3469" s="3">
        <f>IFERROR(__xludf.DUMMYFUNCTION("""COMPUTED_VALUE"""),43836.99861111111)</f>
        <v>43836.99861</v>
      </c>
      <c r="B3469" s="1">
        <f>IFERROR(__xludf.DUMMYFUNCTION("""COMPUTED_VALUE"""),18299.57)</f>
        <v>18299.57</v>
      </c>
    </row>
    <row r="3470">
      <c r="A3470" s="3">
        <f>IFERROR(__xludf.DUMMYFUNCTION("""COMPUTED_VALUE"""),43837.99861111111)</f>
        <v>43837.99861</v>
      </c>
      <c r="B3470" s="1">
        <f>IFERROR(__xludf.DUMMYFUNCTION("""COMPUTED_VALUE"""),18181.28)</f>
        <v>18181.28</v>
      </c>
    </row>
    <row r="3471">
      <c r="A3471" s="3">
        <f>IFERROR(__xludf.DUMMYFUNCTION("""COMPUTED_VALUE"""),43838.99861111111)</f>
        <v>43838.99861</v>
      </c>
      <c r="B3471" s="1">
        <f>IFERROR(__xludf.DUMMYFUNCTION("""COMPUTED_VALUE"""),18220.84)</f>
        <v>18220.84</v>
      </c>
    </row>
    <row r="3472">
      <c r="A3472" s="3">
        <f>IFERROR(__xludf.DUMMYFUNCTION("""COMPUTED_VALUE"""),43839.99861111111)</f>
        <v>43839.99861</v>
      </c>
      <c r="B3472" s="1">
        <f>IFERROR(__xludf.DUMMYFUNCTION("""COMPUTED_VALUE"""),18076.58)</f>
        <v>18076.58</v>
      </c>
    </row>
    <row r="3473">
      <c r="A3473" s="3">
        <f>IFERROR(__xludf.DUMMYFUNCTION("""COMPUTED_VALUE"""),43840.99861111111)</f>
        <v>43840.99861</v>
      </c>
      <c r="B3473" s="1">
        <f>IFERROR(__xludf.DUMMYFUNCTION("""COMPUTED_VALUE"""),17990.58)</f>
        <v>17990.58</v>
      </c>
    </row>
    <row r="3474">
      <c r="A3474" s="3">
        <f>IFERROR(__xludf.DUMMYFUNCTION("""COMPUTED_VALUE"""),43841.99861111111)</f>
        <v>43841.99861</v>
      </c>
      <c r="B3474" s="1">
        <f>IFERROR(__xludf.DUMMYFUNCTION("""COMPUTED_VALUE"""),17933.69)</f>
        <v>17933.69</v>
      </c>
    </row>
    <row r="3475">
      <c r="A3475" s="3">
        <f>IFERROR(__xludf.DUMMYFUNCTION("""COMPUTED_VALUE"""),43842.99861111111)</f>
        <v>43842.99861</v>
      </c>
      <c r="B3475" s="1">
        <f>IFERROR(__xludf.DUMMYFUNCTION("""COMPUTED_VALUE"""),17914.43)</f>
        <v>17914.43</v>
      </c>
    </row>
    <row r="3476">
      <c r="A3476" s="3">
        <f>IFERROR(__xludf.DUMMYFUNCTION("""COMPUTED_VALUE"""),43843.99861111111)</f>
        <v>43843.99861</v>
      </c>
      <c r="B3476" s="1">
        <f>IFERROR(__xludf.DUMMYFUNCTION("""COMPUTED_VALUE"""),17753.78)</f>
        <v>17753.78</v>
      </c>
    </row>
    <row r="3477">
      <c r="A3477" s="3">
        <f>IFERROR(__xludf.DUMMYFUNCTION("""COMPUTED_VALUE"""),43844.99861111111)</f>
        <v>43844.99861</v>
      </c>
      <c r="B3477" s="1">
        <f>IFERROR(__xludf.DUMMYFUNCTION("""COMPUTED_VALUE"""),17799.36)</f>
        <v>17799.36</v>
      </c>
    </row>
    <row r="3478">
      <c r="A3478" s="3">
        <f>IFERROR(__xludf.DUMMYFUNCTION("""COMPUTED_VALUE"""),43845.99861111111)</f>
        <v>43845.99861</v>
      </c>
      <c r="B3478" s="1">
        <f>IFERROR(__xludf.DUMMYFUNCTION("""COMPUTED_VALUE"""),17824.76)</f>
        <v>17824.76</v>
      </c>
    </row>
    <row r="3479">
      <c r="A3479" s="3">
        <f>IFERROR(__xludf.DUMMYFUNCTION("""COMPUTED_VALUE"""),43846.99861111111)</f>
        <v>43846.99861</v>
      </c>
      <c r="B3479" s="1">
        <f>IFERROR(__xludf.DUMMYFUNCTION("""COMPUTED_VALUE"""),17812.74)</f>
        <v>17812.74</v>
      </c>
    </row>
    <row r="3480">
      <c r="A3480" s="3">
        <f>IFERROR(__xludf.DUMMYFUNCTION("""COMPUTED_VALUE"""),43847.99861111111)</f>
        <v>43847.99861</v>
      </c>
      <c r="B3480" s="1">
        <f>IFERROR(__xludf.DUMMYFUNCTION("""COMPUTED_VALUE"""),17771.66)</f>
        <v>17771.66</v>
      </c>
    </row>
    <row r="3481">
      <c r="A3481" s="3">
        <f>IFERROR(__xludf.DUMMYFUNCTION("""COMPUTED_VALUE"""),43848.99861111111)</f>
        <v>43848.99861</v>
      </c>
      <c r="B3481" s="1">
        <f>IFERROR(__xludf.DUMMYFUNCTION("""COMPUTED_VALUE"""),17771.66)</f>
        <v>17771.66</v>
      </c>
    </row>
    <row r="3482">
      <c r="A3482" s="3">
        <f>IFERROR(__xludf.DUMMYFUNCTION("""COMPUTED_VALUE"""),43849.99861111111)</f>
        <v>43849.99861</v>
      </c>
      <c r="B3482" s="1">
        <f>IFERROR(__xludf.DUMMYFUNCTION("""COMPUTED_VALUE"""),17767.5)</f>
        <v>17767.5</v>
      </c>
    </row>
    <row r="3483">
      <c r="A3483" s="3">
        <f>IFERROR(__xludf.DUMMYFUNCTION("""COMPUTED_VALUE"""),43850.99861111111)</f>
        <v>43850.99861</v>
      </c>
      <c r="B3483" s="1">
        <f>IFERROR(__xludf.DUMMYFUNCTION("""COMPUTED_VALUE"""),17709.87)</f>
        <v>17709.87</v>
      </c>
    </row>
    <row r="3484">
      <c r="A3484" s="3">
        <f>IFERROR(__xludf.DUMMYFUNCTION("""COMPUTED_VALUE"""),43851.99861111111)</f>
        <v>43851.99861</v>
      </c>
      <c r="B3484" s="1">
        <f>IFERROR(__xludf.DUMMYFUNCTION("""COMPUTED_VALUE"""),17821.16)</f>
        <v>17821.16</v>
      </c>
    </row>
    <row r="3485">
      <c r="A3485" s="3">
        <f>IFERROR(__xludf.DUMMYFUNCTION("""COMPUTED_VALUE"""),43852.99861111111)</f>
        <v>43852.99861</v>
      </c>
      <c r="B3485" s="1">
        <f>IFERROR(__xludf.DUMMYFUNCTION("""COMPUTED_VALUE"""),17915.17)</f>
        <v>17915.17</v>
      </c>
    </row>
    <row r="3486">
      <c r="A3486" s="3">
        <f>IFERROR(__xludf.DUMMYFUNCTION("""COMPUTED_VALUE"""),43853.99861111111)</f>
        <v>43853.99861</v>
      </c>
      <c r="B3486" s="1">
        <f>IFERROR(__xludf.DUMMYFUNCTION("""COMPUTED_VALUE"""),17861.06)</f>
        <v>17861.06</v>
      </c>
    </row>
    <row r="3487">
      <c r="A3487" s="3">
        <f>IFERROR(__xludf.DUMMYFUNCTION("""COMPUTED_VALUE"""),43854.99861111111)</f>
        <v>43854.99861</v>
      </c>
      <c r="B3487" s="1">
        <f>IFERROR(__xludf.DUMMYFUNCTION("""COMPUTED_VALUE"""),17933.12)</f>
        <v>17933.12</v>
      </c>
    </row>
    <row r="3488">
      <c r="A3488" s="3">
        <f>IFERROR(__xludf.DUMMYFUNCTION("""COMPUTED_VALUE"""),43855.99861111111)</f>
        <v>43855.99861</v>
      </c>
      <c r="B3488" s="1">
        <f>IFERROR(__xludf.DUMMYFUNCTION("""COMPUTED_VALUE"""),17933.12)</f>
        <v>17933.12</v>
      </c>
    </row>
    <row r="3489">
      <c r="A3489" s="3">
        <f>IFERROR(__xludf.DUMMYFUNCTION("""COMPUTED_VALUE"""),43856.99861111111)</f>
        <v>43856.99861</v>
      </c>
      <c r="B3489" s="1">
        <f>IFERROR(__xludf.DUMMYFUNCTION("""COMPUTED_VALUE"""),17916.44)</f>
        <v>17916.44</v>
      </c>
    </row>
    <row r="3490">
      <c r="A3490" s="3">
        <f>IFERROR(__xludf.DUMMYFUNCTION("""COMPUTED_VALUE"""),43857.99861111111)</f>
        <v>43857.99861</v>
      </c>
      <c r="B3490" s="1">
        <f>IFERROR(__xludf.DUMMYFUNCTION("""COMPUTED_VALUE"""),17260.18)</f>
        <v>17260.18</v>
      </c>
    </row>
    <row r="3491">
      <c r="A3491" s="3">
        <f>IFERROR(__xludf.DUMMYFUNCTION("""COMPUTED_VALUE"""),43858.99861111111)</f>
        <v>43858.99861</v>
      </c>
      <c r="B3491" s="1">
        <f>IFERROR(__xludf.DUMMYFUNCTION("""COMPUTED_VALUE"""),17724.42)</f>
        <v>17724.42</v>
      </c>
    </row>
    <row r="3492">
      <c r="A3492" s="3">
        <f>IFERROR(__xludf.DUMMYFUNCTION("""COMPUTED_VALUE"""),43859.99861111111)</f>
        <v>43859.99861</v>
      </c>
      <c r="B3492" s="1">
        <f>IFERROR(__xludf.DUMMYFUNCTION("""COMPUTED_VALUE"""),17732.98)</f>
        <v>17732.98</v>
      </c>
    </row>
    <row r="3493">
      <c r="A3493" s="3">
        <f>IFERROR(__xludf.DUMMYFUNCTION("""COMPUTED_VALUE"""),43860.99861111111)</f>
        <v>43860.99861</v>
      </c>
      <c r="B3493" s="1">
        <f>IFERROR(__xludf.DUMMYFUNCTION("""COMPUTED_VALUE"""),17858.71)</f>
        <v>17858.71</v>
      </c>
    </row>
    <row r="3494">
      <c r="A3494" s="3">
        <f>IFERROR(__xludf.DUMMYFUNCTION("""COMPUTED_VALUE"""),43861.99861111111)</f>
        <v>43861.99861</v>
      </c>
      <c r="B3494" s="1">
        <f>IFERROR(__xludf.DUMMYFUNCTION("""COMPUTED_VALUE"""),18005.47)</f>
        <v>18005.47</v>
      </c>
    </row>
    <row r="3495">
      <c r="A3495" s="3">
        <f>IFERROR(__xludf.DUMMYFUNCTION("""COMPUTED_VALUE"""),43862.99861111111)</f>
        <v>43862.99861</v>
      </c>
      <c r="B3495" s="1">
        <f>IFERROR(__xludf.DUMMYFUNCTION("""COMPUTED_VALUE"""),18005.47)</f>
        <v>18005.47</v>
      </c>
    </row>
    <row r="3496">
      <c r="A3496" s="3">
        <f>IFERROR(__xludf.DUMMYFUNCTION("""COMPUTED_VALUE"""),43863.99861111111)</f>
        <v>43863.99861</v>
      </c>
      <c r="B3496" s="1">
        <f>IFERROR(__xludf.DUMMYFUNCTION("""COMPUTED_VALUE"""),17984.29)</f>
        <v>17984.29</v>
      </c>
    </row>
    <row r="3497">
      <c r="A3497" s="3">
        <f>IFERROR(__xludf.DUMMYFUNCTION("""COMPUTED_VALUE"""),43864.99861111111)</f>
        <v>43864.99861</v>
      </c>
      <c r="B3497" s="1">
        <f>IFERROR(__xludf.DUMMYFUNCTION("""COMPUTED_VALUE"""),17860.66)</f>
        <v>17860.66</v>
      </c>
    </row>
    <row r="3498">
      <c r="A3498" s="3">
        <f>IFERROR(__xludf.DUMMYFUNCTION("""COMPUTED_VALUE"""),43865.99861111111)</f>
        <v>43865.99861</v>
      </c>
      <c r="B3498" s="1">
        <f>IFERROR(__xludf.DUMMYFUNCTION("""COMPUTED_VALUE"""),17861.12)</f>
        <v>17861.12</v>
      </c>
    </row>
    <row r="3499">
      <c r="A3499" s="3">
        <f>IFERROR(__xludf.DUMMYFUNCTION("""COMPUTED_VALUE"""),43866.99861111111)</f>
        <v>43866.99861</v>
      </c>
      <c r="B3499" s="1">
        <f>IFERROR(__xludf.DUMMYFUNCTION("""COMPUTED_VALUE"""),17766.23)</f>
        <v>17766.23</v>
      </c>
    </row>
    <row r="3500">
      <c r="A3500" s="3">
        <f>IFERROR(__xludf.DUMMYFUNCTION("""COMPUTED_VALUE"""),43867.99861111111)</f>
        <v>43867.99861</v>
      </c>
      <c r="B3500" s="1">
        <f>IFERROR(__xludf.DUMMYFUNCTION("""COMPUTED_VALUE"""),17641.39)</f>
        <v>17641.39</v>
      </c>
    </row>
    <row r="3501">
      <c r="A3501" s="3">
        <f>IFERROR(__xludf.DUMMYFUNCTION("""COMPUTED_VALUE"""),43868.99861111111)</f>
        <v>43868.99861</v>
      </c>
      <c r="B3501" s="1">
        <f>IFERROR(__xludf.DUMMYFUNCTION("""COMPUTED_VALUE"""),17628.02)</f>
        <v>17628.02</v>
      </c>
    </row>
    <row r="3502">
      <c r="A3502" s="3">
        <f>IFERROR(__xludf.DUMMYFUNCTION("""COMPUTED_VALUE"""),43869.99861111111)</f>
        <v>43869.99861</v>
      </c>
      <c r="B3502" s="1">
        <f>IFERROR(__xludf.DUMMYFUNCTION("""COMPUTED_VALUE"""),17628.02)</f>
        <v>17628.02</v>
      </c>
    </row>
    <row r="3503">
      <c r="A3503" s="3">
        <f>IFERROR(__xludf.DUMMYFUNCTION("""COMPUTED_VALUE"""),43870.99861111111)</f>
        <v>43870.99861</v>
      </c>
      <c r="B3503" s="1">
        <f>IFERROR(__xludf.DUMMYFUNCTION("""COMPUTED_VALUE"""),17629.16)</f>
        <v>17629.16</v>
      </c>
    </row>
    <row r="3504">
      <c r="A3504" s="3">
        <f>IFERROR(__xludf.DUMMYFUNCTION("""COMPUTED_VALUE"""),43871.99861111111)</f>
        <v>43871.99861</v>
      </c>
      <c r="B3504" s="1">
        <f>IFERROR(__xludf.DUMMYFUNCTION("""COMPUTED_VALUE"""),17703.46)</f>
        <v>17703.46</v>
      </c>
    </row>
    <row r="3505">
      <c r="A3505" s="3">
        <f>IFERROR(__xludf.DUMMYFUNCTION("""COMPUTED_VALUE"""),43872.99861111111)</f>
        <v>43872.99861</v>
      </c>
      <c r="B3505" s="1">
        <f>IFERROR(__xludf.DUMMYFUNCTION("""COMPUTED_VALUE"""),17700.18)</f>
        <v>17700.18</v>
      </c>
    </row>
    <row r="3506">
      <c r="A3506" s="3">
        <f>IFERROR(__xludf.DUMMYFUNCTION("""COMPUTED_VALUE"""),43873.99861111111)</f>
        <v>43873.99861</v>
      </c>
      <c r="B3506" s="1">
        <f>IFERROR(__xludf.DUMMYFUNCTION("""COMPUTED_VALUE"""),17759.13)</f>
        <v>17759.13</v>
      </c>
    </row>
    <row r="3507">
      <c r="A3507" s="3">
        <f>IFERROR(__xludf.DUMMYFUNCTION("""COMPUTED_VALUE"""),43874.99861111111)</f>
        <v>43874.99861</v>
      </c>
      <c r="B3507" s="1">
        <f>IFERROR(__xludf.DUMMYFUNCTION("""COMPUTED_VALUE"""),17849.71)</f>
        <v>17849.71</v>
      </c>
    </row>
    <row r="3508">
      <c r="A3508" s="3">
        <f>IFERROR(__xludf.DUMMYFUNCTION("""COMPUTED_VALUE"""),43875.99861111111)</f>
        <v>43875.99861</v>
      </c>
      <c r="B3508" s="1">
        <f>IFERROR(__xludf.DUMMYFUNCTION("""COMPUTED_VALUE"""),17854.73)</f>
        <v>17854.73</v>
      </c>
    </row>
    <row r="3509">
      <c r="A3509" s="3">
        <f>IFERROR(__xludf.DUMMYFUNCTION("""COMPUTED_VALUE"""),43876.99861111111)</f>
        <v>43876.99861</v>
      </c>
      <c r="B3509" s="1">
        <f>IFERROR(__xludf.DUMMYFUNCTION("""COMPUTED_VALUE"""),17854.73)</f>
        <v>17854.73</v>
      </c>
    </row>
    <row r="3510">
      <c r="A3510" s="3">
        <f>IFERROR(__xludf.DUMMYFUNCTION("""COMPUTED_VALUE"""),43877.99861111111)</f>
        <v>43877.99861</v>
      </c>
      <c r="B3510" s="1">
        <f>IFERROR(__xludf.DUMMYFUNCTION("""COMPUTED_VALUE"""),17844.63)</f>
        <v>17844.63</v>
      </c>
    </row>
    <row r="3511">
      <c r="A3511" s="3">
        <f>IFERROR(__xludf.DUMMYFUNCTION("""COMPUTED_VALUE"""),43878.99861111111)</f>
        <v>43878.99861</v>
      </c>
      <c r="B3511" s="1">
        <f>IFERROR(__xludf.DUMMYFUNCTION("""COMPUTED_VALUE"""),17756.97)</f>
        <v>17756.97</v>
      </c>
    </row>
    <row r="3512">
      <c r="A3512" s="3">
        <f>IFERROR(__xludf.DUMMYFUNCTION("""COMPUTED_VALUE"""),43879.99861111111)</f>
        <v>43879.99861</v>
      </c>
      <c r="B3512" s="1">
        <f>IFERROR(__xludf.DUMMYFUNCTION("""COMPUTED_VALUE"""),17756.91)</f>
        <v>17756.91</v>
      </c>
    </row>
    <row r="3513">
      <c r="A3513" s="3">
        <f>IFERROR(__xludf.DUMMYFUNCTION("""COMPUTED_VALUE"""),43880.99861111111)</f>
        <v>43880.99861</v>
      </c>
      <c r="B3513" s="1">
        <f>IFERROR(__xludf.DUMMYFUNCTION("""COMPUTED_VALUE"""),17664.57)</f>
        <v>17664.57</v>
      </c>
    </row>
    <row r="3514">
      <c r="A3514" s="3">
        <f>IFERROR(__xludf.DUMMYFUNCTION("""COMPUTED_VALUE"""),43881.99861111111)</f>
        <v>43881.99861</v>
      </c>
      <c r="B3514" s="1">
        <f>IFERROR(__xludf.DUMMYFUNCTION("""COMPUTED_VALUE"""),17659.56)</f>
        <v>17659.56</v>
      </c>
    </row>
    <row r="3515">
      <c r="A3515" s="3">
        <f>IFERROR(__xludf.DUMMYFUNCTION("""COMPUTED_VALUE"""),43882.99861111111)</f>
        <v>43882.99861</v>
      </c>
      <c r="B3515" s="1">
        <f>IFERROR(__xludf.DUMMYFUNCTION("""COMPUTED_VALUE"""),17843.35)</f>
        <v>17843.35</v>
      </c>
    </row>
    <row r="3516">
      <c r="A3516" s="3">
        <f>IFERROR(__xludf.DUMMYFUNCTION("""COMPUTED_VALUE"""),43883.99861111111)</f>
        <v>43883.99861</v>
      </c>
      <c r="B3516" s="1">
        <f>IFERROR(__xludf.DUMMYFUNCTION("""COMPUTED_VALUE"""),17843.35)</f>
        <v>17843.35</v>
      </c>
    </row>
    <row r="3517">
      <c r="A3517" s="3">
        <f>IFERROR(__xludf.DUMMYFUNCTION("""COMPUTED_VALUE"""),43884.99861111111)</f>
        <v>43884.99861</v>
      </c>
      <c r="B3517" s="1">
        <f>IFERROR(__xludf.DUMMYFUNCTION("""COMPUTED_VALUE"""),17859.55)</f>
        <v>17859.55</v>
      </c>
    </row>
    <row r="3518">
      <c r="A3518" s="3">
        <f>IFERROR(__xludf.DUMMYFUNCTION("""COMPUTED_VALUE"""),43885.99861111111)</f>
        <v>43885.99861</v>
      </c>
      <c r="B3518" s="1">
        <f>IFERROR(__xludf.DUMMYFUNCTION("""COMPUTED_VALUE"""),17948.66)</f>
        <v>17948.66</v>
      </c>
    </row>
    <row r="3519">
      <c r="A3519" s="3">
        <f>IFERROR(__xludf.DUMMYFUNCTION("""COMPUTED_VALUE"""),43886.99861111111)</f>
        <v>43886.99861</v>
      </c>
      <c r="B3519" s="1">
        <f>IFERROR(__xludf.DUMMYFUNCTION("""COMPUTED_VALUE"""),18022.96)</f>
        <v>18022.96</v>
      </c>
    </row>
    <row r="3520">
      <c r="A3520" s="3">
        <f>IFERROR(__xludf.DUMMYFUNCTION("""COMPUTED_VALUE"""),43887.99861111111)</f>
        <v>43887.99861</v>
      </c>
      <c r="B3520" s="1">
        <f>IFERROR(__xludf.DUMMYFUNCTION("""COMPUTED_VALUE"""),17986.4)</f>
        <v>17986.4</v>
      </c>
    </row>
    <row r="3521">
      <c r="A3521" s="3">
        <f>IFERROR(__xludf.DUMMYFUNCTION("""COMPUTED_VALUE"""),43888.99861111111)</f>
        <v>43888.99861</v>
      </c>
      <c r="B3521" s="1">
        <f>IFERROR(__xludf.DUMMYFUNCTION("""COMPUTED_VALUE"""),18061.76)</f>
        <v>18061.76</v>
      </c>
    </row>
    <row r="3522">
      <c r="A3522" s="3">
        <f>IFERROR(__xludf.DUMMYFUNCTION("""COMPUTED_VALUE"""),43889.99861111111)</f>
        <v>43889.99861</v>
      </c>
      <c r="B3522" s="1">
        <f>IFERROR(__xludf.DUMMYFUNCTION("""COMPUTED_VALUE"""),17920.01)</f>
        <v>17920.01</v>
      </c>
    </row>
    <row r="3523">
      <c r="A3523" s="3">
        <f>IFERROR(__xludf.DUMMYFUNCTION("""COMPUTED_VALUE"""),43890.99861111111)</f>
        <v>43890.99861</v>
      </c>
      <c r="B3523" s="1">
        <f>IFERROR(__xludf.DUMMYFUNCTION("""COMPUTED_VALUE"""),17920.01)</f>
        <v>17920.01</v>
      </c>
    </row>
    <row r="3524">
      <c r="A3524" s="3">
        <f>IFERROR(__xludf.DUMMYFUNCTION("""COMPUTED_VALUE"""),43891.99861111111)</f>
        <v>43891.99861</v>
      </c>
      <c r="B3524" s="1">
        <f>IFERROR(__xludf.DUMMYFUNCTION("""COMPUTED_VALUE"""),17860.72)</f>
        <v>17860.72</v>
      </c>
    </row>
    <row r="3525">
      <c r="A3525" s="3">
        <f>IFERROR(__xludf.DUMMYFUNCTION("""COMPUTED_VALUE"""),43892.99861111111)</f>
        <v>43892.99861</v>
      </c>
      <c r="B3525" s="1">
        <f>IFERROR(__xludf.DUMMYFUNCTION("""COMPUTED_VALUE"""),18166.89)</f>
        <v>18166.89</v>
      </c>
    </row>
    <row r="3526">
      <c r="A3526" s="3">
        <f>IFERROR(__xludf.DUMMYFUNCTION("""COMPUTED_VALUE"""),43893.99861111111)</f>
        <v>43893.99861</v>
      </c>
      <c r="B3526" s="1">
        <f>IFERROR(__xludf.DUMMYFUNCTION("""COMPUTED_VALUE"""),18266.89)</f>
        <v>18266.89</v>
      </c>
    </row>
    <row r="3527">
      <c r="A3527" s="3">
        <f>IFERROR(__xludf.DUMMYFUNCTION("""COMPUTED_VALUE"""),43894.99861111111)</f>
        <v>43894.99861</v>
      </c>
      <c r="B3527" s="1">
        <f>IFERROR(__xludf.DUMMYFUNCTION("""COMPUTED_VALUE"""),18359.89)</f>
        <v>18359.89</v>
      </c>
    </row>
    <row r="3528">
      <c r="A3528" s="3">
        <f>IFERROR(__xludf.DUMMYFUNCTION("""COMPUTED_VALUE"""),43895.99861111111)</f>
        <v>43895.99861</v>
      </c>
      <c r="B3528" s="1">
        <f>IFERROR(__xludf.DUMMYFUNCTION("""COMPUTED_VALUE"""),18359.89)</f>
        <v>18359.89</v>
      </c>
    </row>
    <row r="3529">
      <c r="A3529" s="3">
        <f>IFERROR(__xludf.DUMMYFUNCTION("""COMPUTED_VALUE"""),43896.99861111111)</f>
        <v>43896.99861</v>
      </c>
      <c r="B3529" s="1">
        <f>IFERROR(__xludf.DUMMYFUNCTION("""COMPUTED_VALUE"""),18359.89)</f>
        <v>18359.89</v>
      </c>
    </row>
    <row r="3530">
      <c r="A3530" s="3">
        <f>IFERROR(__xludf.DUMMYFUNCTION("""COMPUTED_VALUE"""),43897.99861111111)</f>
        <v>43897.99861</v>
      </c>
      <c r="B3530" s="1">
        <f>IFERROR(__xludf.DUMMYFUNCTION("""COMPUTED_VALUE"""),18359.89)</f>
        <v>18359.89</v>
      </c>
    </row>
    <row r="3531">
      <c r="A3531" s="3">
        <f>IFERROR(__xludf.DUMMYFUNCTION("""COMPUTED_VALUE"""),43898.99861111111)</f>
        <v>43898.99861</v>
      </c>
      <c r="B3531" s="1">
        <f>IFERROR(__xludf.DUMMYFUNCTION("""COMPUTED_VALUE"""),18359.89)</f>
        <v>18359.89</v>
      </c>
    </row>
    <row r="3532">
      <c r="A3532" s="3">
        <f>IFERROR(__xludf.DUMMYFUNCTION("""COMPUTED_VALUE"""),43899.99861111111)</f>
        <v>43899.99861</v>
      </c>
      <c r="B3532" s="1">
        <f>IFERROR(__xludf.DUMMYFUNCTION("""COMPUTED_VALUE"""),18359.89)</f>
        <v>18359.89</v>
      </c>
    </row>
    <row r="3533">
      <c r="A3533" s="3">
        <f>IFERROR(__xludf.DUMMYFUNCTION("""COMPUTED_VALUE"""),43900.99861111111)</f>
        <v>43900.99861</v>
      </c>
      <c r="B3533" s="1">
        <f>IFERROR(__xludf.DUMMYFUNCTION("""COMPUTED_VALUE"""),18359.89)</f>
        <v>18359.89</v>
      </c>
    </row>
    <row r="3534">
      <c r="A3534" s="3">
        <f>IFERROR(__xludf.DUMMYFUNCTION("""COMPUTED_VALUE"""),43901.99861111111)</f>
        <v>43901.99861</v>
      </c>
      <c r="B3534" s="1">
        <f>IFERROR(__xludf.DUMMYFUNCTION("""COMPUTED_VALUE"""),18359.89)</f>
        <v>18359.89</v>
      </c>
    </row>
    <row r="3535">
      <c r="A3535" s="3">
        <f>IFERROR(__xludf.DUMMYFUNCTION("""COMPUTED_VALUE"""),43902.99861111111)</f>
        <v>43902.99861</v>
      </c>
      <c r="B3535" s="1">
        <f>IFERROR(__xludf.DUMMYFUNCTION("""COMPUTED_VALUE"""),18359.89)</f>
        <v>18359.89</v>
      </c>
    </row>
    <row r="3536">
      <c r="A3536" s="3">
        <f>IFERROR(__xludf.DUMMYFUNCTION("""COMPUTED_VALUE"""),43903.99861111111)</f>
        <v>43903.99861</v>
      </c>
      <c r="B3536" s="1">
        <f>IFERROR(__xludf.DUMMYFUNCTION("""COMPUTED_VALUE"""),18359.89)</f>
        <v>18359.89</v>
      </c>
    </row>
    <row r="3537">
      <c r="A3537" s="3">
        <f>IFERROR(__xludf.DUMMYFUNCTION("""COMPUTED_VALUE"""),43904.99861111111)</f>
        <v>43904.99861</v>
      </c>
      <c r="B3537" s="1">
        <f>IFERROR(__xludf.DUMMYFUNCTION("""COMPUTED_VALUE"""),18359.89)</f>
        <v>18359.89</v>
      </c>
    </row>
    <row r="3538">
      <c r="A3538" s="3">
        <f>IFERROR(__xludf.DUMMYFUNCTION("""COMPUTED_VALUE"""),43905.99861111111)</f>
        <v>43905.99861</v>
      </c>
      <c r="B3538" s="1">
        <f>IFERROR(__xludf.DUMMYFUNCTION("""COMPUTED_VALUE"""),18359.89)</f>
        <v>18359.89</v>
      </c>
    </row>
    <row r="3539">
      <c r="A3539" s="3">
        <f>IFERROR(__xludf.DUMMYFUNCTION("""COMPUTED_VALUE"""),43906.99861111111)</f>
        <v>43906.99861</v>
      </c>
      <c r="B3539" s="1">
        <f>IFERROR(__xludf.DUMMYFUNCTION("""COMPUTED_VALUE"""),18359.89)</f>
        <v>18359.89</v>
      </c>
    </row>
    <row r="3540">
      <c r="A3540" s="3">
        <f>IFERROR(__xludf.DUMMYFUNCTION("""COMPUTED_VALUE"""),43907.99861111111)</f>
        <v>43907.99861</v>
      </c>
      <c r="B3540" s="1">
        <f>IFERROR(__xludf.DUMMYFUNCTION("""COMPUTED_VALUE"""),18359.89)</f>
        <v>18359.89</v>
      </c>
    </row>
    <row r="3541">
      <c r="A3541" s="3">
        <f>IFERROR(__xludf.DUMMYFUNCTION("""COMPUTED_VALUE"""),43908.99861111111)</f>
        <v>43908.99861</v>
      </c>
      <c r="B3541" s="1">
        <f>IFERROR(__xludf.DUMMYFUNCTION("""COMPUTED_VALUE"""),18359.89)</f>
        <v>18359.89</v>
      </c>
    </row>
    <row r="3542">
      <c r="A3542" s="3">
        <f>IFERROR(__xludf.DUMMYFUNCTION("""COMPUTED_VALUE"""),43909.99861111111)</f>
        <v>43909.99861</v>
      </c>
      <c r="B3542" s="1">
        <f>IFERROR(__xludf.DUMMYFUNCTION("""COMPUTED_VALUE"""),18344.2)</f>
        <v>18344.2</v>
      </c>
    </row>
    <row r="3543">
      <c r="A3543" s="3">
        <f>IFERROR(__xludf.DUMMYFUNCTION("""COMPUTED_VALUE"""),43910.99861111111)</f>
        <v>43910.99861</v>
      </c>
      <c r="B3543" s="1">
        <f>IFERROR(__xludf.DUMMYFUNCTION("""COMPUTED_VALUE"""),18344.25)</f>
        <v>18344.25</v>
      </c>
    </row>
    <row r="3544">
      <c r="A3544" s="3">
        <f>IFERROR(__xludf.DUMMYFUNCTION("""COMPUTED_VALUE"""),43911.99861111111)</f>
        <v>43911.99861</v>
      </c>
      <c r="B3544" s="1">
        <f>IFERROR(__xludf.DUMMYFUNCTION("""COMPUTED_VALUE"""),18344.25)</f>
        <v>18344.25</v>
      </c>
    </row>
    <row r="3545">
      <c r="A3545" s="3">
        <f>IFERROR(__xludf.DUMMYFUNCTION("""COMPUTED_VALUE"""),43912.99861111111)</f>
        <v>43912.99861</v>
      </c>
      <c r="B3545" s="1">
        <f>IFERROR(__xludf.DUMMYFUNCTION("""COMPUTED_VALUE"""),18344.25)</f>
        <v>18344.25</v>
      </c>
    </row>
    <row r="3546">
      <c r="A3546" s="3">
        <f>IFERROR(__xludf.DUMMYFUNCTION("""COMPUTED_VALUE"""),43913.99861111111)</f>
        <v>43913.99861</v>
      </c>
      <c r="B3546" s="1">
        <f>IFERROR(__xludf.DUMMYFUNCTION("""COMPUTED_VALUE"""),18344.25)</f>
        <v>18344.25</v>
      </c>
    </row>
    <row r="3547">
      <c r="A3547" s="3">
        <f>IFERROR(__xludf.DUMMYFUNCTION("""COMPUTED_VALUE"""),43914.99861111111)</f>
        <v>43914.99861</v>
      </c>
      <c r="B3547" s="1">
        <f>IFERROR(__xludf.DUMMYFUNCTION("""COMPUTED_VALUE"""),18344.25)</f>
        <v>18344.25</v>
      </c>
    </row>
    <row r="3548">
      <c r="A3548" s="3">
        <f>IFERROR(__xludf.DUMMYFUNCTION("""COMPUTED_VALUE"""),43915.99861111111)</f>
        <v>43915.99861</v>
      </c>
      <c r="B3548" s="1">
        <f>IFERROR(__xludf.DUMMYFUNCTION("""COMPUTED_VALUE"""),18344.25)</f>
        <v>18344.25</v>
      </c>
    </row>
    <row r="3549">
      <c r="A3549" s="3">
        <f>IFERROR(__xludf.DUMMYFUNCTION("""COMPUTED_VALUE"""),43916.99861111111)</f>
        <v>43916.99861</v>
      </c>
      <c r="B3549" s="1">
        <f>IFERROR(__xludf.DUMMYFUNCTION("""COMPUTED_VALUE"""),18344.25)</f>
        <v>18344.25</v>
      </c>
    </row>
    <row r="3550">
      <c r="A3550" s="3">
        <f>IFERROR(__xludf.DUMMYFUNCTION("""COMPUTED_VALUE"""),43917.99861111111)</f>
        <v>43917.99861</v>
      </c>
      <c r="B3550" s="1">
        <f>IFERROR(__xludf.DUMMYFUNCTION("""COMPUTED_VALUE"""),18344.25)</f>
        <v>18344.25</v>
      </c>
    </row>
    <row r="3551">
      <c r="A3551" s="3">
        <f>IFERROR(__xludf.DUMMYFUNCTION("""COMPUTED_VALUE"""),43918.99861111111)</f>
        <v>43918.99861</v>
      </c>
      <c r="B3551" s="1">
        <f>IFERROR(__xludf.DUMMYFUNCTION("""COMPUTED_VALUE"""),18344.25)</f>
        <v>18344.25</v>
      </c>
    </row>
    <row r="3552">
      <c r="A3552" s="3">
        <f>IFERROR(__xludf.DUMMYFUNCTION("""COMPUTED_VALUE"""),43919.99861111111)</f>
        <v>43919.99861</v>
      </c>
      <c r="B3552" s="1">
        <f>IFERROR(__xludf.DUMMYFUNCTION("""COMPUTED_VALUE"""),18344.25)</f>
        <v>18344.25</v>
      </c>
    </row>
    <row r="3553">
      <c r="A3553" s="3">
        <f>IFERROR(__xludf.DUMMYFUNCTION("""COMPUTED_VALUE"""),43920.99861111111)</f>
        <v>43920.99861</v>
      </c>
      <c r="B3553" s="1">
        <f>IFERROR(__xludf.DUMMYFUNCTION("""COMPUTED_VALUE"""),18344.25)</f>
        <v>18344.25</v>
      </c>
    </row>
    <row r="3554">
      <c r="A3554" s="3">
        <f>IFERROR(__xludf.DUMMYFUNCTION("""COMPUTED_VALUE"""),43921.99861111111)</f>
        <v>43921.99861</v>
      </c>
      <c r="B3554" s="1">
        <f>IFERROR(__xludf.DUMMYFUNCTION("""COMPUTED_VALUE"""),18344.25)</f>
        <v>18344.25</v>
      </c>
    </row>
    <row r="3555">
      <c r="A3555" s="3">
        <f>IFERROR(__xludf.DUMMYFUNCTION("""COMPUTED_VALUE"""),43922.99861111111)</f>
        <v>43922.99861</v>
      </c>
      <c r="B3555" s="1">
        <f>IFERROR(__xludf.DUMMYFUNCTION("""COMPUTED_VALUE"""),18344.25)</f>
        <v>18344.25</v>
      </c>
    </row>
    <row r="3556">
      <c r="A3556" s="3">
        <f>IFERROR(__xludf.DUMMYFUNCTION("""COMPUTED_VALUE"""),43923.99861111111)</f>
        <v>43923.99861</v>
      </c>
      <c r="B3556" s="1">
        <f>IFERROR(__xludf.DUMMYFUNCTION("""COMPUTED_VALUE"""),18344.25)</f>
        <v>18344.25</v>
      </c>
    </row>
    <row r="3557">
      <c r="A3557" s="3">
        <f>IFERROR(__xludf.DUMMYFUNCTION("""COMPUTED_VALUE"""),43924.99861111111)</f>
        <v>43924.99861</v>
      </c>
      <c r="B3557" s="1">
        <f>IFERROR(__xludf.DUMMYFUNCTION("""COMPUTED_VALUE"""),18344.25)</f>
        <v>18344.25</v>
      </c>
    </row>
    <row r="3558">
      <c r="A3558" s="3">
        <f>IFERROR(__xludf.DUMMYFUNCTION("""COMPUTED_VALUE"""),43925.99861111111)</f>
        <v>43925.99861</v>
      </c>
      <c r="B3558" s="1">
        <f>IFERROR(__xludf.DUMMYFUNCTION("""COMPUTED_VALUE"""),18344.25)</f>
        <v>18344.25</v>
      </c>
    </row>
    <row r="3559">
      <c r="A3559" s="3">
        <f>IFERROR(__xludf.DUMMYFUNCTION("""COMPUTED_VALUE"""),43926.99861111111)</f>
        <v>43926.99861</v>
      </c>
      <c r="B3559" s="1">
        <f>IFERROR(__xludf.DUMMYFUNCTION("""COMPUTED_VALUE"""),18344.25)</f>
        <v>18344.25</v>
      </c>
    </row>
    <row r="3560">
      <c r="A3560" s="3">
        <f>IFERROR(__xludf.DUMMYFUNCTION("""COMPUTED_VALUE"""),43927.99861111111)</f>
        <v>43927.99861</v>
      </c>
      <c r="B3560" s="1">
        <f>IFERROR(__xludf.DUMMYFUNCTION("""COMPUTED_VALUE"""),18344.25)</f>
        <v>18344.25</v>
      </c>
    </row>
    <row r="3561">
      <c r="A3561" s="3">
        <f>IFERROR(__xludf.DUMMYFUNCTION("""COMPUTED_VALUE"""),43928.99861111111)</f>
        <v>43928.99861</v>
      </c>
      <c r="B3561" s="1">
        <f>IFERROR(__xludf.DUMMYFUNCTION("""COMPUTED_VALUE"""),18344.25)</f>
        <v>18344.25</v>
      </c>
    </row>
    <row r="3562">
      <c r="A3562" s="3">
        <f>IFERROR(__xludf.DUMMYFUNCTION("""COMPUTED_VALUE"""),43929.99861111111)</f>
        <v>43929.99861</v>
      </c>
      <c r="B3562" s="1">
        <f>IFERROR(__xludf.DUMMYFUNCTION("""COMPUTED_VALUE"""),18344.25)</f>
        <v>18344.25</v>
      </c>
    </row>
    <row r="3563">
      <c r="A3563" s="3">
        <f>IFERROR(__xludf.DUMMYFUNCTION("""COMPUTED_VALUE"""),43930.99861111111)</f>
        <v>43930.99861</v>
      </c>
      <c r="B3563" s="1">
        <f>IFERROR(__xludf.DUMMYFUNCTION("""COMPUTED_VALUE"""),18344.25)</f>
        <v>18344.25</v>
      </c>
    </row>
    <row r="3564">
      <c r="A3564" s="3">
        <f>IFERROR(__xludf.DUMMYFUNCTION("""COMPUTED_VALUE"""),43931.99861111111)</f>
        <v>43931.99861</v>
      </c>
      <c r="B3564" s="1">
        <f>IFERROR(__xludf.DUMMYFUNCTION("""COMPUTED_VALUE"""),18344.25)</f>
        <v>18344.25</v>
      </c>
    </row>
    <row r="3565">
      <c r="A3565" s="3">
        <f>IFERROR(__xludf.DUMMYFUNCTION("""COMPUTED_VALUE"""),43932.99861111111)</f>
        <v>43932.99861</v>
      </c>
      <c r="B3565" s="1">
        <f>IFERROR(__xludf.DUMMYFUNCTION("""COMPUTED_VALUE"""),18344.25)</f>
        <v>18344.25</v>
      </c>
    </row>
    <row r="3566">
      <c r="A3566" s="3">
        <f>IFERROR(__xludf.DUMMYFUNCTION("""COMPUTED_VALUE"""),43933.99861111111)</f>
        <v>43933.99861</v>
      </c>
      <c r="B3566" s="1">
        <f>IFERROR(__xludf.DUMMYFUNCTION("""COMPUTED_VALUE"""),18344.25)</f>
        <v>18344.25</v>
      </c>
    </row>
    <row r="3567">
      <c r="A3567" s="3">
        <f>IFERROR(__xludf.DUMMYFUNCTION("""COMPUTED_VALUE"""),43934.99861111111)</f>
        <v>43934.99861</v>
      </c>
      <c r="B3567" s="1">
        <f>IFERROR(__xludf.DUMMYFUNCTION("""COMPUTED_VALUE"""),18344.25)</f>
        <v>18344.25</v>
      </c>
    </row>
    <row r="3568">
      <c r="A3568" s="3">
        <f>IFERROR(__xludf.DUMMYFUNCTION("""COMPUTED_VALUE"""),43935.99861111111)</f>
        <v>43935.99861</v>
      </c>
      <c r="B3568" s="1">
        <f>IFERROR(__xludf.DUMMYFUNCTION("""COMPUTED_VALUE"""),18344.25)</f>
        <v>18344.25</v>
      </c>
    </row>
    <row r="3569">
      <c r="A3569" s="3">
        <f>IFERROR(__xludf.DUMMYFUNCTION("""COMPUTED_VALUE"""),43936.99861111111)</f>
        <v>43936.99861</v>
      </c>
      <c r="B3569" s="1">
        <f>IFERROR(__xludf.DUMMYFUNCTION("""COMPUTED_VALUE"""),18344.25)</f>
        <v>18344.25</v>
      </c>
    </row>
    <row r="3570">
      <c r="A3570" s="3">
        <f>IFERROR(__xludf.DUMMYFUNCTION("""COMPUTED_VALUE"""),43937.99861111111)</f>
        <v>43937.99861</v>
      </c>
      <c r="B3570" s="1">
        <f>IFERROR(__xludf.DUMMYFUNCTION("""COMPUTED_VALUE"""),18344.25)</f>
        <v>18344.25</v>
      </c>
    </row>
    <row r="3571">
      <c r="A3571" s="3">
        <f>IFERROR(__xludf.DUMMYFUNCTION("""COMPUTED_VALUE"""),43938.99861111111)</f>
        <v>43938.99861</v>
      </c>
      <c r="B3571" s="1">
        <f>IFERROR(__xludf.DUMMYFUNCTION("""COMPUTED_VALUE"""),18344.25)</f>
        <v>18344.25</v>
      </c>
    </row>
    <row r="3572">
      <c r="A3572" s="3">
        <f>IFERROR(__xludf.DUMMYFUNCTION("""COMPUTED_VALUE"""),43939.99861111111)</f>
        <v>43939.99861</v>
      </c>
      <c r="B3572" s="1">
        <f>IFERROR(__xludf.DUMMYFUNCTION("""COMPUTED_VALUE"""),18344.25)</f>
        <v>18344.25</v>
      </c>
    </row>
    <row r="3573">
      <c r="A3573" s="3">
        <f>IFERROR(__xludf.DUMMYFUNCTION("""COMPUTED_VALUE"""),43940.99861111111)</f>
        <v>43940.99861</v>
      </c>
      <c r="B3573" s="1">
        <f>IFERROR(__xludf.DUMMYFUNCTION("""COMPUTED_VALUE"""),18344.25)</f>
        <v>18344.25</v>
      </c>
    </row>
    <row r="3574">
      <c r="A3574" s="3">
        <f>IFERROR(__xludf.DUMMYFUNCTION("""COMPUTED_VALUE"""),43941.99861111111)</f>
        <v>43941.99861</v>
      </c>
      <c r="B3574" s="1">
        <f>IFERROR(__xludf.DUMMYFUNCTION("""COMPUTED_VALUE"""),18344.25)</f>
        <v>18344.25</v>
      </c>
    </row>
    <row r="3575">
      <c r="A3575" s="3">
        <f>IFERROR(__xludf.DUMMYFUNCTION("""COMPUTED_VALUE"""),43942.99861111111)</f>
        <v>43942.99861</v>
      </c>
      <c r="B3575" s="1">
        <f>IFERROR(__xludf.DUMMYFUNCTION("""COMPUTED_VALUE"""),18344.25)</f>
        <v>18344.25</v>
      </c>
    </row>
    <row r="3576">
      <c r="A3576" s="3">
        <f>IFERROR(__xludf.DUMMYFUNCTION("""COMPUTED_VALUE"""),43943.99861111111)</f>
        <v>43943.99861</v>
      </c>
      <c r="B3576" s="1">
        <f>IFERROR(__xludf.DUMMYFUNCTION("""COMPUTED_VALUE"""),18344.25)</f>
        <v>18344.25</v>
      </c>
    </row>
    <row r="3577">
      <c r="A3577" s="3">
        <f>IFERROR(__xludf.DUMMYFUNCTION("""COMPUTED_VALUE"""),43944.99861111111)</f>
        <v>43944.99861</v>
      </c>
      <c r="B3577" s="1">
        <f>IFERROR(__xludf.DUMMYFUNCTION("""COMPUTED_VALUE"""),18344.25)</f>
        <v>18344.25</v>
      </c>
    </row>
    <row r="3578">
      <c r="A3578" s="3">
        <f>IFERROR(__xludf.DUMMYFUNCTION("""COMPUTED_VALUE"""),43945.99861111111)</f>
        <v>43945.99861</v>
      </c>
      <c r="B3578" s="1">
        <f>IFERROR(__xludf.DUMMYFUNCTION("""COMPUTED_VALUE"""),18344.25)</f>
        <v>18344.25</v>
      </c>
    </row>
    <row r="3579">
      <c r="A3579" s="3">
        <f>IFERROR(__xludf.DUMMYFUNCTION("""COMPUTED_VALUE"""),43946.99861111111)</f>
        <v>43946.99861</v>
      </c>
      <c r="B3579" s="1">
        <f>IFERROR(__xludf.DUMMYFUNCTION("""COMPUTED_VALUE"""),18344.25)</f>
        <v>18344.25</v>
      </c>
    </row>
    <row r="3580">
      <c r="A3580" s="3">
        <f>IFERROR(__xludf.DUMMYFUNCTION("""COMPUTED_VALUE"""),43947.99861111111)</f>
        <v>43947.99861</v>
      </c>
      <c r="B3580" s="1">
        <f>IFERROR(__xludf.DUMMYFUNCTION("""COMPUTED_VALUE"""),18344.25)</f>
        <v>18344.25</v>
      </c>
    </row>
    <row r="3581">
      <c r="A3581" s="3">
        <f>IFERROR(__xludf.DUMMYFUNCTION("""COMPUTED_VALUE"""),43948.99861111111)</f>
        <v>43948.99861</v>
      </c>
      <c r="B3581" s="1">
        <f>IFERROR(__xludf.DUMMYFUNCTION("""COMPUTED_VALUE"""),18344.25)</f>
        <v>18344.25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IFERROR(__xludf.DUMMYFUNCTION("googlefinance(""Currency:CHFIDR"",""price"",""01/01/2010"",""28/04/2020"",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IFERROR(__xludf.DUMMYFUNCTION("""COMPUTED_VALUE"""),9095.491104)</f>
        <v>9095.491104</v>
      </c>
    </row>
    <row r="3">
      <c r="A3" s="3">
        <f>IFERROR(__xludf.DUMMYFUNCTION("""COMPUTED_VALUE"""),40182.99861111111)</f>
        <v>40182.99861</v>
      </c>
      <c r="B3" s="1">
        <f>IFERROR(__xludf.DUMMYFUNCTION("""COMPUTED_VALUE"""),9097.226658)</f>
        <v>9097.226658</v>
      </c>
    </row>
    <row r="4">
      <c r="A4" s="3">
        <f>IFERROR(__xludf.DUMMYFUNCTION("""COMPUTED_VALUE"""),40183.99861111111)</f>
        <v>40183.99861</v>
      </c>
      <c r="B4" s="1">
        <f>IFERROR(__xludf.DUMMYFUNCTION("""COMPUTED_VALUE"""),9000.082492)</f>
        <v>9000.082492</v>
      </c>
    </row>
    <row r="5">
      <c r="A5" s="3">
        <f>IFERROR(__xludf.DUMMYFUNCTION("""COMPUTED_VALUE"""),40184.99861111111)</f>
        <v>40184.99861</v>
      </c>
      <c r="B5" s="1">
        <f>IFERROR(__xludf.DUMMYFUNCTION("""COMPUTED_VALUE"""),8966.814594)</f>
        <v>8966.814594</v>
      </c>
    </row>
    <row r="6">
      <c r="A6" s="3">
        <f>IFERROR(__xludf.DUMMYFUNCTION("""COMPUTED_VALUE"""),40185.99861111111)</f>
        <v>40185.99861</v>
      </c>
      <c r="B6" s="1">
        <f>IFERROR(__xludf.DUMMYFUNCTION("""COMPUTED_VALUE"""),8968.640175)</f>
        <v>8968.640175</v>
      </c>
    </row>
    <row r="7">
      <c r="A7" s="3">
        <f>IFERROR(__xludf.DUMMYFUNCTION("""COMPUTED_VALUE"""),40186.99861111111)</f>
        <v>40186.99861</v>
      </c>
      <c r="B7" s="1">
        <f>IFERROR(__xludf.DUMMYFUNCTION("""COMPUTED_VALUE"""),8993.898375)</f>
        <v>8993.898375</v>
      </c>
    </row>
    <row r="8">
      <c r="A8" s="3">
        <f>IFERROR(__xludf.DUMMYFUNCTION("""COMPUTED_VALUE"""),40189.99861111111)</f>
        <v>40189.99861</v>
      </c>
      <c r="B8" s="1">
        <f>IFERROR(__xludf.DUMMYFUNCTION("""COMPUTED_VALUE"""),8997.888198)</f>
        <v>8997.888198</v>
      </c>
    </row>
    <row r="9">
      <c r="A9" s="3">
        <f>IFERROR(__xludf.DUMMYFUNCTION("""COMPUTED_VALUE"""),40190.99861111111)</f>
        <v>40190.99861</v>
      </c>
      <c r="B9" s="1">
        <f>IFERROR(__xludf.DUMMYFUNCTION("""COMPUTED_VALUE"""),8998.21836)</f>
        <v>8998.21836</v>
      </c>
    </row>
    <row r="10">
      <c r="A10" s="3">
        <f>IFERROR(__xludf.DUMMYFUNCTION("""COMPUTED_VALUE"""),40191.99861111111)</f>
        <v>40191.99861</v>
      </c>
      <c r="B10" s="1">
        <f>IFERROR(__xludf.DUMMYFUNCTION("""COMPUTED_VALUE"""),8981.12391)</f>
        <v>8981.12391</v>
      </c>
    </row>
    <row r="11">
      <c r="A11" s="3">
        <f>IFERROR(__xludf.DUMMYFUNCTION("""COMPUTED_VALUE"""),40192.99861111111)</f>
        <v>40192.99861</v>
      </c>
      <c r="B11" s="1">
        <f>IFERROR(__xludf.DUMMYFUNCTION("""COMPUTED_VALUE"""),8986.143026)</f>
        <v>8986.143026</v>
      </c>
    </row>
    <row r="12">
      <c r="A12" s="3">
        <f>IFERROR(__xludf.DUMMYFUNCTION("""COMPUTED_VALUE"""),40193.99861111111)</f>
        <v>40193.99861</v>
      </c>
      <c r="B12" s="1">
        <f>IFERROR(__xludf.DUMMYFUNCTION("""COMPUTED_VALUE"""),8995.724283)</f>
        <v>8995.724283</v>
      </c>
    </row>
    <row r="13">
      <c r="A13" s="3">
        <f>IFERROR(__xludf.DUMMYFUNCTION("""COMPUTED_VALUE"""),40196.99861111111)</f>
        <v>40196.99861</v>
      </c>
      <c r="B13" s="1">
        <f>IFERROR(__xludf.DUMMYFUNCTION("""COMPUTED_VALUE"""),8915.1711)</f>
        <v>8915.1711</v>
      </c>
    </row>
    <row r="14">
      <c r="A14" s="3">
        <f>IFERROR(__xludf.DUMMYFUNCTION("""COMPUTED_VALUE"""),40197.99861111111)</f>
        <v>40197.99861</v>
      </c>
      <c r="B14" s="1">
        <f>IFERROR(__xludf.DUMMYFUNCTION("""COMPUTED_VALUE"""),8934.4993)</f>
        <v>8934.4993</v>
      </c>
    </row>
    <row r="15">
      <c r="A15" s="3">
        <f>IFERROR(__xludf.DUMMYFUNCTION("""COMPUTED_VALUE"""),40198.99861111111)</f>
        <v>40198.99861</v>
      </c>
      <c r="B15" s="1">
        <f>IFERROR(__xludf.DUMMYFUNCTION("""COMPUTED_VALUE"""),8904.376201)</f>
        <v>8904.376201</v>
      </c>
    </row>
    <row r="16">
      <c r="A16" s="3">
        <f>IFERROR(__xludf.DUMMYFUNCTION("""COMPUTED_VALUE"""),40199.99861111111)</f>
        <v>40199.99861</v>
      </c>
      <c r="B16" s="1">
        <f>IFERROR(__xludf.DUMMYFUNCTION("""COMPUTED_VALUE"""),8816.5983)</f>
        <v>8816.5983</v>
      </c>
    </row>
    <row r="17">
      <c r="A17" s="3">
        <f>IFERROR(__xludf.DUMMYFUNCTION("""COMPUTED_VALUE"""),40200.99861111111)</f>
        <v>40200.99861</v>
      </c>
      <c r="B17" s="1">
        <f>IFERROR(__xludf.DUMMYFUNCTION("""COMPUTED_VALUE"""),8870.4924)</f>
        <v>8870.4924</v>
      </c>
    </row>
    <row r="18">
      <c r="A18" s="3">
        <f>IFERROR(__xludf.DUMMYFUNCTION("""COMPUTED_VALUE"""),40203.99861111111)</f>
        <v>40203.99861</v>
      </c>
      <c r="B18" s="1">
        <f>IFERROR(__xludf.DUMMYFUNCTION("""COMPUTED_VALUE"""),8959.361134)</f>
        <v>8959.361134</v>
      </c>
    </row>
    <row r="19">
      <c r="A19" s="3">
        <f>IFERROR(__xludf.DUMMYFUNCTION("""COMPUTED_VALUE"""),40204.99861111111)</f>
        <v>40204.99861</v>
      </c>
      <c r="B19" s="1">
        <f>IFERROR(__xludf.DUMMYFUNCTION("""COMPUTED_VALUE"""),8965.26241)</f>
        <v>8965.26241</v>
      </c>
    </row>
    <row r="20">
      <c r="A20" s="3">
        <f>IFERROR(__xludf.DUMMYFUNCTION("""COMPUTED_VALUE"""),40205.99861111111)</f>
        <v>40205.99861</v>
      </c>
      <c r="B20" s="1">
        <f>IFERROR(__xludf.DUMMYFUNCTION("""COMPUTED_VALUE"""),8952.888378)</f>
        <v>8952.888378</v>
      </c>
    </row>
    <row r="21">
      <c r="A21" s="3">
        <f>IFERROR(__xludf.DUMMYFUNCTION("""COMPUTED_VALUE"""),40206.99861111111)</f>
        <v>40206.99861</v>
      </c>
      <c r="B21" s="1">
        <f>IFERROR(__xludf.DUMMYFUNCTION("""COMPUTED_VALUE"""),8863.737973)</f>
        <v>8863.737973</v>
      </c>
    </row>
    <row r="22">
      <c r="A22" s="3">
        <f>IFERROR(__xludf.DUMMYFUNCTION("""COMPUTED_VALUE"""),40207.99861111111)</f>
        <v>40207.99861</v>
      </c>
      <c r="B22" s="1">
        <f>IFERROR(__xludf.DUMMYFUNCTION("""COMPUTED_VALUE"""),8719.79)</f>
        <v>8719.79</v>
      </c>
    </row>
    <row r="23">
      <c r="A23" s="3">
        <f>IFERROR(__xludf.DUMMYFUNCTION("""COMPUTED_VALUE"""),40210.99861111111)</f>
        <v>40210.99861</v>
      </c>
      <c r="B23" s="1">
        <f>IFERROR(__xludf.DUMMYFUNCTION("""COMPUTED_VALUE"""),8759.33132)</f>
        <v>8759.33132</v>
      </c>
    </row>
    <row r="24">
      <c r="A24" s="3">
        <f>IFERROR(__xludf.DUMMYFUNCTION("""COMPUTED_VALUE"""),40211.99861111111)</f>
        <v>40211.99861</v>
      </c>
      <c r="B24" s="1">
        <f>IFERROR(__xludf.DUMMYFUNCTION("""COMPUTED_VALUE"""),8827.804271)</f>
        <v>8827.804271</v>
      </c>
    </row>
    <row r="25">
      <c r="A25" s="3">
        <f>IFERROR(__xludf.DUMMYFUNCTION("""COMPUTED_VALUE"""),40212.99861111111)</f>
        <v>40212.99861</v>
      </c>
      <c r="B25" s="1">
        <f>IFERROR(__xludf.DUMMYFUNCTION("""COMPUTED_VALUE"""),8845.894806)</f>
        <v>8845.894806</v>
      </c>
    </row>
    <row r="26">
      <c r="A26" s="3">
        <f>IFERROR(__xludf.DUMMYFUNCTION("""COMPUTED_VALUE"""),40213.99861111111)</f>
        <v>40213.99861</v>
      </c>
      <c r="B26" s="1">
        <f>IFERROR(__xludf.DUMMYFUNCTION("""COMPUTED_VALUE"""),8806.883449)</f>
        <v>8806.883449</v>
      </c>
    </row>
    <row r="27">
      <c r="A27" s="3">
        <f>IFERROR(__xludf.DUMMYFUNCTION("""COMPUTED_VALUE"""),40214.99861111111)</f>
        <v>40214.99861</v>
      </c>
      <c r="B27" s="1">
        <f>IFERROR(__xludf.DUMMYFUNCTION("""COMPUTED_VALUE"""),8821.523451)</f>
        <v>8821.523451</v>
      </c>
    </row>
    <row r="28">
      <c r="A28" s="3">
        <f>IFERROR(__xludf.DUMMYFUNCTION("""COMPUTED_VALUE"""),40217.99861111111)</f>
        <v>40217.99861</v>
      </c>
      <c r="B28" s="1">
        <f>IFERROR(__xludf.DUMMYFUNCTION("""COMPUTED_VALUE"""),8838.60555)</f>
        <v>8838.60555</v>
      </c>
    </row>
    <row r="29">
      <c r="A29" s="3">
        <f>IFERROR(__xludf.DUMMYFUNCTION("""COMPUTED_VALUE"""),40218.99861111111)</f>
        <v>40218.99861</v>
      </c>
      <c r="B29" s="1">
        <f>IFERROR(__xludf.DUMMYFUNCTION("""COMPUTED_VALUE"""),8765.773587)</f>
        <v>8765.773587</v>
      </c>
    </row>
    <row r="30">
      <c r="A30" s="3">
        <f>IFERROR(__xludf.DUMMYFUNCTION("""COMPUTED_VALUE"""),40219.99861111111)</f>
        <v>40219.99861</v>
      </c>
      <c r="B30" s="1">
        <f>IFERROR(__xludf.DUMMYFUNCTION("""COMPUTED_VALUE"""),8728.244808)</f>
        <v>8728.244808</v>
      </c>
    </row>
    <row r="31">
      <c r="A31" s="3">
        <f>IFERROR(__xludf.DUMMYFUNCTION("""COMPUTED_VALUE"""),40220.99861111111)</f>
        <v>40220.99861</v>
      </c>
      <c r="B31" s="1">
        <f>IFERROR(__xludf.DUMMYFUNCTION("""COMPUTED_VALUE"""),8711.047865)</f>
        <v>8711.047865</v>
      </c>
    </row>
    <row r="32">
      <c r="A32" s="3">
        <f>IFERROR(__xludf.DUMMYFUNCTION("""COMPUTED_VALUE"""),40221.99861111111)</f>
        <v>40221.99861</v>
      </c>
      <c r="B32" s="1">
        <f>IFERROR(__xludf.DUMMYFUNCTION("""COMPUTED_VALUE"""),8669.269497)</f>
        <v>8669.269497</v>
      </c>
    </row>
    <row r="33">
      <c r="A33" s="3">
        <f>IFERROR(__xludf.DUMMYFUNCTION("""COMPUTED_VALUE"""),40224.99861111111)</f>
        <v>40224.99861</v>
      </c>
      <c r="B33" s="1">
        <f>IFERROR(__xludf.DUMMYFUNCTION("""COMPUTED_VALUE"""),8668.70372)</f>
        <v>8668.70372</v>
      </c>
    </row>
    <row r="34">
      <c r="A34" s="3">
        <f>IFERROR(__xludf.DUMMYFUNCTION("""COMPUTED_VALUE"""),40225.99861111111)</f>
        <v>40225.99861</v>
      </c>
      <c r="B34" s="1">
        <f>IFERROR(__xludf.DUMMYFUNCTION("""COMPUTED_VALUE"""),8715.81091)</f>
        <v>8715.81091</v>
      </c>
    </row>
    <row r="35">
      <c r="A35" s="3">
        <f>IFERROR(__xludf.DUMMYFUNCTION("""COMPUTED_VALUE"""),40226.99861111111)</f>
        <v>40226.99861</v>
      </c>
      <c r="B35" s="1">
        <f>IFERROR(__xludf.DUMMYFUNCTION("""COMPUTED_VALUE"""),8722.158698)</f>
        <v>8722.158698</v>
      </c>
    </row>
    <row r="36">
      <c r="A36" s="3">
        <f>IFERROR(__xludf.DUMMYFUNCTION("""COMPUTED_VALUE"""),40227.99861111111)</f>
        <v>40227.99861</v>
      </c>
      <c r="B36" s="1">
        <f>IFERROR(__xludf.DUMMYFUNCTION("""COMPUTED_VALUE"""),8731.361178)</f>
        <v>8731.361178</v>
      </c>
    </row>
    <row r="37">
      <c r="A37" s="3">
        <f>IFERROR(__xludf.DUMMYFUNCTION("""COMPUTED_VALUE"""),40228.99861111111)</f>
        <v>40228.99861</v>
      </c>
      <c r="B37" s="1">
        <f>IFERROR(__xludf.DUMMYFUNCTION("""COMPUTED_VALUE"""),8637.0999)</f>
        <v>8637.0999</v>
      </c>
    </row>
    <row r="38">
      <c r="A38" s="3">
        <f>IFERROR(__xludf.DUMMYFUNCTION("""COMPUTED_VALUE"""),40231.99861111111)</f>
        <v>40231.99861</v>
      </c>
      <c r="B38" s="1">
        <f>IFERROR(__xludf.DUMMYFUNCTION("""COMPUTED_VALUE"""),8628.26832)</f>
        <v>8628.26832</v>
      </c>
    </row>
    <row r="39">
      <c r="A39" s="3">
        <f>IFERROR(__xludf.DUMMYFUNCTION("""COMPUTED_VALUE"""),40232.99861111111)</f>
        <v>40232.99861</v>
      </c>
      <c r="B39" s="1">
        <f>IFERROR(__xludf.DUMMYFUNCTION("""COMPUTED_VALUE"""),8629.768004)</f>
        <v>8629.768004</v>
      </c>
    </row>
    <row r="40">
      <c r="A40" s="3">
        <f>IFERROR(__xludf.DUMMYFUNCTION("""COMPUTED_VALUE"""),40233.99861111111)</f>
        <v>40233.99861</v>
      </c>
      <c r="B40" s="1">
        <f>IFERROR(__xludf.DUMMYFUNCTION("""COMPUTED_VALUE"""),8651.158069)</f>
        <v>8651.158069</v>
      </c>
    </row>
    <row r="41">
      <c r="A41" s="3">
        <f>IFERROR(__xludf.DUMMYFUNCTION("""COMPUTED_VALUE"""),40234.99861111111)</f>
        <v>40234.99861</v>
      </c>
      <c r="B41" s="1">
        <f>IFERROR(__xludf.DUMMYFUNCTION("""COMPUTED_VALUE"""),8631.605976)</f>
        <v>8631.605976</v>
      </c>
    </row>
    <row r="42">
      <c r="A42" s="3">
        <f>IFERROR(__xludf.DUMMYFUNCTION("""COMPUTED_VALUE"""),40235.99861111111)</f>
        <v>40235.99861</v>
      </c>
      <c r="B42" s="1">
        <f>IFERROR(__xludf.DUMMYFUNCTION("""COMPUTED_VALUE"""),8700.677)</f>
        <v>8700.677</v>
      </c>
    </row>
    <row r="43">
      <c r="A43" s="3">
        <f>IFERROR(__xludf.DUMMYFUNCTION("""COMPUTED_VALUE"""),40238.99861111111)</f>
        <v>40238.99861</v>
      </c>
      <c r="B43" s="1">
        <f>IFERROR(__xludf.DUMMYFUNCTION("""COMPUTED_VALUE"""),8695.858256)</f>
        <v>8695.858256</v>
      </c>
    </row>
    <row r="44">
      <c r="A44" s="3">
        <f>IFERROR(__xludf.DUMMYFUNCTION("""COMPUTED_VALUE"""),40239.99861111111)</f>
        <v>40239.99861</v>
      </c>
      <c r="B44" s="1">
        <f>IFERROR(__xludf.DUMMYFUNCTION("""COMPUTED_VALUE"""),8547.553704)</f>
        <v>8547.553704</v>
      </c>
    </row>
    <row r="45">
      <c r="A45" s="3">
        <f>IFERROR(__xludf.DUMMYFUNCTION("""COMPUTED_VALUE"""),40240.99861111111)</f>
        <v>40240.99861</v>
      </c>
      <c r="B45" s="1">
        <f>IFERROR(__xludf.DUMMYFUNCTION("""COMPUTED_VALUE"""),8568.593929)</f>
        <v>8568.593929</v>
      </c>
    </row>
    <row r="46">
      <c r="A46" s="3">
        <f>IFERROR(__xludf.DUMMYFUNCTION("""COMPUTED_VALUE"""),40241.99861111111)</f>
        <v>40241.99861</v>
      </c>
      <c r="B46" s="1">
        <f>IFERROR(__xludf.DUMMYFUNCTION("""COMPUTED_VALUE"""),8660.204448)</f>
        <v>8660.204448</v>
      </c>
    </row>
    <row r="47">
      <c r="A47" s="3">
        <f>IFERROR(__xludf.DUMMYFUNCTION("""COMPUTED_VALUE"""),40242.99861111111)</f>
        <v>40242.99861</v>
      </c>
      <c r="B47" s="1">
        <f>IFERROR(__xludf.DUMMYFUNCTION("""COMPUTED_VALUE"""),8563.618416)</f>
        <v>8563.618416</v>
      </c>
    </row>
    <row r="48">
      <c r="A48" s="3">
        <f>IFERROR(__xludf.DUMMYFUNCTION("""COMPUTED_VALUE"""),40245.99861111111)</f>
        <v>40245.99861</v>
      </c>
      <c r="B48" s="1">
        <f>IFERROR(__xludf.DUMMYFUNCTION("""COMPUTED_VALUE"""),8544.285)</f>
        <v>8544.285</v>
      </c>
    </row>
    <row r="49">
      <c r="A49" s="3">
        <f>IFERROR(__xludf.DUMMYFUNCTION("""COMPUTED_VALUE"""),40246.99861111111)</f>
        <v>40246.99861</v>
      </c>
      <c r="B49" s="1">
        <f>IFERROR(__xludf.DUMMYFUNCTION("""COMPUTED_VALUE"""),8535.110895)</f>
        <v>8535.110895</v>
      </c>
    </row>
    <row r="50">
      <c r="A50" s="3">
        <f>IFERROR(__xludf.DUMMYFUNCTION("""COMPUTED_VALUE"""),40247.99861111111)</f>
        <v>40247.99861</v>
      </c>
      <c r="B50" s="1">
        <f>IFERROR(__xludf.DUMMYFUNCTION("""COMPUTED_VALUE"""),8562.485824)</f>
        <v>8562.485824</v>
      </c>
    </row>
    <row r="51">
      <c r="A51" s="3">
        <f>IFERROR(__xludf.DUMMYFUNCTION("""COMPUTED_VALUE"""),40248.99861111111)</f>
        <v>40248.99861</v>
      </c>
      <c r="B51" s="1">
        <f>IFERROR(__xludf.DUMMYFUNCTION("""COMPUTED_VALUE"""),8566.748284)</f>
        <v>8566.748284</v>
      </c>
    </row>
    <row r="52">
      <c r="A52" s="3">
        <f>IFERROR(__xludf.DUMMYFUNCTION("""COMPUTED_VALUE"""),40249.99861111111)</f>
        <v>40249.99861</v>
      </c>
      <c r="B52" s="1">
        <f>IFERROR(__xludf.DUMMYFUNCTION("""COMPUTED_VALUE"""),8643.387546)</f>
        <v>8643.387546</v>
      </c>
    </row>
    <row r="53">
      <c r="A53" s="3">
        <f>IFERROR(__xludf.DUMMYFUNCTION("""COMPUTED_VALUE"""),40252.99861111111)</f>
        <v>40252.99861</v>
      </c>
      <c r="B53" s="1">
        <f>IFERROR(__xludf.DUMMYFUNCTION("""COMPUTED_VALUE"""),8669.656325)</f>
        <v>8669.656325</v>
      </c>
    </row>
    <row r="54">
      <c r="A54" s="3">
        <f>IFERROR(__xludf.DUMMYFUNCTION("""COMPUTED_VALUE"""),40253.99861111111)</f>
        <v>40253.99861</v>
      </c>
      <c r="B54" s="1">
        <f>IFERROR(__xludf.DUMMYFUNCTION("""COMPUTED_VALUE"""),8671.605054)</f>
        <v>8671.605054</v>
      </c>
    </row>
    <row r="55">
      <c r="A55" s="3">
        <f>IFERROR(__xludf.DUMMYFUNCTION("""COMPUTED_VALUE"""),40254.99861111111)</f>
        <v>40254.99861</v>
      </c>
      <c r="B55" s="1">
        <f>IFERROR(__xludf.DUMMYFUNCTION("""COMPUTED_VALUE"""),8630.51177)</f>
        <v>8630.51177</v>
      </c>
    </row>
    <row r="56">
      <c r="A56" s="3">
        <f>IFERROR(__xludf.DUMMYFUNCTION("""COMPUTED_VALUE"""),40255.99861111111)</f>
        <v>40255.99861</v>
      </c>
      <c r="B56" s="1">
        <f>IFERROR(__xludf.DUMMYFUNCTION("""COMPUTED_VALUE"""),8623.608462)</f>
        <v>8623.608462</v>
      </c>
    </row>
    <row r="57">
      <c r="A57" s="3">
        <f>IFERROR(__xludf.DUMMYFUNCTION("""COMPUTED_VALUE"""),40256.99861111111)</f>
        <v>40256.99861</v>
      </c>
      <c r="B57" s="1">
        <f>IFERROR(__xludf.DUMMYFUNCTION("""COMPUTED_VALUE"""),8582.816736)</f>
        <v>8582.816736</v>
      </c>
    </row>
    <row r="58">
      <c r="A58" s="3">
        <f>IFERROR(__xludf.DUMMYFUNCTION("""COMPUTED_VALUE"""),40259.99861111111)</f>
        <v>40259.99861</v>
      </c>
      <c r="B58" s="1">
        <f>IFERROR(__xludf.DUMMYFUNCTION("""COMPUTED_VALUE"""),8617.516852)</f>
        <v>8617.516852</v>
      </c>
    </row>
    <row r="59">
      <c r="A59" s="3">
        <f>IFERROR(__xludf.DUMMYFUNCTION("""COMPUTED_VALUE"""),40260.99861111111)</f>
        <v>40260.99861</v>
      </c>
      <c r="B59" s="1">
        <f>IFERROR(__xludf.DUMMYFUNCTION("""COMPUTED_VALUE"""),8647.865328)</f>
        <v>8647.865328</v>
      </c>
    </row>
    <row r="60">
      <c r="A60" s="3">
        <f>IFERROR(__xludf.DUMMYFUNCTION("""COMPUTED_VALUE"""),40261.99861111111)</f>
        <v>40261.99861</v>
      </c>
      <c r="B60" s="1">
        <f>IFERROR(__xludf.DUMMYFUNCTION("""COMPUTED_VALUE"""),8502.19216)</f>
        <v>8502.19216</v>
      </c>
    </row>
    <row r="61">
      <c r="A61" s="3">
        <f>IFERROR(__xludf.DUMMYFUNCTION("""COMPUTED_VALUE"""),40262.99861111111)</f>
        <v>40262.99861</v>
      </c>
      <c r="B61" s="1">
        <f>IFERROR(__xludf.DUMMYFUNCTION("""COMPUTED_VALUE"""),8518.88928)</f>
        <v>8518.88928</v>
      </c>
    </row>
    <row r="62">
      <c r="A62" s="3">
        <f>IFERROR(__xludf.DUMMYFUNCTION("""COMPUTED_VALUE"""),40263.99861111111)</f>
        <v>40263.99861</v>
      </c>
      <c r="B62" s="1">
        <f>IFERROR(__xludf.DUMMYFUNCTION("""COMPUTED_VALUE"""),8553.276811)</f>
        <v>8553.276811</v>
      </c>
    </row>
    <row r="63">
      <c r="A63" s="3">
        <f>IFERROR(__xludf.DUMMYFUNCTION("""COMPUTED_VALUE"""),40266.99861111111)</f>
        <v>40266.99861</v>
      </c>
      <c r="B63" s="1">
        <f>IFERROR(__xludf.DUMMYFUNCTION("""COMPUTED_VALUE"""),8538.05592)</f>
        <v>8538.05592</v>
      </c>
    </row>
    <row r="64">
      <c r="A64" s="3">
        <f>IFERROR(__xludf.DUMMYFUNCTION("""COMPUTED_VALUE"""),40267.99861111111)</f>
        <v>40267.99861</v>
      </c>
      <c r="B64" s="1">
        <f>IFERROR(__xludf.DUMMYFUNCTION("""COMPUTED_VALUE"""),8511.454644)</f>
        <v>8511.454644</v>
      </c>
    </row>
    <row r="65">
      <c r="A65" s="3">
        <f>IFERROR(__xludf.DUMMYFUNCTION("""COMPUTED_VALUE"""),40268.99861111111)</f>
        <v>40268.99861</v>
      </c>
      <c r="B65" s="1">
        <f>IFERROR(__xludf.DUMMYFUNCTION("""COMPUTED_VALUE"""),8638.747)</f>
        <v>8638.747</v>
      </c>
    </row>
    <row r="66">
      <c r="A66" s="3">
        <f>IFERROR(__xludf.DUMMYFUNCTION("""COMPUTED_VALUE"""),40269.99861111111)</f>
        <v>40269.99861</v>
      </c>
      <c r="B66" s="1">
        <f>IFERROR(__xludf.DUMMYFUNCTION("""COMPUTED_VALUE"""),8573.236308)</f>
        <v>8573.236308</v>
      </c>
    </row>
    <row r="67">
      <c r="A67" s="3">
        <f>IFERROR(__xludf.DUMMYFUNCTION("""COMPUTED_VALUE"""),40270.99861111111)</f>
        <v>40270.99861</v>
      </c>
      <c r="B67" s="1">
        <f>IFERROR(__xludf.DUMMYFUNCTION("""COMPUTED_VALUE"""),8565.213024)</f>
        <v>8565.213024</v>
      </c>
    </row>
    <row r="68">
      <c r="A68" s="3">
        <f>IFERROR(__xludf.DUMMYFUNCTION("""COMPUTED_VALUE"""),40273.99861111111)</f>
        <v>40273.99861</v>
      </c>
      <c r="B68" s="1">
        <f>IFERROR(__xludf.DUMMYFUNCTION("""COMPUTED_VALUE"""),8522.30592)</f>
        <v>8522.30592</v>
      </c>
    </row>
    <row r="69">
      <c r="A69" s="3">
        <f>IFERROR(__xludf.DUMMYFUNCTION("""COMPUTED_VALUE"""),40274.99861111111)</f>
        <v>40274.99861</v>
      </c>
      <c r="B69" s="1">
        <f>IFERROR(__xludf.DUMMYFUNCTION("""COMPUTED_VALUE"""),8455.117134)</f>
        <v>8455.117134</v>
      </c>
    </row>
    <row r="70">
      <c r="A70" s="3">
        <f>IFERROR(__xludf.DUMMYFUNCTION("""COMPUTED_VALUE"""),40275.99861111111)</f>
        <v>40275.99861</v>
      </c>
      <c r="B70" s="1">
        <f>IFERROR(__xludf.DUMMYFUNCTION("""COMPUTED_VALUE"""),8433.18021)</f>
        <v>8433.18021</v>
      </c>
    </row>
    <row r="71">
      <c r="A71" s="3">
        <f>IFERROR(__xludf.DUMMYFUNCTION("""COMPUTED_VALUE"""),40276.99861111111)</f>
        <v>40276.99861</v>
      </c>
      <c r="B71" s="1">
        <f>IFERROR(__xludf.DUMMYFUNCTION("""COMPUTED_VALUE"""),8439.240244)</f>
        <v>8439.240244</v>
      </c>
    </row>
    <row r="72">
      <c r="A72" s="3">
        <f>IFERROR(__xludf.DUMMYFUNCTION("""COMPUTED_VALUE"""),40277.99861111111)</f>
        <v>40277.99861</v>
      </c>
      <c r="B72" s="1">
        <f>IFERROR(__xludf.DUMMYFUNCTION("""COMPUTED_VALUE"""),8436.419348)</f>
        <v>8436.419348</v>
      </c>
    </row>
    <row r="73">
      <c r="A73" s="3">
        <f>IFERROR(__xludf.DUMMYFUNCTION("""COMPUTED_VALUE"""),40280.99861111111)</f>
        <v>40280.99861</v>
      </c>
      <c r="B73" s="1">
        <f>IFERROR(__xludf.DUMMYFUNCTION("""COMPUTED_VALUE"""),8504.31147)</f>
        <v>8504.31147</v>
      </c>
    </row>
    <row r="74">
      <c r="A74" s="3">
        <f>IFERROR(__xludf.DUMMYFUNCTION("""COMPUTED_VALUE"""),40281.99861111111)</f>
        <v>40281.99861</v>
      </c>
      <c r="B74" s="1">
        <f>IFERROR(__xludf.DUMMYFUNCTION("""COMPUTED_VALUE"""),8541.90695)</f>
        <v>8541.90695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IFERROR(__xludf.DUMMYFUNCTION("""COMPUTED_VALUE"""),8568.669918)</f>
        <v>8568.669918</v>
      </c>
    </row>
    <row r="76">
      <c r="A76" s="3">
        <f>IFERROR(__xludf.DUMMYFUNCTION("""COMPUTED_VALUE"""),40283.99861111111)</f>
        <v>40283.99861</v>
      </c>
      <c r="B76" s="1">
        <f>IFERROR(__xludf.DUMMYFUNCTION("""COMPUTED_VALUE"""),8517.830941)</f>
        <v>8517.830941</v>
      </c>
    </row>
    <row r="77">
      <c r="A77" s="3">
        <f>IFERROR(__xludf.DUMMYFUNCTION("""COMPUTED_VALUE"""),40284.99861111111)</f>
        <v>40284.99861</v>
      </c>
      <c r="B77" s="1">
        <f>IFERROR(__xludf.DUMMYFUNCTION("""COMPUTED_VALUE"""),8483.926322)</f>
        <v>8483.926322</v>
      </c>
    </row>
    <row r="78">
      <c r="A78" s="3">
        <f>IFERROR(__xludf.DUMMYFUNCTION("""COMPUTED_VALUE"""),40287.99861111111)</f>
        <v>40287.99861</v>
      </c>
      <c r="B78" s="1">
        <f>IFERROR(__xludf.DUMMYFUNCTION("""COMPUTED_VALUE"""),8480.645512)</f>
        <v>8480.645512</v>
      </c>
    </row>
    <row r="79">
      <c r="A79" s="3">
        <f>IFERROR(__xludf.DUMMYFUNCTION("""COMPUTED_VALUE"""),40288.99861111111)</f>
        <v>40288.99861</v>
      </c>
      <c r="B79" s="1">
        <f>IFERROR(__xludf.DUMMYFUNCTION("""COMPUTED_VALUE"""),8437.775104)</f>
        <v>8437.775104</v>
      </c>
    </row>
    <row r="80">
      <c r="A80" s="3">
        <f>IFERROR(__xludf.DUMMYFUNCTION("""COMPUTED_VALUE"""),40289.99861111111)</f>
        <v>40289.99861</v>
      </c>
      <c r="B80" s="1">
        <f>IFERROR(__xludf.DUMMYFUNCTION("""COMPUTED_VALUE"""),8428.393831)</f>
        <v>8428.393831</v>
      </c>
    </row>
    <row r="81">
      <c r="A81" s="3">
        <f>IFERROR(__xludf.DUMMYFUNCTION("""COMPUTED_VALUE"""),40290.99861111111)</f>
        <v>40290.99861</v>
      </c>
      <c r="B81" s="1">
        <f>IFERROR(__xludf.DUMMYFUNCTION("""COMPUTED_VALUE"""),8428.305725)</f>
        <v>8428.305725</v>
      </c>
    </row>
    <row r="82">
      <c r="A82" s="3">
        <f>IFERROR(__xludf.DUMMYFUNCTION("""COMPUTED_VALUE"""),40291.99861111111)</f>
        <v>40291.99861</v>
      </c>
      <c r="B82" s="1">
        <f>IFERROR(__xludf.DUMMYFUNCTION("""COMPUTED_VALUE"""),8392.53836)</f>
        <v>8392.53836</v>
      </c>
    </row>
    <row r="83">
      <c r="A83" s="3">
        <f>IFERROR(__xludf.DUMMYFUNCTION("""COMPUTED_VALUE"""),40294.99861111111)</f>
        <v>40294.99861</v>
      </c>
      <c r="B83" s="1">
        <f>IFERROR(__xludf.DUMMYFUNCTION("""COMPUTED_VALUE"""),8364.678984)</f>
        <v>8364.678984</v>
      </c>
    </row>
    <row r="84">
      <c r="A84" s="3">
        <f>IFERROR(__xludf.DUMMYFUNCTION("""COMPUTED_VALUE"""),40295.99861111111)</f>
        <v>40295.99861</v>
      </c>
      <c r="B84" s="1">
        <f>IFERROR(__xludf.DUMMYFUNCTION("""COMPUTED_VALUE"""),8359.588783)</f>
        <v>8359.588783</v>
      </c>
    </row>
    <row r="85">
      <c r="A85" s="3">
        <f>IFERROR(__xludf.DUMMYFUNCTION("""COMPUTED_VALUE"""),40296.99861111111)</f>
        <v>40296.99861</v>
      </c>
      <c r="B85" s="1">
        <f>IFERROR(__xludf.DUMMYFUNCTION("""COMPUTED_VALUE"""),8314.1416)</f>
        <v>8314.1416</v>
      </c>
    </row>
    <row r="86">
      <c r="A86" s="3">
        <f>IFERROR(__xludf.DUMMYFUNCTION("""COMPUTED_VALUE"""),40297.99861111111)</f>
        <v>40297.99861</v>
      </c>
      <c r="B86" s="1">
        <f>IFERROR(__xludf.DUMMYFUNCTION("""COMPUTED_VALUE"""),8320.020475)</f>
        <v>8320.020475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IFERROR(__xludf.DUMMYFUNCTION("""COMPUTED_VALUE"""),8379.265609)</f>
        <v>8379.265609</v>
      </c>
    </row>
    <row r="88">
      <c r="A88" s="3">
        <f>IFERROR(__xludf.DUMMYFUNCTION("""COMPUTED_VALUE"""),40301.99861111111)</f>
        <v>40301.99861</v>
      </c>
      <c r="B88" s="1">
        <f>IFERROR(__xludf.DUMMYFUNCTION("""COMPUTED_VALUE"""),8310.23732)</f>
        <v>8310.23732</v>
      </c>
    </row>
    <row r="89">
      <c r="A89" s="3">
        <f>IFERROR(__xludf.DUMMYFUNCTION("""COMPUTED_VALUE"""),40302.99861111111)</f>
        <v>40302.99861</v>
      </c>
      <c r="B89" s="1">
        <f>IFERROR(__xludf.DUMMYFUNCTION("""COMPUTED_VALUE"""),8206.899439)</f>
        <v>8206.899439</v>
      </c>
    </row>
    <row r="90">
      <c r="A90" s="3">
        <f>IFERROR(__xludf.DUMMYFUNCTION("""COMPUTED_VALUE"""),40303.99861111111)</f>
        <v>40303.99861</v>
      </c>
      <c r="B90" s="1">
        <f>IFERROR(__xludf.DUMMYFUNCTION("""COMPUTED_VALUE"""),8152.247795)</f>
        <v>8152.247795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IFERROR(__xludf.DUMMYFUNCTION("""COMPUTED_VALUE"""),8324.823914)</f>
        <v>8324.823914</v>
      </c>
    </row>
    <row r="92">
      <c r="A92" s="3">
        <f>IFERROR(__xludf.DUMMYFUNCTION("""COMPUTED_VALUE"""),40305.99861111111)</f>
        <v>40305.99861</v>
      </c>
      <c r="B92" s="1">
        <f>IFERROR(__xludf.DUMMYFUNCTION("""COMPUTED_VALUE"""),8318.001442)</f>
        <v>8318.001442</v>
      </c>
    </row>
    <row r="93">
      <c r="A93" s="3">
        <f>IFERROR(__xludf.DUMMYFUNCTION("""COMPUTED_VALUE"""),40308.99861111111)</f>
        <v>40308.99861</v>
      </c>
      <c r="B93" s="1">
        <f>IFERROR(__xludf.DUMMYFUNCTION("""COMPUTED_VALUE"""),8291.807104)</f>
        <v>8291.807104</v>
      </c>
    </row>
    <row r="94">
      <c r="A94" s="3">
        <f>IFERROR(__xludf.DUMMYFUNCTION("""COMPUTED_VALUE"""),40309.99861111111)</f>
        <v>40309.99861</v>
      </c>
      <c r="B94" s="1">
        <f>IFERROR(__xludf.DUMMYFUNCTION("""COMPUTED_VALUE"""),8259.853837)</f>
        <v>8259.853837</v>
      </c>
    </row>
    <row r="95">
      <c r="A95" s="3">
        <f>IFERROR(__xludf.DUMMYFUNCTION("""COMPUTED_VALUE"""),40310.99861111111)</f>
        <v>40310.99861</v>
      </c>
      <c r="B95" s="1">
        <f>IFERROR(__xludf.DUMMYFUNCTION("""COMPUTED_VALUE"""),8267.15814)</f>
        <v>8267.15814</v>
      </c>
    </row>
    <row r="96">
      <c r="A96" s="3">
        <f>IFERROR(__xludf.DUMMYFUNCTION("""COMPUTED_VALUE"""),40311.99861111111)</f>
        <v>40311.99861</v>
      </c>
      <c r="B96" s="1">
        <f>IFERROR(__xludf.DUMMYFUNCTION("""COMPUTED_VALUE"""),8144.716242)</f>
        <v>8144.716242</v>
      </c>
    </row>
    <row r="97">
      <c r="A97" s="3">
        <f>IFERROR(__xludf.DUMMYFUNCTION("""COMPUTED_VALUE"""),40312.99861111111)</f>
        <v>40312.99861</v>
      </c>
      <c r="B97" s="1">
        <f>IFERROR(__xludf.DUMMYFUNCTION("""COMPUTED_VALUE"""),8029.44919)</f>
        <v>8029.44919</v>
      </c>
    </row>
    <row r="98">
      <c r="A98" s="3">
        <f>IFERROR(__xludf.DUMMYFUNCTION("""COMPUTED_VALUE"""),40315.99861111111)</f>
        <v>40315.99861</v>
      </c>
      <c r="B98" s="1">
        <f>IFERROR(__xludf.DUMMYFUNCTION("""COMPUTED_VALUE"""),8020.66586)</f>
        <v>8020.66586</v>
      </c>
    </row>
    <row r="99">
      <c r="A99" s="3">
        <f>IFERROR(__xludf.DUMMYFUNCTION("""COMPUTED_VALUE"""),40316.99861111111)</f>
        <v>40316.99861</v>
      </c>
      <c r="B99" s="1">
        <f>IFERROR(__xludf.DUMMYFUNCTION("""COMPUTED_VALUE"""),8071.539075)</f>
        <v>8071.539075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IFERROR(__xludf.DUMMYFUNCTION("""COMPUTED_VALUE"""),7913.15847)</f>
        <v>7913.15847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IFERROR(__xludf.DUMMYFUNCTION("""COMPUTED_VALUE"""),7926.144689)</f>
        <v>7926.144689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IFERROR(__xludf.DUMMYFUNCTION("""COMPUTED_VALUE"""),8046.905764)</f>
        <v>8046.905764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IFERROR(__xludf.DUMMYFUNCTION("""COMPUTED_VALUE"""),8008.204952)</f>
        <v>8008.204952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IFERROR(__xludf.DUMMYFUNCTION("""COMPUTED_VALUE"""),8021.011083)</f>
        <v>8021.011083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IFERROR(__xludf.DUMMYFUNCTION("""COMPUTED_VALUE"""),8082.846972)</f>
        <v>8082.846972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IFERROR(__xludf.DUMMYFUNCTION("""COMPUTED_VALUE"""),7989.7736)</f>
        <v>7989.7736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IFERROR(__xludf.DUMMYFUNCTION("""COMPUTED_VALUE"""),8019.128208)</f>
        <v>8019.128208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IFERROR(__xludf.DUMMYFUNCTION("""COMPUTED_VALUE"""),8027.46516)</f>
        <v>8027.46516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IFERROR(__xludf.DUMMYFUNCTION("""COMPUTED_VALUE"""),7999.137873)</f>
        <v>7999.137873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IFERROR(__xludf.DUMMYFUNCTION("""COMPUTED_VALUE"""),7996.819446)</f>
        <v>7996.819446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IFERROR(__xludf.DUMMYFUNCTION("""COMPUTED_VALUE"""),7986.92725)</f>
        <v>7986.92725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IFERROR(__xludf.DUMMYFUNCTION("""COMPUTED_VALUE"""),7978.48065)</f>
        <v>7978.48065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IFERROR(__xludf.DUMMYFUNCTION("""COMPUTED_VALUE"""),8013.752362)</f>
        <v>8013.752362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IFERROR(__xludf.DUMMYFUNCTION("""COMPUTED_VALUE"""),8001.207266)</f>
        <v>8001.207266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IFERROR(__xludf.DUMMYFUNCTION("""COMPUTED_VALUE"""),8084.203636)</f>
        <v>8084.203636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IFERROR(__xludf.DUMMYFUNCTION("""COMPUTED_VALUE"""),8039.16863)</f>
        <v>8039.16863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IFERROR(__xludf.DUMMYFUNCTION("""COMPUTED_VALUE"""),7998.007122)</f>
        <v>7998.007122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IFERROR(__xludf.DUMMYFUNCTION("""COMPUTED_VALUE"""),8052.70896)</f>
        <v>8052.70896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IFERROR(__xludf.DUMMYFUNCTION("""COMPUTED_VALUE"""),8060.62521)</f>
        <v>8060.62521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IFERROR(__xludf.DUMMYFUNCTION("""COMPUTED_VALUE"""),8104.205786)</f>
        <v>8104.205786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IFERROR(__xludf.DUMMYFUNCTION("""COMPUTED_VALUE"""),8224.129979)</f>
        <v>8224.129979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IFERROR(__xludf.DUMMYFUNCTION("""COMPUTED_VALUE"""),8183.128005)</f>
        <v>8183.128005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IFERROR(__xludf.DUMMYFUNCTION("""COMPUTED_VALUE"""),8098.11)</f>
        <v>8098.11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IFERROR(__xludf.DUMMYFUNCTION("""COMPUTED_VALUE"""),8133.87072)</f>
        <v>8133.87072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IFERROR(__xludf.DUMMYFUNCTION("""COMPUTED_VALUE"""),8127.34545)</f>
        <v>8127.34545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IFERROR(__xludf.DUMMYFUNCTION("""COMPUTED_VALUE"""),8226.0347)</f>
        <v>8226.0347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IFERROR(__xludf.DUMMYFUNCTION("""COMPUTED_VALUE"""),8290.853824)</f>
        <v>8290.853824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IFERROR(__xludf.DUMMYFUNCTION("""COMPUTED_VALUE"""),8332.288407)</f>
        <v>8332.288407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IFERROR(__xludf.DUMMYFUNCTION("""COMPUTED_VALUE"""),8387.421942)</f>
        <v>8387.421942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IFERROR(__xludf.DUMMYFUNCTION("""COMPUTED_VALUE"""),8390.046928)</f>
        <v>8390.046928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IFERROR(__xludf.DUMMYFUNCTION("""COMPUTED_VALUE"""),8514.069039)</f>
        <v>8514.069039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IFERROR(__xludf.DUMMYFUNCTION("""COMPUTED_VALUE"""),8526.097533)</f>
        <v>8526.097533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IFERROR(__xludf.DUMMYFUNCTION("""COMPUTED_VALUE"""),8533.725281)</f>
        <v>8533.725281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IFERROR(__xludf.DUMMYFUNCTION("""COMPUTED_VALUE"""),8512.683768)</f>
        <v>8512.683768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IFERROR(__xludf.DUMMYFUNCTION("""COMPUTED_VALUE"""),8608.644045)</f>
        <v>8608.644045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IFERROR(__xludf.DUMMYFUNCTION("""COMPUTED_VALUE"""),8613.186923)</f>
        <v>8613.186923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IFERROR(__xludf.DUMMYFUNCTION("""COMPUTED_VALUE"""),8531.984722)</f>
        <v>8531.984722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IFERROR(__xludf.DUMMYFUNCTION("""COMPUTED_VALUE"""),8548.186225)</f>
        <v>8548.186225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IFERROR(__xludf.DUMMYFUNCTION("""COMPUTED_VALUE"""),8510.600305)</f>
        <v>8510.600305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IFERROR(__xludf.DUMMYFUNCTION("""COMPUTED_VALUE"""),8571.01658)</f>
        <v>8571.01658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IFERROR(__xludf.DUMMYFUNCTION("""COMPUTED_VALUE"""),8672.831284)</f>
        <v>8672.831284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IFERROR(__xludf.DUMMYFUNCTION("""COMPUTED_VALUE"""),8599.73562)</f>
        <v>8599.73562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IFERROR(__xludf.DUMMYFUNCTION("""COMPUTED_VALUE"""),8602.553865)</f>
        <v>8602.553865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IFERROR(__xludf.DUMMYFUNCTION("""COMPUTED_VALUE"""),8591.599128)</f>
        <v>8591.599128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IFERROR(__xludf.DUMMYFUNCTION("""COMPUTED_VALUE"""),8654.70573)</f>
        <v>8654.70573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IFERROR(__xludf.DUMMYFUNCTION("""COMPUTED_VALUE"""),8626.14477)</f>
        <v>8626.14477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IFERROR(__xludf.DUMMYFUNCTION("""COMPUTED_VALUE"""),8512.1064)</f>
        <v>8512.1064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IFERROR(__xludf.DUMMYFUNCTION("""COMPUTED_VALUE"""),8503.524902)</f>
        <v>8503.524902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IFERROR(__xludf.DUMMYFUNCTION("""COMPUTED_VALUE"""),8406.749494)</f>
        <v>8406.749494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IFERROR(__xludf.DUMMYFUNCTION("""COMPUTED_VALUE"""),8537.4695)</f>
        <v>8537.4695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IFERROR(__xludf.DUMMYFUNCTION("""COMPUTED_VALUE"""),8620.477482)</f>
        <v>8620.477482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IFERROR(__xludf.DUMMYFUNCTION("""COMPUTED_VALUE"""),8565.228224)</f>
        <v>8565.228224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IFERROR(__xludf.DUMMYFUNCTION("""COMPUTED_VALUE"""),8496.279918)</f>
        <v>8496.279918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IFERROR(__xludf.DUMMYFUNCTION("""COMPUTED_VALUE"""),8461.237127)</f>
        <v>8461.237127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IFERROR(__xludf.DUMMYFUNCTION("""COMPUTED_VALUE"""),8489.50047)</f>
        <v>8489.50047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IFERROR(__xludf.DUMMYFUNCTION("""COMPUTED_VALUE"""),8530.1307)</f>
        <v>8530.1307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IFERROR(__xludf.DUMMYFUNCTION("""COMPUTED_VALUE"""),8531.3214)</f>
        <v>8531.3214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IFERROR(__xludf.DUMMYFUNCTION("""COMPUTED_VALUE"""),8521.834406)</f>
        <v>8521.834406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IFERROR(__xludf.DUMMYFUNCTION("""COMPUTED_VALUE"""),8472.493761)</f>
        <v>8472.493761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IFERROR(__xludf.DUMMYFUNCTION("""COMPUTED_VALUE"""),8493.665648)</f>
        <v>8493.665648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IFERROR(__xludf.DUMMYFUNCTION("""COMPUTED_VALUE"""),8595.991404)</f>
        <v>8595.991404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IFERROR(__xludf.DUMMYFUNCTION("""COMPUTED_VALUE"""),8518.966926)</f>
        <v>8518.966926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IFERROR(__xludf.DUMMYFUNCTION("""COMPUTED_VALUE"""),8581.208394)</f>
        <v>8581.208394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IFERROR(__xludf.DUMMYFUNCTION("""COMPUTED_VALUE"""),8505.240848)</f>
        <v>8505.240848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IFERROR(__xludf.DUMMYFUNCTION("""COMPUTED_VALUE"""),8534.208132)</f>
        <v>8534.208132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IFERROR(__xludf.DUMMYFUNCTION("""COMPUTED_VALUE"""),8646.277668)</f>
        <v>8646.277668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IFERROR(__xludf.DUMMYFUNCTION("""COMPUTED_VALUE"""),8689.928259)</f>
        <v>8689.928259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IFERROR(__xludf.DUMMYFUNCTION("""COMPUTED_VALUE"""),8512.32)</f>
        <v>8512.32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IFERROR(__xludf.DUMMYFUNCTION("""COMPUTED_VALUE"""),8701.842285)</f>
        <v>8701.842285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IFERROR(__xludf.DUMMYFUNCTION("""COMPUTED_VALUE"""),8623.29018)</f>
        <v>8623.29018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IFERROR(__xludf.DUMMYFUNCTION("""COMPUTED_VALUE"""),8771.301827)</f>
        <v>8771.301827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IFERROR(__xludf.DUMMYFUNCTION("""COMPUTED_VALUE"""),8752.344506)</f>
        <v>8752.344506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IFERROR(__xludf.DUMMYFUNCTION("""COMPUTED_VALUE"""),8694.78246)</f>
        <v>8694.78246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IFERROR(__xludf.DUMMYFUNCTION("""COMPUTED_VALUE"""),8881.871544)</f>
        <v>8881.871544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IFERROR(__xludf.DUMMYFUNCTION("""COMPUTED_VALUE"""),8869.986708)</f>
        <v>8869.986708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IFERROR(__xludf.DUMMYFUNCTION("""COMPUTED_VALUE"""),8873.434896)</f>
        <v>8873.434896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IFERROR(__xludf.DUMMYFUNCTION("""COMPUTED_VALUE"""),8827.506228)</f>
        <v>8827.506228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IFERROR(__xludf.DUMMYFUNCTION("""COMPUTED_VALUE"""),8904.537714)</f>
        <v>8904.537714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IFERROR(__xludf.DUMMYFUNCTION("""COMPUTED_VALUE"""),8930.996545)</f>
        <v>8930.996545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IFERROR(__xludf.DUMMYFUNCTION("""COMPUTED_VALUE"""),8901.30843)</f>
        <v>8901.30843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IFERROR(__xludf.DUMMYFUNCTION("""COMPUTED_VALUE"""),8893.4664)</f>
        <v>8893.4664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IFERROR(__xludf.DUMMYFUNCTION("""COMPUTED_VALUE"""),8844.474692)</f>
        <v>8844.474692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IFERROR(__xludf.DUMMYFUNCTION("""COMPUTED_VALUE"""),8925.547666)</f>
        <v>8925.547666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IFERROR(__xludf.DUMMYFUNCTION("""COMPUTED_VALUE"""),9025.04666)</f>
        <v>9025.04666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IFERROR(__xludf.DUMMYFUNCTION("""COMPUTED_VALUE"""),8952.891732)</f>
        <v>8952.891732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IFERROR(__xludf.DUMMYFUNCTION("""COMPUTED_VALUE"""),8793.5496)</f>
        <v>8793.5496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IFERROR(__xludf.DUMMYFUNCTION("""COMPUTED_VALUE"""),8884.426356)</f>
        <v>8884.426356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IFERROR(__xludf.DUMMYFUNCTION("""COMPUTED_VALUE"""),8936.83989)</f>
        <v>8936.83989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IFERROR(__xludf.DUMMYFUNCTION("""COMPUTED_VALUE"""),8897.47344)</f>
        <v>8897.47344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IFERROR(__xludf.DUMMYFUNCTION("""COMPUTED_VALUE"""),9037.90656)</f>
        <v>9037.90656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IFERROR(__xludf.DUMMYFUNCTION("""COMPUTED_VALUE"""),9100.91277)</f>
        <v>9100.91277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IFERROR(__xludf.DUMMYFUNCTION("""COMPUTED_VALUE"""),8983.765)</f>
        <v>8983.765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IFERROR(__xludf.DUMMYFUNCTION("""COMPUTED_VALUE"""),9097.76385)</f>
        <v>9097.76385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IFERROR(__xludf.DUMMYFUNCTION("""COMPUTED_VALUE"""),9163.62428)</f>
        <v>9163.62428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IFERROR(__xludf.DUMMYFUNCTION("""COMPUTED_VALUE"""),9140.80412)</f>
        <v>9140.80412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IFERROR(__xludf.DUMMYFUNCTION("""COMPUTED_VALUE"""),9080.45834)</f>
        <v>9080.45834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IFERROR(__xludf.DUMMYFUNCTION("""COMPUTED_VALUE"""),9144.60957)</f>
        <v>9144.60957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IFERROR(__xludf.DUMMYFUNCTION("""COMPUTED_VALUE"""),9185.8039)</f>
        <v>9185.8039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IFERROR(__xludf.DUMMYFUNCTION("""COMPUTED_VALUE"""),9136.35268)</f>
        <v>9136.35268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IFERROR(__xludf.DUMMYFUNCTION("""COMPUTED_VALUE"""),9217.06464)</f>
        <v>9217.06464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IFERROR(__xludf.DUMMYFUNCTION("""COMPUTED_VALUE"""),9224.748)</f>
        <v>9224.748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IFERROR(__xludf.DUMMYFUNCTION("""COMPUTED_VALUE"""),9249.64588)</f>
        <v>9249.64588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IFERROR(__xludf.DUMMYFUNCTION("""COMPUTED_VALUE"""),9323.62845)</f>
        <v>9323.62845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IFERROR(__xludf.DUMMYFUNCTION("""COMPUTED_VALUE"""),9306.80835)</f>
        <v>9306.80835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IFERROR(__xludf.DUMMYFUNCTION("""COMPUTED_VALUE"""),9267.58706)</f>
        <v>9267.58706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IFERROR(__xludf.DUMMYFUNCTION("""COMPUTED_VALUE"""),9339.61538)</f>
        <v>9339.61538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IFERROR(__xludf.DUMMYFUNCTION("""COMPUTED_VALUE"""),9327.4447)</f>
        <v>9327.4447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IFERROR(__xludf.DUMMYFUNCTION("""COMPUTED_VALUE"""),9326.93475)</f>
        <v>9326.93475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IFERROR(__xludf.DUMMYFUNCTION("""COMPUTED_VALUE"""),9237.143)</f>
        <v>9237.143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IFERROR(__xludf.DUMMYFUNCTION("""COMPUTED_VALUE"""),9165.32526)</f>
        <v>9165.32526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IFERROR(__xludf.DUMMYFUNCTION("""COMPUTED_VALUE"""),9141.5335)</f>
        <v>9141.5335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IFERROR(__xludf.DUMMYFUNCTION("""COMPUTED_VALUE"""),9100.53944)</f>
        <v>9100.53944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IFERROR(__xludf.DUMMYFUNCTION("""COMPUTED_VALUE"""),9185.883)</f>
        <v>9185.883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IFERROR(__xludf.DUMMYFUNCTION("""COMPUTED_VALUE"""),9054.66079)</f>
        <v>9054.66079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IFERROR(__xludf.DUMMYFUNCTION("""COMPUTED_VALUE"""),9012.95354)</f>
        <v>9012.95354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IFERROR(__xludf.DUMMYFUNCTION("""COMPUTED_VALUE"""),8971.48988)</f>
        <v>8971.48988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IFERROR(__xludf.DUMMYFUNCTION("""COMPUTED_VALUE"""),9067.7664)</f>
        <v>9067.7664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IFERROR(__xludf.DUMMYFUNCTION("""COMPUTED_VALUE"""),8976.49083)</f>
        <v>8976.49083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IFERROR(__xludf.DUMMYFUNCTION("""COMPUTED_VALUE"""),9009.20855)</f>
        <v>9009.20855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IFERROR(__xludf.DUMMYFUNCTION("""COMPUTED_VALUE"""),9021.69345)</f>
        <v>9021.69345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IFERROR(__xludf.DUMMYFUNCTION("""COMPUTED_VALUE"""),9297.532825)</f>
        <v>9297.532825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IFERROR(__xludf.DUMMYFUNCTION("""COMPUTED_VALUE"""),9255.11)</f>
        <v>9255.11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IFERROR(__xludf.DUMMYFUNCTION("""COMPUTED_VALUE"""),9200.07774)</f>
        <v>9200.07774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IFERROR(__xludf.DUMMYFUNCTION("""COMPUTED_VALUE"""),9096.4455)</f>
        <v>9096.4455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IFERROR(__xludf.DUMMYFUNCTION("""COMPUTED_VALUE"""),9042.11004)</f>
        <v>9042.11004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IFERROR(__xludf.DUMMYFUNCTION("""COMPUTED_VALUE"""),9009.152)</f>
        <v>9009.152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IFERROR(__xludf.DUMMYFUNCTION("""COMPUTED_VALUE"""),9102.046555)</f>
        <v>9102.046555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IFERROR(__xludf.DUMMYFUNCTION("""COMPUTED_VALUE"""),9098.37477)</f>
        <v>9098.37477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IFERROR(__xludf.DUMMYFUNCTION("""COMPUTED_VALUE"""),8885.2248)</f>
        <v>8885.2248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IFERROR(__xludf.DUMMYFUNCTION("""COMPUTED_VALUE"""),8930.037)</f>
        <v>8930.037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IFERROR(__xludf.DUMMYFUNCTION("""COMPUTED_VALUE"""),8880.1406)</f>
        <v>8880.1406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IFERROR(__xludf.DUMMYFUNCTION("""COMPUTED_VALUE"""),9002.9016)</f>
        <v>9002.9016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IFERROR(__xludf.DUMMYFUNCTION("""COMPUTED_VALUE"""),9034.81751)</f>
        <v>9034.81751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IFERROR(__xludf.DUMMYFUNCTION("""COMPUTED_VALUE"""),8994.99216)</f>
        <v>8994.99216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IFERROR(__xludf.DUMMYFUNCTION("""COMPUTED_VALUE"""),9009.950985)</f>
        <v>9009.950985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IFERROR(__xludf.DUMMYFUNCTION("""COMPUTED_VALUE"""),8967.45)</f>
        <v>8967.45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IFERROR(__xludf.DUMMYFUNCTION("""COMPUTED_VALUE"""),8873.26356)</f>
        <v>8873.26356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IFERROR(__xludf.DUMMYFUNCTION("""COMPUTED_VALUE"""),9004.811769)</f>
        <v>9004.811769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IFERROR(__xludf.DUMMYFUNCTION("""COMPUTED_VALUE"""),9002.150496)</f>
        <v>9002.150496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IFERROR(__xludf.DUMMYFUNCTION("""COMPUTED_VALUE"""),8992.386679)</f>
        <v>8992.386679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IFERROR(__xludf.DUMMYFUNCTION("""COMPUTED_VALUE"""),8978.412)</f>
        <v>8978.412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IFERROR(__xludf.DUMMYFUNCTION("""COMPUTED_VALUE"""),9210.5235)</f>
        <v>9210.5235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IFERROR(__xludf.DUMMYFUNCTION("""COMPUTED_VALUE"""),9173.030095)</f>
        <v>9173.030095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IFERROR(__xludf.DUMMYFUNCTION("""COMPUTED_VALUE"""),9098.779)</f>
        <v>9098.779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IFERROR(__xludf.DUMMYFUNCTION("""COMPUTED_VALUE"""),9144.476)</f>
        <v>9144.476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IFERROR(__xludf.DUMMYFUNCTION("""COMPUTED_VALUE"""),9169.5024)</f>
        <v>9169.5024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IFERROR(__xludf.DUMMYFUNCTION("""COMPUTED_VALUE"""),9195.3)</f>
        <v>9195.3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IFERROR(__xludf.DUMMYFUNCTION("""COMPUTED_VALUE"""),9312.495)</f>
        <v>9312.495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IFERROR(__xludf.DUMMYFUNCTION("""COMPUTED_VALUE"""),9370.728945)</f>
        <v>9370.728945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IFERROR(__xludf.DUMMYFUNCTION("""COMPUTED_VALUE"""),9324.702075)</f>
        <v>9324.702075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IFERROR(__xludf.DUMMYFUNCTION("""COMPUTED_VALUE"""),9263.3432)</f>
        <v>9263.3432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IFERROR(__xludf.DUMMYFUNCTION("""COMPUTED_VALUE"""),9310.90417)</f>
        <v>9310.90417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IFERROR(__xludf.DUMMYFUNCTION("""COMPUTED_VALUE"""),9268.5252)</f>
        <v>9268.5252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IFERROR(__xludf.DUMMYFUNCTION("""COMPUTED_VALUE"""),9433.466435)</f>
        <v>9433.466435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IFERROR(__xludf.DUMMYFUNCTION("""COMPUTED_VALUE"""),9500.91328)</f>
        <v>9500.91328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IFERROR(__xludf.DUMMYFUNCTION("""COMPUTED_VALUE"""),9424.86103)</f>
        <v>9424.86103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IFERROR(__xludf.DUMMYFUNCTION("""COMPUTED_VALUE"""),9382.4416)</f>
        <v>9382.4416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IFERROR(__xludf.DUMMYFUNCTION("""COMPUTED_VALUE"""),9320.6953)</f>
        <v>9320.6953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IFERROR(__xludf.DUMMYFUNCTION("""COMPUTED_VALUE"""),9468.3225)</f>
        <v>9468.3225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IFERROR(__xludf.DUMMYFUNCTION("""COMPUTED_VALUE"""),9525.33439)</f>
        <v>9525.33439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IFERROR(__xludf.DUMMYFUNCTION("""COMPUTED_VALUE"""),9505.3542)</f>
        <v>9505.3542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IFERROR(__xludf.DUMMYFUNCTION("""COMPUTED_VALUE"""),9633.43854)</f>
        <v>9633.43854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IFERROR(__xludf.DUMMYFUNCTION("""COMPUTED_VALUE"""),9621.04449)</f>
        <v>9621.04449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IFERROR(__xludf.DUMMYFUNCTION("""COMPUTED_VALUE"""),9378.2844)</f>
        <v>9378.2844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IFERROR(__xludf.DUMMYFUNCTION("""COMPUTED_VALUE"""),9301.083435)</f>
        <v>9301.083435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IFERROR(__xludf.DUMMYFUNCTION("""COMPUTED_VALUE"""),9332.25458)</f>
        <v>9332.25458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IFERROR(__xludf.DUMMYFUNCTION("""COMPUTED_VALUE"""),9205.3845)</f>
        <v>9205.3845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IFERROR(__xludf.DUMMYFUNCTION("""COMPUTED_VALUE"""),9367.73325)</f>
        <v>9367.73325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IFERROR(__xludf.DUMMYFUNCTION("""COMPUTED_VALUE"""),9174.28319)</f>
        <v>9174.28319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IFERROR(__xludf.DUMMYFUNCTION("""COMPUTED_VALUE"""),9343.744)</f>
        <v>9343.744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IFERROR(__xludf.DUMMYFUNCTION("""COMPUTED_VALUE"""),9383.893155)</f>
        <v>9383.893155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IFERROR(__xludf.DUMMYFUNCTION("""COMPUTED_VALUE"""),9384.156565)</f>
        <v>9384.156565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IFERROR(__xludf.DUMMYFUNCTION("""COMPUTED_VALUE"""),9389.784)</f>
        <v>9389.784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IFERROR(__xludf.DUMMYFUNCTION("""COMPUTED_VALUE"""),9390.75694)</f>
        <v>9390.75694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IFERROR(__xludf.DUMMYFUNCTION("""COMPUTED_VALUE"""),9356.0288)</f>
        <v>9356.0288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IFERROR(__xludf.DUMMYFUNCTION("""COMPUTED_VALUE"""),9215.96304)</f>
        <v>9215.96304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IFERROR(__xludf.DUMMYFUNCTION("""COMPUTED_VALUE"""),9202.66875)</f>
        <v>9202.66875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IFERROR(__xludf.DUMMYFUNCTION("""COMPUTED_VALUE"""),9531.46)</f>
        <v>9531.46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IFERROR(__xludf.DUMMYFUNCTION("""COMPUTED_VALUE"""),9587.67345)</f>
        <v>9587.67345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IFERROR(__xludf.DUMMYFUNCTION("""COMPUTED_VALUE"""),9460.2963)</f>
        <v>9460.2963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IFERROR(__xludf.DUMMYFUNCTION("""COMPUTED_VALUE"""),9539.68076)</f>
        <v>9539.68076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IFERROR(__xludf.DUMMYFUNCTION("""COMPUTED_VALUE"""),9583.168925)</f>
        <v>9583.168925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IFERROR(__xludf.DUMMYFUNCTION("""COMPUTED_VALUE"""),9491.001)</f>
        <v>9491.001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IFERROR(__xludf.DUMMYFUNCTION("""COMPUTED_VALUE"""),9618.3)</f>
        <v>9618.3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IFERROR(__xludf.DUMMYFUNCTION("""COMPUTED_VALUE"""),9596.48661)</f>
        <v>9596.48661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IFERROR(__xludf.DUMMYFUNCTION("""COMPUTED_VALUE"""),9425.9286)</f>
        <v>9425.9286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IFERROR(__xludf.DUMMYFUNCTION("""COMPUTED_VALUE"""),9418.69213)</f>
        <v>9418.69213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IFERROR(__xludf.DUMMYFUNCTION("""COMPUTED_VALUE"""),9237.42684)</f>
        <v>9237.42684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IFERROR(__xludf.DUMMYFUNCTION("""COMPUTED_VALUE"""),9239.09)</f>
        <v>9239.09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IFERROR(__xludf.DUMMYFUNCTION("""COMPUTED_VALUE"""),9316.616835)</f>
        <v>9316.616835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IFERROR(__xludf.DUMMYFUNCTION("""COMPUTED_VALUE"""),9209.7075)</f>
        <v>9209.7075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IFERROR(__xludf.DUMMYFUNCTION("""COMPUTED_VALUE"""),9173.86008)</f>
        <v>9173.86008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IFERROR(__xludf.DUMMYFUNCTION("""COMPUTED_VALUE"""),9180.992055)</f>
        <v>9180.992055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IFERROR(__xludf.DUMMYFUNCTION("""COMPUTED_VALUE"""),9121.762)</f>
        <v>9121.762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IFERROR(__xludf.DUMMYFUNCTION("""COMPUTED_VALUE"""),9271.206385)</f>
        <v>9271.206385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IFERROR(__xludf.DUMMYFUNCTION("""COMPUTED_VALUE"""),9245.34)</f>
        <v>9245.34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IFERROR(__xludf.DUMMYFUNCTION("""COMPUTED_VALUE"""),9362.32465)</f>
        <v>9362.32465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IFERROR(__xludf.DUMMYFUNCTION("""COMPUTED_VALUE"""),9247.875)</f>
        <v>9247.875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IFERROR(__xludf.DUMMYFUNCTION("""COMPUTED_VALUE"""),9464.958635)</f>
        <v>9464.958635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IFERROR(__xludf.DUMMYFUNCTION("""COMPUTED_VALUE"""),9518.7688)</f>
        <v>9518.7688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IFERROR(__xludf.DUMMYFUNCTION("""COMPUTED_VALUE"""),9581.292)</f>
        <v>9581.292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IFERROR(__xludf.DUMMYFUNCTION("""COMPUTED_VALUE"""),9523.125795)</f>
        <v>9523.125795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IFERROR(__xludf.DUMMYFUNCTION("""COMPUTED_VALUE"""),9494.526635)</f>
        <v>9494.526635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IFERROR(__xludf.DUMMYFUNCTION("""COMPUTED_VALUE"""),9476.3258)</f>
        <v>9476.3258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IFERROR(__xludf.DUMMYFUNCTION("""COMPUTED_VALUE"""),9541.239615)</f>
        <v>9541.239615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IFERROR(__xludf.DUMMYFUNCTION("""COMPUTED_VALUE"""),9443.845125)</f>
        <v>9443.845125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IFERROR(__xludf.DUMMYFUNCTION("""COMPUTED_VALUE"""),9462.17942)</f>
        <v>9462.17942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IFERROR(__xludf.DUMMYFUNCTION("""COMPUTED_VALUE"""),9482.675835)</f>
        <v>9482.675835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IFERROR(__xludf.DUMMYFUNCTION("""COMPUTED_VALUE"""),9389.5982)</f>
        <v>9389.5982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IFERROR(__xludf.DUMMYFUNCTION("""COMPUTED_VALUE"""),9416.124)</f>
        <v>9416.124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IFERROR(__xludf.DUMMYFUNCTION("""COMPUTED_VALUE"""),9422.88516)</f>
        <v>9422.88516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IFERROR(__xludf.DUMMYFUNCTION("""COMPUTED_VALUE"""),9443.9982)</f>
        <v>9443.9982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IFERROR(__xludf.DUMMYFUNCTION("""COMPUTED_VALUE"""),9472.20845)</f>
        <v>9472.20845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IFERROR(__xludf.DUMMYFUNCTION("""COMPUTED_VALUE"""),9555.0975)</f>
        <v>9555.0975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IFERROR(__xludf.DUMMYFUNCTION("""COMPUTED_VALUE"""),9689.113)</f>
        <v>9689.113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IFERROR(__xludf.DUMMYFUNCTION("""COMPUTED_VALUE"""),9747.855)</f>
        <v>9747.855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IFERROR(__xludf.DUMMYFUNCTION("""COMPUTED_VALUE"""),9706.95)</f>
        <v>9706.95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IFERROR(__xludf.DUMMYFUNCTION("""COMPUTED_VALUE"""),9629.496)</f>
        <v>9629.496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IFERROR(__xludf.DUMMYFUNCTION("""COMPUTED_VALUE"""),9641.9376)</f>
        <v>9641.9376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IFERROR(__xludf.DUMMYFUNCTION("""COMPUTED_VALUE"""),9602.31645)</f>
        <v>9602.31645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IFERROR(__xludf.DUMMYFUNCTION("""COMPUTED_VALUE"""),9586.226)</f>
        <v>9586.226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IFERROR(__xludf.DUMMYFUNCTION("""COMPUTED_VALUE"""),9463.42292)</f>
        <v>9463.42292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IFERROR(__xludf.DUMMYFUNCTION("""COMPUTED_VALUE"""),9505.45346)</f>
        <v>9505.45346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IFERROR(__xludf.DUMMYFUNCTION("""COMPUTED_VALUE"""),9434.40762)</f>
        <v>9434.40762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IFERROR(__xludf.DUMMYFUNCTION("""COMPUTED_VALUE"""),9467.01354)</f>
        <v>9467.01354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IFERROR(__xludf.DUMMYFUNCTION("""COMPUTED_VALUE"""),9481.47556)</f>
        <v>9481.47556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IFERROR(__xludf.DUMMYFUNCTION("""COMPUTED_VALUE"""),9376.93834)</f>
        <v>9376.93834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IFERROR(__xludf.DUMMYFUNCTION("""COMPUTED_VALUE"""),9382.02882)</f>
        <v>9382.02882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IFERROR(__xludf.DUMMYFUNCTION("""COMPUTED_VALUE"""),9363.50025)</f>
        <v>9363.50025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IFERROR(__xludf.DUMMYFUNCTION("""COMPUTED_VALUE"""),9366.10347)</f>
        <v>9366.10347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IFERROR(__xludf.DUMMYFUNCTION("""COMPUTED_VALUE"""),9347.29466)</f>
        <v>9347.29466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IFERROR(__xludf.DUMMYFUNCTION("""COMPUTED_VALUE"""),9406.66561)</f>
        <v>9406.66561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IFERROR(__xludf.DUMMYFUNCTION("""COMPUTED_VALUE"""),9431.35072)</f>
        <v>9431.35072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IFERROR(__xludf.DUMMYFUNCTION("""COMPUTED_VALUE"""),9494.22576)</f>
        <v>9494.22576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IFERROR(__xludf.DUMMYFUNCTION("""COMPUTED_VALUE"""),9508.90104)</f>
        <v>9508.90104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IFERROR(__xludf.DUMMYFUNCTION("""COMPUTED_VALUE"""),9478.15)</f>
        <v>9478.15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IFERROR(__xludf.DUMMYFUNCTION("""COMPUTED_VALUE"""),9544.41985)</f>
        <v>9544.41985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IFERROR(__xludf.DUMMYFUNCTION("""COMPUTED_VALUE"""),9605.6742)</f>
        <v>9605.6742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IFERROR(__xludf.DUMMYFUNCTION("""COMPUTED_VALUE"""),9673.17915)</f>
        <v>9673.17915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IFERROR(__xludf.DUMMYFUNCTION("""COMPUTED_VALUE"""),9682.12674)</f>
        <v>9682.12674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IFERROR(__xludf.DUMMYFUNCTION("""COMPUTED_VALUE"""),9712.32882)</f>
        <v>9712.32882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IFERROR(__xludf.DUMMYFUNCTION("""COMPUTED_VALUE"""),9707.99412)</f>
        <v>9707.99412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IFERROR(__xludf.DUMMYFUNCTION("""COMPUTED_VALUE"""),9676.09586)</f>
        <v>9676.09586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IFERROR(__xludf.DUMMYFUNCTION("""COMPUTED_VALUE"""),9660.8772)</f>
        <v>9660.8772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IFERROR(__xludf.DUMMYFUNCTION("""COMPUTED_VALUE"""),9638.1488)</f>
        <v>9638.1488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IFERROR(__xludf.DUMMYFUNCTION("""COMPUTED_VALUE"""),9713.66336)</f>
        <v>9713.66336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IFERROR(__xludf.DUMMYFUNCTION("""COMPUTED_VALUE"""),9747.98646)</f>
        <v>9747.98646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IFERROR(__xludf.DUMMYFUNCTION("""COMPUTED_VALUE"""),9738.59166)</f>
        <v>9738.59166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IFERROR(__xludf.DUMMYFUNCTION("""COMPUTED_VALUE"""),9748.928712)</f>
        <v>9748.928712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IFERROR(__xludf.DUMMYFUNCTION("""COMPUTED_VALUE"""),9730.94265)</f>
        <v>9730.94265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IFERROR(__xludf.DUMMYFUNCTION("""COMPUTED_VALUE"""),9785.60736)</f>
        <v>9785.60736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IFERROR(__xludf.DUMMYFUNCTION("""COMPUTED_VALUE"""),9897.25648)</f>
        <v>9897.25648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IFERROR(__xludf.DUMMYFUNCTION("""COMPUTED_VALUE"""),9787.85472)</f>
        <v>9787.85472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IFERROR(__xludf.DUMMYFUNCTION("""COMPUTED_VALUE"""),9795.86543)</f>
        <v>9795.86543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IFERROR(__xludf.DUMMYFUNCTION("""COMPUTED_VALUE"""),9902.28835)</f>
        <v>9902.28835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IFERROR(__xludf.DUMMYFUNCTION("""COMPUTED_VALUE"""),9856.75625)</f>
        <v>9856.75625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IFERROR(__xludf.DUMMYFUNCTION("""COMPUTED_VALUE"""),9889.64728)</f>
        <v>9889.64728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IFERROR(__xludf.DUMMYFUNCTION("""COMPUTED_VALUE"""),9896.9784)</f>
        <v>9896.9784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IFERROR(__xludf.DUMMYFUNCTION("""COMPUTED_VALUE"""),9935.01165)</f>
        <v>9935.01165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IFERROR(__xludf.DUMMYFUNCTION("""COMPUTED_VALUE"""),9908.51368)</f>
        <v>9908.51368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IFERROR(__xludf.DUMMYFUNCTION("""COMPUTED_VALUE"""),9858.19744)</f>
        <v>9858.19744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IFERROR(__xludf.DUMMYFUNCTION("""COMPUTED_VALUE"""),9888.40125)</f>
        <v>9888.40125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IFERROR(__xludf.DUMMYFUNCTION("""COMPUTED_VALUE"""),9665.4345)</f>
        <v>9665.4345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IFERROR(__xludf.DUMMYFUNCTION("""COMPUTED_VALUE"""),9808.48723)</f>
        <v>9808.48723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IFERROR(__xludf.DUMMYFUNCTION("""COMPUTED_VALUE"""),9774.734)</f>
        <v>9774.734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IFERROR(__xludf.DUMMYFUNCTION("""COMPUTED_VALUE"""),9685.47674)</f>
        <v>9685.47674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IFERROR(__xludf.DUMMYFUNCTION("""COMPUTED_VALUE"""),9692.55408)</f>
        <v>9692.55408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IFERROR(__xludf.DUMMYFUNCTION("""COMPUTED_VALUE"""),9666.63)</f>
        <v>9666.63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IFERROR(__xludf.DUMMYFUNCTION("""COMPUTED_VALUE"""),9640.77726)</f>
        <v>9640.77726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IFERROR(__xludf.DUMMYFUNCTION("""COMPUTED_VALUE"""),9628.91773)</f>
        <v>9628.91773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IFERROR(__xludf.DUMMYFUNCTION("""COMPUTED_VALUE"""),9573.3729)</f>
        <v>9573.3729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IFERROR(__xludf.DUMMYFUNCTION("""COMPUTED_VALUE"""),9714.56744)</f>
        <v>9714.56744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IFERROR(__xludf.DUMMYFUNCTION("""COMPUTED_VALUE"""),9526.51009)</f>
        <v>9526.51009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IFERROR(__xludf.DUMMYFUNCTION("""COMPUTED_VALUE"""),9694.08251)</f>
        <v>9694.08251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IFERROR(__xludf.DUMMYFUNCTION("""COMPUTED_VALUE"""),9703.0992)</f>
        <v>9703.0992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IFERROR(__xludf.DUMMYFUNCTION("""COMPUTED_VALUE"""),9752.6968)</f>
        <v>9752.6968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IFERROR(__xludf.DUMMYFUNCTION("""COMPUTED_VALUE"""),9583.0749)</f>
        <v>9583.0749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IFERROR(__xludf.DUMMYFUNCTION("""COMPUTED_VALUE"""),9747.430555)</f>
        <v>9747.430555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IFERROR(__xludf.DUMMYFUNCTION("""COMPUTED_VALUE"""),9724.02)</f>
        <v>9724.02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IFERROR(__xludf.DUMMYFUNCTION("""COMPUTED_VALUE"""),9550.66996)</f>
        <v>9550.66996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IFERROR(__xludf.DUMMYFUNCTION("""COMPUTED_VALUE"""),9842.078725)</f>
        <v>9842.078725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IFERROR(__xludf.DUMMYFUNCTION("""COMPUTED_VALUE"""),9904.9825)</f>
        <v>9904.9825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IFERROR(__xludf.DUMMYFUNCTION("""COMPUTED_VALUE"""),10087.90107)</f>
        <v>10087.90107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IFERROR(__xludf.DUMMYFUNCTION("""COMPUTED_VALUE"""),9821.79792)</f>
        <v>9821.79792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IFERROR(__xludf.DUMMYFUNCTION("""COMPUTED_VALUE"""),10064.78921)</f>
        <v>10064.78921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IFERROR(__xludf.DUMMYFUNCTION("""COMPUTED_VALUE"""),10040.58319)</f>
        <v>10040.58319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IFERROR(__xludf.DUMMYFUNCTION("""COMPUTED_VALUE"""),10009.83396)</f>
        <v>10009.83396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IFERROR(__xludf.DUMMYFUNCTION("""COMPUTED_VALUE"""),10145.52)</f>
        <v>10145.52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IFERROR(__xludf.DUMMYFUNCTION("""COMPUTED_VALUE"""),10129.41261)</f>
        <v>10129.41261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IFERROR(__xludf.DUMMYFUNCTION("""COMPUTED_VALUE"""),10214.31546)</f>
        <v>10214.31546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IFERROR(__xludf.DUMMYFUNCTION("""COMPUTED_VALUE"""),10195.91073)</f>
        <v>10195.91073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IFERROR(__xludf.DUMMYFUNCTION("""COMPUTED_VALUE"""),10211.75932)</f>
        <v>10211.75932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IFERROR(__xludf.DUMMYFUNCTION("""COMPUTED_VALUE"""),10178.75)</f>
        <v>10178.75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IFERROR(__xludf.DUMMYFUNCTION("""COMPUTED_VALUE"""),10173.40811)</f>
        <v>10173.40811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IFERROR(__xludf.DUMMYFUNCTION("""COMPUTED_VALUE"""),10157.30478)</f>
        <v>10157.30478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IFERROR(__xludf.DUMMYFUNCTION("""COMPUTED_VALUE"""),10126.02)</f>
        <v>10126.02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IFERROR(__xludf.DUMMYFUNCTION("""COMPUTED_VALUE"""),10113.56962)</f>
        <v>10113.56962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IFERROR(__xludf.DUMMYFUNCTION("""COMPUTED_VALUE"""),10091.5488)</f>
        <v>10091.5488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IFERROR(__xludf.DUMMYFUNCTION("""COMPUTED_VALUE"""),10105.95442)</f>
        <v>10105.95442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IFERROR(__xludf.DUMMYFUNCTION("""COMPUTED_VALUE"""),10200.37302)</f>
        <v>10200.37302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IFERROR(__xludf.DUMMYFUNCTION("""COMPUTED_VALUE"""),10098.22303)</f>
        <v>10098.22303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IFERROR(__xludf.DUMMYFUNCTION("""COMPUTED_VALUE"""),9990.72384)</f>
        <v>9990.72384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IFERROR(__xludf.DUMMYFUNCTION("""COMPUTED_VALUE"""),10144.302)</f>
        <v>10144.302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IFERROR(__xludf.DUMMYFUNCTION("""COMPUTED_VALUE"""),10109.814)</f>
        <v>10109.814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IFERROR(__xludf.DUMMYFUNCTION("""COMPUTED_VALUE"""),9895.58532)</f>
        <v>9895.58532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IFERROR(__xludf.DUMMYFUNCTION("""COMPUTED_VALUE"""),10136.83189)</f>
        <v>10136.83189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IFERROR(__xludf.DUMMYFUNCTION("""COMPUTED_VALUE"""),10190.73076)</f>
        <v>10190.73076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IFERROR(__xludf.DUMMYFUNCTION("""COMPUTED_VALUE"""),10210.78)</f>
        <v>10210.78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IFERROR(__xludf.DUMMYFUNCTION("""COMPUTED_VALUE"""),10200.762)</f>
        <v>10200.762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IFERROR(__xludf.DUMMYFUNCTION("""COMPUTED_VALUE"""),10258.88035)</f>
        <v>10258.88035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IFERROR(__xludf.DUMMYFUNCTION("""COMPUTED_VALUE"""),10238.55)</f>
        <v>10238.55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IFERROR(__xludf.DUMMYFUNCTION("""COMPUTED_VALUE"""),10084.74488)</f>
        <v>10084.74488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IFERROR(__xludf.DUMMYFUNCTION("""COMPUTED_VALUE"""),10299.30012)</f>
        <v>10299.30012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IFERROR(__xludf.DUMMYFUNCTION("""COMPUTED_VALUE"""),10337.0625)</f>
        <v>10337.0625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IFERROR(__xludf.DUMMYFUNCTION("""COMPUTED_VALUE"""),10348.31)</f>
        <v>10348.31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IFERROR(__xludf.DUMMYFUNCTION("""COMPUTED_VALUE"""),10342.92508)</f>
        <v>10342.92508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IFERROR(__xludf.DUMMYFUNCTION("""COMPUTED_VALUE"""),10184.7816)</f>
        <v>10184.7816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IFERROR(__xludf.DUMMYFUNCTION("""COMPUTED_VALUE"""),10069.839)</f>
        <v>10069.839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IFERROR(__xludf.DUMMYFUNCTION("""COMPUTED_VALUE"""),9889.08192)</f>
        <v>9889.08192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IFERROR(__xludf.DUMMYFUNCTION("""COMPUTED_VALUE"""),10075.94009)</f>
        <v>10075.94009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IFERROR(__xludf.DUMMYFUNCTION("""COMPUTED_VALUE"""),10053.93426)</f>
        <v>10053.93426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IFERROR(__xludf.DUMMYFUNCTION("""COMPUTED_VALUE"""),10153.58928)</f>
        <v>10153.58928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IFERROR(__xludf.DUMMYFUNCTION("""COMPUTED_VALUE"""),10164.68877)</f>
        <v>10164.68877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IFERROR(__xludf.DUMMYFUNCTION("""COMPUTED_VALUE"""),10101.04476)</f>
        <v>10101.04476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IFERROR(__xludf.DUMMYFUNCTION("""COMPUTED_VALUE"""),10173.22899)</f>
        <v>10173.22899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IFERROR(__xludf.DUMMYFUNCTION("""COMPUTED_VALUE"""),10201.53637)</f>
        <v>10201.53637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IFERROR(__xludf.DUMMYFUNCTION("""COMPUTED_VALUE"""),10166.41903)</f>
        <v>10166.41903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IFERROR(__xludf.DUMMYFUNCTION("""COMPUTED_VALUE"""),10198.74139)</f>
        <v>10198.74139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IFERROR(__xludf.DUMMYFUNCTION("""COMPUTED_VALUE"""),10300.04398)</f>
        <v>10300.04398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IFERROR(__xludf.DUMMYFUNCTION("""COMPUTED_VALUE"""),10538.73)</f>
        <v>10538.73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IFERROR(__xludf.DUMMYFUNCTION("""COMPUTED_VALUE"""),10461.87709)</f>
        <v>10461.87709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IFERROR(__xludf.DUMMYFUNCTION("""COMPUTED_VALUE"""),10463.47609)</f>
        <v>10463.47609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IFERROR(__xludf.DUMMYFUNCTION("""COMPUTED_VALUE"""),10256.00199)</f>
        <v>10256.00199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IFERROR(__xludf.DUMMYFUNCTION("""COMPUTED_VALUE"""),10581.97303)</f>
        <v>10581.97303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IFERROR(__xludf.DUMMYFUNCTION("""COMPUTED_VALUE"""),10473.2828)</f>
        <v>10473.2828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IFERROR(__xludf.DUMMYFUNCTION("""COMPUTED_VALUE"""),10360.728)</f>
        <v>10360.728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IFERROR(__xludf.DUMMYFUNCTION("""COMPUTED_VALUE"""),10359.685)</f>
        <v>10359.685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IFERROR(__xludf.DUMMYFUNCTION("""COMPUTED_VALUE"""),10441.6047)</f>
        <v>10441.6047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IFERROR(__xludf.DUMMYFUNCTION("""COMPUTED_VALUE"""),10396.2375)</f>
        <v>10396.2375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IFERROR(__xludf.DUMMYFUNCTION("""COMPUTED_VALUE"""),10428.69263)</f>
        <v>10428.69263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IFERROR(__xludf.DUMMYFUNCTION("""COMPUTED_VALUE"""),10475.35807)</f>
        <v>10475.35807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IFERROR(__xludf.DUMMYFUNCTION("""COMPUTED_VALUE"""),10566.75341)</f>
        <v>10566.75341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IFERROR(__xludf.DUMMYFUNCTION("""COMPUTED_VALUE"""),10600.35)</f>
        <v>10600.35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IFERROR(__xludf.DUMMYFUNCTION("""COMPUTED_VALUE"""),10579.5986)</f>
        <v>10579.5986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IFERROR(__xludf.DUMMYFUNCTION("""COMPUTED_VALUE"""),10598.362)</f>
        <v>10598.362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IFERROR(__xludf.DUMMYFUNCTION("""COMPUTED_VALUE"""),10819.65)</f>
        <v>10819.65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IFERROR(__xludf.DUMMYFUNCTION("""COMPUTED_VALUE"""),10482.4524)</f>
        <v>10482.4524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IFERROR(__xludf.DUMMYFUNCTION("""COMPUTED_VALUE"""),10743.0868)</f>
        <v>10743.0868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IFERROR(__xludf.DUMMYFUNCTION("""COMPUTED_VALUE"""),10736.81616)</f>
        <v>10736.81616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IFERROR(__xludf.DUMMYFUNCTION("""COMPUTED_VALUE"""),11064.41691)</f>
        <v>11064.41691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IFERROR(__xludf.DUMMYFUNCTION("""COMPUTED_VALUE"""),10803.61204)</f>
        <v>10803.61204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IFERROR(__xludf.DUMMYFUNCTION("""COMPUTED_VALUE"""),11059.87096)</f>
        <v>11059.87096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IFERROR(__xludf.DUMMYFUNCTION("""COMPUTED_VALUE"""),11094.97985)</f>
        <v>11094.97985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IFERROR(__xludf.DUMMYFUNCTION("""COMPUTED_VALUE"""),11085.99822)</f>
        <v>11085.99822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IFERROR(__xludf.DUMMYFUNCTION("""COMPUTED_VALUE"""),11178.42636)</f>
        <v>11178.42636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IFERROR(__xludf.DUMMYFUNCTION("""COMPUTED_VALUE"""),11239.68231)</f>
        <v>11239.68231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IFERROR(__xludf.DUMMYFUNCTION("""COMPUTED_VALUE"""),11776.43376)</f>
        <v>11776.43376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IFERROR(__xludf.DUMMYFUNCTION("""COMPUTED_VALUE"""),11697.26283)</f>
        <v>11697.26283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IFERROR(__xludf.DUMMYFUNCTION("""COMPUTED_VALUE"""),11168.45625)</f>
        <v>11168.45625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IFERROR(__xludf.DUMMYFUNCTION("""COMPUTED_VALUE"""),10571.53396)</f>
        <v>10571.53396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IFERROR(__xludf.DUMMYFUNCTION("""COMPUTED_VALUE"""),10501.87068)</f>
        <v>10501.87068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IFERROR(__xludf.DUMMYFUNCTION("""COMPUTED_VALUE"""),10602.57462)</f>
        <v>10602.57462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IFERROR(__xludf.DUMMYFUNCTION("""COMPUTED_VALUE"""),10776.184)</f>
        <v>10776.184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IFERROR(__xludf.DUMMYFUNCTION("""COMPUTED_VALUE"""),10870.9108)</f>
        <v>10870.9108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IFERROR(__xludf.DUMMYFUNCTION("""COMPUTED_VALUE"""),10610.09139)</f>
        <v>10610.09139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IFERROR(__xludf.DUMMYFUNCTION("""COMPUTED_VALUE"""),10881.64623)</f>
        <v>10881.64623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IFERROR(__xludf.DUMMYFUNCTION("""COMPUTED_VALUE"""),10807.842)</f>
        <v>10807.842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IFERROR(__xludf.DUMMYFUNCTION("""COMPUTED_VALUE"""),10765.0343)</f>
        <v>10765.0343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IFERROR(__xludf.DUMMYFUNCTION("""COMPUTED_VALUE"""),10744.785)</f>
        <v>10744.785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IFERROR(__xludf.DUMMYFUNCTION("""COMPUTED_VALUE"""),10827.4)</f>
        <v>10827.4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IFERROR(__xludf.DUMMYFUNCTION("""COMPUTED_VALUE"""),10574.9088)</f>
        <v>10574.9088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IFERROR(__xludf.DUMMYFUNCTION("""COMPUTED_VALUE"""),10400.51664)</f>
        <v>10400.51664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IFERROR(__xludf.DUMMYFUNCTION("""COMPUTED_VALUE"""),10558.67233)</f>
        <v>10558.67233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IFERROR(__xludf.DUMMYFUNCTION("""COMPUTED_VALUE"""),10430.184)</f>
        <v>10430.184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IFERROR(__xludf.DUMMYFUNCTION("""COMPUTED_VALUE"""),10407.63911)</f>
        <v>10407.63911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IFERROR(__xludf.DUMMYFUNCTION("""COMPUTED_VALUE"""),10574.88493)</f>
        <v>10574.88493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IFERROR(__xludf.DUMMYFUNCTION("""COMPUTED_VALUE"""),10670.232)</f>
        <v>10670.232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IFERROR(__xludf.DUMMYFUNCTION("""COMPUTED_VALUE"""),10726.15)</f>
        <v>10726.15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IFERROR(__xludf.DUMMYFUNCTION("""COMPUTED_VALUE"""),10599.123)</f>
        <v>10599.123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IFERROR(__xludf.DUMMYFUNCTION("""COMPUTED_VALUE"""),10853.21763)</f>
        <v>10853.21763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IFERROR(__xludf.DUMMYFUNCTION("""COMPUTED_VALUE"""),10663.7517)</f>
        <v>10663.7517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IFERROR(__xludf.DUMMYFUNCTION("""COMPUTED_VALUE"""),9926.55377)</f>
        <v>9926.55377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IFERROR(__xludf.DUMMYFUNCTION("""COMPUTED_VALUE"""),9938.154)</f>
        <v>9938.154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IFERROR(__xludf.DUMMYFUNCTION("""COMPUTED_VALUE"""),9794.88044)</f>
        <v>9794.88044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IFERROR(__xludf.DUMMYFUNCTION("""COMPUTED_VALUE"""),9694.32744)</f>
        <v>9694.32744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IFERROR(__xludf.DUMMYFUNCTION("""COMPUTED_VALUE"""),9708.15339)</f>
        <v>9708.15339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IFERROR(__xludf.DUMMYFUNCTION("""COMPUTED_VALUE"""),9563.35254)</f>
        <v>9563.35254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IFERROR(__xludf.DUMMYFUNCTION("""COMPUTED_VALUE"""),9721.84543)</f>
        <v>9721.84543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IFERROR(__xludf.DUMMYFUNCTION("""COMPUTED_VALUE"""),9808.2684)</f>
        <v>9808.2684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IFERROR(__xludf.DUMMYFUNCTION("""COMPUTED_VALUE"""),9949.46295)</f>
        <v>9949.46295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IFERROR(__xludf.DUMMYFUNCTION("""COMPUTED_VALUE"""),10115.3747)</f>
        <v>10115.3747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IFERROR(__xludf.DUMMYFUNCTION("""COMPUTED_VALUE"""),10005.19042)</f>
        <v>10005.19042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IFERROR(__xludf.DUMMYFUNCTION("""COMPUTED_VALUE"""),10048.45736)</f>
        <v>10048.45736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IFERROR(__xludf.DUMMYFUNCTION("""COMPUTED_VALUE"""),9955.23021)</f>
        <v>9955.23021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IFERROR(__xludf.DUMMYFUNCTION("""COMPUTED_VALUE"""),9955.19616)</f>
        <v>9955.19616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IFERROR(__xludf.DUMMYFUNCTION("""COMPUTED_VALUE"""),9928.38782)</f>
        <v>9928.38782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IFERROR(__xludf.DUMMYFUNCTION("""COMPUTED_VALUE"""),9824.89217)</f>
        <v>9824.89217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IFERROR(__xludf.DUMMYFUNCTION("""COMPUTED_VALUE"""),9652.389425)</f>
        <v>9652.389425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IFERROR(__xludf.DUMMYFUNCTION("""COMPUTED_VALUE"""),9670.74774)</f>
        <v>9670.74774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IFERROR(__xludf.DUMMYFUNCTION("""COMPUTED_VALUE"""),9473.88492)</f>
        <v>9473.88492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IFERROR(__xludf.DUMMYFUNCTION("""COMPUTED_VALUE"""),9714.13668)</f>
        <v>9714.13668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IFERROR(__xludf.DUMMYFUNCTION("""COMPUTED_VALUE"""),10064.272)</f>
        <v>10064.272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IFERROR(__xludf.DUMMYFUNCTION("""COMPUTED_VALUE"""),9929.909745)</f>
        <v>9929.909745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IFERROR(__xludf.DUMMYFUNCTION("""COMPUTED_VALUE"""),9863.399525)</f>
        <v>9863.399525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IFERROR(__xludf.DUMMYFUNCTION("""COMPUTED_VALUE"""),9972.30114)</f>
        <v>9972.30114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IFERROR(__xludf.DUMMYFUNCTION("""COMPUTED_VALUE"""),9675.97696)</f>
        <v>9675.97696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IFERROR(__xludf.DUMMYFUNCTION("""COMPUTED_VALUE"""),9984.601433)</f>
        <v>9984.601433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IFERROR(__xludf.DUMMYFUNCTION("""COMPUTED_VALUE"""),9661.91304)</f>
        <v>9661.91304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IFERROR(__xludf.DUMMYFUNCTION("""COMPUTED_VALUE"""),9666.18968)</f>
        <v>9666.18968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IFERROR(__xludf.DUMMYFUNCTION("""COMPUTED_VALUE"""),9383.3226)</f>
        <v>9383.3226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IFERROR(__xludf.DUMMYFUNCTION("""COMPUTED_VALUE"""),9693.40349)</f>
        <v>9693.40349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IFERROR(__xludf.DUMMYFUNCTION("""COMPUTED_VALUE"""),9649.206)</f>
        <v>9649.206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IFERROR(__xludf.DUMMYFUNCTION("""COMPUTED_VALUE"""),9592.340845)</f>
        <v>9592.340845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IFERROR(__xludf.DUMMYFUNCTION("""COMPUTED_VALUE"""),9775.15851)</f>
        <v>9775.15851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IFERROR(__xludf.DUMMYFUNCTION("""COMPUTED_VALUE"""),9598.56906)</f>
        <v>9598.56906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IFERROR(__xludf.DUMMYFUNCTION("""COMPUTED_VALUE"""),9831.49272)</f>
        <v>9831.49272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IFERROR(__xludf.DUMMYFUNCTION("""COMPUTED_VALUE"""),9593.0585)</f>
        <v>9593.0585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IFERROR(__xludf.DUMMYFUNCTION("""COMPUTED_VALUE"""),9893.9392)</f>
        <v>9893.9392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IFERROR(__xludf.DUMMYFUNCTION("""COMPUTED_VALUE"""),9857.175435)</f>
        <v>9857.175435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IFERROR(__xludf.DUMMYFUNCTION("""COMPUTED_VALUE"""),9920.83812)</f>
        <v>9920.83812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IFERROR(__xludf.DUMMYFUNCTION("""COMPUTED_VALUE"""),9666.33816)</f>
        <v>9666.33816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IFERROR(__xludf.DUMMYFUNCTION("""COMPUTED_VALUE"""),9964.443448)</f>
        <v>9964.443448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IFERROR(__xludf.DUMMYFUNCTION("""COMPUTED_VALUE"""),9879.2225)</f>
        <v>9879.2225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IFERROR(__xludf.DUMMYFUNCTION("""COMPUTED_VALUE"""),9871.008)</f>
        <v>9871.008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IFERROR(__xludf.DUMMYFUNCTION("""COMPUTED_VALUE"""),9791.186)</f>
        <v>9791.186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IFERROR(__xludf.DUMMYFUNCTION("""COMPUTED_VALUE"""),9870.706575)</f>
        <v>9870.706575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IFERROR(__xludf.DUMMYFUNCTION("""COMPUTED_VALUE"""),10025.28)</f>
        <v>10025.28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IFERROR(__xludf.DUMMYFUNCTION("""COMPUTED_VALUE"""),9678.95028)</f>
        <v>9678.95028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IFERROR(__xludf.DUMMYFUNCTION("""COMPUTED_VALUE"""),10026.80541)</f>
        <v>10026.80541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IFERROR(__xludf.DUMMYFUNCTION("""COMPUTED_VALUE"""),10038.64722)</f>
        <v>10038.64722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IFERROR(__xludf.DUMMYFUNCTION("""COMPUTED_VALUE"""),10073.89808)</f>
        <v>10073.89808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IFERROR(__xludf.DUMMYFUNCTION("""COMPUTED_VALUE"""),10063.69989)</f>
        <v>10063.69989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IFERROR(__xludf.DUMMYFUNCTION("""COMPUTED_VALUE"""),10286.38882)</f>
        <v>10286.38882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IFERROR(__xludf.DUMMYFUNCTION("""COMPUTED_VALUE"""),10201.19396)</f>
        <v>10201.19396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IFERROR(__xludf.DUMMYFUNCTION("""COMPUTED_VALUE"""),10226.63121)</f>
        <v>10226.63121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IFERROR(__xludf.DUMMYFUNCTION("""COMPUTED_VALUE"""),10231.2441)</f>
        <v>10231.2441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IFERROR(__xludf.DUMMYFUNCTION("""COMPUTED_VALUE"""),10057.65376)</f>
        <v>10057.65376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IFERROR(__xludf.DUMMYFUNCTION("""COMPUTED_VALUE"""),9969.4926)</f>
        <v>9969.4926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IFERROR(__xludf.DUMMYFUNCTION("""COMPUTED_VALUE"""),10039.9896)</f>
        <v>10039.9896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IFERROR(__xludf.DUMMYFUNCTION("""COMPUTED_VALUE"""),10189.44348)</f>
        <v>10189.44348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IFERROR(__xludf.DUMMYFUNCTION("""COMPUTED_VALUE"""),10108.7445)</f>
        <v>10108.7445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IFERROR(__xludf.DUMMYFUNCTION("""COMPUTED_VALUE"""),9973.64468)</f>
        <v>9973.64468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IFERROR(__xludf.DUMMYFUNCTION("""COMPUTED_VALUE"""),10040.05391)</f>
        <v>10040.05391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IFERROR(__xludf.DUMMYFUNCTION("""COMPUTED_VALUE"""),9933.726035)</f>
        <v>9933.726035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IFERROR(__xludf.DUMMYFUNCTION("""COMPUTED_VALUE"""),9961.621)</f>
        <v>9961.621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IFERROR(__xludf.DUMMYFUNCTION("""COMPUTED_VALUE"""),9757.60912)</f>
        <v>9757.60912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IFERROR(__xludf.DUMMYFUNCTION("""COMPUTED_VALUE"""),9901.03081)</f>
        <v>9901.03081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IFERROR(__xludf.DUMMYFUNCTION("""COMPUTED_VALUE"""),9946.99184)</f>
        <v>9946.99184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IFERROR(__xludf.DUMMYFUNCTION("""COMPUTED_VALUE"""),9999.10341)</f>
        <v>9999.10341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IFERROR(__xludf.DUMMYFUNCTION("""COMPUTED_VALUE"""),9968.77322)</f>
        <v>9968.77322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IFERROR(__xludf.DUMMYFUNCTION("""COMPUTED_VALUE"""),9863.23799)</f>
        <v>9863.23799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IFERROR(__xludf.DUMMYFUNCTION("""COMPUTED_VALUE"""),9804.4955)</f>
        <v>9804.4955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IFERROR(__xludf.DUMMYFUNCTION("""COMPUTED_VALUE"""),9751.597835)</f>
        <v>9751.597835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IFERROR(__xludf.DUMMYFUNCTION("""COMPUTED_VALUE"""),9730.89315)</f>
        <v>9730.89315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IFERROR(__xludf.DUMMYFUNCTION("""COMPUTED_VALUE"""),9804.3316)</f>
        <v>9804.3316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IFERROR(__xludf.DUMMYFUNCTION("""COMPUTED_VALUE"""),9717.34754)</f>
        <v>9717.34754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IFERROR(__xludf.DUMMYFUNCTION("""COMPUTED_VALUE"""),9832.647495)</f>
        <v>9832.647495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IFERROR(__xludf.DUMMYFUNCTION("""COMPUTED_VALUE"""),9831.78053)</f>
        <v>9831.78053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IFERROR(__xludf.DUMMYFUNCTION("""COMPUTED_VALUE"""),9899.697775)</f>
        <v>9899.697775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IFERROR(__xludf.DUMMYFUNCTION("""COMPUTED_VALUE"""),9800.46861)</f>
        <v>9800.46861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IFERROR(__xludf.DUMMYFUNCTION("""COMPUTED_VALUE"""),9731.37392)</f>
        <v>9731.37392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IFERROR(__xludf.DUMMYFUNCTION("""COMPUTED_VALUE"""),9696.37372)</f>
        <v>9696.37372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IFERROR(__xludf.DUMMYFUNCTION("""COMPUTED_VALUE"""),9722.75605)</f>
        <v>9722.75605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IFERROR(__xludf.DUMMYFUNCTION("""COMPUTED_VALUE"""),9758.519615)</f>
        <v>9758.519615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IFERROR(__xludf.DUMMYFUNCTION("""COMPUTED_VALUE"""),9875.13683)</f>
        <v>9875.13683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IFERROR(__xludf.DUMMYFUNCTION("""COMPUTED_VALUE"""),9898.47865)</f>
        <v>9898.47865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IFERROR(__xludf.DUMMYFUNCTION("""COMPUTED_VALUE"""),9931.72514)</f>
        <v>9931.72514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IFERROR(__xludf.DUMMYFUNCTION("""COMPUTED_VALUE"""),9824.28439)</f>
        <v>9824.28439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IFERROR(__xludf.DUMMYFUNCTION("""COMPUTED_VALUE"""),9780.3735)</f>
        <v>9780.3735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IFERROR(__xludf.DUMMYFUNCTION("""COMPUTED_VALUE"""),9650.06048)</f>
        <v>9650.06048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IFERROR(__xludf.DUMMYFUNCTION("""COMPUTED_VALUE"""),9791.137195)</f>
        <v>9791.137195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IFERROR(__xludf.DUMMYFUNCTION("""COMPUTED_VALUE"""),9783.91266)</f>
        <v>9783.91266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IFERROR(__xludf.DUMMYFUNCTION("""COMPUTED_VALUE"""),9764.97396)</f>
        <v>9764.97396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IFERROR(__xludf.DUMMYFUNCTION("""COMPUTED_VALUE"""),9768.54954)</f>
        <v>9768.54954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IFERROR(__xludf.DUMMYFUNCTION("""COMPUTED_VALUE"""),9713.646505)</f>
        <v>9713.646505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IFERROR(__xludf.DUMMYFUNCTION("""COMPUTED_VALUE"""),9799.34)</f>
        <v>9799.34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IFERROR(__xludf.DUMMYFUNCTION("""COMPUTED_VALUE"""),9628.1619)</f>
        <v>9628.1619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IFERROR(__xludf.DUMMYFUNCTION("""COMPUTED_VALUE"""),9824.385725)</f>
        <v>9824.385725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IFERROR(__xludf.DUMMYFUNCTION("""COMPUTED_VALUE"""),9650.86668)</f>
        <v>9650.86668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IFERROR(__xludf.DUMMYFUNCTION("""COMPUTED_VALUE"""),9627.84486)</f>
        <v>9627.84486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IFERROR(__xludf.DUMMYFUNCTION("""COMPUTED_VALUE"""),9538.62)</f>
        <v>9538.62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IFERROR(__xludf.DUMMYFUNCTION("""COMPUTED_VALUE"""),9670.797805)</f>
        <v>9670.797805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IFERROR(__xludf.DUMMYFUNCTION("""COMPUTED_VALUE"""),9690.23044)</f>
        <v>9690.23044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IFERROR(__xludf.DUMMYFUNCTION("""COMPUTED_VALUE"""),9692.377321)</f>
        <v>9692.377321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IFERROR(__xludf.DUMMYFUNCTION("""COMPUTED_VALUE"""),9624.2121)</f>
        <v>9624.2121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IFERROR(__xludf.DUMMYFUNCTION("""COMPUTED_VALUE"""),9727.69239)</f>
        <v>9727.69239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IFERROR(__xludf.DUMMYFUNCTION("""COMPUTED_VALUE"""),9710.78908)</f>
        <v>9710.78908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IFERROR(__xludf.DUMMYFUNCTION("""COMPUTED_VALUE"""),9657.55365)</f>
        <v>9657.55365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IFERROR(__xludf.DUMMYFUNCTION("""COMPUTED_VALUE"""),9765.0912)</f>
        <v>9765.0912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IFERROR(__xludf.DUMMYFUNCTION("""COMPUTED_VALUE"""),9642.064)</f>
        <v>9642.064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IFERROR(__xludf.DUMMYFUNCTION("""COMPUTED_VALUE"""),9626.79984)</f>
        <v>9626.79984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IFERROR(__xludf.DUMMYFUNCTION("""COMPUTED_VALUE"""),9708.826127)</f>
        <v>9708.826127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IFERROR(__xludf.DUMMYFUNCTION("""COMPUTED_VALUE"""),9701.818084)</f>
        <v>9701.818084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IFERROR(__xludf.DUMMYFUNCTION("""COMPUTED_VALUE"""),9699.0586)</f>
        <v>9699.0586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IFERROR(__xludf.DUMMYFUNCTION("""COMPUTED_VALUE"""),9587.96844)</f>
        <v>9587.96844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IFERROR(__xludf.DUMMYFUNCTION("""COMPUTED_VALUE"""),9409.11048)</f>
        <v>9409.11048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IFERROR(__xludf.DUMMYFUNCTION("""COMPUTED_VALUE"""),9627.156)</f>
        <v>9627.156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IFERROR(__xludf.DUMMYFUNCTION("""COMPUTED_VALUE"""),9621.843)</f>
        <v>9621.843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IFERROR(__xludf.DUMMYFUNCTION("""COMPUTED_VALUE"""),9706.739394)</f>
        <v>9706.739394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IFERROR(__xludf.DUMMYFUNCTION("""COMPUTED_VALUE"""),9474.53358)</f>
        <v>9474.53358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IFERROR(__xludf.DUMMYFUNCTION("""COMPUTED_VALUE"""),9778.572)</f>
        <v>9778.572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IFERROR(__xludf.DUMMYFUNCTION("""COMPUTED_VALUE"""),9670.95222)</f>
        <v>9670.95222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IFERROR(__xludf.DUMMYFUNCTION("""COMPUTED_VALUE"""),9563.678)</f>
        <v>9563.678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IFERROR(__xludf.DUMMYFUNCTION("""COMPUTED_VALUE"""),9509.049)</f>
        <v>9509.049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IFERROR(__xludf.DUMMYFUNCTION("""COMPUTED_VALUE"""),9471.46304)</f>
        <v>9471.46304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IFERROR(__xludf.DUMMYFUNCTION("""COMPUTED_VALUE"""),9506.836533)</f>
        <v>9506.836533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IFERROR(__xludf.DUMMYFUNCTION("""COMPUTED_VALUE"""),9645.3716)</f>
        <v>9645.3716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IFERROR(__xludf.DUMMYFUNCTION("""COMPUTED_VALUE"""),9626.027)</f>
        <v>9626.027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IFERROR(__xludf.DUMMYFUNCTION("""COMPUTED_VALUE"""),9638.472)</f>
        <v>9638.472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IFERROR(__xludf.DUMMYFUNCTION("""COMPUTED_VALUE"""),9690.765)</f>
        <v>9690.765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IFERROR(__xludf.DUMMYFUNCTION("""COMPUTED_VALUE"""),9533.7156)</f>
        <v>9533.7156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IFERROR(__xludf.DUMMYFUNCTION("""COMPUTED_VALUE"""),9493.77623)</f>
        <v>9493.77623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IFERROR(__xludf.DUMMYFUNCTION("""COMPUTED_VALUE"""),9550.592229)</f>
        <v>9550.592229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IFERROR(__xludf.DUMMYFUNCTION("""COMPUTED_VALUE"""),9524.86533)</f>
        <v>9524.86533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IFERROR(__xludf.DUMMYFUNCTION("""COMPUTED_VALUE"""),9552.524)</f>
        <v>9552.524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IFERROR(__xludf.DUMMYFUNCTION("""COMPUTED_VALUE"""),9590.92407)</f>
        <v>9590.92407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IFERROR(__xludf.DUMMYFUNCTION("""COMPUTED_VALUE"""),9591.7235)</f>
        <v>9591.7235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IFERROR(__xludf.DUMMYFUNCTION("""COMPUTED_VALUE"""),9567.0458)</f>
        <v>9567.0458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IFERROR(__xludf.DUMMYFUNCTION("""COMPUTED_VALUE"""),9547.076)</f>
        <v>9547.076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IFERROR(__xludf.DUMMYFUNCTION("""COMPUTED_VALUE"""),9573.990107)</f>
        <v>9573.990107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IFERROR(__xludf.DUMMYFUNCTION("""COMPUTED_VALUE"""),9619.328)</f>
        <v>9619.328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IFERROR(__xludf.DUMMYFUNCTION("""COMPUTED_VALUE"""),9657.6198)</f>
        <v>9657.6198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IFERROR(__xludf.DUMMYFUNCTION("""COMPUTED_VALUE"""),9817.18582)</f>
        <v>9817.18582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IFERROR(__xludf.DUMMYFUNCTION("""COMPUTED_VALUE"""),9740.27106)</f>
        <v>9740.27106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IFERROR(__xludf.DUMMYFUNCTION("""COMPUTED_VALUE"""),9834.63215)</f>
        <v>9834.63215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IFERROR(__xludf.DUMMYFUNCTION("""COMPUTED_VALUE"""),9781.8504)</f>
        <v>9781.8504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IFERROR(__xludf.DUMMYFUNCTION("""COMPUTED_VALUE"""),9854.18532)</f>
        <v>9854.18532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IFERROR(__xludf.DUMMYFUNCTION("""COMPUTED_VALUE"""),9777.6856)</f>
        <v>9777.6856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IFERROR(__xludf.DUMMYFUNCTION("""COMPUTED_VALUE"""),9755.24159)</f>
        <v>9755.24159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IFERROR(__xludf.DUMMYFUNCTION("""COMPUTED_VALUE"""),9813.344)</f>
        <v>9813.344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IFERROR(__xludf.DUMMYFUNCTION("""COMPUTED_VALUE"""),9766.88376)</f>
        <v>9766.88376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IFERROR(__xludf.DUMMYFUNCTION("""COMPUTED_VALUE"""),9754.95979)</f>
        <v>9754.95979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IFERROR(__xludf.DUMMYFUNCTION("""COMPUTED_VALUE"""),9731.629)</f>
        <v>9731.629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IFERROR(__xludf.DUMMYFUNCTION("""COMPUTED_VALUE"""),9754.259148)</f>
        <v>9754.259148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IFERROR(__xludf.DUMMYFUNCTION("""COMPUTED_VALUE"""),9768.3032)</f>
        <v>9768.3032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IFERROR(__xludf.DUMMYFUNCTION("""COMPUTED_VALUE"""),9788.173)</f>
        <v>9788.173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IFERROR(__xludf.DUMMYFUNCTION("""COMPUTED_VALUE"""),9693.27765)</f>
        <v>9693.27765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IFERROR(__xludf.DUMMYFUNCTION("""COMPUTED_VALUE"""),9775.428)</f>
        <v>9775.428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IFERROR(__xludf.DUMMYFUNCTION("""COMPUTED_VALUE"""),9781.7115)</f>
        <v>9781.7115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IFERROR(__xludf.DUMMYFUNCTION("""COMPUTED_VALUE"""),9782.608)</f>
        <v>9782.608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IFERROR(__xludf.DUMMYFUNCTION("""COMPUTED_VALUE"""),9802.331)</f>
        <v>9802.331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IFERROR(__xludf.DUMMYFUNCTION("""COMPUTED_VALUE"""),9764.5806)</f>
        <v>9764.5806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IFERROR(__xludf.DUMMYFUNCTION("""COMPUTED_VALUE"""),9785.325)</f>
        <v>9785.325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IFERROR(__xludf.DUMMYFUNCTION("""COMPUTED_VALUE"""),9661.367)</f>
        <v>9661.367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IFERROR(__xludf.DUMMYFUNCTION("""COMPUTED_VALUE"""),9765.75)</f>
        <v>9765.75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IFERROR(__xludf.DUMMYFUNCTION("""COMPUTED_VALUE"""),9786.261)</f>
        <v>9786.261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IFERROR(__xludf.DUMMYFUNCTION("""COMPUTED_VALUE"""),9775.51824)</f>
        <v>9775.51824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IFERROR(__xludf.DUMMYFUNCTION("""COMPUTED_VALUE"""),9821.33256)</f>
        <v>9821.33256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IFERROR(__xludf.DUMMYFUNCTION("""COMPUTED_VALUE"""),9813.13608)</f>
        <v>9813.13608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IFERROR(__xludf.DUMMYFUNCTION("""COMPUTED_VALUE"""),9899.589)</f>
        <v>9899.589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IFERROR(__xludf.DUMMYFUNCTION("""COMPUTED_VALUE"""),9925.92)</f>
        <v>9925.92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IFERROR(__xludf.DUMMYFUNCTION("""COMPUTED_VALUE"""),10028.976)</f>
        <v>10028.976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IFERROR(__xludf.DUMMYFUNCTION("""COMPUTED_VALUE"""),10089.544)</f>
        <v>10089.544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IFERROR(__xludf.DUMMYFUNCTION("""COMPUTED_VALUE"""),10049.2826)</f>
        <v>10049.2826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IFERROR(__xludf.DUMMYFUNCTION("""COMPUTED_VALUE"""),10137.89649)</f>
        <v>10137.89649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IFERROR(__xludf.DUMMYFUNCTION("""COMPUTED_VALUE"""),10129.3125)</f>
        <v>10129.3125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IFERROR(__xludf.DUMMYFUNCTION("""COMPUTED_VALUE"""),10062.187)</f>
        <v>10062.187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IFERROR(__xludf.DUMMYFUNCTION("""COMPUTED_VALUE"""),9956.05)</f>
        <v>9956.05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IFERROR(__xludf.DUMMYFUNCTION("""COMPUTED_VALUE"""),9996.72)</f>
        <v>9996.72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IFERROR(__xludf.DUMMYFUNCTION("""COMPUTED_VALUE"""),9885.3435)</f>
        <v>9885.3435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IFERROR(__xludf.DUMMYFUNCTION("""COMPUTED_VALUE"""),9899.8315)</f>
        <v>9899.8315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IFERROR(__xludf.DUMMYFUNCTION("""COMPUTED_VALUE"""),9902.548)</f>
        <v>9902.548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IFERROR(__xludf.DUMMYFUNCTION("""COMPUTED_VALUE"""),9991.4932)</f>
        <v>9991.4932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IFERROR(__xludf.DUMMYFUNCTION("""COMPUTED_VALUE"""),9922.589)</f>
        <v>9922.589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IFERROR(__xludf.DUMMYFUNCTION("""COMPUTED_VALUE"""),9907.1925)</f>
        <v>9907.1925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IFERROR(__xludf.DUMMYFUNCTION("""COMPUTED_VALUE"""),10023.6945)</f>
        <v>10023.6945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IFERROR(__xludf.DUMMYFUNCTION("""COMPUTED_VALUE"""),9908.061)</f>
        <v>9908.061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IFERROR(__xludf.DUMMYFUNCTION("""COMPUTED_VALUE"""),9954.25344)</f>
        <v>9954.25344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IFERROR(__xludf.DUMMYFUNCTION("""COMPUTED_VALUE"""),9933.365865)</f>
        <v>9933.365865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IFERROR(__xludf.DUMMYFUNCTION("""COMPUTED_VALUE"""),9975.9759)</f>
        <v>9975.9759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IFERROR(__xludf.DUMMYFUNCTION("""COMPUTED_VALUE"""),9882.8193)</f>
        <v>9882.8193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IFERROR(__xludf.DUMMYFUNCTION("""COMPUTED_VALUE"""),9830.9827)</f>
        <v>9830.9827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IFERROR(__xludf.DUMMYFUNCTION("""COMPUTED_VALUE"""),9918.9475)</f>
        <v>9918.9475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IFERROR(__xludf.DUMMYFUNCTION("""COMPUTED_VALUE"""),9936.29)</f>
        <v>9936.29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IFERROR(__xludf.DUMMYFUNCTION("""COMPUTED_VALUE"""),9922.92981)</f>
        <v>9922.92981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IFERROR(__xludf.DUMMYFUNCTION("""COMPUTED_VALUE"""),9960.864)</f>
        <v>9960.864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IFERROR(__xludf.DUMMYFUNCTION("""COMPUTED_VALUE"""),9991.848)</f>
        <v>9991.848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IFERROR(__xludf.DUMMYFUNCTION("""COMPUTED_VALUE"""),10031.1505)</f>
        <v>10031.1505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IFERROR(__xludf.DUMMYFUNCTION("""COMPUTED_VALUE"""),10022.0055)</f>
        <v>10022.0055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IFERROR(__xludf.DUMMYFUNCTION("""COMPUTED_VALUE"""),10092.212)</f>
        <v>10092.212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IFERROR(__xludf.DUMMYFUNCTION("""COMPUTED_VALUE"""),10068.645)</f>
        <v>10068.645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IFERROR(__xludf.DUMMYFUNCTION("""COMPUTED_VALUE"""),9860.90105)</f>
        <v>9860.90105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IFERROR(__xludf.DUMMYFUNCTION("""COMPUTED_VALUE"""),10078.725)</f>
        <v>10078.725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IFERROR(__xludf.DUMMYFUNCTION("""COMPUTED_VALUE"""),10130.88)</f>
        <v>10130.88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IFERROR(__xludf.DUMMYFUNCTION("""COMPUTED_VALUE"""),10109.835)</f>
        <v>10109.835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IFERROR(__xludf.DUMMYFUNCTION("""COMPUTED_VALUE"""),10107.09)</f>
        <v>10107.09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IFERROR(__xludf.DUMMYFUNCTION("""COMPUTED_VALUE"""),10096.11)</f>
        <v>10096.11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IFERROR(__xludf.DUMMYFUNCTION("""COMPUTED_VALUE"""),10104.96)</f>
        <v>10104.96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IFERROR(__xludf.DUMMYFUNCTION("""COMPUTED_VALUE"""),10093.3624)</f>
        <v>10093.3624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IFERROR(__xludf.DUMMYFUNCTION("""COMPUTED_VALUE"""),10176.90099)</f>
        <v>10176.90099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IFERROR(__xludf.DUMMYFUNCTION("""COMPUTED_VALUE"""),10090.8906)</f>
        <v>10090.8906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IFERROR(__xludf.DUMMYFUNCTION("""COMPUTED_VALUE"""),10024.0192)</f>
        <v>10024.0192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IFERROR(__xludf.DUMMYFUNCTION("""COMPUTED_VALUE"""),9971.4094)</f>
        <v>9971.4094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IFERROR(__xludf.DUMMYFUNCTION("""COMPUTED_VALUE"""),9874.4865)</f>
        <v>9874.4865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IFERROR(__xludf.DUMMYFUNCTION("""COMPUTED_VALUE"""),10031.78904)</f>
        <v>10031.78904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IFERROR(__xludf.DUMMYFUNCTION("""COMPUTED_VALUE"""),9876.99456)</f>
        <v>9876.99456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IFERROR(__xludf.DUMMYFUNCTION("""COMPUTED_VALUE"""),9894.4735)</f>
        <v>9894.4735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IFERROR(__xludf.DUMMYFUNCTION("""COMPUTED_VALUE"""),9983.37135)</f>
        <v>9983.37135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IFERROR(__xludf.DUMMYFUNCTION("""COMPUTED_VALUE"""),9956.8567)</f>
        <v>9956.8567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IFERROR(__xludf.DUMMYFUNCTION("""COMPUTED_VALUE"""),9973.3249)</f>
        <v>9973.3249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IFERROR(__xludf.DUMMYFUNCTION("""COMPUTED_VALUE"""),10036.453)</f>
        <v>10036.453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IFERROR(__xludf.DUMMYFUNCTION("""COMPUTED_VALUE"""),9908.005)</f>
        <v>9908.005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IFERROR(__xludf.DUMMYFUNCTION("""COMPUTED_VALUE"""),9814.29599)</f>
        <v>9814.29599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IFERROR(__xludf.DUMMYFUNCTION("""COMPUTED_VALUE"""),9927.81369)</f>
        <v>9927.81369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IFERROR(__xludf.DUMMYFUNCTION("""COMPUTED_VALUE"""),10003.6685)</f>
        <v>10003.6685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IFERROR(__xludf.DUMMYFUNCTION("""COMPUTED_VALUE"""),10005.4995)</f>
        <v>10005.4995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IFERROR(__xludf.DUMMYFUNCTION("""COMPUTED_VALUE"""),9988.105)</f>
        <v>9988.105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IFERROR(__xludf.DUMMYFUNCTION("""COMPUTED_VALUE"""),10006.2374)</f>
        <v>10006.2374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IFERROR(__xludf.DUMMYFUNCTION("""COMPUTED_VALUE"""),10067.5692)</f>
        <v>10067.5692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IFERROR(__xludf.DUMMYFUNCTION("""COMPUTED_VALUE"""),10122.35508)</f>
        <v>10122.35508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IFERROR(__xludf.DUMMYFUNCTION("""COMPUTED_VALUE"""),10042.52571)</f>
        <v>10042.52571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IFERROR(__xludf.DUMMYFUNCTION("""COMPUTED_VALUE"""),10027.0709)</f>
        <v>10027.0709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IFERROR(__xludf.DUMMYFUNCTION("""COMPUTED_VALUE"""),10063.7229)</f>
        <v>10063.7229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IFERROR(__xludf.DUMMYFUNCTION("""COMPUTED_VALUE"""),10079.3)</f>
        <v>10079.3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IFERROR(__xludf.DUMMYFUNCTION("""COMPUTED_VALUE"""),10043.06856)</f>
        <v>10043.06856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IFERROR(__xludf.DUMMYFUNCTION("""COMPUTED_VALUE"""),10133.57406)</f>
        <v>10133.57406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IFERROR(__xludf.DUMMYFUNCTION("""COMPUTED_VALUE"""),10115.8083)</f>
        <v>10115.8083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IFERROR(__xludf.DUMMYFUNCTION("""COMPUTED_VALUE"""),10126.2229)</f>
        <v>10126.2229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IFERROR(__xludf.DUMMYFUNCTION("""COMPUTED_VALUE"""),10111.36569)</f>
        <v>10111.36569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IFERROR(__xludf.DUMMYFUNCTION("""COMPUTED_VALUE"""),10032.009)</f>
        <v>10032.009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IFERROR(__xludf.DUMMYFUNCTION("""COMPUTED_VALUE"""),10028.343)</f>
        <v>10028.343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IFERROR(__xludf.DUMMYFUNCTION("""COMPUTED_VALUE"""),9991.31364)</f>
        <v>9991.31364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IFERROR(__xludf.DUMMYFUNCTION("""COMPUTED_VALUE"""),9837.49403)</f>
        <v>9837.49403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IFERROR(__xludf.DUMMYFUNCTION("""COMPUTED_VALUE"""),9774.12228)</f>
        <v>9774.12228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IFERROR(__xludf.DUMMYFUNCTION("""COMPUTED_VALUE"""),9965.039)</f>
        <v>9965.039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IFERROR(__xludf.DUMMYFUNCTION("""COMPUTED_VALUE"""),9912.1124)</f>
        <v>9912.1124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IFERROR(__xludf.DUMMYFUNCTION("""COMPUTED_VALUE"""),9921.4797)</f>
        <v>9921.4797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IFERROR(__xludf.DUMMYFUNCTION("""COMPUTED_VALUE"""),9875.173)</f>
        <v>9875.173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IFERROR(__xludf.DUMMYFUNCTION("""COMPUTED_VALUE"""),9872.6433)</f>
        <v>9872.6433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IFERROR(__xludf.DUMMYFUNCTION("""COMPUTED_VALUE"""),9855.1112)</f>
        <v>9855.1112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IFERROR(__xludf.DUMMYFUNCTION("""COMPUTED_VALUE"""),9835.878)</f>
        <v>9835.878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IFERROR(__xludf.DUMMYFUNCTION("""COMPUTED_VALUE"""),9866.184)</f>
        <v>9866.184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IFERROR(__xludf.DUMMYFUNCTION("""COMPUTED_VALUE"""),9793.2038)</f>
        <v>9793.2038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IFERROR(__xludf.DUMMYFUNCTION("""COMPUTED_VALUE"""),9783.9658)</f>
        <v>9783.9658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IFERROR(__xludf.DUMMYFUNCTION("""COMPUTED_VALUE"""),9736.8388)</f>
        <v>9736.8388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IFERROR(__xludf.DUMMYFUNCTION("""COMPUTED_VALUE"""),9793.62506)</f>
        <v>9793.62506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IFERROR(__xludf.DUMMYFUNCTION("""COMPUTED_VALUE"""),9569.09376)</f>
        <v>9569.09376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IFERROR(__xludf.DUMMYFUNCTION("""COMPUTED_VALUE"""),9853.431381)</f>
        <v>9853.431381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IFERROR(__xludf.DUMMYFUNCTION("""COMPUTED_VALUE"""),9857.6595)</f>
        <v>9857.6595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IFERROR(__xludf.DUMMYFUNCTION("""COMPUTED_VALUE"""),9718.392)</f>
        <v>9718.392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IFERROR(__xludf.DUMMYFUNCTION("""COMPUTED_VALUE"""),9704.793)</f>
        <v>9704.793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IFERROR(__xludf.DUMMYFUNCTION("""COMPUTED_VALUE"""),9657.5925)</f>
        <v>9657.5925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IFERROR(__xludf.DUMMYFUNCTION("""COMPUTED_VALUE"""),9652.277)</f>
        <v>9652.277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IFERROR(__xludf.DUMMYFUNCTION("""COMPUTED_VALUE"""),9703.909609)</f>
        <v>9703.909609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IFERROR(__xludf.DUMMYFUNCTION("""COMPUTED_VALUE"""),9710.028975)</f>
        <v>9710.028975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IFERROR(__xludf.DUMMYFUNCTION("""COMPUTED_VALUE"""),9665.248)</f>
        <v>9665.248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IFERROR(__xludf.DUMMYFUNCTION("""COMPUTED_VALUE"""),9732.619)</f>
        <v>9732.619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IFERROR(__xludf.DUMMYFUNCTION("""COMPUTED_VALUE"""),9683.831)</f>
        <v>9683.831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IFERROR(__xludf.DUMMYFUNCTION("""COMPUTED_VALUE"""),9648.75)</f>
        <v>9648.75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IFERROR(__xludf.DUMMYFUNCTION("""COMPUTED_VALUE"""),9702.1875)</f>
        <v>9702.1875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IFERROR(__xludf.DUMMYFUNCTION("""COMPUTED_VALUE"""),9740.809845)</f>
        <v>9740.809845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IFERROR(__xludf.DUMMYFUNCTION("""COMPUTED_VALUE"""),9702.86832)</f>
        <v>9702.86832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IFERROR(__xludf.DUMMYFUNCTION("""COMPUTED_VALUE"""),9757.5)</f>
        <v>9757.5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IFERROR(__xludf.DUMMYFUNCTION("""COMPUTED_VALUE"""),9713.7324)</f>
        <v>9713.7324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IFERROR(__xludf.DUMMYFUNCTION("""COMPUTED_VALUE"""),9710.925)</f>
        <v>9710.925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IFERROR(__xludf.DUMMYFUNCTION("""COMPUTED_VALUE"""),9789.072)</f>
        <v>9789.072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IFERROR(__xludf.DUMMYFUNCTION("""COMPUTED_VALUE"""),9752.184)</f>
        <v>9752.184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IFERROR(__xludf.DUMMYFUNCTION("""COMPUTED_VALUE"""),9528.46202)</f>
        <v>9528.46202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IFERROR(__xludf.DUMMYFUNCTION("""COMPUTED_VALUE"""),9871.09041)</f>
        <v>9871.09041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IFERROR(__xludf.DUMMYFUNCTION("""COMPUTED_VALUE"""),9736.44)</f>
        <v>9736.44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IFERROR(__xludf.DUMMYFUNCTION("""COMPUTED_VALUE"""),9796.248)</f>
        <v>9796.248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IFERROR(__xludf.DUMMYFUNCTION("""COMPUTED_VALUE"""),9831.8675)</f>
        <v>9831.8675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IFERROR(__xludf.DUMMYFUNCTION("""COMPUTED_VALUE"""),9877.903)</f>
        <v>9877.903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IFERROR(__xludf.DUMMYFUNCTION("""COMPUTED_VALUE"""),9855.726)</f>
        <v>9855.726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IFERROR(__xludf.DUMMYFUNCTION("""COMPUTED_VALUE"""),9776.236)</f>
        <v>9776.236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IFERROR(__xludf.DUMMYFUNCTION("""COMPUTED_VALUE"""),10147.50951)</f>
        <v>10147.50951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IFERROR(__xludf.DUMMYFUNCTION("""COMPUTED_VALUE"""),9799.90029)</f>
        <v>9799.90029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IFERROR(__xludf.DUMMYFUNCTION("""COMPUTED_VALUE"""),9904.59512)</f>
        <v>9904.59512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IFERROR(__xludf.DUMMYFUNCTION("""COMPUTED_VALUE"""),9920.85195)</f>
        <v>9920.85195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IFERROR(__xludf.DUMMYFUNCTION("""COMPUTED_VALUE"""),9818.19555)</f>
        <v>9818.19555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IFERROR(__xludf.DUMMYFUNCTION("""COMPUTED_VALUE"""),9849.7632)</f>
        <v>9849.7632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IFERROR(__xludf.DUMMYFUNCTION("""COMPUTED_VALUE"""),9759.3164)</f>
        <v>9759.3164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IFERROR(__xludf.DUMMYFUNCTION("""COMPUTED_VALUE"""),9850.81031)</f>
        <v>9850.81031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IFERROR(__xludf.DUMMYFUNCTION("""COMPUTED_VALUE"""),9796.3305)</f>
        <v>9796.3305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IFERROR(__xludf.DUMMYFUNCTION("""COMPUTED_VALUE"""),9787.54902)</f>
        <v>9787.54902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IFERROR(__xludf.DUMMYFUNCTION("""COMPUTED_VALUE"""),9775.49067)</f>
        <v>9775.49067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IFERROR(__xludf.DUMMYFUNCTION("""COMPUTED_VALUE"""),9752.58414)</f>
        <v>9752.58414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IFERROR(__xludf.DUMMYFUNCTION("""COMPUTED_VALUE"""),9874.8088)</f>
        <v>9874.8088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IFERROR(__xludf.DUMMYFUNCTION("""COMPUTED_VALUE"""),9871.9984)</f>
        <v>9871.9984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IFERROR(__xludf.DUMMYFUNCTION("""COMPUTED_VALUE"""),9919.961432)</f>
        <v>9919.961432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IFERROR(__xludf.DUMMYFUNCTION("""COMPUTED_VALUE"""),9829.05462)</f>
        <v>9829.05462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IFERROR(__xludf.DUMMYFUNCTION("""COMPUTED_VALUE"""),9771.40944)</f>
        <v>9771.40944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IFERROR(__xludf.DUMMYFUNCTION("""COMPUTED_VALUE"""),9723.11499)</f>
        <v>9723.11499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IFERROR(__xludf.DUMMYFUNCTION("""COMPUTED_VALUE"""),9651.49198)</f>
        <v>9651.49198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IFERROR(__xludf.DUMMYFUNCTION("""COMPUTED_VALUE"""),9632.6493)</f>
        <v>9632.6493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IFERROR(__xludf.DUMMYFUNCTION("""COMPUTED_VALUE"""),9511.25792)</f>
        <v>9511.25792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IFERROR(__xludf.DUMMYFUNCTION("""COMPUTED_VALUE"""),9643.063535)</f>
        <v>9643.063535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IFERROR(__xludf.DUMMYFUNCTION("""COMPUTED_VALUE"""),9615.55584)</f>
        <v>9615.55584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IFERROR(__xludf.DUMMYFUNCTION("""COMPUTED_VALUE"""),9584.69228)</f>
        <v>9584.69228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IFERROR(__xludf.DUMMYFUNCTION("""COMPUTED_VALUE"""),9568.02836)</f>
        <v>9568.02836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IFERROR(__xludf.DUMMYFUNCTION("""COMPUTED_VALUE"""),9567.85472)</f>
        <v>9567.85472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IFERROR(__xludf.DUMMYFUNCTION("""COMPUTED_VALUE"""),9609.5754)</f>
        <v>9609.5754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IFERROR(__xludf.DUMMYFUNCTION("""COMPUTED_VALUE"""),9610.5177)</f>
        <v>9610.5177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IFERROR(__xludf.DUMMYFUNCTION("""COMPUTED_VALUE"""),9664.771737)</f>
        <v>9664.771737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IFERROR(__xludf.DUMMYFUNCTION("""COMPUTED_VALUE"""),9621.89442)</f>
        <v>9621.89442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IFERROR(__xludf.DUMMYFUNCTION("""COMPUTED_VALUE"""),9622.46148)</f>
        <v>9622.46148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IFERROR(__xludf.DUMMYFUNCTION("""COMPUTED_VALUE"""),9627.1599)</f>
        <v>9627.1599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IFERROR(__xludf.DUMMYFUNCTION("""COMPUTED_VALUE"""),9624.91128)</f>
        <v>9624.91128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IFERROR(__xludf.DUMMYFUNCTION("""COMPUTED_VALUE"""),9537.1575)</f>
        <v>9537.1575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IFERROR(__xludf.DUMMYFUNCTION("""COMPUTED_VALUE"""),9524.905)</f>
        <v>9524.905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IFERROR(__xludf.DUMMYFUNCTION("""COMPUTED_VALUE"""),9563.03218)</f>
        <v>9563.03218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IFERROR(__xludf.DUMMYFUNCTION("""COMPUTED_VALUE"""),9506.9312)</f>
        <v>9506.9312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IFERROR(__xludf.DUMMYFUNCTION("""COMPUTED_VALUE"""),9475.77136)</f>
        <v>9475.77136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IFERROR(__xludf.DUMMYFUNCTION("""COMPUTED_VALUE"""),9559.3792)</f>
        <v>9559.3792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IFERROR(__xludf.DUMMYFUNCTION("""COMPUTED_VALUE"""),9660.09316)</f>
        <v>9660.09316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IFERROR(__xludf.DUMMYFUNCTION("""COMPUTED_VALUE"""),9671.408)</f>
        <v>9671.408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IFERROR(__xludf.DUMMYFUNCTION("""COMPUTED_VALUE"""),9704.264393)</f>
        <v>9704.264393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IFERROR(__xludf.DUMMYFUNCTION("""COMPUTED_VALUE"""),9662.921)</f>
        <v>9662.921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IFERROR(__xludf.DUMMYFUNCTION("""COMPUTED_VALUE"""),9613.4224)</f>
        <v>9613.4224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IFERROR(__xludf.DUMMYFUNCTION("""COMPUTED_VALUE"""),9637.52128)</f>
        <v>9637.52128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IFERROR(__xludf.DUMMYFUNCTION("""COMPUTED_VALUE"""),9583.90932)</f>
        <v>9583.90932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IFERROR(__xludf.DUMMYFUNCTION("""COMPUTED_VALUE"""),9565.81128)</f>
        <v>9565.81128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IFERROR(__xludf.DUMMYFUNCTION("""COMPUTED_VALUE"""),9731.0115)</f>
        <v>9731.0115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IFERROR(__xludf.DUMMYFUNCTION("""COMPUTED_VALUE"""),9720.42863)</f>
        <v>9720.42863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IFERROR(__xludf.DUMMYFUNCTION("""COMPUTED_VALUE"""),9783.681179)</f>
        <v>9783.681179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IFERROR(__xludf.DUMMYFUNCTION("""COMPUTED_VALUE"""),9733.57365)</f>
        <v>9733.57365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IFERROR(__xludf.DUMMYFUNCTION("""COMPUTED_VALUE"""),9769.252)</f>
        <v>9769.252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IFERROR(__xludf.DUMMYFUNCTION("""COMPUTED_VALUE"""),9717.43306)</f>
        <v>9717.43306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IFERROR(__xludf.DUMMYFUNCTION("""COMPUTED_VALUE"""),9667.4816)</f>
        <v>9667.4816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IFERROR(__xludf.DUMMYFUNCTION("""COMPUTED_VALUE"""),9667.50056)</f>
        <v>9667.50056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IFERROR(__xludf.DUMMYFUNCTION("""COMPUTED_VALUE"""),9674.2002)</f>
        <v>9674.2002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IFERROR(__xludf.DUMMYFUNCTION("""COMPUTED_VALUE"""),9696.379095)</f>
        <v>9696.379095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IFERROR(__xludf.DUMMYFUNCTION("""COMPUTED_VALUE"""),9708.72336)</f>
        <v>9708.72336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IFERROR(__xludf.DUMMYFUNCTION("""COMPUTED_VALUE"""),9692.18334)</f>
        <v>9692.18334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IFERROR(__xludf.DUMMYFUNCTION("""COMPUTED_VALUE"""),9681.56776)</f>
        <v>9681.56776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IFERROR(__xludf.DUMMYFUNCTION("""COMPUTED_VALUE"""),9729.63026)</f>
        <v>9729.63026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IFERROR(__xludf.DUMMYFUNCTION("""COMPUTED_VALUE"""),9717.7155)</f>
        <v>9717.7155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IFERROR(__xludf.DUMMYFUNCTION("""COMPUTED_VALUE"""),9716.769)</f>
        <v>9716.769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IFERROR(__xludf.DUMMYFUNCTION("""COMPUTED_VALUE"""),9748.07664)</f>
        <v>9748.07664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IFERROR(__xludf.DUMMYFUNCTION("""COMPUTED_VALUE"""),9726.15508)</f>
        <v>9726.15508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IFERROR(__xludf.DUMMYFUNCTION("""COMPUTED_VALUE"""),9872.9415)</f>
        <v>9872.9415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IFERROR(__xludf.DUMMYFUNCTION("""COMPUTED_VALUE"""),9899.2394)</f>
        <v>9899.2394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IFERROR(__xludf.DUMMYFUNCTION("""COMPUTED_VALUE"""),9878.16)</f>
        <v>9878.16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IFERROR(__xludf.DUMMYFUNCTION("""COMPUTED_VALUE"""),9876.264)</f>
        <v>9876.264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IFERROR(__xludf.DUMMYFUNCTION("""COMPUTED_VALUE"""),9934.222584)</f>
        <v>9934.222584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IFERROR(__xludf.DUMMYFUNCTION("""COMPUTED_VALUE"""),9872.9365)</f>
        <v>9872.9365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IFERROR(__xludf.DUMMYFUNCTION("""COMPUTED_VALUE"""),9943.07589)</f>
        <v>9943.07589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IFERROR(__xludf.DUMMYFUNCTION("""COMPUTED_VALUE"""),9929.82912)</f>
        <v>9929.82912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IFERROR(__xludf.DUMMYFUNCTION("""COMPUTED_VALUE"""),9907.55298)</f>
        <v>9907.55298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IFERROR(__xludf.DUMMYFUNCTION("""COMPUTED_VALUE"""),9960.774)</f>
        <v>9960.774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IFERROR(__xludf.DUMMYFUNCTION("""COMPUTED_VALUE"""),9958.872)</f>
        <v>9958.872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IFERROR(__xludf.DUMMYFUNCTION("""COMPUTED_VALUE"""),9987.860125)</f>
        <v>9987.860125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IFERROR(__xludf.DUMMYFUNCTION("""COMPUTED_VALUE"""),9962.71455)</f>
        <v>9962.71455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IFERROR(__xludf.DUMMYFUNCTION("""COMPUTED_VALUE"""),9979.7814)</f>
        <v>9979.7814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IFERROR(__xludf.DUMMYFUNCTION("""COMPUTED_VALUE"""),9977.55948)</f>
        <v>9977.55948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IFERROR(__xludf.DUMMYFUNCTION("""COMPUTED_VALUE"""),9993.52869)</f>
        <v>9993.52869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IFERROR(__xludf.DUMMYFUNCTION("""COMPUTED_VALUE"""),10107.2005)</f>
        <v>10107.2005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IFERROR(__xludf.DUMMYFUNCTION("""COMPUTED_VALUE"""),10103.91791)</f>
        <v>10103.91791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IFERROR(__xludf.DUMMYFUNCTION("""COMPUTED_VALUE"""),10174.99934)</f>
        <v>10174.99934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IFERROR(__xludf.DUMMYFUNCTION("""COMPUTED_VALUE"""),10091.59827)</f>
        <v>10091.59827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IFERROR(__xludf.DUMMYFUNCTION("""COMPUTED_VALUE"""),10165.64913)</f>
        <v>10165.64913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IFERROR(__xludf.DUMMYFUNCTION("""COMPUTED_VALUE"""),10172.38365)</f>
        <v>10172.38365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IFERROR(__xludf.DUMMYFUNCTION("""COMPUTED_VALUE"""),10207.7741)</f>
        <v>10207.7741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IFERROR(__xludf.DUMMYFUNCTION("""COMPUTED_VALUE"""),10229.868)</f>
        <v>10229.868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IFERROR(__xludf.DUMMYFUNCTION("""COMPUTED_VALUE"""),10040.71524)</f>
        <v>10040.71524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IFERROR(__xludf.DUMMYFUNCTION("""COMPUTED_VALUE"""),10435.20214)</f>
        <v>10435.20214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IFERROR(__xludf.DUMMYFUNCTION("""COMPUTED_VALUE"""),10171.1997)</f>
        <v>10171.1997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IFERROR(__xludf.DUMMYFUNCTION("""COMPUTED_VALUE"""),10200.95712)</f>
        <v>10200.95712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IFERROR(__xludf.DUMMYFUNCTION("""COMPUTED_VALUE"""),10249.42773)</f>
        <v>10249.42773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IFERROR(__xludf.DUMMYFUNCTION("""COMPUTED_VALUE"""),10193.26021)</f>
        <v>10193.26021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IFERROR(__xludf.DUMMYFUNCTION("""COMPUTED_VALUE"""),10201.632)</f>
        <v>10201.632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IFERROR(__xludf.DUMMYFUNCTION("""COMPUTED_VALUE"""),10200.68)</f>
        <v>10200.68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IFERROR(__xludf.DUMMYFUNCTION("""COMPUTED_VALUE"""),10259.57847)</f>
        <v>10259.57847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IFERROR(__xludf.DUMMYFUNCTION("""COMPUTED_VALUE"""),10189.29792)</f>
        <v>10189.29792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IFERROR(__xludf.DUMMYFUNCTION("""COMPUTED_VALUE"""),10179.11306)</f>
        <v>10179.11306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IFERROR(__xludf.DUMMYFUNCTION("""COMPUTED_VALUE"""),10168.11396)</f>
        <v>10168.11396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IFERROR(__xludf.DUMMYFUNCTION("""COMPUTED_VALUE"""),10181.4489)</f>
        <v>10181.4489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IFERROR(__xludf.DUMMYFUNCTION("""COMPUTED_VALUE"""),10151.1075)</f>
        <v>10151.1075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IFERROR(__xludf.DUMMYFUNCTION("""COMPUTED_VALUE"""),10154.9255)</f>
        <v>10154.9255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IFERROR(__xludf.DUMMYFUNCTION("""COMPUTED_VALUE"""),10168.07187)</f>
        <v>10168.07187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IFERROR(__xludf.DUMMYFUNCTION("""COMPUTED_VALUE"""),10178.9229)</f>
        <v>10178.9229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IFERROR(__xludf.DUMMYFUNCTION("""COMPUTED_VALUE"""),10195.6925)</f>
        <v>10195.6925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IFERROR(__xludf.DUMMYFUNCTION("""COMPUTED_VALUE"""),10186.5894)</f>
        <v>10186.5894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IFERROR(__xludf.DUMMYFUNCTION("""COMPUTED_VALUE"""),10273.61685)</f>
        <v>10273.61685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IFERROR(__xludf.DUMMYFUNCTION("""COMPUTED_VALUE"""),10283.2128)</f>
        <v>10283.2128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IFERROR(__xludf.DUMMYFUNCTION("""COMPUTED_VALUE"""),10345.19164)</f>
        <v>10345.19164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IFERROR(__xludf.DUMMYFUNCTION("""COMPUTED_VALUE"""),10104.27352)</f>
        <v>10104.27352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IFERROR(__xludf.DUMMYFUNCTION("""COMPUTED_VALUE"""),10243.86968)</f>
        <v>10243.86968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IFERROR(__xludf.DUMMYFUNCTION("""COMPUTED_VALUE"""),10162.38762)</f>
        <v>10162.38762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IFERROR(__xludf.DUMMYFUNCTION("""COMPUTED_VALUE"""),10171.73762)</f>
        <v>10171.73762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IFERROR(__xludf.DUMMYFUNCTION("""COMPUTED_VALUE"""),10218.10995)</f>
        <v>10218.10995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IFERROR(__xludf.DUMMYFUNCTION("""COMPUTED_VALUE"""),10228.3971)</f>
        <v>10228.3971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IFERROR(__xludf.DUMMYFUNCTION("""COMPUTED_VALUE"""),10233.1736)</f>
        <v>10233.1736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IFERROR(__xludf.DUMMYFUNCTION("""COMPUTED_VALUE"""),10253.61797)</f>
        <v>10253.61797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IFERROR(__xludf.DUMMYFUNCTION("""COMPUTED_VALUE"""),10241.31472)</f>
        <v>10241.31472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IFERROR(__xludf.DUMMYFUNCTION("""COMPUTED_VALUE"""),10347.75924)</f>
        <v>10347.75924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IFERROR(__xludf.DUMMYFUNCTION("""COMPUTED_VALUE"""),10350.1611)</f>
        <v>10350.1611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IFERROR(__xludf.DUMMYFUNCTION("""COMPUTED_VALUE"""),10341.35892)</f>
        <v>10341.35892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IFERROR(__xludf.DUMMYFUNCTION("""COMPUTED_VALUE"""),10302.8224)</f>
        <v>10302.8224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IFERROR(__xludf.DUMMYFUNCTION("""COMPUTED_VALUE"""),10299.25622)</f>
        <v>10299.25622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IFERROR(__xludf.DUMMYFUNCTION("""COMPUTED_VALUE"""),10332.98714)</f>
        <v>10332.98714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IFERROR(__xludf.DUMMYFUNCTION("""COMPUTED_VALUE"""),10331.5464)</f>
        <v>10331.5464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IFERROR(__xludf.DUMMYFUNCTION("""COMPUTED_VALUE"""),10270.4894)</f>
        <v>10270.4894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IFERROR(__xludf.DUMMYFUNCTION("""COMPUTED_VALUE"""),10267.31468)</f>
        <v>10267.31468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IFERROR(__xludf.DUMMYFUNCTION("""COMPUTED_VALUE"""),10240.36052)</f>
        <v>10240.36052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IFERROR(__xludf.DUMMYFUNCTION("""COMPUTED_VALUE"""),10244.852)</f>
        <v>10244.852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IFERROR(__xludf.DUMMYFUNCTION("""COMPUTED_VALUE"""),10246.768)</f>
        <v>10246.768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IFERROR(__xludf.DUMMYFUNCTION("""COMPUTED_VALUE"""),10261.92858)</f>
        <v>10261.92858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IFERROR(__xludf.DUMMYFUNCTION("""COMPUTED_VALUE"""),10224.82568)</f>
        <v>10224.82568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IFERROR(__xludf.DUMMYFUNCTION("""COMPUTED_VALUE"""),10282.79493)</f>
        <v>10282.79493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IFERROR(__xludf.DUMMYFUNCTION("""COMPUTED_VALUE"""),10278.8784)</f>
        <v>10278.8784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IFERROR(__xludf.DUMMYFUNCTION("""COMPUTED_VALUE"""),10295.5161)</f>
        <v>10295.5161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IFERROR(__xludf.DUMMYFUNCTION("""COMPUTED_VALUE"""),10188.10908)</f>
        <v>10188.10908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IFERROR(__xludf.DUMMYFUNCTION("""COMPUTED_VALUE"""),10194.17)</f>
        <v>10194.17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IFERROR(__xludf.DUMMYFUNCTION("""COMPUTED_VALUE"""),10167.275)</f>
        <v>10167.275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IFERROR(__xludf.DUMMYFUNCTION("""COMPUTED_VALUE"""),10166.884)</f>
        <v>10166.884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IFERROR(__xludf.DUMMYFUNCTION("""COMPUTED_VALUE"""),10165.07694)</f>
        <v>10165.07694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IFERROR(__xludf.DUMMYFUNCTION("""COMPUTED_VALUE"""),10127.26032)</f>
        <v>10127.26032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IFERROR(__xludf.DUMMYFUNCTION("""COMPUTED_VALUE"""),10148.14242)</f>
        <v>10148.14242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IFERROR(__xludf.DUMMYFUNCTION("""COMPUTED_VALUE"""),10109.0194)</f>
        <v>10109.0194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IFERROR(__xludf.DUMMYFUNCTION("""COMPUTED_VALUE"""),10106.4135)</f>
        <v>10106.4135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IFERROR(__xludf.DUMMYFUNCTION("""COMPUTED_VALUE"""),10170.14056)</f>
        <v>10170.14056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IFERROR(__xludf.DUMMYFUNCTION("""COMPUTED_VALUE"""),10109.88342)</f>
        <v>10109.88342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IFERROR(__xludf.DUMMYFUNCTION("""COMPUTED_VALUE"""),10128.90424)</f>
        <v>10128.90424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IFERROR(__xludf.DUMMYFUNCTION("""COMPUTED_VALUE"""),10147.98928)</f>
        <v>10147.98928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IFERROR(__xludf.DUMMYFUNCTION("""COMPUTED_VALUE"""),10181.78505)</f>
        <v>10181.78505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IFERROR(__xludf.DUMMYFUNCTION("""COMPUTED_VALUE"""),10146.26556)</f>
        <v>10146.26556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IFERROR(__xludf.DUMMYFUNCTION("""COMPUTED_VALUE"""),10153.92)</f>
        <v>10153.92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IFERROR(__xludf.DUMMYFUNCTION("""COMPUTED_VALUE"""),10189.93456)</f>
        <v>10189.93456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IFERROR(__xludf.DUMMYFUNCTION("""COMPUTED_VALUE"""),10185.9183)</f>
        <v>10185.9183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IFERROR(__xludf.DUMMYFUNCTION("""COMPUTED_VALUE"""),10215.66843)</f>
        <v>10215.66843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IFERROR(__xludf.DUMMYFUNCTION("""COMPUTED_VALUE"""),10250.02905)</f>
        <v>10250.02905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IFERROR(__xludf.DUMMYFUNCTION("""COMPUTED_VALUE"""),10256.4228)</f>
        <v>10256.4228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IFERROR(__xludf.DUMMYFUNCTION("""COMPUTED_VALUE"""),10319.68372)</f>
        <v>10319.68372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IFERROR(__xludf.DUMMYFUNCTION("""COMPUTED_VALUE"""),10321.3725)</f>
        <v>10321.3725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IFERROR(__xludf.DUMMYFUNCTION("""COMPUTED_VALUE"""),10351.6474)</f>
        <v>10351.6474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IFERROR(__xludf.DUMMYFUNCTION("""COMPUTED_VALUE"""),10324.34557)</f>
        <v>10324.34557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IFERROR(__xludf.DUMMYFUNCTION("""COMPUTED_VALUE"""),10282.87731)</f>
        <v>10282.87731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IFERROR(__xludf.DUMMYFUNCTION("""COMPUTED_VALUE"""),10298.934)</f>
        <v>10298.934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IFERROR(__xludf.DUMMYFUNCTION("""COMPUTED_VALUE"""),10315.09778)</f>
        <v>10315.09778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IFERROR(__xludf.DUMMYFUNCTION("""COMPUTED_VALUE"""),10317.1215)</f>
        <v>10317.1215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IFERROR(__xludf.DUMMYFUNCTION("""COMPUTED_VALUE"""),10306.7699)</f>
        <v>10306.7699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IFERROR(__xludf.DUMMYFUNCTION("""COMPUTED_VALUE"""),10364.42241)</f>
        <v>10364.42241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IFERROR(__xludf.DUMMYFUNCTION("""COMPUTED_VALUE"""),10340.4136)</f>
        <v>10340.4136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IFERROR(__xludf.DUMMYFUNCTION("""COMPUTED_VALUE"""),10328.95704)</f>
        <v>10328.95704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IFERROR(__xludf.DUMMYFUNCTION("""COMPUTED_VALUE"""),10325.93612)</f>
        <v>10325.93612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IFERROR(__xludf.DUMMYFUNCTION("""COMPUTED_VALUE"""),10272.64098)</f>
        <v>10272.64098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IFERROR(__xludf.DUMMYFUNCTION("""COMPUTED_VALUE"""),10263.761)</f>
        <v>10263.761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IFERROR(__xludf.DUMMYFUNCTION("""COMPUTED_VALUE"""),10244.5815)</f>
        <v>10244.5815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IFERROR(__xludf.DUMMYFUNCTION("""COMPUTED_VALUE"""),10265.13535)</f>
        <v>10265.13535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IFERROR(__xludf.DUMMYFUNCTION("""COMPUTED_VALUE"""),10281.49672)</f>
        <v>10281.49672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IFERROR(__xludf.DUMMYFUNCTION("""COMPUTED_VALUE"""),10309.69048)</f>
        <v>10309.69048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IFERROR(__xludf.DUMMYFUNCTION("""COMPUTED_VALUE"""),10359.38202)</f>
        <v>10359.38202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IFERROR(__xludf.DUMMYFUNCTION("""COMPUTED_VALUE"""),10397.64264)</f>
        <v>10397.64264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IFERROR(__xludf.DUMMYFUNCTION("""COMPUTED_VALUE"""),10463.2401)</f>
        <v>10463.2401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IFERROR(__xludf.DUMMYFUNCTION("""COMPUTED_VALUE"""),10464.94408)</f>
        <v>10464.94408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IFERROR(__xludf.DUMMYFUNCTION("""COMPUTED_VALUE"""),10467.95805)</f>
        <v>10467.95805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IFERROR(__xludf.DUMMYFUNCTION("""COMPUTED_VALUE"""),10471.09492)</f>
        <v>10471.09492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IFERROR(__xludf.DUMMYFUNCTION("""COMPUTED_VALUE"""),10530.15307)</f>
        <v>10530.15307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IFERROR(__xludf.DUMMYFUNCTION("""COMPUTED_VALUE"""),10528.72066)</f>
        <v>10528.72066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IFERROR(__xludf.DUMMYFUNCTION("""COMPUTED_VALUE"""),10548.8664)</f>
        <v>10548.8664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IFERROR(__xludf.DUMMYFUNCTION("""COMPUTED_VALUE"""),10506.3621)</f>
        <v>10506.3621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IFERROR(__xludf.DUMMYFUNCTION("""COMPUTED_VALUE"""),10489.315)</f>
        <v>10489.315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IFERROR(__xludf.DUMMYFUNCTION("""COMPUTED_VALUE"""),10575.58087)</f>
        <v>10575.58087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IFERROR(__xludf.DUMMYFUNCTION("""COMPUTED_VALUE"""),10509.3848)</f>
        <v>10509.3848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IFERROR(__xludf.DUMMYFUNCTION("""COMPUTED_VALUE"""),10509.76465)</f>
        <v>10509.76465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IFERROR(__xludf.DUMMYFUNCTION("""COMPUTED_VALUE"""),10541.8292)</f>
        <v>10541.8292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IFERROR(__xludf.DUMMYFUNCTION("""COMPUTED_VALUE"""),10555.86423)</f>
        <v>10555.86423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IFERROR(__xludf.DUMMYFUNCTION("""COMPUTED_VALUE"""),10538.109)</f>
        <v>10538.109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IFERROR(__xludf.DUMMYFUNCTION("""COMPUTED_VALUE"""),10522.91322)</f>
        <v>10522.91322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IFERROR(__xludf.DUMMYFUNCTION("""COMPUTED_VALUE"""),10528.51648)</f>
        <v>10528.51648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IFERROR(__xludf.DUMMYFUNCTION("""COMPUTED_VALUE"""),10485.3408)</f>
        <v>10485.3408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IFERROR(__xludf.DUMMYFUNCTION("""COMPUTED_VALUE"""),10495.9107)</f>
        <v>10495.9107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IFERROR(__xludf.DUMMYFUNCTION("""COMPUTED_VALUE"""),10476.01575)</f>
        <v>10476.01575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IFERROR(__xludf.DUMMYFUNCTION("""COMPUTED_VALUE"""),10369.45036)</f>
        <v>10369.45036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IFERROR(__xludf.DUMMYFUNCTION("""COMPUTED_VALUE"""),10415.1107)</f>
        <v>10415.1107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IFERROR(__xludf.DUMMYFUNCTION("""COMPUTED_VALUE"""),10562.347)</f>
        <v>10562.347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IFERROR(__xludf.DUMMYFUNCTION("""COMPUTED_VALUE"""),10580.23395)</f>
        <v>10580.23395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IFERROR(__xludf.DUMMYFUNCTION("""COMPUTED_VALUE"""),10467.09869)</f>
        <v>10467.09869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IFERROR(__xludf.DUMMYFUNCTION("""COMPUTED_VALUE"""),10433.70664)</f>
        <v>10433.70664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IFERROR(__xludf.DUMMYFUNCTION("""COMPUTED_VALUE"""),10400.74158)</f>
        <v>10400.74158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IFERROR(__xludf.DUMMYFUNCTION("""COMPUTED_VALUE"""),10535.4816)</f>
        <v>10535.4816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IFERROR(__xludf.DUMMYFUNCTION("""COMPUTED_VALUE"""),10512.14976)</f>
        <v>10512.14976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IFERROR(__xludf.DUMMYFUNCTION("""COMPUTED_VALUE"""),10508.06463)</f>
        <v>10508.06463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IFERROR(__xludf.DUMMYFUNCTION("""COMPUTED_VALUE"""),10513.13656)</f>
        <v>10513.13656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IFERROR(__xludf.DUMMYFUNCTION("""COMPUTED_VALUE"""),10415.69256)</f>
        <v>10415.69256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IFERROR(__xludf.DUMMYFUNCTION("""COMPUTED_VALUE"""),10325.90112)</f>
        <v>10325.90112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IFERROR(__xludf.DUMMYFUNCTION("""COMPUTED_VALUE"""),10338.5388)</f>
        <v>10338.5388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IFERROR(__xludf.DUMMYFUNCTION("""COMPUTED_VALUE"""),10308.79652)</f>
        <v>10308.79652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IFERROR(__xludf.DUMMYFUNCTION("""COMPUTED_VALUE"""),10271.04792)</f>
        <v>10271.04792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IFERROR(__xludf.DUMMYFUNCTION("""COMPUTED_VALUE"""),10271.786)</f>
        <v>10271.786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IFERROR(__xludf.DUMMYFUNCTION("""COMPUTED_VALUE"""),10363.6128)</f>
        <v>10363.6128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IFERROR(__xludf.DUMMYFUNCTION("""COMPUTED_VALUE"""),10263.53482)</f>
        <v>10263.53482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IFERROR(__xludf.DUMMYFUNCTION("""COMPUTED_VALUE"""),10326.31656)</f>
        <v>10326.31656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IFERROR(__xludf.DUMMYFUNCTION("""COMPUTED_VALUE"""),10320.50626)</f>
        <v>10320.50626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IFERROR(__xludf.DUMMYFUNCTION("""COMPUTED_VALUE"""),10324.03075)</f>
        <v>10324.03075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IFERROR(__xludf.DUMMYFUNCTION("""COMPUTED_VALUE"""),10381.60736)</f>
        <v>10381.60736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IFERROR(__xludf.DUMMYFUNCTION("""COMPUTED_VALUE"""),10341.32608)</f>
        <v>10341.32608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IFERROR(__xludf.DUMMYFUNCTION("""COMPUTED_VALUE"""),10361.25985)</f>
        <v>10361.25985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IFERROR(__xludf.DUMMYFUNCTION("""COMPUTED_VALUE"""),10415.99412)</f>
        <v>10415.99412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IFERROR(__xludf.DUMMYFUNCTION("""COMPUTED_VALUE"""),10465.425)</f>
        <v>10465.425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IFERROR(__xludf.DUMMYFUNCTION("""COMPUTED_VALUE"""),10602.48672)</f>
        <v>10602.48672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IFERROR(__xludf.DUMMYFUNCTION("""COMPUTED_VALUE"""),10636.89)</f>
        <v>10636.89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IFERROR(__xludf.DUMMYFUNCTION("""COMPUTED_VALUE"""),10672.5435)</f>
        <v>10672.5435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IFERROR(__xludf.DUMMYFUNCTION("""COMPUTED_VALUE"""),10730.99338)</f>
        <v>10730.99338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IFERROR(__xludf.DUMMYFUNCTION("""COMPUTED_VALUE"""),10580.42371)</f>
        <v>10580.42371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IFERROR(__xludf.DUMMYFUNCTION("""COMPUTED_VALUE"""),10607.93427)</f>
        <v>10607.93427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IFERROR(__xludf.DUMMYFUNCTION("""COMPUTED_VALUE"""),10622.3379)</f>
        <v>10622.3379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IFERROR(__xludf.DUMMYFUNCTION("""COMPUTED_VALUE"""),10633.85043)</f>
        <v>10633.85043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IFERROR(__xludf.DUMMYFUNCTION("""COMPUTED_VALUE"""),10524.3408)</f>
        <v>10524.3408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IFERROR(__xludf.DUMMYFUNCTION("""COMPUTED_VALUE"""),10506.52701)</f>
        <v>10506.52701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IFERROR(__xludf.DUMMYFUNCTION("""COMPUTED_VALUE"""),10506.27479)</f>
        <v>10506.27479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IFERROR(__xludf.DUMMYFUNCTION("""COMPUTED_VALUE"""),10476.60925)</f>
        <v>10476.60925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IFERROR(__xludf.DUMMYFUNCTION("""COMPUTED_VALUE"""),10419.06591)</f>
        <v>10419.06591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IFERROR(__xludf.DUMMYFUNCTION("""COMPUTED_VALUE"""),10485.21654)</f>
        <v>10485.21654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IFERROR(__xludf.DUMMYFUNCTION("""COMPUTED_VALUE"""),10480.3176)</f>
        <v>10480.3176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IFERROR(__xludf.DUMMYFUNCTION("""COMPUTED_VALUE"""),10443.54388)</f>
        <v>10443.54388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IFERROR(__xludf.DUMMYFUNCTION("""COMPUTED_VALUE"""),10458.41082)</f>
        <v>10458.41082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IFERROR(__xludf.DUMMYFUNCTION("""COMPUTED_VALUE"""),10466.754)</f>
        <v>10466.754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IFERROR(__xludf.DUMMYFUNCTION("""COMPUTED_VALUE"""),10506.3045)</f>
        <v>10506.3045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IFERROR(__xludf.DUMMYFUNCTION("""COMPUTED_VALUE"""),10458.71024)</f>
        <v>10458.71024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IFERROR(__xludf.DUMMYFUNCTION("""COMPUTED_VALUE"""),10486.62411)</f>
        <v>10486.62411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IFERROR(__xludf.DUMMYFUNCTION("""COMPUTED_VALUE"""),10404.7668)</f>
        <v>10404.7668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IFERROR(__xludf.DUMMYFUNCTION("""COMPUTED_VALUE"""),10392.3479)</f>
        <v>10392.3479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IFERROR(__xludf.DUMMYFUNCTION("""COMPUTED_VALUE"""),10407.93535)</f>
        <v>10407.93535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IFERROR(__xludf.DUMMYFUNCTION("""COMPUTED_VALUE"""),10417.0788)</f>
        <v>10417.0788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IFERROR(__xludf.DUMMYFUNCTION("""COMPUTED_VALUE"""),10467.38035)</f>
        <v>10467.38035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IFERROR(__xludf.DUMMYFUNCTION("""COMPUTED_VALUE"""),10378.90664)</f>
        <v>10378.90664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IFERROR(__xludf.DUMMYFUNCTION("""COMPUTED_VALUE"""),10386.9662)</f>
        <v>10386.9662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IFERROR(__xludf.DUMMYFUNCTION("""COMPUTED_VALUE"""),10397.04918)</f>
        <v>10397.04918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IFERROR(__xludf.DUMMYFUNCTION("""COMPUTED_VALUE"""),10281.19136)</f>
        <v>10281.19136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IFERROR(__xludf.DUMMYFUNCTION("""COMPUTED_VALUE"""),10223.66769)</f>
        <v>10223.66769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IFERROR(__xludf.DUMMYFUNCTION("""COMPUTED_VALUE"""),10230.2494)</f>
        <v>10230.2494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IFERROR(__xludf.DUMMYFUNCTION("""COMPUTED_VALUE"""),10203.61567)</f>
        <v>10203.61567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IFERROR(__xludf.DUMMYFUNCTION("""COMPUTED_VALUE"""),10291.0535)</f>
        <v>10291.0535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IFERROR(__xludf.DUMMYFUNCTION("""COMPUTED_VALUE"""),10265.85474)</f>
        <v>10265.85474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IFERROR(__xludf.DUMMYFUNCTION("""COMPUTED_VALUE"""),10181.34108)</f>
        <v>10181.34108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IFERROR(__xludf.DUMMYFUNCTION("""COMPUTED_VALUE"""),10254.36429)</f>
        <v>10254.36429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IFERROR(__xludf.DUMMYFUNCTION("""COMPUTED_VALUE"""),10140.20063)</f>
        <v>10140.20063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IFERROR(__xludf.DUMMYFUNCTION("""COMPUTED_VALUE"""),10139.36007)</f>
        <v>10139.36007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IFERROR(__xludf.DUMMYFUNCTION("""COMPUTED_VALUE"""),10092.11125)</f>
        <v>10092.11125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IFERROR(__xludf.DUMMYFUNCTION("""COMPUTED_VALUE"""),10192.63812)</f>
        <v>10192.63812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IFERROR(__xludf.DUMMYFUNCTION("""COMPUTED_VALUE"""),10203.6072)</f>
        <v>10203.6072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IFERROR(__xludf.DUMMYFUNCTION("""COMPUTED_VALUE"""),10141.02528)</f>
        <v>10141.02528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IFERROR(__xludf.DUMMYFUNCTION("""COMPUTED_VALUE"""),10213.17572)</f>
        <v>10213.17572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IFERROR(__xludf.DUMMYFUNCTION("""COMPUTED_VALUE"""),10311.26082)</f>
        <v>10311.26082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IFERROR(__xludf.DUMMYFUNCTION("""COMPUTED_VALUE"""),10306.66216)</f>
        <v>10306.66216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IFERROR(__xludf.DUMMYFUNCTION("""COMPUTED_VALUE"""),10303.7971)</f>
        <v>10303.7971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IFERROR(__xludf.DUMMYFUNCTION("""COMPUTED_VALUE"""),10220.3192)</f>
        <v>10220.3192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IFERROR(__xludf.DUMMYFUNCTION("""COMPUTED_VALUE"""),10213.31196)</f>
        <v>10213.31196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IFERROR(__xludf.DUMMYFUNCTION("""COMPUTED_VALUE"""),10261.39968)</f>
        <v>10261.39968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IFERROR(__xludf.DUMMYFUNCTION("""COMPUTED_VALUE"""),10250.46048)</f>
        <v>10250.46048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IFERROR(__xludf.DUMMYFUNCTION("""COMPUTED_VALUE"""),10323.61408)</f>
        <v>10323.61408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IFERROR(__xludf.DUMMYFUNCTION("""COMPUTED_VALUE"""),10329.2622)</f>
        <v>10329.2622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IFERROR(__xludf.DUMMYFUNCTION("""COMPUTED_VALUE"""),10243.98796)</f>
        <v>10243.98796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IFERROR(__xludf.DUMMYFUNCTION("""COMPUTED_VALUE"""),10232.952)</f>
        <v>10232.952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IFERROR(__xludf.DUMMYFUNCTION("""COMPUTED_VALUE"""),10231.6026)</f>
        <v>10231.6026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IFERROR(__xludf.DUMMYFUNCTION("""COMPUTED_VALUE"""),10162.08936)</f>
        <v>10162.08936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IFERROR(__xludf.DUMMYFUNCTION("""COMPUTED_VALUE"""),10205.00238)</f>
        <v>10205.00238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IFERROR(__xludf.DUMMYFUNCTION("""COMPUTED_VALUE"""),10197.1673)</f>
        <v>10197.1673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IFERROR(__xludf.DUMMYFUNCTION("""COMPUTED_VALUE"""),10207.6983)</f>
        <v>10207.6983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IFERROR(__xludf.DUMMYFUNCTION("""COMPUTED_VALUE"""),10115.18113)</f>
        <v>10115.18113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IFERROR(__xludf.DUMMYFUNCTION("""COMPUTED_VALUE"""),10258.0685)</f>
        <v>10258.0685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IFERROR(__xludf.DUMMYFUNCTION("""COMPUTED_VALUE"""),10235.67155)</f>
        <v>10235.67155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IFERROR(__xludf.DUMMYFUNCTION("""COMPUTED_VALUE"""),10278.41129)</f>
        <v>10278.41129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IFERROR(__xludf.DUMMYFUNCTION("""COMPUTED_VALUE"""),10336.68825)</f>
        <v>10336.68825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IFERROR(__xludf.DUMMYFUNCTION("""COMPUTED_VALUE"""),10394.50284)</f>
        <v>10394.50284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IFERROR(__xludf.DUMMYFUNCTION("""COMPUTED_VALUE"""),10462.8536)</f>
        <v>10462.8536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IFERROR(__xludf.DUMMYFUNCTION("""COMPUTED_VALUE"""),10425.81911)</f>
        <v>10425.81911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IFERROR(__xludf.DUMMYFUNCTION("""COMPUTED_VALUE"""),10393.48907)</f>
        <v>10393.48907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IFERROR(__xludf.DUMMYFUNCTION("""COMPUTED_VALUE"""),10390.25715)</f>
        <v>10390.25715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IFERROR(__xludf.DUMMYFUNCTION("""COMPUTED_VALUE"""),10357.3424)</f>
        <v>10357.3424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IFERROR(__xludf.DUMMYFUNCTION("""COMPUTED_VALUE"""),10395.68005)</f>
        <v>10395.68005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IFERROR(__xludf.DUMMYFUNCTION("""COMPUTED_VALUE"""),10434.619)</f>
        <v>10434.619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IFERROR(__xludf.DUMMYFUNCTION("""COMPUTED_VALUE"""),10441.7264)</f>
        <v>10441.7264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IFERROR(__xludf.DUMMYFUNCTION("""COMPUTED_VALUE"""),10435.90795)</f>
        <v>10435.90795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IFERROR(__xludf.DUMMYFUNCTION("""COMPUTED_VALUE"""),10408.04172)</f>
        <v>10408.04172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IFERROR(__xludf.DUMMYFUNCTION("""COMPUTED_VALUE"""),10505.25423)</f>
        <v>10505.25423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IFERROR(__xludf.DUMMYFUNCTION("""COMPUTED_VALUE"""),10377.05676)</f>
        <v>10377.05676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IFERROR(__xludf.DUMMYFUNCTION("""COMPUTED_VALUE"""),10389.96072)</f>
        <v>10389.96072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IFERROR(__xludf.DUMMYFUNCTION("""COMPUTED_VALUE"""),10370.47396)</f>
        <v>10370.47396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IFERROR(__xludf.DUMMYFUNCTION("""COMPUTED_VALUE"""),10433.72245)</f>
        <v>10433.72245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IFERROR(__xludf.DUMMYFUNCTION("""COMPUTED_VALUE"""),10385.536)</f>
        <v>10385.536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IFERROR(__xludf.DUMMYFUNCTION("""COMPUTED_VALUE"""),10368.73395)</f>
        <v>10368.73395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IFERROR(__xludf.DUMMYFUNCTION("""COMPUTED_VALUE"""),10254.08419)</f>
        <v>10254.08419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IFERROR(__xludf.DUMMYFUNCTION("""COMPUTED_VALUE"""),10228.46616)</f>
        <v>10228.46616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IFERROR(__xludf.DUMMYFUNCTION("""COMPUTED_VALUE"""),10248.79569)</f>
        <v>10248.79569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IFERROR(__xludf.DUMMYFUNCTION("""COMPUTED_VALUE"""),10282.608)</f>
        <v>10282.608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IFERROR(__xludf.DUMMYFUNCTION("""COMPUTED_VALUE"""),10278.5781)</f>
        <v>10278.5781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IFERROR(__xludf.DUMMYFUNCTION("""COMPUTED_VALUE"""),10208.4219)</f>
        <v>10208.4219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IFERROR(__xludf.DUMMYFUNCTION("""COMPUTED_VALUE"""),10343.63122)</f>
        <v>10343.63122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IFERROR(__xludf.DUMMYFUNCTION("""COMPUTED_VALUE"""),10426.75884)</f>
        <v>10426.75884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IFERROR(__xludf.DUMMYFUNCTION("""COMPUTED_VALUE"""),10454.65545)</f>
        <v>10454.65545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IFERROR(__xludf.DUMMYFUNCTION("""COMPUTED_VALUE"""),10383.23236)</f>
        <v>10383.23236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IFERROR(__xludf.DUMMYFUNCTION("""COMPUTED_VALUE"""),10366.02644)</f>
        <v>10366.02644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IFERROR(__xludf.DUMMYFUNCTION("""COMPUTED_VALUE"""),10374.164)</f>
        <v>10374.164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IFERROR(__xludf.DUMMYFUNCTION("""COMPUTED_VALUE"""),10272.82531)</f>
        <v>10272.82531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IFERROR(__xludf.DUMMYFUNCTION("""COMPUTED_VALUE"""),10339.26915)</f>
        <v>10339.26915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IFERROR(__xludf.DUMMYFUNCTION("""COMPUTED_VALUE"""),10317.25143)</f>
        <v>10317.25143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IFERROR(__xludf.DUMMYFUNCTION("""COMPUTED_VALUE"""),10377.5565)</f>
        <v>10377.5565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IFERROR(__xludf.DUMMYFUNCTION("""COMPUTED_VALUE"""),10225.71869)</f>
        <v>10225.71869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IFERROR(__xludf.DUMMYFUNCTION("""COMPUTED_VALUE"""),10140.0796)</f>
        <v>10140.0796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IFERROR(__xludf.DUMMYFUNCTION("""COMPUTED_VALUE"""),10142.9923)</f>
        <v>10142.9923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IFERROR(__xludf.DUMMYFUNCTION("""COMPUTED_VALUE"""),10175.60917)</f>
        <v>10175.60917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IFERROR(__xludf.DUMMYFUNCTION("""COMPUTED_VALUE"""),10141.81248)</f>
        <v>10141.81248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IFERROR(__xludf.DUMMYFUNCTION("""COMPUTED_VALUE"""),10051.24904)</f>
        <v>10051.24904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IFERROR(__xludf.DUMMYFUNCTION("""COMPUTED_VALUE"""),10061.25246)</f>
        <v>10061.25246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IFERROR(__xludf.DUMMYFUNCTION("""COMPUTED_VALUE"""),10079.80859)</f>
        <v>10079.80859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IFERROR(__xludf.DUMMYFUNCTION("""COMPUTED_VALUE"""),10005.4142)</f>
        <v>10005.4142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IFERROR(__xludf.DUMMYFUNCTION("""COMPUTED_VALUE"""),10007.3604)</f>
        <v>10007.3604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IFERROR(__xludf.DUMMYFUNCTION("""COMPUTED_VALUE"""),10018.0645)</f>
        <v>10018.0645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IFERROR(__xludf.DUMMYFUNCTION("""COMPUTED_VALUE"""),10071.56432)</f>
        <v>10071.56432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IFERROR(__xludf.DUMMYFUNCTION("""COMPUTED_VALUE"""),10038.77733)</f>
        <v>10038.77733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IFERROR(__xludf.DUMMYFUNCTION("""COMPUTED_VALUE"""),9936.86778)</f>
        <v>9936.86778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IFERROR(__xludf.DUMMYFUNCTION("""COMPUTED_VALUE"""),10050.46616)</f>
        <v>10050.46616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IFERROR(__xludf.DUMMYFUNCTION("""COMPUTED_VALUE"""),10135.9704)</f>
        <v>10135.9704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IFERROR(__xludf.DUMMYFUNCTION("""COMPUTED_VALUE"""),10134.7344)</f>
        <v>10134.7344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IFERROR(__xludf.DUMMYFUNCTION("""COMPUTED_VALUE"""),10193.13666)</f>
        <v>10193.13666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IFERROR(__xludf.DUMMYFUNCTION("""COMPUTED_VALUE"""),10133.55874)</f>
        <v>10133.55874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IFERROR(__xludf.DUMMYFUNCTION("""COMPUTED_VALUE"""),9998.90276)</f>
        <v>9998.90276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IFERROR(__xludf.DUMMYFUNCTION("""COMPUTED_VALUE"""),10151.98464)</f>
        <v>10151.98464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IFERROR(__xludf.DUMMYFUNCTION("""COMPUTED_VALUE"""),10254.36107)</f>
        <v>10254.36107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IFERROR(__xludf.DUMMYFUNCTION("""COMPUTED_VALUE"""),10213.558)</f>
        <v>10213.558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IFERROR(__xludf.DUMMYFUNCTION("""COMPUTED_VALUE"""),10269.15446)</f>
        <v>10269.15446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IFERROR(__xludf.DUMMYFUNCTION("""COMPUTED_VALUE"""),10034.43655)</f>
        <v>10034.43655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IFERROR(__xludf.DUMMYFUNCTION("""COMPUTED_VALUE"""),10317.80148)</f>
        <v>10317.80148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IFERROR(__xludf.DUMMYFUNCTION("""COMPUTED_VALUE"""),10307.11143)</f>
        <v>10307.11143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IFERROR(__xludf.DUMMYFUNCTION("""COMPUTED_VALUE"""),10363.40346)</f>
        <v>10363.40346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IFERROR(__xludf.DUMMYFUNCTION("""COMPUTED_VALUE"""),10502.05084)</f>
        <v>10502.05084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IFERROR(__xludf.DUMMYFUNCTION("""COMPUTED_VALUE"""),10444.062)</f>
        <v>10444.062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IFERROR(__xludf.DUMMYFUNCTION("""COMPUTED_VALUE"""),10492.43588)</f>
        <v>10492.43588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IFERROR(__xludf.DUMMYFUNCTION("""COMPUTED_VALUE"""),10436.238)</f>
        <v>10436.238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IFERROR(__xludf.DUMMYFUNCTION("""COMPUTED_VALUE"""),10475.94294)</f>
        <v>10475.94294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IFERROR(__xludf.DUMMYFUNCTION("""COMPUTED_VALUE"""),10594.80022)</f>
        <v>10594.80022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IFERROR(__xludf.DUMMYFUNCTION("""COMPUTED_VALUE"""),10676.7918)</f>
        <v>10676.7918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IFERROR(__xludf.DUMMYFUNCTION("""COMPUTED_VALUE"""),10681.29255)</f>
        <v>10681.29255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IFERROR(__xludf.DUMMYFUNCTION("""COMPUTED_VALUE"""),10683.1104)</f>
        <v>10683.1104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IFERROR(__xludf.DUMMYFUNCTION("""COMPUTED_VALUE"""),10580.91861)</f>
        <v>10580.91861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IFERROR(__xludf.DUMMYFUNCTION("""COMPUTED_VALUE"""),10425.66327)</f>
        <v>10425.66327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IFERROR(__xludf.DUMMYFUNCTION("""COMPUTED_VALUE"""),10686.37638)</f>
        <v>10686.37638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IFERROR(__xludf.DUMMYFUNCTION("""COMPUTED_VALUE"""),10730.59008)</f>
        <v>10730.59008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IFERROR(__xludf.DUMMYFUNCTION("""COMPUTED_VALUE"""),10634.05926)</f>
        <v>10634.05926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IFERROR(__xludf.DUMMYFUNCTION("""COMPUTED_VALUE"""),10674.3459)</f>
        <v>10674.3459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IFERROR(__xludf.DUMMYFUNCTION("""COMPUTED_VALUE"""),10611.424)</f>
        <v>10611.424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IFERROR(__xludf.DUMMYFUNCTION("""COMPUTED_VALUE"""),10567.85212)</f>
        <v>10567.85212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IFERROR(__xludf.DUMMYFUNCTION("""COMPUTED_VALUE"""),10269.94158)</f>
        <v>10269.94158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IFERROR(__xludf.DUMMYFUNCTION("""COMPUTED_VALUE"""),10615.71978)</f>
        <v>10615.71978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IFERROR(__xludf.DUMMYFUNCTION("""COMPUTED_VALUE"""),10535.9692)</f>
        <v>10535.9692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IFERROR(__xludf.DUMMYFUNCTION("""COMPUTED_VALUE"""),10500.43338)</f>
        <v>10500.43338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IFERROR(__xludf.DUMMYFUNCTION("""COMPUTED_VALUE"""),10470.24788)</f>
        <v>10470.24788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IFERROR(__xludf.DUMMYFUNCTION("""COMPUTED_VALUE"""),10473.21)</f>
        <v>10473.21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IFERROR(__xludf.DUMMYFUNCTION("""COMPUTED_VALUE"""),10475.19)</f>
        <v>10475.19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IFERROR(__xludf.DUMMYFUNCTION("""COMPUTED_VALUE"""),10168.04961)</f>
        <v>10168.04961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IFERROR(__xludf.DUMMYFUNCTION("""COMPUTED_VALUE"""),10469.32614)</f>
        <v>10469.32614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IFERROR(__xludf.DUMMYFUNCTION("""COMPUTED_VALUE"""),10414.83608)</f>
        <v>10414.83608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IFERROR(__xludf.DUMMYFUNCTION("""COMPUTED_VALUE"""),10466.69027)</f>
        <v>10466.69027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IFERROR(__xludf.DUMMYFUNCTION("""COMPUTED_VALUE"""),10360.9594)</f>
        <v>10360.9594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IFERROR(__xludf.DUMMYFUNCTION("""COMPUTED_VALUE"""),10293.8922)</f>
        <v>10293.8922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IFERROR(__xludf.DUMMYFUNCTION("""COMPUTED_VALUE"""),10284.966)</f>
        <v>10284.966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IFERROR(__xludf.DUMMYFUNCTION("""COMPUTED_VALUE"""),10272.0726)</f>
        <v>10272.0726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IFERROR(__xludf.DUMMYFUNCTION("""COMPUTED_VALUE"""),10300.04768)</f>
        <v>10300.04768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IFERROR(__xludf.DUMMYFUNCTION("""COMPUTED_VALUE"""),10200.84912)</f>
        <v>10200.84912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IFERROR(__xludf.DUMMYFUNCTION("""COMPUTED_VALUE"""),10503.4251)</f>
        <v>10503.4251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IFERROR(__xludf.DUMMYFUNCTION("""COMPUTED_VALUE"""),10491.94248)</f>
        <v>10491.94248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IFERROR(__xludf.DUMMYFUNCTION("""COMPUTED_VALUE"""),10535.1792)</f>
        <v>10535.1792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IFERROR(__xludf.DUMMYFUNCTION("""COMPUTED_VALUE"""),10489.58544)</f>
        <v>10489.58544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IFERROR(__xludf.DUMMYFUNCTION("""COMPUTED_VALUE"""),10149.78595)</f>
        <v>10149.78595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IFERROR(__xludf.DUMMYFUNCTION("""COMPUTED_VALUE"""),10530.31496)</f>
        <v>10530.31496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IFERROR(__xludf.DUMMYFUNCTION("""COMPUTED_VALUE"""),10641.4438)</f>
        <v>10641.4438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IFERROR(__xludf.DUMMYFUNCTION("""COMPUTED_VALUE"""),10638.054)</f>
        <v>10638.054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IFERROR(__xludf.DUMMYFUNCTION("""COMPUTED_VALUE"""),10618.872)</f>
        <v>10618.872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IFERROR(__xludf.DUMMYFUNCTION("""COMPUTED_VALUE"""),10710.0)</f>
        <v>10710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IFERROR(__xludf.DUMMYFUNCTION("""COMPUTED_VALUE"""),10671.2595)</f>
        <v>10671.2595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IFERROR(__xludf.DUMMYFUNCTION("""COMPUTED_VALUE"""),10684.3284)</f>
        <v>10684.3284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IFERROR(__xludf.DUMMYFUNCTION("""COMPUTED_VALUE"""),10718.5123)</f>
        <v>10718.5123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IFERROR(__xludf.DUMMYFUNCTION("""COMPUTED_VALUE"""),10877.9368)</f>
        <v>10877.9368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IFERROR(__xludf.DUMMYFUNCTION("""COMPUTED_VALUE"""),10909.3153)</f>
        <v>10909.3153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IFERROR(__xludf.DUMMYFUNCTION("""COMPUTED_VALUE"""),11013.0684)</f>
        <v>11013.0684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IFERROR(__xludf.DUMMYFUNCTION("""COMPUTED_VALUE"""),11019.9177)</f>
        <v>11019.9177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IFERROR(__xludf.DUMMYFUNCTION("""COMPUTED_VALUE"""),11029.504)</f>
        <v>11029.504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IFERROR(__xludf.DUMMYFUNCTION("""COMPUTED_VALUE"""),11064.8475)</f>
        <v>11064.8475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IFERROR(__xludf.DUMMYFUNCTION("""COMPUTED_VALUE"""),10997.9584)</f>
        <v>10997.9584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IFERROR(__xludf.DUMMYFUNCTION("""COMPUTED_VALUE"""),11013.3244)</f>
        <v>11013.3244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IFERROR(__xludf.DUMMYFUNCTION("""COMPUTED_VALUE"""),11058.725)</f>
        <v>11058.725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IFERROR(__xludf.DUMMYFUNCTION("""COMPUTED_VALUE"""),10945.0352)</f>
        <v>10945.0352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IFERROR(__xludf.DUMMYFUNCTION("""COMPUTED_VALUE"""),11047.439)</f>
        <v>11047.439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IFERROR(__xludf.DUMMYFUNCTION("""COMPUTED_VALUE"""),11034.63)</f>
        <v>11034.63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IFERROR(__xludf.DUMMYFUNCTION("""COMPUTED_VALUE"""),11009.4727)</f>
        <v>11009.4727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IFERROR(__xludf.DUMMYFUNCTION("""COMPUTED_VALUE"""),11055.968)</f>
        <v>11055.968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IFERROR(__xludf.DUMMYFUNCTION("""COMPUTED_VALUE"""),11078.5857)</f>
        <v>11078.5857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IFERROR(__xludf.DUMMYFUNCTION("""COMPUTED_VALUE"""),11133.0074)</f>
        <v>11133.0074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IFERROR(__xludf.DUMMYFUNCTION("""COMPUTED_VALUE"""),11146.2819)</f>
        <v>11146.2819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IFERROR(__xludf.DUMMYFUNCTION("""COMPUTED_VALUE"""),11120.814)</f>
        <v>11120.814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IFERROR(__xludf.DUMMYFUNCTION("""COMPUTED_VALUE"""),11133.707)</f>
        <v>11133.707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IFERROR(__xludf.DUMMYFUNCTION("""COMPUTED_VALUE"""),11128.5153)</f>
        <v>11128.5153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IFERROR(__xludf.DUMMYFUNCTION("""COMPUTED_VALUE"""),11075.7766)</f>
        <v>11075.7766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IFERROR(__xludf.DUMMYFUNCTION("""COMPUTED_VALUE"""),11042.7968)</f>
        <v>11042.7968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IFERROR(__xludf.DUMMYFUNCTION("""COMPUTED_VALUE"""),11017.8702)</f>
        <v>11017.8702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IFERROR(__xludf.DUMMYFUNCTION("""COMPUTED_VALUE"""),11142.6462)</f>
        <v>11142.6462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IFERROR(__xludf.DUMMYFUNCTION("""COMPUTED_VALUE"""),11177.404)</f>
        <v>11177.404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IFERROR(__xludf.DUMMYFUNCTION("""COMPUTED_VALUE"""),11176.1952)</f>
        <v>11176.1952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IFERROR(__xludf.DUMMYFUNCTION("""COMPUTED_VALUE"""),11178.7776)</f>
        <v>11178.7776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IFERROR(__xludf.DUMMYFUNCTION("""COMPUTED_VALUE"""),11311.4793)</f>
        <v>11311.4793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IFERROR(__xludf.DUMMYFUNCTION("""COMPUTED_VALUE"""),11616.13)</f>
        <v>11616.13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IFERROR(__xludf.DUMMYFUNCTION("""COMPUTED_VALUE"""),11639.0092)</f>
        <v>11639.0092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IFERROR(__xludf.DUMMYFUNCTION("""COMPUTED_VALUE"""),11950.9656)</f>
        <v>11950.9656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IFERROR(__xludf.DUMMYFUNCTION("""COMPUTED_VALUE"""),11665.9)</f>
        <v>11665.9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IFERROR(__xludf.DUMMYFUNCTION("""COMPUTED_VALUE"""),11666.975)</f>
        <v>11666.975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IFERROR(__xludf.DUMMYFUNCTION("""COMPUTED_VALUE"""),11941.5255)</f>
        <v>11941.5255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IFERROR(__xludf.DUMMYFUNCTION("""COMPUTED_VALUE"""),12036.736)</f>
        <v>12036.736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IFERROR(__xludf.DUMMYFUNCTION("""COMPUTED_VALUE"""),11876.6403)</f>
        <v>11876.6403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IFERROR(__xludf.DUMMYFUNCTION("""COMPUTED_VALUE"""),11837.3031)</f>
        <v>11837.3031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IFERROR(__xludf.DUMMYFUNCTION("""COMPUTED_VALUE"""),11709.7552)</f>
        <v>11709.7552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IFERROR(__xludf.DUMMYFUNCTION("""COMPUTED_VALUE"""),11704.6137)</f>
        <v>11704.6137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IFERROR(__xludf.DUMMYFUNCTION("""COMPUTED_VALUE"""),11715.3935)</f>
        <v>11715.3935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IFERROR(__xludf.DUMMYFUNCTION("""COMPUTED_VALUE"""),11683.798)</f>
        <v>11683.798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IFERROR(__xludf.DUMMYFUNCTION("""COMPUTED_VALUE"""),11711.0756)</f>
        <v>11711.0756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IFERROR(__xludf.DUMMYFUNCTION("""COMPUTED_VALUE"""),11780.8938)</f>
        <v>11780.8938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IFERROR(__xludf.DUMMYFUNCTION("""COMPUTED_VALUE"""),11858.2542)</f>
        <v>11858.2542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IFERROR(__xludf.DUMMYFUNCTION("""COMPUTED_VALUE"""),11739.5163)</f>
        <v>11739.5163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IFERROR(__xludf.DUMMYFUNCTION("""COMPUTED_VALUE"""),11886.0461)</f>
        <v>11886.0461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IFERROR(__xludf.DUMMYFUNCTION("""COMPUTED_VALUE"""),11890.36)</f>
        <v>11890.36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IFERROR(__xludf.DUMMYFUNCTION("""COMPUTED_VALUE"""),11872.52)</f>
        <v>11872.52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IFERROR(__xludf.DUMMYFUNCTION("""COMPUTED_VALUE"""),11933.504)</f>
        <v>11933.504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IFERROR(__xludf.DUMMYFUNCTION("""COMPUTED_VALUE"""),11986.853)</f>
        <v>11986.853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IFERROR(__xludf.DUMMYFUNCTION("""COMPUTED_VALUE"""),12154.5156)</f>
        <v>12154.5156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IFERROR(__xludf.DUMMYFUNCTION("""COMPUTED_VALUE"""),12163.2246)</f>
        <v>12163.2246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IFERROR(__xludf.DUMMYFUNCTION("""COMPUTED_VALUE"""),12239.1274)</f>
        <v>12239.1274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IFERROR(__xludf.DUMMYFUNCTION("""COMPUTED_VALUE"""),12207.2606)</f>
        <v>12207.2606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IFERROR(__xludf.DUMMYFUNCTION("""COMPUTED_VALUE"""),12314.242)</f>
        <v>12314.242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IFERROR(__xludf.DUMMYFUNCTION("""COMPUTED_VALUE"""),12237.6267)</f>
        <v>12237.6267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IFERROR(__xludf.DUMMYFUNCTION("""COMPUTED_VALUE"""),12329.2183)</f>
        <v>12329.2183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IFERROR(__xludf.DUMMYFUNCTION("""COMPUTED_VALUE"""),12535.56)</f>
        <v>12535.56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IFERROR(__xludf.DUMMYFUNCTION("""COMPUTED_VALUE"""),12356.8645)</f>
        <v>12356.8645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IFERROR(__xludf.DUMMYFUNCTION("""COMPUTED_VALUE"""),12433.8204)</f>
        <v>12433.8204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IFERROR(__xludf.DUMMYFUNCTION("""COMPUTED_VALUE"""),12435.9825)</f>
        <v>12435.9825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IFERROR(__xludf.DUMMYFUNCTION("""COMPUTED_VALUE"""),12465.705)</f>
        <v>12465.705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IFERROR(__xludf.DUMMYFUNCTION("""COMPUTED_VALUE"""),12531.2992)</f>
        <v>12531.2992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IFERROR(__xludf.DUMMYFUNCTION("""COMPUTED_VALUE"""),12531.1305)</f>
        <v>12531.1305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IFERROR(__xludf.DUMMYFUNCTION("""COMPUTED_VALUE"""),12592.342)</f>
        <v>12592.342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IFERROR(__xludf.DUMMYFUNCTION("""COMPUTED_VALUE"""),12553.569)</f>
        <v>12553.569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IFERROR(__xludf.DUMMYFUNCTION("""COMPUTED_VALUE"""),12703.6342)</f>
        <v>12703.6342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IFERROR(__xludf.DUMMYFUNCTION("""COMPUTED_VALUE"""),12760.68962)</f>
        <v>12760.68962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IFERROR(__xludf.DUMMYFUNCTION("""COMPUTED_VALUE"""),12703.6342)</f>
        <v>12703.6342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IFERROR(__xludf.DUMMYFUNCTION("""COMPUTED_VALUE"""),12763.8048)</f>
        <v>12763.8048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IFERROR(__xludf.DUMMYFUNCTION("""COMPUTED_VALUE"""),12666.0172)</f>
        <v>12666.0172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IFERROR(__xludf.DUMMYFUNCTION("""COMPUTED_VALUE"""),12740.7654)</f>
        <v>12740.7654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IFERROR(__xludf.DUMMYFUNCTION("""COMPUTED_VALUE"""),12795.9372)</f>
        <v>12795.9372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IFERROR(__xludf.DUMMYFUNCTION("""COMPUTED_VALUE"""),12667.6784)</f>
        <v>12667.6784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IFERROR(__xludf.DUMMYFUNCTION("""COMPUTED_VALUE"""),12686.8932)</f>
        <v>12686.8932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IFERROR(__xludf.DUMMYFUNCTION("""COMPUTED_VALUE"""),12689.556)</f>
        <v>12689.556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IFERROR(__xludf.DUMMYFUNCTION("""COMPUTED_VALUE"""),12728.3287)</f>
        <v>12728.3287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IFERROR(__xludf.DUMMYFUNCTION("""COMPUTED_VALUE"""),12716.0672)</f>
        <v>12716.0672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IFERROR(__xludf.DUMMYFUNCTION("""COMPUTED_VALUE"""),12638.2425)</f>
        <v>12638.2425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IFERROR(__xludf.DUMMYFUNCTION("""COMPUTED_VALUE"""),12585.2277)</f>
        <v>12585.2277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IFERROR(__xludf.DUMMYFUNCTION("""COMPUTED_VALUE"""),12435.444)</f>
        <v>12435.444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IFERROR(__xludf.DUMMYFUNCTION("""COMPUTED_VALUE"""),12447.918)</f>
        <v>12447.918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IFERROR(__xludf.DUMMYFUNCTION("""COMPUTED_VALUE"""),12461.526)</f>
        <v>12461.526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IFERROR(__xludf.DUMMYFUNCTION("""COMPUTED_VALUE"""),12440.20347)</f>
        <v>12440.20347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IFERROR(__xludf.DUMMYFUNCTION("""COMPUTED_VALUE"""),12426.4857)</f>
        <v>12426.4857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IFERROR(__xludf.DUMMYFUNCTION("""COMPUTED_VALUE"""),12400.4504)</f>
        <v>12400.4504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IFERROR(__xludf.DUMMYFUNCTION("""COMPUTED_VALUE"""),12515.8348)</f>
        <v>12515.8348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IFERROR(__xludf.DUMMYFUNCTION("""COMPUTED_VALUE"""),12524.9628)</f>
        <v>12524.9628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IFERROR(__xludf.DUMMYFUNCTION("""COMPUTED_VALUE"""),12521.5734)</f>
        <v>12521.5734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IFERROR(__xludf.DUMMYFUNCTION("""COMPUTED_VALUE"""),12522.7032)</f>
        <v>12522.7032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IFERROR(__xludf.DUMMYFUNCTION("""COMPUTED_VALUE"""),12532.6564)</f>
        <v>12532.6564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IFERROR(__xludf.DUMMYFUNCTION("""COMPUTED_VALUE"""),12585.2672)</f>
        <v>12585.2672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IFERROR(__xludf.DUMMYFUNCTION("""COMPUTED_VALUE"""),12598.902)</f>
        <v>12598.902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IFERROR(__xludf.DUMMYFUNCTION("""COMPUTED_VALUE"""),12466.6984)</f>
        <v>12466.6984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IFERROR(__xludf.DUMMYFUNCTION("""COMPUTED_VALUE"""),12307.701)</f>
        <v>12307.701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IFERROR(__xludf.DUMMYFUNCTION("""COMPUTED_VALUE"""),12309.899)</f>
        <v>12309.899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IFERROR(__xludf.DUMMYFUNCTION("""COMPUTED_VALUE"""),12307.701)</f>
        <v>12307.701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IFERROR(__xludf.DUMMYFUNCTION("""COMPUTED_VALUE"""),12307.2075)</f>
        <v>12307.2075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IFERROR(__xludf.DUMMYFUNCTION("""COMPUTED_VALUE"""),12312.0775)</f>
        <v>12312.0775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IFERROR(__xludf.DUMMYFUNCTION("""COMPUTED_VALUE"""),12377.6288)</f>
        <v>12377.6288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IFERROR(__xludf.DUMMYFUNCTION("""COMPUTED_VALUE"""),12395.3635)</f>
        <v>12395.3635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IFERROR(__xludf.DUMMYFUNCTION("""COMPUTED_VALUE"""),12381.1292)</f>
        <v>12381.1292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IFERROR(__xludf.DUMMYFUNCTION("""COMPUTED_VALUE"""),12381.1292)</f>
        <v>12381.1292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IFERROR(__xludf.DUMMYFUNCTION("""COMPUTED_VALUE"""),12451.12939)</f>
        <v>12451.12939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IFERROR(__xludf.DUMMYFUNCTION("""COMPUTED_VALUE"""),12447.2403)</f>
        <v>12447.2403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IFERROR(__xludf.DUMMYFUNCTION("""COMPUTED_VALUE"""),12399.552)</f>
        <v>12399.552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IFERROR(__xludf.DUMMYFUNCTION("""COMPUTED_VALUE"""),12478.17)</f>
        <v>12478.17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IFERROR(__xludf.DUMMYFUNCTION("""COMPUTED_VALUE"""),12392.5334)</f>
        <v>12392.5334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IFERROR(__xludf.DUMMYFUNCTION("""COMPUTED_VALUE"""),12347.1936)</f>
        <v>12347.1936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IFERROR(__xludf.DUMMYFUNCTION("""COMPUTED_VALUE"""),12411.89107)</f>
        <v>12411.89107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IFERROR(__xludf.DUMMYFUNCTION("""COMPUTED_VALUE"""),12325.7328)</f>
        <v>12325.7328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IFERROR(__xludf.DUMMYFUNCTION("""COMPUTED_VALUE"""),12541.05)</f>
        <v>12541.05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IFERROR(__xludf.DUMMYFUNCTION("""COMPUTED_VALUE"""),12607.0065)</f>
        <v>12607.0065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IFERROR(__xludf.DUMMYFUNCTION("""COMPUTED_VALUE"""),12666.3957)</f>
        <v>12666.3957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IFERROR(__xludf.DUMMYFUNCTION("""COMPUTED_VALUE"""),12543.3516)</f>
        <v>12543.3516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IFERROR(__xludf.DUMMYFUNCTION("""COMPUTED_VALUE"""),12674.4945)</f>
        <v>12674.4945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IFERROR(__xludf.DUMMYFUNCTION("""COMPUTED_VALUE"""),12725.25806)</f>
        <v>12725.25806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IFERROR(__xludf.DUMMYFUNCTION("""COMPUTED_VALUE"""),12664.059)</f>
        <v>12664.059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IFERROR(__xludf.DUMMYFUNCTION("""COMPUTED_VALUE"""),12712.117)</f>
        <v>12712.117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IFERROR(__xludf.DUMMYFUNCTION("""COMPUTED_VALUE"""),12727.0)</f>
        <v>12727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IFERROR(__xludf.DUMMYFUNCTION("""COMPUTED_VALUE"""),12683.7503)</f>
        <v>12683.7503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IFERROR(__xludf.DUMMYFUNCTION("""COMPUTED_VALUE"""),12767.8538)</f>
        <v>12767.8538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IFERROR(__xludf.DUMMYFUNCTION("""COMPUTED_VALUE"""),12861.7008)</f>
        <v>12861.7008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IFERROR(__xludf.DUMMYFUNCTION("""COMPUTED_VALUE"""),12862.8675)</f>
        <v>12862.8675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IFERROR(__xludf.DUMMYFUNCTION("""COMPUTED_VALUE"""),12861.7008)</f>
        <v>12861.7008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IFERROR(__xludf.DUMMYFUNCTION("""COMPUTED_VALUE"""),12856.9149)</f>
        <v>12856.9149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IFERROR(__xludf.DUMMYFUNCTION("""COMPUTED_VALUE"""),12953.2)</f>
        <v>12953.2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IFERROR(__xludf.DUMMYFUNCTION("""COMPUTED_VALUE"""),13079.88)</f>
        <v>13079.88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IFERROR(__xludf.DUMMYFUNCTION("""COMPUTED_VALUE"""),13109.58)</f>
        <v>13109.58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IFERROR(__xludf.DUMMYFUNCTION("""COMPUTED_VALUE"""),13085.303)</f>
        <v>13085.303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IFERROR(__xludf.DUMMYFUNCTION("""COMPUTED_VALUE"""),12828.1875)</f>
        <v>12828.1875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IFERROR(__xludf.DUMMYFUNCTION("""COMPUTED_VALUE"""),12823.5375)</f>
        <v>12823.5375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IFERROR(__xludf.DUMMYFUNCTION("""COMPUTED_VALUE"""),13075.877)</f>
        <v>13075.877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IFERROR(__xludf.DUMMYFUNCTION("""COMPUTED_VALUE"""),13143.6215)</f>
        <v>13143.6215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IFERROR(__xludf.DUMMYFUNCTION("""COMPUTED_VALUE"""),13261.3844)</f>
        <v>13261.3844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IFERROR(__xludf.DUMMYFUNCTION("""COMPUTED_VALUE"""),13354.52)</f>
        <v>13354.52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IFERROR(__xludf.DUMMYFUNCTION("""COMPUTED_VALUE"""),13385.195)</f>
        <v>13385.195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IFERROR(__xludf.DUMMYFUNCTION("""COMPUTED_VALUE"""),13079.36)</f>
        <v>13079.36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IFERROR(__xludf.DUMMYFUNCTION("""COMPUTED_VALUE"""),13084.0312)</f>
        <v>13084.0312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IFERROR(__xludf.DUMMYFUNCTION("""COMPUTED_VALUE"""),13268.3616)</f>
        <v>13268.3616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IFERROR(__xludf.DUMMYFUNCTION("""COMPUTED_VALUE"""),13335.7346)</f>
        <v>13335.7346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IFERROR(__xludf.DUMMYFUNCTION("""COMPUTED_VALUE"""),13391.2572)</f>
        <v>13391.2572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IFERROR(__xludf.DUMMYFUNCTION("""COMPUTED_VALUE"""),13489.2758)</f>
        <v>13489.2758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IFERROR(__xludf.DUMMYFUNCTION("""COMPUTED_VALUE"""),13511.7598)</f>
        <v>13511.7598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IFERROR(__xludf.DUMMYFUNCTION("""COMPUTED_VALUE"""),13486.77798)</f>
        <v>13486.77798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IFERROR(__xludf.DUMMYFUNCTION("""COMPUTED_VALUE"""),13473.3132)</f>
        <v>13473.3132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IFERROR(__xludf.DUMMYFUNCTION("""COMPUTED_VALUE"""),13481.0352)</f>
        <v>13481.0352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IFERROR(__xludf.DUMMYFUNCTION("""COMPUTED_VALUE"""),13540.7216)</f>
        <v>13540.7216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IFERROR(__xludf.DUMMYFUNCTION("""COMPUTED_VALUE"""),13428.2148)</f>
        <v>13428.2148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IFERROR(__xludf.DUMMYFUNCTION("""COMPUTED_VALUE"""),13486.1222)</f>
        <v>13486.1222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IFERROR(__xludf.DUMMYFUNCTION("""COMPUTED_VALUE"""),13561.5327)</f>
        <v>13561.5327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IFERROR(__xludf.DUMMYFUNCTION("""COMPUTED_VALUE"""),13557.70642)</f>
        <v>13557.70642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IFERROR(__xludf.DUMMYFUNCTION("""COMPUTED_VALUE"""),13568.8245)</f>
        <v>13568.8245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IFERROR(__xludf.DUMMYFUNCTION("""COMPUTED_VALUE"""),13590.0636)</f>
        <v>13590.0636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IFERROR(__xludf.DUMMYFUNCTION("""COMPUTED_VALUE"""),13554.7384)</f>
        <v>13554.7384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IFERROR(__xludf.DUMMYFUNCTION("""COMPUTED_VALUE"""),13546.2348)</f>
        <v>13546.2348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IFERROR(__xludf.DUMMYFUNCTION("""COMPUTED_VALUE"""),13552.3088)</f>
        <v>13552.3088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IFERROR(__xludf.DUMMYFUNCTION("""COMPUTED_VALUE"""),13612.3962)</f>
        <v>13612.3962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IFERROR(__xludf.DUMMYFUNCTION("""COMPUTED_VALUE"""),13623.31999)</f>
        <v>13623.31999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IFERROR(__xludf.DUMMYFUNCTION("""COMPUTED_VALUE"""),13617.253)</f>
        <v>13617.253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IFERROR(__xludf.DUMMYFUNCTION("""COMPUTED_VALUE"""),13753.5328)</f>
        <v>13753.5328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IFERROR(__xludf.DUMMYFUNCTION("""COMPUTED_VALUE"""),13607.2336)</f>
        <v>13607.2336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IFERROR(__xludf.DUMMYFUNCTION("""COMPUTED_VALUE"""),13632.7654)</f>
        <v>13632.7654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IFERROR(__xludf.DUMMYFUNCTION("""COMPUTED_VALUE"""),13455.0036)</f>
        <v>13455.0036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IFERROR(__xludf.DUMMYFUNCTION("""COMPUTED_VALUE"""),13374.4968)</f>
        <v>13374.4968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IFERROR(__xludf.DUMMYFUNCTION("""COMPUTED_VALUE"""),13371.66238)</f>
        <v>13371.66238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IFERROR(__xludf.DUMMYFUNCTION("""COMPUTED_VALUE"""),13378.9152)</f>
        <v>13378.9152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IFERROR(__xludf.DUMMYFUNCTION("""COMPUTED_VALUE"""),13420.3113)</f>
        <v>13420.3113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IFERROR(__xludf.DUMMYFUNCTION("""COMPUTED_VALUE"""),13263.0545)</f>
        <v>13263.0545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IFERROR(__xludf.DUMMYFUNCTION("""COMPUTED_VALUE"""),13249.6767)</f>
        <v>13249.6767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IFERROR(__xludf.DUMMYFUNCTION("""COMPUTED_VALUE"""),13265.28)</f>
        <v>13265.28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IFERROR(__xludf.DUMMYFUNCTION("""COMPUTED_VALUE"""),13091.5328)</f>
        <v>13091.5328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IFERROR(__xludf.DUMMYFUNCTION("""COMPUTED_VALUE"""),13088.6514)</f>
        <v>13088.6514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IFERROR(__xludf.DUMMYFUNCTION("""COMPUTED_VALUE"""),13318.4411)</f>
        <v>13318.4411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IFERROR(__xludf.DUMMYFUNCTION("""COMPUTED_VALUE"""),13130.2192)</f>
        <v>13130.2192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IFERROR(__xludf.DUMMYFUNCTION("""COMPUTED_VALUE"""),13064.8871)</f>
        <v>13064.8871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IFERROR(__xludf.DUMMYFUNCTION("""COMPUTED_VALUE"""),13003.7032)</f>
        <v>13003.7032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IFERROR(__xludf.DUMMYFUNCTION("""COMPUTED_VALUE"""),13126.3778)</f>
        <v>13126.3778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IFERROR(__xludf.DUMMYFUNCTION("""COMPUTED_VALUE"""),13022.4556)</f>
        <v>13022.4556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IFERROR(__xludf.DUMMYFUNCTION("""COMPUTED_VALUE"""),13027.27669)</f>
        <v>13027.27669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IFERROR(__xludf.DUMMYFUNCTION("""COMPUTED_VALUE"""),13005.8544)</f>
        <v>13005.8544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IFERROR(__xludf.DUMMYFUNCTION("""COMPUTED_VALUE"""),13056.9575)</f>
        <v>13056.9575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IFERROR(__xludf.DUMMYFUNCTION("""COMPUTED_VALUE"""),13250.107)</f>
        <v>13250.107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IFERROR(__xludf.DUMMYFUNCTION("""COMPUTED_VALUE"""),13207.7868)</f>
        <v>13207.7868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IFERROR(__xludf.DUMMYFUNCTION("""COMPUTED_VALUE"""),13463.1369)</f>
        <v>13463.1369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IFERROR(__xludf.DUMMYFUNCTION("""COMPUTED_VALUE"""),13544.6463)</f>
        <v>13544.6463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IFERROR(__xludf.DUMMYFUNCTION("""COMPUTED_VALUE"""),13531.5508)</f>
        <v>13531.5508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IFERROR(__xludf.DUMMYFUNCTION("""COMPUTED_VALUE"""),13571.3257)</f>
        <v>13571.3257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IFERROR(__xludf.DUMMYFUNCTION("""COMPUTED_VALUE"""),13603.3141)</f>
        <v>13603.3141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IFERROR(__xludf.DUMMYFUNCTION("""COMPUTED_VALUE"""),13438.9509)</f>
        <v>13438.9509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IFERROR(__xludf.DUMMYFUNCTION("""COMPUTED_VALUE"""),13501.179)</f>
        <v>13501.179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IFERROR(__xludf.DUMMYFUNCTION("""COMPUTED_VALUE"""),13452.0154)</f>
        <v>13452.0154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IFERROR(__xludf.DUMMYFUNCTION("""COMPUTED_VALUE"""),13397.805)</f>
        <v>13397.805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IFERROR(__xludf.DUMMYFUNCTION("""COMPUTED_VALUE"""),13431.1727)</f>
        <v>13431.1727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IFERROR(__xludf.DUMMYFUNCTION("""COMPUTED_VALUE"""),13401.45)</f>
        <v>13401.45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IFERROR(__xludf.DUMMYFUNCTION("""COMPUTED_VALUE"""),13414.7649)</f>
        <v>13414.7649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IFERROR(__xludf.DUMMYFUNCTION("""COMPUTED_VALUE"""),13250.986)</f>
        <v>13250.986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IFERROR(__xludf.DUMMYFUNCTION("""COMPUTED_VALUE"""),13294.12)</f>
        <v>13294.12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IFERROR(__xludf.DUMMYFUNCTION("""COMPUTED_VALUE"""),13253.4)</f>
        <v>13253.4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IFERROR(__xludf.DUMMYFUNCTION("""COMPUTED_VALUE"""),13360.7133)</f>
        <v>13360.7133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IFERROR(__xludf.DUMMYFUNCTION("""COMPUTED_VALUE"""),13381.00875)</f>
        <v>13381.00875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IFERROR(__xludf.DUMMYFUNCTION("""COMPUTED_VALUE"""),13352.3126)</f>
        <v>13352.3126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IFERROR(__xludf.DUMMYFUNCTION("""COMPUTED_VALUE"""),13410.1926)</f>
        <v>13410.1926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IFERROR(__xludf.DUMMYFUNCTION("""COMPUTED_VALUE"""),13346.069)</f>
        <v>13346.069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IFERROR(__xludf.DUMMYFUNCTION("""COMPUTED_VALUE"""),13243.41)</f>
        <v>13243.41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IFERROR(__xludf.DUMMYFUNCTION("""COMPUTED_VALUE"""),13290.4316)</f>
        <v>13290.4316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IFERROR(__xludf.DUMMYFUNCTION("""COMPUTED_VALUE"""),13003.3624)</f>
        <v>13003.3624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IFERROR(__xludf.DUMMYFUNCTION("""COMPUTED_VALUE"""),13026.73637)</f>
        <v>13026.73637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IFERROR(__xludf.DUMMYFUNCTION("""COMPUTED_VALUE"""),13100.006)</f>
        <v>13100.006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IFERROR(__xludf.DUMMYFUNCTION("""COMPUTED_VALUE"""),13039.5141)</f>
        <v>13039.5141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IFERROR(__xludf.DUMMYFUNCTION("""COMPUTED_VALUE"""),13333.024)</f>
        <v>13333.024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IFERROR(__xludf.DUMMYFUNCTION("""COMPUTED_VALUE"""),13126.3737)</f>
        <v>13126.3737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IFERROR(__xludf.DUMMYFUNCTION("""COMPUTED_VALUE"""),13220.5401)</f>
        <v>13220.5401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IFERROR(__xludf.DUMMYFUNCTION("""COMPUTED_VALUE"""),13153.9741)</f>
        <v>13153.9741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IFERROR(__xludf.DUMMYFUNCTION("""COMPUTED_VALUE"""),13173.09217)</f>
        <v>13173.09217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IFERROR(__xludf.DUMMYFUNCTION("""COMPUTED_VALUE"""),13158.6465)</f>
        <v>13158.6465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IFERROR(__xludf.DUMMYFUNCTION("""COMPUTED_VALUE"""),13021.8424)</f>
        <v>13021.8424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IFERROR(__xludf.DUMMYFUNCTION("""COMPUTED_VALUE"""),13100.388)</f>
        <v>13100.388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IFERROR(__xludf.DUMMYFUNCTION("""COMPUTED_VALUE"""),13095.085)</f>
        <v>13095.085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IFERROR(__xludf.DUMMYFUNCTION("""COMPUTED_VALUE"""),13056.9255)</f>
        <v>13056.9255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IFERROR(__xludf.DUMMYFUNCTION("""COMPUTED_VALUE"""),13148.1685)</f>
        <v>13148.1685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IFERROR(__xludf.DUMMYFUNCTION("""COMPUTED_VALUE"""),13169.17102)</f>
        <v>13169.17102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IFERROR(__xludf.DUMMYFUNCTION("""COMPUTED_VALUE"""),13149.3254)</f>
        <v>13149.3254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IFERROR(__xludf.DUMMYFUNCTION("""COMPUTED_VALUE"""),13200.42)</f>
        <v>13200.42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IFERROR(__xludf.DUMMYFUNCTION("""COMPUTED_VALUE"""),13030.13994)</f>
        <v>13030.13994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IFERROR(__xludf.DUMMYFUNCTION("""COMPUTED_VALUE"""),13035.8886)</f>
        <v>13035.8886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IFERROR(__xludf.DUMMYFUNCTION("""COMPUTED_VALUE"""),12958.337)</f>
        <v>12958.337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IFERROR(__xludf.DUMMYFUNCTION("""COMPUTED_VALUE"""),12973.2084)</f>
        <v>12973.2084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IFERROR(__xludf.DUMMYFUNCTION("""COMPUTED_VALUE"""),12993.14875)</f>
        <v>12993.14875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IFERROR(__xludf.DUMMYFUNCTION("""COMPUTED_VALUE"""),12969.7926)</f>
        <v>12969.7926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IFERROR(__xludf.DUMMYFUNCTION("""COMPUTED_VALUE"""),13021.056)</f>
        <v>13021.056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IFERROR(__xludf.DUMMYFUNCTION("""COMPUTED_VALUE"""),13082.5635)</f>
        <v>13082.5635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IFERROR(__xludf.DUMMYFUNCTION("""COMPUTED_VALUE"""),13080.4965)</f>
        <v>13080.4965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IFERROR(__xludf.DUMMYFUNCTION("""COMPUTED_VALUE"""),13051.9188)</f>
        <v>13051.9188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IFERROR(__xludf.DUMMYFUNCTION("""COMPUTED_VALUE"""),12939.568)</f>
        <v>12939.568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IFERROR(__xludf.DUMMYFUNCTION("""COMPUTED_VALUE"""),12952.48045)</f>
        <v>12952.48045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IFERROR(__xludf.DUMMYFUNCTION("""COMPUTED_VALUE"""),12949.7344)</f>
        <v>12949.7344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IFERROR(__xludf.DUMMYFUNCTION("""COMPUTED_VALUE"""),12920.2128)</f>
        <v>12920.2128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IFERROR(__xludf.DUMMYFUNCTION("""COMPUTED_VALUE"""),12970.5225)</f>
        <v>12970.5225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IFERROR(__xludf.DUMMYFUNCTION("""COMPUTED_VALUE"""),12826.671)</f>
        <v>12826.671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IFERROR(__xludf.DUMMYFUNCTION("""COMPUTED_VALUE"""),12944.42)</f>
        <v>12944.42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IFERROR(__xludf.DUMMYFUNCTION("""COMPUTED_VALUE"""),12912.7726)</f>
        <v>12912.7726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IFERROR(__xludf.DUMMYFUNCTION("""COMPUTED_VALUE"""),12932.6426)</f>
        <v>12932.6426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IFERROR(__xludf.DUMMYFUNCTION("""COMPUTED_VALUE"""),12919.6132)</f>
        <v>12919.6132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IFERROR(__xludf.DUMMYFUNCTION("""COMPUTED_VALUE"""),12897.0072)</f>
        <v>12897.0072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IFERROR(__xludf.DUMMYFUNCTION("""COMPUTED_VALUE"""),12883.292)</f>
        <v>12883.292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IFERROR(__xludf.DUMMYFUNCTION("""COMPUTED_VALUE"""),12915.8325)</f>
        <v>12915.8325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IFERROR(__xludf.DUMMYFUNCTION("""COMPUTED_VALUE"""),12834.80894)</f>
        <v>12834.80894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IFERROR(__xludf.DUMMYFUNCTION("""COMPUTED_VALUE"""),12745.257)</f>
        <v>12745.257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IFERROR(__xludf.DUMMYFUNCTION("""COMPUTED_VALUE"""),12770.09255)</f>
        <v>12770.09255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IFERROR(__xludf.DUMMYFUNCTION("""COMPUTED_VALUE"""),12739.6045)</f>
        <v>12739.6045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IFERROR(__xludf.DUMMYFUNCTION("""COMPUTED_VALUE"""),12724.903)</f>
        <v>12724.903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IFERROR(__xludf.DUMMYFUNCTION("""COMPUTED_VALUE"""),12740.6786)</f>
        <v>12740.6786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IFERROR(__xludf.DUMMYFUNCTION("""COMPUTED_VALUE"""),12713.69)</f>
        <v>12713.69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IFERROR(__xludf.DUMMYFUNCTION("""COMPUTED_VALUE"""),12719.0035)</f>
        <v>12719.0035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IFERROR(__xludf.DUMMYFUNCTION("""COMPUTED_VALUE"""),12677.379)</f>
        <v>12677.379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IFERROR(__xludf.DUMMYFUNCTION("""COMPUTED_VALUE"""),12693.08241)</f>
        <v>12693.08241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IFERROR(__xludf.DUMMYFUNCTION("""COMPUTED_VALUE"""),12676.248)</f>
        <v>12676.248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IFERROR(__xludf.DUMMYFUNCTION("""COMPUTED_VALUE"""),12722.688)</f>
        <v>12722.688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IFERROR(__xludf.DUMMYFUNCTION("""COMPUTED_VALUE"""),12739.564)</f>
        <v>12739.564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IFERROR(__xludf.DUMMYFUNCTION("""COMPUTED_VALUE"""),12809.482)</f>
        <v>12809.482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IFERROR(__xludf.DUMMYFUNCTION("""COMPUTED_VALUE"""),12944.645)</f>
        <v>12944.645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IFERROR(__xludf.DUMMYFUNCTION("""COMPUTED_VALUE"""),13008.532)</f>
        <v>13008.532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IFERROR(__xludf.DUMMYFUNCTION("""COMPUTED_VALUE"""),13031.95763)</f>
        <v>13031.95763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IFERROR(__xludf.DUMMYFUNCTION("""COMPUTED_VALUE"""),12984.6025)</f>
        <v>12984.6025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IFERROR(__xludf.DUMMYFUNCTION("""COMPUTED_VALUE"""),12993.5832)</f>
        <v>12993.5832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IFERROR(__xludf.DUMMYFUNCTION("""COMPUTED_VALUE"""),13008.345)</f>
        <v>13008.345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IFERROR(__xludf.DUMMYFUNCTION("""COMPUTED_VALUE"""),12932.1295)</f>
        <v>12932.1295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IFERROR(__xludf.DUMMYFUNCTION("""COMPUTED_VALUE"""),12959.1735)</f>
        <v>12959.1735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IFERROR(__xludf.DUMMYFUNCTION("""COMPUTED_VALUE"""),12953.451)</f>
        <v>12953.451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IFERROR(__xludf.DUMMYFUNCTION("""COMPUTED_VALUE"""),12979.34658)</f>
        <v>12979.34658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IFERROR(__xludf.DUMMYFUNCTION("""COMPUTED_VALUE"""),12958.029)</f>
        <v>12958.029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IFERROR(__xludf.DUMMYFUNCTION("""COMPUTED_VALUE"""),12919.263)</f>
        <v>12919.263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IFERROR(__xludf.DUMMYFUNCTION("""COMPUTED_VALUE"""),13039.046)</f>
        <v>13039.046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IFERROR(__xludf.DUMMYFUNCTION("""COMPUTED_VALUE"""),13153.84)</f>
        <v>13153.84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IFERROR(__xludf.DUMMYFUNCTION("""COMPUTED_VALUE"""),13148.73)</f>
        <v>13148.73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IFERROR(__xludf.DUMMYFUNCTION("""COMPUTED_VALUE"""),13117.023)</f>
        <v>13117.023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IFERROR(__xludf.DUMMYFUNCTION("""COMPUTED_VALUE"""),13112.13459)</f>
        <v>13112.13459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IFERROR(__xludf.DUMMYFUNCTION("""COMPUTED_VALUE"""),13125.1185)</f>
        <v>13125.1185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IFERROR(__xludf.DUMMYFUNCTION("""COMPUTED_VALUE"""),13158.243)</f>
        <v>13158.243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IFERROR(__xludf.DUMMYFUNCTION("""COMPUTED_VALUE"""),13062.013)</f>
        <v>13062.013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IFERROR(__xludf.DUMMYFUNCTION("""COMPUTED_VALUE"""),13115.12)</f>
        <v>13115.12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IFERROR(__xludf.DUMMYFUNCTION("""COMPUTED_VALUE"""),13130.1285)</f>
        <v>13130.1285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IFERROR(__xludf.DUMMYFUNCTION("""COMPUTED_VALUE"""),13114.4335)</f>
        <v>13114.4335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IFERROR(__xludf.DUMMYFUNCTION("""COMPUTED_VALUE"""),13136.09537)</f>
        <v>13136.09537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IFERROR(__xludf.DUMMYFUNCTION("""COMPUTED_VALUE"""),13120.191)</f>
        <v>13120.191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IFERROR(__xludf.DUMMYFUNCTION("""COMPUTED_VALUE"""),13105.3455)</f>
        <v>13105.3455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IFERROR(__xludf.DUMMYFUNCTION("""COMPUTED_VALUE"""),13162.836)</f>
        <v>13162.836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IFERROR(__xludf.DUMMYFUNCTION("""COMPUTED_VALUE"""),13202.527)</f>
        <v>13202.527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IFERROR(__xludf.DUMMYFUNCTION("""COMPUTED_VALUE"""),13093.5525)</f>
        <v>13093.5525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IFERROR(__xludf.DUMMYFUNCTION("""COMPUTED_VALUE"""),13010.3265)</f>
        <v>13010.3265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IFERROR(__xludf.DUMMYFUNCTION("""COMPUTED_VALUE"""),13038.14618)</f>
        <v>13038.14618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IFERROR(__xludf.DUMMYFUNCTION("""COMPUTED_VALUE"""),12929.0805)</f>
        <v>12929.0805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IFERROR(__xludf.DUMMYFUNCTION("""COMPUTED_VALUE"""),12974.976)</f>
        <v>12974.976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IFERROR(__xludf.DUMMYFUNCTION("""COMPUTED_VALUE"""),12902.249)</f>
        <v>12902.249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IFERROR(__xludf.DUMMYFUNCTION("""COMPUTED_VALUE"""),12818.0795)</f>
        <v>12818.0795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IFERROR(__xludf.DUMMYFUNCTION("""COMPUTED_VALUE"""),12780.801)</f>
        <v>12780.801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IFERROR(__xludf.DUMMYFUNCTION("""COMPUTED_VALUE"""),12677.268)</f>
        <v>12677.268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IFERROR(__xludf.DUMMYFUNCTION("""COMPUTED_VALUE"""),12713.95267)</f>
        <v>12713.95267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IFERROR(__xludf.DUMMYFUNCTION("""COMPUTED_VALUE"""),12763.634)</f>
        <v>12763.634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IFERROR(__xludf.DUMMYFUNCTION("""COMPUTED_VALUE"""),12798.394)</f>
        <v>12798.394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IFERROR(__xludf.DUMMYFUNCTION("""COMPUTED_VALUE"""),12846.66)</f>
        <v>12846.66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IFERROR(__xludf.DUMMYFUNCTION("""COMPUTED_VALUE"""),12866.3535)</f>
        <v>12866.3535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IFERROR(__xludf.DUMMYFUNCTION("""COMPUTED_VALUE"""),12868.18)</f>
        <v>12868.18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IFERROR(__xludf.DUMMYFUNCTION("""COMPUTED_VALUE"""),12938.8605)</f>
        <v>12938.8605</v>
      </c>
    </row>
    <row r="1471">
      <c r="A1471" s="3">
        <f>IFERROR(__xludf.DUMMYFUNCTION("""COMPUTED_VALUE"""),41784.99861111111)</f>
        <v>41784.99861</v>
      </c>
      <c r="B1471" s="1">
        <f>IFERROR(__xludf.DUMMYFUNCTION("""COMPUTED_VALUE"""),12942.339)</f>
        <v>12942.339</v>
      </c>
    </row>
    <row r="1472">
      <c r="A1472" s="3">
        <f>IFERROR(__xludf.DUMMYFUNCTION("""COMPUTED_VALUE"""),41785.99861111111)</f>
        <v>41785.99861</v>
      </c>
      <c r="B1472" s="1">
        <f>IFERROR(__xludf.DUMMYFUNCTION("""COMPUTED_VALUE"""),12917.144)</f>
        <v>12917.144</v>
      </c>
    </row>
    <row r="1473">
      <c r="A1473" s="3">
        <f>IFERROR(__xludf.DUMMYFUNCTION("""COMPUTED_VALUE"""),41786.99861111111)</f>
        <v>41786.99861</v>
      </c>
      <c r="B1473" s="1">
        <f>IFERROR(__xludf.DUMMYFUNCTION("""COMPUTED_VALUE"""),12891.712)</f>
        <v>12891.712</v>
      </c>
    </row>
    <row r="1474">
      <c r="A1474" s="3">
        <f>IFERROR(__xludf.DUMMYFUNCTION("""COMPUTED_VALUE"""),41787.99861111111)</f>
        <v>41787.99861</v>
      </c>
      <c r="B1474" s="1">
        <f>IFERROR(__xludf.DUMMYFUNCTION("""COMPUTED_VALUE"""),12946.516)</f>
        <v>12946.516</v>
      </c>
    </row>
    <row r="1475">
      <c r="A1475" s="3">
        <f>IFERROR(__xludf.DUMMYFUNCTION("""COMPUTED_VALUE"""),41788.99861111111)</f>
        <v>41788.99861</v>
      </c>
      <c r="B1475" s="1">
        <f>IFERROR(__xludf.DUMMYFUNCTION("""COMPUTED_VALUE"""),12912.192)</f>
        <v>12912.192</v>
      </c>
    </row>
    <row r="1476">
      <c r="A1476" s="3">
        <f>IFERROR(__xludf.DUMMYFUNCTION("""COMPUTED_VALUE"""),41789.99861111111)</f>
        <v>41789.99861</v>
      </c>
      <c r="B1476" s="1">
        <f>IFERROR(__xludf.DUMMYFUNCTION("""COMPUTED_VALUE"""),13017.224)</f>
        <v>13017.224</v>
      </c>
    </row>
    <row r="1477">
      <c r="A1477" s="3">
        <f>IFERROR(__xludf.DUMMYFUNCTION("""COMPUTED_VALUE"""),41790.99861111111)</f>
        <v>41790.99861</v>
      </c>
      <c r="B1477" s="1">
        <f>IFERROR(__xludf.DUMMYFUNCTION("""COMPUTED_VALUE"""),13057.30276)</f>
        <v>13057.30276</v>
      </c>
    </row>
    <row r="1478">
      <c r="A1478" s="3">
        <f>IFERROR(__xludf.DUMMYFUNCTION("""COMPUTED_VALUE"""),41791.99861111111)</f>
        <v>41791.99861</v>
      </c>
      <c r="B1478" s="1">
        <f>IFERROR(__xludf.DUMMYFUNCTION("""COMPUTED_VALUE"""),13057.30276)</f>
        <v>13057.30276</v>
      </c>
    </row>
    <row r="1479">
      <c r="A1479" s="3">
        <f>IFERROR(__xludf.DUMMYFUNCTION("""COMPUTED_VALUE"""),41792.99861111111)</f>
        <v>41792.99861</v>
      </c>
      <c r="B1479" s="1">
        <f>IFERROR(__xludf.DUMMYFUNCTION("""COMPUTED_VALUE"""),13087.704)</f>
        <v>13087.704</v>
      </c>
    </row>
    <row r="1480">
      <c r="A1480" s="3">
        <f>IFERROR(__xludf.DUMMYFUNCTION("""COMPUTED_VALUE"""),41793.99861111111)</f>
        <v>41793.99861</v>
      </c>
      <c r="B1480" s="1">
        <f>IFERROR(__xludf.DUMMYFUNCTION("""COMPUTED_VALUE"""),13128.258)</f>
        <v>13128.258</v>
      </c>
    </row>
    <row r="1481">
      <c r="A1481" s="3">
        <f>IFERROR(__xludf.DUMMYFUNCTION("""COMPUTED_VALUE"""),41794.99861111111)</f>
        <v>41794.99861</v>
      </c>
      <c r="B1481" s="1">
        <f>IFERROR(__xludf.DUMMYFUNCTION("""COMPUTED_VALUE"""),13235.875)</f>
        <v>13235.875</v>
      </c>
    </row>
    <row r="1482">
      <c r="A1482" s="3">
        <f>IFERROR(__xludf.DUMMYFUNCTION("""COMPUTED_VALUE"""),41795.99861111111)</f>
        <v>41795.99861</v>
      </c>
      <c r="B1482" s="1">
        <f>IFERROR(__xludf.DUMMYFUNCTION("""COMPUTED_VALUE"""),13285.352)</f>
        <v>13285.352</v>
      </c>
    </row>
    <row r="1483">
      <c r="A1483" s="3">
        <f>IFERROR(__xludf.DUMMYFUNCTION("""COMPUTED_VALUE"""),41796.99861111111)</f>
        <v>41796.99861</v>
      </c>
      <c r="B1483" s="1">
        <f>IFERROR(__xludf.DUMMYFUNCTION("""COMPUTED_VALUE"""),13217.4405)</f>
        <v>13217.4405</v>
      </c>
    </row>
    <row r="1484">
      <c r="A1484" s="3">
        <f>IFERROR(__xludf.DUMMYFUNCTION("""COMPUTED_VALUE"""),41797.99861111111)</f>
        <v>41797.99861</v>
      </c>
      <c r="B1484" s="1">
        <f>IFERROR(__xludf.DUMMYFUNCTION("""COMPUTED_VALUE"""),13239.04259)</f>
        <v>13239.04259</v>
      </c>
    </row>
    <row r="1485">
      <c r="A1485" s="3">
        <f>IFERROR(__xludf.DUMMYFUNCTION("""COMPUTED_VALUE"""),41798.99861111111)</f>
        <v>41798.99861</v>
      </c>
      <c r="B1485" s="1">
        <f>IFERROR(__xludf.DUMMYFUNCTION("""COMPUTED_VALUE"""),13239.04259)</f>
        <v>13239.04259</v>
      </c>
    </row>
    <row r="1486">
      <c r="A1486" s="3">
        <f>IFERROR(__xludf.DUMMYFUNCTION("""COMPUTED_VALUE"""),41799.99861111111)</f>
        <v>41799.99861</v>
      </c>
      <c r="B1486" s="1">
        <f>IFERROR(__xludf.DUMMYFUNCTION("""COMPUTED_VALUE"""),13122.06)</f>
        <v>13122.06</v>
      </c>
    </row>
    <row r="1487">
      <c r="A1487" s="3">
        <f>IFERROR(__xludf.DUMMYFUNCTION("""COMPUTED_VALUE"""),41800.99861111111)</f>
        <v>41800.99861</v>
      </c>
      <c r="B1487" s="1">
        <f>IFERROR(__xludf.DUMMYFUNCTION("""COMPUTED_VALUE"""),13136.3896)</f>
        <v>13136.3896</v>
      </c>
    </row>
    <row r="1488">
      <c r="A1488" s="3">
        <f>IFERROR(__xludf.DUMMYFUNCTION("""COMPUTED_VALUE"""),41801.99861111111)</f>
        <v>41801.99861</v>
      </c>
      <c r="B1488" s="1">
        <f>IFERROR(__xludf.DUMMYFUNCTION("""COMPUTED_VALUE"""),13118.8965)</f>
        <v>13118.8965</v>
      </c>
    </row>
    <row r="1489">
      <c r="A1489" s="3">
        <f>IFERROR(__xludf.DUMMYFUNCTION("""COMPUTED_VALUE"""),41802.99861111111)</f>
        <v>41802.99861</v>
      </c>
      <c r="B1489" s="1">
        <f>IFERROR(__xludf.DUMMYFUNCTION("""COMPUTED_VALUE"""),13108.784)</f>
        <v>13108.784</v>
      </c>
    </row>
    <row r="1490">
      <c r="A1490" s="3">
        <f>IFERROR(__xludf.DUMMYFUNCTION("""COMPUTED_VALUE"""),41803.99861111111)</f>
        <v>41803.99861</v>
      </c>
      <c r="B1490" s="1">
        <f>IFERROR(__xludf.DUMMYFUNCTION("""COMPUTED_VALUE"""),13087.2425)</f>
        <v>13087.2425</v>
      </c>
    </row>
    <row r="1491">
      <c r="A1491" s="3">
        <f>IFERROR(__xludf.DUMMYFUNCTION("""COMPUTED_VALUE"""),41804.99861111111)</f>
        <v>41804.99861</v>
      </c>
      <c r="B1491" s="1">
        <f>IFERROR(__xludf.DUMMYFUNCTION("""COMPUTED_VALUE"""),13113.33515)</f>
        <v>13113.33515</v>
      </c>
    </row>
    <row r="1492">
      <c r="A1492" s="3">
        <f>IFERROR(__xludf.DUMMYFUNCTION("""COMPUTED_VALUE"""),41805.99861111111)</f>
        <v>41805.99861</v>
      </c>
      <c r="B1492" s="1">
        <f>IFERROR(__xludf.DUMMYFUNCTION("""COMPUTED_VALUE"""),13109.79324)</f>
        <v>13109.79324</v>
      </c>
    </row>
    <row r="1493">
      <c r="A1493" s="3">
        <f>IFERROR(__xludf.DUMMYFUNCTION("""COMPUTED_VALUE"""),41806.99861111111)</f>
        <v>41806.99861</v>
      </c>
      <c r="B1493" s="1">
        <f>IFERROR(__xludf.DUMMYFUNCTION("""COMPUTED_VALUE"""),13166.636)</f>
        <v>13166.636</v>
      </c>
    </row>
    <row r="1494">
      <c r="A1494" s="3">
        <f>IFERROR(__xludf.DUMMYFUNCTION("""COMPUTED_VALUE"""),41807.99861111111)</f>
        <v>41807.99861</v>
      </c>
      <c r="B1494" s="1">
        <f>IFERROR(__xludf.DUMMYFUNCTION("""COMPUTED_VALUE"""),13212.5545)</f>
        <v>13212.5545</v>
      </c>
    </row>
    <row r="1495">
      <c r="A1495" s="3">
        <f>IFERROR(__xludf.DUMMYFUNCTION("""COMPUTED_VALUE"""),41808.99861111111)</f>
        <v>41808.99861</v>
      </c>
      <c r="B1495" s="1">
        <f>IFERROR(__xludf.DUMMYFUNCTION("""COMPUTED_VALUE"""),13390.377)</f>
        <v>13390.377</v>
      </c>
    </row>
    <row r="1496">
      <c r="A1496" s="3">
        <f>IFERROR(__xludf.DUMMYFUNCTION("""COMPUTED_VALUE"""),41809.99861111111)</f>
        <v>41809.99861</v>
      </c>
      <c r="B1496" s="1">
        <f>IFERROR(__xludf.DUMMYFUNCTION("""COMPUTED_VALUE"""),13324.5445)</f>
        <v>13324.5445</v>
      </c>
    </row>
    <row r="1497">
      <c r="A1497" s="3">
        <f>IFERROR(__xludf.DUMMYFUNCTION("""COMPUTED_VALUE"""),41810.99861111111)</f>
        <v>41810.99861</v>
      </c>
      <c r="B1497" s="1">
        <f>IFERROR(__xludf.DUMMYFUNCTION("""COMPUTED_VALUE"""),13343.37)</f>
        <v>13343.37</v>
      </c>
    </row>
    <row r="1498">
      <c r="A1498" s="3">
        <f>IFERROR(__xludf.DUMMYFUNCTION("""COMPUTED_VALUE"""),41811.99861111111)</f>
        <v>41811.99861</v>
      </c>
      <c r="B1498" s="1">
        <f>IFERROR(__xludf.DUMMYFUNCTION("""COMPUTED_VALUE"""),13374.84147)</f>
        <v>13374.84147</v>
      </c>
    </row>
    <row r="1499">
      <c r="A1499" s="3">
        <f>IFERROR(__xludf.DUMMYFUNCTION("""COMPUTED_VALUE"""),41812.99861111111)</f>
        <v>41812.99861</v>
      </c>
      <c r="B1499" s="1">
        <f>IFERROR(__xludf.DUMMYFUNCTION("""COMPUTED_VALUE"""),13376.03907)</f>
        <v>13376.03907</v>
      </c>
    </row>
    <row r="1500">
      <c r="A1500" s="3">
        <f>IFERROR(__xludf.DUMMYFUNCTION("""COMPUTED_VALUE"""),41813.99861111111)</f>
        <v>41813.99861</v>
      </c>
      <c r="B1500" s="1">
        <f>IFERROR(__xludf.DUMMYFUNCTION("""COMPUTED_VALUE"""),13402.584)</f>
        <v>13402.584</v>
      </c>
    </row>
    <row r="1501">
      <c r="A1501" s="3">
        <f>IFERROR(__xludf.DUMMYFUNCTION("""COMPUTED_VALUE"""),41814.99861111111)</f>
        <v>41814.99861</v>
      </c>
      <c r="B1501" s="1">
        <f>IFERROR(__xludf.DUMMYFUNCTION("""COMPUTED_VALUE"""),13415.208)</f>
        <v>13415.208</v>
      </c>
    </row>
    <row r="1502">
      <c r="A1502" s="3">
        <f>IFERROR(__xludf.DUMMYFUNCTION("""COMPUTED_VALUE"""),41815.99861111111)</f>
        <v>41815.99861</v>
      </c>
      <c r="B1502" s="1">
        <f>IFERROR(__xludf.DUMMYFUNCTION("""COMPUTED_VALUE"""),13540.8)</f>
        <v>13540.8</v>
      </c>
    </row>
    <row r="1503">
      <c r="A1503" s="3">
        <f>IFERROR(__xludf.DUMMYFUNCTION("""COMPUTED_VALUE"""),41816.99861111111)</f>
        <v>41816.99861</v>
      </c>
      <c r="B1503" s="1">
        <f>IFERROR(__xludf.DUMMYFUNCTION("""COMPUTED_VALUE"""),13529.919)</f>
        <v>13529.919</v>
      </c>
    </row>
    <row r="1504">
      <c r="A1504" s="3">
        <f>IFERROR(__xludf.DUMMYFUNCTION("""COMPUTED_VALUE"""),41817.99861111111)</f>
        <v>41817.99861</v>
      </c>
      <c r="B1504" s="1">
        <f>IFERROR(__xludf.DUMMYFUNCTION("""COMPUTED_VALUE"""),13487.642)</f>
        <v>13487.642</v>
      </c>
    </row>
    <row r="1505">
      <c r="A1505" s="3">
        <f>IFERROR(__xludf.DUMMYFUNCTION("""COMPUTED_VALUE"""),41818.99861111111)</f>
        <v>41818.99861</v>
      </c>
      <c r="B1505" s="1">
        <f>IFERROR(__xludf.DUMMYFUNCTION("""COMPUTED_VALUE"""),13486.77798)</f>
        <v>13486.77798</v>
      </c>
    </row>
    <row r="1506">
      <c r="A1506" s="3">
        <f>IFERROR(__xludf.DUMMYFUNCTION("""COMPUTED_VALUE"""),41819.99861111111)</f>
        <v>41819.99861</v>
      </c>
      <c r="B1506" s="1">
        <f>IFERROR(__xludf.DUMMYFUNCTION("""COMPUTED_VALUE"""),13489.18182)</f>
        <v>13489.18182</v>
      </c>
    </row>
    <row r="1507">
      <c r="A1507" s="3">
        <f>IFERROR(__xludf.DUMMYFUNCTION("""COMPUTED_VALUE"""),41820.99861111111)</f>
        <v>41820.99861</v>
      </c>
      <c r="B1507" s="1">
        <f>IFERROR(__xludf.DUMMYFUNCTION("""COMPUTED_VALUE"""),13401.526)</f>
        <v>13401.526</v>
      </c>
    </row>
    <row r="1508">
      <c r="A1508" s="3">
        <f>IFERROR(__xludf.DUMMYFUNCTION("""COMPUTED_VALUE"""),41821.99861111111)</f>
        <v>41821.99861</v>
      </c>
      <c r="B1508" s="1">
        <f>IFERROR(__xludf.DUMMYFUNCTION("""COMPUTED_VALUE"""),13407.016)</f>
        <v>13407.016</v>
      </c>
    </row>
    <row r="1509">
      <c r="A1509" s="3">
        <f>IFERROR(__xludf.DUMMYFUNCTION("""COMPUTED_VALUE"""),41822.99861111111)</f>
        <v>41822.99861</v>
      </c>
      <c r="B1509" s="1">
        <f>IFERROR(__xludf.DUMMYFUNCTION("""COMPUTED_VALUE"""),13383.93)</f>
        <v>13383.93</v>
      </c>
    </row>
    <row r="1510">
      <c r="A1510" s="3">
        <f>IFERROR(__xludf.DUMMYFUNCTION("""COMPUTED_VALUE"""),41823.99861111111)</f>
        <v>41823.99861</v>
      </c>
      <c r="B1510" s="1">
        <f>IFERROR(__xludf.DUMMYFUNCTION("""COMPUTED_VALUE"""),13324.076)</f>
        <v>13324.076</v>
      </c>
    </row>
    <row r="1511">
      <c r="A1511" s="3">
        <f>IFERROR(__xludf.DUMMYFUNCTION("""COMPUTED_VALUE"""),41824.99861111111)</f>
        <v>41824.99861</v>
      </c>
      <c r="B1511" s="1">
        <f>IFERROR(__xludf.DUMMYFUNCTION("""COMPUTED_VALUE"""),13257.108)</f>
        <v>13257.108</v>
      </c>
    </row>
    <row r="1512">
      <c r="A1512" s="3">
        <f>IFERROR(__xludf.DUMMYFUNCTION("""COMPUTED_VALUE"""),41825.99861111111)</f>
        <v>41825.99861</v>
      </c>
      <c r="B1512" s="1">
        <f>IFERROR(__xludf.DUMMYFUNCTION("""COMPUTED_VALUE"""),13276.71699)</f>
        <v>13276.71699</v>
      </c>
    </row>
    <row r="1513">
      <c r="A1513" s="3">
        <f>IFERROR(__xludf.DUMMYFUNCTION("""COMPUTED_VALUE"""),41826.99861111111)</f>
        <v>41826.99861</v>
      </c>
      <c r="B1513" s="1">
        <f>IFERROR(__xludf.DUMMYFUNCTION("""COMPUTED_VALUE"""),13273.15404)</f>
        <v>13273.15404</v>
      </c>
    </row>
    <row r="1514">
      <c r="A1514" s="3">
        <f>IFERROR(__xludf.DUMMYFUNCTION("""COMPUTED_VALUE"""),41827.99861111111)</f>
        <v>41827.99861</v>
      </c>
      <c r="B1514" s="1">
        <f>IFERROR(__xludf.DUMMYFUNCTION("""COMPUTED_VALUE"""),13122.62)</f>
        <v>13122.62</v>
      </c>
    </row>
    <row r="1515">
      <c r="A1515" s="3">
        <f>IFERROR(__xludf.DUMMYFUNCTION("""COMPUTED_VALUE"""),41828.99861111111)</f>
        <v>41828.99861</v>
      </c>
      <c r="B1515" s="1">
        <f>IFERROR(__xludf.DUMMYFUNCTION("""COMPUTED_VALUE"""),13058.9675)</f>
        <v>13058.9675</v>
      </c>
    </row>
    <row r="1516">
      <c r="A1516" s="3">
        <f>IFERROR(__xludf.DUMMYFUNCTION("""COMPUTED_VALUE"""),41829.99861111111)</f>
        <v>41829.99861</v>
      </c>
      <c r="B1516" s="1">
        <f>IFERROR(__xludf.DUMMYFUNCTION("""COMPUTED_VALUE"""),13033.1915)</f>
        <v>13033.1915</v>
      </c>
    </row>
    <row r="1517">
      <c r="A1517" s="3">
        <f>IFERROR(__xludf.DUMMYFUNCTION("""COMPUTED_VALUE"""),41830.99861111111)</f>
        <v>41830.99861</v>
      </c>
      <c r="B1517" s="1">
        <f>IFERROR(__xludf.DUMMYFUNCTION("""COMPUTED_VALUE"""),12960.714)</f>
        <v>12960.714</v>
      </c>
    </row>
    <row r="1518">
      <c r="A1518" s="3">
        <f>IFERROR(__xludf.DUMMYFUNCTION("""COMPUTED_VALUE"""),41831.99861111111)</f>
        <v>41831.99861</v>
      </c>
      <c r="B1518" s="1">
        <f>IFERROR(__xludf.DUMMYFUNCTION("""COMPUTED_VALUE"""),13004.563)</f>
        <v>13004.563</v>
      </c>
    </row>
    <row r="1519">
      <c r="A1519" s="3">
        <f>IFERROR(__xludf.DUMMYFUNCTION("""COMPUTED_VALUE"""),41832.99861111111)</f>
        <v>41832.99861</v>
      </c>
      <c r="B1519" s="1">
        <f>IFERROR(__xludf.DUMMYFUNCTION("""COMPUTED_VALUE"""),13047.72595)</f>
        <v>13047.72595</v>
      </c>
    </row>
    <row r="1520">
      <c r="A1520" s="3">
        <f>IFERROR(__xludf.DUMMYFUNCTION("""COMPUTED_VALUE"""),41833.99861111111)</f>
        <v>41833.99861</v>
      </c>
      <c r="B1520" s="1">
        <f>IFERROR(__xludf.DUMMYFUNCTION("""COMPUTED_VALUE"""),13045.39766)</f>
        <v>13045.39766</v>
      </c>
    </row>
    <row r="1521">
      <c r="A1521" s="3">
        <f>IFERROR(__xludf.DUMMYFUNCTION("""COMPUTED_VALUE"""),41834.99861111111)</f>
        <v>41834.99861</v>
      </c>
      <c r="B1521" s="1">
        <f>IFERROR(__xludf.DUMMYFUNCTION("""COMPUTED_VALUE"""),13073.192)</f>
        <v>13073.192</v>
      </c>
    </row>
    <row r="1522">
      <c r="A1522" s="3">
        <f>IFERROR(__xludf.DUMMYFUNCTION("""COMPUTED_VALUE"""),41835.99861111111)</f>
        <v>41835.99861</v>
      </c>
      <c r="B1522" s="1">
        <f>IFERROR(__xludf.DUMMYFUNCTION("""COMPUTED_VALUE"""),13080.692)</f>
        <v>13080.692</v>
      </c>
    </row>
    <row r="1523">
      <c r="A1523" s="3">
        <f>IFERROR(__xludf.DUMMYFUNCTION("""COMPUTED_VALUE"""),41836.99861111111)</f>
        <v>41836.99861</v>
      </c>
      <c r="B1523" s="1">
        <f>IFERROR(__xludf.DUMMYFUNCTION("""COMPUTED_VALUE"""),12959.8744)</f>
        <v>12959.8744</v>
      </c>
    </row>
    <row r="1524">
      <c r="A1524" s="3">
        <f>IFERROR(__xludf.DUMMYFUNCTION("""COMPUTED_VALUE"""),41837.99861111111)</f>
        <v>41837.99861</v>
      </c>
      <c r="B1524" s="1">
        <f>IFERROR(__xludf.DUMMYFUNCTION("""COMPUTED_VALUE"""),12988.074)</f>
        <v>12988.074</v>
      </c>
    </row>
    <row r="1525">
      <c r="A1525" s="3">
        <f>IFERROR(__xludf.DUMMYFUNCTION("""COMPUTED_VALUE"""),41838.99861111111)</f>
        <v>41838.99861</v>
      </c>
      <c r="B1525" s="1">
        <f>IFERROR(__xludf.DUMMYFUNCTION("""COMPUTED_VALUE"""),12925.172)</f>
        <v>12925.172</v>
      </c>
    </row>
    <row r="1526">
      <c r="A1526" s="3">
        <f>IFERROR(__xludf.DUMMYFUNCTION("""COMPUTED_VALUE"""),41839.99861111111)</f>
        <v>41839.99861</v>
      </c>
      <c r="B1526" s="1">
        <f>IFERROR(__xludf.DUMMYFUNCTION("""COMPUTED_VALUE"""),12954.59443)</f>
        <v>12954.59443</v>
      </c>
    </row>
    <row r="1527">
      <c r="A1527" s="3">
        <f>IFERROR(__xludf.DUMMYFUNCTION("""COMPUTED_VALUE"""),41840.99861111111)</f>
        <v>41840.99861</v>
      </c>
      <c r="B1527" s="1">
        <f>IFERROR(__xludf.DUMMYFUNCTION("""COMPUTED_VALUE"""),12962.74344)</f>
        <v>12962.74344</v>
      </c>
    </row>
    <row r="1528">
      <c r="A1528" s="3">
        <f>IFERROR(__xludf.DUMMYFUNCTION("""COMPUTED_VALUE"""),41841.99861111111)</f>
        <v>41841.99861</v>
      </c>
      <c r="B1528" s="1">
        <f>IFERROR(__xludf.DUMMYFUNCTION("""COMPUTED_VALUE"""),12869.748)</f>
        <v>12869.748</v>
      </c>
    </row>
    <row r="1529">
      <c r="A1529" s="3">
        <f>IFERROR(__xludf.DUMMYFUNCTION("""COMPUTED_VALUE"""),41842.99861111111)</f>
        <v>41842.99861</v>
      </c>
      <c r="B1529" s="1">
        <f>IFERROR(__xludf.DUMMYFUNCTION("""COMPUTED_VALUE"""),12832.8402)</f>
        <v>12832.8402</v>
      </c>
    </row>
    <row r="1530">
      <c r="A1530" s="3">
        <f>IFERROR(__xludf.DUMMYFUNCTION("""COMPUTED_VALUE"""),41843.99861111111)</f>
        <v>41843.99861</v>
      </c>
      <c r="B1530" s="1">
        <f>IFERROR(__xludf.DUMMYFUNCTION("""COMPUTED_VALUE"""),12723.083)</f>
        <v>12723.083</v>
      </c>
    </row>
    <row r="1531">
      <c r="A1531" s="3">
        <f>IFERROR(__xludf.DUMMYFUNCTION("""COMPUTED_VALUE"""),41844.99861111111)</f>
        <v>41844.99861</v>
      </c>
      <c r="B1531" s="1">
        <f>IFERROR(__xludf.DUMMYFUNCTION("""COMPUTED_VALUE"""),12798.4608)</f>
        <v>12798.4608</v>
      </c>
    </row>
    <row r="1532">
      <c r="A1532" s="3">
        <f>IFERROR(__xludf.DUMMYFUNCTION("""COMPUTED_VALUE"""),41845.99861111111)</f>
        <v>41845.99861</v>
      </c>
      <c r="B1532" s="1">
        <f>IFERROR(__xludf.DUMMYFUNCTION("""COMPUTED_VALUE"""),12774.905)</f>
        <v>12774.905</v>
      </c>
    </row>
    <row r="1533">
      <c r="A1533" s="3">
        <f>IFERROR(__xludf.DUMMYFUNCTION("""COMPUTED_VALUE"""),41846.99861111111)</f>
        <v>41846.99861</v>
      </c>
      <c r="B1533" s="1">
        <f>IFERROR(__xludf.DUMMYFUNCTION("""COMPUTED_VALUE"""),12804.1654)</f>
        <v>12804.1654</v>
      </c>
    </row>
    <row r="1534">
      <c r="A1534" s="3">
        <f>IFERROR(__xludf.DUMMYFUNCTION("""COMPUTED_VALUE"""),41847.99861111111)</f>
        <v>41847.99861</v>
      </c>
      <c r="B1534" s="1">
        <f>IFERROR(__xludf.DUMMYFUNCTION("""COMPUTED_VALUE"""),12806.48289)</f>
        <v>12806.48289</v>
      </c>
    </row>
    <row r="1535">
      <c r="A1535" s="3">
        <f>IFERROR(__xludf.DUMMYFUNCTION("""COMPUTED_VALUE"""),41848.99861111111)</f>
        <v>41848.99861</v>
      </c>
      <c r="B1535" s="1">
        <f>IFERROR(__xludf.DUMMYFUNCTION("""COMPUTED_VALUE"""),12785.3099)</f>
        <v>12785.3099</v>
      </c>
    </row>
    <row r="1536">
      <c r="A1536" s="3">
        <f>IFERROR(__xludf.DUMMYFUNCTION("""COMPUTED_VALUE"""),41849.99861111111)</f>
        <v>41849.99861</v>
      </c>
      <c r="B1536" s="1">
        <f>IFERROR(__xludf.DUMMYFUNCTION("""COMPUTED_VALUE"""),12748.3147)</f>
        <v>12748.3147</v>
      </c>
    </row>
    <row r="1537">
      <c r="A1537" s="3">
        <f>IFERROR(__xludf.DUMMYFUNCTION("""COMPUTED_VALUE"""),41850.99861111111)</f>
        <v>41850.99861</v>
      </c>
      <c r="B1537" s="1">
        <f>IFERROR(__xludf.DUMMYFUNCTION("""COMPUTED_VALUE"""),12719.4122)</f>
        <v>12719.4122</v>
      </c>
    </row>
    <row r="1538">
      <c r="A1538" s="3">
        <f>IFERROR(__xludf.DUMMYFUNCTION("""COMPUTED_VALUE"""),41851.99861111111)</f>
        <v>41851.99861</v>
      </c>
      <c r="B1538" s="1">
        <f>IFERROR(__xludf.DUMMYFUNCTION("""COMPUTED_VALUE"""),12939.4522)</f>
        <v>12939.4522</v>
      </c>
    </row>
    <row r="1539">
      <c r="A1539" s="3">
        <f>IFERROR(__xludf.DUMMYFUNCTION("""COMPUTED_VALUE"""),41852.99861111111)</f>
        <v>41852.99861</v>
      </c>
      <c r="B1539" s="1">
        <f>IFERROR(__xludf.DUMMYFUNCTION("""COMPUTED_VALUE"""),13094.544)</f>
        <v>13094.544</v>
      </c>
    </row>
    <row r="1540">
      <c r="A1540" s="3">
        <f>IFERROR(__xludf.DUMMYFUNCTION("""COMPUTED_VALUE"""),41853.99861111111)</f>
        <v>41853.99861</v>
      </c>
      <c r="B1540" s="1">
        <f>IFERROR(__xludf.DUMMYFUNCTION("""COMPUTED_VALUE"""),13033.05184)</f>
        <v>13033.05184</v>
      </c>
    </row>
    <row r="1541">
      <c r="A1541" s="3">
        <f>IFERROR(__xludf.DUMMYFUNCTION("""COMPUTED_VALUE"""),41854.99861111111)</f>
        <v>41854.99861</v>
      </c>
      <c r="B1541" s="1">
        <f>IFERROR(__xludf.DUMMYFUNCTION("""COMPUTED_VALUE"""),13105.69568)</f>
        <v>13105.69568</v>
      </c>
    </row>
    <row r="1542">
      <c r="A1542" s="3">
        <f>IFERROR(__xludf.DUMMYFUNCTION("""COMPUTED_VALUE"""),41855.99861111111)</f>
        <v>41855.99861</v>
      </c>
      <c r="B1542" s="1">
        <f>IFERROR(__xludf.DUMMYFUNCTION("""COMPUTED_VALUE"""),12961.063)</f>
        <v>12961.063</v>
      </c>
    </row>
    <row r="1543">
      <c r="A1543" s="3">
        <f>IFERROR(__xludf.DUMMYFUNCTION("""COMPUTED_VALUE"""),41856.99861111111)</f>
        <v>41856.99861</v>
      </c>
      <c r="B1543" s="1">
        <f>IFERROR(__xludf.DUMMYFUNCTION("""COMPUTED_VALUE"""),12833.16)</f>
        <v>12833.16</v>
      </c>
    </row>
    <row r="1544">
      <c r="A1544" s="3">
        <f>IFERROR(__xludf.DUMMYFUNCTION("""COMPUTED_VALUE"""),41857.99861111111)</f>
        <v>41857.99861</v>
      </c>
      <c r="B1544" s="1">
        <f>IFERROR(__xludf.DUMMYFUNCTION("""COMPUTED_VALUE"""),12952.6128)</f>
        <v>12952.6128</v>
      </c>
    </row>
    <row r="1545">
      <c r="A1545" s="3">
        <f>IFERROR(__xludf.DUMMYFUNCTION("""COMPUTED_VALUE"""),41858.99861111111)</f>
        <v>41858.99861</v>
      </c>
      <c r="B1545" s="1">
        <f>IFERROR(__xludf.DUMMYFUNCTION("""COMPUTED_VALUE"""),12987.7)</f>
        <v>12987.7</v>
      </c>
    </row>
    <row r="1546">
      <c r="A1546" s="3">
        <f>IFERROR(__xludf.DUMMYFUNCTION("""COMPUTED_VALUE"""),41859.99861111111)</f>
        <v>41859.99861</v>
      </c>
      <c r="B1546" s="1">
        <f>IFERROR(__xludf.DUMMYFUNCTION("""COMPUTED_VALUE"""),12968.829)</f>
        <v>12968.829</v>
      </c>
    </row>
    <row r="1547">
      <c r="A1547" s="3">
        <f>IFERROR(__xludf.DUMMYFUNCTION("""COMPUTED_VALUE"""),41860.99861111111)</f>
        <v>41860.99861</v>
      </c>
      <c r="B1547" s="1">
        <f>IFERROR(__xludf.DUMMYFUNCTION("""COMPUTED_VALUE"""),13036.59375)</f>
        <v>13036.59375</v>
      </c>
    </row>
    <row r="1548">
      <c r="A1548" s="3">
        <f>IFERROR(__xludf.DUMMYFUNCTION("""COMPUTED_VALUE"""),41861.99861111111)</f>
        <v>41861.99861</v>
      </c>
      <c r="B1548" s="1">
        <f>IFERROR(__xludf.DUMMYFUNCTION("""COMPUTED_VALUE"""),13048.46228)</f>
        <v>13048.46228</v>
      </c>
    </row>
    <row r="1549">
      <c r="A1549" s="3">
        <f>IFERROR(__xludf.DUMMYFUNCTION("""COMPUTED_VALUE"""),41862.99861111111)</f>
        <v>41862.99861</v>
      </c>
      <c r="B1549" s="1">
        <f>IFERROR(__xludf.DUMMYFUNCTION("""COMPUTED_VALUE"""),12903.93)</f>
        <v>12903.93</v>
      </c>
    </row>
    <row r="1550">
      <c r="A1550" s="3">
        <f>IFERROR(__xludf.DUMMYFUNCTION("""COMPUTED_VALUE"""),41863.99861111111)</f>
        <v>41863.99861</v>
      </c>
      <c r="B1550" s="1">
        <f>IFERROR(__xludf.DUMMYFUNCTION("""COMPUTED_VALUE"""),12867.856)</f>
        <v>12867.856</v>
      </c>
    </row>
    <row r="1551">
      <c r="A1551" s="3">
        <f>IFERROR(__xludf.DUMMYFUNCTION("""COMPUTED_VALUE"""),41864.99861111111)</f>
        <v>41864.99861</v>
      </c>
      <c r="B1551" s="1">
        <f>IFERROR(__xludf.DUMMYFUNCTION("""COMPUTED_VALUE"""),12872.3294)</f>
        <v>12872.3294</v>
      </c>
    </row>
    <row r="1552">
      <c r="A1552" s="3">
        <f>IFERROR(__xludf.DUMMYFUNCTION("""COMPUTED_VALUE"""),41865.99861111111)</f>
        <v>41865.99861</v>
      </c>
      <c r="B1552" s="1">
        <f>IFERROR(__xludf.DUMMYFUNCTION("""COMPUTED_VALUE"""),12869.676)</f>
        <v>12869.676</v>
      </c>
    </row>
    <row r="1553">
      <c r="A1553" s="3">
        <f>IFERROR(__xludf.DUMMYFUNCTION("""COMPUTED_VALUE"""),41866.99861111111)</f>
        <v>41866.99861</v>
      </c>
      <c r="B1553" s="1">
        <f>IFERROR(__xludf.DUMMYFUNCTION("""COMPUTED_VALUE"""),12921.2025)</f>
        <v>12921.2025</v>
      </c>
    </row>
    <row r="1554">
      <c r="A1554" s="3">
        <f>IFERROR(__xludf.DUMMYFUNCTION("""COMPUTED_VALUE"""),41867.99861111111)</f>
        <v>41867.99861</v>
      </c>
      <c r="B1554" s="1">
        <f>IFERROR(__xludf.DUMMYFUNCTION("""COMPUTED_VALUE"""),12938.0808)</f>
        <v>12938.0808</v>
      </c>
    </row>
    <row r="1555">
      <c r="A1555" s="3">
        <f>IFERROR(__xludf.DUMMYFUNCTION("""COMPUTED_VALUE"""),41868.99861111111)</f>
        <v>41868.99861</v>
      </c>
      <c r="B1555" s="1">
        <f>IFERROR(__xludf.DUMMYFUNCTION("""COMPUTED_VALUE"""),12922.89388)</f>
        <v>12922.89388</v>
      </c>
    </row>
    <row r="1556">
      <c r="A1556" s="3">
        <f>IFERROR(__xludf.DUMMYFUNCTION("""COMPUTED_VALUE"""),41869.99861111111)</f>
        <v>41869.99861</v>
      </c>
      <c r="B1556" s="1">
        <f>IFERROR(__xludf.DUMMYFUNCTION("""COMPUTED_VALUE"""),12880.704)</f>
        <v>12880.704</v>
      </c>
    </row>
    <row r="1557">
      <c r="A1557" s="3">
        <f>IFERROR(__xludf.DUMMYFUNCTION("""COMPUTED_VALUE"""),41870.99861111111)</f>
        <v>41870.99861</v>
      </c>
      <c r="B1557" s="1">
        <f>IFERROR(__xludf.DUMMYFUNCTION("""COMPUTED_VALUE"""),12824.6348)</f>
        <v>12824.6348</v>
      </c>
    </row>
    <row r="1558">
      <c r="A1558" s="3">
        <f>IFERROR(__xludf.DUMMYFUNCTION("""COMPUTED_VALUE"""),41871.99861111111)</f>
        <v>41871.99861</v>
      </c>
      <c r="B1558" s="1">
        <f>IFERROR(__xludf.DUMMYFUNCTION("""COMPUTED_VALUE"""),12805.65)</f>
        <v>12805.65</v>
      </c>
    </row>
    <row r="1559">
      <c r="A1559" s="3">
        <f>IFERROR(__xludf.DUMMYFUNCTION("""COMPUTED_VALUE"""),41872.99861111111)</f>
        <v>41872.99861</v>
      </c>
      <c r="B1559" s="1">
        <f>IFERROR(__xludf.DUMMYFUNCTION("""COMPUTED_VALUE"""),12822.9048)</f>
        <v>12822.9048</v>
      </c>
    </row>
    <row r="1560">
      <c r="A1560" s="3">
        <f>IFERROR(__xludf.DUMMYFUNCTION("""COMPUTED_VALUE"""),41873.99861111111)</f>
        <v>41873.99861</v>
      </c>
      <c r="B1560" s="1">
        <f>IFERROR(__xludf.DUMMYFUNCTION("""COMPUTED_VALUE"""),12757.206)</f>
        <v>12757.206</v>
      </c>
    </row>
    <row r="1561">
      <c r="A1561" s="3">
        <f>IFERROR(__xludf.DUMMYFUNCTION("""COMPUTED_VALUE"""),41874.99861111111)</f>
        <v>41874.99861</v>
      </c>
      <c r="B1561" s="1">
        <f>IFERROR(__xludf.DUMMYFUNCTION("""COMPUTED_VALUE"""),12783.87523)</f>
        <v>12783.87523</v>
      </c>
    </row>
    <row r="1562">
      <c r="A1562" s="3">
        <f>IFERROR(__xludf.DUMMYFUNCTION("""COMPUTED_VALUE"""),41875.99861111111)</f>
        <v>41875.99861</v>
      </c>
      <c r="B1562" s="1">
        <f>IFERROR(__xludf.DUMMYFUNCTION("""COMPUTED_VALUE"""),12733.6416)</f>
        <v>12733.6416</v>
      </c>
    </row>
    <row r="1563">
      <c r="A1563" s="3">
        <f>IFERROR(__xludf.DUMMYFUNCTION("""COMPUTED_VALUE"""),41876.99861111111)</f>
        <v>41876.99861</v>
      </c>
      <c r="B1563" s="1">
        <f>IFERROR(__xludf.DUMMYFUNCTION("""COMPUTED_VALUE"""),12768.367)</f>
        <v>12768.367</v>
      </c>
    </row>
    <row r="1564">
      <c r="A1564" s="3">
        <f>IFERROR(__xludf.DUMMYFUNCTION("""COMPUTED_VALUE"""),41877.99861111111)</f>
        <v>41877.99861</v>
      </c>
      <c r="B1564" s="1">
        <f>IFERROR(__xludf.DUMMYFUNCTION("""COMPUTED_VALUE"""),12748.4804)</f>
        <v>12748.4804</v>
      </c>
    </row>
    <row r="1565">
      <c r="A1565" s="3">
        <f>IFERROR(__xludf.DUMMYFUNCTION("""COMPUTED_VALUE"""),41878.99861111111)</f>
        <v>41878.99861</v>
      </c>
      <c r="B1565" s="1">
        <f>IFERROR(__xludf.DUMMYFUNCTION("""COMPUTED_VALUE"""),12748.6785)</f>
        <v>12748.6785</v>
      </c>
    </row>
    <row r="1566">
      <c r="A1566" s="3">
        <f>IFERROR(__xludf.DUMMYFUNCTION("""COMPUTED_VALUE"""),41879.99861111111)</f>
        <v>41879.99861</v>
      </c>
      <c r="B1566" s="1">
        <f>IFERROR(__xludf.DUMMYFUNCTION("""COMPUTED_VALUE"""),12796.2945)</f>
        <v>12796.2945</v>
      </c>
    </row>
    <row r="1567">
      <c r="A1567" s="3">
        <f>IFERROR(__xludf.DUMMYFUNCTION("""COMPUTED_VALUE"""),41880.99861111111)</f>
        <v>41880.99861</v>
      </c>
      <c r="B1567" s="1">
        <f>IFERROR(__xludf.DUMMYFUNCTION("""COMPUTED_VALUE"""),12727.7496)</f>
        <v>12727.7496</v>
      </c>
    </row>
    <row r="1568">
      <c r="A1568" s="3">
        <f>IFERROR(__xludf.DUMMYFUNCTION("""COMPUTED_VALUE"""),41881.99861111111)</f>
        <v>41881.99861</v>
      </c>
      <c r="B1568" s="1">
        <f>IFERROR(__xludf.DUMMYFUNCTION("""COMPUTED_VALUE"""),12745.8996)</f>
        <v>12745.8996</v>
      </c>
    </row>
    <row r="1569">
      <c r="A1569" s="3">
        <f>IFERROR(__xludf.DUMMYFUNCTION("""COMPUTED_VALUE"""),41882.99861111111)</f>
        <v>41882.99861</v>
      </c>
      <c r="B1569" s="1">
        <f>IFERROR(__xludf.DUMMYFUNCTION("""COMPUTED_VALUE"""),12744.72864)</f>
        <v>12744.72864</v>
      </c>
    </row>
    <row r="1570">
      <c r="A1570" s="3">
        <f>IFERROR(__xludf.DUMMYFUNCTION("""COMPUTED_VALUE"""),41883.99861111111)</f>
        <v>41883.99861</v>
      </c>
      <c r="B1570" s="1">
        <f>IFERROR(__xludf.DUMMYFUNCTION("""COMPUTED_VALUE"""),12730.1084)</f>
        <v>12730.1084</v>
      </c>
    </row>
    <row r="1571">
      <c r="A1571" s="3">
        <f>IFERROR(__xludf.DUMMYFUNCTION("""COMPUTED_VALUE"""),41884.99861111111)</f>
        <v>41884.99861</v>
      </c>
      <c r="B1571" s="1">
        <f>IFERROR(__xludf.DUMMYFUNCTION("""COMPUTED_VALUE"""),12776.384)</f>
        <v>12776.384</v>
      </c>
    </row>
    <row r="1572">
      <c r="A1572" s="3">
        <f>IFERROR(__xludf.DUMMYFUNCTION("""COMPUTED_VALUE"""),41885.99861111111)</f>
        <v>41885.99861</v>
      </c>
      <c r="B1572" s="1">
        <f>IFERROR(__xludf.DUMMYFUNCTION("""COMPUTED_VALUE"""),12822.4999)</f>
        <v>12822.4999</v>
      </c>
    </row>
    <row r="1573">
      <c r="A1573" s="3">
        <f>IFERROR(__xludf.DUMMYFUNCTION("""COMPUTED_VALUE"""),41886.99861111111)</f>
        <v>41886.99861</v>
      </c>
      <c r="B1573" s="1">
        <f>IFERROR(__xludf.DUMMYFUNCTION("""COMPUTED_VALUE"""),12584.0038)</f>
        <v>12584.0038</v>
      </c>
    </row>
    <row r="1574">
      <c r="A1574" s="3">
        <f>IFERROR(__xludf.DUMMYFUNCTION("""COMPUTED_VALUE"""),41887.99861111111)</f>
        <v>41887.99861</v>
      </c>
      <c r="B1574" s="1">
        <f>IFERROR(__xludf.DUMMYFUNCTION("""COMPUTED_VALUE"""),12582.3948)</f>
        <v>12582.3948</v>
      </c>
    </row>
    <row r="1575">
      <c r="A1575" s="3">
        <f>IFERROR(__xludf.DUMMYFUNCTION("""COMPUTED_VALUE"""),41888.99861111111)</f>
        <v>41888.99861</v>
      </c>
      <c r="B1575" s="1">
        <f>IFERROR(__xludf.DUMMYFUNCTION("""COMPUTED_VALUE"""),12598.58167)</f>
        <v>12598.58167</v>
      </c>
    </row>
    <row r="1576">
      <c r="A1576" s="3">
        <f>IFERROR(__xludf.DUMMYFUNCTION("""COMPUTED_VALUE"""),41889.99861111111)</f>
        <v>41889.99861</v>
      </c>
      <c r="B1576" s="1">
        <f>IFERROR(__xludf.DUMMYFUNCTION("""COMPUTED_VALUE"""),12603.2765)</f>
        <v>12603.2765</v>
      </c>
    </row>
    <row r="1577">
      <c r="A1577" s="3">
        <f>IFERROR(__xludf.DUMMYFUNCTION("""COMPUTED_VALUE"""),41890.99861111111)</f>
        <v>41890.99861</v>
      </c>
      <c r="B1577" s="1">
        <f>IFERROR(__xludf.DUMMYFUNCTION("""COMPUTED_VALUE"""),12520.0257)</f>
        <v>12520.0257</v>
      </c>
    </row>
    <row r="1578">
      <c r="A1578" s="3">
        <f>IFERROR(__xludf.DUMMYFUNCTION("""COMPUTED_VALUE"""),41891.99861111111)</f>
        <v>41891.99861</v>
      </c>
      <c r="B1578" s="1">
        <f>IFERROR(__xludf.DUMMYFUNCTION("""COMPUTED_VALUE"""),12649.3836)</f>
        <v>12649.3836</v>
      </c>
    </row>
    <row r="1579">
      <c r="A1579" s="3">
        <f>IFERROR(__xludf.DUMMYFUNCTION("""COMPUTED_VALUE"""),41892.99861111111)</f>
        <v>41892.99861</v>
      </c>
      <c r="B1579" s="1">
        <f>IFERROR(__xludf.DUMMYFUNCTION("""COMPUTED_VALUE"""),12611.331)</f>
        <v>12611.331</v>
      </c>
    </row>
    <row r="1580">
      <c r="A1580" s="3">
        <f>IFERROR(__xludf.DUMMYFUNCTION("""COMPUTED_VALUE"""),41893.99861111111)</f>
        <v>41893.99861</v>
      </c>
      <c r="B1580" s="1">
        <f>IFERROR(__xludf.DUMMYFUNCTION("""COMPUTED_VALUE"""),12636.806)</f>
        <v>12636.806</v>
      </c>
    </row>
    <row r="1581">
      <c r="A1581" s="3">
        <f>IFERROR(__xludf.DUMMYFUNCTION("""COMPUTED_VALUE"""),41894.99861111111)</f>
        <v>41894.99861</v>
      </c>
      <c r="B1581" s="1">
        <f>IFERROR(__xludf.DUMMYFUNCTION("""COMPUTED_VALUE"""),12735.966)</f>
        <v>12735.966</v>
      </c>
    </row>
    <row r="1582">
      <c r="A1582" s="3">
        <f>IFERROR(__xludf.DUMMYFUNCTION("""COMPUTED_VALUE"""),41895.99861111111)</f>
        <v>41895.99861</v>
      </c>
      <c r="B1582" s="1">
        <f>IFERROR(__xludf.DUMMYFUNCTION("""COMPUTED_VALUE"""),12741.66462)</f>
        <v>12741.66462</v>
      </c>
    </row>
    <row r="1583">
      <c r="A1583" s="3">
        <f>IFERROR(__xludf.DUMMYFUNCTION("""COMPUTED_VALUE"""),41896.99861111111)</f>
        <v>41896.99861</v>
      </c>
      <c r="B1583" s="1">
        <f>IFERROR(__xludf.DUMMYFUNCTION("""COMPUTED_VALUE"""),12752.37891)</f>
        <v>12752.37891</v>
      </c>
    </row>
    <row r="1584">
      <c r="A1584" s="3">
        <f>IFERROR(__xludf.DUMMYFUNCTION("""COMPUTED_VALUE"""),41897.99861111111)</f>
        <v>41897.99861</v>
      </c>
      <c r="B1584" s="1">
        <f>IFERROR(__xludf.DUMMYFUNCTION("""COMPUTED_VALUE"""),12753.741)</f>
        <v>12753.741</v>
      </c>
    </row>
    <row r="1585">
      <c r="A1585" s="3">
        <f>IFERROR(__xludf.DUMMYFUNCTION("""COMPUTED_VALUE"""),41898.99861111111)</f>
        <v>41898.99861</v>
      </c>
      <c r="B1585" s="1">
        <f>IFERROR(__xludf.DUMMYFUNCTION("""COMPUTED_VALUE"""),12839.5305)</f>
        <v>12839.5305</v>
      </c>
    </row>
    <row r="1586">
      <c r="A1586" s="3">
        <f>IFERROR(__xludf.DUMMYFUNCTION("""COMPUTED_VALUE"""),41899.99861111111)</f>
        <v>41899.99861</v>
      </c>
      <c r="B1586" s="1">
        <f>IFERROR(__xludf.DUMMYFUNCTION("""COMPUTED_VALUE"""),12688.0934)</f>
        <v>12688.0934</v>
      </c>
    </row>
    <row r="1587">
      <c r="A1587" s="3">
        <f>IFERROR(__xludf.DUMMYFUNCTION("""COMPUTED_VALUE"""),41900.99861111111)</f>
        <v>41900.99861</v>
      </c>
      <c r="B1587" s="1">
        <f>IFERROR(__xludf.DUMMYFUNCTION("""COMPUTED_VALUE"""),12810.4207)</f>
        <v>12810.4207</v>
      </c>
    </row>
    <row r="1588">
      <c r="A1588" s="3">
        <f>IFERROR(__xludf.DUMMYFUNCTION("""COMPUTED_VALUE"""),41901.99861111111)</f>
        <v>41901.99861</v>
      </c>
      <c r="B1588" s="1">
        <f>IFERROR(__xludf.DUMMYFUNCTION("""COMPUTED_VALUE"""),12730.7392)</f>
        <v>12730.7392</v>
      </c>
    </row>
    <row r="1589">
      <c r="A1589" s="3">
        <f>IFERROR(__xludf.DUMMYFUNCTION("""COMPUTED_VALUE"""),41902.99861111111)</f>
        <v>41902.99861</v>
      </c>
      <c r="B1589" s="1">
        <f>IFERROR(__xludf.DUMMYFUNCTION("""COMPUTED_VALUE"""),12755.1)</f>
        <v>12755.1</v>
      </c>
    </row>
    <row r="1590">
      <c r="A1590" s="3">
        <f>IFERROR(__xludf.DUMMYFUNCTION("""COMPUTED_VALUE"""),41903.99861111111)</f>
        <v>41903.99861</v>
      </c>
      <c r="B1590" s="1">
        <f>IFERROR(__xludf.DUMMYFUNCTION("""COMPUTED_VALUE"""),12763.50336)</f>
        <v>12763.50336</v>
      </c>
    </row>
    <row r="1591">
      <c r="A1591" s="3">
        <f>IFERROR(__xludf.DUMMYFUNCTION("""COMPUTED_VALUE"""),41904.99861111111)</f>
        <v>41904.99861</v>
      </c>
      <c r="B1591" s="1">
        <f>IFERROR(__xludf.DUMMYFUNCTION("""COMPUTED_VALUE"""),12752.8344)</f>
        <v>12752.8344</v>
      </c>
    </row>
    <row r="1592">
      <c r="A1592" s="3">
        <f>IFERROR(__xludf.DUMMYFUNCTION("""COMPUTED_VALUE"""),41905.99861111111)</f>
        <v>41905.99861</v>
      </c>
      <c r="B1592" s="1">
        <f>IFERROR(__xludf.DUMMYFUNCTION("""COMPUTED_VALUE"""),12734.883)</f>
        <v>12734.883</v>
      </c>
    </row>
    <row r="1593">
      <c r="A1593" s="3">
        <f>IFERROR(__xludf.DUMMYFUNCTION("""COMPUTED_VALUE"""),41906.99861111111)</f>
        <v>41906.99861</v>
      </c>
      <c r="B1593" s="1">
        <f>IFERROR(__xludf.DUMMYFUNCTION("""COMPUTED_VALUE"""),12624.9453)</f>
        <v>12624.9453</v>
      </c>
    </row>
    <row r="1594">
      <c r="A1594" s="3">
        <f>IFERROR(__xludf.DUMMYFUNCTION("""COMPUTED_VALUE"""),41907.99861111111)</f>
        <v>41907.99861</v>
      </c>
      <c r="B1594" s="1">
        <f>IFERROR(__xludf.DUMMYFUNCTION("""COMPUTED_VALUE"""),12654.51744)</f>
        <v>12654.51744</v>
      </c>
    </row>
    <row r="1595">
      <c r="A1595" s="3">
        <f>IFERROR(__xludf.DUMMYFUNCTION("""COMPUTED_VALUE"""),41908.99861111111)</f>
        <v>41908.99861</v>
      </c>
      <c r="B1595" s="1">
        <f>IFERROR(__xludf.DUMMYFUNCTION("""COMPUTED_VALUE"""),12662.14)</f>
        <v>12662.14</v>
      </c>
    </row>
    <row r="1596">
      <c r="A1596" s="3">
        <f>IFERROR(__xludf.DUMMYFUNCTION("""COMPUTED_VALUE"""),41909.99861111111)</f>
        <v>41909.99861</v>
      </c>
      <c r="B1596" s="1">
        <f>IFERROR(__xludf.DUMMYFUNCTION("""COMPUTED_VALUE"""),12677.91872)</f>
        <v>12677.91872</v>
      </c>
    </row>
    <row r="1597">
      <c r="A1597" s="3">
        <f>IFERROR(__xludf.DUMMYFUNCTION("""COMPUTED_VALUE"""),41910.99861111111)</f>
        <v>41910.99861</v>
      </c>
      <c r="B1597" s="1">
        <f>IFERROR(__xludf.DUMMYFUNCTION("""COMPUTED_VALUE"""),12664.64972)</f>
        <v>12664.64972</v>
      </c>
    </row>
    <row r="1598">
      <c r="A1598" s="3">
        <f>IFERROR(__xludf.DUMMYFUNCTION("""COMPUTED_VALUE"""),41911.99861111111)</f>
        <v>41911.99861</v>
      </c>
      <c r="B1598" s="1">
        <f>IFERROR(__xludf.DUMMYFUNCTION("""COMPUTED_VALUE"""),12764.8846)</f>
        <v>12764.8846</v>
      </c>
    </row>
    <row r="1599">
      <c r="A1599" s="3">
        <f>IFERROR(__xludf.DUMMYFUNCTION("""COMPUTED_VALUE"""),41912.99861111111)</f>
        <v>41912.99861</v>
      </c>
      <c r="B1599" s="1">
        <f>IFERROR(__xludf.DUMMYFUNCTION("""COMPUTED_VALUE"""),12747.225)</f>
        <v>12747.225</v>
      </c>
    </row>
    <row r="1600">
      <c r="A1600" s="3">
        <f>IFERROR(__xludf.DUMMYFUNCTION("""COMPUTED_VALUE"""),41913.99861111111)</f>
        <v>41913.99861</v>
      </c>
      <c r="B1600" s="1">
        <f>IFERROR(__xludf.DUMMYFUNCTION("""COMPUTED_VALUE"""),12680.702)</f>
        <v>12680.702</v>
      </c>
    </row>
    <row r="1601">
      <c r="A1601" s="3">
        <f>IFERROR(__xludf.DUMMYFUNCTION("""COMPUTED_VALUE"""),41914.99861111111)</f>
        <v>41914.99861</v>
      </c>
      <c r="B1601" s="1">
        <f>IFERROR(__xludf.DUMMYFUNCTION("""COMPUTED_VALUE"""),12695.7984)</f>
        <v>12695.7984</v>
      </c>
    </row>
    <row r="1602">
      <c r="A1602" s="3">
        <f>IFERROR(__xludf.DUMMYFUNCTION("""COMPUTED_VALUE"""),41915.99861111111)</f>
        <v>41915.99861</v>
      </c>
      <c r="B1602" s="1">
        <f>IFERROR(__xludf.DUMMYFUNCTION("""COMPUTED_VALUE"""),12585.4092)</f>
        <v>12585.4092</v>
      </c>
    </row>
    <row r="1603">
      <c r="A1603" s="3">
        <f>IFERROR(__xludf.DUMMYFUNCTION("""COMPUTED_VALUE"""),41916.99861111111)</f>
        <v>41916.99861</v>
      </c>
      <c r="B1603" s="1">
        <f>IFERROR(__xludf.DUMMYFUNCTION("""COMPUTED_VALUE"""),12603.65652)</f>
        <v>12603.65652</v>
      </c>
    </row>
    <row r="1604">
      <c r="A1604" s="3">
        <f>IFERROR(__xludf.DUMMYFUNCTION("""COMPUTED_VALUE"""),41917.99861111111)</f>
        <v>41917.99861</v>
      </c>
      <c r="B1604" s="1">
        <f>IFERROR(__xludf.DUMMYFUNCTION("""COMPUTED_VALUE"""),12596.33944)</f>
        <v>12596.33944</v>
      </c>
    </row>
    <row r="1605">
      <c r="A1605" s="3">
        <f>IFERROR(__xludf.DUMMYFUNCTION("""COMPUTED_VALUE"""),41918.99861111111)</f>
        <v>41918.99861</v>
      </c>
      <c r="B1605" s="1">
        <f>IFERROR(__xludf.DUMMYFUNCTION("""COMPUTED_VALUE"""),12675.3945)</f>
        <v>12675.3945</v>
      </c>
    </row>
    <row r="1606">
      <c r="A1606" s="3">
        <f>IFERROR(__xludf.DUMMYFUNCTION("""COMPUTED_VALUE"""),41919.99861111111)</f>
        <v>41919.99861</v>
      </c>
      <c r="B1606" s="1">
        <f>IFERROR(__xludf.DUMMYFUNCTION("""COMPUTED_VALUE"""),12766.5882)</f>
        <v>12766.5882</v>
      </c>
    </row>
    <row r="1607">
      <c r="A1607" s="3">
        <f>IFERROR(__xludf.DUMMYFUNCTION("""COMPUTED_VALUE"""),41920.99861111111)</f>
        <v>41920.99861</v>
      </c>
      <c r="B1607" s="1">
        <f>IFERROR(__xludf.DUMMYFUNCTION("""COMPUTED_VALUE"""),12818.058)</f>
        <v>12818.058</v>
      </c>
    </row>
    <row r="1608">
      <c r="A1608" s="3">
        <f>IFERROR(__xludf.DUMMYFUNCTION("""COMPUTED_VALUE"""),41921.99861111111)</f>
        <v>41921.99861</v>
      </c>
      <c r="B1608" s="1">
        <f>IFERROR(__xludf.DUMMYFUNCTION("""COMPUTED_VALUE"""),12769.9008)</f>
        <v>12769.9008</v>
      </c>
    </row>
    <row r="1609">
      <c r="A1609" s="3">
        <f>IFERROR(__xludf.DUMMYFUNCTION("""COMPUTED_VALUE"""),41922.99861111111)</f>
        <v>41922.99861</v>
      </c>
      <c r="B1609" s="1">
        <f>IFERROR(__xludf.DUMMYFUNCTION("""COMPUTED_VALUE"""),12749.682)</f>
        <v>12749.682</v>
      </c>
    </row>
    <row r="1610">
      <c r="A1610" s="3">
        <f>IFERROR(__xludf.DUMMYFUNCTION("""COMPUTED_VALUE"""),41923.99861111111)</f>
        <v>41923.99861</v>
      </c>
      <c r="B1610" s="1">
        <f>IFERROR(__xludf.DUMMYFUNCTION("""COMPUTED_VALUE"""),12765.2719)</f>
        <v>12765.2719</v>
      </c>
    </row>
    <row r="1611">
      <c r="A1611" s="3">
        <f>IFERROR(__xludf.DUMMYFUNCTION("""COMPUTED_VALUE"""),41924.99861111111)</f>
        <v>41924.99861</v>
      </c>
      <c r="B1611" s="1">
        <f>IFERROR(__xludf.DUMMYFUNCTION("""COMPUTED_VALUE"""),12793.87824)</f>
        <v>12793.87824</v>
      </c>
    </row>
    <row r="1612">
      <c r="A1612" s="3">
        <f>IFERROR(__xludf.DUMMYFUNCTION("""COMPUTED_VALUE"""),41925.99861111111)</f>
        <v>41925.99861</v>
      </c>
      <c r="B1612" s="1">
        <f>IFERROR(__xludf.DUMMYFUNCTION("""COMPUTED_VALUE"""),12856.36)</f>
        <v>12856.36</v>
      </c>
    </row>
    <row r="1613">
      <c r="A1613" s="3">
        <f>IFERROR(__xludf.DUMMYFUNCTION("""COMPUTED_VALUE"""),41926.99861111111)</f>
        <v>41926.99861</v>
      </c>
      <c r="B1613" s="1">
        <f>IFERROR(__xludf.DUMMYFUNCTION("""COMPUTED_VALUE"""),12772.5258)</f>
        <v>12772.5258</v>
      </c>
    </row>
    <row r="1614">
      <c r="A1614" s="3">
        <f>IFERROR(__xludf.DUMMYFUNCTION("""COMPUTED_VALUE"""),41927.99861111111)</f>
        <v>41927.99861</v>
      </c>
      <c r="B1614" s="1">
        <f>IFERROR(__xludf.DUMMYFUNCTION("""COMPUTED_VALUE"""),12983.8513)</f>
        <v>12983.8513</v>
      </c>
    </row>
    <row r="1615">
      <c r="A1615" s="3">
        <f>IFERROR(__xludf.DUMMYFUNCTION("""COMPUTED_VALUE"""),41928.99861111111)</f>
        <v>41928.99861</v>
      </c>
      <c r="B1615" s="1">
        <f>IFERROR(__xludf.DUMMYFUNCTION("""COMPUTED_VALUE"""),12946.263)</f>
        <v>12946.263</v>
      </c>
    </row>
    <row r="1616">
      <c r="A1616" s="3">
        <f>IFERROR(__xludf.DUMMYFUNCTION("""COMPUTED_VALUE"""),41929.99861111111)</f>
        <v>41929.99861</v>
      </c>
      <c r="B1616" s="1">
        <f>IFERROR(__xludf.DUMMYFUNCTION("""COMPUTED_VALUE"""),12782.1324)</f>
        <v>12782.1324</v>
      </c>
    </row>
    <row r="1617">
      <c r="A1617" s="3">
        <f>IFERROR(__xludf.DUMMYFUNCTION("""COMPUTED_VALUE"""),41930.99861111111)</f>
        <v>41930.99861</v>
      </c>
      <c r="B1617" s="1">
        <f>IFERROR(__xludf.DUMMYFUNCTION("""COMPUTED_VALUE"""),12804.84624)</f>
        <v>12804.84624</v>
      </c>
    </row>
    <row r="1618">
      <c r="A1618" s="3">
        <f>IFERROR(__xludf.DUMMYFUNCTION("""COMPUTED_VALUE"""),41931.99861111111)</f>
        <v>41931.99861</v>
      </c>
      <c r="B1618" s="1">
        <f>IFERROR(__xludf.DUMMYFUNCTION("""COMPUTED_VALUE"""),12791.51291)</f>
        <v>12791.51291</v>
      </c>
    </row>
    <row r="1619">
      <c r="A1619" s="3">
        <f>IFERROR(__xludf.DUMMYFUNCTION("""COMPUTED_VALUE"""),41932.99861111111)</f>
        <v>41932.99861</v>
      </c>
      <c r="B1619" s="1">
        <f>IFERROR(__xludf.DUMMYFUNCTION("""COMPUTED_VALUE"""),12741.4836)</f>
        <v>12741.4836</v>
      </c>
    </row>
    <row r="1620">
      <c r="A1620" s="3">
        <f>IFERROR(__xludf.DUMMYFUNCTION("""COMPUTED_VALUE"""),41933.99861111111)</f>
        <v>41933.99861</v>
      </c>
      <c r="B1620" s="1">
        <f>IFERROR(__xludf.DUMMYFUNCTION("""COMPUTED_VALUE"""),12627.1058)</f>
        <v>12627.1058</v>
      </c>
    </row>
    <row r="1621">
      <c r="A1621" s="3">
        <f>IFERROR(__xludf.DUMMYFUNCTION("""COMPUTED_VALUE"""),41934.99861111111)</f>
        <v>41934.99861</v>
      </c>
      <c r="B1621" s="1">
        <f>IFERROR(__xludf.DUMMYFUNCTION("""COMPUTED_VALUE"""),12559.832)</f>
        <v>12559.832</v>
      </c>
    </row>
    <row r="1622">
      <c r="A1622" s="3">
        <f>IFERROR(__xludf.DUMMYFUNCTION("""COMPUTED_VALUE"""),41935.99861111111)</f>
        <v>41935.99861</v>
      </c>
      <c r="B1622" s="1">
        <f>IFERROR(__xludf.DUMMYFUNCTION("""COMPUTED_VALUE"""),12638.462)</f>
        <v>12638.462</v>
      </c>
    </row>
    <row r="1623">
      <c r="A1623" s="3">
        <f>IFERROR(__xludf.DUMMYFUNCTION("""COMPUTED_VALUE"""),41936.99861111111)</f>
        <v>41936.99861</v>
      </c>
      <c r="B1623" s="1">
        <f>IFERROR(__xludf.DUMMYFUNCTION("""COMPUTED_VALUE"""),12678.75)</f>
        <v>12678.75</v>
      </c>
    </row>
    <row r="1624">
      <c r="A1624" s="3">
        <f>IFERROR(__xludf.DUMMYFUNCTION("""COMPUTED_VALUE"""),41937.99861111111)</f>
        <v>41937.99861</v>
      </c>
      <c r="B1624" s="1">
        <f>IFERROR(__xludf.DUMMYFUNCTION("""COMPUTED_VALUE"""),12700.11206)</f>
        <v>12700.11206</v>
      </c>
    </row>
    <row r="1625">
      <c r="A1625" s="3">
        <f>IFERROR(__xludf.DUMMYFUNCTION("""COMPUTED_VALUE"""),41938.99861111111)</f>
        <v>41938.99861</v>
      </c>
      <c r="B1625" s="1">
        <f>IFERROR(__xludf.DUMMYFUNCTION("""COMPUTED_VALUE"""),12702.53044)</f>
        <v>12702.53044</v>
      </c>
    </row>
    <row r="1626">
      <c r="A1626" s="3">
        <f>IFERROR(__xludf.DUMMYFUNCTION("""COMPUTED_VALUE"""),41939.99861111111)</f>
        <v>41939.99861</v>
      </c>
      <c r="B1626" s="1">
        <f>IFERROR(__xludf.DUMMYFUNCTION("""COMPUTED_VALUE"""),12742.51)</f>
        <v>12742.51</v>
      </c>
    </row>
    <row r="1627">
      <c r="A1627" s="3">
        <f>IFERROR(__xludf.DUMMYFUNCTION("""COMPUTED_VALUE"""),41940.99861111111)</f>
        <v>41940.99861</v>
      </c>
      <c r="B1627" s="1">
        <f>IFERROR(__xludf.DUMMYFUNCTION("""COMPUTED_VALUE"""),12815.4583)</f>
        <v>12815.4583</v>
      </c>
    </row>
    <row r="1628">
      <c r="A1628" s="3">
        <f>IFERROR(__xludf.DUMMYFUNCTION("""COMPUTED_VALUE"""),41941.99861111111)</f>
        <v>41941.99861</v>
      </c>
      <c r="B1628" s="1">
        <f>IFERROR(__xludf.DUMMYFUNCTION("""COMPUTED_VALUE"""),12661.5332)</f>
        <v>12661.5332</v>
      </c>
    </row>
    <row r="1629">
      <c r="A1629" s="3">
        <f>IFERROR(__xludf.DUMMYFUNCTION("""COMPUTED_VALUE"""),41942.99861111111)</f>
        <v>41942.99861</v>
      </c>
      <c r="B1629" s="1">
        <f>IFERROR(__xludf.DUMMYFUNCTION("""COMPUTED_VALUE"""),12704.04)</f>
        <v>12704.04</v>
      </c>
    </row>
    <row r="1630">
      <c r="A1630" s="3">
        <f>IFERROR(__xludf.DUMMYFUNCTION("""COMPUTED_VALUE"""),41943.99861111111)</f>
        <v>41943.99861</v>
      </c>
      <c r="B1630" s="1">
        <f>IFERROR(__xludf.DUMMYFUNCTION("""COMPUTED_VALUE"""),12537.109)</f>
        <v>12537.109</v>
      </c>
    </row>
    <row r="1631">
      <c r="A1631" s="3">
        <f>IFERROR(__xludf.DUMMYFUNCTION("""COMPUTED_VALUE"""),41944.99861111111)</f>
        <v>41944.99861</v>
      </c>
      <c r="B1631" s="1">
        <f>IFERROR(__xludf.DUMMYFUNCTION("""COMPUTED_VALUE"""),12532.03479)</f>
        <v>12532.03479</v>
      </c>
    </row>
    <row r="1632">
      <c r="A1632" s="3">
        <f>IFERROR(__xludf.DUMMYFUNCTION("""COMPUTED_VALUE"""),41945.99861111111)</f>
        <v>41945.99861</v>
      </c>
      <c r="B1632" s="1">
        <f>IFERROR(__xludf.DUMMYFUNCTION("""COMPUTED_VALUE"""),12535.66236)</f>
        <v>12535.66236</v>
      </c>
    </row>
    <row r="1633">
      <c r="A1633" s="3">
        <f>IFERROR(__xludf.DUMMYFUNCTION("""COMPUTED_VALUE"""),41946.99861111111)</f>
        <v>41946.99861</v>
      </c>
      <c r="B1633" s="1">
        <f>IFERROR(__xludf.DUMMYFUNCTION("""COMPUTED_VALUE"""),12550.1162)</f>
        <v>12550.1162</v>
      </c>
    </row>
    <row r="1634">
      <c r="A1634" s="3">
        <f>IFERROR(__xludf.DUMMYFUNCTION("""COMPUTED_VALUE"""),41947.99861111111)</f>
        <v>41947.99861</v>
      </c>
      <c r="B1634" s="1">
        <f>IFERROR(__xludf.DUMMYFUNCTION("""COMPUTED_VALUE"""),12619.831)</f>
        <v>12619.831</v>
      </c>
    </row>
    <row r="1635">
      <c r="A1635" s="3">
        <f>IFERROR(__xludf.DUMMYFUNCTION("""COMPUTED_VALUE"""),41948.99861111111)</f>
        <v>41948.99861</v>
      </c>
      <c r="B1635" s="1">
        <f>IFERROR(__xludf.DUMMYFUNCTION("""COMPUTED_VALUE"""),12618.17)</f>
        <v>12618.17</v>
      </c>
    </row>
    <row r="1636">
      <c r="A1636" s="3">
        <f>IFERROR(__xludf.DUMMYFUNCTION("""COMPUTED_VALUE"""),41949.99861111111)</f>
        <v>41949.99861</v>
      </c>
      <c r="B1636" s="1">
        <f>IFERROR(__xludf.DUMMYFUNCTION("""COMPUTED_VALUE"""),12487.77)</f>
        <v>12487.77</v>
      </c>
    </row>
    <row r="1637">
      <c r="A1637" s="3">
        <f>IFERROR(__xludf.DUMMYFUNCTION("""COMPUTED_VALUE"""),41950.99861111111)</f>
        <v>41950.99861</v>
      </c>
      <c r="B1637" s="1">
        <f>IFERROR(__xludf.DUMMYFUNCTION("""COMPUTED_VALUE"""),12593.82)</f>
        <v>12593.82</v>
      </c>
    </row>
    <row r="1638">
      <c r="A1638" s="3">
        <f>IFERROR(__xludf.DUMMYFUNCTION("""COMPUTED_VALUE"""),41952.99861111111)</f>
        <v>41952.99861</v>
      </c>
      <c r="B1638" s="1">
        <f>IFERROR(__xludf.DUMMYFUNCTION("""COMPUTED_VALUE"""),12630.11993)</f>
        <v>12630.11993</v>
      </c>
    </row>
    <row r="1639">
      <c r="A1639" s="3">
        <f>IFERROR(__xludf.DUMMYFUNCTION("""COMPUTED_VALUE"""),41953.99861111111)</f>
        <v>41953.99861</v>
      </c>
      <c r="B1639" s="1">
        <f>IFERROR(__xludf.DUMMYFUNCTION("""COMPUTED_VALUE"""),12558.546)</f>
        <v>12558.546</v>
      </c>
    </row>
    <row r="1640">
      <c r="A1640" s="3">
        <f>IFERROR(__xludf.DUMMYFUNCTION("""COMPUTED_VALUE"""),41954.99861111111)</f>
        <v>41954.99861</v>
      </c>
      <c r="B1640" s="1">
        <f>IFERROR(__xludf.DUMMYFUNCTION("""COMPUTED_VALUE"""),12571.8848)</f>
        <v>12571.8848</v>
      </c>
    </row>
    <row r="1641">
      <c r="A1641" s="3">
        <f>IFERROR(__xludf.DUMMYFUNCTION("""COMPUTED_VALUE"""),41955.99861111111)</f>
        <v>41955.99861</v>
      </c>
      <c r="B1641" s="1">
        <f>IFERROR(__xludf.DUMMYFUNCTION("""COMPUTED_VALUE"""),12596.4832)</f>
        <v>12596.4832</v>
      </c>
    </row>
    <row r="1642">
      <c r="A1642" s="3">
        <f>IFERROR(__xludf.DUMMYFUNCTION("""COMPUTED_VALUE"""),41956.99861111111)</f>
        <v>41956.99861</v>
      </c>
      <c r="B1642" s="1">
        <f>IFERROR(__xludf.DUMMYFUNCTION("""COMPUTED_VALUE"""),12644.0125)</f>
        <v>12644.0125</v>
      </c>
    </row>
    <row r="1643">
      <c r="A1643" s="3">
        <f>IFERROR(__xludf.DUMMYFUNCTION("""COMPUTED_VALUE"""),41957.99861111111)</f>
        <v>41957.99861</v>
      </c>
      <c r="B1643" s="1">
        <f>IFERROR(__xludf.DUMMYFUNCTION("""COMPUTED_VALUE"""),12717.28)</f>
        <v>12717.28</v>
      </c>
    </row>
    <row r="1644">
      <c r="A1644" s="3">
        <f>IFERROR(__xludf.DUMMYFUNCTION("""COMPUTED_VALUE"""),41958.99861111111)</f>
        <v>41958.99861</v>
      </c>
      <c r="B1644" s="1">
        <f>IFERROR(__xludf.DUMMYFUNCTION("""COMPUTED_VALUE"""),12722.48465)</f>
        <v>12722.48465</v>
      </c>
    </row>
    <row r="1645">
      <c r="A1645" s="3">
        <f>IFERROR(__xludf.DUMMYFUNCTION("""COMPUTED_VALUE"""),41959.99861111111)</f>
        <v>41959.99861</v>
      </c>
      <c r="B1645" s="1">
        <f>IFERROR(__xludf.DUMMYFUNCTION("""COMPUTED_VALUE"""),12739.59955)</f>
        <v>12739.59955</v>
      </c>
    </row>
    <row r="1646">
      <c r="A1646" s="3">
        <f>IFERROR(__xludf.DUMMYFUNCTION("""COMPUTED_VALUE"""),41960.99861111111)</f>
        <v>41960.99861</v>
      </c>
      <c r="B1646" s="1">
        <f>IFERROR(__xludf.DUMMYFUNCTION("""COMPUTED_VALUE"""),12636.459)</f>
        <v>12636.459</v>
      </c>
    </row>
    <row r="1647">
      <c r="A1647" s="3">
        <f>IFERROR(__xludf.DUMMYFUNCTION("""COMPUTED_VALUE"""),41961.99861111111)</f>
        <v>41961.99861</v>
      </c>
      <c r="B1647" s="1">
        <f>IFERROR(__xludf.DUMMYFUNCTION("""COMPUTED_VALUE"""),12648.8)</f>
        <v>12648.8</v>
      </c>
    </row>
    <row r="1648">
      <c r="A1648" s="3">
        <f>IFERROR(__xludf.DUMMYFUNCTION("""COMPUTED_VALUE"""),41962.99861111111)</f>
        <v>41962.99861</v>
      </c>
      <c r="B1648" s="1">
        <f>IFERROR(__xludf.DUMMYFUNCTION("""COMPUTED_VALUE"""),12629.6472)</f>
        <v>12629.6472</v>
      </c>
    </row>
    <row r="1649">
      <c r="A1649" s="3">
        <f>IFERROR(__xludf.DUMMYFUNCTION("""COMPUTED_VALUE"""),41963.99861111111)</f>
        <v>41963.99861</v>
      </c>
      <c r="B1649" s="1">
        <f>IFERROR(__xludf.DUMMYFUNCTION("""COMPUTED_VALUE"""),12657.1456)</f>
        <v>12657.1456</v>
      </c>
    </row>
    <row r="1650">
      <c r="A1650" s="3">
        <f>IFERROR(__xludf.DUMMYFUNCTION("""COMPUTED_VALUE"""),41964.99861111111)</f>
        <v>41964.99861</v>
      </c>
      <c r="B1650" s="1">
        <f>IFERROR(__xludf.DUMMYFUNCTION("""COMPUTED_VALUE"""),12506.6964)</f>
        <v>12506.6964</v>
      </c>
    </row>
    <row r="1651">
      <c r="A1651" s="3">
        <f>IFERROR(__xludf.DUMMYFUNCTION("""COMPUTED_VALUE"""),41965.99861111111)</f>
        <v>41965.99861</v>
      </c>
      <c r="B1651" s="1">
        <f>IFERROR(__xludf.DUMMYFUNCTION("""COMPUTED_VALUE"""),12636.02739)</f>
        <v>12636.02739</v>
      </c>
    </row>
    <row r="1652">
      <c r="A1652" s="3">
        <f>IFERROR(__xludf.DUMMYFUNCTION("""COMPUTED_VALUE"""),41966.99861111111)</f>
        <v>41966.99861</v>
      </c>
      <c r="B1652" s="1">
        <f>IFERROR(__xludf.DUMMYFUNCTION("""COMPUTED_VALUE"""),12505.45927)</f>
        <v>12505.45927</v>
      </c>
    </row>
    <row r="1653">
      <c r="A1653" s="3">
        <f>IFERROR(__xludf.DUMMYFUNCTION("""COMPUTED_VALUE"""),41967.99861111111)</f>
        <v>41967.99861</v>
      </c>
      <c r="B1653" s="1">
        <f>IFERROR(__xludf.DUMMYFUNCTION("""COMPUTED_VALUE"""),12539.4555)</f>
        <v>12539.4555</v>
      </c>
    </row>
    <row r="1654">
      <c r="A1654" s="3">
        <f>IFERROR(__xludf.DUMMYFUNCTION("""COMPUTED_VALUE"""),41968.99861111111)</f>
        <v>41968.99861</v>
      </c>
      <c r="B1654" s="1">
        <f>IFERROR(__xludf.DUMMYFUNCTION("""COMPUTED_VALUE"""),12586.7742)</f>
        <v>12586.7742</v>
      </c>
    </row>
    <row r="1655">
      <c r="A1655" s="3">
        <f>IFERROR(__xludf.DUMMYFUNCTION("""COMPUTED_VALUE"""),41969.99861111111)</f>
        <v>41969.99861</v>
      </c>
      <c r="B1655" s="1">
        <f>IFERROR(__xludf.DUMMYFUNCTION("""COMPUTED_VALUE"""),12663.2175)</f>
        <v>12663.2175</v>
      </c>
    </row>
    <row r="1656">
      <c r="A1656" s="3">
        <f>IFERROR(__xludf.DUMMYFUNCTION("""COMPUTED_VALUE"""),41970.99861111111)</f>
        <v>41970.99861</v>
      </c>
      <c r="B1656" s="1">
        <f>IFERROR(__xludf.DUMMYFUNCTION("""COMPUTED_VALUE"""),12620.605)</f>
        <v>12620.605</v>
      </c>
    </row>
    <row r="1657">
      <c r="A1657" s="3">
        <f>IFERROR(__xludf.DUMMYFUNCTION("""COMPUTED_VALUE"""),41971.99861111111)</f>
        <v>41971.99861</v>
      </c>
      <c r="B1657" s="1">
        <f>IFERROR(__xludf.DUMMYFUNCTION("""COMPUTED_VALUE"""),12607.2125)</f>
        <v>12607.2125</v>
      </c>
    </row>
    <row r="1658">
      <c r="A1658" s="3">
        <f>IFERROR(__xludf.DUMMYFUNCTION("""COMPUTED_VALUE"""),41972.99861111111)</f>
        <v>41972.99861</v>
      </c>
      <c r="B1658" s="1">
        <f>IFERROR(__xludf.DUMMYFUNCTION("""COMPUTED_VALUE"""),12640.04675)</f>
        <v>12640.04675</v>
      </c>
    </row>
    <row r="1659">
      <c r="A1659" s="3">
        <f>IFERROR(__xludf.DUMMYFUNCTION("""COMPUTED_VALUE"""),41973.99861111111)</f>
        <v>41973.99861</v>
      </c>
      <c r="B1659" s="1">
        <f>IFERROR(__xludf.DUMMYFUNCTION("""COMPUTED_VALUE"""),12597.55896)</f>
        <v>12597.55896</v>
      </c>
    </row>
    <row r="1660">
      <c r="A1660" s="3">
        <f>IFERROR(__xludf.DUMMYFUNCTION("""COMPUTED_VALUE"""),41974.99861111111)</f>
        <v>41974.99861</v>
      </c>
      <c r="B1660" s="1">
        <f>IFERROR(__xludf.DUMMYFUNCTION("""COMPUTED_VALUE"""),12732.174)</f>
        <v>12732.174</v>
      </c>
    </row>
    <row r="1661">
      <c r="A1661" s="3">
        <f>IFERROR(__xludf.DUMMYFUNCTION("""COMPUTED_VALUE"""),41975.99861111111)</f>
        <v>41975.99861</v>
      </c>
      <c r="B1661" s="1">
        <f>IFERROR(__xludf.DUMMYFUNCTION("""COMPUTED_VALUE"""),12638.808)</f>
        <v>12638.808</v>
      </c>
    </row>
    <row r="1662">
      <c r="A1662" s="3">
        <f>IFERROR(__xludf.DUMMYFUNCTION("""COMPUTED_VALUE"""),41976.99861111111)</f>
        <v>41976.99861</v>
      </c>
      <c r="B1662" s="1">
        <f>IFERROR(__xludf.DUMMYFUNCTION("""COMPUTED_VALUE"""),12570.012)</f>
        <v>12570.012</v>
      </c>
    </row>
    <row r="1663">
      <c r="A1663" s="3">
        <f>IFERROR(__xludf.DUMMYFUNCTION("""COMPUTED_VALUE"""),41977.99861111111)</f>
        <v>41977.99861</v>
      </c>
      <c r="B1663" s="1">
        <f>IFERROR(__xludf.DUMMYFUNCTION("""COMPUTED_VALUE"""),12651.093)</f>
        <v>12651.093</v>
      </c>
    </row>
    <row r="1664">
      <c r="A1664" s="3">
        <f>IFERROR(__xludf.DUMMYFUNCTION("""COMPUTED_VALUE"""),41978.99861111111)</f>
        <v>41978.99861</v>
      </c>
      <c r="B1664" s="1">
        <f>IFERROR(__xludf.DUMMYFUNCTION("""COMPUTED_VALUE"""),12549.1275)</f>
        <v>12549.1275</v>
      </c>
    </row>
    <row r="1665">
      <c r="A1665" s="3">
        <f>IFERROR(__xludf.DUMMYFUNCTION("""COMPUTED_VALUE"""),41979.99861111111)</f>
        <v>41979.99861</v>
      </c>
      <c r="B1665" s="1">
        <f>IFERROR(__xludf.DUMMYFUNCTION("""COMPUTED_VALUE"""),12677.41129)</f>
        <v>12677.41129</v>
      </c>
    </row>
    <row r="1666">
      <c r="A1666" s="3">
        <f>IFERROR(__xludf.DUMMYFUNCTION("""COMPUTED_VALUE"""),41980.99861111111)</f>
        <v>41980.99861</v>
      </c>
      <c r="B1666" s="1">
        <f>IFERROR(__xludf.DUMMYFUNCTION("""COMPUTED_VALUE"""),12571.95265)</f>
        <v>12571.95265</v>
      </c>
    </row>
    <row r="1667">
      <c r="A1667" s="3">
        <f>IFERROR(__xludf.DUMMYFUNCTION("""COMPUTED_VALUE"""),41981.99861111111)</f>
        <v>41981.99861</v>
      </c>
      <c r="B1667" s="1">
        <f>IFERROR(__xludf.DUMMYFUNCTION("""COMPUTED_VALUE"""),12582.297)</f>
        <v>12582.297</v>
      </c>
    </row>
    <row r="1668">
      <c r="A1668" s="3">
        <f>IFERROR(__xludf.DUMMYFUNCTION("""COMPUTED_VALUE"""),41982.99861111111)</f>
        <v>41982.99861</v>
      </c>
      <c r="B1668" s="1">
        <f>IFERROR(__xludf.DUMMYFUNCTION("""COMPUTED_VALUE"""),12664.6065)</f>
        <v>12664.6065</v>
      </c>
    </row>
    <row r="1669">
      <c r="A1669" s="3">
        <f>IFERROR(__xludf.DUMMYFUNCTION("""COMPUTED_VALUE"""),41983.99861111111)</f>
        <v>41983.99861</v>
      </c>
      <c r="B1669" s="1">
        <f>IFERROR(__xludf.DUMMYFUNCTION("""COMPUTED_VALUE"""),12707.604)</f>
        <v>12707.604</v>
      </c>
    </row>
    <row r="1670">
      <c r="A1670" s="3">
        <f>IFERROR(__xludf.DUMMYFUNCTION("""COMPUTED_VALUE"""),41984.99861111111)</f>
        <v>41984.99861</v>
      </c>
      <c r="B1670" s="1">
        <f>IFERROR(__xludf.DUMMYFUNCTION("""COMPUTED_VALUE"""),12854.3382)</f>
        <v>12854.3382</v>
      </c>
    </row>
    <row r="1671">
      <c r="A1671" s="3">
        <f>IFERROR(__xludf.DUMMYFUNCTION("""COMPUTED_VALUE"""),41985.99861111111)</f>
        <v>41985.99861</v>
      </c>
      <c r="B1671" s="1">
        <f>IFERROR(__xludf.DUMMYFUNCTION("""COMPUTED_VALUE"""),13082.4276)</f>
        <v>13082.4276</v>
      </c>
    </row>
    <row r="1672">
      <c r="A1672" s="3">
        <f>IFERROR(__xludf.DUMMYFUNCTION("""COMPUTED_VALUE"""),41986.99861111111)</f>
        <v>41986.99861</v>
      </c>
      <c r="B1672" s="1">
        <f>IFERROR(__xludf.DUMMYFUNCTION("""COMPUTED_VALUE"""),13098.48212)</f>
        <v>13098.48212</v>
      </c>
    </row>
    <row r="1673">
      <c r="A1673" s="3">
        <f>IFERROR(__xludf.DUMMYFUNCTION("""COMPUTED_VALUE"""),41987.99861111111)</f>
        <v>41987.99861</v>
      </c>
      <c r="B1673" s="1">
        <f>IFERROR(__xludf.DUMMYFUNCTION("""COMPUTED_VALUE"""),13098.48212)</f>
        <v>13098.48212</v>
      </c>
    </row>
    <row r="1674">
      <c r="A1674" s="3">
        <f>IFERROR(__xludf.DUMMYFUNCTION("""COMPUTED_VALUE"""),41988.99861111111)</f>
        <v>41988.99861</v>
      </c>
      <c r="B1674" s="1">
        <f>IFERROR(__xludf.DUMMYFUNCTION("""COMPUTED_VALUE"""),13311.315)</f>
        <v>13311.315</v>
      </c>
    </row>
    <row r="1675">
      <c r="A1675" s="3">
        <f>IFERROR(__xludf.DUMMYFUNCTION("""COMPUTED_VALUE"""),41989.99861111111)</f>
        <v>41989.99861</v>
      </c>
      <c r="B1675" s="1">
        <f>IFERROR(__xludf.DUMMYFUNCTION("""COMPUTED_VALUE"""),13232.2575)</f>
        <v>13232.2575</v>
      </c>
    </row>
    <row r="1676">
      <c r="A1676" s="3">
        <f>IFERROR(__xludf.DUMMYFUNCTION("""COMPUTED_VALUE"""),41990.99861111111)</f>
        <v>41990.99861</v>
      </c>
      <c r="B1676" s="1">
        <f>IFERROR(__xludf.DUMMYFUNCTION("""COMPUTED_VALUE"""),13017.7056)</f>
        <v>13017.7056</v>
      </c>
    </row>
    <row r="1677">
      <c r="A1677" s="3">
        <f>IFERROR(__xludf.DUMMYFUNCTION("""COMPUTED_VALUE"""),41991.99861111111)</f>
        <v>41991.99861</v>
      </c>
      <c r="B1677" s="1">
        <f>IFERROR(__xludf.DUMMYFUNCTION("""COMPUTED_VALUE"""),12733.344)</f>
        <v>12733.344</v>
      </c>
    </row>
    <row r="1678">
      <c r="A1678" s="3">
        <f>IFERROR(__xludf.DUMMYFUNCTION("""COMPUTED_VALUE"""),41992.99861111111)</f>
        <v>41992.99861</v>
      </c>
      <c r="B1678" s="1">
        <f>IFERROR(__xludf.DUMMYFUNCTION("""COMPUTED_VALUE"""),12561.1619)</f>
        <v>12561.1619</v>
      </c>
    </row>
    <row r="1679">
      <c r="A1679" s="3">
        <f>IFERROR(__xludf.DUMMYFUNCTION("""COMPUTED_VALUE"""),41994.99861111111)</f>
        <v>41994.99861</v>
      </c>
      <c r="B1679" s="1">
        <f>IFERROR(__xludf.DUMMYFUNCTION("""COMPUTED_VALUE"""),12621.11776)</f>
        <v>12621.11776</v>
      </c>
    </row>
    <row r="1680">
      <c r="A1680" s="3">
        <f>IFERROR(__xludf.DUMMYFUNCTION("""COMPUTED_VALUE"""),41995.99861111111)</f>
        <v>41995.99861</v>
      </c>
      <c r="B1680" s="1">
        <f>IFERROR(__xludf.DUMMYFUNCTION("""COMPUTED_VALUE"""),12653.13)</f>
        <v>12653.13</v>
      </c>
    </row>
    <row r="1681">
      <c r="A1681" s="3">
        <f>IFERROR(__xludf.DUMMYFUNCTION("""COMPUTED_VALUE"""),41996.99861111111)</f>
        <v>41996.99861</v>
      </c>
      <c r="B1681" s="1">
        <f>IFERROR(__xludf.DUMMYFUNCTION("""COMPUTED_VALUE"""),12565.2215)</f>
        <v>12565.2215</v>
      </c>
    </row>
    <row r="1682">
      <c r="A1682" s="3">
        <f>IFERROR(__xludf.DUMMYFUNCTION("""COMPUTED_VALUE"""),41997.99861111111)</f>
        <v>41997.99861</v>
      </c>
      <c r="B1682" s="1">
        <f>IFERROR(__xludf.DUMMYFUNCTION("""COMPUTED_VALUE"""),12647.074)</f>
        <v>12647.074</v>
      </c>
    </row>
    <row r="1683">
      <c r="A1683" s="3">
        <f>IFERROR(__xludf.DUMMYFUNCTION("""COMPUTED_VALUE"""),41998.99861111111)</f>
        <v>41998.99861</v>
      </c>
      <c r="B1683" s="1">
        <f>IFERROR(__xludf.DUMMYFUNCTION("""COMPUTED_VALUE"""),12655.803)</f>
        <v>12655.803</v>
      </c>
    </row>
    <row r="1684">
      <c r="A1684" s="3">
        <f>IFERROR(__xludf.DUMMYFUNCTION("""COMPUTED_VALUE"""),41999.99861111111)</f>
        <v>41999.99861</v>
      </c>
      <c r="B1684" s="1">
        <f>IFERROR(__xludf.DUMMYFUNCTION("""COMPUTED_VALUE"""),12571.33)</f>
        <v>12571.33</v>
      </c>
    </row>
    <row r="1685">
      <c r="A1685" s="3">
        <f>IFERROR(__xludf.DUMMYFUNCTION("""COMPUTED_VALUE"""),42000.99861111111)</f>
        <v>42000.99861</v>
      </c>
      <c r="B1685" s="1">
        <f>IFERROR(__xludf.DUMMYFUNCTION("""COMPUTED_VALUE"""),12566.98449)</f>
        <v>12566.98449</v>
      </c>
    </row>
    <row r="1686">
      <c r="A1686" s="3">
        <f>IFERROR(__xludf.DUMMYFUNCTION("""COMPUTED_VALUE"""),42001.99861111111)</f>
        <v>42001.99861</v>
      </c>
      <c r="B1686" s="1">
        <f>IFERROR(__xludf.DUMMYFUNCTION("""COMPUTED_VALUE"""),12597.75828)</f>
        <v>12597.75828</v>
      </c>
    </row>
    <row r="1687">
      <c r="A1687" s="3">
        <f>IFERROR(__xludf.DUMMYFUNCTION("""COMPUTED_VALUE"""),42002.99861111111)</f>
        <v>42002.99861</v>
      </c>
      <c r="B1687" s="1">
        <f>IFERROR(__xludf.DUMMYFUNCTION("""COMPUTED_VALUE"""),12532.859)</f>
        <v>12532.859</v>
      </c>
    </row>
    <row r="1688">
      <c r="A1688" s="3">
        <f>IFERROR(__xludf.DUMMYFUNCTION("""COMPUTED_VALUE"""),42003.99861111111)</f>
        <v>42003.99861</v>
      </c>
      <c r="B1688" s="1">
        <f>IFERROR(__xludf.DUMMYFUNCTION("""COMPUTED_VALUE"""),12560.346)</f>
        <v>12560.346</v>
      </c>
    </row>
    <row r="1689">
      <c r="A1689" s="3">
        <f>IFERROR(__xludf.DUMMYFUNCTION("""COMPUTED_VALUE"""),42004.99861111111)</f>
        <v>42004.99861</v>
      </c>
      <c r="B1689" s="1">
        <f>IFERROR(__xludf.DUMMYFUNCTION("""COMPUTED_VALUE"""),12458.145)</f>
        <v>12458.145</v>
      </c>
    </row>
    <row r="1690">
      <c r="A1690" s="3">
        <f>IFERROR(__xludf.DUMMYFUNCTION("""COMPUTED_VALUE"""),42005.99861111111)</f>
        <v>42005.99861</v>
      </c>
      <c r="B1690" s="1">
        <f>IFERROR(__xludf.DUMMYFUNCTION("""COMPUTED_VALUE"""),12456.906)</f>
        <v>12456.906</v>
      </c>
    </row>
    <row r="1691">
      <c r="A1691" s="3">
        <f>IFERROR(__xludf.DUMMYFUNCTION("""COMPUTED_VALUE"""),42006.99861111111)</f>
        <v>42006.99861</v>
      </c>
      <c r="B1691" s="1">
        <f>IFERROR(__xludf.DUMMYFUNCTION("""COMPUTED_VALUE"""),12457.9104)</f>
        <v>12457.9104</v>
      </c>
    </row>
    <row r="1692">
      <c r="A1692" s="3">
        <f>IFERROR(__xludf.DUMMYFUNCTION("""COMPUTED_VALUE"""),42008.99861111111)</f>
        <v>42008.99861</v>
      </c>
      <c r="B1692" s="1">
        <f>IFERROR(__xludf.DUMMYFUNCTION("""COMPUTED_VALUE"""),12471.14034)</f>
        <v>12471.14034</v>
      </c>
    </row>
    <row r="1693">
      <c r="A1693" s="3">
        <f>IFERROR(__xludf.DUMMYFUNCTION("""COMPUTED_VALUE"""),42009.99861111111)</f>
        <v>42009.99861</v>
      </c>
      <c r="B1693" s="1">
        <f>IFERROR(__xludf.DUMMYFUNCTION("""COMPUTED_VALUE"""),12542.55875)</f>
        <v>12542.55875</v>
      </c>
    </row>
    <row r="1694">
      <c r="A1694" s="3">
        <f>IFERROR(__xludf.DUMMYFUNCTION("""COMPUTED_VALUE"""),42010.99861111111)</f>
        <v>42010.99861</v>
      </c>
      <c r="B1694" s="1">
        <f>IFERROR(__xludf.DUMMYFUNCTION("""COMPUTED_VALUE"""),12490.07655)</f>
        <v>12490.07655</v>
      </c>
    </row>
    <row r="1695">
      <c r="A1695" s="3">
        <f>IFERROR(__xludf.DUMMYFUNCTION("""COMPUTED_VALUE"""),42011.99861111111)</f>
        <v>42011.99861</v>
      </c>
      <c r="B1695" s="1">
        <f>IFERROR(__xludf.DUMMYFUNCTION("""COMPUTED_VALUE"""),12531.108)</f>
        <v>12531.108</v>
      </c>
    </row>
    <row r="1696">
      <c r="A1696" s="3">
        <f>IFERROR(__xludf.DUMMYFUNCTION("""COMPUTED_VALUE"""),42012.99861111111)</f>
        <v>42012.99861</v>
      </c>
      <c r="B1696" s="1">
        <f>IFERROR(__xludf.DUMMYFUNCTION("""COMPUTED_VALUE"""),12380.6241)</f>
        <v>12380.6241</v>
      </c>
    </row>
    <row r="1697">
      <c r="A1697" s="3">
        <f>IFERROR(__xludf.DUMMYFUNCTION("""COMPUTED_VALUE"""),42013.99861111111)</f>
        <v>42013.99861</v>
      </c>
      <c r="B1697" s="1">
        <f>IFERROR(__xludf.DUMMYFUNCTION("""COMPUTED_VALUE"""),12389.21565)</f>
        <v>12389.21565</v>
      </c>
    </row>
    <row r="1698">
      <c r="A1698" s="3">
        <f>IFERROR(__xludf.DUMMYFUNCTION("""COMPUTED_VALUE"""),42015.99861111111)</f>
        <v>42015.99861</v>
      </c>
      <c r="B1698" s="1">
        <f>IFERROR(__xludf.DUMMYFUNCTION("""COMPUTED_VALUE"""),12637.20853)</f>
        <v>12637.20853</v>
      </c>
    </row>
    <row r="1699">
      <c r="A1699" s="3">
        <f>IFERROR(__xludf.DUMMYFUNCTION("""COMPUTED_VALUE"""),42016.99861111111)</f>
        <v>42016.99861</v>
      </c>
      <c r="B1699" s="1">
        <f>IFERROR(__xludf.DUMMYFUNCTION("""COMPUTED_VALUE"""),12369.63)</f>
        <v>12369.63</v>
      </c>
    </row>
    <row r="1700">
      <c r="A1700" s="3">
        <f>IFERROR(__xludf.DUMMYFUNCTION("""COMPUTED_VALUE"""),42017.99861111111)</f>
        <v>42017.99861</v>
      </c>
      <c r="B1700" s="1">
        <f>IFERROR(__xludf.DUMMYFUNCTION("""COMPUTED_VALUE"""),12342.30872)</f>
        <v>12342.30872</v>
      </c>
    </row>
    <row r="1701">
      <c r="A1701" s="3">
        <f>IFERROR(__xludf.DUMMYFUNCTION("""COMPUTED_VALUE"""),42018.99861111111)</f>
        <v>42018.99861</v>
      </c>
      <c r="B1701" s="1">
        <f>IFERROR(__xludf.DUMMYFUNCTION("""COMPUTED_VALUE"""),12317.58495)</f>
        <v>12317.58495</v>
      </c>
    </row>
    <row r="1702">
      <c r="A1702" s="3">
        <f>IFERROR(__xludf.DUMMYFUNCTION("""COMPUTED_VALUE"""),42019.99861111111)</f>
        <v>42019.99861</v>
      </c>
      <c r="B1702" s="1">
        <f>IFERROR(__xludf.DUMMYFUNCTION("""COMPUTED_VALUE"""),14584.9893)</f>
        <v>14584.9893</v>
      </c>
    </row>
    <row r="1703">
      <c r="A1703" s="3">
        <f>IFERROR(__xludf.DUMMYFUNCTION("""COMPUTED_VALUE"""),42020.99861111111)</f>
        <v>42020.99861</v>
      </c>
      <c r="B1703" s="1">
        <f>IFERROR(__xludf.DUMMYFUNCTION("""COMPUTED_VALUE"""),14606.638)</f>
        <v>14606.638</v>
      </c>
    </row>
    <row r="1704">
      <c r="A1704" s="3">
        <f>IFERROR(__xludf.DUMMYFUNCTION("""COMPUTED_VALUE"""),42022.99861111111)</f>
        <v>42022.99861</v>
      </c>
      <c r="B1704" s="1">
        <f>IFERROR(__xludf.DUMMYFUNCTION("""COMPUTED_VALUE"""),14915.48444)</f>
        <v>14915.48444</v>
      </c>
    </row>
    <row r="1705">
      <c r="A1705" s="3">
        <f>IFERROR(__xludf.DUMMYFUNCTION("""COMPUTED_VALUE"""),42023.99861111111)</f>
        <v>42023.99861</v>
      </c>
      <c r="B1705" s="1">
        <f>IFERROR(__xludf.DUMMYFUNCTION("""COMPUTED_VALUE"""),14350.206)</f>
        <v>14350.206</v>
      </c>
    </row>
    <row r="1706">
      <c r="A1706" s="3">
        <f>IFERROR(__xludf.DUMMYFUNCTION("""COMPUTED_VALUE"""),42024.99861111111)</f>
        <v>42024.99861</v>
      </c>
      <c r="B1706" s="1">
        <f>IFERROR(__xludf.DUMMYFUNCTION("""COMPUTED_VALUE"""),14360.8784)</f>
        <v>14360.8784</v>
      </c>
    </row>
    <row r="1707">
      <c r="A1707" s="3">
        <f>IFERROR(__xludf.DUMMYFUNCTION("""COMPUTED_VALUE"""),42025.99861111111)</f>
        <v>42025.99861</v>
      </c>
      <c r="B1707" s="1">
        <f>IFERROR(__xludf.DUMMYFUNCTION("""COMPUTED_VALUE"""),14476.851)</f>
        <v>14476.851</v>
      </c>
    </row>
    <row r="1708">
      <c r="A1708" s="3">
        <f>IFERROR(__xludf.DUMMYFUNCTION("""COMPUTED_VALUE"""),42026.99861111111)</f>
        <v>42026.99861</v>
      </c>
      <c r="B1708" s="1">
        <f>IFERROR(__xludf.DUMMYFUNCTION("""COMPUTED_VALUE"""),14222.3325)</f>
        <v>14222.3325</v>
      </c>
    </row>
    <row r="1709">
      <c r="A1709" s="3">
        <f>IFERROR(__xludf.DUMMYFUNCTION("""COMPUTED_VALUE"""),42027.99861111111)</f>
        <v>42027.99861</v>
      </c>
      <c r="B1709" s="1">
        <f>IFERROR(__xludf.DUMMYFUNCTION("""COMPUTED_VALUE"""),14077.7436)</f>
        <v>14077.7436</v>
      </c>
    </row>
    <row r="1710">
      <c r="A1710" s="3">
        <f>IFERROR(__xludf.DUMMYFUNCTION("""COMPUTED_VALUE"""),42028.99861111111)</f>
        <v>42028.99861</v>
      </c>
      <c r="B1710" s="1">
        <f>IFERROR(__xludf.DUMMYFUNCTION("""COMPUTED_VALUE"""),14206.50296)</f>
        <v>14206.50296</v>
      </c>
    </row>
    <row r="1711">
      <c r="A1711" s="3">
        <f>IFERROR(__xludf.DUMMYFUNCTION("""COMPUTED_VALUE"""),42029.99861111111)</f>
        <v>42029.99861</v>
      </c>
      <c r="B1711" s="1">
        <f>IFERROR(__xludf.DUMMYFUNCTION("""COMPUTED_VALUE"""),14193.98732)</f>
        <v>14193.98732</v>
      </c>
    </row>
    <row r="1712">
      <c r="A1712" s="3">
        <f>IFERROR(__xludf.DUMMYFUNCTION("""COMPUTED_VALUE"""),42030.99861111111)</f>
        <v>42030.99861</v>
      </c>
      <c r="B1712" s="1">
        <f>IFERROR(__xludf.DUMMYFUNCTION("""COMPUTED_VALUE"""),13846.8343)</f>
        <v>13846.8343</v>
      </c>
    </row>
    <row r="1713">
      <c r="A1713" s="3">
        <f>IFERROR(__xludf.DUMMYFUNCTION("""COMPUTED_VALUE"""),42031.99861111111)</f>
        <v>42031.99861</v>
      </c>
      <c r="B1713" s="1">
        <f>IFERROR(__xludf.DUMMYFUNCTION("""COMPUTED_VALUE"""),13844.4)</f>
        <v>13844.4</v>
      </c>
    </row>
    <row r="1714">
      <c r="A1714" s="3">
        <f>IFERROR(__xludf.DUMMYFUNCTION("""COMPUTED_VALUE"""),42032.99861111111)</f>
        <v>42032.99861</v>
      </c>
      <c r="B1714" s="1">
        <f>IFERROR(__xludf.DUMMYFUNCTION("""COMPUTED_VALUE"""),13729.1465)</f>
        <v>13729.1465</v>
      </c>
    </row>
    <row r="1715">
      <c r="A1715" s="3">
        <f>IFERROR(__xludf.DUMMYFUNCTION("""COMPUTED_VALUE"""),42033.99861111111)</f>
        <v>42033.99861</v>
      </c>
      <c r="B1715" s="1">
        <f>IFERROR(__xludf.DUMMYFUNCTION("""COMPUTED_VALUE"""),13623.366)</f>
        <v>13623.366</v>
      </c>
    </row>
    <row r="1716">
      <c r="A1716" s="3">
        <f>IFERROR(__xludf.DUMMYFUNCTION("""COMPUTED_VALUE"""),42034.99861111111)</f>
        <v>42034.99861</v>
      </c>
      <c r="B1716" s="1">
        <f>IFERROR(__xludf.DUMMYFUNCTION("""COMPUTED_VALUE"""),13813.323)</f>
        <v>13813.323</v>
      </c>
    </row>
    <row r="1717">
      <c r="A1717" s="3">
        <f>IFERROR(__xludf.DUMMYFUNCTION("""COMPUTED_VALUE"""),42035.99861111111)</f>
        <v>42035.99861</v>
      </c>
      <c r="B1717" s="1">
        <f>IFERROR(__xludf.DUMMYFUNCTION("""COMPUTED_VALUE"""),13901.53041)</f>
        <v>13901.53041</v>
      </c>
    </row>
    <row r="1718">
      <c r="A1718" s="3">
        <f>IFERROR(__xludf.DUMMYFUNCTION("""COMPUTED_VALUE"""),42036.99861111111)</f>
        <v>42036.99861</v>
      </c>
      <c r="B1718" s="1">
        <f>IFERROR(__xludf.DUMMYFUNCTION("""COMPUTED_VALUE"""),13875.95497)</f>
        <v>13875.95497</v>
      </c>
    </row>
    <row r="1719">
      <c r="A1719" s="3">
        <f>IFERROR(__xludf.DUMMYFUNCTION("""COMPUTED_VALUE"""),42037.99861111111)</f>
        <v>42037.99861</v>
      </c>
      <c r="B1719" s="1">
        <f>IFERROR(__xludf.DUMMYFUNCTION("""COMPUTED_VALUE"""),13635.1035)</f>
        <v>13635.1035</v>
      </c>
    </row>
    <row r="1720">
      <c r="A1720" s="3">
        <f>IFERROR(__xludf.DUMMYFUNCTION("""COMPUTED_VALUE"""),42038.99861111111)</f>
        <v>42038.99861</v>
      </c>
      <c r="B1720" s="1">
        <f>IFERROR(__xludf.DUMMYFUNCTION("""COMPUTED_VALUE"""),13592.3175)</f>
        <v>13592.3175</v>
      </c>
    </row>
    <row r="1721">
      <c r="A1721" s="3">
        <f>IFERROR(__xludf.DUMMYFUNCTION("""COMPUTED_VALUE"""),42039.99861111111)</f>
        <v>42039.99861</v>
      </c>
      <c r="B1721" s="1">
        <f>IFERROR(__xludf.DUMMYFUNCTION("""COMPUTED_VALUE"""),13626.1625)</f>
        <v>13626.1625</v>
      </c>
    </row>
    <row r="1722">
      <c r="A1722" s="3">
        <f>IFERROR(__xludf.DUMMYFUNCTION("""COMPUTED_VALUE"""),42040.99861111111)</f>
        <v>42040.99861</v>
      </c>
      <c r="B1722" s="1">
        <f>IFERROR(__xludf.DUMMYFUNCTION("""COMPUTED_VALUE"""),13649.3428)</f>
        <v>13649.3428</v>
      </c>
    </row>
    <row r="1723">
      <c r="A1723" s="3">
        <f>IFERROR(__xludf.DUMMYFUNCTION("""COMPUTED_VALUE"""),42041.99861111111)</f>
        <v>42041.99861</v>
      </c>
      <c r="B1723" s="1">
        <f>IFERROR(__xludf.DUMMYFUNCTION("""COMPUTED_VALUE"""),13615.8474)</f>
        <v>13615.8474</v>
      </c>
    </row>
    <row r="1724">
      <c r="A1724" s="3">
        <f>IFERROR(__xludf.DUMMYFUNCTION("""COMPUTED_VALUE"""),42043.99861111111)</f>
        <v>42043.99861</v>
      </c>
      <c r="B1724" s="1">
        <f>IFERROR(__xludf.DUMMYFUNCTION("""COMPUTED_VALUE"""),13979.26611)</f>
        <v>13979.26611</v>
      </c>
    </row>
    <row r="1725">
      <c r="A1725" s="3">
        <f>IFERROR(__xludf.DUMMYFUNCTION("""COMPUTED_VALUE"""),42044.99861111111)</f>
        <v>42044.99861</v>
      </c>
      <c r="B1725" s="1">
        <f>IFERROR(__xludf.DUMMYFUNCTION("""COMPUTED_VALUE"""),13688.332)</f>
        <v>13688.332</v>
      </c>
    </row>
    <row r="1726">
      <c r="A1726" s="3">
        <f>IFERROR(__xludf.DUMMYFUNCTION("""COMPUTED_VALUE"""),42045.99861111111)</f>
        <v>42045.99861</v>
      </c>
      <c r="B1726" s="1">
        <f>IFERROR(__xludf.DUMMYFUNCTION("""COMPUTED_VALUE"""),13728.6149)</f>
        <v>13728.6149</v>
      </c>
    </row>
    <row r="1727">
      <c r="A1727" s="3">
        <f>IFERROR(__xludf.DUMMYFUNCTION("""COMPUTED_VALUE"""),42046.99861111111)</f>
        <v>42046.99861</v>
      </c>
      <c r="B1727" s="1">
        <f>IFERROR(__xludf.DUMMYFUNCTION("""COMPUTED_VALUE"""),13783.302)</f>
        <v>13783.302</v>
      </c>
    </row>
    <row r="1728">
      <c r="A1728" s="3">
        <f>IFERROR(__xludf.DUMMYFUNCTION("""COMPUTED_VALUE"""),42047.99861111111)</f>
        <v>42047.99861</v>
      </c>
      <c r="B1728" s="1">
        <f>IFERROR(__xludf.DUMMYFUNCTION("""COMPUTED_VALUE"""),13722.642)</f>
        <v>13722.642</v>
      </c>
    </row>
    <row r="1729">
      <c r="A1729" s="3">
        <f>IFERROR(__xludf.DUMMYFUNCTION("""COMPUTED_VALUE"""),42048.99861111111)</f>
        <v>42048.99861</v>
      </c>
      <c r="B1729" s="1">
        <f>IFERROR(__xludf.DUMMYFUNCTION("""COMPUTED_VALUE"""),13574.5316)</f>
        <v>13574.5316</v>
      </c>
    </row>
    <row r="1730">
      <c r="A1730" s="3">
        <f>IFERROR(__xludf.DUMMYFUNCTION("""COMPUTED_VALUE"""),42049.99861111111)</f>
        <v>42049.99861</v>
      </c>
      <c r="B1730" s="1">
        <f>IFERROR(__xludf.DUMMYFUNCTION("""COMPUTED_VALUE"""),13702.93711)</f>
        <v>13702.93711</v>
      </c>
    </row>
    <row r="1731">
      <c r="A1731" s="3">
        <f>IFERROR(__xludf.DUMMYFUNCTION("""COMPUTED_VALUE"""),42050.99861111111)</f>
        <v>42050.99861</v>
      </c>
      <c r="B1731" s="1">
        <f>IFERROR(__xludf.DUMMYFUNCTION("""COMPUTED_VALUE"""),13716.10847)</f>
        <v>13716.10847</v>
      </c>
    </row>
    <row r="1732">
      <c r="A1732" s="3">
        <f>IFERROR(__xludf.DUMMYFUNCTION("""COMPUTED_VALUE"""),42051.99861111111)</f>
        <v>42051.99861</v>
      </c>
      <c r="B1732" s="1">
        <f>IFERROR(__xludf.DUMMYFUNCTION("""COMPUTED_VALUE"""),13525.803)</f>
        <v>13525.803</v>
      </c>
    </row>
    <row r="1733">
      <c r="A1733" s="3">
        <f>IFERROR(__xludf.DUMMYFUNCTION("""COMPUTED_VALUE"""),42052.99861111111)</f>
        <v>42052.99861</v>
      </c>
      <c r="B1733" s="1">
        <f>IFERROR(__xludf.DUMMYFUNCTION("""COMPUTED_VALUE"""),13635.3872)</f>
        <v>13635.3872</v>
      </c>
    </row>
    <row r="1734">
      <c r="A1734" s="3">
        <f>IFERROR(__xludf.DUMMYFUNCTION("""COMPUTED_VALUE"""),42053.99861111111)</f>
        <v>42053.99861</v>
      </c>
      <c r="B1734" s="1">
        <f>IFERROR(__xludf.DUMMYFUNCTION("""COMPUTED_VALUE"""),13595.253)</f>
        <v>13595.253</v>
      </c>
    </row>
    <row r="1735">
      <c r="A1735" s="3">
        <f>IFERROR(__xludf.DUMMYFUNCTION("""COMPUTED_VALUE"""),42054.99861111111)</f>
        <v>42054.99861</v>
      </c>
      <c r="B1735" s="1">
        <f>IFERROR(__xludf.DUMMYFUNCTION("""COMPUTED_VALUE"""),13567.905)</f>
        <v>13567.905</v>
      </c>
    </row>
    <row r="1736">
      <c r="A1736" s="3">
        <f>IFERROR(__xludf.DUMMYFUNCTION("""COMPUTED_VALUE"""),42055.99861111111)</f>
        <v>42055.99861</v>
      </c>
      <c r="B1736" s="1">
        <f>IFERROR(__xludf.DUMMYFUNCTION("""COMPUTED_VALUE"""),13636.8759)</f>
        <v>13636.8759</v>
      </c>
    </row>
    <row r="1737">
      <c r="A1737" s="3">
        <f>IFERROR(__xludf.DUMMYFUNCTION("""COMPUTED_VALUE"""),42056.99861111111)</f>
        <v>42056.99861</v>
      </c>
      <c r="B1737" s="1">
        <f>IFERROR(__xludf.DUMMYFUNCTION("""COMPUTED_VALUE"""),13674.38562)</f>
        <v>13674.38562</v>
      </c>
    </row>
    <row r="1738">
      <c r="A1738" s="3">
        <f>IFERROR(__xludf.DUMMYFUNCTION("""COMPUTED_VALUE"""),42057.99861111111)</f>
        <v>42057.99861</v>
      </c>
      <c r="B1738" s="1">
        <f>IFERROR(__xludf.DUMMYFUNCTION("""COMPUTED_VALUE"""),13678.24662)</f>
        <v>13678.24662</v>
      </c>
    </row>
    <row r="1739">
      <c r="A1739" s="3">
        <f>IFERROR(__xludf.DUMMYFUNCTION("""COMPUTED_VALUE"""),42058.99861111111)</f>
        <v>42058.99861</v>
      </c>
      <c r="B1739" s="1">
        <f>IFERROR(__xludf.DUMMYFUNCTION("""COMPUTED_VALUE"""),13524.862)</f>
        <v>13524.862</v>
      </c>
    </row>
    <row r="1740">
      <c r="A1740" s="3">
        <f>IFERROR(__xludf.DUMMYFUNCTION("""COMPUTED_VALUE"""),42059.99861111111)</f>
        <v>42059.99861</v>
      </c>
      <c r="B1740" s="1">
        <f>IFERROR(__xludf.DUMMYFUNCTION("""COMPUTED_VALUE"""),13461.1643)</f>
        <v>13461.1643</v>
      </c>
    </row>
    <row r="1741">
      <c r="A1741" s="3">
        <f>IFERROR(__xludf.DUMMYFUNCTION("""COMPUTED_VALUE"""),42060.99861111111)</f>
        <v>42060.99861</v>
      </c>
      <c r="B1741" s="1">
        <f>IFERROR(__xludf.DUMMYFUNCTION("""COMPUTED_VALUE"""),13544.028)</f>
        <v>13544.028</v>
      </c>
    </row>
    <row r="1742">
      <c r="A1742" s="3">
        <f>IFERROR(__xludf.DUMMYFUNCTION("""COMPUTED_VALUE"""),42061.99861111111)</f>
        <v>42061.99861</v>
      </c>
      <c r="B1742" s="1">
        <f>IFERROR(__xludf.DUMMYFUNCTION("""COMPUTED_VALUE"""),13492.1358)</f>
        <v>13492.1358</v>
      </c>
    </row>
    <row r="1743">
      <c r="A1743" s="3">
        <f>IFERROR(__xludf.DUMMYFUNCTION("""COMPUTED_VALUE"""),42062.99861111111)</f>
        <v>42062.99861</v>
      </c>
      <c r="B1743" s="1">
        <f>IFERROR(__xludf.DUMMYFUNCTION("""COMPUTED_VALUE"""),13589.2638)</f>
        <v>13589.2638</v>
      </c>
    </row>
    <row r="1744">
      <c r="A1744" s="3">
        <f>IFERROR(__xludf.DUMMYFUNCTION("""COMPUTED_VALUE"""),42063.99861111111)</f>
        <v>42063.99861</v>
      </c>
      <c r="B1744" s="1">
        <f>IFERROR(__xludf.DUMMYFUNCTION("""COMPUTED_VALUE"""),13637.18993)</f>
        <v>13637.18993</v>
      </c>
    </row>
    <row r="1745">
      <c r="A1745" s="3">
        <f>IFERROR(__xludf.DUMMYFUNCTION("""COMPUTED_VALUE"""),42064.99861111111)</f>
        <v>42064.99861</v>
      </c>
      <c r="B1745" s="1">
        <f>IFERROR(__xludf.DUMMYFUNCTION("""COMPUTED_VALUE"""),13622.88564)</f>
        <v>13622.88564</v>
      </c>
    </row>
    <row r="1746">
      <c r="A1746" s="3">
        <f>IFERROR(__xludf.DUMMYFUNCTION("""COMPUTED_VALUE"""),42065.99861111111)</f>
        <v>42065.99861</v>
      </c>
      <c r="B1746" s="1">
        <f>IFERROR(__xludf.DUMMYFUNCTION("""COMPUTED_VALUE"""),13552.4855)</f>
        <v>13552.4855</v>
      </c>
    </row>
    <row r="1747">
      <c r="A1747" s="3">
        <f>IFERROR(__xludf.DUMMYFUNCTION("""COMPUTED_VALUE"""),42066.99861111111)</f>
        <v>42066.99861</v>
      </c>
      <c r="B1747" s="1">
        <f>IFERROR(__xludf.DUMMYFUNCTION("""COMPUTED_VALUE"""),13494.2474)</f>
        <v>13494.2474</v>
      </c>
    </row>
    <row r="1748">
      <c r="A1748" s="3">
        <f>IFERROR(__xludf.DUMMYFUNCTION("""COMPUTED_VALUE"""),42067.99861111111)</f>
        <v>42067.99861</v>
      </c>
      <c r="B1748" s="1">
        <f>IFERROR(__xludf.DUMMYFUNCTION("""COMPUTED_VALUE"""),13506.967)</f>
        <v>13506.967</v>
      </c>
    </row>
    <row r="1749">
      <c r="A1749" s="3">
        <f>IFERROR(__xludf.DUMMYFUNCTION("""COMPUTED_VALUE"""),42068.99861111111)</f>
        <v>42068.99861</v>
      </c>
      <c r="B1749" s="1">
        <f>IFERROR(__xludf.DUMMYFUNCTION("""COMPUTED_VALUE"""),13243.14)</f>
        <v>13243.14</v>
      </c>
    </row>
    <row r="1750">
      <c r="A1750" s="3">
        <f>IFERROR(__xludf.DUMMYFUNCTION("""COMPUTED_VALUE"""),42069.99861111111)</f>
        <v>42069.99861</v>
      </c>
      <c r="B1750" s="1">
        <f>IFERROR(__xludf.DUMMYFUNCTION("""COMPUTED_VALUE"""),13205.905)</f>
        <v>13205.905</v>
      </c>
    </row>
    <row r="1751">
      <c r="A1751" s="3">
        <f>IFERROR(__xludf.DUMMYFUNCTION("""COMPUTED_VALUE"""),42071.99861111111)</f>
        <v>42071.99861</v>
      </c>
      <c r="B1751" s="1">
        <f>IFERROR(__xludf.DUMMYFUNCTION("""COMPUTED_VALUE"""),13427.2454)</f>
        <v>13427.2454</v>
      </c>
    </row>
    <row r="1752">
      <c r="A1752" s="3">
        <f>IFERROR(__xludf.DUMMYFUNCTION("""COMPUTED_VALUE"""),42072.99861111111)</f>
        <v>42072.99861</v>
      </c>
      <c r="B1752" s="1">
        <f>IFERROR(__xludf.DUMMYFUNCTION("""COMPUTED_VALUE"""),13237.7198)</f>
        <v>13237.7198</v>
      </c>
    </row>
    <row r="1753">
      <c r="A1753" s="3">
        <f>IFERROR(__xludf.DUMMYFUNCTION("""COMPUTED_VALUE"""),42073.99861111111)</f>
        <v>42073.99861</v>
      </c>
      <c r="B1753" s="1">
        <f>IFERROR(__xludf.DUMMYFUNCTION("""COMPUTED_VALUE"""),13089.605)</f>
        <v>13089.605</v>
      </c>
    </row>
    <row r="1754">
      <c r="A1754" s="3">
        <f>IFERROR(__xludf.DUMMYFUNCTION("""COMPUTED_VALUE"""),42074.99861111111)</f>
        <v>42074.99861</v>
      </c>
      <c r="B1754" s="1">
        <f>IFERROR(__xludf.DUMMYFUNCTION("""COMPUTED_VALUE"""),13052.86775)</f>
        <v>13052.86775</v>
      </c>
    </row>
    <row r="1755">
      <c r="A1755" s="3">
        <f>IFERROR(__xludf.DUMMYFUNCTION("""COMPUTED_VALUE"""),42075.99861111111)</f>
        <v>42075.99861</v>
      </c>
      <c r="B1755" s="1">
        <f>IFERROR(__xludf.DUMMYFUNCTION("""COMPUTED_VALUE"""),13127.7243)</f>
        <v>13127.7243</v>
      </c>
    </row>
    <row r="1756">
      <c r="A1756" s="3">
        <f>IFERROR(__xludf.DUMMYFUNCTION("""COMPUTED_VALUE"""),42076.99861111111)</f>
        <v>42076.99861</v>
      </c>
      <c r="B1756" s="1">
        <f>IFERROR(__xludf.DUMMYFUNCTION("""COMPUTED_VALUE"""),13104.17595)</f>
        <v>13104.17595</v>
      </c>
    </row>
    <row r="1757">
      <c r="A1757" s="3">
        <f>IFERROR(__xludf.DUMMYFUNCTION("""COMPUTED_VALUE"""),42077.99861111111)</f>
        <v>42077.99861</v>
      </c>
      <c r="B1757" s="1">
        <f>IFERROR(__xludf.DUMMYFUNCTION("""COMPUTED_VALUE"""),13210.8873)</f>
        <v>13210.8873</v>
      </c>
    </row>
    <row r="1758">
      <c r="A1758" s="3">
        <f>IFERROR(__xludf.DUMMYFUNCTION("""COMPUTED_VALUE"""),42078.99861111111)</f>
        <v>42078.99861</v>
      </c>
      <c r="B1758" s="1">
        <f>IFERROR(__xludf.DUMMYFUNCTION("""COMPUTED_VALUE"""),13185.9205)</f>
        <v>13185.9205</v>
      </c>
    </row>
    <row r="1759">
      <c r="A1759" s="3">
        <f>IFERROR(__xludf.DUMMYFUNCTION("""COMPUTED_VALUE"""),42079.99861111111)</f>
        <v>42079.99861</v>
      </c>
      <c r="B1759" s="1">
        <f>IFERROR(__xludf.DUMMYFUNCTION("""COMPUTED_VALUE"""),13089.9678)</f>
        <v>13089.9678</v>
      </c>
    </row>
    <row r="1760">
      <c r="A1760" s="3">
        <f>IFERROR(__xludf.DUMMYFUNCTION("""COMPUTED_VALUE"""),42080.99861111111)</f>
        <v>42080.99861</v>
      </c>
      <c r="B1760" s="1">
        <f>IFERROR(__xludf.DUMMYFUNCTION("""COMPUTED_VALUE"""),13041.6736)</f>
        <v>13041.6736</v>
      </c>
    </row>
    <row r="1761">
      <c r="A1761" s="3">
        <f>IFERROR(__xludf.DUMMYFUNCTION("""COMPUTED_VALUE"""),42081.99861111111)</f>
        <v>42081.99861</v>
      </c>
      <c r="B1761" s="1">
        <f>IFERROR(__xludf.DUMMYFUNCTION("""COMPUTED_VALUE"""),13124.72)</f>
        <v>13124.72</v>
      </c>
    </row>
    <row r="1762">
      <c r="A1762" s="3">
        <f>IFERROR(__xludf.DUMMYFUNCTION("""COMPUTED_VALUE"""),42082.99861111111)</f>
        <v>42082.99861</v>
      </c>
      <c r="B1762" s="1">
        <f>IFERROR(__xludf.DUMMYFUNCTION("""COMPUTED_VALUE"""),13189.8858)</f>
        <v>13189.8858</v>
      </c>
    </row>
    <row r="1763">
      <c r="A1763" s="3">
        <f>IFERROR(__xludf.DUMMYFUNCTION("""COMPUTED_VALUE"""),42083.99861111111)</f>
        <v>42083.99861</v>
      </c>
      <c r="B1763" s="1">
        <f>IFERROR(__xludf.DUMMYFUNCTION("""COMPUTED_VALUE"""),13333.6925)</f>
        <v>13333.6925</v>
      </c>
    </row>
    <row r="1764">
      <c r="A1764" s="3">
        <f>IFERROR(__xludf.DUMMYFUNCTION("""COMPUTED_VALUE"""),42084.99861111111)</f>
        <v>42084.99861</v>
      </c>
      <c r="B1764" s="1">
        <f>IFERROR(__xludf.DUMMYFUNCTION("""COMPUTED_VALUE"""),13354.61854)</f>
        <v>13354.61854</v>
      </c>
    </row>
    <row r="1765">
      <c r="A1765" s="3">
        <f>IFERROR(__xludf.DUMMYFUNCTION("""COMPUTED_VALUE"""),42085.99861111111)</f>
        <v>42085.99861</v>
      </c>
      <c r="B1765" s="1">
        <f>IFERROR(__xludf.DUMMYFUNCTION("""COMPUTED_VALUE"""),13328.54294)</f>
        <v>13328.54294</v>
      </c>
    </row>
    <row r="1766">
      <c r="A1766" s="3">
        <f>IFERROR(__xludf.DUMMYFUNCTION("""COMPUTED_VALUE"""),42086.99861111111)</f>
        <v>42086.99861</v>
      </c>
      <c r="B1766" s="1">
        <f>IFERROR(__xludf.DUMMYFUNCTION("""COMPUTED_VALUE"""),13393.4164)</f>
        <v>13393.4164</v>
      </c>
    </row>
    <row r="1767">
      <c r="A1767" s="3">
        <f>IFERROR(__xludf.DUMMYFUNCTION("""COMPUTED_VALUE"""),42087.99861111111)</f>
        <v>42087.99861</v>
      </c>
      <c r="B1767" s="1">
        <f>IFERROR(__xludf.DUMMYFUNCTION("""COMPUTED_VALUE"""),13441.848)</f>
        <v>13441.848</v>
      </c>
    </row>
    <row r="1768">
      <c r="A1768" s="3">
        <f>IFERROR(__xludf.DUMMYFUNCTION("""COMPUTED_VALUE"""),42088.99861111111)</f>
        <v>42088.99861</v>
      </c>
      <c r="B1768" s="1">
        <f>IFERROR(__xludf.DUMMYFUNCTION("""COMPUTED_VALUE"""),13456.251)</f>
        <v>13456.251</v>
      </c>
    </row>
    <row r="1769">
      <c r="A1769" s="3">
        <f>IFERROR(__xludf.DUMMYFUNCTION("""COMPUTED_VALUE"""),42089.99861111111)</f>
        <v>42089.99861</v>
      </c>
      <c r="B1769" s="1">
        <f>IFERROR(__xludf.DUMMYFUNCTION("""COMPUTED_VALUE"""),13500.477)</f>
        <v>13500.477</v>
      </c>
    </row>
    <row r="1770">
      <c r="A1770" s="3">
        <f>IFERROR(__xludf.DUMMYFUNCTION("""COMPUTED_VALUE"""),42090.99861111111)</f>
        <v>42090.99861</v>
      </c>
      <c r="B1770" s="1">
        <f>IFERROR(__xludf.DUMMYFUNCTION("""COMPUTED_VALUE"""),13547.2755)</f>
        <v>13547.2755</v>
      </c>
    </row>
    <row r="1771">
      <c r="A1771" s="3">
        <f>IFERROR(__xludf.DUMMYFUNCTION("""COMPUTED_VALUE"""),42092.99861111111)</f>
        <v>42092.99861</v>
      </c>
      <c r="B1771" s="1">
        <f>IFERROR(__xludf.DUMMYFUNCTION("""COMPUTED_VALUE"""),13666.224)</f>
        <v>13666.224</v>
      </c>
    </row>
    <row r="1772">
      <c r="A1772" s="3">
        <f>IFERROR(__xludf.DUMMYFUNCTION("""COMPUTED_VALUE"""),42093.99861111111)</f>
        <v>42093.99861</v>
      </c>
      <c r="B1772" s="1">
        <f>IFERROR(__xludf.DUMMYFUNCTION("""COMPUTED_VALUE"""),13524.1058)</f>
        <v>13524.1058</v>
      </c>
    </row>
    <row r="1773">
      <c r="A1773" s="3">
        <f>IFERROR(__xludf.DUMMYFUNCTION("""COMPUTED_VALUE"""),42094.99861111111)</f>
        <v>42094.99861</v>
      </c>
      <c r="B1773" s="1">
        <f>IFERROR(__xludf.DUMMYFUNCTION("""COMPUTED_VALUE"""),13429.598)</f>
        <v>13429.598</v>
      </c>
    </row>
    <row r="1774">
      <c r="A1774" s="3">
        <f>IFERROR(__xludf.DUMMYFUNCTION("""COMPUTED_VALUE"""),42095.99861111111)</f>
        <v>42095.99861</v>
      </c>
      <c r="B1774" s="1">
        <f>IFERROR(__xludf.DUMMYFUNCTION("""COMPUTED_VALUE"""),13407.6426)</f>
        <v>13407.6426</v>
      </c>
    </row>
    <row r="1775">
      <c r="A1775" s="3">
        <f>IFERROR(__xludf.DUMMYFUNCTION("""COMPUTED_VALUE"""),42096.99861111111)</f>
        <v>42096.99861</v>
      </c>
      <c r="B1775" s="1">
        <f>IFERROR(__xludf.DUMMYFUNCTION("""COMPUTED_VALUE"""),13522.579)</f>
        <v>13522.579</v>
      </c>
    </row>
    <row r="1776">
      <c r="A1776" s="3">
        <f>IFERROR(__xludf.DUMMYFUNCTION("""COMPUTED_VALUE"""),42097.99861111111)</f>
        <v>42097.99861</v>
      </c>
      <c r="B1776" s="1">
        <f>IFERROR(__xludf.DUMMYFUNCTION("""COMPUTED_VALUE"""),13601.5815)</f>
        <v>13601.5815</v>
      </c>
    </row>
    <row r="1777">
      <c r="A1777" s="3">
        <f>IFERROR(__xludf.DUMMYFUNCTION("""COMPUTED_VALUE"""),42099.99861111111)</f>
        <v>42099.99861</v>
      </c>
      <c r="B1777" s="1">
        <f>IFERROR(__xludf.DUMMYFUNCTION("""COMPUTED_VALUE"""),13617.37098)</f>
        <v>13617.37098</v>
      </c>
    </row>
    <row r="1778">
      <c r="A1778" s="3">
        <f>IFERROR(__xludf.DUMMYFUNCTION("""COMPUTED_VALUE"""),42100.99861111111)</f>
        <v>42100.99861</v>
      </c>
      <c r="B1778" s="1">
        <f>IFERROR(__xludf.DUMMYFUNCTION("""COMPUTED_VALUE"""),13510.6965)</f>
        <v>13510.6965</v>
      </c>
    </row>
    <row r="1779">
      <c r="A1779" s="3">
        <f>IFERROR(__xludf.DUMMYFUNCTION("""COMPUTED_VALUE"""),42101.99861111111)</f>
        <v>42101.99861</v>
      </c>
      <c r="B1779" s="1">
        <f>IFERROR(__xludf.DUMMYFUNCTION("""COMPUTED_VALUE"""),13453.7235)</f>
        <v>13453.7235</v>
      </c>
    </row>
    <row r="1780">
      <c r="A1780" s="3">
        <f>IFERROR(__xludf.DUMMYFUNCTION("""COMPUTED_VALUE"""),42102.99861111111)</f>
        <v>42102.99861</v>
      </c>
      <c r="B1780" s="1">
        <f>IFERROR(__xludf.DUMMYFUNCTION("""COMPUTED_VALUE"""),13372.205)</f>
        <v>13372.205</v>
      </c>
    </row>
    <row r="1781">
      <c r="A1781" s="3">
        <f>IFERROR(__xludf.DUMMYFUNCTION("""COMPUTED_VALUE"""),42103.99861111111)</f>
        <v>42103.99861</v>
      </c>
      <c r="B1781" s="1">
        <f>IFERROR(__xludf.DUMMYFUNCTION("""COMPUTED_VALUE"""),13235.092)</f>
        <v>13235.092</v>
      </c>
    </row>
    <row r="1782">
      <c r="A1782" s="3">
        <f>IFERROR(__xludf.DUMMYFUNCTION("""COMPUTED_VALUE"""),42104.99861111111)</f>
        <v>42104.99861</v>
      </c>
      <c r="B1782" s="1">
        <f>IFERROR(__xludf.DUMMYFUNCTION("""COMPUTED_VALUE"""),13151.667)</f>
        <v>13151.667</v>
      </c>
    </row>
    <row r="1783">
      <c r="A1783" s="3">
        <f>IFERROR(__xludf.DUMMYFUNCTION("""COMPUTED_VALUE"""),42105.99861111111)</f>
        <v>42105.99861</v>
      </c>
      <c r="B1783" s="1">
        <f>IFERROR(__xludf.DUMMYFUNCTION("""COMPUTED_VALUE"""),13219.92175)</f>
        <v>13219.92175</v>
      </c>
    </row>
    <row r="1784">
      <c r="A1784" s="3">
        <f>IFERROR(__xludf.DUMMYFUNCTION("""COMPUTED_VALUE"""),42106.99861111111)</f>
        <v>42106.99861</v>
      </c>
      <c r="B1784" s="1">
        <f>IFERROR(__xludf.DUMMYFUNCTION("""COMPUTED_VALUE"""),13206.98514)</f>
        <v>13206.98514</v>
      </c>
    </row>
    <row r="1785">
      <c r="A1785" s="3">
        <f>IFERROR(__xludf.DUMMYFUNCTION("""COMPUTED_VALUE"""),42107.99861111111)</f>
        <v>42107.99861</v>
      </c>
      <c r="B1785" s="1">
        <f>IFERROR(__xludf.DUMMYFUNCTION("""COMPUTED_VALUE"""),13345.035)</f>
        <v>13345.035</v>
      </c>
    </row>
    <row r="1786">
      <c r="A1786" s="3">
        <f>IFERROR(__xludf.DUMMYFUNCTION("""COMPUTED_VALUE"""),42108.99861111111)</f>
        <v>42108.99861</v>
      </c>
      <c r="B1786" s="1">
        <f>IFERROR(__xludf.DUMMYFUNCTION("""COMPUTED_VALUE"""),13333.11)</f>
        <v>13333.11</v>
      </c>
    </row>
    <row r="1787">
      <c r="A1787" s="3">
        <f>IFERROR(__xludf.DUMMYFUNCTION("""COMPUTED_VALUE"""),42109.99861111111)</f>
        <v>42109.99861</v>
      </c>
      <c r="B1787" s="1">
        <f>IFERROR(__xludf.DUMMYFUNCTION("""COMPUTED_VALUE"""),13360.0023)</f>
        <v>13360.0023</v>
      </c>
    </row>
    <row r="1788">
      <c r="A1788" s="3">
        <f>IFERROR(__xludf.DUMMYFUNCTION("""COMPUTED_VALUE"""),42110.99861111111)</f>
        <v>42110.99861</v>
      </c>
      <c r="B1788" s="1">
        <f>IFERROR(__xludf.DUMMYFUNCTION("""COMPUTED_VALUE"""),13398.182)</f>
        <v>13398.182</v>
      </c>
    </row>
    <row r="1789">
      <c r="A1789" s="3">
        <f>IFERROR(__xludf.DUMMYFUNCTION("""COMPUTED_VALUE"""),42111.99861111111)</f>
        <v>42111.99861</v>
      </c>
      <c r="B1789" s="1">
        <f>IFERROR(__xludf.DUMMYFUNCTION("""COMPUTED_VALUE"""),13432.32)</f>
        <v>13432.32</v>
      </c>
    </row>
    <row r="1790">
      <c r="A1790" s="3">
        <f>IFERROR(__xludf.DUMMYFUNCTION("""COMPUTED_VALUE"""),42112.99861111111)</f>
        <v>42112.99861</v>
      </c>
      <c r="B1790" s="1">
        <f>IFERROR(__xludf.DUMMYFUNCTION("""COMPUTED_VALUE"""),13481.38589)</f>
        <v>13481.38589</v>
      </c>
    </row>
    <row r="1791">
      <c r="A1791" s="3">
        <f>IFERROR(__xludf.DUMMYFUNCTION("""COMPUTED_VALUE"""),42113.99861111111)</f>
        <v>42113.99861</v>
      </c>
      <c r="B1791" s="1">
        <f>IFERROR(__xludf.DUMMYFUNCTION("""COMPUTED_VALUE"""),13539.94011)</f>
        <v>13539.94011</v>
      </c>
    </row>
    <row r="1792">
      <c r="A1792" s="3">
        <f>IFERROR(__xludf.DUMMYFUNCTION("""COMPUTED_VALUE"""),42114.99861111111)</f>
        <v>42114.99861</v>
      </c>
      <c r="B1792" s="1">
        <f>IFERROR(__xludf.DUMMYFUNCTION("""COMPUTED_VALUE"""),13571.808)</f>
        <v>13571.808</v>
      </c>
    </row>
    <row r="1793">
      <c r="A1793" s="3">
        <f>IFERROR(__xludf.DUMMYFUNCTION("""COMPUTED_VALUE"""),42115.99861111111)</f>
        <v>42115.99861</v>
      </c>
      <c r="B1793" s="1">
        <f>IFERROR(__xludf.DUMMYFUNCTION("""COMPUTED_VALUE"""),13533.7675)</f>
        <v>13533.7675</v>
      </c>
    </row>
    <row r="1794">
      <c r="A1794" s="3">
        <f>IFERROR(__xludf.DUMMYFUNCTION("""COMPUTED_VALUE"""),42116.99861111111)</f>
        <v>42116.99861</v>
      </c>
      <c r="B1794" s="1">
        <f>IFERROR(__xludf.DUMMYFUNCTION("""COMPUTED_VALUE"""),13301.19)</f>
        <v>13301.19</v>
      </c>
    </row>
    <row r="1795">
      <c r="A1795" s="3">
        <f>IFERROR(__xludf.DUMMYFUNCTION("""COMPUTED_VALUE"""),42117.99861111111)</f>
        <v>42117.99861</v>
      </c>
      <c r="B1795" s="1">
        <f>IFERROR(__xludf.DUMMYFUNCTION("""COMPUTED_VALUE"""),13531.245)</f>
        <v>13531.245</v>
      </c>
    </row>
    <row r="1796">
      <c r="A1796" s="3">
        <f>IFERROR(__xludf.DUMMYFUNCTION("""COMPUTED_VALUE"""),42118.99861111111)</f>
        <v>42118.99861</v>
      </c>
      <c r="B1796" s="1">
        <f>IFERROR(__xludf.DUMMYFUNCTION("""COMPUTED_VALUE"""),13554.1566)</f>
        <v>13554.1566</v>
      </c>
    </row>
    <row r="1797">
      <c r="A1797" s="3">
        <f>IFERROR(__xludf.DUMMYFUNCTION("""COMPUTED_VALUE"""),42120.99861111111)</f>
        <v>42120.99861</v>
      </c>
      <c r="B1797" s="1">
        <f>IFERROR(__xludf.DUMMYFUNCTION("""COMPUTED_VALUE"""),13600.50977)</f>
        <v>13600.50977</v>
      </c>
    </row>
    <row r="1798">
      <c r="A1798" s="3">
        <f>IFERROR(__xludf.DUMMYFUNCTION("""COMPUTED_VALUE"""),42121.99861111111)</f>
        <v>42121.99861</v>
      </c>
      <c r="B1798" s="1">
        <f>IFERROR(__xludf.DUMMYFUNCTION("""COMPUTED_VALUE"""),13529.3982)</f>
        <v>13529.3982</v>
      </c>
    </row>
    <row r="1799">
      <c r="A1799" s="3">
        <f>IFERROR(__xludf.DUMMYFUNCTION("""COMPUTED_VALUE"""),42122.99861111111)</f>
        <v>42122.99861</v>
      </c>
      <c r="B1799" s="1">
        <f>IFERROR(__xludf.DUMMYFUNCTION("""COMPUTED_VALUE"""),13522.249)</f>
        <v>13522.249</v>
      </c>
    </row>
    <row r="1800">
      <c r="A1800" s="3">
        <f>IFERROR(__xludf.DUMMYFUNCTION("""COMPUTED_VALUE"""),42123.99861111111)</f>
        <v>42123.99861</v>
      </c>
      <c r="B1800" s="1">
        <f>IFERROR(__xludf.DUMMYFUNCTION("""COMPUTED_VALUE"""),13729.9365)</f>
        <v>13729.9365</v>
      </c>
    </row>
    <row r="1801">
      <c r="A1801" s="3">
        <f>IFERROR(__xludf.DUMMYFUNCTION("""COMPUTED_VALUE"""),42124.99861111111)</f>
        <v>42124.99861</v>
      </c>
      <c r="B1801" s="1">
        <f>IFERROR(__xludf.DUMMYFUNCTION("""COMPUTED_VALUE"""),13880.8341)</f>
        <v>13880.8341</v>
      </c>
    </row>
    <row r="1802">
      <c r="A1802" s="3">
        <f>IFERROR(__xludf.DUMMYFUNCTION("""COMPUTED_VALUE"""),42125.99861111111)</f>
        <v>42125.99861</v>
      </c>
      <c r="B1802" s="1">
        <f>IFERROR(__xludf.DUMMYFUNCTION("""COMPUTED_VALUE"""),13898.82)</f>
        <v>13898.82</v>
      </c>
    </row>
    <row r="1803">
      <c r="A1803" s="3">
        <f>IFERROR(__xludf.DUMMYFUNCTION("""COMPUTED_VALUE"""),42126.99861111111)</f>
        <v>42126.99861</v>
      </c>
      <c r="B1803" s="1">
        <f>IFERROR(__xludf.DUMMYFUNCTION("""COMPUTED_VALUE"""),13997.37981)</f>
        <v>13997.37981</v>
      </c>
    </row>
    <row r="1804">
      <c r="A1804" s="3">
        <f>IFERROR(__xludf.DUMMYFUNCTION("""COMPUTED_VALUE"""),42127.99861111111)</f>
        <v>42127.99861</v>
      </c>
      <c r="B1804" s="1">
        <f>IFERROR(__xludf.DUMMYFUNCTION("""COMPUTED_VALUE"""),13964.78758)</f>
        <v>13964.78758</v>
      </c>
    </row>
    <row r="1805">
      <c r="A1805" s="3">
        <f>IFERROR(__xludf.DUMMYFUNCTION("""COMPUTED_VALUE"""),42128.99861111111)</f>
        <v>42128.99861</v>
      </c>
      <c r="B1805" s="1">
        <f>IFERROR(__xludf.DUMMYFUNCTION("""COMPUTED_VALUE"""),13769.202)</f>
        <v>13769.202</v>
      </c>
    </row>
    <row r="1806">
      <c r="A1806" s="3">
        <f>IFERROR(__xludf.DUMMYFUNCTION("""COMPUTED_VALUE"""),42129.99861111111)</f>
        <v>42129.99861</v>
      </c>
      <c r="B1806" s="1">
        <f>IFERROR(__xludf.DUMMYFUNCTION("""COMPUTED_VALUE"""),14023.2915)</f>
        <v>14023.2915</v>
      </c>
    </row>
    <row r="1807">
      <c r="A1807" s="3">
        <f>IFERROR(__xludf.DUMMYFUNCTION("""COMPUTED_VALUE"""),42130.99861111111)</f>
        <v>42130.99861</v>
      </c>
      <c r="B1807" s="1">
        <f>IFERROR(__xludf.DUMMYFUNCTION("""COMPUTED_VALUE"""),14180.862)</f>
        <v>14180.862</v>
      </c>
    </row>
    <row r="1808">
      <c r="A1808" s="3">
        <f>IFERROR(__xludf.DUMMYFUNCTION("""COMPUTED_VALUE"""),42131.99861111111)</f>
        <v>42131.99861</v>
      </c>
      <c r="B1808" s="1">
        <f>IFERROR(__xludf.DUMMYFUNCTION("""COMPUTED_VALUE"""),14205.456)</f>
        <v>14205.456</v>
      </c>
    </row>
    <row r="1809">
      <c r="A1809" s="3">
        <f>IFERROR(__xludf.DUMMYFUNCTION("""COMPUTED_VALUE"""),42132.99861111111)</f>
        <v>42132.99861</v>
      </c>
      <c r="B1809" s="1">
        <f>IFERROR(__xludf.DUMMYFUNCTION("""COMPUTED_VALUE"""),14000.7357)</f>
        <v>14000.7357</v>
      </c>
    </row>
    <row r="1810">
      <c r="A1810" s="3">
        <f>IFERROR(__xludf.DUMMYFUNCTION("""COMPUTED_VALUE"""),42133.99861111111)</f>
        <v>42133.99861</v>
      </c>
      <c r="B1810" s="1">
        <f>IFERROR(__xludf.DUMMYFUNCTION("""COMPUTED_VALUE"""),14111.83702)</f>
        <v>14111.83702</v>
      </c>
    </row>
    <row r="1811">
      <c r="A1811" s="3">
        <f>IFERROR(__xludf.DUMMYFUNCTION("""COMPUTED_VALUE"""),42134.99861111111)</f>
        <v>42134.99861</v>
      </c>
      <c r="B1811" s="1">
        <f>IFERROR(__xludf.DUMMYFUNCTION("""COMPUTED_VALUE"""),14119.73175)</f>
        <v>14119.73175</v>
      </c>
    </row>
    <row r="1812">
      <c r="A1812" s="3">
        <f>IFERROR(__xludf.DUMMYFUNCTION("""COMPUTED_VALUE"""),42135.99861111111)</f>
        <v>42135.99861</v>
      </c>
      <c r="B1812" s="1">
        <f>IFERROR(__xludf.DUMMYFUNCTION("""COMPUTED_VALUE"""),14089.266)</f>
        <v>14089.266</v>
      </c>
    </row>
    <row r="1813">
      <c r="A1813" s="3">
        <f>IFERROR(__xludf.DUMMYFUNCTION("""COMPUTED_VALUE"""),42136.99861111111)</f>
        <v>42136.99861</v>
      </c>
      <c r="B1813" s="1">
        <f>IFERROR(__xludf.DUMMYFUNCTION("""COMPUTED_VALUE"""),14155.8505)</f>
        <v>14155.8505</v>
      </c>
    </row>
    <row r="1814">
      <c r="A1814" s="3">
        <f>IFERROR(__xludf.DUMMYFUNCTION("""COMPUTED_VALUE"""),42137.99861111111)</f>
        <v>42137.99861</v>
      </c>
      <c r="B1814" s="1">
        <f>IFERROR(__xludf.DUMMYFUNCTION("""COMPUTED_VALUE"""),14283.8004)</f>
        <v>14283.8004</v>
      </c>
    </row>
    <row r="1815">
      <c r="A1815" s="3">
        <f>IFERROR(__xludf.DUMMYFUNCTION("""COMPUTED_VALUE"""),42138.99861111111)</f>
        <v>42138.99861</v>
      </c>
      <c r="B1815" s="1">
        <f>IFERROR(__xludf.DUMMYFUNCTION("""COMPUTED_VALUE"""),14253.1389)</f>
        <v>14253.1389</v>
      </c>
    </row>
    <row r="1816">
      <c r="A1816" s="3">
        <f>IFERROR(__xludf.DUMMYFUNCTION("""COMPUTED_VALUE"""),42139.99861111111)</f>
        <v>42139.99861</v>
      </c>
      <c r="B1816" s="1">
        <f>IFERROR(__xludf.DUMMYFUNCTION("""COMPUTED_VALUE"""),14234.277)</f>
        <v>14234.277</v>
      </c>
    </row>
    <row r="1817">
      <c r="A1817" s="3">
        <f>IFERROR(__xludf.DUMMYFUNCTION("""COMPUTED_VALUE"""),42141.99861111111)</f>
        <v>42141.99861</v>
      </c>
      <c r="B1817" s="1">
        <f>IFERROR(__xludf.DUMMYFUNCTION("""COMPUTED_VALUE"""),14275.81106)</f>
        <v>14275.81106</v>
      </c>
    </row>
    <row r="1818">
      <c r="A1818" s="3">
        <f>IFERROR(__xludf.DUMMYFUNCTION("""COMPUTED_VALUE"""),42142.99861111111)</f>
        <v>42142.99861</v>
      </c>
      <c r="B1818" s="1">
        <f>IFERROR(__xludf.DUMMYFUNCTION("""COMPUTED_VALUE"""),14209.6952)</f>
        <v>14209.6952</v>
      </c>
    </row>
    <row r="1819">
      <c r="A1819" s="3">
        <f>IFERROR(__xludf.DUMMYFUNCTION("""COMPUTED_VALUE"""),42143.99861111111)</f>
        <v>42143.99861</v>
      </c>
      <c r="B1819" s="1">
        <f>IFERROR(__xludf.DUMMYFUNCTION("""COMPUTED_VALUE"""),14048.9392)</f>
        <v>14048.9392</v>
      </c>
    </row>
    <row r="1820">
      <c r="A1820" s="3">
        <f>IFERROR(__xludf.DUMMYFUNCTION("""COMPUTED_VALUE"""),42144.99861111111)</f>
        <v>42144.99861</v>
      </c>
      <c r="B1820" s="1">
        <f>IFERROR(__xludf.DUMMYFUNCTION("""COMPUTED_VALUE"""),13900.02)</f>
        <v>13900.02</v>
      </c>
    </row>
    <row r="1821">
      <c r="A1821" s="3">
        <f>IFERROR(__xludf.DUMMYFUNCTION("""COMPUTED_VALUE"""),42145.99861111111)</f>
        <v>42145.99861</v>
      </c>
      <c r="B1821" s="1">
        <f>IFERROR(__xludf.DUMMYFUNCTION("""COMPUTED_VALUE"""),13986.236)</f>
        <v>13986.236</v>
      </c>
    </row>
    <row r="1822">
      <c r="A1822" s="3">
        <f>IFERROR(__xludf.DUMMYFUNCTION("""COMPUTED_VALUE"""),42146.99861111111)</f>
        <v>42146.99861</v>
      </c>
      <c r="B1822" s="1">
        <f>IFERROR(__xludf.DUMMYFUNCTION("""COMPUTED_VALUE"""),13910.004)</f>
        <v>13910.004</v>
      </c>
    </row>
    <row r="1823">
      <c r="A1823" s="3">
        <f>IFERROR(__xludf.DUMMYFUNCTION("""COMPUTED_VALUE"""),42149.99861111111)</f>
        <v>42149.99861</v>
      </c>
      <c r="B1823" s="1">
        <f>IFERROR(__xludf.DUMMYFUNCTION("""COMPUTED_VALUE"""),13927.8129)</f>
        <v>13927.8129</v>
      </c>
    </row>
    <row r="1824">
      <c r="A1824" s="3">
        <f>IFERROR(__xludf.DUMMYFUNCTION("""COMPUTED_VALUE"""),42150.99861111111)</f>
        <v>42150.99861</v>
      </c>
      <c r="B1824" s="1">
        <f>IFERROR(__xludf.DUMMYFUNCTION("""COMPUTED_VALUE"""),13877.85)</f>
        <v>13877.85</v>
      </c>
    </row>
    <row r="1825">
      <c r="A1825" s="3">
        <f>IFERROR(__xludf.DUMMYFUNCTION("""COMPUTED_VALUE"""),42151.99861111111)</f>
        <v>42151.99861</v>
      </c>
      <c r="B1825" s="1">
        <f>IFERROR(__xludf.DUMMYFUNCTION("""COMPUTED_VALUE"""),13864.059)</f>
        <v>13864.059</v>
      </c>
    </row>
    <row r="1826">
      <c r="A1826" s="3">
        <f>IFERROR(__xludf.DUMMYFUNCTION("""COMPUTED_VALUE"""),42152.99861111111)</f>
        <v>42152.99861</v>
      </c>
      <c r="B1826" s="1">
        <f>IFERROR(__xludf.DUMMYFUNCTION("""COMPUTED_VALUE"""),13953.5835)</f>
        <v>13953.5835</v>
      </c>
    </row>
    <row r="1827">
      <c r="A1827" s="3">
        <f>IFERROR(__xludf.DUMMYFUNCTION("""COMPUTED_VALUE"""),42153.99861111111)</f>
        <v>42153.99861</v>
      </c>
      <c r="B1827" s="1">
        <f>IFERROR(__xludf.DUMMYFUNCTION("""COMPUTED_VALUE"""),14032.92)</f>
        <v>14032.92</v>
      </c>
    </row>
    <row r="1828">
      <c r="A1828" s="3">
        <f>IFERROR(__xludf.DUMMYFUNCTION("""COMPUTED_VALUE"""),42156.99861111111)</f>
        <v>42156.99861</v>
      </c>
      <c r="B1828" s="1">
        <f>IFERROR(__xludf.DUMMYFUNCTION("""COMPUTED_VALUE"""),13933.122)</f>
        <v>13933.122</v>
      </c>
    </row>
    <row r="1829">
      <c r="A1829" s="3">
        <f>IFERROR(__xludf.DUMMYFUNCTION("""COMPUTED_VALUE"""),42157.99861111111)</f>
        <v>42157.99861</v>
      </c>
      <c r="B1829" s="1">
        <f>IFERROR(__xludf.DUMMYFUNCTION("""COMPUTED_VALUE"""),14083.65)</f>
        <v>14083.65</v>
      </c>
    </row>
    <row r="1830">
      <c r="A1830" s="3">
        <f>IFERROR(__xludf.DUMMYFUNCTION("""COMPUTED_VALUE"""),42158.99861111111)</f>
        <v>42158.99861</v>
      </c>
      <c r="B1830" s="1">
        <f>IFERROR(__xludf.DUMMYFUNCTION("""COMPUTED_VALUE"""),14153.454)</f>
        <v>14153.454</v>
      </c>
    </row>
    <row r="1831">
      <c r="A1831" s="3">
        <f>IFERROR(__xludf.DUMMYFUNCTION("""COMPUTED_VALUE"""),42159.99861111111)</f>
        <v>42159.99861</v>
      </c>
      <c r="B1831" s="1">
        <f>IFERROR(__xludf.DUMMYFUNCTION("""COMPUTED_VALUE"""),14200.2675)</f>
        <v>14200.2675</v>
      </c>
    </row>
    <row r="1832">
      <c r="A1832" s="3">
        <f>IFERROR(__xludf.DUMMYFUNCTION("""COMPUTED_VALUE"""),42160.99861111111)</f>
        <v>42160.99861</v>
      </c>
      <c r="B1832" s="1">
        <f>IFERROR(__xludf.DUMMYFUNCTION("""COMPUTED_VALUE"""),14244.832)</f>
        <v>14244.832</v>
      </c>
    </row>
    <row r="1833">
      <c r="A1833" s="3">
        <f>IFERROR(__xludf.DUMMYFUNCTION("""COMPUTED_VALUE"""),42163.99861111111)</f>
        <v>42163.99861</v>
      </c>
      <c r="B1833" s="1">
        <f>IFERROR(__xludf.DUMMYFUNCTION("""COMPUTED_VALUE"""),14349.511)</f>
        <v>14349.511</v>
      </c>
    </row>
    <row r="1834">
      <c r="A1834" s="3">
        <f>IFERROR(__xludf.DUMMYFUNCTION("""COMPUTED_VALUE"""),42164.99861111111)</f>
        <v>42164.99861</v>
      </c>
      <c r="B1834" s="1">
        <f>IFERROR(__xludf.DUMMYFUNCTION("""COMPUTED_VALUE"""),14347.2095)</f>
        <v>14347.2095</v>
      </c>
    </row>
    <row r="1835">
      <c r="A1835" s="3">
        <f>IFERROR(__xludf.DUMMYFUNCTION("""COMPUTED_VALUE"""),42165.99861111111)</f>
        <v>42165.99861</v>
      </c>
      <c r="B1835" s="1">
        <f>IFERROR(__xludf.DUMMYFUNCTION("""COMPUTED_VALUE"""),14159.7215)</f>
        <v>14159.7215</v>
      </c>
    </row>
    <row r="1836">
      <c r="A1836" s="3">
        <f>IFERROR(__xludf.DUMMYFUNCTION("""COMPUTED_VALUE"""),42166.99861111111)</f>
        <v>42166.99861</v>
      </c>
      <c r="B1836" s="1">
        <f>IFERROR(__xludf.DUMMYFUNCTION("""COMPUTED_VALUE"""),14162.715)</f>
        <v>14162.715</v>
      </c>
    </row>
    <row r="1837">
      <c r="A1837" s="3">
        <f>IFERROR(__xludf.DUMMYFUNCTION("""COMPUTED_VALUE"""),42167.99861111111)</f>
        <v>42167.99861</v>
      </c>
      <c r="B1837" s="1">
        <f>IFERROR(__xludf.DUMMYFUNCTION("""COMPUTED_VALUE"""),14324.277)</f>
        <v>14324.277</v>
      </c>
    </row>
    <row r="1838">
      <c r="A1838" s="3">
        <f>IFERROR(__xludf.DUMMYFUNCTION("""COMPUTED_VALUE"""),42170.99861111111)</f>
        <v>42170.99861</v>
      </c>
      <c r="B1838" s="1">
        <f>IFERROR(__xludf.DUMMYFUNCTION("""COMPUTED_VALUE"""),14320.332)</f>
        <v>14320.332</v>
      </c>
    </row>
    <row r="1839">
      <c r="A1839" s="3">
        <f>IFERROR(__xludf.DUMMYFUNCTION("""COMPUTED_VALUE"""),42171.99861111111)</f>
        <v>42171.99861</v>
      </c>
      <c r="B1839" s="1">
        <f>IFERROR(__xludf.DUMMYFUNCTION("""COMPUTED_VALUE"""),14309.818)</f>
        <v>14309.818</v>
      </c>
    </row>
    <row r="1840">
      <c r="A1840" s="3">
        <f>IFERROR(__xludf.DUMMYFUNCTION("""COMPUTED_VALUE"""),42172.99861111111)</f>
        <v>42172.99861</v>
      </c>
      <c r="B1840" s="1">
        <f>IFERROR(__xludf.DUMMYFUNCTION("""COMPUTED_VALUE"""),14471.048)</f>
        <v>14471.048</v>
      </c>
    </row>
    <row r="1841">
      <c r="A1841" s="3">
        <f>IFERROR(__xludf.DUMMYFUNCTION("""COMPUTED_VALUE"""),42173.99861111111)</f>
        <v>42173.99861</v>
      </c>
      <c r="B1841" s="1">
        <f>IFERROR(__xludf.DUMMYFUNCTION("""COMPUTED_VALUE"""),14419.65)</f>
        <v>14419.65</v>
      </c>
    </row>
    <row r="1842">
      <c r="A1842" s="3">
        <f>IFERROR(__xludf.DUMMYFUNCTION("""COMPUTED_VALUE"""),42174.99861111111)</f>
        <v>42174.99861</v>
      </c>
      <c r="B1842" s="1">
        <f>IFERROR(__xludf.DUMMYFUNCTION("""COMPUTED_VALUE"""),14491.928)</f>
        <v>14491.928</v>
      </c>
    </row>
    <row r="1843">
      <c r="A1843" s="3">
        <f>IFERROR(__xludf.DUMMYFUNCTION("""COMPUTED_VALUE"""),42177.99861111111)</f>
        <v>42177.99861</v>
      </c>
      <c r="B1843" s="1">
        <f>IFERROR(__xludf.DUMMYFUNCTION("""COMPUTED_VALUE"""),14435.3304)</f>
        <v>14435.3304</v>
      </c>
    </row>
    <row r="1844">
      <c r="A1844" s="3">
        <f>IFERROR(__xludf.DUMMYFUNCTION("""COMPUTED_VALUE"""),42178.99861111111)</f>
        <v>42178.99861</v>
      </c>
      <c r="B1844" s="1">
        <f>IFERROR(__xludf.DUMMYFUNCTION("""COMPUTED_VALUE"""),14189.425)</f>
        <v>14189.425</v>
      </c>
    </row>
    <row r="1845">
      <c r="A1845" s="3">
        <f>IFERROR(__xludf.DUMMYFUNCTION("""COMPUTED_VALUE"""),42179.99861111111)</f>
        <v>42179.99861</v>
      </c>
      <c r="B1845" s="1">
        <f>IFERROR(__xludf.DUMMYFUNCTION("""COMPUTED_VALUE"""),14232.261)</f>
        <v>14232.261</v>
      </c>
    </row>
    <row r="1846">
      <c r="A1846" s="3">
        <f>IFERROR(__xludf.DUMMYFUNCTION("""COMPUTED_VALUE"""),42180.99861111111)</f>
        <v>42180.99861</v>
      </c>
      <c r="B1846" s="1">
        <f>IFERROR(__xludf.DUMMYFUNCTION("""COMPUTED_VALUE"""),14200.9525)</f>
        <v>14200.9525</v>
      </c>
    </row>
    <row r="1847">
      <c r="A1847" s="3">
        <f>IFERROR(__xludf.DUMMYFUNCTION("""COMPUTED_VALUE"""),42181.99861111111)</f>
        <v>42181.99861</v>
      </c>
      <c r="B1847" s="1">
        <f>IFERROR(__xludf.DUMMYFUNCTION("""COMPUTED_VALUE"""),14243.8824)</f>
        <v>14243.8824</v>
      </c>
    </row>
    <row r="1848">
      <c r="A1848" s="3">
        <f>IFERROR(__xludf.DUMMYFUNCTION("""COMPUTED_VALUE"""),42184.99861111111)</f>
        <v>42184.99861</v>
      </c>
      <c r="B1848" s="1">
        <f>IFERROR(__xludf.DUMMYFUNCTION("""COMPUTED_VALUE"""),14382.4312)</f>
        <v>14382.4312</v>
      </c>
    </row>
    <row r="1849">
      <c r="A1849" s="3">
        <f>IFERROR(__xludf.DUMMYFUNCTION("""COMPUTED_VALUE"""),42185.99861111111)</f>
        <v>42185.99861</v>
      </c>
      <c r="B1849" s="1">
        <f>IFERROR(__xludf.DUMMYFUNCTION("""COMPUTED_VALUE"""),14267.9348)</f>
        <v>14267.9348</v>
      </c>
    </row>
    <row r="1850">
      <c r="A1850" s="3">
        <f>IFERROR(__xludf.DUMMYFUNCTION("""COMPUTED_VALUE"""),42186.99861111111)</f>
        <v>42186.99861</v>
      </c>
      <c r="B1850" s="1">
        <f>IFERROR(__xludf.DUMMYFUNCTION("""COMPUTED_VALUE"""),14037.172)</f>
        <v>14037.172</v>
      </c>
    </row>
    <row r="1851">
      <c r="A1851" s="3">
        <f>IFERROR(__xludf.DUMMYFUNCTION("""COMPUTED_VALUE"""),42187.99861111111)</f>
        <v>42187.99861</v>
      </c>
      <c r="B1851" s="1">
        <f>IFERROR(__xludf.DUMMYFUNCTION("""COMPUTED_VALUE"""),14050.296)</f>
        <v>14050.296</v>
      </c>
    </row>
    <row r="1852">
      <c r="A1852" s="3">
        <f>IFERROR(__xludf.DUMMYFUNCTION("""COMPUTED_VALUE"""),42188.99861111111)</f>
        <v>42188.99861</v>
      </c>
      <c r="B1852" s="1">
        <f>IFERROR(__xludf.DUMMYFUNCTION("""COMPUTED_VALUE"""),14175.084)</f>
        <v>14175.084</v>
      </c>
    </row>
    <row r="1853">
      <c r="A1853" s="3">
        <f>IFERROR(__xludf.DUMMYFUNCTION("""COMPUTED_VALUE"""),42191.99861111111)</f>
        <v>42191.99861</v>
      </c>
      <c r="B1853" s="1">
        <f>IFERROR(__xludf.DUMMYFUNCTION("""COMPUTED_VALUE"""),14144.402)</f>
        <v>14144.402</v>
      </c>
    </row>
    <row r="1854">
      <c r="A1854" s="3">
        <f>IFERROR(__xludf.DUMMYFUNCTION("""COMPUTED_VALUE"""),42192.99861111111)</f>
        <v>42192.99861</v>
      </c>
      <c r="B1854" s="1">
        <f>IFERROR(__xludf.DUMMYFUNCTION("""COMPUTED_VALUE"""),14073.865)</f>
        <v>14073.865</v>
      </c>
    </row>
    <row r="1855">
      <c r="A1855" s="3">
        <f>IFERROR(__xludf.DUMMYFUNCTION("""COMPUTED_VALUE"""),42193.99861111111)</f>
        <v>42193.99861</v>
      </c>
      <c r="B1855" s="1">
        <f>IFERROR(__xludf.DUMMYFUNCTION("""COMPUTED_VALUE"""),14097.762)</f>
        <v>14097.762</v>
      </c>
    </row>
    <row r="1856">
      <c r="A1856" s="3">
        <f>IFERROR(__xludf.DUMMYFUNCTION("""COMPUTED_VALUE"""),42194.99861111111)</f>
        <v>42194.99861</v>
      </c>
      <c r="B1856" s="1">
        <f>IFERROR(__xludf.DUMMYFUNCTION("""COMPUTED_VALUE"""),14029.3438)</f>
        <v>14029.3438</v>
      </c>
    </row>
    <row r="1857">
      <c r="A1857" s="3">
        <f>IFERROR(__xludf.DUMMYFUNCTION("""COMPUTED_VALUE"""),42195.99861111111)</f>
        <v>42195.99861</v>
      </c>
      <c r="B1857" s="1">
        <f>IFERROR(__xludf.DUMMYFUNCTION("""COMPUTED_VALUE"""),14119.8252)</f>
        <v>14119.8252</v>
      </c>
    </row>
    <row r="1858">
      <c r="A1858" s="3">
        <f>IFERROR(__xludf.DUMMYFUNCTION("""COMPUTED_VALUE"""),42198.99861111111)</f>
        <v>42198.99861</v>
      </c>
      <c r="B1858" s="1">
        <f>IFERROR(__xludf.DUMMYFUNCTION("""COMPUTED_VALUE"""),13969.232)</f>
        <v>13969.232</v>
      </c>
    </row>
    <row r="1859">
      <c r="A1859" s="3">
        <f>IFERROR(__xludf.DUMMYFUNCTION("""COMPUTED_VALUE"""),42199.99861111111)</f>
        <v>42199.99861</v>
      </c>
      <c r="B1859" s="1">
        <f>IFERROR(__xludf.DUMMYFUNCTION("""COMPUTED_VALUE"""),14078.0205)</f>
        <v>14078.0205</v>
      </c>
    </row>
    <row r="1860">
      <c r="A1860" s="3">
        <f>IFERROR(__xludf.DUMMYFUNCTION("""COMPUTED_VALUE"""),42200.99861111111)</f>
        <v>42200.99861</v>
      </c>
      <c r="B1860" s="1">
        <f>IFERROR(__xludf.DUMMYFUNCTION("""COMPUTED_VALUE"""),14002.2324)</f>
        <v>14002.2324</v>
      </c>
    </row>
    <row r="1861">
      <c r="A1861" s="3">
        <f>IFERROR(__xludf.DUMMYFUNCTION("""COMPUTED_VALUE"""),42201.99861111111)</f>
        <v>42201.99861</v>
      </c>
      <c r="B1861" s="1">
        <f>IFERROR(__xludf.DUMMYFUNCTION("""COMPUTED_VALUE"""),13922.8964)</f>
        <v>13922.8964</v>
      </c>
    </row>
    <row r="1862">
      <c r="A1862" s="3">
        <f>IFERROR(__xludf.DUMMYFUNCTION("""COMPUTED_VALUE"""),42202.99861111111)</f>
        <v>42202.99861</v>
      </c>
      <c r="B1862" s="1">
        <f>IFERROR(__xludf.DUMMYFUNCTION("""COMPUTED_VALUE"""),13873.32)</f>
        <v>13873.32</v>
      </c>
    </row>
    <row r="1863">
      <c r="A1863" s="3">
        <f>IFERROR(__xludf.DUMMYFUNCTION("""COMPUTED_VALUE"""),42205.99861111111)</f>
        <v>42205.99861</v>
      </c>
      <c r="B1863" s="1">
        <f>IFERROR(__xludf.DUMMYFUNCTION("""COMPUTED_VALUE"""),13844.252)</f>
        <v>13844.252</v>
      </c>
    </row>
    <row r="1864">
      <c r="A1864" s="3">
        <f>IFERROR(__xludf.DUMMYFUNCTION("""COMPUTED_VALUE"""),42206.99861111111)</f>
        <v>42206.99861</v>
      </c>
      <c r="B1864" s="1">
        <f>IFERROR(__xludf.DUMMYFUNCTION("""COMPUTED_VALUE"""),13915.0725)</f>
        <v>13915.0725</v>
      </c>
    </row>
    <row r="1865">
      <c r="A1865" s="3">
        <f>IFERROR(__xludf.DUMMYFUNCTION("""COMPUTED_VALUE"""),42207.99861111111)</f>
        <v>42207.99861</v>
      </c>
      <c r="B1865" s="1">
        <f>IFERROR(__xludf.DUMMYFUNCTION("""COMPUTED_VALUE"""),13957.44)</f>
        <v>13957.44</v>
      </c>
    </row>
    <row r="1866">
      <c r="A1866" s="3">
        <f>IFERROR(__xludf.DUMMYFUNCTION("""COMPUTED_VALUE"""),42208.99861111111)</f>
        <v>42208.99861</v>
      </c>
      <c r="B1866" s="1">
        <f>IFERROR(__xludf.DUMMYFUNCTION("""COMPUTED_VALUE"""),13994.06)</f>
        <v>13994.06</v>
      </c>
    </row>
    <row r="1867">
      <c r="A1867" s="3">
        <f>IFERROR(__xludf.DUMMYFUNCTION("""COMPUTED_VALUE"""),42209.99861111111)</f>
        <v>42209.99861</v>
      </c>
      <c r="B1867" s="1">
        <f>IFERROR(__xludf.DUMMYFUNCTION("""COMPUTED_VALUE"""),13921.538)</f>
        <v>13921.538</v>
      </c>
    </row>
    <row r="1868">
      <c r="A1868" s="3">
        <f>IFERROR(__xludf.DUMMYFUNCTION("""COMPUTED_VALUE"""),42212.99861111111)</f>
        <v>42212.99861</v>
      </c>
      <c r="B1868" s="1">
        <f>IFERROR(__xludf.DUMMYFUNCTION("""COMPUTED_VALUE"""),13991.4815)</f>
        <v>13991.4815</v>
      </c>
    </row>
    <row r="1869">
      <c r="A1869" s="3">
        <f>IFERROR(__xludf.DUMMYFUNCTION("""COMPUTED_VALUE"""),42213.99861111111)</f>
        <v>42213.99861</v>
      </c>
      <c r="B1869" s="1">
        <f>IFERROR(__xludf.DUMMYFUNCTION("""COMPUTED_VALUE"""),13816.284)</f>
        <v>13816.284</v>
      </c>
    </row>
    <row r="1870">
      <c r="A1870" s="3">
        <f>IFERROR(__xludf.DUMMYFUNCTION("""COMPUTED_VALUE"""),42214.99861111111)</f>
        <v>42214.99861</v>
      </c>
      <c r="B1870" s="1">
        <f>IFERROR(__xludf.DUMMYFUNCTION("""COMPUTED_VALUE"""),13909.564)</f>
        <v>13909.564</v>
      </c>
    </row>
    <row r="1871">
      <c r="A1871" s="3">
        <f>IFERROR(__xludf.DUMMYFUNCTION("""COMPUTED_VALUE"""),42215.99861111111)</f>
        <v>42215.99861</v>
      </c>
      <c r="B1871" s="1">
        <f>IFERROR(__xludf.DUMMYFUNCTION("""COMPUTED_VALUE"""),13929.1408)</f>
        <v>13929.1408</v>
      </c>
    </row>
    <row r="1872">
      <c r="A1872" s="3">
        <f>IFERROR(__xludf.DUMMYFUNCTION("""COMPUTED_VALUE"""),42216.99861111111)</f>
        <v>42216.99861</v>
      </c>
      <c r="B1872" s="1">
        <f>IFERROR(__xludf.DUMMYFUNCTION("""COMPUTED_VALUE"""),13863.9975)</f>
        <v>13863.9975</v>
      </c>
    </row>
    <row r="1873">
      <c r="A1873" s="3">
        <f>IFERROR(__xludf.DUMMYFUNCTION("""COMPUTED_VALUE"""),42219.99861111111)</f>
        <v>42219.99861</v>
      </c>
      <c r="B1873" s="1">
        <f>IFERROR(__xludf.DUMMYFUNCTION("""COMPUTED_VALUE"""),13863.36)</f>
        <v>13863.36</v>
      </c>
    </row>
    <row r="1874">
      <c r="A1874" s="3">
        <f>IFERROR(__xludf.DUMMYFUNCTION("""COMPUTED_VALUE"""),42220.99861111111)</f>
        <v>42220.99861</v>
      </c>
      <c r="B1874" s="1">
        <f>IFERROR(__xludf.DUMMYFUNCTION("""COMPUTED_VALUE"""),13784.367)</f>
        <v>13784.367</v>
      </c>
    </row>
    <row r="1875">
      <c r="A1875" s="3">
        <f>IFERROR(__xludf.DUMMYFUNCTION("""COMPUTED_VALUE"""),42221.99861111111)</f>
        <v>42221.99861</v>
      </c>
      <c r="B1875" s="1">
        <f>IFERROR(__xludf.DUMMYFUNCTION("""COMPUTED_VALUE"""),13802.2087)</f>
        <v>13802.2087</v>
      </c>
    </row>
    <row r="1876">
      <c r="A1876" s="3">
        <f>IFERROR(__xludf.DUMMYFUNCTION("""COMPUTED_VALUE"""),42222.99861111111)</f>
        <v>42222.99861</v>
      </c>
      <c r="B1876" s="1">
        <f>IFERROR(__xludf.DUMMYFUNCTION("""COMPUTED_VALUE"""),13723.528)</f>
        <v>13723.528</v>
      </c>
    </row>
    <row r="1877">
      <c r="A1877" s="3">
        <f>IFERROR(__xludf.DUMMYFUNCTION("""COMPUTED_VALUE"""),42223.99861111111)</f>
        <v>42223.99861</v>
      </c>
      <c r="B1877" s="1">
        <f>IFERROR(__xludf.DUMMYFUNCTION("""COMPUTED_VALUE"""),13705.4695)</f>
        <v>13705.4695</v>
      </c>
    </row>
    <row r="1878">
      <c r="A1878" s="3">
        <f>IFERROR(__xludf.DUMMYFUNCTION("""COMPUTED_VALUE"""),42226.99861111111)</f>
        <v>42226.99861</v>
      </c>
      <c r="B1878" s="1">
        <f>IFERROR(__xludf.DUMMYFUNCTION("""COMPUTED_VALUE"""),13685.1654)</f>
        <v>13685.1654</v>
      </c>
    </row>
    <row r="1879">
      <c r="A1879" s="3">
        <f>IFERROR(__xludf.DUMMYFUNCTION("""COMPUTED_VALUE"""),42227.99861111111)</f>
        <v>42227.99861</v>
      </c>
      <c r="B1879" s="1">
        <f>IFERROR(__xludf.DUMMYFUNCTION("""COMPUTED_VALUE"""),13764.1785)</f>
        <v>13764.1785</v>
      </c>
    </row>
    <row r="1880">
      <c r="A1880" s="3">
        <f>IFERROR(__xludf.DUMMYFUNCTION("""COMPUTED_VALUE"""),42228.99861111111)</f>
        <v>42228.99861</v>
      </c>
      <c r="B1880" s="1">
        <f>IFERROR(__xludf.DUMMYFUNCTION("""COMPUTED_VALUE"""),14088.625)</f>
        <v>14088.625</v>
      </c>
    </row>
    <row r="1881">
      <c r="A1881" s="3">
        <f>IFERROR(__xludf.DUMMYFUNCTION("""COMPUTED_VALUE"""),42229.99861111111)</f>
        <v>42229.99861</v>
      </c>
      <c r="B1881" s="1">
        <f>IFERROR(__xludf.DUMMYFUNCTION("""COMPUTED_VALUE"""),14016.875)</f>
        <v>14016.875</v>
      </c>
    </row>
    <row r="1882">
      <c r="A1882" s="3">
        <f>IFERROR(__xludf.DUMMYFUNCTION("""COMPUTED_VALUE"""),42230.99861111111)</f>
        <v>42230.99861</v>
      </c>
      <c r="B1882" s="1">
        <f>IFERROR(__xludf.DUMMYFUNCTION("""COMPUTED_VALUE"""),14042.7885)</f>
        <v>14042.7885</v>
      </c>
    </row>
    <row r="1883">
      <c r="A1883" s="3">
        <f>IFERROR(__xludf.DUMMYFUNCTION("""COMPUTED_VALUE"""),42233.99861111111)</f>
        <v>42233.99861</v>
      </c>
      <c r="B1883" s="1">
        <f>IFERROR(__xludf.DUMMYFUNCTION("""COMPUTED_VALUE"""),14134.26)</f>
        <v>14134.26</v>
      </c>
    </row>
    <row r="1884">
      <c r="A1884" s="3">
        <f>IFERROR(__xludf.DUMMYFUNCTION("""COMPUTED_VALUE"""),42234.99861111111)</f>
        <v>42234.99861</v>
      </c>
      <c r="B1884" s="1">
        <f>IFERROR(__xludf.DUMMYFUNCTION("""COMPUTED_VALUE"""),14140.5128)</f>
        <v>14140.5128</v>
      </c>
    </row>
    <row r="1885">
      <c r="A1885" s="3">
        <f>IFERROR(__xludf.DUMMYFUNCTION("""COMPUTED_VALUE"""),42235.99861111111)</f>
        <v>42235.99861</v>
      </c>
      <c r="B1885" s="1">
        <f>IFERROR(__xludf.DUMMYFUNCTION("""COMPUTED_VALUE"""),14231.9296)</f>
        <v>14231.9296</v>
      </c>
    </row>
    <row r="1886">
      <c r="A1886" s="3">
        <f>IFERROR(__xludf.DUMMYFUNCTION("""COMPUTED_VALUE"""),42236.99861111111)</f>
        <v>42236.99861</v>
      </c>
      <c r="B1886" s="1">
        <f>IFERROR(__xludf.DUMMYFUNCTION("""COMPUTED_VALUE"""),14470.947)</f>
        <v>14470.947</v>
      </c>
    </row>
    <row r="1887">
      <c r="A1887" s="3">
        <f>IFERROR(__xludf.DUMMYFUNCTION("""COMPUTED_VALUE"""),42237.99861111111)</f>
        <v>42237.99861</v>
      </c>
      <c r="B1887" s="1">
        <f>IFERROR(__xludf.DUMMYFUNCTION("""COMPUTED_VALUE"""),14596.929)</f>
        <v>14596.929</v>
      </c>
    </row>
    <row r="1888">
      <c r="A1888" s="3">
        <f>IFERROR(__xludf.DUMMYFUNCTION("""COMPUTED_VALUE"""),42240.99861111111)</f>
        <v>42240.99861</v>
      </c>
      <c r="B1888" s="1">
        <f>IFERROR(__xludf.DUMMYFUNCTION("""COMPUTED_VALUE"""),14916.88)</f>
        <v>14916.88</v>
      </c>
    </row>
    <row r="1889">
      <c r="A1889" s="3">
        <f>IFERROR(__xludf.DUMMYFUNCTION("""COMPUTED_VALUE"""),42241.99861111111)</f>
        <v>42241.99861</v>
      </c>
      <c r="B1889" s="1">
        <f>IFERROR(__xludf.DUMMYFUNCTION("""COMPUTED_VALUE"""),14690.1)</f>
        <v>14690.1</v>
      </c>
    </row>
    <row r="1890">
      <c r="A1890" s="3">
        <f>IFERROR(__xludf.DUMMYFUNCTION("""COMPUTED_VALUE"""),42242.99861111111)</f>
        <v>42242.99861</v>
      </c>
      <c r="B1890" s="1">
        <f>IFERROR(__xludf.DUMMYFUNCTION("""COMPUTED_VALUE"""),14660.792)</f>
        <v>14660.792</v>
      </c>
    </row>
    <row r="1891">
      <c r="A1891" s="3">
        <f>IFERROR(__xludf.DUMMYFUNCTION("""COMPUTED_VALUE"""),42243.99861111111)</f>
        <v>42243.99861</v>
      </c>
      <c r="B1891" s="1">
        <f>IFERROR(__xludf.DUMMYFUNCTION("""COMPUTED_VALUE"""),14286.102)</f>
        <v>14286.102</v>
      </c>
    </row>
    <row r="1892">
      <c r="A1892" s="3">
        <f>IFERROR(__xludf.DUMMYFUNCTION("""COMPUTED_VALUE"""),42244.99861111111)</f>
        <v>42244.99861</v>
      </c>
      <c r="B1892" s="1">
        <f>IFERROR(__xludf.DUMMYFUNCTION("""COMPUTED_VALUE"""),14438.58)</f>
        <v>14438.58</v>
      </c>
    </row>
    <row r="1893">
      <c r="A1893" s="3">
        <f>IFERROR(__xludf.DUMMYFUNCTION("""COMPUTED_VALUE"""),42247.99861111111)</f>
        <v>42247.99861</v>
      </c>
      <c r="B1893" s="1">
        <f>IFERROR(__xludf.DUMMYFUNCTION("""COMPUTED_VALUE"""),14502.6)</f>
        <v>14502.6</v>
      </c>
    </row>
    <row r="1894">
      <c r="A1894" s="3">
        <f>IFERROR(__xludf.DUMMYFUNCTION("""COMPUTED_VALUE"""),42248.99861111111)</f>
        <v>42248.99861</v>
      </c>
      <c r="B1894" s="1">
        <f>IFERROR(__xludf.DUMMYFUNCTION("""COMPUTED_VALUE"""),14565.7044)</f>
        <v>14565.7044</v>
      </c>
    </row>
    <row r="1895">
      <c r="A1895" s="3">
        <f>IFERROR(__xludf.DUMMYFUNCTION("""COMPUTED_VALUE"""),42249.99861111111)</f>
        <v>42249.99861</v>
      </c>
      <c r="B1895" s="1">
        <f>IFERROR(__xludf.DUMMYFUNCTION("""COMPUTED_VALUE"""),14479.93)</f>
        <v>14479.93</v>
      </c>
    </row>
    <row r="1896">
      <c r="A1896" s="3">
        <f>IFERROR(__xludf.DUMMYFUNCTION("""COMPUTED_VALUE"""),42250.99861111111)</f>
        <v>42250.99861</v>
      </c>
      <c r="B1896" s="1">
        <f>IFERROR(__xludf.DUMMYFUNCTION("""COMPUTED_VALUE"""),14437.7225)</f>
        <v>14437.7225</v>
      </c>
    </row>
    <row r="1897">
      <c r="A1897" s="3">
        <f>IFERROR(__xludf.DUMMYFUNCTION("""COMPUTED_VALUE"""),42251.99861111111)</f>
        <v>42251.99861</v>
      </c>
      <c r="B1897" s="1">
        <f>IFERROR(__xludf.DUMMYFUNCTION("""COMPUTED_VALUE"""),14573.13)</f>
        <v>14573.13</v>
      </c>
    </row>
    <row r="1898">
      <c r="A1898" s="3">
        <f>IFERROR(__xludf.DUMMYFUNCTION("""COMPUTED_VALUE"""),42254.99861111111)</f>
        <v>42254.99861</v>
      </c>
      <c r="B1898" s="1">
        <f>IFERROR(__xludf.DUMMYFUNCTION("""COMPUTED_VALUE"""),14629.02)</f>
        <v>14629.02</v>
      </c>
    </row>
    <row r="1899">
      <c r="A1899" s="3">
        <f>IFERROR(__xludf.DUMMYFUNCTION("""COMPUTED_VALUE"""),42255.99861111111)</f>
        <v>42255.99861</v>
      </c>
      <c r="B1899" s="1">
        <f>IFERROR(__xludf.DUMMYFUNCTION("""COMPUTED_VALUE"""),14475.768)</f>
        <v>14475.768</v>
      </c>
    </row>
    <row r="1900">
      <c r="A1900" s="3">
        <f>IFERROR(__xludf.DUMMYFUNCTION("""COMPUTED_VALUE"""),42256.99861111111)</f>
        <v>42256.99861</v>
      </c>
      <c r="B1900" s="1">
        <f>IFERROR(__xludf.DUMMYFUNCTION("""COMPUTED_VALUE"""),14610.525)</f>
        <v>14610.525</v>
      </c>
    </row>
    <row r="1901">
      <c r="A1901" s="3">
        <f>IFERROR(__xludf.DUMMYFUNCTION("""COMPUTED_VALUE"""),42257.99861111111)</f>
        <v>42257.99861</v>
      </c>
      <c r="B1901" s="1">
        <f>IFERROR(__xludf.DUMMYFUNCTION("""COMPUTED_VALUE"""),14613.651)</f>
        <v>14613.651</v>
      </c>
    </row>
    <row r="1902">
      <c r="A1902" s="3">
        <f>IFERROR(__xludf.DUMMYFUNCTION("""COMPUTED_VALUE"""),42258.99861111111)</f>
        <v>42258.99861</v>
      </c>
      <c r="B1902" s="1">
        <f>IFERROR(__xludf.DUMMYFUNCTION("""COMPUTED_VALUE"""),14719.505)</f>
        <v>14719.505</v>
      </c>
    </row>
    <row r="1903">
      <c r="A1903" s="3">
        <f>IFERROR(__xludf.DUMMYFUNCTION("""COMPUTED_VALUE"""),42261.99861111111)</f>
        <v>42261.99861</v>
      </c>
      <c r="B1903" s="1">
        <f>IFERROR(__xludf.DUMMYFUNCTION("""COMPUTED_VALUE"""),14776.506)</f>
        <v>14776.506</v>
      </c>
    </row>
    <row r="1904">
      <c r="A1904" s="3">
        <f>IFERROR(__xludf.DUMMYFUNCTION("""COMPUTED_VALUE"""),42262.99861111111)</f>
        <v>42262.99861</v>
      </c>
      <c r="B1904" s="1">
        <f>IFERROR(__xludf.DUMMYFUNCTION("""COMPUTED_VALUE"""),14777.28)</f>
        <v>14777.28</v>
      </c>
    </row>
    <row r="1905">
      <c r="A1905" s="3">
        <f>IFERROR(__xludf.DUMMYFUNCTION("""COMPUTED_VALUE"""),42263.99861111111)</f>
        <v>42263.99861</v>
      </c>
      <c r="B1905" s="1">
        <f>IFERROR(__xludf.DUMMYFUNCTION("""COMPUTED_VALUE"""),14815.4985)</f>
        <v>14815.4985</v>
      </c>
    </row>
    <row r="1906">
      <c r="A1906" s="3">
        <f>IFERROR(__xludf.DUMMYFUNCTION("""COMPUTED_VALUE"""),42264.99861111111)</f>
        <v>42264.99861</v>
      </c>
      <c r="B1906" s="1">
        <f>IFERROR(__xludf.DUMMYFUNCTION("""COMPUTED_VALUE"""),14782.62)</f>
        <v>14782.62</v>
      </c>
    </row>
    <row r="1907">
      <c r="A1907" s="3">
        <f>IFERROR(__xludf.DUMMYFUNCTION("""COMPUTED_VALUE"""),42265.99861111111)</f>
        <v>42265.99861</v>
      </c>
      <c r="B1907" s="1">
        <f>IFERROR(__xludf.DUMMYFUNCTION("""COMPUTED_VALUE"""),14865.3363)</f>
        <v>14865.3363</v>
      </c>
    </row>
    <row r="1908">
      <c r="A1908" s="3">
        <f>IFERROR(__xludf.DUMMYFUNCTION("""COMPUTED_VALUE"""),42268.99861111111)</f>
        <v>42268.99861</v>
      </c>
      <c r="B1908" s="1">
        <f>IFERROR(__xludf.DUMMYFUNCTION("""COMPUTED_VALUE"""),14883.842)</f>
        <v>14883.842</v>
      </c>
    </row>
    <row r="1909">
      <c r="A1909" s="3">
        <f>IFERROR(__xludf.DUMMYFUNCTION("""COMPUTED_VALUE"""),42269.99861111111)</f>
        <v>42269.99861</v>
      </c>
      <c r="B1909" s="1">
        <f>IFERROR(__xludf.DUMMYFUNCTION("""COMPUTED_VALUE"""),14958.4155)</f>
        <v>14958.4155</v>
      </c>
    </row>
    <row r="1910">
      <c r="A1910" s="3">
        <f>IFERROR(__xludf.DUMMYFUNCTION("""COMPUTED_VALUE"""),42270.99861111111)</f>
        <v>42270.99861</v>
      </c>
      <c r="B1910" s="1">
        <f>IFERROR(__xludf.DUMMYFUNCTION("""COMPUTED_VALUE"""),14945.976)</f>
        <v>14945.976</v>
      </c>
    </row>
    <row r="1911">
      <c r="A1911" s="3">
        <f>IFERROR(__xludf.DUMMYFUNCTION("""COMPUTED_VALUE"""),42271.99861111111)</f>
        <v>42271.99861</v>
      </c>
      <c r="B1911" s="1">
        <f>IFERROR(__xludf.DUMMYFUNCTION("""COMPUTED_VALUE"""),14991.273)</f>
        <v>14991.273</v>
      </c>
    </row>
    <row r="1912">
      <c r="A1912" s="3">
        <f>IFERROR(__xludf.DUMMYFUNCTION("""COMPUTED_VALUE"""),42272.99861111111)</f>
        <v>42272.99861</v>
      </c>
      <c r="B1912" s="1">
        <f>IFERROR(__xludf.DUMMYFUNCTION("""COMPUTED_VALUE"""),14919.5719)</f>
        <v>14919.5719</v>
      </c>
    </row>
    <row r="1913">
      <c r="A1913" s="3">
        <f>IFERROR(__xludf.DUMMYFUNCTION("""COMPUTED_VALUE"""),42275.99861111111)</f>
        <v>42275.99861</v>
      </c>
      <c r="B1913" s="1">
        <f>IFERROR(__xludf.DUMMYFUNCTION("""COMPUTED_VALUE"""),15073.2432)</f>
        <v>15073.2432</v>
      </c>
    </row>
    <row r="1914">
      <c r="A1914" s="3">
        <f>IFERROR(__xludf.DUMMYFUNCTION("""COMPUTED_VALUE"""),42276.99861111111)</f>
        <v>42276.99861</v>
      </c>
      <c r="B1914" s="1">
        <f>IFERROR(__xludf.DUMMYFUNCTION("""COMPUTED_VALUE"""),15113.06)</f>
        <v>15113.06</v>
      </c>
    </row>
    <row r="1915">
      <c r="A1915" s="3">
        <f>IFERROR(__xludf.DUMMYFUNCTION("""COMPUTED_VALUE"""),42277.99861111111)</f>
        <v>42277.99861</v>
      </c>
      <c r="B1915" s="1">
        <f>IFERROR(__xludf.DUMMYFUNCTION("""COMPUTED_VALUE"""),14933.2624)</f>
        <v>14933.2624</v>
      </c>
    </row>
    <row r="1916">
      <c r="A1916" s="3">
        <f>IFERROR(__xludf.DUMMYFUNCTION("""COMPUTED_VALUE"""),42278.99861111111)</f>
        <v>42278.99861</v>
      </c>
      <c r="B1916" s="1">
        <f>IFERROR(__xludf.DUMMYFUNCTION("""COMPUTED_VALUE"""),15015.4935)</f>
        <v>15015.4935</v>
      </c>
    </row>
    <row r="1917">
      <c r="A1917" s="3">
        <f>IFERROR(__xludf.DUMMYFUNCTION("""COMPUTED_VALUE"""),42279.99861111111)</f>
        <v>42279.99861</v>
      </c>
      <c r="B1917" s="1">
        <f>IFERROR(__xludf.DUMMYFUNCTION("""COMPUTED_VALUE"""),15024.1635)</f>
        <v>15024.1635</v>
      </c>
    </row>
    <row r="1918">
      <c r="A1918" s="3">
        <f>IFERROR(__xludf.DUMMYFUNCTION("""COMPUTED_VALUE"""),42282.99861111111)</f>
        <v>42282.99861</v>
      </c>
      <c r="B1918" s="1">
        <f>IFERROR(__xludf.DUMMYFUNCTION("""COMPUTED_VALUE"""),14792.3817)</f>
        <v>14792.3817</v>
      </c>
    </row>
    <row r="1919">
      <c r="A1919" s="3">
        <f>IFERROR(__xludf.DUMMYFUNCTION("""COMPUTED_VALUE"""),42283.99861111111)</f>
        <v>42283.99861</v>
      </c>
      <c r="B1919" s="1">
        <f>IFERROR(__xludf.DUMMYFUNCTION("""COMPUTED_VALUE"""),14529.604)</f>
        <v>14529.604</v>
      </c>
    </row>
    <row r="1920">
      <c r="A1920" s="3">
        <f>IFERROR(__xludf.DUMMYFUNCTION("""COMPUTED_VALUE"""),42284.99861111111)</f>
        <v>42284.99861</v>
      </c>
      <c r="B1920" s="1">
        <f>IFERROR(__xludf.DUMMYFUNCTION("""COMPUTED_VALUE"""),14239.355)</f>
        <v>14239.355</v>
      </c>
    </row>
    <row r="1921">
      <c r="A1921" s="3">
        <f>IFERROR(__xludf.DUMMYFUNCTION("""COMPUTED_VALUE"""),42285.99861111111)</f>
        <v>42285.99861</v>
      </c>
      <c r="B1921" s="1">
        <f>IFERROR(__xludf.DUMMYFUNCTION("""COMPUTED_VALUE"""),13869.963)</f>
        <v>13869.963</v>
      </c>
    </row>
    <row r="1922">
      <c r="A1922" s="3">
        <f>IFERROR(__xludf.DUMMYFUNCTION("""COMPUTED_VALUE"""),42286.99861111111)</f>
        <v>42286.99861</v>
      </c>
      <c r="B1922" s="1">
        <f>IFERROR(__xludf.DUMMYFUNCTION("""COMPUTED_VALUE"""),13831.488)</f>
        <v>13831.488</v>
      </c>
    </row>
    <row r="1923">
      <c r="A1923" s="3">
        <f>IFERROR(__xludf.DUMMYFUNCTION("""COMPUTED_VALUE"""),42289.99861111111)</f>
        <v>42289.99861</v>
      </c>
      <c r="B1923" s="1">
        <f>IFERROR(__xludf.DUMMYFUNCTION("""COMPUTED_VALUE"""),14017.7764)</f>
        <v>14017.7764</v>
      </c>
    </row>
    <row r="1924">
      <c r="A1924" s="3">
        <f>IFERROR(__xludf.DUMMYFUNCTION("""COMPUTED_VALUE"""),42290.99861111111)</f>
        <v>42290.99861</v>
      </c>
      <c r="B1924" s="1">
        <f>IFERROR(__xludf.DUMMYFUNCTION("""COMPUTED_VALUE"""),14241.045)</f>
        <v>14241.045</v>
      </c>
    </row>
    <row r="1925">
      <c r="A1925" s="3">
        <f>IFERROR(__xludf.DUMMYFUNCTION("""COMPUTED_VALUE"""),42291.99861111111)</f>
        <v>42291.99861</v>
      </c>
      <c r="B1925" s="1">
        <f>IFERROR(__xludf.DUMMYFUNCTION("""COMPUTED_VALUE"""),13958.802)</f>
        <v>13958.802</v>
      </c>
    </row>
    <row r="1926">
      <c r="A1926" s="3">
        <f>IFERROR(__xludf.DUMMYFUNCTION("""COMPUTED_VALUE"""),42292.99861111111)</f>
        <v>42292.99861</v>
      </c>
      <c r="B1926" s="1">
        <f>IFERROR(__xludf.DUMMYFUNCTION("""COMPUTED_VALUE"""),14080.72)</f>
        <v>14080.72</v>
      </c>
    </row>
    <row r="1927">
      <c r="A1927" s="3">
        <f>IFERROR(__xludf.DUMMYFUNCTION("""COMPUTED_VALUE"""),42293.99861111111)</f>
        <v>42293.99861</v>
      </c>
      <c r="B1927" s="1">
        <f>IFERROR(__xludf.DUMMYFUNCTION("""COMPUTED_VALUE"""),14104.2825)</f>
        <v>14104.2825</v>
      </c>
    </row>
    <row r="1928">
      <c r="A1928" s="3">
        <f>IFERROR(__xludf.DUMMYFUNCTION("""COMPUTED_VALUE"""),42296.99861111111)</f>
        <v>42296.99861</v>
      </c>
      <c r="B1928" s="1">
        <f>IFERROR(__xludf.DUMMYFUNCTION("""COMPUTED_VALUE"""),14268.345)</f>
        <v>14268.345</v>
      </c>
    </row>
    <row r="1929">
      <c r="A1929" s="3">
        <f>IFERROR(__xludf.DUMMYFUNCTION("""COMPUTED_VALUE"""),42297.99861111111)</f>
        <v>42297.99861</v>
      </c>
      <c r="B1929" s="1">
        <f>IFERROR(__xludf.DUMMYFUNCTION("""COMPUTED_VALUE"""),14357.8515)</f>
        <v>14357.8515</v>
      </c>
    </row>
    <row r="1930">
      <c r="A1930" s="3">
        <f>IFERROR(__xludf.DUMMYFUNCTION("""COMPUTED_VALUE"""),42298.99861111111)</f>
        <v>42298.99861</v>
      </c>
      <c r="B1930" s="1">
        <f>IFERROR(__xludf.DUMMYFUNCTION("""COMPUTED_VALUE"""),14279.51)</f>
        <v>14279.51</v>
      </c>
    </row>
    <row r="1931">
      <c r="A1931" s="3">
        <f>IFERROR(__xludf.DUMMYFUNCTION("""COMPUTED_VALUE"""),42299.99861111111)</f>
        <v>42299.99861</v>
      </c>
      <c r="B1931" s="1">
        <f>IFERROR(__xludf.DUMMYFUNCTION("""COMPUTED_VALUE"""),13840.5582)</f>
        <v>13840.5582</v>
      </c>
    </row>
    <row r="1932">
      <c r="A1932" s="3">
        <f>IFERROR(__xludf.DUMMYFUNCTION("""COMPUTED_VALUE"""),42300.99861111111)</f>
        <v>42300.99861</v>
      </c>
      <c r="B1932" s="1">
        <f>IFERROR(__xludf.DUMMYFUNCTION("""COMPUTED_VALUE"""),13805.272)</f>
        <v>13805.272</v>
      </c>
    </row>
    <row r="1933">
      <c r="A1933" s="3">
        <f>IFERROR(__xludf.DUMMYFUNCTION("""COMPUTED_VALUE"""),42303.99861111111)</f>
        <v>42303.99861</v>
      </c>
      <c r="B1933" s="1">
        <f>IFERROR(__xludf.DUMMYFUNCTION("""COMPUTED_VALUE"""),13852.258)</f>
        <v>13852.258</v>
      </c>
    </row>
    <row r="1934">
      <c r="A1934" s="3">
        <f>IFERROR(__xludf.DUMMYFUNCTION("""COMPUTED_VALUE"""),42304.99861111111)</f>
        <v>42304.99861</v>
      </c>
      <c r="B1934" s="1">
        <f>IFERROR(__xludf.DUMMYFUNCTION("""COMPUTED_VALUE"""),13827.45)</f>
        <v>13827.45</v>
      </c>
    </row>
    <row r="1935">
      <c r="A1935" s="3">
        <f>IFERROR(__xludf.DUMMYFUNCTION("""COMPUTED_VALUE"""),42305.99861111111)</f>
        <v>42305.99861</v>
      </c>
      <c r="B1935" s="1">
        <f>IFERROR(__xludf.DUMMYFUNCTION("""COMPUTED_VALUE"""),13683.612)</f>
        <v>13683.612</v>
      </c>
    </row>
    <row r="1936">
      <c r="A1936" s="3">
        <f>IFERROR(__xludf.DUMMYFUNCTION("""COMPUTED_VALUE"""),42306.99861111111)</f>
        <v>42306.99861</v>
      </c>
      <c r="B1936" s="1">
        <f>IFERROR(__xludf.DUMMYFUNCTION("""COMPUTED_VALUE"""),13751.622)</f>
        <v>13751.622</v>
      </c>
    </row>
    <row r="1937">
      <c r="A1937" s="3">
        <f>IFERROR(__xludf.DUMMYFUNCTION("""COMPUTED_VALUE"""),42307.99861111111)</f>
        <v>42307.99861</v>
      </c>
      <c r="B1937" s="1">
        <f>IFERROR(__xludf.DUMMYFUNCTION("""COMPUTED_VALUE"""),13789.471)</f>
        <v>13789.471</v>
      </c>
    </row>
    <row r="1938">
      <c r="A1938" s="3">
        <f>IFERROR(__xludf.DUMMYFUNCTION("""COMPUTED_VALUE"""),42310.99861111111)</f>
        <v>42310.99861</v>
      </c>
      <c r="B1938" s="1">
        <f>IFERROR(__xludf.DUMMYFUNCTION("""COMPUTED_VALUE"""),13753.824)</f>
        <v>13753.824</v>
      </c>
    </row>
    <row r="1939">
      <c r="A1939" s="3">
        <f>IFERROR(__xludf.DUMMYFUNCTION("""COMPUTED_VALUE"""),42311.99861111111)</f>
        <v>42311.99861</v>
      </c>
      <c r="B1939" s="1">
        <f>IFERROR(__xludf.DUMMYFUNCTION("""COMPUTED_VALUE"""),13511.5365)</f>
        <v>13511.5365</v>
      </c>
    </row>
    <row r="1940">
      <c r="A1940" s="3">
        <f>IFERROR(__xludf.DUMMYFUNCTION("""COMPUTED_VALUE"""),42312.99861111111)</f>
        <v>42312.99861</v>
      </c>
      <c r="B1940" s="1">
        <f>IFERROR(__xludf.DUMMYFUNCTION("""COMPUTED_VALUE"""),13545.1485)</f>
        <v>13545.1485</v>
      </c>
    </row>
    <row r="1941">
      <c r="A1941" s="3">
        <f>IFERROR(__xludf.DUMMYFUNCTION("""COMPUTED_VALUE"""),42313.99861111111)</f>
        <v>42313.99861</v>
      </c>
      <c r="B1941" s="1">
        <f>IFERROR(__xludf.DUMMYFUNCTION("""COMPUTED_VALUE"""),13588.5675)</f>
        <v>13588.5675</v>
      </c>
    </row>
    <row r="1942">
      <c r="A1942" s="3">
        <f>IFERROR(__xludf.DUMMYFUNCTION("""COMPUTED_VALUE"""),42314.99861111111)</f>
        <v>42314.99861</v>
      </c>
      <c r="B1942" s="1">
        <f>IFERROR(__xludf.DUMMYFUNCTION("""COMPUTED_VALUE"""),13511.1914)</f>
        <v>13511.1914</v>
      </c>
    </row>
    <row r="1943">
      <c r="A1943" s="3">
        <f>IFERROR(__xludf.DUMMYFUNCTION("""COMPUTED_VALUE"""),42317.99861111111)</f>
        <v>42317.99861</v>
      </c>
      <c r="B1943" s="1">
        <f>IFERROR(__xludf.DUMMYFUNCTION("""COMPUTED_VALUE"""),13599.4257)</f>
        <v>13599.4257</v>
      </c>
    </row>
    <row r="1944">
      <c r="A1944" s="3">
        <f>IFERROR(__xludf.DUMMYFUNCTION("""COMPUTED_VALUE"""),42318.99861111111)</f>
        <v>42318.99861</v>
      </c>
      <c r="B1944" s="1">
        <f>IFERROR(__xludf.DUMMYFUNCTION("""COMPUTED_VALUE"""),13486.6404)</f>
        <v>13486.6404</v>
      </c>
    </row>
    <row r="1945">
      <c r="A1945" s="3">
        <f>IFERROR(__xludf.DUMMYFUNCTION("""COMPUTED_VALUE"""),42319.99861111111)</f>
        <v>42319.99861</v>
      </c>
      <c r="B1945" s="1">
        <f>IFERROR(__xludf.DUMMYFUNCTION("""COMPUTED_VALUE"""),13474.9575)</f>
        <v>13474.9575</v>
      </c>
    </row>
    <row r="1946">
      <c r="A1946" s="3">
        <f>IFERROR(__xludf.DUMMYFUNCTION("""COMPUTED_VALUE"""),42320.99861111111)</f>
        <v>42320.99861</v>
      </c>
      <c r="B1946" s="1">
        <f>IFERROR(__xludf.DUMMYFUNCTION("""COMPUTED_VALUE"""),13599.112)</f>
        <v>13599.112</v>
      </c>
    </row>
    <row r="1947">
      <c r="A1947" s="3">
        <f>IFERROR(__xludf.DUMMYFUNCTION("""COMPUTED_VALUE"""),42321.99861111111)</f>
        <v>42321.99861</v>
      </c>
      <c r="B1947" s="1">
        <f>IFERROR(__xludf.DUMMYFUNCTION("""COMPUTED_VALUE"""),13655.45709)</f>
        <v>13655.45709</v>
      </c>
    </row>
    <row r="1948">
      <c r="A1948" s="3">
        <f>IFERROR(__xludf.DUMMYFUNCTION("""COMPUTED_VALUE"""),42324.99861111111)</f>
        <v>42324.99861</v>
      </c>
      <c r="B1948" s="1">
        <f>IFERROR(__xludf.DUMMYFUNCTION("""COMPUTED_VALUE"""),13575.44364)</f>
        <v>13575.44364</v>
      </c>
    </row>
    <row r="1949">
      <c r="A1949" s="3">
        <f>IFERROR(__xludf.DUMMYFUNCTION("""COMPUTED_VALUE"""),42325.99861111111)</f>
        <v>42325.99861</v>
      </c>
      <c r="B1949" s="1">
        <f>IFERROR(__xludf.DUMMYFUNCTION("""COMPUTED_VALUE"""),13521.1972)</f>
        <v>13521.1972</v>
      </c>
    </row>
    <row r="1950">
      <c r="A1950" s="3">
        <f>IFERROR(__xludf.DUMMYFUNCTION("""COMPUTED_VALUE"""),42326.99861111111)</f>
        <v>42326.99861</v>
      </c>
      <c r="B1950" s="1">
        <f>IFERROR(__xludf.DUMMYFUNCTION("""COMPUTED_VALUE"""),13445.4273)</f>
        <v>13445.4273</v>
      </c>
    </row>
    <row r="1951">
      <c r="A1951" s="3">
        <f>IFERROR(__xludf.DUMMYFUNCTION("""COMPUTED_VALUE"""),42327.99861111111)</f>
        <v>42327.99861</v>
      </c>
      <c r="B1951" s="1">
        <f>IFERROR(__xludf.DUMMYFUNCTION("""COMPUTED_VALUE"""),13471.2037)</f>
        <v>13471.2037</v>
      </c>
    </row>
    <row r="1952">
      <c r="A1952" s="3">
        <f>IFERROR(__xludf.DUMMYFUNCTION("""COMPUTED_VALUE"""),42328.99861111111)</f>
        <v>42328.99861</v>
      </c>
      <c r="B1952" s="1">
        <f>IFERROR(__xludf.DUMMYFUNCTION("""COMPUTED_VALUE"""),13289.2392)</f>
        <v>13289.2392</v>
      </c>
    </row>
    <row r="1953">
      <c r="A1953" s="3">
        <f>IFERROR(__xludf.DUMMYFUNCTION("""COMPUTED_VALUE"""),42330.99861111111)</f>
        <v>42330.99861</v>
      </c>
      <c r="B1953" s="1">
        <f>IFERROR(__xludf.DUMMYFUNCTION("""COMPUTED_VALUE"""),13473.65828)</f>
        <v>13473.65828</v>
      </c>
    </row>
    <row r="1954">
      <c r="A1954" s="3">
        <f>IFERROR(__xludf.DUMMYFUNCTION("""COMPUTED_VALUE"""),42331.99861111111)</f>
        <v>42331.99861</v>
      </c>
      <c r="B1954" s="1">
        <f>IFERROR(__xludf.DUMMYFUNCTION("""COMPUTED_VALUE"""),13417.80015)</f>
        <v>13417.80015</v>
      </c>
    </row>
    <row r="1955">
      <c r="A1955" s="3">
        <f>IFERROR(__xludf.DUMMYFUNCTION("""COMPUTED_VALUE"""),42332.99861111111)</f>
        <v>42332.99861</v>
      </c>
      <c r="B1955" s="1">
        <f>IFERROR(__xludf.DUMMYFUNCTION("""COMPUTED_VALUE"""),13386.0084)</f>
        <v>13386.0084</v>
      </c>
    </row>
    <row r="1956">
      <c r="A1956" s="3">
        <f>IFERROR(__xludf.DUMMYFUNCTION("""COMPUTED_VALUE"""),42333.99861111111)</f>
        <v>42333.99861</v>
      </c>
      <c r="B1956" s="1">
        <f>IFERROR(__xludf.DUMMYFUNCTION("""COMPUTED_VALUE"""),13296.456)</f>
        <v>13296.456</v>
      </c>
    </row>
    <row r="1957">
      <c r="A1957" s="3">
        <f>IFERROR(__xludf.DUMMYFUNCTION("""COMPUTED_VALUE"""),42334.99861111111)</f>
        <v>42334.99861</v>
      </c>
      <c r="B1957" s="1">
        <f>IFERROR(__xludf.DUMMYFUNCTION("""COMPUTED_VALUE"""),13415.7986)</f>
        <v>13415.7986</v>
      </c>
    </row>
    <row r="1958">
      <c r="A1958" s="3">
        <f>IFERROR(__xludf.DUMMYFUNCTION("""COMPUTED_VALUE"""),42335.99861111111)</f>
        <v>42335.99861</v>
      </c>
      <c r="B1958" s="1">
        <f>IFERROR(__xludf.DUMMYFUNCTION("""COMPUTED_VALUE"""),13234.04244)</f>
        <v>13234.04244</v>
      </c>
    </row>
    <row r="1959">
      <c r="A1959" s="3">
        <f>IFERROR(__xludf.DUMMYFUNCTION("""COMPUTED_VALUE"""),42338.99861111111)</f>
        <v>42338.99861</v>
      </c>
      <c r="B1959" s="1">
        <f>IFERROR(__xludf.DUMMYFUNCTION("""COMPUTED_VALUE"""),13489.97227)</f>
        <v>13489.97227</v>
      </c>
    </row>
    <row r="1960">
      <c r="A1960" s="3">
        <f>IFERROR(__xludf.DUMMYFUNCTION("""COMPUTED_VALUE"""),42339.99861111111)</f>
        <v>42339.99861</v>
      </c>
      <c r="B1960" s="1">
        <f>IFERROR(__xludf.DUMMYFUNCTION("""COMPUTED_VALUE"""),13464.5496)</f>
        <v>13464.5496</v>
      </c>
    </row>
    <row r="1961">
      <c r="A1961" s="3">
        <f>IFERROR(__xludf.DUMMYFUNCTION("""COMPUTED_VALUE"""),42340.99861111111)</f>
        <v>42340.99861</v>
      </c>
      <c r="B1961" s="1">
        <f>IFERROR(__xludf.DUMMYFUNCTION("""COMPUTED_VALUE"""),13551.01822)</f>
        <v>13551.01822</v>
      </c>
    </row>
    <row r="1962">
      <c r="A1962" s="3">
        <f>IFERROR(__xludf.DUMMYFUNCTION("""COMPUTED_VALUE"""),42341.99861111111)</f>
        <v>42341.99861</v>
      </c>
      <c r="B1962" s="1">
        <f>IFERROR(__xludf.DUMMYFUNCTION("""COMPUTED_VALUE"""),13775.8005)</f>
        <v>13775.8005</v>
      </c>
    </row>
    <row r="1963">
      <c r="A1963" s="3">
        <f>IFERROR(__xludf.DUMMYFUNCTION("""COMPUTED_VALUE"""),42342.99861111111)</f>
        <v>42342.99861</v>
      </c>
      <c r="B1963" s="1">
        <f>IFERROR(__xludf.DUMMYFUNCTION("""COMPUTED_VALUE"""),13788.2676)</f>
        <v>13788.2676</v>
      </c>
    </row>
    <row r="1964">
      <c r="A1964" s="3">
        <f>IFERROR(__xludf.DUMMYFUNCTION("""COMPUTED_VALUE"""),42345.99861111111)</f>
        <v>42345.99861</v>
      </c>
      <c r="B1964" s="1">
        <f>IFERROR(__xludf.DUMMYFUNCTION("""COMPUTED_VALUE"""),13858.4879)</f>
        <v>13858.4879</v>
      </c>
    </row>
    <row r="1965">
      <c r="A1965" s="3">
        <f>IFERROR(__xludf.DUMMYFUNCTION("""COMPUTED_VALUE"""),42346.99861111111)</f>
        <v>42346.99861</v>
      </c>
      <c r="B1965" s="1">
        <f>IFERROR(__xludf.DUMMYFUNCTION("""COMPUTED_VALUE"""),14078.2509)</f>
        <v>14078.2509</v>
      </c>
    </row>
    <row r="1966">
      <c r="A1966" s="3">
        <f>IFERROR(__xludf.DUMMYFUNCTION("""COMPUTED_VALUE"""),42347.99861111111)</f>
        <v>42347.99861</v>
      </c>
      <c r="B1966" s="1">
        <f>IFERROR(__xludf.DUMMYFUNCTION("""COMPUTED_VALUE"""),14151.072)</f>
        <v>14151.072</v>
      </c>
    </row>
    <row r="1967">
      <c r="A1967" s="3">
        <f>IFERROR(__xludf.DUMMYFUNCTION("""COMPUTED_VALUE"""),42348.99861111111)</f>
        <v>42348.99861</v>
      </c>
      <c r="B1967" s="1">
        <f>IFERROR(__xludf.DUMMYFUNCTION("""COMPUTED_VALUE"""),14090.7075)</f>
        <v>14090.7075</v>
      </c>
    </row>
    <row r="1968">
      <c r="A1968" s="3">
        <f>IFERROR(__xludf.DUMMYFUNCTION("""COMPUTED_VALUE"""),42349.99861111111)</f>
        <v>42349.99861</v>
      </c>
      <c r="B1968" s="1">
        <f>IFERROR(__xludf.DUMMYFUNCTION("""COMPUTED_VALUE"""),14371.623)</f>
        <v>14371.623</v>
      </c>
    </row>
    <row r="1969">
      <c r="A1969" s="3">
        <f>IFERROR(__xludf.DUMMYFUNCTION("""COMPUTED_VALUE"""),42352.99861111111)</f>
        <v>42352.99861</v>
      </c>
      <c r="B1969" s="1">
        <f>IFERROR(__xludf.DUMMYFUNCTION("""COMPUTED_VALUE"""),14195.7574)</f>
        <v>14195.7574</v>
      </c>
    </row>
    <row r="1970">
      <c r="A1970" s="3">
        <f>IFERROR(__xludf.DUMMYFUNCTION("""COMPUTED_VALUE"""),42353.99861111111)</f>
        <v>42353.99861</v>
      </c>
      <c r="B1970" s="1">
        <f>IFERROR(__xludf.DUMMYFUNCTION("""COMPUTED_VALUE"""),14094.333)</f>
        <v>14094.333</v>
      </c>
    </row>
    <row r="1971">
      <c r="A1971" s="3">
        <f>IFERROR(__xludf.DUMMYFUNCTION("""COMPUTED_VALUE"""),42354.99861111111)</f>
        <v>42354.99861</v>
      </c>
      <c r="B1971" s="1">
        <f>IFERROR(__xludf.DUMMYFUNCTION("""COMPUTED_VALUE"""),13857.696)</f>
        <v>13857.696</v>
      </c>
    </row>
    <row r="1972">
      <c r="A1972" s="3">
        <f>IFERROR(__xludf.DUMMYFUNCTION("""COMPUTED_VALUE"""),42355.99861111111)</f>
        <v>42355.99861</v>
      </c>
      <c r="B1972" s="1">
        <f>IFERROR(__xludf.DUMMYFUNCTION("""COMPUTED_VALUE"""),14090.1)</f>
        <v>14090.1</v>
      </c>
    </row>
    <row r="1973">
      <c r="A1973" s="3">
        <f>IFERROR(__xludf.DUMMYFUNCTION("""COMPUTED_VALUE"""),42356.99861111111)</f>
        <v>42356.99861</v>
      </c>
      <c r="B1973" s="1">
        <f>IFERROR(__xludf.DUMMYFUNCTION("""COMPUTED_VALUE"""),13971.7605)</f>
        <v>13971.7605</v>
      </c>
    </row>
    <row r="1974">
      <c r="A1974" s="3">
        <f>IFERROR(__xludf.DUMMYFUNCTION("""COMPUTED_VALUE"""),42359.99861111111)</f>
        <v>42359.99861</v>
      </c>
      <c r="B1974" s="1">
        <f>IFERROR(__xludf.DUMMYFUNCTION("""COMPUTED_VALUE"""),13854.944)</f>
        <v>13854.944</v>
      </c>
    </row>
    <row r="1975">
      <c r="A1975" s="3">
        <f>IFERROR(__xludf.DUMMYFUNCTION("""COMPUTED_VALUE"""),42360.99861111111)</f>
        <v>42360.99861</v>
      </c>
      <c r="B1975" s="1">
        <f>IFERROR(__xludf.DUMMYFUNCTION("""COMPUTED_VALUE"""),13806.011)</f>
        <v>13806.011</v>
      </c>
    </row>
    <row r="1976">
      <c r="A1976" s="3">
        <f>IFERROR(__xludf.DUMMYFUNCTION("""COMPUTED_VALUE"""),42361.99861111111)</f>
        <v>42361.99861</v>
      </c>
      <c r="B1976" s="1">
        <f>IFERROR(__xludf.DUMMYFUNCTION("""COMPUTED_VALUE"""),13748.9875)</f>
        <v>13748.9875</v>
      </c>
    </row>
    <row r="1977">
      <c r="A1977" s="3">
        <f>IFERROR(__xludf.DUMMYFUNCTION("""COMPUTED_VALUE"""),42362.99861111111)</f>
        <v>42362.99861</v>
      </c>
      <c r="B1977" s="1">
        <f>IFERROR(__xludf.DUMMYFUNCTION("""COMPUTED_VALUE"""),13822.183)</f>
        <v>13822.183</v>
      </c>
    </row>
    <row r="1978">
      <c r="A1978" s="3">
        <f>IFERROR(__xludf.DUMMYFUNCTION("""COMPUTED_VALUE"""),42363.99861111111)</f>
        <v>42363.99861</v>
      </c>
      <c r="B1978" s="1">
        <f>IFERROR(__xludf.DUMMYFUNCTION("""COMPUTED_VALUE"""),13826.272)</f>
        <v>13826.272</v>
      </c>
    </row>
    <row r="1979">
      <c r="A1979" s="3">
        <f>IFERROR(__xludf.DUMMYFUNCTION("""COMPUTED_VALUE"""),42364.99861111111)</f>
        <v>42364.99861</v>
      </c>
      <c r="B1979" s="1">
        <f>IFERROR(__xludf.DUMMYFUNCTION("""COMPUTED_VALUE"""),13856.00871)</f>
        <v>13856.00871</v>
      </c>
    </row>
    <row r="1980">
      <c r="A1980" s="3">
        <f>IFERROR(__xludf.DUMMYFUNCTION("""COMPUTED_VALUE"""),42366.99861111111)</f>
        <v>42366.99861</v>
      </c>
      <c r="B1980" s="1">
        <f>IFERROR(__xludf.DUMMYFUNCTION("""COMPUTED_VALUE"""),13654.241)</f>
        <v>13654.241</v>
      </c>
    </row>
    <row r="1981">
      <c r="A1981" s="3">
        <f>IFERROR(__xludf.DUMMYFUNCTION("""COMPUTED_VALUE"""),42367.99861111111)</f>
        <v>42367.99861</v>
      </c>
      <c r="B1981" s="1">
        <f>IFERROR(__xludf.DUMMYFUNCTION("""COMPUTED_VALUE"""),13784.615)</f>
        <v>13784.615</v>
      </c>
    </row>
    <row r="1982">
      <c r="A1982" s="3">
        <f>IFERROR(__xludf.DUMMYFUNCTION("""COMPUTED_VALUE"""),42368.99861111111)</f>
        <v>42368.99861</v>
      </c>
      <c r="B1982" s="1">
        <f>IFERROR(__xludf.DUMMYFUNCTION("""COMPUTED_VALUE"""),14006.9865)</f>
        <v>14006.9865</v>
      </c>
    </row>
    <row r="1983">
      <c r="A1983" s="3">
        <f>IFERROR(__xludf.DUMMYFUNCTION("""COMPUTED_VALUE"""),42369.99861111111)</f>
        <v>42369.99861</v>
      </c>
      <c r="B1983" s="1">
        <f>IFERROR(__xludf.DUMMYFUNCTION("""COMPUTED_VALUE"""),13753.2355)</f>
        <v>13753.2355</v>
      </c>
    </row>
    <row r="1984">
      <c r="A1984" s="3">
        <f>IFERROR(__xludf.DUMMYFUNCTION("""COMPUTED_VALUE"""),42370.99861111111)</f>
        <v>42370.99861</v>
      </c>
      <c r="B1984" s="1">
        <f>IFERROR(__xludf.DUMMYFUNCTION("""COMPUTED_VALUE"""),13798.4175)</f>
        <v>13798.4175</v>
      </c>
    </row>
    <row r="1985">
      <c r="A1985" s="3">
        <f>IFERROR(__xludf.DUMMYFUNCTION("""COMPUTED_VALUE"""),42371.99861111111)</f>
        <v>42371.99861</v>
      </c>
      <c r="B1985" s="1">
        <f>IFERROR(__xludf.DUMMYFUNCTION("""COMPUTED_VALUE"""),13799.73011)</f>
        <v>13799.73011</v>
      </c>
    </row>
    <row r="1986">
      <c r="A1986" s="3">
        <f>IFERROR(__xludf.DUMMYFUNCTION("""COMPUTED_VALUE"""),42372.99861111111)</f>
        <v>42372.99861</v>
      </c>
      <c r="B1986" s="1">
        <f>IFERROR(__xludf.DUMMYFUNCTION("""COMPUTED_VALUE"""),13812.15)</f>
        <v>13812.15</v>
      </c>
    </row>
    <row r="1987">
      <c r="A1987" s="3">
        <f>IFERROR(__xludf.DUMMYFUNCTION("""COMPUTED_VALUE"""),42373.99861111111)</f>
        <v>42373.99861</v>
      </c>
      <c r="B1987" s="1">
        <f>IFERROR(__xludf.DUMMYFUNCTION("""COMPUTED_VALUE"""),13915.82685)</f>
        <v>13915.82685</v>
      </c>
    </row>
    <row r="1988">
      <c r="A1988" s="3">
        <f>IFERROR(__xludf.DUMMYFUNCTION("""COMPUTED_VALUE"""),42374.99861111111)</f>
        <v>42374.99861</v>
      </c>
      <c r="B1988" s="1">
        <f>IFERROR(__xludf.DUMMYFUNCTION("""COMPUTED_VALUE"""),13687.51945)</f>
        <v>13687.51945</v>
      </c>
    </row>
    <row r="1989">
      <c r="A1989" s="3">
        <f>IFERROR(__xludf.DUMMYFUNCTION("""COMPUTED_VALUE"""),42375.99861111111)</f>
        <v>42375.99861</v>
      </c>
      <c r="B1989" s="1">
        <f>IFERROR(__xludf.DUMMYFUNCTION("""COMPUTED_VALUE"""),13798.62675)</f>
        <v>13798.62675</v>
      </c>
    </row>
    <row r="1990">
      <c r="A1990" s="3">
        <f>IFERROR(__xludf.DUMMYFUNCTION("""COMPUTED_VALUE"""),42376.99861111111)</f>
        <v>42376.99861</v>
      </c>
      <c r="B1990" s="1">
        <f>IFERROR(__xludf.DUMMYFUNCTION("""COMPUTED_VALUE"""),14012.187)</f>
        <v>14012.187</v>
      </c>
    </row>
    <row r="1991">
      <c r="A1991" s="3">
        <f>IFERROR(__xludf.DUMMYFUNCTION("""COMPUTED_VALUE"""),42377.99861111111)</f>
        <v>42377.99861</v>
      </c>
      <c r="B1991" s="1">
        <f>IFERROR(__xludf.DUMMYFUNCTION("""COMPUTED_VALUE"""),13956.672)</f>
        <v>13956.672</v>
      </c>
    </row>
    <row r="1992">
      <c r="A1992" s="3">
        <f>IFERROR(__xludf.DUMMYFUNCTION("""COMPUTED_VALUE"""),42379.99861111111)</f>
        <v>42379.99861</v>
      </c>
      <c r="B1992" s="1">
        <f>IFERROR(__xludf.DUMMYFUNCTION("""COMPUTED_VALUE"""),14150.27705)</f>
        <v>14150.27705</v>
      </c>
    </row>
    <row r="1993">
      <c r="A1993" s="3">
        <f>IFERROR(__xludf.DUMMYFUNCTION("""COMPUTED_VALUE"""),42380.99861111111)</f>
        <v>42380.99861</v>
      </c>
      <c r="B1993" s="1">
        <f>IFERROR(__xludf.DUMMYFUNCTION("""COMPUTED_VALUE"""),13779.46075)</f>
        <v>13779.46075</v>
      </c>
    </row>
    <row r="1994">
      <c r="A1994" s="3">
        <f>IFERROR(__xludf.DUMMYFUNCTION("""COMPUTED_VALUE"""),42381.99861111111)</f>
        <v>42381.99861</v>
      </c>
      <c r="B1994" s="1">
        <f>IFERROR(__xludf.DUMMYFUNCTION("""COMPUTED_VALUE"""),13748.097)</f>
        <v>13748.097</v>
      </c>
    </row>
    <row r="1995">
      <c r="A1995" s="3">
        <f>IFERROR(__xludf.DUMMYFUNCTION("""COMPUTED_VALUE"""),42382.99861111111)</f>
        <v>42382.99861</v>
      </c>
      <c r="B1995" s="1">
        <f>IFERROR(__xludf.DUMMYFUNCTION("""COMPUTED_VALUE"""),13761.01013)</f>
        <v>13761.01013</v>
      </c>
    </row>
    <row r="1996">
      <c r="A1996" s="3">
        <f>IFERROR(__xludf.DUMMYFUNCTION("""COMPUTED_VALUE"""),42383.99861111111)</f>
        <v>42383.99861</v>
      </c>
      <c r="B1996" s="1">
        <f>IFERROR(__xludf.DUMMYFUNCTION("""COMPUTED_VALUE"""),13745.921)</f>
        <v>13745.921</v>
      </c>
    </row>
    <row r="1997">
      <c r="A1997" s="3">
        <f>IFERROR(__xludf.DUMMYFUNCTION("""COMPUTED_VALUE"""),42384.99861111111)</f>
        <v>42384.99861</v>
      </c>
      <c r="B1997" s="1">
        <f>IFERROR(__xludf.DUMMYFUNCTION("""COMPUTED_VALUE"""),13941.42102)</f>
        <v>13941.42102</v>
      </c>
    </row>
    <row r="1998">
      <c r="A1998" s="3">
        <f>IFERROR(__xludf.DUMMYFUNCTION("""COMPUTED_VALUE"""),42386.99861111111)</f>
        <v>42386.99861</v>
      </c>
      <c r="B1998" s="1">
        <f>IFERROR(__xludf.DUMMYFUNCTION("""COMPUTED_VALUE"""),13954.12189)</f>
        <v>13954.12189</v>
      </c>
    </row>
    <row r="1999">
      <c r="A1999" s="3">
        <f>IFERROR(__xludf.DUMMYFUNCTION("""COMPUTED_VALUE"""),42387.99861111111)</f>
        <v>42387.99861</v>
      </c>
      <c r="B1999" s="1">
        <f>IFERROR(__xludf.DUMMYFUNCTION("""COMPUTED_VALUE"""),13851.33675)</f>
        <v>13851.33675</v>
      </c>
    </row>
    <row r="2000">
      <c r="A2000" s="3">
        <f>IFERROR(__xludf.DUMMYFUNCTION("""COMPUTED_VALUE"""),42388.99861111111)</f>
        <v>42388.99861</v>
      </c>
      <c r="B2000" s="1">
        <f>IFERROR(__xludf.DUMMYFUNCTION("""COMPUTED_VALUE"""),13780.0737)</f>
        <v>13780.0737</v>
      </c>
    </row>
    <row r="2001">
      <c r="A2001" s="3">
        <f>IFERROR(__xludf.DUMMYFUNCTION("""COMPUTED_VALUE"""),42389.99861111111)</f>
        <v>42389.99861</v>
      </c>
      <c r="B2001" s="1">
        <f>IFERROR(__xludf.DUMMYFUNCTION("""COMPUTED_VALUE"""),13744.12375)</f>
        <v>13744.12375</v>
      </c>
    </row>
    <row r="2002">
      <c r="A2002" s="3">
        <f>IFERROR(__xludf.DUMMYFUNCTION("""COMPUTED_VALUE"""),42390.99861111111)</f>
        <v>42390.99861</v>
      </c>
      <c r="B2002" s="1">
        <f>IFERROR(__xludf.DUMMYFUNCTION("""COMPUTED_VALUE"""),13655.81882)</f>
        <v>13655.81882</v>
      </c>
    </row>
    <row r="2003">
      <c r="A2003" s="3">
        <f>IFERROR(__xludf.DUMMYFUNCTION("""COMPUTED_VALUE"""),42391.99861111111)</f>
        <v>42391.99861</v>
      </c>
      <c r="B2003" s="1">
        <f>IFERROR(__xludf.DUMMYFUNCTION("""COMPUTED_VALUE"""),13522.23655)</f>
        <v>13522.23655</v>
      </c>
    </row>
    <row r="2004">
      <c r="A2004" s="3">
        <f>IFERROR(__xludf.DUMMYFUNCTION("""COMPUTED_VALUE"""),42392.99861111111)</f>
        <v>42392.99861</v>
      </c>
      <c r="B2004" s="1">
        <f>IFERROR(__xludf.DUMMYFUNCTION("""COMPUTED_VALUE"""),13629.63446)</f>
        <v>13629.63446</v>
      </c>
    </row>
    <row r="2005">
      <c r="A2005" s="3">
        <f>IFERROR(__xludf.DUMMYFUNCTION("""COMPUTED_VALUE"""),42393.99861111111)</f>
        <v>42393.99861</v>
      </c>
      <c r="B2005" s="1">
        <f>IFERROR(__xludf.DUMMYFUNCTION("""COMPUTED_VALUE"""),13626.72587)</f>
        <v>13626.72587</v>
      </c>
    </row>
    <row r="2006">
      <c r="A2006" s="3">
        <f>IFERROR(__xludf.DUMMYFUNCTION("""COMPUTED_VALUE"""),42394.99861111111)</f>
        <v>42394.99861</v>
      </c>
      <c r="B2006" s="1">
        <f>IFERROR(__xludf.DUMMYFUNCTION("""COMPUTED_VALUE"""),13654.4973)</f>
        <v>13654.4973</v>
      </c>
    </row>
    <row r="2007">
      <c r="A2007" s="3">
        <f>IFERROR(__xludf.DUMMYFUNCTION("""COMPUTED_VALUE"""),42395.99861111111)</f>
        <v>42395.99861</v>
      </c>
      <c r="B2007" s="1">
        <f>IFERROR(__xludf.DUMMYFUNCTION("""COMPUTED_VALUE"""),13642.2356)</f>
        <v>13642.2356</v>
      </c>
    </row>
    <row r="2008">
      <c r="A2008" s="3">
        <f>IFERROR(__xludf.DUMMYFUNCTION("""COMPUTED_VALUE"""),42396.99861111111)</f>
        <v>42396.99861</v>
      </c>
      <c r="B2008" s="1">
        <f>IFERROR(__xludf.DUMMYFUNCTION("""COMPUTED_VALUE"""),13605.87358)</f>
        <v>13605.87358</v>
      </c>
    </row>
    <row r="2009">
      <c r="A2009" s="3">
        <f>IFERROR(__xludf.DUMMYFUNCTION("""COMPUTED_VALUE"""),42397.99861111111)</f>
        <v>42397.99861</v>
      </c>
      <c r="B2009" s="1">
        <f>IFERROR(__xludf.DUMMYFUNCTION("""COMPUTED_VALUE"""),13571.87705)</f>
        <v>13571.87705</v>
      </c>
    </row>
    <row r="2010">
      <c r="A2010" s="3">
        <f>IFERROR(__xludf.DUMMYFUNCTION("""COMPUTED_VALUE"""),42398.99861111111)</f>
        <v>42398.99861</v>
      </c>
      <c r="B2010" s="1">
        <f>IFERROR(__xludf.DUMMYFUNCTION("""COMPUTED_VALUE"""),13360.33825)</f>
        <v>13360.33825</v>
      </c>
    </row>
    <row r="2011">
      <c r="A2011" s="3">
        <f>IFERROR(__xludf.DUMMYFUNCTION("""COMPUTED_VALUE"""),42400.99861111111)</f>
        <v>42400.99861</v>
      </c>
      <c r="B2011" s="1">
        <f>IFERROR(__xludf.DUMMYFUNCTION("""COMPUTED_VALUE"""),13763.18528)</f>
        <v>13763.18528</v>
      </c>
    </row>
    <row r="2012">
      <c r="A2012" s="3">
        <f>IFERROR(__xludf.DUMMYFUNCTION("""COMPUTED_VALUE"""),42401.99861111111)</f>
        <v>42401.99861</v>
      </c>
      <c r="B2012" s="1">
        <f>IFERROR(__xludf.DUMMYFUNCTION("""COMPUTED_VALUE"""),13365.0328)</f>
        <v>13365.0328</v>
      </c>
    </row>
    <row r="2013">
      <c r="A2013" s="3">
        <f>IFERROR(__xludf.DUMMYFUNCTION("""COMPUTED_VALUE"""),42402.99861111111)</f>
        <v>42402.99861</v>
      </c>
      <c r="B2013" s="1">
        <f>IFERROR(__xludf.DUMMYFUNCTION("""COMPUTED_VALUE"""),13474.622)</f>
        <v>13474.622</v>
      </c>
    </row>
    <row r="2014">
      <c r="A2014" s="3">
        <f>IFERROR(__xludf.DUMMYFUNCTION("""COMPUTED_VALUE"""),42403.99861111111)</f>
        <v>42403.99861</v>
      </c>
      <c r="B2014" s="1">
        <f>IFERROR(__xludf.DUMMYFUNCTION("""COMPUTED_VALUE"""),13503.49604)</f>
        <v>13503.49604</v>
      </c>
    </row>
    <row r="2015">
      <c r="A2015" s="3">
        <f>IFERROR(__xludf.DUMMYFUNCTION("""COMPUTED_VALUE"""),42404.99861111111)</f>
        <v>42404.99861</v>
      </c>
      <c r="B2015" s="1">
        <f>IFERROR(__xludf.DUMMYFUNCTION("""COMPUTED_VALUE"""),13696.3944)</f>
        <v>13696.3944</v>
      </c>
    </row>
    <row r="2016">
      <c r="A2016" s="3">
        <f>IFERROR(__xludf.DUMMYFUNCTION("""COMPUTED_VALUE"""),42405.99861111111)</f>
        <v>42405.99861</v>
      </c>
      <c r="B2016" s="1">
        <f>IFERROR(__xludf.DUMMYFUNCTION("""COMPUTED_VALUE"""),13704.548)</f>
        <v>13704.548</v>
      </c>
    </row>
    <row r="2017">
      <c r="A2017" s="3">
        <f>IFERROR(__xludf.DUMMYFUNCTION("""COMPUTED_VALUE"""),42406.99861111111)</f>
        <v>42406.99861</v>
      </c>
      <c r="B2017" s="1">
        <f>IFERROR(__xludf.DUMMYFUNCTION("""COMPUTED_VALUE"""),13717.0046)</f>
        <v>13717.0046</v>
      </c>
    </row>
    <row r="2018">
      <c r="A2018" s="3">
        <f>IFERROR(__xludf.DUMMYFUNCTION("""COMPUTED_VALUE"""),42407.99861111111)</f>
        <v>42407.99861</v>
      </c>
      <c r="B2018" s="1">
        <f>IFERROR(__xludf.DUMMYFUNCTION("""COMPUTED_VALUE"""),13717.97539)</f>
        <v>13717.97539</v>
      </c>
    </row>
    <row r="2019">
      <c r="A2019" s="3">
        <f>IFERROR(__xludf.DUMMYFUNCTION("""COMPUTED_VALUE"""),42408.99861111111)</f>
        <v>42408.99861</v>
      </c>
      <c r="B2019" s="1">
        <f>IFERROR(__xludf.DUMMYFUNCTION("""COMPUTED_VALUE"""),13849.6852)</f>
        <v>13849.6852</v>
      </c>
    </row>
    <row r="2020">
      <c r="A2020" s="3">
        <f>IFERROR(__xludf.DUMMYFUNCTION("""COMPUTED_VALUE"""),42409.99861111111)</f>
        <v>42409.99861</v>
      </c>
      <c r="B2020" s="1">
        <f>IFERROR(__xludf.DUMMYFUNCTION("""COMPUTED_VALUE"""),13931.544)</f>
        <v>13931.544</v>
      </c>
    </row>
    <row r="2021">
      <c r="A2021" s="3">
        <f>IFERROR(__xludf.DUMMYFUNCTION("""COMPUTED_VALUE"""),42410.99861111111)</f>
        <v>42410.99861</v>
      </c>
      <c r="B2021" s="1">
        <f>IFERROR(__xludf.DUMMYFUNCTION("""COMPUTED_VALUE"""),13818.285)</f>
        <v>13818.285</v>
      </c>
    </row>
    <row r="2022">
      <c r="A2022" s="3">
        <f>IFERROR(__xludf.DUMMYFUNCTION("""COMPUTED_VALUE"""),42411.99861111111)</f>
        <v>42411.99861</v>
      </c>
      <c r="B2022" s="1">
        <f>IFERROR(__xludf.DUMMYFUNCTION("""COMPUTED_VALUE"""),13858.788)</f>
        <v>13858.788</v>
      </c>
    </row>
    <row r="2023">
      <c r="A2023" s="3">
        <f>IFERROR(__xludf.DUMMYFUNCTION("""COMPUTED_VALUE"""),42412.99861111111)</f>
        <v>42412.99861</v>
      </c>
      <c r="B2023" s="1">
        <f>IFERROR(__xludf.DUMMYFUNCTION("""COMPUTED_VALUE"""),13767.9625)</f>
        <v>13767.9625</v>
      </c>
    </row>
    <row r="2024">
      <c r="A2024" s="3">
        <f>IFERROR(__xludf.DUMMYFUNCTION("""COMPUTED_VALUE"""),42414.99861111111)</f>
        <v>42414.99861</v>
      </c>
      <c r="B2024" s="1">
        <f>IFERROR(__xludf.DUMMYFUNCTION("""COMPUTED_VALUE"""),13848.23286)</f>
        <v>13848.23286</v>
      </c>
    </row>
    <row r="2025">
      <c r="A2025" s="3">
        <f>IFERROR(__xludf.DUMMYFUNCTION("""COMPUTED_VALUE"""),42415.99861111111)</f>
        <v>42415.99861</v>
      </c>
      <c r="B2025" s="1">
        <f>IFERROR(__xludf.DUMMYFUNCTION("""COMPUTED_VALUE"""),13460.85)</f>
        <v>13460.85</v>
      </c>
    </row>
    <row r="2026">
      <c r="A2026" s="3">
        <f>IFERROR(__xludf.DUMMYFUNCTION("""COMPUTED_VALUE"""),42416.99861111111)</f>
        <v>42416.99861</v>
      </c>
      <c r="B2026" s="1">
        <f>IFERROR(__xludf.DUMMYFUNCTION("""COMPUTED_VALUE"""),13549.7258)</f>
        <v>13549.7258</v>
      </c>
    </row>
    <row r="2027">
      <c r="A2027" s="3">
        <f>IFERROR(__xludf.DUMMYFUNCTION("""COMPUTED_VALUE"""),42417.99861111111)</f>
        <v>42417.99861</v>
      </c>
      <c r="B2027" s="1">
        <f>IFERROR(__xludf.DUMMYFUNCTION("""COMPUTED_VALUE"""),13594.5)</f>
        <v>13594.5</v>
      </c>
    </row>
    <row r="2028">
      <c r="A2028" s="3">
        <f>IFERROR(__xludf.DUMMYFUNCTION("""COMPUTED_VALUE"""),42418.99861111111)</f>
        <v>42418.99861</v>
      </c>
      <c r="B2028" s="1">
        <f>IFERROR(__xludf.DUMMYFUNCTION("""COMPUTED_VALUE"""),13504.8805)</f>
        <v>13504.8805</v>
      </c>
    </row>
    <row r="2029">
      <c r="A2029" s="3">
        <f>IFERROR(__xludf.DUMMYFUNCTION("""COMPUTED_VALUE"""),42419.99861111111)</f>
        <v>42419.99861</v>
      </c>
      <c r="B2029" s="1">
        <f>IFERROR(__xludf.DUMMYFUNCTION("""COMPUTED_VALUE"""),13563.9554)</f>
        <v>13563.9554</v>
      </c>
    </row>
    <row r="2030">
      <c r="A2030" s="3">
        <f>IFERROR(__xludf.DUMMYFUNCTION("""COMPUTED_VALUE"""),42420.99861111111)</f>
        <v>42420.99861</v>
      </c>
      <c r="B2030" s="1">
        <f>IFERROR(__xludf.DUMMYFUNCTION("""COMPUTED_VALUE"""),13631.92524)</f>
        <v>13631.92524</v>
      </c>
    </row>
    <row r="2031">
      <c r="A2031" s="3">
        <f>IFERROR(__xludf.DUMMYFUNCTION("""COMPUTED_VALUE"""),42421.99861111111)</f>
        <v>42421.99861</v>
      </c>
      <c r="B2031" s="1">
        <f>IFERROR(__xludf.DUMMYFUNCTION("""COMPUTED_VALUE"""),13654.92928)</f>
        <v>13654.92928</v>
      </c>
    </row>
    <row r="2032">
      <c r="A2032" s="3">
        <f>IFERROR(__xludf.DUMMYFUNCTION("""COMPUTED_VALUE"""),42422.99861111111)</f>
        <v>42422.99861</v>
      </c>
      <c r="B2032" s="1">
        <f>IFERROR(__xludf.DUMMYFUNCTION("""COMPUTED_VALUE"""),13387.677)</f>
        <v>13387.677</v>
      </c>
    </row>
    <row r="2033">
      <c r="A2033" s="3">
        <f>IFERROR(__xludf.DUMMYFUNCTION("""COMPUTED_VALUE"""),42423.99861111111)</f>
        <v>42423.99861</v>
      </c>
      <c r="B2033" s="1">
        <f>IFERROR(__xludf.DUMMYFUNCTION("""COMPUTED_VALUE"""),13523.985)</f>
        <v>13523.985</v>
      </c>
    </row>
    <row r="2034">
      <c r="A2034" s="3">
        <f>IFERROR(__xludf.DUMMYFUNCTION("""COMPUTED_VALUE"""),42424.99861111111)</f>
        <v>42424.99861</v>
      </c>
      <c r="B2034" s="1">
        <f>IFERROR(__xludf.DUMMYFUNCTION("""COMPUTED_VALUE"""),13526.881)</f>
        <v>13526.881</v>
      </c>
    </row>
    <row r="2035">
      <c r="A2035" s="3">
        <f>IFERROR(__xludf.DUMMYFUNCTION("""COMPUTED_VALUE"""),42425.99861111111)</f>
        <v>42425.99861</v>
      </c>
      <c r="B2035" s="1">
        <f>IFERROR(__xludf.DUMMYFUNCTION("""COMPUTED_VALUE"""),13557.585)</f>
        <v>13557.585</v>
      </c>
    </row>
    <row r="2036">
      <c r="A2036" s="3">
        <f>IFERROR(__xludf.DUMMYFUNCTION("""COMPUTED_VALUE"""),42426.99861111111)</f>
        <v>42426.99861</v>
      </c>
      <c r="B2036" s="1">
        <f>IFERROR(__xludf.DUMMYFUNCTION("""COMPUTED_VALUE"""),13453.1925)</f>
        <v>13453.1925</v>
      </c>
    </row>
    <row r="2037">
      <c r="A2037" s="3">
        <f>IFERROR(__xludf.DUMMYFUNCTION("""COMPUTED_VALUE"""),42428.99861111111)</f>
        <v>42428.99861</v>
      </c>
      <c r="B2037" s="1">
        <f>IFERROR(__xludf.DUMMYFUNCTION("""COMPUTED_VALUE"""),13481.18258)</f>
        <v>13481.18258</v>
      </c>
    </row>
    <row r="2038">
      <c r="A2038" s="3">
        <f>IFERROR(__xludf.DUMMYFUNCTION("""COMPUTED_VALUE"""),42429.99861111111)</f>
        <v>42429.99861</v>
      </c>
      <c r="B2038" s="1">
        <f>IFERROR(__xludf.DUMMYFUNCTION("""COMPUTED_VALUE"""),13390.3935)</f>
        <v>13390.3935</v>
      </c>
    </row>
    <row r="2039">
      <c r="A2039" s="3">
        <f>IFERROR(__xludf.DUMMYFUNCTION("""COMPUTED_VALUE"""),42430.99861111111)</f>
        <v>42430.99861</v>
      </c>
      <c r="B2039" s="1">
        <f>IFERROR(__xludf.DUMMYFUNCTION("""COMPUTED_VALUE"""),13284.4134)</f>
        <v>13284.4134</v>
      </c>
    </row>
    <row r="2040">
      <c r="A2040" s="3">
        <f>IFERROR(__xludf.DUMMYFUNCTION("""COMPUTED_VALUE"""),42431.99861111111)</f>
        <v>42431.99861</v>
      </c>
      <c r="B2040" s="1">
        <f>IFERROR(__xludf.DUMMYFUNCTION("""COMPUTED_VALUE"""),13288.747)</f>
        <v>13288.747</v>
      </c>
    </row>
    <row r="2041">
      <c r="A2041" s="3">
        <f>IFERROR(__xludf.DUMMYFUNCTION("""COMPUTED_VALUE"""),42432.99861111111)</f>
        <v>42432.99861</v>
      </c>
      <c r="B2041" s="1">
        <f>IFERROR(__xludf.DUMMYFUNCTION("""COMPUTED_VALUE"""),13234.608)</f>
        <v>13234.608</v>
      </c>
    </row>
    <row r="2042">
      <c r="A2042" s="3">
        <f>IFERROR(__xludf.DUMMYFUNCTION("""COMPUTED_VALUE"""),42433.99861111111)</f>
        <v>42433.99861</v>
      </c>
      <c r="B2042" s="1">
        <f>IFERROR(__xludf.DUMMYFUNCTION("""COMPUTED_VALUE"""),13117.8932)</f>
        <v>13117.8932</v>
      </c>
    </row>
    <row r="2043">
      <c r="A2043" s="3">
        <f>IFERROR(__xludf.DUMMYFUNCTION("""COMPUTED_VALUE"""),42435.99861111111)</f>
        <v>42435.99861</v>
      </c>
      <c r="B2043" s="1">
        <f>IFERROR(__xludf.DUMMYFUNCTION("""COMPUTED_VALUE"""),13409.32998)</f>
        <v>13409.32998</v>
      </c>
    </row>
    <row r="2044">
      <c r="A2044" s="3">
        <f>IFERROR(__xludf.DUMMYFUNCTION("""COMPUTED_VALUE"""),42436.99861111111)</f>
        <v>42436.99861</v>
      </c>
      <c r="B2044" s="1">
        <f>IFERROR(__xludf.DUMMYFUNCTION("""COMPUTED_VALUE"""),13052.0)</f>
        <v>13052</v>
      </c>
    </row>
    <row r="2045">
      <c r="A2045" s="3">
        <f>IFERROR(__xludf.DUMMYFUNCTION("""COMPUTED_VALUE"""),42437.99861111111)</f>
        <v>42437.99861</v>
      </c>
      <c r="B2045" s="1">
        <f>IFERROR(__xludf.DUMMYFUNCTION("""COMPUTED_VALUE"""),13225.8154)</f>
        <v>13225.8154</v>
      </c>
    </row>
    <row r="2046">
      <c r="A2046" s="3">
        <f>IFERROR(__xludf.DUMMYFUNCTION("""COMPUTED_VALUE"""),42438.99861111111)</f>
        <v>42438.99861</v>
      </c>
      <c r="B2046" s="1">
        <f>IFERROR(__xludf.DUMMYFUNCTION("""COMPUTED_VALUE"""),13120.96)</f>
        <v>13120.96</v>
      </c>
    </row>
    <row r="2047">
      <c r="A2047" s="3">
        <f>IFERROR(__xludf.DUMMYFUNCTION("""COMPUTED_VALUE"""),42439.99861111111)</f>
        <v>42439.99861</v>
      </c>
      <c r="B2047" s="1">
        <f>IFERROR(__xludf.DUMMYFUNCTION("""COMPUTED_VALUE"""),13332.202)</f>
        <v>13332.202</v>
      </c>
    </row>
    <row r="2048">
      <c r="A2048" s="3">
        <f>IFERROR(__xludf.DUMMYFUNCTION("""COMPUTED_VALUE"""),42440.99861111111)</f>
        <v>42440.99861</v>
      </c>
      <c r="B2048" s="1">
        <f>IFERROR(__xludf.DUMMYFUNCTION("""COMPUTED_VALUE"""),13166.9139)</f>
        <v>13166.9139</v>
      </c>
    </row>
    <row r="2049">
      <c r="A2049" s="3">
        <f>IFERROR(__xludf.DUMMYFUNCTION("""COMPUTED_VALUE"""),42442.99861111111)</f>
        <v>42442.99861</v>
      </c>
      <c r="B2049" s="1">
        <f>IFERROR(__xludf.DUMMYFUNCTION("""COMPUTED_VALUE"""),13264.65772)</f>
        <v>13264.65772</v>
      </c>
    </row>
    <row r="2050">
      <c r="A2050" s="3">
        <f>IFERROR(__xludf.DUMMYFUNCTION("""COMPUTED_VALUE"""),42443.99861111111)</f>
        <v>42443.99861</v>
      </c>
      <c r="B2050" s="1">
        <f>IFERROR(__xludf.DUMMYFUNCTION("""COMPUTED_VALUE"""),13144.846)</f>
        <v>13144.846</v>
      </c>
    </row>
    <row r="2051">
      <c r="A2051" s="3">
        <f>IFERROR(__xludf.DUMMYFUNCTION("""COMPUTED_VALUE"""),42444.99861111111)</f>
        <v>42444.99861</v>
      </c>
      <c r="B2051" s="1">
        <f>IFERROR(__xludf.DUMMYFUNCTION("""COMPUTED_VALUE"""),13290.9744)</f>
        <v>13290.9744</v>
      </c>
    </row>
    <row r="2052">
      <c r="A2052" s="3">
        <f>IFERROR(__xludf.DUMMYFUNCTION("""COMPUTED_VALUE"""),42445.99861111111)</f>
        <v>42445.99861</v>
      </c>
      <c r="B2052" s="1">
        <f>IFERROR(__xludf.DUMMYFUNCTION("""COMPUTED_VALUE"""),13052.217)</f>
        <v>13052.217</v>
      </c>
    </row>
    <row r="2053">
      <c r="A2053" s="3">
        <f>IFERROR(__xludf.DUMMYFUNCTION("""COMPUTED_VALUE"""),42446.99861111111)</f>
        <v>42446.99861</v>
      </c>
      <c r="B2053" s="1">
        <f>IFERROR(__xludf.DUMMYFUNCTION("""COMPUTED_VALUE"""),13372.203)</f>
        <v>13372.203</v>
      </c>
    </row>
    <row r="2054">
      <c r="A2054" s="3">
        <f>IFERROR(__xludf.DUMMYFUNCTION("""COMPUTED_VALUE"""),42447.99861111111)</f>
        <v>42447.99861</v>
      </c>
      <c r="B2054" s="1">
        <f>IFERROR(__xludf.DUMMYFUNCTION("""COMPUTED_VALUE"""),13442.178)</f>
        <v>13442.178</v>
      </c>
    </row>
    <row r="2055">
      <c r="A2055" s="3">
        <f>IFERROR(__xludf.DUMMYFUNCTION("""COMPUTED_VALUE"""),42448.99861111111)</f>
        <v>42448.99861</v>
      </c>
      <c r="B2055" s="1">
        <f>IFERROR(__xludf.DUMMYFUNCTION("""COMPUTED_VALUE"""),13547.9586)</f>
        <v>13547.9586</v>
      </c>
    </row>
    <row r="2056">
      <c r="A2056" s="3">
        <f>IFERROR(__xludf.DUMMYFUNCTION("""COMPUTED_VALUE"""),42449.99861111111)</f>
        <v>42449.99861</v>
      </c>
      <c r="B2056" s="1">
        <f>IFERROR(__xludf.DUMMYFUNCTION("""COMPUTED_VALUE"""),13553.21484)</f>
        <v>13553.21484</v>
      </c>
    </row>
    <row r="2057">
      <c r="A2057" s="3">
        <f>IFERROR(__xludf.DUMMYFUNCTION("""COMPUTED_VALUE"""),42450.99861111111)</f>
        <v>42450.99861</v>
      </c>
      <c r="B2057" s="1">
        <f>IFERROR(__xludf.DUMMYFUNCTION("""COMPUTED_VALUE"""),13574.5351)</f>
        <v>13574.5351</v>
      </c>
    </row>
    <row r="2058">
      <c r="A2058" s="3">
        <f>IFERROR(__xludf.DUMMYFUNCTION("""COMPUTED_VALUE"""),42451.99861111111)</f>
        <v>42451.99861</v>
      </c>
      <c r="B2058" s="1">
        <f>IFERROR(__xludf.DUMMYFUNCTION("""COMPUTED_VALUE"""),13461.2775)</f>
        <v>13461.2775</v>
      </c>
    </row>
    <row r="2059">
      <c r="A2059" s="3">
        <f>IFERROR(__xludf.DUMMYFUNCTION("""COMPUTED_VALUE"""),42452.99861111111)</f>
        <v>42452.99861</v>
      </c>
      <c r="B2059" s="1">
        <f>IFERROR(__xludf.DUMMYFUNCTION("""COMPUTED_VALUE"""),13544.0535)</f>
        <v>13544.0535</v>
      </c>
    </row>
    <row r="2060">
      <c r="A2060" s="3">
        <f>IFERROR(__xludf.DUMMYFUNCTION("""COMPUTED_VALUE"""),42453.99861111111)</f>
        <v>42453.99861</v>
      </c>
      <c r="B2060" s="1">
        <f>IFERROR(__xludf.DUMMYFUNCTION("""COMPUTED_VALUE"""),13550.592)</f>
        <v>13550.592</v>
      </c>
    </row>
    <row r="2061">
      <c r="A2061" s="3">
        <f>IFERROR(__xludf.DUMMYFUNCTION("""COMPUTED_VALUE"""),42454.99861111111)</f>
        <v>42454.99861</v>
      </c>
      <c r="B2061" s="1">
        <f>IFERROR(__xludf.DUMMYFUNCTION("""COMPUTED_VALUE"""),13459.74)</f>
        <v>13459.74</v>
      </c>
    </row>
    <row r="2062">
      <c r="A2062" s="3">
        <f>IFERROR(__xludf.DUMMYFUNCTION("""COMPUTED_VALUE"""),42456.99861111111)</f>
        <v>42456.99861</v>
      </c>
      <c r="B2062" s="1">
        <f>IFERROR(__xludf.DUMMYFUNCTION("""COMPUTED_VALUE"""),13564.40649)</f>
        <v>13564.40649</v>
      </c>
    </row>
    <row r="2063">
      <c r="A2063" s="3">
        <f>IFERROR(__xludf.DUMMYFUNCTION("""COMPUTED_VALUE"""),42457.99861111111)</f>
        <v>42457.99861</v>
      </c>
      <c r="B2063" s="1">
        <f>IFERROR(__xludf.DUMMYFUNCTION("""COMPUTED_VALUE"""),13635.1782)</f>
        <v>13635.1782</v>
      </c>
    </row>
    <row r="2064">
      <c r="A2064" s="3">
        <f>IFERROR(__xludf.DUMMYFUNCTION("""COMPUTED_VALUE"""),42458.99861111111)</f>
        <v>42458.99861</v>
      </c>
      <c r="B2064" s="1">
        <f>IFERROR(__xludf.DUMMYFUNCTION("""COMPUTED_VALUE"""),13633.392)</f>
        <v>13633.392</v>
      </c>
    </row>
    <row r="2065">
      <c r="A2065" s="3">
        <f>IFERROR(__xludf.DUMMYFUNCTION("""COMPUTED_VALUE"""),42459.99861111111)</f>
        <v>42459.99861</v>
      </c>
      <c r="B2065" s="1">
        <f>IFERROR(__xludf.DUMMYFUNCTION("""COMPUTED_VALUE"""),13719.288)</f>
        <v>13719.288</v>
      </c>
    </row>
    <row r="2066">
      <c r="A2066" s="3">
        <f>IFERROR(__xludf.DUMMYFUNCTION("""COMPUTED_VALUE"""),42460.99861111111)</f>
        <v>42460.99861</v>
      </c>
      <c r="B2066" s="1">
        <f>IFERROR(__xludf.DUMMYFUNCTION("""COMPUTED_VALUE"""),13685.6358)</f>
        <v>13685.6358</v>
      </c>
    </row>
    <row r="2067">
      <c r="A2067" s="3">
        <f>IFERROR(__xludf.DUMMYFUNCTION("""COMPUTED_VALUE"""),42461.99861111111)</f>
        <v>42461.99861</v>
      </c>
      <c r="B2067" s="1">
        <f>IFERROR(__xludf.DUMMYFUNCTION("""COMPUTED_VALUE"""),13695.3991)</f>
        <v>13695.3991</v>
      </c>
    </row>
    <row r="2068">
      <c r="A2068" s="3">
        <f>IFERROR(__xludf.DUMMYFUNCTION("""COMPUTED_VALUE"""),42462.99861111111)</f>
        <v>42462.99861</v>
      </c>
      <c r="B2068" s="1">
        <f>IFERROR(__xludf.DUMMYFUNCTION("""COMPUTED_VALUE"""),13713.53016)</f>
        <v>13713.53016</v>
      </c>
    </row>
    <row r="2069">
      <c r="A2069" s="3">
        <f>IFERROR(__xludf.DUMMYFUNCTION("""COMPUTED_VALUE"""),42463.99861111111)</f>
        <v>42463.99861</v>
      </c>
      <c r="B2069" s="1">
        <f>IFERROR(__xludf.DUMMYFUNCTION("""COMPUTED_VALUE"""),13704.33174)</f>
        <v>13704.33174</v>
      </c>
    </row>
    <row r="2070">
      <c r="A2070" s="3">
        <f>IFERROR(__xludf.DUMMYFUNCTION("""COMPUTED_VALUE"""),42464.99861111111)</f>
        <v>42464.99861</v>
      </c>
      <c r="B2070" s="1">
        <f>IFERROR(__xludf.DUMMYFUNCTION("""COMPUTED_VALUE"""),13695.822)</f>
        <v>13695.822</v>
      </c>
    </row>
    <row r="2071">
      <c r="A2071" s="3">
        <f>IFERROR(__xludf.DUMMYFUNCTION("""COMPUTED_VALUE"""),42465.99861111111)</f>
        <v>42465.99861</v>
      </c>
      <c r="B2071" s="1">
        <f>IFERROR(__xludf.DUMMYFUNCTION("""COMPUTED_VALUE"""),13807.092)</f>
        <v>13807.092</v>
      </c>
    </row>
    <row r="2072">
      <c r="A2072" s="3">
        <f>IFERROR(__xludf.DUMMYFUNCTION("""COMPUTED_VALUE"""),42466.99861111111)</f>
        <v>42466.99861</v>
      </c>
      <c r="B2072" s="1">
        <f>IFERROR(__xludf.DUMMYFUNCTION("""COMPUTED_VALUE"""),13783.1808)</f>
        <v>13783.1808</v>
      </c>
    </row>
    <row r="2073">
      <c r="A2073" s="3">
        <f>IFERROR(__xludf.DUMMYFUNCTION("""COMPUTED_VALUE"""),42467.99861111111)</f>
        <v>42467.99861</v>
      </c>
      <c r="B2073" s="1">
        <f>IFERROR(__xludf.DUMMYFUNCTION("""COMPUTED_VALUE"""),13772.6432)</f>
        <v>13772.6432</v>
      </c>
    </row>
    <row r="2074">
      <c r="A2074" s="3">
        <f>IFERROR(__xludf.DUMMYFUNCTION("""COMPUTED_VALUE"""),42468.99861111111)</f>
        <v>42468.99861</v>
      </c>
      <c r="B2074" s="1">
        <f>IFERROR(__xludf.DUMMYFUNCTION("""COMPUTED_VALUE"""),13749.766)</f>
        <v>13749.766</v>
      </c>
    </row>
    <row r="2075">
      <c r="A2075" s="3">
        <f>IFERROR(__xludf.DUMMYFUNCTION("""COMPUTED_VALUE"""),42469.99861111111)</f>
        <v>42469.99861</v>
      </c>
      <c r="B2075" s="1">
        <f>IFERROR(__xludf.DUMMYFUNCTION("""COMPUTED_VALUE"""),13776.60504)</f>
        <v>13776.60504</v>
      </c>
    </row>
    <row r="2076">
      <c r="A2076" s="3">
        <f>IFERROR(__xludf.DUMMYFUNCTION("""COMPUTED_VALUE"""),42470.99861111111)</f>
        <v>42470.99861</v>
      </c>
      <c r="B2076" s="1">
        <f>IFERROR(__xludf.DUMMYFUNCTION("""COMPUTED_VALUE"""),13779.23316)</f>
        <v>13779.23316</v>
      </c>
    </row>
    <row r="2077">
      <c r="A2077" s="3">
        <f>IFERROR(__xludf.DUMMYFUNCTION("""COMPUTED_VALUE"""),42471.99861111111)</f>
        <v>42471.99861</v>
      </c>
      <c r="B2077" s="1">
        <f>IFERROR(__xludf.DUMMYFUNCTION("""COMPUTED_VALUE"""),13722.2505)</f>
        <v>13722.2505</v>
      </c>
    </row>
    <row r="2078">
      <c r="A2078" s="3">
        <f>IFERROR(__xludf.DUMMYFUNCTION("""COMPUTED_VALUE"""),42472.99861111111)</f>
        <v>42472.99861</v>
      </c>
      <c r="B2078" s="1">
        <f>IFERROR(__xludf.DUMMYFUNCTION("""COMPUTED_VALUE"""),13680.8945)</f>
        <v>13680.8945</v>
      </c>
    </row>
    <row r="2079">
      <c r="A2079" s="3">
        <f>IFERROR(__xludf.DUMMYFUNCTION("""COMPUTED_VALUE"""),42473.99861111111)</f>
        <v>42473.99861</v>
      </c>
      <c r="B2079" s="1">
        <f>IFERROR(__xludf.DUMMYFUNCTION("""COMPUTED_VALUE"""),13595.8735)</f>
        <v>13595.8735</v>
      </c>
    </row>
    <row r="2080">
      <c r="A2080" s="3">
        <f>IFERROR(__xludf.DUMMYFUNCTION("""COMPUTED_VALUE"""),42474.99861111111)</f>
        <v>42474.99861</v>
      </c>
      <c r="B2080" s="1">
        <f>IFERROR(__xludf.DUMMYFUNCTION("""COMPUTED_VALUE"""),13626.434)</f>
        <v>13626.434</v>
      </c>
    </row>
    <row r="2081">
      <c r="A2081" s="3">
        <f>IFERROR(__xludf.DUMMYFUNCTION("""COMPUTED_VALUE"""),42475.99861111111)</f>
        <v>42475.99861</v>
      </c>
      <c r="B2081" s="1">
        <f>IFERROR(__xludf.DUMMYFUNCTION("""COMPUTED_VALUE"""),13558.038)</f>
        <v>13558.038</v>
      </c>
    </row>
    <row r="2082">
      <c r="A2082" s="3">
        <f>IFERROR(__xludf.DUMMYFUNCTION("""COMPUTED_VALUE"""),42476.99861111111)</f>
        <v>42476.99861</v>
      </c>
      <c r="B2082" s="1">
        <f>IFERROR(__xludf.DUMMYFUNCTION("""COMPUTED_VALUE"""),13763.22415)</f>
        <v>13763.22415</v>
      </c>
    </row>
    <row r="2083">
      <c r="A2083" s="3">
        <f>IFERROR(__xludf.DUMMYFUNCTION("""COMPUTED_VALUE"""),42477.99861111111)</f>
        <v>42477.99861</v>
      </c>
      <c r="B2083" s="1">
        <f>IFERROR(__xludf.DUMMYFUNCTION("""COMPUTED_VALUE"""),13682.53634)</f>
        <v>13682.53634</v>
      </c>
    </row>
    <row r="2084">
      <c r="A2084" s="3">
        <f>IFERROR(__xludf.DUMMYFUNCTION("""COMPUTED_VALUE"""),42478.99861111111)</f>
        <v>42478.99861</v>
      </c>
      <c r="B2084" s="1">
        <f>IFERROR(__xludf.DUMMYFUNCTION("""COMPUTED_VALUE"""),13583.6064)</f>
        <v>13583.6064</v>
      </c>
    </row>
    <row r="2085">
      <c r="A2085" s="3">
        <f>IFERROR(__xludf.DUMMYFUNCTION("""COMPUTED_VALUE"""),42479.99861111111)</f>
        <v>42479.99861</v>
      </c>
      <c r="B2085" s="1">
        <f>IFERROR(__xludf.DUMMYFUNCTION("""COMPUTED_VALUE"""),13600.2798)</f>
        <v>13600.2798</v>
      </c>
    </row>
    <row r="2086">
      <c r="A2086" s="3">
        <f>IFERROR(__xludf.DUMMYFUNCTION("""COMPUTED_VALUE"""),42480.99861111111)</f>
        <v>42480.99861</v>
      </c>
      <c r="B2086" s="1">
        <f>IFERROR(__xludf.DUMMYFUNCTION("""COMPUTED_VALUE"""),13551.7638)</f>
        <v>13551.7638</v>
      </c>
    </row>
    <row r="2087">
      <c r="A2087" s="3">
        <f>IFERROR(__xludf.DUMMYFUNCTION("""COMPUTED_VALUE"""),42481.99861111111)</f>
        <v>42481.99861</v>
      </c>
      <c r="B2087" s="1">
        <f>IFERROR(__xludf.DUMMYFUNCTION("""COMPUTED_VALUE"""),13511.8376)</f>
        <v>13511.8376</v>
      </c>
    </row>
    <row r="2088">
      <c r="A2088" s="3">
        <f>IFERROR(__xludf.DUMMYFUNCTION("""COMPUTED_VALUE"""),42482.99861111111)</f>
        <v>42482.99861</v>
      </c>
      <c r="B2088" s="1">
        <f>IFERROR(__xludf.DUMMYFUNCTION("""COMPUTED_VALUE"""),13480.012)</f>
        <v>13480.012</v>
      </c>
    </row>
    <row r="2089">
      <c r="A2089" s="3">
        <f>IFERROR(__xludf.DUMMYFUNCTION("""COMPUTED_VALUE"""),42483.99861111111)</f>
        <v>42483.99861</v>
      </c>
      <c r="B2089" s="1">
        <f>IFERROR(__xludf.DUMMYFUNCTION("""COMPUTED_VALUE"""),13510.57871)</f>
        <v>13510.57871</v>
      </c>
    </row>
    <row r="2090">
      <c r="A2090" s="3">
        <f>IFERROR(__xludf.DUMMYFUNCTION("""COMPUTED_VALUE"""),42484.99861111111)</f>
        <v>42484.99861</v>
      </c>
      <c r="B2090" s="1">
        <f>IFERROR(__xludf.DUMMYFUNCTION("""COMPUTED_VALUE"""),13499.32965)</f>
        <v>13499.32965</v>
      </c>
    </row>
    <row r="2091">
      <c r="A2091" s="3">
        <f>IFERROR(__xludf.DUMMYFUNCTION("""COMPUTED_VALUE"""),42485.99861111111)</f>
        <v>42485.99861</v>
      </c>
      <c r="B2091" s="1">
        <f>IFERROR(__xludf.DUMMYFUNCTION("""COMPUTED_VALUE"""),13525.026)</f>
        <v>13525.026</v>
      </c>
    </row>
    <row r="2092">
      <c r="A2092" s="3">
        <f>IFERROR(__xludf.DUMMYFUNCTION("""COMPUTED_VALUE"""),42486.99861111111)</f>
        <v>42486.99861</v>
      </c>
      <c r="B2092" s="1">
        <f>IFERROR(__xludf.DUMMYFUNCTION("""COMPUTED_VALUE"""),13511.372)</f>
        <v>13511.372</v>
      </c>
    </row>
    <row r="2093">
      <c r="A2093" s="3">
        <f>IFERROR(__xludf.DUMMYFUNCTION("""COMPUTED_VALUE"""),42487.99861111111)</f>
        <v>42487.99861</v>
      </c>
      <c r="B2093" s="1">
        <f>IFERROR(__xludf.DUMMYFUNCTION("""COMPUTED_VALUE"""),13547.019)</f>
        <v>13547.019</v>
      </c>
    </row>
    <row r="2094">
      <c r="A2094" s="3">
        <f>IFERROR(__xludf.DUMMYFUNCTION("""COMPUTED_VALUE"""),42488.99861111111)</f>
        <v>42488.99861</v>
      </c>
      <c r="B2094" s="1">
        <f>IFERROR(__xludf.DUMMYFUNCTION("""COMPUTED_VALUE"""),13624.365)</f>
        <v>13624.365</v>
      </c>
    </row>
    <row r="2095">
      <c r="A2095" s="3">
        <f>IFERROR(__xludf.DUMMYFUNCTION("""COMPUTED_VALUE"""),42489.99861111111)</f>
        <v>42489.99861</v>
      </c>
      <c r="B2095" s="1">
        <f>IFERROR(__xludf.DUMMYFUNCTION("""COMPUTED_VALUE"""),13727.0325)</f>
        <v>13727.0325</v>
      </c>
    </row>
    <row r="2096">
      <c r="A2096" s="3">
        <f>IFERROR(__xludf.DUMMYFUNCTION("""COMPUTED_VALUE"""),42490.99861111111)</f>
        <v>42490.99861</v>
      </c>
      <c r="B2096" s="1">
        <f>IFERROR(__xludf.DUMMYFUNCTION("""COMPUTED_VALUE"""),13764.85126)</f>
        <v>13764.85126</v>
      </c>
    </row>
    <row r="2097">
      <c r="A2097" s="3">
        <f>IFERROR(__xludf.DUMMYFUNCTION("""COMPUTED_VALUE"""),42491.99861111111)</f>
        <v>42491.99861</v>
      </c>
      <c r="B2097" s="1">
        <f>IFERROR(__xludf.DUMMYFUNCTION("""COMPUTED_VALUE"""),13774.09828)</f>
        <v>13774.09828</v>
      </c>
    </row>
    <row r="2098">
      <c r="A2098" s="3">
        <f>IFERROR(__xludf.DUMMYFUNCTION("""COMPUTED_VALUE"""),42492.99861111111)</f>
        <v>42492.99861</v>
      </c>
      <c r="B2098" s="1">
        <f>IFERROR(__xludf.DUMMYFUNCTION("""COMPUTED_VALUE"""),13702.608)</f>
        <v>13702.608</v>
      </c>
    </row>
    <row r="2099">
      <c r="A2099" s="3">
        <f>IFERROR(__xludf.DUMMYFUNCTION("""COMPUTED_VALUE"""),42493.99861111111)</f>
        <v>42493.99861</v>
      </c>
      <c r="B2099" s="1">
        <f>IFERROR(__xludf.DUMMYFUNCTION("""COMPUTED_VALUE"""),13819.1985)</f>
        <v>13819.1985</v>
      </c>
    </row>
    <row r="2100">
      <c r="A2100" s="3">
        <f>IFERROR(__xludf.DUMMYFUNCTION("""COMPUTED_VALUE"""),42494.99861111111)</f>
        <v>42494.99861</v>
      </c>
      <c r="B2100" s="1">
        <f>IFERROR(__xludf.DUMMYFUNCTION("""COMPUTED_VALUE"""),13946.745)</f>
        <v>13946.745</v>
      </c>
    </row>
    <row r="2101">
      <c r="A2101" s="3">
        <f>IFERROR(__xludf.DUMMYFUNCTION("""COMPUTED_VALUE"""),42495.99861111111)</f>
        <v>42495.99861</v>
      </c>
      <c r="B2101" s="1">
        <f>IFERROR(__xludf.DUMMYFUNCTION("""COMPUTED_VALUE"""),13782.716)</f>
        <v>13782.716</v>
      </c>
    </row>
    <row r="2102">
      <c r="A2102" s="3">
        <f>IFERROR(__xludf.DUMMYFUNCTION("""COMPUTED_VALUE"""),42496.99861111111)</f>
        <v>42496.99861</v>
      </c>
      <c r="B2102" s="1">
        <f>IFERROR(__xludf.DUMMYFUNCTION("""COMPUTED_VALUE"""),13682.68)</f>
        <v>13682.68</v>
      </c>
    </row>
    <row r="2103">
      <c r="A2103" s="3">
        <f>IFERROR(__xludf.DUMMYFUNCTION("""COMPUTED_VALUE"""),42498.99861111111)</f>
        <v>42498.99861</v>
      </c>
      <c r="B2103" s="1">
        <f>IFERROR(__xludf.DUMMYFUNCTION("""COMPUTED_VALUE"""),13780.15496)</f>
        <v>13780.15496</v>
      </c>
    </row>
    <row r="2104">
      <c r="A2104" s="3">
        <f>IFERROR(__xludf.DUMMYFUNCTION("""COMPUTED_VALUE"""),42499.99861111111)</f>
        <v>42499.99861</v>
      </c>
      <c r="B2104" s="1">
        <f>IFERROR(__xludf.DUMMYFUNCTION("""COMPUTED_VALUE"""),13770.2838)</f>
        <v>13770.2838</v>
      </c>
    </row>
    <row r="2105">
      <c r="A2105" s="3">
        <f>IFERROR(__xludf.DUMMYFUNCTION("""COMPUTED_VALUE"""),42500.99861111111)</f>
        <v>42500.99861</v>
      </c>
      <c r="B2105" s="1">
        <f>IFERROR(__xludf.DUMMYFUNCTION("""COMPUTED_VALUE"""),13629.1202)</f>
        <v>13629.1202</v>
      </c>
    </row>
    <row r="2106">
      <c r="A2106" s="3">
        <f>IFERROR(__xludf.DUMMYFUNCTION("""COMPUTED_VALUE"""),42501.99861111111)</f>
        <v>42501.99861</v>
      </c>
      <c r="B2106" s="1">
        <f>IFERROR(__xludf.DUMMYFUNCTION("""COMPUTED_VALUE"""),13640.4359)</f>
        <v>13640.4359</v>
      </c>
    </row>
    <row r="2107">
      <c r="A2107" s="3">
        <f>IFERROR(__xludf.DUMMYFUNCTION("""COMPUTED_VALUE"""),42502.99861111111)</f>
        <v>42502.99861</v>
      </c>
      <c r="B2107" s="1">
        <f>IFERROR(__xludf.DUMMYFUNCTION("""COMPUTED_VALUE"""),13647.348)</f>
        <v>13647.348</v>
      </c>
    </row>
    <row r="2108">
      <c r="A2108" s="3">
        <f>IFERROR(__xludf.DUMMYFUNCTION("""COMPUTED_VALUE"""),42503.99861111111)</f>
        <v>42503.99861</v>
      </c>
      <c r="B2108" s="1">
        <f>IFERROR(__xludf.DUMMYFUNCTION("""COMPUTED_VALUE"""),13661.3004)</f>
        <v>13661.3004</v>
      </c>
    </row>
    <row r="2109">
      <c r="A2109" s="3">
        <f>IFERROR(__xludf.DUMMYFUNCTION("""COMPUTED_VALUE"""),42505.99861111111)</f>
        <v>42505.99861</v>
      </c>
      <c r="B2109" s="1">
        <f>IFERROR(__xludf.DUMMYFUNCTION("""COMPUTED_VALUE"""),13645.79613)</f>
        <v>13645.79613</v>
      </c>
    </row>
    <row r="2110">
      <c r="A2110" s="3">
        <f>IFERROR(__xludf.DUMMYFUNCTION("""COMPUTED_VALUE"""),42506.99861111111)</f>
        <v>42506.99861</v>
      </c>
      <c r="B2110" s="1">
        <f>IFERROR(__xludf.DUMMYFUNCTION("""COMPUTED_VALUE"""),13615.704)</f>
        <v>13615.704</v>
      </c>
    </row>
    <row r="2111">
      <c r="A2111" s="3">
        <f>IFERROR(__xludf.DUMMYFUNCTION("""COMPUTED_VALUE"""),42507.99861111111)</f>
        <v>42507.99861</v>
      </c>
      <c r="B2111" s="1">
        <f>IFERROR(__xludf.DUMMYFUNCTION("""COMPUTED_VALUE"""),13584.36)</f>
        <v>13584.36</v>
      </c>
    </row>
    <row r="2112">
      <c r="A2112" s="3">
        <f>IFERROR(__xludf.DUMMYFUNCTION("""COMPUTED_VALUE"""),42508.99861111111)</f>
        <v>42508.99861</v>
      </c>
      <c r="B2112" s="1">
        <f>IFERROR(__xludf.DUMMYFUNCTION("""COMPUTED_VALUE"""),13597.5635)</f>
        <v>13597.5635</v>
      </c>
    </row>
    <row r="2113">
      <c r="A2113" s="3">
        <f>IFERROR(__xludf.DUMMYFUNCTION("""COMPUTED_VALUE"""),42509.99861111111)</f>
        <v>42509.99861</v>
      </c>
      <c r="B2113" s="1">
        <f>IFERROR(__xludf.DUMMYFUNCTION("""COMPUTED_VALUE"""),13722.793)</f>
        <v>13722.793</v>
      </c>
    </row>
    <row r="2114">
      <c r="A2114" s="3">
        <f>IFERROR(__xludf.DUMMYFUNCTION("""COMPUTED_VALUE"""),42510.99861111111)</f>
        <v>42510.99861</v>
      </c>
      <c r="B2114" s="1">
        <f>IFERROR(__xludf.DUMMYFUNCTION("""COMPUTED_VALUE"""),13736.9685)</f>
        <v>13736.9685</v>
      </c>
    </row>
    <row r="2115">
      <c r="A2115" s="3">
        <f>IFERROR(__xludf.DUMMYFUNCTION("""COMPUTED_VALUE"""),42512.99861111111)</f>
        <v>42512.99861</v>
      </c>
      <c r="B2115" s="1">
        <f>IFERROR(__xludf.DUMMYFUNCTION("""COMPUTED_VALUE"""),13746.58573)</f>
        <v>13746.58573</v>
      </c>
    </row>
    <row r="2116">
      <c r="A2116" s="3">
        <f>IFERROR(__xludf.DUMMYFUNCTION("""COMPUTED_VALUE"""),42513.99861111111)</f>
        <v>42513.99861</v>
      </c>
      <c r="B2116" s="1">
        <f>IFERROR(__xludf.DUMMYFUNCTION("""COMPUTED_VALUE"""),13678.108)</f>
        <v>13678.108</v>
      </c>
    </row>
    <row r="2117">
      <c r="A2117" s="3">
        <f>IFERROR(__xludf.DUMMYFUNCTION("""COMPUTED_VALUE"""),42514.99861111111)</f>
        <v>42514.99861</v>
      </c>
      <c r="B2117" s="1">
        <f>IFERROR(__xludf.DUMMYFUNCTION("""COMPUTED_VALUE"""),13659.562)</f>
        <v>13659.562</v>
      </c>
    </row>
    <row r="2118">
      <c r="A2118" s="3">
        <f>IFERROR(__xludf.DUMMYFUNCTION("""COMPUTED_VALUE"""),42515.99861111111)</f>
        <v>42515.99861</v>
      </c>
      <c r="B2118" s="1">
        <f>IFERROR(__xludf.DUMMYFUNCTION("""COMPUTED_VALUE"""),13729.1112)</f>
        <v>13729.1112</v>
      </c>
    </row>
    <row r="2119">
      <c r="A2119" s="3">
        <f>IFERROR(__xludf.DUMMYFUNCTION("""COMPUTED_VALUE"""),42516.99861111111)</f>
        <v>42516.99861</v>
      </c>
      <c r="B2119" s="1">
        <f>IFERROR(__xludf.DUMMYFUNCTION("""COMPUTED_VALUE"""),13693.9743)</f>
        <v>13693.9743</v>
      </c>
    </row>
    <row r="2120">
      <c r="A2120" s="3">
        <f>IFERROR(__xludf.DUMMYFUNCTION("""COMPUTED_VALUE"""),42517.99861111111)</f>
        <v>42517.99861</v>
      </c>
      <c r="B2120" s="1">
        <f>IFERROR(__xludf.DUMMYFUNCTION("""COMPUTED_VALUE"""),13626.444)</f>
        <v>13626.444</v>
      </c>
    </row>
    <row r="2121">
      <c r="A2121" s="3">
        <f>IFERROR(__xludf.DUMMYFUNCTION("""COMPUTED_VALUE"""),42518.99861111111)</f>
        <v>42518.99861</v>
      </c>
      <c r="B2121" s="1">
        <f>IFERROR(__xludf.DUMMYFUNCTION("""COMPUTED_VALUE"""),13814.30942)</f>
        <v>13814.30942</v>
      </c>
    </row>
    <row r="2122">
      <c r="A2122" s="3">
        <f>IFERROR(__xludf.DUMMYFUNCTION("""COMPUTED_VALUE"""),42519.99861111111)</f>
        <v>42519.99861</v>
      </c>
      <c r="B2122" s="1">
        <f>IFERROR(__xludf.DUMMYFUNCTION("""COMPUTED_VALUE"""),13804.9413)</f>
        <v>13804.9413</v>
      </c>
    </row>
    <row r="2123">
      <c r="A2123" s="3">
        <f>IFERROR(__xludf.DUMMYFUNCTION("""COMPUTED_VALUE"""),42520.99861111111)</f>
        <v>42520.99861</v>
      </c>
      <c r="B2123" s="1">
        <f>IFERROR(__xludf.DUMMYFUNCTION("""COMPUTED_VALUE"""),13745.5004)</f>
        <v>13745.5004</v>
      </c>
    </row>
    <row r="2124">
      <c r="A2124" s="3">
        <f>IFERROR(__xludf.DUMMYFUNCTION("""COMPUTED_VALUE"""),42521.99861111111)</f>
        <v>42521.99861</v>
      </c>
      <c r="B2124" s="1">
        <f>IFERROR(__xludf.DUMMYFUNCTION("""COMPUTED_VALUE"""),13731.6795)</f>
        <v>13731.6795</v>
      </c>
    </row>
    <row r="2125">
      <c r="A2125" s="3">
        <f>IFERROR(__xludf.DUMMYFUNCTION("""COMPUTED_VALUE"""),42522.99861111111)</f>
        <v>42522.99861</v>
      </c>
      <c r="B2125" s="1">
        <f>IFERROR(__xludf.DUMMYFUNCTION("""COMPUTED_VALUE"""),13765.154)</f>
        <v>13765.154</v>
      </c>
    </row>
    <row r="2126">
      <c r="A2126" s="3">
        <f>IFERROR(__xludf.DUMMYFUNCTION("""COMPUTED_VALUE"""),42523.99861111111)</f>
        <v>42523.99861</v>
      </c>
      <c r="B2126" s="1">
        <f>IFERROR(__xludf.DUMMYFUNCTION("""COMPUTED_VALUE"""),13739.295)</f>
        <v>13739.295</v>
      </c>
    </row>
    <row r="2127">
      <c r="A2127" s="3">
        <f>IFERROR(__xludf.DUMMYFUNCTION("""COMPUTED_VALUE"""),42524.99861111111)</f>
        <v>42524.99861</v>
      </c>
      <c r="B2127" s="1">
        <f>IFERROR(__xludf.DUMMYFUNCTION("""COMPUTED_VALUE"""),13745.3992)</f>
        <v>13745.3992</v>
      </c>
    </row>
    <row r="2128">
      <c r="A2128" s="3">
        <f>IFERROR(__xludf.DUMMYFUNCTION("""COMPUTED_VALUE"""),42526.99861111111)</f>
        <v>42526.99861</v>
      </c>
      <c r="B2128" s="1">
        <f>IFERROR(__xludf.DUMMYFUNCTION("""COMPUTED_VALUE"""),13801.87762)</f>
        <v>13801.87762</v>
      </c>
    </row>
    <row r="2129">
      <c r="A2129" s="3">
        <f>IFERROR(__xludf.DUMMYFUNCTION("""COMPUTED_VALUE"""),42527.99861111111)</f>
        <v>42527.99861</v>
      </c>
      <c r="B2129" s="1">
        <f>IFERROR(__xludf.DUMMYFUNCTION("""COMPUTED_VALUE"""),13754.0835)</f>
        <v>13754.0835</v>
      </c>
    </row>
    <row r="2130">
      <c r="A2130" s="3">
        <f>IFERROR(__xludf.DUMMYFUNCTION("""COMPUTED_VALUE"""),42528.99861111111)</f>
        <v>42528.99861</v>
      </c>
      <c r="B2130" s="1">
        <f>IFERROR(__xludf.DUMMYFUNCTION("""COMPUTED_VALUE"""),13699.2039)</f>
        <v>13699.2039</v>
      </c>
    </row>
    <row r="2131">
      <c r="A2131" s="3">
        <f>IFERROR(__xludf.DUMMYFUNCTION("""COMPUTED_VALUE"""),42529.99861111111)</f>
        <v>42529.99861</v>
      </c>
      <c r="B2131" s="1">
        <f>IFERROR(__xludf.DUMMYFUNCTION("""COMPUTED_VALUE"""),13774.1355)</f>
        <v>13774.1355</v>
      </c>
    </row>
    <row r="2132">
      <c r="A2132" s="3">
        <f>IFERROR(__xludf.DUMMYFUNCTION("""COMPUTED_VALUE"""),42530.99861111111)</f>
        <v>42530.99861</v>
      </c>
      <c r="B2132" s="1">
        <f>IFERROR(__xludf.DUMMYFUNCTION("""COMPUTED_VALUE"""),13734.95)</f>
        <v>13734.95</v>
      </c>
    </row>
    <row r="2133">
      <c r="A2133" s="3">
        <f>IFERROR(__xludf.DUMMYFUNCTION("""COMPUTED_VALUE"""),42531.99861111111)</f>
        <v>42531.99861</v>
      </c>
      <c r="B2133" s="1">
        <f>IFERROR(__xludf.DUMMYFUNCTION("""COMPUTED_VALUE"""),13816.3968)</f>
        <v>13816.3968</v>
      </c>
    </row>
    <row r="2134">
      <c r="A2134" s="3">
        <f>IFERROR(__xludf.DUMMYFUNCTION("""COMPUTED_VALUE"""),42533.99861111111)</f>
        <v>42533.99861</v>
      </c>
      <c r="B2134" s="1">
        <f>IFERROR(__xludf.DUMMYFUNCTION("""COMPUTED_VALUE"""),13855.61087)</f>
        <v>13855.61087</v>
      </c>
    </row>
    <row r="2135">
      <c r="A2135" s="3">
        <f>IFERROR(__xludf.DUMMYFUNCTION("""COMPUTED_VALUE"""),42534.99861111111)</f>
        <v>42534.99861</v>
      </c>
      <c r="B2135" s="1">
        <f>IFERROR(__xludf.DUMMYFUNCTION("""COMPUTED_VALUE"""),13835.1906)</f>
        <v>13835.1906</v>
      </c>
    </row>
    <row r="2136">
      <c r="A2136" s="3">
        <f>IFERROR(__xludf.DUMMYFUNCTION("""COMPUTED_VALUE"""),42535.99861111111)</f>
        <v>42535.99861</v>
      </c>
      <c r="B2136" s="1">
        <f>IFERROR(__xludf.DUMMYFUNCTION("""COMPUTED_VALUE"""),13853.295)</f>
        <v>13853.295</v>
      </c>
    </row>
    <row r="2137">
      <c r="A2137" s="3">
        <f>IFERROR(__xludf.DUMMYFUNCTION("""COMPUTED_VALUE"""),42536.99861111111)</f>
        <v>42536.99861</v>
      </c>
      <c r="B2137" s="1">
        <f>IFERROR(__xludf.DUMMYFUNCTION("""COMPUTED_VALUE"""),13858.128)</f>
        <v>13858.128</v>
      </c>
    </row>
    <row r="2138">
      <c r="A2138" s="3">
        <f>IFERROR(__xludf.DUMMYFUNCTION("""COMPUTED_VALUE"""),42537.99861111111)</f>
        <v>42537.99861</v>
      </c>
      <c r="B2138" s="1">
        <f>IFERROR(__xludf.DUMMYFUNCTION("""COMPUTED_VALUE"""),13865.2188)</f>
        <v>13865.2188</v>
      </c>
    </row>
    <row r="2139">
      <c r="A2139" s="3">
        <f>IFERROR(__xludf.DUMMYFUNCTION("""COMPUTED_VALUE"""),42538.99861111111)</f>
        <v>42538.99861</v>
      </c>
      <c r="B2139" s="1">
        <f>IFERROR(__xludf.DUMMYFUNCTION("""COMPUTED_VALUE"""),13889.2776)</f>
        <v>13889.2776</v>
      </c>
    </row>
    <row r="2140">
      <c r="A2140" s="3">
        <f>IFERROR(__xludf.DUMMYFUNCTION("""COMPUTED_VALUE"""),42540.99861111111)</f>
        <v>42540.99861</v>
      </c>
      <c r="B2140" s="1">
        <f>IFERROR(__xludf.DUMMYFUNCTION("""COMPUTED_VALUE"""),13885.32986)</f>
        <v>13885.32986</v>
      </c>
    </row>
    <row r="2141">
      <c r="A2141" s="3">
        <f>IFERROR(__xludf.DUMMYFUNCTION("""COMPUTED_VALUE"""),42541.99861111111)</f>
        <v>42541.99861</v>
      </c>
      <c r="B2141" s="1">
        <f>IFERROR(__xludf.DUMMYFUNCTION("""COMPUTED_VALUE"""),13774.7)</f>
        <v>13774.7</v>
      </c>
    </row>
    <row r="2142">
      <c r="A2142" s="3">
        <f>IFERROR(__xludf.DUMMYFUNCTION("""COMPUTED_VALUE"""),42542.99861111111)</f>
        <v>42542.99861</v>
      </c>
      <c r="B2142" s="1">
        <f>IFERROR(__xludf.DUMMYFUNCTION("""COMPUTED_VALUE"""),13771.945)</f>
        <v>13771.945</v>
      </c>
    </row>
    <row r="2143">
      <c r="A2143" s="3">
        <f>IFERROR(__xludf.DUMMYFUNCTION("""COMPUTED_VALUE"""),42543.99861111111)</f>
        <v>42543.99861</v>
      </c>
      <c r="B2143" s="1">
        <f>IFERROR(__xludf.DUMMYFUNCTION("""COMPUTED_VALUE"""),13745.2315)</f>
        <v>13745.2315</v>
      </c>
    </row>
    <row r="2144">
      <c r="A2144" s="3">
        <f>IFERROR(__xludf.DUMMYFUNCTION("""COMPUTED_VALUE"""),42544.99861111111)</f>
        <v>42544.99861</v>
      </c>
      <c r="B2144" s="1">
        <f>IFERROR(__xludf.DUMMYFUNCTION("""COMPUTED_VALUE"""),13766.75)</f>
        <v>13766.75</v>
      </c>
    </row>
    <row r="2145">
      <c r="A2145" s="3">
        <f>IFERROR(__xludf.DUMMYFUNCTION("""COMPUTED_VALUE"""),42545.99861111111)</f>
        <v>42545.99861</v>
      </c>
      <c r="B2145" s="1">
        <f>IFERROR(__xludf.DUMMYFUNCTION("""COMPUTED_VALUE"""),13758.8625)</f>
        <v>13758.8625</v>
      </c>
    </row>
    <row r="2146">
      <c r="A2146" s="3">
        <f>IFERROR(__xludf.DUMMYFUNCTION("""COMPUTED_VALUE"""),42547.99861111111)</f>
        <v>42547.99861</v>
      </c>
      <c r="B2146" s="1">
        <f>IFERROR(__xludf.DUMMYFUNCTION("""COMPUTED_VALUE"""),13980.95014)</f>
        <v>13980.95014</v>
      </c>
    </row>
    <row r="2147">
      <c r="A2147" s="3">
        <f>IFERROR(__xludf.DUMMYFUNCTION("""COMPUTED_VALUE"""),42548.99861111111)</f>
        <v>42548.99861</v>
      </c>
      <c r="B2147" s="1">
        <f>IFERROR(__xludf.DUMMYFUNCTION("""COMPUTED_VALUE"""),13675.4545)</f>
        <v>13675.4545</v>
      </c>
    </row>
    <row r="2148">
      <c r="A2148" s="3">
        <f>IFERROR(__xludf.DUMMYFUNCTION("""COMPUTED_VALUE"""),42549.99861111111)</f>
        <v>42549.99861</v>
      </c>
      <c r="B2148" s="1">
        <f>IFERROR(__xludf.DUMMYFUNCTION("""COMPUTED_VALUE"""),13420.568)</f>
        <v>13420.568</v>
      </c>
    </row>
    <row r="2149">
      <c r="A2149" s="3">
        <f>IFERROR(__xludf.DUMMYFUNCTION("""COMPUTED_VALUE"""),42550.99861111111)</f>
        <v>42550.99861</v>
      </c>
      <c r="B2149" s="1">
        <f>IFERROR(__xludf.DUMMYFUNCTION("""COMPUTED_VALUE"""),13410.9773)</f>
        <v>13410.9773</v>
      </c>
    </row>
    <row r="2150">
      <c r="A2150" s="3">
        <f>IFERROR(__xludf.DUMMYFUNCTION("""COMPUTED_VALUE"""),42551.99861111111)</f>
        <v>42551.99861</v>
      </c>
      <c r="B2150" s="1">
        <f>IFERROR(__xludf.DUMMYFUNCTION("""COMPUTED_VALUE"""),13491.9303)</f>
        <v>13491.9303</v>
      </c>
    </row>
    <row r="2151">
      <c r="A2151" s="3">
        <f>IFERROR(__xludf.DUMMYFUNCTION("""COMPUTED_VALUE"""),42552.99861111111)</f>
        <v>42552.99861</v>
      </c>
      <c r="B2151" s="1">
        <f>IFERROR(__xludf.DUMMYFUNCTION("""COMPUTED_VALUE"""),13475.6625)</f>
        <v>13475.6625</v>
      </c>
    </row>
    <row r="2152">
      <c r="A2152" s="3">
        <f>IFERROR(__xludf.DUMMYFUNCTION("""COMPUTED_VALUE"""),42553.99861111111)</f>
        <v>42553.99861</v>
      </c>
      <c r="B2152" s="1">
        <f>IFERROR(__xludf.DUMMYFUNCTION("""COMPUTED_VALUE"""),13478.99278)</f>
        <v>13478.99278</v>
      </c>
    </row>
    <row r="2153">
      <c r="A2153" s="3">
        <f>IFERROR(__xludf.DUMMYFUNCTION("""COMPUTED_VALUE"""),42554.99861111111)</f>
        <v>42554.99861</v>
      </c>
      <c r="B2153" s="1">
        <f>IFERROR(__xludf.DUMMYFUNCTION("""COMPUTED_VALUE"""),13463.24476)</f>
        <v>13463.24476</v>
      </c>
    </row>
    <row r="2154">
      <c r="A2154" s="3">
        <f>IFERROR(__xludf.DUMMYFUNCTION("""COMPUTED_VALUE"""),42555.99861111111)</f>
        <v>42555.99861</v>
      </c>
      <c r="B2154" s="1">
        <f>IFERROR(__xludf.DUMMYFUNCTION("""COMPUTED_VALUE"""),13450.494)</f>
        <v>13450.494</v>
      </c>
    </row>
    <row r="2155">
      <c r="A2155" s="3">
        <f>IFERROR(__xludf.DUMMYFUNCTION("""COMPUTED_VALUE"""),42556.99861111111)</f>
        <v>42556.99861</v>
      </c>
      <c r="B2155" s="1">
        <f>IFERROR(__xludf.DUMMYFUNCTION("""COMPUTED_VALUE"""),13466.628)</f>
        <v>13466.628</v>
      </c>
    </row>
    <row r="2156">
      <c r="A2156" s="3">
        <f>IFERROR(__xludf.DUMMYFUNCTION("""COMPUTED_VALUE"""),42557.99861111111)</f>
        <v>42557.99861</v>
      </c>
      <c r="B2156" s="1">
        <f>IFERROR(__xludf.DUMMYFUNCTION("""COMPUTED_VALUE"""),13548.906)</f>
        <v>13548.906</v>
      </c>
    </row>
    <row r="2157">
      <c r="A2157" s="3">
        <f>IFERROR(__xludf.DUMMYFUNCTION("""COMPUTED_VALUE"""),42558.99861111111)</f>
        <v>42558.99861</v>
      </c>
      <c r="B2157" s="1">
        <f>IFERROR(__xludf.DUMMYFUNCTION("""COMPUTED_VALUE"""),13380.34)</f>
        <v>13380.34</v>
      </c>
    </row>
    <row r="2158">
      <c r="A2158" s="3">
        <f>IFERROR(__xludf.DUMMYFUNCTION("""COMPUTED_VALUE"""),42559.99861111111)</f>
        <v>42559.99861</v>
      </c>
      <c r="B2158" s="1">
        <f>IFERROR(__xludf.DUMMYFUNCTION("""COMPUTED_VALUE"""),13327.785)</f>
        <v>13327.785</v>
      </c>
    </row>
    <row r="2159">
      <c r="A2159" s="3">
        <f>IFERROR(__xludf.DUMMYFUNCTION("""COMPUTED_VALUE"""),42560.99861111111)</f>
        <v>42560.99861</v>
      </c>
      <c r="B2159" s="1">
        <f>IFERROR(__xludf.DUMMYFUNCTION("""COMPUTED_VALUE"""),13358.73396)</f>
        <v>13358.73396</v>
      </c>
    </row>
    <row r="2160">
      <c r="A2160" s="3">
        <f>IFERROR(__xludf.DUMMYFUNCTION("""COMPUTED_VALUE"""),42561.99861111111)</f>
        <v>42561.99861</v>
      </c>
      <c r="B2160" s="1">
        <f>IFERROR(__xludf.DUMMYFUNCTION("""COMPUTED_VALUE"""),13361.36208)</f>
        <v>13361.36208</v>
      </c>
    </row>
    <row r="2161">
      <c r="A2161" s="3">
        <f>IFERROR(__xludf.DUMMYFUNCTION("""COMPUTED_VALUE"""),42562.99861111111)</f>
        <v>42562.99861</v>
      </c>
      <c r="B2161" s="1">
        <f>IFERROR(__xludf.DUMMYFUNCTION("""COMPUTED_VALUE"""),13345.664)</f>
        <v>13345.664</v>
      </c>
    </row>
    <row r="2162">
      <c r="A2162" s="3">
        <f>IFERROR(__xludf.DUMMYFUNCTION("""COMPUTED_VALUE"""),42563.99861111111)</f>
        <v>42563.99861</v>
      </c>
      <c r="B2162" s="1">
        <f>IFERROR(__xludf.DUMMYFUNCTION("""COMPUTED_VALUE"""),13216.21)</f>
        <v>13216.21</v>
      </c>
    </row>
    <row r="2163">
      <c r="A2163" s="3">
        <f>IFERROR(__xludf.DUMMYFUNCTION("""COMPUTED_VALUE"""),42564.99861111111)</f>
        <v>42564.99861</v>
      </c>
      <c r="B2163" s="1">
        <f>IFERROR(__xludf.DUMMYFUNCTION("""COMPUTED_VALUE"""),13219.3355)</f>
        <v>13219.3355</v>
      </c>
    </row>
    <row r="2164">
      <c r="A2164" s="3">
        <f>IFERROR(__xludf.DUMMYFUNCTION("""COMPUTED_VALUE"""),42565.99861111111)</f>
        <v>42565.99861</v>
      </c>
      <c r="B2164" s="1">
        <f>IFERROR(__xludf.DUMMYFUNCTION("""COMPUTED_VALUE"""),13264.776)</f>
        <v>13264.776</v>
      </c>
    </row>
    <row r="2165">
      <c r="A2165" s="3">
        <f>IFERROR(__xludf.DUMMYFUNCTION("""COMPUTED_VALUE"""),42566.99861111111)</f>
        <v>42566.99861</v>
      </c>
      <c r="B2165" s="1">
        <f>IFERROR(__xludf.DUMMYFUNCTION("""COMPUTED_VALUE"""),13284.054)</f>
        <v>13284.054</v>
      </c>
    </row>
    <row r="2166">
      <c r="A2166" s="3">
        <f>IFERROR(__xludf.DUMMYFUNCTION("""COMPUTED_VALUE"""),42567.99861111111)</f>
        <v>42567.99861</v>
      </c>
      <c r="B2166" s="1">
        <f>IFERROR(__xludf.DUMMYFUNCTION("""COMPUTED_VALUE"""),13385.52149)</f>
        <v>13385.52149</v>
      </c>
    </row>
    <row r="2167">
      <c r="A2167" s="3">
        <f>IFERROR(__xludf.DUMMYFUNCTION("""COMPUTED_VALUE"""),42568.99861111111)</f>
        <v>42568.99861</v>
      </c>
      <c r="B2167" s="1">
        <f>IFERROR(__xludf.DUMMYFUNCTION("""COMPUTED_VALUE"""),13371.04781)</f>
        <v>13371.04781</v>
      </c>
    </row>
    <row r="2168">
      <c r="A2168" s="3">
        <f>IFERROR(__xludf.DUMMYFUNCTION("""COMPUTED_VALUE"""),42569.99861111111)</f>
        <v>42569.99861</v>
      </c>
      <c r="B2168" s="1">
        <f>IFERROR(__xludf.DUMMYFUNCTION("""COMPUTED_VALUE"""),13305.5572)</f>
        <v>13305.5572</v>
      </c>
    </row>
    <row r="2169">
      <c r="A2169" s="3">
        <f>IFERROR(__xludf.DUMMYFUNCTION("""COMPUTED_VALUE"""),42570.99861111111)</f>
        <v>42570.99861</v>
      </c>
      <c r="B2169" s="1">
        <f>IFERROR(__xludf.DUMMYFUNCTION("""COMPUTED_VALUE"""),13276.302)</f>
        <v>13276.302</v>
      </c>
    </row>
    <row r="2170">
      <c r="A2170" s="3">
        <f>IFERROR(__xludf.DUMMYFUNCTION("""COMPUTED_VALUE"""),42571.99861111111)</f>
        <v>42571.99861</v>
      </c>
      <c r="B2170" s="1">
        <f>IFERROR(__xludf.DUMMYFUNCTION("""COMPUTED_VALUE"""),13283.228)</f>
        <v>13283.228</v>
      </c>
    </row>
    <row r="2171">
      <c r="A2171" s="3">
        <f>IFERROR(__xludf.DUMMYFUNCTION("""COMPUTED_VALUE"""),42572.99861111111)</f>
        <v>42572.99861</v>
      </c>
      <c r="B2171" s="1">
        <f>IFERROR(__xludf.DUMMYFUNCTION("""COMPUTED_VALUE"""),13308.9761)</f>
        <v>13308.9761</v>
      </c>
    </row>
    <row r="2172">
      <c r="A2172" s="3">
        <f>IFERROR(__xludf.DUMMYFUNCTION("""COMPUTED_VALUE"""),42573.99861111111)</f>
        <v>42573.99861</v>
      </c>
      <c r="B2172" s="1">
        <f>IFERROR(__xludf.DUMMYFUNCTION("""COMPUTED_VALUE"""),13282.1577)</f>
        <v>13282.1577</v>
      </c>
    </row>
    <row r="2173">
      <c r="A2173" s="3">
        <f>IFERROR(__xludf.DUMMYFUNCTION("""COMPUTED_VALUE"""),42575.99861111111)</f>
        <v>42575.99861</v>
      </c>
      <c r="B2173" s="1">
        <f>IFERROR(__xludf.DUMMYFUNCTION("""COMPUTED_VALUE"""),13278.20553)</f>
        <v>13278.20553</v>
      </c>
    </row>
    <row r="2174">
      <c r="A2174" s="3">
        <f>IFERROR(__xludf.DUMMYFUNCTION("""COMPUTED_VALUE"""),42576.99861111111)</f>
        <v>42576.99861</v>
      </c>
      <c r="B2174" s="1">
        <f>IFERROR(__xludf.DUMMYFUNCTION("""COMPUTED_VALUE"""),13278.33)</f>
        <v>13278.33</v>
      </c>
    </row>
    <row r="2175">
      <c r="A2175" s="3">
        <f>IFERROR(__xludf.DUMMYFUNCTION("""COMPUTED_VALUE"""),42577.99861111111)</f>
        <v>42577.99861</v>
      </c>
      <c r="B2175" s="1">
        <f>IFERROR(__xludf.DUMMYFUNCTION("""COMPUTED_VALUE"""),13263.3474)</f>
        <v>13263.3474</v>
      </c>
    </row>
    <row r="2176">
      <c r="A2176" s="3">
        <f>IFERROR(__xludf.DUMMYFUNCTION("""COMPUTED_VALUE"""),42578.99861111111)</f>
        <v>42578.99861</v>
      </c>
      <c r="B2176" s="1">
        <f>IFERROR(__xludf.DUMMYFUNCTION("""COMPUTED_VALUE"""),13295.7798)</f>
        <v>13295.7798</v>
      </c>
    </row>
    <row r="2177">
      <c r="A2177" s="3">
        <f>IFERROR(__xludf.DUMMYFUNCTION("""COMPUTED_VALUE"""),42579.99861111111)</f>
        <v>42579.99861</v>
      </c>
      <c r="B2177" s="1">
        <f>IFERROR(__xludf.DUMMYFUNCTION("""COMPUTED_VALUE"""),13326.9948)</f>
        <v>13326.9948</v>
      </c>
    </row>
    <row r="2178">
      <c r="A2178" s="3">
        <f>IFERROR(__xludf.DUMMYFUNCTION("""COMPUTED_VALUE"""),42580.99861111111)</f>
        <v>42580.99861</v>
      </c>
      <c r="B2178" s="1">
        <f>IFERROR(__xludf.DUMMYFUNCTION("""COMPUTED_VALUE"""),13426.224)</f>
        <v>13426.224</v>
      </c>
    </row>
    <row r="2179">
      <c r="A2179" s="3">
        <f>IFERROR(__xludf.DUMMYFUNCTION("""COMPUTED_VALUE"""),42581.99861111111)</f>
        <v>42581.99861</v>
      </c>
      <c r="B2179" s="1">
        <f>IFERROR(__xludf.DUMMYFUNCTION("""COMPUTED_VALUE"""),13532.79852)</f>
        <v>13532.79852</v>
      </c>
    </row>
    <row r="2180">
      <c r="A2180" s="3">
        <f>IFERROR(__xludf.DUMMYFUNCTION("""COMPUTED_VALUE"""),42582.99861111111)</f>
        <v>42582.99861</v>
      </c>
      <c r="B2180" s="1">
        <f>IFERROR(__xludf.DUMMYFUNCTION("""COMPUTED_VALUE"""),13534.11085)</f>
        <v>13534.11085</v>
      </c>
    </row>
    <row r="2181">
      <c r="A2181" s="3">
        <f>IFERROR(__xludf.DUMMYFUNCTION("""COMPUTED_VALUE"""),42583.99861111111)</f>
        <v>42583.99861</v>
      </c>
      <c r="B2181" s="1">
        <f>IFERROR(__xludf.DUMMYFUNCTION("""COMPUTED_VALUE"""),13435.427)</f>
        <v>13435.427</v>
      </c>
    </row>
    <row r="2182">
      <c r="A2182" s="3">
        <f>IFERROR(__xludf.DUMMYFUNCTION("""COMPUTED_VALUE"""),42584.99861111111)</f>
        <v>42584.99861</v>
      </c>
      <c r="B2182" s="1">
        <f>IFERROR(__xludf.DUMMYFUNCTION("""COMPUTED_VALUE"""),13565.9304)</f>
        <v>13565.9304</v>
      </c>
    </row>
    <row r="2183">
      <c r="A2183" s="3">
        <f>IFERROR(__xludf.DUMMYFUNCTION("""COMPUTED_VALUE"""),42585.99861111111)</f>
        <v>42585.99861</v>
      </c>
      <c r="B2183" s="1">
        <f>IFERROR(__xludf.DUMMYFUNCTION("""COMPUTED_VALUE"""),13505.292)</f>
        <v>13505.292</v>
      </c>
    </row>
    <row r="2184">
      <c r="A2184" s="3">
        <f>IFERROR(__xludf.DUMMYFUNCTION("""COMPUTED_VALUE"""),42586.99861111111)</f>
        <v>42586.99861</v>
      </c>
      <c r="B2184" s="1">
        <f>IFERROR(__xludf.DUMMYFUNCTION("""COMPUTED_VALUE"""),13452.8501)</f>
        <v>13452.8501</v>
      </c>
    </row>
    <row r="2185">
      <c r="A2185" s="3">
        <f>IFERROR(__xludf.DUMMYFUNCTION("""COMPUTED_VALUE"""),42587.99861111111)</f>
        <v>42587.99861</v>
      </c>
      <c r="B2185" s="1">
        <f>IFERROR(__xludf.DUMMYFUNCTION("""COMPUTED_VALUE"""),13373.9424)</f>
        <v>13373.9424</v>
      </c>
    </row>
    <row r="2186">
      <c r="A2186" s="3">
        <f>IFERROR(__xludf.DUMMYFUNCTION("""COMPUTED_VALUE"""),42589.99861111111)</f>
        <v>42589.99861</v>
      </c>
      <c r="B2186" s="1">
        <f>IFERROR(__xludf.DUMMYFUNCTION("""COMPUTED_VALUE"""),13398.15576)</f>
        <v>13398.15576</v>
      </c>
    </row>
    <row r="2187">
      <c r="A2187" s="3">
        <f>IFERROR(__xludf.DUMMYFUNCTION("""COMPUTED_VALUE"""),42590.99861111111)</f>
        <v>42590.99861</v>
      </c>
      <c r="B2187" s="1">
        <f>IFERROR(__xludf.DUMMYFUNCTION("""COMPUTED_VALUE"""),13331.7165)</f>
        <v>13331.7165</v>
      </c>
    </row>
    <row r="2188">
      <c r="A2188" s="3">
        <f>IFERROR(__xludf.DUMMYFUNCTION("""COMPUTED_VALUE"""),42591.99861111111)</f>
        <v>42591.99861</v>
      </c>
      <c r="B2188" s="1">
        <f>IFERROR(__xludf.DUMMYFUNCTION("""COMPUTED_VALUE"""),13345.9887)</f>
        <v>13345.9887</v>
      </c>
    </row>
    <row r="2189">
      <c r="A2189" s="3">
        <f>IFERROR(__xludf.DUMMYFUNCTION("""COMPUTED_VALUE"""),42592.99861111111)</f>
        <v>42592.99861</v>
      </c>
      <c r="B2189" s="1">
        <f>IFERROR(__xludf.DUMMYFUNCTION("""COMPUTED_VALUE"""),13432.3161)</f>
        <v>13432.3161</v>
      </c>
    </row>
    <row r="2190">
      <c r="A2190" s="3">
        <f>IFERROR(__xludf.DUMMYFUNCTION("""COMPUTED_VALUE"""),42593.99861111111)</f>
        <v>42593.99861</v>
      </c>
      <c r="B2190" s="1">
        <f>IFERROR(__xludf.DUMMYFUNCTION("""COMPUTED_VALUE"""),13430.6892)</f>
        <v>13430.6892</v>
      </c>
    </row>
    <row r="2191">
      <c r="A2191" s="3">
        <f>IFERROR(__xludf.DUMMYFUNCTION("""COMPUTED_VALUE"""),42594.99861111111)</f>
        <v>42594.99861</v>
      </c>
      <c r="B2191" s="1">
        <f>IFERROR(__xludf.DUMMYFUNCTION("""COMPUTED_VALUE"""),13445.3305)</f>
        <v>13445.3305</v>
      </c>
    </row>
    <row r="2192">
      <c r="A2192" s="3">
        <f>IFERROR(__xludf.DUMMYFUNCTION("""COMPUTED_VALUE"""),42596.99861111111)</f>
        <v>42596.99861</v>
      </c>
      <c r="B2192" s="1">
        <f>IFERROR(__xludf.DUMMYFUNCTION("""COMPUTED_VALUE"""),13445.4454)</f>
        <v>13445.4454</v>
      </c>
    </row>
    <row r="2193">
      <c r="A2193" s="3">
        <f>IFERROR(__xludf.DUMMYFUNCTION("""COMPUTED_VALUE"""),42597.99861111111)</f>
        <v>42597.99861</v>
      </c>
      <c r="B2193" s="1">
        <f>IFERROR(__xludf.DUMMYFUNCTION("""COMPUTED_VALUE"""),13422.5112)</f>
        <v>13422.5112</v>
      </c>
    </row>
    <row r="2194">
      <c r="A2194" s="3">
        <f>IFERROR(__xludf.DUMMYFUNCTION("""COMPUTED_VALUE"""),42598.99861111111)</f>
        <v>42598.99861</v>
      </c>
      <c r="B2194" s="1">
        <f>IFERROR(__xludf.DUMMYFUNCTION("""COMPUTED_VALUE"""),13630.1956)</f>
        <v>13630.1956</v>
      </c>
    </row>
    <row r="2195">
      <c r="A2195" s="3">
        <f>IFERROR(__xludf.DUMMYFUNCTION("""COMPUTED_VALUE"""),42599.99861111111)</f>
        <v>42599.99861</v>
      </c>
      <c r="B2195" s="1">
        <f>IFERROR(__xludf.DUMMYFUNCTION("""COMPUTED_VALUE"""),13636.977)</f>
        <v>13636.977</v>
      </c>
    </row>
    <row r="2196">
      <c r="A2196" s="3">
        <f>IFERROR(__xludf.DUMMYFUNCTION("""COMPUTED_VALUE"""),42600.99861111111)</f>
        <v>42600.99861</v>
      </c>
      <c r="B2196" s="1">
        <f>IFERROR(__xludf.DUMMYFUNCTION("""COMPUTED_VALUE"""),13729.0557)</f>
        <v>13729.0557</v>
      </c>
    </row>
    <row r="2197">
      <c r="A2197" s="3">
        <f>IFERROR(__xludf.DUMMYFUNCTION("""COMPUTED_VALUE"""),42601.99861111111)</f>
        <v>42601.99861</v>
      </c>
      <c r="B2197" s="1">
        <f>IFERROR(__xludf.DUMMYFUNCTION("""COMPUTED_VALUE"""),13683.996)</f>
        <v>13683.996</v>
      </c>
    </row>
    <row r="2198">
      <c r="A2198" s="3">
        <f>IFERROR(__xludf.DUMMYFUNCTION("""COMPUTED_VALUE"""),42602.99861111111)</f>
        <v>42602.99861</v>
      </c>
      <c r="B2198" s="1">
        <f>IFERROR(__xludf.DUMMYFUNCTION("""COMPUTED_VALUE"""),13724.0442)</f>
        <v>13724.0442</v>
      </c>
    </row>
    <row r="2199">
      <c r="A2199" s="3">
        <f>IFERROR(__xludf.DUMMYFUNCTION("""COMPUTED_VALUE"""),42603.99861111111)</f>
        <v>42603.99861</v>
      </c>
      <c r="B2199" s="1">
        <f>IFERROR(__xludf.DUMMYFUNCTION("""COMPUTED_VALUE"""),13699.5705)</f>
        <v>13699.5705</v>
      </c>
    </row>
    <row r="2200">
      <c r="A2200" s="3">
        <f>IFERROR(__xludf.DUMMYFUNCTION("""COMPUTED_VALUE"""),42604.99861111111)</f>
        <v>42604.99861</v>
      </c>
      <c r="B2200" s="1">
        <f>IFERROR(__xludf.DUMMYFUNCTION("""COMPUTED_VALUE"""),13720.1883)</f>
        <v>13720.1883</v>
      </c>
    </row>
    <row r="2201">
      <c r="A2201" s="3">
        <f>IFERROR(__xludf.DUMMYFUNCTION("""COMPUTED_VALUE"""),42605.99861111111)</f>
        <v>42605.99861</v>
      </c>
      <c r="B2201" s="1">
        <f>IFERROR(__xludf.DUMMYFUNCTION("""COMPUTED_VALUE"""),13732.9218)</f>
        <v>13732.9218</v>
      </c>
    </row>
    <row r="2202">
      <c r="A2202" s="3">
        <f>IFERROR(__xludf.DUMMYFUNCTION("""COMPUTED_VALUE"""),42606.99861111111)</f>
        <v>42606.99861</v>
      </c>
      <c r="B2202" s="1">
        <f>IFERROR(__xludf.DUMMYFUNCTION("""COMPUTED_VALUE"""),13702.143)</f>
        <v>13702.143</v>
      </c>
    </row>
    <row r="2203">
      <c r="A2203" s="3">
        <f>IFERROR(__xludf.DUMMYFUNCTION("""COMPUTED_VALUE"""),42607.99861111111)</f>
        <v>42607.99861</v>
      </c>
      <c r="B2203" s="1">
        <f>IFERROR(__xludf.DUMMYFUNCTION("""COMPUTED_VALUE"""),13695.0394)</f>
        <v>13695.0394</v>
      </c>
    </row>
    <row r="2204">
      <c r="A2204" s="3">
        <f>IFERROR(__xludf.DUMMYFUNCTION("""COMPUTED_VALUE"""),42608.99861111111)</f>
        <v>42608.99861</v>
      </c>
      <c r="B2204" s="1">
        <f>IFERROR(__xludf.DUMMYFUNCTION("""COMPUTED_VALUE"""),13589.1268)</f>
        <v>13589.1268</v>
      </c>
    </row>
    <row r="2205">
      <c r="A2205" s="3">
        <f>IFERROR(__xludf.DUMMYFUNCTION("""COMPUTED_VALUE"""),42609.99861111111)</f>
        <v>42609.99861</v>
      </c>
      <c r="B2205" s="1">
        <f>IFERROR(__xludf.DUMMYFUNCTION("""COMPUTED_VALUE"""),13611.17565)</f>
        <v>13611.17565</v>
      </c>
    </row>
    <row r="2206">
      <c r="A2206" s="3">
        <f>IFERROR(__xludf.DUMMYFUNCTION("""COMPUTED_VALUE"""),42610.99861111111)</f>
        <v>42610.99861</v>
      </c>
      <c r="B2206" s="1">
        <f>IFERROR(__xludf.DUMMYFUNCTION("""COMPUTED_VALUE"""),13608.144)</f>
        <v>13608.144</v>
      </c>
    </row>
    <row r="2207">
      <c r="A2207" s="3">
        <f>IFERROR(__xludf.DUMMYFUNCTION("""COMPUTED_VALUE"""),42611.99861111111)</f>
        <v>42611.99861</v>
      </c>
      <c r="B2207" s="1">
        <f>IFERROR(__xludf.DUMMYFUNCTION("""COMPUTED_VALUE"""),13542.1056)</f>
        <v>13542.1056</v>
      </c>
    </row>
    <row r="2208">
      <c r="A2208" s="3">
        <f>IFERROR(__xludf.DUMMYFUNCTION("""COMPUTED_VALUE"""),42612.99861111111)</f>
        <v>42612.99861</v>
      </c>
      <c r="B2208" s="1">
        <f>IFERROR(__xludf.DUMMYFUNCTION("""COMPUTED_VALUE"""),13506.1544)</f>
        <v>13506.1544</v>
      </c>
    </row>
    <row r="2209">
      <c r="A2209" s="3">
        <f>IFERROR(__xludf.DUMMYFUNCTION("""COMPUTED_VALUE"""),42613.99861111111)</f>
        <v>42613.99861</v>
      </c>
      <c r="B2209" s="1">
        <f>IFERROR(__xludf.DUMMYFUNCTION("""COMPUTED_VALUE"""),13501.776)</f>
        <v>13501.776</v>
      </c>
    </row>
    <row r="2210">
      <c r="A2210" s="3">
        <f>IFERROR(__xludf.DUMMYFUNCTION("""COMPUTED_VALUE"""),42614.99861111111)</f>
        <v>42614.99861</v>
      </c>
      <c r="B2210" s="1">
        <f>IFERROR(__xludf.DUMMYFUNCTION("""COMPUTED_VALUE"""),13543.7692)</f>
        <v>13543.7692</v>
      </c>
    </row>
    <row r="2211">
      <c r="A2211" s="3">
        <f>IFERROR(__xludf.DUMMYFUNCTION("""COMPUTED_VALUE"""),42615.99861111111)</f>
        <v>42615.99861</v>
      </c>
      <c r="B2211" s="1">
        <f>IFERROR(__xludf.DUMMYFUNCTION("""COMPUTED_VALUE"""),13458.9)</f>
        <v>13458.9</v>
      </c>
    </row>
    <row r="2212">
      <c r="A2212" s="3">
        <f>IFERROR(__xludf.DUMMYFUNCTION("""COMPUTED_VALUE"""),42616.99861111111)</f>
        <v>42616.99861</v>
      </c>
      <c r="B2212" s="1">
        <f>IFERROR(__xludf.DUMMYFUNCTION("""COMPUTED_VALUE"""),13465.4975)</f>
        <v>13465.4975</v>
      </c>
    </row>
    <row r="2213">
      <c r="A2213" s="3">
        <f>IFERROR(__xludf.DUMMYFUNCTION("""COMPUTED_VALUE"""),42617.99861111111)</f>
        <v>42617.99861</v>
      </c>
      <c r="B2213" s="1">
        <f>IFERROR(__xludf.DUMMYFUNCTION("""COMPUTED_VALUE"""),13461.539)</f>
        <v>13461.539</v>
      </c>
    </row>
    <row r="2214">
      <c r="A2214" s="3">
        <f>IFERROR(__xludf.DUMMYFUNCTION("""COMPUTED_VALUE"""),42618.99861111111)</f>
        <v>42618.99861</v>
      </c>
      <c r="B2214" s="1">
        <f>IFERROR(__xludf.DUMMYFUNCTION("""COMPUTED_VALUE"""),13388.8125)</f>
        <v>13388.8125</v>
      </c>
    </row>
    <row r="2215">
      <c r="A2215" s="3">
        <f>IFERROR(__xludf.DUMMYFUNCTION("""COMPUTED_VALUE"""),42619.99861111111)</f>
        <v>42619.99861</v>
      </c>
      <c r="B2215" s="1">
        <f>IFERROR(__xludf.DUMMYFUNCTION("""COMPUTED_VALUE"""),13454.9632)</f>
        <v>13454.9632</v>
      </c>
    </row>
    <row r="2216">
      <c r="A2216" s="3">
        <f>IFERROR(__xludf.DUMMYFUNCTION("""COMPUTED_VALUE"""),42620.99861111111)</f>
        <v>42620.99861</v>
      </c>
      <c r="B2216" s="1">
        <f>IFERROR(__xludf.DUMMYFUNCTION("""COMPUTED_VALUE"""),13476.477)</f>
        <v>13476.477</v>
      </c>
    </row>
    <row r="2217">
      <c r="A2217" s="3">
        <f>IFERROR(__xludf.DUMMYFUNCTION("""COMPUTED_VALUE"""),42621.99861111111)</f>
        <v>42621.99861</v>
      </c>
      <c r="B2217" s="1">
        <f>IFERROR(__xludf.DUMMYFUNCTION("""COMPUTED_VALUE"""),13447.4448)</f>
        <v>13447.4448</v>
      </c>
    </row>
    <row r="2218">
      <c r="A2218" s="3">
        <f>IFERROR(__xludf.DUMMYFUNCTION("""COMPUTED_VALUE"""),42622.99861111111)</f>
        <v>42622.99861</v>
      </c>
      <c r="B2218" s="1">
        <f>IFERROR(__xludf.DUMMYFUNCTION("""COMPUTED_VALUE"""),13507.7427)</f>
        <v>13507.7427</v>
      </c>
    </row>
    <row r="2219">
      <c r="A2219" s="3">
        <f>IFERROR(__xludf.DUMMYFUNCTION("""COMPUTED_VALUE"""),42623.99861111111)</f>
        <v>42623.99861</v>
      </c>
      <c r="B2219" s="1">
        <f>IFERROR(__xludf.DUMMYFUNCTION("""COMPUTED_VALUE"""),13496.175)</f>
        <v>13496.175</v>
      </c>
    </row>
    <row r="2220">
      <c r="A2220" s="3">
        <f>IFERROR(__xludf.DUMMYFUNCTION("""COMPUTED_VALUE"""),42624.99861111111)</f>
        <v>42624.99861</v>
      </c>
      <c r="B2220" s="1">
        <f>IFERROR(__xludf.DUMMYFUNCTION("""COMPUTED_VALUE"""),13513.3056)</f>
        <v>13513.3056</v>
      </c>
    </row>
    <row r="2221">
      <c r="A2221" s="3">
        <f>IFERROR(__xludf.DUMMYFUNCTION("""COMPUTED_VALUE"""),42625.99861111111)</f>
        <v>42625.99861</v>
      </c>
      <c r="B2221" s="1">
        <f>IFERROR(__xludf.DUMMYFUNCTION("""COMPUTED_VALUE"""),13556.6224)</f>
        <v>13556.6224</v>
      </c>
    </row>
    <row r="2222">
      <c r="A2222" s="3">
        <f>IFERROR(__xludf.DUMMYFUNCTION("""COMPUTED_VALUE"""),42626.99861111111)</f>
        <v>42626.99861</v>
      </c>
      <c r="B2222" s="1">
        <f>IFERROR(__xludf.DUMMYFUNCTION("""COMPUTED_VALUE"""),13554.8117)</f>
        <v>13554.8117</v>
      </c>
    </row>
    <row r="2223">
      <c r="A2223" s="3">
        <f>IFERROR(__xludf.DUMMYFUNCTION("""COMPUTED_VALUE"""),42627.99861111111)</f>
        <v>42627.99861</v>
      </c>
      <c r="B2223" s="1">
        <f>IFERROR(__xludf.DUMMYFUNCTION("""COMPUTED_VALUE"""),13552.4334)</f>
        <v>13552.4334</v>
      </c>
    </row>
    <row r="2224">
      <c r="A2224" s="3">
        <f>IFERROR(__xludf.DUMMYFUNCTION("""COMPUTED_VALUE"""),42628.99861111111)</f>
        <v>42628.99861</v>
      </c>
      <c r="B2224" s="1">
        <f>IFERROR(__xludf.DUMMYFUNCTION("""COMPUTED_VALUE"""),13525.176)</f>
        <v>13525.176</v>
      </c>
    </row>
    <row r="2225">
      <c r="A2225" s="3">
        <f>IFERROR(__xludf.DUMMYFUNCTION("""COMPUTED_VALUE"""),42629.99861111111)</f>
        <v>42629.99861</v>
      </c>
      <c r="B2225" s="1">
        <f>IFERROR(__xludf.DUMMYFUNCTION("""COMPUTED_VALUE"""),13420.9948)</f>
        <v>13420.9948</v>
      </c>
    </row>
    <row r="2226">
      <c r="A2226" s="3">
        <f>IFERROR(__xludf.DUMMYFUNCTION("""COMPUTED_VALUE"""),42630.99861111111)</f>
        <v>42630.99861</v>
      </c>
      <c r="B2226" s="1">
        <f>IFERROR(__xludf.DUMMYFUNCTION("""COMPUTED_VALUE"""),13434.78203)</f>
        <v>13434.78203</v>
      </c>
    </row>
    <row r="2227">
      <c r="A2227" s="3">
        <f>IFERROR(__xludf.DUMMYFUNCTION("""COMPUTED_VALUE"""),42631.99861111111)</f>
        <v>42631.99861</v>
      </c>
      <c r="B2227" s="1">
        <f>IFERROR(__xludf.DUMMYFUNCTION("""COMPUTED_VALUE"""),13432.8415)</f>
        <v>13432.8415</v>
      </c>
    </row>
    <row r="2228">
      <c r="A2228" s="3">
        <f>IFERROR(__xludf.DUMMYFUNCTION("""COMPUTED_VALUE"""),42632.99861111111)</f>
        <v>42632.99861</v>
      </c>
      <c r="B2228" s="1">
        <f>IFERROR(__xludf.DUMMYFUNCTION("""COMPUTED_VALUE"""),13404.4078)</f>
        <v>13404.4078</v>
      </c>
    </row>
    <row r="2229">
      <c r="A2229" s="3">
        <f>IFERROR(__xludf.DUMMYFUNCTION("""COMPUTED_VALUE"""),42633.99861111111)</f>
        <v>42633.99861</v>
      </c>
      <c r="B2229" s="1">
        <f>IFERROR(__xludf.DUMMYFUNCTION("""COMPUTED_VALUE"""),13436.9496)</f>
        <v>13436.9496</v>
      </c>
    </row>
    <row r="2230">
      <c r="A2230" s="3">
        <f>IFERROR(__xludf.DUMMYFUNCTION("""COMPUTED_VALUE"""),42634.99861111111)</f>
        <v>42634.99861</v>
      </c>
      <c r="B2230" s="1">
        <f>IFERROR(__xludf.DUMMYFUNCTION("""COMPUTED_VALUE"""),13407.9544)</f>
        <v>13407.9544</v>
      </c>
    </row>
    <row r="2231">
      <c r="A2231" s="3">
        <f>IFERROR(__xludf.DUMMYFUNCTION("""COMPUTED_VALUE"""),42635.99861111111)</f>
        <v>42635.99861</v>
      </c>
      <c r="B2231" s="1">
        <f>IFERROR(__xludf.DUMMYFUNCTION("""COMPUTED_VALUE"""),13476.32664)</f>
        <v>13476.32664</v>
      </c>
    </row>
    <row r="2232">
      <c r="A2232" s="3">
        <f>IFERROR(__xludf.DUMMYFUNCTION("""COMPUTED_VALUE"""),42636.99861111111)</f>
        <v>42636.99861</v>
      </c>
      <c r="B2232" s="1">
        <f>IFERROR(__xludf.DUMMYFUNCTION("""COMPUTED_VALUE"""),13481.2786)</f>
        <v>13481.2786</v>
      </c>
    </row>
    <row r="2233">
      <c r="A2233" s="3">
        <f>IFERROR(__xludf.DUMMYFUNCTION("""COMPUTED_VALUE"""),42637.99861111111)</f>
        <v>42637.99861</v>
      </c>
      <c r="B2233" s="1">
        <f>IFERROR(__xludf.DUMMYFUNCTION("""COMPUTED_VALUE"""),13472.9556)</f>
        <v>13472.9556</v>
      </c>
    </row>
    <row r="2234">
      <c r="A2234" s="3">
        <f>IFERROR(__xludf.DUMMYFUNCTION("""COMPUTED_VALUE"""),42638.99861111111)</f>
        <v>42638.99861</v>
      </c>
      <c r="B2234" s="1">
        <f>IFERROR(__xludf.DUMMYFUNCTION("""COMPUTED_VALUE"""),13464.1695)</f>
        <v>13464.1695</v>
      </c>
    </row>
    <row r="2235">
      <c r="A2235" s="3">
        <f>IFERROR(__xludf.DUMMYFUNCTION("""COMPUTED_VALUE"""),42639.99861111111)</f>
        <v>42639.99861</v>
      </c>
      <c r="B2235" s="1">
        <f>IFERROR(__xludf.DUMMYFUNCTION("""COMPUTED_VALUE"""),13452.3363)</f>
        <v>13452.3363</v>
      </c>
    </row>
    <row r="2236">
      <c r="A2236" s="3">
        <f>IFERROR(__xludf.DUMMYFUNCTION("""COMPUTED_VALUE"""),42640.99861111111)</f>
        <v>42640.99861</v>
      </c>
      <c r="B2236" s="1">
        <f>IFERROR(__xludf.DUMMYFUNCTION("""COMPUTED_VALUE"""),13305.8017)</f>
        <v>13305.8017</v>
      </c>
    </row>
    <row r="2237">
      <c r="A2237" s="3">
        <f>IFERROR(__xludf.DUMMYFUNCTION("""COMPUTED_VALUE"""),42641.99861111111)</f>
        <v>42641.99861</v>
      </c>
      <c r="B2237" s="1">
        <f>IFERROR(__xludf.DUMMYFUNCTION("""COMPUTED_VALUE"""),13308.63)</f>
        <v>13308.63</v>
      </c>
    </row>
    <row r="2238">
      <c r="A2238" s="3">
        <f>IFERROR(__xludf.DUMMYFUNCTION("""COMPUTED_VALUE"""),42642.99861111111)</f>
        <v>42642.99861</v>
      </c>
      <c r="B2238" s="1">
        <f>IFERROR(__xludf.DUMMYFUNCTION("""COMPUTED_VALUE"""),13456.8047)</f>
        <v>13456.8047</v>
      </c>
    </row>
    <row r="2239">
      <c r="A2239" s="3">
        <f>IFERROR(__xludf.DUMMYFUNCTION("""COMPUTED_VALUE"""),42643.99861111111)</f>
        <v>42643.99861</v>
      </c>
      <c r="B2239" s="1">
        <f>IFERROR(__xludf.DUMMYFUNCTION("""COMPUTED_VALUE"""),13394.0088)</f>
        <v>13394.0088</v>
      </c>
    </row>
    <row r="2240">
      <c r="A2240" s="3">
        <f>IFERROR(__xludf.DUMMYFUNCTION("""COMPUTED_VALUE"""),42644.99861111111)</f>
        <v>42644.99861</v>
      </c>
      <c r="B2240" s="1">
        <f>IFERROR(__xludf.DUMMYFUNCTION("""COMPUTED_VALUE"""),13393.2516)</f>
        <v>13393.2516</v>
      </c>
    </row>
    <row r="2241">
      <c r="A2241" s="3">
        <f>IFERROR(__xludf.DUMMYFUNCTION("""COMPUTED_VALUE"""),42645.99861111111)</f>
        <v>42645.99861</v>
      </c>
      <c r="B2241" s="1">
        <f>IFERROR(__xludf.DUMMYFUNCTION("""COMPUTED_VALUE"""),13334.2344)</f>
        <v>13334.2344</v>
      </c>
    </row>
    <row r="2242">
      <c r="A2242" s="3">
        <f>IFERROR(__xludf.DUMMYFUNCTION("""COMPUTED_VALUE"""),42646.99861111111)</f>
        <v>42646.99861</v>
      </c>
      <c r="B2242" s="1">
        <f>IFERROR(__xludf.DUMMYFUNCTION("""COMPUTED_VALUE"""),13310.6778)</f>
        <v>13310.6778</v>
      </c>
    </row>
    <row r="2243">
      <c r="A2243" s="3">
        <f>IFERROR(__xludf.DUMMYFUNCTION("""COMPUTED_VALUE"""),42647.99861111111)</f>
        <v>42647.99861</v>
      </c>
      <c r="B2243" s="1">
        <f>IFERROR(__xludf.DUMMYFUNCTION("""COMPUTED_VALUE"""),13315.0758)</f>
        <v>13315.0758</v>
      </c>
    </row>
    <row r="2244">
      <c r="A2244" s="3">
        <f>IFERROR(__xludf.DUMMYFUNCTION("""COMPUTED_VALUE"""),42648.99861111111)</f>
        <v>42648.99861</v>
      </c>
      <c r="B2244" s="1">
        <f>IFERROR(__xludf.DUMMYFUNCTION("""COMPUTED_VALUE"""),13357.5696)</f>
        <v>13357.5696</v>
      </c>
    </row>
    <row r="2245">
      <c r="A2245" s="3">
        <f>IFERROR(__xludf.DUMMYFUNCTION("""COMPUTED_VALUE"""),42649.99861111111)</f>
        <v>42649.99861</v>
      </c>
      <c r="B2245" s="1">
        <f>IFERROR(__xludf.DUMMYFUNCTION("""COMPUTED_VALUE"""),13255.9965)</f>
        <v>13255.9965</v>
      </c>
    </row>
    <row r="2246">
      <c r="A2246" s="3">
        <f>IFERROR(__xludf.DUMMYFUNCTION("""COMPUTED_VALUE"""),42650.99861111111)</f>
        <v>42650.99861</v>
      </c>
      <c r="B2246" s="1">
        <f>IFERROR(__xludf.DUMMYFUNCTION("""COMPUTED_VALUE"""),13266.7388)</f>
        <v>13266.7388</v>
      </c>
    </row>
    <row r="2247">
      <c r="A2247" s="3">
        <f>IFERROR(__xludf.DUMMYFUNCTION("""COMPUTED_VALUE"""),42652.99861111111)</f>
        <v>42652.99861</v>
      </c>
      <c r="B2247" s="1">
        <f>IFERROR(__xludf.DUMMYFUNCTION("""COMPUTED_VALUE"""),13258.7575)</f>
        <v>13258.7575</v>
      </c>
    </row>
    <row r="2248">
      <c r="A2248" s="3">
        <f>IFERROR(__xludf.DUMMYFUNCTION("""COMPUTED_VALUE"""),42653.99861111111)</f>
        <v>42653.99861</v>
      </c>
      <c r="B2248" s="1">
        <f>IFERROR(__xludf.DUMMYFUNCTION("""COMPUTED_VALUE"""),13157.3754)</f>
        <v>13157.3754</v>
      </c>
    </row>
    <row r="2249">
      <c r="A2249" s="3">
        <f>IFERROR(__xludf.DUMMYFUNCTION("""COMPUTED_VALUE"""),42654.99861111111)</f>
        <v>42654.99861</v>
      </c>
      <c r="B2249" s="1">
        <f>IFERROR(__xludf.DUMMYFUNCTION("""COMPUTED_VALUE"""),13224.816)</f>
        <v>13224.816</v>
      </c>
    </row>
    <row r="2250">
      <c r="A2250" s="3">
        <f>IFERROR(__xludf.DUMMYFUNCTION("""COMPUTED_VALUE"""),42655.99861111111)</f>
        <v>42655.99861</v>
      </c>
      <c r="B2250" s="1">
        <f>IFERROR(__xludf.DUMMYFUNCTION("""COMPUTED_VALUE"""),13143.9824)</f>
        <v>13143.9824</v>
      </c>
    </row>
    <row r="2251">
      <c r="A2251" s="3">
        <f>IFERROR(__xludf.DUMMYFUNCTION("""COMPUTED_VALUE"""),42656.99861111111)</f>
        <v>42656.99861</v>
      </c>
      <c r="B2251" s="1">
        <f>IFERROR(__xludf.DUMMYFUNCTION("""COMPUTED_VALUE"""),13214.8764)</f>
        <v>13214.8764</v>
      </c>
    </row>
    <row r="2252">
      <c r="A2252" s="3">
        <f>IFERROR(__xludf.DUMMYFUNCTION("""COMPUTED_VALUE"""),42657.99861111111)</f>
        <v>42657.99861</v>
      </c>
      <c r="B2252" s="1">
        <f>IFERROR(__xludf.DUMMYFUNCTION("""COMPUTED_VALUE"""),13194.4624)</f>
        <v>13194.4624</v>
      </c>
    </row>
    <row r="2253">
      <c r="A2253" s="3">
        <f>IFERROR(__xludf.DUMMYFUNCTION("""COMPUTED_VALUE"""),42658.99861111111)</f>
        <v>42658.99861</v>
      </c>
      <c r="B2253" s="1">
        <f>IFERROR(__xludf.DUMMYFUNCTION("""COMPUTED_VALUE"""),13186.5474)</f>
        <v>13186.5474</v>
      </c>
    </row>
    <row r="2254">
      <c r="A2254" s="3">
        <f>IFERROR(__xludf.DUMMYFUNCTION("""COMPUTED_VALUE"""),42659.99861111111)</f>
        <v>42659.99861</v>
      </c>
      <c r="B2254" s="1">
        <f>IFERROR(__xludf.DUMMYFUNCTION("""COMPUTED_VALUE"""),13216.374)</f>
        <v>13216.374</v>
      </c>
    </row>
    <row r="2255">
      <c r="A2255" s="3">
        <f>IFERROR(__xludf.DUMMYFUNCTION("""COMPUTED_VALUE"""),42660.99861111111)</f>
        <v>42660.99861</v>
      </c>
      <c r="B2255" s="1">
        <f>IFERROR(__xludf.DUMMYFUNCTION("""COMPUTED_VALUE"""),13207.612)</f>
        <v>13207.612</v>
      </c>
    </row>
    <row r="2256">
      <c r="A2256" s="3">
        <f>IFERROR(__xludf.DUMMYFUNCTION("""COMPUTED_VALUE"""),42661.99861111111)</f>
        <v>42661.99861</v>
      </c>
      <c r="B2256" s="1">
        <f>IFERROR(__xludf.DUMMYFUNCTION("""COMPUTED_VALUE"""),13147.596)</f>
        <v>13147.596</v>
      </c>
    </row>
    <row r="2257">
      <c r="A2257" s="3">
        <f>IFERROR(__xludf.DUMMYFUNCTION("""COMPUTED_VALUE"""),42662.99861111111)</f>
        <v>42662.99861</v>
      </c>
      <c r="B2257" s="1">
        <f>IFERROR(__xludf.DUMMYFUNCTION("""COMPUTED_VALUE"""),13112.0976)</f>
        <v>13112.0976</v>
      </c>
    </row>
    <row r="2258">
      <c r="A2258" s="3">
        <f>IFERROR(__xludf.DUMMYFUNCTION("""COMPUTED_VALUE"""),42663.99861111111)</f>
        <v>42663.99861</v>
      </c>
      <c r="B2258" s="1">
        <f>IFERROR(__xludf.DUMMYFUNCTION("""COMPUTED_VALUE"""),13097.3355)</f>
        <v>13097.3355</v>
      </c>
    </row>
    <row r="2259">
      <c r="A2259" s="3">
        <f>IFERROR(__xludf.DUMMYFUNCTION("""COMPUTED_VALUE"""),42664.99861111111)</f>
        <v>42664.99861</v>
      </c>
      <c r="B2259" s="1">
        <f>IFERROR(__xludf.DUMMYFUNCTION("""COMPUTED_VALUE"""),13103.7426)</f>
        <v>13103.7426</v>
      </c>
    </row>
    <row r="2260">
      <c r="A2260" s="3">
        <f>IFERROR(__xludf.DUMMYFUNCTION("""COMPUTED_VALUE"""),42665.99861111111)</f>
        <v>42665.99861</v>
      </c>
      <c r="B2260" s="1">
        <f>IFERROR(__xludf.DUMMYFUNCTION("""COMPUTED_VALUE"""),13121.6668)</f>
        <v>13121.6668</v>
      </c>
    </row>
    <row r="2261">
      <c r="A2261" s="3">
        <f>IFERROR(__xludf.DUMMYFUNCTION("""COMPUTED_VALUE"""),42666.99861111111)</f>
        <v>42666.99861</v>
      </c>
      <c r="B2261" s="1">
        <f>IFERROR(__xludf.DUMMYFUNCTION("""COMPUTED_VALUE"""),13124.385)</f>
        <v>13124.385</v>
      </c>
    </row>
    <row r="2262">
      <c r="A2262" s="3">
        <f>IFERROR(__xludf.DUMMYFUNCTION("""COMPUTED_VALUE"""),42667.99861111111)</f>
        <v>42667.99861</v>
      </c>
      <c r="B2262" s="1">
        <f>IFERROR(__xludf.DUMMYFUNCTION("""COMPUTED_VALUE"""),13088.7708)</f>
        <v>13088.7708</v>
      </c>
    </row>
    <row r="2263">
      <c r="A2263" s="3">
        <f>IFERROR(__xludf.DUMMYFUNCTION("""COMPUTED_VALUE"""),42668.99861111111)</f>
        <v>42668.99861</v>
      </c>
      <c r="B2263" s="1">
        <f>IFERROR(__xludf.DUMMYFUNCTION("""COMPUTED_VALUE"""),13040.88)</f>
        <v>13040.88</v>
      </c>
    </row>
    <row r="2264">
      <c r="A2264" s="3">
        <f>IFERROR(__xludf.DUMMYFUNCTION("""COMPUTED_VALUE"""),42669.99861111111)</f>
        <v>42669.99861</v>
      </c>
      <c r="B2264" s="1">
        <f>IFERROR(__xludf.DUMMYFUNCTION("""COMPUTED_VALUE"""),13108.656)</f>
        <v>13108.656</v>
      </c>
    </row>
    <row r="2265">
      <c r="A2265" s="3">
        <f>IFERROR(__xludf.DUMMYFUNCTION("""COMPUTED_VALUE"""),42670.99861111111)</f>
        <v>42670.99861</v>
      </c>
      <c r="B2265" s="1">
        <f>IFERROR(__xludf.DUMMYFUNCTION("""COMPUTED_VALUE"""),13132.6233)</f>
        <v>13132.6233</v>
      </c>
    </row>
    <row r="2266">
      <c r="A2266" s="3">
        <f>IFERROR(__xludf.DUMMYFUNCTION("""COMPUTED_VALUE"""),42671.99861111111)</f>
        <v>42671.99861</v>
      </c>
      <c r="B2266" s="1">
        <f>IFERROR(__xludf.DUMMYFUNCTION("""COMPUTED_VALUE"""),13221.0623)</f>
        <v>13221.0623</v>
      </c>
    </row>
    <row r="2267">
      <c r="A2267" s="3">
        <f>IFERROR(__xludf.DUMMYFUNCTION("""COMPUTED_VALUE"""),42672.99861111111)</f>
        <v>42672.99861</v>
      </c>
      <c r="B2267" s="1">
        <f>IFERROR(__xludf.DUMMYFUNCTION("""COMPUTED_VALUE"""),13221.0623)</f>
        <v>13221.0623</v>
      </c>
    </row>
    <row r="2268">
      <c r="A2268" s="3">
        <f>IFERROR(__xludf.DUMMYFUNCTION("""COMPUTED_VALUE"""),42673.99861111111)</f>
        <v>42673.99861</v>
      </c>
      <c r="B2268" s="1">
        <f>IFERROR(__xludf.DUMMYFUNCTION("""COMPUTED_VALUE"""),13224.9812)</f>
        <v>13224.9812</v>
      </c>
    </row>
    <row r="2269">
      <c r="A2269" s="3">
        <f>IFERROR(__xludf.DUMMYFUNCTION("""COMPUTED_VALUE"""),42674.99861111111)</f>
        <v>42674.99861</v>
      </c>
      <c r="B2269" s="1">
        <f>IFERROR(__xludf.DUMMYFUNCTION("""COMPUTED_VALUE"""),13153.5404)</f>
        <v>13153.5404</v>
      </c>
    </row>
    <row r="2270">
      <c r="A2270" s="3">
        <f>IFERROR(__xludf.DUMMYFUNCTION("""COMPUTED_VALUE"""),42675.99861111111)</f>
        <v>42675.99861</v>
      </c>
      <c r="B2270" s="1">
        <f>IFERROR(__xludf.DUMMYFUNCTION("""COMPUTED_VALUE"""),13367.8614)</f>
        <v>13367.8614</v>
      </c>
    </row>
    <row r="2271">
      <c r="A2271" s="3">
        <f>IFERROR(__xludf.DUMMYFUNCTION("""COMPUTED_VALUE"""),42676.99861111111)</f>
        <v>42676.99861</v>
      </c>
      <c r="B2271" s="1">
        <f>IFERROR(__xludf.DUMMYFUNCTION("""COMPUTED_VALUE"""),13406.0696)</f>
        <v>13406.0696</v>
      </c>
    </row>
    <row r="2272">
      <c r="A2272" s="3">
        <f>IFERROR(__xludf.DUMMYFUNCTION("""COMPUTED_VALUE"""),42677.99861111111)</f>
        <v>42677.99861</v>
      </c>
      <c r="B2272" s="1">
        <f>IFERROR(__xludf.DUMMYFUNCTION("""COMPUTED_VALUE"""),13409.0748)</f>
        <v>13409.0748</v>
      </c>
    </row>
    <row r="2273">
      <c r="A2273" s="3">
        <f>IFERROR(__xludf.DUMMYFUNCTION("""COMPUTED_VALUE"""),42678.99861111111)</f>
        <v>42678.99861</v>
      </c>
      <c r="B2273" s="1">
        <f>IFERROR(__xludf.DUMMYFUNCTION("""COMPUTED_VALUE"""),13535.2386)</f>
        <v>13535.2386</v>
      </c>
    </row>
    <row r="2274">
      <c r="A2274" s="3">
        <f>IFERROR(__xludf.DUMMYFUNCTION("""COMPUTED_VALUE"""),42679.99861111111)</f>
        <v>42679.99861</v>
      </c>
      <c r="B2274" s="1">
        <f>IFERROR(__xludf.DUMMYFUNCTION("""COMPUTED_VALUE"""),13540.4838)</f>
        <v>13540.4838</v>
      </c>
    </row>
    <row r="2275">
      <c r="A2275" s="3">
        <f>IFERROR(__xludf.DUMMYFUNCTION("""COMPUTED_VALUE"""),42680.99861111111)</f>
        <v>42680.99861</v>
      </c>
      <c r="B2275" s="1">
        <f>IFERROR(__xludf.DUMMYFUNCTION("""COMPUTED_VALUE"""),13457.3015)</f>
        <v>13457.3015</v>
      </c>
    </row>
    <row r="2276">
      <c r="A2276" s="3">
        <f>IFERROR(__xludf.DUMMYFUNCTION("""COMPUTED_VALUE"""),42681.99861111111)</f>
        <v>42681.99861</v>
      </c>
      <c r="B2276" s="1">
        <f>IFERROR(__xludf.DUMMYFUNCTION("""COMPUTED_VALUE"""),13429.8794)</f>
        <v>13429.8794</v>
      </c>
    </row>
    <row r="2277">
      <c r="A2277" s="3">
        <f>IFERROR(__xludf.DUMMYFUNCTION("""COMPUTED_VALUE"""),42682.99861111111)</f>
        <v>42682.99861</v>
      </c>
      <c r="B2277" s="1">
        <f>IFERROR(__xludf.DUMMYFUNCTION("""COMPUTED_VALUE"""),13310.9487)</f>
        <v>13310.9487</v>
      </c>
    </row>
    <row r="2278">
      <c r="A2278" s="3">
        <f>IFERROR(__xludf.DUMMYFUNCTION("""COMPUTED_VALUE"""),42683.99861111111)</f>
        <v>42683.99861</v>
      </c>
      <c r="B2278" s="1">
        <f>IFERROR(__xludf.DUMMYFUNCTION("""COMPUTED_VALUE"""),13339.3098)</f>
        <v>13339.3098</v>
      </c>
    </row>
    <row r="2279">
      <c r="A2279" s="3">
        <f>IFERROR(__xludf.DUMMYFUNCTION("""COMPUTED_VALUE"""),42684.99861111111)</f>
        <v>42684.99861</v>
      </c>
      <c r="B2279" s="1">
        <f>IFERROR(__xludf.DUMMYFUNCTION("""COMPUTED_VALUE"""),13763.2852)</f>
        <v>13763.2852</v>
      </c>
    </row>
    <row r="2280">
      <c r="A2280" s="3">
        <f>IFERROR(__xludf.DUMMYFUNCTION("""COMPUTED_VALUE"""),42685.99861111111)</f>
        <v>42685.99861</v>
      </c>
      <c r="B2280" s="1">
        <f>IFERROR(__xludf.DUMMYFUNCTION("""COMPUTED_VALUE"""),13514.2886)</f>
        <v>13514.2886</v>
      </c>
    </row>
    <row r="2281">
      <c r="A2281" s="3">
        <f>IFERROR(__xludf.DUMMYFUNCTION("""COMPUTED_VALUE"""),42686.99861111111)</f>
        <v>42686.99861</v>
      </c>
      <c r="B2281" s="1">
        <f>IFERROR(__xludf.DUMMYFUNCTION("""COMPUTED_VALUE"""),13686.48292)</f>
        <v>13686.48292</v>
      </c>
    </row>
    <row r="2282">
      <c r="A2282" s="3">
        <f>IFERROR(__xludf.DUMMYFUNCTION("""COMPUTED_VALUE"""),42687.99861111111)</f>
        <v>42687.99861</v>
      </c>
      <c r="B2282" s="1">
        <f>IFERROR(__xludf.DUMMYFUNCTION("""COMPUTED_VALUE"""),13479.4226)</f>
        <v>13479.4226</v>
      </c>
    </row>
    <row r="2283">
      <c r="A2283" s="3">
        <f>IFERROR(__xludf.DUMMYFUNCTION("""COMPUTED_VALUE"""),42688.99861111111)</f>
        <v>42688.99861</v>
      </c>
      <c r="B2283" s="1">
        <f>IFERROR(__xludf.DUMMYFUNCTION("""COMPUTED_VALUE"""),13495.3393)</f>
        <v>13495.3393</v>
      </c>
    </row>
    <row r="2284">
      <c r="A2284" s="3">
        <f>IFERROR(__xludf.DUMMYFUNCTION("""COMPUTED_VALUE"""),42689.99861111111)</f>
        <v>42689.99861</v>
      </c>
      <c r="B2284" s="1">
        <f>IFERROR(__xludf.DUMMYFUNCTION("""COMPUTED_VALUE"""),13293.42989)</f>
        <v>13293.42989</v>
      </c>
    </row>
    <row r="2285">
      <c r="A2285" s="3">
        <f>IFERROR(__xludf.DUMMYFUNCTION("""COMPUTED_VALUE"""),42690.99861111111)</f>
        <v>42690.99861</v>
      </c>
      <c r="B2285" s="1">
        <f>IFERROR(__xludf.DUMMYFUNCTION("""COMPUTED_VALUE"""),13352.09208)</f>
        <v>13352.09208</v>
      </c>
    </row>
    <row r="2286">
      <c r="A2286" s="3">
        <f>IFERROR(__xludf.DUMMYFUNCTION("""COMPUTED_VALUE"""),42691.99861111111)</f>
        <v>42691.99861</v>
      </c>
      <c r="B2286" s="1">
        <f>IFERROR(__xludf.DUMMYFUNCTION("""COMPUTED_VALUE"""),13311.62449)</f>
        <v>13311.62449</v>
      </c>
    </row>
    <row r="2287">
      <c r="A2287" s="3">
        <f>IFERROR(__xludf.DUMMYFUNCTION("""COMPUTED_VALUE"""),42692.99861111111)</f>
        <v>42692.99861</v>
      </c>
      <c r="B2287" s="1">
        <f>IFERROR(__xludf.DUMMYFUNCTION("""COMPUTED_VALUE"""),13222.95576)</f>
        <v>13222.95576</v>
      </c>
    </row>
    <row r="2288">
      <c r="A2288" s="3">
        <f>IFERROR(__xludf.DUMMYFUNCTION("""COMPUTED_VALUE"""),42693.99861111111)</f>
        <v>42693.99861</v>
      </c>
      <c r="B2288" s="1">
        <f>IFERROR(__xludf.DUMMYFUNCTION("""COMPUTED_VALUE"""),13227.53619)</f>
        <v>13227.53619</v>
      </c>
    </row>
    <row r="2289">
      <c r="A2289" s="3">
        <f>IFERROR(__xludf.DUMMYFUNCTION("""COMPUTED_VALUE"""),42694.99861111111)</f>
        <v>42694.99861</v>
      </c>
      <c r="B2289" s="1">
        <f>IFERROR(__xludf.DUMMYFUNCTION("""COMPUTED_VALUE"""),13327.36125)</f>
        <v>13327.36125</v>
      </c>
    </row>
    <row r="2290">
      <c r="A2290" s="3">
        <f>IFERROR(__xludf.DUMMYFUNCTION("""COMPUTED_VALUE"""),42695.99861111111)</f>
        <v>42695.99861</v>
      </c>
      <c r="B2290" s="1">
        <f>IFERROR(__xludf.DUMMYFUNCTION("""COMPUTED_VALUE"""),13306.44756)</f>
        <v>13306.44756</v>
      </c>
    </row>
    <row r="2291">
      <c r="A2291" s="3">
        <f>IFERROR(__xludf.DUMMYFUNCTION("""COMPUTED_VALUE"""),42696.99861111111)</f>
        <v>42696.99861</v>
      </c>
      <c r="B2291" s="1">
        <f>IFERROR(__xludf.DUMMYFUNCTION("""COMPUTED_VALUE"""),13285.5912)</f>
        <v>13285.5912</v>
      </c>
    </row>
    <row r="2292">
      <c r="A2292" s="3">
        <f>IFERROR(__xludf.DUMMYFUNCTION("""COMPUTED_VALUE"""),42697.99861111111)</f>
        <v>42697.99861</v>
      </c>
      <c r="B2292" s="1">
        <f>IFERROR(__xludf.DUMMYFUNCTION("""COMPUTED_VALUE"""),13370.37427)</f>
        <v>13370.37427</v>
      </c>
    </row>
    <row r="2293">
      <c r="A2293" s="3">
        <f>IFERROR(__xludf.DUMMYFUNCTION("""COMPUTED_VALUE"""),42698.99861111111)</f>
        <v>42698.99861</v>
      </c>
      <c r="B2293" s="1">
        <f>IFERROR(__xludf.DUMMYFUNCTION("""COMPUTED_VALUE"""),13333.6151)</f>
        <v>13333.6151</v>
      </c>
    </row>
    <row r="2294">
      <c r="A2294" s="3">
        <f>IFERROR(__xludf.DUMMYFUNCTION("""COMPUTED_VALUE"""),42699.99861111111)</f>
        <v>42699.99861</v>
      </c>
      <c r="B2294" s="1">
        <f>IFERROR(__xludf.DUMMYFUNCTION("""COMPUTED_VALUE"""),13326.54659)</f>
        <v>13326.54659</v>
      </c>
    </row>
    <row r="2295">
      <c r="A2295" s="3">
        <f>IFERROR(__xludf.DUMMYFUNCTION("""COMPUTED_VALUE"""),42700.99861111111)</f>
        <v>42700.99861</v>
      </c>
      <c r="B2295" s="1">
        <f>IFERROR(__xludf.DUMMYFUNCTION("""COMPUTED_VALUE"""),13339.09731)</f>
        <v>13339.09731</v>
      </c>
    </row>
    <row r="2296">
      <c r="A2296" s="3">
        <f>IFERROR(__xludf.DUMMYFUNCTION("""COMPUTED_VALUE"""),42701.99861111111)</f>
        <v>42701.99861</v>
      </c>
      <c r="B2296" s="1">
        <f>IFERROR(__xludf.DUMMYFUNCTION("""COMPUTED_VALUE"""),13310.4216)</f>
        <v>13310.4216</v>
      </c>
    </row>
    <row r="2297">
      <c r="A2297" s="3">
        <f>IFERROR(__xludf.DUMMYFUNCTION("""COMPUTED_VALUE"""),42702.99861111111)</f>
        <v>42702.99861</v>
      </c>
      <c r="B2297" s="1">
        <f>IFERROR(__xludf.DUMMYFUNCTION("""COMPUTED_VALUE"""),13313.2083)</f>
        <v>13313.2083</v>
      </c>
    </row>
    <row r="2298">
      <c r="A2298" s="3">
        <f>IFERROR(__xludf.DUMMYFUNCTION("""COMPUTED_VALUE"""),42703.99861111111)</f>
        <v>42703.99861</v>
      </c>
      <c r="B2298" s="1">
        <f>IFERROR(__xludf.DUMMYFUNCTION("""COMPUTED_VALUE"""),13341.19118)</f>
        <v>13341.19118</v>
      </c>
    </row>
    <row r="2299">
      <c r="A2299" s="3">
        <f>IFERROR(__xludf.DUMMYFUNCTION("""COMPUTED_VALUE"""),42704.99861111111)</f>
        <v>42704.99861</v>
      </c>
      <c r="B2299" s="1">
        <f>IFERROR(__xludf.DUMMYFUNCTION("""COMPUTED_VALUE"""),13342.6332)</f>
        <v>13342.6332</v>
      </c>
    </row>
    <row r="2300">
      <c r="A2300" s="3">
        <f>IFERROR(__xludf.DUMMYFUNCTION("""COMPUTED_VALUE"""),42705.99861111111)</f>
        <v>42705.99861</v>
      </c>
      <c r="B2300" s="1">
        <f>IFERROR(__xludf.DUMMYFUNCTION("""COMPUTED_VALUE"""),13374.7092)</f>
        <v>13374.7092</v>
      </c>
    </row>
    <row r="2301">
      <c r="A2301" s="3">
        <f>IFERROR(__xludf.DUMMYFUNCTION("""COMPUTED_VALUE"""),42706.99861111111)</f>
        <v>42706.99861</v>
      </c>
      <c r="B2301" s="1">
        <f>IFERROR(__xludf.DUMMYFUNCTION("""COMPUTED_VALUE"""),13307.0944)</f>
        <v>13307.0944</v>
      </c>
    </row>
    <row r="2302">
      <c r="A2302" s="3">
        <f>IFERROR(__xludf.DUMMYFUNCTION("""COMPUTED_VALUE"""),42708.99861111111)</f>
        <v>42708.99861</v>
      </c>
      <c r="B2302" s="1">
        <f>IFERROR(__xludf.DUMMYFUNCTION("""COMPUTED_VALUE"""),13449.9948)</f>
        <v>13449.9948</v>
      </c>
    </row>
    <row r="2303">
      <c r="A2303" s="3">
        <f>IFERROR(__xludf.DUMMYFUNCTION("""COMPUTED_VALUE"""),42709.99861111111)</f>
        <v>42709.99861</v>
      </c>
      <c r="B2303" s="1">
        <f>IFERROR(__xludf.DUMMYFUNCTION("""COMPUTED_VALUE"""),13338.32028)</f>
        <v>13338.32028</v>
      </c>
    </row>
    <row r="2304">
      <c r="A2304" s="3">
        <f>IFERROR(__xludf.DUMMYFUNCTION("""COMPUTED_VALUE"""),42710.99861111111)</f>
        <v>42710.99861</v>
      </c>
      <c r="B2304" s="1">
        <f>IFERROR(__xludf.DUMMYFUNCTION("""COMPUTED_VALUE"""),13161.57744)</f>
        <v>13161.57744</v>
      </c>
    </row>
    <row r="2305">
      <c r="A2305" s="3">
        <f>IFERROR(__xludf.DUMMYFUNCTION("""COMPUTED_VALUE"""),42711.99861111111)</f>
        <v>42711.99861</v>
      </c>
      <c r="B2305" s="1">
        <f>IFERROR(__xludf.DUMMYFUNCTION("""COMPUTED_VALUE"""),13183.13161)</f>
        <v>13183.13161</v>
      </c>
    </row>
    <row r="2306">
      <c r="A2306" s="3">
        <f>IFERROR(__xludf.DUMMYFUNCTION("""COMPUTED_VALUE"""),42712.99861111111)</f>
        <v>42712.99861</v>
      </c>
      <c r="B2306" s="1">
        <f>IFERROR(__xludf.DUMMYFUNCTION("""COMPUTED_VALUE"""),13096.96274)</f>
        <v>13096.96274</v>
      </c>
    </row>
    <row r="2307">
      <c r="A2307" s="3">
        <f>IFERROR(__xludf.DUMMYFUNCTION("""COMPUTED_VALUE"""),42713.99861111111)</f>
        <v>42713.99861</v>
      </c>
      <c r="B2307" s="1">
        <f>IFERROR(__xludf.DUMMYFUNCTION("""COMPUTED_VALUE"""),13114.3984)</f>
        <v>13114.3984</v>
      </c>
    </row>
    <row r="2308">
      <c r="A2308" s="3">
        <f>IFERROR(__xludf.DUMMYFUNCTION("""COMPUTED_VALUE"""),42714.99861111111)</f>
        <v>42714.99861</v>
      </c>
      <c r="B2308" s="1">
        <f>IFERROR(__xludf.DUMMYFUNCTION("""COMPUTED_VALUE"""),13066.35039)</f>
        <v>13066.35039</v>
      </c>
    </row>
    <row r="2309">
      <c r="A2309" s="3">
        <f>IFERROR(__xludf.DUMMYFUNCTION("""COMPUTED_VALUE"""),42715.99861111111)</f>
        <v>42715.99861</v>
      </c>
      <c r="B2309" s="1">
        <f>IFERROR(__xludf.DUMMYFUNCTION("""COMPUTED_VALUE"""),13117.10828)</f>
        <v>13117.10828</v>
      </c>
    </row>
    <row r="2310">
      <c r="A2310" s="3">
        <f>IFERROR(__xludf.DUMMYFUNCTION("""COMPUTED_VALUE"""),42716.99861111111)</f>
        <v>42716.99861</v>
      </c>
      <c r="B2310" s="1">
        <f>IFERROR(__xludf.DUMMYFUNCTION("""COMPUTED_VALUE"""),13104.45654)</f>
        <v>13104.45654</v>
      </c>
    </row>
    <row r="2311">
      <c r="A2311" s="3">
        <f>IFERROR(__xludf.DUMMYFUNCTION("""COMPUTED_VALUE"""),42717.99861111111)</f>
        <v>42717.99861</v>
      </c>
      <c r="B2311" s="1">
        <f>IFERROR(__xludf.DUMMYFUNCTION("""COMPUTED_VALUE"""),13122.7648)</f>
        <v>13122.7648</v>
      </c>
    </row>
    <row r="2312">
      <c r="A2312" s="3">
        <f>IFERROR(__xludf.DUMMYFUNCTION("""COMPUTED_VALUE"""),42718.99861111111)</f>
        <v>42718.99861</v>
      </c>
      <c r="B2312" s="1">
        <f>IFERROR(__xludf.DUMMYFUNCTION("""COMPUTED_VALUE"""),13124.8167)</f>
        <v>13124.8167</v>
      </c>
    </row>
    <row r="2313">
      <c r="A2313" s="3">
        <f>IFERROR(__xludf.DUMMYFUNCTION("""COMPUTED_VALUE"""),42719.99861111111)</f>
        <v>42719.99861</v>
      </c>
      <c r="B2313" s="1">
        <f>IFERROR(__xludf.DUMMYFUNCTION("""COMPUTED_VALUE"""),13019.53291)</f>
        <v>13019.53291</v>
      </c>
    </row>
    <row r="2314">
      <c r="A2314" s="3">
        <f>IFERROR(__xludf.DUMMYFUNCTION("""COMPUTED_VALUE"""),42720.99861111111)</f>
        <v>42720.99861</v>
      </c>
      <c r="B2314" s="1">
        <f>IFERROR(__xludf.DUMMYFUNCTION("""COMPUTED_VALUE"""),13056.3433)</f>
        <v>13056.3433</v>
      </c>
    </row>
    <row r="2315">
      <c r="A2315" s="3">
        <f>IFERROR(__xludf.DUMMYFUNCTION("""COMPUTED_VALUE"""),42721.99861111111)</f>
        <v>42721.99861</v>
      </c>
      <c r="B2315" s="1">
        <f>IFERROR(__xludf.DUMMYFUNCTION("""COMPUTED_VALUE"""),13062.10917)</f>
        <v>13062.10917</v>
      </c>
    </row>
    <row r="2316">
      <c r="A2316" s="3">
        <f>IFERROR(__xludf.DUMMYFUNCTION("""COMPUTED_VALUE"""),42722.99861111111)</f>
        <v>42722.99861</v>
      </c>
      <c r="B2316" s="1">
        <f>IFERROR(__xludf.DUMMYFUNCTION("""COMPUTED_VALUE"""),13031.56242)</f>
        <v>13031.56242</v>
      </c>
    </row>
    <row r="2317">
      <c r="A2317" s="3">
        <f>IFERROR(__xludf.DUMMYFUNCTION("""COMPUTED_VALUE"""),42723.99861111111)</f>
        <v>42723.99861</v>
      </c>
      <c r="B2317" s="1">
        <f>IFERROR(__xludf.DUMMYFUNCTION("""COMPUTED_VALUE"""),13013.4221)</f>
        <v>13013.4221</v>
      </c>
    </row>
    <row r="2318">
      <c r="A2318" s="3">
        <f>IFERROR(__xludf.DUMMYFUNCTION("""COMPUTED_VALUE"""),42724.99861111111)</f>
        <v>42724.99861</v>
      </c>
      <c r="B2318" s="1">
        <f>IFERROR(__xludf.DUMMYFUNCTION("""COMPUTED_VALUE"""),13040.51465)</f>
        <v>13040.51465</v>
      </c>
    </row>
    <row r="2319">
      <c r="A2319" s="3">
        <f>IFERROR(__xludf.DUMMYFUNCTION("""COMPUTED_VALUE"""),42725.99861111111)</f>
        <v>42725.99861</v>
      </c>
      <c r="B2319" s="1">
        <f>IFERROR(__xludf.DUMMYFUNCTION("""COMPUTED_VALUE"""),13089.04844)</f>
        <v>13089.04844</v>
      </c>
    </row>
    <row r="2320">
      <c r="A2320" s="3">
        <f>IFERROR(__xludf.DUMMYFUNCTION("""COMPUTED_VALUE"""),42726.99861111111)</f>
        <v>42726.99861</v>
      </c>
      <c r="B2320" s="1">
        <f>IFERROR(__xludf.DUMMYFUNCTION("""COMPUTED_VALUE"""),13109.95071)</f>
        <v>13109.95071</v>
      </c>
    </row>
    <row r="2321">
      <c r="A2321" s="3">
        <f>IFERROR(__xludf.DUMMYFUNCTION("""COMPUTED_VALUE"""),42727.99861111111)</f>
        <v>42727.99861</v>
      </c>
      <c r="B2321" s="1">
        <f>IFERROR(__xludf.DUMMYFUNCTION("""COMPUTED_VALUE"""),13071.51797)</f>
        <v>13071.51797</v>
      </c>
    </row>
    <row r="2322">
      <c r="A2322" s="3">
        <f>IFERROR(__xludf.DUMMYFUNCTION("""COMPUTED_VALUE"""),42728.99861111111)</f>
        <v>42728.99861</v>
      </c>
      <c r="B2322" s="1">
        <f>IFERROR(__xludf.DUMMYFUNCTION("""COMPUTED_VALUE"""),13070.71199)</f>
        <v>13070.71199</v>
      </c>
    </row>
    <row r="2323">
      <c r="A2323" s="3">
        <f>IFERROR(__xludf.DUMMYFUNCTION("""COMPUTED_VALUE"""),42729.99861111111)</f>
        <v>42729.99861</v>
      </c>
      <c r="B2323" s="1">
        <f>IFERROR(__xludf.DUMMYFUNCTION("""COMPUTED_VALUE"""),13097.8848)</f>
        <v>13097.8848</v>
      </c>
    </row>
    <row r="2324">
      <c r="A2324" s="3">
        <f>IFERROR(__xludf.DUMMYFUNCTION("""COMPUTED_VALUE"""),42730.99861111111)</f>
        <v>42730.99861</v>
      </c>
      <c r="B2324" s="1">
        <f>IFERROR(__xludf.DUMMYFUNCTION("""COMPUTED_VALUE"""),13088.07214)</f>
        <v>13088.07214</v>
      </c>
    </row>
    <row r="2325">
      <c r="A2325" s="3">
        <f>IFERROR(__xludf.DUMMYFUNCTION("""COMPUTED_VALUE"""),42731.99861111111)</f>
        <v>42731.99861</v>
      </c>
      <c r="B2325" s="1">
        <f>IFERROR(__xludf.DUMMYFUNCTION("""COMPUTED_VALUE"""),13066.01413)</f>
        <v>13066.01413</v>
      </c>
    </row>
    <row r="2326">
      <c r="A2326" s="3">
        <f>IFERROR(__xludf.DUMMYFUNCTION("""COMPUTED_VALUE"""),42732.99861111111)</f>
        <v>42732.99861</v>
      </c>
      <c r="B2326" s="1">
        <f>IFERROR(__xludf.DUMMYFUNCTION("""COMPUTED_VALUE"""),13117.676)</f>
        <v>13117.676</v>
      </c>
    </row>
    <row r="2327">
      <c r="A2327" s="3">
        <f>IFERROR(__xludf.DUMMYFUNCTION("""COMPUTED_VALUE"""),42733.99861111111)</f>
        <v>42733.99861</v>
      </c>
      <c r="B2327" s="1">
        <f>IFERROR(__xludf.DUMMYFUNCTION("""COMPUTED_VALUE"""),13233.57684)</f>
        <v>13233.57684</v>
      </c>
    </row>
    <row r="2328">
      <c r="A2328" s="3">
        <f>IFERROR(__xludf.DUMMYFUNCTION("""COMPUTED_VALUE"""),42734.99861111111)</f>
        <v>42734.99861</v>
      </c>
      <c r="B2328" s="1">
        <f>IFERROR(__xludf.DUMMYFUNCTION("""COMPUTED_VALUE"""),13256.83224)</f>
        <v>13256.83224</v>
      </c>
    </row>
    <row r="2329">
      <c r="A2329" s="3">
        <f>IFERROR(__xludf.DUMMYFUNCTION("""COMPUTED_VALUE"""),42735.99861111111)</f>
        <v>42735.99861</v>
      </c>
      <c r="B2329" s="1">
        <f>IFERROR(__xludf.DUMMYFUNCTION("""COMPUTED_VALUE"""),13268.32254)</f>
        <v>13268.32254</v>
      </c>
    </row>
    <row r="2330">
      <c r="A2330" s="3">
        <f>IFERROR(__xludf.DUMMYFUNCTION("""COMPUTED_VALUE"""),42736.99861111111)</f>
        <v>42736.99861</v>
      </c>
      <c r="B2330" s="1">
        <f>IFERROR(__xludf.DUMMYFUNCTION("""COMPUTED_VALUE"""),13250.94816)</f>
        <v>13250.94816</v>
      </c>
    </row>
    <row r="2331">
      <c r="A2331" s="3">
        <f>IFERROR(__xludf.DUMMYFUNCTION("""COMPUTED_VALUE"""),42737.99861111111)</f>
        <v>42737.99861</v>
      </c>
      <c r="B2331" s="1">
        <f>IFERROR(__xludf.DUMMYFUNCTION("""COMPUTED_VALUE"""),13179.42492)</f>
        <v>13179.42492</v>
      </c>
    </row>
    <row r="2332">
      <c r="A2332" s="3">
        <f>IFERROR(__xludf.DUMMYFUNCTION("""COMPUTED_VALUE"""),42738.99861111111)</f>
        <v>42738.99861</v>
      </c>
      <c r="B2332" s="1">
        <f>IFERROR(__xludf.DUMMYFUNCTION("""COMPUTED_VALUE"""),13097.38047)</f>
        <v>13097.38047</v>
      </c>
    </row>
    <row r="2333">
      <c r="A2333" s="3">
        <f>IFERROR(__xludf.DUMMYFUNCTION("""COMPUTED_VALUE"""),42739.99861111111)</f>
        <v>42739.99861</v>
      </c>
      <c r="B2333" s="1">
        <f>IFERROR(__xludf.DUMMYFUNCTION("""COMPUTED_VALUE"""),13080.90652)</f>
        <v>13080.90652</v>
      </c>
    </row>
    <row r="2334">
      <c r="A2334" s="3">
        <f>IFERROR(__xludf.DUMMYFUNCTION("""COMPUTED_VALUE"""),42740.99861111111)</f>
        <v>42740.99861</v>
      </c>
      <c r="B2334" s="1">
        <f>IFERROR(__xludf.DUMMYFUNCTION("""COMPUTED_VALUE"""),13187.94104)</f>
        <v>13187.94104</v>
      </c>
    </row>
    <row r="2335">
      <c r="A2335" s="3">
        <f>IFERROR(__xludf.DUMMYFUNCTION("""COMPUTED_VALUE"""),42741.99861111111)</f>
        <v>42741.99861</v>
      </c>
      <c r="B2335" s="1">
        <f>IFERROR(__xludf.DUMMYFUNCTION("""COMPUTED_VALUE"""),13103.57846)</f>
        <v>13103.57846</v>
      </c>
    </row>
    <row r="2336">
      <c r="A2336" s="3">
        <f>IFERROR(__xludf.DUMMYFUNCTION("""COMPUTED_VALUE"""),42742.99861111111)</f>
        <v>42742.99861</v>
      </c>
      <c r="B2336" s="1">
        <f>IFERROR(__xludf.DUMMYFUNCTION("""COMPUTED_VALUE"""),13108.91526)</f>
        <v>13108.91526</v>
      </c>
    </row>
    <row r="2337">
      <c r="A2337" s="3">
        <f>IFERROR(__xludf.DUMMYFUNCTION("""COMPUTED_VALUE"""),42743.99861111111)</f>
        <v>42743.99861</v>
      </c>
      <c r="B2337" s="1">
        <f>IFERROR(__xludf.DUMMYFUNCTION("""COMPUTED_VALUE"""),13116.42293)</f>
        <v>13116.42293</v>
      </c>
    </row>
    <row r="2338">
      <c r="A2338" s="3">
        <f>IFERROR(__xludf.DUMMYFUNCTION("""COMPUTED_VALUE"""),42744.99861111111)</f>
        <v>42744.99861</v>
      </c>
      <c r="B2338" s="1">
        <f>IFERROR(__xludf.DUMMYFUNCTION("""COMPUTED_VALUE"""),13127.07144)</f>
        <v>13127.07144</v>
      </c>
    </row>
    <row r="2339">
      <c r="A2339" s="3">
        <f>IFERROR(__xludf.DUMMYFUNCTION("""COMPUTED_VALUE"""),42745.99861111111)</f>
        <v>42745.99861</v>
      </c>
      <c r="B2339" s="1">
        <f>IFERROR(__xludf.DUMMYFUNCTION("""COMPUTED_VALUE"""),13068.10993)</f>
        <v>13068.10993</v>
      </c>
    </row>
    <row r="2340">
      <c r="A2340" s="3">
        <f>IFERROR(__xludf.DUMMYFUNCTION("""COMPUTED_VALUE"""),42746.99861111111)</f>
        <v>42746.99861</v>
      </c>
      <c r="B2340" s="1">
        <f>IFERROR(__xludf.DUMMYFUNCTION("""COMPUTED_VALUE"""),13068.20495)</f>
        <v>13068.20495</v>
      </c>
    </row>
    <row r="2341">
      <c r="A2341" s="3">
        <f>IFERROR(__xludf.DUMMYFUNCTION("""COMPUTED_VALUE"""),42747.99861111111)</f>
        <v>42747.99861</v>
      </c>
      <c r="B2341" s="1">
        <f>IFERROR(__xludf.DUMMYFUNCTION("""COMPUTED_VALUE"""),13118.39326)</f>
        <v>13118.39326</v>
      </c>
    </row>
    <row r="2342">
      <c r="A2342" s="3">
        <f>IFERROR(__xludf.DUMMYFUNCTION("""COMPUTED_VALUE"""),42748.99861111111)</f>
        <v>42748.99861</v>
      </c>
      <c r="B2342" s="1">
        <f>IFERROR(__xludf.DUMMYFUNCTION("""COMPUTED_VALUE"""),13191.31918)</f>
        <v>13191.31918</v>
      </c>
    </row>
    <row r="2343">
      <c r="A2343" s="3">
        <f>IFERROR(__xludf.DUMMYFUNCTION("""COMPUTED_VALUE"""),42749.99861111111)</f>
        <v>42749.99861</v>
      </c>
      <c r="B2343" s="1">
        <f>IFERROR(__xludf.DUMMYFUNCTION("""COMPUTED_VALUE"""),13195.57934)</f>
        <v>13195.57934</v>
      </c>
    </row>
    <row r="2344">
      <c r="A2344" s="3">
        <f>IFERROR(__xludf.DUMMYFUNCTION("""COMPUTED_VALUE"""),42750.99861111111)</f>
        <v>42750.99861</v>
      </c>
      <c r="B2344" s="1">
        <f>IFERROR(__xludf.DUMMYFUNCTION("""COMPUTED_VALUE"""),13180.93504)</f>
        <v>13180.93504</v>
      </c>
    </row>
    <row r="2345">
      <c r="A2345" s="3">
        <f>IFERROR(__xludf.DUMMYFUNCTION("""COMPUTED_VALUE"""),42751.99861111111)</f>
        <v>42751.99861</v>
      </c>
      <c r="B2345" s="1">
        <f>IFERROR(__xludf.DUMMYFUNCTION("""COMPUTED_VALUE"""),13199.09073)</f>
        <v>13199.09073</v>
      </c>
    </row>
    <row r="2346">
      <c r="A2346" s="3">
        <f>IFERROR(__xludf.DUMMYFUNCTION("""COMPUTED_VALUE"""),42752.99861111111)</f>
        <v>42752.99861</v>
      </c>
      <c r="B2346" s="1">
        <f>IFERROR(__xludf.DUMMYFUNCTION("""COMPUTED_VALUE"""),13254.91536)</f>
        <v>13254.91536</v>
      </c>
    </row>
    <row r="2347">
      <c r="A2347" s="3">
        <f>IFERROR(__xludf.DUMMYFUNCTION("""COMPUTED_VALUE"""),42753.99861111111)</f>
        <v>42753.99861</v>
      </c>
      <c r="B2347" s="1">
        <f>IFERROR(__xludf.DUMMYFUNCTION("""COMPUTED_VALUE"""),13262.9063)</f>
        <v>13262.9063</v>
      </c>
    </row>
    <row r="2348">
      <c r="A2348" s="3">
        <f>IFERROR(__xludf.DUMMYFUNCTION("""COMPUTED_VALUE"""),42754.99861111111)</f>
        <v>42754.99861</v>
      </c>
      <c r="B2348" s="1">
        <f>IFERROR(__xludf.DUMMYFUNCTION("""COMPUTED_VALUE"""),13290.90922)</f>
        <v>13290.90922</v>
      </c>
    </row>
    <row r="2349">
      <c r="A2349" s="3">
        <f>IFERROR(__xludf.DUMMYFUNCTION("""COMPUTED_VALUE"""),42755.99861111111)</f>
        <v>42755.99861</v>
      </c>
      <c r="B2349" s="1">
        <f>IFERROR(__xludf.DUMMYFUNCTION("""COMPUTED_VALUE"""),13355.63353)</f>
        <v>13355.63353</v>
      </c>
    </row>
    <row r="2350">
      <c r="A2350" s="3">
        <f>IFERROR(__xludf.DUMMYFUNCTION("""COMPUTED_VALUE"""),42756.99861111111)</f>
        <v>42756.99861</v>
      </c>
      <c r="B2350" s="1">
        <f>IFERROR(__xludf.DUMMYFUNCTION("""COMPUTED_VALUE"""),13354.69602)</f>
        <v>13354.69602</v>
      </c>
    </row>
    <row r="2351">
      <c r="A2351" s="3">
        <f>IFERROR(__xludf.DUMMYFUNCTION("""COMPUTED_VALUE"""),42757.99861111111)</f>
        <v>42757.99861</v>
      </c>
      <c r="B2351" s="1">
        <f>IFERROR(__xludf.DUMMYFUNCTION("""COMPUTED_VALUE"""),13391.38746)</f>
        <v>13391.38746</v>
      </c>
    </row>
    <row r="2352">
      <c r="A2352" s="3">
        <f>IFERROR(__xludf.DUMMYFUNCTION("""COMPUTED_VALUE"""),42758.99861111111)</f>
        <v>42758.99861</v>
      </c>
      <c r="B2352" s="1">
        <f>IFERROR(__xludf.DUMMYFUNCTION("""COMPUTED_VALUE"""),13378.3625)</f>
        <v>13378.3625</v>
      </c>
    </row>
    <row r="2353">
      <c r="A2353" s="3">
        <f>IFERROR(__xludf.DUMMYFUNCTION("""COMPUTED_VALUE"""),42759.99861111111)</f>
        <v>42759.99861</v>
      </c>
      <c r="B2353" s="1">
        <f>IFERROR(__xludf.DUMMYFUNCTION("""COMPUTED_VALUE"""),13325.05566)</f>
        <v>13325.05566</v>
      </c>
    </row>
    <row r="2354">
      <c r="A2354" s="3">
        <f>IFERROR(__xludf.DUMMYFUNCTION("""COMPUTED_VALUE"""),42760.99861111111)</f>
        <v>42760.99861</v>
      </c>
      <c r="B2354" s="1">
        <f>IFERROR(__xludf.DUMMYFUNCTION("""COMPUTED_VALUE"""),13326.12016)</f>
        <v>13326.12016</v>
      </c>
    </row>
    <row r="2355">
      <c r="A2355" s="3">
        <f>IFERROR(__xludf.DUMMYFUNCTION("""COMPUTED_VALUE"""),42761.99861111111)</f>
        <v>42761.99861</v>
      </c>
      <c r="B2355" s="1">
        <f>IFERROR(__xludf.DUMMYFUNCTION("""COMPUTED_VALUE"""),13385.6613)</f>
        <v>13385.6613</v>
      </c>
    </row>
    <row r="2356">
      <c r="A2356" s="3">
        <f>IFERROR(__xludf.DUMMYFUNCTION("""COMPUTED_VALUE"""),42762.99861111111)</f>
        <v>42762.99861</v>
      </c>
      <c r="B2356" s="1">
        <f>IFERROR(__xludf.DUMMYFUNCTION("""COMPUTED_VALUE"""),13363.6785)</f>
        <v>13363.6785</v>
      </c>
    </row>
    <row r="2357">
      <c r="A2357" s="3">
        <f>IFERROR(__xludf.DUMMYFUNCTION("""COMPUTED_VALUE"""),42763.99861111111)</f>
        <v>42763.99861</v>
      </c>
      <c r="B2357" s="1">
        <f>IFERROR(__xludf.DUMMYFUNCTION("""COMPUTED_VALUE"""),13381.01208)</f>
        <v>13381.01208</v>
      </c>
    </row>
    <row r="2358">
      <c r="A2358" s="3">
        <f>IFERROR(__xludf.DUMMYFUNCTION("""COMPUTED_VALUE"""),42764.99861111111)</f>
        <v>42764.99861</v>
      </c>
      <c r="B2358" s="1">
        <f>IFERROR(__xludf.DUMMYFUNCTION("""COMPUTED_VALUE"""),13357.9824)</f>
        <v>13357.9824</v>
      </c>
    </row>
    <row r="2359">
      <c r="A2359" s="3">
        <f>IFERROR(__xludf.DUMMYFUNCTION("""COMPUTED_VALUE"""),42765.99861111111)</f>
        <v>42765.99861</v>
      </c>
      <c r="B2359" s="1">
        <f>IFERROR(__xludf.DUMMYFUNCTION("""COMPUTED_VALUE"""),13411.359)</f>
        <v>13411.359</v>
      </c>
    </row>
    <row r="2360">
      <c r="A2360" s="3">
        <f>IFERROR(__xludf.DUMMYFUNCTION("""COMPUTED_VALUE"""),42766.99861111111)</f>
        <v>42766.99861</v>
      </c>
      <c r="B2360" s="1">
        <f>IFERROR(__xludf.DUMMYFUNCTION("""COMPUTED_VALUE"""),13489.126)</f>
        <v>13489.126</v>
      </c>
    </row>
    <row r="2361">
      <c r="A2361" s="3">
        <f>IFERROR(__xludf.DUMMYFUNCTION("""COMPUTED_VALUE"""),42767.99861111111)</f>
        <v>42767.99861</v>
      </c>
      <c r="B2361" s="1">
        <f>IFERROR(__xludf.DUMMYFUNCTION("""COMPUTED_VALUE"""),13449.2448)</f>
        <v>13449.2448</v>
      </c>
    </row>
    <row r="2362">
      <c r="A2362" s="3">
        <f>IFERROR(__xludf.DUMMYFUNCTION("""COMPUTED_VALUE"""),42768.99861111111)</f>
        <v>42768.99861</v>
      </c>
      <c r="B2362" s="1">
        <f>IFERROR(__xludf.DUMMYFUNCTION("""COMPUTED_VALUE"""),13446.095)</f>
        <v>13446.095</v>
      </c>
    </row>
    <row r="2363">
      <c r="A2363" s="3">
        <f>IFERROR(__xludf.DUMMYFUNCTION("""COMPUTED_VALUE"""),42769.99861111111)</f>
        <v>42769.99861</v>
      </c>
      <c r="B2363" s="1">
        <f>IFERROR(__xludf.DUMMYFUNCTION("""COMPUTED_VALUE"""),13417.885)</f>
        <v>13417.885</v>
      </c>
    </row>
    <row r="2364">
      <c r="A2364" s="3">
        <f>IFERROR(__xludf.DUMMYFUNCTION("""COMPUTED_VALUE"""),42770.99861111111)</f>
        <v>42770.99861</v>
      </c>
      <c r="B2364" s="1">
        <f>IFERROR(__xludf.DUMMYFUNCTION("""COMPUTED_VALUE"""),13438.6633)</f>
        <v>13438.6633</v>
      </c>
    </row>
    <row r="2365">
      <c r="A2365" s="3">
        <f>IFERROR(__xludf.DUMMYFUNCTION("""COMPUTED_VALUE"""),42771.99861111111)</f>
        <v>42771.99861</v>
      </c>
      <c r="B2365" s="1">
        <f>IFERROR(__xludf.DUMMYFUNCTION("""COMPUTED_VALUE"""),13438.035)</f>
        <v>13438.035</v>
      </c>
    </row>
    <row r="2366">
      <c r="A2366" s="3">
        <f>IFERROR(__xludf.DUMMYFUNCTION("""COMPUTED_VALUE"""),42772.99861111111)</f>
        <v>42772.99861</v>
      </c>
      <c r="B2366" s="1">
        <f>IFERROR(__xludf.DUMMYFUNCTION("""COMPUTED_VALUE"""),13440.6036)</f>
        <v>13440.6036</v>
      </c>
    </row>
    <row r="2367">
      <c r="A2367" s="3">
        <f>IFERROR(__xludf.DUMMYFUNCTION("""COMPUTED_VALUE"""),42773.99861111111)</f>
        <v>42773.99861</v>
      </c>
      <c r="B2367" s="1">
        <f>IFERROR(__xludf.DUMMYFUNCTION("""COMPUTED_VALUE"""),13337.951)</f>
        <v>13337.951</v>
      </c>
    </row>
    <row r="2368">
      <c r="A2368" s="3">
        <f>IFERROR(__xludf.DUMMYFUNCTION("""COMPUTED_VALUE"""),42774.99861111111)</f>
        <v>42774.99861</v>
      </c>
      <c r="B2368" s="1">
        <f>IFERROR(__xludf.DUMMYFUNCTION("""COMPUTED_VALUE"""),13361.859)</f>
        <v>13361.859</v>
      </c>
    </row>
    <row r="2369">
      <c r="A2369" s="3">
        <f>IFERROR(__xludf.DUMMYFUNCTION("""COMPUTED_VALUE"""),42775.99861111111)</f>
        <v>42775.99861</v>
      </c>
      <c r="B2369" s="1">
        <f>IFERROR(__xludf.DUMMYFUNCTION("""COMPUTED_VALUE"""),13266.20768)</f>
        <v>13266.20768</v>
      </c>
    </row>
    <row r="2370">
      <c r="A2370" s="3">
        <f>IFERROR(__xludf.DUMMYFUNCTION("""COMPUTED_VALUE"""),42776.99861111111)</f>
        <v>42776.99861</v>
      </c>
      <c r="B2370" s="1">
        <f>IFERROR(__xludf.DUMMYFUNCTION("""COMPUTED_VALUE"""),13279.31811)</f>
        <v>13279.31811</v>
      </c>
    </row>
    <row r="2371">
      <c r="A2371" s="3">
        <f>IFERROR(__xludf.DUMMYFUNCTION("""COMPUTED_VALUE"""),42777.99861111111)</f>
        <v>42777.99861</v>
      </c>
      <c r="B2371" s="1">
        <f>IFERROR(__xludf.DUMMYFUNCTION("""COMPUTED_VALUE"""),13297.59667)</f>
        <v>13297.59667</v>
      </c>
    </row>
    <row r="2372">
      <c r="A2372" s="3">
        <f>IFERROR(__xludf.DUMMYFUNCTION("""COMPUTED_VALUE"""),42778.99861111111)</f>
        <v>42778.99861</v>
      </c>
      <c r="B2372" s="1">
        <f>IFERROR(__xludf.DUMMYFUNCTION("""COMPUTED_VALUE"""),13271.65875)</f>
        <v>13271.65875</v>
      </c>
    </row>
    <row r="2373">
      <c r="A2373" s="3">
        <f>IFERROR(__xludf.DUMMYFUNCTION("""COMPUTED_VALUE"""),42779.99861111111)</f>
        <v>42779.99861</v>
      </c>
      <c r="B2373" s="1">
        <f>IFERROR(__xludf.DUMMYFUNCTION("""COMPUTED_VALUE"""),13247.0589)</f>
        <v>13247.0589</v>
      </c>
    </row>
    <row r="2374">
      <c r="A2374" s="3">
        <f>IFERROR(__xludf.DUMMYFUNCTION("""COMPUTED_VALUE"""),42780.99861111111)</f>
        <v>42780.99861</v>
      </c>
      <c r="B2374" s="1">
        <f>IFERROR(__xludf.DUMMYFUNCTION("""COMPUTED_VALUE"""),13236.14523)</f>
        <v>13236.14523</v>
      </c>
    </row>
    <row r="2375">
      <c r="A2375" s="3">
        <f>IFERROR(__xludf.DUMMYFUNCTION("""COMPUTED_VALUE"""),42781.99861111111)</f>
        <v>42781.99861</v>
      </c>
      <c r="B2375" s="1">
        <f>IFERROR(__xludf.DUMMYFUNCTION("""COMPUTED_VALUE"""),13251.4174)</f>
        <v>13251.4174</v>
      </c>
    </row>
    <row r="2376">
      <c r="A2376" s="3">
        <f>IFERROR(__xludf.DUMMYFUNCTION("""COMPUTED_VALUE"""),42782.99861111111)</f>
        <v>42782.99861</v>
      </c>
      <c r="B2376" s="1">
        <f>IFERROR(__xludf.DUMMYFUNCTION("""COMPUTED_VALUE"""),13356.9667)</f>
        <v>13356.9667</v>
      </c>
    </row>
    <row r="2377">
      <c r="A2377" s="3">
        <f>IFERROR(__xludf.DUMMYFUNCTION("""COMPUTED_VALUE"""),42783.99861111111)</f>
        <v>42783.99861</v>
      </c>
      <c r="B2377" s="1">
        <f>IFERROR(__xludf.DUMMYFUNCTION("""COMPUTED_VALUE"""),13305.58866)</f>
        <v>13305.58866</v>
      </c>
    </row>
    <row r="2378">
      <c r="A2378" s="3">
        <f>IFERROR(__xludf.DUMMYFUNCTION("""COMPUTED_VALUE"""),42784.99861111111)</f>
        <v>42784.99861</v>
      </c>
      <c r="B2378" s="1">
        <f>IFERROR(__xludf.DUMMYFUNCTION("""COMPUTED_VALUE"""),13320.4224)</f>
        <v>13320.4224</v>
      </c>
    </row>
    <row r="2379">
      <c r="A2379" s="3">
        <f>IFERROR(__xludf.DUMMYFUNCTION("""COMPUTED_VALUE"""),42785.99861111111)</f>
        <v>42785.99861</v>
      </c>
      <c r="B2379" s="1">
        <f>IFERROR(__xludf.DUMMYFUNCTION("""COMPUTED_VALUE"""),13321.2975)</f>
        <v>13321.2975</v>
      </c>
    </row>
    <row r="2380">
      <c r="A2380" s="3">
        <f>IFERROR(__xludf.DUMMYFUNCTION("""COMPUTED_VALUE"""),42786.99861111111)</f>
        <v>42786.99861</v>
      </c>
      <c r="B2380" s="1">
        <f>IFERROR(__xludf.DUMMYFUNCTION("""COMPUTED_VALUE"""),13302.68796)</f>
        <v>13302.68796</v>
      </c>
    </row>
    <row r="2381">
      <c r="A2381" s="3">
        <f>IFERROR(__xludf.DUMMYFUNCTION("""COMPUTED_VALUE"""),42787.99861111111)</f>
        <v>42787.99861</v>
      </c>
      <c r="B2381" s="1">
        <f>IFERROR(__xludf.DUMMYFUNCTION("""COMPUTED_VALUE"""),13234.83924)</f>
        <v>13234.83924</v>
      </c>
    </row>
    <row r="2382">
      <c r="A2382" s="3">
        <f>IFERROR(__xludf.DUMMYFUNCTION("""COMPUTED_VALUE"""),42788.99861111111)</f>
        <v>42788.99861</v>
      </c>
      <c r="B2382" s="1">
        <f>IFERROR(__xludf.DUMMYFUNCTION("""COMPUTED_VALUE"""),13191.41538)</f>
        <v>13191.41538</v>
      </c>
    </row>
    <row r="2383">
      <c r="A2383" s="3">
        <f>IFERROR(__xludf.DUMMYFUNCTION("""COMPUTED_VALUE"""),42789.99861111111)</f>
        <v>42789.99861</v>
      </c>
      <c r="B2383" s="1">
        <f>IFERROR(__xludf.DUMMYFUNCTION("""COMPUTED_VALUE"""),13242.6515)</f>
        <v>13242.6515</v>
      </c>
    </row>
    <row r="2384">
      <c r="A2384" s="3">
        <f>IFERROR(__xludf.DUMMYFUNCTION("""COMPUTED_VALUE"""),42790.99861111111)</f>
        <v>42790.99861</v>
      </c>
      <c r="B2384" s="1">
        <f>IFERROR(__xludf.DUMMYFUNCTION("""COMPUTED_VALUE"""),13219.34706)</f>
        <v>13219.34706</v>
      </c>
    </row>
    <row r="2385">
      <c r="A2385" s="3">
        <f>IFERROR(__xludf.DUMMYFUNCTION("""COMPUTED_VALUE"""),42791.99861111111)</f>
        <v>42791.99861</v>
      </c>
      <c r="B2385" s="1">
        <f>IFERROR(__xludf.DUMMYFUNCTION("""COMPUTED_VALUE"""),13218.94737)</f>
        <v>13218.94737</v>
      </c>
    </row>
    <row r="2386">
      <c r="A2386" s="3">
        <f>IFERROR(__xludf.DUMMYFUNCTION("""COMPUTED_VALUE"""),42792.99861111111)</f>
        <v>42792.99861</v>
      </c>
      <c r="B2386" s="1">
        <f>IFERROR(__xludf.DUMMYFUNCTION("""COMPUTED_VALUE"""),13205.28316)</f>
        <v>13205.28316</v>
      </c>
    </row>
    <row r="2387">
      <c r="A2387" s="3">
        <f>IFERROR(__xludf.DUMMYFUNCTION("""COMPUTED_VALUE"""),42793.99861111111)</f>
        <v>42793.99861</v>
      </c>
      <c r="B2387" s="1">
        <f>IFERROR(__xludf.DUMMYFUNCTION("""COMPUTED_VALUE"""),13213.34662)</f>
        <v>13213.34662</v>
      </c>
    </row>
    <row r="2388">
      <c r="A2388" s="3">
        <f>IFERROR(__xludf.DUMMYFUNCTION("""COMPUTED_VALUE"""),42794.99861111111)</f>
        <v>42794.99861</v>
      </c>
      <c r="B2388" s="1">
        <f>IFERROR(__xludf.DUMMYFUNCTION("""COMPUTED_VALUE"""),13298.73601)</f>
        <v>13298.73601</v>
      </c>
    </row>
    <row r="2389">
      <c r="A2389" s="3">
        <f>IFERROR(__xludf.DUMMYFUNCTION("""COMPUTED_VALUE"""),42795.99861111111)</f>
        <v>42795.99861</v>
      </c>
      <c r="B2389" s="1">
        <f>IFERROR(__xludf.DUMMYFUNCTION("""COMPUTED_VALUE"""),13254.33024)</f>
        <v>13254.33024</v>
      </c>
    </row>
    <row r="2390">
      <c r="A2390" s="3">
        <f>IFERROR(__xludf.DUMMYFUNCTION("""COMPUTED_VALUE"""),42796.99861111111)</f>
        <v>42796.99861</v>
      </c>
      <c r="B2390" s="1">
        <f>IFERROR(__xludf.DUMMYFUNCTION("""COMPUTED_VALUE"""),13195.27283)</f>
        <v>13195.27283</v>
      </c>
    </row>
    <row r="2391">
      <c r="A2391" s="3">
        <f>IFERROR(__xludf.DUMMYFUNCTION("""COMPUTED_VALUE"""),42797.99861111111)</f>
        <v>42797.99861</v>
      </c>
      <c r="B2391" s="1">
        <f>IFERROR(__xludf.DUMMYFUNCTION("""COMPUTED_VALUE"""),13214.7984)</f>
        <v>13214.7984</v>
      </c>
    </row>
    <row r="2392">
      <c r="A2392" s="3">
        <f>IFERROR(__xludf.DUMMYFUNCTION("""COMPUTED_VALUE"""),42798.99861111111)</f>
        <v>42798.99861</v>
      </c>
      <c r="B2392" s="1">
        <f>IFERROR(__xludf.DUMMYFUNCTION("""COMPUTED_VALUE"""),13223.86336)</f>
        <v>13223.86336</v>
      </c>
    </row>
    <row r="2393">
      <c r="A2393" s="3">
        <f>IFERROR(__xludf.DUMMYFUNCTION("""COMPUTED_VALUE"""),42799.99861111111)</f>
        <v>42799.99861</v>
      </c>
      <c r="B2393" s="1">
        <f>IFERROR(__xludf.DUMMYFUNCTION("""COMPUTED_VALUE"""),13172.04156)</f>
        <v>13172.04156</v>
      </c>
    </row>
    <row r="2394">
      <c r="A2394" s="3">
        <f>IFERROR(__xludf.DUMMYFUNCTION("""COMPUTED_VALUE"""),42800.99861111111)</f>
        <v>42800.99861</v>
      </c>
      <c r="B2394" s="1">
        <f>IFERROR(__xludf.DUMMYFUNCTION("""COMPUTED_VALUE"""),13181.36232)</f>
        <v>13181.36232</v>
      </c>
    </row>
    <row r="2395">
      <c r="A2395" s="3">
        <f>IFERROR(__xludf.DUMMYFUNCTION("""COMPUTED_VALUE"""),42801.99861111111)</f>
        <v>42801.99861</v>
      </c>
      <c r="B2395" s="1">
        <f>IFERROR(__xludf.DUMMYFUNCTION("""COMPUTED_VALUE"""),13161.2984)</f>
        <v>13161.2984</v>
      </c>
    </row>
    <row r="2396">
      <c r="A2396" s="3">
        <f>IFERROR(__xludf.DUMMYFUNCTION("""COMPUTED_VALUE"""),42802.99861111111)</f>
        <v>42802.99861</v>
      </c>
      <c r="B2396" s="1">
        <f>IFERROR(__xludf.DUMMYFUNCTION("""COMPUTED_VALUE"""),13177.63968)</f>
        <v>13177.63968</v>
      </c>
    </row>
    <row r="2397">
      <c r="A2397" s="3">
        <f>IFERROR(__xludf.DUMMYFUNCTION("""COMPUTED_VALUE"""),42803.99861111111)</f>
        <v>42803.99861</v>
      </c>
      <c r="B2397" s="1">
        <f>IFERROR(__xludf.DUMMYFUNCTION("""COMPUTED_VALUE"""),13238.94728)</f>
        <v>13238.94728</v>
      </c>
    </row>
    <row r="2398">
      <c r="A2398" s="3">
        <f>IFERROR(__xludf.DUMMYFUNCTION("""COMPUTED_VALUE"""),42804.99861111111)</f>
        <v>42804.99861</v>
      </c>
      <c r="B2398" s="1">
        <f>IFERROR(__xludf.DUMMYFUNCTION("""COMPUTED_VALUE"""),13200.8261)</f>
        <v>13200.8261</v>
      </c>
    </row>
    <row r="2399">
      <c r="A2399" s="3">
        <f>IFERROR(__xludf.DUMMYFUNCTION("""COMPUTED_VALUE"""),42806.99861111111)</f>
        <v>42806.99861</v>
      </c>
      <c r="B2399" s="1">
        <f>IFERROR(__xludf.DUMMYFUNCTION("""COMPUTED_VALUE"""),13215.07574)</f>
        <v>13215.07574</v>
      </c>
    </row>
    <row r="2400">
      <c r="A2400" s="3">
        <f>IFERROR(__xludf.DUMMYFUNCTION("""COMPUTED_VALUE"""),42807.99861111111)</f>
        <v>42807.99861</v>
      </c>
      <c r="B2400" s="1">
        <f>IFERROR(__xludf.DUMMYFUNCTION("""COMPUTED_VALUE"""),13268.76816)</f>
        <v>13268.76816</v>
      </c>
    </row>
    <row r="2401">
      <c r="A2401" s="3">
        <f>IFERROR(__xludf.DUMMYFUNCTION("""COMPUTED_VALUE"""),42808.99861111111)</f>
        <v>42808.99861</v>
      </c>
      <c r="B2401" s="1">
        <f>IFERROR(__xludf.DUMMYFUNCTION("""COMPUTED_VALUE"""),13263.0628)</f>
        <v>13263.0628</v>
      </c>
    </row>
    <row r="2402">
      <c r="A2402" s="3">
        <f>IFERROR(__xludf.DUMMYFUNCTION("""COMPUTED_VALUE"""),42809.99861111111)</f>
        <v>42809.99861</v>
      </c>
      <c r="B2402" s="1">
        <f>IFERROR(__xludf.DUMMYFUNCTION("""COMPUTED_VALUE"""),13215.81047)</f>
        <v>13215.81047</v>
      </c>
    </row>
    <row r="2403">
      <c r="A2403" s="3">
        <f>IFERROR(__xludf.DUMMYFUNCTION("""COMPUTED_VALUE"""),42810.99861111111)</f>
        <v>42810.99861</v>
      </c>
      <c r="B2403" s="1">
        <f>IFERROR(__xludf.DUMMYFUNCTION("""COMPUTED_VALUE"""),13333.4754)</f>
        <v>13333.4754</v>
      </c>
    </row>
    <row r="2404">
      <c r="A2404" s="3">
        <f>IFERROR(__xludf.DUMMYFUNCTION("""COMPUTED_VALUE"""),42811.99861111111)</f>
        <v>42811.99861</v>
      </c>
      <c r="B2404" s="1">
        <f>IFERROR(__xludf.DUMMYFUNCTION("""COMPUTED_VALUE"""),13356.008)</f>
        <v>13356.008</v>
      </c>
    </row>
    <row r="2405">
      <c r="A2405" s="3">
        <f>IFERROR(__xludf.DUMMYFUNCTION("""COMPUTED_VALUE"""),42812.99861111111)</f>
        <v>42812.99861</v>
      </c>
      <c r="B2405" s="1">
        <f>IFERROR(__xludf.DUMMYFUNCTION("""COMPUTED_VALUE"""),13354.674)</f>
        <v>13354.674</v>
      </c>
    </row>
    <row r="2406">
      <c r="A2406" s="3">
        <f>IFERROR(__xludf.DUMMYFUNCTION("""COMPUTED_VALUE"""),42813.99861111111)</f>
        <v>42813.99861</v>
      </c>
      <c r="B2406" s="1">
        <f>IFERROR(__xludf.DUMMYFUNCTION("""COMPUTED_VALUE"""),13359.326)</f>
        <v>13359.326</v>
      </c>
    </row>
    <row r="2407">
      <c r="A2407" s="3">
        <f>IFERROR(__xludf.DUMMYFUNCTION("""COMPUTED_VALUE"""),42814.99861111111)</f>
        <v>42814.99861</v>
      </c>
      <c r="B2407" s="1">
        <f>IFERROR(__xludf.DUMMYFUNCTION("""COMPUTED_VALUE"""),13343.9988)</f>
        <v>13343.9988</v>
      </c>
    </row>
    <row r="2408">
      <c r="A2408" s="3">
        <f>IFERROR(__xludf.DUMMYFUNCTION("""COMPUTED_VALUE"""),42815.99861111111)</f>
        <v>42815.99861</v>
      </c>
      <c r="B2408" s="1">
        <f>IFERROR(__xludf.DUMMYFUNCTION("""COMPUTED_VALUE"""),13394.502)</f>
        <v>13394.502</v>
      </c>
    </row>
    <row r="2409">
      <c r="A2409" s="3">
        <f>IFERROR(__xludf.DUMMYFUNCTION("""COMPUTED_VALUE"""),42816.99861111111)</f>
        <v>42816.99861</v>
      </c>
      <c r="B2409" s="1">
        <f>IFERROR(__xludf.DUMMYFUNCTION("""COMPUTED_VALUE"""),13428.2852)</f>
        <v>13428.2852</v>
      </c>
    </row>
    <row r="2410">
      <c r="A2410" s="3">
        <f>IFERROR(__xludf.DUMMYFUNCTION("""COMPUTED_VALUE"""),42817.99861111111)</f>
        <v>42817.99861</v>
      </c>
      <c r="B2410" s="1">
        <f>IFERROR(__xludf.DUMMYFUNCTION("""COMPUTED_VALUE"""),13405.8988)</f>
        <v>13405.8988</v>
      </c>
    </row>
    <row r="2411">
      <c r="A2411" s="3">
        <f>IFERROR(__xludf.DUMMYFUNCTION("""COMPUTED_VALUE"""),42818.99861111111)</f>
        <v>42818.99861</v>
      </c>
      <c r="B2411" s="1">
        <f>IFERROR(__xludf.DUMMYFUNCTION("""COMPUTED_VALUE"""),13405.9905)</f>
        <v>13405.9905</v>
      </c>
    </row>
    <row r="2412">
      <c r="A2412" s="3">
        <f>IFERROR(__xludf.DUMMYFUNCTION("""COMPUTED_VALUE"""),42819.99861111111)</f>
        <v>42819.99861</v>
      </c>
      <c r="B2412" s="1">
        <f>IFERROR(__xludf.DUMMYFUNCTION("""COMPUTED_VALUE"""),13413.9663)</f>
        <v>13413.9663</v>
      </c>
    </row>
    <row r="2413">
      <c r="A2413" s="3">
        <f>IFERROR(__xludf.DUMMYFUNCTION("""COMPUTED_VALUE"""),42820.99861111111)</f>
        <v>42820.99861</v>
      </c>
      <c r="B2413" s="1">
        <f>IFERROR(__xludf.DUMMYFUNCTION("""COMPUTED_VALUE"""),13478.508)</f>
        <v>13478.508</v>
      </c>
    </row>
    <row r="2414">
      <c r="A2414" s="3">
        <f>IFERROR(__xludf.DUMMYFUNCTION("""COMPUTED_VALUE"""),42821.99861111111)</f>
        <v>42821.99861</v>
      </c>
      <c r="B2414" s="1">
        <f>IFERROR(__xludf.DUMMYFUNCTION("""COMPUTED_VALUE"""),13498.3044)</f>
        <v>13498.3044</v>
      </c>
    </row>
    <row r="2415">
      <c r="A2415" s="3">
        <f>IFERROR(__xludf.DUMMYFUNCTION("""COMPUTED_VALUE"""),42822.99861111111)</f>
        <v>42822.99861</v>
      </c>
      <c r="B2415" s="1">
        <f>IFERROR(__xludf.DUMMYFUNCTION("""COMPUTED_VALUE"""),13413.47565)</f>
        <v>13413.47565</v>
      </c>
    </row>
    <row r="2416">
      <c r="A2416" s="3">
        <f>IFERROR(__xludf.DUMMYFUNCTION("""COMPUTED_VALUE"""),42823.99861111111)</f>
        <v>42823.99861</v>
      </c>
      <c r="B2416" s="1">
        <f>IFERROR(__xludf.DUMMYFUNCTION("""COMPUTED_VALUE"""),13345.5696)</f>
        <v>13345.5696</v>
      </c>
    </row>
    <row r="2417">
      <c r="A2417" s="3">
        <f>IFERROR(__xludf.DUMMYFUNCTION("""COMPUTED_VALUE"""),42824.99861111111)</f>
        <v>42824.99861</v>
      </c>
      <c r="B2417" s="1">
        <f>IFERROR(__xludf.DUMMYFUNCTION("""COMPUTED_VALUE"""),13291.95153)</f>
        <v>13291.95153</v>
      </c>
    </row>
    <row r="2418">
      <c r="A2418" s="3">
        <f>IFERROR(__xludf.DUMMYFUNCTION("""COMPUTED_VALUE"""),42825.99861111111)</f>
        <v>42825.99861</v>
      </c>
      <c r="B2418" s="1">
        <f>IFERROR(__xludf.DUMMYFUNCTION("""COMPUTED_VALUE"""),13280.77058)</f>
        <v>13280.77058</v>
      </c>
    </row>
    <row r="2419">
      <c r="A2419" s="3">
        <f>IFERROR(__xludf.DUMMYFUNCTION("""COMPUTED_VALUE"""),42827.99861111111)</f>
        <v>42827.99861</v>
      </c>
      <c r="B2419" s="1">
        <f>IFERROR(__xludf.DUMMYFUNCTION("""COMPUTED_VALUE"""),13301.52915)</f>
        <v>13301.52915</v>
      </c>
    </row>
    <row r="2420">
      <c r="A2420" s="3">
        <f>IFERROR(__xludf.DUMMYFUNCTION("""COMPUTED_VALUE"""),42828.99861111111)</f>
        <v>42828.99861</v>
      </c>
      <c r="B2420" s="1">
        <f>IFERROR(__xludf.DUMMYFUNCTION("""COMPUTED_VALUE"""),13292.29752)</f>
        <v>13292.29752</v>
      </c>
    </row>
    <row r="2421">
      <c r="A2421" s="3">
        <f>IFERROR(__xludf.DUMMYFUNCTION("""COMPUTED_VALUE"""),42829.99861111111)</f>
        <v>42829.99861</v>
      </c>
      <c r="B2421" s="1">
        <f>IFERROR(__xludf.DUMMYFUNCTION("""COMPUTED_VALUE"""),13308.93564)</f>
        <v>13308.93564</v>
      </c>
    </row>
    <row r="2422">
      <c r="A2422" s="3">
        <f>IFERROR(__xludf.DUMMYFUNCTION("""COMPUTED_VALUE"""),42830.99861111111)</f>
        <v>42830.99861</v>
      </c>
      <c r="B2422" s="1">
        <f>IFERROR(__xludf.DUMMYFUNCTION("""COMPUTED_VALUE"""),13271.0403)</f>
        <v>13271.0403</v>
      </c>
    </row>
    <row r="2423">
      <c r="A2423" s="3">
        <f>IFERROR(__xludf.DUMMYFUNCTION("""COMPUTED_VALUE"""),42831.99861111111)</f>
        <v>42831.99861</v>
      </c>
      <c r="B2423" s="1">
        <f>IFERROR(__xludf.DUMMYFUNCTION("""COMPUTED_VALUE"""),13280.8938)</f>
        <v>13280.8938</v>
      </c>
    </row>
    <row r="2424">
      <c r="A2424" s="3">
        <f>IFERROR(__xludf.DUMMYFUNCTION("""COMPUTED_VALUE"""),42832.99861111111)</f>
        <v>42832.99861</v>
      </c>
      <c r="B2424" s="1">
        <f>IFERROR(__xludf.DUMMYFUNCTION("""COMPUTED_VALUE"""),13209.9177)</f>
        <v>13209.9177</v>
      </c>
    </row>
    <row r="2425">
      <c r="A2425" s="3">
        <f>IFERROR(__xludf.DUMMYFUNCTION("""COMPUTED_VALUE"""),42833.99861111111)</f>
        <v>42833.99861</v>
      </c>
      <c r="B2425" s="1">
        <f>IFERROR(__xludf.DUMMYFUNCTION("""COMPUTED_VALUE"""),13229.36769)</f>
        <v>13229.36769</v>
      </c>
    </row>
    <row r="2426">
      <c r="A2426" s="3">
        <f>IFERROR(__xludf.DUMMYFUNCTION("""COMPUTED_VALUE"""),42834.99861111111)</f>
        <v>42834.99861</v>
      </c>
      <c r="B2426" s="1">
        <f>IFERROR(__xludf.DUMMYFUNCTION("""COMPUTED_VALUE"""),13246.62515)</f>
        <v>13246.62515</v>
      </c>
    </row>
    <row r="2427">
      <c r="A2427" s="3">
        <f>IFERROR(__xludf.DUMMYFUNCTION("""COMPUTED_VALUE"""),42835.99861111111)</f>
        <v>42835.99861</v>
      </c>
      <c r="B2427" s="1">
        <f>IFERROR(__xludf.DUMMYFUNCTION("""COMPUTED_VALUE"""),13162.44322)</f>
        <v>13162.44322</v>
      </c>
    </row>
    <row r="2428">
      <c r="A2428" s="3">
        <f>IFERROR(__xludf.DUMMYFUNCTION("""COMPUTED_VALUE"""),42836.99861111111)</f>
        <v>42836.99861</v>
      </c>
      <c r="B2428" s="1">
        <f>IFERROR(__xludf.DUMMYFUNCTION("""COMPUTED_VALUE"""),13197.29845)</f>
        <v>13197.29845</v>
      </c>
    </row>
    <row r="2429">
      <c r="A2429" s="3">
        <f>IFERROR(__xludf.DUMMYFUNCTION("""COMPUTED_VALUE"""),42837.99861111111)</f>
        <v>42837.99861</v>
      </c>
      <c r="B2429" s="1">
        <f>IFERROR(__xludf.DUMMYFUNCTION("""COMPUTED_VALUE"""),13247.25952)</f>
        <v>13247.25952</v>
      </c>
    </row>
    <row r="2430">
      <c r="A2430" s="3">
        <f>IFERROR(__xludf.DUMMYFUNCTION("""COMPUTED_VALUE"""),42838.99861111111)</f>
        <v>42838.99861</v>
      </c>
      <c r="B2430" s="1">
        <f>IFERROR(__xludf.DUMMYFUNCTION("""COMPUTED_VALUE"""),13201.91992)</f>
        <v>13201.91992</v>
      </c>
    </row>
    <row r="2431">
      <c r="A2431" s="3">
        <f>IFERROR(__xludf.DUMMYFUNCTION("""COMPUTED_VALUE"""),42839.99861111111)</f>
        <v>42839.99861</v>
      </c>
      <c r="B2431" s="1">
        <f>IFERROR(__xludf.DUMMYFUNCTION("""COMPUTED_VALUE"""),13205.96235)</f>
        <v>13205.96235</v>
      </c>
    </row>
    <row r="2432">
      <c r="A2432" s="3">
        <f>IFERROR(__xludf.DUMMYFUNCTION("""COMPUTED_VALUE"""),42840.99861111111)</f>
        <v>42840.99861</v>
      </c>
      <c r="B2432" s="1">
        <f>IFERROR(__xludf.DUMMYFUNCTION("""COMPUTED_VALUE"""),13204.3003)</f>
        <v>13204.3003</v>
      </c>
    </row>
    <row r="2433">
      <c r="A2433" s="3">
        <f>IFERROR(__xludf.DUMMYFUNCTION("""COMPUTED_VALUE"""),42841.99861111111)</f>
        <v>42841.99861</v>
      </c>
      <c r="B2433" s="1">
        <f>IFERROR(__xludf.DUMMYFUNCTION("""COMPUTED_VALUE"""),13218.43908)</f>
        <v>13218.43908</v>
      </c>
    </row>
    <row r="2434">
      <c r="A2434" s="3">
        <f>IFERROR(__xludf.DUMMYFUNCTION("""COMPUTED_VALUE"""),42842.99861111111)</f>
        <v>42842.99861</v>
      </c>
      <c r="B2434" s="1">
        <f>IFERROR(__xludf.DUMMYFUNCTION("""COMPUTED_VALUE"""),13221.23635)</f>
        <v>13221.23635</v>
      </c>
    </row>
    <row r="2435">
      <c r="A2435" s="3">
        <f>IFERROR(__xludf.DUMMYFUNCTION("""COMPUTED_VALUE"""),42843.99861111111)</f>
        <v>42843.99861</v>
      </c>
      <c r="B2435" s="1">
        <f>IFERROR(__xludf.DUMMYFUNCTION("""COMPUTED_VALUE"""),13342.536)</f>
        <v>13342.536</v>
      </c>
    </row>
    <row r="2436">
      <c r="A2436" s="3">
        <f>IFERROR(__xludf.DUMMYFUNCTION("""COMPUTED_VALUE"""),42844.99861111111)</f>
        <v>42844.99861</v>
      </c>
      <c r="B2436" s="1">
        <f>IFERROR(__xludf.DUMMYFUNCTION("""COMPUTED_VALUE"""),13369.686)</f>
        <v>13369.686</v>
      </c>
    </row>
    <row r="2437">
      <c r="A2437" s="3">
        <f>IFERROR(__xludf.DUMMYFUNCTION("""COMPUTED_VALUE"""),42845.99861111111)</f>
        <v>42845.99861</v>
      </c>
      <c r="B2437" s="1">
        <f>IFERROR(__xludf.DUMMYFUNCTION("""COMPUTED_VALUE"""),13328.9853)</f>
        <v>13328.9853</v>
      </c>
    </row>
    <row r="2438">
      <c r="A2438" s="3">
        <f>IFERROR(__xludf.DUMMYFUNCTION("""COMPUTED_VALUE"""),42846.99861111111)</f>
        <v>42846.99861</v>
      </c>
      <c r="B2438" s="1">
        <f>IFERROR(__xludf.DUMMYFUNCTION("""COMPUTED_VALUE"""),13338.522)</f>
        <v>13338.522</v>
      </c>
    </row>
    <row r="2439">
      <c r="A2439" s="3">
        <f>IFERROR(__xludf.DUMMYFUNCTION("""COMPUTED_VALUE"""),42848.99861111111)</f>
        <v>42848.99861</v>
      </c>
      <c r="B2439" s="1">
        <f>IFERROR(__xludf.DUMMYFUNCTION("""COMPUTED_VALUE"""),13196.735)</f>
        <v>13196.735</v>
      </c>
    </row>
    <row r="2440">
      <c r="A2440" s="3">
        <f>IFERROR(__xludf.DUMMYFUNCTION("""COMPUTED_VALUE"""),42849.99861111111)</f>
        <v>42849.99861</v>
      </c>
      <c r="B2440" s="1">
        <f>IFERROR(__xludf.DUMMYFUNCTION("""COMPUTED_VALUE"""),13176.496)</f>
        <v>13176.496</v>
      </c>
    </row>
    <row r="2441">
      <c r="A2441" s="3">
        <f>IFERROR(__xludf.DUMMYFUNCTION("""COMPUTED_VALUE"""),42850.99861111111)</f>
        <v>42850.99861</v>
      </c>
      <c r="B2441" s="1">
        <f>IFERROR(__xludf.DUMMYFUNCTION("""COMPUTED_VALUE"""),13389.4695)</f>
        <v>13389.4695</v>
      </c>
    </row>
    <row r="2442">
      <c r="A2442" s="3">
        <f>IFERROR(__xludf.DUMMYFUNCTION("""COMPUTED_VALUE"""),42851.99861111111)</f>
        <v>42851.99861</v>
      </c>
      <c r="B2442" s="1">
        <f>IFERROR(__xludf.DUMMYFUNCTION("""COMPUTED_VALUE"""),13348.5226)</f>
        <v>13348.5226</v>
      </c>
    </row>
    <row r="2443">
      <c r="A2443" s="3">
        <f>IFERROR(__xludf.DUMMYFUNCTION("""COMPUTED_VALUE"""),42852.99861111111)</f>
        <v>42852.99861</v>
      </c>
      <c r="B2443" s="1">
        <f>IFERROR(__xludf.DUMMYFUNCTION("""COMPUTED_VALUE"""),13424.4305)</f>
        <v>13424.4305</v>
      </c>
    </row>
    <row r="2444">
      <c r="A2444" s="3">
        <f>IFERROR(__xludf.DUMMYFUNCTION("""COMPUTED_VALUE"""),42853.99861111111)</f>
        <v>42853.99861</v>
      </c>
      <c r="B2444" s="1">
        <f>IFERROR(__xludf.DUMMYFUNCTION("""COMPUTED_VALUE"""),13408.0512)</f>
        <v>13408.0512</v>
      </c>
    </row>
    <row r="2445">
      <c r="A2445" s="3">
        <f>IFERROR(__xludf.DUMMYFUNCTION("""COMPUTED_VALUE"""),42854.99861111111)</f>
        <v>42854.99861</v>
      </c>
      <c r="B2445" s="1">
        <f>IFERROR(__xludf.DUMMYFUNCTION("""COMPUTED_VALUE"""),13416.55053)</f>
        <v>13416.55053</v>
      </c>
    </row>
    <row r="2446">
      <c r="A2446" s="3">
        <f>IFERROR(__xludf.DUMMYFUNCTION("""COMPUTED_VALUE"""),42855.99861111111)</f>
        <v>42855.99861</v>
      </c>
      <c r="B2446" s="1">
        <f>IFERROR(__xludf.DUMMYFUNCTION("""COMPUTED_VALUE"""),13397.9354)</f>
        <v>13397.9354</v>
      </c>
    </row>
    <row r="2447">
      <c r="A2447" s="3">
        <f>IFERROR(__xludf.DUMMYFUNCTION("""COMPUTED_VALUE"""),42856.99861111111)</f>
        <v>42856.99861</v>
      </c>
      <c r="B2447" s="1">
        <f>IFERROR(__xludf.DUMMYFUNCTION("""COMPUTED_VALUE"""),13380.965)</f>
        <v>13380.965</v>
      </c>
    </row>
    <row r="2448">
      <c r="A2448" s="3">
        <f>IFERROR(__xludf.DUMMYFUNCTION("""COMPUTED_VALUE"""),42857.99861111111)</f>
        <v>42857.99861</v>
      </c>
      <c r="B2448" s="1">
        <f>IFERROR(__xludf.DUMMYFUNCTION("""COMPUTED_VALUE"""),13413.3255)</f>
        <v>13413.3255</v>
      </c>
    </row>
    <row r="2449">
      <c r="A2449" s="3">
        <f>IFERROR(__xludf.DUMMYFUNCTION("""COMPUTED_VALUE"""),42858.99861111111)</f>
        <v>42858.99861</v>
      </c>
      <c r="B2449" s="1">
        <f>IFERROR(__xludf.DUMMYFUNCTION("""COMPUTED_VALUE"""),13381.1632)</f>
        <v>13381.1632</v>
      </c>
    </row>
    <row r="2450">
      <c r="A2450" s="3">
        <f>IFERROR(__xludf.DUMMYFUNCTION("""COMPUTED_VALUE"""),42859.99861111111)</f>
        <v>42859.99861</v>
      </c>
      <c r="B2450" s="1">
        <f>IFERROR(__xludf.DUMMYFUNCTION("""COMPUTED_VALUE"""),13526.76)</f>
        <v>13526.76</v>
      </c>
    </row>
    <row r="2451">
      <c r="A2451" s="3">
        <f>IFERROR(__xludf.DUMMYFUNCTION("""COMPUTED_VALUE"""),42860.99861111111)</f>
        <v>42860.99861</v>
      </c>
      <c r="B2451" s="1">
        <f>IFERROR(__xludf.DUMMYFUNCTION("""COMPUTED_VALUE"""),13480.106)</f>
        <v>13480.106</v>
      </c>
    </row>
    <row r="2452">
      <c r="A2452" s="3">
        <f>IFERROR(__xludf.DUMMYFUNCTION("""COMPUTED_VALUE"""),42862.99861111111)</f>
        <v>42862.99861</v>
      </c>
      <c r="B2452" s="1">
        <f>IFERROR(__xludf.DUMMYFUNCTION("""COMPUTED_VALUE"""),13467.99663)</f>
        <v>13467.99663</v>
      </c>
    </row>
    <row r="2453">
      <c r="A2453" s="3">
        <f>IFERROR(__xludf.DUMMYFUNCTION("""COMPUTED_VALUE"""),42863.99861111111)</f>
        <v>42863.99861</v>
      </c>
      <c r="B2453" s="1">
        <f>IFERROR(__xludf.DUMMYFUNCTION("""COMPUTED_VALUE"""),13345.3184)</f>
        <v>13345.3184</v>
      </c>
    </row>
    <row r="2454">
      <c r="A2454" s="3">
        <f>IFERROR(__xludf.DUMMYFUNCTION("""COMPUTED_VALUE"""),42864.99861111111)</f>
        <v>42864.99861</v>
      </c>
      <c r="B2454" s="1">
        <f>IFERROR(__xludf.DUMMYFUNCTION("""COMPUTED_VALUE"""),13268.1588)</f>
        <v>13268.1588</v>
      </c>
    </row>
    <row r="2455">
      <c r="A2455" s="3">
        <f>IFERROR(__xludf.DUMMYFUNCTION("""COMPUTED_VALUE"""),42865.99861111111)</f>
        <v>42865.99861</v>
      </c>
      <c r="B2455" s="1">
        <f>IFERROR(__xludf.DUMMYFUNCTION("""COMPUTED_VALUE"""),13231.35417)</f>
        <v>13231.35417</v>
      </c>
    </row>
    <row r="2456">
      <c r="A2456" s="3">
        <f>IFERROR(__xludf.DUMMYFUNCTION("""COMPUTED_VALUE"""),42866.99861111111)</f>
        <v>42866.99861</v>
      </c>
      <c r="B2456" s="1">
        <f>IFERROR(__xludf.DUMMYFUNCTION("""COMPUTED_VALUE"""),13206.30272)</f>
        <v>13206.30272</v>
      </c>
    </row>
    <row r="2457">
      <c r="A2457" s="3">
        <f>IFERROR(__xludf.DUMMYFUNCTION("""COMPUTED_VALUE"""),42867.99861111111)</f>
        <v>42867.99861</v>
      </c>
      <c r="B2457" s="1">
        <f>IFERROR(__xludf.DUMMYFUNCTION("""COMPUTED_VALUE"""),13300.8861)</f>
        <v>13300.8861</v>
      </c>
    </row>
    <row r="2458">
      <c r="A2458" s="3">
        <f>IFERROR(__xludf.DUMMYFUNCTION("""COMPUTED_VALUE"""),42869.99861111111)</f>
        <v>42869.99861</v>
      </c>
      <c r="B2458" s="1">
        <f>IFERROR(__xludf.DUMMYFUNCTION("""COMPUTED_VALUE"""),13306.87917)</f>
        <v>13306.87917</v>
      </c>
    </row>
    <row r="2459">
      <c r="A2459" s="3">
        <f>IFERROR(__xludf.DUMMYFUNCTION("""COMPUTED_VALUE"""),42870.99861111111)</f>
        <v>42870.99861</v>
      </c>
      <c r="B2459" s="1">
        <f>IFERROR(__xludf.DUMMYFUNCTION("""COMPUTED_VALUE"""),13339.4685)</f>
        <v>13339.4685</v>
      </c>
    </row>
    <row r="2460">
      <c r="A2460" s="3">
        <f>IFERROR(__xludf.DUMMYFUNCTION("""COMPUTED_VALUE"""),42871.99861111111)</f>
        <v>42871.99861</v>
      </c>
      <c r="B2460" s="1">
        <f>IFERROR(__xludf.DUMMYFUNCTION("""COMPUTED_VALUE"""),13483.7292)</f>
        <v>13483.7292</v>
      </c>
    </row>
    <row r="2461">
      <c r="A2461" s="3">
        <f>IFERROR(__xludf.DUMMYFUNCTION("""COMPUTED_VALUE"""),42872.99861111111)</f>
        <v>42872.99861</v>
      </c>
      <c r="B2461" s="1">
        <f>IFERROR(__xludf.DUMMYFUNCTION("""COMPUTED_VALUE"""),13599.0098)</f>
        <v>13599.0098</v>
      </c>
    </row>
    <row r="2462">
      <c r="A2462" s="3">
        <f>IFERROR(__xludf.DUMMYFUNCTION("""COMPUTED_VALUE"""),42873.99861111111)</f>
        <v>42873.99861</v>
      </c>
      <c r="B2462" s="1">
        <f>IFERROR(__xludf.DUMMYFUNCTION("""COMPUTED_VALUE"""),13676.3593)</f>
        <v>13676.3593</v>
      </c>
    </row>
    <row r="2463">
      <c r="A2463" s="3">
        <f>IFERROR(__xludf.DUMMYFUNCTION("""COMPUTED_VALUE"""),42874.99861111111)</f>
        <v>42874.99861</v>
      </c>
      <c r="B2463" s="1">
        <f>IFERROR(__xludf.DUMMYFUNCTION("""COMPUTED_VALUE"""),13691.0194)</f>
        <v>13691.0194</v>
      </c>
    </row>
    <row r="2464">
      <c r="A2464" s="3">
        <f>IFERROR(__xludf.DUMMYFUNCTION("""COMPUTED_VALUE"""),42875.99861111111)</f>
        <v>42875.99861</v>
      </c>
      <c r="B2464" s="1">
        <f>IFERROR(__xludf.DUMMYFUNCTION("""COMPUTED_VALUE"""),13705.3299)</f>
        <v>13705.3299</v>
      </c>
    </row>
    <row r="2465">
      <c r="A2465" s="3">
        <f>IFERROR(__xludf.DUMMYFUNCTION("""COMPUTED_VALUE"""),42876.99861111111)</f>
        <v>42876.99861</v>
      </c>
      <c r="B2465" s="1">
        <f>IFERROR(__xludf.DUMMYFUNCTION("""COMPUTED_VALUE"""),13695.8528)</f>
        <v>13695.8528</v>
      </c>
    </row>
    <row r="2466">
      <c r="A2466" s="3">
        <f>IFERROR(__xludf.DUMMYFUNCTION("""COMPUTED_VALUE"""),42877.99861111111)</f>
        <v>42877.99861</v>
      </c>
      <c r="B2466" s="1">
        <f>IFERROR(__xludf.DUMMYFUNCTION("""COMPUTED_VALUE"""),13661.64)</f>
        <v>13661.64</v>
      </c>
    </row>
    <row r="2467">
      <c r="A2467" s="3">
        <f>IFERROR(__xludf.DUMMYFUNCTION("""COMPUTED_VALUE"""),42878.99861111111)</f>
        <v>42878.99861</v>
      </c>
      <c r="B2467" s="1">
        <f>IFERROR(__xludf.DUMMYFUNCTION("""COMPUTED_VALUE"""),13616.4336)</f>
        <v>13616.4336</v>
      </c>
    </row>
    <row r="2468">
      <c r="A2468" s="3">
        <f>IFERROR(__xludf.DUMMYFUNCTION("""COMPUTED_VALUE"""),42879.99861111111)</f>
        <v>42879.99861</v>
      </c>
      <c r="B2468" s="1">
        <f>IFERROR(__xludf.DUMMYFUNCTION("""COMPUTED_VALUE"""),13677.1164)</f>
        <v>13677.1164</v>
      </c>
    </row>
    <row r="2469">
      <c r="A2469" s="3">
        <f>IFERROR(__xludf.DUMMYFUNCTION("""COMPUTED_VALUE"""),42880.99861111111)</f>
        <v>42880.99861</v>
      </c>
      <c r="B2469" s="1">
        <f>IFERROR(__xludf.DUMMYFUNCTION("""COMPUTED_VALUE"""),13667.805)</f>
        <v>13667.805</v>
      </c>
    </row>
    <row r="2470">
      <c r="A2470" s="3">
        <f>IFERROR(__xludf.DUMMYFUNCTION("""COMPUTED_VALUE"""),42881.99861111111)</f>
        <v>42881.99861</v>
      </c>
      <c r="B2470" s="1">
        <f>IFERROR(__xludf.DUMMYFUNCTION("""COMPUTED_VALUE"""),13645.988)</f>
        <v>13645.988</v>
      </c>
    </row>
    <row r="2471">
      <c r="A2471" s="3">
        <f>IFERROR(__xludf.DUMMYFUNCTION("""COMPUTED_VALUE"""),42882.99861111111)</f>
        <v>42882.99861</v>
      </c>
      <c r="B2471" s="1">
        <f>IFERROR(__xludf.DUMMYFUNCTION("""COMPUTED_VALUE"""),13642.7896)</f>
        <v>13642.7896</v>
      </c>
    </row>
    <row r="2472">
      <c r="A2472" s="3">
        <f>IFERROR(__xludf.DUMMYFUNCTION("""COMPUTED_VALUE"""),42883.99861111111)</f>
        <v>42883.99861</v>
      </c>
      <c r="B2472" s="1">
        <f>IFERROR(__xludf.DUMMYFUNCTION("""COMPUTED_VALUE"""),13628.1728)</f>
        <v>13628.1728</v>
      </c>
    </row>
    <row r="2473">
      <c r="A2473" s="3">
        <f>IFERROR(__xludf.DUMMYFUNCTION("""COMPUTED_VALUE"""),42884.99861111111)</f>
        <v>42884.99861</v>
      </c>
      <c r="B2473" s="1">
        <f>IFERROR(__xludf.DUMMYFUNCTION("""COMPUTED_VALUE"""),13595.9465)</f>
        <v>13595.9465</v>
      </c>
    </row>
    <row r="2474">
      <c r="A2474" s="3">
        <f>IFERROR(__xludf.DUMMYFUNCTION("""COMPUTED_VALUE"""),42885.99861111111)</f>
        <v>42885.99861</v>
      </c>
      <c r="B2474" s="1">
        <f>IFERROR(__xludf.DUMMYFUNCTION("""COMPUTED_VALUE"""),13645.3155)</f>
        <v>13645.3155</v>
      </c>
    </row>
    <row r="2475">
      <c r="A2475" s="3">
        <f>IFERROR(__xludf.DUMMYFUNCTION("""COMPUTED_VALUE"""),42886.99861111111)</f>
        <v>42886.99861</v>
      </c>
      <c r="B2475" s="1">
        <f>IFERROR(__xludf.DUMMYFUNCTION("""COMPUTED_VALUE"""),13728.7138)</f>
        <v>13728.7138</v>
      </c>
    </row>
    <row r="2476">
      <c r="A2476" s="3">
        <f>IFERROR(__xludf.DUMMYFUNCTION("""COMPUTED_VALUE"""),42887.99861111111)</f>
        <v>42887.99861</v>
      </c>
      <c r="B2476" s="1">
        <f>IFERROR(__xludf.DUMMYFUNCTION("""COMPUTED_VALUE"""),13677.3384)</f>
        <v>13677.3384</v>
      </c>
    </row>
    <row r="2477">
      <c r="A2477" s="3">
        <f>IFERROR(__xludf.DUMMYFUNCTION("""COMPUTED_VALUE"""),42888.99861111111)</f>
        <v>42888.99861</v>
      </c>
      <c r="B2477" s="1">
        <f>IFERROR(__xludf.DUMMYFUNCTION("""COMPUTED_VALUE"""),13802.8254)</f>
        <v>13802.8254</v>
      </c>
    </row>
    <row r="2478">
      <c r="A2478" s="3">
        <f>IFERROR(__xludf.DUMMYFUNCTION("""COMPUTED_VALUE"""),42889.99861111111)</f>
        <v>42889.99861</v>
      </c>
      <c r="B2478" s="1">
        <f>IFERROR(__xludf.DUMMYFUNCTION("""COMPUTED_VALUE"""),13818.8648)</f>
        <v>13818.8648</v>
      </c>
    </row>
    <row r="2479">
      <c r="A2479" s="3">
        <f>IFERROR(__xludf.DUMMYFUNCTION("""COMPUTED_VALUE"""),42890.99861111111)</f>
        <v>42890.99861</v>
      </c>
      <c r="B2479" s="1">
        <f>IFERROR(__xludf.DUMMYFUNCTION("""COMPUTED_VALUE"""),13814.8736)</f>
        <v>13814.8736</v>
      </c>
    </row>
    <row r="2480">
      <c r="A2480" s="3">
        <f>IFERROR(__xludf.DUMMYFUNCTION("""COMPUTED_VALUE"""),42891.99861111111)</f>
        <v>42891.99861</v>
      </c>
      <c r="B2480" s="1">
        <f>IFERROR(__xludf.DUMMYFUNCTION("""COMPUTED_VALUE"""),13762.78196)</f>
        <v>13762.78196</v>
      </c>
    </row>
    <row r="2481">
      <c r="A2481" s="3">
        <f>IFERROR(__xludf.DUMMYFUNCTION("""COMPUTED_VALUE"""),42892.99861111111)</f>
        <v>42892.99861</v>
      </c>
      <c r="B2481" s="1">
        <f>IFERROR(__xludf.DUMMYFUNCTION("""COMPUTED_VALUE"""),13774.7751)</f>
        <v>13774.7751</v>
      </c>
    </row>
    <row r="2482">
      <c r="A2482" s="3">
        <f>IFERROR(__xludf.DUMMYFUNCTION("""COMPUTED_VALUE"""),42893.99861111111)</f>
        <v>42893.99861</v>
      </c>
      <c r="B2482" s="1">
        <f>IFERROR(__xludf.DUMMYFUNCTION("""COMPUTED_VALUE"""),13797.5932)</f>
        <v>13797.5932</v>
      </c>
    </row>
    <row r="2483">
      <c r="A2483" s="3">
        <f>IFERROR(__xludf.DUMMYFUNCTION("""COMPUTED_VALUE"""),42894.99861111111)</f>
        <v>42894.99861</v>
      </c>
      <c r="B2483" s="1">
        <f>IFERROR(__xludf.DUMMYFUNCTION("""COMPUTED_VALUE"""),13710.4002)</f>
        <v>13710.4002</v>
      </c>
    </row>
    <row r="2484">
      <c r="A2484" s="3">
        <f>IFERROR(__xludf.DUMMYFUNCTION("""COMPUTED_VALUE"""),42895.99861111111)</f>
        <v>42895.99861</v>
      </c>
      <c r="B2484" s="1">
        <f>IFERROR(__xludf.DUMMYFUNCTION("""COMPUTED_VALUE"""),13708.9324)</f>
        <v>13708.9324</v>
      </c>
    </row>
    <row r="2485">
      <c r="A2485" s="3">
        <f>IFERROR(__xludf.DUMMYFUNCTION("""COMPUTED_VALUE"""),42896.99861111111)</f>
        <v>42896.99861</v>
      </c>
      <c r="B2485" s="1">
        <f>IFERROR(__xludf.DUMMYFUNCTION("""COMPUTED_VALUE"""),13698.0234)</f>
        <v>13698.0234</v>
      </c>
    </row>
    <row r="2486">
      <c r="A2486" s="3">
        <f>IFERROR(__xludf.DUMMYFUNCTION("""COMPUTED_VALUE"""),42897.99861111111)</f>
        <v>42897.99861</v>
      </c>
      <c r="B2486" s="1">
        <f>IFERROR(__xludf.DUMMYFUNCTION("""COMPUTED_VALUE"""),13716.4515)</f>
        <v>13716.4515</v>
      </c>
    </row>
    <row r="2487">
      <c r="A2487" s="3">
        <f>IFERROR(__xludf.DUMMYFUNCTION("""COMPUTED_VALUE"""),42898.99861111111)</f>
        <v>42898.99861</v>
      </c>
      <c r="B2487" s="1">
        <f>IFERROR(__xludf.DUMMYFUNCTION("""COMPUTED_VALUE"""),13737.3852)</f>
        <v>13737.3852</v>
      </c>
    </row>
    <row r="2488">
      <c r="A2488" s="3">
        <f>IFERROR(__xludf.DUMMYFUNCTION("""COMPUTED_VALUE"""),42899.99861111111)</f>
        <v>42899.99861</v>
      </c>
      <c r="B2488" s="1">
        <f>IFERROR(__xludf.DUMMYFUNCTION("""COMPUTED_VALUE"""),13707.024)</f>
        <v>13707.024</v>
      </c>
    </row>
    <row r="2489">
      <c r="A2489" s="3">
        <f>IFERROR(__xludf.DUMMYFUNCTION("""COMPUTED_VALUE"""),42900.99861111111)</f>
        <v>42900.99861</v>
      </c>
      <c r="B2489" s="1">
        <f>IFERROR(__xludf.DUMMYFUNCTION("""COMPUTED_VALUE"""),13677.937)</f>
        <v>13677.937</v>
      </c>
    </row>
    <row r="2490">
      <c r="A2490" s="3">
        <f>IFERROR(__xludf.DUMMYFUNCTION("""COMPUTED_VALUE"""),42901.99861111111)</f>
        <v>42901.99861</v>
      </c>
      <c r="B2490" s="1">
        <f>IFERROR(__xludf.DUMMYFUNCTION("""COMPUTED_VALUE"""),13630.3382)</f>
        <v>13630.3382</v>
      </c>
    </row>
    <row r="2491">
      <c r="A2491" s="3">
        <f>IFERROR(__xludf.DUMMYFUNCTION("""COMPUTED_VALUE"""),42902.99861111111)</f>
        <v>42902.99861</v>
      </c>
      <c r="B2491" s="1">
        <f>IFERROR(__xludf.DUMMYFUNCTION("""COMPUTED_VALUE"""),13644.843)</f>
        <v>13644.843</v>
      </c>
    </row>
    <row r="2492">
      <c r="A2492" s="3">
        <f>IFERROR(__xludf.DUMMYFUNCTION("""COMPUTED_VALUE"""),42903.99861111111)</f>
        <v>42903.99861</v>
      </c>
      <c r="B2492" s="1">
        <f>IFERROR(__xludf.DUMMYFUNCTION("""COMPUTED_VALUE"""),13644.1184)</f>
        <v>13644.1184</v>
      </c>
    </row>
    <row r="2493">
      <c r="A2493" s="3">
        <f>IFERROR(__xludf.DUMMYFUNCTION("""COMPUTED_VALUE"""),42904.99861111111)</f>
        <v>42904.99861</v>
      </c>
      <c r="B2493" s="1">
        <f>IFERROR(__xludf.DUMMYFUNCTION("""COMPUTED_VALUE"""),13644.7729)</f>
        <v>13644.7729</v>
      </c>
    </row>
    <row r="2494">
      <c r="A2494" s="3">
        <f>IFERROR(__xludf.DUMMYFUNCTION("""COMPUTED_VALUE"""),42905.99861111111)</f>
        <v>42905.99861</v>
      </c>
      <c r="B2494" s="1">
        <f>IFERROR(__xludf.DUMMYFUNCTION("""COMPUTED_VALUE"""),13610.1784)</f>
        <v>13610.1784</v>
      </c>
    </row>
    <row r="2495">
      <c r="A2495" s="3">
        <f>IFERROR(__xludf.DUMMYFUNCTION("""COMPUTED_VALUE"""),42906.99861111111)</f>
        <v>42906.99861</v>
      </c>
      <c r="B2495" s="1">
        <f>IFERROR(__xludf.DUMMYFUNCTION("""COMPUTED_VALUE"""),13635.2369)</f>
        <v>13635.2369</v>
      </c>
    </row>
    <row r="2496">
      <c r="A2496" s="3">
        <f>IFERROR(__xludf.DUMMYFUNCTION("""COMPUTED_VALUE"""),42907.99861111111)</f>
        <v>42907.99861</v>
      </c>
      <c r="B2496" s="1">
        <f>IFERROR(__xludf.DUMMYFUNCTION("""COMPUTED_VALUE"""),13673.428)</f>
        <v>13673.428</v>
      </c>
    </row>
    <row r="2497">
      <c r="A2497" s="3">
        <f>IFERROR(__xludf.DUMMYFUNCTION("""COMPUTED_VALUE"""),42908.99861111111)</f>
        <v>42908.99861</v>
      </c>
      <c r="B2497" s="1">
        <f>IFERROR(__xludf.DUMMYFUNCTION("""COMPUTED_VALUE"""),13726.5549)</f>
        <v>13726.5549</v>
      </c>
    </row>
    <row r="2498">
      <c r="A2498" s="3">
        <f>IFERROR(__xludf.DUMMYFUNCTION("""COMPUTED_VALUE"""),42909.99861111111)</f>
        <v>42909.99861</v>
      </c>
      <c r="B2498" s="1">
        <f>IFERROR(__xludf.DUMMYFUNCTION("""COMPUTED_VALUE"""),13728.2335)</f>
        <v>13728.2335</v>
      </c>
    </row>
    <row r="2499">
      <c r="A2499" s="3">
        <f>IFERROR(__xludf.DUMMYFUNCTION("""COMPUTED_VALUE"""),42910.99861111111)</f>
        <v>42910.99861</v>
      </c>
      <c r="B2499" s="1">
        <f>IFERROR(__xludf.DUMMYFUNCTION("""COMPUTED_VALUE"""),13735.01045)</f>
        <v>13735.01045</v>
      </c>
    </row>
    <row r="2500">
      <c r="A2500" s="3">
        <f>IFERROR(__xludf.DUMMYFUNCTION("""COMPUTED_VALUE"""),42911.99861111111)</f>
        <v>42911.99861</v>
      </c>
      <c r="B2500" s="1">
        <f>IFERROR(__xludf.DUMMYFUNCTION("""COMPUTED_VALUE"""),13703.24304)</f>
        <v>13703.24304</v>
      </c>
    </row>
    <row r="2501">
      <c r="A2501" s="3">
        <f>IFERROR(__xludf.DUMMYFUNCTION("""COMPUTED_VALUE"""),42912.99861111111)</f>
        <v>42912.99861</v>
      </c>
      <c r="B2501" s="1">
        <f>IFERROR(__xludf.DUMMYFUNCTION("""COMPUTED_VALUE"""),13694.8994)</f>
        <v>13694.8994</v>
      </c>
    </row>
    <row r="2502">
      <c r="A2502" s="3">
        <f>IFERROR(__xludf.DUMMYFUNCTION("""COMPUTED_VALUE"""),42913.99861111111)</f>
        <v>42913.99861</v>
      </c>
      <c r="B2502" s="1">
        <f>IFERROR(__xludf.DUMMYFUNCTION("""COMPUTED_VALUE"""),13852.82952)</f>
        <v>13852.82952</v>
      </c>
    </row>
    <row r="2503">
      <c r="A2503" s="3">
        <f>IFERROR(__xludf.DUMMYFUNCTION("""COMPUTED_VALUE"""),42914.99861111111)</f>
        <v>42914.99861</v>
      </c>
      <c r="B2503" s="1">
        <f>IFERROR(__xludf.DUMMYFUNCTION("""COMPUTED_VALUE"""),13857.0912)</f>
        <v>13857.0912</v>
      </c>
    </row>
    <row r="2504">
      <c r="A2504" s="3">
        <f>IFERROR(__xludf.DUMMYFUNCTION("""COMPUTED_VALUE"""),42915.99861111111)</f>
        <v>42915.99861</v>
      </c>
      <c r="B2504" s="1">
        <f>IFERROR(__xludf.DUMMYFUNCTION("""COMPUTED_VALUE"""),13895.427)</f>
        <v>13895.427</v>
      </c>
    </row>
    <row r="2505">
      <c r="A2505" s="3">
        <f>IFERROR(__xludf.DUMMYFUNCTION("""COMPUTED_VALUE"""),42916.99861111111)</f>
        <v>42916.99861</v>
      </c>
      <c r="B2505" s="1">
        <f>IFERROR(__xludf.DUMMYFUNCTION("""COMPUTED_VALUE"""),13889.4529)</f>
        <v>13889.4529</v>
      </c>
    </row>
    <row r="2506">
      <c r="A2506" s="3">
        <f>IFERROR(__xludf.DUMMYFUNCTION("""COMPUTED_VALUE"""),42917.99861111111)</f>
        <v>42917.99861</v>
      </c>
      <c r="B2506" s="1">
        <f>IFERROR(__xludf.DUMMYFUNCTION("""COMPUTED_VALUE"""),13866.685)</f>
        <v>13866.685</v>
      </c>
    </row>
    <row r="2507">
      <c r="A2507" s="3">
        <f>IFERROR(__xludf.DUMMYFUNCTION("""COMPUTED_VALUE"""),42918.99861111111)</f>
        <v>42918.99861</v>
      </c>
      <c r="B2507" s="1">
        <f>IFERROR(__xludf.DUMMYFUNCTION("""COMPUTED_VALUE"""),13865.8246)</f>
        <v>13865.8246</v>
      </c>
    </row>
    <row r="2508">
      <c r="A2508" s="3">
        <f>IFERROR(__xludf.DUMMYFUNCTION("""COMPUTED_VALUE"""),42919.99861111111)</f>
        <v>42919.99861</v>
      </c>
      <c r="B2508" s="1">
        <f>IFERROR(__xludf.DUMMYFUNCTION("""COMPUTED_VALUE"""),13874.5048)</f>
        <v>13874.5048</v>
      </c>
    </row>
    <row r="2509">
      <c r="A2509" s="3">
        <f>IFERROR(__xludf.DUMMYFUNCTION("""COMPUTED_VALUE"""),42920.99861111111)</f>
        <v>42920.99861</v>
      </c>
      <c r="B2509" s="1">
        <f>IFERROR(__xludf.DUMMYFUNCTION("""COMPUTED_VALUE"""),13844.987)</f>
        <v>13844.987</v>
      </c>
    </row>
    <row r="2510">
      <c r="A2510" s="3">
        <f>IFERROR(__xludf.DUMMYFUNCTION("""COMPUTED_VALUE"""),42921.99861111111)</f>
        <v>42921.99861</v>
      </c>
      <c r="B2510" s="1">
        <f>IFERROR(__xludf.DUMMYFUNCTION("""COMPUTED_VALUE"""),13854.7584)</f>
        <v>13854.7584</v>
      </c>
    </row>
    <row r="2511">
      <c r="A2511" s="3">
        <f>IFERROR(__xludf.DUMMYFUNCTION("""COMPUTED_VALUE"""),42922.99861111111)</f>
        <v>42922.99861</v>
      </c>
      <c r="B2511" s="1">
        <f>IFERROR(__xludf.DUMMYFUNCTION("""COMPUTED_VALUE"""),13937.0562)</f>
        <v>13937.0562</v>
      </c>
    </row>
    <row r="2512">
      <c r="A2512" s="3">
        <f>IFERROR(__xludf.DUMMYFUNCTION("""COMPUTED_VALUE"""),42923.99861111111)</f>
        <v>42923.99861</v>
      </c>
      <c r="B2512" s="1">
        <f>IFERROR(__xludf.DUMMYFUNCTION("""COMPUTED_VALUE"""),13903.666)</f>
        <v>13903.666</v>
      </c>
    </row>
    <row r="2513">
      <c r="A2513" s="3">
        <f>IFERROR(__xludf.DUMMYFUNCTION("""COMPUTED_VALUE"""),42924.99861111111)</f>
        <v>42924.99861</v>
      </c>
      <c r="B2513" s="1">
        <f>IFERROR(__xludf.DUMMYFUNCTION("""COMPUTED_VALUE"""),13920.79625)</f>
        <v>13920.79625</v>
      </c>
    </row>
    <row r="2514">
      <c r="A2514" s="3">
        <f>IFERROR(__xludf.DUMMYFUNCTION("""COMPUTED_VALUE"""),42925.99861111111)</f>
        <v>42925.99861</v>
      </c>
      <c r="B2514" s="1">
        <f>IFERROR(__xludf.DUMMYFUNCTION("""COMPUTED_VALUE"""),13913.4816)</f>
        <v>13913.4816</v>
      </c>
    </row>
    <row r="2515">
      <c r="A2515" s="3">
        <f>IFERROR(__xludf.DUMMYFUNCTION("""COMPUTED_VALUE"""),42926.99861111111)</f>
        <v>42926.99861</v>
      </c>
      <c r="B2515" s="1">
        <f>IFERROR(__xludf.DUMMYFUNCTION("""COMPUTED_VALUE"""),13857.9188)</f>
        <v>13857.9188</v>
      </c>
    </row>
    <row r="2516">
      <c r="A2516" s="3">
        <f>IFERROR(__xludf.DUMMYFUNCTION("""COMPUTED_VALUE"""),42927.99861111111)</f>
        <v>42927.99861</v>
      </c>
      <c r="B2516" s="1">
        <f>IFERROR(__xludf.DUMMYFUNCTION("""COMPUTED_VALUE"""),13856.262)</f>
        <v>13856.262</v>
      </c>
    </row>
    <row r="2517">
      <c r="A2517" s="3">
        <f>IFERROR(__xludf.DUMMYFUNCTION("""COMPUTED_VALUE"""),42928.99861111111)</f>
        <v>42928.99861</v>
      </c>
      <c r="B2517" s="1">
        <f>IFERROR(__xludf.DUMMYFUNCTION("""COMPUTED_VALUE"""),13845.4043)</f>
        <v>13845.4043</v>
      </c>
    </row>
    <row r="2518">
      <c r="A2518" s="3">
        <f>IFERROR(__xludf.DUMMYFUNCTION("""COMPUTED_VALUE"""),42929.99861111111)</f>
        <v>42929.99861</v>
      </c>
      <c r="B2518" s="1">
        <f>IFERROR(__xludf.DUMMYFUNCTION("""COMPUTED_VALUE"""),13794.594)</f>
        <v>13794.594</v>
      </c>
    </row>
    <row r="2519">
      <c r="A2519" s="3">
        <f>IFERROR(__xludf.DUMMYFUNCTION("""COMPUTED_VALUE"""),42930.99861111111)</f>
        <v>42930.99861</v>
      </c>
      <c r="B2519" s="1">
        <f>IFERROR(__xludf.DUMMYFUNCTION("""COMPUTED_VALUE"""),13798.8805)</f>
        <v>13798.8805</v>
      </c>
    </row>
    <row r="2520">
      <c r="A2520" s="3">
        <f>IFERROR(__xludf.DUMMYFUNCTION("""COMPUTED_VALUE"""),42932.99861111111)</f>
        <v>42932.99861</v>
      </c>
      <c r="B2520" s="1">
        <f>IFERROR(__xludf.DUMMYFUNCTION("""COMPUTED_VALUE"""),13837.2828)</f>
        <v>13837.2828</v>
      </c>
    </row>
    <row r="2521">
      <c r="A2521" s="3">
        <f>IFERROR(__xludf.DUMMYFUNCTION("""COMPUTED_VALUE"""),42933.99861111111)</f>
        <v>42933.99861</v>
      </c>
      <c r="B2521" s="1">
        <f>IFERROR(__xludf.DUMMYFUNCTION("""COMPUTED_VALUE"""),13831.1943)</f>
        <v>13831.1943</v>
      </c>
    </row>
    <row r="2522">
      <c r="A2522" s="3">
        <f>IFERROR(__xludf.DUMMYFUNCTION("""COMPUTED_VALUE"""),42934.99861111111)</f>
        <v>42934.99861</v>
      </c>
      <c r="B2522" s="1">
        <f>IFERROR(__xludf.DUMMYFUNCTION("""COMPUTED_VALUE"""),13925.59776)</f>
        <v>13925.59776</v>
      </c>
    </row>
    <row r="2523">
      <c r="A2523" s="3">
        <f>IFERROR(__xludf.DUMMYFUNCTION("""COMPUTED_VALUE"""),42935.99861111111)</f>
        <v>42935.99861</v>
      </c>
      <c r="B2523" s="1">
        <f>IFERROR(__xludf.DUMMYFUNCTION("""COMPUTED_VALUE"""),13935.8539)</f>
        <v>13935.8539</v>
      </c>
    </row>
    <row r="2524">
      <c r="A2524" s="3">
        <f>IFERROR(__xludf.DUMMYFUNCTION("""COMPUTED_VALUE"""),42936.99861111111)</f>
        <v>42936.99861</v>
      </c>
      <c r="B2524" s="1">
        <f>IFERROR(__xludf.DUMMYFUNCTION("""COMPUTED_VALUE"""),13981.453)</f>
        <v>13981.453</v>
      </c>
    </row>
    <row r="2525">
      <c r="A2525" s="3">
        <f>IFERROR(__xludf.DUMMYFUNCTION("""COMPUTED_VALUE"""),42937.99861111111)</f>
        <v>42937.99861</v>
      </c>
      <c r="B2525" s="1">
        <f>IFERROR(__xludf.DUMMYFUNCTION("""COMPUTED_VALUE"""),14084.2933)</f>
        <v>14084.2933</v>
      </c>
    </row>
    <row r="2526">
      <c r="A2526" s="3">
        <f>IFERROR(__xludf.DUMMYFUNCTION("""COMPUTED_VALUE"""),42938.99861111111)</f>
        <v>42938.99861</v>
      </c>
      <c r="B2526" s="1">
        <f>IFERROR(__xludf.DUMMYFUNCTION("""COMPUTED_VALUE"""),14084.0184)</f>
        <v>14084.0184</v>
      </c>
    </row>
    <row r="2527">
      <c r="A2527" s="3">
        <f>IFERROR(__xludf.DUMMYFUNCTION("""COMPUTED_VALUE"""),42939.99861111111)</f>
        <v>42939.99861</v>
      </c>
      <c r="B2527" s="1">
        <f>IFERROR(__xludf.DUMMYFUNCTION("""COMPUTED_VALUE"""),14039.676)</f>
        <v>14039.676</v>
      </c>
    </row>
    <row r="2528">
      <c r="A2528" s="3">
        <f>IFERROR(__xludf.DUMMYFUNCTION("""COMPUTED_VALUE"""),42940.99861111111)</f>
        <v>42940.99861</v>
      </c>
      <c r="B2528" s="1">
        <f>IFERROR(__xludf.DUMMYFUNCTION("""COMPUTED_VALUE"""),14055.038)</f>
        <v>14055.038</v>
      </c>
    </row>
    <row r="2529">
      <c r="A2529" s="3">
        <f>IFERROR(__xludf.DUMMYFUNCTION("""COMPUTED_VALUE"""),42941.99861111111)</f>
        <v>42941.99861</v>
      </c>
      <c r="B2529" s="1">
        <f>IFERROR(__xludf.DUMMYFUNCTION("""COMPUTED_VALUE"""),13987.33616)</f>
        <v>13987.33616</v>
      </c>
    </row>
    <row r="2530">
      <c r="A2530" s="3">
        <f>IFERROR(__xludf.DUMMYFUNCTION("""COMPUTED_VALUE"""),42942.99861111111)</f>
        <v>42942.99861</v>
      </c>
      <c r="B2530" s="1">
        <f>IFERROR(__xludf.DUMMYFUNCTION("""COMPUTED_VALUE"""),14010.1119)</f>
        <v>14010.1119</v>
      </c>
    </row>
    <row r="2531">
      <c r="A2531" s="3">
        <f>IFERROR(__xludf.DUMMYFUNCTION("""COMPUTED_VALUE"""),42943.99861111111)</f>
        <v>42943.99861</v>
      </c>
      <c r="B2531" s="1">
        <f>IFERROR(__xludf.DUMMYFUNCTION("""COMPUTED_VALUE"""),13808.8314)</f>
        <v>13808.8314</v>
      </c>
    </row>
    <row r="2532">
      <c r="A2532" s="3">
        <f>IFERROR(__xludf.DUMMYFUNCTION("""COMPUTED_VALUE"""),42944.99861111111)</f>
        <v>42944.99861</v>
      </c>
      <c r="B2532" s="1">
        <f>IFERROR(__xludf.DUMMYFUNCTION("""COMPUTED_VALUE"""),13760.3865)</f>
        <v>13760.3865</v>
      </c>
    </row>
    <row r="2533">
      <c r="A2533" s="3">
        <f>IFERROR(__xludf.DUMMYFUNCTION("""COMPUTED_VALUE"""),42945.99861111111)</f>
        <v>42945.99861</v>
      </c>
      <c r="B2533" s="1">
        <f>IFERROR(__xludf.DUMMYFUNCTION("""COMPUTED_VALUE"""),13747.572)</f>
        <v>13747.572</v>
      </c>
    </row>
    <row r="2534">
      <c r="A2534" s="3">
        <f>IFERROR(__xludf.DUMMYFUNCTION("""COMPUTED_VALUE"""),42946.99861111111)</f>
        <v>42946.99861</v>
      </c>
      <c r="B2534" s="1">
        <f>IFERROR(__xludf.DUMMYFUNCTION("""COMPUTED_VALUE"""),13741.3116)</f>
        <v>13741.3116</v>
      </c>
    </row>
    <row r="2535">
      <c r="A2535" s="3">
        <f>IFERROR(__xludf.DUMMYFUNCTION("""COMPUTED_VALUE"""),42947.99861111111)</f>
        <v>42947.99861</v>
      </c>
      <c r="B2535" s="1">
        <f>IFERROR(__xludf.DUMMYFUNCTION("""COMPUTED_VALUE"""),13765.4848)</f>
        <v>13765.4848</v>
      </c>
    </row>
    <row r="2536">
      <c r="A2536" s="3">
        <f>IFERROR(__xludf.DUMMYFUNCTION("""COMPUTED_VALUE"""),42948.99861111111)</f>
        <v>42948.99861</v>
      </c>
      <c r="B2536" s="1">
        <f>IFERROR(__xludf.DUMMYFUNCTION("""COMPUTED_VALUE"""),13791.0852)</f>
        <v>13791.0852</v>
      </c>
    </row>
    <row r="2537">
      <c r="A2537" s="3">
        <f>IFERROR(__xludf.DUMMYFUNCTION("""COMPUTED_VALUE"""),42949.99861111111)</f>
        <v>42949.99861</v>
      </c>
      <c r="B2537" s="1">
        <f>IFERROR(__xludf.DUMMYFUNCTION("""COMPUTED_VALUE"""),13717.70853)</f>
        <v>13717.70853</v>
      </c>
    </row>
    <row r="2538">
      <c r="A2538" s="3">
        <f>IFERROR(__xludf.DUMMYFUNCTION("""COMPUTED_VALUE"""),42950.99861111111)</f>
        <v>42950.99861</v>
      </c>
      <c r="B2538" s="1">
        <f>IFERROR(__xludf.DUMMYFUNCTION("""COMPUTED_VALUE"""),13761.1908)</f>
        <v>13761.1908</v>
      </c>
    </row>
    <row r="2539">
      <c r="A2539" s="3">
        <f>IFERROR(__xludf.DUMMYFUNCTION("""COMPUTED_VALUE"""),42951.99861111111)</f>
        <v>42951.99861</v>
      </c>
      <c r="B2539" s="1">
        <f>IFERROR(__xludf.DUMMYFUNCTION("""COMPUTED_VALUE"""),13682.0736)</f>
        <v>13682.0736</v>
      </c>
    </row>
    <row r="2540">
      <c r="A2540" s="3">
        <f>IFERROR(__xludf.DUMMYFUNCTION("""COMPUTED_VALUE"""),42953.99861111111)</f>
        <v>42953.99861</v>
      </c>
      <c r="B2540" s="1">
        <f>IFERROR(__xludf.DUMMYFUNCTION("""COMPUTED_VALUE"""),13678.9902)</f>
        <v>13678.9902</v>
      </c>
    </row>
    <row r="2541">
      <c r="A2541" s="3">
        <f>IFERROR(__xludf.DUMMYFUNCTION("""COMPUTED_VALUE"""),42954.99861111111)</f>
        <v>42954.99861</v>
      </c>
      <c r="B2541" s="1">
        <f>IFERROR(__xludf.DUMMYFUNCTION("""COMPUTED_VALUE"""),13675.70335)</f>
        <v>13675.70335</v>
      </c>
    </row>
    <row r="2542">
      <c r="A2542" s="3">
        <f>IFERROR(__xludf.DUMMYFUNCTION("""COMPUTED_VALUE"""),42955.99861111111)</f>
        <v>42955.99861</v>
      </c>
      <c r="B2542" s="1">
        <f>IFERROR(__xludf.DUMMYFUNCTION("""COMPUTED_VALUE"""),13671.915)</f>
        <v>13671.915</v>
      </c>
    </row>
    <row r="2543">
      <c r="A2543" s="3">
        <f>IFERROR(__xludf.DUMMYFUNCTION("""COMPUTED_VALUE"""),42956.99861111111)</f>
        <v>42956.99861</v>
      </c>
      <c r="B2543" s="1">
        <f>IFERROR(__xludf.DUMMYFUNCTION("""COMPUTED_VALUE"""),13827.0576)</f>
        <v>13827.0576</v>
      </c>
    </row>
    <row r="2544">
      <c r="A2544" s="3">
        <f>IFERROR(__xludf.DUMMYFUNCTION("""COMPUTED_VALUE"""),42957.99861111111)</f>
        <v>42957.99861</v>
      </c>
      <c r="B2544" s="1">
        <f>IFERROR(__xludf.DUMMYFUNCTION("""COMPUTED_VALUE"""),13854.7492)</f>
        <v>13854.7492</v>
      </c>
    </row>
    <row r="2545">
      <c r="A2545" s="3">
        <f>IFERROR(__xludf.DUMMYFUNCTION("""COMPUTED_VALUE"""),42958.99861111111)</f>
        <v>42958.99861</v>
      </c>
      <c r="B2545" s="1">
        <f>IFERROR(__xludf.DUMMYFUNCTION("""COMPUTED_VALUE"""),13874.9506)</f>
        <v>13874.9506</v>
      </c>
    </row>
    <row r="2546">
      <c r="A2546" s="3">
        <f>IFERROR(__xludf.DUMMYFUNCTION("""COMPUTED_VALUE"""),42959.99861111111)</f>
        <v>42959.99861</v>
      </c>
      <c r="B2546" s="1">
        <f>IFERROR(__xludf.DUMMYFUNCTION("""COMPUTED_VALUE"""),13874.3592)</f>
        <v>13874.3592</v>
      </c>
    </row>
    <row r="2547">
      <c r="A2547" s="3">
        <f>IFERROR(__xludf.DUMMYFUNCTION("""COMPUTED_VALUE"""),42960.99861111111)</f>
        <v>42960.99861</v>
      </c>
      <c r="B2547" s="1">
        <f>IFERROR(__xludf.DUMMYFUNCTION("""COMPUTED_VALUE"""),13865.0135)</f>
        <v>13865.0135</v>
      </c>
    </row>
    <row r="2548">
      <c r="A2548" s="3">
        <f>IFERROR(__xludf.DUMMYFUNCTION("""COMPUTED_VALUE"""),42961.99861111111)</f>
        <v>42961.99861</v>
      </c>
      <c r="B2548" s="1">
        <f>IFERROR(__xludf.DUMMYFUNCTION("""COMPUTED_VALUE"""),13718.2444)</f>
        <v>13718.2444</v>
      </c>
    </row>
    <row r="2549">
      <c r="A2549" s="3">
        <f>IFERROR(__xludf.DUMMYFUNCTION("""COMPUTED_VALUE"""),42962.99861111111)</f>
        <v>42962.99861</v>
      </c>
      <c r="B2549" s="1">
        <f>IFERROR(__xludf.DUMMYFUNCTION("""COMPUTED_VALUE"""),13730.5828)</f>
        <v>13730.5828</v>
      </c>
    </row>
    <row r="2550">
      <c r="A2550" s="3">
        <f>IFERROR(__xludf.DUMMYFUNCTION("""COMPUTED_VALUE"""),42963.99861111111)</f>
        <v>42963.99861</v>
      </c>
      <c r="B2550" s="1">
        <f>IFERROR(__xludf.DUMMYFUNCTION("""COMPUTED_VALUE"""),13831.935)</f>
        <v>13831.935</v>
      </c>
    </row>
    <row r="2551">
      <c r="A2551" s="3">
        <f>IFERROR(__xludf.DUMMYFUNCTION("""COMPUTED_VALUE"""),42964.99861111111)</f>
        <v>42964.99861</v>
      </c>
      <c r="B2551" s="1">
        <f>IFERROR(__xludf.DUMMYFUNCTION("""COMPUTED_VALUE"""),13896.1824)</f>
        <v>13896.1824</v>
      </c>
    </row>
    <row r="2552">
      <c r="A2552" s="3">
        <f>IFERROR(__xludf.DUMMYFUNCTION("""COMPUTED_VALUE"""),42965.99861111111)</f>
        <v>42965.99861</v>
      </c>
      <c r="B2552" s="1">
        <f>IFERROR(__xludf.DUMMYFUNCTION("""COMPUTED_VALUE"""),13838.888)</f>
        <v>13838.888</v>
      </c>
    </row>
    <row r="2553">
      <c r="A2553" s="3">
        <f>IFERROR(__xludf.DUMMYFUNCTION("""COMPUTED_VALUE"""),42966.99861111111)</f>
        <v>42966.99861</v>
      </c>
      <c r="B2553" s="1">
        <f>IFERROR(__xludf.DUMMYFUNCTION("""COMPUTED_VALUE"""),13838.451)</f>
        <v>13838.451</v>
      </c>
    </row>
    <row r="2554">
      <c r="A2554" s="3">
        <f>IFERROR(__xludf.DUMMYFUNCTION("""COMPUTED_VALUE"""),42967.99861111111)</f>
        <v>42967.99861</v>
      </c>
      <c r="B2554" s="1">
        <f>IFERROR(__xludf.DUMMYFUNCTION("""COMPUTED_VALUE"""),13826.4315)</f>
        <v>13826.4315</v>
      </c>
    </row>
    <row r="2555">
      <c r="A2555" s="3">
        <f>IFERROR(__xludf.DUMMYFUNCTION("""COMPUTED_VALUE"""),42968.99861111111)</f>
        <v>42968.99861</v>
      </c>
      <c r="B2555" s="1">
        <f>IFERROR(__xludf.DUMMYFUNCTION("""COMPUTED_VALUE"""),13864.416)</f>
        <v>13864.416</v>
      </c>
    </row>
    <row r="2556">
      <c r="A2556" s="3">
        <f>IFERROR(__xludf.DUMMYFUNCTION("""COMPUTED_VALUE"""),42969.99861111111)</f>
        <v>42969.99861</v>
      </c>
      <c r="B2556" s="1">
        <f>IFERROR(__xludf.DUMMYFUNCTION("""COMPUTED_VALUE"""),13755.3975)</f>
        <v>13755.3975</v>
      </c>
    </row>
    <row r="2557">
      <c r="A2557" s="3">
        <f>IFERROR(__xludf.DUMMYFUNCTION("""COMPUTED_VALUE"""),42970.99861111111)</f>
        <v>42970.99861</v>
      </c>
      <c r="B2557" s="1">
        <f>IFERROR(__xludf.DUMMYFUNCTION("""COMPUTED_VALUE"""),13834.3062)</f>
        <v>13834.3062</v>
      </c>
    </row>
    <row r="2558">
      <c r="A2558" s="3">
        <f>IFERROR(__xludf.DUMMYFUNCTION("""COMPUTED_VALUE"""),42971.99861111111)</f>
        <v>42971.99861</v>
      </c>
      <c r="B2558" s="1">
        <f>IFERROR(__xludf.DUMMYFUNCTION("""COMPUTED_VALUE"""),13812.988)</f>
        <v>13812.988</v>
      </c>
    </row>
    <row r="2559">
      <c r="A2559" s="3">
        <f>IFERROR(__xludf.DUMMYFUNCTION("""COMPUTED_VALUE"""),42972.99861111111)</f>
        <v>42972.99861</v>
      </c>
      <c r="B2559" s="1">
        <f>IFERROR(__xludf.DUMMYFUNCTION("""COMPUTED_VALUE"""),13941.345)</f>
        <v>13941.345</v>
      </c>
    </row>
    <row r="2560">
      <c r="A2560" s="3">
        <f>IFERROR(__xludf.DUMMYFUNCTION("""COMPUTED_VALUE"""),42973.99861111111)</f>
        <v>42973.99861</v>
      </c>
      <c r="B2560" s="1">
        <f>IFERROR(__xludf.DUMMYFUNCTION("""COMPUTED_VALUE"""),13965.3588)</f>
        <v>13965.3588</v>
      </c>
    </row>
    <row r="2561">
      <c r="A2561" s="3">
        <f>IFERROR(__xludf.DUMMYFUNCTION("""COMPUTED_VALUE"""),42974.99861111111)</f>
        <v>42974.99861</v>
      </c>
      <c r="B2561" s="1">
        <f>IFERROR(__xludf.DUMMYFUNCTION("""COMPUTED_VALUE"""),13959.2635)</f>
        <v>13959.2635</v>
      </c>
    </row>
    <row r="2562">
      <c r="A2562" s="3">
        <f>IFERROR(__xludf.DUMMYFUNCTION("""COMPUTED_VALUE"""),42975.99861111111)</f>
        <v>42975.99861</v>
      </c>
      <c r="B2562" s="1">
        <f>IFERROR(__xludf.DUMMYFUNCTION("""COMPUTED_VALUE"""),13964.1591)</f>
        <v>13964.1591</v>
      </c>
    </row>
    <row r="2563">
      <c r="A2563" s="3">
        <f>IFERROR(__xludf.DUMMYFUNCTION("""COMPUTED_VALUE"""),42976.99861111111)</f>
        <v>42976.99861</v>
      </c>
      <c r="B2563" s="1">
        <f>IFERROR(__xludf.DUMMYFUNCTION("""COMPUTED_VALUE"""),13948.9846)</f>
        <v>13948.9846</v>
      </c>
    </row>
    <row r="2564">
      <c r="A2564" s="3">
        <f>IFERROR(__xludf.DUMMYFUNCTION("""COMPUTED_VALUE"""),42977.99861111111)</f>
        <v>42977.99861</v>
      </c>
      <c r="B2564" s="1">
        <f>IFERROR(__xludf.DUMMYFUNCTION("""COMPUTED_VALUE"""),13834.025)</f>
        <v>13834.025</v>
      </c>
    </row>
    <row r="2565">
      <c r="A2565" s="3">
        <f>IFERROR(__xludf.DUMMYFUNCTION("""COMPUTED_VALUE"""),42978.99861111111)</f>
        <v>42978.99861</v>
      </c>
      <c r="B2565" s="1">
        <f>IFERROR(__xludf.DUMMYFUNCTION("""COMPUTED_VALUE"""),13879.1499)</f>
        <v>13879.1499</v>
      </c>
    </row>
    <row r="2566">
      <c r="A2566" s="3">
        <f>IFERROR(__xludf.DUMMYFUNCTION("""COMPUTED_VALUE"""),42979.99861111111)</f>
        <v>42979.99861</v>
      </c>
      <c r="B2566" s="1">
        <f>IFERROR(__xludf.DUMMYFUNCTION("""COMPUTED_VALUE"""),13816.9879)</f>
        <v>13816.9879</v>
      </c>
    </row>
    <row r="2567">
      <c r="A2567" s="3">
        <f>IFERROR(__xludf.DUMMYFUNCTION("""COMPUTED_VALUE"""),42980.99861111111)</f>
        <v>42980.99861</v>
      </c>
      <c r="B2567" s="1">
        <f>IFERROR(__xludf.DUMMYFUNCTION("""COMPUTED_VALUE"""),13820.394)</f>
        <v>13820.394</v>
      </c>
    </row>
    <row r="2568">
      <c r="A2568" s="3">
        <f>IFERROR(__xludf.DUMMYFUNCTION("""COMPUTED_VALUE"""),42981.99861111111)</f>
        <v>42981.99861</v>
      </c>
      <c r="B2568" s="1">
        <f>IFERROR(__xludf.DUMMYFUNCTION("""COMPUTED_VALUE"""),13871.70536)</f>
        <v>13871.70536</v>
      </c>
    </row>
    <row r="2569">
      <c r="A2569" s="3">
        <f>IFERROR(__xludf.DUMMYFUNCTION("""COMPUTED_VALUE"""),42982.99861111111)</f>
        <v>42982.99861</v>
      </c>
      <c r="B2569" s="1">
        <f>IFERROR(__xludf.DUMMYFUNCTION("""COMPUTED_VALUE"""),13923.84075)</f>
        <v>13923.84075</v>
      </c>
    </row>
    <row r="2570">
      <c r="A2570" s="3">
        <f>IFERROR(__xludf.DUMMYFUNCTION("""COMPUTED_VALUE"""),42983.99861111111)</f>
        <v>42983.99861</v>
      </c>
      <c r="B2570" s="1">
        <f>IFERROR(__xludf.DUMMYFUNCTION("""COMPUTED_VALUE"""),13976.9839)</f>
        <v>13976.9839</v>
      </c>
    </row>
    <row r="2571">
      <c r="A2571" s="3">
        <f>IFERROR(__xludf.DUMMYFUNCTION("""COMPUTED_VALUE"""),42984.99861111111)</f>
        <v>42984.99861</v>
      </c>
      <c r="B2571" s="1">
        <f>IFERROR(__xludf.DUMMYFUNCTION("""COMPUTED_VALUE"""),13955.2618)</f>
        <v>13955.2618</v>
      </c>
    </row>
    <row r="2572">
      <c r="A2572" s="3">
        <f>IFERROR(__xludf.DUMMYFUNCTION("""COMPUTED_VALUE"""),42985.99861111111)</f>
        <v>42985.99861</v>
      </c>
      <c r="B2572" s="1">
        <f>IFERROR(__xludf.DUMMYFUNCTION("""COMPUTED_VALUE"""),13991.9881)</f>
        <v>13991.9881</v>
      </c>
    </row>
    <row r="2573">
      <c r="A2573" s="3">
        <f>IFERROR(__xludf.DUMMYFUNCTION("""COMPUTED_VALUE"""),42986.99861111111)</f>
        <v>42986.99861</v>
      </c>
      <c r="B2573" s="1">
        <f>IFERROR(__xludf.DUMMYFUNCTION("""COMPUTED_VALUE"""),13972.9836)</f>
        <v>13972.9836</v>
      </c>
    </row>
    <row r="2574">
      <c r="A2574" s="3">
        <f>IFERROR(__xludf.DUMMYFUNCTION("""COMPUTED_VALUE"""),42987.99861111111)</f>
        <v>42987.99861</v>
      </c>
      <c r="B2574" s="1">
        <f>IFERROR(__xludf.DUMMYFUNCTION("""COMPUTED_VALUE"""),13968.227)</f>
        <v>13968.227</v>
      </c>
    </row>
    <row r="2575">
      <c r="A2575" s="3">
        <f>IFERROR(__xludf.DUMMYFUNCTION("""COMPUTED_VALUE"""),42988.99861111111)</f>
        <v>42988.99861</v>
      </c>
      <c r="B2575" s="1">
        <f>IFERROR(__xludf.DUMMYFUNCTION("""COMPUTED_VALUE"""),13926.7941)</f>
        <v>13926.7941</v>
      </c>
    </row>
    <row r="2576">
      <c r="A2576" s="3">
        <f>IFERROR(__xludf.DUMMYFUNCTION("""COMPUTED_VALUE"""),42989.99861111111)</f>
        <v>42989.99861</v>
      </c>
      <c r="B2576" s="1">
        <f>IFERROR(__xludf.DUMMYFUNCTION("""COMPUTED_VALUE"""),13776.8256)</f>
        <v>13776.8256</v>
      </c>
    </row>
    <row r="2577">
      <c r="A2577" s="3">
        <f>IFERROR(__xludf.DUMMYFUNCTION("""COMPUTED_VALUE"""),42990.99861111111)</f>
        <v>42990.99861</v>
      </c>
      <c r="B2577" s="1">
        <f>IFERROR(__xludf.DUMMYFUNCTION("""COMPUTED_VALUE"""),13754.8112)</f>
        <v>13754.8112</v>
      </c>
    </row>
    <row r="2578">
      <c r="A2578" s="3">
        <f>IFERROR(__xludf.DUMMYFUNCTION("""COMPUTED_VALUE"""),42991.99861111111)</f>
        <v>42991.99861</v>
      </c>
      <c r="B2578" s="1">
        <f>IFERROR(__xludf.DUMMYFUNCTION("""COMPUTED_VALUE"""),13738.575)</f>
        <v>13738.575</v>
      </c>
    </row>
    <row r="2579">
      <c r="A2579" s="3">
        <f>IFERROR(__xludf.DUMMYFUNCTION("""COMPUTED_VALUE"""),42992.99861111111)</f>
        <v>42992.99861</v>
      </c>
      <c r="B2579" s="1">
        <f>IFERROR(__xludf.DUMMYFUNCTION("""COMPUTED_VALUE"""),13792.48)</f>
        <v>13792.48</v>
      </c>
    </row>
    <row r="2580">
      <c r="A2580" s="3">
        <f>IFERROR(__xludf.DUMMYFUNCTION("""COMPUTED_VALUE"""),42993.99861111111)</f>
        <v>42993.99861</v>
      </c>
      <c r="B2580" s="1">
        <f>IFERROR(__xludf.DUMMYFUNCTION("""COMPUTED_VALUE"""),13797.0336)</f>
        <v>13797.0336</v>
      </c>
    </row>
    <row r="2581">
      <c r="A2581" s="3">
        <f>IFERROR(__xludf.DUMMYFUNCTION("""COMPUTED_VALUE"""),42995.99861111111)</f>
        <v>42995.99861</v>
      </c>
      <c r="B2581" s="1">
        <f>IFERROR(__xludf.DUMMYFUNCTION("""COMPUTED_VALUE"""),13792.41656)</f>
        <v>13792.41656</v>
      </c>
    </row>
    <row r="2582">
      <c r="A2582" s="3">
        <f>IFERROR(__xludf.DUMMYFUNCTION("""COMPUTED_VALUE"""),42996.99861111111)</f>
        <v>42996.99861</v>
      </c>
      <c r="B2582" s="1">
        <f>IFERROR(__xludf.DUMMYFUNCTION("""COMPUTED_VALUE"""),13796.0664)</f>
        <v>13796.0664</v>
      </c>
    </row>
    <row r="2583">
      <c r="A2583" s="3">
        <f>IFERROR(__xludf.DUMMYFUNCTION("""COMPUTED_VALUE"""),42997.99861111111)</f>
        <v>42997.99861</v>
      </c>
      <c r="B2583" s="1">
        <f>IFERROR(__xludf.DUMMYFUNCTION("""COMPUTED_VALUE"""),13770.3328)</f>
        <v>13770.3328</v>
      </c>
    </row>
    <row r="2584">
      <c r="A2584" s="3">
        <f>IFERROR(__xludf.DUMMYFUNCTION("""COMPUTED_VALUE"""),42998.99861111111)</f>
        <v>42998.99861</v>
      </c>
      <c r="B2584" s="1">
        <f>IFERROR(__xludf.DUMMYFUNCTION("""COMPUTED_VALUE"""),13663.2262)</f>
        <v>13663.2262</v>
      </c>
    </row>
    <row r="2585">
      <c r="A2585" s="3">
        <f>IFERROR(__xludf.DUMMYFUNCTION("""COMPUTED_VALUE"""),42999.99861111111)</f>
        <v>42999.99861</v>
      </c>
      <c r="B2585" s="1">
        <f>IFERROR(__xludf.DUMMYFUNCTION("""COMPUTED_VALUE"""),13679.1538)</f>
        <v>13679.1538</v>
      </c>
    </row>
    <row r="2586">
      <c r="A2586" s="3">
        <f>IFERROR(__xludf.DUMMYFUNCTION("""COMPUTED_VALUE"""),43000.99861111111)</f>
        <v>43000.99861</v>
      </c>
      <c r="B2586" s="1">
        <f>IFERROR(__xludf.DUMMYFUNCTION("""COMPUTED_VALUE"""),13705.977)</f>
        <v>13705.977</v>
      </c>
    </row>
    <row r="2587">
      <c r="A2587" s="3">
        <f>IFERROR(__xludf.DUMMYFUNCTION("""COMPUTED_VALUE"""),43002.99861111111)</f>
        <v>43002.99861</v>
      </c>
      <c r="B2587" s="1">
        <f>IFERROR(__xludf.DUMMYFUNCTION("""COMPUTED_VALUE"""),13705.18)</f>
        <v>13705.18</v>
      </c>
    </row>
    <row r="2588">
      <c r="A2588" s="3">
        <f>IFERROR(__xludf.DUMMYFUNCTION("""COMPUTED_VALUE"""),43003.99861111111)</f>
        <v>43003.99861</v>
      </c>
      <c r="B2588" s="1">
        <f>IFERROR(__xludf.DUMMYFUNCTION("""COMPUTED_VALUE"""),13781.1693)</f>
        <v>13781.1693</v>
      </c>
    </row>
    <row r="2589">
      <c r="A2589" s="3">
        <f>IFERROR(__xludf.DUMMYFUNCTION("""COMPUTED_VALUE"""),43004.99861111111)</f>
        <v>43004.99861</v>
      </c>
      <c r="B2589" s="1">
        <f>IFERROR(__xludf.DUMMYFUNCTION("""COMPUTED_VALUE"""),13796.3125)</f>
        <v>13796.3125</v>
      </c>
    </row>
    <row r="2590">
      <c r="A2590" s="3">
        <f>IFERROR(__xludf.DUMMYFUNCTION("""COMPUTED_VALUE"""),43005.99861111111)</f>
        <v>43005.99861</v>
      </c>
      <c r="B2590" s="1">
        <f>IFERROR(__xludf.DUMMYFUNCTION("""COMPUTED_VALUE"""),13819.8704)</f>
        <v>13819.8704</v>
      </c>
    </row>
    <row r="2591">
      <c r="A2591" s="3">
        <f>IFERROR(__xludf.DUMMYFUNCTION("""COMPUTED_VALUE"""),43006.99861111111)</f>
        <v>43006.99861</v>
      </c>
      <c r="B2591" s="1">
        <f>IFERROR(__xludf.DUMMYFUNCTION("""COMPUTED_VALUE"""),13914.5908)</f>
        <v>13914.5908</v>
      </c>
    </row>
    <row r="2592">
      <c r="A2592" s="3">
        <f>IFERROR(__xludf.DUMMYFUNCTION("""COMPUTED_VALUE"""),43007.99861111111)</f>
        <v>43007.99861</v>
      </c>
      <c r="B2592" s="1">
        <f>IFERROR(__xludf.DUMMYFUNCTION("""COMPUTED_VALUE"""),13809.96)</f>
        <v>13809.96</v>
      </c>
    </row>
    <row r="2593">
      <c r="A2593" s="3">
        <f>IFERROR(__xludf.DUMMYFUNCTION("""COMPUTED_VALUE"""),43008.99861111111)</f>
        <v>43008.99861</v>
      </c>
      <c r="B2593" s="1">
        <f>IFERROR(__xludf.DUMMYFUNCTION("""COMPUTED_VALUE"""),13827.88839)</f>
        <v>13827.88839</v>
      </c>
    </row>
    <row r="2594">
      <c r="A2594" s="3">
        <f>IFERROR(__xludf.DUMMYFUNCTION("""COMPUTED_VALUE"""),43009.99861111111)</f>
        <v>43009.99861</v>
      </c>
      <c r="B2594" s="1">
        <f>IFERROR(__xludf.DUMMYFUNCTION("""COMPUTED_VALUE"""),13891.8405)</f>
        <v>13891.8405</v>
      </c>
    </row>
    <row r="2595">
      <c r="A2595" s="3">
        <f>IFERROR(__xludf.DUMMYFUNCTION("""COMPUTED_VALUE"""),43010.99861111111)</f>
        <v>43010.99861</v>
      </c>
      <c r="B2595" s="1">
        <f>IFERROR(__xludf.DUMMYFUNCTION("""COMPUTED_VALUE"""),13884.1591)</f>
        <v>13884.1591</v>
      </c>
    </row>
    <row r="2596">
      <c r="A2596" s="3">
        <f>IFERROR(__xludf.DUMMYFUNCTION("""COMPUTED_VALUE"""),43011.99861111111)</f>
        <v>43011.99861</v>
      </c>
      <c r="B2596" s="1">
        <f>IFERROR(__xludf.DUMMYFUNCTION("""COMPUTED_VALUE"""),13906.61568)</f>
        <v>13906.61568</v>
      </c>
    </row>
    <row r="2597">
      <c r="A2597" s="3">
        <f>IFERROR(__xludf.DUMMYFUNCTION("""COMPUTED_VALUE"""),43012.99861111111)</f>
        <v>43012.99861</v>
      </c>
      <c r="B2597" s="1">
        <f>IFERROR(__xludf.DUMMYFUNCTION("""COMPUTED_VALUE"""),13808.6358)</f>
        <v>13808.6358</v>
      </c>
    </row>
    <row r="2598">
      <c r="A2598" s="3">
        <f>IFERROR(__xludf.DUMMYFUNCTION("""COMPUTED_VALUE"""),43013.99861111111)</f>
        <v>43013.99861</v>
      </c>
      <c r="B2598" s="1">
        <f>IFERROR(__xludf.DUMMYFUNCTION("""COMPUTED_VALUE"""),13742.8867)</f>
        <v>13742.8867</v>
      </c>
    </row>
    <row r="2599">
      <c r="A2599" s="3">
        <f>IFERROR(__xludf.DUMMYFUNCTION("""COMPUTED_VALUE"""),43014.99861111111)</f>
        <v>43014.99861</v>
      </c>
      <c r="B2599" s="1">
        <f>IFERROR(__xludf.DUMMYFUNCTION("""COMPUTED_VALUE"""),13799.044)</f>
        <v>13799.044</v>
      </c>
    </row>
    <row r="2600">
      <c r="A2600" s="3">
        <f>IFERROR(__xludf.DUMMYFUNCTION("""COMPUTED_VALUE"""),43015.99861111111)</f>
        <v>43015.99861</v>
      </c>
      <c r="B2600" s="1">
        <f>IFERROR(__xludf.DUMMYFUNCTION("""COMPUTED_VALUE"""),13797.9831)</f>
        <v>13797.9831</v>
      </c>
    </row>
    <row r="2601">
      <c r="A2601" s="3">
        <f>IFERROR(__xludf.DUMMYFUNCTION("""COMPUTED_VALUE"""),43016.99861111111)</f>
        <v>43016.99861</v>
      </c>
      <c r="B2601" s="1">
        <f>IFERROR(__xludf.DUMMYFUNCTION("""COMPUTED_VALUE"""),13799.73771)</f>
        <v>13799.73771</v>
      </c>
    </row>
    <row r="2602">
      <c r="A2602" s="3">
        <f>IFERROR(__xludf.DUMMYFUNCTION("""COMPUTED_VALUE"""),43017.99861111111)</f>
        <v>43017.99861</v>
      </c>
      <c r="B2602" s="1">
        <f>IFERROR(__xludf.DUMMYFUNCTION("""COMPUTED_VALUE"""),13784.253)</f>
        <v>13784.253</v>
      </c>
    </row>
    <row r="2603">
      <c r="A2603" s="3">
        <f>IFERROR(__xludf.DUMMYFUNCTION("""COMPUTED_VALUE"""),43018.99861111111)</f>
        <v>43018.99861</v>
      </c>
      <c r="B2603" s="1">
        <f>IFERROR(__xludf.DUMMYFUNCTION("""COMPUTED_VALUE"""),13860.5845)</f>
        <v>13860.5845</v>
      </c>
    </row>
    <row r="2604">
      <c r="A2604" s="3">
        <f>IFERROR(__xludf.DUMMYFUNCTION("""COMPUTED_VALUE"""),43019.99861111111)</f>
        <v>43019.99861</v>
      </c>
      <c r="B2604" s="1">
        <f>IFERROR(__xludf.DUMMYFUNCTION("""COMPUTED_VALUE"""),13882.876)</f>
        <v>13882.876</v>
      </c>
    </row>
    <row r="2605">
      <c r="A2605" s="3">
        <f>IFERROR(__xludf.DUMMYFUNCTION("""COMPUTED_VALUE"""),43020.99861111111)</f>
        <v>43020.99861</v>
      </c>
      <c r="B2605" s="1">
        <f>IFERROR(__xludf.DUMMYFUNCTION("""COMPUTED_VALUE"""),13842.199)</f>
        <v>13842.199</v>
      </c>
    </row>
    <row r="2606">
      <c r="A2606" s="3">
        <f>IFERROR(__xludf.DUMMYFUNCTION("""COMPUTED_VALUE"""),43021.99861111111)</f>
        <v>43021.99861</v>
      </c>
      <c r="B2606" s="1">
        <f>IFERROR(__xludf.DUMMYFUNCTION("""COMPUTED_VALUE"""),13777.837)</f>
        <v>13777.837</v>
      </c>
    </row>
    <row r="2607">
      <c r="A2607" s="3">
        <f>IFERROR(__xludf.DUMMYFUNCTION("""COMPUTED_VALUE"""),43022.99861111111)</f>
        <v>43022.99861</v>
      </c>
      <c r="B2607" s="1">
        <f>IFERROR(__xludf.DUMMYFUNCTION("""COMPUTED_VALUE"""),13842.792)</f>
        <v>13842.792</v>
      </c>
    </row>
    <row r="2608">
      <c r="A2608" s="3">
        <f>IFERROR(__xludf.DUMMYFUNCTION("""COMPUTED_VALUE"""),43023.99861111111)</f>
        <v>43023.99861</v>
      </c>
      <c r="B2608" s="1">
        <f>IFERROR(__xludf.DUMMYFUNCTION("""COMPUTED_VALUE"""),13841.4428)</f>
        <v>13841.4428</v>
      </c>
    </row>
    <row r="2609">
      <c r="A2609" s="3">
        <f>IFERROR(__xludf.DUMMYFUNCTION("""COMPUTED_VALUE"""),43024.99861111111)</f>
        <v>43024.99861</v>
      </c>
      <c r="B2609" s="1">
        <f>IFERROR(__xludf.DUMMYFUNCTION("""COMPUTED_VALUE"""),13816.9428)</f>
        <v>13816.9428</v>
      </c>
    </row>
    <row r="2610">
      <c r="A2610" s="3">
        <f>IFERROR(__xludf.DUMMYFUNCTION("""COMPUTED_VALUE"""),43025.99861111111)</f>
        <v>43025.99861</v>
      </c>
      <c r="B2610" s="1">
        <f>IFERROR(__xludf.DUMMYFUNCTION("""COMPUTED_VALUE"""),13797.288)</f>
        <v>13797.288</v>
      </c>
    </row>
    <row r="2611">
      <c r="A2611" s="3">
        <f>IFERROR(__xludf.DUMMYFUNCTION("""COMPUTED_VALUE"""),43026.99861111111)</f>
        <v>43026.99861</v>
      </c>
      <c r="B2611" s="1">
        <f>IFERROR(__xludf.DUMMYFUNCTION("""COMPUTED_VALUE"""),13766.69)</f>
        <v>13766.69</v>
      </c>
    </row>
    <row r="2612">
      <c r="A2612" s="3">
        <f>IFERROR(__xludf.DUMMYFUNCTION("""COMPUTED_VALUE"""),43027.99861111111)</f>
        <v>43027.99861</v>
      </c>
      <c r="B2612" s="1">
        <f>IFERROR(__xludf.DUMMYFUNCTION("""COMPUTED_VALUE"""),13813.76)</f>
        <v>13813.76</v>
      </c>
    </row>
    <row r="2613">
      <c r="A2613" s="3">
        <f>IFERROR(__xludf.DUMMYFUNCTION("""COMPUTED_VALUE"""),43028.99861111111)</f>
        <v>43028.99861</v>
      </c>
      <c r="B2613" s="1">
        <f>IFERROR(__xludf.DUMMYFUNCTION("""COMPUTED_VALUE"""),13732.256)</f>
        <v>13732.256</v>
      </c>
    </row>
    <row r="2614">
      <c r="A2614" s="3">
        <f>IFERROR(__xludf.DUMMYFUNCTION("""COMPUTED_VALUE"""),43029.99861111111)</f>
        <v>43029.99861</v>
      </c>
      <c r="B2614" s="1">
        <f>IFERROR(__xludf.DUMMYFUNCTION("""COMPUTED_VALUE"""),13733.6076)</f>
        <v>13733.6076</v>
      </c>
    </row>
    <row r="2615">
      <c r="A2615" s="3">
        <f>IFERROR(__xludf.DUMMYFUNCTION("""COMPUTED_VALUE"""),43030.99861111111)</f>
        <v>43030.99861</v>
      </c>
      <c r="B2615" s="1">
        <f>IFERROR(__xludf.DUMMYFUNCTION("""COMPUTED_VALUE"""),13701.1692)</f>
        <v>13701.1692</v>
      </c>
    </row>
    <row r="2616">
      <c r="A2616" s="3">
        <f>IFERROR(__xludf.DUMMYFUNCTION("""COMPUTED_VALUE"""),43031.99861111111)</f>
        <v>43031.99861</v>
      </c>
      <c r="B2616" s="1">
        <f>IFERROR(__xludf.DUMMYFUNCTION("""COMPUTED_VALUE"""),13743.439)</f>
        <v>13743.439</v>
      </c>
    </row>
    <row r="2617">
      <c r="A2617" s="3">
        <f>IFERROR(__xludf.DUMMYFUNCTION("""COMPUTED_VALUE"""),43032.99861111111)</f>
        <v>43032.99861</v>
      </c>
      <c r="B2617" s="1">
        <f>IFERROR(__xludf.DUMMYFUNCTION("""COMPUTED_VALUE"""),13644.02)</f>
        <v>13644.02</v>
      </c>
    </row>
    <row r="2618">
      <c r="A2618" s="3">
        <f>IFERROR(__xludf.DUMMYFUNCTION("""COMPUTED_VALUE"""),43033.99861111111)</f>
        <v>43033.99861</v>
      </c>
      <c r="B2618" s="1">
        <f>IFERROR(__xludf.DUMMYFUNCTION("""COMPUTED_VALUE"""),13723.05636)</f>
        <v>13723.05636</v>
      </c>
    </row>
    <row r="2619">
      <c r="A2619" s="3">
        <f>IFERROR(__xludf.DUMMYFUNCTION("""COMPUTED_VALUE"""),43034.99861111111)</f>
        <v>43034.99861</v>
      </c>
      <c r="B2619" s="1">
        <f>IFERROR(__xludf.DUMMYFUNCTION("""COMPUTED_VALUE"""),13667.5574)</f>
        <v>13667.5574</v>
      </c>
    </row>
    <row r="2620">
      <c r="A2620" s="3">
        <f>IFERROR(__xludf.DUMMYFUNCTION("""COMPUTED_VALUE"""),43035.99861111111)</f>
        <v>43035.99861</v>
      </c>
      <c r="B2620" s="1">
        <f>IFERROR(__xludf.DUMMYFUNCTION("""COMPUTED_VALUE"""),13614.1047)</f>
        <v>13614.1047</v>
      </c>
    </row>
    <row r="2621">
      <c r="A2621" s="3">
        <f>IFERROR(__xludf.DUMMYFUNCTION("""COMPUTED_VALUE"""),43037.99861111111)</f>
        <v>43037.99861</v>
      </c>
      <c r="B2621" s="1">
        <f>IFERROR(__xludf.DUMMYFUNCTION("""COMPUTED_VALUE"""),13612.18664)</f>
        <v>13612.18664</v>
      </c>
    </row>
    <row r="2622">
      <c r="A2622" s="3">
        <f>IFERROR(__xludf.DUMMYFUNCTION("""COMPUTED_VALUE"""),43038.99861111111)</f>
        <v>43038.99861</v>
      </c>
      <c r="B2622" s="1">
        <f>IFERROR(__xludf.DUMMYFUNCTION("""COMPUTED_VALUE"""),13644.5848)</f>
        <v>13644.5848</v>
      </c>
    </row>
    <row r="2623">
      <c r="A2623" s="3">
        <f>IFERROR(__xludf.DUMMYFUNCTION("""COMPUTED_VALUE"""),43039.99861111111)</f>
        <v>43039.99861</v>
      </c>
      <c r="B2623" s="1">
        <f>IFERROR(__xludf.DUMMYFUNCTION("""COMPUTED_VALUE"""),13582.4634)</f>
        <v>13582.4634</v>
      </c>
    </row>
    <row r="2624">
      <c r="A2624" s="3">
        <f>IFERROR(__xludf.DUMMYFUNCTION("""COMPUTED_VALUE"""),43040.99861111111)</f>
        <v>43040.99861</v>
      </c>
      <c r="B2624" s="1">
        <f>IFERROR(__xludf.DUMMYFUNCTION("""COMPUTED_VALUE"""),13509.90146)</f>
        <v>13509.90146</v>
      </c>
    </row>
    <row r="2625">
      <c r="A2625" s="3">
        <f>IFERROR(__xludf.DUMMYFUNCTION("""COMPUTED_VALUE"""),43041.99861111111)</f>
        <v>43041.99861</v>
      </c>
      <c r="B2625" s="1">
        <f>IFERROR(__xludf.DUMMYFUNCTION("""COMPUTED_VALUE"""),13543.0)</f>
        <v>13543</v>
      </c>
    </row>
    <row r="2626">
      <c r="A2626" s="3">
        <f>IFERROR(__xludf.DUMMYFUNCTION("""COMPUTED_VALUE"""),43042.99861111111)</f>
        <v>43042.99861</v>
      </c>
      <c r="B2626" s="1">
        <f>IFERROR(__xludf.DUMMYFUNCTION("""COMPUTED_VALUE"""),13467.5984)</f>
        <v>13467.5984</v>
      </c>
    </row>
    <row r="2627">
      <c r="A2627" s="3">
        <f>IFERROR(__xludf.DUMMYFUNCTION("""COMPUTED_VALUE"""),43043.99861111111)</f>
        <v>43043.99861</v>
      </c>
      <c r="B2627" s="1">
        <f>IFERROR(__xludf.DUMMYFUNCTION("""COMPUTED_VALUE"""),13457.2188)</f>
        <v>13457.2188</v>
      </c>
    </row>
    <row r="2628">
      <c r="A2628" s="3">
        <f>IFERROR(__xludf.DUMMYFUNCTION("""COMPUTED_VALUE"""),43044.99861111111)</f>
        <v>43044.99861</v>
      </c>
      <c r="B2628" s="1">
        <f>IFERROR(__xludf.DUMMYFUNCTION("""COMPUTED_VALUE"""),13473.6644)</f>
        <v>13473.6644</v>
      </c>
    </row>
    <row r="2629">
      <c r="A2629" s="3">
        <f>IFERROR(__xludf.DUMMYFUNCTION("""COMPUTED_VALUE"""),43045.99861111111)</f>
        <v>43045.99861</v>
      </c>
      <c r="B2629" s="1">
        <f>IFERROR(__xludf.DUMMYFUNCTION("""COMPUTED_VALUE"""),13511.3143)</f>
        <v>13511.3143</v>
      </c>
    </row>
    <row r="2630">
      <c r="A2630" s="3">
        <f>IFERROR(__xludf.DUMMYFUNCTION("""COMPUTED_VALUE"""),43046.99861111111)</f>
        <v>43046.99861</v>
      </c>
      <c r="B2630" s="1">
        <f>IFERROR(__xludf.DUMMYFUNCTION("""COMPUTED_VALUE"""),13528.8654)</f>
        <v>13528.8654</v>
      </c>
    </row>
    <row r="2631">
      <c r="A2631" s="3">
        <f>IFERROR(__xludf.DUMMYFUNCTION("""COMPUTED_VALUE"""),43047.99861111111)</f>
        <v>43047.99861</v>
      </c>
      <c r="B2631" s="1">
        <f>IFERROR(__xludf.DUMMYFUNCTION("""COMPUTED_VALUE"""),13499.89431)</f>
        <v>13499.89431</v>
      </c>
    </row>
    <row r="2632">
      <c r="A2632" s="3">
        <f>IFERROR(__xludf.DUMMYFUNCTION("""COMPUTED_VALUE"""),43048.99861111111)</f>
        <v>43048.99861</v>
      </c>
      <c r="B2632" s="1">
        <f>IFERROR(__xludf.DUMMYFUNCTION("""COMPUTED_VALUE"""),13606.8093)</f>
        <v>13606.8093</v>
      </c>
    </row>
    <row r="2633">
      <c r="A2633" s="3">
        <f>IFERROR(__xludf.DUMMYFUNCTION("""COMPUTED_VALUE"""),43049.99861111111)</f>
        <v>43049.99861</v>
      </c>
      <c r="B2633" s="1">
        <f>IFERROR(__xludf.DUMMYFUNCTION("""COMPUTED_VALUE"""),13596.168)</f>
        <v>13596.168</v>
      </c>
    </row>
    <row r="2634">
      <c r="A2634" s="3">
        <f>IFERROR(__xludf.DUMMYFUNCTION("""COMPUTED_VALUE"""),43050.99861111111)</f>
        <v>43050.99861</v>
      </c>
      <c r="B2634" s="1">
        <f>IFERROR(__xludf.DUMMYFUNCTION("""COMPUTED_VALUE"""),13604.33052)</f>
        <v>13604.33052</v>
      </c>
    </row>
    <row r="2635">
      <c r="A2635" s="3">
        <f>IFERROR(__xludf.DUMMYFUNCTION("""COMPUTED_VALUE"""),43051.99861111111)</f>
        <v>43051.99861</v>
      </c>
      <c r="B2635" s="1">
        <f>IFERROR(__xludf.DUMMYFUNCTION("""COMPUTED_VALUE"""),13553.8872)</f>
        <v>13553.8872</v>
      </c>
    </row>
    <row r="2636">
      <c r="A2636" s="3">
        <f>IFERROR(__xludf.DUMMYFUNCTION("""COMPUTED_VALUE"""),43052.99861111111)</f>
        <v>43052.99861</v>
      </c>
      <c r="B2636" s="1">
        <f>IFERROR(__xludf.DUMMYFUNCTION("""COMPUTED_VALUE"""),13599.0802)</f>
        <v>13599.0802</v>
      </c>
    </row>
    <row r="2637">
      <c r="A2637" s="3">
        <f>IFERROR(__xludf.DUMMYFUNCTION("""COMPUTED_VALUE"""),43053.99861111111)</f>
        <v>43053.99861</v>
      </c>
      <c r="B2637" s="1">
        <f>IFERROR(__xludf.DUMMYFUNCTION("""COMPUTED_VALUE"""),13684.5135)</f>
        <v>13684.5135</v>
      </c>
    </row>
    <row r="2638">
      <c r="A2638" s="3">
        <f>IFERROR(__xludf.DUMMYFUNCTION("""COMPUTED_VALUE"""),43054.99861111111)</f>
        <v>43054.99861</v>
      </c>
      <c r="B2638" s="1">
        <f>IFERROR(__xludf.DUMMYFUNCTION("""COMPUTED_VALUE"""),13687.9455)</f>
        <v>13687.9455</v>
      </c>
    </row>
    <row r="2639">
      <c r="A2639" s="3">
        <f>IFERROR(__xludf.DUMMYFUNCTION("""COMPUTED_VALUE"""),43055.99861111111)</f>
        <v>43055.99861</v>
      </c>
      <c r="B2639" s="1">
        <f>IFERROR(__xludf.DUMMYFUNCTION("""COMPUTED_VALUE"""),13600.4896)</f>
        <v>13600.4896</v>
      </c>
    </row>
    <row r="2640">
      <c r="A2640" s="3">
        <f>IFERROR(__xludf.DUMMYFUNCTION("""COMPUTED_VALUE"""),43056.99861111111)</f>
        <v>43056.99861</v>
      </c>
      <c r="B2640" s="1">
        <f>IFERROR(__xludf.DUMMYFUNCTION("""COMPUTED_VALUE"""),13657.9388)</f>
        <v>13657.9388</v>
      </c>
    </row>
    <row r="2641">
      <c r="A2641" s="3">
        <f>IFERROR(__xludf.DUMMYFUNCTION("""COMPUTED_VALUE"""),43057.99861111111)</f>
        <v>43057.99861</v>
      </c>
      <c r="B2641" s="1">
        <f>IFERROR(__xludf.DUMMYFUNCTION("""COMPUTED_VALUE"""),13663.50996)</f>
        <v>13663.50996</v>
      </c>
    </row>
    <row r="2642">
      <c r="A2642" s="3">
        <f>IFERROR(__xludf.DUMMYFUNCTION("""COMPUTED_VALUE"""),43058.99861111111)</f>
        <v>43058.99861</v>
      </c>
      <c r="B2642" s="1">
        <f>IFERROR(__xludf.DUMMYFUNCTION("""COMPUTED_VALUE"""),13645.7816)</f>
        <v>13645.7816</v>
      </c>
    </row>
    <row r="2643">
      <c r="A2643" s="3">
        <f>IFERROR(__xludf.DUMMYFUNCTION("""COMPUTED_VALUE"""),43059.99861111111)</f>
        <v>43059.99861</v>
      </c>
      <c r="B2643" s="1">
        <f>IFERROR(__xludf.DUMMYFUNCTION("""COMPUTED_VALUE"""),13614.265)</f>
        <v>13614.265</v>
      </c>
    </row>
    <row r="2644">
      <c r="A2644" s="3">
        <f>IFERROR(__xludf.DUMMYFUNCTION("""COMPUTED_VALUE"""),43060.99861111111)</f>
        <v>43060.99861</v>
      </c>
      <c r="B2644" s="1">
        <f>IFERROR(__xludf.DUMMYFUNCTION("""COMPUTED_VALUE"""),13640.671)</f>
        <v>13640.671</v>
      </c>
    </row>
    <row r="2645">
      <c r="A2645" s="3">
        <f>IFERROR(__xludf.DUMMYFUNCTION("""COMPUTED_VALUE"""),43061.99861111111)</f>
        <v>43061.99861</v>
      </c>
      <c r="B2645" s="1">
        <f>IFERROR(__xludf.DUMMYFUNCTION("""COMPUTED_VALUE"""),13733.838)</f>
        <v>13733.838</v>
      </c>
    </row>
    <row r="2646">
      <c r="A2646" s="3">
        <f>IFERROR(__xludf.DUMMYFUNCTION("""COMPUTED_VALUE"""),43062.99861111111)</f>
        <v>43062.99861</v>
      </c>
      <c r="B2646" s="1">
        <f>IFERROR(__xludf.DUMMYFUNCTION("""COMPUTED_VALUE"""),13737.1976)</f>
        <v>13737.1976</v>
      </c>
    </row>
    <row r="2647">
      <c r="A2647" s="3">
        <f>IFERROR(__xludf.DUMMYFUNCTION("""COMPUTED_VALUE"""),43063.99861111111)</f>
        <v>43063.99861</v>
      </c>
      <c r="B2647" s="1">
        <f>IFERROR(__xludf.DUMMYFUNCTION("""COMPUTED_VALUE"""),13773.3592)</f>
        <v>13773.3592</v>
      </c>
    </row>
    <row r="2648">
      <c r="A2648" s="3">
        <f>IFERROR(__xludf.DUMMYFUNCTION("""COMPUTED_VALUE"""),43064.99861111111)</f>
        <v>43064.99861</v>
      </c>
      <c r="B2648" s="1">
        <f>IFERROR(__xludf.DUMMYFUNCTION("""COMPUTED_VALUE"""),13774.709)</f>
        <v>13774.709</v>
      </c>
    </row>
    <row r="2649">
      <c r="A2649" s="3">
        <f>IFERROR(__xludf.DUMMYFUNCTION("""COMPUTED_VALUE"""),43065.99861111111)</f>
        <v>43065.99861</v>
      </c>
      <c r="B2649" s="1">
        <f>IFERROR(__xludf.DUMMYFUNCTION("""COMPUTED_VALUE"""),13765.2604)</f>
        <v>13765.2604</v>
      </c>
    </row>
    <row r="2650">
      <c r="A2650" s="3">
        <f>IFERROR(__xludf.DUMMYFUNCTION("""COMPUTED_VALUE"""),43066.99861111111)</f>
        <v>43066.99861</v>
      </c>
      <c r="B2650" s="1">
        <f>IFERROR(__xludf.DUMMYFUNCTION("""COMPUTED_VALUE"""),13763.6557)</f>
        <v>13763.6557</v>
      </c>
    </row>
    <row r="2651">
      <c r="A2651" s="3">
        <f>IFERROR(__xludf.DUMMYFUNCTION("""COMPUTED_VALUE"""),43067.99861111111)</f>
        <v>43067.99861</v>
      </c>
      <c r="B2651" s="1">
        <f>IFERROR(__xludf.DUMMYFUNCTION("""COMPUTED_VALUE"""),13713.3)</f>
        <v>13713.3</v>
      </c>
    </row>
    <row r="2652">
      <c r="A2652" s="3">
        <f>IFERROR(__xludf.DUMMYFUNCTION("""COMPUTED_VALUE"""),43068.99861111111)</f>
        <v>43068.99861</v>
      </c>
      <c r="B2652" s="1">
        <f>IFERROR(__xludf.DUMMYFUNCTION("""COMPUTED_VALUE"""),13709.2608)</f>
        <v>13709.2608</v>
      </c>
    </row>
    <row r="2653">
      <c r="A2653" s="3">
        <f>IFERROR(__xludf.DUMMYFUNCTION("""COMPUTED_VALUE"""),43069.99861111111)</f>
        <v>43069.99861</v>
      </c>
      <c r="B2653" s="1">
        <f>IFERROR(__xludf.DUMMYFUNCTION("""COMPUTED_VALUE"""),13760.3642)</f>
        <v>13760.3642</v>
      </c>
    </row>
    <row r="2654">
      <c r="A2654" s="3">
        <f>IFERROR(__xludf.DUMMYFUNCTION("""COMPUTED_VALUE"""),43070.99861111111)</f>
        <v>43070.99861</v>
      </c>
      <c r="B2654" s="1">
        <f>IFERROR(__xludf.DUMMYFUNCTION("""COMPUTED_VALUE"""),13854.6818)</f>
        <v>13854.6818</v>
      </c>
    </row>
    <row r="2655">
      <c r="A2655" s="3">
        <f>IFERROR(__xludf.DUMMYFUNCTION("""COMPUTED_VALUE"""),43071.99861111111)</f>
        <v>43071.99861</v>
      </c>
      <c r="B2655" s="1">
        <f>IFERROR(__xludf.DUMMYFUNCTION("""COMPUTED_VALUE"""),13860.61249)</f>
        <v>13860.61249</v>
      </c>
    </row>
    <row r="2656">
      <c r="A2656" s="3">
        <f>IFERROR(__xludf.DUMMYFUNCTION("""COMPUTED_VALUE"""),43072.99861111111)</f>
        <v>43072.99861</v>
      </c>
      <c r="B2656" s="1">
        <f>IFERROR(__xludf.DUMMYFUNCTION("""COMPUTED_VALUE"""),13805.436)</f>
        <v>13805.436</v>
      </c>
    </row>
    <row r="2657">
      <c r="A2657" s="3">
        <f>IFERROR(__xludf.DUMMYFUNCTION("""COMPUTED_VALUE"""),43073.99861111111)</f>
        <v>43073.99861</v>
      </c>
      <c r="B2657" s="1">
        <f>IFERROR(__xludf.DUMMYFUNCTION("""COMPUTED_VALUE"""),13701.8076)</f>
        <v>13701.8076</v>
      </c>
    </row>
    <row r="2658">
      <c r="A2658" s="3">
        <f>IFERROR(__xludf.DUMMYFUNCTION("""COMPUTED_VALUE"""),43074.99861111111)</f>
        <v>43074.99861</v>
      </c>
      <c r="B2658" s="1">
        <f>IFERROR(__xludf.DUMMYFUNCTION("""COMPUTED_VALUE"""),13680.5612)</f>
        <v>13680.5612</v>
      </c>
    </row>
    <row r="2659">
      <c r="A2659" s="3">
        <f>IFERROR(__xludf.DUMMYFUNCTION("""COMPUTED_VALUE"""),43075.99861111111)</f>
        <v>43075.99861</v>
      </c>
      <c r="B2659" s="1">
        <f>IFERROR(__xludf.DUMMYFUNCTION("""COMPUTED_VALUE"""),13677.4604)</f>
        <v>13677.4604</v>
      </c>
    </row>
    <row r="2660">
      <c r="A2660" s="3">
        <f>IFERROR(__xludf.DUMMYFUNCTION("""COMPUTED_VALUE"""),43076.99861111111)</f>
        <v>43076.99861</v>
      </c>
      <c r="B2660" s="1">
        <f>IFERROR(__xludf.DUMMYFUNCTION("""COMPUTED_VALUE"""),13623.4756)</f>
        <v>13623.4756</v>
      </c>
    </row>
    <row r="2661">
      <c r="A2661" s="3">
        <f>IFERROR(__xludf.DUMMYFUNCTION("""COMPUTED_VALUE"""),43077.99861111111)</f>
        <v>43077.99861</v>
      </c>
      <c r="B2661" s="1">
        <f>IFERROR(__xludf.DUMMYFUNCTION("""COMPUTED_VALUE"""),13642.2426)</f>
        <v>13642.2426</v>
      </c>
    </row>
    <row r="2662">
      <c r="A2662" s="3">
        <f>IFERROR(__xludf.DUMMYFUNCTION("""COMPUTED_VALUE"""),43078.99861111111)</f>
        <v>43078.99861</v>
      </c>
      <c r="B2662" s="1">
        <f>IFERROR(__xludf.DUMMYFUNCTION("""COMPUTED_VALUE"""),13640.8888)</f>
        <v>13640.8888</v>
      </c>
    </row>
    <row r="2663">
      <c r="A2663" s="3">
        <f>IFERROR(__xludf.DUMMYFUNCTION("""COMPUTED_VALUE"""),43079.99861111111)</f>
        <v>43079.99861</v>
      </c>
      <c r="B2663" s="1">
        <f>IFERROR(__xludf.DUMMYFUNCTION("""COMPUTED_VALUE"""),13600.87365)</f>
        <v>13600.87365</v>
      </c>
    </row>
    <row r="2664">
      <c r="A2664" s="3">
        <f>IFERROR(__xludf.DUMMYFUNCTION("""COMPUTED_VALUE"""),43080.99861111111)</f>
        <v>43080.99861</v>
      </c>
      <c r="B2664" s="1">
        <f>IFERROR(__xludf.DUMMYFUNCTION("""COMPUTED_VALUE"""),13668.5472)</f>
        <v>13668.5472</v>
      </c>
    </row>
    <row r="2665">
      <c r="A2665" s="3">
        <f>IFERROR(__xludf.DUMMYFUNCTION("""COMPUTED_VALUE"""),43081.99861111111)</f>
        <v>43081.99861</v>
      </c>
      <c r="B2665" s="1">
        <f>IFERROR(__xludf.DUMMYFUNCTION("""COMPUTED_VALUE"""),13666.1835)</f>
        <v>13666.1835</v>
      </c>
    </row>
    <row r="2666">
      <c r="A2666" s="3">
        <f>IFERROR(__xludf.DUMMYFUNCTION("""COMPUTED_VALUE"""),43082.99861111111)</f>
        <v>43082.99861</v>
      </c>
      <c r="B2666" s="1">
        <f>IFERROR(__xludf.DUMMYFUNCTION("""COMPUTED_VALUE"""),13737.684)</f>
        <v>13737.684</v>
      </c>
    </row>
    <row r="2667">
      <c r="A2667" s="3">
        <f>IFERROR(__xludf.DUMMYFUNCTION("""COMPUTED_VALUE"""),43083.99861111111)</f>
        <v>43083.99861</v>
      </c>
      <c r="B2667" s="1">
        <f>IFERROR(__xludf.DUMMYFUNCTION("""COMPUTED_VALUE"""),13700.3832)</f>
        <v>13700.3832</v>
      </c>
    </row>
    <row r="2668">
      <c r="A2668" s="3">
        <f>IFERROR(__xludf.DUMMYFUNCTION("""COMPUTED_VALUE"""),43084.99861111111)</f>
        <v>43084.99861</v>
      </c>
      <c r="B2668" s="1">
        <f>IFERROR(__xludf.DUMMYFUNCTION("""COMPUTED_VALUE"""),13690.112)</f>
        <v>13690.112</v>
      </c>
    </row>
    <row r="2669">
      <c r="A2669" s="3">
        <f>IFERROR(__xludf.DUMMYFUNCTION("""COMPUTED_VALUE"""),43086.99861111111)</f>
        <v>43086.99861</v>
      </c>
      <c r="B2669" s="1">
        <f>IFERROR(__xludf.DUMMYFUNCTION("""COMPUTED_VALUE"""),13686.0416)</f>
        <v>13686.0416</v>
      </c>
    </row>
    <row r="2670">
      <c r="A2670" s="3">
        <f>IFERROR(__xludf.DUMMYFUNCTION("""COMPUTED_VALUE"""),43087.99861111111)</f>
        <v>43087.99861</v>
      </c>
      <c r="B2670" s="1">
        <f>IFERROR(__xludf.DUMMYFUNCTION("""COMPUTED_VALUE"""),13775.552)</f>
        <v>13775.552</v>
      </c>
    </row>
    <row r="2671">
      <c r="A2671" s="3">
        <f>IFERROR(__xludf.DUMMYFUNCTION("""COMPUTED_VALUE"""),43088.99861111111)</f>
        <v>43088.99861</v>
      </c>
      <c r="B2671" s="1">
        <f>IFERROR(__xludf.DUMMYFUNCTION("""COMPUTED_VALUE"""),13763.6925)</f>
        <v>13763.6925</v>
      </c>
    </row>
    <row r="2672">
      <c r="A2672" s="3">
        <f>IFERROR(__xludf.DUMMYFUNCTION("""COMPUTED_VALUE"""),43089.99861111111)</f>
        <v>43089.99861</v>
      </c>
      <c r="B2672" s="1">
        <f>IFERROR(__xludf.DUMMYFUNCTION("""COMPUTED_VALUE"""),13759.62875)</f>
        <v>13759.62875</v>
      </c>
    </row>
    <row r="2673">
      <c r="A2673" s="3">
        <f>IFERROR(__xludf.DUMMYFUNCTION("""COMPUTED_VALUE"""),43090.99861111111)</f>
        <v>43090.99861</v>
      </c>
      <c r="B2673" s="1">
        <f>IFERROR(__xludf.DUMMYFUNCTION("""COMPUTED_VALUE"""),13715.2506)</f>
        <v>13715.2506</v>
      </c>
    </row>
    <row r="2674">
      <c r="A2674" s="3">
        <f>IFERROR(__xludf.DUMMYFUNCTION("""COMPUTED_VALUE"""),43091.99861111111)</f>
        <v>43091.99861</v>
      </c>
      <c r="B2674" s="1">
        <f>IFERROR(__xludf.DUMMYFUNCTION("""COMPUTED_VALUE"""),13698.7264)</f>
        <v>13698.7264</v>
      </c>
    </row>
    <row r="2675">
      <c r="A2675" s="3">
        <f>IFERROR(__xludf.DUMMYFUNCTION("""COMPUTED_VALUE"""),43092.99861111111)</f>
        <v>43092.99861</v>
      </c>
      <c r="B2675" s="1">
        <f>IFERROR(__xludf.DUMMYFUNCTION("""COMPUTED_VALUE"""),13697.3717)</f>
        <v>13697.3717</v>
      </c>
    </row>
    <row r="2676">
      <c r="A2676" s="3">
        <f>IFERROR(__xludf.DUMMYFUNCTION("""COMPUTED_VALUE"""),43093.99861111111)</f>
        <v>43093.99861</v>
      </c>
      <c r="B2676" s="1">
        <f>IFERROR(__xludf.DUMMYFUNCTION("""COMPUTED_VALUE"""),13700.061)</f>
        <v>13700.061</v>
      </c>
    </row>
    <row r="2677">
      <c r="A2677" s="3">
        <f>IFERROR(__xludf.DUMMYFUNCTION("""COMPUTED_VALUE"""),43094.99861111111)</f>
        <v>43094.99861</v>
      </c>
      <c r="B2677" s="1">
        <f>IFERROR(__xludf.DUMMYFUNCTION("""COMPUTED_VALUE"""),13680.31072)</f>
        <v>13680.31072</v>
      </c>
    </row>
    <row r="2678">
      <c r="A2678" s="3">
        <f>IFERROR(__xludf.DUMMYFUNCTION("""COMPUTED_VALUE"""),43095.99861111111)</f>
        <v>43095.99861</v>
      </c>
      <c r="B2678" s="1">
        <f>IFERROR(__xludf.DUMMYFUNCTION("""COMPUTED_VALUE"""),13667.192)</f>
        <v>13667.192</v>
      </c>
    </row>
    <row r="2679">
      <c r="A2679" s="3">
        <f>IFERROR(__xludf.DUMMYFUNCTION("""COMPUTED_VALUE"""),43096.99861111111)</f>
        <v>43096.99861</v>
      </c>
      <c r="B2679" s="1">
        <f>IFERROR(__xludf.DUMMYFUNCTION("""COMPUTED_VALUE"""),13750.5236)</f>
        <v>13750.5236</v>
      </c>
    </row>
    <row r="2680">
      <c r="A2680" s="3">
        <f>IFERROR(__xludf.DUMMYFUNCTION("""COMPUTED_VALUE"""),43097.99861111111)</f>
        <v>43097.99861</v>
      </c>
      <c r="B2680" s="1">
        <f>IFERROR(__xludf.DUMMYFUNCTION("""COMPUTED_VALUE"""),13848.1412)</f>
        <v>13848.1412</v>
      </c>
    </row>
    <row r="2681">
      <c r="A2681" s="3">
        <f>IFERROR(__xludf.DUMMYFUNCTION("""COMPUTED_VALUE"""),43098.99861111111)</f>
        <v>43098.99861</v>
      </c>
      <c r="B2681" s="1">
        <f>IFERROR(__xludf.DUMMYFUNCTION("""COMPUTED_VALUE"""),13859.1)</f>
        <v>13859.1</v>
      </c>
    </row>
    <row r="2682">
      <c r="A2682" s="3">
        <f>IFERROR(__xludf.DUMMYFUNCTION("""COMPUTED_VALUE"""),43099.99861111111)</f>
        <v>43099.99861</v>
      </c>
      <c r="B2682" s="1">
        <f>IFERROR(__xludf.DUMMYFUNCTION("""COMPUTED_VALUE"""),13835.4882)</f>
        <v>13835.4882</v>
      </c>
    </row>
    <row r="2683">
      <c r="A2683" s="3">
        <f>IFERROR(__xludf.DUMMYFUNCTION("""COMPUTED_VALUE"""),43100.99861111111)</f>
        <v>43100.99861</v>
      </c>
      <c r="B2683" s="1">
        <f>IFERROR(__xludf.DUMMYFUNCTION("""COMPUTED_VALUE"""),13894.092)</f>
        <v>13894.092</v>
      </c>
    </row>
    <row r="2684">
      <c r="A2684" s="3">
        <f>IFERROR(__xludf.DUMMYFUNCTION("""COMPUTED_VALUE"""),43101.99861111111)</f>
        <v>43101.99861</v>
      </c>
      <c r="B2684" s="1">
        <f>IFERROR(__xludf.DUMMYFUNCTION("""COMPUTED_VALUE"""),13898.235)</f>
        <v>13898.235</v>
      </c>
    </row>
    <row r="2685">
      <c r="A2685" s="3">
        <f>IFERROR(__xludf.DUMMYFUNCTION("""COMPUTED_VALUE"""),43102.99861111111)</f>
        <v>43102.99861</v>
      </c>
      <c r="B2685" s="1">
        <f>IFERROR(__xludf.DUMMYFUNCTION("""COMPUTED_VALUE"""),13890.48808)</f>
        <v>13890.48808</v>
      </c>
    </row>
    <row r="2686">
      <c r="A2686" s="3">
        <f>IFERROR(__xludf.DUMMYFUNCTION("""COMPUTED_VALUE"""),43103.99861111111)</f>
        <v>43103.99861</v>
      </c>
      <c r="B2686" s="1">
        <f>IFERROR(__xludf.DUMMYFUNCTION("""COMPUTED_VALUE"""),13780.4576)</f>
        <v>13780.4576</v>
      </c>
    </row>
    <row r="2687">
      <c r="A2687" s="3">
        <f>IFERROR(__xludf.DUMMYFUNCTION("""COMPUTED_VALUE"""),43104.99861111111)</f>
        <v>43104.99861</v>
      </c>
      <c r="B2687" s="1">
        <f>IFERROR(__xludf.DUMMYFUNCTION("""COMPUTED_VALUE"""),13763.79)</f>
        <v>13763.79</v>
      </c>
    </row>
    <row r="2688">
      <c r="A2688" s="3">
        <f>IFERROR(__xludf.DUMMYFUNCTION("""COMPUTED_VALUE"""),43105.99861111111)</f>
        <v>43105.99861</v>
      </c>
      <c r="B2688" s="1">
        <f>IFERROR(__xludf.DUMMYFUNCTION("""COMPUTED_VALUE"""),13739.5695)</f>
        <v>13739.5695</v>
      </c>
    </row>
    <row r="2689">
      <c r="A2689" s="3">
        <f>IFERROR(__xludf.DUMMYFUNCTION("""COMPUTED_VALUE"""),43107.99861111111)</f>
        <v>43107.99861</v>
      </c>
      <c r="B2689" s="1">
        <f>IFERROR(__xludf.DUMMYFUNCTION("""COMPUTED_VALUE"""),13768.31434)</f>
        <v>13768.31434</v>
      </c>
    </row>
    <row r="2690">
      <c r="A2690" s="3">
        <f>IFERROR(__xludf.DUMMYFUNCTION("""COMPUTED_VALUE"""),43108.99861111111)</f>
        <v>43108.99861</v>
      </c>
      <c r="B2690" s="1">
        <f>IFERROR(__xludf.DUMMYFUNCTION("""COMPUTED_VALUE"""),13735.821)</f>
        <v>13735.821</v>
      </c>
    </row>
    <row r="2691">
      <c r="A2691" s="3">
        <f>IFERROR(__xludf.DUMMYFUNCTION("""COMPUTED_VALUE"""),43109.99861111111)</f>
        <v>43109.99861</v>
      </c>
      <c r="B2691" s="1">
        <f>IFERROR(__xludf.DUMMYFUNCTION("""COMPUTED_VALUE"""),13648.909)</f>
        <v>13648.909</v>
      </c>
    </row>
    <row r="2692">
      <c r="A2692" s="3">
        <f>IFERROR(__xludf.DUMMYFUNCTION("""COMPUTED_VALUE"""),43110.99861111111)</f>
        <v>43110.99861</v>
      </c>
      <c r="B2692" s="1">
        <f>IFERROR(__xludf.DUMMYFUNCTION("""COMPUTED_VALUE"""),13745.84188)</f>
        <v>13745.84188</v>
      </c>
    </row>
    <row r="2693">
      <c r="A2693" s="3">
        <f>IFERROR(__xludf.DUMMYFUNCTION("""COMPUTED_VALUE"""),43111.99861111111)</f>
        <v>43111.99861</v>
      </c>
      <c r="B2693" s="1">
        <f>IFERROR(__xludf.DUMMYFUNCTION("""COMPUTED_VALUE"""),13726.4857)</f>
        <v>13726.4857</v>
      </c>
    </row>
    <row r="2694">
      <c r="A2694" s="3">
        <f>IFERROR(__xludf.DUMMYFUNCTION("""COMPUTED_VALUE"""),43112.99861111111)</f>
        <v>43112.99861</v>
      </c>
      <c r="B2694" s="1">
        <f>IFERROR(__xludf.DUMMYFUNCTION("""COMPUTED_VALUE"""),13774.212)</f>
        <v>13774.212</v>
      </c>
    </row>
    <row r="2695">
      <c r="A2695" s="3">
        <f>IFERROR(__xludf.DUMMYFUNCTION("""COMPUTED_VALUE"""),43113.99861111111)</f>
        <v>43113.99861</v>
      </c>
      <c r="B2695" s="1">
        <f>IFERROR(__xludf.DUMMYFUNCTION("""COMPUTED_VALUE"""),13739.053)</f>
        <v>13739.053</v>
      </c>
    </row>
    <row r="2696">
      <c r="A2696" s="3">
        <f>IFERROR(__xludf.DUMMYFUNCTION("""COMPUTED_VALUE"""),43114.99861111111)</f>
        <v>43114.99861</v>
      </c>
      <c r="B2696" s="1">
        <f>IFERROR(__xludf.DUMMYFUNCTION("""COMPUTED_VALUE"""),13729.4806)</f>
        <v>13729.4806</v>
      </c>
    </row>
    <row r="2697">
      <c r="A2697" s="3">
        <f>IFERROR(__xludf.DUMMYFUNCTION("""COMPUTED_VALUE"""),43115.99861111111)</f>
        <v>43115.99861</v>
      </c>
      <c r="B2697" s="1">
        <f>IFERROR(__xludf.DUMMYFUNCTION("""COMPUTED_VALUE"""),13810.59)</f>
        <v>13810.59</v>
      </c>
    </row>
    <row r="2698">
      <c r="A2698" s="3">
        <f>IFERROR(__xludf.DUMMYFUNCTION("""COMPUTED_VALUE"""),43116.99861111111)</f>
        <v>43116.99861</v>
      </c>
      <c r="B2698" s="1">
        <f>IFERROR(__xludf.DUMMYFUNCTION("""COMPUTED_VALUE"""),13871.505)</f>
        <v>13871.505</v>
      </c>
    </row>
    <row r="2699">
      <c r="A2699" s="3">
        <f>IFERROR(__xludf.DUMMYFUNCTION("""COMPUTED_VALUE"""),43117.99861111111)</f>
        <v>43117.99861</v>
      </c>
      <c r="B2699" s="1">
        <f>IFERROR(__xludf.DUMMYFUNCTION("""COMPUTED_VALUE"""),13816.7628)</f>
        <v>13816.7628</v>
      </c>
    </row>
    <row r="2700">
      <c r="A2700" s="3">
        <f>IFERROR(__xludf.DUMMYFUNCTION("""COMPUTED_VALUE"""),43118.99861111111)</f>
        <v>43118.99861</v>
      </c>
      <c r="B2700" s="1">
        <f>IFERROR(__xludf.DUMMYFUNCTION("""COMPUTED_VALUE"""),13900.695)</f>
        <v>13900.695</v>
      </c>
    </row>
    <row r="2701">
      <c r="A2701" s="3">
        <f>IFERROR(__xludf.DUMMYFUNCTION("""COMPUTED_VALUE"""),43119.99861111111)</f>
        <v>43119.99861</v>
      </c>
      <c r="B2701" s="1">
        <f>IFERROR(__xludf.DUMMYFUNCTION("""COMPUTED_VALUE"""),13827.6275)</f>
        <v>13827.6275</v>
      </c>
    </row>
    <row r="2702">
      <c r="A2702" s="3">
        <f>IFERROR(__xludf.DUMMYFUNCTION("""COMPUTED_VALUE"""),43120.99861111111)</f>
        <v>43120.99861</v>
      </c>
      <c r="B2702" s="1">
        <f>IFERROR(__xludf.DUMMYFUNCTION("""COMPUTED_VALUE"""),13846.6632)</f>
        <v>13846.6632</v>
      </c>
    </row>
    <row r="2703">
      <c r="A2703" s="3">
        <f>IFERROR(__xludf.DUMMYFUNCTION("""COMPUTED_VALUE"""),43121.99861111111)</f>
        <v>43121.99861</v>
      </c>
      <c r="B2703" s="1">
        <f>IFERROR(__xludf.DUMMYFUNCTION("""COMPUTED_VALUE"""),13855.335)</f>
        <v>13855.335</v>
      </c>
    </row>
    <row r="2704">
      <c r="A2704" s="3">
        <f>IFERROR(__xludf.DUMMYFUNCTION("""COMPUTED_VALUE"""),43122.99861111111)</f>
        <v>43122.99861</v>
      </c>
      <c r="B2704" s="1">
        <f>IFERROR(__xludf.DUMMYFUNCTION("""COMPUTED_VALUE"""),13865.0064)</f>
        <v>13865.0064</v>
      </c>
    </row>
    <row r="2705">
      <c r="A2705" s="3">
        <f>IFERROR(__xludf.DUMMYFUNCTION("""COMPUTED_VALUE"""),43123.99861111111)</f>
        <v>43123.99861</v>
      </c>
      <c r="B2705" s="1">
        <f>IFERROR(__xludf.DUMMYFUNCTION("""COMPUTED_VALUE"""),13938.7872)</f>
        <v>13938.7872</v>
      </c>
    </row>
    <row r="2706">
      <c r="A2706" s="3">
        <f>IFERROR(__xludf.DUMMYFUNCTION("""COMPUTED_VALUE"""),43124.99861111111)</f>
        <v>43124.99861</v>
      </c>
      <c r="B2706" s="1">
        <f>IFERROR(__xludf.DUMMYFUNCTION("""COMPUTED_VALUE"""),14049.337)</f>
        <v>14049.337</v>
      </c>
    </row>
    <row r="2707">
      <c r="A2707" s="3">
        <f>IFERROR(__xludf.DUMMYFUNCTION("""COMPUTED_VALUE"""),43125.99861111111)</f>
        <v>43125.99861</v>
      </c>
      <c r="B2707" s="1">
        <f>IFERROR(__xludf.DUMMYFUNCTION("""COMPUTED_VALUE"""),14120.8782)</f>
        <v>14120.8782</v>
      </c>
    </row>
    <row r="2708">
      <c r="A2708" s="3">
        <f>IFERROR(__xludf.DUMMYFUNCTION("""COMPUTED_VALUE"""),43126.99861111111)</f>
        <v>43126.99861</v>
      </c>
      <c r="B2708" s="1">
        <f>IFERROR(__xludf.DUMMYFUNCTION("""COMPUTED_VALUE"""),14192.167)</f>
        <v>14192.167</v>
      </c>
    </row>
    <row r="2709">
      <c r="A2709" s="3">
        <f>IFERROR(__xludf.DUMMYFUNCTION("""COMPUTED_VALUE"""),43127.99861111111)</f>
        <v>43127.99861</v>
      </c>
      <c r="B2709" s="1">
        <f>IFERROR(__xludf.DUMMYFUNCTION("""COMPUTED_VALUE"""),14282.6399)</f>
        <v>14282.6399</v>
      </c>
    </row>
    <row r="2710">
      <c r="A2710" s="3">
        <f>IFERROR(__xludf.DUMMYFUNCTION("""COMPUTED_VALUE"""),43128.99861111111)</f>
        <v>43128.99861</v>
      </c>
      <c r="B2710" s="1">
        <f>IFERROR(__xludf.DUMMYFUNCTION("""COMPUTED_VALUE"""),14238.6864)</f>
        <v>14238.6864</v>
      </c>
    </row>
    <row r="2711">
      <c r="A2711" s="3">
        <f>IFERROR(__xludf.DUMMYFUNCTION("""COMPUTED_VALUE"""),43129.99861111111)</f>
        <v>43129.99861</v>
      </c>
      <c r="B2711" s="1">
        <f>IFERROR(__xludf.DUMMYFUNCTION("""COMPUTED_VALUE"""),14257.2422)</f>
        <v>14257.2422</v>
      </c>
    </row>
    <row r="2712">
      <c r="A2712" s="3">
        <f>IFERROR(__xludf.DUMMYFUNCTION("""COMPUTED_VALUE"""),43130.99861111111)</f>
        <v>43130.99861</v>
      </c>
      <c r="B2712" s="1">
        <f>IFERROR(__xludf.DUMMYFUNCTION("""COMPUTED_VALUE"""),14357.7858)</f>
        <v>14357.7858</v>
      </c>
    </row>
    <row r="2713">
      <c r="A2713" s="3">
        <f>IFERROR(__xludf.DUMMYFUNCTION("""COMPUTED_VALUE"""),43131.99861111111)</f>
        <v>43131.99861</v>
      </c>
      <c r="B2713" s="1">
        <f>IFERROR(__xludf.DUMMYFUNCTION("""COMPUTED_VALUE"""),14365.3122)</f>
        <v>14365.3122</v>
      </c>
    </row>
    <row r="2714">
      <c r="A2714" s="3">
        <f>IFERROR(__xludf.DUMMYFUNCTION("""COMPUTED_VALUE"""),43132.99861111111)</f>
        <v>43132.99861</v>
      </c>
      <c r="B2714" s="1">
        <f>IFERROR(__xludf.DUMMYFUNCTION("""COMPUTED_VALUE"""),14453.5335)</f>
        <v>14453.5335</v>
      </c>
    </row>
    <row r="2715">
      <c r="A2715" s="3">
        <f>IFERROR(__xludf.DUMMYFUNCTION("""COMPUTED_VALUE"""),43133.99861111111)</f>
        <v>43133.99861</v>
      </c>
      <c r="B2715" s="1">
        <f>IFERROR(__xludf.DUMMYFUNCTION("""COMPUTED_VALUE"""),14400.7318)</f>
        <v>14400.7318</v>
      </c>
    </row>
    <row r="2716">
      <c r="A2716" s="3">
        <f>IFERROR(__xludf.DUMMYFUNCTION("""COMPUTED_VALUE"""),43134.99861111111)</f>
        <v>43134.99861</v>
      </c>
      <c r="B2716" s="1">
        <f>IFERROR(__xludf.DUMMYFUNCTION("""COMPUTED_VALUE"""),14400.7318)</f>
        <v>14400.7318</v>
      </c>
    </row>
    <row r="2717">
      <c r="A2717" s="3">
        <f>IFERROR(__xludf.DUMMYFUNCTION("""COMPUTED_VALUE"""),43135.99861111111)</f>
        <v>43135.99861</v>
      </c>
      <c r="B2717" s="1">
        <f>IFERROR(__xludf.DUMMYFUNCTION("""COMPUTED_VALUE"""),14401.40235)</f>
        <v>14401.40235</v>
      </c>
    </row>
    <row r="2718">
      <c r="A2718" s="3">
        <f>IFERROR(__xludf.DUMMYFUNCTION("""COMPUTED_VALUE"""),43136.99861111111)</f>
        <v>43136.99861</v>
      </c>
      <c r="B2718" s="1">
        <f>IFERROR(__xludf.DUMMYFUNCTION("""COMPUTED_VALUE"""),14562.58168)</f>
        <v>14562.58168</v>
      </c>
    </row>
    <row r="2719">
      <c r="A2719" s="3">
        <f>IFERROR(__xludf.DUMMYFUNCTION("""COMPUTED_VALUE"""),43137.99861111111)</f>
        <v>43137.99861</v>
      </c>
      <c r="B2719" s="1">
        <f>IFERROR(__xludf.DUMMYFUNCTION("""COMPUTED_VALUE"""),14464.992)</f>
        <v>14464.992</v>
      </c>
    </row>
    <row r="2720">
      <c r="A2720" s="3">
        <f>IFERROR(__xludf.DUMMYFUNCTION("""COMPUTED_VALUE"""),43138.99861111111)</f>
        <v>43138.99861</v>
      </c>
      <c r="B2720" s="1">
        <f>IFERROR(__xludf.DUMMYFUNCTION("""COMPUTED_VALUE"""),14467.6446)</f>
        <v>14467.6446</v>
      </c>
    </row>
    <row r="2721">
      <c r="A2721" s="3">
        <f>IFERROR(__xludf.DUMMYFUNCTION("""COMPUTED_VALUE"""),43139.99861111111)</f>
        <v>43139.99861</v>
      </c>
      <c r="B2721" s="1">
        <f>IFERROR(__xludf.DUMMYFUNCTION("""COMPUTED_VALUE"""),14539.38954)</f>
        <v>14539.38954</v>
      </c>
    </row>
    <row r="2722">
      <c r="A2722" s="3">
        <f>IFERROR(__xludf.DUMMYFUNCTION("""COMPUTED_VALUE"""),43140.99861111111)</f>
        <v>43140.99861</v>
      </c>
      <c r="B2722" s="1">
        <f>IFERROR(__xludf.DUMMYFUNCTION("""COMPUTED_VALUE"""),14457.7356)</f>
        <v>14457.7356</v>
      </c>
    </row>
    <row r="2723">
      <c r="A2723" s="3">
        <f>IFERROR(__xludf.DUMMYFUNCTION("""COMPUTED_VALUE"""),43141.99861111111)</f>
        <v>43141.99861</v>
      </c>
      <c r="B2723" s="1">
        <f>IFERROR(__xludf.DUMMYFUNCTION("""COMPUTED_VALUE"""),14476.784)</f>
        <v>14476.784</v>
      </c>
    </row>
    <row r="2724">
      <c r="A2724" s="3">
        <f>IFERROR(__xludf.DUMMYFUNCTION("""COMPUTED_VALUE"""),43142.99861111111)</f>
        <v>43142.99861</v>
      </c>
      <c r="B2724" s="1">
        <f>IFERROR(__xludf.DUMMYFUNCTION("""COMPUTED_VALUE"""),14481.04)</f>
        <v>14481.04</v>
      </c>
    </row>
    <row r="2725">
      <c r="A2725" s="3">
        <f>IFERROR(__xludf.DUMMYFUNCTION("""COMPUTED_VALUE"""),43143.99861111111)</f>
        <v>43143.99861</v>
      </c>
      <c r="B2725" s="1">
        <f>IFERROR(__xludf.DUMMYFUNCTION("""COMPUTED_VALUE"""),14531.1593)</f>
        <v>14531.1593</v>
      </c>
    </row>
    <row r="2726">
      <c r="A2726" s="3">
        <f>IFERROR(__xludf.DUMMYFUNCTION("""COMPUTED_VALUE"""),43144.99861111111)</f>
        <v>43144.99861</v>
      </c>
      <c r="B2726" s="1">
        <f>IFERROR(__xludf.DUMMYFUNCTION("""COMPUTED_VALUE"""),14581.16)</f>
        <v>14581.16</v>
      </c>
    </row>
    <row r="2727">
      <c r="A2727" s="3">
        <f>IFERROR(__xludf.DUMMYFUNCTION("""COMPUTED_VALUE"""),43145.99861111111)</f>
        <v>43145.99861</v>
      </c>
      <c r="B2727" s="1">
        <f>IFERROR(__xludf.DUMMYFUNCTION("""COMPUTED_VALUE"""),14683.1538)</f>
        <v>14683.1538</v>
      </c>
    </row>
    <row r="2728">
      <c r="A2728" s="3">
        <f>IFERROR(__xludf.DUMMYFUNCTION("""COMPUTED_VALUE"""),43146.99861111111)</f>
        <v>43146.99861</v>
      </c>
      <c r="B2728" s="1">
        <f>IFERROR(__xludf.DUMMYFUNCTION("""COMPUTED_VALUE"""),14691.7232)</f>
        <v>14691.7232</v>
      </c>
    </row>
    <row r="2729">
      <c r="A2729" s="3">
        <f>IFERROR(__xludf.DUMMYFUNCTION("""COMPUTED_VALUE"""),43147.99861111111)</f>
        <v>43147.99861</v>
      </c>
      <c r="B2729" s="1">
        <f>IFERROR(__xludf.DUMMYFUNCTION("""COMPUTED_VALUE"""),14604.9904)</f>
        <v>14604.9904</v>
      </c>
    </row>
    <row r="2730">
      <c r="A2730" s="3">
        <f>IFERROR(__xludf.DUMMYFUNCTION("""COMPUTED_VALUE"""),43148.99861111111)</f>
        <v>43148.99861</v>
      </c>
      <c r="B2730" s="1">
        <f>IFERROR(__xludf.DUMMYFUNCTION("""COMPUTED_VALUE"""),14606.3456)</f>
        <v>14606.3456</v>
      </c>
    </row>
    <row r="2731">
      <c r="A2731" s="3">
        <f>IFERROR(__xludf.DUMMYFUNCTION("""COMPUTED_VALUE"""),43149.99861111111)</f>
        <v>43149.99861</v>
      </c>
      <c r="B2731" s="1">
        <f>IFERROR(__xludf.DUMMYFUNCTION("""COMPUTED_VALUE"""),14611.7664)</f>
        <v>14611.7664</v>
      </c>
    </row>
    <row r="2732">
      <c r="A2732" s="3">
        <f>IFERROR(__xludf.DUMMYFUNCTION("""COMPUTED_VALUE"""),43150.99861111111)</f>
        <v>43150.99861</v>
      </c>
      <c r="B2732" s="1">
        <f>IFERROR(__xludf.DUMMYFUNCTION("""COMPUTED_VALUE"""),14581.3932)</f>
        <v>14581.3932</v>
      </c>
    </row>
    <row r="2733">
      <c r="A2733" s="3">
        <f>IFERROR(__xludf.DUMMYFUNCTION("""COMPUTED_VALUE"""),43151.99861111111)</f>
        <v>43151.99861</v>
      </c>
      <c r="B2733" s="1">
        <f>IFERROR(__xludf.DUMMYFUNCTION("""COMPUTED_VALUE"""),14530.6224)</f>
        <v>14530.6224</v>
      </c>
    </row>
    <row r="2734">
      <c r="A2734" s="3">
        <f>IFERROR(__xludf.DUMMYFUNCTION("""COMPUTED_VALUE"""),43152.99861111111)</f>
        <v>43152.99861</v>
      </c>
      <c r="B2734" s="1">
        <f>IFERROR(__xludf.DUMMYFUNCTION("""COMPUTED_VALUE"""),14496.78)</f>
        <v>14496.78</v>
      </c>
    </row>
    <row r="2735">
      <c r="A2735" s="3">
        <f>IFERROR(__xludf.DUMMYFUNCTION("""COMPUTED_VALUE"""),43153.99861111111)</f>
        <v>43153.99861</v>
      </c>
      <c r="B2735" s="1">
        <f>IFERROR(__xludf.DUMMYFUNCTION("""COMPUTED_VALUE"""),14655.2016)</f>
        <v>14655.2016</v>
      </c>
    </row>
    <row r="2736">
      <c r="A2736" s="3">
        <f>IFERROR(__xludf.DUMMYFUNCTION("""COMPUTED_VALUE"""),43154.99861111111)</f>
        <v>43154.99861</v>
      </c>
      <c r="B2736" s="1">
        <f>IFERROR(__xludf.DUMMYFUNCTION("""COMPUTED_VALUE"""),14572.1448)</f>
        <v>14572.1448</v>
      </c>
    </row>
    <row r="2737">
      <c r="A2737" s="3">
        <f>IFERROR(__xludf.DUMMYFUNCTION("""COMPUTED_VALUE"""),43155.99861111111)</f>
        <v>43155.99861</v>
      </c>
      <c r="B2737" s="1">
        <f>IFERROR(__xludf.DUMMYFUNCTION("""COMPUTED_VALUE"""),14573.51)</f>
        <v>14573.51</v>
      </c>
    </row>
    <row r="2738">
      <c r="A2738" s="3">
        <f>IFERROR(__xludf.DUMMYFUNCTION("""COMPUTED_VALUE"""),43156.99861111111)</f>
        <v>43156.99861</v>
      </c>
      <c r="B2738" s="1">
        <f>IFERROR(__xludf.DUMMYFUNCTION("""COMPUTED_VALUE"""),14576.36378)</f>
        <v>14576.36378</v>
      </c>
    </row>
    <row r="2739">
      <c r="A2739" s="3">
        <f>IFERROR(__xludf.DUMMYFUNCTION("""COMPUTED_VALUE"""),43157.99861111111)</f>
        <v>43157.99861</v>
      </c>
      <c r="B2739" s="1">
        <f>IFERROR(__xludf.DUMMYFUNCTION("""COMPUTED_VALUE"""),14542.4103)</f>
        <v>14542.4103</v>
      </c>
    </row>
    <row r="2740">
      <c r="A2740" s="3">
        <f>IFERROR(__xludf.DUMMYFUNCTION("""COMPUTED_VALUE"""),43158.99861111111)</f>
        <v>43158.99861</v>
      </c>
      <c r="B2740" s="1">
        <f>IFERROR(__xludf.DUMMYFUNCTION("""COMPUTED_VALUE"""),14573.1548)</f>
        <v>14573.1548</v>
      </c>
    </row>
    <row r="2741">
      <c r="A2741" s="3">
        <f>IFERROR(__xludf.DUMMYFUNCTION("""COMPUTED_VALUE"""),43159.99861111111)</f>
        <v>43159.99861</v>
      </c>
      <c r="B2741" s="1">
        <f>IFERROR(__xludf.DUMMYFUNCTION("""COMPUTED_VALUE"""),14560.726)</f>
        <v>14560.726</v>
      </c>
    </row>
    <row r="2742">
      <c r="A2742" s="3">
        <f>IFERROR(__xludf.DUMMYFUNCTION("""COMPUTED_VALUE"""),43160.99861111111)</f>
        <v>43160.99861</v>
      </c>
      <c r="B2742" s="1">
        <f>IFERROR(__xludf.DUMMYFUNCTION("""COMPUTED_VALUE"""),14592.11754)</f>
        <v>14592.11754</v>
      </c>
    </row>
    <row r="2743">
      <c r="A2743" s="3">
        <f>IFERROR(__xludf.DUMMYFUNCTION("""COMPUTED_VALUE"""),43161.99861111111)</f>
        <v>43161.99861</v>
      </c>
      <c r="B2743" s="1">
        <f>IFERROR(__xludf.DUMMYFUNCTION("""COMPUTED_VALUE"""),14659.9411)</f>
        <v>14659.9411</v>
      </c>
    </row>
    <row r="2744">
      <c r="A2744" s="3">
        <f>IFERROR(__xludf.DUMMYFUNCTION("""COMPUTED_VALUE"""),43162.99861111111)</f>
        <v>43162.99861</v>
      </c>
      <c r="B2744" s="1">
        <f>IFERROR(__xludf.DUMMYFUNCTION("""COMPUTED_VALUE"""),14659.9411)</f>
        <v>14659.9411</v>
      </c>
    </row>
    <row r="2745">
      <c r="A2745" s="3">
        <f>IFERROR(__xludf.DUMMYFUNCTION("""COMPUTED_VALUE"""),43163.99861111111)</f>
        <v>43163.99861</v>
      </c>
      <c r="B2745" s="1">
        <f>IFERROR(__xludf.DUMMYFUNCTION("""COMPUTED_VALUE"""),14670.66688)</f>
        <v>14670.66688</v>
      </c>
    </row>
    <row r="2746">
      <c r="A2746" s="3">
        <f>IFERROR(__xludf.DUMMYFUNCTION("""COMPUTED_VALUE"""),43164.99861111111)</f>
        <v>43164.99861</v>
      </c>
      <c r="B2746" s="1">
        <f>IFERROR(__xludf.DUMMYFUNCTION("""COMPUTED_VALUE"""),14612.0469)</f>
        <v>14612.0469</v>
      </c>
    </row>
    <row r="2747">
      <c r="A2747" s="3">
        <f>IFERROR(__xludf.DUMMYFUNCTION("""COMPUTED_VALUE"""),43165.99861111111)</f>
        <v>43165.99861</v>
      </c>
      <c r="B2747" s="1">
        <f>IFERROR(__xludf.DUMMYFUNCTION("""COMPUTED_VALUE"""),14662.9663)</f>
        <v>14662.9663</v>
      </c>
    </row>
    <row r="2748">
      <c r="A2748" s="3">
        <f>IFERROR(__xludf.DUMMYFUNCTION("""COMPUTED_VALUE"""),43166.99861111111)</f>
        <v>43166.99861</v>
      </c>
      <c r="B2748" s="1">
        <f>IFERROR(__xludf.DUMMYFUNCTION("""COMPUTED_VALUE"""),14565.5765)</f>
        <v>14565.5765</v>
      </c>
    </row>
    <row r="2749">
      <c r="A2749" s="3">
        <f>IFERROR(__xludf.DUMMYFUNCTION("""COMPUTED_VALUE"""),43167.99861111111)</f>
        <v>43167.99861</v>
      </c>
      <c r="B2749" s="1">
        <f>IFERROR(__xludf.DUMMYFUNCTION("""COMPUTED_VALUE"""),14484.9502)</f>
        <v>14484.9502</v>
      </c>
    </row>
    <row r="2750">
      <c r="A2750" s="3">
        <f>IFERROR(__xludf.DUMMYFUNCTION("""COMPUTED_VALUE"""),43168.99861111111)</f>
        <v>43168.99861</v>
      </c>
      <c r="B2750" s="1">
        <f>IFERROR(__xludf.DUMMYFUNCTION("""COMPUTED_VALUE"""),14473.647)</f>
        <v>14473.647</v>
      </c>
    </row>
    <row r="2751">
      <c r="A2751" s="3">
        <f>IFERROR(__xludf.DUMMYFUNCTION("""COMPUTED_VALUE"""),43169.99861111111)</f>
        <v>43169.99861</v>
      </c>
      <c r="B2751" s="1">
        <f>IFERROR(__xludf.DUMMYFUNCTION("""COMPUTED_VALUE"""),14503.9274)</f>
        <v>14503.9274</v>
      </c>
    </row>
    <row r="2752">
      <c r="A2752" s="3">
        <f>IFERROR(__xludf.DUMMYFUNCTION("""COMPUTED_VALUE"""),43170.99861111111)</f>
        <v>43170.99861</v>
      </c>
      <c r="B2752" s="1">
        <f>IFERROR(__xludf.DUMMYFUNCTION("""COMPUTED_VALUE"""),14481.80888)</f>
        <v>14481.80888</v>
      </c>
    </row>
    <row r="2753">
      <c r="A2753" s="3">
        <f>IFERROR(__xludf.DUMMYFUNCTION("""COMPUTED_VALUE"""),43171.99861111111)</f>
        <v>43171.99861</v>
      </c>
      <c r="B2753" s="1">
        <f>IFERROR(__xludf.DUMMYFUNCTION("""COMPUTED_VALUE"""),14521.1535)</f>
        <v>14521.1535</v>
      </c>
    </row>
    <row r="2754">
      <c r="A2754" s="3">
        <f>IFERROR(__xludf.DUMMYFUNCTION("""COMPUTED_VALUE"""),43172.99861111111)</f>
        <v>43172.99861</v>
      </c>
      <c r="B2754" s="1">
        <f>IFERROR(__xludf.DUMMYFUNCTION("""COMPUTED_VALUE"""),14557.53)</f>
        <v>14557.53</v>
      </c>
    </row>
    <row r="2755">
      <c r="A2755" s="3">
        <f>IFERROR(__xludf.DUMMYFUNCTION("""COMPUTED_VALUE"""),43173.99861111111)</f>
        <v>43173.99861</v>
      </c>
      <c r="B2755" s="1">
        <f>IFERROR(__xludf.DUMMYFUNCTION("""COMPUTED_VALUE"""),14530.6575)</f>
        <v>14530.6575</v>
      </c>
    </row>
    <row r="2756">
      <c r="A2756" s="3">
        <f>IFERROR(__xludf.DUMMYFUNCTION("""COMPUTED_VALUE"""),43174.99861111111)</f>
        <v>43174.99861</v>
      </c>
      <c r="B2756" s="1">
        <f>IFERROR(__xludf.DUMMYFUNCTION("""COMPUTED_VALUE"""),14458.2822)</f>
        <v>14458.2822</v>
      </c>
    </row>
    <row r="2757">
      <c r="A2757" s="3">
        <f>IFERROR(__xludf.DUMMYFUNCTION("""COMPUTED_VALUE"""),43175.99861111111)</f>
        <v>43175.99861</v>
      </c>
      <c r="B2757" s="1">
        <f>IFERROR(__xludf.DUMMYFUNCTION("""COMPUTED_VALUE"""),14416.0816)</f>
        <v>14416.0816</v>
      </c>
    </row>
    <row r="2758">
      <c r="A2758" s="3">
        <f>IFERROR(__xludf.DUMMYFUNCTION("""COMPUTED_VALUE"""),43176.99861111111)</f>
        <v>43176.99861</v>
      </c>
      <c r="B2758" s="1">
        <f>IFERROR(__xludf.DUMMYFUNCTION("""COMPUTED_VALUE"""),14455.97489)</f>
        <v>14455.97489</v>
      </c>
    </row>
    <row r="2759">
      <c r="A2759" s="3">
        <f>IFERROR(__xludf.DUMMYFUNCTION("""COMPUTED_VALUE"""),43177.99861111111)</f>
        <v>43177.99861</v>
      </c>
      <c r="B2759" s="1">
        <f>IFERROR(__xludf.DUMMYFUNCTION("""COMPUTED_VALUE"""),14425.7764)</f>
        <v>14425.7764</v>
      </c>
    </row>
    <row r="2760">
      <c r="A2760" s="3">
        <f>IFERROR(__xludf.DUMMYFUNCTION("""COMPUTED_VALUE"""),43178.99861111111)</f>
        <v>43178.99861</v>
      </c>
      <c r="B2760" s="1">
        <f>IFERROR(__xludf.DUMMYFUNCTION("""COMPUTED_VALUE"""),14478.8294)</f>
        <v>14478.8294</v>
      </c>
    </row>
    <row r="2761">
      <c r="A2761" s="3">
        <f>IFERROR(__xludf.DUMMYFUNCTION("""COMPUTED_VALUE"""),43179.99861111111)</f>
        <v>43179.99861</v>
      </c>
      <c r="B2761" s="1">
        <f>IFERROR(__xludf.DUMMYFUNCTION("""COMPUTED_VALUE"""),14373.8037)</f>
        <v>14373.8037</v>
      </c>
    </row>
    <row r="2762">
      <c r="A2762" s="3">
        <f>IFERROR(__xludf.DUMMYFUNCTION("""COMPUTED_VALUE"""),43180.99861111111)</f>
        <v>43180.99861</v>
      </c>
      <c r="B2762" s="1">
        <f>IFERROR(__xludf.DUMMYFUNCTION("""COMPUTED_VALUE"""),14445.07)</f>
        <v>14445.07</v>
      </c>
    </row>
    <row r="2763">
      <c r="A2763" s="3">
        <f>IFERROR(__xludf.DUMMYFUNCTION("""COMPUTED_VALUE"""),43181.99861111111)</f>
        <v>43181.99861</v>
      </c>
      <c r="B2763" s="1">
        <f>IFERROR(__xludf.DUMMYFUNCTION("""COMPUTED_VALUE"""),14529.7256)</f>
        <v>14529.7256</v>
      </c>
    </row>
    <row r="2764">
      <c r="A2764" s="3">
        <f>IFERROR(__xludf.DUMMYFUNCTION("""COMPUTED_VALUE"""),43182.99861111111)</f>
        <v>43182.99861</v>
      </c>
      <c r="B2764" s="1">
        <f>IFERROR(__xludf.DUMMYFUNCTION("""COMPUTED_VALUE"""),14496.1594)</f>
        <v>14496.1594</v>
      </c>
    </row>
    <row r="2765">
      <c r="A2765" s="3">
        <f>IFERROR(__xludf.DUMMYFUNCTION("""COMPUTED_VALUE"""),43183.99861111111)</f>
        <v>43183.99861</v>
      </c>
      <c r="B2765" s="1">
        <f>IFERROR(__xludf.DUMMYFUNCTION("""COMPUTED_VALUE"""),14496.1594)</f>
        <v>14496.1594</v>
      </c>
    </row>
    <row r="2766">
      <c r="A2766" s="3">
        <f>IFERROR(__xludf.DUMMYFUNCTION("""COMPUTED_VALUE"""),43184.99861111111)</f>
        <v>43184.99861</v>
      </c>
      <c r="B2766" s="1">
        <f>IFERROR(__xludf.DUMMYFUNCTION("""COMPUTED_VALUE"""),14527.1672)</f>
        <v>14527.1672</v>
      </c>
    </row>
    <row r="2767">
      <c r="A2767" s="3">
        <f>IFERROR(__xludf.DUMMYFUNCTION("""COMPUTED_VALUE"""),43185.99861111111)</f>
        <v>43185.99861</v>
      </c>
      <c r="B2767" s="1">
        <f>IFERROR(__xludf.DUMMYFUNCTION("""COMPUTED_VALUE"""),14516.3876)</f>
        <v>14516.3876</v>
      </c>
    </row>
    <row r="2768">
      <c r="A2768" s="3">
        <f>IFERROR(__xludf.DUMMYFUNCTION("""COMPUTED_VALUE"""),43186.99861111111)</f>
        <v>43186.99861</v>
      </c>
      <c r="B2768" s="1">
        <f>IFERROR(__xludf.DUMMYFUNCTION("""COMPUTED_VALUE"""),14513.562)</f>
        <v>14513.562</v>
      </c>
    </row>
    <row r="2769">
      <c r="A2769" s="3">
        <f>IFERROR(__xludf.DUMMYFUNCTION("""COMPUTED_VALUE"""),43187.99861111111)</f>
        <v>43187.99861</v>
      </c>
      <c r="B2769" s="1">
        <f>IFERROR(__xludf.DUMMYFUNCTION("""COMPUTED_VALUE"""),14379.1468)</f>
        <v>14379.1468</v>
      </c>
    </row>
    <row r="2770">
      <c r="A2770" s="3">
        <f>IFERROR(__xludf.DUMMYFUNCTION("""COMPUTED_VALUE"""),43188.99861111111)</f>
        <v>43188.99861</v>
      </c>
      <c r="B2770" s="1">
        <f>IFERROR(__xludf.DUMMYFUNCTION("""COMPUTED_VALUE"""),14382.9435)</f>
        <v>14382.9435</v>
      </c>
    </row>
    <row r="2771">
      <c r="A2771" s="3">
        <f>IFERROR(__xludf.DUMMYFUNCTION("""COMPUTED_VALUE"""),43189.99861111111)</f>
        <v>43189.99861</v>
      </c>
      <c r="B2771" s="1">
        <f>IFERROR(__xludf.DUMMYFUNCTION("""COMPUTED_VALUE"""),14404.9432)</f>
        <v>14404.9432</v>
      </c>
    </row>
    <row r="2772">
      <c r="A2772" s="3">
        <f>IFERROR(__xludf.DUMMYFUNCTION("""COMPUTED_VALUE"""),43190.99861111111)</f>
        <v>43190.99861</v>
      </c>
      <c r="B2772" s="1">
        <f>IFERROR(__xludf.DUMMYFUNCTION("""COMPUTED_VALUE"""),14420.2772)</f>
        <v>14420.2772</v>
      </c>
    </row>
    <row r="2773">
      <c r="A2773" s="3">
        <f>IFERROR(__xludf.DUMMYFUNCTION("""COMPUTED_VALUE"""),43191.99861111111)</f>
        <v>43191.99861</v>
      </c>
      <c r="B2773" s="1">
        <f>IFERROR(__xludf.DUMMYFUNCTION("""COMPUTED_VALUE"""),14420.6032)</f>
        <v>14420.6032</v>
      </c>
    </row>
    <row r="2774">
      <c r="A2774" s="3">
        <f>IFERROR(__xludf.DUMMYFUNCTION("""COMPUTED_VALUE"""),43192.99861111111)</f>
        <v>43192.99861</v>
      </c>
      <c r="B2774" s="1">
        <f>IFERROR(__xludf.DUMMYFUNCTION("""COMPUTED_VALUE"""),14392.7812)</f>
        <v>14392.7812</v>
      </c>
    </row>
    <row r="2775">
      <c r="A2775" s="3">
        <f>IFERROR(__xludf.DUMMYFUNCTION("""COMPUTED_VALUE"""),43193.99861111111)</f>
        <v>43193.99861</v>
      </c>
      <c r="B2775" s="1">
        <f>IFERROR(__xludf.DUMMYFUNCTION("""COMPUTED_VALUE"""),14334.6112)</f>
        <v>14334.6112</v>
      </c>
    </row>
    <row r="2776">
      <c r="A2776" s="3">
        <f>IFERROR(__xludf.DUMMYFUNCTION("""COMPUTED_VALUE"""),43194.99861111111)</f>
        <v>43194.99861</v>
      </c>
      <c r="B2776" s="1">
        <f>IFERROR(__xludf.DUMMYFUNCTION("""COMPUTED_VALUE"""),14320.42891)</f>
        <v>14320.42891</v>
      </c>
    </row>
    <row r="2777">
      <c r="A2777" s="3">
        <f>IFERROR(__xludf.DUMMYFUNCTION("""COMPUTED_VALUE"""),43195.99861111111)</f>
        <v>43195.99861</v>
      </c>
      <c r="B2777" s="1">
        <f>IFERROR(__xludf.DUMMYFUNCTION("""COMPUTED_VALUE"""),14299.392)</f>
        <v>14299.392</v>
      </c>
    </row>
    <row r="2778">
      <c r="A2778" s="3">
        <f>IFERROR(__xludf.DUMMYFUNCTION("""COMPUTED_VALUE"""),43196.99861111111)</f>
        <v>43196.99861</v>
      </c>
      <c r="B2778" s="1">
        <f>IFERROR(__xludf.DUMMYFUNCTION("""COMPUTED_VALUE"""),14356.1853)</f>
        <v>14356.1853</v>
      </c>
    </row>
    <row r="2779">
      <c r="A2779" s="3">
        <f>IFERROR(__xludf.DUMMYFUNCTION("""COMPUTED_VALUE"""),43197.99861111111)</f>
        <v>43197.99861</v>
      </c>
      <c r="B2779" s="1">
        <f>IFERROR(__xludf.DUMMYFUNCTION("""COMPUTED_VALUE"""),14358.9379)</f>
        <v>14358.9379</v>
      </c>
    </row>
    <row r="2780">
      <c r="A2780" s="3">
        <f>IFERROR(__xludf.DUMMYFUNCTION("""COMPUTED_VALUE"""),43198.99861111111)</f>
        <v>43198.99861</v>
      </c>
      <c r="B2780" s="1">
        <f>IFERROR(__xludf.DUMMYFUNCTION("""COMPUTED_VALUE"""),14343.7986)</f>
        <v>14343.7986</v>
      </c>
    </row>
    <row r="2781">
      <c r="A2781" s="3">
        <f>IFERROR(__xludf.DUMMYFUNCTION("""COMPUTED_VALUE"""),43199.99861111111)</f>
        <v>43199.99861</v>
      </c>
      <c r="B2781" s="1">
        <f>IFERROR(__xludf.DUMMYFUNCTION("""COMPUTED_VALUE"""),14397.1976)</f>
        <v>14397.1976</v>
      </c>
    </row>
    <row r="2782">
      <c r="A2782" s="3">
        <f>IFERROR(__xludf.DUMMYFUNCTION("""COMPUTED_VALUE"""),43200.99861111111)</f>
        <v>43200.99861</v>
      </c>
      <c r="B2782" s="1">
        <f>IFERROR(__xludf.DUMMYFUNCTION("""COMPUTED_VALUE"""),14367.36555)</f>
        <v>14367.36555</v>
      </c>
    </row>
    <row r="2783">
      <c r="A2783" s="3">
        <f>IFERROR(__xludf.DUMMYFUNCTION("""COMPUTED_VALUE"""),43201.99861111111)</f>
        <v>43201.99861</v>
      </c>
      <c r="B2783" s="1">
        <f>IFERROR(__xludf.DUMMYFUNCTION("""COMPUTED_VALUE"""),14361.4047)</f>
        <v>14361.4047</v>
      </c>
    </row>
    <row r="2784">
      <c r="A2784" s="3">
        <f>IFERROR(__xludf.DUMMYFUNCTION("""COMPUTED_VALUE"""),43202.99861111111)</f>
        <v>43202.99861</v>
      </c>
      <c r="B2784" s="1">
        <f>IFERROR(__xludf.DUMMYFUNCTION("""COMPUTED_VALUE"""),14305.2897)</f>
        <v>14305.2897</v>
      </c>
    </row>
    <row r="2785">
      <c r="A2785" s="3">
        <f>IFERROR(__xludf.DUMMYFUNCTION("""COMPUTED_VALUE"""),43203.99861111111)</f>
        <v>43203.99861</v>
      </c>
      <c r="B2785" s="1">
        <f>IFERROR(__xludf.DUMMYFUNCTION("""COMPUTED_VALUE"""),14317.0062)</f>
        <v>14317.0062</v>
      </c>
    </row>
    <row r="2786">
      <c r="A2786" s="3">
        <f>IFERROR(__xludf.DUMMYFUNCTION("""COMPUTED_VALUE"""),43204.99861111111)</f>
        <v>43204.99861</v>
      </c>
      <c r="B2786" s="1">
        <f>IFERROR(__xludf.DUMMYFUNCTION("""COMPUTED_VALUE"""),14282.85325)</f>
        <v>14282.85325</v>
      </c>
    </row>
    <row r="2787">
      <c r="A2787" s="3">
        <f>IFERROR(__xludf.DUMMYFUNCTION("""COMPUTED_VALUE"""),43205.99861111111)</f>
        <v>43205.99861</v>
      </c>
      <c r="B2787" s="1">
        <f>IFERROR(__xludf.DUMMYFUNCTION("""COMPUTED_VALUE"""),14257.6006)</f>
        <v>14257.6006</v>
      </c>
    </row>
    <row r="2788">
      <c r="A2788" s="3">
        <f>IFERROR(__xludf.DUMMYFUNCTION("""COMPUTED_VALUE"""),43206.99861111111)</f>
        <v>43206.99861</v>
      </c>
      <c r="B2788" s="1">
        <f>IFERROR(__xludf.DUMMYFUNCTION("""COMPUTED_VALUE"""),14345.5486)</f>
        <v>14345.5486</v>
      </c>
    </row>
    <row r="2789">
      <c r="A2789" s="3">
        <f>IFERROR(__xludf.DUMMYFUNCTION("""COMPUTED_VALUE"""),43207.99861111111)</f>
        <v>43207.99861</v>
      </c>
      <c r="B2789" s="1">
        <f>IFERROR(__xludf.DUMMYFUNCTION("""COMPUTED_VALUE"""),14230.2408)</f>
        <v>14230.2408</v>
      </c>
    </row>
    <row r="2790">
      <c r="A2790" s="3">
        <f>IFERROR(__xludf.DUMMYFUNCTION("""COMPUTED_VALUE"""),43208.99861111111)</f>
        <v>43208.99861</v>
      </c>
      <c r="B2790" s="1">
        <f>IFERROR(__xludf.DUMMYFUNCTION("""COMPUTED_VALUE"""),14214.56484)</f>
        <v>14214.56484</v>
      </c>
    </row>
    <row r="2791">
      <c r="A2791" s="3">
        <f>IFERROR(__xludf.DUMMYFUNCTION("""COMPUTED_VALUE"""),43209.99861111111)</f>
        <v>43209.99861</v>
      </c>
      <c r="B2791" s="1">
        <f>IFERROR(__xludf.DUMMYFUNCTION("""COMPUTED_VALUE"""),14201.58)</f>
        <v>14201.58</v>
      </c>
    </row>
    <row r="2792">
      <c r="A2792" s="3">
        <f>IFERROR(__xludf.DUMMYFUNCTION("""COMPUTED_VALUE"""),43210.99861111111)</f>
        <v>43210.99861</v>
      </c>
      <c r="B2792" s="1">
        <f>IFERROR(__xludf.DUMMYFUNCTION("""COMPUTED_VALUE"""),14204.3023)</f>
        <v>14204.3023</v>
      </c>
    </row>
    <row r="2793">
      <c r="A2793" s="3">
        <f>IFERROR(__xludf.DUMMYFUNCTION("""COMPUTED_VALUE"""),43211.99861111111)</f>
        <v>43211.99861</v>
      </c>
      <c r="B2793" s="1">
        <f>IFERROR(__xludf.DUMMYFUNCTION("""COMPUTED_VALUE"""),14203.59545)</f>
        <v>14203.59545</v>
      </c>
    </row>
    <row r="2794">
      <c r="A2794" s="3">
        <f>IFERROR(__xludf.DUMMYFUNCTION("""COMPUTED_VALUE"""),43212.99861111111)</f>
        <v>43212.99861</v>
      </c>
      <c r="B2794" s="1">
        <f>IFERROR(__xludf.DUMMYFUNCTION("""COMPUTED_VALUE"""),14239.5255)</f>
        <v>14239.5255</v>
      </c>
    </row>
    <row r="2795">
      <c r="A2795" s="3">
        <f>IFERROR(__xludf.DUMMYFUNCTION("""COMPUTED_VALUE"""),43213.99861111111)</f>
        <v>43213.99861</v>
      </c>
      <c r="B2795" s="1">
        <f>IFERROR(__xludf.DUMMYFUNCTION("""COMPUTED_VALUE"""),14270.9342)</f>
        <v>14270.9342</v>
      </c>
    </row>
    <row r="2796">
      <c r="A2796" s="3">
        <f>IFERROR(__xludf.DUMMYFUNCTION("""COMPUTED_VALUE"""),43214.99861111111)</f>
        <v>43214.99861</v>
      </c>
      <c r="B2796" s="1">
        <f>IFERROR(__xludf.DUMMYFUNCTION("""COMPUTED_VALUE"""),14170.248)</f>
        <v>14170.248</v>
      </c>
    </row>
    <row r="2797">
      <c r="A2797" s="3">
        <f>IFERROR(__xludf.DUMMYFUNCTION("""COMPUTED_VALUE"""),43215.99861111111)</f>
        <v>43215.99861</v>
      </c>
      <c r="B2797" s="1">
        <f>IFERROR(__xludf.DUMMYFUNCTION("""COMPUTED_VALUE"""),14165.3663)</f>
        <v>14165.3663</v>
      </c>
    </row>
    <row r="2798">
      <c r="A2798" s="3">
        <f>IFERROR(__xludf.DUMMYFUNCTION("""COMPUTED_VALUE"""),43216.99861111111)</f>
        <v>43216.99861</v>
      </c>
      <c r="B2798" s="1">
        <f>IFERROR(__xludf.DUMMYFUNCTION("""COMPUTED_VALUE"""),14030.2811)</f>
        <v>14030.2811</v>
      </c>
    </row>
    <row r="2799">
      <c r="A2799" s="3">
        <f>IFERROR(__xludf.DUMMYFUNCTION("""COMPUTED_VALUE"""),43217.99861111111)</f>
        <v>43217.99861</v>
      </c>
      <c r="B2799" s="1">
        <f>IFERROR(__xludf.DUMMYFUNCTION("""COMPUTED_VALUE"""),14020.6616)</f>
        <v>14020.6616</v>
      </c>
    </row>
    <row r="2800">
      <c r="A2800" s="3">
        <f>IFERROR(__xludf.DUMMYFUNCTION("""COMPUTED_VALUE"""),43218.99861111111)</f>
        <v>43218.99861</v>
      </c>
      <c r="B2800" s="1">
        <f>IFERROR(__xludf.DUMMYFUNCTION("""COMPUTED_VALUE"""),14044.31574)</f>
        <v>14044.31574</v>
      </c>
    </row>
    <row r="2801">
      <c r="A2801" s="3">
        <f>IFERROR(__xludf.DUMMYFUNCTION("""COMPUTED_VALUE"""),43219.99861111111)</f>
        <v>43219.99861</v>
      </c>
      <c r="B2801" s="1">
        <f>IFERROR(__xludf.DUMMYFUNCTION("""COMPUTED_VALUE"""),14033.666)</f>
        <v>14033.666</v>
      </c>
    </row>
    <row r="2802">
      <c r="A2802" s="3">
        <f>IFERROR(__xludf.DUMMYFUNCTION("""COMPUTED_VALUE"""),43220.99861111111)</f>
        <v>43220.99861</v>
      </c>
      <c r="B2802" s="1">
        <f>IFERROR(__xludf.DUMMYFUNCTION("""COMPUTED_VALUE"""),14028.8892)</f>
        <v>14028.8892</v>
      </c>
    </row>
    <row r="2803">
      <c r="A2803" s="3">
        <f>IFERROR(__xludf.DUMMYFUNCTION("""COMPUTED_VALUE"""),43221.99861111111)</f>
        <v>43221.99861</v>
      </c>
      <c r="B2803" s="1">
        <f>IFERROR(__xludf.DUMMYFUNCTION("""COMPUTED_VALUE"""),14027.04336)</f>
        <v>14027.04336</v>
      </c>
    </row>
    <row r="2804">
      <c r="A2804" s="3">
        <f>IFERROR(__xludf.DUMMYFUNCTION("""COMPUTED_VALUE"""),43222.99861111111)</f>
        <v>43222.99861</v>
      </c>
      <c r="B2804" s="1">
        <f>IFERROR(__xludf.DUMMYFUNCTION("""COMPUTED_VALUE"""),14010.70138)</f>
        <v>14010.70138</v>
      </c>
    </row>
    <row r="2805">
      <c r="A2805" s="3">
        <f>IFERROR(__xludf.DUMMYFUNCTION("""COMPUTED_VALUE"""),43223.99861111111)</f>
        <v>43223.99861</v>
      </c>
      <c r="B2805" s="1">
        <f>IFERROR(__xludf.DUMMYFUNCTION("""COMPUTED_VALUE"""),13965.8275)</f>
        <v>13965.8275</v>
      </c>
    </row>
    <row r="2806">
      <c r="A2806" s="3">
        <f>IFERROR(__xludf.DUMMYFUNCTION("""COMPUTED_VALUE"""),43224.99861111111)</f>
        <v>43224.99861</v>
      </c>
      <c r="B2806" s="1">
        <f>IFERROR(__xludf.DUMMYFUNCTION("""COMPUTED_VALUE"""),13939.05051)</f>
        <v>13939.05051</v>
      </c>
    </row>
    <row r="2807">
      <c r="A2807" s="3">
        <f>IFERROR(__xludf.DUMMYFUNCTION("""COMPUTED_VALUE"""),43225.99861111111)</f>
        <v>43225.99861</v>
      </c>
      <c r="B2807" s="1">
        <f>IFERROR(__xludf.DUMMYFUNCTION("""COMPUTED_VALUE"""),13947.06859)</f>
        <v>13947.06859</v>
      </c>
    </row>
    <row r="2808">
      <c r="A2808" s="3">
        <f>IFERROR(__xludf.DUMMYFUNCTION("""COMPUTED_VALUE"""),43226.99861111111)</f>
        <v>43226.99861</v>
      </c>
      <c r="B2808" s="1">
        <f>IFERROR(__xludf.DUMMYFUNCTION("""COMPUTED_VALUE"""),13923.52556)</f>
        <v>13923.52556</v>
      </c>
    </row>
    <row r="2809">
      <c r="A2809" s="3">
        <f>IFERROR(__xludf.DUMMYFUNCTION("""COMPUTED_VALUE"""),43227.99861111111)</f>
        <v>43227.99861</v>
      </c>
      <c r="B2809" s="1">
        <f>IFERROR(__xludf.DUMMYFUNCTION("""COMPUTED_VALUE"""),14239.67763)</f>
        <v>14239.67763</v>
      </c>
    </row>
    <row r="2810">
      <c r="A2810" s="3">
        <f>IFERROR(__xludf.DUMMYFUNCTION("""COMPUTED_VALUE"""),43228.99861111111)</f>
        <v>43228.99861</v>
      </c>
      <c r="B2810" s="1">
        <f>IFERROR(__xludf.DUMMYFUNCTION("""COMPUTED_VALUE"""),14244.2729)</f>
        <v>14244.2729</v>
      </c>
    </row>
    <row r="2811">
      <c r="A2811" s="3">
        <f>IFERROR(__xludf.DUMMYFUNCTION("""COMPUTED_VALUE"""),43229.99861111111)</f>
        <v>43229.99861</v>
      </c>
      <c r="B2811" s="1">
        <f>IFERROR(__xludf.DUMMYFUNCTION("""COMPUTED_VALUE"""),13992.36171)</f>
        <v>13992.36171</v>
      </c>
    </row>
    <row r="2812">
      <c r="A2812" s="3">
        <f>IFERROR(__xludf.DUMMYFUNCTION("""COMPUTED_VALUE"""),43230.99861111111)</f>
        <v>43230.99861</v>
      </c>
      <c r="B2812" s="1">
        <f>IFERROR(__xludf.DUMMYFUNCTION("""COMPUTED_VALUE"""),14025.29253)</f>
        <v>14025.29253</v>
      </c>
    </row>
    <row r="2813">
      <c r="A2813" s="3">
        <f>IFERROR(__xludf.DUMMYFUNCTION("""COMPUTED_VALUE"""),43231.99861111111)</f>
        <v>43231.99861</v>
      </c>
      <c r="B2813" s="1">
        <f>IFERROR(__xludf.DUMMYFUNCTION("""COMPUTED_VALUE"""),13926.6176)</f>
        <v>13926.6176</v>
      </c>
    </row>
    <row r="2814">
      <c r="A2814" s="3">
        <f>IFERROR(__xludf.DUMMYFUNCTION("""COMPUTED_VALUE"""),43232.99861111111)</f>
        <v>43232.99861</v>
      </c>
      <c r="B2814" s="1">
        <f>IFERROR(__xludf.DUMMYFUNCTION("""COMPUTED_VALUE"""),13929.61472)</f>
        <v>13929.61472</v>
      </c>
    </row>
    <row r="2815">
      <c r="A2815" s="3">
        <f>IFERROR(__xludf.DUMMYFUNCTION("""COMPUTED_VALUE"""),43233.99861111111)</f>
        <v>43233.99861</v>
      </c>
      <c r="B2815" s="1">
        <f>IFERROR(__xludf.DUMMYFUNCTION("""COMPUTED_VALUE"""),13942.44228)</f>
        <v>13942.44228</v>
      </c>
    </row>
    <row r="2816">
      <c r="A2816" s="3">
        <f>IFERROR(__xludf.DUMMYFUNCTION("""COMPUTED_VALUE"""),43234.99861111111)</f>
        <v>43234.99861</v>
      </c>
      <c r="B2816" s="1">
        <f>IFERROR(__xludf.DUMMYFUNCTION("""COMPUTED_VALUE"""),13957.97332)</f>
        <v>13957.97332</v>
      </c>
    </row>
    <row r="2817">
      <c r="A2817" s="3">
        <f>IFERROR(__xludf.DUMMYFUNCTION("""COMPUTED_VALUE"""),43235.99861111111)</f>
        <v>43235.99861</v>
      </c>
      <c r="B2817" s="1">
        <f>IFERROR(__xludf.DUMMYFUNCTION("""COMPUTED_VALUE"""),14010.0774)</f>
        <v>14010.0774</v>
      </c>
    </row>
    <row r="2818">
      <c r="A2818" s="3">
        <f>IFERROR(__xludf.DUMMYFUNCTION("""COMPUTED_VALUE"""),43236.99861111111)</f>
        <v>43236.99861</v>
      </c>
      <c r="B2818" s="1">
        <f>IFERROR(__xludf.DUMMYFUNCTION("""COMPUTED_VALUE"""),14140.286)</f>
        <v>14140.286</v>
      </c>
    </row>
    <row r="2819">
      <c r="A2819" s="3">
        <f>IFERROR(__xludf.DUMMYFUNCTION("""COMPUTED_VALUE"""),43237.99861111111)</f>
        <v>43237.99861</v>
      </c>
      <c r="B2819" s="1">
        <f>IFERROR(__xludf.DUMMYFUNCTION("""COMPUTED_VALUE"""),14125.75914)</f>
        <v>14125.75914</v>
      </c>
    </row>
    <row r="2820">
      <c r="A2820" s="3">
        <f>IFERROR(__xludf.DUMMYFUNCTION("""COMPUTED_VALUE"""),43238.99861111111)</f>
        <v>43238.99861</v>
      </c>
      <c r="B2820" s="1">
        <f>IFERROR(__xludf.DUMMYFUNCTION("""COMPUTED_VALUE"""),14177.8154)</f>
        <v>14177.8154</v>
      </c>
    </row>
    <row r="2821">
      <c r="A2821" s="3">
        <f>IFERROR(__xludf.DUMMYFUNCTION("""COMPUTED_VALUE"""),43239.99861111111)</f>
        <v>43239.99861</v>
      </c>
      <c r="B2821" s="1">
        <f>IFERROR(__xludf.DUMMYFUNCTION("""COMPUTED_VALUE"""),14179.2288)</f>
        <v>14179.2288</v>
      </c>
    </row>
    <row r="2822">
      <c r="A2822" s="3">
        <f>IFERROR(__xludf.DUMMYFUNCTION("""COMPUTED_VALUE"""),43240.99861111111)</f>
        <v>43240.99861</v>
      </c>
      <c r="B2822" s="1">
        <f>IFERROR(__xludf.DUMMYFUNCTION("""COMPUTED_VALUE"""),14187.0771)</f>
        <v>14187.0771</v>
      </c>
    </row>
    <row r="2823">
      <c r="A2823" s="3">
        <f>IFERROR(__xludf.DUMMYFUNCTION("""COMPUTED_VALUE"""),43241.99861111111)</f>
        <v>43241.99861</v>
      </c>
      <c r="B2823" s="1">
        <f>IFERROR(__xludf.DUMMYFUNCTION("""COMPUTED_VALUE"""),14261.238)</f>
        <v>14261.238</v>
      </c>
    </row>
    <row r="2824">
      <c r="A2824" s="3">
        <f>IFERROR(__xludf.DUMMYFUNCTION("""COMPUTED_VALUE"""),43242.99861111111)</f>
        <v>43242.99861</v>
      </c>
      <c r="B2824" s="1">
        <f>IFERROR(__xludf.DUMMYFUNCTION("""COMPUTED_VALUE"""),14314.4064)</f>
        <v>14314.4064</v>
      </c>
    </row>
    <row r="2825">
      <c r="A2825" s="3">
        <f>IFERROR(__xludf.DUMMYFUNCTION("""COMPUTED_VALUE"""),43243.99861111111)</f>
        <v>43243.99861</v>
      </c>
      <c r="B2825" s="1">
        <f>IFERROR(__xludf.DUMMYFUNCTION("""COMPUTED_VALUE"""),14249.7633)</f>
        <v>14249.7633</v>
      </c>
    </row>
    <row r="2826">
      <c r="A2826" s="3">
        <f>IFERROR(__xludf.DUMMYFUNCTION("""COMPUTED_VALUE"""),43244.99861111111)</f>
        <v>43244.99861</v>
      </c>
      <c r="B2826" s="1">
        <f>IFERROR(__xludf.DUMMYFUNCTION("""COMPUTED_VALUE"""),14244.054)</f>
        <v>14244.054</v>
      </c>
    </row>
    <row r="2827">
      <c r="A2827" s="3">
        <f>IFERROR(__xludf.DUMMYFUNCTION("""COMPUTED_VALUE"""),43245.99861111111)</f>
        <v>43245.99861</v>
      </c>
      <c r="B2827" s="1">
        <f>IFERROR(__xludf.DUMMYFUNCTION("""COMPUTED_VALUE"""),14222.88)</f>
        <v>14222.88</v>
      </c>
    </row>
    <row r="2828">
      <c r="A2828" s="3">
        <f>IFERROR(__xludf.DUMMYFUNCTION("""COMPUTED_VALUE"""),43246.99861111111)</f>
        <v>43246.99861</v>
      </c>
      <c r="B2828" s="1">
        <f>IFERROR(__xludf.DUMMYFUNCTION("""COMPUTED_VALUE"""),14158.368)</f>
        <v>14158.368</v>
      </c>
    </row>
    <row r="2829">
      <c r="A2829" s="3">
        <f>IFERROR(__xludf.DUMMYFUNCTION("""COMPUTED_VALUE"""),43247.99861111111)</f>
        <v>43247.99861</v>
      </c>
      <c r="B2829" s="1">
        <f>IFERROR(__xludf.DUMMYFUNCTION("""COMPUTED_VALUE"""),14182.1772)</f>
        <v>14182.1772</v>
      </c>
    </row>
    <row r="2830">
      <c r="A2830" s="3">
        <f>IFERROR(__xludf.DUMMYFUNCTION("""COMPUTED_VALUE"""),43248.99861111111)</f>
        <v>43248.99861</v>
      </c>
      <c r="B2830" s="1">
        <f>IFERROR(__xludf.DUMMYFUNCTION("""COMPUTED_VALUE"""),14101.4853)</f>
        <v>14101.4853</v>
      </c>
    </row>
    <row r="2831">
      <c r="A2831" s="3">
        <f>IFERROR(__xludf.DUMMYFUNCTION("""COMPUTED_VALUE"""),43249.99861111111)</f>
        <v>43249.99861</v>
      </c>
      <c r="B2831" s="1">
        <f>IFERROR(__xludf.DUMMYFUNCTION("""COMPUTED_VALUE"""),14158.0668)</f>
        <v>14158.0668</v>
      </c>
    </row>
    <row r="2832">
      <c r="A2832" s="3">
        <f>IFERROR(__xludf.DUMMYFUNCTION("""COMPUTED_VALUE"""),43250.99861111111)</f>
        <v>43250.99861</v>
      </c>
      <c r="B2832" s="1">
        <f>IFERROR(__xludf.DUMMYFUNCTION("""COMPUTED_VALUE"""),14136.3378)</f>
        <v>14136.3378</v>
      </c>
    </row>
    <row r="2833">
      <c r="A2833" s="3">
        <f>IFERROR(__xludf.DUMMYFUNCTION("""COMPUTED_VALUE"""),43251.99861111111)</f>
        <v>43251.99861</v>
      </c>
      <c r="B2833" s="1">
        <f>IFERROR(__xludf.DUMMYFUNCTION("""COMPUTED_VALUE"""),14089.588)</f>
        <v>14089.588</v>
      </c>
    </row>
    <row r="2834">
      <c r="A2834" s="3">
        <f>IFERROR(__xludf.DUMMYFUNCTION("""COMPUTED_VALUE"""),43252.99861111111)</f>
        <v>43252.99861</v>
      </c>
      <c r="B2834" s="1">
        <f>IFERROR(__xludf.DUMMYFUNCTION("""COMPUTED_VALUE"""),13990.6284)</f>
        <v>13990.6284</v>
      </c>
    </row>
    <row r="2835">
      <c r="A2835" s="3">
        <f>IFERROR(__xludf.DUMMYFUNCTION("""COMPUTED_VALUE"""),43253.99861111111)</f>
        <v>43253.99861</v>
      </c>
      <c r="B2835" s="1">
        <f>IFERROR(__xludf.DUMMYFUNCTION("""COMPUTED_VALUE"""),14009.67312)</f>
        <v>14009.67312</v>
      </c>
    </row>
    <row r="2836">
      <c r="A2836" s="3">
        <f>IFERROR(__xludf.DUMMYFUNCTION("""COMPUTED_VALUE"""),43254.99861111111)</f>
        <v>43254.99861</v>
      </c>
      <c r="B2836" s="1">
        <f>IFERROR(__xludf.DUMMYFUNCTION("""COMPUTED_VALUE"""),14096.8932)</f>
        <v>14096.8932</v>
      </c>
    </row>
    <row r="2837">
      <c r="A2837" s="3">
        <f>IFERROR(__xludf.DUMMYFUNCTION("""COMPUTED_VALUE"""),43255.99861111111)</f>
        <v>43255.99861</v>
      </c>
      <c r="B2837" s="1">
        <f>IFERROR(__xludf.DUMMYFUNCTION("""COMPUTED_VALUE"""),14023.548)</f>
        <v>14023.548</v>
      </c>
    </row>
    <row r="2838">
      <c r="A2838" s="3">
        <f>IFERROR(__xludf.DUMMYFUNCTION("""COMPUTED_VALUE"""),43256.99861111111)</f>
        <v>43256.99861</v>
      </c>
      <c r="B2838" s="1">
        <f>IFERROR(__xludf.DUMMYFUNCTION("""COMPUTED_VALUE"""),14089.146)</f>
        <v>14089.146</v>
      </c>
    </row>
    <row r="2839">
      <c r="A2839" s="3">
        <f>IFERROR(__xludf.DUMMYFUNCTION("""COMPUTED_VALUE"""),43257.99861111111)</f>
        <v>43257.99861</v>
      </c>
      <c r="B2839" s="1">
        <f>IFERROR(__xludf.DUMMYFUNCTION("""COMPUTED_VALUE"""),14014.1258)</f>
        <v>14014.1258</v>
      </c>
    </row>
    <row r="2840">
      <c r="A2840" s="3">
        <f>IFERROR(__xludf.DUMMYFUNCTION("""COMPUTED_VALUE"""),43258.99861111111)</f>
        <v>43258.99861</v>
      </c>
      <c r="B2840" s="1">
        <f>IFERROR(__xludf.DUMMYFUNCTION("""COMPUTED_VALUE"""),14130.5559)</f>
        <v>14130.5559</v>
      </c>
    </row>
    <row r="2841">
      <c r="A2841" s="3">
        <f>IFERROR(__xludf.DUMMYFUNCTION("""COMPUTED_VALUE"""),43259.99861111111)</f>
        <v>43259.99861</v>
      </c>
      <c r="B2841" s="1">
        <f>IFERROR(__xludf.DUMMYFUNCTION("""COMPUTED_VALUE"""),14146.1749)</f>
        <v>14146.1749</v>
      </c>
    </row>
    <row r="2842">
      <c r="A2842" s="3">
        <f>IFERROR(__xludf.DUMMYFUNCTION("""COMPUTED_VALUE"""),43260.99861111111)</f>
        <v>43260.99861</v>
      </c>
      <c r="B2842" s="1">
        <f>IFERROR(__xludf.DUMMYFUNCTION("""COMPUTED_VALUE"""),14172.9414)</f>
        <v>14172.9414</v>
      </c>
    </row>
    <row r="2843">
      <c r="A2843" s="3">
        <f>IFERROR(__xludf.DUMMYFUNCTION("""COMPUTED_VALUE"""),43261.99861111111)</f>
        <v>43261.99861</v>
      </c>
      <c r="B2843" s="1">
        <f>IFERROR(__xludf.DUMMYFUNCTION("""COMPUTED_VALUE"""),14077.4565)</f>
        <v>14077.4565</v>
      </c>
    </row>
    <row r="2844">
      <c r="A2844" s="3">
        <f>IFERROR(__xludf.DUMMYFUNCTION("""COMPUTED_VALUE"""),43262.99861111111)</f>
        <v>43262.99861</v>
      </c>
      <c r="B2844" s="1">
        <f>IFERROR(__xludf.DUMMYFUNCTION("""COMPUTED_VALUE"""),14113.7451)</f>
        <v>14113.7451</v>
      </c>
    </row>
    <row r="2845">
      <c r="A2845" s="3">
        <f>IFERROR(__xludf.DUMMYFUNCTION("""COMPUTED_VALUE"""),43263.99861111111)</f>
        <v>43263.99861</v>
      </c>
      <c r="B2845" s="1">
        <f>IFERROR(__xludf.DUMMYFUNCTION("""COMPUTED_VALUE"""),14103.999)</f>
        <v>14103.999</v>
      </c>
    </row>
    <row r="2846">
      <c r="A2846" s="3">
        <f>IFERROR(__xludf.DUMMYFUNCTION("""COMPUTED_VALUE"""),43264.99861111111)</f>
        <v>43264.99861</v>
      </c>
      <c r="B2846" s="1">
        <f>IFERROR(__xludf.DUMMYFUNCTION("""COMPUTED_VALUE"""),14138.8065)</f>
        <v>14138.8065</v>
      </c>
    </row>
    <row r="2847">
      <c r="A2847" s="3">
        <f>IFERROR(__xludf.DUMMYFUNCTION("""COMPUTED_VALUE"""),43265.99861111111)</f>
        <v>43265.99861</v>
      </c>
      <c r="B2847" s="1">
        <f>IFERROR(__xludf.DUMMYFUNCTION("""COMPUTED_VALUE"""),14162.35206)</f>
        <v>14162.35206</v>
      </c>
    </row>
    <row r="2848">
      <c r="A2848" s="3">
        <f>IFERROR(__xludf.DUMMYFUNCTION("""COMPUTED_VALUE"""),43266.99861111111)</f>
        <v>43266.99861</v>
      </c>
      <c r="B2848" s="1">
        <f>IFERROR(__xludf.DUMMYFUNCTION("""COMPUTED_VALUE"""),14114.82336)</f>
        <v>14114.82336</v>
      </c>
    </row>
    <row r="2849">
      <c r="A2849" s="3">
        <f>IFERROR(__xludf.DUMMYFUNCTION("""COMPUTED_VALUE"""),43267.99861111111)</f>
        <v>43267.99861</v>
      </c>
      <c r="B2849" s="1">
        <f>IFERROR(__xludf.DUMMYFUNCTION("""COMPUTED_VALUE"""),13939.70207)</f>
        <v>13939.70207</v>
      </c>
    </row>
    <row r="2850">
      <c r="A2850" s="3">
        <f>IFERROR(__xludf.DUMMYFUNCTION("""COMPUTED_VALUE"""),43268.99861111111)</f>
        <v>43268.99861</v>
      </c>
      <c r="B2850" s="1">
        <f>IFERROR(__xludf.DUMMYFUNCTION("""COMPUTED_VALUE"""),13953.49137)</f>
        <v>13953.49137</v>
      </c>
    </row>
    <row r="2851">
      <c r="A2851" s="3">
        <f>IFERROR(__xludf.DUMMYFUNCTION("""COMPUTED_VALUE"""),43269.99861111111)</f>
        <v>43269.99861</v>
      </c>
      <c r="B2851" s="1">
        <f>IFERROR(__xludf.DUMMYFUNCTION("""COMPUTED_VALUE"""),14000.9688)</f>
        <v>14000.9688</v>
      </c>
    </row>
    <row r="2852">
      <c r="A2852" s="3">
        <f>IFERROR(__xludf.DUMMYFUNCTION("""COMPUTED_VALUE"""),43270.99861111111)</f>
        <v>43270.99861</v>
      </c>
      <c r="B2852" s="1">
        <f>IFERROR(__xludf.DUMMYFUNCTION("""COMPUTED_VALUE"""),14002.3611)</f>
        <v>14002.3611</v>
      </c>
    </row>
    <row r="2853">
      <c r="A2853" s="3">
        <f>IFERROR(__xludf.DUMMYFUNCTION("""COMPUTED_VALUE"""),43271.99861111111)</f>
        <v>43271.99861</v>
      </c>
      <c r="B2853" s="1">
        <f>IFERROR(__xludf.DUMMYFUNCTION("""COMPUTED_VALUE"""),13975.9074)</f>
        <v>13975.9074</v>
      </c>
    </row>
    <row r="2854">
      <c r="A2854" s="3">
        <f>IFERROR(__xludf.DUMMYFUNCTION("""COMPUTED_VALUE"""),43272.99861111111)</f>
        <v>43272.99861</v>
      </c>
      <c r="B2854" s="1">
        <f>IFERROR(__xludf.DUMMYFUNCTION("""COMPUTED_VALUE"""),14202.1128)</f>
        <v>14202.1128</v>
      </c>
    </row>
    <row r="2855">
      <c r="A2855" s="3">
        <f>IFERROR(__xludf.DUMMYFUNCTION("""COMPUTED_VALUE"""),43273.99861111111)</f>
        <v>43273.99861</v>
      </c>
      <c r="B2855" s="1">
        <f>IFERROR(__xludf.DUMMYFUNCTION("""COMPUTED_VALUE"""),14256.8536)</f>
        <v>14256.8536</v>
      </c>
    </row>
    <row r="2856">
      <c r="A2856" s="3">
        <f>IFERROR(__xludf.DUMMYFUNCTION("""COMPUTED_VALUE"""),43274.99861111111)</f>
        <v>43274.99861</v>
      </c>
      <c r="B2856" s="1">
        <f>IFERROR(__xludf.DUMMYFUNCTION("""COMPUTED_VALUE"""),14233.0584)</f>
        <v>14233.0584</v>
      </c>
    </row>
    <row r="2857">
      <c r="A2857" s="3">
        <f>IFERROR(__xludf.DUMMYFUNCTION("""COMPUTED_VALUE"""),43275.99861111111)</f>
        <v>43275.99861</v>
      </c>
      <c r="B2857" s="1">
        <f>IFERROR(__xludf.DUMMYFUNCTION("""COMPUTED_VALUE"""),14243.2833)</f>
        <v>14243.2833</v>
      </c>
    </row>
    <row r="2858">
      <c r="A2858" s="3">
        <f>IFERROR(__xludf.DUMMYFUNCTION("""COMPUTED_VALUE"""),43276.99861111111)</f>
        <v>43276.99861</v>
      </c>
      <c r="B2858" s="1">
        <f>IFERROR(__xludf.DUMMYFUNCTION("""COMPUTED_VALUE"""),14331.924)</f>
        <v>14331.924</v>
      </c>
    </row>
    <row r="2859">
      <c r="A2859" s="3">
        <f>IFERROR(__xludf.DUMMYFUNCTION("""COMPUTED_VALUE"""),43277.99861111111)</f>
        <v>43277.99861</v>
      </c>
      <c r="B2859" s="1">
        <f>IFERROR(__xludf.DUMMYFUNCTION("""COMPUTED_VALUE"""),14315.692)</f>
        <v>14315.692</v>
      </c>
    </row>
    <row r="2860">
      <c r="A2860" s="3">
        <f>IFERROR(__xludf.DUMMYFUNCTION("""COMPUTED_VALUE"""),43278.99861111111)</f>
        <v>43278.99861</v>
      </c>
      <c r="B2860" s="1">
        <f>IFERROR(__xludf.DUMMYFUNCTION("""COMPUTED_VALUE"""),14277.705)</f>
        <v>14277.705</v>
      </c>
    </row>
    <row r="2861">
      <c r="A2861" s="3">
        <f>IFERROR(__xludf.DUMMYFUNCTION("""COMPUTED_VALUE"""),43279.99861111111)</f>
        <v>43279.99861</v>
      </c>
      <c r="B2861" s="1">
        <f>IFERROR(__xludf.DUMMYFUNCTION("""COMPUTED_VALUE"""),14383.005)</f>
        <v>14383.005</v>
      </c>
    </row>
    <row r="2862">
      <c r="A2862" s="3">
        <f>IFERROR(__xludf.DUMMYFUNCTION("""COMPUTED_VALUE"""),43280.99861111111)</f>
        <v>43280.99861</v>
      </c>
      <c r="B2862" s="1">
        <f>IFERROR(__xludf.DUMMYFUNCTION("""COMPUTED_VALUE"""),14425.7211)</f>
        <v>14425.7211</v>
      </c>
    </row>
    <row r="2863">
      <c r="A2863" s="3">
        <f>IFERROR(__xludf.DUMMYFUNCTION("""COMPUTED_VALUE"""),43281.99861111111)</f>
        <v>43281.99861</v>
      </c>
      <c r="B2863" s="1">
        <f>IFERROR(__xludf.DUMMYFUNCTION("""COMPUTED_VALUE"""),14425.7211)</f>
        <v>14425.7211</v>
      </c>
    </row>
    <row r="2864">
      <c r="A2864" s="3">
        <f>IFERROR(__xludf.DUMMYFUNCTION("""COMPUTED_VALUE"""),43282.99861111111)</f>
        <v>43282.99861</v>
      </c>
      <c r="B2864" s="1">
        <f>IFERROR(__xludf.DUMMYFUNCTION("""COMPUTED_VALUE"""),14454.4432)</f>
        <v>14454.4432</v>
      </c>
    </row>
    <row r="2865">
      <c r="A2865" s="3">
        <f>IFERROR(__xludf.DUMMYFUNCTION("""COMPUTED_VALUE"""),43283.99861111111)</f>
        <v>43283.99861</v>
      </c>
      <c r="B2865" s="1">
        <f>IFERROR(__xludf.DUMMYFUNCTION("""COMPUTED_VALUE"""),14440.2555)</f>
        <v>14440.2555</v>
      </c>
    </row>
    <row r="2866">
      <c r="A2866" s="3">
        <f>IFERROR(__xludf.DUMMYFUNCTION("""COMPUTED_VALUE"""),43284.99861111111)</f>
        <v>43284.99861</v>
      </c>
      <c r="B2866" s="1">
        <f>IFERROR(__xludf.DUMMYFUNCTION("""COMPUTED_VALUE"""),14466.3887)</f>
        <v>14466.3887</v>
      </c>
    </row>
    <row r="2867">
      <c r="A2867" s="3">
        <f>IFERROR(__xludf.DUMMYFUNCTION("""COMPUTED_VALUE"""),43285.99861111111)</f>
        <v>43285.99861</v>
      </c>
      <c r="B2867" s="1">
        <f>IFERROR(__xludf.DUMMYFUNCTION("""COMPUTED_VALUE"""),14509.44)</f>
        <v>14509.44</v>
      </c>
    </row>
    <row r="2868">
      <c r="A2868" s="3">
        <f>IFERROR(__xludf.DUMMYFUNCTION("""COMPUTED_VALUE"""),43286.99861111111)</f>
        <v>43286.99861</v>
      </c>
      <c r="B2868" s="1">
        <f>IFERROR(__xludf.DUMMYFUNCTION("""COMPUTED_VALUE"""),14476.57584)</f>
        <v>14476.57584</v>
      </c>
    </row>
    <row r="2869">
      <c r="A2869" s="3">
        <f>IFERROR(__xludf.DUMMYFUNCTION("""COMPUTED_VALUE"""),43287.99861111111)</f>
        <v>43287.99861</v>
      </c>
      <c r="B2869" s="1">
        <f>IFERROR(__xludf.DUMMYFUNCTION("""COMPUTED_VALUE"""),14477.5026)</f>
        <v>14477.5026</v>
      </c>
    </row>
    <row r="2870">
      <c r="A2870" s="3">
        <f>IFERROR(__xludf.DUMMYFUNCTION("""COMPUTED_VALUE"""),43288.99861111111)</f>
        <v>43288.99861</v>
      </c>
      <c r="B2870" s="1">
        <f>IFERROR(__xludf.DUMMYFUNCTION("""COMPUTED_VALUE"""),14491.8396)</f>
        <v>14491.8396</v>
      </c>
    </row>
    <row r="2871">
      <c r="A2871" s="3">
        <f>IFERROR(__xludf.DUMMYFUNCTION("""COMPUTED_VALUE"""),43289.99861111111)</f>
        <v>43289.99861</v>
      </c>
      <c r="B2871" s="1">
        <f>IFERROR(__xludf.DUMMYFUNCTION("""COMPUTED_VALUE"""),14460.0849)</f>
        <v>14460.0849</v>
      </c>
    </row>
    <row r="2872">
      <c r="A2872" s="3">
        <f>IFERROR(__xludf.DUMMYFUNCTION("""COMPUTED_VALUE"""),43290.99861111111)</f>
        <v>43290.99861</v>
      </c>
      <c r="B2872" s="1">
        <f>IFERROR(__xludf.DUMMYFUNCTION("""COMPUTED_VALUE"""),14434.0746)</f>
        <v>14434.0746</v>
      </c>
    </row>
    <row r="2873">
      <c r="A2873" s="3">
        <f>IFERROR(__xludf.DUMMYFUNCTION("""COMPUTED_VALUE"""),43291.99861111111)</f>
        <v>43291.99861</v>
      </c>
      <c r="B2873" s="1">
        <f>IFERROR(__xludf.DUMMYFUNCTION("""COMPUTED_VALUE"""),14478.5)</f>
        <v>14478.5</v>
      </c>
    </row>
    <row r="2874">
      <c r="A2874" s="3">
        <f>IFERROR(__xludf.DUMMYFUNCTION("""COMPUTED_VALUE"""),43292.99861111111)</f>
        <v>43292.99861</v>
      </c>
      <c r="B2874" s="1">
        <f>IFERROR(__xludf.DUMMYFUNCTION("""COMPUTED_VALUE"""),14436.9498)</f>
        <v>14436.9498</v>
      </c>
    </row>
    <row r="2875">
      <c r="A2875" s="3">
        <f>IFERROR(__xludf.DUMMYFUNCTION("""COMPUTED_VALUE"""),43293.99861111111)</f>
        <v>43293.99861</v>
      </c>
      <c r="B2875" s="1">
        <f>IFERROR(__xludf.DUMMYFUNCTION("""COMPUTED_VALUE"""),14342.9958)</f>
        <v>14342.9958</v>
      </c>
    </row>
    <row r="2876">
      <c r="A2876" s="3">
        <f>IFERROR(__xludf.DUMMYFUNCTION("""COMPUTED_VALUE"""),43294.99861111111)</f>
        <v>43294.99861</v>
      </c>
      <c r="B2876" s="1">
        <f>IFERROR(__xludf.DUMMYFUNCTION("""COMPUTED_VALUE"""),14352.43449)</f>
        <v>14352.43449</v>
      </c>
    </row>
    <row r="2877">
      <c r="A2877" s="3">
        <f>IFERROR(__xludf.DUMMYFUNCTION("""COMPUTED_VALUE"""),43295.99861111111)</f>
        <v>43295.99861</v>
      </c>
      <c r="B2877" s="1">
        <f>IFERROR(__xludf.DUMMYFUNCTION("""COMPUTED_VALUE"""),14358.91446)</f>
        <v>14358.91446</v>
      </c>
    </row>
    <row r="2878">
      <c r="A2878" s="3">
        <f>IFERROR(__xludf.DUMMYFUNCTION("""COMPUTED_VALUE"""),43296.99861111111)</f>
        <v>43296.99861</v>
      </c>
      <c r="B2878" s="1">
        <f>IFERROR(__xludf.DUMMYFUNCTION("""COMPUTED_VALUE"""),14337.0675)</f>
        <v>14337.0675</v>
      </c>
    </row>
    <row r="2879">
      <c r="A2879" s="3">
        <f>IFERROR(__xludf.DUMMYFUNCTION("""COMPUTED_VALUE"""),43297.99861111111)</f>
        <v>43297.99861</v>
      </c>
      <c r="B2879" s="1">
        <f>IFERROR(__xludf.DUMMYFUNCTION("""COMPUTED_VALUE"""),14409.17112)</f>
        <v>14409.17112</v>
      </c>
    </row>
    <row r="2880">
      <c r="A2880" s="3">
        <f>IFERROR(__xludf.DUMMYFUNCTION("""COMPUTED_VALUE"""),43298.99861111111)</f>
        <v>43298.99861</v>
      </c>
      <c r="B2880" s="1">
        <f>IFERROR(__xludf.DUMMYFUNCTION("""COMPUTED_VALUE"""),14368.23003)</f>
        <v>14368.23003</v>
      </c>
    </row>
    <row r="2881">
      <c r="A2881" s="3">
        <f>IFERROR(__xludf.DUMMYFUNCTION("""COMPUTED_VALUE"""),43299.99861111111)</f>
        <v>43299.99861</v>
      </c>
      <c r="B2881" s="1">
        <f>IFERROR(__xludf.DUMMYFUNCTION("""COMPUTED_VALUE"""),14456.8851)</f>
        <v>14456.8851</v>
      </c>
    </row>
    <row r="2882">
      <c r="A2882" s="3">
        <f>IFERROR(__xludf.DUMMYFUNCTION("""COMPUTED_VALUE"""),43300.99861111111)</f>
        <v>43300.99861</v>
      </c>
      <c r="B2882" s="1">
        <f>IFERROR(__xludf.DUMMYFUNCTION("""COMPUTED_VALUE"""),14483.9148)</f>
        <v>14483.9148</v>
      </c>
    </row>
    <row r="2883">
      <c r="A2883" s="3">
        <f>IFERROR(__xludf.DUMMYFUNCTION("""COMPUTED_VALUE"""),43301.99861111111)</f>
        <v>43301.99861</v>
      </c>
      <c r="B2883" s="1">
        <f>IFERROR(__xludf.DUMMYFUNCTION("""COMPUTED_VALUE"""),14593.33525)</f>
        <v>14593.33525</v>
      </c>
    </row>
    <row r="2884">
      <c r="A2884" s="3">
        <f>IFERROR(__xludf.DUMMYFUNCTION("""COMPUTED_VALUE"""),43302.99861111111)</f>
        <v>43302.99861</v>
      </c>
      <c r="B2884" s="1">
        <f>IFERROR(__xludf.DUMMYFUNCTION("""COMPUTED_VALUE"""),14614.79869)</f>
        <v>14614.79869</v>
      </c>
    </row>
    <row r="2885">
      <c r="A2885" s="3">
        <f>IFERROR(__xludf.DUMMYFUNCTION("""COMPUTED_VALUE"""),43303.99861111111)</f>
        <v>43303.99861</v>
      </c>
      <c r="B2885" s="1">
        <f>IFERROR(__xludf.DUMMYFUNCTION("""COMPUTED_VALUE"""),14601.8097)</f>
        <v>14601.8097</v>
      </c>
    </row>
    <row r="2886">
      <c r="A2886" s="3">
        <f>IFERROR(__xludf.DUMMYFUNCTION("""COMPUTED_VALUE"""),43304.99861111111)</f>
        <v>43304.99861</v>
      </c>
      <c r="B2886" s="1">
        <f>IFERROR(__xludf.DUMMYFUNCTION("""COMPUTED_VALUE"""),14665.10225)</f>
        <v>14665.10225</v>
      </c>
    </row>
    <row r="2887">
      <c r="A2887" s="3">
        <f>IFERROR(__xludf.DUMMYFUNCTION("""COMPUTED_VALUE"""),43305.99861111111)</f>
        <v>43305.99861</v>
      </c>
      <c r="B2887" s="1">
        <f>IFERROR(__xludf.DUMMYFUNCTION("""COMPUTED_VALUE"""),14636.37712)</f>
        <v>14636.37712</v>
      </c>
    </row>
    <row r="2888">
      <c r="A2888" s="3">
        <f>IFERROR(__xludf.DUMMYFUNCTION("""COMPUTED_VALUE"""),43306.99861111111)</f>
        <v>43306.99861</v>
      </c>
      <c r="B2888" s="1">
        <f>IFERROR(__xludf.DUMMYFUNCTION("""COMPUTED_VALUE"""),14592.292)</f>
        <v>14592.292</v>
      </c>
    </row>
    <row r="2889">
      <c r="A2889" s="3">
        <f>IFERROR(__xludf.DUMMYFUNCTION("""COMPUTED_VALUE"""),43307.99861111111)</f>
        <v>43307.99861</v>
      </c>
      <c r="B2889" s="1">
        <f>IFERROR(__xludf.DUMMYFUNCTION("""COMPUTED_VALUE"""),14610.6975)</f>
        <v>14610.6975</v>
      </c>
    </row>
    <row r="2890">
      <c r="A2890" s="3">
        <f>IFERROR(__xludf.DUMMYFUNCTION("""COMPUTED_VALUE"""),43308.99861111111)</f>
        <v>43308.99861</v>
      </c>
      <c r="B2890" s="1">
        <f>IFERROR(__xludf.DUMMYFUNCTION("""COMPUTED_VALUE"""),14460.4452)</f>
        <v>14460.4452</v>
      </c>
    </row>
    <row r="2891">
      <c r="A2891" s="3">
        <f>IFERROR(__xludf.DUMMYFUNCTION("""COMPUTED_VALUE"""),43309.99861111111)</f>
        <v>43309.99861</v>
      </c>
      <c r="B2891" s="1">
        <f>IFERROR(__xludf.DUMMYFUNCTION("""COMPUTED_VALUE"""),14460.3312)</f>
        <v>14460.3312</v>
      </c>
    </row>
    <row r="2892">
      <c r="A2892" s="3">
        <f>IFERROR(__xludf.DUMMYFUNCTION("""COMPUTED_VALUE"""),43310.99861111111)</f>
        <v>43310.99861</v>
      </c>
      <c r="B2892" s="1">
        <f>IFERROR(__xludf.DUMMYFUNCTION("""COMPUTED_VALUE"""),14496.0249)</f>
        <v>14496.0249</v>
      </c>
    </row>
    <row r="2893">
      <c r="A2893" s="3">
        <f>IFERROR(__xludf.DUMMYFUNCTION("""COMPUTED_VALUE"""),43311.99861111111)</f>
        <v>43311.99861</v>
      </c>
      <c r="B2893" s="1">
        <f>IFERROR(__xludf.DUMMYFUNCTION("""COMPUTED_VALUE"""),14571.5151)</f>
        <v>14571.5151</v>
      </c>
    </row>
    <row r="2894">
      <c r="A2894" s="3">
        <f>IFERROR(__xludf.DUMMYFUNCTION("""COMPUTED_VALUE"""),43312.99861111111)</f>
        <v>43312.99861</v>
      </c>
      <c r="B2894" s="1">
        <f>IFERROR(__xludf.DUMMYFUNCTION("""COMPUTED_VALUE"""),14550.41016)</f>
        <v>14550.41016</v>
      </c>
    </row>
    <row r="2895">
      <c r="A2895" s="3">
        <f>IFERROR(__xludf.DUMMYFUNCTION("""COMPUTED_VALUE"""),43313.99861111111)</f>
        <v>43313.99861</v>
      </c>
      <c r="B2895" s="1">
        <f>IFERROR(__xludf.DUMMYFUNCTION("""COMPUTED_VALUE"""),14609.2587)</f>
        <v>14609.2587</v>
      </c>
    </row>
    <row r="2896">
      <c r="A2896" s="3">
        <f>IFERROR(__xludf.DUMMYFUNCTION("""COMPUTED_VALUE"""),43314.99861111111)</f>
        <v>43314.99861</v>
      </c>
      <c r="B2896" s="1">
        <f>IFERROR(__xludf.DUMMYFUNCTION("""COMPUTED_VALUE"""),14584.8924)</f>
        <v>14584.8924</v>
      </c>
    </row>
    <row r="2897">
      <c r="A2897" s="3">
        <f>IFERROR(__xludf.DUMMYFUNCTION("""COMPUTED_VALUE"""),43315.99861111111)</f>
        <v>43315.99861</v>
      </c>
      <c r="B2897" s="1">
        <f>IFERROR(__xludf.DUMMYFUNCTION("""COMPUTED_VALUE"""),14541.62592)</f>
        <v>14541.62592</v>
      </c>
    </row>
    <row r="2898">
      <c r="A2898" s="3">
        <f>IFERROR(__xludf.DUMMYFUNCTION("""COMPUTED_VALUE"""),43316.99861111111)</f>
        <v>43316.99861</v>
      </c>
      <c r="B2898" s="1">
        <f>IFERROR(__xludf.DUMMYFUNCTION("""COMPUTED_VALUE"""),14595.67089)</f>
        <v>14595.67089</v>
      </c>
    </row>
    <row r="2899">
      <c r="A2899" s="3">
        <f>IFERROR(__xludf.DUMMYFUNCTION("""COMPUTED_VALUE"""),43317.99861111111)</f>
        <v>43317.99861</v>
      </c>
      <c r="B2899" s="1">
        <f>IFERROR(__xludf.DUMMYFUNCTION("""COMPUTED_VALUE"""),14562.7758)</f>
        <v>14562.7758</v>
      </c>
    </row>
    <row r="2900">
      <c r="A2900" s="3">
        <f>IFERROR(__xludf.DUMMYFUNCTION("""COMPUTED_VALUE"""),43318.99861111111)</f>
        <v>43318.99861</v>
      </c>
      <c r="B2900" s="1">
        <f>IFERROR(__xludf.DUMMYFUNCTION("""COMPUTED_VALUE"""),14594.20155)</f>
        <v>14594.20155</v>
      </c>
    </row>
    <row r="2901">
      <c r="A2901" s="3">
        <f>IFERROR(__xludf.DUMMYFUNCTION("""COMPUTED_VALUE"""),43319.99861111111)</f>
        <v>43319.99861</v>
      </c>
      <c r="B2901" s="1">
        <f>IFERROR(__xludf.DUMMYFUNCTION("""COMPUTED_VALUE"""),14486.899)</f>
        <v>14486.899</v>
      </c>
    </row>
    <row r="2902">
      <c r="A2902" s="3">
        <f>IFERROR(__xludf.DUMMYFUNCTION("""COMPUTED_VALUE"""),43320.99861111111)</f>
        <v>43320.99861</v>
      </c>
      <c r="B2902" s="1">
        <f>IFERROR(__xludf.DUMMYFUNCTION("""COMPUTED_VALUE"""),14496.05038)</f>
        <v>14496.05038</v>
      </c>
    </row>
    <row r="2903">
      <c r="A2903" s="3">
        <f>IFERROR(__xludf.DUMMYFUNCTION("""COMPUTED_VALUE"""),43321.99861111111)</f>
        <v>43321.99861</v>
      </c>
      <c r="B2903" s="1">
        <f>IFERROR(__xludf.DUMMYFUNCTION("""COMPUTED_VALUE"""),14557.3848)</f>
        <v>14557.3848</v>
      </c>
    </row>
    <row r="2904">
      <c r="A2904" s="3">
        <f>IFERROR(__xludf.DUMMYFUNCTION("""COMPUTED_VALUE"""),43322.99861111111)</f>
        <v>43322.99861</v>
      </c>
      <c r="B2904" s="1">
        <f>IFERROR(__xludf.DUMMYFUNCTION("""COMPUTED_VALUE"""),14548.9422)</f>
        <v>14548.9422</v>
      </c>
    </row>
    <row r="2905">
      <c r="A2905" s="3">
        <f>IFERROR(__xludf.DUMMYFUNCTION("""COMPUTED_VALUE"""),43323.99861111111)</f>
        <v>43323.99861</v>
      </c>
      <c r="B2905" s="1">
        <f>IFERROR(__xludf.DUMMYFUNCTION("""COMPUTED_VALUE"""),14561.50015)</f>
        <v>14561.50015</v>
      </c>
    </row>
    <row r="2906">
      <c r="A2906" s="3">
        <f>IFERROR(__xludf.DUMMYFUNCTION("""COMPUTED_VALUE"""),43324.99861111111)</f>
        <v>43324.99861</v>
      </c>
      <c r="B2906" s="1">
        <f>IFERROR(__xludf.DUMMYFUNCTION("""COMPUTED_VALUE"""),14548.2596)</f>
        <v>14548.2596</v>
      </c>
    </row>
    <row r="2907">
      <c r="A2907" s="3">
        <f>IFERROR(__xludf.DUMMYFUNCTION("""COMPUTED_VALUE"""),43325.99861111111)</f>
        <v>43325.99861</v>
      </c>
      <c r="B2907" s="1">
        <f>IFERROR(__xludf.DUMMYFUNCTION("""COMPUTED_VALUE"""),14687.4016)</f>
        <v>14687.4016</v>
      </c>
    </row>
    <row r="2908">
      <c r="A2908" s="3">
        <f>IFERROR(__xludf.DUMMYFUNCTION("""COMPUTED_VALUE"""),43326.99861111111)</f>
        <v>43326.99861</v>
      </c>
      <c r="B2908" s="1">
        <f>IFERROR(__xludf.DUMMYFUNCTION("""COMPUTED_VALUE"""),14725.4594)</f>
        <v>14725.4594</v>
      </c>
    </row>
    <row r="2909">
      <c r="A2909" s="3">
        <f>IFERROR(__xludf.DUMMYFUNCTION("""COMPUTED_VALUE"""),43327.99861111111)</f>
        <v>43327.99861</v>
      </c>
      <c r="B2909" s="1">
        <f>IFERROR(__xludf.DUMMYFUNCTION("""COMPUTED_VALUE"""),14648.95712)</f>
        <v>14648.95712</v>
      </c>
    </row>
    <row r="2910">
      <c r="A2910" s="3">
        <f>IFERROR(__xludf.DUMMYFUNCTION("""COMPUTED_VALUE"""),43328.99861111111)</f>
        <v>43328.99861</v>
      </c>
      <c r="B2910" s="1">
        <f>IFERROR(__xludf.DUMMYFUNCTION("""COMPUTED_VALUE"""),14636.55636)</f>
        <v>14636.55636</v>
      </c>
    </row>
    <row r="2911">
      <c r="A2911" s="3">
        <f>IFERROR(__xludf.DUMMYFUNCTION("""COMPUTED_VALUE"""),43329.99861111111)</f>
        <v>43329.99861</v>
      </c>
      <c r="B2911" s="1">
        <f>IFERROR(__xludf.DUMMYFUNCTION("""COMPUTED_VALUE"""),14647.9744)</f>
        <v>14647.9744</v>
      </c>
    </row>
    <row r="2912">
      <c r="A2912" s="3">
        <f>IFERROR(__xludf.DUMMYFUNCTION("""COMPUTED_VALUE"""),43330.99861111111)</f>
        <v>43330.99861</v>
      </c>
      <c r="B2912" s="1">
        <f>IFERROR(__xludf.DUMMYFUNCTION("""COMPUTED_VALUE"""),14647.39967)</f>
        <v>14647.39967</v>
      </c>
    </row>
    <row r="2913">
      <c r="A2913" s="3">
        <f>IFERROR(__xludf.DUMMYFUNCTION("""COMPUTED_VALUE"""),43331.99861111111)</f>
        <v>43331.99861</v>
      </c>
      <c r="B2913" s="1">
        <f>IFERROR(__xludf.DUMMYFUNCTION("""COMPUTED_VALUE"""),14639.0312)</f>
        <v>14639.0312</v>
      </c>
    </row>
    <row r="2914">
      <c r="A2914" s="3">
        <f>IFERROR(__xludf.DUMMYFUNCTION("""COMPUTED_VALUE"""),43332.99861111111)</f>
        <v>43332.99861</v>
      </c>
      <c r="B2914" s="1">
        <f>IFERROR(__xludf.DUMMYFUNCTION("""COMPUTED_VALUE"""),14698.8828)</f>
        <v>14698.8828</v>
      </c>
    </row>
    <row r="2915">
      <c r="A2915" s="3">
        <f>IFERROR(__xludf.DUMMYFUNCTION("""COMPUTED_VALUE"""),43333.99861111111)</f>
        <v>43333.99861</v>
      </c>
      <c r="B2915" s="1">
        <f>IFERROR(__xludf.DUMMYFUNCTION("""COMPUTED_VALUE"""),14797.292)</f>
        <v>14797.292</v>
      </c>
    </row>
    <row r="2916">
      <c r="A2916" s="3">
        <f>IFERROR(__xludf.DUMMYFUNCTION("""COMPUTED_VALUE"""),43334.99861111111)</f>
        <v>43334.99861</v>
      </c>
      <c r="B2916" s="1">
        <f>IFERROR(__xludf.DUMMYFUNCTION("""COMPUTED_VALUE"""),14816.8096)</f>
        <v>14816.8096</v>
      </c>
    </row>
    <row r="2917">
      <c r="A2917" s="3">
        <f>IFERROR(__xludf.DUMMYFUNCTION("""COMPUTED_VALUE"""),43335.99861111111)</f>
        <v>43335.99861</v>
      </c>
      <c r="B2917" s="1">
        <f>IFERROR(__xludf.DUMMYFUNCTION("""COMPUTED_VALUE"""),14867.8296)</f>
        <v>14867.8296</v>
      </c>
    </row>
    <row r="2918">
      <c r="A2918" s="3">
        <f>IFERROR(__xludf.DUMMYFUNCTION("""COMPUTED_VALUE"""),43336.99861111111)</f>
        <v>43336.99861</v>
      </c>
      <c r="B2918" s="1">
        <f>IFERROR(__xludf.DUMMYFUNCTION("""COMPUTED_VALUE"""),14825.1129)</f>
        <v>14825.1129</v>
      </c>
    </row>
    <row r="2919">
      <c r="A2919" s="3">
        <f>IFERROR(__xludf.DUMMYFUNCTION("""COMPUTED_VALUE"""),43337.99861111111)</f>
        <v>43337.99861</v>
      </c>
      <c r="B2919" s="1">
        <f>IFERROR(__xludf.DUMMYFUNCTION("""COMPUTED_VALUE"""),14838.84148)</f>
        <v>14838.84148</v>
      </c>
    </row>
    <row r="2920">
      <c r="A2920" s="3">
        <f>IFERROR(__xludf.DUMMYFUNCTION("""COMPUTED_VALUE"""),43338.99861111111)</f>
        <v>43338.99861</v>
      </c>
      <c r="B2920" s="1">
        <f>IFERROR(__xludf.DUMMYFUNCTION("""COMPUTED_VALUE"""),14819.6061)</f>
        <v>14819.6061</v>
      </c>
    </row>
    <row r="2921">
      <c r="A2921" s="3">
        <f>IFERROR(__xludf.DUMMYFUNCTION("""COMPUTED_VALUE"""),43339.99861111111)</f>
        <v>43339.99861</v>
      </c>
      <c r="B2921" s="1">
        <f>IFERROR(__xludf.DUMMYFUNCTION("""COMPUTED_VALUE"""),14855.1159)</f>
        <v>14855.1159</v>
      </c>
    </row>
    <row r="2922">
      <c r="A2922" s="3">
        <f>IFERROR(__xludf.DUMMYFUNCTION("""COMPUTED_VALUE"""),43340.99861111111)</f>
        <v>43340.99861</v>
      </c>
      <c r="B2922" s="1">
        <f>IFERROR(__xludf.DUMMYFUNCTION("""COMPUTED_VALUE"""),15001.7414)</f>
        <v>15001.7414</v>
      </c>
    </row>
    <row r="2923">
      <c r="A2923" s="3">
        <f>IFERROR(__xludf.DUMMYFUNCTION("""COMPUTED_VALUE"""),43341.99861111111)</f>
        <v>43341.99861</v>
      </c>
      <c r="B2923" s="1">
        <f>IFERROR(__xludf.DUMMYFUNCTION("""COMPUTED_VALUE"""),15060.1945)</f>
        <v>15060.1945</v>
      </c>
    </row>
    <row r="2924">
      <c r="A2924" s="3">
        <f>IFERROR(__xludf.DUMMYFUNCTION("""COMPUTED_VALUE"""),43342.99861111111)</f>
        <v>43342.99861</v>
      </c>
      <c r="B2924" s="1">
        <f>IFERROR(__xludf.DUMMYFUNCTION("""COMPUTED_VALUE"""),15225.83469)</f>
        <v>15225.83469</v>
      </c>
    </row>
    <row r="2925">
      <c r="A2925" s="3">
        <f>IFERROR(__xludf.DUMMYFUNCTION("""COMPUTED_VALUE"""),43343.99861111111)</f>
        <v>43343.99861</v>
      </c>
      <c r="B2925" s="1">
        <f>IFERROR(__xludf.DUMMYFUNCTION("""COMPUTED_VALUE"""),15207.98)</f>
        <v>15207.98</v>
      </c>
    </row>
    <row r="2926">
      <c r="A2926" s="3">
        <f>IFERROR(__xludf.DUMMYFUNCTION("""COMPUTED_VALUE"""),43344.99861111111)</f>
        <v>43344.99861</v>
      </c>
      <c r="B2926" s="1">
        <f>IFERROR(__xludf.DUMMYFUNCTION("""COMPUTED_VALUE"""),15205.9144)</f>
        <v>15205.9144</v>
      </c>
    </row>
    <row r="2927">
      <c r="A2927" s="3">
        <f>IFERROR(__xludf.DUMMYFUNCTION("""COMPUTED_VALUE"""),43345.99861111111)</f>
        <v>43345.99861</v>
      </c>
      <c r="B2927" s="1">
        <f>IFERROR(__xludf.DUMMYFUNCTION("""COMPUTED_VALUE"""),15183.8299)</f>
        <v>15183.8299</v>
      </c>
    </row>
    <row r="2928">
      <c r="A2928" s="3">
        <f>IFERROR(__xludf.DUMMYFUNCTION("""COMPUTED_VALUE"""),43346.99861111111)</f>
        <v>43346.99861</v>
      </c>
      <c r="B2928" s="1">
        <f>IFERROR(__xludf.DUMMYFUNCTION("""COMPUTED_VALUE"""),15302.1744)</f>
        <v>15302.1744</v>
      </c>
    </row>
    <row r="2929">
      <c r="A2929" s="3">
        <f>IFERROR(__xludf.DUMMYFUNCTION("""COMPUTED_VALUE"""),43347.99861111111)</f>
        <v>43347.99861</v>
      </c>
      <c r="B2929" s="1">
        <f>IFERROR(__xludf.DUMMYFUNCTION("""COMPUTED_VALUE"""),15328.631)</f>
        <v>15328.631</v>
      </c>
    </row>
    <row r="2930">
      <c r="A2930" s="3">
        <f>IFERROR(__xludf.DUMMYFUNCTION("""COMPUTED_VALUE"""),43348.99861111111)</f>
        <v>43348.99861</v>
      </c>
      <c r="B2930" s="1">
        <f>IFERROR(__xludf.DUMMYFUNCTION("""COMPUTED_VALUE"""),15422.70584)</f>
        <v>15422.70584</v>
      </c>
    </row>
    <row r="2931">
      <c r="A2931" s="3">
        <f>IFERROR(__xludf.DUMMYFUNCTION("""COMPUTED_VALUE"""),43349.99861111111)</f>
        <v>43349.99861</v>
      </c>
      <c r="B2931" s="1">
        <f>IFERROR(__xludf.DUMMYFUNCTION("""COMPUTED_VALUE"""),15423.78652)</f>
        <v>15423.78652</v>
      </c>
    </row>
    <row r="2932">
      <c r="A2932" s="3">
        <f>IFERROR(__xludf.DUMMYFUNCTION("""COMPUTED_VALUE"""),43350.99861111111)</f>
        <v>43350.99861</v>
      </c>
      <c r="B2932" s="1">
        <f>IFERROR(__xludf.DUMMYFUNCTION("""COMPUTED_VALUE"""),15449.19165)</f>
        <v>15449.19165</v>
      </c>
    </row>
    <row r="2933">
      <c r="A2933" s="3">
        <f>IFERROR(__xludf.DUMMYFUNCTION("""COMPUTED_VALUE"""),43351.99861111111)</f>
        <v>43351.99861</v>
      </c>
      <c r="B2933" s="1">
        <f>IFERROR(__xludf.DUMMYFUNCTION("""COMPUTED_VALUE"""),15284.0534)</f>
        <v>15284.0534</v>
      </c>
    </row>
    <row r="2934">
      <c r="A2934" s="3">
        <f>IFERROR(__xludf.DUMMYFUNCTION("""COMPUTED_VALUE"""),43352.99861111111)</f>
        <v>43352.99861</v>
      </c>
      <c r="B2934" s="1">
        <f>IFERROR(__xludf.DUMMYFUNCTION("""COMPUTED_VALUE"""),15288.4973)</f>
        <v>15288.4973</v>
      </c>
    </row>
    <row r="2935">
      <c r="A2935" s="3">
        <f>IFERROR(__xludf.DUMMYFUNCTION("""COMPUTED_VALUE"""),43353.99861111111)</f>
        <v>43353.99861</v>
      </c>
      <c r="B2935" s="1">
        <f>IFERROR(__xludf.DUMMYFUNCTION("""COMPUTED_VALUE"""),15224.5192)</f>
        <v>15224.5192</v>
      </c>
    </row>
    <row r="2936">
      <c r="A2936" s="3">
        <f>IFERROR(__xludf.DUMMYFUNCTION("""COMPUTED_VALUE"""),43354.99861111111)</f>
        <v>43354.99861</v>
      </c>
      <c r="B2936" s="1">
        <f>IFERROR(__xludf.DUMMYFUNCTION("""COMPUTED_VALUE"""),15243.5338)</f>
        <v>15243.5338</v>
      </c>
    </row>
    <row r="2937">
      <c r="A2937" s="3">
        <f>IFERROR(__xludf.DUMMYFUNCTION("""COMPUTED_VALUE"""),43355.99861111111)</f>
        <v>43355.99861</v>
      </c>
      <c r="B2937" s="1">
        <f>IFERROR(__xludf.DUMMYFUNCTION("""COMPUTED_VALUE"""),15258.6135)</f>
        <v>15258.6135</v>
      </c>
    </row>
    <row r="2938">
      <c r="A2938" s="3">
        <f>IFERROR(__xludf.DUMMYFUNCTION("""COMPUTED_VALUE"""),43356.99861111111)</f>
        <v>43356.99861</v>
      </c>
      <c r="B2938" s="1">
        <f>IFERROR(__xludf.DUMMYFUNCTION("""COMPUTED_VALUE"""),15251.478)</f>
        <v>15251.478</v>
      </c>
    </row>
    <row r="2939">
      <c r="A2939" s="3">
        <f>IFERROR(__xludf.DUMMYFUNCTION("""COMPUTED_VALUE"""),43357.99861111111)</f>
        <v>43357.99861</v>
      </c>
      <c r="B2939" s="1">
        <f>IFERROR(__xludf.DUMMYFUNCTION("""COMPUTED_VALUE"""),15298.3136)</f>
        <v>15298.3136</v>
      </c>
    </row>
    <row r="2940">
      <c r="A2940" s="3">
        <f>IFERROR(__xludf.DUMMYFUNCTION("""COMPUTED_VALUE"""),43358.99861111111)</f>
        <v>43358.99861</v>
      </c>
      <c r="B2940" s="1">
        <f>IFERROR(__xludf.DUMMYFUNCTION("""COMPUTED_VALUE"""),15308.9247)</f>
        <v>15308.9247</v>
      </c>
    </row>
    <row r="2941">
      <c r="A2941" s="3">
        <f>IFERROR(__xludf.DUMMYFUNCTION("""COMPUTED_VALUE"""),43359.99861111111)</f>
        <v>43359.99861</v>
      </c>
      <c r="B2941" s="1">
        <f>IFERROR(__xludf.DUMMYFUNCTION("""COMPUTED_VALUE"""),15308.9573)</f>
        <v>15308.9573</v>
      </c>
    </row>
    <row r="2942">
      <c r="A2942" s="3">
        <f>IFERROR(__xludf.DUMMYFUNCTION("""COMPUTED_VALUE"""),43360.99861111111)</f>
        <v>43360.99861</v>
      </c>
      <c r="B2942" s="1">
        <f>IFERROR(__xludf.DUMMYFUNCTION("""COMPUTED_VALUE"""),15482.51406)</f>
        <v>15482.51406</v>
      </c>
    </row>
    <row r="2943">
      <c r="A2943" s="3">
        <f>IFERROR(__xludf.DUMMYFUNCTION("""COMPUTED_VALUE"""),43361.99861111111)</f>
        <v>43361.99861</v>
      </c>
      <c r="B2943" s="1">
        <f>IFERROR(__xludf.DUMMYFUNCTION("""COMPUTED_VALUE"""),15424.5125)</f>
        <v>15424.5125</v>
      </c>
    </row>
    <row r="2944">
      <c r="A2944" s="3">
        <f>IFERROR(__xludf.DUMMYFUNCTION("""COMPUTED_VALUE"""),43362.99861111111)</f>
        <v>43362.99861</v>
      </c>
      <c r="B2944" s="1">
        <f>IFERROR(__xludf.DUMMYFUNCTION("""COMPUTED_VALUE"""),15379.968)</f>
        <v>15379.968</v>
      </c>
    </row>
    <row r="2945">
      <c r="A2945" s="3">
        <f>IFERROR(__xludf.DUMMYFUNCTION("""COMPUTED_VALUE"""),43363.99861111111)</f>
        <v>43363.99861</v>
      </c>
      <c r="B2945" s="1">
        <f>IFERROR(__xludf.DUMMYFUNCTION("""COMPUTED_VALUE"""),15465.3264)</f>
        <v>15465.3264</v>
      </c>
    </row>
    <row r="2946">
      <c r="A2946" s="3">
        <f>IFERROR(__xludf.DUMMYFUNCTION("""COMPUTED_VALUE"""),43364.99861111111)</f>
        <v>43364.99861</v>
      </c>
      <c r="B2946" s="1">
        <f>IFERROR(__xludf.DUMMYFUNCTION("""COMPUTED_VALUE"""),15504.1635)</f>
        <v>15504.1635</v>
      </c>
    </row>
    <row r="2947">
      <c r="A2947" s="3">
        <f>IFERROR(__xludf.DUMMYFUNCTION("""COMPUTED_VALUE"""),43365.99861111111)</f>
        <v>43365.99861</v>
      </c>
      <c r="B2947" s="1">
        <f>IFERROR(__xludf.DUMMYFUNCTION("""COMPUTED_VALUE"""),15459.2844)</f>
        <v>15459.2844</v>
      </c>
    </row>
    <row r="2948">
      <c r="A2948" s="3">
        <f>IFERROR(__xludf.DUMMYFUNCTION("""COMPUTED_VALUE"""),43366.99861111111)</f>
        <v>43366.99861</v>
      </c>
      <c r="B2948" s="1">
        <f>IFERROR(__xludf.DUMMYFUNCTION("""COMPUTED_VALUE"""),15450.3972)</f>
        <v>15450.3972</v>
      </c>
    </row>
    <row r="2949">
      <c r="A2949" s="3">
        <f>IFERROR(__xludf.DUMMYFUNCTION("""COMPUTED_VALUE"""),43367.99861111111)</f>
        <v>43367.99861</v>
      </c>
      <c r="B2949" s="1">
        <f>IFERROR(__xludf.DUMMYFUNCTION("""COMPUTED_VALUE"""),15404.9126)</f>
        <v>15404.9126</v>
      </c>
    </row>
    <row r="2950">
      <c r="A2950" s="3">
        <f>IFERROR(__xludf.DUMMYFUNCTION("""COMPUTED_VALUE"""),43368.99861111111)</f>
        <v>43368.99861</v>
      </c>
      <c r="B2950" s="1">
        <f>IFERROR(__xludf.DUMMYFUNCTION("""COMPUTED_VALUE"""),15560.77185)</f>
        <v>15560.77185</v>
      </c>
    </row>
    <row r="2951">
      <c r="A2951" s="3">
        <f>IFERROR(__xludf.DUMMYFUNCTION("""COMPUTED_VALUE"""),43369.99861111111)</f>
        <v>43369.99861</v>
      </c>
      <c r="B2951" s="1">
        <f>IFERROR(__xludf.DUMMYFUNCTION("""COMPUTED_VALUE"""),15525.9585)</f>
        <v>15525.9585</v>
      </c>
    </row>
    <row r="2952">
      <c r="A2952" s="3">
        <f>IFERROR(__xludf.DUMMYFUNCTION("""COMPUTED_VALUE"""),43370.99861111111)</f>
        <v>43370.99861</v>
      </c>
      <c r="B2952" s="1">
        <f>IFERROR(__xludf.DUMMYFUNCTION("""COMPUTED_VALUE"""),15267.89992)</f>
        <v>15267.89992</v>
      </c>
    </row>
    <row r="2953">
      <c r="A2953" s="3">
        <f>IFERROR(__xludf.DUMMYFUNCTION("""COMPUTED_VALUE"""),43371.99861111111)</f>
        <v>43371.99861</v>
      </c>
      <c r="B2953" s="1">
        <f>IFERROR(__xludf.DUMMYFUNCTION("""COMPUTED_VALUE"""),15172.91)</f>
        <v>15172.91</v>
      </c>
    </row>
    <row r="2954">
      <c r="A2954" s="3">
        <f>IFERROR(__xludf.DUMMYFUNCTION("""COMPUTED_VALUE"""),43372.99861111111)</f>
        <v>43372.99861</v>
      </c>
      <c r="B2954" s="1">
        <f>IFERROR(__xludf.DUMMYFUNCTION("""COMPUTED_VALUE"""),15181.37362)</f>
        <v>15181.37362</v>
      </c>
    </row>
    <row r="2955">
      <c r="A2955" s="3">
        <f>IFERROR(__xludf.DUMMYFUNCTION("""COMPUTED_VALUE"""),43373.99861111111)</f>
        <v>43373.99861</v>
      </c>
      <c r="B2955" s="1">
        <f>IFERROR(__xludf.DUMMYFUNCTION("""COMPUTED_VALUE"""),15182.1576)</f>
        <v>15182.1576</v>
      </c>
    </row>
    <row r="2956">
      <c r="A2956" s="3">
        <f>IFERROR(__xludf.DUMMYFUNCTION("""COMPUTED_VALUE"""),43374.99861111111)</f>
        <v>43374.99861</v>
      </c>
      <c r="B2956" s="1">
        <f>IFERROR(__xludf.DUMMYFUNCTION("""COMPUTED_VALUE"""),15303.33531)</f>
        <v>15303.33531</v>
      </c>
    </row>
    <row r="2957">
      <c r="A2957" s="3">
        <f>IFERROR(__xludf.DUMMYFUNCTION("""COMPUTED_VALUE"""),43375.99861111111)</f>
        <v>43375.99861</v>
      </c>
      <c r="B2957" s="1">
        <f>IFERROR(__xludf.DUMMYFUNCTION("""COMPUTED_VALUE"""),15281.6156)</f>
        <v>15281.6156</v>
      </c>
    </row>
    <row r="2958">
      <c r="A2958" s="3">
        <f>IFERROR(__xludf.DUMMYFUNCTION("""COMPUTED_VALUE"""),43376.99861111111)</f>
        <v>43376.99861</v>
      </c>
      <c r="B2958" s="1">
        <f>IFERROR(__xludf.DUMMYFUNCTION("""COMPUTED_VALUE"""),15262.58448)</f>
        <v>15262.58448</v>
      </c>
    </row>
    <row r="2959">
      <c r="A2959" s="3">
        <f>IFERROR(__xludf.DUMMYFUNCTION("""COMPUTED_VALUE"""),43377.99861111111)</f>
        <v>43377.99861</v>
      </c>
      <c r="B2959" s="1">
        <f>IFERROR(__xludf.DUMMYFUNCTION("""COMPUTED_VALUE"""),15541.41654)</f>
        <v>15541.41654</v>
      </c>
    </row>
    <row r="2960">
      <c r="A2960" s="3">
        <f>IFERROR(__xludf.DUMMYFUNCTION("""COMPUTED_VALUE"""),43378.99861111111)</f>
        <v>43378.99861</v>
      </c>
      <c r="B2960" s="1">
        <f>IFERROR(__xludf.DUMMYFUNCTION("""COMPUTED_VALUE"""),15226.84925)</f>
        <v>15226.84925</v>
      </c>
    </row>
    <row r="2961">
      <c r="A2961" s="3">
        <f>IFERROR(__xludf.DUMMYFUNCTION("""COMPUTED_VALUE"""),43379.99861111111)</f>
        <v>43379.99861</v>
      </c>
      <c r="B2961" s="1">
        <f>IFERROR(__xludf.DUMMYFUNCTION("""COMPUTED_VALUE"""),15337.37755)</f>
        <v>15337.37755</v>
      </c>
    </row>
    <row r="2962">
      <c r="A2962" s="3">
        <f>IFERROR(__xludf.DUMMYFUNCTION("""COMPUTED_VALUE"""),43380.99861111111)</f>
        <v>43380.99861</v>
      </c>
      <c r="B2962" s="1">
        <f>IFERROR(__xludf.DUMMYFUNCTION("""COMPUTED_VALUE"""),15302.27396)</f>
        <v>15302.27396</v>
      </c>
    </row>
    <row r="2963">
      <c r="A2963" s="3">
        <f>IFERROR(__xludf.DUMMYFUNCTION("""COMPUTED_VALUE"""),43381.99861111111)</f>
        <v>43381.99861</v>
      </c>
      <c r="B2963" s="1">
        <f>IFERROR(__xludf.DUMMYFUNCTION("""COMPUTED_VALUE"""),15518.58)</f>
        <v>15518.58</v>
      </c>
    </row>
    <row r="2964">
      <c r="A2964" s="3">
        <f>IFERROR(__xludf.DUMMYFUNCTION("""COMPUTED_VALUE"""),43382.99861111111)</f>
        <v>43382.99861</v>
      </c>
      <c r="B2964" s="1">
        <f>IFERROR(__xludf.DUMMYFUNCTION("""COMPUTED_VALUE"""),15347.8286)</f>
        <v>15347.8286</v>
      </c>
    </row>
    <row r="2965">
      <c r="A2965" s="3">
        <f>IFERROR(__xludf.DUMMYFUNCTION("""COMPUTED_VALUE"""),43383.99861111111)</f>
        <v>43383.99861</v>
      </c>
      <c r="B2965" s="1">
        <f>IFERROR(__xludf.DUMMYFUNCTION("""COMPUTED_VALUE"""),15375.3128)</f>
        <v>15375.3128</v>
      </c>
    </row>
    <row r="2966">
      <c r="A2966" s="3">
        <f>IFERROR(__xludf.DUMMYFUNCTION("""COMPUTED_VALUE"""),43384.99861111111)</f>
        <v>43384.99861</v>
      </c>
      <c r="B2966" s="1">
        <f>IFERROR(__xludf.DUMMYFUNCTION("""COMPUTED_VALUE"""),15449.13216)</f>
        <v>15449.13216</v>
      </c>
    </row>
    <row r="2967">
      <c r="A2967" s="3">
        <f>IFERROR(__xludf.DUMMYFUNCTION("""COMPUTED_VALUE"""),43385.99861111111)</f>
        <v>43385.99861</v>
      </c>
      <c r="B2967" s="1">
        <f>IFERROR(__xludf.DUMMYFUNCTION("""COMPUTED_VALUE"""),15303.44965)</f>
        <v>15303.44965</v>
      </c>
    </row>
    <row r="2968">
      <c r="A2968" s="3">
        <f>IFERROR(__xludf.DUMMYFUNCTION("""COMPUTED_VALUE"""),43386.99861111111)</f>
        <v>43386.99861</v>
      </c>
      <c r="B2968" s="1">
        <f>IFERROR(__xludf.DUMMYFUNCTION("""COMPUTED_VALUE"""),15319.47394)</f>
        <v>15319.47394</v>
      </c>
    </row>
    <row r="2969">
      <c r="A2969" s="3">
        <f>IFERROR(__xludf.DUMMYFUNCTION("""COMPUTED_VALUE"""),43387.99861111111)</f>
        <v>43387.99861</v>
      </c>
      <c r="B2969" s="1">
        <f>IFERROR(__xludf.DUMMYFUNCTION("""COMPUTED_VALUE"""),15336.3018)</f>
        <v>15336.3018</v>
      </c>
    </row>
    <row r="2970">
      <c r="A2970" s="3">
        <f>IFERROR(__xludf.DUMMYFUNCTION("""COMPUTED_VALUE"""),43388.99861111111)</f>
        <v>43388.99861</v>
      </c>
      <c r="B2970" s="1">
        <f>IFERROR(__xludf.DUMMYFUNCTION("""COMPUTED_VALUE"""),15391.62327)</f>
        <v>15391.62327</v>
      </c>
    </row>
    <row r="2971">
      <c r="A2971" s="3">
        <f>IFERROR(__xludf.DUMMYFUNCTION("""COMPUTED_VALUE"""),43389.99861111111)</f>
        <v>43389.99861</v>
      </c>
      <c r="B2971" s="1">
        <f>IFERROR(__xludf.DUMMYFUNCTION("""COMPUTED_VALUE"""),15338.8528)</f>
        <v>15338.8528</v>
      </c>
    </row>
    <row r="2972">
      <c r="A2972" s="3">
        <f>IFERROR(__xludf.DUMMYFUNCTION("""COMPUTED_VALUE"""),43390.99861111111)</f>
        <v>43390.99861</v>
      </c>
      <c r="B2972" s="1">
        <f>IFERROR(__xludf.DUMMYFUNCTION("""COMPUTED_VALUE"""),15339.09507)</f>
        <v>15339.09507</v>
      </c>
    </row>
    <row r="2973">
      <c r="A2973" s="3">
        <f>IFERROR(__xludf.DUMMYFUNCTION("""COMPUTED_VALUE"""),43391.99861111111)</f>
        <v>43391.99861</v>
      </c>
      <c r="B2973" s="1">
        <f>IFERROR(__xludf.DUMMYFUNCTION("""COMPUTED_VALUE"""),15391.34685)</f>
        <v>15391.34685</v>
      </c>
    </row>
    <row r="2974">
      <c r="A2974" s="3">
        <f>IFERROR(__xludf.DUMMYFUNCTION("""COMPUTED_VALUE"""),43392.99861111111)</f>
        <v>43392.99861</v>
      </c>
      <c r="B2974" s="1">
        <f>IFERROR(__xludf.DUMMYFUNCTION("""COMPUTED_VALUE"""),15244.3232)</f>
        <v>15244.3232</v>
      </c>
    </row>
    <row r="2975">
      <c r="A2975" s="3">
        <f>IFERROR(__xludf.DUMMYFUNCTION("""COMPUTED_VALUE"""),43393.99861111111)</f>
        <v>43393.99861</v>
      </c>
      <c r="B2975" s="1">
        <f>IFERROR(__xludf.DUMMYFUNCTION("""COMPUTED_VALUE"""),15223.08882)</f>
        <v>15223.08882</v>
      </c>
    </row>
    <row r="2976">
      <c r="A2976" s="3">
        <f>IFERROR(__xludf.DUMMYFUNCTION("""COMPUTED_VALUE"""),43394.99861111111)</f>
        <v>43394.99861</v>
      </c>
      <c r="B2976" s="1">
        <f>IFERROR(__xludf.DUMMYFUNCTION("""COMPUTED_VALUE"""),15234.1335)</f>
        <v>15234.1335</v>
      </c>
    </row>
    <row r="2977">
      <c r="A2977" s="3">
        <f>IFERROR(__xludf.DUMMYFUNCTION("""COMPUTED_VALUE"""),43395.99861111111)</f>
        <v>43395.99861</v>
      </c>
      <c r="B2977" s="1">
        <f>IFERROR(__xludf.DUMMYFUNCTION("""COMPUTED_VALUE"""),15321.94262)</f>
        <v>15321.94262</v>
      </c>
    </row>
    <row r="2978">
      <c r="A2978" s="3">
        <f>IFERROR(__xludf.DUMMYFUNCTION("""COMPUTED_VALUE"""),43396.99861111111)</f>
        <v>43396.99861</v>
      </c>
      <c r="B2978" s="1">
        <f>IFERROR(__xludf.DUMMYFUNCTION("""COMPUTED_VALUE"""),15259.52232)</f>
        <v>15259.52232</v>
      </c>
    </row>
    <row r="2979">
      <c r="A2979" s="3">
        <f>IFERROR(__xludf.DUMMYFUNCTION("""COMPUTED_VALUE"""),43397.99861111111)</f>
        <v>43397.99861</v>
      </c>
      <c r="B2979" s="1">
        <f>IFERROR(__xludf.DUMMYFUNCTION("""COMPUTED_VALUE"""),15313.78155)</f>
        <v>15313.78155</v>
      </c>
    </row>
    <row r="2980">
      <c r="A2980" s="3">
        <f>IFERROR(__xludf.DUMMYFUNCTION("""COMPUTED_VALUE"""),43398.99861111111)</f>
        <v>43398.99861</v>
      </c>
      <c r="B2980" s="1">
        <f>IFERROR(__xludf.DUMMYFUNCTION("""COMPUTED_VALUE"""),15258.82573)</f>
        <v>15258.82573</v>
      </c>
    </row>
    <row r="2981">
      <c r="A2981" s="3">
        <f>IFERROR(__xludf.DUMMYFUNCTION("""COMPUTED_VALUE"""),43399.99861111111)</f>
        <v>43399.99861</v>
      </c>
      <c r="B2981" s="1">
        <f>IFERROR(__xludf.DUMMYFUNCTION("""COMPUTED_VALUE"""),15234.65274)</f>
        <v>15234.65274</v>
      </c>
    </row>
    <row r="2982">
      <c r="A2982" s="3">
        <f>IFERROR(__xludf.DUMMYFUNCTION("""COMPUTED_VALUE"""),43400.99861111111)</f>
        <v>43400.99861</v>
      </c>
      <c r="B2982" s="1">
        <f>IFERROR(__xludf.DUMMYFUNCTION("""COMPUTED_VALUE"""),15254.109)</f>
        <v>15254.109</v>
      </c>
    </row>
    <row r="2983">
      <c r="A2983" s="3">
        <f>IFERROR(__xludf.DUMMYFUNCTION("""COMPUTED_VALUE"""),43401.99861111111)</f>
        <v>43401.99861</v>
      </c>
      <c r="B2983" s="1">
        <f>IFERROR(__xludf.DUMMYFUNCTION("""COMPUTED_VALUE"""),15243.462)</f>
        <v>15243.462</v>
      </c>
    </row>
    <row r="2984">
      <c r="A2984" s="3">
        <f>IFERROR(__xludf.DUMMYFUNCTION("""COMPUTED_VALUE"""),43402.99861111111)</f>
        <v>43402.99861</v>
      </c>
      <c r="B2984" s="1">
        <f>IFERROR(__xludf.DUMMYFUNCTION("""COMPUTED_VALUE"""),15269.49907)</f>
        <v>15269.49907</v>
      </c>
    </row>
    <row r="2985">
      <c r="A2985" s="3">
        <f>IFERROR(__xludf.DUMMYFUNCTION("""COMPUTED_VALUE"""),43403.99861111111)</f>
        <v>43403.99861</v>
      </c>
      <c r="B2985" s="1">
        <f>IFERROR(__xludf.DUMMYFUNCTION("""COMPUTED_VALUE"""),15191.8471)</f>
        <v>15191.8471</v>
      </c>
    </row>
    <row r="2986">
      <c r="A2986" s="3">
        <f>IFERROR(__xludf.DUMMYFUNCTION("""COMPUTED_VALUE"""),43404.99861111111)</f>
        <v>43404.99861</v>
      </c>
      <c r="B2986" s="1">
        <f>IFERROR(__xludf.DUMMYFUNCTION("""COMPUTED_VALUE"""),15073.21632)</f>
        <v>15073.21632</v>
      </c>
    </row>
    <row r="2987">
      <c r="A2987" s="3">
        <f>IFERROR(__xludf.DUMMYFUNCTION("""COMPUTED_VALUE"""),43405.99861111111)</f>
        <v>43405.99861</v>
      </c>
      <c r="B2987" s="1">
        <f>IFERROR(__xludf.DUMMYFUNCTION("""COMPUTED_VALUE"""),15034.19267)</f>
        <v>15034.19267</v>
      </c>
    </row>
    <row r="2988">
      <c r="A2988" s="3">
        <f>IFERROR(__xludf.DUMMYFUNCTION("""COMPUTED_VALUE"""),43406.99861111111)</f>
        <v>43406.99861</v>
      </c>
      <c r="B2988" s="1">
        <f>IFERROR(__xludf.DUMMYFUNCTION("""COMPUTED_VALUE"""),14878.743)</f>
        <v>14878.743</v>
      </c>
    </row>
    <row r="2989">
      <c r="A2989" s="3">
        <f>IFERROR(__xludf.DUMMYFUNCTION("""COMPUTED_VALUE"""),43407.99861111111)</f>
        <v>43407.99861</v>
      </c>
      <c r="B2989" s="1">
        <f>IFERROR(__xludf.DUMMYFUNCTION("""COMPUTED_VALUE"""),14938.53825)</f>
        <v>14938.53825</v>
      </c>
    </row>
    <row r="2990">
      <c r="A2990" s="3">
        <f>IFERROR(__xludf.DUMMYFUNCTION("""COMPUTED_VALUE"""),43408.99861111111)</f>
        <v>43408.99861</v>
      </c>
      <c r="B2990" s="1">
        <f>IFERROR(__xludf.DUMMYFUNCTION("""COMPUTED_VALUE"""),14907.43932)</f>
        <v>14907.43932</v>
      </c>
    </row>
    <row r="2991">
      <c r="A2991" s="3">
        <f>IFERROR(__xludf.DUMMYFUNCTION("""COMPUTED_VALUE"""),43409.99861111111)</f>
        <v>43409.99861</v>
      </c>
      <c r="B2991" s="1">
        <f>IFERROR(__xludf.DUMMYFUNCTION("""COMPUTED_VALUE"""),14850.57318)</f>
        <v>14850.57318</v>
      </c>
    </row>
    <row r="2992">
      <c r="A2992" s="3">
        <f>IFERROR(__xludf.DUMMYFUNCTION("""COMPUTED_VALUE"""),43410.99861111111)</f>
        <v>43410.99861</v>
      </c>
      <c r="B2992" s="1">
        <f>IFERROR(__xludf.DUMMYFUNCTION("""COMPUTED_VALUE"""),14803.7509)</f>
        <v>14803.7509</v>
      </c>
    </row>
    <row r="2993">
      <c r="A2993" s="3">
        <f>IFERROR(__xludf.DUMMYFUNCTION("""COMPUTED_VALUE"""),43411.99861111111)</f>
        <v>43411.99861</v>
      </c>
      <c r="B2993" s="1">
        <f>IFERROR(__xludf.DUMMYFUNCTION("""COMPUTED_VALUE"""),14570.28615)</f>
        <v>14570.28615</v>
      </c>
    </row>
    <row r="2994">
      <c r="A2994" s="3">
        <f>IFERROR(__xludf.DUMMYFUNCTION("""COMPUTED_VALUE"""),43412.99861111111)</f>
        <v>43412.99861</v>
      </c>
      <c r="B2994" s="1">
        <f>IFERROR(__xludf.DUMMYFUNCTION("""COMPUTED_VALUE"""),14631.9744)</f>
        <v>14631.9744</v>
      </c>
    </row>
    <row r="2995">
      <c r="A2995" s="3">
        <f>IFERROR(__xludf.DUMMYFUNCTION("""COMPUTED_VALUE"""),43413.99861111111)</f>
        <v>43413.99861</v>
      </c>
      <c r="B2995" s="1">
        <f>IFERROR(__xludf.DUMMYFUNCTION("""COMPUTED_VALUE"""),14598.7388)</f>
        <v>14598.7388</v>
      </c>
    </row>
    <row r="2996">
      <c r="A2996" s="3">
        <f>IFERROR(__xludf.DUMMYFUNCTION("""COMPUTED_VALUE"""),43414.99861111111)</f>
        <v>43414.99861</v>
      </c>
      <c r="B2996" s="1">
        <f>IFERROR(__xludf.DUMMYFUNCTION("""COMPUTED_VALUE"""),14600.05982)</f>
        <v>14600.05982</v>
      </c>
    </row>
    <row r="2997">
      <c r="A2997" s="3">
        <f>IFERROR(__xludf.DUMMYFUNCTION("""COMPUTED_VALUE"""),43415.99861111111)</f>
        <v>43415.99861</v>
      </c>
      <c r="B2997" s="1">
        <f>IFERROR(__xludf.DUMMYFUNCTION("""COMPUTED_VALUE"""),14589.49166)</f>
        <v>14589.49166</v>
      </c>
    </row>
    <row r="2998">
      <c r="A2998" s="3">
        <f>IFERROR(__xludf.DUMMYFUNCTION("""COMPUTED_VALUE"""),43416.99861111111)</f>
        <v>43416.99861</v>
      </c>
      <c r="B2998" s="1">
        <f>IFERROR(__xludf.DUMMYFUNCTION("""COMPUTED_VALUE"""),14654.7372)</f>
        <v>14654.7372</v>
      </c>
    </row>
    <row r="2999">
      <c r="A2999" s="3">
        <f>IFERROR(__xludf.DUMMYFUNCTION("""COMPUTED_VALUE"""),43417.99861111111)</f>
        <v>43417.99861</v>
      </c>
      <c r="B2999" s="1">
        <f>IFERROR(__xludf.DUMMYFUNCTION("""COMPUTED_VALUE"""),14704.49859)</f>
        <v>14704.49859</v>
      </c>
    </row>
    <row r="3000">
      <c r="A3000" s="3">
        <f>IFERROR(__xludf.DUMMYFUNCTION("""COMPUTED_VALUE"""),43418.99861111111)</f>
        <v>43418.99861</v>
      </c>
      <c r="B3000" s="1">
        <f>IFERROR(__xludf.DUMMYFUNCTION("""COMPUTED_VALUE"""),14722.34633)</f>
        <v>14722.34633</v>
      </c>
    </row>
    <row r="3001">
      <c r="A3001" s="3">
        <f>IFERROR(__xludf.DUMMYFUNCTION("""COMPUTED_VALUE"""),43419.99861111111)</f>
        <v>43419.99861</v>
      </c>
      <c r="B3001" s="1">
        <f>IFERROR(__xludf.DUMMYFUNCTION("""COMPUTED_VALUE"""),14462.01206)</f>
        <v>14462.01206</v>
      </c>
    </row>
    <row r="3002">
      <c r="A3002" s="3">
        <f>IFERROR(__xludf.DUMMYFUNCTION("""COMPUTED_VALUE"""),43420.99861111111)</f>
        <v>43420.99861</v>
      </c>
      <c r="B3002" s="1">
        <f>IFERROR(__xludf.DUMMYFUNCTION("""COMPUTED_VALUE"""),14605.0)</f>
        <v>14605</v>
      </c>
    </row>
    <row r="3003">
      <c r="A3003" s="3">
        <f>IFERROR(__xludf.DUMMYFUNCTION("""COMPUTED_VALUE"""),43421.99861111111)</f>
        <v>43421.99861</v>
      </c>
      <c r="B3003" s="1">
        <f>IFERROR(__xludf.DUMMYFUNCTION("""COMPUTED_VALUE"""),14583.9688)</f>
        <v>14583.9688</v>
      </c>
    </row>
    <row r="3004">
      <c r="A3004" s="3">
        <f>IFERROR(__xludf.DUMMYFUNCTION("""COMPUTED_VALUE"""),43422.99861111111)</f>
        <v>43422.99861</v>
      </c>
      <c r="B3004" s="1">
        <f>IFERROR(__xludf.DUMMYFUNCTION("""COMPUTED_VALUE"""),14610.842)</f>
        <v>14610.842</v>
      </c>
    </row>
    <row r="3005">
      <c r="A3005" s="3">
        <f>IFERROR(__xludf.DUMMYFUNCTION("""COMPUTED_VALUE"""),43423.99861111111)</f>
        <v>43423.99861</v>
      </c>
      <c r="B3005" s="1">
        <f>IFERROR(__xludf.DUMMYFUNCTION("""COMPUTED_VALUE"""),14750.87309)</f>
        <v>14750.87309</v>
      </c>
    </row>
    <row r="3006">
      <c r="A3006" s="3">
        <f>IFERROR(__xludf.DUMMYFUNCTION("""COMPUTED_VALUE"""),43424.99861111111)</f>
        <v>43424.99861</v>
      </c>
      <c r="B3006" s="1">
        <f>IFERROR(__xludf.DUMMYFUNCTION("""COMPUTED_VALUE"""),14739.96778)</f>
        <v>14739.96778</v>
      </c>
    </row>
    <row r="3007">
      <c r="A3007" s="3">
        <f>IFERROR(__xludf.DUMMYFUNCTION("""COMPUTED_VALUE"""),43425.99861111111)</f>
        <v>43425.99861</v>
      </c>
      <c r="B3007" s="1">
        <f>IFERROR(__xludf.DUMMYFUNCTION("""COMPUTED_VALUE"""),14711.928)</f>
        <v>14711.928</v>
      </c>
    </row>
    <row r="3008">
      <c r="A3008" s="3">
        <f>IFERROR(__xludf.DUMMYFUNCTION("""COMPUTED_VALUE"""),43426.99861111111)</f>
        <v>43426.99861</v>
      </c>
      <c r="B3008" s="1">
        <f>IFERROR(__xludf.DUMMYFUNCTION("""COMPUTED_VALUE"""),14677.38)</f>
        <v>14677.38</v>
      </c>
    </row>
    <row r="3009">
      <c r="A3009" s="3">
        <f>IFERROR(__xludf.DUMMYFUNCTION("""COMPUTED_VALUE"""),43427.99861111111)</f>
        <v>43427.99861</v>
      </c>
      <c r="B3009" s="1">
        <f>IFERROR(__xludf.DUMMYFUNCTION("""COMPUTED_VALUE"""),14562.066)</f>
        <v>14562.066</v>
      </c>
    </row>
    <row r="3010">
      <c r="A3010" s="3">
        <f>IFERROR(__xludf.DUMMYFUNCTION("""COMPUTED_VALUE"""),43428.99861111111)</f>
        <v>43428.99861</v>
      </c>
      <c r="B3010" s="1">
        <f>IFERROR(__xludf.DUMMYFUNCTION("""COMPUTED_VALUE"""),14587.6614)</f>
        <v>14587.6614</v>
      </c>
    </row>
    <row r="3011">
      <c r="A3011" s="3">
        <f>IFERROR(__xludf.DUMMYFUNCTION("""COMPUTED_VALUE"""),43429.99861111111)</f>
        <v>43429.99861</v>
      </c>
      <c r="B3011" s="1">
        <f>IFERROR(__xludf.DUMMYFUNCTION("""COMPUTED_VALUE"""),14569.3325)</f>
        <v>14569.3325</v>
      </c>
    </row>
    <row r="3012">
      <c r="A3012" s="3">
        <f>IFERROR(__xludf.DUMMYFUNCTION("""COMPUTED_VALUE"""),43430.99861111111)</f>
        <v>43430.99861</v>
      </c>
      <c r="B3012" s="1">
        <f>IFERROR(__xludf.DUMMYFUNCTION("""COMPUTED_VALUE"""),14550.14304)</f>
        <v>14550.14304</v>
      </c>
    </row>
    <row r="3013">
      <c r="A3013" s="3">
        <f>IFERROR(__xludf.DUMMYFUNCTION("""COMPUTED_VALUE"""),43431.99861111111)</f>
        <v>43431.99861</v>
      </c>
      <c r="B3013" s="1">
        <f>IFERROR(__xludf.DUMMYFUNCTION("""COMPUTED_VALUE"""),14596.78023)</f>
        <v>14596.78023</v>
      </c>
    </row>
    <row r="3014">
      <c r="A3014" s="3">
        <f>IFERROR(__xludf.DUMMYFUNCTION("""COMPUTED_VALUE"""),43432.99861111111)</f>
        <v>43432.99861</v>
      </c>
      <c r="B3014" s="1">
        <f>IFERROR(__xludf.DUMMYFUNCTION("""COMPUTED_VALUE"""),14553.7887)</f>
        <v>14553.7887</v>
      </c>
    </row>
    <row r="3015">
      <c r="A3015" s="3">
        <f>IFERROR(__xludf.DUMMYFUNCTION("""COMPUTED_VALUE"""),43433.99861111111)</f>
        <v>43433.99861</v>
      </c>
      <c r="B3015" s="1">
        <f>IFERROR(__xludf.DUMMYFUNCTION("""COMPUTED_VALUE"""),14409.1172)</f>
        <v>14409.1172</v>
      </c>
    </row>
    <row r="3016">
      <c r="A3016" s="3">
        <f>IFERROR(__xludf.DUMMYFUNCTION("""COMPUTED_VALUE"""),43434.99861111111)</f>
        <v>43434.99861</v>
      </c>
      <c r="B3016" s="1">
        <f>IFERROR(__xludf.DUMMYFUNCTION("""COMPUTED_VALUE"""),14333.38845)</f>
        <v>14333.38845</v>
      </c>
    </row>
    <row r="3017">
      <c r="A3017" s="3">
        <f>IFERROR(__xludf.DUMMYFUNCTION("""COMPUTED_VALUE"""),43435.99861111111)</f>
        <v>43435.99861</v>
      </c>
      <c r="B3017" s="1">
        <f>IFERROR(__xludf.DUMMYFUNCTION("""COMPUTED_VALUE"""),14405.37317)</f>
        <v>14405.37317</v>
      </c>
    </row>
    <row r="3018">
      <c r="A3018" s="3">
        <f>IFERROR(__xludf.DUMMYFUNCTION("""COMPUTED_VALUE"""),43436.99861111111)</f>
        <v>43436.99861</v>
      </c>
      <c r="B3018" s="1">
        <f>IFERROR(__xludf.DUMMYFUNCTION("""COMPUTED_VALUE"""),14313.1552)</f>
        <v>14313.1552</v>
      </c>
    </row>
    <row r="3019">
      <c r="A3019" s="3">
        <f>IFERROR(__xludf.DUMMYFUNCTION("""COMPUTED_VALUE"""),43437.99861111111)</f>
        <v>43437.99861</v>
      </c>
      <c r="B3019" s="1">
        <f>IFERROR(__xludf.DUMMYFUNCTION("""COMPUTED_VALUE"""),14265.85)</f>
        <v>14265.85</v>
      </c>
    </row>
    <row r="3020">
      <c r="A3020" s="3">
        <f>IFERROR(__xludf.DUMMYFUNCTION("""COMPUTED_VALUE"""),43438.99861111111)</f>
        <v>43438.99861</v>
      </c>
      <c r="B3020" s="1">
        <f>IFERROR(__xludf.DUMMYFUNCTION("""COMPUTED_VALUE"""),14391.1)</f>
        <v>14391.1</v>
      </c>
    </row>
    <row r="3021">
      <c r="A3021" s="3">
        <f>IFERROR(__xludf.DUMMYFUNCTION("""COMPUTED_VALUE"""),43439.99861111111)</f>
        <v>43439.99861</v>
      </c>
      <c r="B3021" s="1">
        <f>IFERROR(__xludf.DUMMYFUNCTION("""COMPUTED_VALUE"""),14287.55)</f>
        <v>14287.55</v>
      </c>
    </row>
    <row r="3022">
      <c r="A3022" s="3">
        <f>IFERROR(__xludf.DUMMYFUNCTION("""COMPUTED_VALUE"""),43440.99861111111)</f>
        <v>43440.99861</v>
      </c>
      <c r="B3022" s="1">
        <f>IFERROR(__xludf.DUMMYFUNCTION("""COMPUTED_VALUE"""),14632.9)</f>
        <v>14632.9</v>
      </c>
    </row>
    <row r="3023">
      <c r="A3023" s="3">
        <f>IFERROR(__xludf.DUMMYFUNCTION("""COMPUTED_VALUE"""),43441.99861111111)</f>
        <v>43441.99861</v>
      </c>
      <c r="B3023" s="1">
        <f>IFERROR(__xludf.DUMMYFUNCTION("""COMPUTED_VALUE"""),14609.35)</f>
        <v>14609.35</v>
      </c>
    </row>
    <row r="3024">
      <c r="A3024" s="3">
        <f>IFERROR(__xludf.DUMMYFUNCTION("""COMPUTED_VALUE"""),43442.99861111111)</f>
        <v>43442.99861</v>
      </c>
      <c r="B3024" s="1">
        <f>IFERROR(__xludf.DUMMYFUNCTION("""COMPUTED_VALUE"""),14609.35)</f>
        <v>14609.35</v>
      </c>
    </row>
    <row r="3025">
      <c r="A3025" s="3">
        <f>IFERROR(__xludf.DUMMYFUNCTION("""COMPUTED_VALUE"""),43443.99861111111)</f>
        <v>43443.99861</v>
      </c>
      <c r="B3025" s="1">
        <f>IFERROR(__xludf.DUMMYFUNCTION("""COMPUTED_VALUE"""),14607.2)</f>
        <v>14607.2</v>
      </c>
    </row>
    <row r="3026">
      <c r="A3026" s="3">
        <f>IFERROR(__xludf.DUMMYFUNCTION("""COMPUTED_VALUE"""),43444.99861111111)</f>
        <v>43444.99861</v>
      </c>
      <c r="B3026" s="1">
        <f>IFERROR(__xludf.DUMMYFUNCTION("""COMPUTED_VALUE"""),14719.95)</f>
        <v>14719.95</v>
      </c>
    </row>
    <row r="3027">
      <c r="A3027" s="3">
        <f>IFERROR(__xludf.DUMMYFUNCTION("""COMPUTED_VALUE"""),43445.99861111111)</f>
        <v>43445.99861</v>
      </c>
      <c r="B3027" s="1">
        <f>IFERROR(__xludf.DUMMYFUNCTION("""COMPUTED_VALUE"""),14690.25)</f>
        <v>14690.25</v>
      </c>
    </row>
    <row r="3028">
      <c r="A3028" s="3">
        <f>IFERROR(__xludf.DUMMYFUNCTION("""COMPUTED_VALUE"""),43446.99861111111)</f>
        <v>43446.99861</v>
      </c>
      <c r="B3028" s="1">
        <f>IFERROR(__xludf.DUMMYFUNCTION("""COMPUTED_VALUE"""),14690.2)</f>
        <v>14690.2</v>
      </c>
    </row>
    <row r="3029">
      <c r="A3029" s="3">
        <f>IFERROR(__xludf.DUMMYFUNCTION("""COMPUTED_VALUE"""),43447.99861111111)</f>
        <v>43447.99861</v>
      </c>
      <c r="B3029" s="1">
        <f>IFERROR(__xludf.DUMMYFUNCTION("""COMPUTED_VALUE"""),14686.75)</f>
        <v>14686.75</v>
      </c>
    </row>
    <row r="3030">
      <c r="A3030" s="3">
        <f>IFERROR(__xludf.DUMMYFUNCTION("""COMPUTED_VALUE"""),43448.99861111111)</f>
        <v>43448.99861</v>
      </c>
      <c r="B3030" s="1">
        <f>IFERROR(__xludf.DUMMYFUNCTION("""COMPUTED_VALUE"""),14608.05)</f>
        <v>14608.05</v>
      </c>
    </row>
    <row r="3031">
      <c r="A3031" s="3">
        <f>IFERROR(__xludf.DUMMYFUNCTION("""COMPUTED_VALUE"""),43449.99861111111)</f>
        <v>43449.99861</v>
      </c>
      <c r="B3031" s="1">
        <f>IFERROR(__xludf.DUMMYFUNCTION("""COMPUTED_VALUE"""),14608.05)</f>
        <v>14608.05</v>
      </c>
    </row>
    <row r="3032">
      <c r="A3032" s="3">
        <f>IFERROR(__xludf.DUMMYFUNCTION("""COMPUTED_VALUE"""),43450.99861111111)</f>
        <v>43450.99861</v>
      </c>
      <c r="B3032" s="1">
        <f>IFERROR(__xludf.DUMMYFUNCTION("""COMPUTED_VALUE"""),14619.05)</f>
        <v>14619.05</v>
      </c>
    </row>
    <row r="3033">
      <c r="A3033" s="3">
        <f>IFERROR(__xludf.DUMMYFUNCTION("""COMPUTED_VALUE"""),43451.99861111111)</f>
        <v>43451.99861</v>
      </c>
      <c r="B3033" s="1">
        <f>IFERROR(__xludf.DUMMYFUNCTION("""COMPUTED_VALUE"""),14683.4)</f>
        <v>14683.4</v>
      </c>
    </row>
    <row r="3034">
      <c r="A3034" s="3">
        <f>IFERROR(__xludf.DUMMYFUNCTION("""COMPUTED_VALUE"""),43452.99861111111)</f>
        <v>43452.99861</v>
      </c>
      <c r="B3034" s="1">
        <f>IFERROR(__xludf.DUMMYFUNCTION("""COMPUTED_VALUE"""),14595.9)</f>
        <v>14595.9</v>
      </c>
    </row>
    <row r="3035">
      <c r="A3035" s="3">
        <f>IFERROR(__xludf.DUMMYFUNCTION("""COMPUTED_VALUE"""),43453.99861111111)</f>
        <v>43453.99861</v>
      </c>
      <c r="B3035" s="1">
        <f>IFERROR(__xludf.DUMMYFUNCTION("""COMPUTED_VALUE"""),14573.3)</f>
        <v>14573.3</v>
      </c>
    </row>
    <row r="3036">
      <c r="A3036" s="3">
        <f>IFERROR(__xludf.DUMMYFUNCTION("""COMPUTED_VALUE"""),43454.99861111111)</f>
        <v>43454.99861</v>
      </c>
      <c r="B3036" s="1">
        <f>IFERROR(__xludf.DUMMYFUNCTION("""COMPUTED_VALUE"""),14613.2)</f>
        <v>14613.2</v>
      </c>
    </row>
    <row r="3037">
      <c r="A3037" s="3">
        <f>IFERROR(__xludf.DUMMYFUNCTION("""COMPUTED_VALUE"""),43455.99861111111)</f>
        <v>43455.99861</v>
      </c>
      <c r="B3037" s="1">
        <f>IFERROR(__xludf.DUMMYFUNCTION("""COMPUTED_VALUE"""),14656.75)</f>
        <v>14656.75</v>
      </c>
    </row>
    <row r="3038">
      <c r="A3038" s="3">
        <f>IFERROR(__xludf.DUMMYFUNCTION("""COMPUTED_VALUE"""),43456.99861111111)</f>
        <v>43456.99861</v>
      </c>
      <c r="B3038" s="1">
        <f>IFERROR(__xludf.DUMMYFUNCTION("""COMPUTED_VALUE"""),14656.75)</f>
        <v>14656.75</v>
      </c>
    </row>
    <row r="3039">
      <c r="A3039" s="3">
        <f>IFERROR(__xludf.DUMMYFUNCTION("""COMPUTED_VALUE"""),43457.99861111111)</f>
        <v>43457.99861</v>
      </c>
      <c r="B3039" s="1">
        <f>IFERROR(__xludf.DUMMYFUNCTION("""COMPUTED_VALUE"""),14668.45)</f>
        <v>14668.45</v>
      </c>
    </row>
    <row r="3040">
      <c r="A3040" s="3">
        <f>IFERROR(__xludf.DUMMYFUNCTION("""COMPUTED_VALUE"""),43458.99861111111)</f>
        <v>43458.99861</v>
      </c>
      <c r="B3040" s="1">
        <f>IFERROR(__xludf.DUMMYFUNCTION("""COMPUTED_VALUE"""),14720.1)</f>
        <v>14720.1</v>
      </c>
    </row>
    <row r="3041">
      <c r="A3041" s="3">
        <f>IFERROR(__xludf.DUMMYFUNCTION("""COMPUTED_VALUE"""),43459.99861111111)</f>
        <v>43459.99861</v>
      </c>
      <c r="B3041" s="1">
        <f>IFERROR(__xludf.DUMMYFUNCTION("""COMPUTED_VALUE"""),14735.3)</f>
        <v>14735.3</v>
      </c>
    </row>
    <row r="3042">
      <c r="A3042" s="3">
        <f>IFERROR(__xludf.DUMMYFUNCTION("""COMPUTED_VALUE"""),43460.99861111111)</f>
        <v>43460.99861</v>
      </c>
      <c r="B3042" s="1">
        <f>IFERROR(__xludf.DUMMYFUNCTION("""COMPUTED_VALUE"""),14646.15)</f>
        <v>14646.15</v>
      </c>
    </row>
    <row r="3043">
      <c r="A3043" s="3">
        <f>IFERROR(__xludf.DUMMYFUNCTION("""COMPUTED_VALUE"""),43461.99861111111)</f>
        <v>43461.99861</v>
      </c>
      <c r="B3043" s="1">
        <f>IFERROR(__xludf.DUMMYFUNCTION("""COMPUTED_VALUE"""),14771.15)</f>
        <v>14771.15</v>
      </c>
    </row>
    <row r="3044">
      <c r="A3044" s="3">
        <f>IFERROR(__xludf.DUMMYFUNCTION("""COMPUTED_VALUE"""),43462.99861111111)</f>
        <v>43462.99861</v>
      </c>
      <c r="B3044" s="1">
        <f>IFERROR(__xludf.DUMMYFUNCTION("""COMPUTED_VALUE"""),14789.75)</f>
        <v>14789.75</v>
      </c>
    </row>
    <row r="3045">
      <c r="A3045" s="3">
        <f>IFERROR(__xludf.DUMMYFUNCTION("""COMPUTED_VALUE"""),43463.99861111111)</f>
        <v>43463.99861</v>
      </c>
      <c r="B3045" s="1">
        <f>IFERROR(__xludf.DUMMYFUNCTION("""COMPUTED_VALUE"""),14789.75)</f>
        <v>14789.75</v>
      </c>
    </row>
    <row r="3046">
      <c r="A3046" s="3">
        <f>IFERROR(__xludf.DUMMYFUNCTION("""COMPUTED_VALUE"""),43464.99861111111)</f>
        <v>43464.99861</v>
      </c>
      <c r="B3046" s="1">
        <f>IFERROR(__xludf.DUMMYFUNCTION("""COMPUTED_VALUE"""),14801.05)</f>
        <v>14801.05</v>
      </c>
    </row>
    <row r="3047">
      <c r="A3047" s="3">
        <f>IFERROR(__xludf.DUMMYFUNCTION("""COMPUTED_VALUE"""),43465.99861111111)</f>
        <v>43465.99861</v>
      </c>
      <c r="B3047" s="1">
        <f>IFERROR(__xludf.DUMMYFUNCTION("""COMPUTED_VALUE"""),14674.6)</f>
        <v>14674.6</v>
      </c>
    </row>
    <row r="3048">
      <c r="A3048" s="3">
        <f>IFERROR(__xludf.DUMMYFUNCTION("""COMPUTED_VALUE"""),43466.99861111111)</f>
        <v>43466.99861</v>
      </c>
      <c r="B3048" s="1">
        <f>IFERROR(__xludf.DUMMYFUNCTION("""COMPUTED_VALUE"""),14628.9)</f>
        <v>14628.9</v>
      </c>
    </row>
    <row r="3049">
      <c r="A3049" s="3">
        <f>IFERROR(__xludf.DUMMYFUNCTION("""COMPUTED_VALUE"""),43467.99861111111)</f>
        <v>43467.99861</v>
      </c>
      <c r="B3049" s="1">
        <f>IFERROR(__xludf.DUMMYFUNCTION("""COMPUTED_VALUE"""),14642.05)</f>
        <v>14642.05</v>
      </c>
    </row>
    <row r="3050">
      <c r="A3050" s="3">
        <f>IFERROR(__xludf.DUMMYFUNCTION("""COMPUTED_VALUE"""),43468.99861111111)</f>
        <v>43468.99861</v>
      </c>
      <c r="B3050" s="1">
        <f>IFERROR(__xludf.DUMMYFUNCTION("""COMPUTED_VALUE"""),14597.85)</f>
        <v>14597.85</v>
      </c>
    </row>
    <row r="3051">
      <c r="A3051" s="3">
        <f>IFERROR(__xludf.DUMMYFUNCTION("""COMPUTED_VALUE"""),43469.99861111111)</f>
        <v>43469.99861</v>
      </c>
      <c r="B3051" s="1">
        <f>IFERROR(__xludf.DUMMYFUNCTION("""COMPUTED_VALUE"""),14535.15)</f>
        <v>14535.15</v>
      </c>
    </row>
    <row r="3052">
      <c r="A3052" s="3">
        <f>IFERROR(__xludf.DUMMYFUNCTION("""COMPUTED_VALUE"""),43470.99861111111)</f>
        <v>43470.99861</v>
      </c>
      <c r="B3052" s="1">
        <f>IFERROR(__xludf.DUMMYFUNCTION("""COMPUTED_VALUE"""),14535.15)</f>
        <v>14535.15</v>
      </c>
    </row>
    <row r="3053">
      <c r="A3053" s="3">
        <f>IFERROR(__xludf.DUMMYFUNCTION("""COMPUTED_VALUE"""),43471.99861111111)</f>
        <v>43471.99861</v>
      </c>
      <c r="B3053" s="1">
        <f>IFERROR(__xludf.DUMMYFUNCTION("""COMPUTED_VALUE"""),14530.7)</f>
        <v>14530.7</v>
      </c>
    </row>
    <row r="3054">
      <c r="A3054" s="3">
        <f>IFERROR(__xludf.DUMMYFUNCTION("""COMPUTED_VALUE"""),43472.99861111111)</f>
        <v>43472.99861</v>
      </c>
      <c r="B3054" s="1">
        <f>IFERROR(__xludf.DUMMYFUNCTION("""COMPUTED_VALUE"""),14382.35)</f>
        <v>14382.35</v>
      </c>
    </row>
    <row r="3055">
      <c r="A3055" s="3">
        <f>IFERROR(__xludf.DUMMYFUNCTION("""COMPUTED_VALUE"""),43473.99861111111)</f>
        <v>43473.99861</v>
      </c>
      <c r="B3055" s="1">
        <f>IFERROR(__xludf.DUMMYFUNCTION("""COMPUTED_VALUE"""),14410.85)</f>
        <v>14410.85</v>
      </c>
    </row>
    <row r="3056">
      <c r="A3056" s="3">
        <f>IFERROR(__xludf.DUMMYFUNCTION("""COMPUTED_VALUE"""),43474.99861111111)</f>
        <v>43474.99861</v>
      </c>
      <c r="B3056" s="1">
        <f>IFERROR(__xludf.DUMMYFUNCTION("""COMPUTED_VALUE"""),14380.9)</f>
        <v>14380.9</v>
      </c>
    </row>
    <row r="3057">
      <c r="A3057" s="3">
        <f>IFERROR(__xludf.DUMMYFUNCTION("""COMPUTED_VALUE"""),43475.99861111111)</f>
        <v>43475.99861</v>
      </c>
      <c r="B3057" s="1">
        <f>IFERROR(__xludf.DUMMYFUNCTION("""COMPUTED_VALUE"""),14295.05)</f>
        <v>14295.05</v>
      </c>
    </row>
    <row r="3058">
      <c r="A3058" s="3">
        <f>IFERROR(__xludf.DUMMYFUNCTION("""COMPUTED_VALUE"""),43476.99861111111)</f>
        <v>43476.99861</v>
      </c>
      <c r="B3058" s="1">
        <f>IFERROR(__xludf.DUMMYFUNCTION("""COMPUTED_VALUE"""),14341.9)</f>
        <v>14341.9</v>
      </c>
    </row>
    <row r="3059">
      <c r="A3059" s="3">
        <f>IFERROR(__xludf.DUMMYFUNCTION("""COMPUTED_VALUE"""),43477.99861111111)</f>
        <v>43477.99861</v>
      </c>
      <c r="B3059" s="1">
        <f>IFERROR(__xludf.DUMMYFUNCTION("""COMPUTED_VALUE"""),14341.9)</f>
        <v>14341.9</v>
      </c>
    </row>
    <row r="3060">
      <c r="A3060" s="3">
        <f>IFERROR(__xludf.DUMMYFUNCTION("""COMPUTED_VALUE"""),43478.99861111111)</f>
        <v>43478.99861</v>
      </c>
      <c r="B3060" s="1">
        <f>IFERROR(__xludf.DUMMYFUNCTION("""COMPUTED_VALUE"""),14353.35)</f>
        <v>14353.35</v>
      </c>
    </row>
    <row r="3061">
      <c r="A3061" s="3">
        <f>IFERROR(__xludf.DUMMYFUNCTION("""COMPUTED_VALUE"""),43479.99861111111)</f>
        <v>43479.99861</v>
      </c>
      <c r="B3061" s="1">
        <f>IFERROR(__xludf.DUMMYFUNCTION("""COMPUTED_VALUE"""),14397.55)</f>
        <v>14397.55</v>
      </c>
    </row>
    <row r="3062">
      <c r="A3062" s="3">
        <f>IFERROR(__xludf.DUMMYFUNCTION("""COMPUTED_VALUE"""),43480.99861111111)</f>
        <v>43480.99861</v>
      </c>
      <c r="B3062" s="1">
        <f>IFERROR(__xludf.DUMMYFUNCTION("""COMPUTED_VALUE"""),14265.05)</f>
        <v>14265.05</v>
      </c>
    </row>
    <row r="3063">
      <c r="A3063" s="3">
        <f>IFERROR(__xludf.DUMMYFUNCTION("""COMPUTED_VALUE"""),43481.99861111111)</f>
        <v>43481.99861</v>
      </c>
      <c r="B3063" s="1">
        <f>IFERROR(__xludf.DUMMYFUNCTION("""COMPUTED_VALUE"""),14271.75)</f>
        <v>14271.75</v>
      </c>
    </row>
    <row r="3064">
      <c r="A3064" s="3">
        <f>IFERROR(__xludf.DUMMYFUNCTION("""COMPUTED_VALUE"""),43482.99861111111)</f>
        <v>43482.99861</v>
      </c>
      <c r="B3064" s="1">
        <f>IFERROR(__xludf.DUMMYFUNCTION("""COMPUTED_VALUE"""),14260.4)</f>
        <v>14260.4</v>
      </c>
    </row>
    <row r="3065">
      <c r="A3065" s="3">
        <f>IFERROR(__xludf.DUMMYFUNCTION("""COMPUTED_VALUE"""),43483.99861111111)</f>
        <v>43483.99861</v>
      </c>
      <c r="B3065" s="1">
        <f>IFERROR(__xludf.DUMMYFUNCTION("""COMPUTED_VALUE"""),14230.8)</f>
        <v>14230.8</v>
      </c>
    </row>
    <row r="3066">
      <c r="A3066" s="3">
        <f>IFERROR(__xludf.DUMMYFUNCTION("""COMPUTED_VALUE"""),43484.99861111111)</f>
        <v>43484.99861</v>
      </c>
      <c r="B3066" s="1">
        <f>IFERROR(__xludf.DUMMYFUNCTION("""COMPUTED_VALUE"""),14230.8)</f>
        <v>14230.8</v>
      </c>
    </row>
    <row r="3067">
      <c r="A3067" s="3">
        <f>IFERROR(__xludf.DUMMYFUNCTION("""COMPUTED_VALUE"""),43485.99861111111)</f>
        <v>43485.99861</v>
      </c>
      <c r="B3067" s="1">
        <f>IFERROR(__xludf.DUMMYFUNCTION("""COMPUTED_VALUE"""),14228.35)</f>
        <v>14228.35</v>
      </c>
    </row>
    <row r="3068">
      <c r="A3068" s="3">
        <f>IFERROR(__xludf.DUMMYFUNCTION("""COMPUTED_VALUE"""),43486.99861111111)</f>
        <v>43486.99861</v>
      </c>
      <c r="B3068" s="1">
        <f>IFERROR(__xludf.DUMMYFUNCTION("""COMPUTED_VALUE"""),14257.8)</f>
        <v>14257.8</v>
      </c>
    </row>
    <row r="3069">
      <c r="A3069" s="3">
        <f>IFERROR(__xludf.DUMMYFUNCTION("""COMPUTED_VALUE"""),43487.99861111111)</f>
        <v>43487.99861</v>
      </c>
      <c r="B3069" s="1">
        <f>IFERROR(__xludf.DUMMYFUNCTION("""COMPUTED_VALUE"""),14261.7)</f>
        <v>14261.7</v>
      </c>
    </row>
    <row r="3070">
      <c r="A3070" s="3">
        <f>IFERROR(__xludf.DUMMYFUNCTION("""COMPUTED_VALUE"""),43488.99861111111)</f>
        <v>43488.99861</v>
      </c>
      <c r="B3070" s="1">
        <f>IFERROR(__xludf.DUMMYFUNCTION("""COMPUTED_VALUE"""),14262.5)</f>
        <v>14262.5</v>
      </c>
    </row>
    <row r="3071">
      <c r="A3071" s="3">
        <f>IFERROR(__xludf.DUMMYFUNCTION("""COMPUTED_VALUE"""),43489.99861111111)</f>
        <v>43489.99861</v>
      </c>
      <c r="B3071" s="1">
        <f>IFERROR(__xludf.DUMMYFUNCTION("""COMPUTED_VALUE"""),14210.85)</f>
        <v>14210.85</v>
      </c>
    </row>
    <row r="3072">
      <c r="A3072" s="3">
        <f>IFERROR(__xludf.DUMMYFUNCTION("""COMPUTED_VALUE"""),43490.99861111111)</f>
        <v>43490.99861</v>
      </c>
      <c r="B3072" s="1">
        <f>IFERROR(__xludf.DUMMYFUNCTION("""COMPUTED_VALUE"""),14125.1)</f>
        <v>14125.1</v>
      </c>
    </row>
    <row r="3073">
      <c r="A3073" s="3">
        <f>IFERROR(__xludf.DUMMYFUNCTION("""COMPUTED_VALUE"""),43491.99861111111)</f>
        <v>43491.99861</v>
      </c>
      <c r="B3073" s="1">
        <f>IFERROR(__xludf.DUMMYFUNCTION("""COMPUTED_VALUE"""),14104.7)</f>
        <v>14104.7</v>
      </c>
    </row>
    <row r="3074">
      <c r="A3074" s="3">
        <f>IFERROR(__xludf.DUMMYFUNCTION("""COMPUTED_VALUE"""),43492.99861111111)</f>
        <v>43492.99861</v>
      </c>
      <c r="B3074" s="1">
        <f>IFERROR(__xludf.DUMMYFUNCTION("""COMPUTED_VALUE"""),14107.25)</f>
        <v>14107.25</v>
      </c>
    </row>
    <row r="3075">
      <c r="A3075" s="3">
        <f>IFERROR(__xludf.DUMMYFUNCTION("""COMPUTED_VALUE"""),43493.99861111111)</f>
        <v>43493.99861</v>
      </c>
      <c r="B3075" s="1">
        <f>IFERROR(__xludf.DUMMYFUNCTION("""COMPUTED_VALUE"""),14182.4)</f>
        <v>14182.4</v>
      </c>
    </row>
    <row r="3076">
      <c r="A3076" s="3">
        <f>IFERROR(__xludf.DUMMYFUNCTION("""COMPUTED_VALUE"""),43494.99861111111)</f>
        <v>43494.99861</v>
      </c>
      <c r="B3076" s="1">
        <f>IFERROR(__xludf.DUMMYFUNCTION("""COMPUTED_VALUE"""),14159.2)</f>
        <v>14159.2</v>
      </c>
    </row>
    <row r="3077">
      <c r="A3077" s="3">
        <f>IFERROR(__xludf.DUMMYFUNCTION("""COMPUTED_VALUE"""),43495.99861111111)</f>
        <v>43495.99861</v>
      </c>
      <c r="B3077" s="1">
        <f>IFERROR(__xludf.DUMMYFUNCTION("""COMPUTED_VALUE"""),14211.9)</f>
        <v>14211.9</v>
      </c>
    </row>
    <row r="3078">
      <c r="A3078" s="3">
        <f>IFERROR(__xludf.DUMMYFUNCTION("""COMPUTED_VALUE"""),43496.99861111111)</f>
        <v>43496.99861</v>
      </c>
      <c r="B3078" s="1">
        <f>IFERROR(__xludf.DUMMYFUNCTION("""COMPUTED_VALUE"""),14104.8)</f>
        <v>14104.8</v>
      </c>
    </row>
    <row r="3079">
      <c r="A3079" s="3">
        <f>IFERROR(__xludf.DUMMYFUNCTION("""COMPUTED_VALUE"""),43497.99861111111)</f>
        <v>43497.99861</v>
      </c>
      <c r="B3079" s="1">
        <f>IFERROR(__xludf.DUMMYFUNCTION("""COMPUTED_VALUE"""),14010.6)</f>
        <v>14010.6</v>
      </c>
    </row>
    <row r="3080">
      <c r="A3080" s="3">
        <f>IFERROR(__xludf.DUMMYFUNCTION("""COMPUTED_VALUE"""),43498.99861111111)</f>
        <v>43498.99861</v>
      </c>
      <c r="B3080" s="1">
        <f>IFERROR(__xludf.DUMMYFUNCTION("""COMPUTED_VALUE"""),14010.6)</f>
        <v>14010.6</v>
      </c>
    </row>
    <row r="3081">
      <c r="A3081" s="3">
        <f>IFERROR(__xludf.DUMMYFUNCTION("""COMPUTED_VALUE"""),43499.99861111111)</f>
        <v>43499.99861</v>
      </c>
      <c r="B3081" s="1">
        <f>IFERROR(__xludf.DUMMYFUNCTION("""COMPUTED_VALUE"""),14015.95)</f>
        <v>14015.95</v>
      </c>
    </row>
    <row r="3082">
      <c r="A3082" s="3">
        <f>IFERROR(__xludf.DUMMYFUNCTION("""COMPUTED_VALUE"""),43500.99861111111)</f>
        <v>43500.99861</v>
      </c>
      <c r="B3082" s="1">
        <f>IFERROR(__xludf.DUMMYFUNCTION("""COMPUTED_VALUE"""),13976.4)</f>
        <v>13976.4</v>
      </c>
    </row>
    <row r="3083">
      <c r="A3083" s="3">
        <f>IFERROR(__xludf.DUMMYFUNCTION("""COMPUTED_VALUE"""),43501.99861111111)</f>
        <v>43501.99861</v>
      </c>
      <c r="B3083" s="1">
        <f>IFERROR(__xludf.DUMMYFUNCTION("""COMPUTED_VALUE"""),13973.05)</f>
        <v>13973.05</v>
      </c>
    </row>
    <row r="3084">
      <c r="A3084" s="3">
        <f>IFERROR(__xludf.DUMMYFUNCTION("""COMPUTED_VALUE"""),43502.99861111111)</f>
        <v>43502.99861</v>
      </c>
      <c r="B3084" s="1">
        <f>IFERROR(__xludf.DUMMYFUNCTION("""COMPUTED_VALUE"""),13886.0)</f>
        <v>13886</v>
      </c>
    </row>
    <row r="3085">
      <c r="A3085" s="3">
        <f>IFERROR(__xludf.DUMMYFUNCTION("""COMPUTED_VALUE"""),43503.99861111111)</f>
        <v>43503.99861</v>
      </c>
      <c r="B3085" s="1">
        <f>IFERROR(__xludf.DUMMYFUNCTION("""COMPUTED_VALUE"""),13953.7)</f>
        <v>13953.7</v>
      </c>
    </row>
    <row r="3086">
      <c r="A3086" s="3">
        <f>IFERROR(__xludf.DUMMYFUNCTION("""COMPUTED_VALUE"""),43504.99861111111)</f>
        <v>43504.99861</v>
      </c>
      <c r="B3086" s="1">
        <f>IFERROR(__xludf.DUMMYFUNCTION("""COMPUTED_VALUE"""),13962.3)</f>
        <v>13962.3</v>
      </c>
    </row>
    <row r="3087">
      <c r="A3087" s="3">
        <f>IFERROR(__xludf.DUMMYFUNCTION("""COMPUTED_VALUE"""),43505.99861111111)</f>
        <v>43505.99861</v>
      </c>
      <c r="B3087" s="1">
        <f>IFERROR(__xludf.DUMMYFUNCTION("""COMPUTED_VALUE"""),13983.3)</f>
        <v>13983.3</v>
      </c>
    </row>
    <row r="3088">
      <c r="A3088" s="3">
        <f>IFERROR(__xludf.DUMMYFUNCTION("""COMPUTED_VALUE"""),43506.99861111111)</f>
        <v>43506.99861</v>
      </c>
      <c r="B3088" s="1">
        <f>IFERROR(__xludf.DUMMYFUNCTION("""COMPUTED_VALUE"""),13993.15)</f>
        <v>13993.15</v>
      </c>
    </row>
    <row r="3089">
      <c r="A3089" s="3">
        <f>IFERROR(__xludf.DUMMYFUNCTION("""COMPUTED_VALUE"""),43507.99861111111)</f>
        <v>43507.99861</v>
      </c>
      <c r="B3089" s="1">
        <f>IFERROR(__xludf.DUMMYFUNCTION("""COMPUTED_VALUE"""),13975.2)</f>
        <v>13975.2</v>
      </c>
    </row>
    <row r="3090">
      <c r="A3090" s="3">
        <f>IFERROR(__xludf.DUMMYFUNCTION("""COMPUTED_VALUE"""),43508.99861111111)</f>
        <v>43508.99861</v>
      </c>
      <c r="B3090" s="1">
        <f>IFERROR(__xludf.DUMMYFUNCTION("""COMPUTED_VALUE"""),13980.7)</f>
        <v>13980.7</v>
      </c>
    </row>
    <row r="3091">
      <c r="A3091" s="3">
        <f>IFERROR(__xludf.DUMMYFUNCTION("""COMPUTED_VALUE"""),43509.99861111111)</f>
        <v>43509.99861</v>
      </c>
      <c r="B3091" s="1">
        <f>IFERROR(__xludf.DUMMYFUNCTION("""COMPUTED_VALUE"""),13948.4)</f>
        <v>13948.4</v>
      </c>
    </row>
    <row r="3092">
      <c r="A3092" s="3">
        <f>IFERROR(__xludf.DUMMYFUNCTION("""COMPUTED_VALUE"""),43510.99861111111)</f>
        <v>43510.99861</v>
      </c>
      <c r="B3092" s="1">
        <f>IFERROR(__xludf.DUMMYFUNCTION("""COMPUTED_VALUE"""),14015.4)</f>
        <v>14015.4</v>
      </c>
    </row>
    <row r="3093">
      <c r="A3093" s="3">
        <f>IFERROR(__xludf.DUMMYFUNCTION("""COMPUTED_VALUE"""),43511.99861111111)</f>
        <v>43511.99861</v>
      </c>
      <c r="B3093" s="1">
        <f>IFERROR(__xludf.DUMMYFUNCTION("""COMPUTED_VALUE"""),14041.7)</f>
        <v>14041.7</v>
      </c>
    </row>
    <row r="3094">
      <c r="A3094" s="3">
        <f>IFERROR(__xludf.DUMMYFUNCTION("""COMPUTED_VALUE"""),43512.99861111111)</f>
        <v>43512.99861</v>
      </c>
      <c r="B3094" s="1">
        <f>IFERROR(__xludf.DUMMYFUNCTION("""COMPUTED_VALUE"""),14041.7)</f>
        <v>14041.7</v>
      </c>
    </row>
    <row r="3095">
      <c r="A3095" s="3">
        <f>IFERROR(__xludf.DUMMYFUNCTION("""COMPUTED_VALUE"""),43513.99861111111)</f>
        <v>43513.99861</v>
      </c>
      <c r="B3095" s="1">
        <f>IFERROR(__xludf.DUMMYFUNCTION("""COMPUTED_VALUE"""),14050.3)</f>
        <v>14050.3</v>
      </c>
    </row>
    <row r="3096">
      <c r="A3096" s="3">
        <f>IFERROR(__xludf.DUMMYFUNCTION("""COMPUTED_VALUE"""),43514.99861111111)</f>
        <v>43514.99861</v>
      </c>
      <c r="B3096" s="1">
        <f>IFERROR(__xludf.DUMMYFUNCTION("""COMPUTED_VALUE"""),14062.85)</f>
        <v>14062.85</v>
      </c>
    </row>
    <row r="3097">
      <c r="A3097" s="3">
        <f>IFERROR(__xludf.DUMMYFUNCTION("""COMPUTED_VALUE"""),43515.99861111111)</f>
        <v>43515.99861</v>
      </c>
      <c r="B3097" s="1">
        <f>IFERROR(__xludf.DUMMYFUNCTION("""COMPUTED_VALUE"""),14098.3)</f>
        <v>14098.3</v>
      </c>
    </row>
    <row r="3098">
      <c r="A3098" s="3">
        <f>IFERROR(__xludf.DUMMYFUNCTION("""COMPUTED_VALUE"""),43516.99861111111)</f>
        <v>43516.99861</v>
      </c>
      <c r="B3098" s="1">
        <f>IFERROR(__xludf.DUMMYFUNCTION("""COMPUTED_VALUE"""),14059.8)</f>
        <v>14059.8</v>
      </c>
    </row>
    <row r="3099">
      <c r="A3099" s="3">
        <f>IFERROR(__xludf.DUMMYFUNCTION("""COMPUTED_VALUE"""),43517.99861111111)</f>
        <v>43517.99861</v>
      </c>
      <c r="B3099" s="1">
        <f>IFERROR(__xludf.DUMMYFUNCTION("""COMPUTED_VALUE"""),14041.5)</f>
        <v>14041.5</v>
      </c>
    </row>
    <row r="3100">
      <c r="A3100" s="3">
        <f>IFERROR(__xludf.DUMMYFUNCTION("""COMPUTED_VALUE"""),43518.99861111111)</f>
        <v>43518.99861</v>
      </c>
      <c r="B3100" s="1">
        <f>IFERROR(__xludf.DUMMYFUNCTION("""COMPUTED_VALUE"""),14050.0)</f>
        <v>14050</v>
      </c>
    </row>
    <row r="3101">
      <c r="A3101" s="3">
        <f>IFERROR(__xludf.DUMMYFUNCTION("""COMPUTED_VALUE"""),43519.99861111111)</f>
        <v>43519.99861</v>
      </c>
      <c r="B3101" s="1">
        <f>IFERROR(__xludf.DUMMYFUNCTION("""COMPUTED_VALUE"""),14057.55)</f>
        <v>14057.55</v>
      </c>
    </row>
    <row r="3102">
      <c r="A3102" s="3">
        <f>IFERROR(__xludf.DUMMYFUNCTION("""COMPUTED_VALUE"""),43520.99861111111)</f>
        <v>43520.99861</v>
      </c>
      <c r="B3102" s="1">
        <f>IFERROR(__xludf.DUMMYFUNCTION("""COMPUTED_VALUE"""),14052.55)</f>
        <v>14052.55</v>
      </c>
    </row>
    <row r="3103">
      <c r="A3103" s="3">
        <f>IFERROR(__xludf.DUMMYFUNCTION("""COMPUTED_VALUE"""),43521.99861111111)</f>
        <v>43521.99861</v>
      </c>
      <c r="B3103" s="1">
        <f>IFERROR(__xludf.DUMMYFUNCTION("""COMPUTED_VALUE"""),14018.3)</f>
        <v>14018.3</v>
      </c>
    </row>
    <row r="3104">
      <c r="A3104" s="3">
        <f>IFERROR(__xludf.DUMMYFUNCTION("""COMPUTED_VALUE"""),43522.99861111111)</f>
        <v>43522.99861</v>
      </c>
      <c r="B3104" s="1">
        <f>IFERROR(__xludf.DUMMYFUNCTION("""COMPUTED_VALUE"""),13968.4)</f>
        <v>13968.4</v>
      </c>
    </row>
    <row r="3105">
      <c r="A3105" s="3">
        <f>IFERROR(__xludf.DUMMYFUNCTION("""COMPUTED_VALUE"""),43523.99861111111)</f>
        <v>43523.99861</v>
      </c>
      <c r="B3105" s="1">
        <f>IFERROR(__xludf.DUMMYFUNCTION("""COMPUTED_VALUE"""),14015.45)</f>
        <v>14015.45</v>
      </c>
    </row>
    <row r="3106">
      <c r="A3106" s="3">
        <f>IFERROR(__xludf.DUMMYFUNCTION("""COMPUTED_VALUE"""),43524.99861111111)</f>
        <v>43524.99861</v>
      </c>
      <c r="B3106" s="1">
        <f>IFERROR(__xludf.DUMMYFUNCTION("""COMPUTED_VALUE"""),14111.2)</f>
        <v>14111.2</v>
      </c>
    </row>
    <row r="3107">
      <c r="A3107" s="3">
        <f>IFERROR(__xludf.DUMMYFUNCTION("""COMPUTED_VALUE"""),43525.99861111111)</f>
        <v>43525.99861</v>
      </c>
      <c r="B3107" s="1">
        <f>IFERROR(__xludf.DUMMYFUNCTION("""COMPUTED_VALUE"""),14131.0)</f>
        <v>14131</v>
      </c>
    </row>
    <row r="3108">
      <c r="A3108" s="3">
        <f>IFERROR(__xludf.DUMMYFUNCTION("""COMPUTED_VALUE"""),43526.99861111111)</f>
        <v>43526.99861</v>
      </c>
      <c r="B3108" s="1">
        <f>IFERROR(__xludf.DUMMYFUNCTION("""COMPUTED_VALUE"""),14131.0)</f>
        <v>14131</v>
      </c>
    </row>
    <row r="3109">
      <c r="A3109" s="3">
        <f>IFERROR(__xludf.DUMMYFUNCTION("""COMPUTED_VALUE"""),43527.99861111111)</f>
        <v>43527.99861</v>
      </c>
      <c r="B3109" s="1">
        <f>IFERROR(__xludf.DUMMYFUNCTION("""COMPUTED_VALUE"""),14122.3)</f>
        <v>14122.3</v>
      </c>
    </row>
    <row r="3110">
      <c r="A3110" s="3">
        <f>IFERROR(__xludf.DUMMYFUNCTION("""COMPUTED_VALUE"""),43528.99861111111)</f>
        <v>43528.99861</v>
      </c>
      <c r="B3110" s="1">
        <f>IFERROR(__xludf.DUMMYFUNCTION("""COMPUTED_VALUE"""),14143.5)</f>
        <v>14143.5</v>
      </c>
    </row>
    <row r="3111">
      <c r="A3111" s="3">
        <f>IFERROR(__xludf.DUMMYFUNCTION("""COMPUTED_VALUE"""),43529.99861111111)</f>
        <v>43529.99861</v>
      </c>
      <c r="B3111" s="1">
        <f>IFERROR(__xludf.DUMMYFUNCTION("""COMPUTED_VALUE"""),14101.3)</f>
        <v>14101.3</v>
      </c>
    </row>
    <row r="3112">
      <c r="A3112" s="3">
        <f>IFERROR(__xludf.DUMMYFUNCTION("""COMPUTED_VALUE"""),43530.99861111111)</f>
        <v>43530.99861</v>
      </c>
      <c r="B3112" s="1">
        <f>IFERROR(__xludf.DUMMYFUNCTION("""COMPUTED_VALUE"""),14082.3)</f>
        <v>14082.3</v>
      </c>
    </row>
    <row r="3113">
      <c r="A3113" s="3">
        <f>IFERROR(__xludf.DUMMYFUNCTION("""COMPUTED_VALUE"""),43531.99861111111)</f>
        <v>43531.99861</v>
      </c>
      <c r="B3113" s="1">
        <f>IFERROR(__xludf.DUMMYFUNCTION("""COMPUTED_VALUE"""),13965.1)</f>
        <v>13965.1</v>
      </c>
    </row>
    <row r="3114">
      <c r="A3114" s="3">
        <f>IFERROR(__xludf.DUMMYFUNCTION("""COMPUTED_VALUE"""),43532.99861111111)</f>
        <v>43532.99861</v>
      </c>
      <c r="B3114" s="1">
        <f>IFERROR(__xludf.DUMMYFUNCTION("""COMPUTED_VALUE"""),13966.35)</f>
        <v>13966.35</v>
      </c>
    </row>
    <row r="3115">
      <c r="A3115" s="3">
        <f>IFERROR(__xludf.DUMMYFUNCTION("""COMPUTED_VALUE"""),43533.99861111111)</f>
        <v>43533.99861</v>
      </c>
      <c r="B3115" s="1">
        <f>IFERROR(__xludf.DUMMYFUNCTION("""COMPUTED_VALUE"""),13966.35)</f>
        <v>13966.35</v>
      </c>
    </row>
    <row r="3116">
      <c r="A3116" s="3">
        <f>IFERROR(__xludf.DUMMYFUNCTION("""COMPUTED_VALUE"""),43534.99861111111)</f>
        <v>43534.99861</v>
      </c>
      <c r="B3116" s="1">
        <f>IFERROR(__xludf.DUMMYFUNCTION("""COMPUTED_VALUE"""),14173.2)</f>
        <v>14173.2</v>
      </c>
    </row>
    <row r="3117">
      <c r="A3117" s="3">
        <f>IFERROR(__xludf.DUMMYFUNCTION("""COMPUTED_VALUE"""),43535.99861111111)</f>
        <v>43535.99861</v>
      </c>
      <c r="B3117" s="1">
        <f>IFERROR(__xludf.DUMMYFUNCTION("""COMPUTED_VALUE"""),14100.0)</f>
        <v>14100</v>
      </c>
    </row>
    <row r="3118">
      <c r="A3118" s="3">
        <f>IFERROR(__xludf.DUMMYFUNCTION("""COMPUTED_VALUE"""),43536.99861111111)</f>
        <v>43536.99861</v>
      </c>
      <c r="B3118" s="1">
        <f>IFERROR(__xludf.DUMMYFUNCTION("""COMPUTED_VALUE"""),14159.1)</f>
        <v>14159.1</v>
      </c>
    </row>
    <row r="3119">
      <c r="A3119" s="3">
        <f>IFERROR(__xludf.DUMMYFUNCTION("""COMPUTED_VALUE"""),43537.99861111111)</f>
        <v>43537.99861</v>
      </c>
      <c r="B3119" s="1">
        <f>IFERROR(__xludf.DUMMYFUNCTION("""COMPUTED_VALUE"""),14185.5)</f>
        <v>14185.5</v>
      </c>
    </row>
    <row r="3120">
      <c r="A3120" s="3">
        <f>IFERROR(__xludf.DUMMYFUNCTION("""COMPUTED_VALUE"""),43538.99861111111)</f>
        <v>43538.99861</v>
      </c>
      <c r="B3120" s="1">
        <f>IFERROR(__xludf.DUMMYFUNCTION("""COMPUTED_VALUE"""),14201.3)</f>
        <v>14201.3</v>
      </c>
    </row>
    <row r="3121">
      <c r="A3121" s="3">
        <f>IFERROR(__xludf.DUMMYFUNCTION("""COMPUTED_VALUE"""),43539.99861111111)</f>
        <v>43539.99861</v>
      </c>
      <c r="B3121" s="1">
        <f>IFERROR(__xludf.DUMMYFUNCTION("""COMPUTED_VALUE"""),14211.8)</f>
        <v>14211.8</v>
      </c>
    </row>
    <row r="3122">
      <c r="A3122" s="3">
        <f>IFERROR(__xludf.DUMMYFUNCTION("""COMPUTED_VALUE"""),43540.99861111111)</f>
        <v>43540.99861</v>
      </c>
      <c r="B3122" s="1">
        <f>IFERROR(__xludf.DUMMYFUNCTION("""COMPUTED_VALUE"""),14211.8)</f>
        <v>14211.8</v>
      </c>
    </row>
    <row r="3123">
      <c r="A3123" s="3">
        <f>IFERROR(__xludf.DUMMYFUNCTION("""COMPUTED_VALUE"""),43541.99861111111)</f>
        <v>43541.99861</v>
      </c>
      <c r="B3123" s="1">
        <f>IFERROR(__xludf.DUMMYFUNCTION("""COMPUTED_VALUE"""),14225.2)</f>
        <v>14225.2</v>
      </c>
    </row>
    <row r="3124">
      <c r="A3124" s="3">
        <f>IFERROR(__xludf.DUMMYFUNCTION("""COMPUTED_VALUE"""),43542.99861111111)</f>
        <v>43542.99861</v>
      </c>
      <c r="B3124" s="1">
        <f>IFERROR(__xludf.DUMMYFUNCTION("""COMPUTED_VALUE"""),14207.1)</f>
        <v>14207.1</v>
      </c>
    </row>
    <row r="3125">
      <c r="A3125" s="3">
        <f>IFERROR(__xludf.DUMMYFUNCTION("""COMPUTED_VALUE"""),43543.99861111111)</f>
        <v>43543.99861</v>
      </c>
      <c r="B3125" s="1">
        <f>IFERROR(__xludf.DUMMYFUNCTION("""COMPUTED_VALUE"""),14241.8)</f>
        <v>14241.8</v>
      </c>
    </row>
    <row r="3126">
      <c r="A3126" s="3">
        <f>IFERROR(__xludf.DUMMYFUNCTION("""COMPUTED_VALUE"""),43544.99861111111)</f>
        <v>43544.99861</v>
      </c>
      <c r="B3126" s="1">
        <f>IFERROR(__xludf.DUMMYFUNCTION("""COMPUTED_VALUE"""),14274.9)</f>
        <v>14274.9</v>
      </c>
    </row>
    <row r="3127">
      <c r="A3127" s="3">
        <f>IFERROR(__xludf.DUMMYFUNCTION("""COMPUTED_VALUE"""),43545.99861111111)</f>
        <v>43545.99861</v>
      </c>
      <c r="B3127" s="1">
        <f>IFERROR(__xludf.DUMMYFUNCTION("""COMPUTED_VALUE"""),14224.35)</f>
        <v>14224.35</v>
      </c>
    </row>
    <row r="3128">
      <c r="A3128" s="3">
        <f>IFERROR(__xludf.DUMMYFUNCTION("""COMPUTED_VALUE"""),43546.99861111111)</f>
        <v>43546.99861</v>
      </c>
      <c r="B3128" s="1">
        <f>IFERROR(__xludf.DUMMYFUNCTION("""COMPUTED_VALUE"""),14247.35)</f>
        <v>14247.35</v>
      </c>
    </row>
    <row r="3129">
      <c r="A3129" s="3">
        <f>IFERROR(__xludf.DUMMYFUNCTION("""COMPUTED_VALUE"""),43547.99861111111)</f>
        <v>43547.99861</v>
      </c>
      <c r="B3129" s="1">
        <f>IFERROR(__xludf.DUMMYFUNCTION("""COMPUTED_VALUE"""),14251.2)</f>
        <v>14251.2</v>
      </c>
    </row>
    <row r="3130">
      <c r="A3130" s="3">
        <f>IFERROR(__xludf.DUMMYFUNCTION("""COMPUTED_VALUE"""),43548.99861111111)</f>
        <v>43548.99861</v>
      </c>
      <c r="B3130" s="1">
        <f>IFERROR(__xludf.DUMMYFUNCTION("""COMPUTED_VALUE"""),14256.2)</f>
        <v>14256.2</v>
      </c>
    </row>
    <row r="3131">
      <c r="A3131" s="3">
        <f>IFERROR(__xludf.DUMMYFUNCTION("""COMPUTED_VALUE"""),43549.99861111111)</f>
        <v>43549.99861</v>
      </c>
      <c r="B3131" s="1">
        <f>IFERROR(__xludf.DUMMYFUNCTION("""COMPUTED_VALUE"""),14290.95)</f>
        <v>14290.95</v>
      </c>
    </row>
    <row r="3132">
      <c r="A3132" s="3">
        <f>IFERROR(__xludf.DUMMYFUNCTION("""COMPUTED_VALUE"""),43550.99861111111)</f>
        <v>43550.99861</v>
      </c>
      <c r="B3132" s="1">
        <f>IFERROR(__xludf.DUMMYFUNCTION("""COMPUTED_VALUE"""),14267.1)</f>
        <v>14267.1</v>
      </c>
    </row>
    <row r="3133">
      <c r="A3133" s="3">
        <f>IFERROR(__xludf.DUMMYFUNCTION("""COMPUTED_VALUE"""),43551.99861111111)</f>
        <v>43551.99861</v>
      </c>
      <c r="B3133" s="1">
        <f>IFERROR(__xludf.DUMMYFUNCTION("""COMPUTED_VALUE"""),14272.9)</f>
        <v>14272.9</v>
      </c>
    </row>
    <row r="3134">
      <c r="A3134" s="3">
        <f>IFERROR(__xludf.DUMMYFUNCTION("""COMPUTED_VALUE"""),43552.99861111111)</f>
        <v>43552.99861</v>
      </c>
      <c r="B3134" s="1">
        <f>IFERROR(__xludf.DUMMYFUNCTION("""COMPUTED_VALUE"""),14302.65)</f>
        <v>14302.65</v>
      </c>
    </row>
    <row r="3135">
      <c r="A3135" s="3">
        <f>IFERROR(__xludf.DUMMYFUNCTION("""COMPUTED_VALUE"""),43553.99861111111)</f>
        <v>43553.99861</v>
      </c>
      <c r="B3135" s="1">
        <f>IFERROR(__xludf.DUMMYFUNCTION("""COMPUTED_VALUE"""),14282.5)</f>
        <v>14282.5</v>
      </c>
    </row>
    <row r="3136">
      <c r="A3136" s="3">
        <f>IFERROR(__xludf.DUMMYFUNCTION("""COMPUTED_VALUE"""),43554.99861111111)</f>
        <v>43554.99861</v>
      </c>
      <c r="B3136" s="1">
        <f>IFERROR(__xludf.DUMMYFUNCTION("""COMPUTED_VALUE"""),14282.5)</f>
        <v>14282.5</v>
      </c>
    </row>
    <row r="3137">
      <c r="A3137" s="3">
        <f>IFERROR(__xludf.DUMMYFUNCTION("""COMPUTED_VALUE"""),43555.99861111111)</f>
        <v>43555.99861</v>
      </c>
      <c r="B3137" s="1">
        <f>IFERROR(__xludf.DUMMYFUNCTION("""COMPUTED_VALUE"""),14297.05)</f>
        <v>14297.05</v>
      </c>
    </row>
    <row r="3138">
      <c r="A3138" s="3">
        <f>IFERROR(__xludf.DUMMYFUNCTION("""COMPUTED_VALUE"""),43556.99861111111)</f>
        <v>43556.99861</v>
      </c>
      <c r="B3138" s="1">
        <f>IFERROR(__xludf.DUMMYFUNCTION("""COMPUTED_VALUE"""),14238.5)</f>
        <v>14238.5</v>
      </c>
    </row>
    <row r="3139">
      <c r="A3139" s="3">
        <f>IFERROR(__xludf.DUMMYFUNCTION("""COMPUTED_VALUE"""),43557.99861111111)</f>
        <v>43557.99861</v>
      </c>
      <c r="B3139" s="1">
        <f>IFERROR(__xludf.DUMMYFUNCTION("""COMPUTED_VALUE"""),14256.35)</f>
        <v>14256.35</v>
      </c>
    </row>
    <row r="3140">
      <c r="A3140" s="3">
        <f>IFERROR(__xludf.DUMMYFUNCTION("""COMPUTED_VALUE"""),43558.99861111111)</f>
        <v>43558.99861</v>
      </c>
      <c r="B3140" s="1">
        <f>IFERROR(__xludf.DUMMYFUNCTION("""COMPUTED_VALUE"""),14248.75)</f>
        <v>14248.75</v>
      </c>
    </row>
    <row r="3141">
      <c r="A3141" s="3">
        <f>IFERROR(__xludf.DUMMYFUNCTION("""COMPUTED_VALUE"""),43559.99861111111)</f>
        <v>43559.99861</v>
      </c>
      <c r="B3141" s="1">
        <f>IFERROR(__xludf.DUMMYFUNCTION("""COMPUTED_VALUE"""),14176.85)</f>
        <v>14176.85</v>
      </c>
    </row>
    <row r="3142">
      <c r="A3142" s="3">
        <f>IFERROR(__xludf.DUMMYFUNCTION("""COMPUTED_VALUE"""),43560.99861111111)</f>
        <v>43560.99861</v>
      </c>
      <c r="B3142" s="1">
        <f>IFERROR(__xludf.DUMMYFUNCTION("""COMPUTED_VALUE"""),14108.95)</f>
        <v>14108.95</v>
      </c>
    </row>
    <row r="3143">
      <c r="A3143" s="3">
        <f>IFERROR(__xludf.DUMMYFUNCTION("""COMPUTED_VALUE"""),43561.99861111111)</f>
        <v>43561.99861</v>
      </c>
      <c r="B3143" s="1">
        <f>IFERROR(__xludf.DUMMYFUNCTION("""COMPUTED_VALUE"""),14108.95)</f>
        <v>14108.95</v>
      </c>
    </row>
    <row r="3144">
      <c r="A3144" s="3">
        <f>IFERROR(__xludf.DUMMYFUNCTION("""COMPUTED_VALUE"""),43562.99861111111)</f>
        <v>43562.99861</v>
      </c>
      <c r="B3144" s="1">
        <f>IFERROR(__xludf.DUMMYFUNCTION("""COMPUTED_VALUE"""),14116.45)</f>
        <v>14116.45</v>
      </c>
    </row>
    <row r="3145">
      <c r="A3145" s="3">
        <f>IFERROR(__xludf.DUMMYFUNCTION("""COMPUTED_VALUE"""),43563.99861111111)</f>
        <v>43563.99861</v>
      </c>
      <c r="B3145" s="1">
        <f>IFERROR(__xludf.DUMMYFUNCTION("""COMPUTED_VALUE"""),14181.3)</f>
        <v>14181.3</v>
      </c>
    </row>
    <row r="3146">
      <c r="A3146" s="3">
        <f>IFERROR(__xludf.DUMMYFUNCTION("""COMPUTED_VALUE"""),43564.99861111111)</f>
        <v>43564.99861</v>
      </c>
      <c r="B3146" s="1">
        <f>IFERROR(__xludf.DUMMYFUNCTION("""COMPUTED_VALUE"""),14135.1)</f>
        <v>14135.1</v>
      </c>
    </row>
    <row r="3147">
      <c r="A3147" s="3">
        <f>IFERROR(__xludf.DUMMYFUNCTION("""COMPUTED_VALUE"""),43565.99861111111)</f>
        <v>43565.99861</v>
      </c>
      <c r="B3147" s="1">
        <f>IFERROR(__xludf.DUMMYFUNCTION("""COMPUTED_VALUE"""),14108.1)</f>
        <v>14108.1</v>
      </c>
    </row>
    <row r="3148">
      <c r="A3148" s="3">
        <f>IFERROR(__xludf.DUMMYFUNCTION("""COMPUTED_VALUE"""),43566.99861111111)</f>
        <v>43566.99861</v>
      </c>
      <c r="B3148" s="1">
        <f>IFERROR(__xludf.DUMMYFUNCTION("""COMPUTED_VALUE"""),14124.5)</f>
        <v>14124.5</v>
      </c>
    </row>
    <row r="3149">
      <c r="A3149" s="3">
        <f>IFERROR(__xludf.DUMMYFUNCTION("""COMPUTED_VALUE"""),43567.99861111111)</f>
        <v>43567.99861</v>
      </c>
      <c r="B3149" s="1">
        <f>IFERROR(__xludf.DUMMYFUNCTION("""COMPUTED_VALUE"""),14045.6)</f>
        <v>14045.6</v>
      </c>
    </row>
    <row r="3150">
      <c r="A3150" s="3">
        <f>IFERROR(__xludf.DUMMYFUNCTION("""COMPUTED_VALUE"""),43568.99861111111)</f>
        <v>43568.99861</v>
      </c>
      <c r="B3150" s="1">
        <f>IFERROR(__xludf.DUMMYFUNCTION("""COMPUTED_VALUE"""),14077.2)</f>
        <v>14077.2</v>
      </c>
    </row>
    <row r="3151">
      <c r="A3151" s="3">
        <f>IFERROR(__xludf.DUMMYFUNCTION("""COMPUTED_VALUE"""),43569.99861111111)</f>
        <v>43569.99861</v>
      </c>
      <c r="B3151" s="1">
        <f>IFERROR(__xludf.DUMMYFUNCTION("""COMPUTED_VALUE"""),14069.35)</f>
        <v>14069.35</v>
      </c>
    </row>
    <row r="3152">
      <c r="A3152" s="3">
        <f>IFERROR(__xludf.DUMMYFUNCTION("""COMPUTED_VALUE"""),43570.99861111111)</f>
        <v>43570.99861</v>
      </c>
      <c r="B3152" s="1">
        <f>IFERROR(__xludf.DUMMYFUNCTION("""COMPUTED_VALUE"""),14006.3)</f>
        <v>14006.3</v>
      </c>
    </row>
    <row r="3153">
      <c r="A3153" s="3">
        <f>IFERROR(__xludf.DUMMYFUNCTION("""COMPUTED_VALUE"""),43571.99861111111)</f>
        <v>43571.99861</v>
      </c>
      <c r="B3153" s="1">
        <f>IFERROR(__xludf.DUMMYFUNCTION("""COMPUTED_VALUE"""),13983.6)</f>
        <v>13983.6</v>
      </c>
    </row>
    <row r="3154">
      <c r="A3154" s="3">
        <f>IFERROR(__xludf.DUMMYFUNCTION("""COMPUTED_VALUE"""),43572.99861111111)</f>
        <v>43572.99861</v>
      </c>
      <c r="B3154" s="1">
        <f>IFERROR(__xludf.DUMMYFUNCTION("""COMPUTED_VALUE"""),13933.45)</f>
        <v>13933.45</v>
      </c>
    </row>
    <row r="3155">
      <c r="A3155" s="3">
        <f>IFERROR(__xludf.DUMMYFUNCTION("""COMPUTED_VALUE"""),43573.99861111111)</f>
        <v>43573.99861</v>
      </c>
      <c r="B3155" s="1">
        <f>IFERROR(__xludf.DUMMYFUNCTION("""COMPUTED_VALUE"""),13832.25)</f>
        <v>13832.25</v>
      </c>
    </row>
    <row r="3156">
      <c r="A3156" s="3">
        <f>IFERROR(__xludf.DUMMYFUNCTION("""COMPUTED_VALUE"""),43574.99861111111)</f>
        <v>43574.99861</v>
      </c>
      <c r="B3156" s="1">
        <f>IFERROR(__xludf.DUMMYFUNCTION("""COMPUTED_VALUE"""),13859.8)</f>
        <v>13859.8</v>
      </c>
    </row>
    <row r="3157">
      <c r="A3157" s="3">
        <f>IFERROR(__xludf.DUMMYFUNCTION("""COMPUTED_VALUE"""),43575.99861111111)</f>
        <v>43575.99861</v>
      </c>
      <c r="B3157" s="1">
        <f>IFERROR(__xludf.DUMMYFUNCTION("""COMPUTED_VALUE"""),13859.8)</f>
        <v>13859.8</v>
      </c>
    </row>
    <row r="3158">
      <c r="A3158" s="3">
        <f>IFERROR(__xludf.DUMMYFUNCTION("""COMPUTED_VALUE"""),43576.99861111111)</f>
        <v>43576.99861</v>
      </c>
      <c r="B3158" s="1">
        <f>IFERROR(__xludf.DUMMYFUNCTION("""COMPUTED_VALUE"""),13854.95)</f>
        <v>13854.95</v>
      </c>
    </row>
    <row r="3159">
      <c r="A3159" s="3">
        <f>IFERROR(__xludf.DUMMYFUNCTION("""COMPUTED_VALUE"""),43577.99861111111)</f>
        <v>43577.99861</v>
      </c>
      <c r="B3159" s="1">
        <f>IFERROR(__xludf.DUMMYFUNCTION("""COMPUTED_VALUE"""),13859.6)</f>
        <v>13859.6</v>
      </c>
    </row>
    <row r="3160">
      <c r="A3160" s="3">
        <f>IFERROR(__xludf.DUMMYFUNCTION("""COMPUTED_VALUE"""),43578.99861111111)</f>
        <v>43578.99861</v>
      </c>
      <c r="B3160" s="1">
        <f>IFERROR(__xludf.DUMMYFUNCTION("""COMPUTED_VALUE"""),13780.55)</f>
        <v>13780.55</v>
      </c>
    </row>
    <row r="3161">
      <c r="A3161" s="3">
        <f>IFERROR(__xludf.DUMMYFUNCTION("""COMPUTED_VALUE"""),43579.99861111111)</f>
        <v>43579.99861</v>
      </c>
      <c r="B3161" s="1">
        <f>IFERROR(__xludf.DUMMYFUNCTION("""COMPUTED_VALUE"""),13819.8)</f>
        <v>13819.8</v>
      </c>
    </row>
    <row r="3162">
      <c r="A3162" s="3">
        <f>IFERROR(__xludf.DUMMYFUNCTION("""COMPUTED_VALUE"""),43580.99861111111)</f>
        <v>43580.99861</v>
      </c>
      <c r="B3162" s="1">
        <f>IFERROR(__xludf.DUMMYFUNCTION("""COMPUTED_VALUE"""),13844.1)</f>
        <v>13844.1</v>
      </c>
    </row>
    <row r="3163">
      <c r="A3163" s="3">
        <f>IFERROR(__xludf.DUMMYFUNCTION("""COMPUTED_VALUE"""),43581.99861111111)</f>
        <v>43581.99861</v>
      </c>
      <c r="B3163" s="1">
        <f>IFERROR(__xludf.DUMMYFUNCTION("""COMPUTED_VALUE"""),15211.95)</f>
        <v>15211.95</v>
      </c>
    </row>
    <row r="3164">
      <c r="A3164" s="3">
        <f>IFERROR(__xludf.DUMMYFUNCTION("""COMPUTED_VALUE"""),43582.99861111111)</f>
        <v>43582.99861</v>
      </c>
      <c r="B3164" s="1">
        <f>IFERROR(__xludf.DUMMYFUNCTION("""COMPUTED_VALUE"""),13904.6)</f>
        <v>13904.6</v>
      </c>
    </row>
    <row r="3165">
      <c r="A3165" s="3">
        <f>IFERROR(__xludf.DUMMYFUNCTION("""COMPUTED_VALUE"""),43583.99861111111)</f>
        <v>43583.99861</v>
      </c>
      <c r="B3165" s="1">
        <f>IFERROR(__xludf.DUMMYFUNCTION("""COMPUTED_VALUE"""),13899.7)</f>
        <v>13899.7</v>
      </c>
    </row>
    <row r="3166">
      <c r="A3166" s="3">
        <f>IFERROR(__xludf.DUMMYFUNCTION("""COMPUTED_VALUE"""),43584.99861111111)</f>
        <v>43584.99861</v>
      </c>
      <c r="B3166" s="1">
        <f>IFERROR(__xludf.DUMMYFUNCTION("""COMPUTED_VALUE"""),15209.4)</f>
        <v>15209.4</v>
      </c>
    </row>
    <row r="3167">
      <c r="A3167" s="3">
        <f>IFERROR(__xludf.DUMMYFUNCTION("""COMPUTED_VALUE"""),43585.99861111111)</f>
        <v>43585.99861</v>
      </c>
      <c r="B3167" s="1">
        <f>IFERROR(__xludf.DUMMYFUNCTION("""COMPUTED_VALUE"""),13979.95)</f>
        <v>13979.95</v>
      </c>
    </row>
    <row r="3168">
      <c r="A3168" s="3">
        <f>IFERROR(__xludf.DUMMYFUNCTION("""COMPUTED_VALUE"""),43586.99861111111)</f>
        <v>43586.99861</v>
      </c>
      <c r="B3168" s="1">
        <f>IFERROR(__xludf.DUMMYFUNCTION("""COMPUTED_VALUE"""),14021.2)</f>
        <v>14021.2</v>
      </c>
    </row>
    <row r="3169">
      <c r="A3169" s="3">
        <f>IFERROR(__xludf.DUMMYFUNCTION("""COMPUTED_VALUE"""),43587.99861111111)</f>
        <v>43587.99861</v>
      </c>
      <c r="B3169" s="1">
        <f>IFERROR(__xludf.DUMMYFUNCTION("""COMPUTED_VALUE"""),13979.6)</f>
        <v>13979.6</v>
      </c>
    </row>
    <row r="3170">
      <c r="A3170" s="3">
        <f>IFERROR(__xludf.DUMMYFUNCTION("""COMPUTED_VALUE"""),43588.99861111111)</f>
        <v>43588.99861</v>
      </c>
      <c r="B3170" s="1">
        <f>IFERROR(__xludf.DUMMYFUNCTION("""COMPUTED_VALUE"""),13971.8)</f>
        <v>13971.8</v>
      </c>
    </row>
    <row r="3171">
      <c r="A3171" s="3">
        <f>IFERROR(__xludf.DUMMYFUNCTION("""COMPUTED_VALUE"""),43589.99861111111)</f>
        <v>43589.99861</v>
      </c>
      <c r="B3171" s="1">
        <f>IFERROR(__xludf.DUMMYFUNCTION("""COMPUTED_VALUE"""),13971.8)</f>
        <v>13971.8</v>
      </c>
    </row>
    <row r="3172">
      <c r="A3172" s="3">
        <f>IFERROR(__xludf.DUMMYFUNCTION("""COMPUTED_VALUE"""),43590.99861111111)</f>
        <v>43590.99861</v>
      </c>
      <c r="B3172" s="1">
        <f>IFERROR(__xludf.DUMMYFUNCTION("""COMPUTED_VALUE"""),14003.8)</f>
        <v>14003.8</v>
      </c>
    </row>
    <row r="3173">
      <c r="A3173" s="3">
        <f>IFERROR(__xludf.DUMMYFUNCTION("""COMPUTED_VALUE"""),43591.99861111111)</f>
        <v>43591.99861</v>
      </c>
      <c r="B3173" s="1">
        <f>IFERROR(__xludf.DUMMYFUNCTION("""COMPUTED_VALUE"""),14055.7)</f>
        <v>14055.7</v>
      </c>
    </row>
    <row r="3174">
      <c r="A3174" s="3">
        <f>IFERROR(__xludf.DUMMYFUNCTION("""COMPUTED_VALUE"""),43592.99861111111)</f>
        <v>43592.99861</v>
      </c>
      <c r="B3174" s="1">
        <f>IFERROR(__xludf.DUMMYFUNCTION("""COMPUTED_VALUE"""),13987.1)</f>
        <v>13987.1</v>
      </c>
    </row>
    <row r="3175">
      <c r="A3175" s="3">
        <f>IFERROR(__xludf.DUMMYFUNCTION("""COMPUTED_VALUE"""),43593.99861111111)</f>
        <v>43593.99861</v>
      </c>
      <c r="B3175" s="1">
        <f>IFERROR(__xludf.DUMMYFUNCTION("""COMPUTED_VALUE"""),13995.55)</f>
        <v>13995.55</v>
      </c>
    </row>
    <row r="3176">
      <c r="A3176" s="3">
        <f>IFERROR(__xludf.DUMMYFUNCTION("""COMPUTED_VALUE"""),43594.99861111111)</f>
        <v>43594.99861</v>
      </c>
      <c r="B3176" s="1">
        <f>IFERROR(__xludf.DUMMYFUNCTION("""COMPUTED_VALUE"""),14123.3)</f>
        <v>14123.3</v>
      </c>
    </row>
    <row r="3177">
      <c r="A3177" s="3">
        <f>IFERROR(__xludf.DUMMYFUNCTION("""COMPUTED_VALUE"""),43595.99861111111)</f>
        <v>43595.99861</v>
      </c>
      <c r="B3177" s="1">
        <f>IFERROR(__xludf.DUMMYFUNCTION("""COMPUTED_VALUE"""),14151.2)</f>
        <v>14151.2</v>
      </c>
    </row>
    <row r="3178">
      <c r="A3178" s="3">
        <f>IFERROR(__xludf.DUMMYFUNCTION("""COMPUTED_VALUE"""),43596.99861111111)</f>
        <v>43596.99861</v>
      </c>
      <c r="B3178" s="1">
        <f>IFERROR(__xludf.DUMMYFUNCTION("""COMPUTED_VALUE"""),14152.5)</f>
        <v>14152.5</v>
      </c>
    </row>
    <row r="3179">
      <c r="A3179" s="3">
        <f>IFERROR(__xludf.DUMMYFUNCTION("""COMPUTED_VALUE"""),43597.99861111111)</f>
        <v>43597.99861</v>
      </c>
      <c r="B3179" s="1">
        <f>IFERROR(__xludf.DUMMYFUNCTION("""COMPUTED_VALUE"""),14166.2)</f>
        <v>14166.2</v>
      </c>
    </row>
    <row r="3180">
      <c r="A3180" s="3">
        <f>IFERROR(__xludf.DUMMYFUNCTION("""COMPUTED_VALUE"""),43598.99861111111)</f>
        <v>43598.99861</v>
      </c>
      <c r="B3180" s="1">
        <f>IFERROR(__xludf.DUMMYFUNCTION("""COMPUTED_VALUE"""),14242.7)</f>
        <v>14242.7</v>
      </c>
    </row>
    <row r="3181">
      <c r="A3181" s="3">
        <f>IFERROR(__xludf.DUMMYFUNCTION("""COMPUTED_VALUE"""),43599.99861111111)</f>
        <v>43599.99861</v>
      </c>
      <c r="B3181" s="1">
        <f>IFERROR(__xludf.DUMMYFUNCTION("""COMPUTED_VALUE"""),14311.5)</f>
        <v>14311.5</v>
      </c>
    </row>
    <row r="3182">
      <c r="A3182" s="3">
        <f>IFERROR(__xludf.DUMMYFUNCTION("""COMPUTED_VALUE"""),43600.99861111111)</f>
        <v>43600.99861</v>
      </c>
      <c r="B3182" s="1">
        <f>IFERROR(__xludf.DUMMYFUNCTION("""COMPUTED_VALUE"""),14342.3)</f>
        <v>14342.3</v>
      </c>
    </row>
    <row r="3183">
      <c r="A3183" s="3">
        <f>IFERROR(__xludf.DUMMYFUNCTION("""COMPUTED_VALUE"""),43601.99861111111)</f>
        <v>43601.99861</v>
      </c>
      <c r="B3183" s="1">
        <f>IFERROR(__xludf.DUMMYFUNCTION("""COMPUTED_VALUE"""),14309.55)</f>
        <v>14309.55</v>
      </c>
    </row>
    <row r="3184">
      <c r="A3184" s="3">
        <f>IFERROR(__xludf.DUMMYFUNCTION("""COMPUTED_VALUE"""),43602.99861111111)</f>
        <v>43602.99861</v>
      </c>
      <c r="B3184" s="1">
        <f>IFERROR(__xludf.DUMMYFUNCTION("""COMPUTED_VALUE"""),14285.7)</f>
        <v>14285.7</v>
      </c>
    </row>
    <row r="3185">
      <c r="A3185" s="3">
        <f>IFERROR(__xludf.DUMMYFUNCTION("""COMPUTED_VALUE"""),43603.99861111111)</f>
        <v>43603.99861</v>
      </c>
      <c r="B3185" s="1">
        <f>IFERROR(__xludf.DUMMYFUNCTION("""COMPUTED_VALUE"""),14285.7)</f>
        <v>14285.7</v>
      </c>
    </row>
    <row r="3186">
      <c r="A3186" s="3">
        <f>IFERROR(__xludf.DUMMYFUNCTION("""COMPUTED_VALUE"""),43604.99861111111)</f>
        <v>43604.99861</v>
      </c>
      <c r="B3186" s="1">
        <f>IFERROR(__xludf.DUMMYFUNCTION("""COMPUTED_VALUE"""),14289.2)</f>
        <v>14289.2</v>
      </c>
    </row>
    <row r="3187">
      <c r="A3187" s="3">
        <f>IFERROR(__xludf.DUMMYFUNCTION("""COMPUTED_VALUE"""),43605.99861111111)</f>
        <v>43605.99861</v>
      </c>
      <c r="B3187" s="1">
        <f>IFERROR(__xludf.DUMMYFUNCTION("""COMPUTED_VALUE"""),14332.05)</f>
        <v>14332.05</v>
      </c>
    </row>
    <row r="3188">
      <c r="A3188" s="3">
        <f>IFERROR(__xludf.DUMMYFUNCTION("""COMPUTED_VALUE"""),43606.99861111111)</f>
        <v>43606.99861</v>
      </c>
      <c r="B3188" s="1">
        <f>IFERROR(__xludf.DUMMYFUNCTION("""COMPUTED_VALUE"""),14298.25)</f>
        <v>14298.25</v>
      </c>
    </row>
    <row r="3189">
      <c r="A3189" s="3">
        <f>IFERROR(__xludf.DUMMYFUNCTION("""COMPUTED_VALUE"""),43607.99861111111)</f>
        <v>43607.99861</v>
      </c>
      <c r="B3189" s="1">
        <f>IFERROR(__xludf.DUMMYFUNCTION("""COMPUTED_VALUE"""),14412.2)</f>
        <v>14412.2</v>
      </c>
    </row>
    <row r="3190">
      <c r="A3190" s="3">
        <f>IFERROR(__xludf.DUMMYFUNCTION("""COMPUTED_VALUE"""),43608.99861111111)</f>
        <v>43608.99861</v>
      </c>
      <c r="B3190" s="1">
        <f>IFERROR(__xludf.DUMMYFUNCTION("""COMPUTED_VALUE"""),14400.0)</f>
        <v>14400</v>
      </c>
    </row>
    <row r="3191">
      <c r="A3191" s="3">
        <f>IFERROR(__xludf.DUMMYFUNCTION("""COMPUTED_VALUE"""),43609.99861111111)</f>
        <v>43609.99861</v>
      </c>
      <c r="B3191" s="1">
        <f>IFERROR(__xludf.DUMMYFUNCTION("""COMPUTED_VALUE"""),14356.35)</f>
        <v>14356.35</v>
      </c>
    </row>
    <row r="3192">
      <c r="A3192" s="3">
        <f>IFERROR(__xludf.DUMMYFUNCTION("""COMPUTED_VALUE"""),43610.99861111111)</f>
        <v>43610.99861</v>
      </c>
      <c r="B3192" s="1">
        <f>IFERROR(__xludf.DUMMYFUNCTION("""COMPUTED_VALUE"""),14342.9)</f>
        <v>14342.9</v>
      </c>
    </row>
    <row r="3193">
      <c r="A3193" s="3">
        <f>IFERROR(__xludf.DUMMYFUNCTION("""COMPUTED_VALUE"""),43611.99861111111)</f>
        <v>43611.99861</v>
      </c>
      <c r="B3193" s="1">
        <f>IFERROR(__xludf.DUMMYFUNCTION("""COMPUTED_VALUE"""),14335.2)</f>
        <v>14335.2</v>
      </c>
    </row>
    <row r="3194">
      <c r="A3194" s="3">
        <f>IFERROR(__xludf.DUMMYFUNCTION("""COMPUTED_VALUE"""),43612.99861111111)</f>
        <v>43612.99861</v>
      </c>
      <c r="B3194" s="1">
        <f>IFERROR(__xludf.DUMMYFUNCTION("""COMPUTED_VALUE"""),14319.35)</f>
        <v>14319.35</v>
      </c>
    </row>
    <row r="3195">
      <c r="A3195" s="3">
        <f>IFERROR(__xludf.DUMMYFUNCTION("""COMPUTED_VALUE"""),43613.99861111111)</f>
        <v>43613.99861</v>
      </c>
      <c r="B3195" s="1">
        <f>IFERROR(__xludf.DUMMYFUNCTION("""COMPUTED_VALUE"""),14295.9)</f>
        <v>14295.9</v>
      </c>
    </row>
    <row r="3196">
      <c r="A3196" s="3">
        <f>IFERROR(__xludf.DUMMYFUNCTION("""COMPUTED_VALUE"""),43614.99861111111)</f>
        <v>43614.99861</v>
      </c>
      <c r="B3196" s="1">
        <f>IFERROR(__xludf.DUMMYFUNCTION("""COMPUTED_VALUE"""),14277.65)</f>
        <v>14277.65</v>
      </c>
    </row>
    <row r="3197">
      <c r="A3197" s="3">
        <f>IFERROR(__xludf.DUMMYFUNCTION("""COMPUTED_VALUE"""),43615.99861111111)</f>
        <v>43615.99861</v>
      </c>
      <c r="B3197" s="1">
        <f>IFERROR(__xludf.DUMMYFUNCTION("""COMPUTED_VALUE"""),14307.5)</f>
        <v>14307.5</v>
      </c>
    </row>
    <row r="3198">
      <c r="A3198" s="3">
        <f>IFERROR(__xludf.DUMMYFUNCTION("""COMPUTED_VALUE"""),43616.99861111111)</f>
        <v>43616.99861</v>
      </c>
      <c r="B3198" s="1">
        <f>IFERROR(__xludf.DUMMYFUNCTION("""COMPUTED_VALUE"""),14316.45)</f>
        <v>14316.45</v>
      </c>
    </row>
    <row r="3199">
      <c r="A3199" s="3">
        <f>IFERROR(__xludf.DUMMYFUNCTION("""COMPUTED_VALUE"""),43617.99861111111)</f>
        <v>43617.99861</v>
      </c>
      <c r="B3199" s="1">
        <f>IFERROR(__xludf.DUMMYFUNCTION("""COMPUTED_VALUE"""),14316.45)</f>
        <v>14316.45</v>
      </c>
    </row>
    <row r="3200">
      <c r="A3200" s="3">
        <f>IFERROR(__xludf.DUMMYFUNCTION("""COMPUTED_VALUE"""),43618.99861111111)</f>
        <v>43618.99861</v>
      </c>
      <c r="B3200" s="1">
        <f>IFERROR(__xludf.DUMMYFUNCTION("""COMPUTED_VALUE"""),14245.7)</f>
        <v>14245.7</v>
      </c>
    </row>
    <row r="3201">
      <c r="A3201" s="3">
        <f>IFERROR(__xludf.DUMMYFUNCTION("""COMPUTED_VALUE"""),43619.99861111111)</f>
        <v>43619.99861</v>
      </c>
      <c r="B3201" s="1">
        <f>IFERROR(__xludf.DUMMYFUNCTION("""COMPUTED_VALUE"""),14378.8)</f>
        <v>14378.8</v>
      </c>
    </row>
    <row r="3202">
      <c r="A3202" s="3">
        <f>IFERROR(__xludf.DUMMYFUNCTION("""COMPUTED_VALUE"""),43620.99861111111)</f>
        <v>43620.99861</v>
      </c>
      <c r="B3202" s="1">
        <f>IFERROR(__xludf.DUMMYFUNCTION("""COMPUTED_VALUE"""),14386.8)</f>
        <v>14386.8</v>
      </c>
    </row>
    <row r="3203">
      <c r="A3203" s="3">
        <f>IFERROR(__xludf.DUMMYFUNCTION("""COMPUTED_VALUE"""),43621.99861111111)</f>
        <v>43621.99861</v>
      </c>
      <c r="B3203" s="1">
        <f>IFERROR(__xludf.DUMMYFUNCTION("""COMPUTED_VALUE"""),14400.75)</f>
        <v>14400.75</v>
      </c>
    </row>
    <row r="3204">
      <c r="A3204" s="3">
        <f>IFERROR(__xludf.DUMMYFUNCTION("""COMPUTED_VALUE"""),43622.99861111111)</f>
        <v>43622.99861</v>
      </c>
      <c r="B3204" s="1">
        <f>IFERROR(__xludf.DUMMYFUNCTION("""COMPUTED_VALUE"""),14418.45)</f>
        <v>14418.45</v>
      </c>
    </row>
    <row r="3205">
      <c r="A3205" s="3">
        <f>IFERROR(__xludf.DUMMYFUNCTION("""COMPUTED_VALUE"""),43623.99861111111)</f>
        <v>43623.99861</v>
      </c>
      <c r="B3205" s="1">
        <f>IFERROR(__xludf.DUMMYFUNCTION("""COMPUTED_VALUE"""),14434.85)</f>
        <v>14434.85</v>
      </c>
    </row>
    <row r="3206">
      <c r="A3206" s="3">
        <f>IFERROR(__xludf.DUMMYFUNCTION("""COMPUTED_VALUE"""),43624.99861111111)</f>
        <v>43624.99861</v>
      </c>
      <c r="B3206" s="1">
        <f>IFERROR(__xludf.DUMMYFUNCTION("""COMPUTED_VALUE"""),14434.85)</f>
        <v>14434.85</v>
      </c>
    </row>
    <row r="3207">
      <c r="A3207" s="3">
        <f>IFERROR(__xludf.DUMMYFUNCTION("""COMPUTED_VALUE"""),43625.99861111111)</f>
        <v>43625.99861</v>
      </c>
      <c r="B3207" s="1">
        <f>IFERROR(__xludf.DUMMYFUNCTION("""COMPUTED_VALUE"""),14432.5)</f>
        <v>14432.5</v>
      </c>
    </row>
    <row r="3208">
      <c r="A3208" s="3">
        <f>IFERROR(__xludf.DUMMYFUNCTION("""COMPUTED_VALUE"""),43626.99861111111)</f>
        <v>43626.99861</v>
      </c>
      <c r="B3208" s="1">
        <f>IFERROR(__xludf.DUMMYFUNCTION("""COMPUTED_VALUE"""),14401.75)</f>
        <v>14401.75</v>
      </c>
    </row>
    <row r="3209">
      <c r="A3209" s="3">
        <f>IFERROR(__xludf.DUMMYFUNCTION("""COMPUTED_VALUE"""),43627.99861111111)</f>
        <v>43627.99861</v>
      </c>
      <c r="B3209" s="1">
        <f>IFERROR(__xludf.DUMMYFUNCTION("""COMPUTED_VALUE"""),14343.35)</f>
        <v>14343.35</v>
      </c>
    </row>
    <row r="3210">
      <c r="A3210" s="3">
        <f>IFERROR(__xludf.DUMMYFUNCTION("""COMPUTED_VALUE"""),43628.99861111111)</f>
        <v>43628.99861</v>
      </c>
      <c r="B3210" s="1">
        <f>IFERROR(__xludf.DUMMYFUNCTION("""COMPUTED_VALUE"""),14306.05)</f>
        <v>14306.05</v>
      </c>
    </row>
    <row r="3211">
      <c r="A3211" s="3">
        <f>IFERROR(__xludf.DUMMYFUNCTION("""COMPUTED_VALUE"""),43629.99861111111)</f>
        <v>43629.99861</v>
      </c>
      <c r="B3211" s="1">
        <f>IFERROR(__xludf.DUMMYFUNCTION("""COMPUTED_VALUE"""),14359.45)</f>
        <v>14359.45</v>
      </c>
    </row>
    <row r="3212">
      <c r="A3212" s="3">
        <f>IFERROR(__xludf.DUMMYFUNCTION("""COMPUTED_VALUE"""),43630.99861111111)</f>
        <v>43630.99861</v>
      </c>
      <c r="B3212" s="1">
        <f>IFERROR(__xludf.DUMMYFUNCTION("""COMPUTED_VALUE"""),14336.65)</f>
        <v>14336.65</v>
      </c>
    </row>
    <row r="3213">
      <c r="A3213" s="3">
        <f>IFERROR(__xludf.DUMMYFUNCTION("""COMPUTED_VALUE"""),43631.99861111111)</f>
        <v>43631.99861</v>
      </c>
      <c r="B3213" s="1">
        <f>IFERROR(__xludf.DUMMYFUNCTION("""COMPUTED_VALUE"""),14410.45)</f>
        <v>14410.45</v>
      </c>
    </row>
    <row r="3214">
      <c r="A3214" s="3">
        <f>IFERROR(__xludf.DUMMYFUNCTION("""COMPUTED_VALUE"""),43632.99861111111)</f>
        <v>43632.99861</v>
      </c>
      <c r="B3214" s="1">
        <f>IFERROR(__xludf.DUMMYFUNCTION("""COMPUTED_VALUE"""),14401.45)</f>
        <v>14401.45</v>
      </c>
    </row>
    <row r="3215">
      <c r="A3215" s="3">
        <f>IFERROR(__xludf.DUMMYFUNCTION("""COMPUTED_VALUE"""),43633.99861111111)</f>
        <v>43633.99861</v>
      </c>
      <c r="B3215" s="1">
        <f>IFERROR(__xludf.DUMMYFUNCTION("""COMPUTED_VALUE"""),14341.75)</f>
        <v>14341.75</v>
      </c>
    </row>
    <row r="3216">
      <c r="A3216" s="3">
        <f>IFERROR(__xludf.DUMMYFUNCTION("""COMPUTED_VALUE"""),43634.99861111111)</f>
        <v>43634.99861</v>
      </c>
      <c r="B3216" s="1">
        <f>IFERROR(__xludf.DUMMYFUNCTION("""COMPUTED_VALUE"""),14346.05)</f>
        <v>14346.05</v>
      </c>
    </row>
    <row r="3217">
      <c r="A3217" s="3">
        <f>IFERROR(__xludf.DUMMYFUNCTION("""COMPUTED_VALUE"""),43635.99861111111)</f>
        <v>43635.99861</v>
      </c>
      <c r="B3217" s="1">
        <f>IFERROR(__xludf.DUMMYFUNCTION("""COMPUTED_VALUE"""),14367.1)</f>
        <v>14367.1</v>
      </c>
    </row>
    <row r="3218">
      <c r="A3218" s="3">
        <f>IFERROR(__xludf.DUMMYFUNCTION("""COMPUTED_VALUE"""),43636.99861111111)</f>
        <v>43636.99861</v>
      </c>
      <c r="B3218" s="1">
        <f>IFERROR(__xludf.DUMMYFUNCTION("""COMPUTED_VALUE"""),14442.3)</f>
        <v>14442.3</v>
      </c>
    </row>
    <row r="3219">
      <c r="A3219" s="3">
        <f>IFERROR(__xludf.DUMMYFUNCTION("""COMPUTED_VALUE"""),43637.99861111111)</f>
        <v>43637.99861</v>
      </c>
      <c r="B3219" s="1">
        <f>IFERROR(__xludf.DUMMYFUNCTION("""COMPUTED_VALUE"""),15820.6)</f>
        <v>15820.6</v>
      </c>
    </row>
    <row r="3220">
      <c r="A3220" s="3">
        <f>IFERROR(__xludf.DUMMYFUNCTION("""COMPUTED_VALUE"""),43638.99861111111)</f>
        <v>43638.99861</v>
      </c>
      <c r="B3220" s="1">
        <f>IFERROR(__xludf.DUMMYFUNCTION("""COMPUTED_VALUE"""),15820.6)</f>
        <v>15820.6</v>
      </c>
    </row>
    <row r="3221">
      <c r="A3221" s="3">
        <f>IFERROR(__xludf.DUMMYFUNCTION("""COMPUTED_VALUE"""),43639.99861111111)</f>
        <v>43639.99861</v>
      </c>
      <c r="B3221" s="1">
        <f>IFERROR(__xludf.DUMMYFUNCTION("""COMPUTED_VALUE"""),15844.45)</f>
        <v>15844.45</v>
      </c>
    </row>
    <row r="3222">
      <c r="A3222" s="3">
        <f>IFERROR(__xludf.DUMMYFUNCTION("""COMPUTED_VALUE"""),43640.99861111111)</f>
        <v>43640.99861</v>
      </c>
      <c r="B3222" s="1">
        <f>IFERROR(__xludf.DUMMYFUNCTION("""COMPUTED_VALUE"""),15883.9)</f>
        <v>15883.9</v>
      </c>
    </row>
    <row r="3223">
      <c r="A3223" s="3">
        <f>IFERROR(__xludf.DUMMYFUNCTION("""COMPUTED_VALUE"""),43641.99861111111)</f>
        <v>43641.99861</v>
      </c>
      <c r="B3223" s="1">
        <f>IFERROR(__xludf.DUMMYFUNCTION("""COMPUTED_VALUE"""),14486.8)</f>
        <v>14486.8</v>
      </c>
    </row>
    <row r="3224">
      <c r="A3224" s="3">
        <f>IFERROR(__xludf.DUMMYFUNCTION("""COMPUTED_VALUE"""),43642.99861111111)</f>
        <v>43642.99861</v>
      </c>
      <c r="B3224" s="1">
        <f>IFERROR(__xludf.DUMMYFUNCTION("""COMPUTED_VALUE"""),14495.2)</f>
        <v>14495.2</v>
      </c>
    </row>
    <row r="3225">
      <c r="A3225" s="3">
        <f>IFERROR(__xludf.DUMMYFUNCTION("""COMPUTED_VALUE"""),43643.99861111111)</f>
        <v>43643.99861</v>
      </c>
      <c r="B3225" s="1">
        <f>IFERROR(__xludf.DUMMYFUNCTION("""COMPUTED_VALUE"""),14466.9)</f>
        <v>14466.9</v>
      </c>
    </row>
    <row r="3226">
      <c r="A3226" s="3">
        <f>IFERROR(__xludf.DUMMYFUNCTION("""COMPUTED_VALUE"""),43644.99861111111)</f>
        <v>43644.99861</v>
      </c>
      <c r="B3226" s="1">
        <f>IFERROR(__xludf.DUMMYFUNCTION("""COMPUTED_VALUE"""),14410.0)</f>
        <v>14410</v>
      </c>
    </row>
    <row r="3227">
      <c r="A3227" s="3">
        <f>IFERROR(__xludf.DUMMYFUNCTION("""COMPUTED_VALUE"""),43645.99861111111)</f>
        <v>43645.99861</v>
      </c>
      <c r="B3227" s="1">
        <f>IFERROR(__xludf.DUMMYFUNCTION("""COMPUTED_VALUE"""),14410.0)</f>
        <v>14410</v>
      </c>
    </row>
    <row r="3228">
      <c r="A3228" s="3">
        <f>IFERROR(__xludf.DUMMYFUNCTION("""COMPUTED_VALUE"""),43646.99861111111)</f>
        <v>43646.99861</v>
      </c>
      <c r="B3228" s="1">
        <f>IFERROR(__xludf.DUMMYFUNCTION("""COMPUTED_VALUE"""),14424.7)</f>
        <v>14424.7</v>
      </c>
    </row>
    <row r="3229">
      <c r="A3229" s="3">
        <f>IFERROR(__xludf.DUMMYFUNCTION("""COMPUTED_VALUE"""),43647.99861111111)</f>
        <v>43647.99861</v>
      </c>
      <c r="B3229" s="1">
        <f>IFERROR(__xludf.DUMMYFUNCTION("""COMPUTED_VALUE"""),14307.0)</f>
        <v>14307</v>
      </c>
    </row>
    <row r="3230">
      <c r="A3230" s="3">
        <f>IFERROR(__xludf.DUMMYFUNCTION("""COMPUTED_VALUE"""),43648.99861111111)</f>
        <v>43648.99861</v>
      </c>
      <c r="B3230" s="1">
        <f>IFERROR(__xludf.DUMMYFUNCTION("""COMPUTED_VALUE"""),14357.75)</f>
        <v>14357.75</v>
      </c>
    </row>
    <row r="3231">
      <c r="A3231" s="3">
        <f>IFERROR(__xludf.DUMMYFUNCTION("""COMPUTED_VALUE"""),43649.99861111111)</f>
        <v>43649.99861</v>
      </c>
      <c r="B3231" s="1">
        <f>IFERROR(__xludf.DUMMYFUNCTION("""COMPUTED_VALUE"""),14312.9)</f>
        <v>14312.9</v>
      </c>
    </row>
    <row r="3232">
      <c r="A3232" s="3">
        <f>IFERROR(__xludf.DUMMYFUNCTION("""COMPUTED_VALUE"""),43650.99861111111)</f>
        <v>43650.99861</v>
      </c>
      <c r="B3232" s="1">
        <f>IFERROR(__xludf.DUMMYFUNCTION("""COMPUTED_VALUE"""),14358.0)</f>
        <v>14358</v>
      </c>
    </row>
    <row r="3233">
      <c r="A3233" s="3">
        <f>IFERROR(__xludf.DUMMYFUNCTION("""COMPUTED_VALUE"""),43651.99861111111)</f>
        <v>43651.99861</v>
      </c>
      <c r="B3233" s="1">
        <f>IFERROR(__xludf.DUMMYFUNCTION("""COMPUTED_VALUE"""),14178.5)</f>
        <v>14178.5</v>
      </c>
    </row>
    <row r="3234">
      <c r="A3234" s="3">
        <f>IFERROR(__xludf.DUMMYFUNCTION("""COMPUTED_VALUE"""),43652.99861111111)</f>
        <v>43652.99861</v>
      </c>
      <c r="B3234" s="1">
        <f>IFERROR(__xludf.DUMMYFUNCTION("""COMPUTED_VALUE"""),14178.5)</f>
        <v>14178.5</v>
      </c>
    </row>
    <row r="3235">
      <c r="A3235" s="3">
        <f>IFERROR(__xludf.DUMMYFUNCTION("""COMPUTED_VALUE"""),43653.99861111111)</f>
        <v>43653.99861</v>
      </c>
      <c r="B3235" s="1">
        <f>IFERROR(__xludf.DUMMYFUNCTION("""COMPUTED_VALUE"""),14192.5)</f>
        <v>14192.5</v>
      </c>
    </row>
    <row r="3236">
      <c r="A3236" s="3">
        <f>IFERROR(__xludf.DUMMYFUNCTION("""COMPUTED_VALUE"""),43654.99861111111)</f>
        <v>43654.99861</v>
      </c>
      <c r="B3236" s="1">
        <f>IFERROR(__xludf.DUMMYFUNCTION("""COMPUTED_VALUE"""),15529.75)</f>
        <v>15529.75</v>
      </c>
    </row>
    <row r="3237">
      <c r="A3237" s="3">
        <f>IFERROR(__xludf.DUMMYFUNCTION("""COMPUTED_VALUE"""),43655.99861111111)</f>
        <v>43655.99861</v>
      </c>
      <c r="B3237" s="1">
        <f>IFERROR(__xludf.DUMMYFUNCTION("""COMPUTED_VALUE"""),15560.65)</f>
        <v>15560.65</v>
      </c>
    </row>
    <row r="3238">
      <c r="A3238" s="3">
        <f>IFERROR(__xludf.DUMMYFUNCTION("""COMPUTED_VALUE"""),43656.99861111111)</f>
        <v>43656.99861</v>
      </c>
      <c r="B3238" s="1">
        <f>IFERROR(__xludf.DUMMYFUNCTION("""COMPUTED_VALUE"""),14291.3)</f>
        <v>14291.3</v>
      </c>
    </row>
    <row r="3239">
      <c r="A3239" s="3">
        <f>IFERROR(__xludf.DUMMYFUNCTION("""COMPUTED_VALUE"""),43657.99861111111)</f>
        <v>43657.99861</v>
      </c>
      <c r="B3239" s="1">
        <f>IFERROR(__xludf.DUMMYFUNCTION("""COMPUTED_VALUE"""),14263.2)</f>
        <v>14263.2</v>
      </c>
    </row>
    <row r="3240">
      <c r="A3240" s="3">
        <f>IFERROR(__xludf.DUMMYFUNCTION("""COMPUTED_VALUE"""),43658.99861111111)</f>
        <v>43658.99861</v>
      </c>
      <c r="B3240" s="1">
        <f>IFERROR(__xludf.DUMMYFUNCTION("""COMPUTED_VALUE"""),14216.2)</f>
        <v>14216.2</v>
      </c>
    </row>
    <row r="3241">
      <c r="A3241" s="3">
        <f>IFERROR(__xludf.DUMMYFUNCTION("""COMPUTED_VALUE"""),43659.99861111111)</f>
        <v>43659.99861</v>
      </c>
      <c r="B3241" s="1">
        <f>IFERROR(__xludf.DUMMYFUNCTION("""COMPUTED_VALUE"""),14216.2)</f>
        <v>14216.2</v>
      </c>
    </row>
    <row r="3242">
      <c r="A3242" s="3">
        <f>IFERROR(__xludf.DUMMYFUNCTION("""COMPUTED_VALUE"""),43660.99861111111)</f>
        <v>43660.99861</v>
      </c>
      <c r="B3242" s="1">
        <f>IFERROR(__xludf.DUMMYFUNCTION("""COMPUTED_VALUE"""),14226.5)</f>
        <v>14226.5</v>
      </c>
    </row>
    <row r="3243">
      <c r="A3243" s="3">
        <f>IFERROR(__xludf.DUMMYFUNCTION("""COMPUTED_VALUE"""),43661.99861111111)</f>
        <v>43661.99861</v>
      </c>
      <c r="B3243" s="1">
        <f>IFERROR(__xludf.DUMMYFUNCTION("""COMPUTED_VALUE"""),14130.6)</f>
        <v>14130.6</v>
      </c>
    </row>
    <row r="3244">
      <c r="A3244" s="3">
        <f>IFERROR(__xludf.DUMMYFUNCTION("""COMPUTED_VALUE"""),43662.99861111111)</f>
        <v>43662.99861</v>
      </c>
      <c r="B3244" s="1">
        <f>IFERROR(__xludf.DUMMYFUNCTION("""COMPUTED_VALUE"""),14118.35)</f>
        <v>14118.35</v>
      </c>
    </row>
    <row r="3245">
      <c r="A3245" s="3">
        <f>IFERROR(__xludf.DUMMYFUNCTION("""COMPUTED_VALUE"""),43663.99861111111)</f>
        <v>43663.99861</v>
      </c>
      <c r="B3245" s="1">
        <f>IFERROR(__xludf.DUMMYFUNCTION("""COMPUTED_VALUE"""),14157.25)</f>
        <v>14157.25</v>
      </c>
    </row>
    <row r="3246">
      <c r="A3246" s="3">
        <f>IFERROR(__xludf.DUMMYFUNCTION("""COMPUTED_VALUE"""),43664.99861111111)</f>
        <v>43664.99861</v>
      </c>
      <c r="B3246" s="1">
        <f>IFERROR(__xludf.DUMMYFUNCTION("""COMPUTED_VALUE"""),14160.55)</f>
        <v>14160.55</v>
      </c>
    </row>
    <row r="3247">
      <c r="A3247" s="3">
        <f>IFERROR(__xludf.DUMMYFUNCTION("""COMPUTED_VALUE"""),43665.99861111111)</f>
        <v>43665.99861</v>
      </c>
      <c r="B3247" s="1">
        <f>IFERROR(__xludf.DUMMYFUNCTION("""COMPUTED_VALUE"""),14164.6)</f>
        <v>14164.6</v>
      </c>
    </row>
    <row r="3248">
      <c r="A3248" s="3">
        <f>IFERROR(__xludf.DUMMYFUNCTION("""COMPUTED_VALUE"""),43666.99861111111)</f>
        <v>43666.99861</v>
      </c>
      <c r="B3248" s="1">
        <f>IFERROR(__xludf.DUMMYFUNCTION("""COMPUTED_VALUE"""),14217.0)</f>
        <v>14217</v>
      </c>
    </row>
    <row r="3249">
      <c r="A3249" s="3">
        <f>IFERROR(__xludf.DUMMYFUNCTION("""COMPUTED_VALUE"""),43667.99861111111)</f>
        <v>43667.99861</v>
      </c>
      <c r="B3249" s="1">
        <f>IFERROR(__xludf.DUMMYFUNCTION("""COMPUTED_VALUE"""),14204.0)</f>
        <v>14204</v>
      </c>
    </row>
    <row r="3250">
      <c r="A3250" s="3">
        <f>IFERROR(__xludf.DUMMYFUNCTION("""COMPUTED_VALUE"""),43668.99861111111)</f>
        <v>43668.99861</v>
      </c>
      <c r="B3250" s="1">
        <f>IFERROR(__xludf.DUMMYFUNCTION("""COMPUTED_VALUE"""),14189.75)</f>
        <v>14189.75</v>
      </c>
    </row>
    <row r="3251">
      <c r="A3251" s="3">
        <f>IFERROR(__xludf.DUMMYFUNCTION("""COMPUTED_VALUE"""),43669.99861111111)</f>
        <v>43669.99861</v>
      </c>
      <c r="B3251" s="1">
        <f>IFERROR(__xludf.DUMMYFUNCTION("""COMPUTED_VALUE"""),14228.4)</f>
        <v>14228.4</v>
      </c>
    </row>
    <row r="3252">
      <c r="A3252" s="3">
        <f>IFERROR(__xludf.DUMMYFUNCTION("""COMPUTED_VALUE"""),43670.99861111111)</f>
        <v>43670.99861</v>
      </c>
      <c r="B3252" s="1">
        <f>IFERROR(__xludf.DUMMYFUNCTION("""COMPUTED_VALUE"""),14214.1)</f>
        <v>14214.1</v>
      </c>
    </row>
    <row r="3253">
      <c r="A3253" s="3">
        <f>IFERROR(__xludf.DUMMYFUNCTION("""COMPUTED_VALUE"""),43671.99861111111)</f>
        <v>43671.99861</v>
      </c>
      <c r="B3253" s="1">
        <f>IFERROR(__xludf.DUMMYFUNCTION("""COMPUTED_VALUE"""),14103.8)</f>
        <v>14103.8</v>
      </c>
    </row>
    <row r="3254">
      <c r="A3254" s="3">
        <f>IFERROR(__xludf.DUMMYFUNCTION("""COMPUTED_VALUE"""),43672.99861111111)</f>
        <v>43672.99861</v>
      </c>
      <c r="B3254" s="1">
        <f>IFERROR(__xludf.DUMMYFUNCTION("""COMPUTED_VALUE"""),14064.4)</f>
        <v>14064.4</v>
      </c>
    </row>
    <row r="3255">
      <c r="A3255" s="3">
        <f>IFERROR(__xludf.DUMMYFUNCTION("""COMPUTED_VALUE"""),43673.99861111111)</f>
        <v>43673.99861</v>
      </c>
      <c r="B3255" s="1">
        <f>IFERROR(__xludf.DUMMYFUNCTION("""COMPUTED_VALUE"""),14064.4)</f>
        <v>14064.4</v>
      </c>
    </row>
    <row r="3256">
      <c r="A3256" s="3">
        <f>IFERROR(__xludf.DUMMYFUNCTION("""COMPUTED_VALUE"""),43674.99861111111)</f>
        <v>43674.99861</v>
      </c>
      <c r="B3256" s="1">
        <f>IFERROR(__xludf.DUMMYFUNCTION("""COMPUTED_VALUE"""),14083.5)</f>
        <v>14083.5</v>
      </c>
    </row>
    <row r="3257">
      <c r="A3257" s="3">
        <f>IFERROR(__xludf.DUMMYFUNCTION("""COMPUTED_VALUE"""),43675.99861111111)</f>
        <v>43675.99861</v>
      </c>
      <c r="B3257" s="1">
        <f>IFERROR(__xludf.DUMMYFUNCTION("""COMPUTED_VALUE"""),14585.35)</f>
        <v>14585.35</v>
      </c>
    </row>
    <row r="3258">
      <c r="A3258" s="3">
        <f>IFERROR(__xludf.DUMMYFUNCTION("""COMPUTED_VALUE"""),43676.99861111111)</f>
        <v>43676.99861</v>
      </c>
      <c r="B3258" s="1">
        <f>IFERROR(__xludf.DUMMYFUNCTION("""COMPUTED_VALUE"""),14158.4)</f>
        <v>14158.4</v>
      </c>
    </row>
    <row r="3259">
      <c r="A3259" s="3">
        <f>IFERROR(__xludf.DUMMYFUNCTION("""COMPUTED_VALUE"""),43677.99861111111)</f>
        <v>43677.99861</v>
      </c>
      <c r="B3259" s="1">
        <f>IFERROR(__xludf.DUMMYFUNCTION("""COMPUTED_VALUE"""),14177.95)</f>
        <v>14177.95</v>
      </c>
    </row>
    <row r="3260">
      <c r="A3260" s="3">
        <f>IFERROR(__xludf.DUMMYFUNCTION("""COMPUTED_VALUE"""),43678.99861111111)</f>
        <v>43678.99861</v>
      </c>
      <c r="B3260" s="1">
        <f>IFERROR(__xludf.DUMMYFUNCTION("""COMPUTED_VALUE"""),14261.15)</f>
        <v>14261.15</v>
      </c>
    </row>
    <row r="3261">
      <c r="A3261" s="3">
        <f>IFERROR(__xludf.DUMMYFUNCTION("""COMPUTED_VALUE"""),43679.99861111111)</f>
        <v>43679.99861</v>
      </c>
      <c r="B3261" s="1">
        <f>IFERROR(__xludf.DUMMYFUNCTION("""COMPUTED_VALUE"""),14426.4)</f>
        <v>14426.4</v>
      </c>
    </row>
    <row r="3262">
      <c r="A3262" s="3">
        <f>IFERROR(__xludf.DUMMYFUNCTION("""COMPUTED_VALUE"""),43680.99861111111)</f>
        <v>43680.99861</v>
      </c>
      <c r="B3262" s="1">
        <f>IFERROR(__xludf.DUMMYFUNCTION("""COMPUTED_VALUE"""),14426.4)</f>
        <v>14426.4</v>
      </c>
    </row>
    <row r="3263">
      <c r="A3263" s="3">
        <f>IFERROR(__xludf.DUMMYFUNCTION("""COMPUTED_VALUE"""),43681.99861111111)</f>
        <v>43681.99861</v>
      </c>
      <c r="B3263" s="1">
        <f>IFERROR(__xludf.DUMMYFUNCTION("""COMPUTED_VALUE"""),14430.35)</f>
        <v>14430.35</v>
      </c>
    </row>
    <row r="3264">
      <c r="A3264" s="3">
        <f>IFERROR(__xludf.DUMMYFUNCTION("""COMPUTED_VALUE"""),43682.99861111111)</f>
        <v>43682.99861</v>
      </c>
      <c r="B3264" s="1">
        <f>IFERROR(__xludf.DUMMYFUNCTION("""COMPUTED_VALUE"""),14619.05)</f>
        <v>14619.05</v>
      </c>
    </row>
    <row r="3265">
      <c r="A3265" s="3">
        <f>IFERROR(__xludf.DUMMYFUNCTION("""COMPUTED_VALUE"""),43683.99861111111)</f>
        <v>43683.99861</v>
      </c>
      <c r="B3265" s="1">
        <f>IFERROR(__xludf.DUMMYFUNCTION("""COMPUTED_VALUE"""),14571.0)</f>
        <v>14571</v>
      </c>
    </row>
    <row r="3266">
      <c r="A3266" s="3">
        <f>IFERROR(__xludf.DUMMYFUNCTION("""COMPUTED_VALUE"""),43684.99861111111)</f>
        <v>43684.99861</v>
      </c>
      <c r="B3266" s="1">
        <f>IFERROR(__xludf.DUMMYFUNCTION("""COMPUTED_VALUE"""),14618.1)</f>
        <v>14618.1</v>
      </c>
    </row>
    <row r="3267">
      <c r="A3267" s="3">
        <f>IFERROR(__xludf.DUMMYFUNCTION("""COMPUTED_VALUE"""),43685.99861111111)</f>
        <v>43685.99861</v>
      </c>
      <c r="B3267" s="1">
        <f>IFERROR(__xludf.DUMMYFUNCTION("""COMPUTED_VALUE"""),14613.7)</f>
        <v>14613.7</v>
      </c>
    </row>
    <row r="3268">
      <c r="A3268" s="3">
        <f>IFERROR(__xludf.DUMMYFUNCTION("""COMPUTED_VALUE"""),43686.99861111111)</f>
        <v>43686.99861</v>
      </c>
      <c r="B3268" s="1">
        <f>IFERROR(__xludf.DUMMYFUNCTION("""COMPUTED_VALUE"""),14545.7)</f>
        <v>14545.7</v>
      </c>
    </row>
    <row r="3269">
      <c r="A3269" s="3">
        <f>IFERROR(__xludf.DUMMYFUNCTION("""COMPUTED_VALUE"""),43687.99861111111)</f>
        <v>43687.99861</v>
      </c>
      <c r="B3269" s="1">
        <f>IFERROR(__xludf.DUMMYFUNCTION("""COMPUTED_VALUE"""),14545.7)</f>
        <v>14545.7</v>
      </c>
    </row>
    <row r="3270">
      <c r="A3270" s="3">
        <f>IFERROR(__xludf.DUMMYFUNCTION("""COMPUTED_VALUE"""),43688.99861111111)</f>
        <v>43688.99861</v>
      </c>
      <c r="B3270" s="1">
        <f>IFERROR(__xludf.DUMMYFUNCTION("""COMPUTED_VALUE"""),14602.9)</f>
        <v>14602.9</v>
      </c>
    </row>
    <row r="3271">
      <c r="A3271" s="3">
        <f>IFERROR(__xludf.DUMMYFUNCTION("""COMPUTED_VALUE"""),43689.99861111111)</f>
        <v>43689.99861</v>
      </c>
      <c r="B3271" s="1">
        <f>IFERROR(__xludf.DUMMYFUNCTION("""COMPUTED_VALUE"""),14675.7)</f>
        <v>14675.7</v>
      </c>
    </row>
    <row r="3272">
      <c r="A3272" s="3">
        <f>IFERROR(__xludf.DUMMYFUNCTION("""COMPUTED_VALUE"""),43690.99861111111)</f>
        <v>43690.99861</v>
      </c>
      <c r="B3272" s="1">
        <f>IFERROR(__xludf.DUMMYFUNCTION("""COMPUTED_VALUE"""),14718.8)</f>
        <v>14718.8</v>
      </c>
    </row>
    <row r="3273">
      <c r="A3273" s="3">
        <f>IFERROR(__xludf.DUMMYFUNCTION("""COMPUTED_VALUE"""),43691.99861111111)</f>
        <v>43691.99861</v>
      </c>
      <c r="B3273" s="1">
        <f>IFERROR(__xludf.DUMMYFUNCTION("""COMPUTED_VALUE"""),14681.25)</f>
        <v>14681.25</v>
      </c>
    </row>
    <row r="3274">
      <c r="A3274" s="3">
        <f>IFERROR(__xludf.DUMMYFUNCTION("""COMPUTED_VALUE"""),43692.99861111111)</f>
        <v>43692.99861</v>
      </c>
      <c r="B3274" s="1">
        <f>IFERROR(__xludf.DUMMYFUNCTION("""COMPUTED_VALUE"""),14665.25)</f>
        <v>14665.25</v>
      </c>
    </row>
    <row r="3275">
      <c r="A3275" s="3">
        <f>IFERROR(__xludf.DUMMYFUNCTION("""COMPUTED_VALUE"""),43693.99861111111)</f>
        <v>43693.99861</v>
      </c>
      <c r="B3275" s="1">
        <f>IFERROR(__xludf.DUMMYFUNCTION("""COMPUTED_VALUE"""),14521.8)</f>
        <v>14521.8</v>
      </c>
    </row>
    <row r="3276">
      <c r="A3276" s="3">
        <f>IFERROR(__xludf.DUMMYFUNCTION("""COMPUTED_VALUE"""),43694.99861111111)</f>
        <v>43694.99861</v>
      </c>
      <c r="B3276" s="1">
        <f>IFERROR(__xludf.DUMMYFUNCTION("""COMPUTED_VALUE"""),14521.8)</f>
        <v>14521.8</v>
      </c>
    </row>
    <row r="3277">
      <c r="A3277" s="3">
        <f>IFERROR(__xludf.DUMMYFUNCTION("""COMPUTED_VALUE"""),43695.99861111111)</f>
        <v>43695.99861</v>
      </c>
      <c r="B3277" s="1">
        <f>IFERROR(__xludf.DUMMYFUNCTION("""COMPUTED_VALUE"""),14514.9)</f>
        <v>14514.9</v>
      </c>
    </row>
    <row r="3278">
      <c r="A3278" s="3">
        <f>IFERROR(__xludf.DUMMYFUNCTION("""COMPUTED_VALUE"""),43696.99861111111)</f>
        <v>43696.99861</v>
      </c>
      <c r="B3278" s="1">
        <f>IFERROR(__xludf.DUMMYFUNCTION("""COMPUTED_VALUE"""),14537.85)</f>
        <v>14537.85</v>
      </c>
    </row>
    <row r="3279">
      <c r="A3279" s="3">
        <f>IFERROR(__xludf.DUMMYFUNCTION("""COMPUTED_VALUE"""),43697.99861111111)</f>
        <v>43697.99861</v>
      </c>
      <c r="B3279" s="1">
        <f>IFERROR(__xludf.DUMMYFUNCTION("""COMPUTED_VALUE"""),14559.0)</f>
        <v>14559</v>
      </c>
    </row>
    <row r="3280">
      <c r="A3280" s="3">
        <f>IFERROR(__xludf.DUMMYFUNCTION("""COMPUTED_VALUE"""),43698.99861111111)</f>
        <v>43698.99861</v>
      </c>
      <c r="B3280" s="1">
        <f>IFERROR(__xludf.DUMMYFUNCTION("""COMPUTED_VALUE"""),14513.35)</f>
        <v>14513.35</v>
      </c>
    </row>
    <row r="3281">
      <c r="A3281" s="3">
        <f>IFERROR(__xludf.DUMMYFUNCTION("""COMPUTED_VALUE"""),43699.99861111111)</f>
        <v>43699.99861</v>
      </c>
      <c r="B3281" s="1">
        <f>IFERROR(__xludf.DUMMYFUNCTION("""COMPUTED_VALUE"""),14450.25)</f>
        <v>14450.25</v>
      </c>
    </row>
    <row r="3282">
      <c r="A3282" s="3">
        <f>IFERROR(__xludf.DUMMYFUNCTION("""COMPUTED_VALUE"""),43700.99861111111)</f>
        <v>43700.99861</v>
      </c>
      <c r="B3282" s="1">
        <f>IFERROR(__xludf.DUMMYFUNCTION("""COMPUTED_VALUE"""),14430.95)</f>
        <v>14430.95</v>
      </c>
    </row>
    <row r="3283">
      <c r="A3283" s="3">
        <f>IFERROR(__xludf.DUMMYFUNCTION("""COMPUTED_VALUE"""),43701.99861111111)</f>
        <v>43701.99861</v>
      </c>
      <c r="B3283" s="1">
        <f>IFERROR(__xludf.DUMMYFUNCTION("""COMPUTED_VALUE"""),14468.2)</f>
        <v>14468.2</v>
      </c>
    </row>
    <row r="3284">
      <c r="A3284" s="3">
        <f>IFERROR(__xludf.DUMMYFUNCTION("""COMPUTED_VALUE"""),43702.99861111111)</f>
        <v>43702.99861</v>
      </c>
      <c r="B3284" s="1">
        <f>IFERROR(__xludf.DUMMYFUNCTION("""COMPUTED_VALUE"""),14492.15)</f>
        <v>14492.15</v>
      </c>
    </row>
    <row r="3285">
      <c r="A3285" s="3">
        <f>IFERROR(__xludf.DUMMYFUNCTION("""COMPUTED_VALUE"""),43703.99861111111)</f>
        <v>43703.99861</v>
      </c>
      <c r="B3285" s="1">
        <f>IFERROR(__xludf.DUMMYFUNCTION("""COMPUTED_VALUE"""),14539.6)</f>
        <v>14539.6</v>
      </c>
    </row>
    <row r="3286">
      <c r="A3286" s="3">
        <f>IFERROR(__xludf.DUMMYFUNCTION("""COMPUTED_VALUE"""),43704.99861111111)</f>
        <v>43704.99861</v>
      </c>
      <c r="B3286" s="1">
        <f>IFERROR(__xludf.DUMMYFUNCTION("""COMPUTED_VALUE"""),14532.6)</f>
        <v>14532.6</v>
      </c>
    </row>
    <row r="3287">
      <c r="A3287" s="3">
        <f>IFERROR(__xludf.DUMMYFUNCTION("""COMPUTED_VALUE"""),43705.99861111111)</f>
        <v>43705.99861</v>
      </c>
      <c r="B3287" s="1">
        <f>IFERROR(__xludf.DUMMYFUNCTION("""COMPUTED_VALUE"""),14515.4)</f>
        <v>14515.4</v>
      </c>
    </row>
    <row r="3288">
      <c r="A3288" s="3">
        <f>IFERROR(__xludf.DUMMYFUNCTION("""COMPUTED_VALUE"""),43706.99861111111)</f>
        <v>43706.99861</v>
      </c>
      <c r="B3288" s="1">
        <f>IFERROR(__xludf.DUMMYFUNCTION("""COMPUTED_VALUE"""),14442.65)</f>
        <v>14442.65</v>
      </c>
    </row>
    <row r="3289">
      <c r="A3289" s="3">
        <f>IFERROR(__xludf.DUMMYFUNCTION("""COMPUTED_VALUE"""),43707.99861111111)</f>
        <v>43707.99861</v>
      </c>
      <c r="B3289" s="1">
        <f>IFERROR(__xludf.DUMMYFUNCTION("""COMPUTED_VALUE"""),14381.65)</f>
        <v>14381.65</v>
      </c>
    </row>
    <row r="3290">
      <c r="A3290" s="3">
        <f>IFERROR(__xludf.DUMMYFUNCTION("""COMPUTED_VALUE"""),43708.99861111111)</f>
        <v>43708.99861</v>
      </c>
      <c r="B3290" s="1">
        <f>IFERROR(__xludf.DUMMYFUNCTION("""COMPUTED_VALUE"""),14381.65)</f>
        <v>14381.65</v>
      </c>
    </row>
    <row r="3291">
      <c r="A3291" s="3">
        <f>IFERROR(__xludf.DUMMYFUNCTION("""COMPUTED_VALUE"""),43709.99861111111)</f>
        <v>43709.99861</v>
      </c>
      <c r="B3291" s="1">
        <f>IFERROR(__xludf.DUMMYFUNCTION("""COMPUTED_VALUE"""),14410.7)</f>
        <v>14410.7</v>
      </c>
    </row>
    <row r="3292">
      <c r="A3292" s="3">
        <f>IFERROR(__xludf.DUMMYFUNCTION("""COMPUTED_VALUE"""),43710.99861111111)</f>
        <v>43710.99861</v>
      </c>
      <c r="B3292" s="1">
        <f>IFERROR(__xludf.DUMMYFUNCTION("""COMPUTED_VALUE"""),14331.15)</f>
        <v>14331.15</v>
      </c>
    </row>
    <row r="3293">
      <c r="A3293" s="3">
        <f>IFERROR(__xludf.DUMMYFUNCTION("""COMPUTED_VALUE"""),43711.99861111111)</f>
        <v>43711.99861</v>
      </c>
      <c r="B3293" s="1">
        <f>IFERROR(__xludf.DUMMYFUNCTION("""COMPUTED_VALUE"""),14409.15)</f>
        <v>14409.15</v>
      </c>
    </row>
    <row r="3294">
      <c r="A3294" s="3">
        <f>IFERROR(__xludf.DUMMYFUNCTION("""COMPUTED_VALUE"""),43712.99861111111)</f>
        <v>43712.99861</v>
      </c>
      <c r="B3294" s="1">
        <f>IFERROR(__xludf.DUMMYFUNCTION("""COMPUTED_VALUE"""),14422.3)</f>
        <v>14422.3</v>
      </c>
    </row>
    <row r="3295">
      <c r="A3295" s="3">
        <f>IFERROR(__xludf.DUMMYFUNCTION("""COMPUTED_VALUE"""),43713.99861111111)</f>
        <v>43713.99861</v>
      </c>
      <c r="B3295" s="1">
        <f>IFERROR(__xludf.DUMMYFUNCTION("""COMPUTED_VALUE"""),14350.0)</f>
        <v>14350</v>
      </c>
    </row>
    <row r="3296">
      <c r="A3296" s="3">
        <f>IFERROR(__xludf.DUMMYFUNCTION("""COMPUTED_VALUE"""),43714.99861111111)</f>
        <v>43714.99861</v>
      </c>
      <c r="B3296" s="1">
        <f>IFERROR(__xludf.DUMMYFUNCTION("""COMPUTED_VALUE"""),14236.8)</f>
        <v>14236.8</v>
      </c>
    </row>
    <row r="3297">
      <c r="A3297" s="3">
        <f>IFERROR(__xludf.DUMMYFUNCTION("""COMPUTED_VALUE"""),43715.99861111111)</f>
        <v>43715.99861</v>
      </c>
      <c r="B3297" s="1">
        <f>IFERROR(__xludf.DUMMYFUNCTION("""COMPUTED_VALUE"""),14277.3)</f>
        <v>14277.3</v>
      </c>
    </row>
    <row r="3298">
      <c r="A3298" s="3">
        <f>IFERROR(__xludf.DUMMYFUNCTION("""COMPUTED_VALUE"""),43716.99861111111)</f>
        <v>43716.99861</v>
      </c>
      <c r="B3298" s="1">
        <f>IFERROR(__xludf.DUMMYFUNCTION("""COMPUTED_VALUE"""),14272.1)</f>
        <v>14272.1</v>
      </c>
    </row>
    <row r="3299">
      <c r="A3299" s="3">
        <f>IFERROR(__xludf.DUMMYFUNCTION("""COMPUTED_VALUE"""),43717.99861111111)</f>
        <v>43717.99861</v>
      </c>
      <c r="B3299" s="1">
        <f>IFERROR(__xludf.DUMMYFUNCTION("""COMPUTED_VALUE"""),14133.85)</f>
        <v>14133.85</v>
      </c>
    </row>
    <row r="3300">
      <c r="A3300" s="3">
        <f>IFERROR(__xludf.DUMMYFUNCTION("""COMPUTED_VALUE"""),43718.99861111111)</f>
        <v>43718.99861</v>
      </c>
      <c r="B3300" s="1">
        <f>IFERROR(__xludf.DUMMYFUNCTION("""COMPUTED_VALUE"""),14166.8)</f>
        <v>14166.8</v>
      </c>
    </row>
    <row r="3301">
      <c r="A3301" s="3">
        <f>IFERROR(__xludf.DUMMYFUNCTION("""COMPUTED_VALUE"""),43719.99861111111)</f>
        <v>43719.99861</v>
      </c>
      <c r="B3301" s="1">
        <f>IFERROR(__xludf.DUMMYFUNCTION("""COMPUTED_VALUE"""),14126.2)</f>
        <v>14126.2</v>
      </c>
    </row>
    <row r="3302">
      <c r="A3302" s="3">
        <f>IFERROR(__xludf.DUMMYFUNCTION("""COMPUTED_VALUE"""),43720.99861111111)</f>
        <v>43720.99861</v>
      </c>
      <c r="B3302" s="1">
        <f>IFERROR(__xludf.DUMMYFUNCTION("""COMPUTED_VALUE"""),14081.2)</f>
        <v>14081.2</v>
      </c>
    </row>
    <row r="3303">
      <c r="A3303" s="3">
        <f>IFERROR(__xludf.DUMMYFUNCTION("""COMPUTED_VALUE"""),43721.99861111111)</f>
        <v>43721.99861</v>
      </c>
      <c r="B3303" s="1">
        <f>IFERROR(__xludf.DUMMYFUNCTION("""COMPUTED_VALUE"""),14059.05)</f>
        <v>14059.05</v>
      </c>
    </row>
    <row r="3304">
      <c r="A3304" s="3">
        <f>IFERROR(__xludf.DUMMYFUNCTION("""COMPUTED_VALUE"""),43722.99861111111)</f>
        <v>43722.99861</v>
      </c>
      <c r="B3304" s="1">
        <f>IFERROR(__xludf.DUMMYFUNCTION("""COMPUTED_VALUE"""),14059.05)</f>
        <v>14059.05</v>
      </c>
    </row>
    <row r="3305">
      <c r="A3305" s="3">
        <f>IFERROR(__xludf.DUMMYFUNCTION("""COMPUTED_VALUE"""),43723.99861111111)</f>
        <v>43723.99861</v>
      </c>
      <c r="B3305" s="1">
        <f>IFERROR(__xludf.DUMMYFUNCTION("""COMPUTED_VALUE"""),14134.0)</f>
        <v>14134</v>
      </c>
    </row>
    <row r="3306">
      <c r="A3306" s="3">
        <f>IFERROR(__xludf.DUMMYFUNCTION("""COMPUTED_VALUE"""),43724.99861111111)</f>
        <v>43724.99861</v>
      </c>
      <c r="B3306" s="1">
        <f>IFERROR(__xludf.DUMMYFUNCTION("""COMPUTED_VALUE"""),14140.15)</f>
        <v>14140.15</v>
      </c>
    </row>
    <row r="3307">
      <c r="A3307" s="3">
        <f>IFERROR(__xludf.DUMMYFUNCTION("""COMPUTED_VALUE"""),43725.99861111111)</f>
        <v>43725.99861</v>
      </c>
      <c r="B3307" s="1">
        <f>IFERROR(__xludf.DUMMYFUNCTION("""COMPUTED_VALUE"""),14053.15)</f>
        <v>14053.15</v>
      </c>
    </row>
    <row r="3308">
      <c r="A3308" s="3">
        <f>IFERROR(__xludf.DUMMYFUNCTION("""COMPUTED_VALUE"""),43726.99861111111)</f>
        <v>43726.99861</v>
      </c>
      <c r="B3308" s="1">
        <f>IFERROR(__xludf.DUMMYFUNCTION("""COMPUTED_VALUE"""),14186.35)</f>
        <v>14186.35</v>
      </c>
    </row>
    <row r="3309">
      <c r="A3309" s="3">
        <f>IFERROR(__xludf.DUMMYFUNCTION("""COMPUTED_VALUE"""),43727.99861111111)</f>
        <v>43727.99861</v>
      </c>
      <c r="B3309" s="1">
        <f>IFERROR(__xludf.DUMMYFUNCTION("""COMPUTED_VALUE"""),14225.15)</f>
        <v>14225.15</v>
      </c>
    </row>
    <row r="3310">
      <c r="A3310" s="3">
        <f>IFERROR(__xludf.DUMMYFUNCTION("""COMPUTED_VALUE"""),43728.99861111111)</f>
        <v>43728.99861</v>
      </c>
      <c r="B3310" s="1">
        <f>IFERROR(__xludf.DUMMYFUNCTION("""COMPUTED_VALUE"""),14168.5)</f>
        <v>14168.5</v>
      </c>
    </row>
    <row r="3311">
      <c r="A3311" s="3">
        <f>IFERROR(__xludf.DUMMYFUNCTION("""COMPUTED_VALUE"""),43729.99861111111)</f>
        <v>43729.99861</v>
      </c>
      <c r="B3311" s="1">
        <f>IFERROR(__xludf.DUMMYFUNCTION("""COMPUTED_VALUE"""),14168.5)</f>
        <v>14168.5</v>
      </c>
    </row>
    <row r="3312">
      <c r="A3312" s="3">
        <f>IFERROR(__xludf.DUMMYFUNCTION("""COMPUTED_VALUE"""),43730.99861111111)</f>
        <v>43730.99861</v>
      </c>
      <c r="B3312" s="1">
        <f>IFERROR(__xludf.DUMMYFUNCTION("""COMPUTED_VALUE"""),14162.85)</f>
        <v>14162.85</v>
      </c>
    </row>
    <row r="3313">
      <c r="A3313" s="3">
        <f>IFERROR(__xludf.DUMMYFUNCTION("""COMPUTED_VALUE"""),43731.99861111111)</f>
        <v>43731.99861</v>
      </c>
      <c r="B3313" s="1">
        <f>IFERROR(__xludf.DUMMYFUNCTION("""COMPUTED_VALUE"""),14218.6)</f>
        <v>14218.6</v>
      </c>
    </row>
    <row r="3314">
      <c r="A3314" s="3">
        <f>IFERROR(__xludf.DUMMYFUNCTION("""COMPUTED_VALUE"""),43732.99861111111)</f>
        <v>43732.99861</v>
      </c>
      <c r="B3314" s="1">
        <f>IFERROR(__xludf.DUMMYFUNCTION("""COMPUTED_VALUE"""),14315.3)</f>
        <v>14315.3</v>
      </c>
    </row>
    <row r="3315">
      <c r="A3315" s="3">
        <f>IFERROR(__xludf.DUMMYFUNCTION("""COMPUTED_VALUE"""),43733.99861111111)</f>
        <v>43733.99861</v>
      </c>
      <c r="B3315" s="1">
        <f>IFERROR(__xludf.DUMMYFUNCTION("""COMPUTED_VALUE"""),14263.35)</f>
        <v>14263.35</v>
      </c>
    </row>
    <row r="3316">
      <c r="A3316" s="3">
        <f>IFERROR(__xludf.DUMMYFUNCTION("""COMPUTED_VALUE"""),43734.99861111111)</f>
        <v>43734.99861</v>
      </c>
      <c r="B3316" s="1">
        <f>IFERROR(__xludf.DUMMYFUNCTION("""COMPUTED_VALUE"""),14280.95)</f>
        <v>14280.95</v>
      </c>
    </row>
    <row r="3317">
      <c r="A3317" s="3">
        <f>IFERROR(__xludf.DUMMYFUNCTION("""COMPUTED_VALUE"""),43735.99861111111)</f>
        <v>43735.99861</v>
      </c>
      <c r="B3317" s="1">
        <f>IFERROR(__xludf.DUMMYFUNCTION("""COMPUTED_VALUE"""),14294.3)</f>
        <v>14294.3</v>
      </c>
    </row>
    <row r="3318">
      <c r="A3318" s="3">
        <f>IFERROR(__xludf.DUMMYFUNCTION("""COMPUTED_VALUE"""),43736.99861111111)</f>
        <v>43736.99861</v>
      </c>
      <c r="B3318" s="1">
        <f>IFERROR(__xludf.DUMMYFUNCTION("""COMPUTED_VALUE"""),14293.8)</f>
        <v>14293.8</v>
      </c>
    </row>
    <row r="3319">
      <c r="A3319" s="3">
        <f>IFERROR(__xludf.DUMMYFUNCTION("""COMPUTED_VALUE"""),43737.99861111111)</f>
        <v>43737.99861</v>
      </c>
      <c r="B3319" s="1">
        <f>IFERROR(__xludf.DUMMYFUNCTION("""COMPUTED_VALUE"""),14285.85)</f>
        <v>14285.85</v>
      </c>
    </row>
    <row r="3320">
      <c r="A3320" s="3">
        <f>IFERROR(__xludf.DUMMYFUNCTION("""COMPUTED_VALUE"""),43738.99861111111)</f>
        <v>43738.99861</v>
      </c>
      <c r="B3320" s="1">
        <f>IFERROR(__xludf.DUMMYFUNCTION("""COMPUTED_VALUE"""),14257.1)</f>
        <v>14257.1</v>
      </c>
    </row>
    <row r="3321">
      <c r="A3321" s="3">
        <f>IFERROR(__xludf.DUMMYFUNCTION("""COMPUTED_VALUE"""),43739.99861111111)</f>
        <v>43739.99861</v>
      </c>
      <c r="B3321" s="1">
        <f>IFERROR(__xludf.DUMMYFUNCTION("""COMPUTED_VALUE"""),14271.55)</f>
        <v>14271.55</v>
      </c>
    </row>
    <row r="3322">
      <c r="A3322" s="3">
        <f>IFERROR(__xludf.DUMMYFUNCTION("""COMPUTED_VALUE"""),43740.99861111111)</f>
        <v>43740.99861</v>
      </c>
      <c r="B3322" s="1">
        <f>IFERROR(__xludf.DUMMYFUNCTION("""COMPUTED_VALUE"""),14188.55)</f>
        <v>14188.55</v>
      </c>
    </row>
    <row r="3323">
      <c r="A3323" s="3">
        <f>IFERROR(__xludf.DUMMYFUNCTION("""COMPUTED_VALUE"""),43741.99861111111)</f>
        <v>43741.99861</v>
      </c>
      <c r="B3323" s="1">
        <f>IFERROR(__xludf.DUMMYFUNCTION("""COMPUTED_VALUE"""),14206.15)</f>
        <v>14206.15</v>
      </c>
    </row>
    <row r="3324">
      <c r="A3324" s="3">
        <f>IFERROR(__xludf.DUMMYFUNCTION("""COMPUTED_VALUE"""),43742.99861111111)</f>
        <v>43742.99861</v>
      </c>
      <c r="B3324" s="1">
        <f>IFERROR(__xludf.DUMMYFUNCTION("""COMPUTED_VALUE"""),14186.75)</f>
        <v>14186.75</v>
      </c>
    </row>
    <row r="3325">
      <c r="A3325" s="3">
        <f>IFERROR(__xludf.DUMMYFUNCTION("""COMPUTED_VALUE"""),43743.99861111111)</f>
        <v>43743.99861</v>
      </c>
      <c r="B3325" s="1">
        <f>IFERROR(__xludf.DUMMYFUNCTION("""COMPUTED_VALUE"""),14214.5)</f>
        <v>14214.5</v>
      </c>
    </row>
    <row r="3326">
      <c r="A3326" s="3">
        <f>IFERROR(__xludf.DUMMYFUNCTION("""COMPUTED_VALUE"""),43744.99861111111)</f>
        <v>43744.99861</v>
      </c>
      <c r="B3326" s="1">
        <f>IFERROR(__xludf.DUMMYFUNCTION("""COMPUTED_VALUE"""),14226.55)</f>
        <v>14226.55</v>
      </c>
    </row>
    <row r="3327">
      <c r="A3327" s="3">
        <f>IFERROR(__xludf.DUMMYFUNCTION("""COMPUTED_VALUE"""),43745.99861111111)</f>
        <v>43745.99861</v>
      </c>
      <c r="B3327" s="1">
        <f>IFERROR(__xludf.DUMMYFUNCTION("""COMPUTED_VALUE"""),14233.05)</f>
        <v>14233.05</v>
      </c>
    </row>
    <row r="3328">
      <c r="A3328" s="3">
        <f>IFERROR(__xludf.DUMMYFUNCTION("""COMPUTED_VALUE"""),43746.99861111111)</f>
        <v>43746.99861</v>
      </c>
      <c r="B3328" s="1">
        <f>IFERROR(__xludf.DUMMYFUNCTION("""COMPUTED_VALUE"""),14281.8)</f>
        <v>14281.8</v>
      </c>
    </row>
    <row r="3329">
      <c r="A3329" s="3">
        <f>IFERROR(__xludf.DUMMYFUNCTION("""COMPUTED_VALUE"""),43747.99861111111)</f>
        <v>43747.99861</v>
      </c>
      <c r="B3329" s="1">
        <f>IFERROR(__xludf.DUMMYFUNCTION("""COMPUTED_VALUE"""),14249.05)</f>
        <v>14249.05</v>
      </c>
    </row>
    <row r="3330">
      <c r="A3330" s="3">
        <f>IFERROR(__xludf.DUMMYFUNCTION("""COMPUTED_VALUE"""),43748.99861111111)</f>
        <v>43748.99861</v>
      </c>
      <c r="B3330" s="1">
        <f>IFERROR(__xludf.DUMMYFUNCTION("""COMPUTED_VALUE"""),14214.75)</f>
        <v>14214.75</v>
      </c>
    </row>
    <row r="3331">
      <c r="A3331" s="3">
        <f>IFERROR(__xludf.DUMMYFUNCTION("""COMPUTED_VALUE"""),43749.99861111111)</f>
        <v>43749.99861</v>
      </c>
      <c r="B3331" s="1">
        <f>IFERROR(__xludf.DUMMYFUNCTION("""COMPUTED_VALUE"""),14172.65)</f>
        <v>14172.65</v>
      </c>
    </row>
    <row r="3332">
      <c r="A3332" s="3">
        <f>IFERROR(__xludf.DUMMYFUNCTION("""COMPUTED_VALUE"""),43750.99861111111)</f>
        <v>43750.99861</v>
      </c>
      <c r="B3332" s="1">
        <f>IFERROR(__xludf.DUMMYFUNCTION("""COMPUTED_VALUE"""),14172.61)</f>
        <v>14172.61</v>
      </c>
    </row>
    <row r="3333">
      <c r="A3333" s="3">
        <f>IFERROR(__xludf.DUMMYFUNCTION("""COMPUTED_VALUE"""),43751.99861111111)</f>
        <v>43751.99861</v>
      </c>
      <c r="B3333" s="1">
        <f>IFERROR(__xludf.DUMMYFUNCTION("""COMPUTED_VALUE"""),14163.55)</f>
        <v>14163.55</v>
      </c>
    </row>
    <row r="3334">
      <c r="A3334" s="3">
        <f>IFERROR(__xludf.DUMMYFUNCTION("""COMPUTED_VALUE"""),43752.99861111111)</f>
        <v>43752.99861</v>
      </c>
      <c r="B3334" s="1">
        <f>IFERROR(__xludf.DUMMYFUNCTION("""COMPUTED_VALUE"""),14178.33)</f>
        <v>14178.33</v>
      </c>
    </row>
    <row r="3335">
      <c r="A3335" s="3">
        <f>IFERROR(__xludf.DUMMYFUNCTION("""COMPUTED_VALUE"""),43753.99861111111)</f>
        <v>43753.99861</v>
      </c>
      <c r="B3335" s="1">
        <f>IFERROR(__xludf.DUMMYFUNCTION("""COMPUTED_VALUE"""),14182.66)</f>
        <v>14182.66</v>
      </c>
    </row>
    <row r="3336">
      <c r="A3336" s="3">
        <f>IFERROR(__xludf.DUMMYFUNCTION("""COMPUTED_VALUE"""),43754.99861111111)</f>
        <v>43754.99861</v>
      </c>
      <c r="B3336" s="1">
        <f>IFERROR(__xludf.DUMMYFUNCTION("""COMPUTED_VALUE"""),14192.12)</f>
        <v>14192.12</v>
      </c>
    </row>
    <row r="3337">
      <c r="A3337" s="3">
        <f>IFERROR(__xludf.DUMMYFUNCTION("""COMPUTED_VALUE"""),43755.99861111111)</f>
        <v>43755.99861</v>
      </c>
      <c r="B3337" s="1">
        <f>IFERROR(__xludf.DUMMYFUNCTION("""COMPUTED_VALUE"""),14322.64)</f>
        <v>14322.64</v>
      </c>
    </row>
    <row r="3338">
      <c r="A3338" s="3">
        <f>IFERROR(__xludf.DUMMYFUNCTION("""COMPUTED_VALUE"""),43756.99861111111)</f>
        <v>43756.99861</v>
      </c>
      <c r="B3338" s="1">
        <f>IFERROR(__xludf.DUMMYFUNCTION("""COMPUTED_VALUE"""),14333.71)</f>
        <v>14333.71</v>
      </c>
    </row>
    <row r="3339">
      <c r="A3339" s="3">
        <f>IFERROR(__xludf.DUMMYFUNCTION("""COMPUTED_VALUE"""),43757.99861111111)</f>
        <v>43757.99861</v>
      </c>
      <c r="B3339" s="1">
        <f>IFERROR(__xludf.DUMMYFUNCTION("""COMPUTED_VALUE"""),14333.71)</f>
        <v>14333.71</v>
      </c>
    </row>
    <row r="3340">
      <c r="A3340" s="3">
        <f>IFERROR(__xludf.DUMMYFUNCTION("""COMPUTED_VALUE"""),43758.99861111111)</f>
        <v>43758.99861</v>
      </c>
      <c r="B3340" s="1">
        <f>IFERROR(__xludf.DUMMYFUNCTION("""COMPUTED_VALUE"""),14366.52)</f>
        <v>14366.52</v>
      </c>
    </row>
    <row r="3341">
      <c r="A3341" s="3">
        <f>IFERROR(__xludf.DUMMYFUNCTION("""COMPUTED_VALUE"""),43759.99861111111)</f>
        <v>43759.99861</v>
      </c>
      <c r="B3341" s="1">
        <f>IFERROR(__xludf.DUMMYFUNCTION("""COMPUTED_VALUE"""),14268.56)</f>
        <v>14268.56</v>
      </c>
    </row>
    <row r="3342">
      <c r="A3342" s="3">
        <f>IFERROR(__xludf.DUMMYFUNCTION("""COMPUTED_VALUE"""),43760.99861111111)</f>
        <v>43760.99861</v>
      </c>
      <c r="B3342" s="1">
        <f>IFERROR(__xludf.DUMMYFUNCTION("""COMPUTED_VALUE"""),14248.68)</f>
        <v>14248.68</v>
      </c>
    </row>
    <row r="3343">
      <c r="A3343" s="3">
        <f>IFERROR(__xludf.DUMMYFUNCTION("""COMPUTED_VALUE"""),43761.99861111111)</f>
        <v>43761.99861</v>
      </c>
      <c r="B3343" s="1">
        <f>IFERROR(__xludf.DUMMYFUNCTION("""COMPUTED_VALUE"""),14129.18)</f>
        <v>14129.18</v>
      </c>
    </row>
    <row r="3344">
      <c r="A3344" s="3">
        <f>IFERROR(__xludf.DUMMYFUNCTION("""COMPUTED_VALUE"""),43762.99861111111)</f>
        <v>43762.99861</v>
      </c>
      <c r="B3344" s="1">
        <f>IFERROR(__xludf.DUMMYFUNCTION("""COMPUTED_VALUE"""),14167.23)</f>
        <v>14167.23</v>
      </c>
    </row>
    <row r="3345">
      <c r="A3345" s="3">
        <f>IFERROR(__xludf.DUMMYFUNCTION("""COMPUTED_VALUE"""),43763.99861111111)</f>
        <v>43763.99861</v>
      </c>
      <c r="B3345" s="1">
        <f>IFERROR(__xludf.DUMMYFUNCTION("""COMPUTED_VALUE"""),14104.78)</f>
        <v>14104.78</v>
      </c>
    </row>
    <row r="3346">
      <c r="A3346" s="3">
        <f>IFERROR(__xludf.DUMMYFUNCTION("""COMPUTED_VALUE"""),43764.99861111111)</f>
        <v>43764.99861</v>
      </c>
      <c r="B3346" s="1">
        <f>IFERROR(__xludf.DUMMYFUNCTION("""COMPUTED_VALUE"""),14104.78)</f>
        <v>14104.78</v>
      </c>
    </row>
    <row r="3347">
      <c r="A3347" s="3">
        <f>IFERROR(__xludf.DUMMYFUNCTION("""COMPUTED_VALUE"""),43765.99861111111)</f>
        <v>43765.99861</v>
      </c>
      <c r="B3347" s="1">
        <f>IFERROR(__xludf.DUMMYFUNCTION("""COMPUTED_VALUE"""),14106.06)</f>
        <v>14106.06</v>
      </c>
    </row>
    <row r="3348">
      <c r="A3348" s="3">
        <f>IFERROR(__xludf.DUMMYFUNCTION("""COMPUTED_VALUE"""),43766.99861111111)</f>
        <v>43766.99861</v>
      </c>
      <c r="B3348" s="1">
        <f>IFERROR(__xludf.DUMMYFUNCTION("""COMPUTED_VALUE"""),14096.37)</f>
        <v>14096.37</v>
      </c>
    </row>
    <row r="3349">
      <c r="A3349" s="3">
        <f>IFERROR(__xludf.DUMMYFUNCTION("""COMPUTED_VALUE"""),43767.99861111111)</f>
        <v>43767.99861</v>
      </c>
      <c r="B3349" s="1">
        <f>IFERROR(__xludf.DUMMYFUNCTION("""COMPUTED_VALUE"""),14092.25)</f>
        <v>14092.25</v>
      </c>
    </row>
    <row r="3350">
      <c r="A3350" s="3">
        <f>IFERROR(__xludf.DUMMYFUNCTION("""COMPUTED_VALUE"""),43768.99861111111)</f>
        <v>43768.99861</v>
      </c>
      <c r="B3350" s="1">
        <f>IFERROR(__xludf.DUMMYFUNCTION("""COMPUTED_VALUE"""),14143.07)</f>
        <v>14143.07</v>
      </c>
    </row>
    <row r="3351">
      <c r="A3351" s="3">
        <f>IFERROR(__xludf.DUMMYFUNCTION("""COMPUTED_VALUE"""),43769.99861111111)</f>
        <v>43769.99861</v>
      </c>
      <c r="B3351" s="1">
        <f>IFERROR(__xludf.DUMMYFUNCTION("""COMPUTED_VALUE"""),14215.94)</f>
        <v>14215.94</v>
      </c>
    </row>
    <row r="3352">
      <c r="A3352" s="3">
        <f>IFERROR(__xludf.DUMMYFUNCTION("""COMPUTED_VALUE"""),43770.99861111111)</f>
        <v>43770.99861</v>
      </c>
      <c r="B3352" s="1">
        <f>IFERROR(__xludf.DUMMYFUNCTION("""COMPUTED_VALUE"""),14206.93)</f>
        <v>14206.93</v>
      </c>
    </row>
    <row r="3353">
      <c r="A3353" s="3">
        <f>IFERROR(__xludf.DUMMYFUNCTION("""COMPUTED_VALUE"""),43771.99861111111)</f>
        <v>43771.99861</v>
      </c>
      <c r="B3353" s="1">
        <f>IFERROR(__xludf.DUMMYFUNCTION("""COMPUTED_VALUE"""),14225.0)</f>
        <v>14225</v>
      </c>
    </row>
    <row r="3354">
      <c r="A3354" s="3">
        <f>IFERROR(__xludf.DUMMYFUNCTION("""COMPUTED_VALUE"""),43772.99861111111)</f>
        <v>43772.99861</v>
      </c>
      <c r="B3354" s="1">
        <f>IFERROR(__xludf.DUMMYFUNCTION("""COMPUTED_VALUE"""),14222.61)</f>
        <v>14222.61</v>
      </c>
    </row>
    <row r="3355">
      <c r="A3355" s="3">
        <f>IFERROR(__xludf.DUMMYFUNCTION("""COMPUTED_VALUE"""),43773.99861111111)</f>
        <v>43773.99861</v>
      </c>
      <c r="B3355" s="1">
        <f>IFERROR(__xludf.DUMMYFUNCTION("""COMPUTED_VALUE"""),14225.55)</f>
        <v>14225.55</v>
      </c>
    </row>
    <row r="3356">
      <c r="A3356" s="3">
        <f>IFERROR(__xludf.DUMMYFUNCTION("""COMPUTED_VALUE"""),43774.99861111111)</f>
        <v>43774.99861</v>
      </c>
      <c r="B3356" s="1">
        <f>IFERROR(__xludf.DUMMYFUNCTION("""COMPUTED_VALUE"""),14152.75)</f>
        <v>14152.75</v>
      </c>
    </row>
    <row r="3357">
      <c r="A3357" s="3">
        <f>IFERROR(__xludf.DUMMYFUNCTION("""COMPUTED_VALUE"""),43775.99861111111)</f>
        <v>43775.99861</v>
      </c>
      <c r="B3357" s="1">
        <f>IFERROR(__xludf.DUMMYFUNCTION("""COMPUTED_VALUE"""),14118.18)</f>
        <v>14118.18</v>
      </c>
    </row>
    <row r="3358">
      <c r="A3358" s="3">
        <f>IFERROR(__xludf.DUMMYFUNCTION("""COMPUTED_VALUE"""),43776.99861111111)</f>
        <v>43776.99861</v>
      </c>
      <c r="B3358" s="1">
        <f>IFERROR(__xludf.DUMMYFUNCTION("""COMPUTED_VALUE"""),14052.16)</f>
        <v>14052.16</v>
      </c>
    </row>
    <row r="3359">
      <c r="A3359" s="3">
        <f>IFERROR(__xludf.DUMMYFUNCTION("""COMPUTED_VALUE"""),43777.99861111111)</f>
        <v>43777.99861</v>
      </c>
      <c r="B3359" s="1">
        <f>IFERROR(__xludf.DUMMYFUNCTION("""COMPUTED_VALUE"""),14055.5)</f>
        <v>14055.5</v>
      </c>
    </row>
    <row r="3360">
      <c r="A3360" s="3">
        <f>IFERROR(__xludf.DUMMYFUNCTION("""COMPUTED_VALUE"""),43778.99861111111)</f>
        <v>43778.99861</v>
      </c>
      <c r="B3360" s="1">
        <f>IFERROR(__xludf.DUMMYFUNCTION("""COMPUTED_VALUE"""),14055.5)</f>
        <v>14055.5</v>
      </c>
    </row>
    <row r="3361">
      <c r="A3361" s="3">
        <f>IFERROR(__xludf.DUMMYFUNCTION("""COMPUTED_VALUE"""),43779.99861111111)</f>
        <v>43779.99861</v>
      </c>
      <c r="B3361" s="1">
        <f>IFERROR(__xludf.DUMMYFUNCTION("""COMPUTED_VALUE"""),14053.4)</f>
        <v>14053.4</v>
      </c>
    </row>
    <row r="3362">
      <c r="A3362" s="3">
        <f>IFERROR(__xludf.DUMMYFUNCTION("""COMPUTED_VALUE"""),43780.99861111111)</f>
        <v>43780.99861</v>
      </c>
      <c r="B3362" s="1">
        <f>IFERROR(__xludf.DUMMYFUNCTION("""COMPUTED_VALUE"""),14097.36)</f>
        <v>14097.36</v>
      </c>
    </row>
    <row r="3363">
      <c r="A3363" s="3">
        <f>IFERROR(__xludf.DUMMYFUNCTION("""COMPUTED_VALUE"""),43781.99861111111)</f>
        <v>43781.99861</v>
      </c>
      <c r="B3363" s="1">
        <f>IFERROR(__xludf.DUMMYFUNCTION("""COMPUTED_VALUE"""),14164.6)</f>
        <v>14164.6</v>
      </c>
    </row>
    <row r="3364">
      <c r="A3364" s="3">
        <f>IFERROR(__xludf.DUMMYFUNCTION("""COMPUTED_VALUE"""),43782.99861111111)</f>
        <v>43782.99861</v>
      </c>
      <c r="B3364" s="1">
        <f>IFERROR(__xludf.DUMMYFUNCTION("""COMPUTED_VALUE"""),14226.12)</f>
        <v>14226.12</v>
      </c>
    </row>
    <row r="3365">
      <c r="A3365" s="3">
        <f>IFERROR(__xludf.DUMMYFUNCTION("""COMPUTED_VALUE"""),43783.99861111111)</f>
        <v>43783.99861</v>
      </c>
      <c r="B3365" s="1">
        <f>IFERROR(__xludf.DUMMYFUNCTION("""COMPUTED_VALUE"""),14241.46)</f>
        <v>14241.46</v>
      </c>
    </row>
    <row r="3366">
      <c r="A3366" s="3">
        <f>IFERROR(__xludf.DUMMYFUNCTION("""COMPUTED_VALUE"""),43784.99861111111)</f>
        <v>43784.99861</v>
      </c>
      <c r="B3366" s="1">
        <f>IFERROR(__xludf.DUMMYFUNCTION("""COMPUTED_VALUE"""),14218.26)</f>
        <v>14218.26</v>
      </c>
    </row>
    <row r="3367">
      <c r="A3367" s="3">
        <f>IFERROR(__xludf.DUMMYFUNCTION("""COMPUTED_VALUE"""),43785.99861111111)</f>
        <v>43785.99861</v>
      </c>
      <c r="B3367" s="1">
        <f>IFERROR(__xludf.DUMMYFUNCTION("""COMPUTED_VALUE"""),14192.0)</f>
        <v>14192</v>
      </c>
    </row>
    <row r="3368">
      <c r="A3368" s="3">
        <f>IFERROR(__xludf.DUMMYFUNCTION("""COMPUTED_VALUE"""),43786.99861111111)</f>
        <v>43786.99861</v>
      </c>
      <c r="B3368" s="1">
        <f>IFERROR(__xludf.DUMMYFUNCTION("""COMPUTED_VALUE"""),14199.2)</f>
        <v>14199.2</v>
      </c>
    </row>
    <row r="3369">
      <c r="A3369" s="3">
        <f>IFERROR(__xludf.DUMMYFUNCTION("""COMPUTED_VALUE"""),43787.99861111111)</f>
        <v>43787.99861</v>
      </c>
      <c r="B3369" s="1">
        <f>IFERROR(__xludf.DUMMYFUNCTION("""COMPUTED_VALUE"""),14213.09)</f>
        <v>14213.09</v>
      </c>
    </row>
    <row r="3370">
      <c r="A3370" s="3">
        <f>IFERROR(__xludf.DUMMYFUNCTION("""COMPUTED_VALUE"""),43788.99861111111)</f>
        <v>43788.99861</v>
      </c>
      <c r="B3370" s="1">
        <f>IFERROR(__xludf.DUMMYFUNCTION("""COMPUTED_VALUE"""),14226.32)</f>
        <v>14226.32</v>
      </c>
    </row>
    <row r="3371">
      <c r="A3371" s="3">
        <f>IFERROR(__xludf.DUMMYFUNCTION("""COMPUTED_VALUE"""),43789.99861111111)</f>
        <v>43789.99861</v>
      </c>
      <c r="B3371" s="1">
        <f>IFERROR(__xludf.DUMMYFUNCTION("""COMPUTED_VALUE"""),14173.24)</f>
        <v>14173.24</v>
      </c>
    </row>
    <row r="3372">
      <c r="A3372" s="3">
        <f>IFERROR(__xludf.DUMMYFUNCTION("""COMPUTED_VALUE"""),43790.99861111111)</f>
        <v>43790.99861</v>
      </c>
      <c r="B3372" s="1">
        <f>IFERROR(__xludf.DUMMYFUNCTION("""COMPUTED_VALUE"""),14177.02)</f>
        <v>14177.02</v>
      </c>
    </row>
    <row r="3373">
      <c r="A3373" s="3">
        <f>IFERROR(__xludf.DUMMYFUNCTION("""COMPUTED_VALUE"""),43791.99861111111)</f>
        <v>43791.99861</v>
      </c>
      <c r="B3373" s="1">
        <f>IFERROR(__xludf.DUMMYFUNCTION("""COMPUTED_VALUE"""),14129.85)</f>
        <v>14129.85</v>
      </c>
    </row>
    <row r="3374">
      <c r="A3374" s="3">
        <f>IFERROR(__xludf.DUMMYFUNCTION("""COMPUTED_VALUE"""),43792.99861111111)</f>
        <v>43792.99861</v>
      </c>
      <c r="B3374" s="1">
        <f>IFERROR(__xludf.DUMMYFUNCTION("""COMPUTED_VALUE"""),14129.85)</f>
        <v>14129.85</v>
      </c>
    </row>
    <row r="3375">
      <c r="A3375" s="3">
        <f>IFERROR(__xludf.DUMMYFUNCTION("""COMPUTED_VALUE"""),43793.99861111111)</f>
        <v>43793.99861</v>
      </c>
      <c r="B3375" s="1">
        <f>IFERROR(__xludf.DUMMYFUNCTION("""COMPUTED_VALUE"""),14120.86)</f>
        <v>14120.86</v>
      </c>
    </row>
    <row r="3376">
      <c r="A3376" s="3">
        <f>IFERROR(__xludf.DUMMYFUNCTION("""COMPUTED_VALUE"""),43794.99861111111)</f>
        <v>43794.99861</v>
      </c>
      <c r="B3376" s="1">
        <f>IFERROR(__xludf.DUMMYFUNCTION("""COMPUTED_VALUE"""),14113.83)</f>
        <v>14113.83</v>
      </c>
    </row>
    <row r="3377">
      <c r="A3377" s="3">
        <f>IFERROR(__xludf.DUMMYFUNCTION("""COMPUTED_VALUE"""),43795.99861111111)</f>
        <v>43795.99861</v>
      </c>
      <c r="B3377" s="1">
        <f>IFERROR(__xludf.DUMMYFUNCTION("""COMPUTED_VALUE"""),14113.58)</f>
        <v>14113.58</v>
      </c>
    </row>
    <row r="3378">
      <c r="A3378" s="3">
        <f>IFERROR(__xludf.DUMMYFUNCTION("""COMPUTED_VALUE"""),43796.99861111111)</f>
        <v>43796.99861</v>
      </c>
      <c r="B3378" s="1">
        <f>IFERROR(__xludf.DUMMYFUNCTION("""COMPUTED_VALUE"""),14114.76)</f>
        <v>14114.76</v>
      </c>
    </row>
    <row r="3379">
      <c r="A3379" s="3">
        <f>IFERROR(__xludf.DUMMYFUNCTION("""COMPUTED_VALUE"""),43797.99861111111)</f>
        <v>43797.99861</v>
      </c>
      <c r="B3379" s="1">
        <f>IFERROR(__xludf.DUMMYFUNCTION("""COMPUTED_VALUE"""),14097.5)</f>
        <v>14097.5</v>
      </c>
    </row>
    <row r="3380">
      <c r="A3380" s="3">
        <f>IFERROR(__xludf.DUMMYFUNCTION("""COMPUTED_VALUE"""),43798.99861111111)</f>
        <v>43798.99861</v>
      </c>
      <c r="B3380" s="1">
        <f>IFERROR(__xludf.DUMMYFUNCTION("""COMPUTED_VALUE"""),14083.48)</f>
        <v>14083.48</v>
      </c>
    </row>
    <row r="3381">
      <c r="A3381" s="3">
        <f>IFERROR(__xludf.DUMMYFUNCTION("""COMPUTED_VALUE"""),43799.99861111111)</f>
        <v>43799.99861</v>
      </c>
      <c r="B3381" s="1">
        <f>IFERROR(__xludf.DUMMYFUNCTION("""COMPUTED_VALUE"""),14074.09)</f>
        <v>14074.09</v>
      </c>
    </row>
    <row r="3382">
      <c r="A3382" s="3">
        <f>IFERROR(__xludf.DUMMYFUNCTION("""COMPUTED_VALUE"""),43800.99861111111)</f>
        <v>43800.99861</v>
      </c>
      <c r="B3382" s="1">
        <f>IFERROR(__xludf.DUMMYFUNCTION("""COMPUTED_VALUE"""),14073.39)</f>
        <v>14073.39</v>
      </c>
    </row>
    <row r="3383">
      <c r="A3383" s="3">
        <f>IFERROR(__xludf.DUMMYFUNCTION("""COMPUTED_VALUE"""),43801.99861111111)</f>
        <v>43801.99861</v>
      </c>
      <c r="B3383" s="1">
        <f>IFERROR(__xludf.DUMMYFUNCTION("""COMPUTED_VALUE"""),14247.74)</f>
        <v>14247.74</v>
      </c>
    </row>
    <row r="3384">
      <c r="A3384" s="3">
        <f>IFERROR(__xludf.DUMMYFUNCTION("""COMPUTED_VALUE"""),43802.99861111111)</f>
        <v>43802.99861</v>
      </c>
      <c r="B3384" s="1">
        <f>IFERROR(__xludf.DUMMYFUNCTION("""COMPUTED_VALUE"""),14283.23)</f>
        <v>14283.23</v>
      </c>
    </row>
    <row r="3385">
      <c r="A3385" s="3">
        <f>IFERROR(__xludf.DUMMYFUNCTION("""COMPUTED_VALUE"""),43803.99861111111)</f>
        <v>43803.99861</v>
      </c>
      <c r="B3385" s="1">
        <f>IFERROR(__xludf.DUMMYFUNCTION("""COMPUTED_VALUE"""),14165.72)</f>
        <v>14165.72</v>
      </c>
    </row>
    <row r="3386">
      <c r="A3386" s="3">
        <f>IFERROR(__xludf.DUMMYFUNCTION("""COMPUTED_VALUE"""),43804.99861111111)</f>
        <v>43804.99861</v>
      </c>
      <c r="B3386" s="1">
        <f>IFERROR(__xludf.DUMMYFUNCTION("""COMPUTED_VALUE"""),14152.79)</f>
        <v>14152.79</v>
      </c>
    </row>
    <row r="3387">
      <c r="A3387" s="3">
        <f>IFERROR(__xludf.DUMMYFUNCTION("""COMPUTED_VALUE"""),43805.99861111111)</f>
        <v>43805.99861</v>
      </c>
      <c r="B3387" s="1">
        <f>IFERROR(__xludf.DUMMYFUNCTION("""COMPUTED_VALUE"""),14161.81)</f>
        <v>14161.81</v>
      </c>
    </row>
    <row r="3388">
      <c r="A3388" s="3">
        <f>IFERROR(__xludf.DUMMYFUNCTION("""COMPUTED_VALUE"""),43806.99861111111)</f>
        <v>43806.99861</v>
      </c>
      <c r="B3388" s="1">
        <f>IFERROR(__xludf.DUMMYFUNCTION("""COMPUTED_VALUE"""),14161.81)</f>
        <v>14161.81</v>
      </c>
    </row>
    <row r="3389">
      <c r="A3389" s="3">
        <f>IFERROR(__xludf.DUMMYFUNCTION("""COMPUTED_VALUE"""),43807.99861111111)</f>
        <v>43807.99861</v>
      </c>
      <c r="B3389" s="1">
        <f>IFERROR(__xludf.DUMMYFUNCTION("""COMPUTED_VALUE"""),14162.65)</f>
        <v>14162.65</v>
      </c>
    </row>
    <row r="3390">
      <c r="A3390" s="3">
        <f>IFERROR(__xludf.DUMMYFUNCTION("""COMPUTED_VALUE"""),43808.99861111111)</f>
        <v>43808.99861</v>
      </c>
      <c r="B3390" s="1">
        <f>IFERROR(__xludf.DUMMYFUNCTION("""COMPUTED_VALUE"""),14177.91)</f>
        <v>14177.91</v>
      </c>
    </row>
    <row r="3391">
      <c r="A3391" s="3">
        <f>IFERROR(__xludf.DUMMYFUNCTION("""COMPUTED_VALUE"""),43809.99861111111)</f>
        <v>43809.99861</v>
      </c>
      <c r="B3391" s="1">
        <f>IFERROR(__xludf.DUMMYFUNCTION("""COMPUTED_VALUE"""),14231.04)</f>
        <v>14231.04</v>
      </c>
    </row>
    <row r="3392">
      <c r="A3392" s="3">
        <f>IFERROR(__xludf.DUMMYFUNCTION("""COMPUTED_VALUE"""),43810.99861111111)</f>
        <v>43810.99861</v>
      </c>
      <c r="B3392" s="1">
        <f>IFERROR(__xludf.DUMMYFUNCTION("""COMPUTED_VALUE"""),14229.69)</f>
        <v>14229.69</v>
      </c>
    </row>
    <row r="3393">
      <c r="A3393" s="3">
        <f>IFERROR(__xludf.DUMMYFUNCTION("""COMPUTED_VALUE"""),43811.99861111111)</f>
        <v>43811.99861</v>
      </c>
      <c r="B3393" s="1">
        <f>IFERROR(__xludf.DUMMYFUNCTION("""COMPUTED_VALUE"""),14144.84)</f>
        <v>14144.84</v>
      </c>
    </row>
    <row r="3394">
      <c r="A3394" s="3">
        <f>IFERROR(__xludf.DUMMYFUNCTION("""COMPUTED_VALUE"""),43812.99861111111)</f>
        <v>43812.99861</v>
      </c>
      <c r="B3394" s="1">
        <f>IFERROR(__xludf.DUMMYFUNCTION("""COMPUTED_VALUE"""),14202.92)</f>
        <v>14202.92</v>
      </c>
    </row>
    <row r="3395">
      <c r="A3395" s="3">
        <f>IFERROR(__xludf.DUMMYFUNCTION("""COMPUTED_VALUE"""),43813.99861111111)</f>
        <v>43813.99861</v>
      </c>
      <c r="B3395" s="1">
        <f>IFERROR(__xludf.DUMMYFUNCTION("""COMPUTED_VALUE"""),14202.92)</f>
        <v>14202.92</v>
      </c>
    </row>
    <row r="3396">
      <c r="A3396" s="3">
        <f>IFERROR(__xludf.DUMMYFUNCTION("""COMPUTED_VALUE"""),43814.99861111111)</f>
        <v>43814.99861</v>
      </c>
      <c r="B3396" s="1">
        <f>IFERROR(__xludf.DUMMYFUNCTION("""COMPUTED_VALUE"""),14195.08)</f>
        <v>14195.08</v>
      </c>
    </row>
    <row r="3397">
      <c r="A3397" s="3">
        <f>IFERROR(__xludf.DUMMYFUNCTION("""COMPUTED_VALUE"""),43815.99861111111)</f>
        <v>43815.99861</v>
      </c>
      <c r="B3397" s="1">
        <f>IFERROR(__xludf.DUMMYFUNCTION("""COMPUTED_VALUE"""),14252.58)</f>
        <v>14252.58</v>
      </c>
    </row>
    <row r="3398">
      <c r="A3398" s="3">
        <f>IFERROR(__xludf.DUMMYFUNCTION("""COMPUTED_VALUE"""),43816.99861111111)</f>
        <v>43816.99861</v>
      </c>
      <c r="B3398" s="1">
        <f>IFERROR(__xludf.DUMMYFUNCTION("""COMPUTED_VALUE"""),14270.03)</f>
        <v>14270.03</v>
      </c>
    </row>
    <row r="3399">
      <c r="A3399" s="3">
        <f>IFERROR(__xludf.DUMMYFUNCTION("""COMPUTED_VALUE"""),43817.99861111111)</f>
        <v>43817.99861</v>
      </c>
      <c r="B3399" s="1">
        <f>IFERROR(__xludf.DUMMYFUNCTION("""COMPUTED_VALUE"""),14254.05)</f>
        <v>14254.05</v>
      </c>
    </row>
    <row r="3400">
      <c r="A3400" s="3">
        <f>IFERROR(__xludf.DUMMYFUNCTION("""COMPUTED_VALUE"""),43818.99861111111)</f>
        <v>43818.99861</v>
      </c>
      <c r="B3400" s="1">
        <f>IFERROR(__xludf.DUMMYFUNCTION("""COMPUTED_VALUE"""),14293.59)</f>
        <v>14293.59</v>
      </c>
    </row>
    <row r="3401">
      <c r="A3401" s="3">
        <f>IFERROR(__xludf.DUMMYFUNCTION("""COMPUTED_VALUE"""),43819.99861111111)</f>
        <v>43819.99861</v>
      </c>
      <c r="B3401" s="1">
        <f>IFERROR(__xludf.DUMMYFUNCTION("""COMPUTED_VALUE"""),14212.22)</f>
        <v>14212.22</v>
      </c>
    </row>
    <row r="3402">
      <c r="A3402" s="3">
        <f>IFERROR(__xludf.DUMMYFUNCTION("""COMPUTED_VALUE"""),43820.99861111111)</f>
        <v>43820.99861</v>
      </c>
      <c r="B3402" s="1">
        <f>IFERROR(__xludf.DUMMYFUNCTION("""COMPUTED_VALUE"""),14212.22)</f>
        <v>14212.22</v>
      </c>
    </row>
    <row r="3403">
      <c r="A3403" s="3">
        <f>IFERROR(__xludf.DUMMYFUNCTION("""COMPUTED_VALUE"""),43821.99861111111)</f>
        <v>43821.99861</v>
      </c>
      <c r="B3403" s="1">
        <f>IFERROR(__xludf.DUMMYFUNCTION("""COMPUTED_VALUE"""),14214.18)</f>
        <v>14214.18</v>
      </c>
    </row>
    <row r="3404">
      <c r="A3404" s="3">
        <f>IFERROR(__xludf.DUMMYFUNCTION("""COMPUTED_VALUE"""),43822.99861111111)</f>
        <v>43822.99861</v>
      </c>
      <c r="B3404" s="1">
        <f>IFERROR(__xludf.DUMMYFUNCTION("""COMPUTED_VALUE"""),14222.93)</f>
        <v>14222.93</v>
      </c>
    </row>
    <row r="3405">
      <c r="A3405" s="3">
        <f>IFERROR(__xludf.DUMMYFUNCTION("""COMPUTED_VALUE"""),43823.99861111111)</f>
        <v>43823.99861</v>
      </c>
      <c r="B3405" s="1">
        <f>IFERROR(__xludf.DUMMYFUNCTION("""COMPUTED_VALUE"""),14245.62)</f>
        <v>14245.62</v>
      </c>
    </row>
    <row r="3406">
      <c r="A3406" s="3">
        <f>IFERROR(__xludf.DUMMYFUNCTION("""COMPUTED_VALUE"""),43824.99861111111)</f>
        <v>43824.99861</v>
      </c>
      <c r="B3406" s="1">
        <f>IFERROR(__xludf.DUMMYFUNCTION("""COMPUTED_VALUE"""),14228.59)</f>
        <v>14228.59</v>
      </c>
    </row>
    <row r="3407">
      <c r="A3407" s="3">
        <f>IFERROR(__xludf.DUMMYFUNCTION("""COMPUTED_VALUE"""),43825.99861111111)</f>
        <v>43825.99861</v>
      </c>
      <c r="B3407" s="1">
        <f>IFERROR(__xludf.DUMMYFUNCTION("""COMPUTED_VALUE"""),14219.31)</f>
        <v>14219.31</v>
      </c>
    </row>
    <row r="3408">
      <c r="A3408" s="3">
        <f>IFERROR(__xludf.DUMMYFUNCTION("""COMPUTED_VALUE"""),43826.99861111111)</f>
        <v>43826.99861</v>
      </c>
      <c r="B3408" s="1">
        <f>IFERROR(__xludf.DUMMYFUNCTION("""COMPUTED_VALUE"""),14322.58)</f>
        <v>14322.58</v>
      </c>
    </row>
    <row r="3409">
      <c r="A3409" s="3">
        <f>IFERROR(__xludf.DUMMYFUNCTION("""COMPUTED_VALUE"""),43827.99861111111)</f>
        <v>43827.99861</v>
      </c>
      <c r="B3409" s="1">
        <f>IFERROR(__xludf.DUMMYFUNCTION("""COMPUTED_VALUE"""),14322.58)</f>
        <v>14322.58</v>
      </c>
    </row>
    <row r="3410">
      <c r="A3410" s="3">
        <f>IFERROR(__xludf.DUMMYFUNCTION("""COMPUTED_VALUE"""),43828.99861111111)</f>
        <v>43828.99861</v>
      </c>
      <c r="B3410" s="1">
        <f>IFERROR(__xludf.DUMMYFUNCTION("""COMPUTED_VALUE"""),14324.61)</f>
        <v>14324.61</v>
      </c>
    </row>
    <row r="3411">
      <c r="A3411" s="3">
        <f>IFERROR(__xludf.DUMMYFUNCTION("""COMPUTED_VALUE"""),43829.99861111111)</f>
        <v>43829.99861</v>
      </c>
      <c r="B3411" s="1">
        <f>IFERROR(__xludf.DUMMYFUNCTION("""COMPUTED_VALUE"""),14373.44)</f>
        <v>14373.44</v>
      </c>
    </row>
    <row r="3412">
      <c r="A3412" s="3">
        <f>IFERROR(__xludf.DUMMYFUNCTION("""COMPUTED_VALUE"""),43830.99861111111)</f>
        <v>43830.99861</v>
      </c>
      <c r="B3412" s="1">
        <f>IFERROR(__xludf.DUMMYFUNCTION("""COMPUTED_VALUE"""),14333.59)</f>
        <v>14333.59</v>
      </c>
    </row>
    <row r="3413">
      <c r="A3413" s="3">
        <f>IFERROR(__xludf.DUMMYFUNCTION("""COMPUTED_VALUE"""),43831.99861111111)</f>
        <v>43831.99861</v>
      </c>
      <c r="B3413" s="1">
        <f>IFERROR(__xludf.DUMMYFUNCTION("""COMPUTED_VALUE"""),14356.3)</f>
        <v>14356.3</v>
      </c>
    </row>
    <row r="3414">
      <c r="A3414" s="3">
        <f>IFERROR(__xludf.DUMMYFUNCTION("""COMPUTED_VALUE"""),43832.99861111111)</f>
        <v>43832.99861</v>
      </c>
      <c r="B3414" s="1">
        <f>IFERROR(__xludf.DUMMYFUNCTION("""COMPUTED_VALUE"""),14294.99)</f>
        <v>14294.99</v>
      </c>
    </row>
    <row r="3415">
      <c r="A3415" s="3">
        <f>IFERROR(__xludf.DUMMYFUNCTION("""COMPUTED_VALUE"""),43833.99861111111)</f>
        <v>43833.99861</v>
      </c>
      <c r="B3415" s="1">
        <f>IFERROR(__xludf.DUMMYFUNCTION("""COMPUTED_VALUE"""),14329.8)</f>
        <v>14329.8</v>
      </c>
    </row>
    <row r="3416">
      <c r="A3416" s="3">
        <f>IFERROR(__xludf.DUMMYFUNCTION("""COMPUTED_VALUE"""),43834.99861111111)</f>
        <v>43834.99861</v>
      </c>
      <c r="B3416" s="1">
        <f>IFERROR(__xludf.DUMMYFUNCTION("""COMPUTED_VALUE"""),14329.8)</f>
        <v>14329.8</v>
      </c>
    </row>
    <row r="3417">
      <c r="A3417" s="3">
        <f>IFERROR(__xludf.DUMMYFUNCTION("""COMPUTED_VALUE"""),43835.99861111111)</f>
        <v>43835.99861</v>
      </c>
      <c r="B3417" s="1">
        <f>IFERROR(__xludf.DUMMYFUNCTION("""COMPUTED_VALUE"""),14344.01)</f>
        <v>14344.01</v>
      </c>
    </row>
    <row r="3418">
      <c r="A3418" s="3">
        <f>IFERROR(__xludf.DUMMYFUNCTION("""COMPUTED_VALUE"""),43836.99861111111)</f>
        <v>43836.99861</v>
      </c>
      <c r="B3418" s="1">
        <f>IFERROR(__xludf.DUMMYFUNCTION("""COMPUTED_VALUE"""),14344.93)</f>
        <v>14344.93</v>
      </c>
    </row>
    <row r="3419">
      <c r="A3419" s="3">
        <f>IFERROR(__xludf.DUMMYFUNCTION("""COMPUTED_VALUE"""),43837.99861111111)</f>
        <v>43837.99861</v>
      </c>
      <c r="B3419" s="1">
        <f>IFERROR(__xludf.DUMMYFUNCTION("""COMPUTED_VALUE"""),14311.82)</f>
        <v>14311.82</v>
      </c>
    </row>
    <row r="3420">
      <c r="A3420" s="3">
        <f>IFERROR(__xludf.DUMMYFUNCTION("""COMPUTED_VALUE"""),43838.99861111111)</f>
        <v>43838.99861</v>
      </c>
      <c r="B3420" s="1">
        <f>IFERROR(__xludf.DUMMYFUNCTION("""COMPUTED_VALUE"""),14284.66)</f>
        <v>14284.66</v>
      </c>
    </row>
    <row r="3421">
      <c r="A3421" s="3">
        <f>IFERROR(__xludf.DUMMYFUNCTION("""COMPUTED_VALUE"""),43839.99861111111)</f>
        <v>43839.99861</v>
      </c>
      <c r="B3421" s="1">
        <f>IFERROR(__xludf.DUMMYFUNCTION("""COMPUTED_VALUE"""),14211.39)</f>
        <v>14211.39</v>
      </c>
    </row>
    <row r="3422">
      <c r="A3422" s="3">
        <f>IFERROR(__xludf.DUMMYFUNCTION("""COMPUTED_VALUE"""),43840.99861111111)</f>
        <v>43840.99861</v>
      </c>
      <c r="B3422" s="1">
        <f>IFERROR(__xludf.DUMMYFUNCTION("""COMPUTED_VALUE"""),14147.02)</f>
        <v>14147.02</v>
      </c>
    </row>
    <row r="3423">
      <c r="A3423" s="3">
        <f>IFERROR(__xludf.DUMMYFUNCTION("""COMPUTED_VALUE"""),43841.99861111111)</f>
        <v>43841.99861</v>
      </c>
      <c r="B3423" s="1">
        <f>IFERROR(__xludf.DUMMYFUNCTION("""COMPUTED_VALUE"""),14111.89)</f>
        <v>14111.89</v>
      </c>
    </row>
    <row r="3424">
      <c r="A3424" s="3">
        <f>IFERROR(__xludf.DUMMYFUNCTION("""COMPUTED_VALUE"""),43842.99861111111)</f>
        <v>43842.99861</v>
      </c>
      <c r="B3424" s="1">
        <f>IFERROR(__xludf.DUMMYFUNCTION("""COMPUTED_VALUE"""),14110.39)</f>
        <v>14110.39</v>
      </c>
    </row>
    <row r="3425">
      <c r="A3425" s="3">
        <f>IFERROR(__xludf.DUMMYFUNCTION("""COMPUTED_VALUE"""),43843.99861111111)</f>
        <v>43843.99861</v>
      </c>
      <c r="B3425" s="1">
        <f>IFERROR(__xludf.DUMMYFUNCTION("""COMPUTED_VALUE"""),14080.04)</f>
        <v>14080.04</v>
      </c>
    </row>
    <row r="3426">
      <c r="A3426" s="3">
        <f>IFERROR(__xludf.DUMMYFUNCTION("""COMPUTED_VALUE"""),43844.99861111111)</f>
        <v>43844.99861</v>
      </c>
      <c r="B3426" s="1">
        <f>IFERROR(__xludf.DUMMYFUNCTION("""COMPUTED_VALUE"""),14136.06)</f>
        <v>14136.06</v>
      </c>
    </row>
    <row r="3427">
      <c r="A3427" s="3">
        <f>IFERROR(__xludf.DUMMYFUNCTION("""COMPUTED_VALUE"""),43845.99861111111)</f>
        <v>43845.99861</v>
      </c>
      <c r="B3427" s="1">
        <f>IFERROR(__xludf.DUMMYFUNCTION("""COMPUTED_VALUE"""),14183.04)</f>
        <v>14183.04</v>
      </c>
    </row>
    <row r="3428">
      <c r="A3428" s="3">
        <f>IFERROR(__xludf.DUMMYFUNCTION("""COMPUTED_VALUE"""),43846.99861111111)</f>
        <v>43846.99861</v>
      </c>
      <c r="B3428" s="1">
        <f>IFERROR(__xludf.DUMMYFUNCTION("""COMPUTED_VALUE"""),14115.46)</f>
        <v>14115.46</v>
      </c>
    </row>
    <row r="3429">
      <c r="A3429" s="3">
        <f>IFERROR(__xludf.DUMMYFUNCTION("""COMPUTED_VALUE"""),43847.99861111111)</f>
        <v>43847.99861</v>
      </c>
      <c r="B3429" s="1">
        <f>IFERROR(__xludf.DUMMYFUNCTION("""COMPUTED_VALUE"""),14117.26)</f>
        <v>14117.26</v>
      </c>
    </row>
    <row r="3430">
      <c r="A3430" s="3">
        <f>IFERROR(__xludf.DUMMYFUNCTION("""COMPUTED_VALUE"""),43848.99861111111)</f>
        <v>43848.99861</v>
      </c>
      <c r="B3430" s="1">
        <f>IFERROR(__xludf.DUMMYFUNCTION("""COMPUTED_VALUE"""),14117.26)</f>
        <v>14117.26</v>
      </c>
    </row>
    <row r="3431">
      <c r="A3431" s="3">
        <f>IFERROR(__xludf.DUMMYFUNCTION("""COMPUTED_VALUE"""),43849.99861111111)</f>
        <v>43849.99861</v>
      </c>
      <c r="B3431" s="1">
        <f>IFERROR(__xludf.DUMMYFUNCTION("""COMPUTED_VALUE"""),14108.06)</f>
        <v>14108.06</v>
      </c>
    </row>
    <row r="3432">
      <c r="A3432" s="3">
        <f>IFERROR(__xludf.DUMMYFUNCTION("""COMPUTED_VALUE"""),43850.99861111111)</f>
        <v>43850.99861</v>
      </c>
      <c r="B3432" s="1">
        <f>IFERROR(__xludf.DUMMYFUNCTION("""COMPUTED_VALUE"""),14061.61)</f>
        <v>14061.61</v>
      </c>
    </row>
    <row r="3433">
      <c r="A3433" s="3">
        <f>IFERROR(__xludf.DUMMYFUNCTION("""COMPUTED_VALUE"""),43851.99861111111)</f>
        <v>43851.99861</v>
      </c>
      <c r="B3433" s="1">
        <f>IFERROR(__xludf.DUMMYFUNCTION("""COMPUTED_VALUE"""),14099.69)</f>
        <v>14099.69</v>
      </c>
    </row>
    <row r="3434">
      <c r="A3434" s="3">
        <f>IFERROR(__xludf.DUMMYFUNCTION("""COMPUTED_VALUE"""),43852.99861111111)</f>
        <v>43852.99861</v>
      </c>
      <c r="B3434" s="1">
        <f>IFERROR(__xludf.DUMMYFUNCTION("""COMPUTED_VALUE"""),14088.55)</f>
        <v>14088.55</v>
      </c>
    </row>
    <row r="3435">
      <c r="A3435" s="3">
        <f>IFERROR(__xludf.DUMMYFUNCTION("""COMPUTED_VALUE"""),43853.99861111111)</f>
        <v>43853.99861</v>
      </c>
      <c r="B3435" s="1">
        <f>IFERROR(__xludf.DUMMYFUNCTION("""COMPUTED_VALUE"""),14040.29)</f>
        <v>14040.29</v>
      </c>
    </row>
    <row r="3436">
      <c r="A3436" s="3">
        <f>IFERROR(__xludf.DUMMYFUNCTION("""COMPUTED_VALUE"""),43854.99861111111)</f>
        <v>43854.99861</v>
      </c>
      <c r="B3436" s="1">
        <f>IFERROR(__xludf.DUMMYFUNCTION("""COMPUTED_VALUE"""),14122.43)</f>
        <v>14122.43</v>
      </c>
    </row>
    <row r="3437">
      <c r="A3437" s="3">
        <f>IFERROR(__xludf.DUMMYFUNCTION("""COMPUTED_VALUE"""),43855.99861111111)</f>
        <v>43855.99861</v>
      </c>
      <c r="B3437" s="1">
        <f>IFERROR(__xludf.DUMMYFUNCTION("""COMPUTED_VALUE"""),14122.43)</f>
        <v>14122.43</v>
      </c>
    </row>
    <row r="3438">
      <c r="A3438" s="3">
        <f>IFERROR(__xludf.DUMMYFUNCTION("""COMPUTED_VALUE"""),43856.99861111111)</f>
        <v>43856.99861</v>
      </c>
      <c r="B3438" s="1">
        <f>IFERROR(__xludf.DUMMYFUNCTION("""COMPUTED_VALUE"""),14139.13)</f>
        <v>14139.13</v>
      </c>
    </row>
    <row r="3439">
      <c r="A3439" s="3">
        <f>IFERROR(__xludf.DUMMYFUNCTION("""COMPUTED_VALUE"""),43857.99861111111)</f>
        <v>43857.99861</v>
      </c>
      <c r="B3439" s="1">
        <f>IFERROR(__xludf.DUMMYFUNCTION("""COMPUTED_VALUE"""),13626.73)</f>
        <v>13626.73</v>
      </c>
    </row>
    <row r="3440">
      <c r="A3440" s="3">
        <f>IFERROR(__xludf.DUMMYFUNCTION("""COMPUTED_VALUE"""),43858.99861111111)</f>
        <v>43858.99861</v>
      </c>
      <c r="B3440" s="1">
        <f>IFERROR(__xludf.DUMMYFUNCTION("""COMPUTED_VALUE"""),13985.36)</f>
        <v>13985.36</v>
      </c>
    </row>
    <row r="3441">
      <c r="A3441" s="3">
        <f>IFERROR(__xludf.DUMMYFUNCTION("""COMPUTED_VALUE"""),43859.99861111111)</f>
        <v>43859.99861</v>
      </c>
      <c r="B3441" s="1">
        <f>IFERROR(__xludf.DUMMYFUNCTION("""COMPUTED_VALUE"""),13993.1)</f>
        <v>13993.1</v>
      </c>
    </row>
    <row r="3442">
      <c r="A3442" s="3">
        <f>IFERROR(__xludf.DUMMYFUNCTION("""COMPUTED_VALUE"""),43860.99861111111)</f>
        <v>43860.99861</v>
      </c>
      <c r="B3442" s="1">
        <f>IFERROR(__xludf.DUMMYFUNCTION("""COMPUTED_VALUE"""),14079.49)</f>
        <v>14079.49</v>
      </c>
    </row>
    <row r="3443">
      <c r="A3443" s="3">
        <f>IFERROR(__xludf.DUMMYFUNCTION("""COMPUTED_VALUE"""),43861.99861111111)</f>
        <v>43861.99861</v>
      </c>
      <c r="B3443" s="1">
        <f>IFERROR(__xludf.DUMMYFUNCTION("""COMPUTED_VALUE"""),14154.54)</f>
        <v>14154.54</v>
      </c>
    </row>
    <row r="3444">
      <c r="A3444" s="3">
        <f>IFERROR(__xludf.DUMMYFUNCTION("""COMPUTED_VALUE"""),43862.99861111111)</f>
        <v>43862.99861</v>
      </c>
      <c r="B3444" s="1">
        <f>IFERROR(__xludf.DUMMYFUNCTION("""COMPUTED_VALUE"""),14154.54)</f>
        <v>14154.54</v>
      </c>
    </row>
    <row r="3445">
      <c r="A3445" s="3">
        <f>IFERROR(__xludf.DUMMYFUNCTION("""COMPUTED_VALUE"""),43863.99861111111)</f>
        <v>43863.99861</v>
      </c>
      <c r="B3445" s="1">
        <f>IFERROR(__xludf.DUMMYFUNCTION("""COMPUTED_VALUE"""),14161.63)</f>
        <v>14161.63</v>
      </c>
    </row>
    <row r="3446">
      <c r="A3446" s="3">
        <f>IFERROR(__xludf.DUMMYFUNCTION("""COMPUTED_VALUE"""),43864.99861111111)</f>
        <v>43864.99861</v>
      </c>
      <c r="B3446" s="1">
        <f>IFERROR(__xludf.DUMMYFUNCTION("""COMPUTED_VALUE"""),14228.49)</f>
        <v>14228.49</v>
      </c>
    </row>
    <row r="3447">
      <c r="A3447" s="3">
        <f>IFERROR(__xludf.DUMMYFUNCTION("""COMPUTED_VALUE"""),43865.99861111111)</f>
        <v>43865.99861</v>
      </c>
      <c r="B3447" s="1">
        <f>IFERROR(__xludf.DUMMYFUNCTION("""COMPUTED_VALUE"""),14140.01)</f>
        <v>14140.01</v>
      </c>
    </row>
    <row r="3448">
      <c r="A3448" s="3">
        <f>IFERROR(__xludf.DUMMYFUNCTION("""COMPUTED_VALUE"""),43866.99861111111)</f>
        <v>43866.99861</v>
      </c>
      <c r="B3448" s="1">
        <f>IFERROR(__xludf.DUMMYFUNCTION("""COMPUTED_VALUE"""),14046.23)</f>
        <v>14046.23</v>
      </c>
    </row>
    <row r="3449">
      <c r="A3449" s="3">
        <f>IFERROR(__xludf.DUMMYFUNCTION("""COMPUTED_VALUE"""),43867.99861111111)</f>
        <v>43867.99861</v>
      </c>
      <c r="B3449" s="1">
        <f>IFERROR(__xludf.DUMMYFUNCTION("""COMPUTED_VALUE"""),13996.43)</f>
        <v>13996.43</v>
      </c>
    </row>
    <row r="3450">
      <c r="A3450" s="3">
        <f>IFERROR(__xludf.DUMMYFUNCTION("""COMPUTED_VALUE"""),43868.99861111111)</f>
        <v>43868.99861</v>
      </c>
      <c r="B3450" s="1">
        <f>IFERROR(__xludf.DUMMYFUNCTION("""COMPUTED_VALUE"""),13993.36)</f>
        <v>13993.36</v>
      </c>
    </row>
    <row r="3451">
      <c r="A3451" s="3">
        <f>IFERROR(__xludf.DUMMYFUNCTION("""COMPUTED_VALUE"""),43869.99861111111)</f>
        <v>43869.99861</v>
      </c>
      <c r="B3451" s="1">
        <f>IFERROR(__xludf.DUMMYFUNCTION("""COMPUTED_VALUE"""),13993.36)</f>
        <v>13993.36</v>
      </c>
    </row>
    <row r="3452">
      <c r="A3452" s="3">
        <f>IFERROR(__xludf.DUMMYFUNCTION("""COMPUTED_VALUE"""),43870.99861111111)</f>
        <v>43870.99861</v>
      </c>
      <c r="B3452" s="1">
        <f>IFERROR(__xludf.DUMMYFUNCTION("""COMPUTED_VALUE"""),14004.03)</f>
        <v>14004.03</v>
      </c>
    </row>
    <row r="3453">
      <c r="A3453" s="3">
        <f>IFERROR(__xludf.DUMMYFUNCTION("""COMPUTED_VALUE"""),43871.99861111111)</f>
        <v>43871.99861</v>
      </c>
      <c r="B3453" s="1">
        <f>IFERROR(__xludf.DUMMYFUNCTION("""COMPUTED_VALUE"""),14021.85)</f>
        <v>14021.85</v>
      </c>
    </row>
    <row r="3454">
      <c r="A3454" s="3">
        <f>IFERROR(__xludf.DUMMYFUNCTION("""COMPUTED_VALUE"""),43872.99861111111)</f>
        <v>43872.99861</v>
      </c>
      <c r="B3454" s="1">
        <f>IFERROR(__xludf.DUMMYFUNCTION("""COMPUTED_VALUE"""),14000.59)</f>
        <v>14000.59</v>
      </c>
    </row>
    <row r="3455">
      <c r="A3455" s="3">
        <f>IFERROR(__xludf.DUMMYFUNCTION("""COMPUTED_VALUE"""),43873.99861111111)</f>
        <v>43873.99861</v>
      </c>
      <c r="B3455" s="1">
        <f>IFERROR(__xludf.DUMMYFUNCTION("""COMPUTED_VALUE"""),14017.76)</f>
        <v>14017.76</v>
      </c>
    </row>
    <row r="3456">
      <c r="A3456" s="3">
        <f>IFERROR(__xludf.DUMMYFUNCTION("""COMPUTED_VALUE"""),43874.99861111111)</f>
        <v>43874.99861</v>
      </c>
      <c r="B3456" s="1">
        <f>IFERROR(__xludf.DUMMYFUNCTION("""COMPUTED_VALUE"""),13976.54)</f>
        <v>13976.54</v>
      </c>
    </row>
    <row r="3457">
      <c r="A3457" s="3">
        <f>IFERROR(__xludf.DUMMYFUNCTION("""COMPUTED_VALUE"""),43875.99861111111)</f>
        <v>43875.99861</v>
      </c>
      <c r="B3457" s="1">
        <f>IFERROR(__xludf.DUMMYFUNCTION("""COMPUTED_VALUE"""),13933.81)</f>
        <v>13933.81</v>
      </c>
    </row>
    <row r="3458">
      <c r="A3458" s="3">
        <f>IFERROR(__xludf.DUMMYFUNCTION("""COMPUTED_VALUE"""),43876.99861111111)</f>
        <v>43876.99861</v>
      </c>
      <c r="B3458" s="1">
        <f>IFERROR(__xludf.DUMMYFUNCTION("""COMPUTED_VALUE"""),13933.81)</f>
        <v>13933.81</v>
      </c>
    </row>
    <row r="3459">
      <c r="A3459" s="3">
        <f>IFERROR(__xludf.DUMMYFUNCTION("""COMPUTED_VALUE"""),43877.99861111111)</f>
        <v>43877.99861</v>
      </c>
      <c r="B3459" s="1">
        <f>IFERROR(__xludf.DUMMYFUNCTION("""COMPUTED_VALUE"""),13926.61)</f>
        <v>13926.61</v>
      </c>
    </row>
    <row r="3460">
      <c r="A3460" s="3">
        <f>IFERROR(__xludf.DUMMYFUNCTION("""COMPUTED_VALUE"""),43878.99861111111)</f>
        <v>43878.99861</v>
      </c>
      <c r="B3460" s="1">
        <f>IFERROR(__xludf.DUMMYFUNCTION("""COMPUTED_VALUE"""),13921.26)</f>
        <v>13921.26</v>
      </c>
    </row>
    <row r="3461">
      <c r="A3461" s="3">
        <f>IFERROR(__xludf.DUMMYFUNCTION("""COMPUTED_VALUE"""),43879.99861111111)</f>
        <v>43879.99861</v>
      </c>
      <c r="B3461" s="1">
        <f>IFERROR(__xludf.DUMMYFUNCTION("""COMPUTED_VALUE"""),13895.25)</f>
        <v>13895.25</v>
      </c>
    </row>
    <row r="3462">
      <c r="A3462" s="3">
        <f>IFERROR(__xludf.DUMMYFUNCTION("""COMPUTED_VALUE"""),43880.99861111111)</f>
        <v>43880.99861</v>
      </c>
      <c r="B3462" s="1">
        <f>IFERROR(__xludf.DUMMYFUNCTION("""COMPUTED_VALUE"""),13892.01)</f>
        <v>13892.01</v>
      </c>
    </row>
    <row r="3463">
      <c r="A3463" s="3">
        <f>IFERROR(__xludf.DUMMYFUNCTION("""COMPUTED_VALUE"""),43881.99861111111)</f>
        <v>43881.99861</v>
      </c>
      <c r="B3463" s="1">
        <f>IFERROR(__xludf.DUMMYFUNCTION("""COMPUTED_VALUE"""),13934.6)</f>
        <v>13934.6</v>
      </c>
    </row>
    <row r="3464">
      <c r="A3464" s="3">
        <f>IFERROR(__xludf.DUMMYFUNCTION("""COMPUTED_VALUE"""),43882.99861111111)</f>
        <v>43882.99861</v>
      </c>
      <c r="B3464" s="1">
        <f>IFERROR(__xludf.DUMMYFUNCTION("""COMPUTED_VALUE"""),14079.24)</f>
        <v>14079.24</v>
      </c>
    </row>
    <row r="3465">
      <c r="A3465" s="3">
        <f>IFERROR(__xludf.DUMMYFUNCTION("""COMPUTED_VALUE"""),43883.99861111111)</f>
        <v>43883.99861</v>
      </c>
      <c r="B3465" s="1">
        <f>IFERROR(__xludf.DUMMYFUNCTION("""COMPUTED_VALUE"""),14079.24)</f>
        <v>14079.24</v>
      </c>
    </row>
    <row r="3466">
      <c r="A3466" s="3">
        <f>IFERROR(__xludf.DUMMYFUNCTION("""COMPUTED_VALUE"""),43884.99861111111)</f>
        <v>43884.99861</v>
      </c>
      <c r="B3466" s="1">
        <f>IFERROR(__xludf.DUMMYFUNCTION("""COMPUTED_VALUE"""),14084.48)</f>
        <v>14084.48</v>
      </c>
    </row>
    <row r="3467">
      <c r="A3467" s="3">
        <f>IFERROR(__xludf.DUMMYFUNCTION("""COMPUTED_VALUE"""),43885.99861111111)</f>
        <v>43885.99861</v>
      </c>
      <c r="B3467" s="1">
        <f>IFERROR(__xludf.DUMMYFUNCTION("""COMPUTED_VALUE"""),14174.7)</f>
        <v>14174.7</v>
      </c>
    </row>
    <row r="3468">
      <c r="A3468" s="3">
        <f>IFERROR(__xludf.DUMMYFUNCTION("""COMPUTED_VALUE"""),43886.99861111111)</f>
        <v>43886.99861</v>
      </c>
      <c r="B3468" s="1">
        <f>IFERROR(__xludf.DUMMYFUNCTION("""COMPUTED_VALUE"""),14199.68)</f>
        <v>14199.68</v>
      </c>
    </row>
    <row r="3469">
      <c r="A3469" s="3">
        <f>IFERROR(__xludf.DUMMYFUNCTION("""COMPUTED_VALUE"""),43887.99861111111)</f>
        <v>43887.99861</v>
      </c>
      <c r="B3469" s="1">
        <f>IFERROR(__xludf.DUMMYFUNCTION("""COMPUTED_VALUE"""),14274.09)</f>
        <v>14274.09</v>
      </c>
    </row>
    <row r="3470">
      <c r="A3470" s="3">
        <f>IFERROR(__xludf.DUMMYFUNCTION("""COMPUTED_VALUE"""),43888.99861111111)</f>
        <v>43888.99861</v>
      </c>
      <c r="B3470" s="1">
        <f>IFERROR(__xludf.DUMMYFUNCTION("""COMPUTED_VALUE"""),14463.47)</f>
        <v>14463.47</v>
      </c>
    </row>
    <row r="3471">
      <c r="A3471" s="3">
        <f>IFERROR(__xludf.DUMMYFUNCTION("""COMPUTED_VALUE"""),43889.99861111111)</f>
        <v>43889.99861</v>
      </c>
      <c r="B3471" s="1">
        <f>IFERROR(__xludf.DUMMYFUNCTION("""COMPUTED_VALUE"""),14477.06)</f>
        <v>14477.06</v>
      </c>
    </row>
    <row r="3472">
      <c r="A3472" s="3">
        <f>IFERROR(__xludf.DUMMYFUNCTION("""COMPUTED_VALUE"""),43890.99861111111)</f>
        <v>43890.99861</v>
      </c>
      <c r="B3472" s="1">
        <f>IFERROR(__xludf.DUMMYFUNCTION("""COMPUTED_VALUE"""),14477.06)</f>
        <v>14477.06</v>
      </c>
    </row>
    <row r="3473">
      <c r="A3473" s="3">
        <f>IFERROR(__xludf.DUMMYFUNCTION("""COMPUTED_VALUE"""),43891.99861111111)</f>
        <v>43891.99861</v>
      </c>
      <c r="B3473" s="1">
        <f>IFERROR(__xludf.DUMMYFUNCTION("""COMPUTED_VALUE"""),14465.98)</f>
        <v>14465.98</v>
      </c>
    </row>
    <row r="3474">
      <c r="A3474" s="3">
        <f>IFERROR(__xludf.DUMMYFUNCTION("""COMPUTED_VALUE"""),43892.99861111111)</f>
        <v>43892.99861</v>
      </c>
      <c r="B3474" s="1">
        <f>IFERROR(__xludf.DUMMYFUNCTION("""COMPUTED_VALUE"""),14845.6)</f>
        <v>14845.6</v>
      </c>
    </row>
    <row r="3475">
      <c r="A3475" s="3">
        <f>IFERROR(__xludf.DUMMYFUNCTION("""COMPUTED_VALUE"""),43893.99861111111)</f>
        <v>43893.99861</v>
      </c>
      <c r="B3475" s="1">
        <f>IFERROR(__xludf.DUMMYFUNCTION("""COMPUTED_VALUE"""),14906.11)</f>
        <v>14906.11</v>
      </c>
    </row>
    <row r="3476">
      <c r="A3476" s="3">
        <f>IFERROR(__xludf.DUMMYFUNCTION("""COMPUTED_VALUE"""),43894.99861111111)</f>
        <v>43894.99861</v>
      </c>
      <c r="B3476" s="1">
        <f>IFERROR(__xludf.DUMMYFUNCTION("""COMPUTED_VALUE"""),14972.16)</f>
        <v>14972.16</v>
      </c>
    </row>
    <row r="3477">
      <c r="A3477" s="3">
        <f>IFERROR(__xludf.DUMMYFUNCTION("""COMPUTED_VALUE"""),43895.99861111111)</f>
        <v>43895.99861</v>
      </c>
      <c r="B3477" s="1">
        <f>IFERROR(__xludf.DUMMYFUNCTION("""COMPUTED_VALUE"""),14972.16)</f>
        <v>14972.16</v>
      </c>
    </row>
    <row r="3478">
      <c r="A3478" s="3">
        <f>IFERROR(__xludf.DUMMYFUNCTION("""COMPUTED_VALUE"""),43896.99861111111)</f>
        <v>43896.99861</v>
      </c>
      <c r="B3478" s="1">
        <f>IFERROR(__xludf.DUMMYFUNCTION("""COMPUTED_VALUE"""),14972.16)</f>
        <v>14972.16</v>
      </c>
    </row>
    <row r="3479">
      <c r="A3479" s="3">
        <f>IFERROR(__xludf.DUMMYFUNCTION("""COMPUTED_VALUE"""),43897.99861111111)</f>
        <v>43897.99861</v>
      </c>
      <c r="B3479" s="1">
        <f>IFERROR(__xludf.DUMMYFUNCTION("""COMPUTED_VALUE"""),14972.16)</f>
        <v>14972.16</v>
      </c>
    </row>
    <row r="3480">
      <c r="A3480" s="3">
        <f>IFERROR(__xludf.DUMMYFUNCTION("""COMPUTED_VALUE"""),43898.99861111111)</f>
        <v>43898.99861</v>
      </c>
      <c r="B3480" s="1">
        <f>IFERROR(__xludf.DUMMYFUNCTION("""COMPUTED_VALUE"""),14972.16)</f>
        <v>14972.16</v>
      </c>
    </row>
    <row r="3481">
      <c r="A3481" s="3">
        <f>IFERROR(__xludf.DUMMYFUNCTION("""COMPUTED_VALUE"""),43899.99861111111)</f>
        <v>43899.99861</v>
      </c>
      <c r="B3481" s="1">
        <f>IFERROR(__xludf.DUMMYFUNCTION("""COMPUTED_VALUE"""),14972.16)</f>
        <v>14972.16</v>
      </c>
    </row>
    <row r="3482">
      <c r="A3482" s="3">
        <f>IFERROR(__xludf.DUMMYFUNCTION("""COMPUTED_VALUE"""),43900.99861111111)</f>
        <v>43900.99861</v>
      </c>
      <c r="B3482" s="1">
        <f>IFERROR(__xludf.DUMMYFUNCTION("""COMPUTED_VALUE"""),14972.16)</f>
        <v>14972.16</v>
      </c>
    </row>
    <row r="3483">
      <c r="A3483" s="3">
        <f>IFERROR(__xludf.DUMMYFUNCTION("""COMPUTED_VALUE"""),43901.99861111111)</f>
        <v>43901.99861</v>
      </c>
      <c r="B3483" s="1">
        <f>IFERROR(__xludf.DUMMYFUNCTION("""COMPUTED_VALUE"""),14972.16)</f>
        <v>14972.16</v>
      </c>
    </row>
    <row r="3484">
      <c r="A3484" s="3">
        <f>IFERROR(__xludf.DUMMYFUNCTION("""COMPUTED_VALUE"""),43902.99861111111)</f>
        <v>43902.99861</v>
      </c>
      <c r="B3484" s="1">
        <f>IFERROR(__xludf.DUMMYFUNCTION("""COMPUTED_VALUE"""),14972.16)</f>
        <v>14972.16</v>
      </c>
    </row>
    <row r="3485">
      <c r="A3485" s="3">
        <f>IFERROR(__xludf.DUMMYFUNCTION("""COMPUTED_VALUE"""),43903.99861111111)</f>
        <v>43903.99861</v>
      </c>
      <c r="B3485" s="1">
        <f>IFERROR(__xludf.DUMMYFUNCTION("""COMPUTED_VALUE"""),14972.16)</f>
        <v>14972.16</v>
      </c>
    </row>
    <row r="3486">
      <c r="A3486" s="3">
        <f>IFERROR(__xludf.DUMMYFUNCTION("""COMPUTED_VALUE"""),43904.99861111111)</f>
        <v>43904.99861</v>
      </c>
      <c r="B3486" s="1">
        <f>IFERROR(__xludf.DUMMYFUNCTION("""COMPUTED_VALUE"""),14972.16)</f>
        <v>14972.16</v>
      </c>
    </row>
    <row r="3487">
      <c r="A3487" s="3">
        <f>IFERROR(__xludf.DUMMYFUNCTION("""COMPUTED_VALUE"""),43905.99861111111)</f>
        <v>43905.99861</v>
      </c>
      <c r="B3487" s="1">
        <f>IFERROR(__xludf.DUMMYFUNCTION("""COMPUTED_VALUE"""),14972.16)</f>
        <v>14972.16</v>
      </c>
    </row>
    <row r="3488">
      <c r="A3488" s="3">
        <f>IFERROR(__xludf.DUMMYFUNCTION("""COMPUTED_VALUE"""),43906.99861111111)</f>
        <v>43906.99861</v>
      </c>
      <c r="B3488" s="1">
        <f>IFERROR(__xludf.DUMMYFUNCTION("""COMPUTED_VALUE"""),14972.16)</f>
        <v>14972.16</v>
      </c>
    </row>
    <row r="3489">
      <c r="A3489" s="3">
        <f>IFERROR(__xludf.DUMMYFUNCTION("""COMPUTED_VALUE"""),43907.99861111111)</f>
        <v>43907.99861</v>
      </c>
      <c r="B3489" s="1">
        <f>IFERROR(__xludf.DUMMYFUNCTION("""COMPUTED_VALUE"""),14972.16)</f>
        <v>14972.16</v>
      </c>
    </row>
    <row r="3490">
      <c r="A3490" s="3">
        <f>IFERROR(__xludf.DUMMYFUNCTION("""COMPUTED_VALUE"""),43908.99861111111)</f>
        <v>43908.99861</v>
      </c>
      <c r="B3490" s="1">
        <f>IFERROR(__xludf.DUMMYFUNCTION("""COMPUTED_VALUE"""),14972.16)</f>
        <v>14972.16</v>
      </c>
    </row>
    <row r="3491">
      <c r="A3491" s="3">
        <f>IFERROR(__xludf.DUMMYFUNCTION("""COMPUTED_VALUE"""),43909.99861111111)</f>
        <v>43909.99861</v>
      </c>
      <c r="B3491" s="1">
        <f>IFERROR(__xludf.DUMMYFUNCTION("""COMPUTED_VALUE"""),16144.5)</f>
        <v>16144.5</v>
      </c>
    </row>
    <row r="3492">
      <c r="A3492" s="3">
        <f>IFERROR(__xludf.DUMMYFUNCTION("""COMPUTED_VALUE"""),43910.99861111111)</f>
        <v>43910.99861</v>
      </c>
      <c r="B3492" s="1">
        <f>IFERROR(__xludf.DUMMYFUNCTION("""COMPUTED_VALUE"""),16144.5)</f>
        <v>16144.5</v>
      </c>
    </row>
    <row r="3493">
      <c r="A3493" s="3">
        <f>IFERROR(__xludf.DUMMYFUNCTION("""COMPUTED_VALUE"""),43911.99861111111)</f>
        <v>43911.99861</v>
      </c>
      <c r="B3493" s="1">
        <f>IFERROR(__xludf.DUMMYFUNCTION("""COMPUTED_VALUE"""),16144.5)</f>
        <v>16144.5</v>
      </c>
    </row>
    <row r="3494">
      <c r="A3494" s="3">
        <f>IFERROR(__xludf.DUMMYFUNCTION("""COMPUTED_VALUE"""),43912.99861111111)</f>
        <v>43912.99861</v>
      </c>
      <c r="B3494" s="1">
        <f>IFERROR(__xludf.DUMMYFUNCTION("""COMPUTED_VALUE"""),16144.5)</f>
        <v>16144.5</v>
      </c>
    </row>
    <row r="3495">
      <c r="A3495" s="3">
        <f>IFERROR(__xludf.DUMMYFUNCTION("""COMPUTED_VALUE"""),43913.99861111111)</f>
        <v>43913.99861</v>
      </c>
      <c r="B3495" s="1">
        <f>IFERROR(__xludf.DUMMYFUNCTION("""COMPUTED_VALUE"""),16144.5)</f>
        <v>16144.5</v>
      </c>
    </row>
    <row r="3496">
      <c r="A3496" s="3">
        <f>IFERROR(__xludf.DUMMYFUNCTION("""COMPUTED_VALUE"""),43914.99861111111)</f>
        <v>43914.99861</v>
      </c>
      <c r="B3496" s="1">
        <f>IFERROR(__xludf.DUMMYFUNCTION("""COMPUTED_VALUE"""),16144.5)</f>
        <v>16144.5</v>
      </c>
    </row>
    <row r="3497">
      <c r="A3497" s="3">
        <f>IFERROR(__xludf.DUMMYFUNCTION("""COMPUTED_VALUE"""),43915.99861111111)</f>
        <v>43915.99861</v>
      </c>
      <c r="B3497" s="1">
        <f>IFERROR(__xludf.DUMMYFUNCTION("""COMPUTED_VALUE"""),16144.5)</f>
        <v>16144.5</v>
      </c>
    </row>
    <row r="3498">
      <c r="A3498" s="3">
        <f>IFERROR(__xludf.DUMMYFUNCTION("""COMPUTED_VALUE"""),43916.99861111111)</f>
        <v>43916.99861</v>
      </c>
      <c r="B3498" s="1">
        <f>IFERROR(__xludf.DUMMYFUNCTION("""COMPUTED_VALUE"""),16144.5)</f>
        <v>16144.5</v>
      </c>
    </row>
    <row r="3499">
      <c r="A3499" s="3">
        <f>IFERROR(__xludf.DUMMYFUNCTION("""COMPUTED_VALUE"""),43917.99861111111)</f>
        <v>43917.99861</v>
      </c>
      <c r="B3499" s="1">
        <f>IFERROR(__xludf.DUMMYFUNCTION("""COMPUTED_VALUE"""),16144.5)</f>
        <v>16144.5</v>
      </c>
    </row>
    <row r="3500">
      <c r="A3500" s="3">
        <f>IFERROR(__xludf.DUMMYFUNCTION("""COMPUTED_VALUE"""),43918.99861111111)</f>
        <v>43918.99861</v>
      </c>
      <c r="B3500" s="1">
        <f>IFERROR(__xludf.DUMMYFUNCTION("""COMPUTED_VALUE"""),16144.5)</f>
        <v>16144.5</v>
      </c>
    </row>
    <row r="3501">
      <c r="A3501" s="3">
        <f>IFERROR(__xludf.DUMMYFUNCTION("""COMPUTED_VALUE"""),43919.99861111111)</f>
        <v>43919.99861</v>
      </c>
      <c r="B3501" s="1">
        <f>IFERROR(__xludf.DUMMYFUNCTION("""COMPUTED_VALUE"""),16144.5)</f>
        <v>16144.5</v>
      </c>
    </row>
    <row r="3502">
      <c r="A3502" s="3">
        <f>IFERROR(__xludf.DUMMYFUNCTION("""COMPUTED_VALUE"""),43920.99861111111)</f>
        <v>43920.99861</v>
      </c>
      <c r="B3502" s="1">
        <f>IFERROR(__xludf.DUMMYFUNCTION("""COMPUTED_VALUE"""),16144.5)</f>
        <v>16144.5</v>
      </c>
    </row>
    <row r="3503">
      <c r="A3503" s="3">
        <f>IFERROR(__xludf.DUMMYFUNCTION("""COMPUTED_VALUE"""),43921.99861111111)</f>
        <v>43921.99861</v>
      </c>
      <c r="B3503" s="1">
        <f>IFERROR(__xludf.DUMMYFUNCTION("""COMPUTED_VALUE"""),16144.5)</f>
        <v>16144.5</v>
      </c>
    </row>
    <row r="3504">
      <c r="A3504" s="3">
        <f>IFERROR(__xludf.DUMMYFUNCTION("""COMPUTED_VALUE"""),43922.99861111111)</f>
        <v>43922.99861</v>
      </c>
      <c r="B3504" s="1">
        <f>IFERROR(__xludf.DUMMYFUNCTION("""COMPUTED_VALUE"""),16144.5)</f>
        <v>16144.5</v>
      </c>
    </row>
    <row r="3505">
      <c r="A3505" s="3">
        <f>IFERROR(__xludf.DUMMYFUNCTION("""COMPUTED_VALUE"""),43923.99861111111)</f>
        <v>43923.99861</v>
      </c>
      <c r="B3505" s="1">
        <f>IFERROR(__xludf.DUMMYFUNCTION("""COMPUTED_VALUE"""),16144.5)</f>
        <v>16144.5</v>
      </c>
    </row>
    <row r="3506">
      <c r="A3506" s="3">
        <f>IFERROR(__xludf.DUMMYFUNCTION("""COMPUTED_VALUE"""),43924.99861111111)</f>
        <v>43924.99861</v>
      </c>
      <c r="B3506" s="1">
        <f>IFERROR(__xludf.DUMMYFUNCTION("""COMPUTED_VALUE"""),16144.5)</f>
        <v>16144.5</v>
      </c>
    </row>
    <row r="3507">
      <c r="A3507" s="3">
        <f>IFERROR(__xludf.DUMMYFUNCTION("""COMPUTED_VALUE"""),43925.99861111111)</f>
        <v>43925.99861</v>
      </c>
      <c r="B3507" s="1">
        <f>IFERROR(__xludf.DUMMYFUNCTION("""COMPUTED_VALUE"""),16144.5)</f>
        <v>16144.5</v>
      </c>
    </row>
    <row r="3508">
      <c r="A3508" s="3">
        <f>IFERROR(__xludf.DUMMYFUNCTION("""COMPUTED_VALUE"""),43926.99861111111)</f>
        <v>43926.99861</v>
      </c>
      <c r="B3508" s="1">
        <f>IFERROR(__xludf.DUMMYFUNCTION("""COMPUTED_VALUE"""),16144.5)</f>
        <v>16144.5</v>
      </c>
    </row>
    <row r="3509">
      <c r="A3509" s="3">
        <f>IFERROR(__xludf.DUMMYFUNCTION("""COMPUTED_VALUE"""),43927.99861111111)</f>
        <v>43927.99861</v>
      </c>
      <c r="B3509" s="1">
        <f>IFERROR(__xludf.DUMMYFUNCTION("""COMPUTED_VALUE"""),16144.5)</f>
        <v>16144.5</v>
      </c>
    </row>
    <row r="3510">
      <c r="A3510" s="3">
        <f>IFERROR(__xludf.DUMMYFUNCTION("""COMPUTED_VALUE"""),43928.99861111111)</f>
        <v>43928.99861</v>
      </c>
      <c r="B3510" s="1">
        <f>IFERROR(__xludf.DUMMYFUNCTION("""COMPUTED_VALUE"""),16144.5)</f>
        <v>16144.5</v>
      </c>
    </row>
    <row r="3511">
      <c r="A3511" s="3">
        <f>IFERROR(__xludf.DUMMYFUNCTION("""COMPUTED_VALUE"""),43929.99861111111)</f>
        <v>43929.99861</v>
      </c>
      <c r="B3511" s="1">
        <f>IFERROR(__xludf.DUMMYFUNCTION("""COMPUTED_VALUE"""),16144.5)</f>
        <v>16144.5</v>
      </c>
    </row>
    <row r="3512">
      <c r="A3512" s="3">
        <f>IFERROR(__xludf.DUMMYFUNCTION("""COMPUTED_VALUE"""),43930.99861111111)</f>
        <v>43930.99861</v>
      </c>
      <c r="B3512" s="1">
        <f>IFERROR(__xludf.DUMMYFUNCTION("""COMPUTED_VALUE"""),16144.5)</f>
        <v>16144.5</v>
      </c>
    </row>
    <row r="3513">
      <c r="A3513" s="3">
        <f>IFERROR(__xludf.DUMMYFUNCTION("""COMPUTED_VALUE"""),43931.99861111111)</f>
        <v>43931.99861</v>
      </c>
      <c r="B3513" s="1">
        <f>IFERROR(__xludf.DUMMYFUNCTION("""COMPUTED_VALUE"""),16144.5)</f>
        <v>16144.5</v>
      </c>
    </row>
    <row r="3514">
      <c r="A3514" s="3">
        <f>IFERROR(__xludf.DUMMYFUNCTION("""COMPUTED_VALUE"""),43932.99861111111)</f>
        <v>43932.99861</v>
      </c>
      <c r="B3514" s="1">
        <f>IFERROR(__xludf.DUMMYFUNCTION("""COMPUTED_VALUE"""),16144.5)</f>
        <v>16144.5</v>
      </c>
    </row>
    <row r="3515">
      <c r="A3515" s="3">
        <f>IFERROR(__xludf.DUMMYFUNCTION("""COMPUTED_VALUE"""),43933.99861111111)</f>
        <v>43933.99861</v>
      </c>
      <c r="B3515" s="1">
        <f>IFERROR(__xludf.DUMMYFUNCTION("""COMPUTED_VALUE"""),16144.5)</f>
        <v>16144.5</v>
      </c>
    </row>
    <row r="3516">
      <c r="A3516" s="3">
        <f>IFERROR(__xludf.DUMMYFUNCTION("""COMPUTED_VALUE"""),43934.99861111111)</f>
        <v>43934.99861</v>
      </c>
      <c r="B3516" s="1">
        <f>IFERROR(__xludf.DUMMYFUNCTION("""COMPUTED_VALUE"""),16144.5)</f>
        <v>16144.5</v>
      </c>
    </row>
    <row r="3517">
      <c r="A3517" s="3">
        <f>IFERROR(__xludf.DUMMYFUNCTION("""COMPUTED_VALUE"""),43935.99861111111)</f>
        <v>43935.99861</v>
      </c>
      <c r="B3517" s="1">
        <f>IFERROR(__xludf.DUMMYFUNCTION("""COMPUTED_VALUE"""),16144.5)</f>
        <v>16144.5</v>
      </c>
    </row>
    <row r="3518">
      <c r="A3518" s="3">
        <f>IFERROR(__xludf.DUMMYFUNCTION("""COMPUTED_VALUE"""),43936.99861111111)</f>
        <v>43936.99861</v>
      </c>
      <c r="B3518" s="1">
        <f>IFERROR(__xludf.DUMMYFUNCTION("""COMPUTED_VALUE"""),16144.5)</f>
        <v>16144.5</v>
      </c>
    </row>
    <row r="3519">
      <c r="A3519" s="3">
        <f>IFERROR(__xludf.DUMMYFUNCTION("""COMPUTED_VALUE"""),43937.99861111111)</f>
        <v>43937.99861</v>
      </c>
      <c r="B3519" s="1">
        <f>IFERROR(__xludf.DUMMYFUNCTION("""COMPUTED_VALUE"""),16144.5)</f>
        <v>16144.5</v>
      </c>
    </row>
    <row r="3520">
      <c r="A3520" s="3">
        <f>IFERROR(__xludf.DUMMYFUNCTION("""COMPUTED_VALUE"""),43938.99861111111)</f>
        <v>43938.99861</v>
      </c>
      <c r="B3520" s="1">
        <f>IFERROR(__xludf.DUMMYFUNCTION("""COMPUTED_VALUE"""),16144.5)</f>
        <v>16144.5</v>
      </c>
    </row>
    <row r="3521">
      <c r="A3521" s="3">
        <f>IFERROR(__xludf.DUMMYFUNCTION("""COMPUTED_VALUE"""),43939.99861111111)</f>
        <v>43939.99861</v>
      </c>
      <c r="B3521" s="1">
        <f>IFERROR(__xludf.DUMMYFUNCTION("""COMPUTED_VALUE"""),16144.5)</f>
        <v>16144.5</v>
      </c>
    </row>
    <row r="3522">
      <c r="A3522" s="3">
        <f>IFERROR(__xludf.DUMMYFUNCTION("""COMPUTED_VALUE"""),43940.99861111111)</f>
        <v>43940.99861</v>
      </c>
      <c r="B3522" s="1">
        <f>IFERROR(__xludf.DUMMYFUNCTION("""COMPUTED_VALUE"""),16144.5)</f>
        <v>16144.5</v>
      </c>
    </row>
    <row r="3523">
      <c r="A3523" s="3">
        <f>IFERROR(__xludf.DUMMYFUNCTION("""COMPUTED_VALUE"""),43941.99861111111)</f>
        <v>43941.99861</v>
      </c>
      <c r="B3523" s="1">
        <f>IFERROR(__xludf.DUMMYFUNCTION("""COMPUTED_VALUE"""),16144.5)</f>
        <v>16144.5</v>
      </c>
    </row>
    <row r="3524">
      <c r="A3524" s="3">
        <f>IFERROR(__xludf.DUMMYFUNCTION("""COMPUTED_VALUE"""),43942.99861111111)</f>
        <v>43942.99861</v>
      </c>
      <c r="B3524" s="1">
        <f>IFERROR(__xludf.DUMMYFUNCTION("""COMPUTED_VALUE"""),16144.5)</f>
        <v>16144.5</v>
      </c>
    </row>
    <row r="3525">
      <c r="A3525" s="3">
        <f>IFERROR(__xludf.DUMMYFUNCTION("""COMPUTED_VALUE"""),43943.99861111111)</f>
        <v>43943.99861</v>
      </c>
      <c r="B3525" s="1">
        <f>IFERROR(__xludf.DUMMYFUNCTION("""COMPUTED_VALUE"""),16144.5)</f>
        <v>16144.5</v>
      </c>
    </row>
    <row r="3526">
      <c r="A3526" s="3">
        <f>IFERROR(__xludf.DUMMYFUNCTION("""COMPUTED_VALUE"""),43944.99861111111)</f>
        <v>43944.99861</v>
      </c>
      <c r="B3526" s="1">
        <f>IFERROR(__xludf.DUMMYFUNCTION("""COMPUTED_VALUE"""),16144.5)</f>
        <v>16144.5</v>
      </c>
    </row>
    <row r="3527">
      <c r="A3527" s="3">
        <f>IFERROR(__xludf.DUMMYFUNCTION("""COMPUTED_VALUE"""),43945.99861111111)</f>
        <v>43945.99861</v>
      </c>
      <c r="B3527" s="1">
        <f>IFERROR(__xludf.DUMMYFUNCTION("""COMPUTED_VALUE"""),16144.5)</f>
        <v>16144.5</v>
      </c>
    </row>
    <row r="3528">
      <c r="A3528" s="3">
        <f>IFERROR(__xludf.DUMMYFUNCTION("""COMPUTED_VALUE"""),43946.99861111111)</f>
        <v>43946.99861</v>
      </c>
      <c r="B3528" s="1">
        <f>IFERROR(__xludf.DUMMYFUNCTION("""COMPUTED_VALUE"""),16144.5)</f>
        <v>16144.5</v>
      </c>
    </row>
    <row r="3529">
      <c r="A3529" s="3">
        <f>IFERROR(__xludf.DUMMYFUNCTION("""COMPUTED_VALUE"""),43947.99861111111)</f>
        <v>43947.99861</v>
      </c>
      <c r="B3529" s="1">
        <f>IFERROR(__xludf.DUMMYFUNCTION("""COMPUTED_VALUE"""),16144.5)</f>
        <v>16144.5</v>
      </c>
    </row>
    <row r="3530">
      <c r="A3530" s="3">
        <f>IFERROR(__xludf.DUMMYFUNCTION("""COMPUTED_VALUE"""),43948.99861111111)</f>
        <v>43948.99861</v>
      </c>
      <c r="B3530" s="1">
        <f>IFERROR(__xludf.DUMMYFUNCTION("""COMPUTED_VALUE"""),16144.5)</f>
        <v>16144.5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IFERROR(__xludf.DUMMYFUNCTION("googlefinance(""Currency:SGDIDR"",""price"",""01/01/2010"",""28/04/2020"",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IFERROR(__xludf.DUMMYFUNCTION("""COMPUTED_VALUE"""),6677.760544)</f>
        <v>6677.760544</v>
      </c>
    </row>
    <row r="3">
      <c r="A3" s="3">
        <f>IFERROR(__xludf.DUMMYFUNCTION("""COMPUTED_VALUE"""),40182.99861111111)</f>
        <v>40182.99861</v>
      </c>
      <c r="B3" s="1">
        <f>IFERROR(__xludf.DUMMYFUNCTION("""COMPUTED_VALUE"""),6701.677014)</f>
        <v>6701.677014</v>
      </c>
    </row>
    <row r="4">
      <c r="A4" s="3">
        <f>IFERROR(__xludf.DUMMYFUNCTION("""COMPUTED_VALUE"""),40183.99861111111)</f>
        <v>40183.99861</v>
      </c>
      <c r="B4" s="1">
        <f>IFERROR(__xludf.DUMMYFUNCTION("""COMPUTED_VALUE"""),6657.963652)</f>
        <v>6657.963652</v>
      </c>
    </row>
    <row r="5">
      <c r="A5" s="3">
        <f>IFERROR(__xludf.DUMMYFUNCTION("""COMPUTED_VALUE"""),40184.99861111111)</f>
        <v>40184.99861</v>
      </c>
      <c r="B5" s="1">
        <f>IFERROR(__xludf.DUMMYFUNCTION("""COMPUTED_VALUE"""),6613.157121)</f>
        <v>6613.157121</v>
      </c>
    </row>
    <row r="6">
      <c r="A6" s="3">
        <f>IFERROR(__xludf.DUMMYFUNCTION("""COMPUTED_VALUE"""),40185.99861111111)</f>
        <v>40185.99861</v>
      </c>
      <c r="B6" s="1">
        <f>IFERROR(__xludf.DUMMYFUNCTION("""COMPUTED_VALUE"""),6631.784725)</f>
        <v>6631.784725</v>
      </c>
    </row>
    <row r="7">
      <c r="A7" s="3">
        <f>IFERROR(__xludf.DUMMYFUNCTION("""COMPUTED_VALUE"""),40186.99861111111)</f>
        <v>40186.99861</v>
      </c>
      <c r="B7" s="1">
        <f>IFERROR(__xludf.DUMMYFUNCTION("""COMPUTED_VALUE"""),6603.110598)</f>
        <v>6603.110598</v>
      </c>
    </row>
    <row r="8">
      <c r="A8" s="3">
        <f>IFERROR(__xludf.DUMMYFUNCTION("""COMPUTED_VALUE"""),40189.99861111111)</f>
        <v>40189.99861</v>
      </c>
      <c r="B8" s="1">
        <f>IFERROR(__xludf.DUMMYFUNCTION("""COMPUTED_VALUE"""),6588.004215)</f>
        <v>6588.004215</v>
      </c>
    </row>
    <row r="9">
      <c r="A9" s="3">
        <f>IFERROR(__xludf.DUMMYFUNCTION("""COMPUTED_VALUE"""),40190.99861111111)</f>
        <v>40190.99861</v>
      </c>
      <c r="B9" s="1">
        <f>IFERROR(__xludf.DUMMYFUNCTION("""COMPUTED_VALUE"""),6588.35469)</f>
        <v>6588.35469</v>
      </c>
    </row>
    <row r="10">
      <c r="A10" s="3">
        <f>IFERROR(__xludf.DUMMYFUNCTION("""COMPUTED_VALUE"""),40191.99861111111)</f>
        <v>40191.99861</v>
      </c>
      <c r="B10" s="1">
        <f>IFERROR(__xludf.DUMMYFUNCTION("""COMPUTED_VALUE"""),6583.3482)</f>
        <v>6583.3482</v>
      </c>
    </row>
    <row r="11">
      <c r="A11" s="3">
        <f>IFERROR(__xludf.DUMMYFUNCTION("""COMPUTED_VALUE"""),40192.99861111111)</f>
        <v>40192.99861</v>
      </c>
      <c r="B11" s="1">
        <f>IFERROR(__xludf.DUMMYFUNCTION("""COMPUTED_VALUE"""),6598.310386)</f>
        <v>6598.310386</v>
      </c>
    </row>
    <row r="12">
      <c r="A12" s="3">
        <f>IFERROR(__xludf.DUMMYFUNCTION("""COMPUTED_VALUE"""),40193.99861111111)</f>
        <v>40193.99861</v>
      </c>
      <c r="B12" s="1">
        <f>IFERROR(__xludf.DUMMYFUNCTION("""COMPUTED_VALUE"""),6630.79807)</f>
        <v>6630.79807</v>
      </c>
    </row>
    <row r="13">
      <c r="A13" s="3">
        <f>IFERROR(__xludf.DUMMYFUNCTION("""COMPUTED_VALUE"""),40196.99861111111)</f>
        <v>40196.99861</v>
      </c>
      <c r="B13" s="1">
        <f>IFERROR(__xludf.DUMMYFUNCTION("""COMPUTED_VALUE"""),6576.4303)</f>
        <v>6576.4303</v>
      </c>
    </row>
    <row r="14">
      <c r="A14" s="3">
        <f>IFERROR(__xludf.DUMMYFUNCTION("""COMPUTED_VALUE"""),40197.99861111111)</f>
        <v>40197.99861</v>
      </c>
      <c r="B14" s="1">
        <f>IFERROR(__xludf.DUMMYFUNCTION("""COMPUTED_VALUE"""),6635.503354)</f>
        <v>6635.503354</v>
      </c>
    </row>
    <row r="15">
      <c r="A15" s="3">
        <f>IFERROR(__xludf.DUMMYFUNCTION("""COMPUTED_VALUE"""),40198.99861111111)</f>
        <v>40198.99861</v>
      </c>
      <c r="B15" s="1">
        <f>IFERROR(__xludf.DUMMYFUNCTION("""COMPUTED_VALUE"""),6637.802643)</f>
        <v>6637.802643</v>
      </c>
    </row>
    <row r="16">
      <c r="A16" s="3">
        <f>IFERROR(__xludf.DUMMYFUNCTION("""COMPUTED_VALUE"""),40199.99861111111)</f>
        <v>40199.99861</v>
      </c>
      <c r="B16" s="1">
        <f>IFERROR(__xludf.DUMMYFUNCTION("""COMPUTED_VALUE"""),6537.3777)</f>
        <v>6537.3777</v>
      </c>
    </row>
    <row r="17">
      <c r="A17" s="3">
        <f>IFERROR(__xludf.DUMMYFUNCTION("""COMPUTED_VALUE"""),40200.99861111111)</f>
        <v>40200.99861</v>
      </c>
      <c r="B17" s="1">
        <f>IFERROR(__xludf.DUMMYFUNCTION("""COMPUTED_VALUE"""),6574.6296)</f>
        <v>6574.6296</v>
      </c>
    </row>
    <row r="18">
      <c r="A18" s="3">
        <f>IFERROR(__xludf.DUMMYFUNCTION("""COMPUTED_VALUE"""),40203.99861111111)</f>
        <v>40203.99861</v>
      </c>
      <c r="B18" s="1">
        <f>IFERROR(__xludf.DUMMYFUNCTION("""COMPUTED_VALUE"""),6657.147085)</f>
        <v>6657.147085</v>
      </c>
    </row>
    <row r="19">
      <c r="A19" s="3">
        <f>IFERROR(__xludf.DUMMYFUNCTION("""COMPUTED_VALUE"""),40204.99861111111)</f>
        <v>40204.99861</v>
      </c>
      <c r="B19" s="1">
        <f>IFERROR(__xludf.DUMMYFUNCTION("""COMPUTED_VALUE"""),6684.246169)</f>
        <v>6684.246169</v>
      </c>
    </row>
    <row r="20">
      <c r="A20" s="3">
        <f>IFERROR(__xludf.DUMMYFUNCTION("""COMPUTED_VALUE"""),40205.99861111111)</f>
        <v>40205.99861</v>
      </c>
      <c r="B20" s="1">
        <f>IFERROR(__xludf.DUMMYFUNCTION("""COMPUTED_VALUE"""),6687.500428)</f>
        <v>6687.500428</v>
      </c>
    </row>
    <row r="21">
      <c r="A21" s="3">
        <f>IFERROR(__xludf.DUMMYFUNCTION("""COMPUTED_VALUE"""),40206.99861111111)</f>
        <v>40206.99861</v>
      </c>
      <c r="B21" s="1">
        <f>IFERROR(__xludf.DUMMYFUNCTION("""COMPUTED_VALUE"""),6637.40616)</f>
        <v>6637.40616</v>
      </c>
    </row>
    <row r="22">
      <c r="A22" s="3">
        <f>IFERROR(__xludf.DUMMYFUNCTION("""COMPUTED_VALUE"""),40207.99861111111)</f>
        <v>40207.99861</v>
      </c>
      <c r="B22" s="1">
        <f>IFERROR(__xludf.DUMMYFUNCTION("""COMPUTED_VALUE"""),6575.1775)</f>
        <v>6575.1775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IFERROR(__xludf.DUMMYFUNCTION("""COMPUTED_VALUE"""),6565.749648)</f>
        <v>6565.749648</v>
      </c>
    </row>
    <row r="24">
      <c r="A24" s="3">
        <f>IFERROR(__xludf.DUMMYFUNCTION("""COMPUTED_VALUE"""),40211.99861111111)</f>
        <v>40211.99861</v>
      </c>
      <c r="B24" s="1">
        <f>IFERROR(__xludf.DUMMYFUNCTION("""COMPUTED_VALUE"""),6615.334836)</f>
        <v>6615.334836</v>
      </c>
    </row>
    <row r="25">
      <c r="A25" s="3">
        <f>IFERROR(__xludf.DUMMYFUNCTION("""COMPUTED_VALUE"""),40212.99861111111)</f>
        <v>40212.99861</v>
      </c>
      <c r="B25" s="1">
        <f>IFERROR(__xludf.DUMMYFUNCTION("""COMPUTED_VALUE"""),6629.293986)</f>
        <v>6629.293986</v>
      </c>
    </row>
    <row r="26">
      <c r="A26" s="3">
        <f>IFERROR(__xludf.DUMMYFUNCTION("""COMPUTED_VALUE"""),40213.99861111111)</f>
        <v>40213.99861</v>
      </c>
      <c r="B26" s="1">
        <f>IFERROR(__xludf.DUMMYFUNCTION("""COMPUTED_VALUE"""),6605.373792)</f>
        <v>6605.373792</v>
      </c>
    </row>
    <row r="27">
      <c r="A27" s="3">
        <f>IFERROR(__xludf.DUMMYFUNCTION("""COMPUTED_VALUE"""),40214.99861111111)</f>
        <v>40214.99861</v>
      </c>
      <c r="B27" s="1">
        <f>IFERROR(__xludf.DUMMYFUNCTION("""COMPUTED_VALUE"""),6655.032809)</f>
        <v>6655.032809</v>
      </c>
    </row>
    <row r="28">
      <c r="A28" s="3">
        <f>IFERROR(__xludf.DUMMYFUNCTION("""COMPUTED_VALUE"""),40217.99861111111)</f>
        <v>40217.99861</v>
      </c>
      <c r="B28" s="1">
        <f>IFERROR(__xludf.DUMMYFUNCTION("""COMPUTED_VALUE"""),6661.9128)</f>
        <v>6661.9128</v>
      </c>
    </row>
    <row r="29">
      <c r="A29" s="3">
        <f>IFERROR(__xludf.DUMMYFUNCTION("""COMPUTED_VALUE"""),40218.99861111111)</f>
        <v>40218.99861</v>
      </c>
      <c r="B29" s="1">
        <f>IFERROR(__xludf.DUMMYFUNCTION("""COMPUTED_VALUE"""),6589.062936)</f>
        <v>6589.062936</v>
      </c>
    </row>
    <row r="30">
      <c r="A30" s="3">
        <f>IFERROR(__xludf.DUMMYFUNCTION("""COMPUTED_VALUE"""),40219.99861111111)</f>
        <v>40219.99861</v>
      </c>
      <c r="B30" s="1">
        <f>IFERROR(__xludf.DUMMYFUNCTION("""COMPUTED_VALUE"""),6567.769728)</f>
        <v>6567.769728</v>
      </c>
    </row>
    <row r="31">
      <c r="A31" s="3">
        <f>IFERROR(__xludf.DUMMYFUNCTION("""COMPUTED_VALUE"""),40220.99861111111)</f>
        <v>40220.99861</v>
      </c>
      <c r="B31" s="1">
        <f>IFERROR(__xludf.DUMMYFUNCTION("""COMPUTED_VALUE"""),6610.095947)</f>
        <v>6610.095947</v>
      </c>
    </row>
    <row r="32">
      <c r="A32" s="3">
        <f>IFERROR(__xludf.DUMMYFUNCTION("""COMPUTED_VALUE"""),40221.99861111111)</f>
        <v>40221.99861</v>
      </c>
      <c r="B32" s="1">
        <f>IFERROR(__xludf.DUMMYFUNCTION("""COMPUTED_VALUE"""),6604.629369)</f>
        <v>6604.629369</v>
      </c>
    </row>
    <row r="33">
      <c r="A33" s="3">
        <f>IFERROR(__xludf.DUMMYFUNCTION("""COMPUTED_VALUE"""),40224.99861111111)</f>
        <v>40224.99861</v>
      </c>
      <c r="B33" s="1">
        <f>IFERROR(__xludf.DUMMYFUNCTION("""COMPUTED_VALUE"""),6615.277368)</f>
        <v>6615.277368</v>
      </c>
    </row>
    <row r="34">
      <c r="A34" s="3">
        <f>IFERROR(__xludf.DUMMYFUNCTION("""COMPUTED_VALUE"""),40225.99861111111)</f>
        <v>40225.99861</v>
      </c>
      <c r="B34" s="1">
        <f>IFERROR(__xludf.DUMMYFUNCTION("""COMPUTED_VALUE"""),6615.61551)</f>
        <v>6615.61551</v>
      </c>
    </row>
    <row r="35">
      <c r="A35" s="3">
        <f>IFERROR(__xludf.DUMMYFUNCTION("""COMPUTED_VALUE"""),40226.99861111111)</f>
        <v>40226.99861</v>
      </c>
      <c r="B35" s="1">
        <f>IFERROR(__xludf.DUMMYFUNCTION("""COMPUTED_VALUE"""),6682.698528)</f>
        <v>6682.698528</v>
      </c>
    </row>
    <row r="36">
      <c r="A36" s="3">
        <f>IFERROR(__xludf.DUMMYFUNCTION("""COMPUTED_VALUE"""),40227.99861111111)</f>
        <v>40227.99861</v>
      </c>
      <c r="B36" s="1">
        <f>IFERROR(__xludf.DUMMYFUNCTION("""COMPUTED_VALUE"""),6712.843674)</f>
        <v>6712.843674</v>
      </c>
    </row>
    <row r="37">
      <c r="A37" s="3">
        <f>IFERROR(__xludf.DUMMYFUNCTION("""COMPUTED_VALUE"""),40228.99861111111)</f>
        <v>40228.99861</v>
      </c>
      <c r="B37" s="1">
        <f>IFERROR(__xludf.DUMMYFUNCTION("""COMPUTED_VALUE"""),6578.970522)</f>
        <v>6578.970522</v>
      </c>
    </row>
    <row r="38">
      <c r="A38" s="3">
        <f>IFERROR(__xludf.DUMMYFUNCTION("""COMPUTED_VALUE"""),40231.99861111111)</f>
        <v>40231.99861</v>
      </c>
      <c r="B38" s="1">
        <f>IFERROR(__xludf.DUMMYFUNCTION("""COMPUTED_VALUE"""),6581.839104)</f>
        <v>6581.839104</v>
      </c>
    </row>
    <row r="39">
      <c r="A39" s="3">
        <f>IFERROR(__xludf.DUMMYFUNCTION("""COMPUTED_VALUE"""),40232.99861111111)</f>
        <v>40232.99861</v>
      </c>
      <c r="B39" s="1">
        <f>IFERROR(__xludf.DUMMYFUNCTION("""COMPUTED_VALUE"""),6620.720496)</f>
        <v>6620.720496</v>
      </c>
    </row>
    <row r="40">
      <c r="A40" s="3">
        <f>IFERROR(__xludf.DUMMYFUNCTION("""COMPUTED_VALUE"""),40233.99861111111)</f>
        <v>40233.99861</v>
      </c>
      <c r="B40" s="1">
        <f>IFERROR(__xludf.DUMMYFUNCTION("""COMPUTED_VALUE"""),6634.241051)</f>
        <v>6634.241051</v>
      </c>
    </row>
    <row r="41">
      <c r="A41" s="3">
        <f>IFERROR(__xludf.DUMMYFUNCTION("""COMPUTED_VALUE"""),40234.99861111111)</f>
        <v>40234.99861</v>
      </c>
      <c r="B41" s="1">
        <f>IFERROR(__xludf.DUMMYFUNCTION("""COMPUTED_VALUE"""),6622.110824)</f>
        <v>6622.110824</v>
      </c>
    </row>
    <row r="42">
      <c r="A42" s="3">
        <f>IFERROR(__xludf.DUMMYFUNCTION("""COMPUTED_VALUE"""),40235.99861111111)</f>
        <v>40235.99861</v>
      </c>
      <c r="B42" s="1">
        <f>IFERROR(__xludf.DUMMYFUNCTION("""COMPUTED_VALUE"""),6638.6852)</f>
        <v>6638.6852</v>
      </c>
    </row>
    <row r="43">
      <c r="A43" s="3">
        <f>IFERROR(__xludf.DUMMYFUNCTION("""COMPUTED_VALUE"""),40238.99861111111)</f>
        <v>40238.99861</v>
      </c>
      <c r="B43" s="1">
        <f>IFERROR(__xludf.DUMMYFUNCTION("""COMPUTED_VALUE"""),6678.812564)</f>
        <v>6678.812564</v>
      </c>
    </row>
    <row r="44">
      <c r="A44" s="3">
        <f>IFERROR(__xludf.DUMMYFUNCTION("""COMPUTED_VALUE"""),40239.99861111111)</f>
        <v>40239.99861</v>
      </c>
      <c r="B44" s="1">
        <f>IFERROR(__xludf.DUMMYFUNCTION("""COMPUTED_VALUE"""),6552.793868)</f>
        <v>6552.793868</v>
      </c>
    </row>
    <row r="45">
      <c r="A45" s="3">
        <f>IFERROR(__xludf.DUMMYFUNCTION("""COMPUTED_VALUE"""),40240.99861111111)</f>
        <v>40240.99861</v>
      </c>
      <c r="B45" s="1">
        <f>IFERROR(__xludf.DUMMYFUNCTION("""COMPUTED_VALUE"""),6535.710962)</f>
        <v>6535.710962</v>
      </c>
    </row>
    <row r="46">
      <c r="A46" s="3">
        <f>IFERROR(__xludf.DUMMYFUNCTION("""COMPUTED_VALUE"""),40241.99861111111)</f>
        <v>40241.99861</v>
      </c>
      <c r="B46" s="1">
        <f>IFERROR(__xludf.DUMMYFUNCTION("""COMPUTED_VALUE"""),6654.024503)</f>
        <v>6654.024503</v>
      </c>
    </row>
    <row r="47">
      <c r="A47" s="3">
        <f>IFERROR(__xludf.DUMMYFUNCTION("""COMPUTED_VALUE"""),40242.99861111111)</f>
        <v>40242.99861</v>
      </c>
      <c r="B47" s="1">
        <f>IFERROR(__xludf.DUMMYFUNCTION("""COMPUTED_VALUE"""),6561.402688)</f>
        <v>6561.402688</v>
      </c>
    </row>
    <row r="48">
      <c r="A48" s="3">
        <f>IFERROR(__xludf.DUMMYFUNCTION("""COMPUTED_VALUE"""),40245.99861111111)</f>
        <v>40245.99861</v>
      </c>
      <c r="B48" s="1">
        <f>IFERROR(__xludf.DUMMYFUNCTION("""COMPUTED_VALUE"""),6555.7134)</f>
        <v>6555.7134</v>
      </c>
    </row>
    <row r="49">
      <c r="A49" s="3">
        <f>IFERROR(__xludf.DUMMYFUNCTION("""COMPUTED_VALUE"""),40246.99861111111)</f>
        <v>40246.99861</v>
      </c>
      <c r="B49" s="1">
        <f>IFERROR(__xludf.DUMMYFUNCTION("""COMPUTED_VALUE"""),6555.922839)</f>
        <v>6555.922839</v>
      </c>
    </row>
    <row r="50">
      <c r="A50" s="3">
        <f>IFERROR(__xludf.DUMMYFUNCTION("""COMPUTED_VALUE"""),40247.99861111111)</f>
        <v>40247.99861</v>
      </c>
      <c r="B50" s="1">
        <f>IFERROR(__xludf.DUMMYFUNCTION("""COMPUTED_VALUE"""),6557.39549)</f>
        <v>6557.39549</v>
      </c>
    </row>
    <row r="51">
      <c r="A51" s="3">
        <f>IFERROR(__xludf.DUMMYFUNCTION("""COMPUTED_VALUE"""),40248.99861111111)</f>
        <v>40248.99861</v>
      </c>
      <c r="B51" s="1">
        <f>IFERROR(__xludf.DUMMYFUNCTION("""COMPUTED_VALUE"""),6545.696435)</f>
        <v>6545.696435</v>
      </c>
    </row>
    <row r="52">
      <c r="A52" s="3">
        <f>IFERROR(__xludf.DUMMYFUNCTION("""COMPUTED_VALUE"""),40249.99861111111)</f>
        <v>40249.99861</v>
      </c>
      <c r="B52" s="1">
        <f>IFERROR(__xludf.DUMMYFUNCTION("""COMPUTED_VALUE"""),6557.207135)</f>
        <v>6557.207135</v>
      </c>
    </row>
    <row r="53">
      <c r="A53" s="3">
        <f>IFERROR(__xludf.DUMMYFUNCTION("""COMPUTED_VALUE"""),40252.99861111111)</f>
        <v>40252.99861</v>
      </c>
      <c r="B53" s="1">
        <f>IFERROR(__xludf.DUMMYFUNCTION("""COMPUTED_VALUE"""),6585.072329)</f>
        <v>6585.072329</v>
      </c>
    </row>
    <row r="54">
      <c r="A54" s="3">
        <f>IFERROR(__xludf.DUMMYFUNCTION("""COMPUTED_VALUE"""),40253.99861111111)</f>
        <v>40253.99861</v>
      </c>
      <c r="B54" s="1">
        <f>IFERROR(__xludf.DUMMYFUNCTION("""COMPUTED_VALUE"""),6561.8406)</f>
        <v>6561.8406</v>
      </c>
    </row>
    <row r="55">
      <c r="A55" s="3">
        <f>IFERROR(__xludf.DUMMYFUNCTION("""COMPUTED_VALUE"""),40254.99861111111)</f>
        <v>40254.99861</v>
      </c>
      <c r="B55" s="1">
        <f>IFERROR(__xludf.DUMMYFUNCTION("""COMPUTED_VALUE"""),6531.166125)</f>
        <v>6531.166125</v>
      </c>
    </row>
    <row r="56">
      <c r="A56" s="3">
        <f>IFERROR(__xludf.DUMMYFUNCTION("""COMPUTED_VALUE"""),40255.99861111111)</f>
        <v>40255.99861</v>
      </c>
      <c r="B56" s="1">
        <f>IFERROR(__xludf.DUMMYFUNCTION("""COMPUTED_VALUE"""),6535.150965)</f>
        <v>6535.150965</v>
      </c>
    </row>
    <row r="57">
      <c r="A57" s="3">
        <f>IFERROR(__xludf.DUMMYFUNCTION("""COMPUTED_VALUE"""),40256.99861111111)</f>
        <v>40256.99861</v>
      </c>
      <c r="B57" s="1">
        <f>IFERROR(__xludf.DUMMYFUNCTION("""COMPUTED_VALUE"""),6511.111776)</f>
        <v>6511.111776</v>
      </c>
    </row>
    <row r="58">
      <c r="A58" s="3">
        <f>IFERROR(__xludf.DUMMYFUNCTION("""COMPUTED_VALUE"""),40259.99861111111)</f>
        <v>40259.99861</v>
      </c>
      <c r="B58" s="1">
        <f>IFERROR(__xludf.DUMMYFUNCTION("""COMPUTED_VALUE"""),6507.301752)</f>
        <v>6507.301752</v>
      </c>
    </row>
    <row r="59">
      <c r="A59" s="3">
        <f>IFERROR(__xludf.DUMMYFUNCTION("""COMPUTED_VALUE"""),40260.99861111111)</f>
        <v>40260.99861</v>
      </c>
      <c r="B59" s="1">
        <f>IFERROR(__xludf.DUMMYFUNCTION("""COMPUTED_VALUE"""),6521.105706)</f>
        <v>6521.105706</v>
      </c>
    </row>
    <row r="60">
      <c r="A60" s="3">
        <f>IFERROR(__xludf.DUMMYFUNCTION("""COMPUTED_VALUE"""),40261.99861111111)</f>
        <v>40261.99861</v>
      </c>
      <c r="B60" s="1">
        <f>IFERROR(__xludf.DUMMYFUNCTION("""COMPUTED_VALUE"""),6480.369406)</f>
        <v>6480.369406</v>
      </c>
    </row>
    <row r="61">
      <c r="A61" s="3">
        <f>IFERROR(__xludf.DUMMYFUNCTION("""COMPUTED_VALUE"""),40262.99861111111)</f>
        <v>40262.99861</v>
      </c>
      <c r="B61" s="1">
        <f>IFERROR(__xludf.DUMMYFUNCTION("""COMPUTED_VALUE"""),6486.246498)</f>
        <v>6486.246498</v>
      </c>
    </row>
    <row r="62">
      <c r="A62" s="3">
        <f>IFERROR(__xludf.DUMMYFUNCTION("""COMPUTED_VALUE"""),40263.99861111111)</f>
        <v>40263.99861</v>
      </c>
      <c r="B62" s="1">
        <f>IFERROR(__xludf.DUMMYFUNCTION("""COMPUTED_VALUE"""),6490.20738)</f>
        <v>6490.20738</v>
      </c>
    </row>
    <row r="63">
      <c r="A63" s="3">
        <f>IFERROR(__xludf.DUMMYFUNCTION("""COMPUTED_VALUE"""),40266.99861111111)</f>
        <v>40266.99861</v>
      </c>
      <c r="B63" s="1">
        <f>IFERROR(__xludf.DUMMYFUNCTION("""COMPUTED_VALUE"""),6481.66047)</f>
        <v>6481.66047</v>
      </c>
    </row>
    <row r="64">
      <c r="A64" s="3">
        <f>IFERROR(__xludf.DUMMYFUNCTION("""COMPUTED_VALUE"""),40267.99861111111)</f>
        <v>40267.99861</v>
      </c>
      <c r="B64" s="1">
        <f>IFERROR(__xludf.DUMMYFUNCTION("""COMPUTED_VALUE"""),6482.467466)</f>
        <v>6482.467466</v>
      </c>
    </row>
    <row r="65">
      <c r="A65" s="3">
        <f>IFERROR(__xludf.DUMMYFUNCTION("""COMPUTED_VALUE"""),40268.99861111111)</f>
        <v>40268.99861</v>
      </c>
      <c r="B65" s="1">
        <f>IFERROR(__xludf.DUMMYFUNCTION("""COMPUTED_VALUE"""),6503.09217)</f>
        <v>6503.09217</v>
      </c>
    </row>
    <row r="66">
      <c r="A66" s="3">
        <f>IFERROR(__xludf.DUMMYFUNCTION("""COMPUTED_VALUE"""),40269.99861111111)</f>
        <v>40269.99861</v>
      </c>
      <c r="B66" s="1">
        <f>IFERROR(__xludf.DUMMYFUNCTION("""COMPUTED_VALUE"""),6466.951764)</f>
        <v>6466.951764</v>
      </c>
    </row>
    <row r="67">
      <c r="A67" s="3">
        <f>IFERROR(__xludf.DUMMYFUNCTION("""COMPUTED_VALUE"""),40270.99861111111)</f>
        <v>40270.99861</v>
      </c>
      <c r="B67" s="1">
        <f>IFERROR(__xludf.DUMMYFUNCTION("""COMPUTED_VALUE"""),6491.757722)</f>
        <v>6491.757722</v>
      </c>
    </row>
    <row r="68">
      <c r="A68" s="3">
        <f>IFERROR(__xludf.DUMMYFUNCTION("""COMPUTED_VALUE"""),40273.99861111111)</f>
        <v>40273.99861</v>
      </c>
      <c r="B68" s="1">
        <f>IFERROR(__xludf.DUMMYFUNCTION("""COMPUTED_VALUE"""),6474.653088)</f>
        <v>6474.653088</v>
      </c>
    </row>
    <row r="69">
      <c r="A69" s="3">
        <f>IFERROR(__xludf.DUMMYFUNCTION("""COMPUTED_VALUE"""),40274.99861111111)</f>
        <v>40274.99861</v>
      </c>
      <c r="B69" s="1">
        <f>IFERROR(__xludf.DUMMYFUNCTION("""COMPUTED_VALUE"""),6468.628221)</f>
        <v>6468.628221</v>
      </c>
    </row>
    <row r="70">
      <c r="A70" s="3">
        <f>IFERROR(__xludf.DUMMYFUNCTION("""COMPUTED_VALUE"""),40275.99861111111)</f>
        <v>40275.99861</v>
      </c>
      <c r="B70" s="1">
        <f>IFERROR(__xludf.DUMMYFUNCTION("""COMPUTED_VALUE"""),6485.104535)</f>
        <v>6485.104535</v>
      </c>
    </row>
    <row r="71">
      <c r="A71" s="3">
        <f>IFERROR(__xludf.DUMMYFUNCTION("""COMPUTED_VALUE"""),40276.99861111111)</f>
        <v>40276.99861</v>
      </c>
      <c r="B71" s="1">
        <f>IFERROR(__xludf.DUMMYFUNCTION("""COMPUTED_VALUE"""),6495.095516)</f>
        <v>6495.095516</v>
      </c>
    </row>
    <row r="72">
      <c r="A72" s="3">
        <f>IFERROR(__xludf.DUMMYFUNCTION("""COMPUTED_VALUE"""),40277.99861111111)</f>
        <v>40277.99861</v>
      </c>
      <c r="B72" s="1">
        <f>IFERROR(__xludf.DUMMYFUNCTION("""COMPUTED_VALUE"""),6467.873538)</f>
        <v>6467.873538</v>
      </c>
    </row>
    <row r="73">
      <c r="A73" s="3">
        <f>IFERROR(__xludf.DUMMYFUNCTION("""COMPUTED_VALUE"""),40280.99861111111)</f>
        <v>40280.99861</v>
      </c>
      <c r="B73" s="1">
        <f>IFERROR(__xludf.DUMMYFUNCTION("""COMPUTED_VALUE"""),6476.65625)</f>
        <v>6476.65625</v>
      </c>
    </row>
    <row r="74">
      <c r="A74" s="3">
        <f>IFERROR(__xludf.DUMMYFUNCTION("""COMPUTED_VALUE"""),40281.99861111111)</f>
        <v>40281.99861</v>
      </c>
      <c r="B74" s="1">
        <f>IFERROR(__xludf.DUMMYFUNCTION("""COMPUTED_VALUE"""),6472.334705)</f>
        <v>6472.334705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IFERROR(__xludf.DUMMYFUNCTION("""COMPUTED_VALUE"""),6560.389314)</f>
        <v>6560.389314</v>
      </c>
    </row>
    <row r="76">
      <c r="A76" s="3">
        <f>IFERROR(__xludf.DUMMYFUNCTION("""COMPUTED_VALUE"""),40283.99861111111)</f>
        <v>40283.99861</v>
      </c>
      <c r="B76" s="1">
        <f>IFERROR(__xludf.DUMMYFUNCTION("""COMPUTED_VALUE"""),6548.660294)</f>
        <v>6548.660294</v>
      </c>
    </row>
    <row r="77">
      <c r="A77" s="3">
        <f>IFERROR(__xludf.DUMMYFUNCTION("""COMPUTED_VALUE"""),40284.99861111111)</f>
        <v>40284.99861</v>
      </c>
      <c r="B77" s="1">
        <f>IFERROR(__xludf.DUMMYFUNCTION("""COMPUTED_VALUE"""),6544.192504)</f>
        <v>6544.192504</v>
      </c>
    </row>
    <row r="78">
      <c r="A78" s="3">
        <f>IFERROR(__xludf.DUMMYFUNCTION("""COMPUTED_VALUE"""),40287.99861111111)</f>
        <v>40287.99861</v>
      </c>
      <c r="B78" s="1">
        <f>IFERROR(__xludf.DUMMYFUNCTION("""COMPUTED_VALUE"""),6541.668692)</f>
        <v>6541.668692</v>
      </c>
    </row>
    <row r="79">
      <c r="A79" s="3">
        <f>IFERROR(__xludf.DUMMYFUNCTION("""COMPUTED_VALUE"""),40288.99861111111)</f>
        <v>40288.99861</v>
      </c>
      <c r="B79" s="1">
        <f>IFERROR(__xludf.DUMMYFUNCTION("""COMPUTED_VALUE"""),6555.579888)</f>
        <v>6555.579888</v>
      </c>
    </row>
    <row r="80">
      <c r="A80" s="3">
        <f>IFERROR(__xludf.DUMMYFUNCTION("""COMPUTED_VALUE"""),40289.99861111111)</f>
        <v>40289.99861</v>
      </c>
      <c r="B80" s="1">
        <f>IFERROR(__xludf.DUMMYFUNCTION("""COMPUTED_VALUE"""),6570.496361)</f>
        <v>6570.496361</v>
      </c>
    </row>
    <row r="81">
      <c r="A81" s="3">
        <f>IFERROR(__xludf.DUMMYFUNCTION("""COMPUTED_VALUE"""),40290.99861111111)</f>
        <v>40290.99861</v>
      </c>
      <c r="B81" s="1">
        <f>IFERROR(__xludf.DUMMYFUNCTION("""COMPUTED_VALUE"""),6631.481077)</f>
        <v>6631.481077</v>
      </c>
    </row>
    <row r="82">
      <c r="A82" s="3">
        <f>IFERROR(__xludf.DUMMYFUNCTION("""COMPUTED_VALUE"""),40291.99861111111)</f>
        <v>40291.99861</v>
      </c>
      <c r="B82" s="1">
        <f>IFERROR(__xludf.DUMMYFUNCTION("""COMPUTED_VALUE"""),6567.9678)</f>
        <v>6567.9678</v>
      </c>
    </row>
    <row r="83">
      <c r="A83" s="3">
        <f>IFERROR(__xludf.DUMMYFUNCTION("""COMPUTED_VALUE"""),40294.99861111111)</f>
        <v>40294.99861</v>
      </c>
      <c r="B83" s="1">
        <f>IFERROR(__xludf.DUMMYFUNCTION("""COMPUTED_VALUE"""),6551.596995)</f>
        <v>6551.596995</v>
      </c>
    </row>
    <row r="84">
      <c r="A84" s="3">
        <f>IFERROR(__xludf.DUMMYFUNCTION("""COMPUTED_VALUE"""),40295.99861111111)</f>
        <v>40295.99861</v>
      </c>
      <c r="B84" s="1">
        <f>IFERROR(__xludf.DUMMYFUNCTION("""COMPUTED_VALUE"""),6617.230828)</f>
        <v>6617.230828</v>
      </c>
    </row>
    <row r="85">
      <c r="A85" s="3">
        <f>IFERROR(__xludf.DUMMYFUNCTION("""COMPUTED_VALUE"""),40296.99861111111)</f>
        <v>40296.99861</v>
      </c>
      <c r="B85" s="1">
        <f>IFERROR(__xludf.DUMMYFUNCTION("""COMPUTED_VALUE"""),6563.164432)</f>
        <v>6563.164432</v>
      </c>
    </row>
    <row r="86">
      <c r="A86" s="3">
        <f>IFERROR(__xludf.DUMMYFUNCTION("""COMPUTED_VALUE"""),40297.99861111111)</f>
        <v>40297.99861</v>
      </c>
      <c r="B86" s="1">
        <f>IFERROR(__xludf.DUMMYFUNCTION("""COMPUTED_VALUE"""),6577.856675)</f>
        <v>6577.856675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IFERROR(__xludf.DUMMYFUNCTION("""COMPUTED_VALUE"""),6584.992058)</f>
        <v>6584.992058</v>
      </c>
    </row>
    <row r="88">
      <c r="A88" s="3">
        <f>IFERROR(__xludf.DUMMYFUNCTION("""COMPUTED_VALUE"""),40301.99861111111)</f>
        <v>40301.99861</v>
      </c>
      <c r="B88" s="1">
        <f>IFERROR(__xludf.DUMMYFUNCTION("""COMPUTED_VALUE"""),6578.546964)</f>
        <v>6578.546964</v>
      </c>
    </row>
    <row r="89">
      <c r="A89" s="3">
        <f>IFERROR(__xludf.DUMMYFUNCTION("""COMPUTED_VALUE"""),40302.99861111111)</f>
        <v>40302.99861</v>
      </c>
      <c r="B89" s="1">
        <f>IFERROR(__xludf.DUMMYFUNCTION("""COMPUTED_VALUE"""),6565.55583)</f>
        <v>6565.55583</v>
      </c>
    </row>
    <row r="90">
      <c r="A90" s="3">
        <f>IFERROR(__xludf.DUMMYFUNCTION("""COMPUTED_VALUE"""),40303.99861111111)</f>
        <v>40303.99861</v>
      </c>
      <c r="B90" s="1">
        <f>IFERROR(__xludf.DUMMYFUNCTION("""COMPUTED_VALUE"""),6542.18273)</f>
        <v>6542.18273</v>
      </c>
    </row>
    <row r="91">
      <c r="A91" s="3">
        <f>IFERROR(__xludf.DUMMYFUNCTION("""COMPUTED_VALUE"""),40304.99861111111)</f>
        <v>40304.99861</v>
      </c>
      <c r="B91" s="1">
        <f>IFERROR(__xludf.DUMMYFUNCTION("""COMPUTED_VALUE"""),6602.382598)</f>
        <v>6602.382598</v>
      </c>
    </row>
    <row r="92">
      <c r="A92" s="3">
        <f>IFERROR(__xludf.DUMMYFUNCTION("""COMPUTED_VALUE"""),40305.99861111111)</f>
        <v>40305.99861</v>
      </c>
      <c r="B92" s="1">
        <f>IFERROR(__xludf.DUMMYFUNCTION("""COMPUTED_VALUE"""),6602.933439)</f>
        <v>6602.933439</v>
      </c>
    </row>
    <row r="93">
      <c r="A93" s="3">
        <f>IFERROR(__xludf.DUMMYFUNCTION("""COMPUTED_VALUE"""),40308.99861111111)</f>
        <v>40308.99861</v>
      </c>
      <c r="B93" s="1">
        <f>IFERROR(__xludf.DUMMYFUNCTION("""COMPUTED_VALUE"""),6659.343488)</f>
        <v>6659.343488</v>
      </c>
    </row>
    <row r="94">
      <c r="A94" s="3">
        <f>IFERROR(__xludf.DUMMYFUNCTION("""COMPUTED_VALUE"""),40309.99861111111)</f>
        <v>40309.99861</v>
      </c>
      <c r="B94" s="1">
        <f>IFERROR(__xludf.DUMMYFUNCTION("""COMPUTED_VALUE"""),6636.380213)</f>
        <v>6636.380213</v>
      </c>
    </row>
    <row r="95">
      <c r="A95" s="3">
        <f>IFERROR(__xludf.DUMMYFUNCTION("""COMPUTED_VALUE"""),40310.99861111111)</f>
        <v>40310.99861</v>
      </c>
      <c r="B95" s="1">
        <f>IFERROR(__xludf.DUMMYFUNCTION("""COMPUTED_VALUE"""),6647.61538)</f>
        <v>6647.61538</v>
      </c>
    </row>
    <row r="96">
      <c r="A96" s="3">
        <f>IFERROR(__xludf.DUMMYFUNCTION("""COMPUTED_VALUE"""),40311.99861111111)</f>
        <v>40311.99861</v>
      </c>
      <c r="B96" s="1">
        <f>IFERROR(__xludf.DUMMYFUNCTION("""COMPUTED_VALUE"""),6580.15436)</f>
        <v>6580.15436</v>
      </c>
    </row>
    <row r="97">
      <c r="A97" s="3">
        <f>IFERROR(__xludf.DUMMYFUNCTION("""COMPUTED_VALUE"""),40312.99861111111)</f>
        <v>40312.99861</v>
      </c>
      <c r="B97" s="1">
        <f>IFERROR(__xludf.DUMMYFUNCTION("""COMPUTED_VALUE"""),6557.846302)</f>
        <v>6557.846302</v>
      </c>
    </row>
    <row r="98">
      <c r="A98" s="3">
        <f>IFERROR(__xludf.DUMMYFUNCTION("""COMPUTED_VALUE"""),40315.99861111111)</f>
        <v>40315.99861</v>
      </c>
      <c r="B98" s="1">
        <f>IFERROR(__xludf.DUMMYFUNCTION("""COMPUTED_VALUE"""),6533.830784)</f>
        <v>6533.830784</v>
      </c>
    </row>
    <row r="99">
      <c r="A99" s="3">
        <f>IFERROR(__xludf.DUMMYFUNCTION("""COMPUTED_VALUE"""),40316.99861111111)</f>
        <v>40316.99861</v>
      </c>
      <c r="B99" s="1">
        <f>IFERROR(__xludf.DUMMYFUNCTION("""COMPUTED_VALUE"""),6645.31497)</f>
        <v>6645.31497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IFERROR(__xludf.DUMMYFUNCTION("""COMPUTED_VALUE"""),6531.526293)</f>
        <v>6531.526293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IFERROR(__xludf.DUMMYFUNCTION("""COMPUTED_VALUE"""),6468.866542)</f>
        <v>6468.866542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IFERROR(__xludf.DUMMYFUNCTION("""COMPUTED_VALUE"""),6586.509144)</f>
        <v>6586.509144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IFERROR(__xludf.DUMMYFUNCTION("""COMPUTED_VALUE"""),6588.369048)</f>
        <v>6588.369048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IFERROR(__xludf.DUMMYFUNCTION("""COMPUTED_VALUE"""),6572.629844)</f>
        <v>6572.629844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IFERROR(__xludf.DUMMYFUNCTION("""COMPUTED_VALUE"""),6636.099312)</f>
        <v>6636.099312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IFERROR(__xludf.DUMMYFUNCTION("""COMPUTED_VALUE"""),6581.1687)</f>
        <v>6581.1687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IFERROR(__xludf.DUMMYFUNCTION("""COMPUTED_VALUE"""),6602.013988)</f>
        <v>6602.013988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IFERROR(__xludf.DUMMYFUNCTION("""COMPUTED_VALUE"""),6628.554478)</f>
        <v>6628.554478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IFERROR(__xludf.DUMMYFUNCTION("""COMPUTED_VALUE"""),6541.462956)</f>
        <v>6541.462956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IFERROR(__xludf.DUMMYFUNCTION("""COMPUTED_VALUE"""),6580.3752)</f>
        <v>6580.3752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IFERROR(__xludf.DUMMYFUNCTION("""COMPUTED_VALUE"""),6561.119125)</f>
        <v>6561.119125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IFERROR(__xludf.DUMMYFUNCTION("""COMPUTED_VALUE"""),6562.961727)</f>
        <v>6562.961727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IFERROR(__xludf.DUMMYFUNCTION("""COMPUTED_VALUE"""),6562.085563)</f>
        <v>6562.085563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IFERROR(__xludf.DUMMYFUNCTION("""COMPUTED_VALUE"""),6521.958374)</f>
        <v>6521.958374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IFERROR(__xludf.DUMMYFUNCTION("""COMPUTED_VALUE"""),6560.509032)</f>
        <v>6560.509032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IFERROR(__xludf.DUMMYFUNCTION("""COMPUTED_VALUE"""),6545.24113)</f>
        <v>6545.24113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IFERROR(__xludf.DUMMYFUNCTION("""COMPUTED_VALUE"""),6559.658882)</f>
        <v>6559.658882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IFERROR(__xludf.DUMMYFUNCTION("""COMPUTED_VALUE"""),6586.872912)</f>
        <v>6586.872912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IFERROR(__xludf.DUMMYFUNCTION("""COMPUTED_VALUE"""),6567.26004)</f>
        <v>6567.26004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IFERROR(__xludf.DUMMYFUNCTION("""COMPUTED_VALUE"""),6572.926723)</f>
        <v>6572.926723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IFERROR(__xludf.DUMMYFUNCTION("""COMPUTED_VALUE"""),6563.962197)</f>
        <v>6563.962197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IFERROR(__xludf.DUMMYFUNCTION("""COMPUTED_VALUE"""),6547.899415)</f>
        <v>6547.899415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IFERROR(__xludf.DUMMYFUNCTION("""COMPUTED_VALUE"""),6527.256618)</f>
        <v>6527.256618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IFERROR(__xludf.DUMMYFUNCTION("""COMPUTED_VALUE"""),6500.26548)</f>
        <v>6500.26548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IFERROR(__xludf.DUMMYFUNCTION("""COMPUTED_VALUE"""),6463.80328)</f>
        <v>6463.80328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IFERROR(__xludf.DUMMYFUNCTION("""COMPUTED_VALUE"""),6511.56734)</f>
        <v>6511.56734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IFERROR(__xludf.DUMMYFUNCTION("""COMPUTED_VALUE"""),6533.305952)</f>
        <v>6533.305952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IFERROR(__xludf.DUMMYFUNCTION("""COMPUTED_VALUE"""),6529.074552)</f>
        <v>6529.074552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IFERROR(__xludf.DUMMYFUNCTION("""COMPUTED_VALUE"""),6469.793796)</f>
        <v>6469.793796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IFERROR(__xludf.DUMMYFUNCTION("""COMPUTED_VALUE"""),6459.434368)</f>
        <v>6459.434368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IFERROR(__xludf.DUMMYFUNCTION("""COMPUTED_VALUE"""),6501.909006)</f>
        <v>6501.909006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IFERROR(__xludf.DUMMYFUNCTION("""COMPUTED_VALUE"""),6506.837346)</f>
        <v>6506.837346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IFERROR(__xludf.DUMMYFUNCTION("""COMPUTED_VALUE"""),6519.649462)</f>
        <v>6519.649462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IFERROR(__xludf.DUMMYFUNCTION("""COMPUTED_VALUE"""),6501.142856)</f>
        <v>6501.142856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IFERROR(__xludf.DUMMYFUNCTION("""COMPUTED_VALUE"""),6546.157353)</f>
        <v>6546.157353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IFERROR(__xludf.DUMMYFUNCTION("""COMPUTED_VALUE"""),6557.642949)</f>
        <v>6557.642949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IFERROR(__xludf.DUMMYFUNCTION("""COMPUTED_VALUE"""),6536.532714)</f>
        <v>6536.532714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IFERROR(__xludf.DUMMYFUNCTION("""COMPUTED_VALUE"""),6559.491184)</f>
        <v>6559.491184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IFERROR(__xludf.DUMMYFUNCTION("""COMPUTED_VALUE"""),6526.753742)</f>
        <v>6526.753742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IFERROR(__xludf.DUMMYFUNCTION("""COMPUTED_VALUE"""),6561.537752)</f>
        <v>6561.537752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IFERROR(__xludf.DUMMYFUNCTION("""COMPUTED_VALUE"""),6578.413834)</f>
        <v>6578.413834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IFERROR(__xludf.DUMMYFUNCTION("""COMPUTED_VALUE"""),6560.12944)</f>
        <v>6560.12944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IFERROR(__xludf.DUMMYFUNCTION("""COMPUTED_VALUE"""),6587.90361)</f>
        <v>6587.90361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IFERROR(__xludf.DUMMYFUNCTION("""COMPUTED_VALUE"""),6576.73429)</f>
        <v>6576.73429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IFERROR(__xludf.DUMMYFUNCTION("""COMPUTED_VALUE"""),6590.23047)</f>
        <v>6590.23047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IFERROR(__xludf.DUMMYFUNCTION("""COMPUTED_VALUE"""),6555.02085)</f>
        <v>6555.02085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IFERROR(__xludf.DUMMYFUNCTION("""COMPUTED_VALUE"""),6548.637375)</f>
        <v>6548.637375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IFERROR(__xludf.DUMMYFUNCTION("""COMPUTED_VALUE"""),6548.539898)</f>
        <v>6548.539898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IFERROR(__xludf.DUMMYFUNCTION("""COMPUTED_VALUE"""),6546.711782)</f>
        <v>6546.711782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IFERROR(__xludf.DUMMYFUNCTION("""COMPUTED_VALUE"""),6597.18475)</f>
        <v>6597.18475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IFERROR(__xludf.DUMMYFUNCTION("""COMPUTED_VALUE"""),6577.69245)</f>
        <v>6577.69245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IFERROR(__xludf.DUMMYFUNCTION("""COMPUTED_VALUE"""),6560.898428)</f>
        <v>6560.898428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IFERROR(__xludf.DUMMYFUNCTION("""COMPUTED_VALUE"""),6546.041842)</f>
        <v>6546.041842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IFERROR(__xludf.DUMMYFUNCTION("""COMPUTED_VALUE"""),6515.845014)</f>
        <v>6515.845014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IFERROR(__xludf.DUMMYFUNCTION("""COMPUTED_VALUE"""),6611.20218)</f>
        <v>6611.20218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IFERROR(__xludf.DUMMYFUNCTION("""COMPUTED_VALUE"""),6593.866914)</f>
        <v>6593.866914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IFERROR(__xludf.DUMMYFUNCTION("""COMPUTED_VALUE"""),6579.86895)</f>
        <v>6579.86895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IFERROR(__xludf.DUMMYFUNCTION("""COMPUTED_VALUE"""),6625.37282)</f>
        <v>6625.37282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IFERROR(__xludf.DUMMYFUNCTION("""COMPUTED_VALUE"""),6560.261058)</f>
        <v>6560.261058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IFERROR(__xludf.DUMMYFUNCTION("""COMPUTED_VALUE"""),6589.442496)</f>
        <v>6589.442496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IFERROR(__xludf.DUMMYFUNCTION("""COMPUTED_VALUE"""),6626.832618)</f>
        <v>6626.832618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IFERROR(__xludf.DUMMYFUNCTION("""COMPUTED_VALUE"""),6577.595934)</f>
        <v>6577.595934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IFERROR(__xludf.DUMMYFUNCTION("""COMPUTED_VALUE"""),6550.441985)</f>
        <v>6550.441985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IFERROR(__xludf.DUMMYFUNCTION("""COMPUTED_VALUE"""),6552.791904)</f>
        <v>6552.791904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IFERROR(__xludf.DUMMYFUNCTION("""COMPUTED_VALUE"""),6578.470638)</f>
        <v>6578.470638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IFERROR(__xludf.DUMMYFUNCTION("""COMPUTED_VALUE"""),6587.878224)</f>
        <v>6587.878224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IFERROR(__xludf.DUMMYFUNCTION("""COMPUTED_VALUE"""),6633.006862)</f>
        <v>6633.006862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IFERROR(__xludf.DUMMYFUNCTION("""COMPUTED_VALUE"""),6530.63417)</f>
        <v>6530.63417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IFERROR(__xludf.DUMMYFUNCTION("""COMPUTED_VALUE"""),6590.435819)</f>
        <v>6590.435819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IFERROR(__xludf.DUMMYFUNCTION("""COMPUTED_VALUE"""),6536.60506)</f>
        <v>6536.60506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IFERROR(__xludf.DUMMYFUNCTION("""COMPUTED_VALUE"""),6628.873496)</f>
        <v>6628.873496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IFERROR(__xludf.DUMMYFUNCTION("""COMPUTED_VALUE"""),6661.9579)</f>
        <v>6661.9579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IFERROR(__xludf.DUMMYFUNCTION("""COMPUTED_VALUE"""),6577.20336)</f>
        <v>6577.20336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IFERROR(__xludf.DUMMYFUNCTION("""COMPUTED_VALUE"""),6650.586618)</f>
        <v>6650.586618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IFERROR(__xludf.DUMMYFUNCTION("""COMPUTED_VALUE"""),6682.054852)</f>
        <v>6682.054852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IFERROR(__xludf.DUMMYFUNCTION("""COMPUTED_VALUE"""),6677.889312)</f>
        <v>6677.889312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IFERROR(__xludf.DUMMYFUNCTION("""COMPUTED_VALUE"""),6683.675589)</f>
        <v>6683.675589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IFERROR(__xludf.DUMMYFUNCTION("""COMPUTED_VALUE"""),6685.197002)</f>
        <v>6685.197002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IFERROR(__xludf.DUMMYFUNCTION("""COMPUTED_VALUE"""),6690.322092)</f>
        <v>6690.322092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IFERROR(__xludf.DUMMYFUNCTION("""COMPUTED_VALUE"""),6698.26746)</f>
        <v>6698.26746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IFERROR(__xludf.DUMMYFUNCTION("""COMPUTED_VALUE"""),6723.2865)</f>
        <v>6723.2865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IFERROR(__xludf.DUMMYFUNCTION("""COMPUTED_VALUE"""),6730.71732)</f>
        <v>6730.71732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IFERROR(__xludf.DUMMYFUNCTION("""COMPUTED_VALUE"""),6728.374884)</f>
        <v>6728.374884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IFERROR(__xludf.DUMMYFUNCTION("""COMPUTED_VALUE"""),6738.138302)</f>
        <v>6738.138302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IFERROR(__xludf.DUMMYFUNCTION("""COMPUTED_VALUE"""),6707.196612)</f>
        <v>6707.196612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IFERROR(__xludf.DUMMYFUNCTION("""COMPUTED_VALUE"""),6671.1565)</f>
        <v>6671.1565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IFERROR(__xludf.DUMMYFUNCTION("""COMPUTED_VALUE"""),6715.873076)</f>
        <v>6715.873076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IFERROR(__xludf.DUMMYFUNCTION("""COMPUTED_VALUE"""),6731.799612)</f>
        <v>6731.799612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IFERROR(__xludf.DUMMYFUNCTION("""COMPUTED_VALUE"""),6673.016336)</f>
        <v>6673.016336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IFERROR(__xludf.DUMMYFUNCTION("""COMPUTED_VALUE"""),6723.760128)</f>
        <v>6723.760128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IFERROR(__xludf.DUMMYFUNCTION("""COMPUTED_VALUE"""),6747.086193)</f>
        <v>6747.086193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IFERROR(__xludf.DUMMYFUNCTION("""COMPUTED_VALUE"""),6691.62153)</f>
        <v>6691.62153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IFERROR(__xludf.DUMMYFUNCTION("""COMPUTED_VALUE"""),6789.9115)</f>
        <v>6789.9115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IFERROR(__xludf.DUMMYFUNCTION("""COMPUTED_VALUE"""),6792.61034)</f>
        <v>6792.61034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IFERROR(__xludf.DUMMYFUNCTION("""COMPUTED_VALUE"""),6774.234392)</f>
        <v>6774.234392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IFERROR(__xludf.DUMMYFUNCTION("""COMPUTED_VALUE"""),6788.987432)</f>
        <v>6788.987432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IFERROR(__xludf.DUMMYFUNCTION("""COMPUTED_VALUE"""),6797.751814)</f>
        <v>6797.751814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IFERROR(__xludf.DUMMYFUNCTION("""COMPUTED_VALUE"""),6793.18918)</f>
        <v>6793.18918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IFERROR(__xludf.DUMMYFUNCTION("""COMPUTED_VALUE"""),6741.282723)</f>
        <v>6741.282723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IFERROR(__xludf.DUMMYFUNCTION("""COMPUTED_VALUE"""),6777.310824)</f>
        <v>6777.310824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IFERROR(__xludf.DUMMYFUNCTION("""COMPUTED_VALUE"""),6817.757232)</f>
        <v>6817.757232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IFERROR(__xludf.DUMMYFUNCTION("""COMPUTED_VALUE"""),6822.639395)</f>
        <v>6822.639395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IFERROR(__xludf.DUMMYFUNCTION("""COMPUTED_VALUE"""),6874.028354)</f>
        <v>6874.028354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IFERROR(__xludf.DUMMYFUNCTION("""COMPUTED_VALUE"""),6825.735315)</f>
        <v>6825.735315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IFERROR(__xludf.DUMMYFUNCTION("""COMPUTED_VALUE"""),6811.472279)</f>
        <v>6811.472279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IFERROR(__xludf.DUMMYFUNCTION("""COMPUTED_VALUE"""),6866.295746)</f>
        <v>6866.295746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IFERROR(__xludf.DUMMYFUNCTION("""COMPUTED_VALUE"""),6895.065329)</f>
        <v>6895.065329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IFERROR(__xludf.DUMMYFUNCTION("""COMPUTED_VALUE"""),6875.717884)</f>
        <v>6875.717884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IFERROR(__xludf.DUMMYFUNCTION("""COMPUTED_VALUE"""),6819.881326)</f>
        <v>6819.881326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IFERROR(__xludf.DUMMYFUNCTION("""COMPUTED_VALUE"""),6767.914608)</f>
        <v>6767.914608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IFERROR(__xludf.DUMMYFUNCTION("""COMPUTED_VALUE"""),6795.265565)</f>
        <v>6795.265565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IFERROR(__xludf.DUMMYFUNCTION("""COMPUTED_VALUE"""),6872.583974)</f>
        <v>6872.583974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IFERROR(__xludf.DUMMYFUNCTION("""COMPUTED_VALUE"""),6895.03626)</f>
        <v>6895.03626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IFERROR(__xludf.DUMMYFUNCTION("""COMPUTED_VALUE"""),6864.853882)</f>
        <v>6864.853882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IFERROR(__xludf.DUMMYFUNCTION("""COMPUTED_VALUE"""),6838.207012)</f>
        <v>6838.207012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IFERROR(__xludf.DUMMYFUNCTION("""COMPUTED_VALUE"""),6807.756844)</f>
        <v>6807.756844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IFERROR(__xludf.DUMMYFUNCTION("""COMPUTED_VALUE"""),6898.89816)</f>
        <v>6898.89816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IFERROR(__xludf.DUMMYFUNCTION("""COMPUTED_VALUE"""),6895.694469)</f>
        <v>6895.694469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IFERROR(__xludf.DUMMYFUNCTION("""COMPUTED_VALUE"""),6854.395105)</f>
        <v>6854.395105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IFERROR(__xludf.DUMMYFUNCTION("""COMPUTED_VALUE"""),6822.014241)</f>
        <v>6822.014241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IFERROR(__xludf.DUMMYFUNCTION("""COMPUTED_VALUE"""),6942.454841)</f>
        <v>6942.454841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IFERROR(__xludf.DUMMYFUNCTION("""COMPUTED_VALUE"""),6921.797)</f>
        <v>6921.797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IFERROR(__xludf.DUMMYFUNCTION("""COMPUTED_VALUE"""),6904.243396)</f>
        <v>6904.243396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IFERROR(__xludf.DUMMYFUNCTION("""COMPUTED_VALUE"""),6821.32155)</f>
        <v>6821.32155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IFERROR(__xludf.DUMMYFUNCTION("""COMPUTED_VALUE"""),6821.661404)</f>
        <v>6821.661404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IFERROR(__xludf.DUMMYFUNCTION("""COMPUTED_VALUE"""),6812.20342)</f>
        <v>6812.20342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IFERROR(__xludf.DUMMYFUNCTION("""COMPUTED_VALUE"""),6873.432901)</f>
        <v>6873.432901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IFERROR(__xludf.DUMMYFUNCTION("""COMPUTED_VALUE"""),6866.376465)</f>
        <v>6866.376465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IFERROR(__xludf.DUMMYFUNCTION("""COMPUTED_VALUE"""),6785.91)</f>
        <v>6785.91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IFERROR(__xludf.DUMMYFUNCTION("""COMPUTED_VALUE"""),6799.38944)</f>
        <v>6799.38944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IFERROR(__xludf.DUMMYFUNCTION("""COMPUTED_VALUE"""),6823.2588)</f>
        <v>6823.2588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IFERROR(__xludf.DUMMYFUNCTION("""COMPUTED_VALUE"""),6892.042707)</f>
        <v>6892.042707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IFERROR(__xludf.DUMMYFUNCTION("""COMPUTED_VALUE"""),6869.872357)</f>
        <v>6869.872357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IFERROR(__xludf.DUMMYFUNCTION("""COMPUTED_VALUE"""),6820.036769)</f>
        <v>6820.036769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IFERROR(__xludf.DUMMYFUNCTION("""COMPUTED_VALUE"""),6856.722372)</f>
        <v>6856.722372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IFERROR(__xludf.DUMMYFUNCTION("""COMPUTED_VALUE"""),6847.455145)</f>
        <v>6847.455145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IFERROR(__xludf.DUMMYFUNCTION("""COMPUTED_VALUE"""),6740.94684)</f>
        <v>6740.94684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IFERROR(__xludf.DUMMYFUNCTION("""COMPUTED_VALUE"""),6827.851057)</f>
        <v>6827.851057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IFERROR(__xludf.DUMMYFUNCTION("""COMPUTED_VALUE"""),6838.70015)</f>
        <v>6838.70015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IFERROR(__xludf.DUMMYFUNCTION("""COMPUTED_VALUE"""),6879.544213)</f>
        <v>6879.544213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IFERROR(__xludf.DUMMYFUNCTION("""COMPUTED_VALUE"""),6817.53024)</f>
        <v>6817.53024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IFERROR(__xludf.DUMMYFUNCTION("""COMPUTED_VALUE"""),6888.2604)</f>
        <v>6888.2604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IFERROR(__xludf.DUMMYFUNCTION("""COMPUTED_VALUE"""),6895.765232)</f>
        <v>6895.765232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IFERROR(__xludf.DUMMYFUNCTION("""COMPUTED_VALUE"""),6857.3922)</f>
        <v>6857.3922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IFERROR(__xludf.DUMMYFUNCTION("""COMPUTED_VALUE"""),6857.2746)</f>
        <v>6857.2746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IFERROR(__xludf.DUMMYFUNCTION("""COMPUTED_VALUE"""),6879.20094)</f>
        <v>6879.20094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IFERROR(__xludf.DUMMYFUNCTION("""COMPUTED_VALUE"""),6890.61525)</f>
        <v>6890.61525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IFERROR(__xludf.DUMMYFUNCTION("""COMPUTED_VALUE"""),6914.41485)</f>
        <v>6914.41485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IFERROR(__xludf.DUMMYFUNCTION("""COMPUTED_VALUE"""),6915.473631)</f>
        <v>6915.473631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IFERROR(__xludf.DUMMYFUNCTION("""COMPUTED_VALUE"""),6848.129774)</f>
        <v>6848.129774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IFERROR(__xludf.DUMMYFUNCTION("""COMPUTED_VALUE"""),6793.86318)</f>
        <v>6793.86318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IFERROR(__xludf.DUMMYFUNCTION("""COMPUTED_VALUE"""),6872.957837)</f>
        <v>6872.957837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IFERROR(__xludf.DUMMYFUNCTION("""COMPUTED_VALUE"""),6788.36301)</f>
        <v>6788.36301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IFERROR(__xludf.DUMMYFUNCTION("""COMPUTED_VALUE"""),6882.280242)</f>
        <v>6882.280242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IFERROR(__xludf.DUMMYFUNCTION("""COMPUTED_VALUE"""),6919.446064)</f>
        <v>6919.446064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IFERROR(__xludf.DUMMYFUNCTION("""COMPUTED_VALUE"""),6921.08573)</f>
        <v>6921.08573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IFERROR(__xludf.DUMMYFUNCTION("""COMPUTED_VALUE"""),6946.0596)</f>
        <v>6946.0596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IFERROR(__xludf.DUMMYFUNCTION("""COMPUTED_VALUE"""),6881.42098)</f>
        <v>6881.42098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IFERROR(__xludf.DUMMYFUNCTION("""COMPUTED_VALUE"""),6935.410969)</f>
        <v>6935.410969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IFERROR(__xludf.DUMMYFUNCTION("""COMPUTED_VALUE"""),6961.181343)</f>
        <v>6961.181343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IFERROR(__xludf.DUMMYFUNCTION("""COMPUTED_VALUE"""),6895.35828)</f>
        <v>6895.35828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IFERROR(__xludf.DUMMYFUNCTION("""COMPUTED_VALUE"""),7020.372841)</f>
        <v>7020.372841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IFERROR(__xludf.DUMMYFUNCTION("""COMPUTED_VALUE"""),6992.29321)</f>
        <v>6992.29321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IFERROR(__xludf.DUMMYFUNCTION("""COMPUTED_VALUE"""),6903.35568)</f>
        <v>6903.35568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IFERROR(__xludf.DUMMYFUNCTION("""COMPUTED_VALUE"""),6949.714201)</f>
        <v>6949.714201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IFERROR(__xludf.DUMMYFUNCTION("""COMPUTED_VALUE"""),6949.649114)</f>
        <v>6949.649114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IFERROR(__xludf.DUMMYFUNCTION("""COMPUTED_VALUE"""),6875.3133)</f>
        <v>6875.3133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IFERROR(__xludf.DUMMYFUNCTION("""COMPUTED_VALUE"""),6973.032899)</f>
        <v>6973.032899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IFERROR(__xludf.DUMMYFUNCTION("""COMPUTED_VALUE"""),6902.82825)</f>
        <v>6902.82825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IFERROR(__xludf.DUMMYFUNCTION("""COMPUTED_VALUE"""),7016.4864)</f>
        <v>7016.4864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IFERROR(__xludf.DUMMYFUNCTION("""COMPUTED_VALUE"""),7040.589601)</f>
        <v>7040.589601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IFERROR(__xludf.DUMMYFUNCTION("""COMPUTED_VALUE"""),7030.649565)</f>
        <v>7030.649565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IFERROR(__xludf.DUMMYFUNCTION("""COMPUTED_VALUE"""),7030.3788)</f>
        <v>7030.3788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IFERROR(__xludf.DUMMYFUNCTION("""COMPUTED_VALUE"""),7053.02705)</f>
        <v>7053.02705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IFERROR(__xludf.DUMMYFUNCTION("""COMPUTED_VALUE"""),6968.88136)</f>
        <v>6968.88136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IFERROR(__xludf.DUMMYFUNCTION("""COMPUTED_VALUE"""),6919.190352)</f>
        <v>6919.190352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IFERROR(__xludf.DUMMYFUNCTION("""COMPUTED_VALUE"""),6874.5039)</f>
        <v>6874.5039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IFERROR(__xludf.DUMMYFUNCTION("""COMPUTED_VALUE"""),7063.706)</f>
        <v>7063.706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IFERROR(__xludf.DUMMYFUNCTION("""COMPUTED_VALUE"""),7058.642188)</f>
        <v>7058.642188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IFERROR(__xludf.DUMMYFUNCTION("""COMPUTED_VALUE"""),6976.890466)</f>
        <v>6976.890466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IFERROR(__xludf.DUMMYFUNCTION("""COMPUTED_VALUE"""),7053.387921)</f>
        <v>7053.387921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IFERROR(__xludf.DUMMYFUNCTION("""COMPUTED_VALUE"""),7024.557615)</f>
        <v>7024.557615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IFERROR(__xludf.DUMMYFUNCTION("""COMPUTED_VALUE"""),7000.94574)</f>
        <v>7000.94574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IFERROR(__xludf.DUMMYFUNCTION("""COMPUTED_VALUE"""),7081.11)</f>
        <v>7081.11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IFERROR(__xludf.DUMMYFUNCTION("""COMPUTED_VALUE"""),7088.5723)</f>
        <v>7088.5723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IFERROR(__xludf.DUMMYFUNCTION("""COMPUTED_VALUE"""),6999.59502)</f>
        <v>6999.59502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IFERROR(__xludf.DUMMYFUNCTION("""COMPUTED_VALUE"""),7052.868459)</f>
        <v>7052.868459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IFERROR(__xludf.DUMMYFUNCTION("""COMPUTED_VALUE"""),6925.378932)</f>
        <v>6925.378932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IFERROR(__xludf.DUMMYFUNCTION("""COMPUTED_VALUE"""),6990.238)</f>
        <v>6990.238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IFERROR(__xludf.DUMMYFUNCTION("""COMPUTED_VALUE"""),7010.993044)</f>
        <v>7010.993044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IFERROR(__xludf.DUMMYFUNCTION("""COMPUTED_VALUE"""),6977.0295)</f>
        <v>6977.0295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IFERROR(__xludf.DUMMYFUNCTION("""COMPUTED_VALUE"""),6962.900868)</f>
        <v>6962.900868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IFERROR(__xludf.DUMMYFUNCTION("""COMPUTED_VALUE"""),6950.864098)</f>
        <v>6950.864098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IFERROR(__xludf.DUMMYFUNCTION("""COMPUTED_VALUE"""),6879.226)</f>
        <v>6879.226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IFERROR(__xludf.DUMMYFUNCTION("""COMPUTED_VALUE"""),6954.605607)</f>
        <v>6954.605607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IFERROR(__xludf.DUMMYFUNCTION("""COMPUTED_VALUE"""),6878.8666)</f>
        <v>6878.8666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IFERROR(__xludf.DUMMYFUNCTION("""COMPUTED_VALUE"""),6955.224038)</f>
        <v>6955.224038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IFERROR(__xludf.DUMMYFUNCTION("""COMPUTED_VALUE"""),6856.85)</f>
        <v>6856.85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IFERROR(__xludf.DUMMYFUNCTION("""COMPUTED_VALUE"""),6928.868105)</f>
        <v>6928.868105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IFERROR(__xludf.DUMMYFUNCTION("""COMPUTED_VALUE"""),6946.95344)</f>
        <v>6946.95344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IFERROR(__xludf.DUMMYFUNCTION("""COMPUTED_VALUE"""),6949.0962)</f>
        <v>6949.0962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IFERROR(__xludf.DUMMYFUNCTION("""COMPUTED_VALUE"""),6945.401047)</f>
        <v>6945.401047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IFERROR(__xludf.DUMMYFUNCTION("""COMPUTED_VALUE"""),6940.364002)</f>
        <v>6940.364002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IFERROR(__xludf.DUMMYFUNCTION("""COMPUTED_VALUE"""),6906.34202)</f>
        <v>6906.34202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IFERROR(__xludf.DUMMYFUNCTION("""COMPUTED_VALUE"""),6941.654989)</f>
        <v>6941.654989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IFERROR(__xludf.DUMMYFUNCTION("""COMPUTED_VALUE"""),6943.801761)</f>
        <v>6943.801761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IFERROR(__xludf.DUMMYFUNCTION("""COMPUTED_VALUE"""),6918.484808)</f>
        <v>6918.484808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IFERROR(__xludf.DUMMYFUNCTION("""COMPUTED_VALUE"""),6938.264715)</f>
        <v>6938.264715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IFERROR(__xludf.DUMMYFUNCTION("""COMPUTED_VALUE"""),6927.40956)</f>
        <v>6927.40956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IFERROR(__xludf.DUMMYFUNCTION("""COMPUTED_VALUE"""),6905.7708)</f>
        <v>6905.7708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IFERROR(__xludf.DUMMYFUNCTION("""COMPUTED_VALUE"""),6895.447422)</f>
        <v>6895.447422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IFERROR(__xludf.DUMMYFUNCTION("""COMPUTED_VALUE"""),6921.327231)</f>
        <v>6921.327231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IFERROR(__xludf.DUMMYFUNCTION("""COMPUTED_VALUE"""),6910.418568)</f>
        <v>6910.418568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IFERROR(__xludf.DUMMYFUNCTION("""COMPUTED_VALUE"""),6870.2985)</f>
        <v>6870.2985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IFERROR(__xludf.DUMMYFUNCTION("""COMPUTED_VALUE"""),6813.303665)</f>
        <v>6813.303665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IFERROR(__xludf.DUMMYFUNCTION("""COMPUTED_VALUE"""),6856.386)</f>
        <v>6856.386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IFERROR(__xludf.DUMMYFUNCTION("""COMPUTED_VALUE"""),6866.3991)</f>
        <v>6866.3991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IFERROR(__xludf.DUMMYFUNCTION("""COMPUTED_VALUE"""),6884.004)</f>
        <v>6884.004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IFERROR(__xludf.DUMMYFUNCTION("""COMPUTED_VALUE"""),6893.51445)</f>
        <v>6893.51445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IFERROR(__xludf.DUMMYFUNCTION("""COMPUTED_VALUE"""),6897.184303)</f>
        <v>6897.184303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IFERROR(__xludf.DUMMYFUNCTION("""COMPUTED_VALUE"""),6906.0719)</f>
        <v>6906.0719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IFERROR(__xludf.DUMMYFUNCTION("""COMPUTED_VALUE"""),6895.214816)</f>
        <v>6895.214816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IFERROR(__xludf.DUMMYFUNCTION("""COMPUTED_VALUE"""),6901.152756)</f>
        <v>6901.152756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IFERROR(__xludf.DUMMYFUNCTION("""COMPUTED_VALUE"""),6884.476137)</f>
        <v>6884.476137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IFERROR(__xludf.DUMMYFUNCTION("""COMPUTED_VALUE"""),6891.90234)</f>
        <v>6891.90234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IFERROR(__xludf.DUMMYFUNCTION("""COMPUTED_VALUE"""),6914.135424)</f>
        <v>6914.135424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IFERROR(__xludf.DUMMYFUNCTION("""COMPUTED_VALUE"""),6872.406805)</f>
        <v>6872.406805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IFERROR(__xludf.DUMMYFUNCTION("""COMPUTED_VALUE"""),6870.42393)</f>
        <v>6870.42393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IFERROR(__xludf.DUMMYFUNCTION("""COMPUTED_VALUE"""),6875.667725)</f>
        <v>6875.667725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IFERROR(__xludf.DUMMYFUNCTION("""COMPUTED_VALUE"""),6858.014339)</f>
        <v>6858.014339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IFERROR(__xludf.DUMMYFUNCTION("""COMPUTED_VALUE"""),6863.364895)</f>
        <v>6863.364895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IFERROR(__xludf.DUMMYFUNCTION("""COMPUTED_VALUE"""),6852.67514)</f>
        <v>6852.67514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IFERROR(__xludf.DUMMYFUNCTION("""COMPUTED_VALUE"""),6855.793351)</f>
        <v>6855.793351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IFERROR(__xludf.DUMMYFUNCTION("""COMPUTED_VALUE"""),6846.294116)</f>
        <v>6846.294116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IFERROR(__xludf.DUMMYFUNCTION("""COMPUTED_VALUE"""),6865.467984)</f>
        <v>6865.467984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IFERROR(__xludf.DUMMYFUNCTION("""COMPUTED_VALUE"""),6852.099295)</f>
        <v>6852.099295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IFERROR(__xludf.DUMMYFUNCTION("""COMPUTED_VALUE"""),6886.402355)</f>
        <v>6886.402355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IFERROR(__xludf.DUMMYFUNCTION("""COMPUTED_VALUE"""),6856.407545)</f>
        <v>6856.407545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IFERROR(__xludf.DUMMYFUNCTION("""COMPUTED_VALUE"""),6902.20644)</f>
        <v>6902.20644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IFERROR(__xludf.DUMMYFUNCTION("""COMPUTED_VALUE"""),6932.60334)</f>
        <v>6932.60334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IFERROR(__xludf.DUMMYFUNCTION("""COMPUTED_VALUE"""),6971.237928)</f>
        <v>6971.237928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IFERROR(__xludf.DUMMYFUNCTION("""COMPUTED_VALUE"""),6971.237928)</f>
        <v>6971.237928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IFERROR(__xludf.DUMMYFUNCTION("""COMPUTED_VALUE"""),6949.235384)</f>
        <v>6949.235384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IFERROR(__xludf.DUMMYFUNCTION("""COMPUTED_VALUE"""),6932.545061)</f>
        <v>6932.545061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IFERROR(__xludf.DUMMYFUNCTION("""COMPUTED_VALUE"""),6970.75645)</f>
        <v>6970.75645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IFERROR(__xludf.DUMMYFUNCTION("""COMPUTED_VALUE"""),6969.300928)</f>
        <v>6969.300928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IFERROR(__xludf.DUMMYFUNCTION("""COMPUTED_VALUE"""),6993.372417)</f>
        <v>6993.372417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IFERROR(__xludf.DUMMYFUNCTION("""COMPUTED_VALUE"""),6990.24831)</f>
        <v>6990.24831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IFERROR(__xludf.DUMMYFUNCTION("""COMPUTED_VALUE"""),6990.24831)</f>
        <v>6990.24831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IFERROR(__xludf.DUMMYFUNCTION("""COMPUTED_VALUE"""),6986.618496)</f>
        <v>6986.618496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IFERROR(__xludf.DUMMYFUNCTION("""COMPUTED_VALUE"""),6975.565176)</f>
        <v>6975.565176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IFERROR(__xludf.DUMMYFUNCTION("""COMPUTED_VALUE"""),6991.843856)</f>
        <v>6991.843856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IFERROR(__xludf.DUMMYFUNCTION("""COMPUTED_VALUE"""),6967.420638)</f>
        <v>6967.420638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IFERROR(__xludf.DUMMYFUNCTION("""COMPUTED_VALUE"""),6967.868446)</f>
        <v>6967.868446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IFERROR(__xludf.DUMMYFUNCTION("""COMPUTED_VALUE"""),6996.817262)</f>
        <v>6996.817262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IFERROR(__xludf.DUMMYFUNCTION("""COMPUTED_VALUE"""),6982.77415)</f>
        <v>6982.77415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IFERROR(__xludf.DUMMYFUNCTION("""COMPUTED_VALUE"""),6998.583436)</f>
        <v>6998.583436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IFERROR(__xludf.DUMMYFUNCTION("""COMPUTED_VALUE"""),6997.489062)</f>
        <v>6997.489062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IFERROR(__xludf.DUMMYFUNCTION("""COMPUTED_VALUE"""),6965.7211)</f>
        <v>6965.7211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IFERROR(__xludf.DUMMYFUNCTION("""COMPUTED_VALUE"""),6931.86268)</f>
        <v>6931.86268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IFERROR(__xludf.DUMMYFUNCTION("""COMPUTED_VALUE"""),6919.273816)</f>
        <v>6919.273816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IFERROR(__xludf.DUMMYFUNCTION("""COMPUTED_VALUE"""),7011.680598)</f>
        <v>7011.680598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IFERROR(__xludf.DUMMYFUNCTION("""COMPUTED_VALUE"""),6883.837668)</f>
        <v>6883.837668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IFERROR(__xludf.DUMMYFUNCTION("""COMPUTED_VALUE"""),6971.601419)</f>
        <v>6971.601419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IFERROR(__xludf.DUMMYFUNCTION("""COMPUTED_VALUE"""),6918.92658)</f>
        <v>6918.92658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IFERROR(__xludf.DUMMYFUNCTION("""COMPUTED_VALUE"""),6925.068964)</f>
        <v>6925.068964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IFERROR(__xludf.DUMMYFUNCTION("""COMPUTED_VALUE"""),6948.190854)</f>
        <v>6948.190854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IFERROR(__xludf.DUMMYFUNCTION("""COMPUTED_VALUE"""),6899.5935)</f>
        <v>6899.5935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IFERROR(__xludf.DUMMYFUNCTION("""COMPUTED_VALUE"""),6909.395829)</f>
        <v>6909.395829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IFERROR(__xludf.DUMMYFUNCTION("""COMPUTED_VALUE"""),6908.914131)</f>
        <v>6908.914131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IFERROR(__xludf.DUMMYFUNCTION("""COMPUTED_VALUE"""),6858.82176)</f>
        <v>6858.82176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IFERROR(__xludf.DUMMYFUNCTION("""COMPUTED_VALUE"""),6870.654888)</f>
        <v>6870.654888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IFERROR(__xludf.DUMMYFUNCTION("""COMPUTED_VALUE"""),6729.213059)</f>
        <v>6729.213059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IFERROR(__xludf.DUMMYFUNCTION("""COMPUTED_VALUE"""),6887.523027)</f>
        <v>6887.523027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IFERROR(__xludf.DUMMYFUNCTION("""COMPUTED_VALUE"""),6910.70016)</f>
        <v>6910.70016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IFERROR(__xludf.DUMMYFUNCTION("""COMPUTED_VALUE"""),6908.8734)</f>
        <v>6908.8734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IFERROR(__xludf.DUMMYFUNCTION("""COMPUTED_VALUE"""),6797.06235)</f>
        <v>6797.06235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IFERROR(__xludf.DUMMYFUNCTION("""COMPUTED_VALUE"""),6900.684258)</f>
        <v>6900.684258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IFERROR(__xludf.DUMMYFUNCTION("""COMPUTED_VALUE"""),6884.386)</f>
        <v>6884.386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IFERROR(__xludf.DUMMYFUNCTION("""COMPUTED_VALUE"""),6735.98783)</f>
        <v>6735.98783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IFERROR(__xludf.DUMMYFUNCTION("""COMPUTED_VALUE"""),6889.02551)</f>
        <v>6889.02551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IFERROR(__xludf.DUMMYFUNCTION("""COMPUTED_VALUE"""),6895.329)</f>
        <v>6895.329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IFERROR(__xludf.DUMMYFUNCTION("""COMPUTED_VALUE"""),6922.174766)</f>
        <v>6922.174766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IFERROR(__xludf.DUMMYFUNCTION("""COMPUTED_VALUE"""),6760.804668)</f>
        <v>6760.804668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IFERROR(__xludf.DUMMYFUNCTION("""COMPUTED_VALUE"""),6921.57557)</f>
        <v>6921.57557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IFERROR(__xludf.DUMMYFUNCTION("""COMPUTED_VALUE"""),6925.105836)</f>
        <v>6925.105836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IFERROR(__xludf.DUMMYFUNCTION("""COMPUTED_VALUE"""),6927.310544)</f>
        <v>6927.310544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IFERROR(__xludf.DUMMYFUNCTION("""COMPUTED_VALUE"""),6891.5238)</f>
        <v>6891.5238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IFERROR(__xludf.DUMMYFUNCTION("""COMPUTED_VALUE"""),6923.45907)</f>
        <v>6923.45907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IFERROR(__xludf.DUMMYFUNCTION("""COMPUTED_VALUE"""),6929.426371)</f>
        <v>6929.426371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IFERROR(__xludf.DUMMYFUNCTION("""COMPUTED_VALUE"""),6927.34196)</f>
        <v>6927.34196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IFERROR(__xludf.DUMMYFUNCTION("""COMPUTED_VALUE"""),6940.75857)</f>
        <v>6940.75857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IFERROR(__xludf.DUMMYFUNCTION("""COMPUTED_VALUE"""),6903.275)</f>
        <v>6903.275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IFERROR(__xludf.DUMMYFUNCTION("""COMPUTED_VALUE"""),6940.602677)</f>
        <v>6940.602677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IFERROR(__xludf.DUMMYFUNCTION("""COMPUTED_VALUE"""),6890.631336)</f>
        <v>6890.631336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IFERROR(__xludf.DUMMYFUNCTION("""COMPUTED_VALUE"""),6925.7376)</f>
        <v>6925.7376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IFERROR(__xludf.DUMMYFUNCTION("""COMPUTED_VALUE"""),6890.924755)</f>
        <v>6890.924755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IFERROR(__xludf.DUMMYFUNCTION("""COMPUTED_VALUE"""),6864.3432)</f>
        <v>6864.3432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IFERROR(__xludf.DUMMYFUNCTION("""COMPUTED_VALUE"""),6884.995533)</f>
        <v>6884.995533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IFERROR(__xludf.DUMMYFUNCTION("""COMPUTED_VALUE"""),6914.563454)</f>
        <v>6914.563454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IFERROR(__xludf.DUMMYFUNCTION("""COMPUTED_VALUE"""),6937.077276)</f>
        <v>6937.077276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IFERROR(__xludf.DUMMYFUNCTION("""COMPUTED_VALUE"""),6882.811104)</f>
        <v>6882.811104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IFERROR(__xludf.DUMMYFUNCTION("""COMPUTED_VALUE"""),6941.8986)</f>
        <v>6941.8986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IFERROR(__xludf.DUMMYFUNCTION("""COMPUTED_VALUE"""),6950.1432)</f>
        <v>6950.1432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IFERROR(__xludf.DUMMYFUNCTION("""COMPUTED_VALUE"""),6793.643472)</f>
        <v>6793.643472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IFERROR(__xludf.DUMMYFUNCTION("""COMPUTED_VALUE"""),6971.685953)</f>
        <v>6971.685953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IFERROR(__xludf.DUMMYFUNCTION("""COMPUTED_VALUE"""),6969.981046)</f>
        <v>6969.981046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IFERROR(__xludf.DUMMYFUNCTION("""COMPUTED_VALUE"""),6973.138)</f>
        <v>6973.138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IFERROR(__xludf.DUMMYFUNCTION("""COMPUTED_VALUE"""),6946.797)</f>
        <v>6946.797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IFERROR(__xludf.DUMMYFUNCTION("""COMPUTED_VALUE"""),6960.71353)</f>
        <v>6960.71353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IFERROR(__xludf.DUMMYFUNCTION("""COMPUTED_VALUE"""),6935.46)</f>
        <v>6935.46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IFERROR(__xludf.DUMMYFUNCTION("""COMPUTED_VALUE"""),6832.41888)</f>
        <v>6832.41888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IFERROR(__xludf.DUMMYFUNCTION("""COMPUTED_VALUE"""),6938.267661)</f>
        <v>6938.267661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IFERROR(__xludf.DUMMYFUNCTION("""COMPUTED_VALUE"""),6949.5075)</f>
        <v>6949.5075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IFERROR(__xludf.DUMMYFUNCTION("""COMPUTED_VALUE"""),6952.2024)</f>
        <v>6952.2024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IFERROR(__xludf.DUMMYFUNCTION("""COMPUTED_VALUE"""),6986.795399)</f>
        <v>6986.795399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IFERROR(__xludf.DUMMYFUNCTION("""COMPUTED_VALUE"""),6979.4928)</f>
        <v>6979.4928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IFERROR(__xludf.DUMMYFUNCTION("""COMPUTED_VALUE"""),6963.13566)</f>
        <v>6963.13566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IFERROR(__xludf.DUMMYFUNCTION("""COMPUTED_VALUE"""),6827.720974)</f>
        <v>6827.720974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IFERROR(__xludf.DUMMYFUNCTION("""COMPUTED_VALUE"""),6966.25084)</f>
        <v>6966.25084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IFERROR(__xludf.DUMMYFUNCTION("""COMPUTED_VALUE"""),6951.421567)</f>
        <v>6951.421567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IFERROR(__xludf.DUMMYFUNCTION("""COMPUTED_VALUE"""),6943.849583)</f>
        <v>6943.849583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IFERROR(__xludf.DUMMYFUNCTION("""COMPUTED_VALUE"""),6949.44126)</f>
        <v>6949.44126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IFERROR(__xludf.DUMMYFUNCTION("""COMPUTED_VALUE"""),6975.156695)</f>
        <v>6975.156695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IFERROR(__xludf.DUMMYFUNCTION("""COMPUTED_VALUE"""),6972.292421)</f>
        <v>6972.292421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IFERROR(__xludf.DUMMYFUNCTION("""COMPUTED_VALUE"""),6994.61945)</f>
        <v>6994.61945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IFERROR(__xludf.DUMMYFUNCTION("""COMPUTED_VALUE"""),6957.480758)</f>
        <v>6957.480758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IFERROR(__xludf.DUMMYFUNCTION("""COMPUTED_VALUE"""),6945.750427)</f>
        <v>6945.750427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IFERROR(__xludf.DUMMYFUNCTION("""COMPUTED_VALUE"""),6984.891343)</f>
        <v>6984.891343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IFERROR(__xludf.DUMMYFUNCTION("""COMPUTED_VALUE"""),7029.5535)</f>
        <v>7029.5535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IFERROR(__xludf.DUMMYFUNCTION("""COMPUTED_VALUE"""),7005.498825)</f>
        <v>7005.498825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IFERROR(__xludf.DUMMYFUNCTION("""COMPUTED_VALUE"""),6996.729586)</f>
        <v>6996.729586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IFERROR(__xludf.DUMMYFUNCTION("""COMPUTED_VALUE"""),6859.114407)</f>
        <v>6859.114407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IFERROR(__xludf.DUMMYFUNCTION("""COMPUTED_VALUE"""),7039.312495)</f>
        <v>7039.312495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IFERROR(__xludf.DUMMYFUNCTION("""COMPUTED_VALUE"""),7034.312312)</f>
        <v>7034.312312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IFERROR(__xludf.DUMMYFUNCTION("""COMPUTED_VALUE"""),7024.7478)</f>
        <v>7024.7478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IFERROR(__xludf.DUMMYFUNCTION("""COMPUTED_VALUE"""),7030.426)</f>
        <v>7030.426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IFERROR(__xludf.DUMMYFUNCTION("""COMPUTED_VALUE"""),7052.75718)</f>
        <v>7052.75718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IFERROR(__xludf.DUMMYFUNCTION("""COMPUTED_VALUE"""),7051.88)</f>
        <v>7051.88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IFERROR(__xludf.DUMMYFUNCTION("""COMPUTED_VALUE"""),7064.047284)</f>
        <v>7064.047284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IFERROR(__xludf.DUMMYFUNCTION("""COMPUTED_VALUE"""),7055.795316)</f>
        <v>7055.795316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IFERROR(__xludf.DUMMYFUNCTION("""COMPUTED_VALUE"""),7057.769665)</f>
        <v>7057.769665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IFERROR(__xludf.DUMMYFUNCTION("""COMPUTED_VALUE"""),7061.545)</f>
        <v>7061.545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IFERROR(__xludf.DUMMYFUNCTION("""COMPUTED_VALUE"""),7040.14482)</f>
        <v>7040.14482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IFERROR(__xludf.DUMMYFUNCTION("""COMPUTED_VALUE"""),7065.03665)</f>
        <v>7065.03665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IFERROR(__xludf.DUMMYFUNCTION("""COMPUTED_VALUE"""),7056.87)</f>
        <v>7056.87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IFERROR(__xludf.DUMMYFUNCTION("""COMPUTED_VALUE"""),6854.71143)</f>
        <v>6854.71143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IFERROR(__xludf.DUMMYFUNCTION("""COMPUTED_VALUE"""),7064.478444)</f>
        <v>7064.478444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IFERROR(__xludf.DUMMYFUNCTION("""COMPUTED_VALUE"""),7014.562464)</f>
        <v>7014.562464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IFERROR(__xludf.DUMMYFUNCTION("""COMPUTED_VALUE"""),7005.714106)</f>
        <v>7005.714106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IFERROR(__xludf.DUMMYFUNCTION("""COMPUTED_VALUE"""),6906.003156)</f>
        <v>6906.003156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IFERROR(__xludf.DUMMYFUNCTION("""COMPUTED_VALUE"""),6901.278144)</f>
        <v>6901.278144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IFERROR(__xludf.DUMMYFUNCTION("""COMPUTED_VALUE"""),6996.138368)</f>
        <v>6996.138368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IFERROR(__xludf.DUMMYFUNCTION("""COMPUTED_VALUE"""),6866.115421)</f>
        <v>6866.115421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IFERROR(__xludf.DUMMYFUNCTION("""COMPUTED_VALUE"""),7007.633551)</f>
        <v>7007.633551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IFERROR(__xludf.DUMMYFUNCTION("""COMPUTED_VALUE"""),6927.873279)</f>
        <v>6927.873279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IFERROR(__xludf.DUMMYFUNCTION("""COMPUTED_VALUE"""),7048.654704)</f>
        <v>7048.654704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IFERROR(__xludf.DUMMYFUNCTION("""COMPUTED_VALUE"""),6960.640661)</f>
        <v>6960.640661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IFERROR(__xludf.DUMMYFUNCTION("""COMPUTED_VALUE"""),7014.471269)</f>
        <v>7014.471269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IFERROR(__xludf.DUMMYFUNCTION("""COMPUTED_VALUE"""),6906.492268)</f>
        <v>6906.492268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IFERROR(__xludf.DUMMYFUNCTION("""COMPUTED_VALUE"""),6959.202859)</f>
        <v>6959.202859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IFERROR(__xludf.DUMMYFUNCTION("""COMPUTED_VALUE"""),6962.812332)</f>
        <v>6962.812332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IFERROR(__xludf.DUMMYFUNCTION("""COMPUTED_VALUE"""),7027.9312)</f>
        <v>7027.9312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IFERROR(__xludf.DUMMYFUNCTION("""COMPUTED_VALUE"""),7055.161332)</f>
        <v>7055.161332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IFERROR(__xludf.DUMMYFUNCTION("""COMPUTED_VALUE"""),6889.679481)</f>
        <v>6889.679481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IFERROR(__xludf.DUMMYFUNCTION("""COMPUTED_VALUE"""),7085.505729)</f>
        <v>7085.505729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IFERROR(__xludf.DUMMYFUNCTION("""COMPUTED_VALUE"""),7058.90382)</f>
        <v>7058.90382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IFERROR(__xludf.DUMMYFUNCTION("""COMPUTED_VALUE"""),7094.9615)</f>
        <v>7094.9615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IFERROR(__xludf.DUMMYFUNCTION("""COMPUTED_VALUE"""),7085.4705)</f>
        <v>7085.4705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IFERROR(__xludf.DUMMYFUNCTION("""COMPUTED_VALUE"""),7098.612)</f>
        <v>7098.612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IFERROR(__xludf.DUMMYFUNCTION("""COMPUTED_VALUE"""),7099.89312)</f>
        <v>7099.89312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IFERROR(__xludf.DUMMYFUNCTION("""COMPUTED_VALUE"""),6946.328016)</f>
        <v>6946.328016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IFERROR(__xludf.DUMMYFUNCTION("""COMPUTED_VALUE"""),7088.321565)</f>
        <v>7088.321565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IFERROR(__xludf.DUMMYFUNCTION("""COMPUTED_VALUE"""),7069.3848)</f>
        <v>7069.3848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IFERROR(__xludf.DUMMYFUNCTION("""COMPUTED_VALUE"""),7072.450278)</f>
        <v>7072.450278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IFERROR(__xludf.DUMMYFUNCTION("""COMPUTED_VALUE"""),7085.420362)</f>
        <v>7085.420362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IFERROR(__xludf.DUMMYFUNCTION("""COMPUTED_VALUE"""),7046.7849)</f>
        <v>7046.7849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IFERROR(__xludf.DUMMYFUNCTION("""COMPUTED_VALUE"""),7059.76)</f>
        <v>7059.76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IFERROR(__xludf.DUMMYFUNCTION("""COMPUTED_VALUE"""),6978.36512)</f>
        <v>6978.36512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IFERROR(__xludf.DUMMYFUNCTION("""COMPUTED_VALUE"""),7118.62579)</f>
        <v>7118.62579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IFERROR(__xludf.DUMMYFUNCTION("""COMPUTED_VALUE"""),6931.5224)</f>
        <v>6931.5224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IFERROR(__xludf.DUMMYFUNCTION("""COMPUTED_VALUE"""),7063.282698)</f>
        <v>7063.282698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IFERROR(__xludf.DUMMYFUNCTION("""COMPUTED_VALUE"""),7063.0539)</f>
        <v>7063.0539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IFERROR(__xludf.DUMMYFUNCTION("""COMPUTED_VALUE"""),7053.564837)</f>
        <v>7053.564837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IFERROR(__xludf.DUMMYFUNCTION("""COMPUTED_VALUE"""),6974.22531)</f>
        <v>6974.22531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IFERROR(__xludf.DUMMYFUNCTION("""COMPUTED_VALUE"""),6985.406922)</f>
        <v>6985.406922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IFERROR(__xludf.DUMMYFUNCTION("""COMPUTED_VALUE"""),6899.930835)</f>
        <v>6899.930835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IFERROR(__xludf.DUMMYFUNCTION("""COMPUTED_VALUE"""),6943.563)</f>
        <v>6943.563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IFERROR(__xludf.DUMMYFUNCTION("""COMPUTED_VALUE"""),6958.83006)</f>
        <v>6958.83006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IFERROR(__xludf.DUMMYFUNCTION("""COMPUTED_VALUE"""),7007.875017)</f>
        <v>7007.875017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IFERROR(__xludf.DUMMYFUNCTION("""COMPUTED_VALUE"""),7091.42118)</f>
        <v>7091.42118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IFERROR(__xludf.DUMMYFUNCTION("""COMPUTED_VALUE"""),7060.517823)</f>
        <v>7060.517823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IFERROR(__xludf.DUMMYFUNCTION("""COMPUTED_VALUE"""),7097.268168)</f>
        <v>7097.268168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IFERROR(__xludf.DUMMYFUNCTION("""COMPUTED_VALUE"""),7037.290705)</f>
        <v>7037.290705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IFERROR(__xludf.DUMMYFUNCTION("""COMPUTED_VALUE"""),6975.87168)</f>
        <v>6975.87168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IFERROR(__xludf.DUMMYFUNCTION("""COMPUTED_VALUE"""),6984.769766)</f>
        <v>6984.769766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IFERROR(__xludf.DUMMYFUNCTION("""COMPUTED_VALUE"""),6858.77022)</f>
        <v>6858.77022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IFERROR(__xludf.DUMMYFUNCTION("""COMPUTED_VALUE"""),6715.399103)</f>
        <v>6715.399103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IFERROR(__xludf.DUMMYFUNCTION("""COMPUTED_VALUE"""),6742.652936)</f>
        <v>6742.652936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IFERROR(__xludf.DUMMYFUNCTION("""COMPUTED_VALUE"""),6603.602956)</f>
        <v>6603.602956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IFERROR(__xludf.DUMMYFUNCTION("""COMPUTED_VALUE"""),6773.116828)</f>
        <v>6773.116828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IFERROR(__xludf.DUMMYFUNCTION("""COMPUTED_VALUE"""),7018.6584)</f>
        <v>7018.6584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IFERROR(__xludf.DUMMYFUNCTION("""COMPUTED_VALUE"""),6932.058327)</f>
        <v>6932.058327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IFERROR(__xludf.DUMMYFUNCTION("""COMPUTED_VALUE"""),6842.594515)</f>
        <v>6842.594515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IFERROR(__xludf.DUMMYFUNCTION("""COMPUTED_VALUE"""),6897.799248)</f>
        <v>6897.799248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IFERROR(__xludf.DUMMYFUNCTION("""COMPUTED_VALUE"""),6721.147368)</f>
        <v>6721.147368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IFERROR(__xludf.DUMMYFUNCTION("""COMPUTED_VALUE"""),6926.086945)</f>
        <v>6926.086945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IFERROR(__xludf.DUMMYFUNCTION("""COMPUTED_VALUE"""),6724.22385)</f>
        <v>6724.22385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IFERROR(__xludf.DUMMYFUNCTION("""COMPUTED_VALUE"""),6755.299938)</f>
        <v>6755.299938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IFERROR(__xludf.DUMMYFUNCTION("""COMPUTED_VALUE"""),6586.17336)</f>
        <v>6586.17336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IFERROR(__xludf.DUMMYFUNCTION("""COMPUTED_VALUE"""),6873.06462)</f>
        <v>6873.06462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IFERROR(__xludf.DUMMYFUNCTION("""COMPUTED_VALUE"""),6837.3879)</f>
        <v>6837.3879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IFERROR(__xludf.DUMMYFUNCTION("""COMPUTED_VALUE"""),6853.705735)</f>
        <v>6853.705735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IFERROR(__xludf.DUMMYFUNCTION("""COMPUTED_VALUE"""),6983.680764)</f>
        <v>6983.680764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IFERROR(__xludf.DUMMYFUNCTION("""COMPUTED_VALUE"""),6854.773429)</f>
        <v>6854.773429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IFERROR(__xludf.DUMMYFUNCTION("""COMPUTED_VALUE"""),6966.256405)</f>
        <v>6966.256405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IFERROR(__xludf.DUMMYFUNCTION("""COMPUTED_VALUE"""),6791.06602)</f>
        <v>6791.06602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IFERROR(__xludf.DUMMYFUNCTION("""COMPUTED_VALUE"""),6933.552128)</f>
        <v>6933.552128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IFERROR(__xludf.DUMMYFUNCTION("""COMPUTED_VALUE"""),6940.469776)</f>
        <v>6940.469776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IFERROR(__xludf.DUMMYFUNCTION("""COMPUTED_VALUE"""),6993.168792)</f>
        <v>6993.168792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IFERROR(__xludf.DUMMYFUNCTION("""COMPUTED_VALUE"""),6825.949776)</f>
        <v>6825.949776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IFERROR(__xludf.DUMMYFUNCTION("""COMPUTED_VALUE"""),7021.777075)</f>
        <v>7021.777075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IFERROR(__xludf.DUMMYFUNCTION("""COMPUTED_VALUE"""),6973.62106)</f>
        <v>6973.62106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IFERROR(__xludf.DUMMYFUNCTION("""COMPUTED_VALUE"""),6992.112)</f>
        <v>6992.112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IFERROR(__xludf.DUMMYFUNCTION("""COMPUTED_VALUE"""),6975.568016)</f>
        <v>6975.568016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IFERROR(__xludf.DUMMYFUNCTION("""COMPUTED_VALUE"""),6931.821726)</f>
        <v>6931.821726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IFERROR(__xludf.DUMMYFUNCTION("""COMPUTED_VALUE"""),6949.905)</f>
        <v>6949.905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IFERROR(__xludf.DUMMYFUNCTION("""COMPUTED_VALUE"""),6718.71268)</f>
        <v>6718.71268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IFERROR(__xludf.DUMMYFUNCTION("""COMPUTED_VALUE"""),6951.693969)</f>
        <v>6951.693969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IFERROR(__xludf.DUMMYFUNCTION("""COMPUTED_VALUE"""),6990.897658)</f>
        <v>6990.897658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IFERROR(__xludf.DUMMYFUNCTION("""COMPUTED_VALUE"""),6997.655465)</f>
        <v>6997.655465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IFERROR(__xludf.DUMMYFUNCTION("""COMPUTED_VALUE"""),6994.280296)</f>
        <v>6994.280296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IFERROR(__xludf.DUMMYFUNCTION("""COMPUTED_VALUE"""),7121.31205)</f>
        <v>7121.31205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IFERROR(__xludf.DUMMYFUNCTION("""COMPUTED_VALUE"""),7089.310142)</f>
        <v>7089.310142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IFERROR(__xludf.DUMMYFUNCTION("""COMPUTED_VALUE"""),7097.795292)</f>
        <v>7097.795292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IFERROR(__xludf.DUMMYFUNCTION("""COMPUTED_VALUE"""),7089.231861)</f>
        <v>7089.231861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IFERROR(__xludf.DUMMYFUNCTION("""COMPUTED_VALUE"""),7036.297856)</f>
        <v>7036.297856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IFERROR(__xludf.DUMMYFUNCTION("""COMPUTED_VALUE"""),6932.18436)</f>
        <v>6932.18436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IFERROR(__xludf.DUMMYFUNCTION("""COMPUTED_VALUE"""),6960.703428)</f>
        <v>6960.703428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IFERROR(__xludf.DUMMYFUNCTION("""COMPUTED_VALUE"""),7075.639704)</f>
        <v>7075.639704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IFERROR(__xludf.DUMMYFUNCTION("""COMPUTED_VALUE"""),7065.56605)</f>
        <v>7065.56605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IFERROR(__xludf.DUMMYFUNCTION("""COMPUTED_VALUE"""),6979.783996)</f>
        <v>6979.783996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IFERROR(__xludf.DUMMYFUNCTION("""COMPUTED_VALUE"""),7060.526055)</f>
        <v>7060.526055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IFERROR(__xludf.DUMMYFUNCTION("""COMPUTED_VALUE"""),7050.590333)</f>
        <v>7050.590333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IFERROR(__xludf.DUMMYFUNCTION("""COMPUTED_VALUE"""),7031.88455)</f>
        <v>7031.88455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IFERROR(__xludf.DUMMYFUNCTION("""COMPUTED_VALUE"""),6894.067325)</f>
        <v>6894.067325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IFERROR(__xludf.DUMMYFUNCTION("""COMPUTED_VALUE"""),6946.957176)</f>
        <v>6946.957176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IFERROR(__xludf.DUMMYFUNCTION("""COMPUTED_VALUE"""),6995.400212)</f>
        <v>6995.400212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IFERROR(__xludf.DUMMYFUNCTION("""COMPUTED_VALUE"""),6999.910021)</f>
        <v>6999.910021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IFERROR(__xludf.DUMMYFUNCTION("""COMPUTED_VALUE"""),7030.334723)</f>
        <v>7030.334723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IFERROR(__xludf.DUMMYFUNCTION("""COMPUTED_VALUE"""),6947.925899)</f>
        <v>6947.925899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IFERROR(__xludf.DUMMYFUNCTION("""COMPUTED_VALUE"""),6953.995845)</f>
        <v>6953.995845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IFERROR(__xludf.DUMMYFUNCTION("""COMPUTED_VALUE"""),6929.273356)</f>
        <v>6929.273356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IFERROR(__xludf.DUMMYFUNCTION("""COMPUTED_VALUE"""),6912.209172)</f>
        <v>6912.209172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IFERROR(__xludf.DUMMYFUNCTION("""COMPUTED_VALUE"""),6919.228995)</f>
        <v>6919.228995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IFERROR(__xludf.DUMMYFUNCTION("""COMPUTED_VALUE"""),6849.047859)</f>
        <v>6849.047859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IFERROR(__xludf.DUMMYFUNCTION("""COMPUTED_VALUE"""),6942.655515)</f>
        <v>6942.655515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IFERROR(__xludf.DUMMYFUNCTION("""COMPUTED_VALUE"""),6915.638686)</f>
        <v>6915.638686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IFERROR(__xludf.DUMMYFUNCTION("""COMPUTED_VALUE"""),6955.4761)</f>
        <v>6955.4761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IFERROR(__xludf.DUMMYFUNCTION("""COMPUTED_VALUE"""),6879.984869)</f>
        <v>6879.984869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IFERROR(__xludf.DUMMYFUNCTION("""COMPUTED_VALUE"""),6844.674504)</f>
        <v>6844.674504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IFERROR(__xludf.DUMMYFUNCTION("""COMPUTED_VALUE"""),6871.679782)</f>
        <v>6871.679782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IFERROR(__xludf.DUMMYFUNCTION("""COMPUTED_VALUE"""),6875.848525)</f>
        <v>6875.848525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IFERROR(__xludf.DUMMYFUNCTION("""COMPUTED_VALUE"""),6946.685991)</f>
        <v>6946.685991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IFERROR(__xludf.DUMMYFUNCTION("""COMPUTED_VALUE"""),7006.115168)</f>
        <v>7006.115168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IFERROR(__xludf.DUMMYFUNCTION("""COMPUTED_VALUE"""),7031.996705)</f>
        <v>7031.996705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IFERROR(__xludf.DUMMYFUNCTION("""COMPUTED_VALUE"""),7078.373728)</f>
        <v>7078.373728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IFERROR(__xludf.DUMMYFUNCTION("""COMPUTED_VALUE"""),7008.145444)</f>
        <v>7008.145444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IFERROR(__xludf.DUMMYFUNCTION("""COMPUTED_VALUE"""),7010.064)</f>
        <v>7010.064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IFERROR(__xludf.DUMMYFUNCTION("""COMPUTED_VALUE"""),6930.068816)</f>
        <v>6930.068816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IFERROR(__xludf.DUMMYFUNCTION("""COMPUTED_VALUE"""),7026.432329)</f>
        <v>7026.432329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IFERROR(__xludf.DUMMYFUNCTION("""COMPUTED_VALUE"""),7027.718372)</f>
        <v>7027.718372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IFERROR(__xludf.DUMMYFUNCTION("""COMPUTED_VALUE"""),7038.768147)</f>
        <v>7038.768147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IFERROR(__xludf.DUMMYFUNCTION("""COMPUTED_VALUE"""),7029.546106)</f>
        <v>7029.546106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IFERROR(__xludf.DUMMYFUNCTION("""COMPUTED_VALUE"""),6944.281299)</f>
        <v>6944.281299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IFERROR(__xludf.DUMMYFUNCTION("""COMPUTED_VALUE"""),6997.641)</f>
        <v>6997.641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IFERROR(__xludf.DUMMYFUNCTION("""COMPUTED_VALUE"""),6883.668372)</f>
        <v>6883.668372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IFERROR(__xludf.DUMMYFUNCTION("""COMPUTED_VALUE"""),7031.847076)</f>
        <v>7031.847076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IFERROR(__xludf.DUMMYFUNCTION("""COMPUTED_VALUE"""),6946.560621)</f>
        <v>6946.560621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IFERROR(__xludf.DUMMYFUNCTION("""COMPUTED_VALUE"""),6969.663048)</f>
        <v>6969.663048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IFERROR(__xludf.DUMMYFUNCTION("""COMPUTED_VALUE"""),6944.938)</f>
        <v>6944.938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IFERROR(__xludf.DUMMYFUNCTION("""COMPUTED_VALUE"""),6960.720112)</f>
        <v>6960.720112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IFERROR(__xludf.DUMMYFUNCTION("""COMPUTED_VALUE"""),6944.01496)</f>
        <v>6944.01496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IFERROR(__xludf.DUMMYFUNCTION("""COMPUTED_VALUE"""),6945.553414)</f>
        <v>6945.553414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IFERROR(__xludf.DUMMYFUNCTION("""COMPUTED_VALUE"""),6915.024345)</f>
        <v>6915.024345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IFERROR(__xludf.DUMMYFUNCTION("""COMPUTED_VALUE"""),6965.968347)</f>
        <v>6965.968347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IFERROR(__xludf.DUMMYFUNCTION("""COMPUTED_VALUE"""),6970.451992)</f>
        <v>6970.451992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IFERROR(__xludf.DUMMYFUNCTION("""COMPUTED_VALUE"""),6978.959385)</f>
        <v>6978.959385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IFERROR(__xludf.DUMMYFUNCTION("""COMPUTED_VALUE"""),7057.94625)</f>
        <v>7057.94625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IFERROR(__xludf.DUMMYFUNCTION("""COMPUTED_VALUE"""),6992.0784)</f>
        <v>6992.0784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IFERROR(__xludf.DUMMYFUNCTION("""COMPUTED_VALUE"""),6990.840864)</f>
        <v>6990.840864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IFERROR(__xludf.DUMMYFUNCTION("""COMPUTED_VALUE"""),7025.841617)</f>
        <v>7025.841617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IFERROR(__xludf.DUMMYFUNCTION("""COMPUTED_VALUE"""),7034.636293)</f>
        <v>7034.636293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IFERROR(__xludf.DUMMYFUNCTION("""COMPUTED_VALUE"""),6991.7861)</f>
        <v>6991.7861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IFERROR(__xludf.DUMMYFUNCTION("""COMPUTED_VALUE"""),6958.851804)</f>
        <v>6958.851804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IFERROR(__xludf.DUMMYFUNCTION("""COMPUTED_VALUE"""),6812.44038)</f>
        <v>6812.44038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IFERROR(__xludf.DUMMYFUNCTION("""COMPUTED_VALUE"""),6985.3506)</f>
        <v>6985.3506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IFERROR(__xludf.DUMMYFUNCTION("""COMPUTED_VALUE"""),6981.49555)</f>
        <v>6981.49555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IFERROR(__xludf.DUMMYFUNCTION("""COMPUTED_VALUE"""),7021.948902)</f>
        <v>7021.948902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IFERROR(__xludf.DUMMYFUNCTION("""COMPUTED_VALUE"""),6863.850382)</f>
        <v>6863.850382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IFERROR(__xludf.DUMMYFUNCTION("""COMPUTED_VALUE"""),7095.57175)</f>
        <v>7095.57175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IFERROR(__xludf.DUMMYFUNCTION("""COMPUTED_VALUE"""),7074.498906)</f>
        <v>7074.498906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IFERROR(__xludf.DUMMYFUNCTION("""COMPUTED_VALUE"""),7048.8625)</f>
        <v>7048.8625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IFERROR(__xludf.DUMMYFUNCTION("""COMPUTED_VALUE"""),7019.8434)</f>
        <v>7019.8434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IFERROR(__xludf.DUMMYFUNCTION("""COMPUTED_VALUE"""),6995.439984)</f>
        <v>6995.439984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IFERROR(__xludf.DUMMYFUNCTION("""COMPUTED_VALUE"""),7028.349827)</f>
        <v>7028.349827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IFERROR(__xludf.DUMMYFUNCTION("""COMPUTED_VALUE"""),7063.08996)</f>
        <v>7063.08996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IFERROR(__xludf.DUMMYFUNCTION("""COMPUTED_VALUE"""),7090.4843)</f>
        <v>7090.4843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IFERROR(__xludf.DUMMYFUNCTION("""COMPUTED_VALUE"""),7116.2765)</f>
        <v>7116.2765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IFERROR(__xludf.DUMMYFUNCTION("""COMPUTED_VALUE"""),7092.4395)</f>
        <v>7092.4395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IFERROR(__xludf.DUMMYFUNCTION("""COMPUTED_VALUE"""),7019.29116)</f>
        <v>7019.29116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IFERROR(__xludf.DUMMYFUNCTION("""COMPUTED_VALUE"""),6999.883338)</f>
        <v>6999.883338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IFERROR(__xludf.DUMMYFUNCTION("""COMPUTED_VALUE"""),7049.042625)</f>
        <v>7049.042625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IFERROR(__xludf.DUMMYFUNCTION("""COMPUTED_VALUE"""),7046.96256)</f>
        <v>7046.96256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IFERROR(__xludf.DUMMYFUNCTION("""COMPUTED_VALUE"""),7056.7321)</f>
        <v>7056.7321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IFERROR(__xludf.DUMMYFUNCTION("""COMPUTED_VALUE"""),7053.522462)</f>
        <v>7053.522462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IFERROR(__xludf.DUMMYFUNCTION("""COMPUTED_VALUE"""),7028.89155)</f>
        <v>7028.89155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IFERROR(__xludf.DUMMYFUNCTION("""COMPUTED_VALUE"""),7028.76968)</f>
        <v>7028.76968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IFERROR(__xludf.DUMMYFUNCTION("""COMPUTED_VALUE"""),7011.4768)</f>
        <v>7011.4768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IFERROR(__xludf.DUMMYFUNCTION("""COMPUTED_VALUE"""),7043.586764)</f>
        <v>7043.586764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IFERROR(__xludf.DUMMYFUNCTION("""COMPUTED_VALUE"""),7034.6688)</f>
        <v>7034.6688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IFERROR(__xludf.DUMMYFUNCTION("""COMPUTED_VALUE"""),7066.33914)</f>
        <v>7066.33914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IFERROR(__xludf.DUMMYFUNCTION("""COMPUTED_VALUE"""),7178.48339)</f>
        <v>7178.48339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IFERROR(__xludf.DUMMYFUNCTION("""COMPUTED_VALUE"""),7130.66094)</f>
        <v>7130.66094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IFERROR(__xludf.DUMMYFUNCTION("""COMPUTED_VALUE"""),7172.054743)</f>
        <v>7172.054743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IFERROR(__xludf.DUMMYFUNCTION("""COMPUTED_VALUE"""),7151.84232)</f>
        <v>7151.84232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IFERROR(__xludf.DUMMYFUNCTION("""COMPUTED_VALUE"""),7192.079136)</f>
        <v>7192.079136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IFERROR(__xludf.DUMMYFUNCTION("""COMPUTED_VALUE"""),7133.09888)</f>
        <v>7133.09888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IFERROR(__xludf.DUMMYFUNCTION("""COMPUTED_VALUE"""),7135.22136)</f>
        <v>7135.22136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IFERROR(__xludf.DUMMYFUNCTION("""COMPUTED_VALUE"""),7178.7916)</f>
        <v>7178.7916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IFERROR(__xludf.DUMMYFUNCTION("""COMPUTED_VALUE"""),7180.657376)</f>
        <v>7180.657376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IFERROR(__xludf.DUMMYFUNCTION("""COMPUTED_VALUE"""),7210.483638)</f>
        <v>7210.483638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IFERROR(__xludf.DUMMYFUNCTION("""COMPUTED_VALUE"""),7187.299062)</f>
        <v>7187.299062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IFERROR(__xludf.DUMMYFUNCTION("""COMPUTED_VALUE"""),7211.210066)</f>
        <v>7211.210066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IFERROR(__xludf.DUMMYFUNCTION("""COMPUTED_VALUE"""),7188.90696)</f>
        <v>7188.90696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IFERROR(__xludf.DUMMYFUNCTION("""COMPUTED_VALUE"""),7170.3435)</f>
        <v>7170.3435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IFERROR(__xludf.DUMMYFUNCTION("""COMPUTED_VALUE"""),7098.814485)</f>
        <v>7098.814485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IFERROR(__xludf.DUMMYFUNCTION("""COMPUTED_VALUE"""),7141.7088)</f>
        <v>7141.7088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IFERROR(__xludf.DUMMYFUNCTION("""COMPUTED_VALUE"""),7105.4797)</f>
        <v>7105.4797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IFERROR(__xludf.DUMMYFUNCTION("""COMPUTED_VALUE"""),7105.4797)</f>
        <v>7105.4797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IFERROR(__xludf.DUMMYFUNCTION("""COMPUTED_VALUE"""),7132.0161)</f>
        <v>7132.0161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IFERROR(__xludf.DUMMYFUNCTION("""COMPUTED_VALUE"""),7128.7539)</f>
        <v>7128.7539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IFERROR(__xludf.DUMMYFUNCTION("""COMPUTED_VALUE"""),7119.75748)</f>
        <v>7119.75748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IFERROR(__xludf.DUMMYFUNCTION("""COMPUTED_VALUE"""),7064.8802)</f>
        <v>7064.8802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IFERROR(__xludf.DUMMYFUNCTION("""COMPUTED_VALUE"""),7115.1234)</f>
        <v>7115.1234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IFERROR(__xludf.DUMMYFUNCTION("""COMPUTED_VALUE"""),7149.82248)</f>
        <v>7149.82248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IFERROR(__xludf.DUMMYFUNCTION("""COMPUTED_VALUE"""),7134.098112)</f>
        <v>7134.098112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IFERROR(__xludf.DUMMYFUNCTION("""COMPUTED_VALUE"""),7183.685376)</f>
        <v>7183.685376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IFERROR(__xludf.DUMMYFUNCTION("""COMPUTED_VALUE"""),7147.584004)</f>
        <v>7147.584004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IFERROR(__xludf.DUMMYFUNCTION("""COMPUTED_VALUE"""),7184.3583)</f>
        <v>7184.3583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IFERROR(__xludf.DUMMYFUNCTION("""COMPUTED_VALUE"""),7184.2688)</f>
        <v>7184.2688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IFERROR(__xludf.DUMMYFUNCTION("""COMPUTED_VALUE"""),7217.1744)</f>
        <v>7217.1744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IFERROR(__xludf.DUMMYFUNCTION("""COMPUTED_VALUE"""),7196.292)</f>
        <v>7196.292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IFERROR(__xludf.DUMMYFUNCTION("""COMPUTED_VALUE"""),7181.087445)</f>
        <v>7181.087445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IFERROR(__xludf.DUMMYFUNCTION("""COMPUTED_VALUE"""),7220.036155)</f>
        <v>7220.036155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IFERROR(__xludf.DUMMYFUNCTION("""COMPUTED_VALUE"""),7254.40875)</f>
        <v>7254.40875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IFERROR(__xludf.DUMMYFUNCTION("""COMPUTED_VALUE"""),7209.7632)</f>
        <v>7209.7632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IFERROR(__xludf.DUMMYFUNCTION("""COMPUTED_VALUE"""),7199.9811)</f>
        <v>7199.9811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IFERROR(__xludf.DUMMYFUNCTION("""COMPUTED_VALUE"""),7247.4409)</f>
        <v>7247.4409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IFERROR(__xludf.DUMMYFUNCTION("""COMPUTED_VALUE"""),7229.512)</f>
        <v>7229.512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IFERROR(__xludf.DUMMYFUNCTION("""COMPUTED_VALUE"""),7229.512)</f>
        <v>7229.512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IFERROR(__xludf.DUMMYFUNCTION("""COMPUTED_VALUE"""),7225.07505)</f>
        <v>7225.07505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IFERROR(__xludf.DUMMYFUNCTION("""COMPUTED_VALUE"""),7248.66246)</f>
        <v>7248.66246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IFERROR(__xludf.DUMMYFUNCTION("""COMPUTED_VALUE"""),7214.61365)</f>
        <v>7214.61365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IFERROR(__xludf.DUMMYFUNCTION("""COMPUTED_VALUE"""),7216.0338)</f>
        <v>7216.0338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IFERROR(__xludf.DUMMYFUNCTION("""COMPUTED_VALUE"""),7273.52925)</f>
        <v>7273.52925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IFERROR(__xludf.DUMMYFUNCTION("""COMPUTED_VALUE"""),7256.685)</f>
        <v>7256.685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IFERROR(__xludf.DUMMYFUNCTION("""COMPUTED_VALUE"""),7291.85661)</f>
        <v>7291.85661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IFERROR(__xludf.DUMMYFUNCTION("""COMPUTED_VALUE"""),7265.868544)</f>
        <v>7265.868544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IFERROR(__xludf.DUMMYFUNCTION("""COMPUTED_VALUE"""),7265.11884)</f>
        <v>7265.11884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IFERROR(__xludf.DUMMYFUNCTION("""COMPUTED_VALUE"""),7257.0818)</f>
        <v>7257.0818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IFERROR(__xludf.DUMMYFUNCTION("""COMPUTED_VALUE"""),7217.78673)</f>
        <v>7217.78673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IFERROR(__xludf.DUMMYFUNCTION("""COMPUTED_VALUE"""),7247.74974)</f>
        <v>7247.74974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IFERROR(__xludf.DUMMYFUNCTION("""COMPUTED_VALUE"""),7234.318)</f>
        <v>7234.318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IFERROR(__xludf.DUMMYFUNCTION("""COMPUTED_VALUE"""),7223.267778)</f>
        <v>7223.267778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IFERROR(__xludf.DUMMYFUNCTION("""COMPUTED_VALUE"""),7250.7648)</f>
        <v>7250.7648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IFERROR(__xludf.DUMMYFUNCTION("""COMPUTED_VALUE"""),7248.5537)</f>
        <v>7248.5537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IFERROR(__xludf.DUMMYFUNCTION("""COMPUTED_VALUE"""),7234.9753)</f>
        <v>7234.9753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IFERROR(__xludf.DUMMYFUNCTION("""COMPUTED_VALUE"""),7228.84815)</f>
        <v>7228.84815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IFERROR(__xludf.DUMMYFUNCTION("""COMPUTED_VALUE"""),7287.3958)</f>
        <v>7287.3958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IFERROR(__xludf.DUMMYFUNCTION("""COMPUTED_VALUE"""),7248.6928)</f>
        <v>7248.6928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IFERROR(__xludf.DUMMYFUNCTION("""COMPUTED_VALUE"""),7098.48752)</f>
        <v>7098.48752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IFERROR(__xludf.DUMMYFUNCTION("""COMPUTED_VALUE"""),7254.3945)</f>
        <v>7254.3945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IFERROR(__xludf.DUMMYFUNCTION("""COMPUTED_VALUE"""),7277.544)</f>
        <v>7277.544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IFERROR(__xludf.DUMMYFUNCTION("""COMPUTED_VALUE"""),7275.165)</f>
        <v>7275.165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IFERROR(__xludf.DUMMYFUNCTION("""COMPUTED_VALUE"""),7273.4265)</f>
        <v>7273.4265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IFERROR(__xludf.DUMMYFUNCTION("""COMPUTED_VALUE"""),7274.799)</f>
        <v>7274.799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IFERROR(__xludf.DUMMYFUNCTION("""COMPUTED_VALUE"""),7247.8464)</f>
        <v>7247.8464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IFERROR(__xludf.DUMMYFUNCTION("""COMPUTED_VALUE"""),7241.48864)</f>
        <v>7241.48864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IFERROR(__xludf.DUMMYFUNCTION("""COMPUTED_VALUE"""),7315.764681)</f>
        <v>7315.764681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IFERROR(__xludf.DUMMYFUNCTION("""COMPUTED_VALUE"""),7273.4286)</f>
        <v>7273.4286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IFERROR(__xludf.DUMMYFUNCTION("""COMPUTED_VALUE"""),7272.80416)</f>
        <v>7272.80416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IFERROR(__xludf.DUMMYFUNCTION("""COMPUTED_VALUE"""),7253.61126)</f>
        <v>7253.61126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IFERROR(__xludf.DUMMYFUNCTION("""COMPUTED_VALUE"""),7210.31025)</f>
        <v>7210.31025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IFERROR(__xludf.DUMMYFUNCTION("""COMPUTED_VALUE"""),7296.415308)</f>
        <v>7296.415308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IFERROR(__xludf.DUMMYFUNCTION("""COMPUTED_VALUE"""),7204.973184)</f>
        <v>7204.973184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IFERROR(__xludf.DUMMYFUNCTION("""COMPUTED_VALUE"""),7201.1344)</f>
        <v>7201.1344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IFERROR(__xludf.DUMMYFUNCTION("""COMPUTED_VALUE"""),7253.84496)</f>
        <v>7253.84496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IFERROR(__xludf.DUMMYFUNCTION("""COMPUTED_VALUE"""),7245.00161)</f>
        <v>7245.00161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IFERROR(__xludf.DUMMYFUNCTION("""COMPUTED_VALUE"""),7270.89328)</f>
        <v>7270.89328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IFERROR(__xludf.DUMMYFUNCTION("""COMPUTED_VALUE"""),7305.20203)</f>
        <v>7305.20203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IFERROR(__xludf.DUMMYFUNCTION("""COMPUTED_VALUE"""),7300.7504)</f>
        <v>7300.7504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IFERROR(__xludf.DUMMYFUNCTION("""COMPUTED_VALUE"""),7229.705248)</f>
        <v>7229.705248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IFERROR(__xludf.DUMMYFUNCTION("""COMPUTED_VALUE"""),7327.223716)</f>
        <v>7327.223716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IFERROR(__xludf.DUMMYFUNCTION("""COMPUTED_VALUE"""),7322.26055)</f>
        <v>7322.26055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IFERROR(__xludf.DUMMYFUNCTION("""COMPUTED_VALUE"""),7332.2395)</f>
        <v>7332.2395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IFERROR(__xludf.DUMMYFUNCTION("""COMPUTED_VALUE"""),7314.6619)</f>
        <v>7314.6619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IFERROR(__xludf.DUMMYFUNCTION("""COMPUTED_VALUE"""),7315.05294)</f>
        <v>7315.05294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IFERROR(__xludf.DUMMYFUNCTION("""COMPUTED_VALUE"""),7330.24858)</f>
        <v>7330.24858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IFERROR(__xludf.DUMMYFUNCTION("""COMPUTED_VALUE"""),7366.789316)</f>
        <v>7366.789316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IFERROR(__xludf.DUMMYFUNCTION("""COMPUTED_VALUE"""),7320.263346)</f>
        <v>7320.263346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IFERROR(__xludf.DUMMYFUNCTION("""COMPUTED_VALUE"""),7342.12864)</f>
        <v>7342.12864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IFERROR(__xludf.DUMMYFUNCTION("""COMPUTED_VALUE"""),7353.3075)</f>
        <v>7353.3075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IFERROR(__xludf.DUMMYFUNCTION("""COMPUTED_VALUE"""),7368.70134)</f>
        <v>7368.70134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IFERROR(__xludf.DUMMYFUNCTION("""COMPUTED_VALUE"""),7369.586861)</f>
        <v>7369.586861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IFERROR(__xludf.DUMMYFUNCTION("""COMPUTED_VALUE"""),7424.212152)</f>
        <v>7424.212152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IFERROR(__xludf.DUMMYFUNCTION("""COMPUTED_VALUE"""),7426.010649)</f>
        <v>7426.010649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IFERROR(__xludf.DUMMYFUNCTION("""COMPUTED_VALUE"""),7420.628462)</f>
        <v>7420.628462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IFERROR(__xludf.DUMMYFUNCTION("""COMPUTED_VALUE"""),7423.448302)</f>
        <v>7423.448302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IFERROR(__xludf.DUMMYFUNCTION("""COMPUTED_VALUE"""),7389.3729)</f>
        <v>7389.3729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IFERROR(__xludf.DUMMYFUNCTION("""COMPUTED_VALUE"""),7368.56835)</f>
        <v>7368.56835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IFERROR(__xludf.DUMMYFUNCTION("""COMPUTED_VALUE"""),7382.103036)</f>
        <v>7382.103036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IFERROR(__xludf.DUMMYFUNCTION("""COMPUTED_VALUE"""),7269.121704)</f>
        <v>7269.121704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IFERROR(__xludf.DUMMYFUNCTION("""COMPUTED_VALUE"""),7232.470488)</f>
        <v>7232.470488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IFERROR(__xludf.DUMMYFUNCTION("""COMPUTED_VALUE"""),7361.3092)</f>
        <v>7361.3092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IFERROR(__xludf.DUMMYFUNCTION("""COMPUTED_VALUE"""),7340.86608)</f>
        <v>7340.86608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IFERROR(__xludf.DUMMYFUNCTION("""COMPUTED_VALUE"""),7349.2101)</f>
        <v>7349.2101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IFERROR(__xludf.DUMMYFUNCTION("""COMPUTED_VALUE"""),7323.6205)</f>
        <v>7323.6205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IFERROR(__xludf.DUMMYFUNCTION("""COMPUTED_VALUE"""),7328.12583)</f>
        <v>7328.12583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IFERROR(__xludf.DUMMYFUNCTION("""COMPUTED_VALUE"""),7325.332795)</f>
        <v>7325.332795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IFERROR(__xludf.DUMMYFUNCTION("""COMPUTED_VALUE"""),7312.11195)</f>
        <v>7312.11195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IFERROR(__xludf.DUMMYFUNCTION("""COMPUTED_VALUE"""),7341.4386)</f>
        <v>7341.4386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IFERROR(__xludf.DUMMYFUNCTION("""COMPUTED_VALUE"""),7319.54454)</f>
        <v>7319.54454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IFERROR(__xludf.DUMMYFUNCTION("""COMPUTED_VALUE"""),7287.21154)</f>
        <v>7287.21154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IFERROR(__xludf.DUMMYFUNCTION("""COMPUTED_VALUE"""),7243.17945)</f>
        <v>7243.17945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IFERROR(__xludf.DUMMYFUNCTION("""COMPUTED_VALUE"""),7217.309762)</f>
        <v>7217.309762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IFERROR(__xludf.DUMMYFUNCTION("""COMPUTED_VALUE"""),7052.506656)</f>
        <v>7052.506656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IFERROR(__xludf.DUMMYFUNCTION("""COMPUTED_VALUE"""),7275.602303)</f>
        <v>7275.602303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IFERROR(__xludf.DUMMYFUNCTION("""COMPUTED_VALUE"""),7281.35811)</f>
        <v>7281.35811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IFERROR(__xludf.DUMMYFUNCTION("""COMPUTED_VALUE"""),7219.5348)</f>
        <v>7219.5348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IFERROR(__xludf.DUMMYFUNCTION("""COMPUTED_VALUE"""),7253.6988)</f>
        <v>7253.6988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IFERROR(__xludf.DUMMYFUNCTION("""COMPUTED_VALUE"""),7246.2948)</f>
        <v>7246.2948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IFERROR(__xludf.DUMMYFUNCTION("""COMPUTED_VALUE"""),7228.08975)</f>
        <v>7228.08975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IFERROR(__xludf.DUMMYFUNCTION("""COMPUTED_VALUE"""),7263.965727)</f>
        <v>7263.965727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IFERROR(__xludf.DUMMYFUNCTION("""COMPUTED_VALUE"""),7279.131812)</f>
        <v>7279.131812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IFERROR(__xludf.DUMMYFUNCTION("""COMPUTED_VALUE"""),7253.0126)</f>
        <v>7253.0126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IFERROR(__xludf.DUMMYFUNCTION("""COMPUTED_VALUE"""),7323.7794)</f>
        <v>7323.7794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IFERROR(__xludf.DUMMYFUNCTION("""COMPUTED_VALUE"""),7300.0898)</f>
        <v>7300.0898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IFERROR(__xludf.DUMMYFUNCTION("""COMPUTED_VALUE"""),7274.25)</f>
        <v>7274.25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IFERROR(__xludf.DUMMYFUNCTION("""COMPUTED_VALUE"""),7250.0625)</f>
        <v>7250.0625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IFERROR(__xludf.DUMMYFUNCTION("""COMPUTED_VALUE"""),7288.783633)</f>
        <v>7288.783633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IFERROR(__xludf.DUMMYFUNCTION("""COMPUTED_VALUE"""),7259.127336)</f>
        <v>7259.127336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IFERROR(__xludf.DUMMYFUNCTION("""COMPUTED_VALUE"""),7283.0625)</f>
        <v>7283.0625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IFERROR(__xludf.DUMMYFUNCTION("""COMPUTED_VALUE"""),7285.01796)</f>
        <v>7285.01796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IFERROR(__xludf.DUMMYFUNCTION("""COMPUTED_VALUE"""),7280.78225)</f>
        <v>7280.78225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IFERROR(__xludf.DUMMYFUNCTION("""COMPUTED_VALUE"""),7322.7198)</f>
        <v>7322.7198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IFERROR(__xludf.DUMMYFUNCTION("""COMPUTED_VALUE"""),7292.5632)</f>
        <v>7292.5632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IFERROR(__xludf.DUMMYFUNCTION("""COMPUTED_VALUE"""),7134.168104)</f>
        <v>7134.168104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IFERROR(__xludf.DUMMYFUNCTION("""COMPUTED_VALUE"""),7353.014475)</f>
        <v>7353.014475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IFERROR(__xludf.DUMMYFUNCTION("""COMPUTED_VALUE"""),7289.3856)</f>
        <v>7289.3856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IFERROR(__xludf.DUMMYFUNCTION("""COMPUTED_VALUE"""),7337.31075)</f>
        <v>7337.31075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IFERROR(__xludf.DUMMYFUNCTION("""COMPUTED_VALUE"""),7332.9854)</f>
        <v>7332.9854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IFERROR(__xludf.DUMMYFUNCTION("""COMPUTED_VALUE"""),7347.4537)</f>
        <v>7347.4537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IFERROR(__xludf.DUMMYFUNCTION("""COMPUTED_VALUE"""),7367.72645)</f>
        <v>7367.72645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IFERROR(__xludf.DUMMYFUNCTION("""COMPUTED_VALUE"""),7311.08189)</f>
        <v>7311.08189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IFERROR(__xludf.DUMMYFUNCTION("""COMPUTED_VALUE"""),7566.570832)</f>
        <v>7566.570832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IFERROR(__xludf.DUMMYFUNCTION("""COMPUTED_VALUE"""),7370.183772)</f>
        <v>7370.183772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IFERROR(__xludf.DUMMYFUNCTION("""COMPUTED_VALUE"""),7403.506712)</f>
        <v>7403.506712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IFERROR(__xludf.DUMMYFUNCTION("""COMPUTED_VALUE"""),7396.833213)</f>
        <v>7396.833213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IFERROR(__xludf.DUMMYFUNCTION("""COMPUTED_VALUE"""),7350.533802)</f>
        <v>7350.533802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IFERROR(__xludf.DUMMYFUNCTION("""COMPUTED_VALUE"""),7369.4377)</f>
        <v>7369.4377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IFERROR(__xludf.DUMMYFUNCTION("""COMPUTED_VALUE"""),7298.9767)</f>
        <v>7298.9767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IFERROR(__xludf.DUMMYFUNCTION("""COMPUTED_VALUE"""),7381.690266)</f>
        <v>7381.690266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IFERROR(__xludf.DUMMYFUNCTION("""COMPUTED_VALUE"""),7342.166205)</f>
        <v>7342.166205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IFERROR(__xludf.DUMMYFUNCTION("""COMPUTED_VALUE"""),7363.01099)</f>
        <v>7363.01099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IFERROR(__xludf.DUMMYFUNCTION("""COMPUTED_VALUE"""),7373.937978)</f>
        <v>7373.937978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IFERROR(__xludf.DUMMYFUNCTION("""COMPUTED_VALUE"""),7344.32946)</f>
        <v>7344.32946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IFERROR(__xludf.DUMMYFUNCTION("""COMPUTED_VALUE"""),7401.75048)</f>
        <v>7401.75048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IFERROR(__xludf.DUMMYFUNCTION("""COMPUTED_VALUE"""),7401.75048)</f>
        <v>7401.75048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IFERROR(__xludf.DUMMYFUNCTION("""COMPUTED_VALUE"""),7434.368438)</f>
        <v>7434.368438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IFERROR(__xludf.DUMMYFUNCTION("""COMPUTED_VALUE"""),7398.249474)</f>
        <v>7398.249474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IFERROR(__xludf.DUMMYFUNCTION("""COMPUTED_VALUE"""),7370.93214)</f>
        <v>7370.93214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IFERROR(__xludf.DUMMYFUNCTION("""COMPUTED_VALUE"""),7363.680147)</f>
        <v>7363.680147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IFERROR(__xludf.DUMMYFUNCTION("""COMPUTED_VALUE"""),7401.568076)</f>
        <v>7401.568076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IFERROR(__xludf.DUMMYFUNCTION("""COMPUTED_VALUE"""),7402.13868)</f>
        <v>7402.13868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IFERROR(__xludf.DUMMYFUNCTION("""COMPUTED_VALUE"""),7306.713424)</f>
        <v>7306.713424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IFERROR(__xludf.DUMMYFUNCTION("""COMPUTED_VALUE"""),7415.329852)</f>
        <v>7415.329852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IFERROR(__xludf.DUMMYFUNCTION("""COMPUTED_VALUE"""),7385.088288)</f>
        <v>7385.088288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IFERROR(__xludf.DUMMYFUNCTION("""COMPUTED_VALUE"""),7406.190786)</f>
        <v>7406.190786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IFERROR(__xludf.DUMMYFUNCTION("""COMPUTED_VALUE"""),7426.764422)</f>
        <v>7426.764422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IFERROR(__xludf.DUMMYFUNCTION("""COMPUTED_VALUE"""),7417.040896)</f>
        <v>7417.040896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IFERROR(__xludf.DUMMYFUNCTION("""COMPUTED_VALUE"""),7449.54111)</f>
        <v>7449.54111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IFERROR(__xludf.DUMMYFUNCTION("""COMPUTED_VALUE"""),7449.54111)</f>
        <v>7449.54111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IFERROR(__xludf.DUMMYFUNCTION("""COMPUTED_VALUE"""),7487.688627)</f>
        <v>7487.688627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IFERROR(__xludf.DUMMYFUNCTION("""COMPUTED_VALUE"""),7449.196428)</f>
        <v>7449.196428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IFERROR(__xludf.DUMMYFUNCTION("""COMPUTED_VALUE"""),7460.371734)</f>
        <v>7460.371734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IFERROR(__xludf.DUMMYFUNCTION("""COMPUTED_VALUE"""),7487.53986)</f>
        <v>7487.53986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IFERROR(__xludf.DUMMYFUNCTION("""COMPUTED_VALUE"""),7509.42716)</f>
        <v>7509.42716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IFERROR(__xludf.DUMMYFUNCTION("""COMPUTED_VALUE"""),7501.546)</f>
        <v>7501.546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IFERROR(__xludf.DUMMYFUNCTION("""COMPUTED_VALUE"""),7501.546)</f>
        <v>7501.546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IFERROR(__xludf.DUMMYFUNCTION("""COMPUTED_VALUE"""),7535.8286)</f>
        <v>7535.8286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IFERROR(__xludf.DUMMYFUNCTION("""COMPUTED_VALUE"""),7466.35248)</f>
        <v>7466.35248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IFERROR(__xludf.DUMMYFUNCTION("""COMPUTED_VALUE"""),7470.508304)</f>
        <v>7470.508304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IFERROR(__xludf.DUMMYFUNCTION("""COMPUTED_VALUE"""),7524.891465)</f>
        <v>7524.891465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IFERROR(__xludf.DUMMYFUNCTION("""COMPUTED_VALUE"""),7548.211264)</f>
        <v>7548.211264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IFERROR(__xludf.DUMMYFUNCTION("""COMPUTED_VALUE"""),7557.7678)</f>
        <v>7557.7678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IFERROR(__xludf.DUMMYFUNCTION("""COMPUTED_VALUE"""),7596.776461)</f>
        <v>7596.776461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IFERROR(__xludf.DUMMYFUNCTION("""COMPUTED_VALUE"""),7558.4279)</f>
        <v>7558.4279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IFERROR(__xludf.DUMMYFUNCTION("""COMPUTED_VALUE"""),7556.72864)</f>
        <v>7556.72864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IFERROR(__xludf.DUMMYFUNCTION("""COMPUTED_VALUE"""),7559.29248)</f>
        <v>7559.29248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IFERROR(__xludf.DUMMYFUNCTION("""COMPUTED_VALUE"""),7544.66953)</f>
        <v>7544.66953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IFERROR(__xludf.DUMMYFUNCTION("""COMPUTED_VALUE"""),7548.48)</f>
        <v>7548.48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IFERROR(__xludf.DUMMYFUNCTION("""COMPUTED_VALUE"""),7600.48184)</f>
        <v>7600.48184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IFERROR(__xludf.DUMMYFUNCTION("""COMPUTED_VALUE"""),7590.742792)</f>
        <v>7590.742792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IFERROR(__xludf.DUMMYFUNCTION("""COMPUTED_VALUE"""),7639.089156)</f>
        <v>7639.089156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IFERROR(__xludf.DUMMYFUNCTION("""COMPUTED_VALUE"""),7599.018025)</f>
        <v>7599.018025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IFERROR(__xludf.DUMMYFUNCTION("""COMPUTED_VALUE"""),7622.3083)</f>
        <v>7622.3083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IFERROR(__xludf.DUMMYFUNCTION("""COMPUTED_VALUE"""),7579.484508)</f>
        <v>7579.484508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IFERROR(__xludf.DUMMYFUNCTION("""COMPUTED_VALUE"""),7585.007878)</f>
        <v>7585.007878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IFERROR(__xludf.DUMMYFUNCTION("""COMPUTED_VALUE"""),7591.803533)</f>
        <v>7591.803533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IFERROR(__xludf.DUMMYFUNCTION("""COMPUTED_VALUE"""),7595.58003)</f>
        <v>7595.58003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IFERROR(__xludf.DUMMYFUNCTION("""COMPUTED_VALUE"""),7614.278104)</f>
        <v>7614.278104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IFERROR(__xludf.DUMMYFUNCTION("""COMPUTED_VALUE"""),7585.359664)</f>
        <v>7585.359664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IFERROR(__xludf.DUMMYFUNCTION("""COMPUTED_VALUE"""),7578.126654)</f>
        <v>7578.126654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IFERROR(__xludf.DUMMYFUNCTION("""COMPUTED_VALUE"""),7574.08)</f>
        <v>7574.08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IFERROR(__xludf.DUMMYFUNCTION("""COMPUTED_VALUE"""),7567.28)</f>
        <v>7567.28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IFERROR(__xludf.DUMMYFUNCTION("""COMPUTED_VALUE"""),7547.67495)</f>
        <v>7547.67495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IFERROR(__xludf.DUMMYFUNCTION("""COMPUTED_VALUE"""),7547.67495)</f>
        <v>7547.67495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IFERROR(__xludf.DUMMYFUNCTION("""COMPUTED_VALUE"""),7569.373919)</f>
        <v>7569.373919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IFERROR(__xludf.DUMMYFUNCTION("""COMPUTED_VALUE"""),7548.412012)</f>
        <v>7548.412012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IFERROR(__xludf.DUMMYFUNCTION("""COMPUTED_VALUE"""),7582.88475)</f>
        <v>7582.88475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IFERROR(__xludf.DUMMYFUNCTION("""COMPUTED_VALUE"""),7586.072962)</f>
        <v>7586.072962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IFERROR(__xludf.DUMMYFUNCTION("""COMPUTED_VALUE"""),7577.7432)</f>
        <v>7577.7432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IFERROR(__xludf.DUMMYFUNCTION("""COMPUTED_VALUE"""),7577.7432)</f>
        <v>7577.7432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IFERROR(__xludf.DUMMYFUNCTION("""COMPUTED_VALUE"""),7620.781324)</f>
        <v>7620.781324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IFERROR(__xludf.DUMMYFUNCTION("""COMPUTED_VALUE"""),7569.2197)</f>
        <v>7569.2197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IFERROR(__xludf.DUMMYFUNCTION("""COMPUTED_VALUE"""),7582.05873)</f>
        <v>7582.05873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IFERROR(__xludf.DUMMYFUNCTION("""COMPUTED_VALUE"""),7586.888128)</f>
        <v>7586.888128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IFERROR(__xludf.DUMMYFUNCTION("""COMPUTED_VALUE"""),7589.79642)</f>
        <v>7589.79642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IFERROR(__xludf.DUMMYFUNCTION("""COMPUTED_VALUE"""),7621.9797)</f>
        <v>7621.9797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IFERROR(__xludf.DUMMYFUNCTION("""COMPUTED_VALUE"""),7621.9797)</f>
        <v>7621.9797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IFERROR(__xludf.DUMMYFUNCTION("""COMPUTED_VALUE"""),7637.018202)</f>
        <v>7637.018202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IFERROR(__xludf.DUMMYFUNCTION("""COMPUTED_VALUE"""),7630.06485)</f>
        <v>7630.06485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IFERROR(__xludf.DUMMYFUNCTION("""COMPUTED_VALUE"""),7650.466074)</f>
        <v>7650.466074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IFERROR(__xludf.DUMMYFUNCTION("""COMPUTED_VALUE"""),7643.45169)</f>
        <v>7643.45169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IFERROR(__xludf.DUMMYFUNCTION("""COMPUTED_VALUE"""),7668.92007)</f>
        <v>7668.92007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IFERROR(__xludf.DUMMYFUNCTION("""COMPUTED_VALUE"""),7720.7596)</f>
        <v>7720.7596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IFERROR(__xludf.DUMMYFUNCTION("""COMPUTED_VALUE"""),7718.252072)</f>
        <v>7718.252072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IFERROR(__xludf.DUMMYFUNCTION("""COMPUTED_VALUE"""),7785.768732)</f>
        <v>7785.768732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IFERROR(__xludf.DUMMYFUNCTION("""COMPUTED_VALUE"""),7717.699924)</f>
        <v>7717.699924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IFERROR(__xludf.DUMMYFUNCTION("""COMPUTED_VALUE"""),7762.538179)</f>
        <v>7762.538179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IFERROR(__xludf.DUMMYFUNCTION("""COMPUTED_VALUE"""),7756.478301)</f>
        <v>7756.478301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IFERROR(__xludf.DUMMYFUNCTION("""COMPUTED_VALUE"""),7796.294894)</f>
        <v>7796.294894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IFERROR(__xludf.DUMMYFUNCTION("""COMPUTED_VALUE"""),7766.5848)</f>
        <v>7766.5848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IFERROR(__xludf.DUMMYFUNCTION("""COMPUTED_VALUE"""),7625.098598)</f>
        <v>7625.098598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IFERROR(__xludf.DUMMYFUNCTION("""COMPUTED_VALUE"""),7920.985736)</f>
        <v>7920.985736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IFERROR(__xludf.DUMMYFUNCTION("""COMPUTED_VALUE"""),7702.358415)</f>
        <v>7702.358415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IFERROR(__xludf.DUMMYFUNCTION("""COMPUTED_VALUE"""),7727.357646)</f>
        <v>7727.357646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IFERROR(__xludf.DUMMYFUNCTION("""COMPUTED_VALUE"""),7766.611073)</f>
        <v>7766.611073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IFERROR(__xludf.DUMMYFUNCTION("""COMPUTED_VALUE"""),7768.734727)</f>
        <v>7768.734727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IFERROR(__xludf.DUMMYFUNCTION("""COMPUTED_VALUE"""),7770.1288)</f>
        <v>7770.1288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IFERROR(__xludf.DUMMYFUNCTION("""COMPUTED_VALUE"""),7770.1288)</f>
        <v>7770.1288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IFERROR(__xludf.DUMMYFUNCTION("""COMPUTED_VALUE"""),7818.582325)</f>
        <v>7818.582325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IFERROR(__xludf.DUMMYFUNCTION("""COMPUTED_VALUE"""),7762.666284)</f>
        <v>7762.666284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IFERROR(__xludf.DUMMYFUNCTION("""COMPUTED_VALUE"""),7763.638074)</f>
        <v>7763.638074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IFERROR(__xludf.DUMMYFUNCTION("""COMPUTED_VALUE"""),7756.184964)</f>
        <v>7756.184964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IFERROR(__xludf.DUMMYFUNCTION("""COMPUTED_VALUE"""),7785.538698)</f>
        <v>7785.538698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IFERROR(__xludf.DUMMYFUNCTION("""COMPUTED_VALUE"""),7776.3115)</f>
        <v>7776.3115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IFERROR(__xludf.DUMMYFUNCTION("""COMPUTED_VALUE"""),7776.3115)</f>
        <v>7776.3115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IFERROR(__xludf.DUMMYFUNCTION("""COMPUTED_VALUE"""),7791.183393)</f>
        <v>7791.183393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IFERROR(__xludf.DUMMYFUNCTION("""COMPUTED_VALUE"""),7763.314935)</f>
        <v>7763.314935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IFERROR(__xludf.DUMMYFUNCTION("""COMPUTED_VALUE"""),7756.65363)</f>
        <v>7756.65363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IFERROR(__xludf.DUMMYFUNCTION("""COMPUTED_VALUE"""),7761.493098)</f>
        <v>7761.493098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IFERROR(__xludf.DUMMYFUNCTION("""COMPUTED_VALUE"""),7773.432513)</f>
        <v>7773.432513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IFERROR(__xludf.DUMMYFUNCTION("""COMPUTED_VALUE"""),7776.58404)</f>
        <v>7776.58404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IFERROR(__xludf.DUMMYFUNCTION("""COMPUTED_VALUE"""),7818.364884)</f>
        <v>7818.364884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IFERROR(__xludf.DUMMYFUNCTION("""COMPUTED_VALUE"""),7650.4054)</f>
        <v>7650.4054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IFERROR(__xludf.DUMMYFUNCTION("""COMPUTED_VALUE"""),7768.95306)</f>
        <v>7768.95306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IFERROR(__xludf.DUMMYFUNCTION("""COMPUTED_VALUE"""),7765.915674)</f>
        <v>7765.915674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IFERROR(__xludf.DUMMYFUNCTION("""COMPUTED_VALUE"""),7766.26559)</f>
        <v>7766.26559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IFERROR(__xludf.DUMMYFUNCTION("""COMPUTED_VALUE"""),7773.884547)</f>
        <v>7773.884547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IFERROR(__xludf.DUMMYFUNCTION("""COMPUTED_VALUE"""),7813.01658)</f>
        <v>7813.01658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IFERROR(__xludf.DUMMYFUNCTION("""COMPUTED_VALUE"""),7813.01658)</f>
        <v>7813.01658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IFERROR(__xludf.DUMMYFUNCTION("""COMPUTED_VALUE"""),7832.055512)</f>
        <v>7832.055512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IFERROR(__xludf.DUMMYFUNCTION("""COMPUTED_VALUE"""),7819.997164)</f>
        <v>7819.997164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IFERROR(__xludf.DUMMYFUNCTION("""COMPUTED_VALUE"""),7837.598676)</f>
        <v>7837.598676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IFERROR(__xludf.DUMMYFUNCTION("""COMPUTED_VALUE"""),7845.74487)</f>
        <v>7845.74487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IFERROR(__xludf.DUMMYFUNCTION("""COMPUTED_VALUE"""),7842.722948)</f>
        <v>7842.722948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IFERROR(__xludf.DUMMYFUNCTION("""COMPUTED_VALUE"""),7830.25984)</f>
        <v>7830.25984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IFERROR(__xludf.DUMMYFUNCTION("""COMPUTED_VALUE"""),7826.822644)</f>
        <v>7826.822644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IFERROR(__xludf.DUMMYFUNCTION("""COMPUTED_VALUE"""),7847.391496)</f>
        <v>7847.391496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IFERROR(__xludf.DUMMYFUNCTION("""COMPUTED_VALUE"""),7831.2528)</f>
        <v>7831.2528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IFERROR(__xludf.DUMMYFUNCTION("""COMPUTED_VALUE"""),7816.6058)</f>
        <v>7816.6058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IFERROR(__xludf.DUMMYFUNCTION("""COMPUTED_VALUE"""),7839.258104)</f>
        <v>7839.258104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IFERROR(__xludf.DUMMYFUNCTION("""COMPUTED_VALUE"""),7842.5802)</f>
        <v>7842.5802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IFERROR(__xludf.DUMMYFUNCTION("""COMPUTED_VALUE"""),7845.6368)</f>
        <v>7845.6368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IFERROR(__xludf.DUMMYFUNCTION("""COMPUTED_VALUE"""),7845.6368)</f>
        <v>7845.6368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IFERROR(__xludf.DUMMYFUNCTION("""COMPUTED_VALUE"""),7860.883179)</f>
        <v>7860.883179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IFERROR(__xludf.DUMMYFUNCTION("""COMPUTED_VALUE"""),7838.490404)</f>
        <v>7838.490404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IFERROR(__xludf.DUMMYFUNCTION("""COMPUTED_VALUE"""),7859.191833)</f>
        <v>7859.191833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IFERROR(__xludf.DUMMYFUNCTION("""COMPUTED_VALUE"""),7844.6592)</f>
        <v>7844.6592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IFERROR(__xludf.DUMMYFUNCTION("""COMPUTED_VALUE"""),7856.97314)</f>
        <v>7856.97314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IFERROR(__xludf.DUMMYFUNCTION("""COMPUTED_VALUE"""),7824.207056)</f>
        <v>7824.207056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IFERROR(__xludf.DUMMYFUNCTION("""COMPUTED_VALUE"""),7828.1252)</f>
        <v>7828.1252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IFERROR(__xludf.DUMMYFUNCTION("""COMPUTED_VALUE"""),7814.974256)</f>
        <v>7814.974256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IFERROR(__xludf.DUMMYFUNCTION("""COMPUTED_VALUE"""),7833.584122)</f>
        <v>7833.584122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IFERROR(__xludf.DUMMYFUNCTION("""COMPUTED_VALUE"""),7838.013756)</f>
        <v>7838.013756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IFERROR(__xludf.DUMMYFUNCTION("""COMPUTED_VALUE"""),7823.921442)</f>
        <v>7823.921442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IFERROR(__xludf.DUMMYFUNCTION("""COMPUTED_VALUE"""),7836.893142)</f>
        <v>7836.893142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IFERROR(__xludf.DUMMYFUNCTION("""COMPUTED_VALUE"""),7829.790396)</f>
        <v>7829.790396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IFERROR(__xludf.DUMMYFUNCTION("""COMPUTED_VALUE"""),7832.9742)</f>
        <v>7832.9742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IFERROR(__xludf.DUMMYFUNCTION("""COMPUTED_VALUE"""),7875.542376)</f>
        <v>7875.542376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IFERROR(__xludf.DUMMYFUNCTION("""COMPUTED_VALUE"""),7842.78378)</f>
        <v>7842.78378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IFERROR(__xludf.DUMMYFUNCTION("""COMPUTED_VALUE"""),7845.103086)</f>
        <v>7845.103086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IFERROR(__xludf.DUMMYFUNCTION("""COMPUTED_VALUE"""),7842.526549)</f>
        <v>7842.526549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IFERROR(__xludf.DUMMYFUNCTION("""COMPUTED_VALUE"""),7838.18013)</f>
        <v>7838.18013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IFERROR(__xludf.DUMMYFUNCTION("""COMPUTED_VALUE"""),7818.92031)</f>
        <v>7818.92031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IFERROR(__xludf.DUMMYFUNCTION("""COMPUTED_VALUE"""),7821.12)</f>
        <v>7821.12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IFERROR(__xludf.DUMMYFUNCTION("""COMPUTED_VALUE"""),7848.472978)</f>
        <v>7848.472978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IFERROR(__xludf.DUMMYFUNCTION("""COMPUTED_VALUE"""),7838.932959)</f>
        <v>7838.932959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IFERROR(__xludf.DUMMYFUNCTION("""COMPUTED_VALUE"""),7841.872467)</f>
        <v>7841.872467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IFERROR(__xludf.DUMMYFUNCTION("""COMPUTED_VALUE"""),7841.834145)</f>
        <v>7841.834145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IFERROR(__xludf.DUMMYFUNCTION("""COMPUTED_VALUE"""),7834.8474)</f>
        <v>7834.8474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IFERROR(__xludf.DUMMYFUNCTION("""COMPUTED_VALUE"""),7834.222576)</f>
        <v>7834.222576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IFERROR(__xludf.DUMMYFUNCTION("""COMPUTED_VALUE"""),7833.32304)</f>
        <v>7833.32304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IFERROR(__xludf.DUMMYFUNCTION("""COMPUTED_VALUE"""),7863.560847)</f>
        <v>7863.560847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IFERROR(__xludf.DUMMYFUNCTION("""COMPUTED_VALUE"""),7835.381015)</f>
        <v>7835.381015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IFERROR(__xludf.DUMMYFUNCTION("""COMPUTED_VALUE"""),7823.620429)</f>
        <v>7823.620429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IFERROR(__xludf.DUMMYFUNCTION("""COMPUTED_VALUE"""),7829.10414)</f>
        <v>7829.10414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IFERROR(__xludf.DUMMYFUNCTION("""COMPUTED_VALUE"""),7840.508024)</f>
        <v>7840.508024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IFERROR(__xludf.DUMMYFUNCTION("""COMPUTED_VALUE"""),7848.48435)</f>
        <v>7848.48435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IFERROR(__xludf.DUMMYFUNCTION("""COMPUTED_VALUE"""),7833.85323)</f>
        <v>7833.85323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IFERROR(__xludf.DUMMYFUNCTION("""COMPUTED_VALUE"""),7879.037957)</f>
        <v>7879.037957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IFERROR(__xludf.DUMMYFUNCTION("""COMPUTED_VALUE"""),7847.522584)</f>
        <v>7847.522584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IFERROR(__xludf.DUMMYFUNCTION("""COMPUTED_VALUE"""),7859.734128)</f>
        <v>7859.734128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IFERROR(__xludf.DUMMYFUNCTION("""COMPUTED_VALUE"""),7851.310072)</f>
        <v>7851.310072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IFERROR(__xludf.DUMMYFUNCTION("""COMPUTED_VALUE"""),7847.427763)</f>
        <v>7847.427763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IFERROR(__xludf.DUMMYFUNCTION("""COMPUTED_VALUE"""),7854.654855)</f>
        <v>7854.654855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IFERROR(__xludf.DUMMYFUNCTION("""COMPUTED_VALUE"""),7856.86575)</f>
        <v>7856.86575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IFERROR(__xludf.DUMMYFUNCTION("""COMPUTED_VALUE"""),7872.308176)</f>
        <v>7872.308176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IFERROR(__xludf.DUMMYFUNCTION("""COMPUTED_VALUE"""),7854.702504)</f>
        <v>7854.702504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IFERROR(__xludf.DUMMYFUNCTION("""COMPUTED_VALUE"""),7869.772024)</f>
        <v>7869.772024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IFERROR(__xludf.DUMMYFUNCTION("""COMPUTED_VALUE"""),7862.625966)</f>
        <v>7862.625966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IFERROR(__xludf.DUMMYFUNCTION("""COMPUTED_VALUE"""),7862.688911)</f>
        <v>7862.688911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IFERROR(__xludf.DUMMYFUNCTION("""COMPUTED_VALUE"""),7878.99564)</f>
        <v>7878.99564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IFERROR(__xludf.DUMMYFUNCTION("""COMPUTED_VALUE"""),7878.831648)</f>
        <v>7878.831648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IFERROR(__xludf.DUMMYFUNCTION("""COMPUTED_VALUE"""),7876.057032)</f>
        <v>7876.057032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IFERROR(__xludf.DUMMYFUNCTION("""COMPUTED_VALUE"""),7877.927398)</f>
        <v>7877.927398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IFERROR(__xludf.DUMMYFUNCTION("""COMPUTED_VALUE"""),7894.682014)</f>
        <v>7894.682014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IFERROR(__xludf.DUMMYFUNCTION("""COMPUTED_VALUE"""),7884.51262)</f>
        <v>7884.51262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IFERROR(__xludf.DUMMYFUNCTION("""COMPUTED_VALUE"""),7896.9732)</f>
        <v>7896.9732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IFERROR(__xludf.DUMMYFUNCTION("""COMPUTED_VALUE"""),7882.659525)</f>
        <v>7882.659525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IFERROR(__xludf.DUMMYFUNCTION("""COMPUTED_VALUE"""),7869.1485)</f>
        <v>7869.1485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IFERROR(__xludf.DUMMYFUNCTION("""COMPUTED_VALUE"""),7931.491854)</f>
        <v>7931.491854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IFERROR(__xludf.DUMMYFUNCTION("""COMPUTED_VALUE"""),7884.735784)</f>
        <v>7884.735784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IFERROR(__xludf.DUMMYFUNCTION("""COMPUTED_VALUE"""),7881.6012)</f>
        <v>7881.6012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IFERROR(__xludf.DUMMYFUNCTION("""COMPUTED_VALUE"""),7866.41155)</f>
        <v>7866.41155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IFERROR(__xludf.DUMMYFUNCTION("""COMPUTED_VALUE"""),7875.616911)</f>
        <v>7875.616911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IFERROR(__xludf.DUMMYFUNCTION("""COMPUTED_VALUE"""),7867.6137)</f>
        <v>7867.6137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IFERROR(__xludf.DUMMYFUNCTION("""COMPUTED_VALUE"""),7853.398074)</f>
        <v>7853.398074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IFERROR(__xludf.DUMMYFUNCTION("""COMPUTED_VALUE"""),7854.23677)</f>
        <v>7854.23677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IFERROR(__xludf.DUMMYFUNCTION("""COMPUTED_VALUE"""),7865.25477)</f>
        <v>7865.25477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IFERROR(__xludf.DUMMYFUNCTION("""COMPUTED_VALUE"""),7864.58214)</f>
        <v>7864.58214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IFERROR(__xludf.DUMMYFUNCTION("""COMPUTED_VALUE"""),7878.036975)</f>
        <v>7878.036975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IFERROR(__xludf.DUMMYFUNCTION("""COMPUTED_VALUE"""),7841.776506)</f>
        <v>7841.776506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IFERROR(__xludf.DUMMYFUNCTION("""COMPUTED_VALUE"""),7848.42662)</f>
        <v>7848.42662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IFERROR(__xludf.DUMMYFUNCTION("""COMPUTED_VALUE"""),7957.9581)</f>
        <v>7957.9581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IFERROR(__xludf.DUMMYFUNCTION("""COMPUTED_VALUE"""),7974.559025)</f>
        <v>7974.559025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IFERROR(__xludf.DUMMYFUNCTION("""COMPUTED_VALUE"""),7840.44394)</f>
        <v>7840.44394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IFERROR(__xludf.DUMMYFUNCTION("""COMPUTED_VALUE"""),7848.226036)</f>
        <v>7848.226036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IFERROR(__xludf.DUMMYFUNCTION("""COMPUTED_VALUE"""),7839.469869)</f>
        <v>7839.469869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IFERROR(__xludf.DUMMYFUNCTION("""COMPUTED_VALUE"""),7875.70112)</f>
        <v>7875.70112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IFERROR(__xludf.DUMMYFUNCTION("""COMPUTED_VALUE"""),7837.910346)</f>
        <v>7837.910346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IFERROR(__xludf.DUMMYFUNCTION("""COMPUTED_VALUE"""),7837.012757)</f>
        <v>7837.012757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IFERROR(__xludf.DUMMYFUNCTION("""COMPUTED_VALUE"""),7829.917272)</f>
        <v>7829.917272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IFERROR(__xludf.DUMMYFUNCTION("""COMPUTED_VALUE"""),7838.284188)</f>
        <v>7838.284188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IFERROR(__xludf.DUMMYFUNCTION("""COMPUTED_VALUE"""),7854.689376)</f>
        <v>7854.689376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IFERROR(__xludf.DUMMYFUNCTION("""COMPUTED_VALUE"""),7864.509138)</f>
        <v>7864.509138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IFERROR(__xludf.DUMMYFUNCTION("""COMPUTED_VALUE"""),7862.261434)</f>
        <v>7862.261434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IFERROR(__xludf.DUMMYFUNCTION("""COMPUTED_VALUE"""),7819.574637)</f>
        <v>7819.574637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IFERROR(__xludf.DUMMYFUNCTION("""COMPUTED_VALUE"""),7817.213138)</f>
        <v>7817.213138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IFERROR(__xludf.DUMMYFUNCTION("""COMPUTED_VALUE"""),7887.53812)</f>
        <v>7887.53812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IFERROR(__xludf.DUMMYFUNCTION("""COMPUTED_VALUE"""),7800.49743)</f>
        <v>7800.49743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IFERROR(__xludf.DUMMYFUNCTION("""COMPUTED_VALUE"""),7812.645948)</f>
        <v>7812.645948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IFERROR(__xludf.DUMMYFUNCTION("""COMPUTED_VALUE"""),7818.690399)</f>
        <v>7818.690399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IFERROR(__xludf.DUMMYFUNCTION("""COMPUTED_VALUE"""),7798.448625)</f>
        <v>7798.448625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IFERROR(__xludf.DUMMYFUNCTION("""COMPUTED_VALUE"""),7791.25728)</f>
        <v>7791.25728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IFERROR(__xludf.DUMMYFUNCTION("""COMPUTED_VALUE"""),7758.86928)</f>
        <v>7758.86928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IFERROR(__xludf.DUMMYFUNCTION("""COMPUTED_VALUE"""),7770.800704)</f>
        <v>7770.800704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IFERROR(__xludf.DUMMYFUNCTION("""COMPUTED_VALUE"""),7792.406496)</f>
        <v>7792.406496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IFERROR(__xludf.DUMMYFUNCTION("""COMPUTED_VALUE"""),7817.5615)</f>
        <v>7817.5615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IFERROR(__xludf.DUMMYFUNCTION("""COMPUTED_VALUE"""),7813.055151)</f>
        <v>7813.055151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IFERROR(__xludf.DUMMYFUNCTION("""COMPUTED_VALUE"""),7809.024444)</f>
        <v>7809.024444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IFERROR(__xludf.DUMMYFUNCTION("""COMPUTED_VALUE"""),7811.313105)</f>
        <v>7811.313105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IFERROR(__xludf.DUMMYFUNCTION("""COMPUTED_VALUE"""),7854.093008)</f>
        <v>7854.093008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IFERROR(__xludf.DUMMYFUNCTION("""COMPUTED_VALUE"""),7745.71221)</f>
        <v>7745.71221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IFERROR(__xludf.DUMMYFUNCTION("""COMPUTED_VALUE"""),7780.983911)</f>
        <v>7780.983911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IFERROR(__xludf.DUMMYFUNCTION("""COMPUTED_VALUE"""),7797.529259)</f>
        <v>7797.529259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IFERROR(__xludf.DUMMYFUNCTION("""COMPUTED_VALUE"""),7812.002385)</f>
        <v>7812.002385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IFERROR(__xludf.DUMMYFUNCTION("""COMPUTED_VALUE"""),7795.82232)</f>
        <v>7795.82232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IFERROR(__xludf.DUMMYFUNCTION("""COMPUTED_VALUE"""),7783.544457)</f>
        <v>7783.544457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IFERROR(__xludf.DUMMYFUNCTION("""COMPUTED_VALUE"""),7781.929597)</f>
        <v>7781.929597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IFERROR(__xludf.DUMMYFUNCTION("""COMPUTED_VALUE"""),7763.87974)</f>
        <v>7763.87974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IFERROR(__xludf.DUMMYFUNCTION("""COMPUTED_VALUE"""),7724.555982)</f>
        <v>7724.555982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IFERROR(__xludf.DUMMYFUNCTION("""COMPUTED_VALUE"""),7762.44567)</f>
        <v>7762.44567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IFERROR(__xludf.DUMMYFUNCTION("""COMPUTED_VALUE"""),7783.48257)</f>
        <v>7783.48257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IFERROR(__xludf.DUMMYFUNCTION("""COMPUTED_VALUE"""),7795.720724)</f>
        <v>7795.720724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IFERROR(__xludf.DUMMYFUNCTION("""COMPUTED_VALUE"""),7787.858364)</f>
        <v>7787.858364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IFERROR(__xludf.DUMMYFUNCTION("""COMPUTED_VALUE"""),7793.3529)</f>
        <v>7793.3529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IFERROR(__xludf.DUMMYFUNCTION("""COMPUTED_VALUE"""),7832.977653)</f>
        <v>7832.977653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IFERROR(__xludf.DUMMYFUNCTION("""COMPUTED_VALUE"""),7784.566504)</f>
        <v>7784.566504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IFERROR(__xludf.DUMMYFUNCTION("""COMPUTED_VALUE"""),7822.15665)</f>
        <v>7822.15665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IFERROR(__xludf.DUMMYFUNCTION("""COMPUTED_VALUE"""),7783.29855)</f>
        <v>7783.29855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IFERROR(__xludf.DUMMYFUNCTION("""COMPUTED_VALUE"""),7798.904685)</f>
        <v>7798.904685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IFERROR(__xludf.DUMMYFUNCTION("""COMPUTED_VALUE"""),7816.546185)</f>
        <v>7816.546185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IFERROR(__xludf.DUMMYFUNCTION("""COMPUTED_VALUE"""),7823.41308)</f>
        <v>7823.41308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IFERROR(__xludf.DUMMYFUNCTION("""COMPUTED_VALUE"""),7851.216859)</f>
        <v>7851.216859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IFERROR(__xludf.DUMMYFUNCTION("""COMPUTED_VALUE"""),7804.790712)</f>
        <v>7804.790712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IFERROR(__xludf.DUMMYFUNCTION("""COMPUTED_VALUE"""),7812.194845)</f>
        <v>7812.194845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IFERROR(__xludf.DUMMYFUNCTION("""COMPUTED_VALUE"""),7805.126433)</f>
        <v>7805.126433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IFERROR(__xludf.DUMMYFUNCTION("""COMPUTED_VALUE"""),7779.871528)</f>
        <v>7779.871528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IFERROR(__xludf.DUMMYFUNCTION("""COMPUTED_VALUE"""),7775.370861)</f>
        <v>7775.370861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IFERROR(__xludf.DUMMYFUNCTION("""COMPUTED_VALUE"""),7779.64229)</f>
        <v>7779.64229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IFERROR(__xludf.DUMMYFUNCTION("""COMPUTED_VALUE"""),7732.639278)</f>
        <v>7732.639278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IFERROR(__xludf.DUMMYFUNCTION("""COMPUTED_VALUE"""),7770.548625)</f>
        <v>7770.548625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IFERROR(__xludf.DUMMYFUNCTION("""COMPUTED_VALUE"""),7763.123816)</f>
        <v>7763.123816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IFERROR(__xludf.DUMMYFUNCTION("""COMPUTED_VALUE"""),7735.346568)</f>
        <v>7735.346568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IFERROR(__xludf.DUMMYFUNCTION("""COMPUTED_VALUE"""),7759.821783)</f>
        <v>7759.821783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IFERROR(__xludf.DUMMYFUNCTION("""COMPUTED_VALUE"""),7732.108062)</f>
        <v>7732.108062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IFERROR(__xludf.DUMMYFUNCTION("""COMPUTED_VALUE"""),7731.467118)</f>
        <v>7731.467118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IFERROR(__xludf.DUMMYFUNCTION("""COMPUTED_VALUE"""),7698.226707)</f>
        <v>7698.226707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IFERROR(__xludf.DUMMYFUNCTION("""COMPUTED_VALUE"""),7740.487788)</f>
        <v>7740.487788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IFERROR(__xludf.DUMMYFUNCTION("""COMPUTED_VALUE"""),7753.63932)</f>
        <v>7753.63932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IFERROR(__xludf.DUMMYFUNCTION("""COMPUTED_VALUE"""),7735.043844)</f>
        <v>7735.043844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IFERROR(__xludf.DUMMYFUNCTION("""COMPUTED_VALUE"""),7741.331818)</f>
        <v>7741.331818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IFERROR(__xludf.DUMMYFUNCTION("""COMPUTED_VALUE"""),7756.092837)</f>
        <v>7756.092837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IFERROR(__xludf.DUMMYFUNCTION("""COMPUTED_VALUE"""),7754.089362)</f>
        <v>7754.089362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IFERROR(__xludf.DUMMYFUNCTION("""COMPUTED_VALUE"""),7782.862431)</f>
        <v>7782.862431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IFERROR(__xludf.DUMMYFUNCTION("""COMPUTED_VALUE"""),7748.40778)</f>
        <v>7748.40778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IFERROR(__xludf.DUMMYFUNCTION("""COMPUTED_VALUE"""),7735.024895)</f>
        <v>7735.024895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IFERROR(__xludf.DUMMYFUNCTION("""COMPUTED_VALUE"""),7748.306888)</f>
        <v>7748.306888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IFERROR(__xludf.DUMMYFUNCTION("""COMPUTED_VALUE"""),7765.082832)</f>
        <v>7765.082832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IFERROR(__xludf.DUMMYFUNCTION("""COMPUTED_VALUE"""),7779.233696)</f>
        <v>7779.233696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IFERROR(__xludf.DUMMYFUNCTION("""COMPUTED_VALUE"""),7782.75748)</f>
        <v>7782.75748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IFERROR(__xludf.DUMMYFUNCTION("""COMPUTED_VALUE"""),7710.338394)</f>
        <v>7710.338394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IFERROR(__xludf.DUMMYFUNCTION("""COMPUTED_VALUE"""),7799.5203)</f>
        <v>7799.5203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IFERROR(__xludf.DUMMYFUNCTION("""COMPUTED_VALUE"""),7818.0311)</f>
        <v>7818.0311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IFERROR(__xludf.DUMMYFUNCTION("""COMPUTED_VALUE"""),7801.40556)</f>
        <v>7801.40556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IFERROR(__xludf.DUMMYFUNCTION("""COMPUTED_VALUE"""),7809.399144)</f>
        <v>7809.399144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IFERROR(__xludf.DUMMYFUNCTION("""COMPUTED_VALUE"""),7801.98042)</f>
        <v>7801.98042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IFERROR(__xludf.DUMMYFUNCTION("""COMPUTED_VALUE"""),7810.03782)</f>
        <v>7810.03782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IFERROR(__xludf.DUMMYFUNCTION("""COMPUTED_VALUE"""),7741.963354)</f>
        <v>7741.963354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IFERROR(__xludf.DUMMYFUNCTION("""COMPUTED_VALUE"""),7836.60475)</f>
        <v>7836.60475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IFERROR(__xludf.DUMMYFUNCTION("""COMPUTED_VALUE"""),7833.20614)</f>
        <v>7833.20614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IFERROR(__xludf.DUMMYFUNCTION("""COMPUTED_VALUE"""),7841.892369)</f>
        <v>7841.892369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IFERROR(__xludf.DUMMYFUNCTION("""COMPUTED_VALUE"""),7835.763705)</f>
        <v>7835.763705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IFERROR(__xludf.DUMMYFUNCTION("""COMPUTED_VALUE"""),7888.692177)</f>
        <v>7888.692177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IFERROR(__xludf.DUMMYFUNCTION("""COMPUTED_VALUE"""),7938.8774)</f>
        <v>7938.8774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IFERROR(__xludf.DUMMYFUNCTION("""COMPUTED_VALUE"""),7831.476066)</f>
        <v>7831.476066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IFERROR(__xludf.DUMMYFUNCTION("""COMPUTED_VALUE"""),7825.685888)</f>
        <v>7825.685888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IFERROR(__xludf.DUMMYFUNCTION("""COMPUTED_VALUE"""),7816.38858)</f>
        <v>7816.38858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IFERROR(__xludf.DUMMYFUNCTION("""COMPUTED_VALUE"""),7800.470112)</f>
        <v>7800.470112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IFERROR(__xludf.DUMMYFUNCTION("""COMPUTED_VALUE"""),7819.350929)</f>
        <v>7819.350929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IFERROR(__xludf.DUMMYFUNCTION("""COMPUTED_VALUE"""),7828.09495)</f>
        <v>7828.09495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IFERROR(__xludf.DUMMYFUNCTION("""COMPUTED_VALUE"""),7830.51976)</f>
        <v>7830.51976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IFERROR(__xludf.DUMMYFUNCTION("""COMPUTED_VALUE"""),7823.10598)</f>
        <v>7823.10598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IFERROR(__xludf.DUMMYFUNCTION("""COMPUTED_VALUE"""),7816.343472)</f>
        <v>7816.343472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IFERROR(__xludf.DUMMYFUNCTION("""COMPUTED_VALUE"""),7845.363783)</f>
        <v>7845.363783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IFERROR(__xludf.DUMMYFUNCTION("""COMPUTED_VALUE"""),7835.418588)</f>
        <v>7835.418588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IFERROR(__xludf.DUMMYFUNCTION("""COMPUTED_VALUE"""),7835.0841)</f>
        <v>7835.0841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IFERROR(__xludf.DUMMYFUNCTION("""COMPUTED_VALUE"""),7827.838326)</f>
        <v>7827.838326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IFERROR(__xludf.DUMMYFUNCTION("""COMPUTED_VALUE"""),7876.315228)</f>
        <v>7876.315228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IFERROR(__xludf.DUMMYFUNCTION("""COMPUTED_VALUE"""),7828.67904)</f>
        <v>7828.67904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IFERROR(__xludf.DUMMYFUNCTION("""COMPUTED_VALUE"""),7810.31837)</f>
        <v>7810.31837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IFERROR(__xludf.DUMMYFUNCTION("""COMPUTED_VALUE"""),7813.249571)</f>
        <v>7813.249571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IFERROR(__xludf.DUMMYFUNCTION("""COMPUTED_VALUE"""),7793.767608)</f>
        <v>7793.767608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IFERROR(__xludf.DUMMYFUNCTION("""COMPUTED_VALUE"""),7820.072385)</f>
        <v>7820.072385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IFERROR(__xludf.DUMMYFUNCTION("""COMPUTED_VALUE"""),7837.66464)</f>
        <v>7837.66464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IFERROR(__xludf.DUMMYFUNCTION("""COMPUTED_VALUE"""),7834.592948)</f>
        <v>7834.592948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IFERROR(__xludf.DUMMYFUNCTION("""COMPUTED_VALUE"""),7770.031708)</f>
        <v>7770.031708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IFERROR(__xludf.DUMMYFUNCTION("""COMPUTED_VALUE"""),7853.038334)</f>
        <v>7853.038334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IFERROR(__xludf.DUMMYFUNCTION("""COMPUTED_VALUE"""),7867.763118)</f>
        <v>7867.763118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IFERROR(__xludf.DUMMYFUNCTION("""COMPUTED_VALUE"""),7859.361149)</f>
        <v>7859.361149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IFERROR(__xludf.DUMMYFUNCTION("""COMPUTED_VALUE"""),7860.633146)</f>
        <v>7860.633146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IFERROR(__xludf.DUMMYFUNCTION("""COMPUTED_VALUE"""),7861.469462)</f>
        <v>7861.469462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IFERROR(__xludf.DUMMYFUNCTION("""COMPUTED_VALUE"""),7866.1681)</f>
        <v>7866.1681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IFERROR(__xludf.DUMMYFUNCTION("""COMPUTED_VALUE"""),7793.101588)</f>
        <v>7793.101588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IFERROR(__xludf.DUMMYFUNCTION("""COMPUTED_VALUE"""),7879.11901)</f>
        <v>7879.11901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IFERROR(__xludf.DUMMYFUNCTION("""COMPUTED_VALUE"""),7876.210514)</f>
        <v>7876.210514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IFERROR(__xludf.DUMMYFUNCTION("""COMPUTED_VALUE"""),7906.2753)</f>
        <v>7906.2753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IFERROR(__xludf.DUMMYFUNCTION("""COMPUTED_VALUE"""),7865.198693)</f>
        <v>7865.198693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IFERROR(__xludf.DUMMYFUNCTION("""COMPUTED_VALUE"""),7838.17279)</f>
        <v>7838.17279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IFERROR(__xludf.DUMMYFUNCTION("""COMPUTED_VALUE"""),7838.17279)</f>
        <v>7838.17279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IFERROR(__xludf.DUMMYFUNCTION("""COMPUTED_VALUE"""),7861.755645)</f>
        <v>7861.755645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IFERROR(__xludf.DUMMYFUNCTION("""COMPUTED_VALUE"""),7822.574336)</f>
        <v>7822.574336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IFERROR(__xludf.DUMMYFUNCTION("""COMPUTED_VALUE"""),7806.657768)</f>
        <v>7806.657768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IFERROR(__xludf.DUMMYFUNCTION("""COMPUTED_VALUE"""),7797.980862)</f>
        <v>7797.980862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IFERROR(__xludf.DUMMYFUNCTION("""COMPUTED_VALUE"""),7767.547744)</f>
        <v>7767.547744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IFERROR(__xludf.DUMMYFUNCTION("""COMPUTED_VALUE"""),7725.73283)</f>
        <v>7725.73283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IFERROR(__xludf.DUMMYFUNCTION("""COMPUTED_VALUE"""),7725.73283)</f>
        <v>7725.73283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IFERROR(__xludf.DUMMYFUNCTION("""COMPUTED_VALUE"""),7736.53424)</f>
        <v>7736.53424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IFERROR(__xludf.DUMMYFUNCTION("""COMPUTED_VALUE"""),7758.081631)</f>
        <v>7758.081631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IFERROR(__xludf.DUMMYFUNCTION("""COMPUTED_VALUE"""),7727.025921)</f>
        <v>7727.025921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IFERROR(__xludf.DUMMYFUNCTION("""COMPUTED_VALUE"""),7684.86159)</f>
        <v>7684.86159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IFERROR(__xludf.DUMMYFUNCTION("""COMPUTED_VALUE"""),7706.104322)</f>
        <v>7706.104322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IFERROR(__xludf.DUMMYFUNCTION("""COMPUTED_VALUE"""),7707.7436)</f>
        <v>7707.7436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IFERROR(__xludf.DUMMYFUNCTION("""COMPUTED_VALUE"""),7704.5808)</f>
        <v>7704.5808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IFERROR(__xludf.DUMMYFUNCTION("""COMPUTED_VALUE"""),7751.960334)</f>
        <v>7751.960334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IFERROR(__xludf.DUMMYFUNCTION("""COMPUTED_VALUE"""),7738.868602)</f>
        <v>7738.868602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IFERROR(__xludf.DUMMYFUNCTION("""COMPUTED_VALUE"""),7683.074476)</f>
        <v>7683.074476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IFERROR(__xludf.DUMMYFUNCTION("""COMPUTED_VALUE"""),7716.993792)</f>
        <v>7716.993792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IFERROR(__xludf.DUMMYFUNCTION("""COMPUTED_VALUE"""),7770.692055)</f>
        <v>7770.692055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IFERROR(__xludf.DUMMYFUNCTION("""COMPUTED_VALUE"""),7725.139)</f>
        <v>7725.139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IFERROR(__xludf.DUMMYFUNCTION("""COMPUTED_VALUE"""),7767.190007)</f>
        <v>7767.190007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IFERROR(__xludf.DUMMYFUNCTION("""COMPUTED_VALUE"""),7614.694516)</f>
        <v>7614.694516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IFERROR(__xludf.DUMMYFUNCTION("""COMPUTED_VALUE"""),7805.122556)</f>
        <v>7805.122556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IFERROR(__xludf.DUMMYFUNCTION("""COMPUTED_VALUE"""),7796.627772)</f>
        <v>7796.627772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IFERROR(__xludf.DUMMYFUNCTION("""COMPUTED_VALUE"""),7802.039573)</f>
        <v>7802.039573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IFERROR(__xludf.DUMMYFUNCTION("""COMPUTED_VALUE"""),7845.000733)</f>
        <v>7845.000733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IFERROR(__xludf.DUMMYFUNCTION("""COMPUTED_VALUE"""),7828.0098)</f>
        <v>7828.0098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IFERROR(__xludf.DUMMYFUNCTION("""COMPUTED_VALUE"""),7860.586487)</f>
        <v>7860.586487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IFERROR(__xludf.DUMMYFUNCTION("""COMPUTED_VALUE"""),7812.1662)</f>
        <v>7812.1662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IFERROR(__xludf.DUMMYFUNCTION("""COMPUTED_VALUE"""),7773.840426)</f>
        <v>7773.840426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IFERROR(__xludf.DUMMYFUNCTION("""COMPUTED_VALUE"""),7811.681209)</f>
        <v>7811.681209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IFERROR(__xludf.DUMMYFUNCTION("""COMPUTED_VALUE"""),7826.796243)</f>
        <v>7826.796243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IFERROR(__xludf.DUMMYFUNCTION("""COMPUTED_VALUE"""),7885.275265)</f>
        <v>7885.275265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IFERROR(__xludf.DUMMYFUNCTION("""COMPUTED_VALUE"""),7865.40064)</f>
        <v>7865.40064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IFERROR(__xludf.DUMMYFUNCTION("""COMPUTED_VALUE"""),7788.008548)</f>
        <v>7788.008548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IFERROR(__xludf.DUMMYFUNCTION("""COMPUTED_VALUE"""),7681.020421)</f>
        <v>7681.020421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IFERROR(__xludf.DUMMYFUNCTION("""COMPUTED_VALUE"""),7851.499029)</f>
        <v>7851.499029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IFERROR(__xludf.DUMMYFUNCTION("""COMPUTED_VALUE"""),7821.952224)</f>
        <v>7821.952224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IFERROR(__xludf.DUMMYFUNCTION("""COMPUTED_VALUE"""),7787.672442)</f>
        <v>7787.672442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IFERROR(__xludf.DUMMYFUNCTION("""COMPUTED_VALUE"""),7767.578494)</f>
        <v>7767.578494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IFERROR(__xludf.DUMMYFUNCTION("""COMPUTED_VALUE"""),7770.0384)</f>
        <v>7770.0384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IFERROR(__xludf.DUMMYFUNCTION("""COMPUTED_VALUE"""),7753.354749)</f>
        <v>7753.354749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IFERROR(__xludf.DUMMYFUNCTION("""COMPUTED_VALUE"""),7540.967025)</f>
        <v>7540.967025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IFERROR(__xludf.DUMMYFUNCTION("""COMPUTED_VALUE"""),7763.902362)</f>
        <v>7763.902362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IFERROR(__xludf.DUMMYFUNCTION("""COMPUTED_VALUE"""),7783.5202)</f>
        <v>7783.5202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IFERROR(__xludf.DUMMYFUNCTION("""COMPUTED_VALUE"""),7768.104042)</f>
        <v>7768.104042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IFERROR(__xludf.DUMMYFUNCTION("""COMPUTED_VALUE"""),7810.672296)</f>
        <v>7810.672296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IFERROR(__xludf.DUMMYFUNCTION("""COMPUTED_VALUE"""),7805.061)</f>
        <v>7805.061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IFERROR(__xludf.DUMMYFUNCTION("""COMPUTED_VALUE"""),7805.061)</f>
        <v>7805.061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IFERROR(__xludf.DUMMYFUNCTION("""COMPUTED_VALUE"""),7573.072608)</f>
        <v>7573.072608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IFERROR(__xludf.DUMMYFUNCTION("""COMPUTED_VALUE"""),7826.50674)</f>
        <v>7826.50674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IFERROR(__xludf.DUMMYFUNCTION("""COMPUTED_VALUE"""),7786.664674)</f>
        <v>7786.664674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IFERROR(__xludf.DUMMYFUNCTION("""COMPUTED_VALUE"""),7782.575389)</f>
        <v>7782.575389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IFERROR(__xludf.DUMMYFUNCTION("""COMPUTED_VALUE"""),7777.75636)</f>
        <v>7777.75636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IFERROR(__xludf.DUMMYFUNCTION("""COMPUTED_VALUE"""),7737.23016)</f>
        <v>7737.23016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IFERROR(__xludf.DUMMYFUNCTION("""COMPUTED_VALUE"""),7737.23016)</f>
        <v>7737.23016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IFERROR(__xludf.DUMMYFUNCTION("""COMPUTED_VALUE"""),7736.73426)</f>
        <v>7736.73426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IFERROR(__xludf.DUMMYFUNCTION("""COMPUTED_VALUE"""),7759.28322)</f>
        <v>7759.28322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IFERROR(__xludf.DUMMYFUNCTION("""COMPUTED_VALUE"""),7766.009496)</f>
        <v>7766.009496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IFERROR(__xludf.DUMMYFUNCTION("""COMPUTED_VALUE"""),7850.65988)</f>
        <v>7850.65988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IFERROR(__xludf.DUMMYFUNCTION("""COMPUTED_VALUE"""),7889.137496)</f>
        <v>7889.137496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IFERROR(__xludf.DUMMYFUNCTION("""COMPUTED_VALUE"""),7893.55952)</f>
        <v>7893.55952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IFERROR(__xludf.DUMMYFUNCTION("""COMPUTED_VALUE"""),7860.141762)</f>
        <v>7860.141762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IFERROR(__xludf.DUMMYFUNCTION("""COMPUTED_VALUE"""),7614.98289)</f>
        <v>7614.98289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IFERROR(__xludf.DUMMYFUNCTION("""COMPUTED_VALUE"""),7910.94694)</f>
        <v>7910.94694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IFERROR(__xludf.DUMMYFUNCTION("""COMPUTED_VALUE"""),7946.45863)</f>
        <v>7946.45863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IFERROR(__xludf.DUMMYFUNCTION("""COMPUTED_VALUE"""),7940.97675)</f>
        <v>7940.97675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IFERROR(__xludf.DUMMYFUNCTION("""COMPUTED_VALUE"""),7917.45504)</f>
        <v>7917.45504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IFERROR(__xludf.DUMMYFUNCTION("""COMPUTED_VALUE"""),7957.4544)</f>
        <v>7957.4544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IFERROR(__xludf.DUMMYFUNCTION("""COMPUTED_VALUE"""),7936.13979)</f>
        <v>7936.13979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IFERROR(__xludf.DUMMYFUNCTION("""COMPUTED_VALUE"""),7945.18749)</f>
        <v>7945.18749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IFERROR(__xludf.DUMMYFUNCTION("""COMPUTED_VALUE"""),7957.13286)</f>
        <v>7957.13286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IFERROR(__xludf.DUMMYFUNCTION("""COMPUTED_VALUE"""),8047.27264)</f>
        <v>8047.27264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IFERROR(__xludf.DUMMYFUNCTION("""COMPUTED_VALUE"""),8060.90259)</f>
        <v>8060.90259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IFERROR(__xludf.DUMMYFUNCTION("""COMPUTED_VALUE"""),8099.56095)</f>
        <v>8099.56095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IFERROR(__xludf.DUMMYFUNCTION("""COMPUTED_VALUE"""),8092.2564)</f>
        <v>8092.2564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IFERROR(__xludf.DUMMYFUNCTION("""COMPUTED_VALUE"""),8097.792)</f>
        <v>8097.792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IFERROR(__xludf.DUMMYFUNCTION("""COMPUTED_VALUE"""),8122.26555)</f>
        <v>8122.26555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IFERROR(__xludf.DUMMYFUNCTION("""COMPUTED_VALUE"""),8079.54524)</f>
        <v>8079.54524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IFERROR(__xludf.DUMMYFUNCTION("""COMPUTED_VALUE"""),8058.13528)</f>
        <v>8058.13528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IFERROR(__xludf.DUMMYFUNCTION("""COMPUTED_VALUE"""),8052.5025)</f>
        <v>8052.5025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IFERROR(__xludf.DUMMYFUNCTION("""COMPUTED_VALUE"""),8031.21176)</f>
        <v>8031.21176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IFERROR(__xludf.DUMMYFUNCTION("""COMPUTED_VALUE"""),8076.4307)</f>
        <v>8076.4307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IFERROR(__xludf.DUMMYFUNCTION("""COMPUTED_VALUE"""),8068.5666)</f>
        <v>8068.5666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IFERROR(__xludf.DUMMYFUNCTION("""COMPUTED_VALUE"""),8048.38178)</f>
        <v>8048.38178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IFERROR(__xludf.DUMMYFUNCTION("""COMPUTED_VALUE"""),8083.47152)</f>
        <v>8083.47152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IFERROR(__xludf.DUMMYFUNCTION("""COMPUTED_VALUE"""),8098.51692)</f>
        <v>8098.51692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IFERROR(__xludf.DUMMYFUNCTION("""COMPUTED_VALUE"""),8093.76716)</f>
        <v>8093.76716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IFERROR(__xludf.DUMMYFUNCTION("""COMPUTED_VALUE"""),8134.41642)</f>
        <v>8134.41642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IFERROR(__xludf.DUMMYFUNCTION("""COMPUTED_VALUE"""),8157.5208)</f>
        <v>8157.5208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IFERROR(__xludf.DUMMYFUNCTION("""COMPUTED_VALUE"""),8165.4716)</f>
        <v>8165.4716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IFERROR(__xludf.DUMMYFUNCTION("""COMPUTED_VALUE"""),8161.69851)</f>
        <v>8161.69851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IFERROR(__xludf.DUMMYFUNCTION("""COMPUTED_VALUE"""),8121.55204)</f>
        <v>8121.55204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IFERROR(__xludf.DUMMYFUNCTION("""COMPUTED_VALUE"""),8124.29184)</f>
        <v>8124.29184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IFERROR(__xludf.DUMMYFUNCTION("""COMPUTED_VALUE"""),8109.12363)</f>
        <v>8109.12363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IFERROR(__xludf.DUMMYFUNCTION("""COMPUTED_VALUE"""),8134.21431)</f>
        <v>8134.21431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IFERROR(__xludf.DUMMYFUNCTION("""COMPUTED_VALUE"""),8154.1488)</f>
        <v>8154.1488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IFERROR(__xludf.DUMMYFUNCTION("""COMPUTED_VALUE"""),8151.00048)</f>
        <v>8151.00048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IFERROR(__xludf.DUMMYFUNCTION("""COMPUTED_VALUE"""),8156.5056)</f>
        <v>8156.5056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IFERROR(__xludf.DUMMYFUNCTION("""COMPUTED_VALUE"""),8190.54456)</f>
        <v>8190.54456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IFERROR(__xludf.DUMMYFUNCTION("""COMPUTED_VALUE"""),8359.77708)</f>
        <v>8359.77708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IFERROR(__xludf.DUMMYFUNCTION("""COMPUTED_VALUE"""),8369.03768)</f>
        <v>8369.03768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IFERROR(__xludf.DUMMYFUNCTION("""COMPUTED_VALUE"""),8601.31944)</f>
        <v>8601.31944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IFERROR(__xludf.DUMMYFUNCTION("""COMPUTED_VALUE"""),8402.5225)</f>
        <v>8402.5225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IFERROR(__xludf.DUMMYFUNCTION("""COMPUTED_VALUE"""),8402.5225)</f>
        <v>8402.5225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IFERROR(__xludf.DUMMYFUNCTION("""COMPUTED_VALUE"""),8600.07735)</f>
        <v>8600.07735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IFERROR(__xludf.DUMMYFUNCTION("""COMPUTED_VALUE"""),8664.11808)</f>
        <v>8664.11808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IFERROR(__xludf.DUMMYFUNCTION("""COMPUTED_VALUE"""),8486.80154)</f>
        <v>8486.80154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IFERROR(__xludf.DUMMYFUNCTION("""COMPUTED_VALUE"""),8556.7446)</f>
        <v>8556.7446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IFERROR(__xludf.DUMMYFUNCTION("""COMPUTED_VALUE"""),8547.37962)</f>
        <v>8547.37962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IFERROR(__xludf.DUMMYFUNCTION("""COMPUTED_VALUE"""),8536.17009)</f>
        <v>8536.17009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IFERROR(__xludf.DUMMYFUNCTION("""COMPUTED_VALUE"""),8545.05745)</f>
        <v>8545.05745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IFERROR(__xludf.DUMMYFUNCTION("""COMPUTED_VALUE"""),8537.64885)</f>
        <v>8537.64885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IFERROR(__xludf.DUMMYFUNCTION("""COMPUTED_VALUE"""),8590.45768)</f>
        <v>8590.45768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IFERROR(__xludf.DUMMYFUNCTION("""COMPUTED_VALUE"""),8634.57621)</f>
        <v>8634.57621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IFERROR(__xludf.DUMMYFUNCTION("""COMPUTED_VALUE"""),8706.15135)</f>
        <v>8706.15135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IFERROR(__xludf.DUMMYFUNCTION("""COMPUTED_VALUE"""),8662.87305)</f>
        <v>8662.87305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IFERROR(__xludf.DUMMYFUNCTION("""COMPUTED_VALUE"""),8746.82796)</f>
        <v>8746.82796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IFERROR(__xludf.DUMMYFUNCTION("""COMPUTED_VALUE"""),8749.182)</f>
        <v>8749.182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IFERROR(__xludf.DUMMYFUNCTION("""COMPUTED_VALUE"""),8746.506)</f>
        <v>8746.506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IFERROR(__xludf.DUMMYFUNCTION("""COMPUTED_VALUE"""),8770.01224)</f>
        <v>8770.01224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IFERROR(__xludf.DUMMYFUNCTION("""COMPUTED_VALUE"""),8837.0672)</f>
        <v>8837.0672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IFERROR(__xludf.DUMMYFUNCTION("""COMPUTED_VALUE"""),8938.5084)</f>
        <v>8938.5084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IFERROR(__xludf.DUMMYFUNCTION("""COMPUTED_VALUE"""),8931.69936)</f>
        <v>8931.69936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IFERROR(__xludf.DUMMYFUNCTION("""COMPUTED_VALUE"""),8961.74083)</f>
        <v>8961.74083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IFERROR(__xludf.DUMMYFUNCTION("""COMPUTED_VALUE"""),8961.74083)</f>
        <v>8961.74083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IFERROR(__xludf.DUMMYFUNCTION("""COMPUTED_VALUE"""),9021.03584)</f>
        <v>9021.03584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IFERROR(__xludf.DUMMYFUNCTION("""COMPUTED_VALUE"""),8989.5429)</f>
        <v>8989.5429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IFERROR(__xludf.DUMMYFUNCTION("""COMPUTED_VALUE"""),9064.41298)</f>
        <v>9064.41298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IFERROR(__xludf.DUMMYFUNCTION("""COMPUTED_VALUE"""),9178.31952)</f>
        <v>9178.31952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IFERROR(__xludf.DUMMYFUNCTION("""COMPUTED_VALUE"""),9023.02095)</f>
        <v>9023.02095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IFERROR(__xludf.DUMMYFUNCTION("""COMPUTED_VALUE"""),9039.4848)</f>
        <v>9039.4848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IFERROR(__xludf.DUMMYFUNCTION("""COMPUTED_VALUE"""),9041.88)</f>
        <v>9041.88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IFERROR(__xludf.DUMMYFUNCTION("""COMPUTED_VALUE"""),9065.245)</f>
        <v>9065.245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IFERROR(__xludf.DUMMYFUNCTION("""COMPUTED_VALUE"""),9126.7498)</f>
        <v>9126.7498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IFERROR(__xludf.DUMMYFUNCTION("""COMPUTED_VALUE"""),9114.3402)</f>
        <v>9114.3402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IFERROR(__xludf.DUMMYFUNCTION("""COMPUTED_VALUE"""),9130.42188)</f>
        <v>9130.42188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IFERROR(__xludf.DUMMYFUNCTION("""COMPUTED_VALUE"""),9100.3374)</f>
        <v>9100.3374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IFERROR(__xludf.DUMMYFUNCTION("""COMPUTED_VALUE"""),9156.33022)</f>
        <v>9156.33022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IFERROR(__xludf.DUMMYFUNCTION("""COMPUTED_VALUE"""),9197.45375)</f>
        <v>9197.45375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IFERROR(__xludf.DUMMYFUNCTION("""COMPUTED_VALUE"""),9149.42482)</f>
        <v>9149.42482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IFERROR(__xludf.DUMMYFUNCTION("""COMPUTED_VALUE"""),9194.2368)</f>
        <v>9194.2368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IFERROR(__xludf.DUMMYFUNCTION("""COMPUTED_VALUE"""),9169.89346)</f>
        <v>9169.89346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IFERROR(__xludf.DUMMYFUNCTION("""COMPUTED_VALUE"""),9208.96128)</f>
        <v>9208.96128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IFERROR(__xludf.DUMMYFUNCTION("""COMPUTED_VALUE"""),9211.94749)</f>
        <v>9211.94749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IFERROR(__xludf.DUMMYFUNCTION("""COMPUTED_VALUE"""),9215.66709)</f>
        <v>9215.66709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IFERROR(__xludf.DUMMYFUNCTION("""COMPUTED_VALUE"""),9221.28102)</f>
        <v>9221.28102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IFERROR(__xludf.DUMMYFUNCTION("""COMPUTED_VALUE"""),9206.0178)</f>
        <v>9206.0178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IFERROR(__xludf.DUMMYFUNCTION("""COMPUTED_VALUE"""),9211.3964)</f>
        <v>9211.3964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IFERROR(__xludf.DUMMYFUNCTION("""COMPUTED_VALUE"""),9190.4)</f>
        <v>9190.4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IFERROR(__xludf.DUMMYFUNCTION("""COMPUTED_VALUE"""),9204.0)</f>
        <v>9204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IFERROR(__xludf.DUMMYFUNCTION("""COMPUTED_VALUE"""),9176.36076)</f>
        <v>9176.36076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IFERROR(__xludf.DUMMYFUNCTION("""COMPUTED_VALUE"""),9102.1644)</f>
        <v>9102.1644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IFERROR(__xludf.DUMMYFUNCTION("""COMPUTED_VALUE"""),9102.1644)</f>
        <v>9102.1644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IFERROR(__xludf.DUMMYFUNCTION("""COMPUTED_VALUE"""),9098.5356)</f>
        <v>9098.5356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IFERROR(__xludf.DUMMYFUNCTION("""COMPUTED_VALUE"""),9113.02071)</f>
        <v>9113.02071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IFERROR(__xludf.DUMMYFUNCTION("""COMPUTED_VALUE"""),9114.60789)</f>
        <v>9114.60789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IFERROR(__xludf.DUMMYFUNCTION("""COMPUTED_VALUE"""),9112.21688)</f>
        <v>9112.21688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IFERROR(__xludf.DUMMYFUNCTION("""COMPUTED_VALUE"""),9115.063)</f>
        <v>9115.063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IFERROR(__xludf.DUMMYFUNCTION("""COMPUTED_VALUE"""),9116.9211)</f>
        <v>9116.9211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IFERROR(__xludf.DUMMYFUNCTION("""COMPUTED_VALUE"""),9116.9211)</f>
        <v>9116.9211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IFERROR(__xludf.DUMMYFUNCTION("""COMPUTED_VALUE"""),9117.14706)</f>
        <v>9117.14706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IFERROR(__xludf.DUMMYFUNCTION("""COMPUTED_VALUE"""),9102.94)</f>
        <v>9102.94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IFERROR(__xludf.DUMMYFUNCTION("""COMPUTED_VALUE"""),9114.49088)</f>
        <v>9114.49088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IFERROR(__xludf.DUMMYFUNCTION("""COMPUTED_VALUE"""),9071.6592)</f>
        <v>9071.6592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IFERROR(__xludf.DUMMYFUNCTION("""COMPUTED_VALUE"""),8990.3112)</f>
        <v>8990.3112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IFERROR(__xludf.DUMMYFUNCTION("""COMPUTED_VALUE"""),8892.5585)</f>
        <v>8892.5585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IFERROR(__xludf.DUMMYFUNCTION("""COMPUTED_VALUE"""),8892.5585)</f>
        <v>8892.5585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IFERROR(__xludf.DUMMYFUNCTION("""COMPUTED_VALUE"""),8890.0308)</f>
        <v>8890.0308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IFERROR(__xludf.DUMMYFUNCTION("""COMPUTED_VALUE"""),8904.78225)</f>
        <v>8904.78225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IFERROR(__xludf.DUMMYFUNCTION("""COMPUTED_VALUE"""),8919.805)</f>
        <v>8919.805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IFERROR(__xludf.DUMMYFUNCTION("""COMPUTED_VALUE"""),8988.9408)</f>
        <v>8988.9408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IFERROR(__xludf.DUMMYFUNCTION("""COMPUTED_VALUE"""),9055.1487)</f>
        <v>9055.1487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IFERROR(__xludf.DUMMYFUNCTION("""COMPUTED_VALUE"""),9095.70288)</f>
        <v>9095.70288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IFERROR(__xludf.DUMMYFUNCTION("""COMPUTED_VALUE"""),9095.70288)</f>
        <v>9095.70288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IFERROR(__xludf.DUMMYFUNCTION("""COMPUTED_VALUE"""),9139.199427)</f>
        <v>9139.199427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IFERROR(__xludf.DUMMYFUNCTION("""COMPUTED_VALUE"""),9115.51652)</f>
        <v>9115.51652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IFERROR(__xludf.DUMMYFUNCTION("""COMPUTED_VALUE"""),9110.7929)</f>
        <v>9110.7929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IFERROR(__xludf.DUMMYFUNCTION("""COMPUTED_VALUE"""),9155.3238)</f>
        <v>9155.3238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IFERROR(__xludf.DUMMYFUNCTION("""COMPUTED_VALUE"""),9126.18564)</f>
        <v>9126.18564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IFERROR(__xludf.DUMMYFUNCTION("""COMPUTED_VALUE"""),9126.20142)</f>
        <v>9126.20142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IFERROR(__xludf.DUMMYFUNCTION("""COMPUTED_VALUE"""),9174.021368)</f>
        <v>9174.021368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IFERROR(__xludf.DUMMYFUNCTION("""COMPUTED_VALUE"""),9119.01681)</f>
        <v>9119.01681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IFERROR(__xludf.DUMMYFUNCTION("""COMPUTED_VALUE"""),9233.21112)</f>
        <v>9233.21112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IFERROR(__xludf.DUMMYFUNCTION("""COMPUTED_VALUE"""),9257.89815)</f>
        <v>9257.89815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IFERROR(__xludf.DUMMYFUNCTION("""COMPUTED_VALUE"""),9292.51059)</f>
        <v>9292.51059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IFERROR(__xludf.DUMMYFUNCTION("""COMPUTED_VALUE"""),9231.46464)</f>
        <v>9231.46464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IFERROR(__xludf.DUMMYFUNCTION("""COMPUTED_VALUE"""),9299.19)</f>
        <v>9299.19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IFERROR(__xludf.DUMMYFUNCTION("""COMPUTED_VALUE"""),9336.43488)</f>
        <v>9336.43488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IFERROR(__xludf.DUMMYFUNCTION("""COMPUTED_VALUE"""),9299.07405)</f>
        <v>9299.07405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IFERROR(__xludf.DUMMYFUNCTION("""COMPUTED_VALUE"""),9308.25445)</f>
        <v>9308.25445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IFERROR(__xludf.DUMMYFUNCTION("""COMPUTED_VALUE"""),9308.9906)</f>
        <v>9308.9906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IFERROR(__xludf.DUMMYFUNCTION("""COMPUTED_VALUE"""),9329.36525)</f>
        <v>9329.36525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IFERROR(__xludf.DUMMYFUNCTION("""COMPUTED_VALUE"""),9335.81454)</f>
        <v>9335.81454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IFERROR(__xludf.DUMMYFUNCTION("""COMPUTED_VALUE"""),9331.61661)</f>
        <v>9331.61661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IFERROR(__xludf.DUMMYFUNCTION("""COMPUTED_VALUE"""),9331.61661)</f>
        <v>9331.61661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IFERROR(__xludf.DUMMYFUNCTION("""COMPUTED_VALUE"""),9333.6)</f>
        <v>9333.6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IFERROR(__xludf.DUMMYFUNCTION("""COMPUTED_VALUE"""),9373.67653)</f>
        <v>9373.67653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IFERROR(__xludf.DUMMYFUNCTION("""COMPUTED_VALUE"""),9388.8375)</f>
        <v>9388.8375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IFERROR(__xludf.DUMMYFUNCTION("""COMPUTED_VALUE"""),9463.3704)</f>
        <v>9463.3704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IFERROR(__xludf.DUMMYFUNCTION("""COMPUTED_VALUE"""),9457.1928)</f>
        <v>9457.1928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IFERROR(__xludf.DUMMYFUNCTION("""COMPUTED_VALUE"""),9444.897)</f>
        <v>9444.897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IFERROR(__xludf.DUMMYFUNCTION("""COMPUTED_VALUE"""),9259.3125)</f>
        <v>9259.3125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IFERROR(__xludf.DUMMYFUNCTION("""COMPUTED_VALUE"""),9261.1725)</f>
        <v>9261.1725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IFERROR(__xludf.DUMMYFUNCTION("""COMPUTED_VALUE"""),9460.46)</f>
        <v>9460.46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IFERROR(__xludf.DUMMYFUNCTION("""COMPUTED_VALUE"""),9485.6562)</f>
        <v>9485.6562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IFERROR(__xludf.DUMMYFUNCTION("""COMPUTED_VALUE"""),9541.80372)</f>
        <v>9541.80372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IFERROR(__xludf.DUMMYFUNCTION("""COMPUTED_VALUE"""),9551.9785)</f>
        <v>9551.9785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IFERROR(__xludf.DUMMYFUNCTION("""COMPUTED_VALUE"""),9562.0315)</f>
        <v>9562.0315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IFERROR(__xludf.DUMMYFUNCTION("""COMPUTED_VALUE"""),9344.38526)</f>
        <v>9344.38526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IFERROR(__xludf.DUMMYFUNCTION("""COMPUTED_VALUE"""),9331.07234)</f>
        <v>9331.07234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IFERROR(__xludf.DUMMYFUNCTION("""COMPUTED_VALUE"""),9454.18016)</f>
        <v>9454.18016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IFERROR(__xludf.DUMMYFUNCTION("""COMPUTED_VALUE"""),9474.53708)</f>
        <v>9474.53708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IFERROR(__xludf.DUMMYFUNCTION("""COMPUTED_VALUE"""),9488.26518)</f>
        <v>9488.26518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IFERROR(__xludf.DUMMYFUNCTION("""COMPUTED_VALUE"""),9546.76437)</f>
        <v>9546.76437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IFERROR(__xludf.DUMMYFUNCTION("""COMPUTED_VALUE"""),9573.1335)</f>
        <v>9573.1335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IFERROR(__xludf.DUMMYFUNCTION("""COMPUTED_VALUE"""),9573.316695)</f>
        <v>9573.316695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IFERROR(__xludf.DUMMYFUNCTION("""COMPUTED_VALUE"""),9544.00644)</f>
        <v>9544.00644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IFERROR(__xludf.DUMMYFUNCTION("""COMPUTED_VALUE"""),9526.57428)</f>
        <v>9526.57428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IFERROR(__xludf.DUMMYFUNCTION("""COMPUTED_VALUE"""),9529.31728)</f>
        <v>9529.31728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IFERROR(__xludf.DUMMYFUNCTION("""COMPUTED_VALUE"""),9513.62412)</f>
        <v>9513.62412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IFERROR(__xludf.DUMMYFUNCTION("""COMPUTED_VALUE"""),9563.5256)</f>
        <v>9563.5256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IFERROR(__xludf.DUMMYFUNCTION("""COMPUTED_VALUE"""),9596.0088)</f>
        <v>9596.0088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IFERROR(__xludf.DUMMYFUNCTION("""COMPUTED_VALUE"""),9594.161136)</f>
        <v>9594.161136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IFERROR(__xludf.DUMMYFUNCTION("""COMPUTED_VALUE"""),9588.10935)</f>
        <v>9588.10935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IFERROR(__xludf.DUMMYFUNCTION("""COMPUTED_VALUE"""),9581.79654)</f>
        <v>9581.79654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IFERROR(__xludf.DUMMYFUNCTION("""COMPUTED_VALUE"""),9575.17508)</f>
        <v>9575.17508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IFERROR(__xludf.DUMMYFUNCTION("""COMPUTED_VALUE"""),9581.37056)</f>
        <v>9581.37056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IFERROR(__xludf.DUMMYFUNCTION("""COMPUTED_VALUE"""),9569.22256)</f>
        <v>9569.22256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IFERROR(__xludf.DUMMYFUNCTION("""COMPUTED_VALUE"""),9565.10334)</f>
        <v>9565.10334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IFERROR(__xludf.DUMMYFUNCTION("""COMPUTED_VALUE"""),9571.925428)</f>
        <v>9571.925428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IFERROR(__xludf.DUMMYFUNCTION("""COMPUTED_VALUE"""),9562.79636)</f>
        <v>9562.79636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IFERROR(__xludf.DUMMYFUNCTION("""COMPUTED_VALUE"""),9631.01328)</f>
        <v>9631.01328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IFERROR(__xludf.DUMMYFUNCTION("""COMPUTED_VALUE"""),9626.33966)</f>
        <v>9626.33966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IFERROR(__xludf.DUMMYFUNCTION("""COMPUTED_VALUE"""),9614.30324)</f>
        <v>9614.30324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IFERROR(__xludf.DUMMYFUNCTION("""COMPUTED_VALUE"""),9550.05126)</f>
        <v>9550.05126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IFERROR(__xludf.DUMMYFUNCTION("""COMPUTED_VALUE"""),9553.57524)</f>
        <v>9553.57524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IFERROR(__xludf.DUMMYFUNCTION("""COMPUTED_VALUE"""),9552.415365)</f>
        <v>9552.415365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IFERROR(__xludf.DUMMYFUNCTION("""COMPUTED_VALUE"""),9559.27488)</f>
        <v>9559.27488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IFERROR(__xludf.DUMMYFUNCTION("""COMPUTED_VALUE"""),9570.02508)</f>
        <v>9570.02508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IFERROR(__xludf.DUMMYFUNCTION("""COMPUTED_VALUE"""),9486.2269)</f>
        <v>9486.2269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IFERROR(__xludf.DUMMYFUNCTION("""COMPUTED_VALUE"""),9485.51734)</f>
        <v>9485.51734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IFERROR(__xludf.DUMMYFUNCTION("""COMPUTED_VALUE"""),9466.29632)</f>
        <v>9466.29632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IFERROR(__xludf.DUMMYFUNCTION("""COMPUTED_VALUE"""),9351.0104)</f>
        <v>9351.0104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IFERROR(__xludf.DUMMYFUNCTION("""COMPUTED_VALUE"""),9348.10798)</f>
        <v>9348.10798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IFERROR(__xludf.DUMMYFUNCTION("""COMPUTED_VALUE"""),9504.96632)</f>
        <v>9504.96632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IFERROR(__xludf.DUMMYFUNCTION("""COMPUTED_VALUE"""),9333.2518)</f>
        <v>9333.2518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IFERROR(__xludf.DUMMYFUNCTION("""COMPUTED_VALUE"""),9297.06382)</f>
        <v>9297.06382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IFERROR(__xludf.DUMMYFUNCTION("""COMPUTED_VALUE"""),9288.5284)</f>
        <v>9288.5284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IFERROR(__xludf.DUMMYFUNCTION("""COMPUTED_VALUE"""),9334.3263)</f>
        <v>9334.3263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IFERROR(__xludf.DUMMYFUNCTION("""COMPUTED_VALUE"""),9289.67578)</f>
        <v>9289.67578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IFERROR(__xludf.DUMMYFUNCTION("""COMPUTED_VALUE"""),9293.114949)</f>
        <v>9293.114949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IFERROR(__xludf.DUMMYFUNCTION("""COMPUTED_VALUE"""),9293.82608)</f>
        <v>9293.82608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IFERROR(__xludf.DUMMYFUNCTION("""COMPUTED_VALUE"""),9317.49246)</f>
        <v>9317.49246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IFERROR(__xludf.DUMMYFUNCTION("""COMPUTED_VALUE"""),9432.36338)</f>
        <v>9432.36338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IFERROR(__xludf.DUMMYFUNCTION("""COMPUTED_VALUE"""),9419.96372)</f>
        <v>9419.96372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IFERROR(__xludf.DUMMYFUNCTION("""COMPUTED_VALUE"""),9452.85624)</f>
        <v>9452.85624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IFERROR(__xludf.DUMMYFUNCTION("""COMPUTED_VALUE"""),9484.04162)</f>
        <v>9484.04162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IFERROR(__xludf.DUMMYFUNCTION("""COMPUTED_VALUE"""),9491.017595)</f>
        <v>9491.017595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IFERROR(__xludf.DUMMYFUNCTION("""COMPUTED_VALUE"""),9478.34193)</f>
        <v>9478.34193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IFERROR(__xludf.DUMMYFUNCTION("""COMPUTED_VALUE"""),9551.59267)</f>
        <v>9551.59267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IFERROR(__xludf.DUMMYFUNCTION("""COMPUTED_VALUE"""),9494.09337)</f>
        <v>9494.09337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IFERROR(__xludf.DUMMYFUNCTION("""COMPUTED_VALUE"""),9466.17579)</f>
        <v>9466.17579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IFERROR(__xludf.DUMMYFUNCTION("""COMPUTED_VALUE"""),9520.23343)</f>
        <v>9520.23343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IFERROR(__xludf.DUMMYFUNCTION("""COMPUTED_VALUE"""),9512.235)</f>
        <v>9512.235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IFERROR(__xludf.DUMMYFUNCTION("""COMPUTED_VALUE"""),9535.925554)</f>
        <v>9535.925554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IFERROR(__xludf.DUMMYFUNCTION("""COMPUTED_VALUE"""),9507.7395)</f>
        <v>9507.7395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IFERROR(__xludf.DUMMYFUNCTION("""COMPUTED_VALUE"""),9482.00037)</f>
        <v>9482.00037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IFERROR(__xludf.DUMMYFUNCTION("""COMPUTED_VALUE"""),9444.02325)</f>
        <v>9444.02325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IFERROR(__xludf.DUMMYFUNCTION("""COMPUTED_VALUE"""),9476.0872)</f>
        <v>9476.0872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IFERROR(__xludf.DUMMYFUNCTION("""COMPUTED_VALUE"""),9412.899)</f>
        <v>9412.899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IFERROR(__xludf.DUMMYFUNCTION("""COMPUTED_VALUE"""),9461.10836)</f>
        <v>9461.10836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IFERROR(__xludf.DUMMYFUNCTION("""COMPUTED_VALUE"""),9475.480162)</f>
        <v>9475.480162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IFERROR(__xludf.DUMMYFUNCTION("""COMPUTED_VALUE"""),9460.02827)</f>
        <v>9460.02827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IFERROR(__xludf.DUMMYFUNCTION("""COMPUTED_VALUE"""),9464.22148)</f>
        <v>9464.22148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IFERROR(__xludf.DUMMYFUNCTION("""COMPUTED_VALUE"""),9460.5896)</f>
        <v>9460.5896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IFERROR(__xludf.DUMMYFUNCTION("""COMPUTED_VALUE"""),9426.32517)</f>
        <v>9426.32517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IFERROR(__xludf.DUMMYFUNCTION("""COMPUTED_VALUE"""),9385.6028)</f>
        <v>9385.6028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IFERROR(__xludf.DUMMYFUNCTION("""COMPUTED_VALUE"""),9214.46764)</f>
        <v>9214.46764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IFERROR(__xludf.DUMMYFUNCTION("""COMPUTED_VALUE"""),9231.854926)</f>
        <v>9231.854926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IFERROR(__xludf.DUMMYFUNCTION("""COMPUTED_VALUE"""),9279.03458)</f>
        <v>9279.03458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IFERROR(__xludf.DUMMYFUNCTION("""COMPUTED_VALUE"""),9235.014)</f>
        <v>9235.014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IFERROR(__xludf.DUMMYFUNCTION("""COMPUTED_VALUE"""),9381.424)</f>
        <v>9381.424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IFERROR(__xludf.DUMMYFUNCTION("""COMPUTED_VALUE"""),9232.22784)</f>
        <v>9232.22784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IFERROR(__xludf.DUMMYFUNCTION("""COMPUTED_VALUE"""),9299.54031)</f>
        <v>9299.54031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IFERROR(__xludf.DUMMYFUNCTION("""COMPUTED_VALUE"""),9212.45427)</f>
        <v>9212.45427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IFERROR(__xludf.DUMMYFUNCTION("""COMPUTED_VALUE"""),9224.205453)</f>
        <v>9224.205453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IFERROR(__xludf.DUMMYFUNCTION("""COMPUTED_VALUE"""),9213.62237)</f>
        <v>9213.62237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IFERROR(__xludf.DUMMYFUNCTION("""COMPUTED_VALUE"""),9165.06648)</f>
        <v>9165.06648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IFERROR(__xludf.DUMMYFUNCTION("""COMPUTED_VALUE"""),9188.6312)</f>
        <v>9188.6312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IFERROR(__xludf.DUMMYFUNCTION("""COMPUTED_VALUE"""),9211.24028)</f>
        <v>9211.24028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IFERROR(__xludf.DUMMYFUNCTION("""COMPUTED_VALUE"""),9172.67868)</f>
        <v>9172.67868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IFERROR(__xludf.DUMMYFUNCTION("""COMPUTED_VALUE"""),9122.73495)</f>
        <v>9122.73495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IFERROR(__xludf.DUMMYFUNCTION("""COMPUTED_VALUE"""),9137.307354)</f>
        <v>9137.307354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IFERROR(__xludf.DUMMYFUNCTION("""COMPUTED_VALUE"""),9112.78561)</f>
        <v>9112.78561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IFERROR(__xludf.DUMMYFUNCTION("""COMPUTED_VALUE"""),9174.67072)</f>
        <v>9174.67072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IFERROR(__xludf.DUMMYFUNCTION("""COMPUTED_VALUE"""),9113.19838)</f>
        <v>9113.19838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IFERROR(__xludf.DUMMYFUNCTION("""COMPUTED_VALUE"""),9114.82383)</f>
        <v>9114.82383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IFERROR(__xludf.DUMMYFUNCTION("""COMPUTED_VALUE"""),9032.0419)</f>
        <v>9032.0419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IFERROR(__xludf.DUMMYFUNCTION("""COMPUTED_VALUE"""),8973.42046)</f>
        <v>8973.42046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IFERROR(__xludf.DUMMYFUNCTION("""COMPUTED_VALUE"""),8986.424275)</f>
        <v>8986.424275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IFERROR(__xludf.DUMMYFUNCTION("""COMPUTED_VALUE"""),8978.77188)</f>
        <v>8978.77188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IFERROR(__xludf.DUMMYFUNCTION("""COMPUTED_VALUE"""),9012.4407)</f>
        <v>9012.4407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IFERROR(__xludf.DUMMYFUNCTION("""COMPUTED_VALUE"""),9056.03735)</f>
        <v>9056.03735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IFERROR(__xludf.DUMMYFUNCTION("""COMPUTED_VALUE"""),9022.6724)</f>
        <v>9022.6724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IFERROR(__xludf.DUMMYFUNCTION("""COMPUTED_VALUE"""),9013.4532)</f>
        <v>9013.4532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IFERROR(__xludf.DUMMYFUNCTION("""COMPUTED_VALUE"""),8925.42144)</f>
        <v>8925.42144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IFERROR(__xludf.DUMMYFUNCTION("""COMPUTED_VALUE"""),8938.229609)</f>
        <v>8938.229609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IFERROR(__xludf.DUMMYFUNCTION("""COMPUTED_VALUE"""),8922.48448)</f>
        <v>8922.48448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IFERROR(__xludf.DUMMYFUNCTION("""COMPUTED_VALUE"""),8924.29164)</f>
        <v>8924.29164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IFERROR(__xludf.DUMMYFUNCTION("""COMPUTED_VALUE"""),8958.075)</f>
        <v>8958.075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IFERROR(__xludf.DUMMYFUNCTION("""COMPUTED_VALUE"""),8882.5347)</f>
        <v>8882.5347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IFERROR(__xludf.DUMMYFUNCTION("""COMPUTED_VALUE"""),8950.4032)</f>
        <v>8950.4032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IFERROR(__xludf.DUMMYFUNCTION("""COMPUTED_VALUE"""),8944.76856)</f>
        <v>8944.76856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IFERROR(__xludf.DUMMYFUNCTION("""COMPUTED_VALUE"""),8956.160371)</f>
        <v>8956.160371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IFERROR(__xludf.DUMMYFUNCTION("""COMPUTED_VALUE"""),8949.785)</f>
        <v>8949.785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IFERROR(__xludf.DUMMYFUNCTION("""COMPUTED_VALUE"""),8938.60758)</f>
        <v>8938.60758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IFERROR(__xludf.DUMMYFUNCTION("""COMPUTED_VALUE"""),8973.80469)</f>
        <v>8973.80469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IFERROR(__xludf.DUMMYFUNCTION("""COMPUTED_VALUE"""),9022.4437)</f>
        <v>9022.4437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IFERROR(__xludf.DUMMYFUNCTION("""COMPUTED_VALUE"""),9004.76101)</f>
        <v>9004.76101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IFERROR(__xludf.DUMMYFUNCTION("""COMPUTED_VALUE"""),8980.57895)</f>
        <v>8980.57895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IFERROR(__xludf.DUMMYFUNCTION("""COMPUTED_VALUE"""),8996.482637)</f>
        <v>8996.482637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IFERROR(__xludf.DUMMYFUNCTION("""COMPUTED_VALUE"""),8977.0744)</f>
        <v>8977.0744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IFERROR(__xludf.DUMMYFUNCTION("""COMPUTED_VALUE"""),8949.41325)</f>
        <v>8949.41325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IFERROR(__xludf.DUMMYFUNCTION("""COMPUTED_VALUE"""),8938.852)</f>
        <v>8938.852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IFERROR(__xludf.DUMMYFUNCTION("""COMPUTED_VALUE"""),8930.81475)</f>
        <v>8930.81475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IFERROR(__xludf.DUMMYFUNCTION("""COMPUTED_VALUE"""),8970.40565)</f>
        <v>8970.40565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IFERROR(__xludf.DUMMYFUNCTION("""COMPUTED_VALUE"""),8982.9675)</f>
        <v>8982.9675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IFERROR(__xludf.DUMMYFUNCTION("""COMPUTED_VALUE"""),8994.897135)</f>
        <v>8994.897135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IFERROR(__xludf.DUMMYFUNCTION("""COMPUTED_VALUE"""),8982.5151)</f>
        <v>8982.5151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IFERROR(__xludf.DUMMYFUNCTION("""COMPUTED_VALUE"""),8969.02065)</f>
        <v>8969.02065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IFERROR(__xludf.DUMMYFUNCTION("""COMPUTED_VALUE"""),8993.362)</f>
        <v>8993.362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IFERROR(__xludf.DUMMYFUNCTION("""COMPUTED_VALUE"""),9036.5114)</f>
        <v>9036.5114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IFERROR(__xludf.DUMMYFUNCTION("""COMPUTED_VALUE"""),9076.0)</f>
        <v>9076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IFERROR(__xludf.DUMMYFUNCTION("""COMPUTED_VALUE"""),9125.22995)</f>
        <v>9125.22995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IFERROR(__xludf.DUMMYFUNCTION("""COMPUTED_VALUE"""),9141.662571)</f>
        <v>9141.662571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IFERROR(__xludf.DUMMYFUNCTION("""COMPUTED_VALUE"""),9125.22995)</f>
        <v>9125.22995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IFERROR(__xludf.DUMMYFUNCTION("""COMPUTED_VALUE"""),9122.95464)</f>
        <v>9122.95464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IFERROR(__xludf.DUMMYFUNCTION("""COMPUTED_VALUE"""),9133.0925)</f>
        <v>9133.0925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IFERROR(__xludf.DUMMYFUNCTION("""COMPUTED_VALUE"""),9115.44625)</f>
        <v>9115.44625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IFERROR(__xludf.DUMMYFUNCTION("""COMPUTED_VALUE"""),9131.5077)</f>
        <v>9131.5077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IFERROR(__xludf.DUMMYFUNCTION("""COMPUTED_VALUE"""),9135.05565)</f>
        <v>9135.05565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IFERROR(__xludf.DUMMYFUNCTION("""COMPUTED_VALUE"""),9153.317779)</f>
        <v>9153.317779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IFERROR(__xludf.DUMMYFUNCTION("""COMPUTED_VALUE"""),9135.74235)</f>
        <v>9135.74235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IFERROR(__xludf.DUMMYFUNCTION("""COMPUTED_VALUE"""),9127.8744)</f>
        <v>9127.8744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IFERROR(__xludf.DUMMYFUNCTION("""COMPUTED_VALUE"""),9187.8018)</f>
        <v>9187.8018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IFERROR(__xludf.DUMMYFUNCTION("""COMPUTED_VALUE"""),9254.4004)</f>
        <v>9254.4004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IFERROR(__xludf.DUMMYFUNCTION("""COMPUTED_VALUE"""),9213.387)</f>
        <v>9213.387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IFERROR(__xludf.DUMMYFUNCTION("""COMPUTED_VALUE"""),9201.22965)</f>
        <v>9201.22965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IFERROR(__xludf.DUMMYFUNCTION("""COMPUTED_VALUE"""),9197.80057)</f>
        <v>9197.80057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IFERROR(__xludf.DUMMYFUNCTION("""COMPUTED_VALUE"""),9203.427)</f>
        <v>9203.427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IFERROR(__xludf.DUMMYFUNCTION("""COMPUTED_VALUE"""),9219.343)</f>
        <v>9219.343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IFERROR(__xludf.DUMMYFUNCTION("""COMPUTED_VALUE"""),9187.62645)</f>
        <v>9187.62645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IFERROR(__xludf.DUMMYFUNCTION("""COMPUTED_VALUE"""),9207.5993)</f>
        <v>9207.5993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IFERROR(__xludf.DUMMYFUNCTION("""COMPUTED_VALUE"""),9210.94735)</f>
        <v>9210.94735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IFERROR(__xludf.DUMMYFUNCTION("""COMPUTED_VALUE"""),9186.8973)</f>
        <v>9186.8973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IFERROR(__xludf.DUMMYFUNCTION("""COMPUTED_VALUE"""),9202.071836)</f>
        <v>9202.071836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IFERROR(__xludf.DUMMYFUNCTION("""COMPUTED_VALUE"""),9199.67895)</f>
        <v>9199.67895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IFERROR(__xludf.DUMMYFUNCTION("""COMPUTED_VALUE"""),9200.20335)</f>
        <v>9200.20335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IFERROR(__xludf.DUMMYFUNCTION("""COMPUTED_VALUE"""),9223.4234)</f>
        <v>9223.4234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IFERROR(__xludf.DUMMYFUNCTION("""COMPUTED_VALUE"""),9254.6116)</f>
        <v>9254.6116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IFERROR(__xludf.DUMMYFUNCTION("""COMPUTED_VALUE"""),9241.78225)</f>
        <v>9241.78225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IFERROR(__xludf.DUMMYFUNCTION("""COMPUTED_VALUE"""),9235.1517)</f>
        <v>9235.1517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IFERROR(__xludf.DUMMYFUNCTION("""COMPUTED_VALUE"""),9255.719627)</f>
        <v>9255.719627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IFERROR(__xludf.DUMMYFUNCTION("""COMPUTED_VALUE"""),9177.9618)</f>
        <v>9177.9618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IFERROR(__xludf.DUMMYFUNCTION("""COMPUTED_VALUE"""),9208.512)</f>
        <v>9208.512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IFERROR(__xludf.DUMMYFUNCTION("""COMPUTED_VALUE"""),9175.1368)</f>
        <v>9175.1368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IFERROR(__xludf.DUMMYFUNCTION("""COMPUTED_VALUE"""),9118.0694)</f>
        <v>9118.0694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IFERROR(__xludf.DUMMYFUNCTION("""COMPUTED_VALUE"""),9089.784)</f>
        <v>9089.784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IFERROR(__xludf.DUMMYFUNCTION("""COMPUTED_VALUE"""),9047.2836)</f>
        <v>9047.2836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IFERROR(__xludf.DUMMYFUNCTION("""COMPUTED_VALUE"""),9071.843937)</f>
        <v>9071.843937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IFERROR(__xludf.DUMMYFUNCTION("""COMPUTED_VALUE"""),9100.3822)</f>
        <v>9100.3822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IFERROR(__xludf.DUMMYFUNCTION("""COMPUTED_VALUE"""),9128.8054)</f>
        <v>9128.8054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IFERROR(__xludf.DUMMYFUNCTION("""COMPUTED_VALUE"""),9143.7048)</f>
        <v>9143.7048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IFERROR(__xludf.DUMMYFUNCTION("""COMPUTED_VALUE"""),9187.37875)</f>
        <v>9187.37875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IFERROR(__xludf.DUMMYFUNCTION("""COMPUTED_VALUE"""),9195.2239)</f>
        <v>9195.2239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IFERROR(__xludf.DUMMYFUNCTION("""COMPUTED_VALUE"""),9248.6358)</f>
        <v>9248.6358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IFERROR(__xludf.DUMMYFUNCTION("""COMPUTED_VALUE"""),9221.268771)</f>
        <v>9221.268771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IFERROR(__xludf.DUMMYFUNCTION("""COMPUTED_VALUE"""),9256.86825)</f>
        <v>9256.86825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IFERROR(__xludf.DUMMYFUNCTION("""COMPUTED_VALUE"""),9220.4872)</f>
        <v>9220.4872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IFERROR(__xludf.DUMMYFUNCTION("""COMPUTED_VALUE"""),9200.8352)</f>
        <v>9200.8352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IFERROR(__xludf.DUMMYFUNCTION("""COMPUTED_VALUE"""),9260.2712)</f>
        <v>9260.2712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IFERROR(__xludf.DUMMYFUNCTION("""COMPUTED_VALUE"""),9243.64995)</f>
        <v>9243.64995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IFERROR(__xludf.DUMMYFUNCTION("""COMPUTED_VALUE"""),9293.8362)</f>
        <v>9293.8362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IFERROR(__xludf.DUMMYFUNCTION("""COMPUTED_VALUE"""),9322.451013)</f>
        <v>9322.451013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IFERROR(__xludf.DUMMYFUNCTION("""COMPUTED_VALUE"""),9323.620603)</f>
        <v>9323.620603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IFERROR(__xludf.DUMMYFUNCTION("""COMPUTED_VALUE"""),9354.9624)</f>
        <v>9354.9624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IFERROR(__xludf.DUMMYFUNCTION("""COMPUTED_VALUE"""),9365.7421)</f>
        <v>9365.7421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IFERROR(__xludf.DUMMYFUNCTION("""COMPUTED_VALUE"""),9439.2)</f>
        <v>9439.2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IFERROR(__xludf.DUMMYFUNCTION("""COMPUTED_VALUE"""),9454.08675)</f>
        <v>9454.08675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IFERROR(__xludf.DUMMYFUNCTION("""COMPUTED_VALUE"""),9434.9864)</f>
        <v>9434.9864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IFERROR(__xludf.DUMMYFUNCTION("""COMPUTED_VALUE"""),9450.406593)</f>
        <v>9450.406593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IFERROR(__xludf.DUMMYFUNCTION("""COMPUTED_VALUE"""),9450.406593)</f>
        <v>9450.406593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IFERROR(__xludf.DUMMYFUNCTION("""COMPUTED_VALUE"""),9417.8805)</f>
        <v>9417.8805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IFERROR(__xludf.DUMMYFUNCTION("""COMPUTED_VALUE"""),9452.0)</f>
        <v>9452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IFERROR(__xludf.DUMMYFUNCTION("""COMPUTED_VALUE"""),9440.10435)</f>
        <v>9440.10435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IFERROR(__xludf.DUMMYFUNCTION("""COMPUTED_VALUE"""),9437.4292)</f>
        <v>9437.4292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IFERROR(__xludf.DUMMYFUNCTION("""COMPUTED_VALUE"""),9417.51135)</f>
        <v>9417.51135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IFERROR(__xludf.DUMMYFUNCTION("""COMPUTED_VALUE"""),9434.58833)</f>
        <v>9434.58833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IFERROR(__xludf.DUMMYFUNCTION("""COMPUTED_VALUE"""),9436.005095)</f>
        <v>9436.005095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IFERROR(__xludf.DUMMYFUNCTION("""COMPUTED_VALUE"""),9444.08395)</f>
        <v>9444.08395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IFERROR(__xludf.DUMMYFUNCTION("""COMPUTED_VALUE"""),9480.6645)</f>
        <v>9480.6645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IFERROR(__xludf.DUMMYFUNCTION("""COMPUTED_VALUE"""),9612.8837)</f>
        <v>9612.8837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IFERROR(__xludf.DUMMYFUNCTION("""COMPUTED_VALUE"""),9534.26385)</f>
        <v>9534.26385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IFERROR(__xludf.DUMMYFUNCTION("""COMPUTED_VALUE"""),9565.8555)</f>
        <v>9565.8555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IFERROR(__xludf.DUMMYFUNCTION("""COMPUTED_VALUE"""),9586.700259)</f>
        <v>9586.700259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IFERROR(__xludf.DUMMYFUNCTION("""COMPUTED_VALUE"""),9584.424812)</f>
        <v>9584.424812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IFERROR(__xludf.DUMMYFUNCTION("""COMPUTED_VALUE"""),9598.43196)</f>
        <v>9598.43196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IFERROR(__xludf.DUMMYFUNCTION("""COMPUTED_VALUE"""),9599.71845)</f>
        <v>9599.71845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IFERROR(__xludf.DUMMYFUNCTION("""COMPUTED_VALUE"""),9672.0)</f>
        <v>9672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IFERROR(__xludf.DUMMYFUNCTION("""COMPUTED_VALUE"""),9672.0)</f>
        <v>9672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IFERROR(__xludf.DUMMYFUNCTION("""COMPUTED_VALUE"""),9614.5576)</f>
        <v>9614.5576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IFERROR(__xludf.DUMMYFUNCTION("""COMPUTED_VALUE"""),9613.941692)</f>
        <v>9613.941692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IFERROR(__xludf.DUMMYFUNCTION("""COMPUTED_VALUE"""),9615.384)</f>
        <v>9615.384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IFERROR(__xludf.DUMMYFUNCTION("""COMPUTED_VALUE"""),9532.4831)</f>
        <v>9532.4831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IFERROR(__xludf.DUMMYFUNCTION("""COMPUTED_VALUE"""),9553.558)</f>
        <v>9553.558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IFERROR(__xludf.DUMMYFUNCTION("""COMPUTED_VALUE"""),9539.635)</f>
        <v>9539.635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IFERROR(__xludf.DUMMYFUNCTION("""COMPUTED_VALUE"""),9543.16705)</f>
        <v>9543.16705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IFERROR(__xludf.DUMMYFUNCTION("""COMPUTED_VALUE"""),9517.7686)</f>
        <v>9517.7686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IFERROR(__xludf.DUMMYFUNCTION("""COMPUTED_VALUE"""),9530.993964)</f>
        <v>9530.993964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IFERROR(__xludf.DUMMYFUNCTION("""COMPUTED_VALUE"""),9529.450022)</f>
        <v>9529.450022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IFERROR(__xludf.DUMMYFUNCTION("""COMPUTED_VALUE"""),9401.8085)</f>
        <v>9401.8085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IFERROR(__xludf.DUMMYFUNCTION("""COMPUTED_VALUE"""),9377.7268)</f>
        <v>9377.7268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IFERROR(__xludf.DUMMYFUNCTION("""COMPUTED_VALUE"""),9357.39245)</f>
        <v>9357.39245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IFERROR(__xludf.DUMMYFUNCTION("""COMPUTED_VALUE"""),9312.9244)</f>
        <v>9312.9244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IFERROR(__xludf.DUMMYFUNCTION("""COMPUTED_VALUE"""),9349.80035)</f>
        <v>9349.80035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IFERROR(__xludf.DUMMYFUNCTION("""COMPUTED_VALUE"""),9379.158964)</f>
        <v>9379.158964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IFERROR(__xludf.DUMMYFUNCTION("""COMPUTED_VALUE"""),9376.714262)</f>
        <v>9376.714262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IFERROR(__xludf.DUMMYFUNCTION("""COMPUTED_VALUE"""),9392.13)</f>
        <v>9392.13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IFERROR(__xludf.DUMMYFUNCTION("""COMPUTED_VALUE"""),9421.708)</f>
        <v>9421.708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IFERROR(__xludf.DUMMYFUNCTION("""COMPUTED_VALUE"""),9368.66666)</f>
        <v>9368.66666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IFERROR(__xludf.DUMMYFUNCTION("""COMPUTED_VALUE"""),9374.4068)</f>
        <v>9374.4068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IFERROR(__xludf.DUMMYFUNCTION("""COMPUTED_VALUE"""),9357.16015)</f>
        <v>9357.16015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IFERROR(__xludf.DUMMYFUNCTION("""COMPUTED_VALUE"""),9378.460478)</f>
        <v>9378.460478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IFERROR(__xludf.DUMMYFUNCTION("""COMPUTED_VALUE"""),9376.248604)</f>
        <v>9376.248604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IFERROR(__xludf.DUMMYFUNCTION("""COMPUTED_VALUE"""),9321.5216)</f>
        <v>9321.5216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IFERROR(__xludf.DUMMYFUNCTION("""COMPUTED_VALUE"""),9335.796)</f>
        <v>9335.796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IFERROR(__xludf.DUMMYFUNCTION("""COMPUTED_VALUE"""),9280.68395)</f>
        <v>9280.68395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IFERROR(__xludf.DUMMYFUNCTION("""COMPUTED_VALUE"""),9307.09984)</f>
        <v>9307.09984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IFERROR(__xludf.DUMMYFUNCTION("""COMPUTED_VALUE"""),9304.87085)</f>
        <v>9304.87085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IFERROR(__xludf.DUMMYFUNCTION("""COMPUTED_VALUE"""),9326.183278)</f>
        <v>9326.183278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IFERROR(__xludf.DUMMYFUNCTION("""COMPUTED_VALUE"""),9329.659522)</f>
        <v>9329.659522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IFERROR(__xludf.DUMMYFUNCTION("""COMPUTED_VALUE"""),9310.53574)</f>
        <v>9310.53574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IFERROR(__xludf.DUMMYFUNCTION("""COMPUTED_VALUE"""),9302.09621)</f>
        <v>9302.09621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IFERROR(__xludf.DUMMYFUNCTION("""COMPUTED_VALUE"""),9289.84155)</f>
        <v>9289.84155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IFERROR(__xludf.DUMMYFUNCTION("""COMPUTED_VALUE"""),9422.79559)</f>
        <v>9422.79559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IFERROR(__xludf.DUMMYFUNCTION("""COMPUTED_VALUE"""),9512.16617)</f>
        <v>9512.16617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IFERROR(__xludf.DUMMYFUNCTION("""COMPUTED_VALUE"""),9468.354548)</f>
        <v>9468.354548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IFERROR(__xludf.DUMMYFUNCTION("""COMPUTED_VALUE"""),9520.186368)</f>
        <v>9520.186368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IFERROR(__xludf.DUMMYFUNCTION("""COMPUTED_VALUE"""),9429.3908)</f>
        <v>9429.3908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IFERROR(__xludf.DUMMYFUNCTION("""COMPUTED_VALUE"""),9352.142)</f>
        <v>9352.142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IFERROR(__xludf.DUMMYFUNCTION("""COMPUTED_VALUE"""),9415.10092)</f>
        <v>9415.10092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IFERROR(__xludf.DUMMYFUNCTION("""COMPUTED_VALUE"""),9426.7088)</f>
        <v>9426.7088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IFERROR(__xludf.DUMMYFUNCTION("""COMPUTED_VALUE"""),9376.0335)</f>
        <v>9376.0335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IFERROR(__xludf.DUMMYFUNCTION("""COMPUTED_VALUE"""),9425.025171)</f>
        <v>9425.025171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IFERROR(__xludf.DUMMYFUNCTION("""COMPUTED_VALUE"""),9441.9614)</f>
        <v>9441.9614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IFERROR(__xludf.DUMMYFUNCTION("""COMPUTED_VALUE"""),9360.0)</f>
        <v>9360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IFERROR(__xludf.DUMMYFUNCTION("""COMPUTED_VALUE"""),9338.9776)</f>
        <v>9338.9776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IFERROR(__xludf.DUMMYFUNCTION("""COMPUTED_VALUE"""),9350.72271)</f>
        <v>9350.72271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IFERROR(__xludf.DUMMYFUNCTION("""COMPUTED_VALUE"""),9363.3078)</f>
        <v>9363.3078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IFERROR(__xludf.DUMMYFUNCTION("""COMPUTED_VALUE"""),9366.61761)</f>
        <v>9366.61761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IFERROR(__xludf.DUMMYFUNCTION("""COMPUTED_VALUE"""),9378.852739)</f>
        <v>9378.852739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IFERROR(__xludf.DUMMYFUNCTION("""COMPUTED_VALUE"""),9378.034982)</f>
        <v>9378.034982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IFERROR(__xludf.DUMMYFUNCTION("""COMPUTED_VALUE"""),9379.5072)</f>
        <v>9379.5072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IFERROR(__xludf.DUMMYFUNCTION("""COMPUTED_VALUE"""),9345.44527)</f>
        <v>9345.44527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IFERROR(__xludf.DUMMYFUNCTION("""COMPUTED_VALUE"""),9351.693)</f>
        <v>9351.693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IFERROR(__xludf.DUMMYFUNCTION("""COMPUTED_VALUE"""),9352.7376)</f>
        <v>9352.7376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IFERROR(__xludf.DUMMYFUNCTION("""COMPUTED_VALUE"""),9328.0)</f>
        <v>9328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IFERROR(__xludf.DUMMYFUNCTION("""COMPUTED_VALUE"""),9345.792)</f>
        <v>9345.792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IFERROR(__xludf.DUMMYFUNCTION("""COMPUTED_VALUE"""),9341.93686)</f>
        <v>9341.93686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IFERROR(__xludf.DUMMYFUNCTION("""COMPUTED_VALUE"""),9351.03026)</f>
        <v>9351.03026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IFERROR(__xludf.DUMMYFUNCTION("""COMPUTED_VALUE"""),9360.27168)</f>
        <v>9360.27168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IFERROR(__xludf.DUMMYFUNCTION("""COMPUTED_VALUE"""),9347.98105)</f>
        <v>9347.98105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IFERROR(__xludf.DUMMYFUNCTION("""COMPUTED_VALUE"""),9372.0)</f>
        <v>9372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IFERROR(__xludf.DUMMYFUNCTION("""COMPUTED_VALUE"""),9361.16394)</f>
        <v>9361.16394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IFERROR(__xludf.DUMMYFUNCTION("""COMPUTED_VALUE"""),9373.651896)</f>
        <v>9373.651896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IFERROR(__xludf.DUMMYFUNCTION("""COMPUTED_VALUE"""),9374.237376)</f>
        <v>9374.237376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IFERROR(__xludf.DUMMYFUNCTION("""COMPUTED_VALUE"""),9366.4)</f>
        <v>9366.4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IFERROR(__xludf.DUMMYFUNCTION("""COMPUTED_VALUE"""),9368.91769)</f>
        <v>9368.91769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IFERROR(__xludf.DUMMYFUNCTION("""COMPUTED_VALUE"""),9401.71533)</f>
        <v>9401.71533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IFERROR(__xludf.DUMMYFUNCTION("""COMPUTED_VALUE"""),9347.83197)</f>
        <v>9347.83197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IFERROR(__xludf.DUMMYFUNCTION("""COMPUTED_VALUE"""),9343.95786)</f>
        <v>9343.95786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IFERROR(__xludf.DUMMYFUNCTION("""COMPUTED_VALUE"""),9355.97858)</f>
        <v>9355.97858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IFERROR(__xludf.DUMMYFUNCTION("""COMPUTED_VALUE"""),9358.325996)</f>
        <v>9358.325996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IFERROR(__xludf.DUMMYFUNCTION("""COMPUTED_VALUE"""),9300.70765)</f>
        <v>9300.70765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IFERROR(__xludf.DUMMYFUNCTION("""COMPUTED_VALUE"""),9347.7741)</f>
        <v>9347.7741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IFERROR(__xludf.DUMMYFUNCTION("""COMPUTED_VALUE"""),9349.2095)</f>
        <v>9349.2095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IFERROR(__xludf.DUMMYFUNCTION("""COMPUTED_VALUE"""),9366.6391)</f>
        <v>9366.6391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IFERROR(__xludf.DUMMYFUNCTION("""COMPUTED_VALUE"""),9407.57175)</f>
        <v>9407.57175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IFERROR(__xludf.DUMMYFUNCTION("""COMPUTED_VALUE"""),9423.212778)</f>
        <v>9423.212778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IFERROR(__xludf.DUMMYFUNCTION("""COMPUTED_VALUE"""),9416.069922)</f>
        <v>9416.069922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IFERROR(__xludf.DUMMYFUNCTION("""COMPUTED_VALUE"""),9439.1528)</f>
        <v>9439.1528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IFERROR(__xludf.DUMMYFUNCTION("""COMPUTED_VALUE"""),9501.708)</f>
        <v>9501.708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IFERROR(__xludf.DUMMYFUNCTION("""COMPUTED_VALUE"""),9431.55852)</f>
        <v>9431.55852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IFERROR(__xludf.DUMMYFUNCTION("""COMPUTED_VALUE"""),9446.77263)</f>
        <v>9446.77263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IFERROR(__xludf.DUMMYFUNCTION("""COMPUTED_VALUE"""),9453.26887)</f>
        <v>9453.26887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IFERROR(__xludf.DUMMYFUNCTION("""COMPUTED_VALUE"""),9470.466672)</f>
        <v>9470.466672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IFERROR(__xludf.DUMMYFUNCTION("""COMPUTED_VALUE"""),9484.512288)</f>
        <v>9484.512288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IFERROR(__xludf.DUMMYFUNCTION("""COMPUTED_VALUE"""),9435.7548)</f>
        <v>9435.7548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IFERROR(__xludf.DUMMYFUNCTION("""COMPUTED_VALUE"""),9434.2752)</f>
        <v>9434.2752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IFERROR(__xludf.DUMMYFUNCTION("""COMPUTED_VALUE"""),9421.35498)</f>
        <v>9421.35498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IFERROR(__xludf.DUMMYFUNCTION("""COMPUTED_VALUE"""),9428.4827)</f>
        <v>9428.4827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IFERROR(__xludf.DUMMYFUNCTION("""COMPUTED_VALUE"""),9450.333)</f>
        <v>9450.333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IFERROR(__xludf.DUMMYFUNCTION("""COMPUTED_VALUE"""),9462.480076)</f>
        <v>9462.480076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IFERROR(__xludf.DUMMYFUNCTION("""COMPUTED_VALUE"""),9461.515059)</f>
        <v>9461.515059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IFERROR(__xludf.DUMMYFUNCTION("""COMPUTED_VALUE"""),9528.07024)</f>
        <v>9528.07024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IFERROR(__xludf.DUMMYFUNCTION("""COMPUTED_VALUE"""),9540.20825)</f>
        <v>9540.20825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IFERROR(__xludf.DUMMYFUNCTION("""COMPUTED_VALUE"""),9531.6327)</f>
        <v>9531.6327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IFERROR(__xludf.DUMMYFUNCTION("""COMPUTED_VALUE"""),9518.2152)</f>
        <v>9518.2152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IFERROR(__xludf.DUMMYFUNCTION("""COMPUTED_VALUE"""),9499.35285)</f>
        <v>9499.35285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IFERROR(__xludf.DUMMYFUNCTION("""COMPUTED_VALUE"""),9510.364332)</f>
        <v>9510.364332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IFERROR(__xludf.DUMMYFUNCTION("""COMPUTED_VALUE"""),9514.26677)</f>
        <v>9514.26677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IFERROR(__xludf.DUMMYFUNCTION("""COMPUTED_VALUE"""),9515.83833)</f>
        <v>9515.83833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IFERROR(__xludf.DUMMYFUNCTION("""COMPUTED_VALUE"""),9579.88944)</f>
        <v>9579.88944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IFERROR(__xludf.DUMMYFUNCTION("""COMPUTED_VALUE"""),9588.6351)</f>
        <v>9588.6351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IFERROR(__xludf.DUMMYFUNCTION("""COMPUTED_VALUE"""),9585.3504)</f>
        <v>9585.3504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IFERROR(__xludf.DUMMYFUNCTION("""COMPUTED_VALUE"""),9565.9245)</f>
        <v>9565.9245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IFERROR(__xludf.DUMMYFUNCTION("""COMPUTED_VALUE"""),9577.621408)</f>
        <v>9577.621408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IFERROR(__xludf.DUMMYFUNCTION("""COMPUTED_VALUE"""),9593.269318)</f>
        <v>9593.269318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IFERROR(__xludf.DUMMYFUNCTION("""COMPUTED_VALUE"""),9593.714)</f>
        <v>9593.714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IFERROR(__xludf.DUMMYFUNCTION("""COMPUTED_VALUE"""),9561.76824)</f>
        <v>9561.76824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IFERROR(__xludf.DUMMYFUNCTION("""COMPUTED_VALUE"""),9603.33034)</f>
        <v>9603.33034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IFERROR(__xludf.DUMMYFUNCTION("""COMPUTED_VALUE"""),9571.9074)</f>
        <v>9571.9074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IFERROR(__xludf.DUMMYFUNCTION("""COMPUTED_VALUE"""),9490.26738)</f>
        <v>9490.26738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IFERROR(__xludf.DUMMYFUNCTION("""COMPUTED_VALUE"""),9505.331669)</f>
        <v>9505.331669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IFERROR(__xludf.DUMMYFUNCTION("""COMPUTED_VALUE"""),9513.695304)</f>
        <v>9513.695304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IFERROR(__xludf.DUMMYFUNCTION("""COMPUTED_VALUE"""),9463.33374)</f>
        <v>9463.33374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IFERROR(__xludf.DUMMYFUNCTION("""COMPUTED_VALUE"""),9426.69667)</f>
        <v>9426.69667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IFERROR(__xludf.DUMMYFUNCTION("""COMPUTED_VALUE"""),9406.8158)</f>
        <v>9406.8158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IFERROR(__xludf.DUMMYFUNCTION("""COMPUTED_VALUE"""),9439.5472)</f>
        <v>9439.5472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IFERROR(__xludf.DUMMYFUNCTION("""COMPUTED_VALUE"""),9464.6265)</f>
        <v>9464.6265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IFERROR(__xludf.DUMMYFUNCTION("""COMPUTED_VALUE"""),9477.865219)</f>
        <v>9477.865219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IFERROR(__xludf.DUMMYFUNCTION("""COMPUTED_VALUE"""),9477.381544)</f>
        <v>9477.381544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IFERROR(__xludf.DUMMYFUNCTION("""COMPUTED_VALUE"""),9490.514)</f>
        <v>9490.514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IFERROR(__xludf.DUMMYFUNCTION("""COMPUTED_VALUE"""),9536.16227)</f>
        <v>9536.16227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IFERROR(__xludf.DUMMYFUNCTION("""COMPUTED_VALUE"""),9455.70216)</f>
        <v>9455.70216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IFERROR(__xludf.DUMMYFUNCTION("""COMPUTED_VALUE"""),9510.4125)</f>
        <v>9510.4125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IFERROR(__xludf.DUMMYFUNCTION("""COMPUTED_VALUE"""),9384.9078)</f>
        <v>9384.9078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IFERROR(__xludf.DUMMYFUNCTION("""COMPUTED_VALUE"""),9401.92815)</f>
        <v>9401.92815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IFERROR(__xludf.DUMMYFUNCTION("""COMPUTED_VALUE"""),9396.4868)</f>
        <v>9396.4868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IFERROR(__xludf.DUMMYFUNCTION("""COMPUTED_VALUE"""),9382.68286)</f>
        <v>9382.68286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IFERROR(__xludf.DUMMYFUNCTION("""COMPUTED_VALUE"""),9396.3912)</f>
        <v>9396.3912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IFERROR(__xludf.DUMMYFUNCTION("""COMPUTED_VALUE"""),9408.353)</f>
        <v>9408.353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IFERROR(__xludf.DUMMYFUNCTION("""COMPUTED_VALUE"""),9374.94)</f>
        <v>9374.94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IFERROR(__xludf.DUMMYFUNCTION("""COMPUTED_VALUE"""),9444.75625)</f>
        <v>9444.75625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IFERROR(__xludf.DUMMYFUNCTION("""COMPUTED_VALUE"""),9460.36434)</f>
        <v>9460.36434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IFERROR(__xludf.DUMMYFUNCTION("""COMPUTED_VALUE"""),9463.657022)</f>
        <v>9463.657022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IFERROR(__xludf.DUMMYFUNCTION("""COMPUTED_VALUE"""),9415.14145)</f>
        <v>9415.14145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IFERROR(__xludf.DUMMYFUNCTION("""COMPUTED_VALUE"""),9386.4656)</f>
        <v>9386.4656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IFERROR(__xludf.DUMMYFUNCTION("""COMPUTED_VALUE"""),9439.92833)</f>
        <v>9439.92833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IFERROR(__xludf.DUMMYFUNCTION("""COMPUTED_VALUE"""),9428.10694)</f>
        <v>9428.10694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IFERROR(__xludf.DUMMYFUNCTION("""COMPUTED_VALUE"""),9399.856)</f>
        <v>9399.856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IFERROR(__xludf.DUMMYFUNCTION("""COMPUTED_VALUE"""),9419.064066)</f>
        <v>9419.064066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IFERROR(__xludf.DUMMYFUNCTION("""COMPUTED_VALUE"""),9419.064066)</f>
        <v>9419.064066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IFERROR(__xludf.DUMMYFUNCTION("""COMPUTED_VALUE"""),9389.29635)</f>
        <v>9389.29635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IFERROR(__xludf.DUMMYFUNCTION("""COMPUTED_VALUE"""),9337.09875)</f>
        <v>9337.09875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IFERROR(__xludf.DUMMYFUNCTION("""COMPUTED_VALUE"""),9287.80092)</f>
        <v>9287.80092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IFERROR(__xludf.DUMMYFUNCTION("""COMPUTED_VALUE"""),9322.51188)</f>
        <v>9322.51188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IFERROR(__xludf.DUMMYFUNCTION("""COMPUTED_VALUE"""),9332.33961)</f>
        <v>9332.33961</v>
      </c>
    </row>
    <row r="1653">
      <c r="A1653" s="3">
        <f>IFERROR(__xludf.DUMMYFUNCTION("""COMPUTED_VALUE"""),41965.99861111111)</f>
        <v>41965.99861</v>
      </c>
      <c r="B1653" s="1">
        <f>IFERROR(__xludf.DUMMYFUNCTION("""COMPUTED_VALUE"""),9426.101433)</f>
        <v>9426.101433</v>
      </c>
    </row>
    <row r="1654">
      <c r="A1654" s="3">
        <f>IFERROR(__xludf.DUMMYFUNCTION("""COMPUTED_VALUE"""),41966.99861111111)</f>
        <v>41966.99861</v>
      </c>
      <c r="B1654" s="1">
        <f>IFERROR(__xludf.DUMMYFUNCTION("""COMPUTED_VALUE"""),9350.418896)</f>
        <v>9350.418896</v>
      </c>
    </row>
    <row r="1655">
      <c r="A1655" s="3">
        <f>IFERROR(__xludf.DUMMYFUNCTION("""COMPUTED_VALUE"""),41967.99861111111)</f>
        <v>41967.99861</v>
      </c>
      <c r="B1655" s="1">
        <f>IFERROR(__xludf.DUMMYFUNCTION("""COMPUTED_VALUE"""),9305.28302)</f>
        <v>9305.28302</v>
      </c>
    </row>
    <row r="1656">
      <c r="A1656" s="3">
        <f>IFERROR(__xludf.DUMMYFUNCTION("""COMPUTED_VALUE"""),41968.99861111111)</f>
        <v>41968.99861</v>
      </c>
      <c r="B1656" s="1">
        <f>IFERROR(__xludf.DUMMYFUNCTION("""COMPUTED_VALUE"""),9332.46094)</f>
        <v>9332.46094</v>
      </c>
    </row>
    <row r="1657">
      <c r="A1657" s="3">
        <f>IFERROR(__xludf.DUMMYFUNCTION("""COMPUTED_VALUE"""),41969.99861111111)</f>
        <v>41969.99861</v>
      </c>
      <c r="B1657" s="1">
        <f>IFERROR(__xludf.DUMMYFUNCTION("""COMPUTED_VALUE"""),9376.08925)</f>
        <v>9376.08925</v>
      </c>
    </row>
    <row r="1658">
      <c r="A1658" s="3">
        <f>IFERROR(__xludf.DUMMYFUNCTION("""COMPUTED_VALUE"""),41970.99861111111)</f>
        <v>41970.99861</v>
      </c>
      <c r="B1658" s="1">
        <f>IFERROR(__xludf.DUMMYFUNCTION("""COMPUTED_VALUE"""),9364.2795)</f>
        <v>9364.2795</v>
      </c>
    </row>
    <row r="1659">
      <c r="A1659" s="3">
        <f>IFERROR(__xludf.DUMMYFUNCTION("""COMPUTED_VALUE"""),41971.99861111111)</f>
        <v>41971.99861</v>
      </c>
      <c r="B1659" s="1">
        <f>IFERROR(__xludf.DUMMYFUNCTION("""COMPUTED_VALUE"""),9332.6245)</f>
        <v>9332.6245</v>
      </c>
    </row>
    <row r="1660">
      <c r="A1660" s="3">
        <f>IFERROR(__xludf.DUMMYFUNCTION("""COMPUTED_VALUE"""),41972.99861111111)</f>
        <v>41972.99861</v>
      </c>
      <c r="B1660" s="1">
        <f>IFERROR(__xludf.DUMMYFUNCTION("""COMPUTED_VALUE"""),9348.047284)</f>
        <v>9348.047284</v>
      </c>
    </row>
    <row r="1661">
      <c r="A1661" s="3">
        <f>IFERROR(__xludf.DUMMYFUNCTION("""COMPUTED_VALUE"""),41973.99861111111)</f>
        <v>41973.99861</v>
      </c>
      <c r="B1661" s="1">
        <f>IFERROR(__xludf.DUMMYFUNCTION("""COMPUTED_VALUE"""),9328.169239)</f>
        <v>9328.169239</v>
      </c>
    </row>
    <row r="1662">
      <c r="A1662" s="3">
        <f>IFERROR(__xludf.DUMMYFUNCTION("""COMPUTED_VALUE"""),41974.99861111111)</f>
        <v>41974.99861</v>
      </c>
      <c r="B1662" s="1">
        <f>IFERROR(__xludf.DUMMYFUNCTION("""COMPUTED_VALUE"""),9403.06185)</f>
        <v>9403.06185</v>
      </c>
    </row>
    <row r="1663">
      <c r="A1663" s="3">
        <f>IFERROR(__xludf.DUMMYFUNCTION("""COMPUTED_VALUE"""),41975.99861111111)</f>
        <v>41975.99861</v>
      </c>
      <c r="B1663" s="1">
        <f>IFERROR(__xludf.DUMMYFUNCTION("""COMPUTED_VALUE"""),9369.5238)</f>
        <v>9369.5238</v>
      </c>
    </row>
    <row r="1664">
      <c r="A1664" s="3">
        <f>IFERROR(__xludf.DUMMYFUNCTION("""COMPUTED_VALUE"""),41976.99861111111)</f>
        <v>41976.99861</v>
      </c>
      <c r="B1664" s="1">
        <f>IFERROR(__xludf.DUMMYFUNCTION("""COMPUTED_VALUE"""),9359.81865)</f>
        <v>9359.81865</v>
      </c>
    </row>
    <row r="1665">
      <c r="A1665" s="3">
        <f>IFERROR(__xludf.DUMMYFUNCTION("""COMPUTED_VALUE"""),41977.99861111111)</f>
        <v>41977.99861</v>
      </c>
      <c r="B1665" s="1">
        <f>IFERROR(__xludf.DUMMYFUNCTION("""COMPUTED_VALUE"""),9362.1528)</f>
        <v>9362.1528</v>
      </c>
    </row>
    <row r="1666">
      <c r="A1666" s="3">
        <f>IFERROR(__xludf.DUMMYFUNCTION("""COMPUTED_VALUE"""),41978.99861111111)</f>
        <v>41978.99861</v>
      </c>
      <c r="B1666" s="1">
        <f>IFERROR(__xludf.DUMMYFUNCTION("""COMPUTED_VALUE"""),9285.003)</f>
        <v>9285.003</v>
      </c>
    </row>
    <row r="1667">
      <c r="A1667" s="3">
        <f>IFERROR(__xludf.DUMMYFUNCTION("""COMPUTED_VALUE"""),41979.99861111111)</f>
        <v>41979.99861</v>
      </c>
      <c r="B1667" s="1">
        <f>IFERROR(__xludf.DUMMYFUNCTION("""COMPUTED_VALUE"""),9377.165252)</f>
        <v>9377.165252</v>
      </c>
    </row>
    <row r="1668">
      <c r="A1668" s="3">
        <f>IFERROR(__xludf.DUMMYFUNCTION("""COMPUTED_VALUE"""),41980.99861111111)</f>
        <v>41980.99861</v>
      </c>
      <c r="B1668" s="1">
        <f>IFERROR(__xludf.DUMMYFUNCTION("""COMPUTED_VALUE"""),9304.179771)</f>
        <v>9304.179771</v>
      </c>
    </row>
    <row r="1669">
      <c r="A1669" s="3">
        <f>IFERROR(__xludf.DUMMYFUNCTION("""COMPUTED_VALUE"""),41981.99861111111)</f>
        <v>41981.99861</v>
      </c>
      <c r="B1669" s="1">
        <f>IFERROR(__xludf.DUMMYFUNCTION("""COMPUTED_VALUE"""),9312.7671)</f>
        <v>9312.7671</v>
      </c>
    </row>
    <row r="1670">
      <c r="A1670" s="3">
        <f>IFERROR(__xludf.DUMMYFUNCTION("""COMPUTED_VALUE"""),41982.99861111111)</f>
        <v>41982.99861</v>
      </c>
      <c r="B1670" s="1">
        <f>IFERROR(__xludf.DUMMYFUNCTION("""COMPUTED_VALUE"""),9332.79165)</f>
        <v>9332.79165</v>
      </c>
    </row>
    <row r="1671">
      <c r="A1671" s="3">
        <f>IFERROR(__xludf.DUMMYFUNCTION("""COMPUTED_VALUE"""),41983.99861111111)</f>
        <v>41983.99861</v>
      </c>
      <c r="B1671" s="1">
        <f>IFERROR(__xludf.DUMMYFUNCTION("""COMPUTED_VALUE"""),9373.57785)</f>
        <v>9373.57785</v>
      </c>
    </row>
    <row r="1672">
      <c r="A1672" s="3">
        <f>IFERROR(__xludf.DUMMYFUNCTION("""COMPUTED_VALUE"""),41984.99861111111)</f>
        <v>41984.99861</v>
      </c>
      <c r="B1672" s="1">
        <f>IFERROR(__xludf.DUMMYFUNCTION("""COMPUTED_VALUE"""),9485.09078)</f>
        <v>9485.09078</v>
      </c>
    </row>
    <row r="1673">
      <c r="A1673" s="3">
        <f>IFERROR(__xludf.DUMMYFUNCTION("""COMPUTED_VALUE"""),41985.99861111111)</f>
        <v>41985.99861</v>
      </c>
      <c r="B1673" s="1">
        <f>IFERROR(__xludf.DUMMYFUNCTION("""COMPUTED_VALUE"""),9595.71408)</f>
        <v>9595.71408</v>
      </c>
    </row>
    <row r="1674">
      <c r="A1674" s="3">
        <f>IFERROR(__xludf.DUMMYFUNCTION("""COMPUTED_VALUE"""),41986.99861111111)</f>
        <v>41986.99861</v>
      </c>
      <c r="B1674" s="1">
        <f>IFERROR(__xludf.DUMMYFUNCTION("""COMPUTED_VALUE"""),9606.563658)</f>
        <v>9606.563658</v>
      </c>
    </row>
    <row r="1675">
      <c r="A1675" s="3">
        <f>IFERROR(__xludf.DUMMYFUNCTION("""COMPUTED_VALUE"""),41987.99861111111)</f>
        <v>41987.99861</v>
      </c>
      <c r="B1675" s="1">
        <f>IFERROR(__xludf.DUMMYFUNCTION("""COMPUTED_VALUE"""),9628.0283)</f>
        <v>9628.0283</v>
      </c>
    </row>
    <row r="1676">
      <c r="A1676" s="3">
        <f>IFERROR(__xludf.DUMMYFUNCTION("""COMPUTED_VALUE"""),41988.99861111111)</f>
        <v>41988.99861</v>
      </c>
      <c r="B1676" s="1">
        <f>IFERROR(__xludf.DUMMYFUNCTION("""COMPUTED_VALUE"""),9793.8845)</f>
        <v>9793.8845</v>
      </c>
    </row>
    <row r="1677">
      <c r="A1677" s="3">
        <f>IFERROR(__xludf.DUMMYFUNCTION("""COMPUTED_VALUE"""),41989.99861111111)</f>
        <v>41989.99861</v>
      </c>
      <c r="B1677" s="1">
        <f>IFERROR(__xludf.DUMMYFUNCTION("""COMPUTED_VALUE"""),9749.68995)</f>
        <v>9749.68995</v>
      </c>
    </row>
    <row r="1678">
      <c r="A1678" s="3">
        <f>IFERROR(__xludf.DUMMYFUNCTION("""COMPUTED_VALUE"""),41990.99861111111)</f>
        <v>41990.99861</v>
      </c>
      <c r="B1678" s="1">
        <f>IFERROR(__xludf.DUMMYFUNCTION("""COMPUTED_VALUE"""),9655.30524)</f>
        <v>9655.30524</v>
      </c>
    </row>
    <row r="1679">
      <c r="A1679" s="3">
        <f>IFERROR(__xludf.DUMMYFUNCTION("""COMPUTED_VALUE"""),41991.99861111111)</f>
        <v>41991.99861</v>
      </c>
      <c r="B1679" s="1">
        <f>IFERROR(__xludf.DUMMYFUNCTION("""COMPUTED_VALUE"""),9492.4128)</f>
        <v>9492.4128</v>
      </c>
    </row>
    <row r="1680">
      <c r="A1680" s="3">
        <f>IFERROR(__xludf.DUMMYFUNCTION("""COMPUTED_VALUE"""),41992.99861111111)</f>
        <v>41992.99861</v>
      </c>
      <c r="B1680" s="1">
        <f>IFERROR(__xludf.DUMMYFUNCTION("""COMPUTED_VALUE"""),9403.49579)</f>
        <v>9403.49579</v>
      </c>
    </row>
    <row r="1681">
      <c r="A1681" s="3">
        <f>IFERROR(__xludf.DUMMYFUNCTION("""COMPUTED_VALUE"""),41993.99861111111)</f>
        <v>41993.99861</v>
      </c>
      <c r="B1681" s="1">
        <f>IFERROR(__xludf.DUMMYFUNCTION("""COMPUTED_VALUE"""),9429.440805)</f>
        <v>9429.440805</v>
      </c>
    </row>
    <row r="1682">
      <c r="A1682" s="3">
        <f>IFERROR(__xludf.DUMMYFUNCTION("""COMPUTED_VALUE"""),41994.99861111111)</f>
        <v>41994.99861</v>
      </c>
      <c r="B1682" s="1">
        <f>IFERROR(__xludf.DUMMYFUNCTION("""COMPUTED_VALUE"""),9440.620929)</f>
        <v>9440.620929</v>
      </c>
    </row>
    <row r="1683">
      <c r="A1683" s="3">
        <f>IFERROR(__xludf.DUMMYFUNCTION("""COMPUTED_VALUE"""),41995.99861111111)</f>
        <v>41995.99861</v>
      </c>
      <c r="B1683" s="1">
        <f>IFERROR(__xludf.DUMMYFUNCTION("""COMPUTED_VALUE"""),9442.3126)</f>
        <v>9442.3126</v>
      </c>
    </row>
    <row r="1684">
      <c r="A1684" s="3">
        <f>IFERROR(__xludf.DUMMYFUNCTION("""COMPUTED_VALUE"""),41996.99861111111)</f>
        <v>41996.99861</v>
      </c>
      <c r="B1684" s="1">
        <f>IFERROR(__xludf.DUMMYFUNCTION("""COMPUTED_VALUE"""),9363.26885)</f>
        <v>9363.26885</v>
      </c>
    </row>
    <row r="1685">
      <c r="A1685" s="3">
        <f>IFERROR(__xludf.DUMMYFUNCTION("""COMPUTED_VALUE"""),41997.99861111111)</f>
        <v>41997.99861</v>
      </c>
      <c r="B1685" s="1">
        <f>IFERROR(__xludf.DUMMYFUNCTION("""COMPUTED_VALUE"""),9418.4663)</f>
        <v>9418.4663</v>
      </c>
    </row>
    <row r="1686">
      <c r="A1686" s="3">
        <f>IFERROR(__xludf.DUMMYFUNCTION("""COMPUTED_VALUE"""),41998.99861111111)</f>
        <v>41998.99861</v>
      </c>
      <c r="B1686" s="1">
        <f>IFERROR(__xludf.DUMMYFUNCTION("""COMPUTED_VALUE"""),9421.3344)</f>
        <v>9421.3344</v>
      </c>
    </row>
    <row r="1687">
      <c r="A1687" s="3">
        <f>IFERROR(__xludf.DUMMYFUNCTION("""COMPUTED_VALUE"""),41999.99861111111)</f>
        <v>41999.99861</v>
      </c>
      <c r="B1687" s="1">
        <f>IFERROR(__xludf.DUMMYFUNCTION("""COMPUTED_VALUE"""),9372.4043)</f>
        <v>9372.4043</v>
      </c>
    </row>
    <row r="1688">
      <c r="A1688" s="3">
        <f>IFERROR(__xludf.DUMMYFUNCTION("""COMPUTED_VALUE"""),42000.99861111111)</f>
        <v>42000.99861</v>
      </c>
      <c r="B1688" s="1">
        <f>IFERROR(__xludf.DUMMYFUNCTION("""COMPUTED_VALUE"""),9371.4813)</f>
        <v>9371.4813</v>
      </c>
    </row>
    <row r="1689">
      <c r="A1689" s="3">
        <f>IFERROR(__xludf.DUMMYFUNCTION("""COMPUTED_VALUE"""),42001.99861111111)</f>
        <v>42001.99861</v>
      </c>
      <c r="B1689" s="1">
        <f>IFERROR(__xludf.DUMMYFUNCTION("""COMPUTED_VALUE"""),9401.494302)</f>
        <v>9401.494302</v>
      </c>
    </row>
    <row r="1690">
      <c r="A1690" s="3">
        <f>IFERROR(__xludf.DUMMYFUNCTION("""COMPUTED_VALUE"""),42002.99861111111)</f>
        <v>42002.99861</v>
      </c>
      <c r="B1690" s="1">
        <f>IFERROR(__xludf.DUMMYFUNCTION("""COMPUTED_VALUE"""),9368.4331)</f>
        <v>9368.4331</v>
      </c>
    </row>
    <row r="1691">
      <c r="A1691" s="3">
        <f>IFERROR(__xludf.DUMMYFUNCTION("""COMPUTED_VALUE"""),42003.99861111111)</f>
        <v>42003.99861</v>
      </c>
      <c r="B1691" s="1">
        <f>IFERROR(__xludf.DUMMYFUNCTION("""COMPUTED_VALUE"""),9394.488)</f>
        <v>9394.488</v>
      </c>
    </row>
    <row r="1692">
      <c r="A1692" s="3">
        <f>IFERROR(__xludf.DUMMYFUNCTION("""COMPUTED_VALUE"""),42004.99861111111)</f>
        <v>42004.99861</v>
      </c>
      <c r="B1692" s="1">
        <f>IFERROR(__xludf.DUMMYFUNCTION("""COMPUTED_VALUE"""),9345.2814)</f>
        <v>9345.2814</v>
      </c>
    </row>
    <row r="1693">
      <c r="A1693" s="3">
        <f>IFERROR(__xludf.DUMMYFUNCTION("""COMPUTED_VALUE"""),42005.99861111111)</f>
        <v>42005.99861</v>
      </c>
      <c r="B1693" s="1">
        <f>IFERROR(__xludf.DUMMYFUNCTION("""COMPUTED_VALUE"""),9353.7066)</f>
        <v>9353.7066</v>
      </c>
    </row>
    <row r="1694">
      <c r="A1694" s="3">
        <f>IFERROR(__xludf.DUMMYFUNCTION("""COMPUTED_VALUE"""),42006.99861111111)</f>
        <v>42006.99861</v>
      </c>
      <c r="B1694" s="1">
        <f>IFERROR(__xludf.DUMMYFUNCTION("""COMPUTED_VALUE"""),9371.9808)</f>
        <v>9371.9808</v>
      </c>
    </row>
    <row r="1695">
      <c r="A1695" s="3">
        <f>IFERROR(__xludf.DUMMYFUNCTION("""COMPUTED_VALUE"""),42007.99861111111)</f>
        <v>42007.99861</v>
      </c>
      <c r="B1695" s="1">
        <f>IFERROR(__xludf.DUMMYFUNCTION("""COMPUTED_VALUE"""),9422.332668)</f>
        <v>9422.332668</v>
      </c>
    </row>
    <row r="1696">
      <c r="A1696" s="3">
        <f>IFERROR(__xludf.DUMMYFUNCTION("""COMPUTED_VALUE"""),42008.99861111111)</f>
        <v>42008.99861</v>
      </c>
      <c r="B1696" s="1">
        <f>IFERROR(__xludf.DUMMYFUNCTION("""COMPUTED_VALUE"""),9399.747978)</f>
        <v>9399.747978</v>
      </c>
    </row>
    <row r="1697">
      <c r="A1697" s="3">
        <f>IFERROR(__xludf.DUMMYFUNCTION("""COMPUTED_VALUE"""),42009.99861111111)</f>
        <v>42009.99861</v>
      </c>
      <c r="B1697" s="1">
        <f>IFERROR(__xludf.DUMMYFUNCTION("""COMPUTED_VALUE"""),9459.78625)</f>
        <v>9459.78625</v>
      </c>
    </row>
    <row r="1698">
      <c r="A1698" s="3">
        <f>IFERROR(__xludf.DUMMYFUNCTION("""COMPUTED_VALUE"""),42010.99861111111)</f>
        <v>42010.99861</v>
      </c>
      <c r="B1698" s="1">
        <f>IFERROR(__xludf.DUMMYFUNCTION("""COMPUTED_VALUE"""),9469.30075)</f>
        <v>9469.30075</v>
      </c>
    </row>
    <row r="1699">
      <c r="A1699" s="3">
        <f>IFERROR(__xludf.DUMMYFUNCTION("""COMPUTED_VALUE"""),42011.99861111111)</f>
        <v>42011.99861</v>
      </c>
      <c r="B1699" s="1">
        <f>IFERROR(__xludf.DUMMYFUNCTION("""COMPUTED_VALUE"""),9506.6736)</f>
        <v>9506.6736</v>
      </c>
    </row>
    <row r="1700">
      <c r="A1700" s="3">
        <f>IFERROR(__xludf.DUMMYFUNCTION("""COMPUTED_VALUE"""),42012.99861111111)</f>
        <v>42012.99861</v>
      </c>
      <c r="B1700" s="1">
        <f>IFERROR(__xludf.DUMMYFUNCTION("""COMPUTED_VALUE"""),9423.7052)</f>
        <v>9423.7052</v>
      </c>
    </row>
    <row r="1701">
      <c r="A1701" s="3">
        <f>IFERROR(__xludf.DUMMYFUNCTION("""COMPUTED_VALUE"""),42013.99861111111)</f>
        <v>42013.99861</v>
      </c>
      <c r="B1701" s="1">
        <f>IFERROR(__xludf.DUMMYFUNCTION("""COMPUTED_VALUE"""),9420.86005)</f>
        <v>9420.86005</v>
      </c>
    </row>
    <row r="1702">
      <c r="A1702" s="3">
        <f>IFERROR(__xludf.DUMMYFUNCTION("""COMPUTED_VALUE"""),42014.99861111111)</f>
        <v>42014.99861</v>
      </c>
      <c r="B1702" s="1">
        <f>IFERROR(__xludf.DUMMYFUNCTION("""COMPUTED_VALUE"""),9600.122559)</f>
        <v>9600.122559</v>
      </c>
    </row>
    <row r="1703">
      <c r="A1703" s="3">
        <f>IFERROR(__xludf.DUMMYFUNCTION("""COMPUTED_VALUE"""),42015.99861111111)</f>
        <v>42015.99861</v>
      </c>
      <c r="B1703" s="1">
        <f>IFERROR(__xludf.DUMMYFUNCTION("""COMPUTED_VALUE"""),9602.810456)</f>
        <v>9602.810456</v>
      </c>
    </row>
    <row r="1704">
      <c r="A1704" s="3">
        <f>IFERROR(__xludf.DUMMYFUNCTION("""COMPUTED_VALUE"""),42016.99861111111)</f>
        <v>42016.99861</v>
      </c>
      <c r="B1704" s="1">
        <f>IFERROR(__xludf.DUMMYFUNCTION("""COMPUTED_VALUE"""),9403.55598)</f>
        <v>9403.55598</v>
      </c>
    </row>
    <row r="1705">
      <c r="A1705" s="3">
        <f>IFERROR(__xludf.DUMMYFUNCTION("""COMPUTED_VALUE"""),42017.99861111111)</f>
        <v>42017.99861</v>
      </c>
      <c r="B1705" s="1">
        <f>IFERROR(__xludf.DUMMYFUNCTION("""COMPUTED_VALUE"""),9437.48086)</f>
        <v>9437.48086</v>
      </c>
    </row>
    <row r="1706">
      <c r="A1706" s="3">
        <f>IFERROR(__xludf.DUMMYFUNCTION("""COMPUTED_VALUE"""),42018.99861111111)</f>
        <v>42018.99861</v>
      </c>
      <c r="B1706" s="1">
        <f>IFERROR(__xludf.DUMMYFUNCTION("""COMPUTED_VALUE"""),9408.34035)</f>
        <v>9408.34035</v>
      </c>
    </row>
    <row r="1707">
      <c r="A1707" s="3">
        <f>IFERROR(__xludf.DUMMYFUNCTION("""COMPUTED_VALUE"""),42019.99861111111)</f>
        <v>42019.99861</v>
      </c>
      <c r="B1707" s="1">
        <f>IFERROR(__xludf.DUMMYFUNCTION("""COMPUTED_VALUE"""),9413.34686)</f>
        <v>9413.34686</v>
      </c>
    </row>
    <row r="1708">
      <c r="A1708" s="3">
        <f>IFERROR(__xludf.DUMMYFUNCTION("""COMPUTED_VALUE"""),42020.99861111111)</f>
        <v>42020.99861</v>
      </c>
      <c r="B1708" s="1">
        <f>IFERROR(__xludf.DUMMYFUNCTION("""COMPUTED_VALUE"""),9479.2816)</f>
        <v>9479.2816</v>
      </c>
    </row>
    <row r="1709">
      <c r="A1709" s="3">
        <f>IFERROR(__xludf.DUMMYFUNCTION("""COMPUTED_VALUE"""),42021.99861111111)</f>
        <v>42021.99861</v>
      </c>
      <c r="B1709" s="1">
        <f>IFERROR(__xludf.DUMMYFUNCTION("""COMPUTED_VALUE"""),9660.510695)</f>
        <v>9660.510695</v>
      </c>
    </row>
    <row r="1710">
      <c r="A1710" s="3">
        <f>IFERROR(__xludf.DUMMYFUNCTION("""COMPUTED_VALUE"""),42022.99861111111)</f>
        <v>42022.99861</v>
      </c>
      <c r="B1710" s="1">
        <f>IFERROR(__xludf.DUMMYFUNCTION("""COMPUTED_VALUE"""),9644.42471)</f>
        <v>9644.42471</v>
      </c>
    </row>
    <row r="1711">
      <c r="A1711" s="3">
        <f>IFERROR(__xludf.DUMMYFUNCTION("""COMPUTED_VALUE"""),42023.99861111111)</f>
        <v>42023.99861</v>
      </c>
      <c r="B1711" s="1">
        <f>IFERROR(__xludf.DUMMYFUNCTION("""COMPUTED_VALUE"""),9469.2162)</f>
        <v>9469.2162</v>
      </c>
    </row>
    <row r="1712">
      <c r="A1712" s="3">
        <f>IFERROR(__xludf.DUMMYFUNCTION("""COMPUTED_VALUE"""),42024.99861111111)</f>
        <v>42024.99861</v>
      </c>
      <c r="B1712" s="1">
        <f>IFERROR(__xludf.DUMMYFUNCTION("""COMPUTED_VALUE"""),9383.814)</f>
        <v>9383.814</v>
      </c>
    </row>
    <row r="1713">
      <c r="A1713" s="3">
        <f>IFERROR(__xludf.DUMMYFUNCTION("""COMPUTED_VALUE"""),42025.99861111111)</f>
        <v>42025.99861</v>
      </c>
      <c r="B1713" s="1">
        <f>IFERROR(__xludf.DUMMYFUNCTION("""COMPUTED_VALUE"""),9327.93345)</f>
        <v>9327.93345</v>
      </c>
    </row>
    <row r="1714">
      <c r="A1714" s="3">
        <f>IFERROR(__xludf.DUMMYFUNCTION("""COMPUTED_VALUE"""),42026.99861111111)</f>
        <v>42026.99861</v>
      </c>
      <c r="B1714" s="1">
        <f>IFERROR(__xludf.DUMMYFUNCTION("""COMPUTED_VALUE"""),9253.01355)</f>
        <v>9253.01355</v>
      </c>
    </row>
    <row r="1715">
      <c r="A1715" s="3">
        <f>IFERROR(__xludf.DUMMYFUNCTION("""COMPUTED_VALUE"""),42027.99861111111)</f>
        <v>42027.99861</v>
      </c>
      <c r="B1715" s="1">
        <f>IFERROR(__xludf.DUMMYFUNCTION("""COMPUTED_VALUE"""),9235.00974)</f>
        <v>9235.00974</v>
      </c>
    </row>
    <row r="1716">
      <c r="A1716" s="3">
        <f>IFERROR(__xludf.DUMMYFUNCTION("""COMPUTED_VALUE"""),42028.99861111111)</f>
        <v>42028.99861</v>
      </c>
      <c r="B1716" s="1">
        <f>IFERROR(__xludf.DUMMYFUNCTION("""COMPUTED_VALUE"""),9303.876463)</f>
        <v>9303.876463</v>
      </c>
    </row>
    <row r="1717">
      <c r="A1717" s="3">
        <f>IFERROR(__xludf.DUMMYFUNCTION("""COMPUTED_VALUE"""),42029.99861111111)</f>
        <v>42029.99861</v>
      </c>
      <c r="B1717" s="1">
        <f>IFERROR(__xludf.DUMMYFUNCTION("""COMPUTED_VALUE"""),9283.726282)</f>
        <v>9283.726282</v>
      </c>
    </row>
    <row r="1718">
      <c r="A1718" s="3">
        <f>IFERROR(__xludf.DUMMYFUNCTION("""COMPUTED_VALUE"""),42030.99861111111)</f>
        <v>42030.99861</v>
      </c>
      <c r="B1718" s="1">
        <f>IFERROR(__xludf.DUMMYFUNCTION("""COMPUTED_VALUE"""),9290.328)</f>
        <v>9290.328</v>
      </c>
    </row>
    <row r="1719">
      <c r="A1719" s="3">
        <f>IFERROR(__xludf.DUMMYFUNCTION("""COMPUTED_VALUE"""),42031.99861111111)</f>
        <v>42031.99861</v>
      </c>
      <c r="B1719" s="1">
        <f>IFERROR(__xludf.DUMMYFUNCTION("""COMPUTED_VALUE"""),9293.925)</f>
        <v>9293.925</v>
      </c>
    </row>
    <row r="1720">
      <c r="A1720" s="3">
        <f>IFERROR(__xludf.DUMMYFUNCTION("""COMPUTED_VALUE"""),42032.99861111111)</f>
        <v>42032.99861</v>
      </c>
      <c r="B1720" s="1">
        <f>IFERROR(__xludf.DUMMYFUNCTION("""COMPUTED_VALUE"""),9199.13845)</f>
        <v>9199.13845</v>
      </c>
    </row>
    <row r="1721">
      <c r="A1721" s="3">
        <f>IFERROR(__xludf.DUMMYFUNCTION("""COMPUTED_VALUE"""),42033.99861111111)</f>
        <v>42033.99861</v>
      </c>
      <c r="B1721" s="1">
        <f>IFERROR(__xludf.DUMMYFUNCTION("""COMPUTED_VALUE"""),9287.3445)</f>
        <v>9287.3445</v>
      </c>
    </row>
    <row r="1722">
      <c r="A1722" s="3">
        <f>IFERROR(__xludf.DUMMYFUNCTION("""COMPUTED_VALUE"""),42034.99861111111)</f>
        <v>42034.99861</v>
      </c>
      <c r="B1722" s="1">
        <f>IFERROR(__xludf.DUMMYFUNCTION("""COMPUTED_VALUE"""),9397.6679)</f>
        <v>9397.6679</v>
      </c>
    </row>
    <row r="1723">
      <c r="A1723" s="3">
        <f>IFERROR(__xludf.DUMMYFUNCTION("""COMPUTED_VALUE"""),42035.99861111111)</f>
        <v>42035.99861</v>
      </c>
      <c r="B1723" s="1">
        <f>IFERROR(__xludf.DUMMYFUNCTION("""COMPUTED_VALUE"""),9440.278535)</f>
        <v>9440.278535</v>
      </c>
    </row>
    <row r="1724">
      <c r="A1724" s="3">
        <f>IFERROR(__xludf.DUMMYFUNCTION("""COMPUTED_VALUE"""),42036.99861111111)</f>
        <v>42036.99861</v>
      </c>
      <c r="B1724" s="1">
        <f>IFERROR(__xludf.DUMMYFUNCTION("""COMPUTED_VALUE"""),9454.600782)</f>
        <v>9454.600782</v>
      </c>
    </row>
    <row r="1725">
      <c r="A1725" s="3">
        <f>IFERROR(__xludf.DUMMYFUNCTION("""COMPUTED_VALUE"""),42037.99861111111)</f>
        <v>42037.99861</v>
      </c>
      <c r="B1725" s="1">
        <f>IFERROR(__xludf.DUMMYFUNCTION("""COMPUTED_VALUE"""),9349.713)</f>
        <v>9349.713</v>
      </c>
    </row>
    <row r="1726">
      <c r="A1726" s="3">
        <f>IFERROR(__xludf.DUMMYFUNCTION("""COMPUTED_VALUE"""),42038.99861111111)</f>
        <v>42038.99861</v>
      </c>
      <c r="B1726" s="1">
        <f>IFERROR(__xludf.DUMMYFUNCTION("""COMPUTED_VALUE"""),9339.9555)</f>
        <v>9339.9555</v>
      </c>
    </row>
    <row r="1727">
      <c r="A1727" s="3">
        <f>IFERROR(__xludf.DUMMYFUNCTION("""COMPUTED_VALUE"""),42039.99861111111)</f>
        <v>42039.99861</v>
      </c>
      <c r="B1727" s="1">
        <f>IFERROR(__xludf.DUMMYFUNCTION("""COMPUTED_VALUE"""),9361.9425)</f>
        <v>9361.9425</v>
      </c>
    </row>
    <row r="1728">
      <c r="A1728" s="3">
        <f>IFERROR(__xludf.DUMMYFUNCTION("""COMPUTED_VALUE"""),42040.99861111111)</f>
        <v>42040.99861</v>
      </c>
      <c r="B1728" s="1">
        <f>IFERROR(__xludf.DUMMYFUNCTION("""COMPUTED_VALUE"""),9358.81211)</f>
        <v>9358.81211</v>
      </c>
    </row>
    <row r="1729">
      <c r="A1729" s="3">
        <f>IFERROR(__xludf.DUMMYFUNCTION("""COMPUTED_VALUE"""),42041.99861111111)</f>
        <v>42041.99861</v>
      </c>
      <c r="B1729" s="1">
        <f>IFERROR(__xludf.DUMMYFUNCTION("""COMPUTED_VALUE"""),9334.27104)</f>
        <v>9334.27104</v>
      </c>
    </row>
    <row r="1730">
      <c r="A1730" s="3">
        <f>IFERROR(__xludf.DUMMYFUNCTION("""COMPUTED_VALUE"""),42042.99861111111)</f>
        <v>42042.99861</v>
      </c>
      <c r="B1730" s="1">
        <f>IFERROR(__xludf.DUMMYFUNCTION("""COMPUTED_VALUE"""),9570.978636)</f>
        <v>9570.978636</v>
      </c>
    </row>
    <row r="1731">
      <c r="A1731" s="3">
        <f>IFERROR(__xludf.DUMMYFUNCTION("""COMPUTED_VALUE"""),42043.99861111111)</f>
        <v>42043.99861</v>
      </c>
      <c r="B1731" s="1">
        <f>IFERROR(__xludf.DUMMYFUNCTION("""COMPUTED_VALUE"""),9569.553767)</f>
        <v>9569.553767</v>
      </c>
    </row>
    <row r="1732">
      <c r="A1732" s="3">
        <f>IFERROR(__xludf.DUMMYFUNCTION("""COMPUTED_VALUE"""),42044.99861111111)</f>
        <v>42044.99861</v>
      </c>
      <c r="B1732" s="1">
        <f>IFERROR(__xludf.DUMMYFUNCTION("""COMPUTED_VALUE"""),9351.836)</f>
        <v>9351.836</v>
      </c>
    </row>
    <row r="1733">
      <c r="A1733" s="3">
        <f>IFERROR(__xludf.DUMMYFUNCTION("""COMPUTED_VALUE"""),42045.99861111111)</f>
        <v>42045.99861</v>
      </c>
      <c r="B1733" s="1">
        <f>IFERROR(__xludf.DUMMYFUNCTION("""COMPUTED_VALUE"""),9390.23514)</f>
        <v>9390.23514</v>
      </c>
    </row>
    <row r="1734">
      <c r="A1734" s="3">
        <f>IFERROR(__xludf.DUMMYFUNCTION("""COMPUTED_VALUE"""),42046.99861111111)</f>
        <v>42046.99861</v>
      </c>
      <c r="B1734" s="1">
        <f>IFERROR(__xludf.DUMMYFUNCTION("""COMPUTED_VALUE"""),9414.4921)</f>
        <v>9414.4921</v>
      </c>
    </row>
    <row r="1735">
      <c r="A1735" s="3">
        <f>IFERROR(__xludf.DUMMYFUNCTION("""COMPUTED_VALUE"""),42047.99861111111)</f>
        <v>42047.99861</v>
      </c>
      <c r="B1735" s="1">
        <f>IFERROR(__xludf.DUMMYFUNCTION("""COMPUTED_VALUE"""),9416.3426)</f>
        <v>9416.3426</v>
      </c>
    </row>
    <row r="1736">
      <c r="A1736" s="3">
        <f>IFERROR(__xludf.DUMMYFUNCTION("""COMPUTED_VALUE"""),42048.99861111111)</f>
        <v>42048.99861</v>
      </c>
      <c r="B1736" s="1">
        <f>IFERROR(__xludf.DUMMYFUNCTION("""COMPUTED_VALUE"""),9350.93551)</f>
        <v>9350.93551</v>
      </c>
    </row>
    <row r="1737">
      <c r="A1737" s="3">
        <f>IFERROR(__xludf.DUMMYFUNCTION("""COMPUTED_VALUE"""),42049.99861111111)</f>
        <v>42049.99861</v>
      </c>
      <c r="B1737" s="1">
        <f>IFERROR(__xludf.DUMMYFUNCTION("""COMPUTED_VALUE"""),9444.680906)</f>
        <v>9444.680906</v>
      </c>
    </row>
    <row r="1738">
      <c r="A1738" s="3">
        <f>IFERROR(__xludf.DUMMYFUNCTION("""COMPUTED_VALUE"""),42050.99861111111)</f>
        <v>42050.99861</v>
      </c>
      <c r="B1738" s="1">
        <f>IFERROR(__xludf.DUMMYFUNCTION("""COMPUTED_VALUE"""),9435.163447)</f>
        <v>9435.163447</v>
      </c>
    </row>
    <row r="1739">
      <c r="A1739" s="3">
        <f>IFERROR(__xludf.DUMMYFUNCTION("""COMPUTED_VALUE"""),42051.99861111111)</f>
        <v>42051.99861</v>
      </c>
      <c r="B1739" s="1">
        <f>IFERROR(__xludf.DUMMYFUNCTION("""COMPUTED_VALUE"""),9290.9475)</f>
        <v>9290.9475</v>
      </c>
    </row>
    <row r="1740">
      <c r="A1740" s="3">
        <f>IFERROR(__xludf.DUMMYFUNCTION("""COMPUTED_VALUE"""),42052.99861111111)</f>
        <v>42052.99861</v>
      </c>
      <c r="B1740" s="1">
        <f>IFERROR(__xludf.DUMMYFUNCTION("""COMPUTED_VALUE"""),9415.39068)</f>
        <v>9415.39068</v>
      </c>
    </row>
    <row r="1741">
      <c r="A1741" s="3">
        <f>IFERROR(__xludf.DUMMYFUNCTION("""COMPUTED_VALUE"""),42053.99861111111)</f>
        <v>42053.99861</v>
      </c>
      <c r="B1741" s="1">
        <f>IFERROR(__xludf.DUMMYFUNCTION("""COMPUTED_VALUE"""),9437.127)</f>
        <v>9437.127</v>
      </c>
    </row>
    <row r="1742">
      <c r="A1742" s="3">
        <f>IFERROR(__xludf.DUMMYFUNCTION("""COMPUTED_VALUE"""),42054.99861111111)</f>
        <v>42054.99861</v>
      </c>
      <c r="B1742" s="1">
        <f>IFERROR(__xludf.DUMMYFUNCTION("""COMPUTED_VALUE"""),9480.65415)</f>
        <v>9480.65415</v>
      </c>
    </row>
    <row r="1743">
      <c r="A1743" s="3">
        <f>IFERROR(__xludf.DUMMYFUNCTION("""COMPUTED_VALUE"""),42055.99861111111)</f>
        <v>42055.99861</v>
      </c>
      <c r="B1743" s="1">
        <f>IFERROR(__xludf.DUMMYFUNCTION("""COMPUTED_VALUE"""),9415.37679)</f>
        <v>9415.37679</v>
      </c>
    </row>
    <row r="1744">
      <c r="A1744" s="3">
        <f>IFERROR(__xludf.DUMMYFUNCTION("""COMPUTED_VALUE"""),42056.99861111111)</f>
        <v>42056.99861</v>
      </c>
      <c r="B1744" s="1">
        <f>IFERROR(__xludf.DUMMYFUNCTION("""COMPUTED_VALUE"""),9457.269448)</f>
        <v>9457.269448</v>
      </c>
    </row>
    <row r="1745">
      <c r="A1745" s="3">
        <f>IFERROR(__xludf.DUMMYFUNCTION("""COMPUTED_VALUE"""),42057.99861111111)</f>
        <v>42057.99861</v>
      </c>
      <c r="B1745" s="1">
        <f>IFERROR(__xludf.DUMMYFUNCTION("""COMPUTED_VALUE"""),9453.408445)</f>
        <v>9453.408445</v>
      </c>
    </row>
    <row r="1746">
      <c r="A1746" s="3">
        <f>IFERROR(__xludf.DUMMYFUNCTION("""COMPUTED_VALUE"""),42058.99861111111)</f>
        <v>42058.99861</v>
      </c>
      <c r="B1746" s="1">
        <f>IFERROR(__xludf.DUMMYFUNCTION("""COMPUTED_VALUE"""),9455.958)</f>
        <v>9455.958</v>
      </c>
    </row>
    <row r="1747">
      <c r="A1747" s="3">
        <f>IFERROR(__xludf.DUMMYFUNCTION("""COMPUTED_VALUE"""),42059.99861111111)</f>
        <v>42059.99861</v>
      </c>
      <c r="B1747" s="1">
        <f>IFERROR(__xludf.DUMMYFUNCTION("""COMPUTED_VALUE"""),9423.58283)</f>
        <v>9423.58283</v>
      </c>
    </row>
    <row r="1748">
      <c r="A1748" s="3">
        <f>IFERROR(__xludf.DUMMYFUNCTION("""COMPUTED_VALUE"""),42060.99861111111)</f>
        <v>42060.99861</v>
      </c>
      <c r="B1748" s="1">
        <f>IFERROR(__xludf.DUMMYFUNCTION("""COMPUTED_VALUE"""),9493.28895)</f>
        <v>9493.28895</v>
      </c>
    </row>
    <row r="1749">
      <c r="A1749" s="3">
        <f>IFERROR(__xludf.DUMMYFUNCTION("""COMPUTED_VALUE"""),42061.99861111111)</f>
        <v>42061.99861</v>
      </c>
      <c r="B1749" s="1">
        <f>IFERROR(__xludf.DUMMYFUNCTION("""COMPUTED_VALUE"""),9473.42331)</f>
        <v>9473.42331</v>
      </c>
    </row>
    <row r="1750">
      <c r="A1750" s="3">
        <f>IFERROR(__xludf.DUMMYFUNCTION("""COMPUTED_VALUE"""),42062.99861111111)</f>
        <v>42062.99861</v>
      </c>
      <c r="B1750" s="1">
        <f>IFERROR(__xludf.DUMMYFUNCTION("""COMPUTED_VALUE"""),9520.27146)</f>
        <v>9520.27146</v>
      </c>
    </row>
    <row r="1751">
      <c r="A1751" s="3">
        <f>IFERROR(__xludf.DUMMYFUNCTION("""COMPUTED_VALUE"""),42063.99861111111)</f>
        <v>42063.99861</v>
      </c>
      <c r="B1751" s="1">
        <f>IFERROR(__xludf.DUMMYFUNCTION("""COMPUTED_VALUE"""),9539.270923)</f>
        <v>9539.270923</v>
      </c>
    </row>
    <row r="1752">
      <c r="A1752" s="3">
        <f>IFERROR(__xludf.DUMMYFUNCTION("""COMPUTED_VALUE"""),42064.99861111111)</f>
        <v>42064.99861</v>
      </c>
      <c r="B1752" s="1">
        <f>IFERROR(__xludf.DUMMYFUNCTION("""COMPUTED_VALUE"""),9527.567413)</f>
        <v>9527.567413</v>
      </c>
    </row>
    <row r="1753">
      <c r="A1753" s="3">
        <f>IFERROR(__xludf.DUMMYFUNCTION("""COMPUTED_VALUE"""),42065.99861111111)</f>
        <v>42065.99861</v>
      </c>
      <c r="B1753" s="1">
        <f>IFERROR(__xludf.DUMMYFUNCTION("""COMPUTED_VALUE"""),9511.5603)</f>
        <v>9511.5603</v>
      </c>
    </row>
    <row r="1754">
      <c r="A1754" s="3">
        <f>IFERROR(__xludf.DUMMYFUNCTION("""COMPUTED_VALUE"""),42066.99861111111)</f>
        <v>42066.99861</v>
      </c>
      <c r="B1754" s="1">
        <f>IFERROR(__xludf.DUMMYFUNCTION("""COMPUTED_VALUE"""),9519.4612)</f>
        <v>9519.4612</v>
      </c>
    </row>
    <row r="1755">
      <c r="A1755" s="3">
        <f>IFERROR(__xludf.DUMMYFUNCTION("""COMPUTED_VALUE"""),42067.99861111111)</f>
        <v>42067.99861</v>
      </c>
      <c r="B1755" s="1">
        <f>IFERROR(__xludf.DUMMYFUNCTION("""COMPUTED_VALUE"""),9517.99965)</f>
        <v>9517.99965</v>
      </c>
    </row>
    <row r="1756">
      <c r="A1756" s="3">
        <f>IFERROR(__xludf.DUMMYFUNCTION("""COMPUTED_VALUE"""),42068.99861111111)</f>
        <v>42068.99861</v>
      </c>
      <c r="B1756" s="1">
        <f>IFERROR(__xludf.DUMMYFUNCTION("""COMPUTED_VALUE"""),9407.325)</f>
        <v>9407.325</v>
      </c>
    </row>
    <row r="1757">
      <c r="A1757" s="3">
        <f>IFERROR(__xludf.DUMMYFUNCTION("""COMPUTED_VALUE"""),42069.99861111111)</f>
        <v>42069.99861</v>
      </c>
      <c r="B1757" s="1">
        <f>IFERROR(__xludf.DUMMYFUNCTION("""COMPUTED_VALUE"""),9452.3529)</f>
        <v>9452.3529</v>
      </c>
    </row>
    <row r="1758">
      <c r="A1758" s="3">
        <f>IFERROR(__xludf.DUMMYFUNCTION("""COMPUTED_VALUE"""),42070.99861111111)</f>
        <v>42070.99861</v>
      </c>
      <c r="B1758" s="1">
        <f>IFERROR(__xludf.DUMMYFUNCTION("""COMPUTED_VALUE"""),9595.632579)</f>
        <v>9595.632579</v>
      </c>
    </row>
    <row r="1759">
      <c r="A1759" s="3">
        <f>IFERROR(__xludf.DUMMYFUNCTION("""COMPUTED_VALUE"""),42071.99861111111)</f>
        <v>42071.99861</v>
      </c>
      <c r="B1759" s="1">
        <f>IFERROR(__xludf.DUMMYFUNCTION("""COMPUTED_VALUE"""),9592.325701)</f>
        <v>9592.325701</v>
      </c>
    </row>
    <row r="1760">
      <c r="A1760" s="3">
        <f>IFERROR(__xludf.DUMMYFUNCTION("""COMPUTED_VALUE"""),42072.99861111111)</f>
        <v>42072.99861</v>
      </c>
      <c r="B1760" s="1">
        <f>IFERROR(__xludf.DUMMYFUNCTION("""COMPUTED_VALUE"""),9463.93689)</f>
        <v>9463.93689</v>
      </c>
    </row>
    <row r="1761">
      <c r="A1761" s="3">
        <f>IFERROR(__xludf.DUMMYFUNCTION("""COMPUTED_VALUE"""),42073.99861111111)</f>
        <v>42073.99861</v>
      </c>
      <c r="B1761" s="1">
        <f>IFERROR(__xludf.DUMMYFUNCTION("""COMPUTED_VALUE"""),9411.4456)</f>
        <v>9411.4456</v>
      </c>
    </row>
    <row r="1762">
      <c r="A1762" s="3">
        <f>IFERROR(__xludf.DUMMYFUNCTION("""COMPUTED_VALUE"""),42074.99861111111)</f>
        <v>42074.99861</v>
      </c>
      <c r="B1762" s="1">
        <f>IFERROR(__xludf.DUMMYFUNCTION("""COMPUTED_VALUE"""),9492.71925)</f>
        <v>9492.71925</v>
      </c>
    </row>
    <row r="1763">
      <c r="A1763" s="3">
        <f>IFERROR(__xludf.DUMMYFUNCTION("""COMPUTED_VALUE"""),42075.99861111111)</f>
        <v>42075.99861</v>
      </c>
      <c r="B1763" s="1">
        <f>IFERROR(__xludf.DUMMYFUNCTION("""COMPUTED_VALUE"""),9536.2653)</f>
        <v>9536.2653</v>
      </c>
    </row>
    <row r="1764">
      <c r="A1764" s="3">
        <f>IFERROR(__xludf.DUMMYFUNCTION("""COMPUTED_VALUE"""),42076.99861111111)</f>
        <v>42076.99861</v>
      </c>
      <c r="B1764" s="1">
        <f>IFERROR(__xludf.DUMMYFUNCTION("""COMPUTED_VALUE"""),9463.79745)</f>
        <v>9463.79745</v>
      </c>
    </row>
    <row r="1765">
      <c r="A1765" s="3">
        <f>IFERROR(__xludf.DUMMYFUNCTION("""COMPUTED_VALUE"""),42077.99861111111)</f>
        <v>42077.99861</v>
      </c>
      <c r="B1765" s="1">
        <f>IFERROR(__xludf.DUMMYFUNCTION("""COMPUTED_VALUE"""),9532.136331)</f>
        <v>9532.136331</v>
      </c>
    </row>
    <row r="1766">
      <c r="A1766" s="3">
        <f>IFERROR(__xludf.DUMMYFUNCTION("""COMPUTED_VALUE"""),42078.99861111111)</f>
        <v>42078.99861</v>
      </c>
      <c r="B1766" s="1">
        <f>IFERROR(__xludf.DUMMYFUNCTION("""COMPUTED_VALUE"""),9538.37803)</f>
        <v>9538.37803</v>
      </c>
    </row>
    <row r="1767">
      <c r="A1767" s="3">
        <f>IFERROR(__xludf.DUMMYFUNCTION("""COMPUTED_VALUE"""),42079.99861111111)</f>
        <v>42079.99861</v>
      </c>
      <c r="B1767" s="1">
        <f>IFERROR(__xludf.DUMMYFUNCTION("""COMPUTED_VALUE"""),9493.93445)</f>
        <v>9493.93445</v>
      </c>
    </row>
    <row r="1768">
      <c r="A1768" s="3">
        <f>IFERROR(__xludf.DUMMYFUNCTION("""COMPUTED_VALUE"""),42080.99861111111)</f>
        <v>42080.99861</v>
      </c>
      <c r="B1768" s="1">
        <f>IFERROR(__xludf.DUMMYFUNCTION("""COMPUTED_VALUE"""),9444.8256)</f>
        <v>9444.8256</v>
      </c>
    </row>
    <row r="1769">
      <c r="A1769" s="3">
        <f>IFERROR(__xludf.DUMMYFUNCTION("""COMPUTED_VALUE"""),42081.99861111111)</f>
        <v>42081.99861</v>
      </c>
      <c r="B1769" s="1">
        <f>IFERROR(__xludf.DUMMYFUNCTION("""COMPUTED_VALUE"""),9346.8872)</f>
        <v>9346.8872</v>
      </c>
    </row>
    <row r="1770">
      <c r="A1770" s="3">
        <f>IFERROR(__xludf.DUMMYFUNCTION("""COMPUTED_VALUE"""),42082.99861111111)</f>
        <v>42082.99861</v>
      </c>
      <c r="B1770" s="1">
        <f>IFERROR(__xludf.DUMMYFUNCTION("""COMPUTED_VALUE"""),9415.20974)</f>
        <v>9415.20974</v>
      </c>
    </row>
    <row r="1771">
      <c r="A1771" s="3">
        <f>IFERROR(__xludf.DUMMYFUNCTION("""COMPUTED_VALUE"""),42083.99861111111)</f>
        <v>42083.99861</v>
      </c>
      <c r="B1771" s="1">
        <f>IFERROR(__xludf.DUMMYFUNCTION("""COMPUTED_VALUE"""),9443.25525)</f>
        <v>9443.25525</v>
      </c>
    </row>
    <row r="1772">
      <c r="A1772" s="3">
        <f>IFERROR(__xludf.DUMMYFUNCTION("""COMPUTED_VALUE"""),42084.99861111111)</f>
        <v>42084.99861</v>
      </c>
      <c r="B1772" s="1">
        <f>IFERROR(__xludf.DUMMYFUNCTION("""COMPUTED_VALUE"""),9452.535378)</f>
        <v>9452.535378</v>
      </c>
    </row>
    <row r="1773">
      <c r="A1773" s="3">
        <f>IFERROR(__xludf.DUMMYFUNCTION("""COMPUTED_VALUE"""),42085.99861111111)</f>
        <v>42085.99861</v>
      </c>
      <c r="B1773" s="1">
        <f>IFERROR(__xludf.DUMMYFUNCTION("""COMPUTED_VALUE"""),9460.749192)</f>
        <v>9460.749192</v>
      </c>
    </row>
    <row r="1774">
      <c r="A1774" s="3">
        <f>IFERROR(__xludf.DUMMYFUNCTION("""COMPUTED_VALUE"""),42086.99861111111)</f>
        <v>42086.99861</v>
      </c>
      <c r="B1774" s="1">
        <f>IFERROR(__xludf.DUMMYFUNCTION("""COMPUTED_VALUE"""),9460.55642)</f>
        <v>9460.55642</v>
      </c>
    </row>
    <row r="1775">
      <c r="A1775" s="3">
        <f>IFERROR(__xludf.DUMMYFUNCTION("""COMPUTED_VALUE"""),42087.99861111111)</f>
        <v>42087.99861</v>
      </c>
      <c r="B1775" s="1">
        <f>IFERROR(__xludf.DUMMYFUNCTION("""COMPUTED_VALUE"""),9433.0388)</f>
        <v>9433.0388</v>
      </c>
    </row>
    <row r="1776">
      <c r="A1776" s="3">
        <f>IFERROR(__xludf.DUMMYFUNCTION("""COMPUTED_VALUE"""),42088.99861111111)</f>
        <v>42088.99861</v>
      </c>
      <c r="B1776" s="1">
        <f>IFERROR(__xludf.DUMMYFUNCTION("""COMPUTED_VALUE"""),9433.8573)</f>
        <v>9433.8573</v>
      </c>
    </row>
    <row r="1777">
      <c r="A1777" s="3">
        <f>IFERROR(__xludf.DUMMYFUNCTION("""COMPUTED_VALUE"""),42089.99861111111)</f>
        <v>42089.99861</v>
      </c>
      <c r="B1777" s="1">
        <f>IFERROR(__xludf.DUMMYFUNCTION("""COMPUTED_VALUE"""),9495.8689)</f>
        <v>9495.8689</v>
      </c>
    </row>
    <row r="1778">
      <c r="A1778" s="3">
        <f>IFERROR(__xludf.DUMMYFUNCTION("""COMPUTED_VALUE"""),42090.99861111111)</f>
        <v>42090.99861</v>
      </c>
      <c r="B1778" s="1">
        <f>IFERROR(__xludf.DUMMYFUNCTION("""COMPUTED_VALUE"""),9514.63755)</f>
        <v>9514.63755</v>
      </c>
    </row>
    <row r="1779">
      <c r="A1779" s="3">
        <f>IFERROR(__xludf.DUMMYFUNCTION("""COMPUTED_VALUE"""),42091.99861111111)</f>
        <v>42091.99861</v>
      </c>
      <c r="B1779" s="1">
        <f>IFERROR(__xludf.DUMMYFUNCTION("""COMPUTED_VALUE"""),9591.718158)</f>
        <v>9591.718158</v>
      </c>
    </row>
    <row r="1780">
      <c r="A1780" s="3">
        <f>IFERROR(__xludf.DUMMYFUNCTION("""COMPUTED_VALUE"""),42092.99861111111)</f>
        <v>42092.99861</v>
      </c>
      <c r="B1780" s="1">
        <f>IFERROR(__xludf.DUMMYFUNCTION("""COMPUTED_VALUE"""),9588.69582)</f>
        <v>9588.69582</v>
      </c>
    </row>
    <row r="1781">
      <c r="A1781" s="3">
        <f>IFERROR(__xludf.DUMMYFUNCTION("""COMPUTED_VALUE"""),42093.99861111111)</f>
        <v>42093.99861</v>
      </c>
      <c r="B1781" s="1">
        <f>IFERROR(__xludf.DUMMYFUNCTION("""COMPUTED_VALUE"""),9508.62159)</f>
        <v>9508.62159</v>
      </c>
    </row>
    <row r="1782">
      <c r="A1782" s="3">
        <f>IFERROR(__xludf.DUMMYFUNCTION("""COMPUTED_VALUE"""),42094.99861111111)</f>
        <v>42094.99861</v>
      </c>
      <c r="B1782" s="1">
        <f>IFERROR(__xludf.DUMMYFUNCTION("""COMPUTED_VALUE"""),9508.4636)</f>
        <v>9508.4636</v>
      </c>
    </row>
    <row r="1783">
      <c r="A1783" s="3">
        <f>IFERROR(__xludf.DUMMYFUNCTION("""COMPUTED_VALUE"""),42095.99861111111)</f>
        <v>42095.99861</v>
      </c>
      <c r="B1783" s="1">
        <f>IFERROR(__xludf.DUMMYFUNCTION("""COMPUTED_VALUE"""),9505.85922)</f>
        <v>9505.85922</v>
      </c>
    </row>
    <row r="1784">
      <c r="A1784" s="3">
        <f>IFERROR(__xludf.DUMMYFUNCTION("""COMPUTED_VALUE"""),42096.99861111111)</f>
        <v>42096.99861</v>
      </c>
      <c r="B1784" s="1">
        <f>IFERROR(__xludf.DUMMYFUNCTION("""COMPUTED_VALUE"""),9564.4913)</f>
        <v>9564.4913</v>
      </c>
    </row>
    <row r="1785">
      <c r="A1785" s="3">
        <f>IFERROR(__xludf.DUMMYFUNCTION("""COMPUTED_VALUE"""),42097.99861111111)</f>
        <v>42097.99861</v>
      </c>
      <c r="B1785" s="1">
        <f>IFERROR(__xludf.DUMMYFUNCTION("""COMPUTED_VALUE"""),9595.9151)</f>
        <v>9595.9151</v>
      </c>
    </row>
    <row r="1786">
      <c r="A1786" s="3">
        <f>IFERROR(__xludf.DUMMYFUNCTION("""COMPUTED_VALUE"""),42098.99861111111)</f>
        <v>42098.99861</v>
      </c>
      <c r="B1786" s="1">
        <f>IFERROR(__xludf.DUMMYFUNCTION("""COMPUTED_VALUE"""),9624.706546)</f>
        <v>9624.706546</v>
      </c>
    </row>
    <row r="1787">
      <c r="A1787" s="3">
        <f>IFERROR(__xludf.DUMMYFUNCTION("""COMPUTED_VALUE"""),42099.99861111111)</f>
        <v>42099.99861</v>
      </c>
      <c r="B1787" s="1">
        <f>IFERROR(__xludf.DUMMYFUNCTION("""COMPUTED_VALUE"""),9613.223188)</f>
        <v>9613.223188</v>
      </c>
    </row>
    <row r="1788">
      <c r="A1788" s="3">
        <f>IFERROR(__xludf.DUMMYFUNCTION("""COMPUTED_VALUE"""),42100.99861111111)</f>
        <v>42100.99861</v>
      </c>
      <c r="B1788" s="1">
        <f>IFERROR(__xludf.DUMMYFUNCTION("""COMPUTED_VALUE"""),9540.85335)</f>
        <v>9540.85335</v>
      </c>
    </row>
    <row r="1789">
      <c r="A1789" s="3">
        <f>IFERROR(__xludf.DUMMYFUNCTION("""COMPUTED_VALUE"""),42101.99861111111)</f>
        <v>42101.99861</v>
      </c>
      <c r="B1789" s="1">
        <f>IFERROR(__xludf.DUMMYFUNCTION("""COMPUTED_VALUE"""),9551.5849)</f>
        <v>9551.5849</v>
      </c>
    </row>
    <row r="1790">
      <c r="A1790" s="3">
        <f>IFERROR(__xludf.DUMMYFUNCTION("""COMPUTED_VALUE"""),42102.99861111111)</f>
        <v>42102.99861</v>
      </c>
      <c r="B1790" s="1">
        <f>IFERROR(__xludf.DUMMYFUNCTION("""COMPUTED_VALUE"""),9527.5345)</f>
        <v>9527.5345</v>
      </c>
    </row>
    <row r="1791">
      <c r="A1791" s="3">
        <f>IFERROR(__xludf.DUMMYFUNCTION("""COMPUTED_VALUE"""),42103.99861111111)</f>
        <v>42103.99861</v>
      </c>
      <c r="B1791" s="1">
        <f>IFERROR(__xludf.DUMMYFUNCTION("""COMPUTED_VALUE"""),9516.7969)</f>
        <v>9516.7969</v>
      </c>
    </row>
    <row r="1792">
      <c r="A1792" s="3">
        <f>IFERROR(__xludf.DUMMYFUNCTION("""COMPUTED_VALUE"""),42104.99861111111)</f>
        <v>42104.99861</v>
      </c>
      <c r="B1792" s="1">
        <f>IFERROR(__xludf.DUMMYFUNCTION("""COMPUTED_VALUE"""),9418.8519)</f>
        <v>9418.8519</v>
      </c>
    </row>
    <row r="1793">
      <c r="A1793" s="3">
        <f>IFERROR(__xludf.DUMMYFUNCTION("""COMPUTED_VALUE"""),42105.99861111111)</f>
        <v>42105.99861</v>
      </c>
      <c r="B1793" s="1">
        <f>IFERROR(__xludf.DUMMYFUNCTION("""COMPUTED_VALUE"""),9452.910293)</f>
        <v>9452.910293</v>
      </c>
    </row>
    <row r="1794">
      <c r="A1794" s="3">
        <f>IFERROR(__xludf.DUMMYFUNCTION("""COMPUTED_VALUE"""),42106.99861111111)</f>
        <v>42106.99861</v>
      </c>
      <c r="B1794" s="1">
        <f>IFERROR(__xludf.DUMMYFUNCTION("""COMPUTED_VALUE"""),9453.815855)</f>
        <v>9453.815855</v>
      </c>
    </row>
    <row r="1795">
      <c r="A1795" s="3">
        <f>IFERROR(__xludf.DUMMYFUNCTION("""COMPUTED_VALUE"""),42107.99861111111)</f>
        <v>42107.99861</v>
      </c>
      <c r="B1795" s="1">
        <f>IFERROR(__xludf.DUMMYFUNCTION("""COMPUTED_VALUE"""),9503.2825)</f>
        <v>9503.2825</v>
      </c>
    </row>
    <row r="1796">
      <c r="A1796" s="3">
        <f>IFERROR(__xludf.DUMMYFUNCTION("""COMPUTED_VALUE"""),42108.99861111111)</f>
        <v>42108.99861</v>
      </c>
      <c r="B1796" s="1">
        <f>IFERROR(__xludf.DUMMYFUNCTION("""COMPUTED_VALUE"""),9536.23575)</f>
        <v>9536.23575</v>
      </c>
    </row>
    <row r="1797">
      <c r="A1797" s="3">
        <f>IFERROR(__xludf.DUMMYFUNCTION("""COMPUTED_VALUE"""),42109.99861111111)</f>
        <v>42109.99861</v>
      </c>
      <c r="B1797" s="1">
        <f>IFERROR(__xludf.DUMMYFUNCTION("""COMPUTED_VALUE"""),9504.70209)</f>
        <v>9504.70209</v>
      </c>
    </row>
    <row r="1798">
      <c r="A1798" s="3">
        <f>IFERROR(__xludf.DUMMYFUNCTION("""COMPUTED_VALUE"""),42110.99861111111)</f>
        <v>42110.99861</v>
      </c>
      <c r="B1798" s="1">
        <f>IFERROR(__xludf.DUMMYFUNCTION("""COMPUTED_VALUE"""),9485.518)</f>
        <v>9485.518</v>
      </c>
    </row>
    <row r="1799">
      <c r="A1799" s="3">
        <f>IFERROR(__xludf.DUMMYFUNCTION("""COMPUTED_VALUE"""),42111.99861111111)</f>
        <v>42111.99861</v>
      </c>
      <c r="B1799" s="1">
        <f>IFERROR(__xludf.DUMMYFUNCTION("""COMPUTED_VALUE"""),9504.768)</f>
        <v>9504.768</v>
      </c>
    </row>
    <row r="1800">
      <c r="A1800" s="3">
        <f>IFERROR(__xludf.DUMMYFUNCTION("""COMPUTED_VALUE"""),42112.99861111111)</f>
        <v>42112.99861</v>
      </c>
      <c r="B1800" s="1">
        <f>IFERROR(__xludf.DUMMYFUNCTION("""COMPUTED_VALUE"""),9532.220443)</f>
        <v>9532.220443</v>
      </c>
    </row>
    <row r="1801">
      <c r="A1801" s="3">
        <f>IFERROR(__xludf.DUMMYFUNCTION("""COMPUTED_VALUE"""),42113.99861111111)</f>
        <v>42113.99861</v>
      </c>
      <c r="B1801" s="1">
        <f>IFERROR(__xludf.DUMMYFUNCTION("""COMPUTED_VALUE"""),9593.293059)</f>
        <v>9593.293059</v>
      </c>
    </row>
    <row r="1802">
      <c r="A1802" s="3">
        <f>IFERROR(__xludf.DUMMYFUNCTION("""COMPUTED_VALUE"""),42114.99861111111)</f>
        <v>42114.99861</v>
      </c>
      <c r="B1802" s="1">
        <f>IFERROR(__xludf.DUMMYFUNCTION("""COMPUTED_VALUE"""),9618.552)</f>
        <v>9618.552</v>
      </c>
    </row>
    <row r="1803">
      <c r="A1803" s="3">
        <f>IFERROR(__xludf.DUMMYFUNCTION("""COMPUTED_VALUE"""),42115.99861111111)</f>
        <v>42115.99861</v>
      </c>
      <c r="B1803" s="1">
        <f>IFERROR(__xludf.DUMMYFUNCTION("""COMPUTED_VALUE"""),9559.33)</f>
        <v>9559.33</v>
      </c>
    </row>
    <row r="1804">
      <c r="A1804" s="3">
        <f>IFERROR(__xludf.DUMMYFUNCTION("""COMPUTED_VALUE"""),42116.99861111111)</f>
        <v>42116.99861</v>
      </c>
      <c r="B1804" s="1">
        <f>IFERROR(__xludf.DUMMYFUNCTION("""COMPUTED_VALUE"""),9571.155)</f>
        <v>9571.155</v>
      </c>
    </row>
    <row r="1805">
      <c r="A1805" s="3">
        <f>IFERROR(__xludf.DUMMYFUNCTION("""COMPUTED_VALUE"""),42117.99861111111)</f>
        <v>42117.99861</v>
      </c>
      <c r="B1805" s="1">
        <f>IFERROR(__xludf.DUMMYFUNCTION("""COMPUTED_VALUE"""),9621.9888)</f>
        <v>9621.9888</v>
      </c>
    </row>
    <row r="1806">
      <c r="A1806" s="3">
        <f>IFERROR(__xludf.DUMMYFUNCTION("""COMPUTED_VALUE"""),42118.99861111111)</f>
        <v>42118.99861</v>
      </c>
      <c r="B1806" s="1">
        <f>IFERROR(__xludf.DUMMYFUNCTION("""COMPUTED_VALUE"""),9712.58274)</f>
        <v>9712.58274</v>
      </c>
    </row>
    <row r="1807">
      <c r="A1807" s="3">
        <f>IFERROR(__xludf.DUMMYFUNCTION("""COMPUTED_VALUE"""),42119.99861111111)</f>
        <v>42119.99861</v>
      </c>
      <c r="B1807" s="1">
        <f>IFERROR(__xludf.DUMMYFUNCTION("""COMPUTED_VALUE"""),9733.715975)</f>
        <v>9733.715975</v>
      </c>
    </row>
    <row r="1808">
      <c r="A1808" s="3">
        <f>IFERROR(__xludf.DUMMYFUNCTION("""COMPUTED_VALUE"""),42120.99861111111)</f>
        <v>42120.99861</v>
      </c>
      <c r="B1808" s="1">
        <f>IFERROR(__xludf.DUMMYFUNCTION("""COMPUTED_VALUE"""),9731.251644)</f>
        <v>9731.251644</v>
      </c>
    </row>
    <row r="1809">
      <c r="A1809" s="3">
        <f>IFERROR(__xludf.DUMMYFUNCTION("""COMPUTED_VALUE"""),42121.99861111111)</f>
        <v>42121.99861</v>
      </c>
      <c r="B1809" s="1">
        <f>IFERROR(__xludf.DUMMYFUNCTION("""COMPUTED_VALUE"""),9733.38465)</f>
        <v>9733.38465</v>
      </c>
    </row>
    <row r="1810">
      <c r="A1810" s="3">
        <f>IFERROR(__xludf.DUMMYFUNCTION("""COMPUTED_VALUE"""),42122.99861111111)</f>
        <v>42122.99861</v>
      </c>
      <c r="B1810" s="1">
        <f>IFERROR(__xludf.DUMMYFUNCTION("""COMPUTED_VALUE"""),9811.06815)</f>
        <v>9811.06815</v>
      </c>
    </row>
    <row r="1811">
      <c r="A1811" s="3">
        <f>IFERROR(__xludf.DUMMYFUNCTION("""COMPUTED_VALUE"""),42123.99861111111)</f>
        <v>42123.99861</v>
      </c>
      <c r="B1811" s="1">
        <f>IFERROR(__xludf.DUMMYFUNCTION("""COMPUTED_VALUE"""),9770.06835)</f>
        <v>9770.06835</v>
      </c>
    </row>
    <row r="1812">
      <c r="A1812" s="3">
        <f>IFERROR(__xludf.DUMMYFUNCTION("""COMPUTED_VALUE"""),42124.99861111111)</f>
        <v>42124.99861</v>
      </c>
      <c r="B1812" s="1">
        <f>IFERROR(__xludf.DUMMYFUNCTION("""COMPUTED_VALUE"""),9784.08984)</f>
        <v>9784.08984</v>
      </c>
    </row>
    <row r="1813">
      <c r="A1813" s="3">
        <f>IFERROR(__xludf.DUMMYFUNCTION("""COMPUTED_VALUE"""),42125.99861111111)</f>
        <v>42125.99861</v>
      </c>
      <c r="B1813" s="1">
        <f>IFERROR(__xludf.DUMMYFUNCTION("""COMPUTED_VALUE"""),9747.5985)</f>
        <v>9747.5985</v>
      </c>
    </row>
    <row r="1814">
      <c r="A1814" s="3">
        <f>IFERROR(__xludf.DUMMYFUNCTION("""COMPUTED_VALUE"""),42126.99861111111)</f>
        <v>42126.99861</v>
      </c>
      <c r="B1814" s="1">
        <f>IFERROR(__xludf.DUMMYFUNCTION("""COMPUTED_VALUE"""),9820.388081)</f>
        <v>9820.388081</v>
      </c>
    </row>
    <row r="1815">
      <c r="A1815" s="3">
        <f>IFERROR(__xludf.DUMMYFUNCTION("""COMPUTED_VALUE"""),42127.99861111111)</f>
        <v>42127.99861</v>
      </c>
      <c r="B1815" s="1">
        <f>IFERROR(__xludf.DUMMYFUNCTION("""COMPUTED_VALUE"""),9798.819346)</f>
        <v>9798.819346</v>
      </c>
    </row>
    <row r="1816">
      <c r="A1816" s="3">
        <f>IFERROR(__xludf.DUMMYFUNCTION("""COMPUTED_VALUE"""),42128.99861111111)</f>
        <v>42128.99861</v>
      </c>
      <c r="B1816" s="1">
        <f>IFERROR(__xludf.DUMMYFUNCTION("""COMPUTED_VALUE"""),9652.8446)</f>
        <v>9652.8446</v>
      </c>
    </row>
    <row r="1817">
      <c r="A1817" s="3">
        <f>IFERROR(__xludf.DUMMYFUNCTION("""COMPUTED_VALUE"""),42129.99861111111)</f>
        <v>42129.99861</v>
      </c>
      <c r="B1817" s="1">
        <f>IFERROR(__xludf.DUMMYFUNCTION("""COMPUTED_VALUE"""),9760.12245)</f>
        <v>9760.12245</v>
      </c>
    </row>
    <row r="1818">
      <c r="A1818" s="3">
        <f>IFERROR(__xludf.DUMMYFUNCTION("""COMPUTED_VALUE"""),42130.99861111111)</f>
        <v>42130.99861</v>
      </c>
      <c r="B1818" s="1">
        <f>IFERROR(__xludf.DUMMYFUNCTION("""COMPUTED_VALUE"""),9822.05124)</f>
        <v>9822.05124</v>
      </c>
    </row>
    <row r="1819">
      <c r="A1819" s="3">
        <f>IFERROR(__xludf.DUMMYFUNCTION("""COMPUTED_VALUE"""),42131.99861111111)</f>
        <v>42131.99861</v>
      </c>
      <c r="B1819" s="1">
        <f>IFERROR(__xludf.DUMMYFUNCTION("""COMPUTED_VALUE"""),9825.1785)</f>
        <v>9825.1785</v>
      </c>
    </row>
    <row r="1820">
      <c r="A1820" s="3">
        <f>IFERROR(__xludf.DUMMYFUNCTION("""COMPUTED_VALUE"""),42132.99861111111)</f>
        <v>42132.99861</v>
      </c>
      <c r="B1820" s="1">
        <f>IFERROR(__xludf.DUMMYFUNCTION("""COMPUTED_VALUE"""),9814.99716)</f>
        <v>9814.99716</v>
      </c>
    </row>
    <row r="1821">
      <c r="A1821" s="3">
        <f>IFERROR(__xludf.DUMMYFUNCTION("""COMPUTED_VALUE"""),42133.99861111111)</f>
        <v>42133.99861</v>
      </c>
      <c r="B1821" s="1">
        <f>IFERROR(__xludf.DUMMYFUNCTION("""COMPUTED_VALUE"""),9898.417489)</f>
        <v>9898.417489</v>
      </c>
    </row>
    <row r="1822">
      <c r="A1822" s="3">
        <f>IFERROR(__xludf.DUMMYFUNCTION("""COMPUTED_VALUE"""),42134.99861111111)</f>
        <v>42134.99861</v>
      </c>
      <c r="B1822" s="1">
        <f>IFERROR(__xludf.DUMMYFUNCTION("""COMPUTED_VALUE"""),9887.364861)</f>
        <v>9887.364861</v>
      </c>
    </row>
    <row r="1823">
      <c r="A1823" s="3">
        <f>IFERROR(__xludf.DUMMYFUNCTION("""COMPUTED_VALUE"""),42135.99861111111)</f>
        <v>42135.99861</v>
      </c>
      <c r="B1823" s="1">
        <f>IFERROR(__xludf.DUMMYFUNCTION("""COMPUTED_VALUE"""),9847.3407)</f>
        <v>9847.3407</v>
      </c>
    </row>
    <row r="1824">
      <c r="A1824" s="3">
        <f>IFERROR(__xludf.DUMMYFUNCTION("""COMPUTED_VALUE"""),42136.99861111111)</f>
        <v>42136.99861</v>
      </c>
      <c r="B1824" s="1">
        <f>IFERROR(__xludf.DUMMYFUNCTION("""COMPUTED_VALUE"""),9848.234)</f>
        <v>9848.234</v>
      </c>
    </row>
    <row r="1825">
      <c r="A1825" s="3">
        <f>IFERROR(__xludf.DUMMYFUNCTION("""COMPUTED_VALUE"""),42137.99861111111)</f>
        <v>42137.99861</v>
      </c>
      <c r="B1825" s="1">
        <f>IFERROR(__xludf.DUMMYFUNCTION("""COMPUTED_VALUE"""),9880.74228)</f>
        <v>9880.74228</v>
      </c>
    </row>
    <row r="1826">
      <c r="A1826" s="3">
        <f>IFERROR(__xludf.DUMMYFUNCTION("""COMPUTED_VALUE"""),42138.99861111111)</f>
        <v>42138.99861</v>
      </c>
      <c r="B1826" s="1">
        <f>IFERROR(__xludf.DUMMYFUNCTION("""COMPUTED_VALUE"""),9857.99815)</f>
        <v>9857.99815</v>
      </c>
    </row>
    <row r="1827">
      <c r="A1827" s="3">
        <f>IFERROR(__xludf.DUMMYFUNCTION("""COMPUTED_VALUE"""),42139.99861111111)</f>
        <v>42139.99861</v>
      </c>
      <c r="B1827" s="1">
        <f>IFERROR(__xludf.DUMMYFUNCTION("""COMPUTED_VALUE"""),9875.79618)</f>
        <v>9875.79618</v>
      </c>
    </row>
    <row r="1828">
      <c r="A1828" s="3">
        <f>IFERROR(__xludf.DUMMYFUNCTION("""COMPUTED_VALUE"""),42140.99861111111)</f>
        <v>42140.99861</v>
      </c>
      <c r="B1828" s="1">
        <f>IFERROR(__xludf.DUMMYFUNCTION("""COMPUTED_VALUE"""),9894.636416)</f>
        <v>9894.636416</v>
      </c>
    </row>
    <row r="1829">
      <c r="A1829" s="3">
        <f>IFERROR(__xludf.DUMMYFUNCTION("""COMPUTED_VALUE"""),42141.99861111111)</f>
        <v>42141.99861</v>
      </c>
      <c r="B1829" s="1">
        <f>IFERROR(__xludf.DUMMYFUNCTION("""COMPUTED_VALUE"""),9898.427264)</f>
        <v>9898.427264</v>
      </c>
    </row>
    <row r="1830">
      <c r="A1830" s="3">
        <f>IFERROR(__xludf.DUMMYFUNCTION("""COMPUTED_VALUE"""),42142.99861111111)</f>
        <v>42142.99861</v>
      </c>
      <c r="B1830" s="1">
        <f>IFERROR(__xludf.DUMMYFUNCTION("""COMPUTED_VALUE"""),9910.45952)</f>
        <v>9910.45952</v>
      </c>
    </row>
    <row r="1831">
      <c r="A1831" s="3">
        <f>IFERROR(__xludf.DUMMYFUNCTION("""COMPUTED_VALUE"""),42143.99861111111)</f>
        <v>42143.99861</v>
      </c>
      <c r="B1831" s="1">
        <f>IFERROR(__xludf.DUMMYFUNCTION("""COMPUTED_VALUE"""),9862.30528)</f>
        <v>9862.30528</v>
      </c>
    </row>
    <row r="1832">
      <c r="A1832" s="3">
        <f>IFERROR(__xludf.DUMMYFUNCTION("""COMPUTED_VALUE"""),42144.99861111111)</f>
        <v>42144.99861</v>
      </c>
      <c r="B1832" s="1">
        <f>IFERROR(__xludf.DUMMYFUNCTION("""COMPUTED_VALUE"""),9736.0009)</f>
        <v>9736.0009</v>
      </c>
    </row>
    <row r="1833">
      <c r="A1833" s="3">
        <f>IFERROR(__xludf.DUMMYFUNCTION("""COMPUTED_VALUE"""),42145.99861111111)</f>
        <v>42145.99861</v>
      </c>
      <c r="B1833" s="1">
        <f>IFERROR(__xludf.DUMMYFUNCTION("""COMPUTED_VALUE"""),9813.3042)</f>
        <v>9813.3042</v>
      </c>
    </row>
    <row r="1834">
      <c r="A1834" s="3">
        <f>IFERROR(__xludf.DUMMYFUNCTION("""COMPUTED_VALUE"""),42146.99861111111)</f>
        <v>42146.99861</v>
      </c>
      <c r="B1834" s="1">
        <f>IFERROR(__xludf.DUMMYFUNCTION("""COMPUTED_VALUE"""),9829.5084)</f>
        <v>9829.5084</v>
      </c>
    </row>
    <row r="1835">
      <c r="A1835" s="3">
        <f>IFERROR(__xludf.DUMMYFUNCTION("""COMPUTED_VALUE"""),42147.99861111111)</f>
        <v>42147.99861</v>
      </c>
      <c r="B1835" s="1">
        <f>IFERROR(__xludf.DUMMYFUNCTION("""COMPUTED_VALUE"""),9855.862553)</f>
        <v>9855.862553</v>
      </c>
    </row>
    <row r="1836">
      <c r="A1836" s="3">
        <f>IFERROR(__xludf.DUMMYFUNCTION("""COMPUTED_VALUE"""),42149.99861111111)</f>
        <v>42149.99861</v>
      </c>
      <c r="B1836" s="1">
        <f>IFERROR(__xludf.DUMMYFUNCTION("""COMPUTED_VALUE"""),9811.2504)</f>
        <v>9811.2504</v>
      </c>
    </row>
    <row r="1837">
      <c r="A1837" s="3">
        <f>IFERROR(__xludf.DUMMYFUNCTION("""COMPUTED_VALUE"""),42150.99861111111)</f>
        <v>42150.99861</v>
      </c>
      <c r="B1837" s="1">
        <f>IFERROR(__xludf.DUMMYFUNCTION("""COMPUTED_VALUE"""),9796.96908)</f>
        <v>9796.96908</v>
      </c>
    </row>
    <row r="1838">
      <c r="A1838" s="3">
        <f>IFERROR(__xludf.DUMMYFUNCTION("""COMPUTED_VALUE"""),42151.99861111111)</f>
        <v>42151.99861</v>
      </c>
      <c r="B1838" s="1">
        <f>IFERROR(__xludf.DUMMYFUNCTION("""COMPUTED_VALUE"""),9744.483)</f>
        <v>9744.483</v>
      </c>
    </row>
    <row r="1839">
      <c r="A1839" s="3">
        <f>IFERROR(__xludf.DUMMYFUNCTION("""COMPUTED_VALUE"""),42152.99861111111)</f>
        <v>42152.99861</v>
      </c>
      <c r="B1839" s="1">
        <f>IFERROR(__xludf.DUMMYFUNCTION("""COMPUTED_VALUE"""),9764.2172)</f>
        <v>9764.2172</v>
      </c>
    </row>
    <row r="1840">
      <c r="A1840" s="3">
        <f>IFERROR(__xludf.DUMMYFUNCTION("""COMPUTED_VALUE"""),42153.99861111111)</f>
        <v>42153.99861</v>
      </c>
      <c r="B1840" s="1">
        <f>IFERROR(__xludf.DUMMYFUNCTION("""COMPUTED_VALUE"""),9790.836)</f>
        <v>9790.836</v>
      </c>
    </row>
    <row r="1841">
      <c r="A1841" s="3">
        <f>IFERROR(__xludf.DUMMYFUNCTION("""COMPUTED_VALUE"""),42156.99861111111)</f>
        <v>42156.99861</v>
      </c>
      <c r="B1841" s="1">
        <f>IFERROR(__xludf.DUMMYFUNCTION("""COMPUTED_VALUE"""),9724.1718)</f>
        <v>9724.1718</v>
      </c>
    </row>
    <row r="1842">
      <c r="A1842" s="3">
        <f>IFERROR(__xludf.DUMMYFUNCTION("""COMPUTED_VALUE"""),42157.99861111111)</f>
        <v>42157.99861</v>
      </c>
      <c r="B1842" s="1">
        <f>IFERROR(__xludf.DUMMYFUNCTION("""COMPUTED_VALUE"""),9749.41)</f>
        <v>9749.41</v>
      </c>
    </row>
    <row r="1843">
      <c r="A1843" s="3">
        <f>IFERROR(__xludf.DUMMYFUNCTION("""COMPUTED_VALUE"""),42158.99861111111)</f>
        <v>42158.99861</v>
      </c>
      <c r="B1843" s="1">
        <f>IFERROR(__xludf.DUMMYFUNCTION("""COMPUTED_VALUE"""),9840.8709)</f>
        <v>9840.8709</v>
      </c>
    </row>
    <row r="1844">
      <c r="A1844" s="3">
        <f>IFERROR(__xludf.DUMMYFUNCTION("""COMPUTED_VALUE"""),42159.99861111111)</f>
        <v>42159.99861</v>
      </c>
      <c r="B1844" s="1">
        <f>IFERROR(__xludf.DUMMYFUNCTION("""COMPUTED_VALUE"""),9843.147)</f>
        <v>9843.147</v>
      </c>
    </row>
    <row r="1845">
      <c r="A1845" s="3">
        <f>IFERROR(__xludf.DUMMYFUNCTION("""COMPUTED_VALUE"""),42160.99861111111)</f>
        <v>42160.99861</v>
      </c>
      <c r="B1845" s="1">
        <f>IFERROR(__xludf.DUMMYFUNCTION("""COMPUTED_VALUE"""),9859.32484)</f>
        <v>9859.32484</v>
      </c>
    </row>
    <row r="1846">
      <c r="A1846" s="3">
        <f>IFERROR(__xludf.DUMMYFUNCTION("""COMPUTED_VALUE"""),42163.99861111111)</f>
        <v>42163.99861</v>
      </c>
      <c r="B1846" s="1">
        <f>IFERROR(__xludf.DUMMYFUNCTION("""COMPUTED_VALUE"""),9829.8343)</f>
        <v>9829.8343</v>
      </c>
    </row>
    <row r="1847">
      <c r="A1847" s="3">
        <f>IFERROR(__xludf.DUMMYFUNCTION("""COMPUTED_VALUE"""),42164.99861111111)</f>
        <v>42164.99861</v>
      </c>
      <c r="B1847" s="1">
        <f>IFERROR(__xludf.DUMMYFUNCTION("""COMPUTED_VALUE"""),9871.96375)</f>
        <v>9871.96375</v>
      </c>
    </row>
    <row r="1848">
      <c r="A1848" s="3">
        <f>IFERROR(__xludf.DUMMYFUNCTION("""COMPUTED_VALUE"""),42165.99861111111)</f>
        <v>42165.99861</v>
      </c>
      <c r="B1848" s="1">
        <f>IFERROR(__xludf.DUMMYFUNCTION("""COMPUTED_VALUE"""),9825.44435)</f>
        <v>9825.44435</v>
      </c>
    </row>
    <row r="1849">
      <c r="A1849" s="3">
        <f>IFERROR(__xludf.DUMMYFUNCTION("""COMPUTED_VALUE"""),42166.99861111111)</f>
        <v>42166.99861</v>
      </c>
      <c r="B1849" s="1">
        <f>IFERROR(__xludf.DUMMYFUNCTION("""COMPUTED_VALUE"""),9830.5515)</f>
        <v>9830.5515</v>
      </c>
    </row>
    <row r="1850">
      <c r="A1850" s="3">
        <f>IFERROR(__xludf.DUMMYFUNCTION("""COMPUTED_VALUE"""),42167.99861111111)</f>
        <v>42167.99861</v>
      </c>
      <c r="B1850" s="1">
        <f>IFERROR(__xludf.DUMMYFUNCTION("""COMPUTED_VALUE"""),9906.49315)</f>
        <v>9906.49315</v>
      </c>
    </row>
    <row r="1851">
      <c r="A1851" s="3">
        <f>IFERROR(__xludf.DUMMYFUNCTION("""COMPUTED_VALUE"""),42170.99861111111)</f>
        <v>42170.99861</v>
      </c>
      <c r="B1851" s="1">
        <f>IFERROR(__xludf.DUMMYFUNCTION("""COMPUTED_VALUE"""),9890.1)</f>
        <v>9890.1</v>
      </c>
    </row>
    <row r="1852">
      <c r="A1852" s="3">
        <f>IFERROR(__xludf.DUMMYFUNCTION("""COMPUTED_VALUE"""),42171.99861111111)</f>
        <v>42171.99861</v>
      </c>
      <c r="B1852" s="1">
        <f>IFERROR(__xludf.DUMMYFUNCTION("""COMPUTED_VALUE"""),9927.0944)</f>
        <v>9927.0944</v>
      </c>
    </row>
    <row r="1853">
      <c r="A1853" s="3">
        <f>IFERROR(__xludf.DUMMYFUNCTION("""COMPUTED_VALUE"""),42172.99861111111)</f>
        <v>42172.99861</v>
      </c>
      <c r="B1853" s="1">
        <f>IFERROR(__xludf.DUMMYFUNCTION("""COMPUTED_VALUE"""),9968.3073)</f>
        <v>9968.3073</v>
      </c>
    </row>
    <row r="1854">
      <c r="A1854" s="3">
        <f>IFERROR(__xludf.DUMMYFUNCTION("""COMPUTED_VALUE"""),42173.99861111111)</f>
        <v>42173.99861</v>
      </c>
      <c r="B1854" s="1">
        <f>IFERROR(__xludf.DUMMYFUNCTION("""COMPUTED_VALUE"""),9955.1403)</f>
        <v>9955.1403</v>
      </c>
    </row>
    <row r="1855">
      <c r="A1855" s="3">
        <f>IFERROR(__xludf.DUMMYFUNCTION("""COMPUTED_VALUE"""),42174.99861111111)</f>
        <v>42174.99861</v>
      </c>
      <c r="B1855" s="1">
        <f>IFERROR(__xludf.DUMMYFUNCTION("""COMPUTED_VALUE"""),9976.2443)</f>
        <v>9976.2443</v>
      </c>
    </row>
    <row r="1856">
      <c r="A1856" s="3">
        <f>IFERROR(__xludf.DUMMYFUNCTION("""COMPUTED_VALUE"""),42177.99861111111)</f>
        <v>42177.99861</v>
      </c>
      <c r="B1856" s="1">
        <f>IFERROR(__xludf.DUMMYFUNCTION("""COMPUTED_VALUE"""),9955.8819)</f>
        <v>9955.8819</v>
      </c>
    </row>
    <row r="1857">
      <c r="A1857" s="3">
        <f>IFERROR(__xludf.DUMMYFUNCTION("""COMPUTED_VALUE"""),42178.99861111111)</f>
        <v>42178.99861</v>
      </c>
      <c r="B1857" s="1">
        <f>IFERROR(__xludf.DUMMYFUNCTION("""COMPUTED_VALUE"""),9881.4525)</f>
        <v>9881.4525</v>
      </c>
    </row>
    <row r="1858">
      <c r="A1858" s="3">
        <f>IFERROR(__xludf.DUMMYFUNCTION("""COMPUTED_VALUE"""),42179.99861111111)</f>
        <v>42179.99861</v>
      </c>
      <c r="B1858" s="1">
        <f>IFERROR(__xludf.DUMMYFUNCTION("""COMPUTED_VALUE"""),9893.076)</f>
        <v>9893.076</v>
      </c>
    </row>
    <row r="1859">
      <c r="A1859" s="3">
        <f>IFERROR(__xludf.DUMMYFUNCTION("""COMPUTED_VALUE"""),42180.99861111111)</f>
        <v>42180.99861</v>
      </c>
      <c r="B1859" s="1">
        <f>IFERROR(__xludf.DUMMYFUNCTION("""COMPUTED_VALUE"""),9902.7532)</f>
        <v>9902.7532</v>
      </c>
    </row>
    <row r="1860">
      <c r="A1860" s="3">
        <f>IFERROR(__xludf.DUMMYFUNCTION("""COMPUTED_VALUE"""),42181.99861111111)</f>
        <v>42181.99861</v>
      </c>
      <c r="B1860" s="1">
        <f>IFERROR(__xludf.DUMMYFUNCTION("""COMPUTED_VALUE"""),9871.06912)</f>
        <v>9871.06912</v>
      </c>
    </row>
    <row r="1861">
      <c r="A1861" s="3">
        <f>IFERROR(__xludf.DUMMYFUNCTION("""COMPUTED_VALUE"""),42184.99861111111)</f>
        <v>42184.99861</v>
      </c>
      <c r="B1861" s="1">
        <f>IFERROR(__xludf.DUMMYFUNCTION("""COMPUTED_VALUE"""),9886.52264)</f>
        <v>9886.52264</v>
      </c>
    </row>
    <row r="1862">
      <c r="A1862" s="3">
        <f>IFERROR(__xludf.DUMMYFUNCTION("""COMPUTED_VALUE"""),42185.99861111111)</f>
        <v>42185.99861</v>
      </c>
      <c r="B1862" s="1">
        <f>IFERROR(__xludf.DUMMYFUNCTION("""COMPUTED_VALUE"""),9897.62928)</f>
        <v>9897.62928</v>
      </c>
    </row>
    <row r="1863">
      <c r="A1863" s="3">
        <f>IFERROR(__xludf.DUMMYFUNCTION("""COMPUTED_VALUE"""),42186.99861111111)</f>
        <v>42186.99861</v>
      </c>
      <c r="B1863" s="1">
        <f>IFERROR(__xludf.DUMMYFUNCTION("""COMPUTED_VALUE"""),9841.46928)</f>
        <v>9841.46928</v>
      </c>
    </row>
    <row r="1864">
      <c r="A1864" s="3">
        <f>IFERROR(__xludf.DUMMYFUNCTION("""COMPUTED_VALUE"""),42187.99861111111)</f>
        <v>42187.99861</v>
      </c>
      <c r="B1864" s="1">
        <f>IFERROR(__xludf.DUMMYFUNCTION("""COMPUTED_VALUE"""),9828.7098)</f>
        <v>9828.7098</v>
      </c>
    </row>
    <row r="1865">
      <c r="A1865" s="3">
        <f>IFERROR(__xludf.DUMMYFUNCTION("""COMPUTED_VALUE"""),42188.99861111111)</f>
        <v>42188.99861</v>
      </c>
      <c r="B1865" s="1">
        <f>IFERROR(__xludf.DUMMYFUNCTION("""COMPUTED_VALUE"""),9907.3512)</f>
        <v>9907.3512</v>
      </c>
    </row>
    <row r="1866">
      <c r="A1866" s="3">
        <f>IFERROR(__xludf.DUMMYFUNCTION("""COMPUTED_VALUE"""),42191.99861111111)</f>
        <v>42191.99861</v>
      </c>
      <c r="B1866" s="1">
        <f>IFERROR(__xludf.DUMMYFUNCTION("""COMPUTED_VALUE"""),9878.27)</f>
        <v>9878.27</v>
      </c>
    </row>
    <row r="1867">
      <c r="A1867" s="3">
        <f>IFERROR(__xludf.DUMMYFUNCTION("""COMPUTED_VALUE"""),42192.99861111111)</f>
        <v>42192.99861</v>
      </c>
      <c r="B1867" s="1">
        <f>IFERROR(__xludf.DUMMYFUNCTION("""COMPUTED_VALUE"""),9834.78275)</f>
        <v>9834.78275</v>
      </c>
    </row>
    <row r="1868">
      <c r="A1868" s="3">
        <f>IFERROR(__xludf.DUMMYFUNCTION("""COMPUTED_VALUE"""),42193.99861111111)</f>
        <v>42193.99861</v>
      </c>
      <c r="B1868" s="1">
        <f>IFERROR(__xludf.DUMMYFUNCTION("""COMPUTED_VALUE"""),9868.03335)</f>
        <v>9868.03335</v>
      </c>
    </row>
    <row r="1869">
      <c r="A1869" s="3">
        <f>IFERROR(__xludf.DUMMYFUNCTION("""COMPUTED_VALUE"""),42194.99861111111)</f>
        <v>42194.99861</v>
      </c>
      <c r="B1869" s="1">
        <f>IFERROR(__xludf.DUMMYFUNCTION("""COMPUTED_VALUE"""),9852.60089)</f>
        <v>9852.60089</v>
      </c>
    </row>
    <row r="1870">
      <c r="A1870" s="3">
        <f>IFERROR(__xludf.DUMMYFUNCTION("""COMPUTED_VALUE"""),42195.99861111111)</f>
        <v>42195.99861</v>
      </c>
      <c r="B1870" s="1">
        <f>IFERROR(__xludf.DUMMYFUNCTION("""COMPUTED_VALUE"""),9824.79054)</f>
        <v>9824.79054</v>
      </c>
    </row>
    <row r="1871">
      <c r="A1871" s="3">
        <f>IFERROR(__xludf.DUMMYFUNCTION("""COMPUTED_VALUE"""),42198.99861111111)</f>
        <v>42198.99861</v>
      </c>
      <c r="B1871" s="1">
        <f>IFERROR(__xludf.DUMMYFUNCTION("""COMPUTED_VALUE"""),9774.08)</f>
        <v>9774.08</v>
      </c>
    </row>
    <row r="1872">
      <c r="A1872" s="3">
        <f>IFERROR(__xludf.DUMMYFUNCTION("""COMPUTED_VALUE"""),42199.99861111111)</f>
        <v>42199.99861</v>
      </c>
      <c r="B1872" s="1">
        <f>IFERROR(__xludf.DUMMYFUNCTION("""COMPUTED_VALUE"""),9775.4496)</f>
        <v>9775.4496</v>
      </c>
    </row>
    <row r="1873">
      <c r="A1873" s="3">
        <f>IFERROR(__xludf.DUMMYFUNCTION("""COMPUTED_VALUE"""),42200.99861111111)</f>
        <v>42200.99861</v>
      </c>
      <c r="B1873" s="1">
        <f>IFERROR(__xludf.DUMMYFUNCTION("""COMPUTED_VALUE"""),9760.7484)</f>
        <v>9760.7484</v>
      </c>
    </row>
    <row r="1874">
      <c r="A1874" s="3">
        <f>IFERROR(__xludf.DUMMYFUNCTION("""COMPUTED_VALUE"""),42201.99861111111)</f>
        <v>42201.99861</v>
      </c>
      <c r="B1874" s="1">
        <f>IFERROR(__xludf.DUMMYFUNCTION("""COMPUTED_VALUE"""),9754.2927)</f>
        <v>9754.2927</v>
      </c>
    </row>
    <row r="1875">
      <c r="A1875" s="3">
        <f>IFERROR(__xludf.DUMMYFUNCTION("""COMPUTED_VALUE"""),42202.99861111111)</f>
        <v>42202.99861</v>
      </c>
      <c r="B1875" s="1">
        <f>IFERROR(__xludf.DUMMYFUNCTION("""COMPUTED_VALUE"""),9757.515)</f>
        <v>9757.515</v>
      </c>
    </row>
    <row r="1876">
      <c r="A1876" s="3">
        <f>IFERROR(__xludf.DUMMYFUNCTION("""COMPUTED_VALUE"""),42205.99861111111)</f>
        <v>42205.99861</v>
      </c>
      <c r="B1876" s="1">
        <f>IFERROR(__xludf.DUMMYFUNCTION("""COMPUTED_VALUE"""),9725.3936)</f>
        <v>9725.3936</v>
      </c>
    </row>
    <row r="1877">
      <c r="A1877" s="3">
        <f>IFERROR(__xludf.DUMMYFUNCTION("""COMPUTED_VALUE"""),42206.99861111111)</f>
        <v>42206.99861</v>
      </c>
      <c r="B1877" s="1">
        <f>IFERROR(__xludf.DUMMYFUNCTION("""COMPUTED_VALUE"""),9775.6218)</f>
        <v>9775.6218</v>
      </c>
    </row>
    <row r="1878">
      <c r="A1878" s="3">
        <f>IFERROR(__xludf.DUMMYFUNCTION("""COMPUTED_VALUE"""),42207.99861111111)</f>
        <v>42207.99861</v>
      </c>
      <c r="B1878" s="1">
        <f>IFERROR(__xludf.DUMMYFUNCTION("""COMPUTED_VALUE"""),9811.614)</f>
        <v>9811.614</v>
      </c>
    </row>
    <row r="1879">
      <c r="A1879" s="3">
        <f>IFERROR(__xludf.DUMMYFUNCTION("""COMPUTED_VALUE"""),42208.99861111111)</f>
        <v>42208.99861</v>
      </c>
      <c r="B1879" s="1">
        <f>IFERROR(__xludf.DUMMYFUNCTION("""COMPUTED_VALUE"""),9808.0633)</f>
        <v>9808.0633</v>
      </c>
    </row>
    <row r="1880">
      <c r="A1880" s="3">
        <f>IFERROR(__xludf.DUMMYFUNCTION("""COMPUTED_VALUE"""),42209.99861111111)</f>
        <v>42209.99861</v>
      </c>
      <c r="B1880" s="1">
        <f>IFERROR(__xludf.DUMMYFUNCTION("""COMPUTED_VALUE"""),9790.0671)</f>
        <v>9790.0671</v>
      </c>
    </row>
    <row r="1881">
      <c r="A1881" s="3">
        <f>IFERROR(__xludf.DUMMYFUNCTION("""COMPUTED_VALUE"""),42212.99861111111)</f>
        <v>42212.99861</v>
      </c>
      <c r="B1881" s="1">
        <f>IFERROR(__xludf.DUMMYFUNCTION("""COMPUTED_VALUE"""),9831.73905)</f>
        <v>9831.73905</v>
      </c>
    </row>
    <row r="1882">
      <c r="A1882" s="3">
        <f>IFERROR(__xludf.DUMMYFUNCTION("""COMPUTED_VALUE"""),42213.99861111111)</f>
        <v>42213.99861</v>
      </c>
      <c r="B1882" s="1">
        <f>IFERROR(__xludf.DUMMYFUNCTION("""COMPUTED_VALUE"""),9744.8925)</f>
        <v>9744.8925</v>
      </c>
    </row>
    <row r="1883">
      <c r="A1883" s="3">
        <f>IFERROR(__xludf.DUMMYFUNCTION("""COMPUTED_VALUE"""),42214.99861111111)</f>
        <v>42214.99861</v>
      </c>
      <c r="B1883" s="1">
        <f>IFERROR(__xludf.DUMMYFUNCTION("""COMPUTED_VALUE"""),9826.2038)</f>
        <v>9826.2038</v>
      </c>
    </row>
    <row r="1884">
      <c r="A1884" s="3">
        <f>IFERROR(__xludf.DUMMYFUNCTION("""COMPUTED_VALUE"""),42215.99861111111)</f>
        <v>42215.99861</v>
      </c>
      <c r="B1884" s="1">
        <f>IFERROR(__xludf.DUMMYFUNCTION("""COMPUTED_VALUE"""),9811.51732)</f>
        <v>9811.51732</v>
      </c>
    </row>
    <row r="1885">
      <c r="A1885" s="3">
        <f>IFERROR(__xludf.DUMMYFUNCTION("""COMPUTED_VALUE"""),42216.99861111111)</f>
        <v>42216.99861</v>
      </c>
      <c r="B1885" s="1">
        <f>IFERROR(__xludf.DUMMYFUNCTION("""COMPUTED_VALUE"""),9780.6495)</f>
        <v>9780.6495</v>
      </c>
    </row>
    <row r="1886">
      <c r="A1886" s="3">
        <f>IFERROR(__xludf.DUMMYFUNCTION("""COMPUTED_VALUE"""),42219.99861111111)</f>
        <v>42219.99861</v>
      </c>
      <c r="B1886" s="1">
        <f>IFERROR(__xludf.DUMMYFUNCTION("""COMPUTED_VALUE"""),9753.2736)</f>
        <v>9753.2736</v>
      </c>
    </row>
    <row r="1887">
      <c r="A1887" s="3">
        <f>IFERROR(__xludf.DUMMYFUNCTION("""COMPUTED_VALUE"""),42220.99861111111)</f>
        <v>42220.99861</v>
      </c>
      <c r="B1887" s="1">
        <f>IFERROR(__xludf.DUMMYFUNCTION("""COMPUTED_VALUE"""),9756.3975)</f>
        <v>9756.3975</v>
      </c>
    </row>
    <row r="1888">
      <c r="A1888" s="3">
        <f>IFERROR(__xludf.DUMMYFUNCTION("""COMPUTED_VALUE"""),42221.99861111111)</f>
        <v>42221.99861</v>
      </c>
      <c r="B1888" s="1">
        <f>IFERROR(__xludf.DUMMYFUNCTION("""COMPUTED_VALUE"""),9766.57318)</f>
        <v>9766.57318</v>
      </c>
    </row>
    <row r="1889">
      <c r="A1889" s="3">
        <f>IFERROR(__xludf.DUMMYFUNCTION("""COMPUTED_VALUE"""),42222.99861111111)</f>
        <v>42222.99861</v>
      </c>
      <c r="B1889" s="1">
        <f>IFERROR(__xludf.DUMMYFUNCTION("""COMPUTED_VALUE"""),9728.7318)</f>
        <v>9728.7318</v>
      </c>
    </row>
    <row r="1890">
      <c r="A1890" s="3">
        <f>IFERROR(__xludf.DUMMYFUNCTION("""COMPUTED_VALUE"""),42223.99861111111)</f>
        <v>42223.99861</v>
      </c>
      <c r="B1890" s="1">
        <f>IFERROR(__xludf.DUMMYFUNCTION("""COMPUTED_VALUE"""),9729.46763)</f>
        <v>9729.46763</v>
      </c>
    </row>
    <row r="1891">
      <c r="A1891" s="3">
        <f>IFERROR(__xludf.DUMMYFUNCTION("""COMPUTED_VALUE"""),42226.99861111111)</f>
        <v>42226.99861</v>
      </c>
      <c r="B1891" s="1">
        <f>IFERROR(__xludf.DUMMYFUNCTION("""COMPUTED_VALUE"""),9739.46907)</f>
        <v>9739.46907</v>
      </c>
    </row>
    <row r="1892">
      <c r="A1892" s="3">
        <f>IFERROR(__xludf.DUMMYFUNCTION("""COMPUTED_VALUE"""),42227.99861111111)</f>
        <v>42227.99861</v>
      </c>
      <c r="B1892" s="1">
        <f>IFERROR(__xludf.DUMMYFUNCTION("""COMPUTED_VALUE"""),9700.365)</f>
        <v>9700.365</v>
      </c>
    </row>
    <row r="1893">
      <c r="A1893" s="3">
        <f>IFERROR(__xludf.DUMMYFUNCTION("""COMPUTED_VALUE"""),42228.99861111111)</f>
        <v>42228.99861</v>
      </c>
      <c r="B1893" s="1">
        <f>IFERROR(__xludf.DUMMYFUNCTION("""COMPUTED_VALUE"""),9818.0535)</f>
        <v>9818.0535</v>
      </c>
    </row>
    <row r="1894">
      <c r="A1894" s="3">
        <f>IFERROR(__xludf.DUMMYFUNCTION("""COMPUTED_VALUE"""),42229.99861111111)</f>
        <v>42229.99861</v>
      </c>
      <c r="B1894" s="1">
        <f>IFERROR(__xludf.DUMMYFUNCTION("""COMPUTED_VALUE"""),9786.1035)</f>
        <v>9786.1035</v>
      </c>
    </row>
    <row r="1895">
      <c r="A1895" s="3">
        <f>IFERROR(__xludf.DUMMYFUNCTION("""COMPUTED_VALUE"""),42230.99861111111)</f>
        <v>42230.99861</v>
      </c>
      <c r="B1895" s="1">
        <f>IFERROR(__xludf.DUMMYFUNCTION("""COMPUTED_VALUE"""),9747.11335)</f>
        <v>9747.11335</v>
      </c>
    </row>
    <row r="1896">
      <c r="A1896" s="3">
        <f>IFERROR(__xludf.DUMMYFUNCTION("""COMPUTED_VALUE"""),42233.99861111111)</f>
        <v>42233.99861</v>
      </c>
      <c r="B1896" s="1">
        <f>IFERROR(__xludf.DUMMYFUNCTION("""COMPUTED_VALUE"""),9823.1724)</f>
        <v>9823.1724</v>
      </c>
    </row>
    <row r="1897">
      <c r="A1897" s="3">
        <f>IFERROR(__xludf.DUMMYFUNCTION("""COMPUTED_VALUE"""),42234.99861111111)</f>
        <v>42234.99861</v>
      </c>
      <c r="B1897" s="1">
        <f>IFERROR(__xludf.DUMMYFUNCTION("""COMPUTED_VALUE"""),9844.1532)</f>
        <v>9844.1532</v>
      </c>
    </row>
    <row r="1898">
      <c r="A1898" s="3">
        <f>IFERROR(__xludf.DUMMYFUNCTION("""COMPUTED_VALUE"""),42235.99861111111)</f>
        <v>42235.99861</v>
      </c>
      <c r="B1898" s="1">
        <f>IFERROR(__xludf.DUMMYFUNCTION("""COMPUTED_VALUE"""),9804.24872)</f>
        <v>9804.24872</v>
      </c>
    </row>
    <row r="1899">
      <c r="A1899" s="3">
        <f>IFERROR(__xludf.DUMMYFUNCTION("""COMPUTED_VALUE"""),42236.99861111111)</f>
        <v>42236.99861</v>
      </c>
      <c r="B1899" s="1">
        <f>IFERROR(__xludf.DUMMYFUNCTION("""COMPUTED_VALUE"""),9893.3402)</f>
        <v>9893.3402</v>
      </c>
    </row>
    <row r="1900">
      <c r="A1900" s="3">
        <f>IFERROR(__xludf.DUMMYFUNCTION("""COMPUTED_VALUE"""),42237.99861111111)</f>
        <v>42237.99861</v>
      </c>
      <c r="B1900" s="1">
        <f>IFERROR(__xludf.DUMMYFUNCTION("""COMPUTED_VALUE"""),9807.2685)</f>
        <v>9807.2685</v>
      </c>
    </row>
    <row r="1901">
      <c r="A1901" s="3">
        <f>IFERROR(__xludf.DUMMYFUNCTION("""COMPUTED_VALUE"""),42240.99861111111)</f>
        <v>42240.99861</v>
      </c>
      <c r="B1901" s="1">
        <f>IFERROR(__xludf.DUMMYFUNCTION("""COMPUTED_VALUE"""),9863.64775)</f>
        <v>9863.64775</v>
      </c>
    </row>
    <row r="1902">
      <c r="A1902" s="3">
        <f>IFERROR(__xludf.DUMMYFUNCTION("""COMPUTED_VALUE"""),42241.99861111111)</f>
        <v>42241.99861</v>
      </c>
      <c r="B1902" s="1">
        <f>IFERROR(__xludf.DUMMYFUNCTION("""COMPUTED_VALUE"""),9826.29)</f>
        <v>9826.29</v>
      </c>
    </row>
    <row r="1903">
      <c r="A1903" s="3">
        <f>IFERROR(__xludf.DUMMYFUNCTION("""COMPUTED_VALUE"""),42242.99861111111)</f>
        <v>42242.99861</v>
      </c>
      <c r="B1903" s="1">
        <f>IFERROR(__xludf.DUMMYFUNCTION("""COMPUTED_VALUE"""),9935.8904)</f>
        <v>9935.8904</v>
      </c>
    </row>
    <row r="1904">
      <c r="A1904" s="3">
        <f>IFERROR(__xludf.DUMMYFUNCTION("""COMPUTED_VALUE"""),42243.99861111111)</f>
        <v>42243.99861</v>
      </c>
      <c r="B1904" s="1">
        <f>IFERROR(__xludf.DUMMYFUNCTION("""COMPUTED_VALUE"""),9849.9059)</f>
        <v>9849.9059</v>
      </c>
    </row>
    <row r="1905">
      <c r="A1905" s="3">
        <f>IFERROR(__xludf.DUMMYFUNCTION("""COMPUTED_VALUE"""),42244.99861111111)</f>
        <v>42244.99861</v>
      </c>
      <c r="B1905" s="1">
        <f>IFERROR(__xludf.DUMMYFUNCTION("""COMPUTED_VALUE"""),9870.2578)</f>
        <v>9870.2578</v>
      </c>
    </row>
    <row r="1906">
      <c r="A1906" s="3">
        <f>IFERROR(__xludf.DUMMYFUNCTION("""COMPUTED_VALUE"""),42247.99861111111)</f>
        <v>42247.99861</v>
      </c>
      <c r="B1906" s="1">
        <f>IFERROR(__xludf.DUMMYFUNCTION("""COMPUTED_VALUE"""),9924.6)</f>
        <v>9924.6</v>
      </c>
    </row>
    <row r="1907">
      <c r="A1907" s="3">
        <f>IFERROR(__xludf.DUMMYFUNCTION("""COMPUTED_VALUE"""),42248.99861111111)</f>
        <v>42248.99861</v>
      </c>
      <c r="B1907" s="1">
        <f>IFERROR(__xludf.DUMMYFUNCTION("""COMPUTED_VALUE"""),9892.45348)</f>
        <v>9892.45348</v>
      </c>
    </row>
    <row r="1908">
      <c r="A1908" s="3">
        <f>IFERROR(__xludf.DUMMYFUNCTION("""COMPUTED_VALUE"""),42249.99861111111)</f>
        <v>42249.99861</v>
      </c>
      <c r="B1908" s="1">
        <f>IFERROR(__xludf.DUMMYFUNCTION("""COMPUTED_VALUE"""),9921.4075)</f>
        <v>9921.4075</v>
      </c>
    </row>
    <row r="1909">
      <c r="A1909" s="3">
        <f>IFERROR(__xludf.DUMMYFUNCTION("""COMPUTED_VALUE"""),42250.99861111111)</f>
        <v>42250.99861</v>
      </c>
      <c r="B1909" s="1">
        <f>IFERROR(__xludf.DUMMYFUNCTION("""COMPUTED_VALUE"""),9929.18675)</f>
        <v>9929.18675</v>
      </c>
    </row>
    <row r="1910">
      <c r="A1910" s="3">
        <f>IFERROR(__xludf.DUMMYFUNCTION("""COMPUTED_VALUE"""),42251.99861111111)</f>
        <v>42251.99861</v>
      </c>
      <c r="B1910" s="1">
        <f>IFERROR(__xludf.DUMMYFUNCTION("""COMPUTED_VALUE"""),9958.6839)</f>
        <v>9958.6839</v>
      </c>
    </row>
    <row r="1911">
      <c r="A1911" s="3">
        <f>IFERROR(__xludf.DUMMYFUNCTION("""COMPUTED_VALUE"""),42254.99861111111)</f>
        <v>42254.99861</v>
      </c>
      <c r="B1911" s="1">
        <f>IFERROR(__xludf.DUMMYFUNCTION("""COMPUTED_VALUE"""),10000.2085)</f>
        <v>10000.2085</v>
      </c>
    </row>
    <row r="1912">
      <c r="A1912" s="3">
        <f>IFERROR(__xludf.DUMMYFUNCTION("""COMPUTED_VALUE"""),42255.99861111111)</f>
        <v>42255.99861</v>
      </c>
      <c r="B1912" s="1">
        <f>IFERROR(__xludf.DUMMYFUNCTION("""COMPUTED_VALUE"""),9990.1632)</f>
        <v>9990.1632</v>
      </c>
    </row>
    <row r="1913">
      <c r="A1913" s="3">
        <f>IFERROR(__xludf.DUMMYFUNCTION("""COMPUTED_VALUE"""),42256.99861111111)</f>
        <v>42256.99861</v>
      </c>
      <c r="B1913" s="1">
        <f>IFERROR(__xludf.DUMMYFUNCTION("""COMPUTED_VALUE"""),10029.0075)</f>
        <v>10029.0075</v>
      </c>
    </row>
    <row r="1914">
      <c r="A1914" s="3">
        <f>IFERROR(__xludf.DUMMYFUNCTION("""COMPUTED_VALUE"""),42257.99861111111)</f>
        <v>42257.99861</v>
      </c>
      <c r="B1914" s="1">
        <f>IFERROR(__xludf.DUMMYFUNCTION("""COMPUTED_VALUE"""),10068.7002)</f>
        <v>10068.7002</v>
      </c>
    </row>
    <row r="1915">
      <c r="A1915" s="3">
        <f>IFERROR(__xludf.DUMMYFUNCTION("""COMPUTED_VALUE"""),42258.99861111111)</f>
        <v>42258.99861</v>
      </c>
      <c r="B1915" s="1">
        <f>IFERROR(__xludf.DUMMYFUNCTION("""COMPUTED_VALUE"""),10090.1743)</f>
        <v>10090.1743</v>
      </c>
    </row>
    <row r="1916">
      <c r="A1916" s="3">
        <f>IFERROR(__xludf.DUMMYFUNCTION("""COMPUTED_VALUE"""),42261.99861111111)</f>
        <v>42261.99861</v>
      </c>
      <c r="B1916" s="1">
        <f>IFERROR(__xludf.DUMMYFUNCTION("""COMPUTED_VALUE"""),10178.5599)</f>
        <v>10178.5599</v>
      </c>
    </row>
    <row r="1917">
      <c r="A1917" s="3">
        <f>IFERROR(__xludf.DUMMYFUNCTION("""COMPUTED_VALUE"""),42262.99861111111)</f>
        <v>42262.99861</v>
      </c>
      <c r="B1917" s="1">
        <f>IFERROR(__xludf.DUMMYFUNCTION("""COMPUTED_VALUE"""),10260.0)</f>
        <v>10260</v>
      </c>
    </row>
    <row r="1918">
      <c r="A1918" s="3">
        <f>IFERROR(__xludf.DUMMYFUNCTION("""COMPUTED_VALUE"""),42263.99861111111)</f>
        <v>42263.99861</v>
      </c>
      <c r="B1918" s="1">
        <f>IFERROR(__xludf.DUMMYFUNCTION("""COMPUTED_VALUE"""),10289.90644)</f>
        <v>10289.90644</v>
      </c>
    </row>
    <row r="1919">
      <c r="A1919" s="3">
        <f>IFERROR(__xludf.DUMMYFUNCTION("""COMPUTED_VALUE"""),42264.99861111111)</f>
        <v>42264.99861</v>
      </c>
      <c r="B1919" s="1">
        <f>IFERROR(__xludf.DUMMYFUNCTION("""COMPUTED_VALUE"""),10183.25075)</f>
        <v>10183.25075</v>
      </c>
    </row>
    <row r="1920">
      <c r="A1920" s="3">
        <f>IFERROR(__xludf.DUMMYFUNCTION("""COMPUTED_VALUE"""),42265.99861111111)</f>
        <v>42265.99861</v>
      </c>
      <c r="B1920" s="1">
        <f>IFERROR(__xludf.DUMMYFUNCTION("""COMPUTED_VALUE"""),10276.97259)</f>
        <v>10276.97259</v>
      </c>
    </row>
    <row r="1921">
      <c r="A1921" s="3">
        <f>IFERROR(__xludf.DUMMYFUNCTION("""COMPUTED_VALUE"""),42268.99861111111)</f>
        <v>42268.99861</v>
      </c>
      <c r="B1921" s="1">
        <f>IFERROR(__xludf.DUMMYFUNCTION("""COMPUTED_VALUE"""),10259.5194)</f>
        <v>10259.5194</v>
      </c>
    </row>
    <row r="1922">
      <c r="A1922" s="3">
        <f>IFERROR(__xludf.DUMMYFUNCTION("""COMPUTED_VALUE"""),42269.99861111111)</f>
        <v>42269.99861</v>
      </c>
      <c r="B1922" s="1">
        <f>IFERROR(__xludf.DUMMYFUNCTION("""COMPUTED_VALUE"""),10292.394)</f>
        <v>10292.394</v>
      </c>
    </row>
    <row r="1923">
      <c r="A1923" s="3">
        <f>IFERROR(__xludf.DUMMYFUNCTION("""COMPUTED_VALUE"""),42270.99861111111)</f>
        <v>42270.99861</v>
      </c>
      <c r="B1923" s="1">
        <f>IFERROR(__xludf.DUMMYFUNCTION("""COMPUTED_VALUE"""),10261.908)</f>
        <v>10261.908</v>
      </c>
    </row>
    <row r="1924">
      <c r="A1924" s="3">
        <f>IFERROR(__xludf.DUMMYFUNCTION("""COMPUTED_VALUE"""),42271.99861111111)</f>
        <v>42271.99861</v>
      </c>
      <c r="B1924" s="1">
        <f>IFERROR(__xludf.DUMMYFUNCTION("""COMPUTED_VALUE"""),10295.6994)</f>
        <v>10295.6994</v>
      </c>
    </row>
    <row r="1925">
      <c r="A1925" s="3">
        <f>IFERROR(__xludf.DUMMYFUNCTION("""COMPUTED_VALUE"""),42272.99861111111)</f>
        <v>42272.99861</v>
      </c>
      <c r="B1925" s="1">
        <f>IFERROR(__xludf.DUMMYFUNCTION("""COMPUTED_VALUE"""),10251.63295)</f>
        <v>10251.63295</v>
      </c>
    </row>
    <row r="1926">
      <c r="A1926" s="3">
        <f>IFERROR(__xludf.DUMMYFUNCTION("""COMPUTED_VALUE"""),42275.99861111111)</f>
        <v>42275.99861</v>
      </c>
      <c r="B1926" s="1">
        <f>IFERROR(__xludf.DUMMYFUNCTION("""COMPUTED_VALUE"""),10267.76511)</f>
        <v>10267.76511</v>
      </c>
    </row>
    <row r="1927">
      <c r="A1927" s="3">
        <f>IFERROR(__xludf.DUMMYFUNCTION("""COMPUTED_VALUE"""),42276.99861111111)</f>
        <v>42276.99861</v>
      </c>
      <c r="B1927" s="1">
        <f>IFERROR(__xludf.DUMMYFUNCTION("""COMPUTED_VALUE"""),10280.6976)</f>
        <v>10280.6976</v>
      </c>
    </row>
    <row r="1928">
      <c r="A1928" s="3">
        <f>IFERROR(__xludf.DUMMYFUNCTION("""COMPUTED_VALUE"""),42277.99861111111)</f>
        <v>42277.99861</v>
      </c>
      <c r="B1928" s="1">
        <f>IFERROR(__xludf.DUMMYFUNCTION("""COMPUTED_VALUE"""),10219.8696)</f>
        <v>10219.8696</v>
      </c>
    </row>
    <row r="1929">
      <c r="A1929" s="3">
        <f>IFERROR(__xludf.DUMMYFUNCTION("""COMPUTED_VALUE"""),42278.99861111111)</f>
        <v>42278.99861</v>
      </c>
      <c r="B1929" s="1">
        <f>IFERROR(__xludf.DUMMYFUNCTION("""COMPUTED_VALUE"""),10247.3154)</f>
        <v>10247.3154</v>
      </c>
    </row>
    <row r="1930">
      <c r="A1930" s="3">
        <f>IFERROR(__xludf.DUMMYFUNCTION("""COMPUTED_VALUE"""),42279.99861111111)</f>
        <v>42279.99861</v>
      </c>
      <c r="B1930" s="1">
        <f>IFERROR(__xludf.DUMMYFUNCTION("""COMPUTED_VALUE"""),10188.88615)</f>
        <v>10188.88615</v>
      </c>
    </row>
    <row r="1931">
      <c r="A1931" s="3">
        <f>IFERROR(__xludf.DUMMYFUNCTION("""COMPUTED_VALUE"""),42282.99861111111)</f>
        <v>42282.99861</v>
      </c>
      <c r="B1931" s="1">
        <f>IFERROR(__xludf.DUMMYFUNCTION("""COMPUTED_VALUE"""),10157.36808)</f>
        <v>10157.36808</v>
      </c>
    </row>
    <row r="1932">
      <c r="A1932" s="3">
        <f>IFERROR(__xludf.DUMMYFUNCTION("""COMPUTED_VALUE"""),42283.99861111111)</f>
        <v>42283.99861</v>
      </c>
      <c r="B1932" s="1">
        <f>IFERROR(__xludf.DUMMYFUNCTION("""COMPUTED_VALUE"""),9891.6318)</f>
        <v>9891.6318</v>
      </c>
    </row>
    <row r="1933">
      <c r="A1933" s="3">
        <f>IFERROR(__xludf.DUMMYFUNCTION("""COMPUTED_VALUE"""),42284.99861111111)</f>
        <v>42284.99861</v>
      </c>
      <c r="B1933" s="1">
        <f>IFERROR(__xludf.DUMMYFUNCTION("""COMPUTED_VALUE"""),9818.6384)</f>
        <v>9818.6384</v>
      </c>
    </row>
    <row r="1934">
      <c r="A1934" s="3">
        <f>IFERROR(__xludf.DUMMYFUNCTION("""COMPUTED_VALUE"""),42285.99861111111)</f>
        <v>42285.99861</v>
      </c>
      <c r="B1934" s="1">
        <f>IFERROR(__xludf.DUMMYFUNCTION("""COMPUTED_VALUE"""),9550.602)</f>
        <v>9550.602</v>
      </c>
    </row>
    <row r="1935">
      <c r="A1935" s="3">
        <f>IFERROR(__xludf.DUMMYFUNCTION("""COMPUTED_VALUE"""),42286.99861111111)</f>
        <v>42286.99861</v>
      </c>
      <c r="B1935" s="1">
        <f>IFERROR(__xludf.DUMMYFUNCTION("""COMPUTED_VALUE"""),9526.1976)</f>
        <v>9526.1976</v>
      </c>
    </row>
    <row r="1936">
      <c r="A1936" s="3">
        <f>IFERROR(__xludf.DUMMYFUNCTION("""COMPUTED_VALUE"""),42289.99861111111)</f>
        <v>42289.99861</v>
      </c>
      <c r="B1936" s="1">
        <f>IFERROR(__xludf.DUMMYFUNCTION("""COMPUTED_VALUE"""),9634.3521)</f>
        <v>9634.3521</v>
      </c>
    </row>
    <row r="1937">
      <c r="A1937" s="3">
        <f>IFERROR(__xludf.DUMMYFUNCTION("""COMPUTED_VALUE"""),42290.99861111111)</f>
        <v>42290.99861</v>
      </c>
      <c r="B1937" s="1">
        <f>IFERROR(__xludf.DUMMYFUNCTION("""COMPUTED_VALUE"""),9740.913)</f>
        <v>9740.913</v>
      </c>
    </row>
    <row r="1938">
      <c r="A1938" s="3">
        <f>IFERROR(__xludf.DUMMYFUNCTION("""COMPUTED_VALUE"""),42291.99861111111)</f>
        <v>42291.99861</v>
      </c>
      <c r="B1938" s="1">
        <f>IFERROR(__xludf.DUMMYFUNCTION("""COMPUTED_VALUE"""),9614.0304)</f>
        <v>9614.0304</v>
      </c>
    </row>
    <row r="1939">
      <c r="A1939" s="3">
        <f>IFERROR(__xludf.DUMMYFUNCTION("""COMPUTED_VALUE"""),42292.99861111111)</f>
        <v>42292.99861</v>
      </c>
      <c r="B1939" s="1">
        <f>IFERROR(__xludf.DUMMYFUNCTION("""COMPUTED_VALUE"""),9705.218)</f>
        <v>9705.218</v>
      </c>
    </row>
    <row r="1940">
      <c r="A1940" s="3">
        <f>IFERROR(__xludf.DUMMYFUNCTION("""COMPUTED_VALUE"""),42293.99861111111)</f>
        <v>42293.99861</v>
      </c>
      <c r="B1940" s="1">
        <f>IFERROR(__xludf.DUMMYFUNCTION("""COMPUTED_VALUE"""),9726.92875)</f>
        <v>9726.92875</v>
      </c>
    </row>
    <row r="1941">
      <c r="A1941" s="3">
        <f>IFERROR(__xludf.DUMMYFUNCTION("""COMPUTED_VALUE"""),42296.99861111111)</f>
        <v>42296.99861</v>
      </c>
      <c r="B1941" s="1">
        <f>IFERROR(__xludf.DUMMYFUNCTION("""COMPUTED_VALUE"""),9823.632)</f>
        <v>9823.632</v>
      </c>
    </row>
    <row r="1942">
      <c r="A1942" s="3">
        <f>IFERROR(__xludf.DUMMYFUNCTION("""COMPUTED_VALUE"""),42297.99861111111)</f>
        <v>42297.99861</v>
      </c>
      <c r="B1942" s="1">
        <f>IFERROR(__xludf.DUMMYFUNCTION("""COMPUTED_VALUE"""),9869.76977)</f>
        <v>9869.76977</v>
      </c>
    </row>
    <row r="1943">
      <c r="A1943" s="3">
        <f>IFERROR(__xludf.DUMMYFUNCTION("""COMPUTED_VALUE"""),42298.99861111111)</f>
        <v>42298.99861</v>
      </c>
      <c r="B1943" s="1">
        <f>IFERROR(__xludf.DUMMYFUNCTION("""COMPUTED_VALUE"""),9830.298)</f>
        <v>9830.298</v>
      </c>
    </row>
    <row r="1944">
      <c r="A1944" s="3">
        <f>IFERROR(__xludf.DUMMYFUNCTION("""COMPUTED_VALUE"""),42299.99861111111)</f>
        <v>42299.99861</v>
      </c>
      <c r="B1944" s="1">
        <f>IFERROR(__xludf.DUMMYFUNCTION("""COMPUTED_VALUE"""),9662.3782)</f>
        <v>9662.3782</v>
      </c>
    </row>
    <row r="1945">
      <c r="A1945" s="3">
        <f>IFERROR(__xludf.DUMMYFUNCTION("""COMPUTED_VALUE"""),42300.99861111111)</f>
        <v>42300.99861</v>
      </c>
      <c r="B1945" s="1">
        <f>IFERROR(__xludf.DUMMYFUNCTION("""COMPUTED_VALUE"""),9665.3128)</f>
        <v>9665.3128</v>
      </c>
    </row>
    <row r="1946">
      <c r="A1946" s="3">
        <f>IFERROR(__xludf.DUMMYFUNCTION("""COMPUTED_VALUE"""),42303.99861111111)</f>
        <v>42303.99861</v>
      </c>
      <c r="B1946" s="1">
        <f>IFERROR(__xludf.DUMMYFUNCTION("""COMPUTED_VALUE"""),9773.8854)</f>
        <v>9773.8854</v>
      </c>
    </row>
    <row r="1947">
      <c r="A1947" s="3">
        <f>IFERROR(__xludf.DUMMYFUNCTION("""COMPUTED_VALUE"""),42304.99861111111)</f>
        <v>42304.99861</v>
      </c>
      <c r="B1947" s="1">
        <f>IFERROR(__xludf.DUMMYFUNCTION("""COMPUTED_VALUE"""),9771.216)</f>
        <v>9771.216</v>
      </c>
    </row>
    <row r="1948">
      <c r="A1948" s="3">
        <f>IFERROR(__xludf.DUMMYFUNCTION("""COMPUTED_VALUE"""),42305.99861111111)</f>
        <v>42305.99861</v>
      </c>
      <c r="B1948" s="1">
        <f>IFERROR(__xludf.DUMMYFUNCTION("""COMPUTED_VALUE"""),9695.77764)</f>
        <v>9695.77764</v>
      </c>
    </row>
    <row r="1949">
      <c r="A1949" s="3">
        <f>IFERROR(__xludf.DUMMYFUNCTION("""COMPUTED_VALUE"""),42306.99861111111)</f>
        <v>42306.99861</v>
      </c>
      <c r="B1949" s="1">
        <f>IFERROR(__xludf.DUMMYFUNCTION("""COMPUTED_VALUE"""),9693.32928)</f>
        <v>9693.32928</v>
      </c>
    </row>
    <row r="1950">
      <c r="A1950" s="3">
        <f>IFERROR(__xludf.DUMMYFUNCTION("""COMPUTED_VALUE"""),42307.99861111111)</f>
        <v>42307.99861</v>
      </c>
      <c r="B1950" s="1">
        <f>IFERROR(__xludf.DUMMYFUNCTION("""COMPUTED_VALUE"""),9718.3263)</f>
        <v>9718.3263</v>
      </c>
    </row>
    <row r="1951">
      <c r="A1951" s="3">
        <f>IFERROR(__xludf.DUMMYFUNCTION("""COMPUTED_VALUE"""),42310.99861111111)</f>
        <v>42310.99861</v>
      </c>
      <c r="B1951" s="1">
        <f>IFERROR(__xludf.DUMMYFUNCTION("""COMPUTED_VALUE"""),9708.4778)</f>
        <v>9708.4778</v>
      </c>
    </row>
    <row r="1952">
      <c r="A1952" s="3">
        <f>IFERROR(__xludf.DUMMYFUNCTION("""COMPUTED_VALUE"""),42311.99861111111)</f>
        <v>42311.99861</v>
      </c>
      <c r="B1952" s="1">
        <f>IFERROR(__xludf.DUMMYFUNCTION("""COMPUTED_VALUE"""),9593.7669)</f>
        <v>9593.7669</v>
      </c>
    </row>
    <row r="1953">
      <c r="A1953" s="3">
        <f>IFERROR(__xludf.DUMMYFUNCTION("""COMPUTED_VALUE"""),42312.99861111111)</f>
        <v>42312.99861</v>
      </c>
      <c r="B1953" s="1">
        <f>IFERROR(__xludf.DUMMYFUNCTION("""COMPUTED_VALUE"""),9585.47655)</f>
        <v>9585.47655</v>
      </c>
    </row>
    <row r="1954">
      <c r="A1954" s="3">
        <f>IFERROR(__xludf.DUMMYFUNCTION("""COMPUTED_VALUE"""),42313.99861111111)</f>
        <v>42313.99861</v>
      </c>
      <c r="B1954" s="1">
        <f>IFERROR(__xludf.DUMMYFUNCTION("""COMPUTED_VALUE"""),9614.51675)</f>
        <v>9614.51675</v>
      </c>
    </row>
    <row r="1955">
      <c r="A1955" s="3">
        <f>IFERROR(__xludf.DUMMYFUNCTION("""COMPUTED_VALUE"""),42314.99861111111)</f>
        <v>42314.99861</v>
      </c>
      <c r="B1955" s="1">
        <f>IFERROR(__xludf.DUMMYFUNCTION("""COMPUTED_VALUE"""),9565.108)</f>
        <v>9565.108</v>
      </c>
    </row>
    <row r="1956">
      <c r="A1956" s="3">
        <f>IFERROR(__xludf.DUMMYFUNCTION("""COMPUTED_VALUE"""),42317.99861111111)</f>
        <v>42317.99861</v>
      </c>
      <c r="B1956" s="1">
        <f>IFERROR(__xludf.DUMMYFUNCTION("""COMPUTED_VALUE"""),9591.3434)</f>
        <v>9591.3434</v>
      </c>
    </row>
    <row r="1957">
      <c r="A1957" s="3">
        <f>IFERROR(__xludf.DUMMYFUNCTION("""COMPUTED_VALUE"""),42318.99861111111)</f>
        <v>42318.99861</v>
      </c>
      <c r="B1957" s="1">
        <f>IFERROR(__xludf.DUMMYFUNCTION("""COMPUTED_VALUE"""),9542.172)</f>
        <v>9542.172</v>
      </c>
    </row>
    <row r="1958">
      <c r="A1958" s="3">
        <f>IFERROR(__xludf.DUMMYFUNCTION("""COMPUTED_VALUE"""),42319.99861111111)</f>
        <v>42319.99861</v>
      </c>
      <c r="B1958" s="1">
        <f>IFERROR(__xludf.DUMMYFUNCTION("""COMPUTED_VALUE"""),9531.338)</f>
        <v>9531.338</v>
      </c>
    </row>
    <row r="1959">
      <c r="A1959" s="3">
        <f>IFERROR(__xludf.DUMMYFUNCTION("""COMPUTED_VALUE"""),42320.99861111111)</f>
        <v>42320.99861</v>
      </c>
      <c r="B1959" s="1">
        <f>IFERROR(__xludf.DUMMYFUNCTION("""COMPUTED_VALUE"""),9595.1861)</f>
        <v>9595.1861</v>
      </c>
    </row>
    <row r="1960">
      <c r="A1960" s="3">
        <f>IFERROR(__xludf.DUMMYFUNCTION("""COMPUTED_VALUE"""),42321.99861111111)</f>
        <v>42321.99861</v>
      </c>
      <c r="B1960" s="1">
        <f>IFERROR(__xludf.DUMMYFUNCTION("""COMPUTED_VALUE"""),9647.586)</f>
        <v>9647.586</v>
      </c>
    </row>
    <row r="1961">
      <c r="A1961" s="3">
        <f>IFERROR(__xludf.DUMMYFUNCTION("""COMPUTED_VALUE"""),42324.99861111111)</f>
        <v>42324.99861</v>
      </c>
      <c r="B1961" s="1">
        <f>IFERROR(__xludf.DUMMYFUNCTION("""COMPUTED_VALUE"""),9635.90152)</f>
        <v>9635.90152</v>
      </c>
    </row>
    <row r="1962">
      <c r="A1962" s="3">
        <f>IFERROR(__xludf.DUMMYFUNCTION("""COMPUTED_VALUE"""),42325.99861111111)</f>
        <v>42325.99861</v>
      </c>
      <c r="B1962" s="1">
        <f>IFERROR(__xludf.DUMMYFUNCTION("""COMPUTED_VALUE"""),9630.6168)</f>
        <v>9630.6168</v>
      </c>
    </row>
    <row r="1963">
      <c r="A1963" s="3">
        <f>IFERROR(__xludf.DUMMYFUNCTION("""COMPUTED_VALUE"""),42326.99861111111)</f>
        <v>42326.99861</v>
      </c>
      <c r="B1963" s="1">
        <f>IFERROR(__xludf.DUMMYFUNCTION("""COMPUTED_VALUE"""),9645.3049)</f>
        <v>9645.3049</v>
      </c>
    </row>
    <row r="1964">
      <c r="A1964" s="3">
        <f>IFERROR(__xludf.DUMMYFUNCTION("""COMPUTED_VALUE"""),42327.99861111111)</f>
        <v>42327.99861</v>
      </c>
      <c r="B1964" s="1">
        <f>IFERROR(__xludf.DUMMYFUNCTION("""COMPUTED_VALUE"""),9659.95665)</f>
        <v>9659.95665</v>
      </c>
    </row>
    <row r="1965">
      <c r="A1965" s="3">
        <f>IFERROR(__xludf.DUMMYFUNCTION("""COMPUTED_VALUE"""),42328.99861111111)</f>
        <v>42328.99861</v>
      </c>
      <c r="B1965" s="1">
        <f>IFERROR(__xludf.DUMMYFUNCTION("""COMPUTED_VALUE"""),9580.4978)</f>
        <v>9580.4978</v>
      </c>
    </row>
    <row r="1966">
      <c r="A1966" s="3">
        <f>IFERROR(__xludf.DUMMYFUNCTION("""COMPUTED_VALUE"""),42330.99861111111)</f>
        <v>42330.99861</v>
      </c>
      <c r="B1966" s="1">
        <f>IFERROR(__xludf.DUMMYFUNCTION("""COMPUTED_VALUE"""),9713.870984)</f>
        <v>9713.870984</v>
      </c>
    </row>
    <row r="1967">
      <c r="A1967" s="3">
        <f>IFERROR(__xludf.DUMMYFUNCTION("""COMPUTED_VALUE"""),42331.99861111111)</f>
        <v>42331.99861</v>
      </c>
      <c r="B1967" s="1">
        <f>IFERROR(__xludf.DUMMYFUNCTION("""COMPUTED_VALUE"""),9638.1978)</f>
        <v>9638.1978</v>
      </c>
    </row>
    <row r="1968">
      <c r="A1968" s="3">
        <f>IFERROR(__xludf.DUMMYFUNCTION("""COMPUTED_VALUE"""),42332.99861111111)</f>
        <v>42332.99861</v>
      </c>
      <c r="B1968" s="1">
        <f>IFERROR(__xludf.DUMMYFUNCTION("""COMPUTED_VALUE"""),9660.3936)</f>
        <v>9660.3936</v>
      </c>
    </row>
    <row r="1969">
      <c r="A1969" s="3">
        <f>IFERROR(__xludf.DUMMYFUNCTION("""COMPUTED_VALUE"""),42333.99861111111)</f>
        <v>42333.99861</v>
      </c>
      <c r="B1969" s="1">
        <f>IFERROR(__xludf.DUMMYFUNCTION("""COMPUTED_VALUE"""),9672.8184)</f>
        <v>9672.8184</v>
      </c>
    </row>
    <row r="1970">
      <c r="A1970" s="3">
        <f>IFERROR(__xludf.DUMMYFUNCTION("""COMPUTED_VALUE"""),42334.99861111111)</f>
        <v>42334.99861</v>
      </c>
      <c r="B1970" s="1">
        <f>IFERROR(__xludf.DUMMYFUNCTION("""COMPUTED_VALUE"""),9750.4765)</f>
        <v>9750.4765</v>
      </c>
    </row>
    <row r="1971">
      <c r="A1971" s="3">
        <f>IFERROR(__xludf.DUMMYFUNCTION("""COMPUTED_VALUE"""),42335.99861111111)</f>
        <v>42335.99861</v>
      </c>
      <c r="B1971" s="1">
        <f>IFERROR(__xludf.DUMMYFUNCTION("""COMPUTED_VALUE"""),9637.2927)</f>
        <v>9637.2927</v>
      </c>
    </row>
    <row r="1972">
      <c r="A1972" s="3">
        <f>IFERROR(__xludf.DUMMYFUNCTION("""COMPUTED_VALUE"""),42338.99861111111)</f>
        <v>42338.99861</v>
      </c>
      <c r="B1972" s="1">
        <f>IFERROR(__xludf.DUMMYFUNCTION("""COMPUTED_VALUE"""),9841.10338)</f>
        <v>9841.10338</v>
      </c>
    </row>
    <row r="1973">
      <c r="A1973" s="3">
        <f>IFERROR(__xludf.DUMMYFUNCTION("""COMPUTED_VALUE"""),42339.99861111111)</f>
        <v>42339.99861</v>
      </c>
      <c r="B1973" s="1">
        <f>IFERROR(__xludf.DUMMYFUNCTION("""COMPUTED_VALUE"""),9824.0852)</f>
        <v>9824.0852</v>
      </c>
    </row>
    <row r="1974">
      <c r="A1974" s="3">
        <f>IFERROR(__xludf.DUMMYFUNCTION("""COMPUTED_VALUE"""),42340.99861111111)</f>
        <v>42340.99861</v>
      </c>
      <c r="B1974" s="1">
        <f>IFERROR(__xludf.DUMMYFUNCTION("""COMPUTED_VALUE"""),9777.28898)</f>
        <v>9777.28898</v>
      </c>
    </row>
    <row r="1975">
      <c r="A1975" s="3">
        <f>IFERROR(__xludf.DUMMYFUNCTION("""COMPUTED_VALUE"""),42341.99861111111)</f>
        <v>42341.99861</v>
      </c>
      <c r="B1975" s="1">
        <f>IFERROR(__xludf.DUMMYFUNCTION("""COMPUTED_VALUE"""),9802.6071)</f>
        <v>9802.6071</v>
      </c>
    </row>
    <row r="1976">
      <c r="A1976" s="3">
        <f>IFERROR(__xludf.DUMMYFUNCTION("""COMPUTED_VALUE"""),42342.99861111111)</f>
        <v>42342.99861</v>
      </c>
      <c r="B1976" s="1">
        <f>IFERROR(__xludf.DUMMYFUNCTION("""COMPUTED_VALUE"""),9836.14452)</f>
        <v>9836.14452</v>
      </c>
    </row>
    <row r="1977">
      <c r="A1977" s="3">
        <f>IFERROR(__xludf.DUMMYFUNCTION("""COMPUTED_VALUE"""),42345.99861111111)</f>
        <v>42345.99861</v>
      </c>
      <c r="B1977" s="1">
        <f>IFERROR(__xludf.DUMMYFUNCTION("""COMPUTED_VALUE"""),9855.4672)</f>
        <v>9855.4672</v>
      </c>
    </row>
    <row r="1978">
      <c r="A1978" s="3">
        <f>IFERROR(__xludf.DUMMYFUNCTION("""COMPUTED_VALUE"""),42346.99861111111)</f>
        <v>42346.99861</v>
      </c>
      <c r="B1978" s="1">
        <f>IFERROR(__xludf.DUMMYFUNCTION("""COMPUTED_VALUE"""),9925.09)</f>
        <v>9925.09</v>
      </c>
    </row>
    <row r="1979">
      <c r="A1979" s="3">
        <f>IFERROR(__xludf.DUMMYFUNCTION("""COMPUTED_VALUE"""),42347.99861111111)</f>
        <v>42347.99861</v>
      </c>
      <c r="B1979" s="1">
        <f>IFERROR(__xludf.DUMMYFUNCTION("""COMPUTED_VALUE"""),9910.0656)</f>
        <v>9910.0656</v>
      </c>
    </row>
    <row r="1980">
      <c r="A1980" s="3">
        <f>IFERROR(__xludf.DUMMYFUNCTION("""COMPUTED_VALUE"""),42348.99861111111)</f>
        <v>42348.99861</v>
      </c>
      <c r="B1980" s="1">
        <f>IFERROR(__xludf.DUMMYFUNCTION("""COMPUTED_VALUE"""),9919.3345)</f>
        <v>9919.3345</v>
      </c>
    </row>
    <row r="1981">
      <c r="A1981" s="3">
        <f>IFERROR(__xludf.DUMMYFUNCTION("""COMPUTED_VALUE"""),42349.99861111111)</f>
        <v>42349.99861</v>
      </c>
      <c r="B1981" s="1">
        <f>IFERROR(__xludf.DUMMYFUNCTION("""COMPUTED_VALUE"""),9985.8123)</f>
        <v>9985.8123</v>
      </c>
    </row>
    <row r="1982">
      <c r="A1982" s="3">
        <f>IFERROR(__xludf.DUMMYFUNCTION("""COMPUTED_VALUE"""),42352.99861111111)</f>
        <v>42352.99861</v>
      </c>
      <c r="B1982" s="1">
        <f>IFERROR(__xludf.DUMMYFUNCTION("""COMPUTED_VALUE"""),9937.45009)</f>
        <v>9937.45009</v>
      </c>
    </row>
    <row r="1983">
      <c r="A1983" s="3">
        <f>IFERROR(__xludf.DUMMYFUNCTION("""COMPUTED_VALUE"""),42353.99861111111)</f>
        <v>42353.99861</v>
      </c>
      <c r="B1983" s="1">
        <f>IFERROR(__xludf.DUMMYFUNCTION("""COMPUTED_VALUE"""),9936.7213)</f>
        <v>9936.7213</v>
      </c>
    </row>
    <row r="1984">
      <c r="A1984" s="3">
        <f>IFERROR(__xludf.DUMMYFUNCTION("""COMPUTED_VALUE"""),42354.99861111111)</f>
        <v>42354.99861</v>
      </c>
      <c r="B1984" s="1">
        <f>IFERROR(__xludf.DUMMYFUNCTION("""COMPUTED_VALUE"""),9750.4736)</f>
        <v>9750.4736</v>
      </c>
    </row>
    <row r="1985">
      <c r="A1985" s="3">
        <f>IFERROR(__xludf.DUMMYFUNCTION("""COMPUTED_VALUE"""),42355.99861111111)</f>
        <v>42355.99861</v>
      </c>
      <c r="B1985" s="1">
        <f>IFERROR(__xludf.DUMMYFUNCTION("""COMPUTED_VALUE"""),9885.9226)</f>
        <v>9885.9226</v>
      </c>
    </row>
    <row r="1986">
      <c r="A1986" s="3">
        <f>IFERROR(__xludf.DUMMYFUNCTION("""COMPUTED_VALUE"""),42356.99861111111)</f>
        <v>42356.99861</v>
      </c>
      <c r="B1986" s="1">
        <f>IFERROR(__xludf.DUMMYFUNCTION("""COMPUTED_VALUE"""),9806.7145)</f>
        <v>9806.7145</v>
      </c>
    </row>
    <row r="1987">
      <c r="A1987" s="3">
        <f>IFERROR(__xludf.DUMMYFUNCTION("""COMPUTED_VALUE"""),42359.99861111111)</f>
        <v>42359.99861</v>
      </c>
      <c r="B1987" s="1">
        <f>IFERROR(__xludf.DUMMYFUNCTION("""COMPUTED_VALUE"""),9772.7648)</f>
        <v>9772.7648</v>
      </c>
    </row>
    <row r="1988">
      <c r="A1988" s="3">
        <f>IFERROR(__xludf.DUMMYFUNCTION("""COMPUTED_VALUE"""),42360.99861111111)</f>
        <v>42360.99861</v>
      </c>
      <c r="B1988" s="1">
        <f>IFERROR(__xludf.DUMMYFUNCTION("""COMPUTED_VALUE"""),9716.46805)</f>
        <v>9716.46805</v>
      </c>
    </row>
    <row r="1989">
      <c r="A1989" s="3">
        <f>IFERROR(__xludf.DUMMYFUNCTION("""COMPUTED_VALUE"""),42361.99861111111)</f>
        <v>42361.99861</v>
      </c>
      <c r="B1989" s="1">
        <f>IFERROR(__xludf.DUMMYFUNCTION("""COMPUTED_VALUE"""),9698.68375)</f>
        <v>9698.68375</v>
      </c>
    </row>
    <row r="1990">
      <c r="A1990" s="3">
        <f>IFERROR(__xludf.DUMMYFUNCTION("""COMPUTED_VALUE"""),42362.99861111111)</f>
        <v>42362.99861</v>
      </c>
      <c r="B1990" s="1">
        <f>IFERROR(__xludf.DUMMYFUNCTION("""COMPUTED_VALUE"""),9690.5211)</f>
        <v>9690.5211</v>
      </c>
    </row>
    <row r="1991">
      <c r="A1991" s="3">
        <f>IFERROR(__xludf.DUMMYFUNCTION("""COMPUTED_VALUE"""),42363.99861111111)</f>
        <v>42363.99861</v>
      </c>
      <c r="B1991" s="1">
        <f>IFERROR(__xludf.DUMMYFUNCTION("""COMPUTED_VALUE"""),9694.8827)</f>
        <v>9694.8827</v>
      </c>
    </row>
    <row r="1992">
      <c r="A1992" s="3">
        <f>IFERROR(__xludf.DUMMYFUNCTION("""COMPUTED_VALUE"""),42366.99861111111)</f>
        <v>42366.99861</v>
      </c>
      <c r="B1992" s="1">
        <f>IFERROR(__xludf.DUMMYFUNCTION("""COMPUTED_VALUE"""),9588.60235)</f>
        <v>9588.60235</v>
      </c>
    </row>
    <row r="1993">
      <c r="A1993" s="3">
        <f>IFERROR(__xludf.DUMMYFUNCTION("""COMPUTED_VALUE"""),42367.99861111111)</f>
        <v>42367.99861</v>
      </c>
      <c r="B1993" s="1">
        <f>IFERROR(__xludf.DUMMYFUNCTION("""COMPUTED_VALUE"""),9687.67692)</f>
        <v>9687.67692</v>
      </c>
    </row>
    <row r="1994">
      <c r="A1994" s="3">
        <f>IFERROR(__xludf.DUMMYFUNCTION("""COMPUTED_VALUE"""),42368.99861111111)</f>
        <v>42368.99861</v>
      </c>
      <c r="B1994" s="1">
        <f>IFERROR(__xludf.DUMMYFUNCTION("""COMPUTED_VALUE"""),9783.7077)</f>
        <v>9783.7077</v>
      </c>
    </row>
    <row r="1995">
      <c r="A1995" s="3">
        <f>IFERROR(__xludf.DUMMYFUNCTION("""COMPUTED_VALUE"""),42369.99861111111)</f>
        <v>42369.99861</v>
      </c>
      <c r="B1995" s="1">
        <f>IFERROR(__xludf.DUMMYFUNCTION("""COMPUTED_VALUE"""),9703.11)</f>
        <v>9703.11</v>
      </c>
    </row>
    <row r="1996">
      <c r="A1996" s="3">
        <f>IFERROR(__xludf.DUMMYFUNCTION("""COMPUTED_VALUE"""),42370.99861111111)</f>
        <v>42370.99861</v>
      </c>
      <c r="B1996" s="1">
        <f>IFERROR(__xludf.DUMMYFUNCTION("""COMPUTED_VALUE"""),9717.84925)</f>
        <v>9717.84925</v>
      </c>
    </row>
    <row r="1997">
      <c r="A1997" s="3">
        <f>IFERROR(__xludf.DUMMYFUNCTION("""COMPUTED_VALUE"""),42372.99861111111)</f>
        <v>42372.99861</v>
      </c>
      <c r="B1997" s="1">
        <f>IFERROR(__xludf.DUMMYFUNCTION("""COMPUTED_VALUE"""),9733.00774)</f>
        <v>9733.00774</v>
      </c>
    </row>
    <row r="1998">
      <c r="A1998" s="3">
        <f>IFERROR(__xludf.DUMMYFUNCTION("""COMPUTED_VALUE"""),42373.99861111111)</f>
        <v>42373.99861</v>
      </c>
      <c r="B1998" s="1">
        <f>IFERROR(__xludf.DUMMYFUNCTION("""COMPUTED_VALUE"""),9783.71743)</f>
        <v>9783.71743</v>
      </c>
    </row>
    <row r="1999">
      <c r="A1999" s="3">
        <f>IFERROR(__xludf.DUMMYFUNCTION("""COMPUTED_VALUE"""),42374.99861111111)</f>
        <v>42374.99861</v>
      </c>
      <c r="B1999" s="1">
        <f>IFERROR(__xludf.DUMMYFUNCTION("""COMPUTED_VALUE"""),9679.5138)</f>
        <v>9679.5138</v>
      </c>
    </row>
    <row r="2000">
      <c r="A2000" s="3">
        <f>IFERROR(__xludf.DUMMYFUNCTION("""COMPUTED_VALUE"""),42375.99861111111)</f>
        <v>42375.99861</v>
      </c>
      <c r="B2000" s="1">
        <f>IFERROR(__xludf.DUMMYFUNCTION("""COMPUTED_VALUE"""),9681.7734)</f>
        <v>9681.7734</v>
      </c>
    </row>
    <row r="2001">
      <c r="A2001" s="3">
        <f>IFERROR(__xludf.DUMMYFUNCTION("""COMPUTED_VALUE"""),42376.99861111111)</f>
        <v>42376.99861</v>
      </c>
      <c r="B2001" s="1">
        <f>IFERROR(__xludf.DUMMYFUNCTION("""COMPUTED_VALUE"""),9717.4287)</f>
        <v>9717.4287</v>
      </c>
    </row>
    <row r="2002">
      <c r="A2002" s="3">
        <f>IFERROR(__xludf.DUMMYFUNCTION("""COMPUTED_VALUE"""),42377.99861111111)</f>
        <v>42377.99861</v>
      </c>
      <c r="B2002" s="1">
        <f>IFERROR(__xludf.DUMMYFUNCTION("""COMPUTED_VALUE"""),9626.7423)</f>
        <v>9626.7423</v>
      </c>
    </row>
    <row r="2003">
      <c r="A2003" s="3">
        <f>IFERROR(__xludf.DUMMYFUNCTION("""COMPUTED_VALUE"""),42379.99861111111)</f>
        <v>42379.99861</v>
      </c>
      <c r="B2003" s="1">
        <f>IFERROR(__xludf.DUMMYFUNCTION("""COMPUTED_VALUE"""),9725.699601)</f>
        <v>9725.699601</v>
      </c>
    </row>
    <row r="2004">
      <c r="A2004" s="3">
        <f>IFERROR(__xludf.DUMMYFUNCTION("""COMPUTED_VALUE"""),42380.99861111111)</f>
        <v>42380.99861</v>
      </c>
      <c r="B2004" s="1">
        <f>IFERROR(__xludf.DUMMYFUNCTION("""COMPUTED_VALUE"""),9620.4284)</f>
        <v>9620.4284</v>
      </c>
    </row>
    <row r="2005">
      <c r="A2005" s="3">
        <f>IFERROR(__xludf.DUMMYFUNCTION("""COMPUTED_VALUE"""),42381.99861111111)</f>
        <v>42381.99861</v>
      </c>
      <c r="B2005" s="1">
        <f>IFERROR(__xludf.DUMMYFUNCTION("""COMPUTED_VALUE"""),9596.0779)</f>
        <v>9596.0779</v>
      </c>
    </row>
    <row r="2006">
      <c r="A2006" s="3">
        <f>IFERROR(__xludf.DUMMYFUNCTION("""COMPUTED_VALUE"""),42382.99861111111)</f>
        <v>42382.99861</v>
      </c>
      <c r="B2006" s="1">
        <f>IFERROR(__xludf.DUMMYFUNCTION("""COMPUTED_VALUE"""),9625.0497)</f>
        <v>9625.0497</v>
      </c>
    </row>
    <row r="2007">
      <c r="A2007" s="3">
        <f>IFERROR(__xludf.DUMMYFUNCTION("""COMPUTED_VALUE"""),42383.99861111111)</f>
        <v>42383.99861</v>
      </c>
      <c r="B2007" s="1">
        <f>IFERROR(__xludf.DUMMYFUNCTION("""COMPUTED_VALUE"""),9621.647)</f>
        <v>9621.647</v>
      </c>
    </row>
    <row r="2008">
      <c r="A2008" s="3">
        <f>IFERROR(__xludf.DUMMYFUNCTION("""COMPUTED_VALUE"""),42384.99861111111)</f>
        <v>42384.99861</v>
      </c>
      <c r="B2008" s="1">
        <f>IFERROR(__xludf.DUMMYFUNCTION("""COMPUTED_VALUE"""),9703.13066)</f>
        <v>9703.13066</v>
      </c>
    </row>
    <row r="2009">
      <c r="A2009" s="3">
        <f>IFERROR(__xludf.DUMMYFUNCTION("""COMPUTED_VALUE"""),42386.99861111111)</f>
        <v>42386.99861</v>
      </c>
      <c r="B2009" s="1">
        <f>IFERROR(__xludf.DUMMYFUNCTION("""COMPUTED_VALUE"""),9707.54968)</f>
        <v>9707.54968</v>
      </c>
    </row>
    <row r="2010">
      <c r="A2010" s="3">
        <f>IFERROR(__xludf.DUMMYFUNCTION("""COMPUTED_VALUE"""),42387.99861111111)</f>
        <v>42387.99861</v>
      </c>
      <c r="B2010" s="1">
        <f>IFERROR(__xludf.DUMMYFUNCTION("""COMPUTED_VALUE"""),9676.761)</f>
        <v>9676.761</v>
      </c>
    </row>
    <row r="2011">
      <c r="A2011" s="3">
        <f>IFERROR(__xludf.DUMMYFUNCTION("""COMPUTED_VALUE"""),42388.99861111111)</f>
        <v>42388.99861</v>
      </c>
      <c r="B2011" s="1">
        <f>IFERROR(__xludf.DUMMYFUNCTION("""COMPUTED_VALUE"""),9622.0842)</f>
        <v>9622.0842</v>
      </c>
    </row>
    <row r="2012">
      <c r="A2012" s="3">
        <f>IFERROR(__xludf.DUMMYFUNCTION("""COMPUTED_VALUE"""),42389.99861111111)</f>
        <v>42389.99861</v>
      </c>
      <c r="B2012" s="1">
        <f>IFERROR(__xludf.DUMMYFUNCTION("""COMPUTED_VALUE"""),9619.02025)</f>
        <v>9619.02025</v>
      </c>
    </row>
    <row r="2013">
      <c r="A2013" s="3">
        <f>IFERROR(__xludf.DUMMYFUNCTION("""COMPUTED_VALUE"""),42390.99861111111)</f>
        <v>42390.99861</v>
      </c>
      <c r="B2013" s="1">
        <f>IFERROR(__xludf.DUMMYFUNCTION("""COMPUTED_VALUE"""),9603.18905)</f>
        <v>9603.18905</v>
      </c>
    </row>
    <row r="2014">
      <c r="A2014" s="3">
        <f>IFERROR(__xludf.DUMMYFUNCTION("""COMPUTED_VALUE"""),42391.99861111111)</f>
        <v>42391.99861</v>
      </c>
      <c r="B2014" s="1">
        <f>IFERROR(__xludf.DUMMYFUNCTION("""COMPUTED_VALUE"""),9612.17734)</f>
        <v>9612.17734</v>
      </c>
    </row>
    <row r="2015">
      <c r="A2015" s="3">
        <f>IFERROR(__xludf.DUMMYFUNCTION("""COMPUTED_VALUE"""),42392.99861111111)</f>
        <v>42392.99861</v>
      </c>
      <c r="B2015" s="1">
        <f>IFERROR(__xludf.DUMMYFUNCTION("""COMPUTED_VALUE"""),9682.960135)</f>
        <v>9682.960135</v>
      </c>
    </row>
    <row r="2016">
      <c r="A2016" s="3">
        <f>IFERROR(__xludf.DUMMYFUNCTION("""COMPUTED_VALUE"""),42393.99861111111)</f>
        <v>42393.99861</v>
      </c>
      <c r="B2016" s="1">
        <f>IFERROR(__xludf.DUMMYFUNCTION("""COMPUTED_VALUE"""),9689.192819)</f>
        <v>9689.192819</v>
      </c>
    </row>
    <row r="2017">
      <c r="A2017" s="3">
        <f>IFERROR(__xludf.DUMMYFUNCTION("""COMPUTED_VALUE"""),42394.99861111111)</f>
        <v>42394.99861</v>
      </c>
      <c r="B2017" s="1">
        <f>IFERROR(__xludf.DUMMYFUNCTION("""COMPUTED_VALUE"""),9657.489)</f>
        <v>9657.489</v>
      </c>
    </row>
    <row r="2018">
      <c r="A2018" s="3">
        <f>IFERROR(__xludf.DUMMYFUNCTION("""COMPUTED_VALUE"""),42395.99861111111)</f>
        <v>42395.99861</v>
      </c>
      <c r="B2018" s="1">
        <f>IFERROR(__xludf.DUMMYFUNCTION("""COMPUTED_VALUE"""),9727.5204)</f>
        <v>9727.5204</v>
      </c>
    </row>
    <row r="2019">
      <c r="A2019" s="3">
        <f>IFERROR(__xludf.DUMMYFUNCTION("""COMPUTED_VALUE"""),42396.99861111111)</f>
        <v>42396.99861</v>
      </c>
      <c r="B2019" s="1">
        <f>IFERROR(__xludf.DUMMYFUNCTION("""COMPUTED_VALUE"""),9632.4158)</f>
        <v>9632.4158</v>
      </c>
    </row>
    <row r="2020">
      <c r="A2020" s="3">
        <f>IFERROR(__xludf.DUMMYFUNCTION("""COMPUTED_VALUE"""),42397.99861111111)</f>
        <v>42397.99861</v>
      </c>
      <c r="B2020" s="1">
        <f>IFERROR(__xludf.DUMMYFUNCTION("""COMPUTED_VALUE"""),9642.24485)</f>
        <v>9642.24485</v>
      </c>
    </row>
    <row r="2021">
      <c r="A2021" s="3">
        <f>IFERROR(__xludf.DUMMYFUNCTION("""COMPUTED_VALUE"""),42398.99861111111)</f>
        <v>42398.99861</v>
      </c>
      <c r="B2021" s="1">
        <f>IFERROR(__xludf.DUMMYFUNCTION("""COMPUTED_VALUE"""),9601.08075)</f>
        <v>9601.08075</v>
      </c>
    </row>
    <row r="2022">
      <c r="A2022" s="3">
        <f>IFERROR(__xludf.DUMMYFUNCTION("""COMPUTED_VALUE"""),42400.99861111111)</f>
        <v>42400.99861</v>
      </c>
      <c r="B2022" s="1">
        <f>IFERROR(__xludf.DUMMYFUNCTION("""COMPUTED_VALUE"""),9900.280434)</f>
        <v>9900.280434</v>
      </c>
    </row>
    <row r="2023">
      <c r="A2023" s="3">
        <f>IFERROR(__xludf.DUMMYFUNCTION("""COMPUTED_VALUE"""),42401.99861111111)</f>
        <v>42401.99861</v>
      </c>
      <c r="B2023" s="1">
        <f>IFERROR(__xludf.DUMMYFUNCTION("""COMPUTED_VALUE"""),9574.5298)</f>
        <v>9574.5298</v>
      </c>
    </row>
    <row r="2024">
      <c r="A2024" s="3">
        <f>IFERROR(__xludf.DUMMYFUNCTION("""COMPUTED_VALUE"""),42402.99861111111)</f>
        <v>42402.99861</v>
      </c>
      <c r="B2024" s="1">
        <f>IFERROR(__xludf.DUMMYFUNCTION("""COMPUTED_VALUE"""),9598.7803)</f>
        <v>9598.7803</v>
      </c>
    </row>
    <row r="2025">
      <c r="A2025" s="3">
        <f>IFERROR(__xludf.DUMMYFUNCTION("""COMPUTED_VALUE"""),42403.99861111111)</f>
        <v>42403.99861</v>
      </c>
      <c r="B2025" s="1">
        <f>IFERROR(__xludf.DUMMYFUNCTION("""COMPUTED_VALUE"""),9584.8174)</f>
        <v>9584.8174</v>
      </c>
    </row>
    <row r="2026">
      <c r="A2026" s="3">
        <f>IFERROR(__xludf.DUMMYFUNCTION("""COMPUTED_VALUE"""),42404.99861111111)</f>
        <v>42404.99861</v>
      </c>
      <c r="B2026" s="1">
        <f>IFERROR(__xludf.DUMMYFUNCTION("""COMPUTED_VALUE"""),9740.61108)</f>
        <v>9740.61108</v>
      </c>
    </row>
    <row r="2027">
      <c r="A2027" s="3">
        <f>IFERROR(__xludf.DUMMYFUNCTION("""COMPUTED_VALUE"""),42405.99861111111)</f>
        <v>42405.99861</v>
      </c>
      <c r="B2027" s="1">
        <f>IFERROR(__xludf.DUMMYFUNCTION("""COMPUTED_VALUE"""),9640.59525)</f>
        <v>9640.59525</v>
      </c>
    </row>
    <row r="2028">
      <c r="A2028" s="3">
        <f>IFERROR(__xludf.DUMMYFUNCTION("""COMPUTED_VALUE"""),42406.99861111111)</f>
        <v>42406.99861</v>
      </c>
      <c r="B2028" s="1">
        <f>IFERROR(__xludf.DUMMYFUNCTION("""COMPUTED_VALUE"""),9666.393011)</f>
        <v>9666.393011</v>
      </c>
    </row>
    <row r="2029">
      <c r="A2029" s="3">
        <f>IFERROR(__xludf.DUMMYFUNCTION("""COMPUTED_VALUE"""),42407.99861111111)</f>
        <v>42407.99861</v>
      </c>
      <c r="B2029" s="1">
        <f>IFERROR(__xludf.DUMMYFUNCTION("""COMPUTED_VALUE"""),9670.021426)</f>
        <v>9670.021426</v>
      </c>
    </row>
    <row r="2030">
      <c r="A2030" s="3">
        <f>IFERROR(__xludf.DUMMYFUNCTION("""COMPUTED_VALUE"""),42408.99861111111)</f>
        <v>42408.99861</v>
      </c>
      <c r="B2030" s="1">
        <f>IFERROR(__xludf.DUMMYFUNCTION("""COMPUTED_VALUE"""),9718.1656)</f>
        <v>9718.1656</v>
      </c>
    </row>
    <row r="2031">
      <c r="A2031" s="3">
        <f>IFERROR(__xludf.DUMMYFUNCTION("""COMPUTED_VALUE"""),42409.99861111111)</f>
        <v>42409.99861</v>
      </c>
      <c r="B2031" s="1">
        <f>IFERROR(__xludf.DUMMYFUNCTION("""COMPUTED_VALUE"""),9700.824)</f>
        <v>9700.824</v>
      </c>
    </row>
    <row r="2032">
      <c r="A2032" s="3">
        <f>IFERROR(__xludf.DUMMYFUNCTION("""COMPUTED_VALUE"""),42410.99861111111)</f>
        <v>42410.99861</v>
      </c>
      <c r="B2032" s="1">
        <f>IFERROR(__xludf.DUMMYFUNCTION("""COMPUTED_VALUE"""),9665.93745)</f>
        <v>9665.93745</v>
      </c>
    </row>
    <row r="2033">
      <c r="A2033" s="3">
        <f>IFERROR(__xludf.DUMMYFUNCTION("""COMPUTED_VALUE"""),42411.99861111111)</f>
        <v>42411.99861</v>
      </c>
      <c r="B2033" s="1">
        <f>IFERROR(__xludf.DUMMYFUNCTION("""COMPUTED_VALUE"""),9697.6468)</f>
        <v>9697.6468</v>
      </c>
    </row>
    <row r="2034">
      <c r="A2034" s="3">
        <f>IFERROR(__xludf.DUMMYFUNCTION("""COMPUTED_VALUE"""),42412.99861111111)</f>
        <v>42412.99861</v>
      </c>
      <c r="B2034" s="1">
        <f>IFERROR(__xludf.DUMMYFUNCTION("""COMPUTED_VALUE"""),9630.84125)</f>
        <v>9630.84125</v>
      </c>
    </row>
    <row r="2035">
      <c r="A2035" s="3">
        <f>IFERROR(__xludf.DUMMYFUNCTION("""COMPUTED_VALUE"""),42414.99861111111)</f>
        <v>42414.99861</v>
      </c>
      <c r="B2035" s="1">
        <f>IFERROR(__xludf.DUMMYFUNCTION("""COMPUTED_VALUE"""),9699.454056)</f>
        <v>9699.454056</v>
      </c>
    </row>
    <row r="2036">
      <c r="A2036" s="3">
        <f>IFERROR(__xludf.DUMMYFUNCTION("""COMPUTED_VALUE"""),42415.99861111111)</f>
        <v>42415.99861</v>
      </c>
      <c r="B2036" s="1">
        <f>IFERROR(__xludf.DUMMYFUNCTION("""COMPUTED_VALUE"""),9488.7045)</f>
        <v>9488.7045</v>
      </c>
    </row>
    <row r="2037">
      <c r="A2037" s="3">
        <f>IFERROR(__xludf.DUMMYFUNCTION("""COMPUTED_VALUE"""),42416.99861111111)</f>
        <v>42416.99861</v>
      </c>
      <c r="B2037" s="1">
        <f>IFERROR(__xludf.DUMMYFUNCTION("""COMPUTED_VALUE"""),9531.42962)</f>
        <v>9531.42962</v>
      </c>
    </row>
    <row r="2038">
      <c r="A2038" s="3">
        <f>IFERROR(__xludf.DUMMYFUNCTION("""COMPUTED_VALUE"""),42417.99861111111)</f>
        <v>42417.99861</v>
      </c>
      <c r="B2038" s="1">
        <f>IFERROR(__xludf.DUMMYFUNCTION("""COMPUTED_VALUE"""),9609.84)</f>
        <v>9609.84</v>
      </c>
    </row>
    <row r="2039">
      <c r="A2039" s="3">
        <f>IFERROR(__xludf.DUMMYFUNCTION("""COMPUTED_VALUE"""),42418.99861111111)</f>
        <v>42418.99861</v>
      </c>
      <c r="B2039" s="1">
        <f>IFERROR(__xludf.DUMMYFUNCTION("""COMPUTED_VALUE"""),9553.22395)</f>
        <v>9553.22395</v>
      </c>
    </row>
    <row r="2040">
      <c r="A2040" s="3">
        <f>IFERROR(__xludf.DUMMYFUNCTION("""COMPUTED_VALUE"""),42419.99861111111)</f>
        <v>42419.99861</v>
      </c>
      <c r="B2040" s="1">
        <f>IFERROR(__xludf.DUMMYFUNCTION("""COMPUTED_VALUE"""),9552.77342)</f>
        <v>9552.77342</v>
      </c>
    </row>
    <row r="2041">
      <c r="A2041" s="3">
        <f>IFERROR(__xludf.DUMMYFUNCTION("""COMPUTED_VALUE"""),42420.99861111111)</f>
        <v>42420.99861</v>
      </c>
      <c r="B2041" s="1">
        <f>IFERROR(__xludf.DUMMYFUNCTION("""COMPUTED_VALUE"""),9625.703498)</f>
        <v>9625.703498</v>
      </c>
    </row>
    <row r="2042">
      <c r="A2042" s="3">
        <f>IFERROR(__xludf.DUMMYFUNCTION("""COMPUTED_VALUE"""),42421.99861111111)</f>
        <v>42421.99861</v>
      </c>
      <c r="B2042" s="1">
        <f>IFERROR(__xludf.DUMMYFUNCTION("""COMPUTED_VALUE"""),9616.095927)</f>
        <v>9616.095927</v>
      </c>
    </row>
    <row r="2043">
      <c r="A2043" s="3">
        <f>IFERROR(__xludf.DUMMYFUNCTION("""COMPUTED_VALUE"""),42422.99861111111)</f>
        <v>42422.99861</v>
      </c>
      <c r="B2043" s="1">
        <f>IFERROR(__xludf.DUMMYFUNCTION("""COMPUTED_VALUE"""),9561.9763)</f>
        <v>9561.9763</v>
      </c>
    </row>
    <row r="2044">
      <c r="A2044" s="3">
        <f>IFERROR(__xludf.DUMMYFUNCTION("""COMPUTED_VALUE"""),42423.99861111111)</f>
        <v>42423.99861</v>
      </c>
      <c r="B2044" s="1">
        <f>IFERROR(__xludf.DUMMYFUNCTION("""COMPUTED_VALUE"""),9520.9659)</f>
        <v>9520.9659</v>
      </c>
    </row>
    <row r="2045">
      <c r="A2045" s="3">
        <f>IFERROR(__xludf.DUMMYFUNCTION("""COMPUTED_VALUE"""),42424.99861111111)</f>
        <v>42424.99861</v>
      </c>
      <c r="B2045" s="1">
        <f>IFERROR(__xludf.DUMMYFUNCTION("""COMPUTED_VALUE"""),9527.84455)</f>
        <v>9527.84455</v>
      </c>
    </row>
    <row r="2046">
      <c r="A2046" s="3">
        <f>IFERROR(__xludf.DUMMYFUNCTION("""COMPUTED_VALUE"""),42425.99861111111)</f>
        <v>42425.99861</v>
      </c>
      <c r="B2046" s="1">
        <f>IFERROR(__xludf.DUMMYFUNCTION("""COMPUTED_VALUE"""),9582.1707)</f>
        <v>9582.1707</v>
      </c>
    </row>
    <row r="2047">
      <c r="A2047" s="3">
        <f>IFERROR(__xludf.DUMMYFUNCTION("""COMPUTED_VALUE"""),42426.99861111111)</f>
        <v>42426.99861</v>
      </c>
      <c r="B2047" s="1">
        <f>IFERROR(__xludf.DUMMYFUNCTION("""COMPUTED_VALUE"""),9530.81025)</f>
        <v>9530.81025</v>
      </c>
    </row>
    <row r="2048">
      <c r="A2048" s="3">
        <f>IFERROR(__xludf.DUMMYFUNCTION("""COMPUTED_VALUE"""),42428.99861111111)</f>
        <v>42428.99861</v>
      </c>
      <c r="B2048" s="1">
        <f>IFERROR(__xludf.DUMMYFUNCTION("""COMPUTED_VALUE"""),9537.23103)</f>
        <v>9537.23103</v>
      </c>
    </row>
    <row r="2049">
      <c r="A2049" s="3">
        <f>IFERROR(__xludf.DUMMYFUNCTION("""COMPUTED_VALUE"""),42429.99861111111)</f>
        <v>42429.99861</v>
      </c>
      <c r="B2049" s="1">
        <f>IFERROR(__xludf.DUMMYFUNCTION("""COMPUTED_VALUE"""),9513.07335)</f>
        <v>9513.07335</v>
      </c>
    </row>
    <row r="2050">
      <c r="A2050" s="3">
        <f>IFERROR(__xludf.DUMMYFUNCTION("""COMPUTED_VALUE"""),42430.99861111111)</f>
        <v>42430.99861</v>
      </c>
      <c r="B2050" s="1">
        <f>IFERROR(__xludf.DUMMYFUNCTION("""COMPUTED_VALUE"""),9452.47806)</f>
        <v>9452.47806</v>
      </c>
    </row>
    <row r="2051">
      <c r="A2051" s="3">
        <f>IFERROR(__xludf.DUMMYFUNCTION("""COMPUTED_VALUE"""),42431.99861111111)</f>
        <v>42431.99861</v>
      </c>
      <c r="B2051" s="1">
        <f>IFERROR(__xludf.DUMMYFUNCTION("""COMPUTED_VALUE"""),9470.12022)</f>
        <v>9470.12022</v>
      </c>
    </row>
    <row r="2052">
      <c r="A2052" s="3">
        <f>IFERROR(__xludf.DUMMYFUNCTION("""COMPUTED_VALUE"""),42432.99861111111)</f>
        <v>42432.99861</v>
      </c>
      <c r="B2052" s="1">
        <f>IFERROR(__xludf.DUMMYFUNCTION("""COMPUTED_VALUE"""),9456.201)</f>
        <v>9456.201</v>
      </c>
    </row>
    <row r="2053">
      <c r="A2053" s="3">
        <f>IFERROR(__xludf.DUMMYFUNCTION("""COMPUTED_VALUE"""),42433.99861111111)</f>
        <v>42433.99861</v>
      </c>
      <c r="B2053" s="1">
        <f>IFERROR(__xludf.DUMMYFUNCTION("""COMPUTED_VALUE"""),9475.00384)</f>
        <v>9475.00384</v>
      </c>
    </row>
    <row r="2054">
      <c r="A2054" s="3">
        <f>IFERROR(__xludf.DUMMYFUNCTION("""COMPUTED_VALUE"""),42435.99861111111)</f>
        <v>42435.99861</v>
      </c>
      <c r="B2054" s="1">
        <f>IFERROR(__xludf.DUMMYFUNCTION("""COMPUTED_VALUE"""),9681.864246)</f>
        <v>9681.864246</v>
      </c>
    </row>
    <row r="2055">
      <c r="A2055" s="3">
        <f>IFERROR(__xludf.DUMMYFUNCTION("""COMPUTED_VALUE"""),42436.99861111111)</f>
        <v>42436.99861</v>
      </c>
      <c r="B2055" s="1">
        <f>IFERROR(__xludf.DUMMYFUNCTION("""COMPUTED_VALUE"""),9422.4)</f>
        <v>9422.4</v>
      </c>
    </row>
    <row r="2056">
      <c r="A2056" s="3">
        <f>IFERROR(__xludf.DUMMYFUNCTION("""COMPUTED_VALUE"""),42437.99861111111)</f>
        <v>42437.99861</v>
      </c>
      <c r="B2056" s="1">
        <f>IFERROR(__xludf.DUMMYFUNCTION("""COMPUTED_VALUE"""),9507.98254)</f>
        <v>9507.98254</v>
      </c>
    </row>
    <row r="2057">
      <c r="A2057" s="3">
        <f>IFERROR(__xludf.DUMMYFUNCTION("""COMPUTED_VALUE"""),42438.99861111111)</f>
        <v>42438.99861</v>
      </c>
      <c r="B2057" s="1">
        <f>IFERROR(__xludf.DUMMYFUNCTION("""COMPUTED_VALUE"""),9476.278)</f>
        <v>9476.278</v>
      </c>
    </row>
    <row r="2058">
      <c r="A2058" s="3">
        <f>IFERROR(__xludf.DUMMYFUNCTION("""COMPUTED_VALUE"""),42439.99861111111)</f>
        <v>42439.99861</v>
      </c>
      <c r="B2058" s="1">
        <f>IFERROR(__xludf.DUMMYFUNCTION("""COMPUTED_VALUE"""),9504.807)</f>
        <v>9504.807</v>
      </c>
    </row>
    <row r="2059">
      <c r="A2059" s="3">
        <f>IFERROR(__xludf.DUMMYFUNCTION("""COMPUTED_VALUE"""),42440.99861111111)</f>
        <v>42440.99861</v>
      </c>
      <c r="B2059" s="1">
        <f>IFERROR(__xludf.DUMMYFUNCTION("""COMPUTED_VALUE"""),9419.9154)</f>
        <v>9419.9154</v>
      </c>
    </row>
    <row r="2060">
      <c r="A2060" s="3">
        <f>IFERROR(__xludf.DUMMYFUNCTION("""COMPUTED_VALUE"""),42442.99861111111)</f>
        <v>42442.99861</v>
      </c>
      <c r="B2060" s="1">
        <f>IFERROR(__xludf.DUMMYFUNCTION("""COMPUTED_VALUE"""),9487.998194)</f>
        <v>9487.998194</v>
      </c>
    </row>
    <row r="2061">
      <c r="A2061" s="3">
        <f>IFERROR(__xludf.DUMMYFUNCTION("""COMPUTED_VALUE"""),42443.99861111111)</f>
        <v>42443.99861</v>
      </c>
      <c r="B2061" s="1">
        <f>IFERROR(__xludf.DUMMYFUNCTION("""COMPUTED_VALUE"""),9428.2826)</f>
        <v>9428.2826</v>
      </c>
    </row>
    <row r="2062">
      <c r="A2062" s="3">
        <f>IFERROR(__xludf.DUMMYFUNCTION("""COMPUTED_VALUE"""),42444.99861111111)</f>
        <v>42444.99861</v>
      </c>
      <c r="B2062" s="1">
        <f>IFERROR(__xludf.DUMMYFUNCTION("""COMPUTED_VALUE"""),9496.98387)</f>
        <v>9496.98387</v>
      </c>
    </row>
    <row r="2063">
      <c r="A2063" s="3">
        <f>IFERROR(__xludf.DUMMYFUNCTION("""COMPUTED_VALUE"""),42445.99861111111)</f>
        <v>42445.99861</v>
      </c>
      <c r="B2063" s="1">
        <f>IFERROR(__xludf.DUMMYFUNCTION("""COMPUTED_VALUE"""),9342.6597)</f>
        <v>9342.6597</v>
      </c>
    </row>
    <row r="2064">
      <c r="A2064" s="3">
        <f>IFERROR(__xludf.DUMMYFUNCTION("""COMPUTED_VALUE"""),42446.99861111111)</f>
        <v>42446.99861</v>
      </c>
      <c r="B2064" s="1">
        <f>IFERROR(__xludf.DUMMYFUNCTION("""COMPUTED_VALUE"""),9571.51195)</f>
        <v>9571.51195</v>
      </c>
    </row>
    <row r="2065">
      <c r="A2065" s="3">
        <f>IFERROR(__xludf.DUMMYFUNCTION("""COMPUTED_VALUE"""),42447.99861111111)</f>
        <v>42447.99861</v>
      </c>
      <c r="B2065" s="1">
        <f>IFERROR(__xludf.DUMMYFUNCTION("""COMPUTED_VALUE"""),9593.88192)</f>
        <v>9593.88192</v>
      </c>
    </row>
    <row r="2066">
      <c r="A2066" s="3">
        <f>IFERROR(__xludf.DUMMYFUNCTION("""COMPUTED_VALUE"""),42448.99861111111)</f>
        <v>42448.99861</v>
      </c>
      <c r="B2066" s="1">
        <f>IFERROR(__xludf.DUMMYFUNCTION("""COMPUTED_VALUE"""),9669.379104)</f>
        <v>9669.379104</v>
      </c>
    </row>
    <row r="2067">
      <c r="A2067" s="3">
        <f>IFERROR(__xludf.DUMMYFUNCTION("""COMPUTED_VALUE"""),42449.99861111111)</f>
        <v>42449.99861</v>
      </c>
      <c r="B2067" s="1">
        <f>IFERROR(__xludf.DUMMYFUNCTION("""COMPUTED_VALUE"""),9675.817998)</f>
        <v>9675.817998</v>
      </c>
    </row>
    <row r="2068">
      <c r="A2068" s="3">
        <f>IFERROR(__xludf.DUMMYFUNCTION("""COMPUTED_VALUE"""),42450.99861111111)</f>
        <v>42450.99861</v>
      </c>
      <c r="B2068" s="1">
        <f>IFERROR(__xludf.DUMMYFUNCTION("""COMPUTED_VALUE"""),9684.75912)</f>
        <v>9684.75912</v>
      </c>
    </row>
    <row r="2069">
      <c r="A2069" s="3">
        <f>IFERROR(__xludf.DUMMYFUNCTION("""COMPUTED_VALUE"""),42451.99861111111)</f>
        <v>42451.99861</v>
      </c>
      <c r="B2069" s="1">
        <f>IFERROR(__xludf.DUMMYFUNCTION("""COMPUTED_VALUE"""),9627.79389)</f>
        <v>9627.79389</v>
      </c>
    </row>
    <row r="2070">
      <c r="A2070" s="3">
        <f>IFERROR(__xludf.DUMMYFUNCTION("""COMPUTED_VALUE"""),42452.99861111111)</f>
        <v>42452.99861</v>
      </c>
      <c r="B2070" s="1">
        <f>IFERROR(__xludf.DUMMYFUNCTION("""COMPUTED_VALUE"""),9662.808)</f>
        <v>9662.808</v>
      </c>
    </row>
    <row r="2071">
      <c r="A2071" s="3">
        <f>IFERROR(__xludf.DUMMYFUNCTION("""COMPUTED_VALUE"""),42453.99861111111)</f>
        <v>42453.99861</v>
      </c>
      <c r="B2071" s="1">
        <f>IFERROR(__xludf.DUMMYFUNCTION("""COMPUTED_VALUE"""),9651.75321)</f>
        <v>9651.75321</v>
      </c>
    </row>
    <row r="2072">
      <c r="A2072" s="3">
        <f>IFERROR(__xludf.DUMMYFUNCTION("""COMPUTED_VALUE"""),42454.99861111111)</f>
        <v>42454.99861</v>
      </c>
      <c r="B2072" s="1">
        <f>IFERROR(__xludf.DUMMYFUNCTION("""COMPUTED_VALUE"""),9590.1306)</f>
        <v>9590.1306</v>
      </c>
    </row>
    <row r="2073">
      <c r="A2073" s="3">
        <f>IFERROR(__xludf.DUMMYFUNCTION("""COMPUTED_VALUE"""),42456.99861111111)</f>
        <v>42456.99861</v>
      </c>
      <c r="B2073" s="1">
        <f>IFERROR(__xludf.DUMMYFUNCTION("""COMPUTED_VALUE"""),9673.836172)</f>
        <v>9673.836172</v>
      </c>
    </row>
    <row r="2074">
      <c r="A2074" s="3">
        <f>IFERROR(__xludf.DUMMYFUNCTION("""COMPUTED_VALUE"""),42457.99861111111)</f>
        <v>42457.99861</v>
      </c>
      <c r="B2074" s="1">
        <f>IFERROR(__xludf.DUMMYFUNCTION("""COMPUTED_VALUE"""),9701.30514)</f>
        <v>9701.30514</v>
      </c>
    </row>
    <row r="2075">
      <c r="A2075" s="3">
        <f>IFERROR(__xludf.DUMMYFUNCTION("""COMPUTED_VALUE"""),42458.99861111111)</f>
        <v>42458.99861</v>
      </c>
      <c r="B2075" s="1">
        <f>IFERROR(__xludf.DUMMYFUNCTION("""COMPUTED_VALUE"""),9728.5534)</f>
        <v>9728.5534</v>
      </c>
    </row>
    <row r="2076">
      <c r="A2076" s="3">
        <f>IFERROR(__xludf.DUMMYFUNCTION("""COMPUTED_VALUE"""),42459.99861111111)</f>
        <v>42459.99861</v>
      </c>
      <c r="B2076" s="1">
        <f>IFERROR(__xludf.DUMMYFUNCTION("""COMPUTED_VALUE"""),9795.0844)</f>
        <v>9795.0844</v>
      </c>
    </row>
    <row r="2077">
      <c r="A2077" s="3">
        <f>IFERROR(__xludf.DUMMYFUNCTION("""COMPUTED_VALUE"""),42460.99861111111)</f>
        <v>42460.99861</v>
      </c>
      <c r="B2077" s="1">
        <f>IFERROR(__xludf.DUMMYFUNCTION("""COMPUTED_VALUE"""),9755.86752)</f>
        <v>9755.86752</v>
      </c>
    </row>
    <row r="2078">
      <c r="A2078" s="3">
        <f>IFERROR(__xludf.DUMMYFUNCTION("""COMPUTED_VALUE"""),42461.99861111111)</f>
        <v>42461.99861</v>
      </c>
      <c r="B2078" s="1">
        <f>IFERROR(__xludf.DUMMYFUNCTION("""COMPUTED_VALUE"""),9713.71746)</f>
        <v>9713.71746</v>
      </c>
    </row>
    <row r="2079">
      <c r="A2079" s="3">
        <f>IFERROR(__xludf.DUMMYFUNCTION("""COMPUTED_VALUE"""),42462.99861111111)</f>
        <v>42462.99861</v>
      </c>
      <c r="B2079" s="1">
        <f>IFERROR(__xludf.DUMMYFUNCTION("""COMPUTED_VALUE"""),9723.649782)</f>
        <v>9723.649782</v>
      </c>
    </row>
    <row r="2080">
      <c r="A2080" s="3">
        <f>IFERROR(__xludf.DUMMYFUNCTION("""COMPUTED_VALUE"""),42463.99861111111)</f>
        <v>42463.99861</v>
      </c>
      <c r="B2080" s="1">
        <f>IFERROR(__xludf.DUMMYFUNCTION("""COMPUTED_VALUE"""),9741.12678)</f>
        <v>9741.12678</v>
      </c>
    </row>
    <row r="2081">
      <c r="A2081" s="3">
        <f>IFERROR(__xludf.DUMMYFUNCTION("""COMPUTED_VALUE"""),42464.99861111111)</f>
        <v>42464.99861</v>
      </c>
      <c r="B2081" s="1">
        <f>IFERROR(__xludf.DUMMYFUNCTION("""COMPUTED_VALUE"""),9711.6426)</f>
        <v>9711.6426</v>
      </c>
    </row>
    <row r="2082">
      <c r="A2082" s="3">
        <f>IFERROR(__xludf.DUMMYFUNCTION("""COMPUTED_VALUE"""),42465.99861111111)</f>
        <v>42465.99861</v>
      </c>
      <c r="B2082" s="1">
        <f>IFERROR(__xludf.DUMMYFUNCTION("""COMPUTED_VALUE"""),9744.2244)</f>
        <v>9744.2244</v>
      </c>
    </row>
    <row r="2083">
      <c r="A2083" s="3">
        <f>IFERROR(__xludf.DUMMYFUNCTION("""COMPUTED_VALUE"""),42466.99861111111)</f>
        <v>42466.99861</v>
      </c>
      <c r="B2083" s="1">
        <f>IFERROR(__xludf.DUMMYFUNCTION("""COMPUTED_VALUE"""),9782.8444)</f>
        <v>9782.8444</v>
      </c>
    </row>
    <row r="2084">
      <c r="A2084" s="3">
        <f>IFERROR(__xludf.DUMMYFUNCTION("""COMPUTED_VALUE"""),42467.99861111111)</f>
        <v>42467.99861</v>
      </c>
      <c r="B2084" s="1">
        <f>IFERROR(__xludf.DUMMYFUNCTION("""COMPUTED_VALUE"""),9731.86876)</f>
        <v>9731.86876</v>
      </c>
    </row>
    <row r="2085">
      <c r="A2085" s="3">
        <f>IFERROR(__xludf.DUMMYFUNCTION("""COMPUTED_VALUE"""),42468.99861111111)</f>
        <v>42468.99861</v>
      </c>
      <c r="B2085" s="1">
        <f>IFERROR(__xludf.DUMMYFUNCTION("""COMPUTED_VALUE"""),9717.55925)</f>
        <v>9717.55925</v>
      </c>
    </row>
    <row r="2086">
      <c r="A2086" s="3">
        <f>IFERROR(__xludf.DUMMYFUNCTION("""COMPUTED_VALUE"""),42469.99861111111)</f>
        <v>42469.99861</v>
      </c>
      <c r="B2086" s="1">
        <f>IFERROR(__xludf.DUMMYFUNCTION("""COMPUTED_VALUE"""),9736.658976)</f>
        <v>9736.658976</v>
      </c>
    </row>
    <row r="2087">
      <c r="A2087" s="3">
        <f>IFERROR(__xludf.DUMMYFUNCTION("""COMPUTED_VALUE"""),42470.99861111111)</f>
        <v>42470.99861</v>
      </c>
      <c r="B2087" s="1">
        <f>IFERROR(__xludf.DUMMYFUNCTION("""COMPUTED_VALUE"""),9744.674742)</f>
        <v>9744.674742</v>
      </c>
    </row>
    <row r="2088">
      <c r="A2088" s="3">
        <f>IFERROR(__xludf.DUMMYFUNCTION("""COMPUTED_VALUE"""),42471.99861111111)</f>
        <v>42471.99861</v>
      </c>
      <c r="B2088" s="1">
        <f>IFERROR(__xludf.DUMMYFUNCTION("""COMPUTED_VALUE"""),9740.45385)</f>
        <v>9740.45385</v>
      </c>
    </row>
    <row r="2089">
      <c r="A2089" s="3">
        <f>IFERROR(__xludf.DUMMYFUNCTION("""COMPUTED_VALUE"""),42472.99861111111)</f>
        <v>42472.99861</v>
      </c>
      <c r="B2089" s="1">
        <f>IFERROR(__xludf.DUMMYFUNCTION("""COMPUTED_VALUE"""),9727.75003)</f>
        <v>9727.75003</v>
      </c>
    </row>
    <row r="2090">
      <c r="A2090" s="3">
        <f>IFERROR(__xludf.DUMMYFUNCTION("""COMPUTED_VALUE"""),42473.99861111111)</f>
        <v>42473.99861</v>
      </c>
      <c r="B2090" s="1">
        <f>IFERROR(__xludf.DUMMYFUNCTION("""COMPUTED_VALUE"""),9730.58625)</f>
        <v>9730.58625</v>
      </c>
    </row>
    <row r="2091">
      <c r="A2091" s="3">
        <f>IFERROR(__xludf.DUMMYFUNCTION("""COMPUTED_VALUE"""),42474.99861111111)</f>
        <v>42474.99861</v>
      </c>
      <c r="B2091" s="1">
        <f>IFERROR(__xludf.DUMMYFUNCTION("""COMPUTED_VALUE"""),9665.87704)</f>
        <v>9665.87704</v>
      </c>
    </row>
    <row r="2092">
      <c r="A2092" s="3">
        <f>IFERROR(__xludf.DUMMYFUNCTION("""COMPUTED_VALUE"""),42475.99861111111)</f>
        <v>42475.99861</v>
      </c>
      <c r="B2092" s="1">
        <f>IFERROR(__xludf.DUMMYFUNCTION("""COMPUTED_VALUE"""),9668.5381)</f>
        <v>9668.5381</v>
      </c>
    </row>
    <row r="2093">
      <c r="A2093" s="3">
        <f>IFERROR(__xludf.DUMMYFUNCTION("""COMPUTED_VALUE"""),42477.99861111111)</f>
        <v>42477.99861</v>
      </c>
      <c r="B2093" s="1">
        <f>IFERROR(__xludf.DUMMYFUNCTION("""COMPUTED_VALUE"""),9713.092868)</f>
        <v>9713.092868</v>
      </c>
    </row>
    <row r="2094">
      <c r="A2094" s="3">
        <f>IFERROR(__xludf.DUMMYFUNCTION("""COMPUTED_VALUE"""),42478.99861111111)</f>
        <v>42478.99861</v>
      </c>
      <c r="B2094" s="1">
        <f>IFERROR(__xludf.DUMMYFUNCTION("""COMPUTED_VALUE"""),9704.8224)</f>
        <v>9704.8224</v>
      </c>
    </row>
    <row r="2095">
      <c r="A2095" s="3">
        <f>IFERROR(__xludf.DUMMYFUNCTION("""COMPUTED_VALUE"""),42479.99861111111)</f>
        <v>42479.99861</v>
      </c>
      <c r="B2095" s="1">
        <f>IFERROR(__xludf.DUMMYFUNCTION("""COMPUTED_VALUE"""),9773.54082)</f>
        <v>9773.54082</v>
      </c>
    </row>
    <row r="2096">
      <c r="A2096" s="3">
        <f>IFERROR(__xludf.DUMMYFUNCTION("""COMPUTED_VALUE"""),42480.99861111111)</f>
        <v>42480.99861</v>
      </c>
      <c r="B2096" s="1">
        <f>IFERROR(__xludf.DUMMYFUNCTION("""COMPUTED_VALUE"""),9796.29396)</f>
        <v>9796.29396</v>
      </c>
    </row>
    <row r="2097">
      <c r="A2097" s="3">
        <f>IFERROR(__xludf.DUMMYFUNCTION("""COMPUTED_VALUE"""),42481.99861111111)</f>
        <v>42481.99861</v>
      </c>
      <c r="B2097" s="1">
        <f>IFERROR(__xludf.DUMMYFUNCTION("""COMPUTED_VALUE"""),9757.42244)</f>
        <v>9757.42244</v>
      </c>
    </row>
    <row r="2098">
      <c r="A2098" s="3">
        <f>IFERROR(__xludf.DUMMYFUNCTION("""COMPUTED_VALUE"""),42482.99861111111)</f>
        <v>42482.99861</v>
      </c>
      <c r="B2098" s="1">
        <f>IFERROR(__xludf.DUMMYFUNCTION("""COMPUTED_VALUE"""),9742.9241)</f>
        <v>9742.9241</v>
      </c>
    </row>
    <row r="2099">
      <c r="A2099" s="3">
        <f>IFERROR(__xludf.DUMMYFUNCTION("""COMPUTED_VALUE"""),42484.99861111111)</f>
        <v>42484.99861</v>
      </c>
      <c r="B2099" s="1">
        <f>IFERROR(__xludf.DUMMYFUNCTION("""COMPUTED_VALUE"""),9750.983644)</f>
        <v>9750.983644</v>
      </c>
    </row>
    <row r="2100">
      <c r="A2100" s="3">
        <f>IFERROR(__xludf.DUMMYFUNCTION("""COMPUTED_VALUE"""),42485.99861111111)</f>
        <v>42485.99861</v>
      </c>
      <c r="B2100" s="1">
        <f>IFERROR(__xludf.DUMMYFUNCTION("""COMPUTED_VALUE"""),9753.0817)</f>
        <v>9753.0817</v>
      </c>
    </row>
    <row r="2101">
      <c r="A2101" s="3">
        <f>IFERROR(__xludf.DUMMYFUNCTION("""COMPUTED_VALUE"""),42486.99861111111)</f>
        <v>42486.99861</v>
      </c>
      <c r="B2101" s="1">
        <f>IFERROR(__xludf.DUMMYFUNCTION("""COMPUTED_VALUE"""),9735.768)</f>
        <v>9735.768</v>
      </c>
    </row>
    <row r="2102">
      <c r="A2102" s="3">
        <f>IFERROR(__xludf.DUMMYFUNCTION("""COMPUTED_VALUE"""),42487.99861111111)</f>
        <v>42487.99861</v>
      </c>
      <c r="B2102" s="1">
        <f>IFERROR(__xludf.DUMMYFUNCTION("""COMPUTED_VALUE"""),9750.88065)</f>
        <v>9750.88065</v>
      </c>
    </row>
    <row r="2103">
      <c r="A2103" s="3">
        <f>IFERROR(__xludf.DUMMYFUNCTION("""COMPUTED_VALUE"""),42488.99861111111)</f>
        <v>42488.99861</v>
      </c>
      <c r="B2103" s="1">
        <f>IFERROR(__xludf.DUMMYFUNCTION("""COMPUTED_VALUE"""),9790.3146)</f>
        <v>9790.3146</v>
      </c>
    </row>
    <row r="2104">
      <c r="A2104" s="3">
        <f>IFERROR(__xludf.DUMMYFUNCTION("""COMPUTED_VALUE"""),42489.99861111111)</f>
        <v>42489.99861</v>
      </c>
      <c r="B2104" s="1">
        <f>IFERROR(__xludf.DUMMYFUNCTION("""COMPUTED_VALUE"""),9798.90625)</f>
        <v>9798.90625</v>
      </c>
    </row>
    <row r="2105">
      <c r="A2105" s="3">
        <f>IFERROR(__xludf.DUMMYFUNCTION("""COMPUTED_VALUE"""),42490.99861111111)</f>
        <v>42490.99861</v>
      </c>
      <c r="B2105" s="1">
        <f>IFERROR(__xludf.DUMMYFUNCTION("""COMPUTED_VALUE"""),9822.978308)</f>
        <v>9822.978308</v>
      </c>
    </row>
    <row r="2106">
      <c r="A2106" s="3">
        <f>IFERROR(__xludf.DUMMYFUNCTION("""COMPUTED_VALUE"""),42491.99861111111)</f>
        <v>42491.99861</v>
      </c>
      <c r="B2106" s="1">
        <f>IFERROR(__xludf.DUMMYFUNCTION("""COMPUTED_VALUE"""),9829.054921)</f>
        <v>9829.054921</v>
      </c>
    </row>
    <row r="2107">
      <c r="A2107" s="3">
        <f>IFERROR(__xludf.DUMMYFUNCTION("""COMPUTED_VALUE"""),42492.99861111111)</f>
        <v>42492.99861</v>
      </c>
      <c r="B2107" s="1">
        <f>IFERROR(__xludf.DUMMYFUNCTION("""COMPUTED_VALUE"""),9760.2273)</f>
        <v>9760.2273</v>
      </c>
    </row>
    <row r="2108">
      <c r="A2108" s="3">
        <f>IFERROR(__xludf.DUMMYFUNCTION("""COMPUTED_VALUE"""),42493.99861111111)</f>
        <v>42493.99861</v>
      </c>
      <c r="B2108" s="1">
        <f>IFERROR(__xludf.DUMMYFUNCTION("""COMPUTED_VALUE"""),9754.39485)</f>
        <v>9754.39485</v>
      </c>
    </row>
    <row r="2109">
      <c r="A2109" s="3">
        <f>IFERROR(__xludf.DUMMYFUNCTION("""COMPUTED_VALUE"""),42494.99861111111)</f>
        <v>42494.99861</v>
      </c>
      <c r="B2109" s="1">
        <f>IFERROR(__xludf.DUMMYFUNCTION("""COMPUTED_VALUE"""),9830.8065)</f>
        <v>9830.8065</v>
      </c>
    </row>
    <row r="2110">
      <c r="A2110" s="3">
        <f>IFERROR(__xludf.DUMMYFUNCTION("""COMPUTED_VALUE"""),42495.99861111111)</f>
        <v>42495.99861</v>
      </c>
      <c r="B2110" s="1">
        <f>IFERROR(__xludf.DUMMYFUNCTION("""COMPUTED_VALUE"""),9823.92175)</f>
        <v>9823.92175</v>
      </c>
    </row>
    <row r="2111">
      <c r="A2111" s="3">
        <f>IFERROR(__xludf.DUMMYFUNCTION("""COMPUTED_VALUE"""),42496.99861111111)</f>
        <v>42496.99861</v>
      </c>
      <c r="B2111" s="1">
        <f>IFERROR(__xludf.DUMMYFUNCTION("""COMPUTED_VALUE"""),9773.1337)</f>
        <v>9773.1337</v>
      </c>
    </row>
    <row r="2112">
      <c r="A2112" s="3">
        <f>IFERROR(__xludf.DUMMYFUNCTION("""COMPUTED_VALUE"""),42498.99861111111)</f>
        <v>42498.99861</v>
      </c>
      <c r="B2112" s="1">
        <f>IFERROR(__xludf.DUMMYFUNCTION("""COMPUTED_VALUE"""),9844.097663)</f>
        <v>9844.097663</v>
      </c>
    </row>
    <row r="2113">
      <c r="A2113" s="3">
        <f>IFERROR(__xludf.DUMMYFUNCTION("""COMPUTED_VALUE"""),42499.99861111111)</f>
        <v>42499.99861</v>
      </c>
      <c r="B2113" s="1">
        <f>IFERROR(__xludf.DUMMYFUNCTION("""COMPUTED_VALUE"""),9748.62252)</f>
        <v>9748.62252</v>
      </c>
    </row>
    <row r="2114">
      <c r="A2114" s="3">
        <f>IFERROR(__xludf.DUMMYFUNCTION("""COMPUTED_VALUE"""),42500.99861111111)</f>
        <v>42500.99861</v>
      </c>
      <c r="B2114" s="1">
        <f>IFERROR(__xludf.DUMMYFUNCTION("""COMPUTED_VALUE"""),9717.5135)</f>
        <v>9717.5135</v>
      </c>
    </row>
    <row r="2115">
      <c r="A2115" s="3">
        <f>IFERROR(__xludf.DUMMYFUNCTION("""COMPUTED_VALUE"""),42501.99861111111)</f>
        <v>42501.99861</v>
      </c>
      <c r="B2115" s="1">
        <f>IFERROR(__xludf.DUMMYFUNCTION("""COMPUTED_VALUE"""),9687.92851)</f>
        <v>9687.92851</v>
      </c>
    </row>
    <row r="2116">
      <c r="A2116" s="3">
        <f>IFERROR(__xludf.DUMMYFUNCTION("""COMPUTED_VALUE"""),42502.99861111111)</f>
        <v>42502.99861</v>
      </c>
      <c r="B2116" s="1">
        <f>IFERROR(__xludf.DUMMYFUNCTION("""COMPUTED_VALUE"""),9650.56785)</f>
        <v>9650.56785</v>
      </c>
    </row>
    <row r="2117">
      <c r="A2117" s="3">
        <f>IFERROR(__xludf.DUMMYFUNCTION("""COMPUTED_VALUE"""),42503.99861111111)</f>
        <v>42503.99861</v>
      </c>
      <c r="B2117" s="1">
        <f>IFERROR(__xludf.DUMMYFUNCTION("""COMPUTED_VALUE"""),9713.6952)</f>
        <v>9713.6952</v>
      </c>
    </row>
    <row r="2118">
      <c r="A2118" s="3">
        <f>IFERROR(__xludf.DUMMYFUNCTION("""COMPUTED_VALUE"""),42505.99861111111)</f>
        <v>42505.99861</v>
      </c>
      <c r="B2118" s="1">
        <f>IFERROR(__xludf.DUMMYFUNCTION("""COMPUTED_VALUE"""),9697.063852)</f>
        <v>9697.063852</v>
      </c>
    </row>
    <row r="2119">
      <c r="A2119" s="3">
        <f>IFERROR(__xludf.DUMMYFUNCTION("""COMPUTED_VALUE"""),42506.99861111111)</f>
        <v>42506.99861</v>
      </c>
      <c r="B2119" s="1">
        <f>IFERROR(__xludf.DUMMYFUNCTION("""COMPUTED_VALUE"""),9723.9996)</f>
        <v>9723.9996</v>
      </c>
    </row>
    <row r="2120">
      <c r="A2120" s="3">
        <f>IFERROR(__xludf.DUMMYFUNCTION("""COMPUTED_VALUE"""),42507.99861111111)</f>
        <v>42507.99861</v>
      </c>
      <c r="B2120" s="1">
        <f>IFERROR(__xludf.DUMMYFUNCTION("""COMPUTED_VALUE"""),9714.94828)</f>
        <v>9714.94828</v>
      </c>
    </row>
    <row r="2121">
      <c r="A2121" s="3">
        <f>IFERROR(__xludf.DUMMYFUNCTION("""COMPUTED_VALUE"""),42508.99861111111)</f>
        <v>42508.99861</v>
      </c>
      <c r="B2121" s="1">
        <f>IFERROR(__xludf.DUMMYFUNCTION("""COMPUTED_VALUE"""),9722.3721)</f>
        <v>9722.3721</v>
      </c>
    </row>
    <row r="2122">
      <c r="A2122" s="3">
        <f>IFERROR(__xludf.DUMMYFUNCTION("""COMPUTED_VALUE"""),42509.99861111111)</f>
        <v>42509.99861</v>
      </c>
      <c r="B2122" s="1">
        <f>IFERROR(__xludf.DUMMYFUNCTION("""COMPUTED_VALUE"""),9855.2874)</f>
        <v>9855.2874</v>
      </c>
    </row>
    <row r="2123">
      <c r="A2123" s="3">
        <f>IFERROR(__xludf.DUMMYFUNCTION("""COMPUTED_VALUE"""),42510.99861111111)</f>
        <v>42510.99861</v>
      </c>
      <c r="B2123" s="1">
        <f>IFERROR(__xludf.DUMMYFUNCTION("""COMPUTED_VALUE"""),9845.53035)</f>
        <v>9845.53035</v>
      </c>
    </row>
    <row r="2124">
      <c r="A2124" s="3">
        <f>IFERROR(__xludf.DUMMYFUNCTION("""COMPUTED_VALUE"""),42512.99861111111)</f>
        <v>42512.99861</v>
      </c>
      <c r="B2124" s="1">
        <f>IFERROR(__xludf.DUMMYFUNCTION("""COMPUTED_VALUE"""),9863.4818)</f>
        <v>9863.4818</v>
      </c>
    </row>
    <row r="2125">
      <c r="A2125" s="3">
        <f>IFERROR(__xludf.DUMMYFUNCTION("""COMPUTED_VALUE"""),42513.99861111111)</f>
        <v>42513.99861</v>
      </c>
      <c r="B2125" s="1">
        <f>IFERROR(__xludf.DUMMYFUNCTION("""COMPUTED_VALUE"""),9820.2912)</f>
        <v>9820.2912</v>
      </c>
    </row>
    <row r="2126">
      <c r="A2126" s="3">
        <f>IFERROR(__xludf.DUMMYFUNCTION("""COMPUTED_VALUE"""),42514.99861111111)</f>
        <v>42514.99861</v>
      </c>
      <c r="B2126" s="1">
        <f>IFERROR(__xludf.DUMMYFUNCTION("""COMPUTED_VALUE"""),9820.609)</f>
        <v>9820.609</v>
      </c>
    </row>
    <row r="2127">
      <c r="A2127" s="3">
        <f>IFERROR(__xludf.DUMMYFUNCTION("""COMPUTED_VALUE"""),42515.99861111111)</f>
        <v>42515.99861</v>
      </c>
      <c r="B2127" s="1">
        <f>IFERROR(__xludf.DUMMYFUNCTION("""COMPUTED_VALUE"""),9870.29064)</f>
        <v>9870.29064</v>
      </c>
    </row>
    <row r="2128">
      <c r="A2128" s="3">
        <f>IFERROR(__xludf.DUMMYFUNCTION("""COMPUTED_VALUE"""),42516.99861111111)</f>
        <v>42516.99861</v>
      </c>
      <c r="B2128" s="1">
        <f>IFERROR(__xludf.DUMMYFUNCTION("""COMPUTED_VALUE"""),9862.3171)</f>
        <v>9862.3171</v>
      </c>
    </row>
    <row r="2129">
      <c r="A2129" s="3">
        <f>IFERROR(__xludf.DUMMYFUNCTION("""COMPUTED_VALUE"""),42517.99861111111)</f>
        <v>42517.99861</v>
      </c>
      <c r="B2129" s="1">
        <f>IFERROR(__xludf.DUMMYFUNCTION("""COMPUTED_VALUE"""),9825.7116)</f>
        <v>9825.7116</v>
      </c>
    </row>
    <row r="2130">
      <c r="A2130" s="3">
        <f>IFERROR(__xludf.DUMMYFUNCTION("""COMPUTED_VALUE"""),42519.99861111111)</f>
        <v>42519.99861</v>
      </c>
      <c r="B2130" s="1">
        <f>IFERROR(__xludf.DUMMYFUNCTION("""COMPUTED_VALUE"""),9949.447843)</f>
        <v>9949.447843</v>
      </c>
    </row>
    <row r="2131">
      <c r="A2131" s="3">
        <f>IFERROR(__xludf.DUMMYFUNCTION("""COMPUTED_VALUE"""),42520.99861111111)</f>
        <v>42520.99861</v>
      </c>
      <c r="B2131" s="1">
        <f>IFERROR(__xludf.DUMMYFUNCTION("""COMPUTED_VALUE"""),9881.38452)</f>
        <v>9881.38452</v>
      </c>
    </row>
    <row r="2132">
      <c r="A2132" s="3">
        <f>IFERROR(__xludf.DUMMYFUNCTION("""COMPUTED_VALUE"""),42521.99861111111)</f>
        <v>42521.99861</v>
      </c>
      <c r="B2132" s="1">
        <f>IFERROR(__xludf.DUMMYFUNCTION("""COMPUTED_VALUE"""),9902.36226)</f>
        <v>9902.36226</v>
      </c>
    </row>
    <row r="2133">
      <c r="A2133" s="3">
        <f>IFERROR(__xludf.DUMMYFUNCTION("""COMPUTED_VALUE"""),42522.99861111111)</f>
        <v>42522.99861</v>
      </c>
      <c r="B2133" s="1">
        <f>IFERROR(__xludf.DUMMYFUNCTION("""COMPUTED_VALUE"""),9879.7712)</f>
        <v>9879.7712</v>
      </c>
    </row>
    <row r="2134">
      <c r="A2134" s="3">
        <f>IFERROR(__xludf.DUMMYFUNCTION("""COMPUTED_VALUE"""),42523.99861111111)</f>
        <v>42523.99861</v>
      </c>
      <c r="B2134" s="1">
        <f>IFERROR(__xludf.DUMMYFUNCTION("""COMPUTED_VALUE"""),9892.5646)</f>
        <v>9892.5646</v>
      </c>
    </row>
    <row r="2135">
      <c r="A2135" s="3">
        <f>IFERROR(__xludf.DUMMYFUNCTION("""COMPUTED_VALUE"""),42524.99861111111)</f>
        <v>42524.99861</v>
      </c>
      <c r="B2135" s="1">
        <f>IFERROR(__xludf.DUMMYFUNCTION("""COMPUTED_VALUE"""),9888.12674)</f>
        <v>9888.12674</v>
      </c>
    </row>
    <row r="2136">
      <c r="A2136" s="3">
        <f>IFERROR(__xludf.DUMMYFUNCTION("""COMPUTED_VALUE"""),42526.99861111111)</f>
        <v>42526.99861</v>
      </c>
      <c r="B2136" s="1">
        <f>IFERROR(__xludf.DUMMYFUNCTION("""COMPUTED_VALUE"""),9918.726567)</f>
        <v>9918.726567</v>
      </c>
    </row>
    <row r="2137">
      <c r="A2137" s="3">
        <f>IFERROR(__xludf.DUMMYFUNCTION("""COMPUTED_VALUE"""),42527.99861111111)</f>
        <v>42527.99861</v>
      </c>
      <c r="B2137" s="1">
        <f>IFERROR(__xludf.DUMMYFUNCTION("""COMPUTED_VALUE"""),9845.28108)</f>
        <v>9845.28108</v>
      </c>
    </row>
    <row r="2138">
      <c r="A2138" s="3">
        <f>IFERROR(__xludf.DUMMYFUNCTION("""COMPUTED_VALUE"""),42528.99861111111)</f>
        <v>42528.99861</v>
      </c>
      <c r="B2138" s="1">
        <f>IFERROR(__xludf.DUMMYFUNCTION("""COMPUTED_VALUE"""),9784.67325)</f>
        <v>9784.67325</v>
      </c>
    </row>
    <row r="2139">
      <c r="A2139" s="3">
        <f>IFERROR(__xludf.DUMMYFUNCTION("""COMPUTED_VALUE"""),42529.99861111111)</f>
        <v>42529.99861</v>
      </c>
      <c r="B2139" s="1">
        <f>IFERROR(__xludf.DUMMYFUNCTION("""COMPUTED_VALUE"""),9806.95735)</f>
        <v>9806.95735</v>
      </c>
    </row>
    <row r="2140">
      <c r="A2140" s="3">
        <f>IFERROR(__xludf.DUMMYFUNCTION("""COMPUTED_VALUE"""),42530.99861111111)</f>
        <v>42530.99861</v>
      </c>
      <c r="B2140" s="1">
        <f>IFERROR(__xludf.DUMMYFUNCTION("""COMPUTED_VALUE"""),9783.1375)</f>
        <v>9783.1375</v>
      </c>
    </row>
    <row r="2141">
      <c r="A2141" s="3">
        <f>IFERROR(__xludf.DUMMYFUNCTION("""COMPUTED_VALUE"""),42531.99861111111)</f>
        <v>42531.99861</v>
      </c>
      <c r="B2141" s="1">
        <f>IFERROR(__xludf.DUMMYFUNCTION("""COMPUTED_VALUE"""),9810.20142)</f>
        <v>9810.20142</v>
      </c>
    </row>
    <row r="2142">
      <c r="A2142" s="3">
        <f>IFERROR(__xludf.DUMMYFUNCTION("""COMPUTED_VALUE"""),42533.99861111111)</f>
        <v>42533.99861</v>
      </c>
      <c r="B2142" s="1">
        <f>IFERROR(__xludf.DUMMYFUNCTION("""COMPUTED_VALUE"""),9822.909525)</f>
        <v>9822.909525</v>
      </c>
    </row>
    <row r="2143">
      <c r="A2143" s="3">
        <f>IFERROR(__xludf.DUMMYFUNCTION("""COMPUTED_VALUE"""),42534.99861111111)</f>
        <v>42534.99861</v>
      </c>
      <c r="B2143" s="1">
        <f>IFERROR(__xludf.DUMMYFUNCTION("""COMPUTED_VALUE"""),9823.239091)</f>
        <v>9823.239091</v>
      </c>
    </row>
    <row r="2144">
      <c r="A2144" s="3">
        <f>IFERROR(__xludf.DUMMYFUNCTION("""COMPUTED_VALUE"""),42535.99861111111)</f>
        <v>42535.99861</v>
      </c>
      <c r="B2144" s="1">
        <f>IFERROR(__xludf.DUMMYFUNCTION("""COMPUTED_VALUE"""),9847.965121)</f>
        <v>9847.965121</v>
      </c>
    </row>
    <row r="2145">
      <c r="A2145" s="3">
        <f>IFERROR(__xludf.DUMMYFUNCTION("""COMPUTED_VALUE"""),42536.99861111111)</f>
        <v>42536.99861</v>
      </c>
      <c r="B2145" s="1">
        <f>IFERROR(__xludf.DUMMYFUNCTION("""COMPUTED_VALUE"""),9862.137324)</f>
        <v>9862.137324</v>
      </c>
    </row>
    <row r="2146">
      <c r="A2146" s="3">
        <f>IFERROR(__xludf.DUMMYFUNCTION("""COMPUTED_VALUE"""),42537.99861111111)</f>
        <v>42537.99861</v>
      </c>
      <c r="B2146" s="1">
        <f>IFERROR(__xludf.DUMMYFUNCTION("""COMPUTED_VALUE"""),9938.819744)</f>
        <v>9938.819744</v>
      </c>
    </row>
    <row r="2147">
      <c r="A2147" s="3">
        <f>IFERROR(__xludf.DUMMYFUNCTION("""COMPUTED_VALUE"""),42538.99861111111)</f>
        <v>42538.99861</v>
      </c>
      <c r="B2147" s="1">
        <f>IFERROR(__xludf.DUMMYFUNCTION("""COMPUTED_VALUE"""),9888.740493)</f>
        <v>9888.740493</v>
      </c>
    </row>
    <row r="2148">
      <c r="A2148" s="3">
        <f>IFERROR(__xludf.DUMMYFUNCTION("""COMPUTED_VALUE"""),42540.99861111111)</f>
        <v>42540.99861</v>
      </c>
      <c r="B2148" s="1">
        <f>IFERROR(__xludf.DUMMYFUNCTION("""COMPUTED_VALUE"""),9912.519388)</f>
        <v>9912.519388</v>
      </c>
    </row>
    <row r="2149">
      <c r="A2149" s="3">
        <f>IFERROR(__xludf.DUMMYFUNCTION("""COMPUTED_VALUE"""),42541.99861111111)</f>
        <v>42541.99861</v>
      </c>
      <c r="B2149" s="1">
        <f>IFERROR(__xludf.DUMMYFUNCTION("""COMPUTED_VALUE"""),9866.779847)</f>
        <v>9866.779847</v>
      </c>
    </row>
    <row r="2150">
      <c r="A2150" s="3">
        <f>IFERROR(__xludf.DUMMYFUNCTION("""COMPUTED_VALUE"""),42542.99861111111)</f>
        <v>42542.99861</v>
      </c>
      <c r="B2150" s="1">
        <f>IFERROR(__xludf.DUMMYFUNCTION("""COMPUTED_VALUE"""),9869.673)</f>
        <v>9869.673</v>
      </c>
    </row>
    <row r="2151">
      <c r="A2151" s="3">
        <f>IFERROR(__xludf.DUMMYFUNCTION("""COMPUTED_VALUE"""),42543.99861111111)</f>
        <v>42543.99861</v>
      </c>
      <c r="B2151" s="1">
        <f>IFERROR(__xludf.DUMMYFUNCTION("""COMPUTED_VALUE"""),9863.2625)</f>
        <v>9863.2625</v>
      </c>
    </row>
    <row r="2152">
      <c r="A2152" s="3">
        <f>IFERROR(__xludf.DUMMYFUNCTION("""COMPUTED_VALUE"""),42544.99861111111)</f>
        <v>42544.99861</v>
      </c>
      <c r="B2152" s="1">
        <f>IFERROR(__xludf.DUMMYFUNCTION("""COMPUTED_VALUE"""),9857.8675)</f>
        <v>9857.8675</v>
      </c>
    </row>
    <row r="2153">
      <c r="A2153" s="3">
        <f>IFERROR(__xludf.DUMMYFUNCTION("""COMPUTED_VALUE"""),42545.99861111111)</f>
        <v>42545.99861</v>
      </c>
      <c r="B2153" s="1">
        <f>IFERROR(__xludf.DUMMYFUNCTION("""COMPUTED_VALUE"""),9880.6475)</f>
        <v>9880.6475</v>
      </c>
    </row>
    <row r="2154">
      <c r="A2154" s="3">
        <f>IFERROR(__xludf.DUMMYFUNCTION("""COMPUTED_VALUE"""),42547.99861111111)</f>
        <v>42547.99861</v>
      </c>
      <c r="B2154" s="1">
        <f>IFERROR(__xludf.DUMMYFUNCTION("""COMPUTED_VALUE"""),10022.85553)</f>
        <v>10022.85553</v>
      </c>
    </row>
    <row r="2155">
      <c r="A2155" s="3">
        <f>IFERROR(__xludf.DUMMYFUNCTION("""COMPUTED_VALUE"""),42548.99861111111)</f>
        <v>42548.99861</v>
      </c>
      <c r="B2155" s="1">
        <f>IFERROR(__xludf.DUMMYFUNCTION("""COMPUTED_VALUE"""),9826.06235)</f>
        <v>9826.06235</v>
      </c>
    </row>
    <row r="2156">
      <c r="A2156" s="3">
        <f>IFERROR(__xludf.DUMMYFUNCTION("""COMPUTED_VALUE"""),42549.99861111111)</f>
        <v>42549.99861</v>
      </c>
      <c r="B2156" s="1">
        <f>IFERROR(__xludf.DUMMYFUNCTION("""COMPUTED_VALUE"""),9727.4772)</f>
        <v>9727.4772</v>
      </c>
    </row>
    <row r="2157">
      <c r="A2157" s="3">
        <f>IFERROR(__xludf.DUMMYFUNCTION("""COMPUTED_VALUE"""),42550.99861111111)</f>
        <v>42550.99861</v>
      </c>
      <c r="B2157" s="1">
        <f>IFERROR(__xludf.DUMMYFUNCTION("""COMPUTED_VALUE"""),9755.57611)</f>
        <v>9755.57611</v>
      </c>
    </row>
    <row r="2158">
      <c r="A2158" s="3">
        <f>IFERROR(__xludf.DUMMYFUNCTION("""COMPUTED_VALUE"""),42551.99861111111)</f>
        <v>42551.99861</v>
      </c>
      <c r="B2158" s="1">
        <f>IFERROR(__xludf.DUMMYFUNCTION("""COMPUTED_VALUE"""),9778.78347)</f>
        <v>9778.78347</v>
      </c>
    </row>
    <row r="2159">
      <c r="A2159" s="3">
        <f>IFERROR(__xludf.DUMMYFUNCTION("""COMPUTED_VALUE"""),42552.99861111111)</f>
        <v>42552.99861</v>
      </c>
      <c r="B2159" s="1">
        <f>IFERROR(__xludf.DUMMYFUNCTION("""COMPUTED_VALUE"""),9740.5105)</f>
        <v>9740.5105</v>
      </c>
    </row>
    <row r="2160">
      <c r="A2160" s="3">
        <f>IFERROR(__xludf.DUMMYFUNCTION("""COMPUTED_VALUE"""),42553.99861111111)</f>
        <v>42553.99861</v>
      </c>
      <c r="B2160" s="1">
        <f>IFERROR(__xludf.DUMMYFUNCTION("""COMPUTED_VALUE"""),9750.64905)</f>
        <v>9750.64905</v>
      </c>
    </row>
    <row r="2161">
      <c r="A2161" s="3">
        <f>IFERROR(__xludf.DUMMYFUNCTION("""COMPUTED_VALUE"""),42554.99861111111)</f>
        <v>42554.99861</v>
      </c>
      <c r="B2161" s="1">
        <f>IFERROR(__xludf.DUMMYFUNCTION("""COMPUTED_VALUE"""),9749.861649)</f>
        <v>9749.861649</v>
      </c>
    </row>
    <row r="2162">
      <c r="A2162" s="3">
        <f>IFERROR(__xludf.DUMMYFUNCTION("""COMPUTED_VALUE"""),42555.99861111111)</f>
        <v>42555.99861</v>
      </c>
      <c r="B2162" s="1">
        <f>IFERROR(__xludf.DUMMYFUNCTION("""COMPUTED_VALUE"""),9696.397)</f>
        <v>9696.397</v>
      </c>
    </row>
    <row r="2163">
      <c r="A2163" s="3">
        <f>IFERROR(__xludf.DUMMYFUNCTION("""COMPUTED_VALUE"""),42556.99861111111)</f>
        <v>42556.99861</v>
      </c>
      <c r="B2163" s="1">
        <f>IFERROR(__xludf.DUMMYFUNCTION("""COMPUTED_VALUE"""),9726.2928)</f>
        <v>9726.2928</v>
      </c>
    </row>
    <row r="2164">
      <c r="A2164" s="3">
        <f>IFERROR(__xludf.DUMMYFUNCTION("""COMPUTED_VALUE"""),42557.99861111111)</f>
        <v>42557.99861</v>
      </c>
      <c r="B2164" s="1">
        <f>IFERROR(__xludf.DUMMYFUNCTION("""COMPUTED_VALUE"""),9783.22176)</f>
        <v>9783.22176</v>
      </c>
    </row>
    <row r="2165">
      <c r="A2165" s="3">
        <f>IFERROR(__xludf.DUMMYFUNCTION("""COMPUTED_VALUE"""),42558.99861111111)</f>
        <v>42558.99861</v>
      </c>
      <c r="B2165" s="1">
        <f>IFERROR(__xludf.DUMMYFUNCTION("""COMPUTED_VALUE"""),9704.611)</f>
        <v>9704.611</v>
      </c>
    </row>
    <row r="2166">
      <c r="A2166" s="3">
        <f>IFERROR(__xludf.DUMMYFUNCTION("""COMPUTED_VALUE"""),42559.99861111111)</f>
        <v>42559.99861</v>
      </c>
      <c r="B2166" s="1">
        <f>IFERROR(__xludf.DUMMYFUNCTION("""COMPUTED_VALUE"""),9739.8981)</f>
        <v>9739.8981</v>
      </c>
    </row>
    <row r="2167">
      <c r="A2167" s="3">
        <f>IFERROR(__xludf.DUMMYFUNCTION("""COMPUTED_VALUE"""),42560.99861111111)</f>
        <v>42560.99861</v>
      </c>
      <c r="B2167" s="1">
        <f>IFERROR(__xludf.DUMMYFUNCTION("""COMPUTED_VALUE"""),9764.12283)</f>
        <v>9764.12283</v>
      </c>
    </row>
    <row r="2168">
      <c r="A2168" s="3">
        <f>IFERROR(__xludf.DUMMYFUNCTION("""COMPUTED_VALUE"""),42561.99861111111)</f>
        <v>42561.99861</v>
      </c>
      <c r="B2168" s="1">
        <f>IFERROR(__xludf.DUMMYFUNCTION("""COMPUTED_VALUE"""),9760.574868)</f>
        <v>9760.574868</v>
      </c>
    </row>
    <row r="2169">
      <c r="A2169" s="3">
        <f>IFERROR(__xludf.DUMMYFUNCTION("""COMPUTED_VALUE"""),42562.99861111111)</f>
        <v>42562.99861</v>
      </c>
      <c r="B2169" s="1">
        <f>IFERROR(__xludf.DUMMYFUNCTION("""COMPUTED_VALUE"""),9708.4064)</f>
        <v>9708.4064</v>
      </c>
    </row>
    <row r="2170">
      <c r="A2170" s="3">
        <f>IFERROR(__xludf.DUMMYFUNCTION("""COMPUTED_VALUE"""),42563.99861111111)</f>
        <v>42563.99861</v>
      </c>
      <c r="B2170" s="1">
        <f>IFERROR(__xludf.DUMMYFUNCTION("""COMPUTED_VALUE"""),9702.82675)</f>
        <v>9702.82675</v>
      </c>
    </row>
    <row r="2171">
      <c r="A2171" s="3">
        <f>IFERROR(__xludf.DUMMYFUNCTION("""COMPUTED_VALUE"""),42564.99861111111)</f>
        <v>42564.99861</v>
      </c>
      <c r="B2171" s="1">
        <f>IFERROR(__xludf.DUMMYFUNCTION("""COMPUTED_VALUE"""),9656.21895)</f>
        <v>9656.21895</v>
      </c>
    </row>
    <row r="2172">
      <c r="A2172" s="3">
        <f>IFERROR(__xludf.DUMMYFUNCTION("""COMPUTED_VALUE"""),42565.99861111111)</f>
        <v>42565.99861</v>
      </c>
      <c r="B2172" s="1">
        <f>IFERROR(__xludf.DUMMYFUNCTION("""COMPUTED_VALUE"""),9687.7914)</f>
        <v>9687.7914</v>
      </c>
    </row>
    <row r="2173">
      <c r="A2173" s="3">
        <f>IFERROR(__xludf.DUMMYFUNCTION("""COMPUTED_VALUE"""),42566.99861111111)</f>
        <v>42566.99861</v>
      </c>
      <c r="B2173" s="1">
        <f>IFERROR(__xludf.DUMMYFUNCTION("""COMPUTED_VALUE"""),9688.21602)</f>
        <v>9688.21602</v>
      </c>
    </row>
    <row r="2174">
      <c r="A2174" s="3">
        <f>IFERROR(__xludf.DUMMYFUNCTION("""COMPUTED_VALUE"""),42567.99861111111)</f>
        <v>42567.99861</v>
      </c>
      <c r="B2174" s="1">
        <f>IFERROR(__xludf.DUMMYFUNCTION("""COMPUTED_VALUE"""),9758.812276)</f>
        <v>9758.812276</v>
      </c>
    </row>
    <row r="2175">
      <c r="A2175" s="3">
        <f>IFERROR(__xludf.DUMMYFUNCTION("""COMPUTED_VALUE"""),42568.99861111111)</f>
        <v>42568.99861</v>
      </c>
      <c r="B2175" s="1">
        <f>IFERROR(__xludf.DUMMYFUNCTION("""COMPUTED_VALUE"""),9765.5228)</f>
        <v>9765.5228</v>
      </c>
    </row>
    <row r="2176">
      <c r="A2176" s="3">
        <f>IFERROR(__xludf.DUMMYFUNCTION("""COMPUTED_VALUE"""),42569.99861111111)</f>
        <v>42569.99861</v>
      </c>
      <c r="B2176" s="1">
        <f>IFERROR(__xludf.DUMMYFUNCTION("""COMPUTED_VALUE"""),9694.0675)</f>
        <v>9694.0675</v>
      </c>
    </row>
    <row r="2177">
      <c r="A2177" s="3">
        <f>IFERROR(__xludf.DUMMYFUNCTION("""COMPUTED_VALUE"""),42570.99861111111)</f>
        <v>42570.99861</v>
      </c>
      <c r="B2177" s="1">
        <f>IFERROR(__xludf.DUMMYFUNCTION("""COMPUTED_VALUE"""),9668.26399)</f>
        <v>9668.26399</v>
      </c>
    </row>
    <row r="2178">
      <c r="A2178" s="3">
        <f>IFERROR(__xludf.DUMMYFUNCTION("""COMPUTED_VALUE"""),42571.99861111111)</f>
        <v>42571.99861</v>
      </c>
      <c r="B2178" s="1">
        <f>IFERROR(__xludf.DUMMYFUNCTION("""COMPUTED_VALUE"""),9655.2398)</f>
        <v>9655.2398</v>
      </c>
    </row>
    <row r="2179">
      <c r="A2179" s="3">
        <f>IFERROR(__xludf.DUMMYFUNCTION("""COMPUTED_VALUE"""),42572.99861111111)</f>
        <v>42572.99861</v>
      </c>
      <c r="B2179" s="1">
        <f>IFERROR(__xludf.DUMMYFUNCTION("""COMPUTED_VALUE"""),9680.11352)</f>
        <v>9680.11352</v>
      </c>
    </row>
    <row r="2180">
      <c r="A2180" s="3">
        <f>IFERROR(__xludf.DUMMYFUNCTION("""COMPUTED_VALUE"""),42573.99861111111)</f>
        <v>42573.99861</v>
      </c>
      <c r="B2180" s="1">
        <f>IFERROR(__xludf.DUMMYFUNCTION("""COMPUTED_VALUE"""),9646.05393)</f>
        <v>9646.05393</v>
      </c>
    </row>
    <row r="2181">
      <c r="A2181" s="3">
        <f>IFERROR(__xludf.DUMMYFUNCTION("""COMPUTED_VALUE"""),42575.99861111111)</f>
        <v>42575.99861</v>
      </c>
      <c r="B2181" s="1">
        <f>IFERROR(__xludf.DUMMYFUNCTION("""COMPUTED_VALUE"""),9655.767229)</f>
        <v>9655.767229</v>
      </c>
    </row>
    <row r="2182">
      <c r="A2182" s="3">
        <f>IFERROR(__xludf.DUMMYFUNCTION("""COMPUTED_VALUE"""),42576.99861111111)</f>
        <v>42576.99861</v>
      </c>
      <c r="B2182" s="1">
        <f>IFERROR(__xludf.DUMMYFUNCTION("""COMPUTED_VALUE"""),9611.2062)</f>
        <v>9611.2062</v>
      </c>
    </row>
    <row r="2183">
      <c r="A2183" s="3">
        <f>IFERROR(__xludf.DUMMYFUNCTION("""COMPUTED_VALUE"""),42577.99861111111)</f>
        <v>42577.99861</v>
      </c>
      <c r="B2183" s="1">
        <f>IFERROR(__xludf.DUMMYFUNCTION("""COMPUTED_VALUE"""),9690.5225)</f>
        <v>9690.5225</v>
      </c>
    </row>
    <row r="2184">
      <c r="A2184" s="3">
        <f>IFERROR(__xludf.DUMMYFUNCTION("""COMPUTED_VALUE"""),42578.99861111111)</f>
        <v>42578.99861</v>
      </c>
      <c r="B2184" s="1">
        <f>IFERROR(__xludf.DUMMYFUNCTION("""COMPUTED_VALUE"""),9707.32074)</f>
        <v>9707.32074</v>
      </c>
    </row>
    <row r="2185">
      <c r="A2185" s="3">
        <f>IFERROR(__xludf.DUMMYFUNCTION("""COMPUTED_VALUE"""),42579.99861111111)</f>
        <v>42579.99861</v>
      </c>
      <c r="B2185" s="1">
        <f>IFERROR(__xludf.DUMMYFUNCTION("""COMPUTED_VALUE"""),9650.64548)</f>
        <v>9650.64548</v>
      </c>
    </row>
    <row r="2186">
      <c r="A2186" s="3">
        <f>IFERROR(__xludf.DUMMYFUNCTION("""COMPUTED_VALUE"""),42580.99861111111)</f>
        <v>42580.99861</v>
      </c>
      <c r="B2186" s="1">
        <f>IFERROR(__xludf.DUMMYFUNCTION("""COMPUTED_VALUE"""),9715.6542)</f>
        <v>9715.6542</v>
      </c>
    </row>
    <row r="2187">
      <c r="A2187" s="3">
        <f>IFERROR(__xludf.DUMMYFUNCTION("""COMPUTED_VALUE"""),42581.99861111111)</f>
        <v>42581.99861</v>
      </c>
      <c r="B2187" s="1">
        <f>IFERROR(__xludf.DUMMYFUNCTION("""COMPUTED_VALUE"""),9791.331435)</f>
        <v>9791.331435</v>
      </c>
    </row>
    <row r="2188">
      <c r="A2188" s="3">
        <f>IFERROR(__xludf.DUMMYFUNCTION("""COMPUTED_VALUE"""),42582.99861111111)</f>
        <v>42582.99861</v>
      </c>
      <c r="B2188" s="1">
        <f>IFERROR(__xludf.DUMMYFUNCTION("""COMPUTED_VALUE"""),9775.977115)</f>
        <v>9775.977115</v>
      </c>
    </row>
    <row r="2189">
      <c r="A2189" s="3">
        <f>IFERROR(__xludf.DUMMYFUNCTION("""COMPUTED_VALUE"""),42583.99861111111)</f>
        <v>42583.99861</v>
      </c>
      <c r="B2189" s="1">
        <f>IFERROR(__xludf.DUMMYFUNCTION("""COMPUTED_VALUE"""),9689.3276)</f>
        <v>9689.3276</v>
      </c>
    </row>
    <row r="2190">
      <c r="A2190" s="3">
        <f>IFERROR(__xludf.DUMMYFUNCTION("""COMPUTED_VALUE"""),42584.99861111111)</f>
        <v>42584.99861</v>
      </c>
      <c r="B2190" s="1">
        <f>IFERROR(__xludf.DUMMYFUNCTION("""COMPUTED_VALUE"""),9764.0136)</f>
        <v>9764.0136</v>
      </c>
    </row>
    <row r="2191">
      <c r="A2191" s="3">
        <f>IFERROR(__xludf.DUMMYFUNCTION("""COMPUTED_VALUE"""),42585.99861111111)</f>
        <v>42585.99861</v>
      </c>
      <c r="B2191" s="1">
        <f>IFERROR(__xludf.DUMMYFUNCTION("""COMPUTED_VALUE"""),9791.4024)</f>
        <v>9791.4024</v>
      </c>
    </row>
    <row r="2192">
      <c r="A2192" s="3">
        <f>IFERROR(__xludf.DUMMYFUNCTION("""COMPUTED_VALUE"""),42586.99861111111)</f>
        <v>42586.99861</v>
      </c>
      <c r="B2192" s="1">
        <f>IFERROR(__xludf.DUMMYFUNCTION("""COMPUTED_VALUE"""),9763.30736)</f>
        <v>9763.30736</v>
      </c>
    </row>
    <row r="2193">
      <c r="A2193" s="3">
        <f>IFERROR(__xludf.DUMMYFUNCTION("""COMPUTED_VALUE"""),42587.99861111111)</f>
        <v>42587.99861</v>
      </c>
      <c r="B2193" s="1">
        <f>IFERROR(__xludf.DUMMYFUNCTION("""COMPUTED_VALUE"""),9744.79086)</f>
        <v>9744.79086</v>
      </c>
    </row>
    <row r="2194">
      <c r="A2194" s="3">
        <f>IFERROR(__xludf.DUMMYFUNCTION("""COMPUTED_VALUE"""),42589.99861111111)</f>
        <v>42589.99861</v>
      </c>
      <c r="B2194" s="1">
        <f>IFERROR(__xludf.DUMMYFUNCTION("""COMPUTED_VALUE"""),9745.857396)</f>
        <v>9745.857396</v>
      </c>
    </row>
    <row r="2195">
      <c r="A2195" s="3">
        <f>IFERROR(__xludf.DUMMYFUNCTION("""COMPUTED_VALUE"""),42590.99861111111)</f>
        <v>42590.99861</v>
      </c>
      <c r="B2195" s="1">
        <f>IFERROR(__xludf.DUMMYFUNCTION("""COMPUTED_VALUE"""),9732.5593)</f>
        <v>9732.5593</v>
      </c>
    </row>
    <row r="2196">
      <c r="A2196" s="3">
        <f>IFERROR(__xludf.DUMMYFUNCTION("""COMPUTED_VALUE"""),42591.99861111111)</f>
        <v>42591.99861</v>
      </c>
      <c r="B2196" s="1">
        <f>IFERROR(__xludf.DUMMYFUNCTION("""COMPUTED_VALUE"""),9743.86875)</f>
        <v>9743.86875</v>
      </c>
    </row>
    <row r="2197">
      <c r="A2197" s="3">
        <f>IFERROR(__xludf.DUMMYFUNCTION("""COMPUTED_VALUE"""),42592.99861111111)</f>
        <v>42592.99861</v>
      </c>
      <c r="B2197" s="1">
        <f>IFERROR(__xludf.DUMMYFUNCTION("""COMPUTED_VALUE"""),9759.78717)</f>
        <v>9759.78717</v>
      </c>
    </row>
    <row r="2198">
      <c r="A2198" s="3">
        <f>IFERROR(__xludf.DUMMYFUNCTION("""COMPUTED_VALUE"""),42593.99861111111)</f>
        <v>42593.99861</v>
      </c>
      <c r="B2198" s="1">
        <f>IFERROR(__xludf.DUMMYFUNCTION("""COMPUTED_VALUE"""),9746.48376)</f>
        <v>9746.48376</v>
      </c>
    </row>
    <row r="2199">
      <c r="A2199" s="3">
        <f>IFERROR(__xludf.DUMMYFUNCTION("""COMPUTED_VALUE"""),42594.99861111111)</f>
        <v>42594.99861</v>
      </c>
      <c r="B2199" s="1">
        <f>IFERROR(__xludf.DUMMYFUNCTION("""COMPUTED_VALUE"""),9735.83527)</f>
        <v>9735.83527</v>
      </c>
    </row>
    <row r="2200">
      <c r="A2200" s="3">
        <f>IFERROR(__xludf.DUMMYFUNCTION("""COMPUTED_VALUE"""),42596.99861111111)</f>
        <v>42596.99861</v>
      </c>
      <c r="B2200" s="1">
        <f>IFERROR(__xludf.DUMMYFUNCTION("""COMPUTED_VALUE"""),9733.43302)</f>
        <v>9733.43302</v>
      </c>
    </row>
    <row r="2201">
      <c r="A2201" s="3">
        <f>IFERROR(__xludf.DUMMYFUNCTION("""COMPUTED_VALUE"""),42597.99861111111)</f>
        <v>42597.99861</v>
      </c>
      <c r="B2201" s="1">
        <f>IFERROR(__xludf.DUMMYFUNCTION("""COMPUTED_VALUE"""),9724.13652)</f>
        <v>9724.13652</v>
      </c>
    </row>
    <row r="2202">
      <c r="A2202" s="3">
        <f>IFERROR(__xludf.DUMMYFUNCTION("""COMPUTED_VALUE"""),42598.99861111111)</f>
        <v>42598.99861</v>
      </c>
      <c r="B2202" s="1">
        <f>IFERROR(__xludf.DUMMYFUNCTION("""COMPUTED_VALUE"""),9785.52596)</f>
        <v>9785.52596</v>
      </c>
    </row>
    <row r="2203">
      <c r="A2203" s="3">
        <f>IFERROR(__xludf.DUMMYFUNCTION("""COMPUTED_VALUE"""),42599.99861111111)</f>
        <v>42599.99861</v>
      </c>
      <c r="B2203" s="1">
        <f>IFERROR(__xludf.DUMMYFUNCTION("""COMPUTED_VALUE"""),9779.19975)</f>
        <v>9779.19975</v>
      </c>
    </row>
    <row r="2204">
      <c r="A2204" s="3">
        <f>IFERROR(__xludf.DUMMYFUNCTION("""COMPUTED_VALUE"""),42600.99861111111)</f>
        <v>42600.99861</v>
      </c>
      <c r="B2204" s="1">
        <f>IFERROR(__xludf.DUMMYFUNCTION("""COMPUTED_VALUE"""),9783.2467)</f>
        <v>9783.2467</v>
      </c>
    </row>
    <row r="2205">
      <c r="A2205" s="3">
        <f>IFERROR(__xludf.DUMMYFUNCTION("""COMPUTED_VALUE"""),42601.99861111111)</f>
        <v>42601.99861</v>
      </c>
      <c r="B2205" s="1">
        <f>IFERROR(__xludf.DUMMYFUNCTION("""COMPUTED_VALUE"""),9755.0046)</f>
        <v>9755.0046</v>
      </c>
    </row>
    <row r="2206">
      <c r="A2206" s="3">
        <f>IFERROR(__xludf.DUMMYFUNCTION("""COMPUTED_VALUE"""),42603.99861111111)</f>
        <v>42603.99861</v>
      </c>
      <c r="B2206" s="1">
        <f>IFERROR(__xludf.DUMMYFUNCTION("""COMPUTED_VALUE"""),9763.66215)</f>
        <v>9763.66215</v>
      </c>
    </row>
    <row r="2207">
      <c r="A2207" s="3">
        <f>IFERROR(__xludf.DUMMYFUNCTION("""COMPUTED_VALUE"""),42604.99861111111)</f>
        <v>42604.99861</v>
      </c>
      <c r="B2207" s="1">
        <f>IFERROR(__xludf.DUMMYFUNCTION("""COMPUTED_VALUE"""),9778.6227)</f>
        <v>9778.6227</v>
      </c>
    </row>
    <row r="2208">
      <c r="A2208" s="3">
        <f>IFERROR(__xludf.DUMMYFUNCTION("""COMPUTED_VALUE"""),42605.99861111111)</f>
        <v>42605.99861</v>
      </c>
      <c r="B2208" s="1">
        <f>IFERROR(__xludf.DUMMYFUNCTION("""COMPUTED_VALUE"""),9787.73406)</f>
        <v>9787.73406</v>
      </c>
    </row>
    <row r="2209">
      <c r="A2209" s="3">
        <f>IFERROR(__xludf.DUMMYFUNCTION("""COMPUTED_VALUE"""),42606.99861111111)</f>
        <v>42606.99861</v>
      </c>
      <c r="B2209" s="1">
        <f>IFERROR(__xludf.DUMMYFUNCTION("""COMPUTED_VALUE"""),9785.7298)</f>
        <v>9785.7298</v>
      </c>
    </row>
    <row r="2210">
      <c r="A2210" s="3">
        <f>IFERROR(__xludf.DUMMYFUNCTION("""COMPUTED_VALUE"""),42607.99861111111)</f>
        <v>42607.99861</v>
      </c>
      <c r="B2210" s="1">
        <f>IFERROR(__xludf.DUMMYFUNCTION("""COMPUTED_VALUE"""),9792.7678)</f>
        <v>9792.7678</v>
      </c>
    </row>
    <row r="2211">
      <c r="A2211" s="3">
        <f>IFERROR(__xludf.DUMMYFUNCTION("""COMPUTED_VALUE"""),42608.99861111111)</f>
        <v>42608.99861</v>
      </c>
      <c r="B2211" s="1">
        <f>IFERROR(__xludf.DUMMYFUNCTION("""COMPUTED_VALUE"""),9775.60996)</f>
        <v>9775.60996</v>
      </c>
    </row>
    <row r="2212">
      <c r="A2212" s="3">
        <f>IFERROR(__xludf.DUMMYFUNCTION("""COMPUTED_VALUE"""),42609.99861111111)</f>
        <v>42609.99861</v>
      </c>
      <c r="B2212" s="1">
        <f>IFERROR(__xludf.DUMMYFUNCTION("""COMPUTED_VALUE"""),9793.069112)</f>
        <v>9793.069112</v>
      </c>
    </row>
    <row r="2213">
      <c r="A2213" s="3">
        <f>IFERROR(__xludf.DUMMYFUNCTION("""COMPUTED_VALUE"""),42610.99861111111)</f>
        <v>42610.99861</v>
      </c>
      <c r="B2213" s="1">
        <f>IFERROR(__xludf.DUMMYFUNCTION("""COMPUTED_VALUE"""),9780.188)</f>
        <v>9780.188</v>
      </c>
    </row>
    <row r="2214">
      <c r="A2214" s="3">
        <f>IFERROR(__xludf.DUMMYFUNCTION("""COMPUTED_VALUE"""),42611.99861111111)</f>
        <v>42611.99861</v>
      </c>
      <c r="B2214" s="1">
        <f>IFERROR(__xludf.DUMMYFUNCTION("""COMPUTED_VALUE"""),9747.74592)</f>
        <v>9747.74592</v>
      </c>
    </row>
    <row r="2215">
      <c r="A2215" s="3">
        <f>IFERROR(__xludf.DUMMYFUNCTION("""COMPUTED_VALUE"""),42612.99861111111)</f>
        <v>42612.99861</v>
      </c>
      <c r="B2215" s="1">
        <f>IFERROR(__xludf.DUMMYFUNCTION("""COMPUTED_VALUE"""),9741.7522)</f>
        <v>9741.7522</v>
      </c>
    </row>
    <row r="2216">
      <c r="A2216" s="3">
        <f>IFERROR(__xludf.DUMMYFUNCTION("""COMPUTED_VALUE"""),42613.99861111111)</f>
        <v>42613.99861</v>
      </c>
      <c r="B2216" s="1">
        <f>IFERROR(__xludf.DUMMYFUNCTION("""COMPUTED_VALUE"""),9744.5984)</f>
        <v>9744.5984</v>
      </c>
    </row>
    <row r="2217">
      <c r="A2217" s="3">
        <f>IFERROR(__xludf.DUMMYFUNCTION("""COMPUTED_VALUE"""),42614.99861111111)</f>
        <v>42614.99861</v>
      </c>
      <c r="B2217" s="1">
        <f>IFERROR(__xludf.DUMMYFUNCTION("""COMPUTED_VALUE"""),9760.9642)</f>
        <v>9760.9642</v>
      </c>
    </row>
    <row r="2218">
      <c r="A2218" s="3">
        <f>IFERROR(__xludf.DUMMYFUNCTION("""COMPUTED_VALUE"""),42615.99861111111)</f>
        <v>42615.99861</v>
      </c>
      <c r="B2218" s="1">
        <f>IFERROR(__xludf.DUMMYFUNCTION("""COMPUTED_VALUE"""),9699.3806)</f>
        <v>9699.3806</v>
      </c>
    </row>
    <row r="2219">
      <c r="A2219" s="3">
        <f>IFERROR(__xludf.DUMMYFUNCTION("""COMPUTED_VALUE"""),42616.99861111111)</f>
        <v>42616.99861</v>
      </c>
      <c r="B2219" s="1">
        <f>IFERROR(__xludf.DUMMYFUNCTION("""COMPUTED_VALUE"""),9696.4777)</f>
        <v>9696.4777</v>
      </c>
    </row>
    <row r="2220">
      <c r="A2220" s="3">
        <f>IFERROR(__xludf.DUMMYFUNCTION("""COMPUTED_VALUE"""),42617.99861111111)</f>
        <v>42617.99861</v>
      </c>
      <c r="B2220" s="1">
        <f>IFERROR(__xludf.DUMMYFUNCTION("""COMPUTED_VALUE"""),9693.70675)</f>
        <v>9693.70675</v>
      </c>
    </row>
    <row r="2221">
      <c r="A2221" s="3">
        <f>IFERROR(__xludf.DUMMYFUNCTION("""COMPUTED_VALUE"""),42618.99861111111)</f>
        <v>42618.99861</v>
      </c>
      <c r="B2221" s="1">
        <f>IFERROR(__xludf.DUMMYFUNCTION("""COMPUTED_VALUE"""),9668.925)</f>
        <v>9668.925</v>
      </c>
    </row>
    <row r="2222">
      <c r="A2222" s="3">
        <f>IFERROR(__xludf.DUMMYFUNCTION("""COMPUTED_VALUE"""),42619.99861111111)</f>
        <v>42619.99861</v>
      </c>
      <c r="B2222" s="1">
        <f>IFERROR(__xludf.DUMMYFUNCTION("""COMPUTED_VALUE"""),9704.7056)</f>
        <v>9704.7056</v>
      </c>
    </row>
    <row r="2223">
      <c r="A2223" s="3">
        <f>IFERROR(__xludf.DUMMYFUNCTION("""COMPUTED_VALUE"""),42620.99861111111)</f>
        <v>42620.99861</v>
      </c>
      <c r="B2223" s="1">
        <f>IFERROR(__xludf.DUMMYFUNCTION("""COMPUTED_VALUE"""),9701.2075)</f>
        <v>9701.2075</v>
      </c>
    </row>
    <row r="2224">
      <c r="A2224" s="3">
        <f>IFERROR(__xludf.DUMMYFUNCTION("""COMPUTED_VALUE"""),42621.99861111111)</f>
        <v>42621.99861</v>
      </c>
      <c r="B2224" s="1">
        <f>IFERROR(__xludf.DUMMYFUNCTION("""COMPUTED_VALUE"""),9678.16053)</f>
        <v>9678.16053</v>
      </c>
    </row>
    <row r="2225">
      <c r="A2225" s="3">
        <f>IFERROR(__xludf.DUMMYFUNCTION("""COMPUTED_VALUE"""),42622.99861111111)</f>
        <v>42622.99861</v>
      </c>
      <c r="B2225" s="1">
        <f>IFERROR(__xludf.DUMMYFUNCTION("""COMPUTED_VALUE"""),9694.45067)</f>
        <v>9694.45067</v>
      </c>
    </row>
    <row r="2226">
      <c r="A2226" s="3">
        <f>IFERROR(__xludf.DUMMYFUNCTION("""COMPUTED_VALUE"""),42623.99861111111)</f>
        <v>42623.99861</v>
      </c>
      <c r="B2226" s="1">
        <f>IFERROR(__xludf.DUMMYFUNCTION("""COMPUTED_VALUE"""),9675.90162)</f>
        <v>9675.90162</v>
      </c>
    </row>
    <row r="2227">
      <c r="A2227" s="3">
        <f>IFERROR(__xludf.DUMMYFUNCTION("""COMPUTED_VALUE"""),42624.99861111111)</f>
        <v>42624.99861</v>
      </c>
      <c r="B2227" s="1">
        <f>IFERROR(__xludf.DUMMYFUNCTION("""COMPUTED_VALUE"""),9687.25872)</f>
        <v>9687.25872</v>
      </c>
    </row>
    <row r="2228">
      <c r="A2228" s="3">
        <f>IFERROR(__xludf.DUMMYFUNCTION("""COMPUTED_VALUE"""),42625.99861111111)</f>
        <v>42625.99861</v>
      </c>
      <c r="B2228" s="1">
        <f>IFERROR(__xludf.DUMMYFUNCTION("""COMPUTED_VALUE"""),9715.93064)</f>
        <v>9715.93064</v>
      </c>
    </row>
    <row r="2229">
      <c r="A2229" s="3">
        <f>IFERROR(__xludf.DUMMYFUNCTION("""COMPUTED_VALUE"""),42626.99861111111)</f>
        <v>42626.99861</v>
      </c>
      <c r="B2229" s="1">
        <f>IFERROR(__xludf.DUMMYFUNCTION("""COMPUTED_VALUE"""),9684.4674)</f>
        <v>9684.4674</v>
      </c>
    </row>
    <row r="2230">
      <c r="A2230" s="3">
        <f>IFERROR(__xludf.DUMMYFUNCTION("""COMPUTED_VALUE"""),42627.99861111111)</f>
        <v>42627.99861</v>
      </c>
      <c r="B2230" s="1">
        <f>IFERROR(__xludf.DUMMYFUNCTION("""COMPUTED_VALUE"""),9671.50929)</f>
        <v>9671.50929</v>
      </c>
    </row>
    <row r="2231">
      <c r="A2231" s="3">
        <f>IFERROR(__xludf.DUMMYFUNCTION("""COMPUTED_VALUE"""),42628.99861111111)</f>
        <v>42628.99861</v>
      </c>
      <c r="B2231" s="1">
        <f>IFERROR(__xludf.DUMMYFUNCTION("""COMPUTED_VALUE"""),9649.14184)</f>
        <v>9649.14184</v>
      </c>
    </row>
    <row r="2232">
      <c r="A2232" s="3">
        <f>IFERROR(__xludf.DUMMYFUNCTION("""COMPUTED_VALUE"""),42629.99861111111)</f>
        <v>42629.99861</v>
      </c>
      <c r="B2232" s="1">
        <f>IFERROR(__xludf.DUMMYFUNCTION("""COMPUTED_VALUE"""),9619.91529)</f>
        <v>9619.91529</v>
      </c>
    </row>
    <row r="2233">
      <c r="A2233" s="3">
        <f>IFERROR(__xludf.DUMMYFUNCTION("""COMPUTED_VALUE"""),42630.99861111111)</f>
        <v>42630.99861</v>
      </c>
      <c r="B2233" s="1">
        <f>IFERROR(__xludf.DUMMYFUNCTION("""COMPUTED_VALUE"""),9626.086542)</f>
        <v>9626.086542</v>
      </c>
    </row>
    <row r="2234">
      <c r="A2234" s="3">
        <f>IFERROR(__xludf.DUMMYFUNCTION("""COMPUTED_VALUE"""),42631.99861111111)</f>
        <v>42631.99861</v>
      </c>
      <c r="B2234" s="1">
        <f>IFERROR(__xludf.DUMMYFUNCTION("""COMPUTED_VALUE"""),9621.88974)</f>
        <v>9621.88974</v>
      </c>
    </row>
    <row r="2235">
      <c r="A2235" s="3">
        <f>IFERROR(__xludf.DUMMYFUNCTION("""COMPUTED_VALUE"""),42632.99861111111)</f>
        <v>42632.99861</v>
      </c>
      <c r="B2235" s="1">
        <f>IFERROR(__xludf.DUMMYFUNCTION("""COMPUTED_VALUE"""),9644.026)</f>
        <v>9644.026</v>
      </c>
    </row>
    <row r="2236">
      <c r="A2236" s="3">
        <f>IFERROR(__xludf.DUMMYFUNCTION("""COMPUTED_VALUE"""),42633.99861111111)</f>
        <v>42633.99861</v>
      </c>
      <c r="B2236" s="1">
        <f>IFERROR(__xludf.DUMMYFUNCTION("""COMPUTED_VALUE"""),9663.2352)</f>
        <v>9663.2352</v>
      </c>
    </row>
    <row r="2237">
      <c r="A2237" s="3">
        <f>IFERROR(__xludf.DUMMYFUNCTION("""COMPUTED_VALUE"""),42634.99861111111)</f>
        <v>42634.99861</v>
      </c>
      <c r="B2237" s="1">
        <f>IFERROR(__xludf.DUMMYFUNCTION("""COMPUTED_VALUE"""),9645.9446)</f>
        <v>9645.9446</v>
      </c>
    </row>
    <row r="2238">
      <c r="A2238" s="3">
        <f>IFERROR(__xludf.DUMMYFUNCTION("""COMPUTED_VALUE"""),42635.99861111111)</f>
        <v>42635.99861</v>
      </c>
      <c r="B2238" s="1">
        <f>IFERROR(__xludf.DUMMYFUNCTION("""COMPUTED_VALUE"""),9626.30214)</f>
        <v>9626.30214</v>
      </c>
    </row>
    <row r="2239">
      <c r="A2239" s="3">
        <f>IFERROR(__xludf.DUMMYFUNCTION("""COMPUTED_VALUE"""),42636.99861111111)</f>
        <v>42636.99861</v>
      </c>
      <c r="B2239" s="1">
        <f>IFERROR(__xludf.DUMMYFUNCTION("""COMPUTED_VALUE"""),9622.25279)</f>
        <v>9622.25279</v>
      </c>
    </row>
    <row r="2240">
      <c r="A2240" s="3">
        <f>IFERROR(__xludf.DUMMYFUNCTION("""COMPUTED_VALUE"""),42637.99861111111)</f>
        <v>42637.99861</v>
      </c>
      <c r="B2240" s="1">
        <f>IFERROR(__xludf.DUMMYFUNCTION("""COMPUTED_VALUE"""),9618.99978)</f>
        <v>9618.99978</v>
      </c>
    </row>
    <row r="2241">
      <c r="A2241" s="3">
        <f>IFERROR(__xludf.DUMMYFUNCTION("""COMPUTED_VALUE"""),42638.99861111111)</f>
        <v>42638.99861</v>
      </c>
      <c r="B2241" s="1">
        <f>IFERROR(__xludf.DUMMYFUNCTION("""COMPUTED_VALUE"""),9602.17839)</f>
        <v>9602.17839</v>
      </c>
    </row>
    <row r="2242">
      <c r="A2242" s="3">
        <f>IFERROR(__xludf.DUMMYFUNCTION("""COMPUTED_VALUE"""),42639.99861111111)</f>
        <v>42639.99861</v>
      </c>
      <c r="B2242" s="1">
        <f>IFERROR(__xludf.DUMMYFUNCTION("""COMPUTED_VALUE"""),9581.31798)</f>
        <v>9581.31798</v>
      </c>
    </row>
    <row r="2243">
      <c r="A2243" s="3">
        <f>IFERROR(__xludf.DUMMYFUNCTION("""COMPUTED_VALUE"""),42640.99861111111)</f>
        <v>42640.99861</v>
      </c>
      <c r="B2243" s="1">
        <f>IFERROR(__xludf.DUMMYFUNCTION("""COMPUTED_VALUE"""),9500.4535)</f>
        <v>9500.4535</v>
      </c>
    </row>
    <row r="2244">
      <c r="A2244" s="3">
        <f>IFERROR(__xludf.DUMMYFUNCTION("""COMPUTED_VALUE"""),42641.99861111111)</f>
        <v>42641.99861</v>
      </c>
      <c r="B2244" s="1">
        <f>IFERROR(__xludf.DUMMYFUNCTION("""COMPUTED_VALUE"""),9505.59207)</f>
        <v>9505.59207</v>
      </c>
    </row>
    <row r="2245">
      <c r="A2245" s="3">
        <f>IFERROR(__xludf.DUMMYFUNCTION("""COMPUTED_VALUE"""),42642.99861111111)</f>
        <v>42642.99861</v>
      </c>
      <c r="B2245" s="1">
        <f>IFERROR(__xludf.DUMMYFUNCTION("""COMPUTED_VALUE"""),9526.90801)</f>
        <v>9526.90801</v>
      </c>
    </row>
    <row r="2246">
      <c r="A2246" s="3">
        <f>IFERROR(__xludf.DUMMYFUNCTION("""COMPUTED_VALUE"""),42643.99861111111)</f>
        <v>42643.99861</v>
      </c>
      <c r="B2246" s="1">
        <f>IFERROR(__xludf.DUMMYFUNCTION("""COMPUTED_VALUE"""),9545.63886)</f>
        <v>9545.63886</v>
      </c>
    </row>
    <row r="2247">
      <c r="A2247" s="3">
        <f>IFERROR(__xludf.DUMMYFUNCTION("""COMPUTED_VALUE"""),42644.99861111111)</f>
        <v>42644.99861</v>
      </c>
      <c r="B2247" s="1">
        <f>IFERROR(__xludf.DUMMYFUNCTION("""COMPUTED_VALUE"""),9541.6996)</f>
        <v>9541.6996</v>
      </c>
    </row>
    <row r="2248">
      <c r="A2248" s="3">
        <f>IFERROR(__xludf.DUMMYFUNCTION("""COMPUTED_VALUE"""),42645.99861111111)</f>
        <v>42645.99861</v>
      </c>
      <c r="B2248" s="1">
        <f>IFERROR(__xludf.DUMMYFUNCTION("""COMPUTED_VALUE"""),9501.09582)</f>
        <v>9501.09582</v>
      </c>
    </row>
    <row r="2249">
      <c r="A2249" s="3">
        <f>IFERROR(__xludf.DUMMYFUNCTION("""COMPUTED_VALUE"""),42646.99861111111)</f>
        <v>42646.99861</v>
      </c>
      <c r="B2249" s="1">
        <f>IFERROR(__xludf.DUMMYFUNCTION("""COMPUTED_VALUE"""),9494.53538)</f>
        <v>9494.53538</v>
      </c>
    </row>
    <row r="2250">
      <c r="A2250" s="3">
        <f>IFERROR(__xludf.DUMMYFUNCTION("""COMPUTED_VALUE"""),42647.99861111111)</f>
        <v>42647.99861</v>
      </c>
      <c r="B2250" s="1">
        <f>IFERROR(__xludf.DUMMYFUNCTION("""COMPUTED_VALUE"""),9498.55652)</f>
        <v>9498.55652</v>
      </c>
    </row>
    <row r="2251">
      <c r="A2251" s="3">
        <f>IFERROR(__xludf.DUMMYFUNCTION("""COMPUTED_VALUE"""),42648.99861111111)</f>
        <v>42648.99861</v>
      </c>
      <c r="B2251" s="1">
        <f>IFERROR(__xludf.DUMMYFUNCTION("""COMPUTED_VALUE"""),9501.39126)</f>
        <v>9501.39126</v>
      </c>
    </row>
    <row r="2252">
      <c r="A2252" s="3">
        <f>IFERROR(__xludf.DUMMYFUNCTION("""COMPUTED_VALUE"""),42649.99861111111)</f>
        <v>42649.99861</v>
      </c>
      <c r="B2252" s="1">
        <f>IFERROR(__xludf.DUMMYFUNCTION("""COMPUTED_VALUE"""),9468.6804)</f>
        <v>9468.6804</v>
      </c>
    </row>
    <row r="2253">
      <c r="A2253" s="3">
        <f>IFERROR(__xludf.DUMMYFUNCTION("""COMPUTED_VALUE"""),42650.99861111111)</f>
        <v>42650.99861</v>
      </c>
      <c r="B2253" s="1">
        <f>IFERROR(__xludf.DUMMYFUNCTION("""COMPUTED_VALUE"""),9444.57423)</f>
        <v>9444.57423</v>
      </c>
    </row>
    <row r="2254">
      <c r="A2254" s="3">
        <f>IFERROR(__xludf.DUMMYFUNCTION("""COMPUTED_VALUE"""),42652.99861111111)</f>
        <v>42652.99861</v>
      </c>
      <c r="B2254" s="1">
        <f>IFERROR(__xludf.DUMMYFUNCTION("""COMPUTED_VALUE"""),9445.03313)</f>
        <v>9445.03313</v>
      </c>
    </row>
    <row r="2255">
      <c r="A2255" s="3">
        <f>IFERROR(__xludf.DUMMYFUNCTION("""COMPUTED_VALUE"""),42653.99861111111)</f>
        <v>42653.99861</v>
      </c>
      <c r="B2255" s="1">
        <f>IFERROR(__xludf.DUMMYFUNCTION("""COMPUTED_VALUE"""),9395.2631)</f>
        <v>9395.2631</v>
      </c>
    </row>
    <row r="2256">
      <c r="A2256" s="3">
        <f>IFERROR(__xludf.DUMMYFUNCTION("""COMPUTED_VALUE"""),42654.99861111111)</f>
        <v>42654.99861</v>
      </c>
      <c r="B2256" s="1">
        <f>IFERROR(__xludf.DUMMYFUNCTION("""COMPUTED_VALUE"""),9486.58392)</f>
        <v>9486.58392</v>
      </c>
    </row>
    <row r="2257">
      <c r="A2257" s="3">
        <f>IFERROR(__xludf.DUMMYFUNCTION("""COMPUTED_VALUE"""),42655.99861111111)</f>
        <v>42655.99861</v>
      </c>
      <c r="B2257" s="1">
        <f>IFERROR(__xludf.DUMMYFUNCTION("""COMPUTED_VALUE"""),9403.6237)</f>
        <v>9403.6237</v>
      </c>
    </row>
    <row r="2258">
      <c r="A2258" s="3">
        <f>IFERROR(__xludf.DUMMYFUNCTION("""COMPUTED_VALUE"""),42656.99861111111)</f>
        <v>42656.99861</v>
      </c>
      <c r="B2258" s="1">
        <f>IFERROR(__xludf.DUMMYFUNCTION("""COMPUTED_VALUE"""),9434.33388)</f>
        <v>9434.33388</v>
      </c>
    </row>
    <row r="2259">
      <c r="A2259" s="3">
        <f>IFERROR(__xludf.DUMMYFUNCTION("""COMPUTED_VALUE"""),42657.99861111111)</f>
        <v>42657.99861</v>
      </c>
      <c r="B2259" s="1">
        <f>IFERROR(__xludf.DUMMYFUNCTION("""COMPUTED_VALUE"""),9398.30997)</f>
        <v>9398.30997</v>
      </c>
    </row>
    <row r="2260">
      <c r="A2260" s="3">
        <f>IFERROR(__xludf.DUMMYFUNCTION("""COMPUTED_VALUE"""),42658.99861111111)</f>
        <v>42658.99861</v>
      </c>
      <c r="B2260" s="1">
        <f>IFERROR(__xludf.DUMMYFUNCTION("""COMPUTED_VALUE"""),9403.86668)</f>
        <v>9403.86668</v>
      </c>
    </row>
    <row r="2261">
      <c r="A2261" s="3">
        <f>IFERROR(__xludf.DUMMYFUNCTION("""COMPUTED_VALUE"""),42659.99861111111)</f>
        <v>42659.99861</v>
      </c>
      <c r="B2261" s="1">
        <f>IFERROR(__xludf.DUMMYFUNCTION("""COMPUTED_VALUE"""),9407.9112)</f>
        <v>9407.9112</v>
      </c>
    </row>
    <row r="2262">
      <c r="A2262" s="3">
        <f>IFERROR(__xludf.DUMMYFUNCTION("""COMPUTED_VALUE"""),42660.99861111111)</f>
        <v>42660.99861</v>
      </c>
      <c r="B2262" s="1">
        <f>IFERROR(__xludf.DUMMYFUNCTION("""COMPUTED_VALUE"""),9405.59468)</f>
        <v>9405.59468</v>
      </c>
    </row>
    <row r="2263">
      <c r="A2263" s="3">
        <f>IFERROR(__xludf.DUMMYFUNCTION("""COMPUTED_VALUE"""),42661.99861111111)</f>
        <v>42661.99861</v>
      </c>
      <c r="B2263" s="1">
        <f>IFERROR(__xludf.DUMMYFUNCTION("""COMPUTED_VALUE"""),9392.8884)</f>
        <v>9392.8884</v>
      </c>
    </row>
    <row r="2264">
      <c r="A2264" s="3">
        <f>IFERROR(__xludf.DUMMYFUNCTION("""COMPUTED_VALUE"""),42662.99861111111)</f>
        <v>42662.99861</v>
      </c>
      <c r="B2264" s="1">
        <f>IFERROR(__xludf.DUMMYFUNCTION("""COMPUTED_VALUE"""),9360.5952)</f>
        <v>9360.5952</v>
      </c>
    </row>
    <row r="2265">
      <c r="A2265" s="3">
        <f>IFERROR(__xludf.DUMMYFUNCTION("""COMPUTED_VALUE"""),42663.99861111111)</f>
        <v>42663.99861</v>
      </c>
      <c r="B2265" s="1">
        <f>IFERROR(__xludf.DUMMYFUNCTION("""COMPUTED_VALUE"""),9344.74275)</f>
        <v>9344.74275</v>
      </c>
    </row>
    <row r="2266">
      <c r="A2266" s="3">
        <f>IFERROR(__xludf.DUMMYFUNCTION("""COMPUTED_VALUE"""),42664.99861111111)</f>
        <v>42664.99861</v>
      </c>
      <c r="B2266" s="1">
        <f>IFERROR(__xludf.DUMMYFUNCTION("""COMPUTED_VALUE"""),9338.01192)</f>
        <v>9338.01192</v>
      </c>
    </row>
    <row r="2267">
      <c r="A2267" s="3">
        <f>IFERROR(__xludf.DUMMYFUNCTION("""COMPUTED_VALUE"""),42665.99861111111)</f>
        <v>42665.99861</v>
      </c>
      <c r="B2267" s="1">
        <f>IFERROR(__xludf.DUMMYFUNCTION("""COMPUTED_VALUE"""),9353.982)</f>
        <v>9353.982</v>
      </c>
    </row>
    <row r="2268">
      <c r="A2268" s="3">
        <f>IFERROR(__xludf.DUMMYFUNCTION("""COMPUTED_VALUE"""),42666.99861111111)</f>
        <v>42666.99861</v>
      </c>
      <c r="B2268" s="1">
        <f>IFERROR(__xludf.DUMMYFUNCTION("""COMPUTED_VALUE"""),9360.504)</f>
        <v>9360.504</v>
      </c>
    </row>
    <row r="2269">
      <c r="A2269" s="3">
        <f>IFERROR(__xludf.DUMMYFUNCTION("""COMPUTED_VALUE"""),42667.99861111111)</f>
        <v>42667.99861</v>
      </c>
      <c r="B2269" s="1">
        <f>IFERROR(__xludf.DUMMYFUNCTION("""COMPUTED_VALUE"""),9329.604)</f>
        <v>9329.604</v>
      </c>
    </row>
    <row r="2270">
      <c r="A2270" s="3">
        <f>IFERROR(__xludf.DUMMYFUNCTION("""COMPUTED_VALUE"""),42668.99861111111)</f>
        <v>42668.99861</v>
      </c>
      <c r="B2270" s="1">
        <f>IFERROR(__xludf.DUMMYFUNCTION("""COMPUTED_VALUE"""),9342.59024)</f>
        <v>9342.59024</v>
      </c>
    </row>
    <row r="2271">
      <c r="A2271" s="3">
        <f>IFERROR(__xludf.DUMMYFUNCTION("""COMPUTED_VALUE"""),42669.99861111111)</f>
        <v>42669.99861</v>
      </c>
      <c r="B2271" s="1">
        <f>IFERROR(__xludf.DUMMYFUNCTION("""COMPUTED_VALUE"""),9362.69312)</f>
        <v>9362.69312</v>
      </c>
    </row>
    <row r="2272">
      <c r="A2272" s="3">
        <f>IFERROR(__xludf.DUMMYFUNCTION("""COMPUTED_VALUE"""),42670.99861111111)</f>
        <v>42670.99861</v>
      </c>
      <c r="B2272" s="1">
        <f>IFERROR(__xludf.DUMMYFUNCTION("""COMPUTED_VALUE"""),9357.95676)</f>
        <v>9357.95676</v>
      </c>
    </row>
    <row r="2273">
      <c r="A2273" s="3">
        <f>IFERROR(__xludf.DUMMYFUNCTION("""COMPUTED_VALUE"""),42671.99861111111)</f>
        <v>42671.99861</v>
      </c>
      <c r="B2273" s="1">
        <f>IFERROR(__xludf.DUMMYFUNCTION("""COMPUTED_VALUE"""),9375.05384)</f>
        <v>9375.05384</v>
      </c>
    </row>
    <row r="2274">
      <c r="A2274" s="3">
        <f>IFERROR(__xludf.DUMMYFUNCTION("""COMPUTED_VALUE"""),42672.99861111111)</f>
        <v>42672.99861</v>
      </c>
      <c r="B2274" s="1">
        <f>IFERROR(__xludf.DUMMYFUNCTION("""COMPUTED_VALUE"""),9383.02227)</f>
        <v>9383.02227</v>
      </c>
    </row>
    <row r="2275">
      <c r="A2275" s="3">
        <f>IFERROR(__xludf.DUMMYFUNCTION("""COMPUTED_VALUE"""),42673.99861111111)</f>
        <v>42673.99861</v>
      </c>
      <c r="B2275" s="1">
        <f>IFERROR(__xludf.DUMMYFUNCTION("""COMPUTED_VALUE"""),9390.59881)</f>
        <v>9390.59881</v>
      </c>
    </row>
    <row r="2276">
      <c r="A2276" s="3">
        <f>IFERROR(__xludf.DUMMYFUNCTION("""COMPUTED_VALUE"""),42674.99861111111)</f>
        <v>42674.99861</v>
      </c>
      <c r="B2276" s="1">
        <f>IFERROR(__xludf.DUMMYFUNCTION("""COMPUTED_VALUE"""),9347.10777)</f>
        <v>9347.10777</v>
      </c>
    </row>
    <row r="2277">
      <c r="A2277" s="3">
        <f>IFERROR(__xludf.DUMMYFUNCTION("""COMPUTED_VALUE"""),42675.99861111111)</f>
        <v>42675.99861</v>
      </c>
      <c r="B2277" s="1">
        <f>IFERROR(__xludf.DUMMYFUNCTION("""COMPUTED_VALUE"""),9383.18784)</f>
        <v>9383.18784</v>
      </c>
    </row>
    <row r="2278">
      <c r="A2278" s="3">
        <f>IFERROR(__xludf.DUMMYFUNCTION("""COMPUTED_VALUE"""),42676.99861111111)</f>
        <v>42676.99861</v>
      </c>
      <c r="B2278" s="1">
        <f>IFERROR(__xludf.DUMMYFUNCTION("""COMPUTED_VALUE"""),9421.8212)</f>
        <v>9421.8212</v>
      </c>
    </row>
    <row r="2279">
      <c r="A2279" s="3">
        <f>IFERROR(__xludf.DUMMYFUNCTION("""COMPUTED_VALUE"""),42677.99861111111)</f>
        <v>42677.99861</v>
      </c>
      <c r="B2279" s="1">
        <f>IFERROR(__xludf.DUMMYFUNCTION("""COMPUTED_VALUE"""),9438.49368)</f>
        <v>9438.49368</v>
      </c>
    </row>
    <row r="2280">
      <c r="A2280" s="3">
        <f>IFERROR(__xludf.DUMMYFUNCTION("""COMPUTED_VALUE"""),42678.99861111111)</f>
        <v>42678.99861</v>
      </c>
      <c r="B2280" s="1">
        <f>IFERROR(__xludf.DUMMYFUNCTION("""COMPUTED_VALUE"""),9477.55188)</f>
        <v>9477.55188</v>
      </c>
    </row>
    <row r="2281">
      <c r="A2281" s="3">
        <f>IFERROR(__xludf.DUMMYFUNCTION("""COMPUTED_VALUE"""),42679.99861111111)</f>
        <v>42679.99861</v>
      </c>
      <c r="B2281" s="1">
        <f>IFERROR(__xludf.DUMMYFUNCTION("""COMPUTED_VALUE"""),9472.70007)</f>
        <v>9472.70007</v>
      </c>
    </row>
    <row r="2282">
      <c r="A2282" s="3">
        <f>IFERROR(__xludf.DUMMYFUNCTION("""COMPUTED_VALUE"""),42680.99861111111)</f>
        <v>42680.99861</v>
      </c>
      <c r="B2282" s="1">
        <f>IFERROR(__xludf.DUMMYFUNCTION("""COMPUTED_VALUE"""),9460.8987)</f>
        <v>9460.8987</v>
      </c>
    </row>
    <row r="2283">
      <c r="A2283" s="3">
        <f>IFERROR(__xludf.DUMMYFUNCTION("""COMPUTED_VALUE"""),42681.99861111111)</f>
        <v>42681.99861</v>
      </c>
      <c r="B2283" s="1">
        <f>IFERROR(__xludf.DUMMYFUNCTION("""COMPUTED_VALUE"""),9413.74084)</f>
        <v>9413.74084</v>
      </c>
    </row>
    <row r="2284">
      <c r="A2284" s="3">
        <f>IFERROR(__xludf.DUMMYFUNCTION("""COMPUTED_VALUE"""),42682.99861111111)</f>
        <v>42682.99861</v>
      </c>
      <c r="B2284" s="1">
        <f>IFERROR(__xludf.DUMMYFUNCTION("""COMPUTED_VALUE"""),9398.6487)</f>
        <v>9398.6487</v>
      </c>
    </row>
    <row r="2285">
      <c r="A2285" s="3">
        <f>IFERROR(__xludf.DUMMYFUNCTION("""COMPUTED_VALUE"""),42683.99861111111)</f>
        <v>42683.99861</v>
      </c>
      <c r="B2285" s="1">
        <f>IFERROR(__xludf.DUMMYFUNCTION("""COMPUTED_VALUE"""),9389.80212)</f>
        <v>9389.80212</v>
      </c>
    </row>
    <row r="2286">
      <c r="A2286" s="3">
        <f>IFERROR(__xludf.DUMMYFUNCTION("""COMPUTED_VALUE"""),42684.99861111111)</f>
        <v>42684.99861</v>
      </c>
      <c r="B2286" s="1">
        <f>IFERROR(__xludf.DUMMYFUNCTION("""COMPUTED_VALUE"""),9626.69036)</f>
        <v>9626.69036</v>
      </c>
    </row>
    <row r="2287">
      <c r="A2287" s="3">
        <f>IFERROR(__xludf.DUMMYFUNCTION("""COMPUTED_VALUE"""),42685.99861111111)</f>
        <v>42685.99861</v>
      </c>
      <c r="B2287" s="1">
        <f>IFERROR(__xludf.DUMMYFUNCTION("""COMPUTED_VALUE"""),9448.91488)</f>
        <v>9448.91488</v>
      </c>
    </row>
    <row r="2288">
      <c r="A2288" s="3">
        <f>IFERROR(__xludf.DUMMYFUNCTION("""COMPUTED_VALUE"""),42686.99861111111)</f>
        <v>42686.99861</v>
      </c>
      <c r="B2288" s="1">
        <f>IFERROR(__xludf.DUMMYFUNCTION("""COMPUTED_VALUE"""),9562.294811)</f>
        <v>9562.294811</v>
      </c>
    </row>
    <row r="2289">
      <c r="A2289" s="3">
        <f>IFERROR(__xludf.DUMMYFUNCTION("""COMPUTED_VALUE"""),42687.99861111111)</f>
        <v>42687.99861</v>
      </c>
      <c r="B2289" s="1">
        <f>IFERROR(__xludf.DUMMYFUNCTION("""COMPUTED_VALUE"""),9432.92742)</f>
        <v>9432.92742</v>
      </c>
    </row>
    <row r="2290">
      <c r="A2290" s="3">
        <f>IFERROR(__xludf.DUMMYFUNCTION("""COMPUTED_VALUE"""),42688.99861111111)</f>
        <v>42688.99861</v>
      </c>
      <c r="B2290" s="1">
        <f>IFERROR(__xludf.DUMMYFUNCTION("""COMPUTED_VALUE"""),9517.53185)</f>
        <v>9517.53185</v>
      </c>
    </row>
    <row r="2291">
      <c r="A2291" s="3">
        <f>IFERROR(__xludf.DUMMYFUNCTION("""COMPUTED_VALUE"""),42689.99861111111)</f>
        <v>42689.99861</v>
      </c>
      <c r="B2291" s="1">
        <f>IFERROR(__xludf.DUMMYFUNCTION("""COMPUTED_VALUE"""),9410.56031)</f>
        <v>9410.56031</v>
      </c>
    </row>
    <row r="2292">
      <c r="A2292" s="3">
        <f>IFERROR(__xludf.DUMMYFUNCTION("""COMPUTED_VALUE"""),42690.99861111111)</f>
        <v>42690.99861</v>
      </c>
      <c r="B2292" s="1">
        <f>IFERROR(__xludf.DUMMYFUNCTION("""COMPUTED_VALUE"""),9453.44856)</f>
        <v>9453.44856</v>
      </c>
    </row>
    <row r="2293">
      <c r="A2293" s="3">
        <f>IFERROR(__xludf.DUMMYFUNCTION("""COMPUTED_VALUE"""),42691.99861111111)</f>
        <v>42691.99861</v>
      </c>
      <c r="B2293" s="1">
        <f>IFERROR(__xludf.DUMMYFUNCTION("""COMPUTED_VALUE"""),9420.28873)</f>
        <v>9420.28873</v>
      </c>
    </row>
    <row r="2294">
      <c r="A2294" s="3">
        <f>IFERROR(__xludf.DUMMYFUNCTION("""COMPUTED_VALUE"""),42692.99861111111)</f>
        <v>42692.99861</v>
      </c>
      <c r="B2294" s="1">
        <f>IFERROR(__xludf.DUMMYFUNCTION("""COMPUTED_VALUE"""),9365.85944)</f>
        <v>9365.85944</v>
      </c>
    </row>
    <row r="2295">
      <c r="A2295" s="3">
        <f>IFERROR(__xludf.DUMMYFUNCTION("""COMPUTED_VALUE"""),42693.99861111111)</f>
        <v>42693.99861</v>
      </c>
      <c r="B2295" s="1">
        <f>IFERROR(__xludf.DUMMYFUNCTION("""COMPUTED_VALUE"""),9372.590808)</f>
        <v>9372.590808</v>
      </c>
    </row>
    <row r="2296">
      <c r="A2296" s="3">
        <f>IFERROR(__xludf.DUMMYFUNCTION("""COMPUTED_VALUE"""),42694.99861111111)</f>
        <v>42694.99861</v>
      </c>
      <c r="B2296" s="1">
        <f>IFERROR(__xludf.DUMMYFUNCTION("""COMPUTED_VALUE"""),9442.0395)</f>
        <v>9442.0395</v>
      </c>
    </row>
    <row r="2297">
      <c r="A2297" s="3">
        <f>IFERROR(__xludf.DUMMYFUNCTION("""COMPUTED_VALUE"""),42695.99861111111)</f>
        <v>42695.99861</v>
      </c>
      <c r="B2297" s="1">
        <f>IFERROR(__xludf.DUMMYFUNCTION("""COMPUTED_VALUE"""),9428.636)</f>
        <v>9428.636</v>
      </c>
    </row>
    <row r="2298">
      <c r="A2298" s="3">
        <f>IFERROR(__xludf.DUMMYFUNCTION("""COMPUTED_VALUE"""),42696.99861111111)</f>
        <v>42696.99861</v>
      </c>
      <c r="B2298" s="1">
        <f>IFERROR(__xludf.DUMMYFUNCTION("""COMPUTED_VALUE"""),9435.57704)</f>
        <v>9435.57704</v>
      </c>
    </row>
    <row r="2299">
      <c r="A2299" s="3">
        <f>IFERROR(__xludf.DUMMYFUNCTION("""COMPUTED_VALUE"""),42697.99861111111)</f>
        <v>42697.99861</v>
      </c>
      <c r="B2299" s="1">
        <f>IFERROR(__xludf.DUMMYFUNCTION("""COMPUTED_VALUE"""),9497.686)</f>
        <v>9497.686</v>
      </c>
    </row>
    <row r="2300">
      <c r="A2300" s="3">
        <f>IFERROR(__xludf.DUMMYFUNCTION("""COMPUTED_VALUE"""),42698.99861111111)</f>
        <v>42698.99861</v>
      </c>
      <c r="B2300" s="1">
        <f>IFERROR(__xludf.DUMMYFUNCTION("""COMPUTED_VALUE"""),9465.24654)</f>
        <v>9465.24654</v>
      </c>
    </row>
    <row r="2301">
      <c r="A2301" s="3">
        <f>IFERROR(__xludf.DUMMYFUNCTION("""COMPUTED_VALUE"""),42699.99861111111)</f>
        <v>42699.99861</v>
      </c>
      <c r="B2301" s="1">
        <f>IFERROR(__xludf.DUMMYFUNCTION("""COMPUTED_VALUE"""),9469.80566)</f>
        <v>9469.80566</v>
      </c>
    </row>
    <row r="2302">
      <c r="A2302" s="3">
        <f>IFERROR(__xludf.DUMMYFUNCTION("""COMPUTED_VALUE"""),42700.99861111111)</f>
        <v>42700.99861</v>
      </c>
      <c r="B2302" s="1">
        <f>IFERROR(__xludf.DUMMYFUNCTION("""COMPUTED_VALUE"""),9464.810515)</f>
        <v>9464.810515</v>
      </c>
    </row>
    <row r="2303">
      <c r="A2303" s="3">
        <f>IFERROR(__xludf.DUMMYFUNCTION("""COMPUTED_VALUE"""),42701.99861111111)</f>
        <v>42701.99861</v>
      </c>
      <c r="B2303" s="1">
        <f>IFERROR(__xludf.DUMMYFUNCTION("""COMPUTED_VALUE"""),9454.198)</f>
        <v>9454.198</v>
      </c>
    </row>
    <row r="2304">
      <c r="A2304" s="3">
        <f>IFERROR(__xludf.DUMMYFUNCTION("""COMPUTED_VALUE"""),42702.99861111111)</f>
        <v>42702.99861</v>
      </c>
      <c r="B2304" s="1">
        <f>IFERROR(__xludf.DUMMYFUNCTION("""COMPUTED_VALUE"""),9470.21061)</f>
        <v>9470.21061</v>
      </c>
    </row>
    <row r="2305">
      <c r="A2305" s="3">
        <f>IFERROR(__xludf.DUMMYFUNCTION("""COMPUTED_VALUE"""),42703.99861111111)</f>
        <v>42703.99861</v>
      </c>
      <c r="B2305" s="1">
        <f>IFERROR(__xludf.DUMMYFUNCTION("""COMPUTED_VALUE"""),9474.3534)</f>
        <v>9474.3534</v>
      </c>
    </row>
    <row r="2306">
      <c r="A2306" s="3">
        <f>IFERROR(__xludf.DUMMYFUNCTION("""COMPUTED_VALUE"""),42704.99861111111)</f>
        <v>42704.99861</v>
      </c>
      <c r="B2306" s="1">
        <f>IFERROR(__xludf.DUMMYFUNCTION("""COMPUTED_VALUE"""),9461.44836)</f>
        <v>9461.44836</v>
      </c>
    </row>
    <row r="2307">
      <c r="A2307" s="3">
        <f>IFERROR(__xludf.DUMMYFUNCTION("""COMPUTED_VALUE"""),42705.99861111111)</f>
        <v>42705.99861</v>
      </c>
      <c r="B2307" s="1">
        <f>IFERROR(__xludf.DUMMYFUNCTION("""COMPUTED_VALUE"""),9483.01218)</f>
        <v>9483.01218</v>
      </c>
    </row>
    <row r="2308">
      <c r="A2308" s="3">
        <f>IFERROR(__xludf.DUMMYFUNCTION("""COMPUTED_VALUE"""),42706.99861111111)</f>
        <v>42706.99861</v>
      </c>
      <c r="B2308" s="1">
        <f>IFERROR(__xludf.DUMMYFUNCTION("""COMPUTED_VALUE"""),9477.5898)</f>
        <v>9477.5898</v>
      </c>
    </row>
    <row r="2309">
      <c r="A2309" s="3">
        <f>IFERROR(__xludf.DUMMYFUNCTION("""COMPUTED_VALUE"""),42708.99861111111)</f>
        <v>42708.99861</v>
      </c>
      <c r="B2309" s="1">
        <f>IFERROR(__xludf.DUMMYFUNCTION("""COMPUTED_VALUE"""),9575.28)</f>
        <v>9575.28</v>
      </c>
    </row>
    <row r="2310">
      <c r="A2310" s="3">
        <f>IFERROR(__xludf.DUMMYFUNCTION("""COMPUTED_VALUE"""),42709.99861111111)</f>
        <v>42709.99861</v>
      </c>
      <c r="B2310" s="1">
        <f>IFERROR(__xludf.DUMMYFUNCTION("""COMPUTED_VALUE"""),9464.72148)</f>
        <v>9464.72148</v>
      </c>
    </row>
    <row r="2311">
      <c r="A2311" s="3">
        <f>IFERROR(__xludf.DUMMYFUNCTION("""COMPUTED_VALUE"""),42710.99861111111)</f>
        <v>42710.99861</v>
      </c>
      <c r="B2311" s="1">
        <f>IFERROR(__xludf.DUMMYFUNCTION("""COMPUTED_VALUE"""),9359.98512)</f>
        <v>9359.98512</v>
      </c>
    </row>
    <row r="2312">
      <c r="A2312" s="3">
        <f>IFERROR(__xludf.DUMMYFUNCTION("""COMPUTED_VALUE"""),42711.99861111111)</f>
        <v>42711.99861</v>
      </c>
      <c r="B2312" s="1">
        <f>IFERROR(__xludf.DUMMYFUNCTION("""COMPUTED_VALUE"""),9370.10998)</f>
        <v>9370.10998</v>
      </c>
    </row>
    <row r="2313">
      <c r="A2313" s="3">
        <f>IFERROR(__xludf.DUMMYFUNCTION("""COMPUTED_VALUE"""),42712.99861111111)</f>
        <v>42712.99861</v>
      </c>
      <c r="B2313" s="1">
        <f>IFERROR(__xludf.DUMMYFUNCTION("""COMPUTED_VALUE"""),9346.1344)</f>
        <v>9346.1344</v>
      </c>
    </row>
    <row r="2314">
      <c r="A2314" s="3">
        <f>IFERROR(__xludf.DUMMYFUNCTION("""COMPUTED_VALUE"""),42713.99861111111)</f>
        <v>42713.99861</v>
      </c>
      <c r="B2314" s="1">
        <f>IFERROR(__xludf.DUMMYFUNCTION("""COMPUTED_VALUE"""),9327.48775)</f>
        <v>9327.48775</v>
      </c>
    </row>
    <row r="2315">
      <c r="A2315" s="3">
        <f>IFERROR(__xludf.DUMMYFUNCTION("""COMPUTED_VALUE"""),42714.99861111111)</f>
        <v>42714.99861</v>
      </c>
      <c r="B2315" s="1">
        <f>IFERROR(__xludf.DUMMYFUNCTION("""COMPUTED_VALUE"""),9330.570711)</f>
        <v>9330.570711</v>
      </c>
    </row>
    <row r="2316">
      <c r="A2316" s="3">
        <f>IFERROR(__xludf.DUMMYFUNCTION("""COMPUTED_VALUE"""),42715.99861111111)</f>
        <v>42715.99861</v>
      </c>
      <c r="B2316" s="1">
        <f>IFERROR(__xludf.DUMMYFUNCTION("""COMPUTED_VALUE"""),9328.92951)</f>
        <v>9328.92951</v>
      </c>
    </row>
    <row r="2317">
      <c r="A2317" s="3">
        <f>IFERROR(__xludf.DUMMYFUNCTION("""COMPUTED_VALUE"""),42716.99861111111)</f>
        <v>42716.99861</v>
      </c>
      <c r="B2317" s="1">
        <f>IFERROR(__xludf.DUMMYFUNCTION("""COMPUTED_VALUE"""),9323.01492)</f>
        <v>9323.01492</v>
      </c>
    </row>
    <row r="2318">
      <c r="A2318" s="3">
        <f>IFERROR(__xludf.DUMMYFUNCTION("""COMPUTED_VALUE"""),42717.99861111111)</f>
        <v>42717.99861</v>
      </c>
      <c r="B2318" s="1">
        <f>IFERROR(__xludf.DUMMYFUNCTION("""COMPUTED_VALUE"""),9320.7008)</f>
        <v>9320.7008</v>
      </c>
    </row>
    <row r="2319">
      <c r="A2319" s="3">
        <f>IFERROR(__xludf.DUMMYFUNCTION("""COMPUTED_VALUE"""),42718.99861111111)</f>
        <v>42718.99861</v>
      </c>
      <c r="B2319" s="1">
        <f>IFERROR(__xludf.DUMMYFUNCTION("""COMPUTED_VALUE"""),9327.25434)</f>
        <v>9327.25434</v>
      </c>
    </row>
    <row r="2320">
      <c r="A2320" s="3">
        <f>IFERROR(__xludf.DUMMYFUNCTION("""COMPUTED_VALUE"""),42719.99861111111)</f>
        <v>42719.99861</v>
      </c>
      <c r="B2320" s="1">
        <f>IFERROR(__xludf.DUMMYFUNCTION("""COMPUTED_VALUE"""),9292.88423)</f>
        <v>9292.88423</v>
      </c>
    </row>
    <row r="2321">
      <c r="A2321" s="3">
        <f>IFERROR(__xludf.DUMMYFUNCTION("""COMPUTED_VALUE"""),42720.99861111111)</f>
        <v>42720.99861</v>
      </c>
      <c r="B2321" s="1">
        <f>IFERROR(__xludf.DUMMYFUNCTION("""COMPUTED_VALUE"""),9266.82581)</f>
        <v>9266.82581</v>
      </c>
    </row>
    <row r="2322">
      <c r="A2322" s="3">
        <f>IFERROR(__xludf.DUMMYFUNCTION("""COMPUTED_VALUE"""),42721.99861111111)</f>
        <v>42721.99861</v>
      </c>
      <c r="B2322" s="1">
        <f>IFERROR(__xludf.DUMMYFUNCTION("""COMPUTED_VALUE"""),9282.11207)</f>
        <v>9282.11207</v>
      </c>
    </row>
    <row r="2323">
      <c r="A2323" s="3">
        <f>IFERROR(__xludf.DUMMYFUNCTION("""COMPUTED_VALUE"""),42722.99861111111)</f>
        <v>42722.99861</v>
      </c>
      <c r="B2323" s="1">
        <f>IFERROR(__xludf.DUMMYFUNCTION("""COMPUTED_VALUE"""),9260.36685)</f>
        <v>9260.36685</v>
      </c>
    </row>
    <row r="2324">
      <c r="A2324" s="3">
        <f>IFERROR(__xludf.DUMMYFUNCTION("""COMPUTED_VALUE"""),42723.99861111111)</f>
        <v>42723.99861</v>
      </c>
      <c r="B2324" s="1">
        <f>IFERROR(__xludf.DUMMYFUNCTION("""COMPUTED_VALUE"""),9232.5198)</f>
        <v>9232.5198</v>
      </c>
    </row>
    <row r="2325">
      <c r="A2325" s="3">
        <f>IFERROR(__xludf.DUMMYFUNCTION("""COMPUTED_VALUE"""),42724.99861111111)</f>
        <v>42724.99861</v>
      </c>
      <c r="B2325" s="1">
        <f>IFERROR(__xludf.DUMMYFUNCTION("""COMPUTED_VALUE"""),9290.28462)</f>
        <v>9290.28462</v>
      </c>
    </row>
    <row r="2326">
      <c r="A2326" s="3">
        <f>IFERROR(__xludf.DUMMYFUNCTION("""COMPUTED_VALUE"""),42725.99861111111)</f>
        <v>42725.99861</v>
      </c>
      <c r="B2326" s="1">
        <f>IFERROR(__xludf.DUMMYFUNCTION("""COMPUTED_VALUE"""),9298.17532)</f>
        <v>9298.17532</v>
      </c>
    </row>
    <row r="2327">
      <c r="A2327" s="3">
        <f>IFERROR(__xludf.DUMMYFUNCTION("""COMPUTED_VALUE"""),42726.99861111111)</f>
        <v>42726.99861</v>
      </c>
      <c r="B2327" s="1">
        <f>IFERROR(__xludf.DUMMYFUNCTION("""COMPUTED_VALUE"""),9274.02693)</f>
        <v>9274.02693</v>
      </c>
    </row>
    <row r="2328">
      <c r="A2328" s="3">
        <f>IFERROR(__xludf.DUMMYFUNCTION("""COMPUTED_VALUE"""),42727.99861111111)</f>
        <v>42727.99861</v>
      </c>
      <c r="B2328" s="1">
        <f>IFERROR(__xludf.DUMMYFUNCTION("""COMPUTED_VALUE"""),9279.38207)</f>
        <v>9279.38207</v>
      </c>
    </row>
    <row r="2329">
      <c r="A2329" s="3">
        <f>IFERROR(__xludf.DUMMYFUNCTION("""COMPUTED_VALUE"""),42728.99861111111)</f>
        <v>42728.99861</v>
      </c>
      <c r="B2329" s="1">
        <f>IFERROR(__xludf.DUMMYFUNCTION("""COMPUTED_VALUE"""),9280.72537)</f>
        <v>9280.72537</v>
      </c>
    </row>
    <row r="2330">
      <c r="A2330" s="3">
        <f>IFERROR(__xludf.DUMMYFUNCTION("""COMPUTED_VALUE"""),42729.99861111111)</f>
        <v>42729.99861</v>
      </c>
      <c r="B2330" s="1">
        <f>IFERROR(__xludf.DUMMYFUNCTION("""COMPUTED_VALUE"""),9284.3894)</f>
        <v>9284.3894</v>
      </c>
    </row>
    <row r="2331">
      <c r="A2331" s="3">
        <f>IFERROR(__xludf.DUMMYFUNCTION("""COMPUTED_VALUE"""),42730.99861111111)</f>
        <v>42730.99861</v>
      </c>
      <c r="B2331" s="1">
        <f>IFERROR(__xludf.DUMMYFUNCTION("""COMPUTED_VALUE"""),9283.58288)</f>
        <v>9283.58288</v>
      </c>
    </row>
    <row r="2332">
      <c r="A2332" s="3">
        <f>IFERROR(__xludf.DUMMYFUNCTION("""COMPUTED_VALUE"""),42731.99861111111)</f>
        <v>42731.99861</v>
      </c>
      <c r="B2332" s="1">
        <f>IFERROR(__xludf.DUMMYFUNCTION("""COMPUTED_VALUE"""),9262.78704)</f>
        <v>9262.78704</v>
      </c>
    </row>
    <row r="2333">
      <c r="A2333" s="3">
        <f>IFERROR(__xludf.DUMMYFUNCTION("""COMPUTED_VALUE"""),42732.99861111111)</f>
        <v>42732.99861</v>
      </c>
      <c r="B2333" s="1">
        <f>IFERROR(__xludf.DUMMYFUNCTION("""COMPUTED_VALUE"""),9298.9268)</f>
        <v>9298.9268</v>
      </c>
    </row>
    <row r="2334">
      <c r="A2334" s="3">
        <f>IFERROR(__xludf.DUMMYFUNCTION("""COMPUTED_VALUE"""),42733.99861111111)</f>
        <v>42733.99861</v>
      </c>
      <c r="B2334" s="1">
        <f>IFERROR(__xludf.DUMMYFUNCTION("""COMPUTED_VALUE"""),9309.0458)</f>
        <v>9309.0458</v>
      </c>
    </row>
    <row r="2335">
      <c r="A2335" s="3">
        <f>IFERROR(__xludf.DUMMYFUNCTION("""COMPUTED_VALUE"""),42734.99861111111)</f>
        <v>42734.99861</v>
      </c>
      <c r="B2335" s="1">
        <f>IFERROR(__xludf.DUMMYFUNCTION("""COMPUTED_VALUE"""),9332.28648)</f>
        <v>9332.28648</v>
      </c>
    </row>
    <row r="2336">
      <c r="A2336" s="3">
        <f>IFERROR(__xludf.DUMMYFUNCTION("""COMPUTED_VALUE"""),42735.99861111111)</f>
        <v>42735.99861</v>
      </c>
      <c r="B2336" s="1">
        <f>IFERROR(__xludf.DUMMYFUNCTION("""COMPUTED_VALUE"""),9336.8826)</f>
        <v>9336.8826</v>
      </c>
    </row>
    <row r="2337">
      <c r="A2337" s="3">
        <f>IFERROR(__xludf.DUMMYFUNCTION("""COMPUTED_VALUE"""),42736.99861111111)</f>
        <v>42736.99861</v>
      </c>
      <c r="B2337" s="1">
        <f>IFERROR(__xludf.DUMMYFUNCTION("""COMPUTED_VALUE"""),9328.14432)</f>
        <v>9328.14432</v>
      </c>
    </row>
    <row r="2338">
      <c r="A2338" s="3">
        <f>IFERROR(__xludf.DUMMYFUNCTION("""COMPUTED_VALUE"""),42737.99861111111)</f>
        <v>42737.99861</v>
      </c>
      <c r="B2338" s="1">
        <f>IFERROR(__xludf.DUMMYFUNCTION("""COMPUTED_VALUE"""),9301.71726)</f>
        <v>9301.71726</v>
      </c>
    </row>
    <row r="2339">
      <c r="A2339" s="3">
        <f>IFERROR(__xludf.DUMMYFUNCTION("""COMPUTED_VALUE"""),42738.99861111111)</f>
        <v>42738.99861</v>
      </c>
      <c r="B2339" s="1">
        <f>IFERROR(__xludf.DUMMYFUNCTION("""COMPUTED_VALUE"""),9276.74544)</f>
        <v>9276.74544</v>
      </c>
    </row>
    <row r="2340">
      <c r="A2340" s="3">
        <f>IFERROR(__xludf.DUMMYFUNCTION("""COMPUTED_VALUE"""),42739.99861111111)</f>
        <v>42739.99861</v>
      </c>
      <c r="B2340" s="1">
        <f>IFERROR(__xludf.DUMMYFUNCTION("""COMPUTED_VALUE"""),9276.59304)</f>
        <v>9276.59304</v>
      </c>
    </row>
    <row r="2341">
      <c r="A2341" s="3">
        <f>IFERROR(__xludf.DUMMYFUNCTION("""COMPUTED_VALUE"""),42740.99861111111)</f>
        <v>42740.99861</v>
      </c>
      <c r="B2341" s="1">
        <f>IFERROR(__xludf.DUMMYFUNCTION("""COMPUTED_VALUE"""),9322.23448)</f>
        <v>9322.23448</v>
      </c>
    </row>
    <row r="2342">
      <c r="A2342" s="3">
        <f>IFERROR(__xludf.DUMMYFUNCTION("""COMPUTED_VALUE"""),42741.99861111111)</f>
        <v>42741.99861</v>
      </c>
      <c r="B2342" s="1">
        <f>IFERROR(__xludf.DUMMYFUNCTION("""COMPUTED_VALUE"""),9267.75346)</f>
        <v>9267.75346</v>
      </c>
    </row>
    <row r="2343">
      <c r="A2343" s="3">
        <f>IFERROR(__xludf.DUMMYFUNCTION("""COMPUTED_VALUE"""),42742.99861111111)</f>
        <v>42742.99861</v>
      </c>
      <c r="B2343" s="1">
        <f>IFERROR(__xludf.DUMMYFUNCTION("""COMPUTED_VALUE"""),9269.08766)</f>
        <v>9269.08766</v>
      </c>
    </row>
    <row r="2344">
      <c r="A2344" s="3">
        <f>IFERROR(__xludf.DUMMYFUNCTION("""COMPUTED_VALUE"""),42743.99861111111)</f>
        <v>42743.99861</v>
      </c>
      <c r="B2344" s="1">
        <f>IFERROR(__xludf.DUMMYFUNCTION("""COMPUTED_VALUE"""),9274.13864)</f>
        <v>9274.13864</v>
      </c>
    </row>
    <row r="2345">
      <c r="A2345" s="3">
        <f>IFERROR(__xludf.DUMMYFUNCTION("""COMPUTED_VALUE"""),42744.99861111111)</f>
        <v>42744.99861</v>
      </c>
      <c r="B2345" s="1">
        <f>IFERROR(__xludf.DUMMYFUNCTION("""COMPUTED_VALUE"""),9275.46438)</f>
        <v>9275.46438</v>
      </c>
    </row>
    <row r="2346">
      <c r="A2346" s="3">
        <f>IFERROR(__xludf.DUMMYFUNCTION("""COMPUTED_VALUE"""),42745.99861111111)</f>
        <v>42745.99861</v>
      </c>
      <c r="B2346" s="1">
        <f>IFERROR(__xludf.DUMMYFUNCTION("""COMPUTED_VALUE"""),9245.2196)</f>
        <v>9245.2196</v>
      </c>
    </row>
    <row r="2347">
      <c r="A2347" s="3">
        <f>IFERROR(__xludf.DUMMYFUNCTION("""COMPUTED_VALUE"""),42746.99861111111)</f>
        <v>42746.99861</v>
      </c>
      <c r="B2347" s="1">
        <f>IFERROR(__xludf.DUMMYFUNCTION("""COMPUTED_VALUE"""),9283.2651)</f>
        <v>9283.2651</v>
      </c>
    </row>
    <row r="2348">
      <c r="A2348" s="3">
        <f>IFERROR(__xludf.DUMMYFUNCTION("""COMPUTED_VALUE"""),42747.99861111111)</f>
        <v>42747.99861</v>
      </c>
      <c r="B2348" s="1">
        <f>IFERROR(__xludf.DUMMYFUNCTION("""COMPUTED_VALUE"""),9297.57024)</f>
        <v>9297.57024</v>
      </c>
    </row>
    <row r="2349">
      <c r="A2349" s="3">
        <f>IFERROR(__xludf.DUMMYFUNCTION("""COMPUTED_VALUE"""),42748.99861111111)</f>
        <v>42748.99861</v>
      </c>
      <c r="B2349" s="1">
        <f>IFERROR(__xludf.DUMMYFUNCTION("""COMPUTED_VALUE"""),9329.21788)</f>
        <v>9329.21788</v>
      </c>
    </row>
    <row r="2350">
      <c r="A2350" s="3">
        <f>IFERROR(__xludf.DUMMYFUNCTION("""COMPUTED_VALUE"""),42749.99861111111)</f>
        <v>42749.99861</v>
      </c>
      <c r="B2350" s="1">
        <f>IFERROR(__xludf.DUMMYFUNCTION("""COMPUTED_VALUE"""),9327.35406)</f>
        <v>9327.35406</v>
      </c>
    </row>
    <row r="2351">
      <c r="A2351" s="3">
        <f>IFERROR(__xludf.DUMMYFUNCTION("""COMPUTED_VALUE"""),42750.99861111111)</f>
        <v>42750.99861</v>
      </c>
      <c r="B2351" s="1">
        <f>IFERROR(__xludf.DUMMYFUNCTION("""COMPUTED_VALUE"""),9321.49634)</f>
        <v>9321.49634</v>
      </c>
    </row>
    <row r="2352">
      <c r="A2352" s="3">
        <f>IFERROR(__xludf.DUMMYFUNCTION("""COMPUTED_VALUE"""),42751.99861111111)</f>
        <v>42751.99861</v>
      </c>
      <c r="B2352" s="1">
        <f>IFERROR(__xludf.DUMMYFUNCTION("""COMPUTED_VALUE"""),9335.08919)</f>
        <v>9335.08919</v>
      </c>
    </row>
    <row r="2353">
      <c r="A2353" s="3">
        <f>IFERROR(__xludf.DUMMYFUNCTION("""COMPUTED_VALUE"""),42752.99861111111)</f>
        <v>42752.99861</v>
      </c>
      <c r="B2353" s="1">
        <f>IFERROR(__xludf.DUMMYFUNCTION("""COMPUTED_VALUE"""),9373.41408)</f>
        <v>9373.41408</v>
      </c>
    </row>
    <row r="2354">
      <c r="A2354" s="3">
        <f>IFERROR(__xludf.DUMMYFUNCTION("""COMPUTED_VALUE"""),42753.99861111111)</f>
        <v>42753.99861</v>
      </c>
      <c r="B2354" s="1">
        <f>IFERROR(__xludf.DUMMYFUNCTION("""COMPUTED_VALUE"""),9350.978)</f>
        <v>9350.978</v>
      </c>
    </row>
    <row r="2355">
      <c r="A2355" s="3">
        <f>IFERROR(__xludf.DUMMYFUNCTION("""COMPUTED_VALUE"""),42754.99861111111)</f>
        <v>42754.99861</v>
      </c>
      <c r="B2355" s="1">
        <f>IFERROR(__xludf.DUMMYFUNCTION("""COMPUTED_VALUE"""),9380.11848)</f>
        <v>9380.11848</v>
      </c>
    </row>
    <row r="2356">
      <c r="A2356" s="3">
        <f>IFERROR(__xludf.DUMMYFUNCTION("""COMPUTED_VALUE"""),42755.99861111111)</f>
        <v>42755.99861</v>
      </c>
      <c r="B2356" s="1">
        <f>IFERROR(__xludf.DUMMYFUNCTION("""COMPUTED_VALUE"""),9397.73417)</f>
        <v>9397.73417</v>
      </c>
    </row>
    <row r="2357">
      <c r="A2357" s="3">
        <f>IFERROR(__xludf.DUMMYFUNCTION("""COMPUTED_VALUE"""),42756.99861111111)</f>
        <v>42756.99861</v>
      </c>
      <c r="B2357" s="1">
        <f>IFERROR(__xludf.DUMMYFUNCTION("""COMPUTED_VALUE"""),9395.32343)</f>
        <v>9395.32343</v>
      </c>
    </row>
    <row r="2358">
      <c r="A2358" s="3">
        <f>IFERROR(__xludf.DUMMYFUNCTION("""COMPUTED_VALUE"""),42757.99861111111)</f>
        <v>42757.99861</v>
      </c>
      <c r="B2358" s="1">
        <f>IFERROR(__xludf.DUMMYFUNCTION("""COMPUTED_VALUE"""),9435.54498)</f>
        <v>9435.54498</v>
      </c>
    </row>
    <row r="2359">
      <c r="A2359" s="3">
        <f>IFERROR(__xludf.DUMMYFUNCTION("""COMPUTED_VALUE"""),42758.99861111111)</f>
        <v>42758.99861</v>
      </c>
      <c r="B2359" s="1">
        <f>IFERROR(__xludf.DUMMYFUNCTION("""COMPUTED_VALUE"""),9410.22675)</f>
        <v>9410.22675</v>
      </c>
    </row>
    <row r="2360">
      <c r="A2360" s="3">
        <f>IFERROR(__xludf.DUMMYFUNCTION("""COMPUTED_VALUE"""),42759.99861111111)</f>
        <v>42759.99861</v>
      </c>
      <c r="B2360" s="1">
        <f>IFERROR(__xludf.DUMMYFUNCTION("""COMPUTED_VALUE"""),9384.49596)</f>
        <v>9384.49596</v>
      </c>
    </row>
    <row r="2361">
      <c r="A2361" s="3">
        <f>IFERROR(__xludf.DUMMYFUNCTION("""COMPUTED_VALUE"""),42760.99861111111)</f>
        <v>42760.99861</v>
      </c>
      <c r="B2361" s="1">
        <f>IFERROR(__xludf.DUMMYFUNCTION("""COMPUTED_VALUE"""),9422.13528)</f>
        <v>9422.13528</v>
      </c>
    </row>
    <row r="2362">
      <c r="A2362" s="3">
        <f>IFERROR(__xludf.DUMMYFUNCTION("""COMPUTED_VALUE"""),42761.99861111111)</f>
        <v>42761.99861</v>
      </c>
      <c r="B2362" s="1">
        <f>IFERROR(__xludf.DUMMYFUNCTION("""COMPUTED_VALUE"""),9383.48378)</f>
        <v>9383.48378</v>
      </c>
    </row>
    <row r="2363">
      <c r="A2363" s="3">
        <f>IFERROR(__xludf.DUMMYFUNCTION("""COMPUTED_VALUE"""),42762.99861111111)</f>
        <v>42762.99861</v>
      </c>
      <c r="B2363" s="1">
        <f>IFERROR(__xludf.DUMMYFUNCTION("""COMPUTED_VALUE"""),9329.33022)</f>
        <v>9329.33022</v>
      </c>
    </row>
    <row r="2364">
      <c r="A2364" s="3">
        <f>IFERROR(__xludf.DUMMYFUNCTION("""COMPUTED_VALUE"""),42763.99861111111)</f>
        <v>42763.99861</v>
      </c>
      <c r="B2364" s="1">
        <f>IFERROR(__xludf.DUMMYFUNCTION("""COMPUTED_VALUE"""),9334.622905)</f>
        <v>9334.622905</v>
      </c>
    </row>
    <row r="2365">
      <c r="A2365" s="3">
        <f>IFERROR(__xludf.DUMMYFUNCTION("""COMPUTED_VALUE"""),42764.99861111111)</f>
        <v>42764.99861</v>
      </c>
      <c r="B2365" s="1">
        <f>IFERROR(__xludf.DUMMYFUNCTION("""COMPUTED_VALUE"""),9328.59978)</f>
        <v>9328.59978</v>
      </c>
    </row>
    <row r="2366">
      <c r="A2366" s="3">
        <f>IFERROR(__xludf.DUMMYFUNCTION("""COMPUTED_VALUE"""),42765.99861111111)</f>
        <v>42765.99861</v>
      </c>
      <c r="B2366" s="1">
        <f>IFERROR(__xludf.DUMMYFUNCTION("""COMPUTED_VALUE"""),9391.15242)</f>
        <v>9391.15242</v>
      </c>
    </row>
    <row r="2367">
      <c r="A2367" s="3">
        <f>IFERROR(__xludf.DUMMYFUNCTION("""COMPUTED_VALUE"""),42766.99861111111)</f>
        <v>42766.99861</v>
      </c>
      <c r="B2367" s="1">
        <f>IFERROR(__xludf.DUMMYFUNCTION("""COMPUTED_VALUE"""),9465.6085)</f>
        <v>9465.6085</v>
      </c>
    </row>
    <row r="2368">
      <c r="A2368" s="3">
        <f>IFERROR(__xludf.DUMMYFUNCTION("""COMPUTED_VALUE"""),42767.99861111111)</f>
        <v>42767.99861</v>
      </c>
      <c r="B2368" s="1">
        <f>IFERROR(__xludf.DUMMYFUNCTION("""COMPUTED_VALUE"""),9452.2)</f>
        <v>9452.2</v>
      </c>
    </row>
    <row r="2369">
      <c r="A2369" s="3">
        <f>IFERROR(__xludf.DUMMYFUNCTION("""COMPUTED_VALUE"""),42768.99861111111)</f>
        <v>42768.99861</v>
      </c>
      <c r="B2369" s="1">
        <f>IFERROR(__xludf.DUMMYFUNCTION("""COMPUTED_VALUE"""),9451.77066)</f>
        <v>9451.77066</v>
      </c>
    </row>
    <row r="2370">
      <c r="A2370" s="3">
        <f>IFERROR(__xludf.DUMMYFUNCTION("""COMPUTED_VALUE"""),42769.99861111111)</f>
        <v>42769.99861</v>
      </c>
      <c r="B2370" s="1">
        <f>IFERROR(__xludf.DUMMYFUNCTION("""COMPUTED_VALUE"""),9461.37356)</f>
        <v>9461.37356</v>
      </c>
    </row>
    <row r="2371">
      <c r="A2371" s="3">
        <f>IFERROR(__xludf.DUMMYFUNCTION("""COMPUTED_VALUE"""),42770.99861111111)</f>
        <v>42770.99861</v>
      </c>
      <c r="B2371" s="1">
        <f>IFERROR(__xludf.DUMMYFUNCTION("""COMPUTED_VALUE"""),9469.730965)</f>
        <v>9469.730965</v>
      </c>
    </row>
    <row r="2372">
      <c r="A2372" s="3">
        <f>IFERROR(__xludf.DUMMYFUNCTION("""COMPUTED_VALUE"""),42771.99861111111)</f>
        <v>42771.99861</v>
      </c>
      <c r="B2372" s="1">
        <f>IFERROR(__xludf.DUMMYFUNCTION("""COMPUTED_VALUE"""),9472.11408)</f>
        <v>9472.11408</v>
      </c>
    </row>
    <row r="2373">
      <c r="A2373" s="3">
        <f>IFERROR(__xludf.DUMMYFUNCTION("""COMPUTED_VALUE"""),42772.99861111111)</f>
        <v>42772.99861</v>
      </c>
      <c r="B2373" s="1">
        <f>IFERROR(__xludf.DUMMYFUNCTION("""COMPUTED_VALUE"""),9449.20008)</f>
        <v>9449.20008</v>
      </c>
    </row>
    <row r="2374">
      <c r="A2374" s="3">
        <f>IFERROR(__xludf.DUMMYFUNCTION("""COMPUTED_VALUE"""),42773.99861111111)</f>
        <v>42773.99861</v>
      </c>
      <c r="B2374" s="1">
        <f>IFERROR(__xludf.DUMMYFUNCTION("""COMPUTED_VALUE"""),9380.4887)</f>
        <v>9380.4887</v>
      </c>
    </row>
    <row r="2375">
      <c r="A2375" s="3">
        <f>IFERROR(__xludf.DUMMYFUNCTION("""COMPUTED_VALUE"""),42774.99861111111)</f>
        <v>42774.99861</v>
      </c>
      <c r="B2375" s="1">
        <f>IFERROR(__xludf.DUMMYFUNCTION("""COMPUTED_VALUE"""),9389.61576)</f>
        <v>9389.61576</v>
      </c>
    </row>
    <row r="2376">
      <c r="A2376" s="3">
        <f>IFERROR(__xludf.DUMMYFUNCTION("""COMPUTED_VALUE"""),42775.99861111111)</f>
        <v>42775.99861</v>
      </c>
      <c r="B2376" s="1">
        <f>IFERROR(__xludf.DUMMYFUNCTION("""COMPUTED_VALUE"""),9344.38736)</f>
        <v>9344.38736</v>
      </c>
    </row>
    <row r="2377">
      <c r="A2377" s="3">
        <f>IFERROR(__xludf.DUMMYFUNCTION("""COMPUTED_VALUE"""),42776.99861111111)</f>
        <v>42776.99861</v>
      </c>
      <c r="B2377" s="1">
        <f>IFERROR(__xludf.DUMMYFUNCTION("""COMPUTED_VALUE"""),9360.63656)</f>
        <v>9360.63656</v>
      </c>
    </row>
    <row r="2378">
      <c r="A2378" s="3">
        <f>IFERROR(__xludf.DUMMYFUNCTION("""COMPUTED_VALUE"""),42777.99861111111)</f>
        <v>42777.99861</v>
      </c>
      <c r="B2378" s="1">
        <f>IFERROR(__xludf.DUMMYFUNCTION("""COMPUTED_VALUE"""),9373.864323)</f>
        <v>9373.864323</v>
      </c>
    </row>
    <row r="2379">
      <c r="A2379" s="3">
        <f>IFERROR(__xludf.DUMMYFUNCTION("""COMPUTED_VALUE"""),42778.99861111111)</f>
        <v>42778.99861</v>
      </c>
      <c r="B2379" s="1">
        <f>IFERROR(__xludf.DUMMYFUNCTION("""COMPUTED_VALUE"""),9367.8375)</f>
        <v>9367.8375</v>
      </c>
    </row>
    <row r="2380">
      <c r="A2380" s="3">
        <f>IFERROR(__xludf.DUMMYFUNCTION("""COMPUTED_VALUE"""),42779.99861111111)</f>
        <v>42779.99861</v>
      </c>
      <c r="B2380" s="1">
        <f>IFERROR(__xludf.DUMMYFUNCTION("""COMPUTED_VALUE"""),9359.4075)</f>
        <v>9359.4075</v>
      </c>
    </row>
    <row r="2381">
      <c r="A2381" s="3">
        <f>IFERROR(__xludf.DUMMYFUNCTION("""COMPUTED_VALUE"""),42780.99861111111)</f>
        <v>42780.99861</v>
      </c>
      <c r="B2381" s="1">
        <f>IFERROR(__xludf.DUMMYFUNCTION("""COMPUTED_VALUE"""),9379.84894)</f>
        <v>9379.84894</v>
      </c>
    </row>
    <row r="2382">
      <c r="A2382" s="3">
        <f>IFERROR(__xludf.DUMMYFUNCTION("""COMPUTED_VALUE"""),42781.99861111111)</f>
        <v>42781.99861</v>
      </c>
      <c r="B2382" s="1">
        <f>IFERROR(__xludf.DUMMYFUNCTION("""COMPUTED_VALUE"""),9387.91316)</f>
        <v>9387.91316</v>
      </c>
    </row>
    <row r="2383">
      <c r="A2383" s="3">
        <f>IFERROR(__xludf.DUMMYFUNCTION("""COMPUTED_VALUE"""),42782.99861111111)</f>
        <v>42782.99861</v>
      </c>
      <c r="B2383" s="1">
        <f>IFERROR(__xludf.DUMMYFUNCTION("""COMPUTED_VALUE"""),9402.22822)</f>
        <v>9402.22822</v>
      </c>
    </row>
    <row r="2384">
      <c r="A2384" s="3">
        <f>IFERROR(__xludf.DUMMYFUNCTION("""COMPUTED_VALUE"""),42783.99861111111)</f>
        <v>42783.99861</v>
      </c>
      <c r="B2384" s="1">
        <f>IFERROR(__xludf.DUMMYFUNCTION("""COMPUTED_VALUE"""),9403.55676)</f>
        <v>9403.55676</v>
      </c>
    </row>
    <row r="2385">
      <c r="A2385" s="3">
        <f>IFERROR(__xludf.DUMMYFUNCTION("""COMPUTED_VALUE"""),42784.99861111111)</f>
        <v>42784.99861</v>
      </c>
      <c r="B2385" s="1">
        <f>IFERROR(__xludf.DUMMYFUNCTION("""COMPUTED_VALUE"""),9406.805664)</f>
        <v>9406.805664</v>
      </c>
    </row>
    <row r="2386">
      <c r="A2386" s="3">
        <f>IFERROR(__xludf.DUMMYFUNCTION("""COMPUTED_VALUE"""),42785.99861111111)</f>
        <v>42785.99861</v>
      </c>
      <c r="B2386" s="1">
        <f>IFERROR(__xludf.DUMMYFUNCTION("""COMPUTED_VALUE"""),9410.415)</f>
        <v>9410.415</v>
      </c>
    </row>
    <row r="2387">
      <c r="A2387" s="3">
        <f>IFERROR(__xludf.DUMMYFUNCTION("""COMPUTED_VALUE"""),42786.99861111111)</f>
        <v>42786.99861</v>
      </c>
      <c r="B2387" s="1">
        <f>IFERROR(__xludf.DUMMYFUNCTION("""COMPUTED_VALUE"""),9405.6309)</f>
        <v>9405.6309</v>
      </c>
    </row>
    <row r="2388">
      <c r="A2388" s="3">
        <f>IFERROR(__xludf.DUMMYFUNCTION("""COMPUTED_VALUE"""),42787.99861111111)</f>
        <v>42787.99861</v>
      </c>
      <c r="B2388" s="1">
        <f>IFERROR(__xludf.DUMMYFUNCTION("""COMPUTED_VALUE"""),9404.16558)</f>
        <v>9404.16558</v>
      </c>
    </row>
    <row r="2389">
      <c r="A2389" s="3">
        <f>IFERROR(__xludf.DUMMYFUNCTION("""COMPUTED_VALUE"""),42788.99861111111)</f>
        <v>42788.99861</v>
      </c>
      <c r="B2389" s="1">
        <f>IFERROR(__xludf.DUMMYFUNCTION("""COMPUTED_VALUE"""),9426.76488)</f>
        <v>9426.76488</v>
      </c>
    </row>
    <row r="2390">
      <c r="A2390" s="3">
        <f>IFERROR(__xludf.DUMMYFUNCTION("""COMPUTED_VALUE"""),42789.99861111111)</f>
        <v>42789.99861</v>
      </c>
      <c r="B2390" s="1">
        <f>IFERROR(__xludf.DUMMYFUNCTION("""COMPUTED_VALUE"""),9463.81475)</f>
        <v>9463.81475</v>
      </c>
    </row>
    <row r="2391">
      <c r="A2391" s="3">
        <f>IFERROR(__xludf.DUMMYFUNCTION("""COMPUTED_VALUE"""),42790.99861111111)</f>
        <v>42790.99861</v>
      </c>
      <c r="B2391" s="1">
        <f>IFERROR(__xludf.DUMMYFUNCTION("""COMPUTED_VALUE"""),9478.64835)</f>
        <v>9478.64835</v>
      </c>
    </row>
    <row r="2392">
      <c r="A2392" s="3">
        <f>IFERROR(__xludf.DUMMYFUNCTION("""COMPUTED_VALUE"""),42791.99861111111)</f>
        <v>42791.99861</v>
      </c>
      <c r="B2392" s="1">
        <f>IFERROR(__xludf.DUMMYFUNCTION("""COMPUTED_VALUE"""),9479.18127)</f>
        <v>9479.18127</v>
      </c>
    </row>
    <row r="2393">
      <c r="A2393" s="3">
        <f>IFERROR(__xludf.DUMMYFUNCTION("""COMPUTED_VALUE"""),42792.99861111111)</f>
        <v>42792.99861</v>
      </c>
      <c r="B2393" s="1">
        <f>IFERROR(__xludf.DUMMYFUNCTION("""COMPUTED_VALUE"""),9478.0274)</f>
        <v>9478.0274</v>
      </c>
    </row>
    <row r="2394">
      <c r="A2394" s="3">
        <f>IFERROR(__xludf.DUMMYFUNCTION("""COMPUTED_VALUE"""),42793.99861111111)</f>
        <v>42793.99861</v>
      </c>
      <c r="B2394" s="1">
        <f>IFERROR(__xludf.DUMMYFUNCTION("""COMPUTED_VALUE"""),9491.49884)</f>
        <v>9491.49884</v>
      </c>
    </row>
    <row r="2395">
      <c r="A2395" s="3">
        <f>IFERROR(__xludf.DUMMYFUNCTION("""COMPUTED_VALUE"""),42794.99861111111)</f>
        <v>42794.99861</v>
      </c>
      <c r="B2395" s="1">
        <f>IFERROR(__xludf.DUMMYFUNCTION("""COMPUTED_VALUE"""),9517.38543)</f>
        <v>9517.38543</v>
      </c>
    </row>
    <row r="2396">
      <c r="A2396" s="3">
        <f>IFERROR(__xludf.DUMMYFUNCTION("""COMPUTED_VALUE"""),42795.99861111111)</f>
        <v>42795.99861</v>
      </c>
      <c r="B2396" s="1">
        <f>IFERROR(__xludf.DUMMYFUNCTION("""COMPUTED_VALUE"""),9478.32192)</f>
        <v>9478.32192</v>
      </c>
    </row>
    <row r="2397">
      <c r="A2397" s="3">
        <f>IFERROR(__xludf.DUMMYFUNCTION("""COMPUTED_VALUE"""),42796.99861111111)</f>
        <v>42796.99861</v>
      </c>
      <c r="B2397" s="1">
        <f>IFERROR(__xludf.DUMMYFUNCTION("""COMPUTED_VALUE"""),9467.01416)</f>
        <v>9467.01416</v>
      </c>
    </row>
    <row r="2398">
      <c r="A2398" s="3">
        <f>IFERROR(__xludf.DUMMYFUNCTION("""COMPUTED_VALUE"""),42797.99861111111)</f>
        <v>42797.99861</v>
      </c>
      <c r="B2398" s="1">
        <f>IFERROR(__xludf.DUMMYFUNCTION("""COMPUTED_VALUE"""),9445.83776)</f>
        <v>9445.83776</v>
      </c>
    </row>
    <row r="2399">
      <c r="A2399" s="3">
        <f>IFERROR(__xludf.DUMMYFUNCTION("""COMPUTED_VALUE"""),42798.99861111111)</f>
        <v>42798.99861</v>
      </c>
      <c r="B2399" s="1">
        <f>IFERROR(__xludf.DUMMYFUNCTION("""COMPUTED_VALUE"""),9452.93097)</f>
        <v>9452.93097</v>
      </c>
    </row>
    <row r="2400">
      <c r="A2400" s="3">
        <f>IFERROR(__xludf.DUMMYFUNCTION("""COMPUTED_VALUE"""),42799.99861111111)</f>
        <v>42799.99861</v>
      </c>
      <c r="B2400" s="1">
        <f>IFERROR(__xludf.DUMMYFUNCTION("""COMPUTED_VALUE"""),9421.4049)</f>
        <v>9421.4049</v>
      </c>
    </row>
    <row r="2401">
      <c r="A2401" s="3">
        <f>IFERROR(__xludf.DUMMYFUNCTION("""COMPUTED_VALUE"""),42800.99861111111)</f>
        <v>42800.99861</v>
      </c>
      <c r="B2401" s="1">
        <f>IFERROR(__xludf.DUMMYFUNCTION("""COMPUTED_VALUE"""),9445.60232)</f>
        <v>9445.60232</v>
      </c>
    </row>
    <row r="2402">
      <c r="A2402" s="3">
        <f>IFERROR(__xludf.DUMMYFUNCTION("""COMPUTED_VALUE"""),42801.99861111111)</f>
        <v>42801.99861</v>
      </c>
      <c r="B2402" s="1">
        <f>IFERROR(__xludf.DUMMYFUNCTION("""COMPUTED_VALUE"""),9453.35696)</f>
        <v>9453.35696</v>
      </c>
    </row>
    <row r="2403">
      <c r="A2403" s="3">
        <f>IFERROR(__xludf.DUMMYFUNCTION("""COMPUTED_VALUE"""),42802.99861111111)</f>
        <v>42802.99861</v>
      </c>
      <c r="B2403" s="1">
        <f>IFERROR(__xludf.DUMMYFUNCTION("""COMPUTED_VALUE"""),9428.04936)</f>
        <v>9428.04936</v>
      </c>
    </row>
    <row r="2404">
      <c r="A2404" s="3">
        <f>IFERROR(__xludf.DUMMYFUNCTION("""COMPUTED_VALUE"""),42803.99861111111)</f>
        <v>42803.99861</v>
      </c>
      <c r="B2404" s="1">
        <f>IFERROR(__xludf.DUMMYFUNCTION("""COMPUTED_VALUE"""),9428.07229)</f>
        <v>9428.07229</v>
      </c>
    </row>
    <row r="2405">
      <c r="A2405" s="3">
        <f>IFERROR(__xludf.DUMMYFUNCTION("""COMPUTED_VALUE"""),42804.99861111111)</f>
        <v>42804.99861</v>
      </c>
      <c r="B2405" s="1">
        <f>IFERROR(__xludf.DUMMYFUNCTION("""COMPUTED_VALUE"""),9452.96086)</f>
        <v>9452.96086</v>
      </c>
    </row>
    <row r="2406">
      <c r="A2406" s="3">
        <f>IFERROR(__xludf.DUMMYFUNCTION("""COMPUTED_VALUE"""),42806.99861111111)</f>
        <v>42806.99861</v>
      </c>
      <c r="B2406" s="1">
        <f>IFERROR(__xludf.DUMMYFUNCTION("""COMPUTED_VALUE"""),9447.49994)</f>
        <v>9447.49994</v>
      </c>
    </row>
    <row r="2407">
      <c r="A2407" s="3">
        <f>IFERROR(__xludf.DUMMYFUNCTION("""COMPUTED_VALUE"""),42807.99861111111)</f>
        <v>42807.99861</v>
      </c>
      <c r="B2407" s="1">
        <f>IFERROR(__xludf.DUMMYFUNCTION("""COMPUTED_VALUE"""),9445.9808)</f>
        <v>9445.9808</v>
      </c>
    </row>
    <row r="2408">
      <c r="A2408" s="3">
        <f>IFERROR(__xludf.DUMMYFUNCTION("""COMPUTED_VALUE"""),42808.99861111111)</f>
        <v>42808.99861</v>
      </c>
      <c r="B2408" s="1">
        <f>IFERROR(__xludf.DUMMYFUNCTION("""COMPUTED_VALUE"""),9457.4909)</f>
        <v>9457.4909</v>
      </c>
    </row>
    <row r="2409">
      <c r="A2409" s="3">
        <f>IFERROR(__xludf.DUMMYFUNCTION("""COMPUTED_VALUE"""),42809.99861111111)</f>
        <v>42809.99861</v>
      </c>
      <c r="B2409" s="1">
        <f>IFERROR(__xludf.DUMMYFUNCTION("""COMPUTED_VALUE"""),9428.74346)</f>
        <v>9428.74346</v>
      </c>
    </row>
    <row r="2410">
      <c r="A2410" s="3">
        <f>IFERROR(__xludf.DUMMYFUNCTION("""COMPUTED_VALUE"""),42810.99861111111)</f>
        <v>42810.99861</v>
      </c>
      <c r="B2410" s="1">
        <f>IFERROR(__xludf.DUMMYFUNCTION("""COMPUTED_VALUE"""),9477.55333)</f>
        <v>9477.55333</v>
      </c>
    </row>
    <row r="2411">
      <c r="A2411" s="3">
        <f>IFERROR(__xludf.DUMMYFUNCTION("""COMPUTED_VALUE"""),42811.99861111111)</f>
        <v>42811.99861</v>
      </c>
      <c r="B2411" s="1">
        <f>IFERROR(__xludf.DUMMYFUNCTION("""COMPUTED_VALUE"""),9513.421)</f>
        <v>9513.421</v>
      </c>
    </row>
    <row r="2412">
      <c r="A2412" s="3">
        <f>IFERROR(__xludf.DUMMYFUNCTION("""COMPUTED_VALUE"""),42812.99861111111)</f>
        <v>42812.99861</v>
      </c>
      <c r="B2412" s="1">
        <f>IFERROR(__xludf.DUMMYFUNCTION("""COMPUTED_VALUE"""),9508.2184)</f>
        <v>9508.2184</v>
      </c>
    </row>
    <row r="2413">
      <c r="A2413" s="3">
        <f>IFERROR(__xludf.DUMMYFUNCTION("""COMPUTED_VALUE"""),42813.99861111111)</f>
        <v>42813.99861</v>
      </c>
      <c r="B2413" s="1">
        <f>IFERROR(__xludf.DUMMYFUNCTION("""COMPUTED_VALUE"""),9509.622)</f>
        <v>9509.622</v>
      </c>
    </row>
    <row r="2414">
      <c r="A2414" s="3">
        <f>IFERROR(__xludf.DUMMYFUNCTION("""COMPUTED_VALUE"""),42814.99861111111)</f>
        <v>42814.99861</v>
      </c>
      <c r="B2414" s="1">
        <f>IFERROR(__xludf.DUMMYFUNCTION("""COMPUTED_VALUE"""),9542.11236)</f>
        <v>9542.11236</v>
      </c>
    </row>
    <row r="2415">
      <c r="A2415" s="3">
        <f>IFERROR(__xludf.DUMMYFUNCTION("""COMPUTED_VALUE"""),42815.99861111111)</f>
        <v>42815.99861</v>
      </c>
      <c r="B2415" s="1">
        <f>IFERROR(__xludf.DUMMYFUNCTION("""COMPUTED_VALUE"""),9502.04508)</f>
        <v>9502.04508</v>
      </c>
    </row>
    <row r="2416">
      <c r="A2416" s="3">
        <f>IFERROR(__xludf.DUMMYFUNCTION("""COMPUTED_VALUE"""),42816.99861111111)</f>
        <v>42816.99861</v>
      </c>
      <c r="B2416" s="1">
        <f>IFERROR(__xludf.DUMMYFUNCTION("""COMPUTED_VALUE"""),9522.00823)</f>
        <v>9522.00823</v>
      </c>
    </row>
    <row r="2417">
      <c r="A2417" s="3">
        <f>IFERROR(__xludf.DUMMYFUNCTION("""COMPUTED_VALUE"""),42817.99861111111)</f>
        <v>42817.99861</v>
      </c>
      <c r="B2417" s="1">
        <f>IFERROR(__xludf.DUMMYFUNCTION("""COMPUTED_VALUE"""),9514.91192)</f>
        <v>9514.91192</v>
      </c>
    </row>
    <row r="2418">
      <c r="A2418" s="3">
        <f>IFERROR(__xludf.DUMMYFUNCTION("""COMPUTED_VALUE"""),42818.99861111111)</f>
        <v>42818.99861</v>
      </c>
      <c r="B2418" s="1">
        <f>IFERROR(__xludf.DUMMYFUNCTION("""COMPUTED_VALUE"""),9498.51315)</f>
        <v>9498.51315</v>
      </c>
    </row>
    <row r="2419">
      <c r="A2419" s="3">
        <f>IFERROR(__xludf.DUMMYFUNCTION("""COMPUTED_VALUE"""),42819.99861111111)</f>
        <v>42819.99861</v>
      </c>
      <c r="B2419" s="1">
        <f>IFERROR(__xludf.DUMMYFUNCTION("""COMPUTED_VALUE"""),9500.37417)</f>
        <v>9500.37417</v>
      </c>
    </row>
    <row r="2420">
      <c r="A2420" s="3">
        <f>IFERROR(__xludf.DUMMYFUNCTION("""COMPUTED_VALUE"""),42820.99861111111)</f>
        <v>42820.99861</v>
      </c>
      <c r="B2420" s="1">
        <f>IFERROR(__xludf.DUMMYFUNCTION("""COMPUTED_VALUE"""),9542.8476)</f>
        <v>9542.8476</v>
      </c>
    </row>
    <row r="2421">
      <c r="A2421" s="3">
        <f>IFERROR(__xludf.DUMMYFUNCTION("""COMPUTED_VALUE"""),42821.99861111111)</f>
        <v>42821.99861</v>
      </c>
      <c r="B2421" s="1">
        <f>IFERROR(__xludf.DUMMYFUNCTION("""COMPUTED_VALUE"""),9544.36452)</f>
        <v>9544.36452</v>
      </c>
    </row>
    <row r="2422">
      <c r="A2422" s="3">
        <f>IFERROR(__xludf.DUMMYFUNCTION("""COMPUTED_VALUE"""),42822.99861111111)</f>
        <v>42822.99861</v>
      </c>
      <c r="B2422" s="1">
        <f>IFERROR(__xludf.DUMMYFUNCTION("""COMPUTED_VALUE"""),9522.5895)</f>
        <v>9522.5895</v>
      </c>
    </row>
    <row r="2423">
      <c r="A2423" s="3">
        <f>IFERROR(__xludf.DUMMYFUNCTION("""COMPUTED_VALUE"""),42823.99861111111)</f>
        <v>42823.99861</v>
      </c>
      <c r="B2423" s="1">
        <f>IFERROR(__xludf.DUMMYFUNCTION("""COMPUTED_VALUE"""),9538.251)</f>
        <v>9538.251</v>
      </c>
    </row>
    <row r="2424">
      <c r="A2424" s="3">
        <f>IFERROR(__xludf.DUMMYFUNCTION("""COMPUTED_VALUE"""),42824.99861111111)</f>
        <v>42824.99861</v>
      </c>
      <c r="B2424" s="1">
        <f>IFERROR(__xludf.DUMMYFUNCTION("""COMPUTED_VALUE"""),9517.69533)</f>
        <v>9517.69533</v>
      </c>
    </row>
    <row r="2425">
      <c r="A2425" s="3">
        <f>IFERROR(__xludf.DUMMYFUNCTION("""COMPUTED_VALUE"""),42825.99861111111)</f>
        <v>42825.99861</v>
      </c>
      <c r="B2425" s="1">
        <f>IFERROR(__xludf.DUMMYFUNCTION("""COMPUTED_VALUE"""),9527.97846)</f>
        <v>9527.97846</v>
      </c>
    </row>
    <row r="2426">
      <c r="A2426" s="3">
        <f>IFERROR(__xludf.DUMMYFUNCTION("""COMPUTED_VALUE"""),42827.99861111111)</f>
        <v>42827.99861</v>
      </c>
      <c r="B2426" s="1">
        <f>IFERROR(__xludf.DUMMYFUNCTION("""COMPUTED_VALUE"""),9540.6591)</f>
        <v>9540.6591</v>
      </c>
    </row>
    <row r="2427">
      <c r="A2427" s="3">
        <f>IFERROR(__xludf.DUMMYFUNCTION("""COMPUTED_VALUE"""),42828.99861111111)</f>
        <v>42828.99861</v>
      </c>
      <c r="B2427" s="1">
        <f>IFERROR(__xludf.DUMMYFUNCTION("""COMPUTED_VALUE"""),9536.9192)</f>
        <v>9536.9192</v>
      </c>
    </row>
    <row r="2428">
      <c r="A2428" s="3">
        <f>IFERROR(__xludf.DUMMYFUNCTION("""COMPUTED_VALUE"""),42829.99861111111)</f>
        <v>42829.99861</v>
      </c>
      <c r="B2428" s="1">
        <f>IFERROR(__xludf.DUMMYFUNCTION("""COMPUTED_VALUE"""),9531.7134)</f>
        <v>9531.7134</v>
      </c>
    </row>
    <row r="2429">
      <c r="A2429" s="3">
        <f>IFERROR(__xludf.DUMMYFUNCTION("""COMPUTED_VALUE"""),42830.99861111111)</f>
        <v>42830.99861</v>
      </c>
      <c r="B2429" s="1">
        <f>IFERROR(__xludf.DUMMYFUNCTION("""COMPUTED_VALUE"""),9512.622)</f>
        <v>9512.622</v>
      </c>
    </row>
    <row r="2430">
      <c r="A2430" s="3">
        <f>IFERROR(__xludf.DUMMYFUNCTION("""COMPUTED_VALUE"""),42831.99861111111)</f>
        <v>42831.99861</v>
      </c>
      <c r="B2430" s="1">
        <f>IFERROR(__xludf.DUMMYFUNCTION("""COMPUTED_VALUE"""),9522.15783)</f>
        <v>9522.15783</v>
      </c>
    </row>
    <row r="2431">
      <c r="A2431" s="3">
        <f>IFERROR(__xludf.DUMMYFUNCTION("""COMPUTED_VALUE"""),42832.99861111111)</f>
        <v>42832.99861</v>
      </c>
      <c r="B2431" s="1">
        <f>IFERROR(__xludf.DUMMYFUNCTION("""COMPUTED_VALUE"""),9491.45295)</f>
        <v>9491.45295</v>
      </c>
    </row>
    <row r="2432">
      <c r="A2432" s="3">
        <f>IFERROR(__xludf.DUMMYFUNCTION("""COMPUTED_VALUE"""),42833.99861111111)</f>
        <v>42833.99861</v>
      </c>
      <c r="B2432" s="1">
        <f>IFERROR(__xludf.DUMMYFUNCTION("""COMPUTED_VALUE"""),9500.530596)</f>
        <v>9500.530596</v>
      </c>
    </row>
    <row r="2433">
      <c r="A2433" s="3">
        <f>IFERROR(__xludf.DUMMYFUNCTION("""COMPUTED_VALUE"""),42834.99861111111)</f>
        <v>42834.99861</v>
      </c>
      <c r="B2433" s="1">
        <f>IFERROR(__xludf.DUMMYFUNCTION("""COMPUTED_VALUE"""),9511.41252)</f>
        <v>9511.41252</v>
      </c>
    </row>
    <row r="2434">
      <c r="A2434" s="3">
        <f>IFERROR(__xludf.DUMMYFUNCTION("""COMPUTED_VALUE"""),42835.99861111111)</f>
        <v>42835.99861</v>
      </c>
      <c r="B2434" s="1">
        <f>IFERROR(__xludf.DUMMYFUNCTION("""COMPUTED_VALUE"""),9446.2978)</f>
        <v>9446.2978</v>
      </c>
    </row>
    <row r="2435">
      <c r="A2435" s="3">
        <f>IFERROR(__xludf.DUMMYFUNCTION("""COMPUTED_VALUE"""),42836.99861111111)</f>
        <v>42836.99861</v>
      </c>
      <c r="B2435" s="1">
        <f>IFERROR(__xludf.DUMMYFUNCTION("""COMPUTED_VALUE"""),9471.83115)</f>
        <v>9471.83115</v>
      </c>
    </row>
    <row r="2436">
      <c r="A2436" s="3">
        <f>IFERROR(__xludf.DUMMYFUNCTION("""COMPUTED_VALUE"""),42837.99861111111)</f>
        <v>42837.99861</v>
      </c>
      <c r="B2436" s="1">
        <f>IFERROR(__xludf.DUMMYFUNCTION("""COMPUTED_VALUE"""),9516.9536)</f>
        <v>9516.9536</v>
      </c>
    </row>
    <row r="2437">
      <c r="A2437" s="3">
        <f>IFERROR(__xludf.DUMMYFUNCTION("""COMPUTED_VALUE"""),42838.99861111111)</f>
        <v>42838.99861</v>
      </c>
      <c r="B2437" s="1">
        <f>IFERROR(__xludf.DUMMYFUNCTION("""COMPUTED_VALUE"""),9494.3314)</f>
        <v>9494.3314</v>
      </c>
    </row>
    <row r="2438">
      <c r="A2438" s="3">
        <f>IFERROR(__xludf.DUMMYFUNCTION("""COMPUTED_VALUE"""),42839.99861111111)</f>
        <v>42839.99861</v>
      </c>
      <c r="B2438" s="1">
        <f>IFERROR(__xludf.DUMMYFUNCTION("""COMPUTED_VALUE"""),9496.18062)</f>
        <v>9496.18062</v>
      </c>
    </row>
    <row r="2439">
      <c r="A2439" s="3">
        <f>IFERROR(__xludf.DUMMYFUNCTION("""COMPUTED_VALUE"""),42840.99861111111)</f>
        <v>42840.99861</v>
      </c>
      <c r="B2439" s="1">
        <f>IFERROR(__xludf.DUMMYFUNCTION("""COMPUTED_VALUE"""),9497.9582)</f>
        <v>9497.9582</v>
      </c>
    </row>
    <row r="2440">
      <c r="A2440" s="3">
        <f>IFERROR(__xludf.DUMMYFUNCTION("""COMPUTED_VALUE"""),42841.99861111111)</f>
        <v>42841.99861</v>
      </c>
      <c r="B2440" s="1">
        <f>IFERROR(__xludf.DUMMYFUNCTION("""COMPUTED_VALUE"""),9519.07254)</f>
        <v>9519.07254</v>
      </c>
    </row>
    <row r="2441">
      <c r="A2441" s="3">
        <f>IFERROR(__xludf.DUMMYFUNCTION("""COMPUTED_VALUE"""),42842.99861111111)</f>
        <v>42842.99861</v>
      </c>
      <c r="B2441" s="1">
        <f>IFERROR(__xludf.DUMMYFUNCTION("""COMPUTED_VALUE"""),9492.49315)</f>
        <v>9492.49315</v>
      </c>
    </row>
    <row r="2442">
      <c r="A2442" s="3">
        <f>IFERROR(__xludf.DUMMYFUNCTION("""COMPUTED_VALUE"""),42843.99861111111)</f>
        <v>42843.99861</v>
      </c>
      <c r="B2442" s="1">
        <f>IFERROR(__xludf.DUMMYFUNCTION("""COMPUTED_VALUE"""),9526.98288)</f>
        <v>9526.98288</v>
      </c>
    </row>
    <row r="2443">
      <c r="A2443" s="3">
        <f>IFERROR(__xludf.DUMMYFUNCTION("""COMPUTED_VALUE"""),42844.99861111111)</f>
        <v>42844.99861</v>
      </c>
      <c r="B2443" s="1">
        <f>IFERROR(__xludf.DUMMYFUNCTION("""COMPUTED_VALUE"""),9543.71418)</f>
        <v>9543.71418</v>
      </c>
    </row>
    <row r="2444">
      <c r="A2444" s="3">
        <f>IFERROR(__xludf.DUMMYFUNCTION("""COMPUTED_VALUE"""),42845.99861111111)</f>
        <v>42845.99861</v>
      </c>
      <c r="B2444" s="1">
        <f>IFERROR(__xludf.DUMMYFUNCTION("""COMPUTED_VALUE"""),9521.92134)</f>
        <v>9521.92134</v>
      </c>
    </row>
    <row r="2445">
      <c r="A2445" s="3">
        <f>IFERROR(__xludf.DUMMYFUNCTION("""COMPUTED_VALUE"""),42846.99861111111)</f>
        <v>42846.99861</v>
      </c>
      <c r="B2445" s="1">
        <f>IFERROR(__xludf.DUMMYFUNCTION("""COMPUTED_VALUE"""),9515.47696)</f>
        <v>9515.47696</v>
      </c>
    </row>
    <row r="2446">
      <c r="A2446" s="3">
        <f>IFERROR(__xludf.DUMMYFUNCTION("""COMPUTED_VALUE"""),42848.99861111111)</f>
        <v>42848.99861</v>
      </c>
      <c r="B2446" s="1">
        <f>IFERROR(__xludf.DUMMYFUNCTION("""COMPUTED_VALUE"""),9407.5553)</f>
        <v>9407.5553</v>
      </c>
    </row>
    <row r="2447">
      <c r="A2447" s="3">
        <f>IFERROR(__xludf.DUMMYFUNCTION("""COMPUTED_VALUE"""),42849.99861111111)</f>
        <v>42849.99861</v>
      </c>
      <c r="B2447" s="1">
        <f>IFERROR(__xludf.DUMMYFUNCTION("""COMPUTED_VALUE"""),9420.4072)</f>
        <v>9420.4072</v>
      </c>
    </row>
    <row r="2448">
      <c r="A2448" s="3">
        <f>IFERROR(__xludf.DUMMYFUNCTION("""COMPUTED_VALUE"""),42850.99861111111)</f>
        <v>42850.99861</v>
      </c>
      <c r="B2448" s="1">
        <f>IFERROR(__xludf.DUMMYFUNCTION("""COMPUTED_VALUE"""),9541.57675)</f>
        <v>9541.57675</v>
      </c>
    </row>
    <row r="2449">
      <c r="A2449" s="3">
        <f>IFERROR(__xludf.DUMMYFUNCTION("""COMPUTED_VALUE"""),42851.99861111111)</f>
        <v>42851.99861</v>
      </c>
      <c r="B2449" s="1">
        <f>IFERROR(__xludf.DUMMYFUNCTION("""COMPUTED_VALUE"""),9501.37389)</f>
        <v>9501.37389</v>
      </c>
    </row>
    <row r="2450">
      <c r="A2450" s="3">
        <f>IFERROR(__xludf.DUMMYFUNCTION("""COMPUTED_VALUE"""),42852.99861111111)</f>
        <v>42852.99861</v>
      </c>
      <c r="B2450" s="1">
        <f>IFERROR(__xludf.DUMMYFUNCTION("""COMPUTED_VALUE"""),9552.10646)</f>
        <v>9552.10646</v>
      </c>
    </row>
    <row r="2451">
      <c r="A2451" s="3">
        <f>IFERROR(__xludf.DUMMYFUNCTION("""COMPUTED_VALUE"""),42853.99861111111)</f>
        <v>42853.99861</v>
      </c>
      <c r="B2451" s="1">
        <f>IFERROR(__xludf.DUMMYFUNCTION("""COMPUTED_VALUE"""),9550.70112)</f>
        <v>9550.70112</v>
      </c>
    </row>
    <row r="2452">
      <c r="A2452" s="3">
        <f>IFERROR(__xludf.DUMMYFUNCTION("""COMPUTED_VALUE"""),42854.99861111111)</f>
        <v>42854.99861</v>
      </c>
      <c r="B2452" s="1">
        <f>IFERROR(__xludf.DUMMYFUNCTION("""COMPUTED_VALUE"""),9552.867026)</f>
        <v>9552.867026</v>
      </c>
    </row>
    <row r="2453">
      <c r="A2453" s="3">
        <f>IFERROR(__xludf.DUMMYFUNCTION("""COMPUTED_VALUE"""),42855.99861111111)</f>
        <v>42855.99861</v>
      </c>
      <c r="B2453" s="1">
        <f>IFERROR(__xludf.DUMMYFUNCTION("""COMPUTED_VALUE"""),9535.62116)</f>
        <v>9535.62116</v>
      </c>
    </row>
    <row r="2454">
      <c r="A2454" s="3">
        <f>IFERROR(__xludf.DUMMYFUNCTION("""COMPUTED_VALUE"""),42856.99861111111)</f>
        <v>42856.99861</v>
      </c>
      <c r="B2454" s="1">
        <f>IFERROR(__xludf.DUMMYFUNCTION("""COMPUTED_VALUE"""),9543.23175)</f>
        <v>9543.23175</v>
      </c>
    </row>
    <row r="2455">
      <c r="A2455" s="3">
        <f>IFERROR(__xludf.DUMMYFUNCTION("""COMPUTED_VALUE"""),42857.99861111111)</f>
        <v>42857.99861</v>
      </c>
      <c r="B2455" s="1">
        <f>IFERROR(__xludf.DUMMYFUNCTION("""COMPUTED_VALUE"""),9543.01805)</f>
        <v>9543.01805</v>
      </c>
    </row>
    <row r="2456">
      <c r="A2456" s="3">
        <f>IFERROR(__xludf.DUMMYFUNCTION("""COMPUTED_VALUE"""),42858.99861111111)</f>
        <v>42858.99861</v>
      </c>
      <c r="B2456" s="1">
        <f>IFERROR(__xludf.DUMMYFUNCTION("""COMPUTED_VALUE"""),9521.6728)</f>
        <v>9521.6728</v>
      </c>
    </row>
    <row r="2457">
      <c r="A2457" s="3">
        <f>IFERROR(__xludf.DUMMYFUNCTION("""COMPUTED_VALUE"""),42859.99861111111)</f>
        <v>42859.99861</v>
      </c>
      <c r="B2457" s="1">
        <f>IFERROR(__xludf.DUMMYFUNCTION("""COMPUTED_VALUE"""),9522.4922)</f>
        <v>9522.4922</v>
      </c>
    </row>
    <row r="2458">
      <c r="A2458" s="3">
        <f>IFERROR(__xludf.DUMMYFUNCTION("""COMPUTED_VALUE"""),42860.99861111111)</f>
        <v>42860.99861</v>
      </c>
      <c r="B2458" s="1">
        <f>IFERROR(__xludf.DUMMYFUNCTION("""COMPUTED_VALUE"""),9478.01645)</f>
        <v>9478.01645</v>
      </c>
    </row>
    <row r="2459">
      <c r="A2459" s="3">
        <f>IFERROR(__xludf.DUMMYFUNCTION("""COMPUTED_VALUE"""),42862.99861111111)</f>
        <v>42862.99861</v>
      </c>
      <c r="B2459" s="1">
        <f>IFERROR(__xludf.DUMMYFUNCTION("""COMPUTED_VALUE"""),9479.730963)</f>
        <v>9479.730963</v>
      </c>
    </row>
    <row r="2460">
      <c r="A2460" s="3">
        <f>IFERROR(__xludf.DUMMYFUNCTION("""COMPUTED_VALUE"""),42863.99861111111)</f>
        <v>42863.99861</v>
      </c>
      <c r="B2460" s="1">
        <f>IFERROR(__xludf.DUMMYFUNCTION("""COMPUTED_VALUE"""),9477.62768)</f>
        <v>9477.62768</v>
      </c>
    </row>
    <row r="2461">
      <c r="A2461" s="3">
        <f>IFERROR(__xludf.DUMMYFUNCTION("""COMPUTED_VALUE"""),42864.99861111111)</f>
        <v>42864.99861</v>
      </c>
      <c r="B2461" s="1">
        <f>IFERROR(__xludf.DUMMYFUNCTION("""COMPUTED_VALUE"""),9472.46613)</f>
        <v>9472.46613</v>
      </c>
    </row>
    <row r="2462">
      <c r="A2462" s="3">
        <f>IFERROR(__xludf.DUMMYFUNCTION("""COMPUTED_VALUE"""),42865.99861111111)</f>
        <v>42865.99861</v>
      </c>
      <c r="B2462" s="1">
        <f>IFERROR(__xludf.DUMMYFUNCTION("""COMPUTED_VALUE"""),9453.38988)</f>
        <v>9453.38988</v>
      </c>
    </row>
    <row r="2463">
      <c r="A2463" s="3">
        <f>IFERROR(__xludf.DUMMYFUNCTION("""COMPUTED_VALUE"""),42866.99861111111)</f>
        <v>42866.99861</v>
      </c>
      <c r="B2463" s="1">
        <f>IFERROR(__xludf.DUMMYFUNCTION("""COMPUTED_VALUE"""),9454.31552)</f>
        <v>9454.31552</v>
      </c>
    </row>
    <row r="2464">
      <c r="A2464" s="3">
        <f>IFERROR(__xludf.DUMMYFUNCTION("""COMPUTED_VALUE"""),42867.99861111111)</f>
        <v>42867.99861</v>
      </c>
      <c r="B2464" s="1">
        <f>IFERROR(__xludf.DUMMYFUNCTION("""COMPUTED_VALUE"""),9483.2093)</f>
        <v>9483.2093</v>
      </c>
    </row>
    <row r="2465">
      <c r="A2465" s="3">
        <f>IFERROR(__xludf.DUMMYFUNCTION("""COMPUTED_VALUE"""),42869.99861111111)</f>
        <v>42869.99861</v>
      </c>
      <c r="B2465" s="1">
        <f>IFERROR(__xludf.DUMMYFUNCTION("""COMPUTED_VALUE"""),9487.17507)</f>
        <v>9487.17507</v>
      </c>
    </row>
    <row r="2466">
      <c r="A2466" s="3">
        <f>IFERROR(__xludf.DUMMYFUNCTION("""COMPUTED_VALUE"""),42870.99861111111)</f>
        <v>42870.99861</v>
      </c>
      <c r="B2466" s="1">
        <f>IFERROR(__xludf.DUMMYFUNCTION("""COMPUTED_VALUE"""),9505.4175)</f>
        <v>9505.4175</v>
      </c>
    </row>
    <row r="2467">
      <c r="A2467" s="3">
        <f>IFERROR(__xludf.DUMMYFUNCTION("""COMPUTED_VALUE"""),42871.99861111111)</f>
        <v>42871.99861</v>
      </c>
      <c r="B2467" s="1">
        <f>IFERROR(__xludf.DUMMYFUNCTION("""COMPUTED_VALUE"""),9515.33416)</f>
        <v>9515.33416</v>
      </c>
    </row>
    <row r="2468">
      <c r="A2468" s="3">
        <f>IFERROR(__xludf.DUMMYFUNCTION("""COMPUTED_VALUE"""),42872.99861111111)</f>
        <v>42872.99861</v>
      </c>
      <c r="B2468" s="1">
        <f>IFERROR(__xludf.DUMMYFUNCTION("""COMPUTED_VALUE"""),9570.9807)</f>
        <v>9570.9807</v>
      </c>
    </row>
    <row r="2469">
      <c r="A2469" s="3">
        <f>IFERROR(__xludf.DUMMYFUNCTION("""COMPUTED_VALUE"""),42873.99861111111)</f>
        <v>42873.99861</v>
      </c>
      <c r="B2469" s="1">
        <f>IFERROR(__xludf.DUMMYFUNCTION("""COMPUTED_VALUE"""),9619.67806)</f>
        <v>9619.67806</v>
      </c>
    </row>
    <row r="2470">
      <c r="A2470" s="3">
        <f>IFERROR(__xludf.DUMMYFUNCTION("""COMPUTED_VALUE"""),42874.99861111111)</f>
        <v>42874.99861</v>
      </c>
      <c r="B2470" s="1">
        <f>IFERROR(__xludf.DUMMYFUNCTION("""COMPUTED_VALUE"""),9608.62572)</f>
        <v>9608.62572</v>
      </c>
    </row>
    <row r="2471">
      <c r="A2471" s="3">
        <f>IFERROR(__xludf.DUMMYFUNCTION("""COMPUTED_VALUE"""),42875.99861111111)</f>
        <v>42875.99861</v>
      </c>
      <c r="B2471" s="1">
        <f>IFERROR(__xludf.DUMMYFUNCTION("""COMPUTED_VALUE"""),9622.797594)</f>
        <v>9622.797594</v>
      </c>
    </row>
    <row r="2472">
      <c r="A2472" s="3">
        <f>IFERROR(__xludf.DUMMYFUNCTION("""COMPUTED_VALUE"""),42876.99861111111)</f>
        <v>42876.99861</v>
      </c>
      <c r="B2472" s="1">
        <f>IFERROR(__xludf.DUMMYFUNCTION("""COMPUTED_VALUE"""),9612.42016)</f>
        <v>9612.42016</v>
      </c>
    </row>
    <row r="2473">
      <c r="A2473" s="3">
        <f>IFERROR(__xludf.DUMMYFUNCTION("""COMPUTED_VALUE"""),42877.99861111111)</f>
        <v>42877.99861</v>
      </c>
      <c r="B2473" s="1">
        <f>IFERROR(__xludf.DUMMYFUNCTION("""COMPUTED_VALUE"""),9586.81488)</f>
        <v>9586.81488</v>
      </c>
    </row>
    <row r="2474">
      <c r="A2474" s="3">
        <f>IFERROR(__xludf.DUMMYFUNCTION("""COMPUTED_VALUE"""),42878.99861111111)</f>
        <v>42878.99861</v>
      </c>
      <c r="B2474" s="1">
        <f>IFERROR(__xludf.DUMMYFUNCTION("""COMPUTED_VALUE"""),9558.36144)</f>
        <v>9558.36144</v>
      </c>
    </row>
    <row r="2475">
      <c r="A2475" s="3">
        <f>IFERROR(__xludf.DUMMYFUNCTION("""COMPUTED_VALUE"""),42879.99861111111)</f>
        <v>42879.99861</v>
      </c>
      <c r="B2475" s="1">
        <f>IFERROR(__xludf.DUMMYFUNCTION("""COMPUTED_VALUE"""),9610.42896)</f>
        <v>9610.42896</v>
      </c>
    </row>
    <row r="2476">
      <c r="A2476" s="3">
        <f>IFERROR(__xludf.DUMMYFUNCTION("""COMPUTED_VALUE"""),42880.99861111111)</f>
        <v>42880.99861</v>
      </c>
      <c r="B2476" s="1">
        <f>IFERROR(__xludf.DUMMYFUNCTION("""COMPUTED_VALUE"""),9593.93448)</f>
        <v>9593.93448</v>
      </c>
    </row>
    <row r="2477">
      <c r="A2477" s="3">
        <f>IFERROR(__xludf.DUMMYFUNCTION("""COMPUTED_VALUE"""),42881.99861111111)</f>
        <v>42881.99861</v>
      </c>
      <c r="B2477" s="1">
        <f>IFERROR(__xludf.DUMMYFUNCTION("""COMPUTED_VALUE"""),9622.52215)</f>
        <v>9622.52215</v>
      </c>
    </row>
    <row r="2478">
      <c r="A2478" s="3">
        <f>IFERROR(__xludf.DUMMYFUNCTION("""COMPUTED_VALUE"""),42882.99861111111)</f>
        <v>42882.99861</v>
      </c>
      <c r="B2478" s="1">
        <f>IFERROR(__xludf.DUMMYFUNCTION("""COMPUTED_VALUE"""),9614.39952)</f>
        <v>9614.39952</v>
      </c>
    </row>
    <row r="2479">
      <c r="A2479" s="3">
        <f>IFERROR(__xludf.DUMMYFUNCTION("""COMPUTED_VALUE"""),42883.99861111111)</f>
        <v>42883.99861</v>
      </c>
      <c r="B2479" s="1">
        <f>IFERROR(__xludf.DUMMYFUNCTION("""COMPUTED_VALUE"""),9608.68568)</f>
        <v>9608.68568</v>
      </c>
    </row>
    <row r="2480">
      <c r="A2480" s="3">
        <f>IFERROR(__xludf.DUMMYFUNCTION("""COMPUTED_VALUE"""),42884.99861111111)</f>
        <v>42884.99861</v>
      </c>
      <c r="B2480" s="1">
        <f>IFERROR(__xludf.DUMMYFUNCTION("""COMPUTED_VALUE"""),9597.452)</f>
        <v>9597.452</v>
      </c>
    </row>
    <row r="2481">
      <c r="A2481" s="3">
        <f>IFERROR(__xludf.DUMMYFUNCTION("""COMPUTED_VALUE"""),42885.99861111111)</f>
        <v>42885.99861</v>
      </c>
      <c r="B2481" s="1">
        <f>IFERROR(__xludf.DUMMYFUNCTION("""COMPUTED_VALUE"""),9605.52961)</f>
        <v>9605.52961</v>
      </c>
    </row>
    <row r="2482">
      <c r="A2482" s="3">
        <f>IFERROR(__xludf.DUMMYFUNCTION("""COMPUTED_VALUE"""),42886.99861111111)</f>
        <v>42886.99861</v>
      </c>
      <c r="B2482" s="1">
        <f>IFERROR(__xludf.DUMMYFUNCTION("""COMPUTED_VALUE"""),9606.11146)</f>
        <v>9606.11146</v>
      </c>
    </row>
    <row r="2483">
      <c r="A2483" s="3">
        <f>IFERROR(__xludf.DUMMYFUNCTION("""COMPUTED_VALUE"""),42887.99861111111)</f>
        <v>42887.99861</v>
      </c>
      <c r="B2483" s="1">
        <f>IFERROR(__xludf.DUMMYFUNCTION("""COMPUTED_VALUE"""),9583.83712)</f>
        <v>9583.83712</v>
      </c>
    </row>
    <row r="2484">
      <c r="A2484" s="3">
        <f>IFERROR(__xludf.DUMMYFUNCTION("""COMPUTED_VALUE"""),42888.99861111111)</f>
        <v>42888.99861</v>
      </c>
      <c r="B2484" s="1">
        <f>IFERROR(__xludf.DUMMYFUNCTION("""COMPUTED_VALUE"""),9622.78408)</f>
        <v>9622.78408</v>
      </c>
    </row>
    <row r="2485">
      <c r="A2485" s="3">
        <f>IFERROR(__xludf.DUMMYFUNCTION("""COMPUTED_VALUE"""),42889.99861111111)</f>
        <v>42889.99861</v>
      </c>
      <c r="B2485" s="1">
        <f>IFERROR(__xludf.DUMMYFUNCTION("""COMPUTED_VALUE"""),9622.38408)</f>
        <v>9622.38408</v>
      </c>
    </row>
    <row r="2486">
      <c r="A2486" s="3">
        <f>IFERROR(__xludf.DUMMYFUNCTION("""COMPUTED_VALUE"""),42890.99861111111)</f>
        <v>42890.99861</v>
      </c>
      <c r="B2486" s="1">
        <f>IFERROR(__xludf.DUMMYFUNCTION("""COMPUTED_VALUE"""),9627.70568)</f>
        <v>9627.70568</v>
      </c>
    </row>
    <row r="2487">
      <c r="A2487" s="3">
        <f>IFERROR(__xludf.DUMMYFUNCTION("""COMPUTED_VALUE"""),42891.99861111111)</f>
        <v>42891.99861</v>
      </c>
      <c r="B2487" s="1">
        <f>IFERROR(__xludf.DUMMYFUNCTION("""COMPUTED_VALUE"""),9612.11012)</f>
        <v>9612.11012</v>
      </c>
    </row>
    <row r="2488">
      <c r="A2488" s="3">
        <f>IFERROR(__xludf.DUMMYFUNCTION("""COMPUTED_VALUE"""),42892.99861111111)</f>
        <v>42892.99861</v>
      </c>
      <c r="B2488" s="1">
        <f>IFERROR(__xludf.DUMMYFUNCTION("""COMPUTED_VALUE"""),9608.26694)</f>
        <v>9608.26694</v>
      </c>
    </row>
    <row r="2489">
      <c r="A2489" s="3">
        <f>IFERROR(__xludf.DUMMYFUNCTION("""COMPUTED_VALUE"""),42893.99861111111)</f>
        <v>42893.99861</v>
      </c>
      <c r="B2489" s="1">
        <f>IFERROR(__xludf.DUMMYFUNCTION("""COMPUTED_VALUE"""),9627.9616)</f>
        <v>9627.9616</v>
      </c>
    </row>
    <row r="2490">
      <c r="A2490" s="3">
        <f>IFERROR(__xludf.DUMMYFUNCTION("""COMPUTED_VALUE"""),42894.99861111111)</f>
        <v>42894.99861</v>
      </c>
      <c r="B2490" s="1">
        <f>IFERROR(__xludf.DUMMYFUNCTION("""COMPUTED_VALUE"""),9608.97798)</f>
        <v>9608.97798</v>
      </c>
    </row>
    <row r="2491">
      <c r="A2491" s="3">
        <f>IFERROR(__xludf.DUMMYFUNCTION("""COMPUTED_VALUE"""),42895.99861111111)</f>
        <v>42895.99861</v>
      </c>
      <c r="B2491" s="1">
        <f>IFERROR(__xludf.DUMMYFUNCTION("""COMPUTED_VALUE"""),9595.9869)</f>
        <v>9595.9869</v>
      </c>
    </row>
    <row r="2492">
      <c r="A2492" s="3">
        <f>IFERROR(__xludf.DUMMYFUNCTION("""COMPUTED_VALUE"""),42896.99861111111)</f>
        <v>42896.99861</v>
      </c>
      <c r="B2492" s="1">
        <f>IFERROR(__xludf.DUMMYFUNCTION("""COMPUTED_VALUE"""),9589.14762)</f>
        <v>9589.14762</v>
      </c>
    </row>
    <row r="2493">
      <c r="A2493" s="3">
        <f>IFERROR(__xludf.DUMMYFUNCTION("""COMPUTED_VALUE"""),42897.99861111111)</f>
        <v>42897.99861</v>
      </c>
      <c r="B2493" s="1">
        <f>IFERROR(__xludf.DUMMYFUNCTION("""COMPUTED_VALUE"""),9599.2559)</f>
        <v>9599.2559</v>
      </c>
    </row>
    <row r="2494">
      <c r="A2494" s="3">
        <f>IFERROR(__xludf.DUMMYFUNCTION("""COMPUTED_VALUE"""),42898.99861111111)</f>
        <v>42898.99861</v>
      </c>
      <c r="B2494" s="1">
        <f>IFERROR(__xludf.DUMMYFUNCTION("""COMPUTED_VALUE"""),9615.63708)</f>
        <v>9615.63708</v>
      </c>
    </row>
    <row r="2495">
      <c r="A2495" s="3">
        <f>IFERROR(__xludf.DUMMYFUNCTION("""COMPUTED_VALUE"""),42899.99861111111)</f>
        <v>42899.99861</v>
      </c>
      <c r="B2495" s="1">
        <f>IFERROR(__xludf.DUMMYFUNCTION("""COMPUTED_VALUE"""),9609.12854)</f>
        <v>9609.12854</v>
      </c>
    </row>
    <row r="2496">
      <c r="A2496" s="3">
        <f>IFERROR(__xludf.DUMMYFUNCTION("""COMPUTED_VALUE"""),42900.99861111111)</f>
        <v>42900.99861</v>
      </c>
      <c r="B2496" s="1">
        <f>IFERROR(__xludf.DUMMYFUNCTION("""COMPUTED_VALUE"""),9658.922)</f>
        <v>9658.922</v>
      </c>
    </row>
    <row r="2497">
      <c r="A2497" s="3">
        <f>IFERROR(__xludf.DUMMYFUNCTION("""COMPUTED_VALUE"""),42901.99861111111)</f>
        <v>42901.99861</v>
      </c>
      <c r="B2497" s="1">
        <f>IFERROR(__xludf.DUMMYFUNCTION("""COMPUTED_VALUE"""),9607.17498)</f>
        <v>9607.17498</v>
      </c>
    </row>
    <row r="2498">
      <c r="A2498" s="3">
        <f>IFERROR(__xludf.DUMMYFUNCTION("""COMPUTED_VALUE"""),42902.99861111111)</f>
        <v>42902.99861</v>
      </c>
      <c r="B2498" s="1">
        <f>IFERROR(__xludf.DUMMYFUNCTION("""COMPUTED_VALUE"""),9603.7527)</f>
        <v>9603.7527</v>
      </c>
    </row>
    <row r="2499">
      <c r="A2499" s="3">
        <f>IFERROR(__xludf.DUMMYFUNCTION("""COMPUTED_VALUE"""),42903.99861111111)</f>
        <v>42903.99861</v>
      </c>
      <c r="B2499" s="1">
        <f>IFERROR(__xludf.DUMMYFUNCTION("""COMPUTED_VALUE"""),9604.5664)</f>
        <v>9604.5664</v>
      </c>
    </row>
    <row r="2500">
      <c r="A2500" s="3">
        <f>IFERROR(__xludf.DUMMYFUNCTION("""COMPUTED_VALUE"""),42904.99861111111)</f>
        <v>42904.99861</v>
      </c>
      <c r="B2500" s="1">
        <f>IFERROR(__xludf.DUMMYFUNCTION("""COMPUTED_VALUE"""),9593.16358)</f>
        <v>9593.16358</v>
      </c>
    </row>
    <row r="2501">
      <c r="A2501" s="3">
        <f>IFERROR(__xludf.DUMMYFUNCTION("""COMPUTED_VALUE"""),42905.99861111111)</f>
        <v>42905.99861</v>
      </c>
      <c r="B2501" s="1">
        <f>IFERROR(__xludf.DUMMYFUNCTION("""COMPUTED_VALUE"""),9574.82162)</f>
        <v>9574.82162</v>
      </c>
    </row>
    <row r="2502">
      <c r="A2502" s="3">
        <f>IFERROR(__xludf.DUMMYFUNCTION("""COMPUTED_VALUE"""),42906.99861111111)</f>
        <v>42906.99861</v>
      </c>
      <c r="B2502" s="1">
        <f>IFERROR(__xludf.DUMMYFUNCTION("""COMPUTED_VALUE"""),9566.8618)</f>
        <v>9566.8618</v>
      </c>
    </row>
    <row r="2503">
      <c r="A2503" s="3">
        <f>IFERROR(__xludf.DUMMYFUNCTION("""COMPUTED_VALUE"""),42907.99861111111)</f>
        <v>42907.99861</v>
      </c>
      <c r="B2503" s="1">
        <f>IFERROR(__xludf.DUMMYFUNCTION("""COMPUTED_VALUE"""),9575.25689)</f>
        <v>9575.25689</v>
      </c>
    </row>
    <row r="2504">
      <c r="A2504" s="3">
        <f>IFERROR(__xludf.DUMMYFUNCTION("""COMPUTED_VALUE"""),42908.99861111111)</f>
        <v>42908.99861</v>
      </c>
      <c r="B2504" s="1">
        <f>IFERROR(__xludf.DUMMYFUNCTION("""COMPUTED_VALUE"""),9597.11517)</f>
        <v>9597.11517</v>
      </c>
    </row>
    <row r="2505">
      <c r="A2505" s="3">
        <f>IFERROR(__xludf.DUMMYFUNCTION("""COMPUTED_VALUE"""),42909.99861111111)</f>
        <v>42909.99861</v>
      </c>
      <c r="B2505" s="1">
        <f>IFERROR(__xludf.DUMMYFUNCTION("""COMPUTED_VALUE"""),9592.46175)</f>
        <v>9592.46175</v>
      </c>
    </row>
    <row r="2506">
      <c r="A2506" s="3">
        <f>IFERROR(__xludf.DUMMYFUNCTION("""COMPUTED_VALUE"""),42910.99861111111)</f>
        <v>42910.99861</v>
      </c>
      <c r="B2506" s="1">
        <f>IFERROR(__xludf.DUMMYFUNCTION("""COMPUTED_VALUE"""),9593.335562)</f>
        <v>9593.335562</v>
      </c>
    </row>
    <row r="2507">
      <c r="A2507" s="3">
        <f>IFERROR(__xludf.DUMMYFUNCTION("""COMPUTED_VALUE"""),42911.99861111111)</f>
        <v>42911.99861</v>
      </c>
      <c r="B2507" s="1">
        <f>IFERROR(__xludf.DUMMYFUNCTION("""COMPUTED_VALUE"""),9574.31016)</f>
        <v>9574.31016</v>
      </c>
    </row>
    <row r="2508">
      <c r="A2508" s="3">
        <f>IFERROR(__xludf.DUMMYFUNCTION("""COMPUTED_VALUE"""),42912.99861111111)</f>
        <v>42912.99861</v>
      </c>
      <c r="B2508" s="1">
        <f>IFERROR(__xludf.DUMMYFUNCTION("""COMPUTED_VALUE"""),9589.6259)</f>
        <v>9589.6259</v>
      </c>
    </row>
    <row r="2509">
      <c r="A2509" s="3">
        <f>IFERROR(__xludf.DUMMYFUNCTION("""COMPUTED_VALUE"""),42913.99861111111)</f>
        <v>42913.99861</v>
      </c>
      <c r="B2509" s="1">
        <f>IFERROR(__xludf.DUMMYFUNCTION("""COMPUTED_VALUE"""),9592.00716)</f>
        <v>9592.00716</v>
      </c>
    </row>
    <row r="2510">
      <c r="A2510" s="3">
        <f>IFERROR(__xludf.DUMMYFUNCTION("""COMPUTED_VALUE"""),42914.99861111111)</f>
        <v>42914.99861</v>
      </c>
      <c r="B2510" s="1">
        <f>IFERROR(__xludf.DUMMYFUNCTION("""COMPUTED_VALUE"""),9618.9912)</f>
        <v>9618.9912</v>
      </c>
    </row>
    <row r="2511">
      <c r="A2511" s="3">
        <f>IFERROR(__xludf.DUMMYFUNCTION("""COMPUTED_VALUE"""),42915.99861111111)</f>
        <v>42915.99861</v>
      </c>
      <c r="B2511" s="1">
        <f>IFERROR(__xludf.DUMMYFUNCTION("""COMPUTED_VALUE"""),9625.8861)</f>
        <v>9625.8861</v>
      </c>
    </row>
    <row r="2512">
      <c r="A2512" s="3">
        <f>IFERROR(__xludf.DUMMYFUNCTION("""COMPUTED_VALUE"""),42916.99861111111)</f>
        <v>42916.99861</v>
      </c>
      <c r="B2512" s="1">
        <f>IFERROR(__xludf.DUMMYFUNCTION("""COMPUTED_VALUE"""),9668.29999)</f>
        <v>9668.29999</v>
      </c>
    </row>
    <row r="2513">
      <c r="A2513" s="3">
        <f>IFERROR(__xludf.DUMMYFUNCTION("""COMPUTED_VALUE"""),42917.99861111111)</f>
        <v>42917.99861</v>
      </c>
      <c r="B2513" s="1">
        <f>IFERROR(__xludf.DUMMYFUNCTION("""COMPUTED_VALUE"""),9654.2972)</f>
        <v>9654.2972</v>
      </c>
    </row>
    <row r="2514">
      <c r="A2514" s="3">
        <f>IFERROR(__xludf.DUMMYFUNCTION("""COMPUTED_VALUE"""),42918.99861111111)</f>
        <v>42918.99861</v>
      </c>
      <c r="B2514" s="1">
        <f>IFERROR(__xludf.DUMMYFUNCTION("""COMPUTED_VALUE"""),9660.997)</f>
        <v>9660.997</v>
      </c>
    </row>
    <row r="2515">
      <c r="A2515" s="3">
        <f>IFERROR(__xludf.DUMMYFUNCTION("""COMPUTED_VALUE"""),42919.99861111111)</f>
        <v>42919.99861</v>
      </c>
      <c r="B2515" s="1">
        <f>IFERROR(__xludf.DUMMYFUNCTION("""COMPUTED_VALUE"""),9670.1904)</f>
        <v>9670.1904</v>
      </c>
    </row>
    <row r="2516">
      <c r="A2516" s="3">
        <f>IFERROR(__xludf.DUMMYFUNCTION("""COMPUTED_VALUE"""),42920.99861111111)</f>
        <v>42920.99861</v>
      </c>
      <c r="B2516" s="1">
        <f>IFERROR(__xludf.DUMMYFUNCTION("""COMPUTED_VALUE"""),9662.1187)</f>
        <v>9662.1187</v>
      </c>
    </row>
    <row r="2517">
      <c r="A2517" s="3">
        <f>IFERROR(__xludf.DUMMYFUNCTION("""COMPUTED_VALUE"""),42921.99861111111)</f>
        <v>42921.99861</v>
      </c>
      <c r="B2517" s="1">
        <f>IFERROR(__xludf.DUMMYFUNCTION("""COMPUTED_VALUE"""),9673.34207)</f>
        <v>9673.34207</v>
      </c>
    </row>
    <row r="2518">
      <c r="A2518" s="3">
        <f>IFERROR(__xludf.DUMMYFUNCTION("""COMPUTED_VALUE"""),42922.99861111111)</f>
        <v>42922.99861</v>
      </c>
      <c r="B2518" s="1">
        <f>IFERROR(__xludf.DUMMYFUNCTION("""COMPUTED_VALUE"""),9679.65624)</f>
        <v>9679.65624</v>
      </c>
    </row>
    <row r="2519">
      <c r="A2519" s="3">
        <f>IFERROR(__xludf.DUMMYFUNCTION("""COMPUTED_VALUE"""),42923.99861111111)</f>
        <v>42923.99861</v>
      </c>
      <c r="B2519" s="1">
        <f>IFERROR(__xludf.DUMMYFUNCTION("""COMPUTED_VALUE"""),9696.6408)</f>
        <v>9696.6408</v>
      </c>
    </row>
    <row r="2520">
      <c r="A2520" s="3">
        <f>IFERROR(__xludf.DUMMYFUNCTION("""COMPUTED_VALUE"""),42924.99861111111)</f>
        <v>42924.99861</v>
      </c>
      <c r="B2520" s="1">
        <f>IFERROR(__xludf.DUMMYFUNCTION("""COMPUTED_VALUE"""),9708.315788)</f>
        <v>9708.315788</v>
      </c>
    </row>
    <row r="2521">
      <c r="A2521" s="3">
        <f>IFERROR(__xludf.DUMMYFUNCTION("""COMPUTED_VALUE"""),42925.99861111111)</f>
        <v>42925.99861</v>
      </c>
      <c r="B2521" s="1">
        <f>IFERROR(__xludf.DUMMYFUNCTION("""COMPUTED_VALUE"""),9700.55392)</f>
        <v>9700.55392</v>
      </c>
    </row>
    <row r="2522">
      <c r="A2522" s="3">
        <f>IFERROR(__xludf.DUMMYFUNCTION("""COMPUTED_VALUE"""),42926.99861111111)</f>
        <v>42926.99861</v>
      </c>
      <c r="B2522" s="1">
        <f>IFERROR(__xludf.DUMMYFUNCTION("""COMPUTED_VALUE"""),9665.60048)</f>
        <v>9665.60048</v>
      </c>
    </row>
    <row r="2523">
      <c r="A2523" s="3">
        <f>IFERROR(__xludf.DUMMYFUNCTION("""COMPUTED_VALUE"""),42927.99861111111)</f>
        <v>42927.99861</v>
      </c>
      <c r="B2523" s="1">
        <f>IFERROR(__xludf.DUMMYFUNCTION("""COMPUTED_VALUE"""),9663.47459)</f>
        <v>9663.47459</v>
      </c>
    </row>
    <row r="2524">
      <c r="A2524" s="3">
        <f>IFERROR(__xludf.DUMMYFUNCTION("""COMPUTED_VALUE"""),42928.99861111111)</f>
        <v>42928.99861</v>
      </c>
      <c r="B2524" s="1">
        <f>IFERROR(__xludf.DUMMYFUNCTION("""COMPUTED_VALUE"""),9700.60259)</f>
        <v>9700.60259</v>
      </c>
    </row>
    <row r="2525">
      <c r="A2525" s="3">
        <f>IFERROR(__xludf.DUMMYFUNCTION("""COMPUTED_VALUE"""),42929.99861111111)</f>
        <v>42929.99861</v>
      </c>
      <c r="B2525" s="1">
        <f>IFERROR(__xludf.DUMMYFUNCTION("""COMPUTED_VALUE"""),9709.5798)</f>
        <v>9709.5798</v>
      </c>
    </row>
    <row r="2526">
      <c r="A2526" s="3">
        <f>IFERROR(__xludf.DUMMYFUNCTION("""COMPUTED_VALUE"""),42930.99861111111)</f>
        <v>42930.99861</v>
      </c>
      <c r="B2526" s="1">
        <f>IFERROR(__xludf.DUMMYFUNCTION("""COMPUTED_VALUE"""),9688.0665)</f>
        <v>9688.0665</v>
      </c>
    </row>
    <row r="2527">
      <c r="A2527" s="3">
        <f>IFERROR(__xludf.DUMMYFUNCTION("""COMPUTED_VALUE"""),42932.99861111111)</f>
        <v>42932.99861</v>
      </c>
      <c r="B2527" s="1">
        <f>IFERROR(__xludf.DUMMYFUNCTION("""COMPUTED_VALUE"""),9723.56088)</f>
        <v>9723.56088</v>
      </c>
    </row>
    <row r="2528">
      <c r="A2528" s="3">
        <f>IFERROR(__xludf.DUMMYFUNCTION("""COMPUTED_VALUE"""),42933.99861111111)</f>
        <v>42933.99861</v>
      </c>
      <c r="B2528" s="1">
        <f>IFERROR(__xludf.DUMMYFUNCTION("""COMPUTED_VALUE"""),9719.93407)</f>
        <v>9719.93407</v>
      </c>
    </row>
    <row r="2529">
      <c r="A2529" s="3">
        <f>IFERROR(__xludf.DUMMYFUNCTION("""COMPUTED_VALUE"""),42934.99861111111)</f>
        <v>42934.99861</v>
      </c>
      <c r="B2529" s="1">
        <f>IFERROR(__xludf.DUMMYFUNCTION("""COMPUTED_VALUE"""),9733.33944)</f>
        <v>9733.33944</v>
      </c>
    </row>
    <row r="2530">
      <c r="A2530" s="3">
        <f>IFERROR(__xludf.DUMMYFUNCTION("""COMPUTED_VALUE"""),42935.99861111111)</f>
        <v>42935.99861</v>
      </c>
      <c r="B2530" s="1">
        <f>IFERROR(__xludf.DUMMYFUNCTION("""COMPUTED_VALUE"""),9723.82158)</f>
        <v>9723.82158</v>
      </c>
    </row>
    <row r="2531">
      <c r="A2531" s="3">
        <f>IFERROR(__xludf.DUMMYFUNCTION("""COMPUTED_VALUE"""),42936.99861111111)</f>
        <v>42936.99861</v>
      </c>
      <c r="B2531" s="1">
        <f>IFERROR(__xludf.DUMMYFUNCTION("""COMPUTED_VALUE"""),9730.08026)</f>
        <v>9730.08026</v>
      </c>
    </row>
    <row r="2532">
      <c r="A2532" s="3">
        <f>IFERROR(__xludf.DUMMYFUNCTION("""COMPUTED_VALUE"""),42937.99861111111)</f>
        <v>42937.99861</v>
      </c>
      <c r="B2532" s="1">
        <f>IFERROR(__xludf.DUMMYFUNCTION("""COMPUTED_VALUE"""),9778.01363)</f>
        <v>9778.01363</v>
      </c>
    </row>
    <row r="2533">
      <c r="A2533" s="3">
        <f>IFERROR(__xludf.DUMMYFUNCTION("""COMPUTED_VALUE"""),42938.99861111111)</f>
        <v>42938.99861</v>
      </c>
      <c r="B2533" s="1">
        <f>IFERROR(__xludf.DUMMYFUNCTION("""COMPUTED_VALUE"""),9774.75106)</f>
        <v>9774.75106</v>
      </c>
    </row>
    <row r="2534">
      <c r="A2534" s="3">
        <f>IFERROR(__xludf.DUMMYFUNCTION("""COMPUTED_VALUE"""),42939.99861111111)</f>
        <v>42939.99861</v>
      </c>
      <c r="B2534" s="1">
        <f>IFERROR(__xludf.DUMMYFUNCTION("""COMPUTED_VALUE"""),9738.8977)</f>
        <v>9738.8977</v>
      </c>
    </row>
    <row r="2535">
      <c r="A2535" s="3">
        <f>IFERROR(__xludf.DUMMYFUNCTION("""COMPUTED_VALUE"""),42940.99861111111)</f>
        <v>42940.99861</v>
      </c>
      <c r="B2535" s="1">
        <f>IFERROR(__xludf.DUMMYFUNCTION("""COMPUTED_VALUE"""),9775.2756)</f>
        <v>9775.2756</v>
      </c>
    </row>
    <row r="2536">
      <c r="A2536" s="3">
        <f>IFERROR(__xludf.DUMMYFUNCTION("""COMPUTED_VALUE"""),42941.99861111111)</f>
        <v>42941.99861</v>
      </c>
      <c r="B2536" s="1">
        <f>IFERROR(__xludf.DUMMYFUNCTION("""COMPUTED_VALUE"""),9774.88848)</f>
        <v>9774.88848</v>
      </c>
    </row>
    <row r="2537">
      <c r="A2537" s="3">
        <f>IFERROR(__xludf.DUMMYFUNCTION("""COMPUTED_VALUE"""),42942.99861111111)</f>
        <v>42942.99861</v>
      </c>
      <c r="B2537" s="1">
        <f>IFERROR(__xludf.DUMMYFUNCTION("""COMPUTED_VALUE"""),9828.00486)</f>
        <v>9828.00486</v>
      </c>
    </row>
    <row r="2538">
      <c r="A2538" s="3">
        <f>IFERROR(__xludf.DUMMYFUNCTION("""COMPUTED_VALUE"""),42943.99861111111)</f>
        <v>42943.99861</v>
      </c>
      <c r="B2538" s="1">
        <f>IFERROR(__xludf.DUMMYFUNCTION("""COMPUTED_VALUE"""),9799.82442)</f>
        <v>9799.82442</v>
      </c>
    </row>
    <row r="2539">
      <c r="A2539" s="3">
        <f>IFERROR(__xludf.DUMMYFUNCTION("""COMPUTED_VALUE"""),42944.99861111111)</f>
        <v>42944.99861</v>
      </c>
      <c r="B2539" s="1">
        <f>IFERROR(__xludf.DUMMYFUNCTION("""COMPUTED_VALUE"""),9827.895)</f>
        <v>9827.895</v>
      </c>
    </row>
    <row r="2540">
      <c r="A2540" s="3">
        <f>IFERROR(__xludf.DUMMYFUNCTION("""COMPUTED_VALUE"""),42945.99861111111)</f>
        <v>42945.99861</v>
      </c>
      <c r="B2540" s="1">
        <f>IFERROR(__xludf.DUMMYFUNCTION("""COMPUTED_VALUE"""),9812.178)</f>
        <v>9812.178</v>
      </c>
    </row>
    <row r="2541">
      <c r="A2541" s="3">
        <f>IFERROR(__xludf.DUMMYFUNCTION("""COMPUTED_VALUE"""),42946.99861111111)</f>
        <v>42946.99861</v>
      </c>
      <c r="B2541" s="1">
        <f>IFERROR(__xludf.DUMMYFUNCTION("""COMPUTED_VALUE"""),9815.1084)</f>
        <v>9815.1084</v>
      </c>
    </row>
    <row r="2542">
      <c r="A2542" s="3">
        <f>IFERROR(__xludf.DUMMYFUNCTION("""COMPUTED_VALUE"""),42947.99861111111)</f>
        <v>42947.99861</v>
      </c>
      <c r="B2542" s="1">
        <f>IFERROR(__xludf.DUMMYFUNCTION("""COMPUTED_VALUE"""),9817.89642)</f>
        <v>9817.89642</v>
      </c>
    </row>
    <row r="2543">
      <c r="A2543" s="3">
        <f>IFERROR(__xludf.DUMMYFUNCTION("""COMPUTED_VALUE"""),42948.99861111111)</f>
        <v>42948.99861</v>
      </c>
      <c r="B2543" s="1">
        <f>IFERROR(__xludf.DUMMYFUNCTION("""COMPUTED_VALUE"""),9795.71886)</f>
        <v>9795.71886</v>
      </c>
    </row>
    <row r="2544">
      <c r="A2544" s="3">
        <f>IFERROR(__xludf.DUMMYFUNCTION("""COMPUTED_VALUE"""),42949.99861111111)</f>
        <v>42949.99861</v>
      </c>
      <c r="B2544" s="1">
        <f>IFERROR(__xludf.DUMMYFUNCTION("""COMPUTED_VALUE"""),9784.79892)</f>
        <v>9784.79892</v>
      </c>
    </row>
    <row r="2545">
      <c r="A2545" s="3">
        <f>IFERROR(__xludf.DUMMYFUNCTION("""COMPUTED_VALUE"""),42950.99861111111)</f>
        <v>42950.99861</v>
      </c>
      <c r="B2545" s="1">
        <f>IFERROR(__xludf.DUMMYFUNCTION("""COMPUTED_VALUE"""),9806.7797)</f>
        <v>9806.7797</v>
      </c>
    </row>
    <row r="2546">
      <c r="A2546" s="3">
        <f>IFERROR(__xludf.DUMMYFUNCTION("""COMPUTED_VALUE"""),42951.99861111111)</f>
        <v>42951.99861</v>
      </c>
      <c r="B2546" s="1">
        <f>IFERROR(__xludf.DUMMYFUNCTION("""COMPUTED_VALUE"""),9782.3232)</f>
        <v>9782.3232</v>
      </c>
    </row>
    <row r="2547">
      <c r="A2547" s="3">
        <f>IFERROR(__xludf.DUMMYFUNCTION("""COMPUTED_VALUE"""),42953.99861111111)</f>
        <v>42953.99861</v>
      </c>
      <c r="B2547" s="1">
        <f>IFERROR(__xludf.DUMMYFUNCTION("""COMPUTED_VALUE"""),9778.92084)</f>
        <v>9778.92084</v>
      </c>
    </row>
    <row r="2548">
      <c r="A2548" s="3">
        <f>IFERROR(__xludf.DUMMYFUNCTION("""COMPUTED_VALUE"""),42954.99861111111)</f>
        <v>42954.99861</v>
      </c>
      <c r="B2548" s="1">
        <f>IFERROR(__xludf.DUMMYFUNCTION("""COMPUTED_VALUE"""),9772.4111)</f>
        <v>9772.4111</v>
      </c>
    </row>
    <row r="2549">
      <c r="A2549" s="3">
        <f>IFERROR(__xludf.DUMMYFUNCTION("""COMPUTED_VALUE"""),42955.99861111111)</f>
        <v>42955.99861</v>
      </c>
      <c r="B2549" s="1">
        <f>IFERROR(__xludf.DUMMYFUNCTION("""COMPUTED_VALUE"""),9754.36248)</f>
        <v>9754.36248</v>
      </c>
    </row>
    <row r="2550">
      <c r="A2550" s="3">
        <f>IFERROR(__xludf.DUMMYFUNCTION("""COMPUTED_VALUE"""),42956.99861111111)</f>
        <v>42956.99861</v>
      </c>
      <c r="B2550" s="1">
        <f>IFERROR(__xludf.DUMMYFUNCTION("""COMPUTED_VALUE"""),9771.2895)</f>
        <v>9771.2895</v>
      </c>
    </row>
    <row r="2551">
      <c r="A2551" s="3">
        <f>IFERROR(__xludf.DUMMYFUNCTION("""COMPUTED_VALUE"""),42957.99861111111)</f>
        <v>42957.99861</v>
      </c>
      <c r="B2551" s="1">
        <f>IFERROR(__xludf.DUMMYFUNCTION("""COMPUTED_VALUE"""),9770.82332)</f>
        <v>9770.82332</v>
      </c>
    </row>
    <row r="2552">
      <c r="A2552" s="3">
        <f>IFERROR(__xludf.DUMMYFUNCTION("""COMPUTED_VALUE"""),42958.99861111111)</f>
        <v>42958.99861</v>
      </c>
      <c r="B2552" s="1">
        <f>IFERROR(__xludf.DUMMYFUNCTION("""COMPUTED_VALUE"""),9809.11218)</f>
        <v>9809.11218</v>
      </c>
    </row>
    <row r="2553">
      <c r="A2553" s="3">
        <f>IFERROR(__xludf.DUMMYFUNCTION("""COMPUTED_VALUE"""),42959.99861111111)</f>
        <v>42959.99861</v>
      </c>
      <c r="B2553" s="1">
        <f>IFERROR(__xludf.DUMMYFUNCTION("""COMPUTED_VALUE"""),9808.31215)</f>
        <v>9808.31215</v>
      </c>
    </row>
    <row r="2554">
      <c r="A2554" s="3">
        <f>IFERROR(__xludf.DUMMYFUNCTION("""COMPUTED_VALUE"""),42960.99861111111)</f>
        <v>42960.99861</v>
      </c>
      <c r="B2554" s="1">
        <f>IFERROR(__xludf.DUMMYFUNCTION("""COMPUTED_VALUE"""),9813.38553)</f>
        <v>9813.38553</v>
      </c>
    </row>
    <row r="2555">
      <c r="A2555" s="3">
        <f>IFERROR(__xludf.DUMMYFUNCTION("""COMPUTED_VALUE"""),42961.99861111111)</f>
        <v>42961.99861</v>
      </c>
      <c r="B2555" s="1">
        <f>IFERROR(__xludf.DUMMYFUNCTION("""COMPUTED_VALUE"""),9784.22228)</f>
        <v>9784.22228</v>
      </c>
    </row>
    <row r="2556">
      <c r="A2556" s="3">
        <f>IFERROR(__xludf.DUMMYFUNCTION("""COMPUTED_VALUE"""),42962.99861111111)</f>
        <v>42962.99861</v>
      </c>
      <c r="B2556" s="1">
        <f>IFERROR(__xludf.DUMMYFUNCTION("""COMPUTED_VALUE"""),9771.1218)</f>
        <v>9771.1218</v>
      </c>
    </row>
    <row r="2557">
      <c r="A2557" s="3">
        <f>IFERROR(__xludf.DUMMYFUNCTION("""COMPUTED_VALUE"""),42963.99861111111)</f>
        <v>42963.99861</v>
      </c>
      <c r="B2557" s="1">
        <f>IFERROR(__xludf.DUMMYFUNCTION("""COMPUTED_VALUE"""),9794.2275)</f>
        <v>9794.2275</v>
      </c>
    </row>
    <row r="2558">
      <c r="A2558" s="3">
        <f>IFERROR(__xludf.DUMMYFUNCTION("""COMPUTED_VALUE"""),42964.99861111111)</f>
        <v>42964.99861</v>
      </c>
      <c r="B2558" s="1">
        <f>IFERROR(__xludf.DUMMYFUNCTION("""COMPUTED_VALUE"""),9781.35056)</f>
        <v>9781.35056</v>
      </c>
    </row>
    <row r="2559">
      <c r="A2559" s="3">
        <f>IFERROR(__xludf.DUMMYFUNCTION("""COMPUTED_VALUE"""),42965.99861111111)</f>
        <v>42965.99861</v>
      </c>
      <c r="B2559" s="1">
        <f>IFERROR(__xludf.DUMMYFUNCTION("""COMPUTED_VALUE"""),9795.28782)</f>
        <v>9795.28782</v>
      </c>
    </row>
    <row r="2560">
      <c r="A2560" s="3">
        <f>IFERROR(__xludf.DUMMYFUNCTION("""COMPUTED_VALUE"""),42966.99861111111)</f>
        <v>42966.99861</v>
      </c>
      <c r="B2560" s="1">
        <f>IFERROR(__xludf.DUMMYFUNCTION("""COMPUTED_VALUE"""),9793.2215)</f>
        <v>9793.2215</v>
      </c>
    </row>
    <row r="2561">
      <c r="A2561" s="3">
        <f>IFERROR(__xludf.DUMMYFUNCTION("""COMPUTED_VALUE"""),42967.99861111111)</f>
        <v>42967.99861</v>
      </c>
      <c r="B2561" s="1">
        <f>IFERROR(__xludf.DUMMYFUNCTION("""COMPUTED_VALUE"""),9793.35505)</f>
        <v>9793.35505</v>
      </c>
    </row>
    <row r="2562">
      <c r="A2562" s="3">
        <f>IFERROR(__xludf.DUMMYFUNCTION("""COMPUTED_VALUE"""),42968.99861111111)</f>
        <v>42968.99861</v>
      </c>
      <c r="B2562" s="1">
        <f>IFERROR(__xludf.DUMMYFUNCTION("""COMPUTED_VALUE"""),9804.37056)</f>
        <v>9804.37056</v>
      </c>
    </row>
    <row r="2563">
      <c r="A2563" s="3">
        <f>IFERROR(__xludf.DUMMYFUNCTION("""COMPUTED_VALUE"""),42969.99861111111)</f>
        <v>42969.99861</v>
      </c>
      <c r="B2563" s="1">
        <f>IFERROR(__xludf.DUMMYFUNCTION("""COMPUTED_VALUE"""),9779.484)</f>
        <v>9779.484</v>
      </c>
    </row>
    <row r="2564">
      <c r="A2564" s="3">
        <f>IFERROR(__xludf.DUMMYFUNCTION("""COMPUTED_VALUE"""),42970.99861111111)</f>
        <v>42970.99861</v>
      </c>
      <c r="B2564" s="1">
        <f>IFERROR(__xludf.DUMMYFUNCTION("""COMPUTED_VALUE"""),9815.6552)</f>
        <v>9815.6552</v>
      </c>
    </row>
    <row r="2565">
      <c r="A2565" s="3">
        <f>IFERROR(__xludf.DUMMYFUNCTION("""COMPUTED_VALUE"""),42971.99861111111)</f>
        <v>42971.99861</v>
      </c>
      <c r="B2565" s="1">
        <f>IFERROR(__xludf.DUMMYFUNCTION("""COMPUTED_VALUE"""),9791.22188)</f>
        <v>9791.22188</v>
      </c>
    </row>
    <row r="2566">
      <c r="A2566" s="3">
        <f>IFERROR(__xludf.DUMMYFUNCTION("""COMPUTED_VALUE"""),42972.99861111111)</f>
        <v>42972.99861</v>
      </c>
      <c r="B2566" s="1">
        <f>IFERROR(__xludf.DUMMYFUNCTION("""COMPUTED_VALUE"""),9835.91907)</f>
        <v>9835.91907</v>
      </c>
    </row>
    <row r="2567">
      <c r="A2567" s="3">
        <f>IFERROR(__xludf.DUMMYFUNCTION("""COMPUTED_VALUE"""),42973.99861111111)</f>
        <v>42973.99861</v>
      </c>
      <c r="B2567" s="1">
        <f>IFERROR(__xludf.DUMMYFUNCTION("""COMPUTED_VALUE"""),9836.3193)</f>
        <v>9836.3193</v>
      </c>
    </row>
    <row r="2568">
      <c r="A2568" s="3">
        <f>IFERROR(__xludf.DUMMYFUNCTION("""COMPUTED_VALUE"""),42974.99861111111)</f>
        <v>42974.99861</v>
      </c>
      <c r="B2568" s="1">
        <f>IFERROR(__xludf.DUMMYFUNCTION("""COMPUTED_VALUE"""),9837.5125)</f>
        <v>9837.5125</v>
      </c>
    </row>
    <row r="2569">
      <c r="A2569" s="3">
        <f>IFERROR(__xludf.DUMMYFUNCTION("""COMPUTED_VALUE"""),42975.99861111111)</f>
        <v>42975.99861</v>
      </c>
      <c r="B2569" s="1">
        <f>IFERROR(__xludf.DUMMYFUNCTION("""COMPUTED_VALUE"""),9814.02219)</f>
        <v>9814.02219</v>
      </c>
    </row>
    <row r="2570">
      <c r="A2570" s="3">
        <f>IFERROR(__xludf.DUMMYFUNCTION("""COMPUTED_VALUE"""),42976.99861111111)</f>
        <v>42976.99861</v>
      </c>
      <c r="B2570" s="1">
        <f>IFERROR(__xludf.DUMMYFUNCTION("""COMPUTED_VALUE"""),9838.15404)</f>
        <v>9838.15404</v>
      </c>
    </row>
    <row r="2571">
      <c r="A2571" s="3">
        <f>IFERROR(__xludf.DUMMYFUNCTION("""COMPUTED_VALUE"""),42977.99861111111)</f>
        <v>42977.99861</v>
      </c>
      <c r="B2571" s="1">
        <f>IFERROR(__xludf.DUMMYFUNCTION("""COMPUTED_VALUE"""),9815.29074)</f>
        <v>9815.29074</v>
      </c>
    </row>
    <row r="2572">
      <c r="A2572" s="3">
        <f>IFERROR(__xludf.DUMMYFUNCTION("""COMPUTED_VALUE"""),42978.99861111111)</f>
        <v>42978.99861</v>
      </c>
      <c r="B2572" s="1">
        <f>IFERROR(__xludf.DUMMYFUNCTION("""COMPUTED_VALUE"""),9817.97663)</f>
        <v>9817.97663</v>
      </c>
    </row>
    <row r="2573">
      <c r="A2573" s="3">
        <f>IFERROR(__xludf.DUMMYFUNCTION("""COMPUTED_VALUE"""),42979.99861111111)</f>
        <v>42979.99861</v>
      </c>
      <c r="B2573" s="1">
        <f>IFERROR(__xludf.DUMMYFUNCTION("""COMPUTED_VALUE"""),9813.35466)</f>
        <v>9813.35466</v>
      </c>
    </row>
    <row r="2574">
      <c r="A2574" s="3">
        <f>IFERROR(__xludf.DUMMYFUNCTION("""COMPUTED_VALUE"""),42980.99861111111)</f>
        <v>42980.99861</v>
      </c>
      <c r="B2574" s="1">
        <f>IFERROR(__xludf.DUMMYFUNCTION("""COMPUTED_VALUE"""),9831.8955)</f>
        <v>9831.8955</v>
      </c>
    </row>
    <row r="2575">
      <c r="A2575" s="3">
        <f>IFERROR(__xludf.DUMMYFUNCTION("""COMPUTED_VALUE"""),42981.99861111111)</f>
        <v>42981.99861</v>
      </c>
      <c r="B2575" s="1">
        <f>IFERROR(__xludf.DUMMYFUNCTION("""COMPUTED_VALUE"""),9819.88122)</f>
        <v>9819.88122</v>
      </c>
    </row>
    <row r="2576">
      <c r="A2576" s="3">
        <f>IFERROR(__xludf.DUMMYFUNCTION("""COMPUTED_VALUE"""),42982.99861111111)</f>
        <v>42982.99861</v>
      </c>
      <c r="B2576" s="1">
        <f>IFERROR(__xludf.DUMMYFUNCTION("""COMPUTED_VALUE"""),9838.22334)</f>
        <v>9838.22334</v>
      </c>
    </row>
    <row r="2577">
      <c r="A2577" s="3">
        <f>IFERROR(__xludf.DUMMYFUNCTION("""COMPUTED_VALUE"""),42983.99861111111)</f>
        <v>42983.99861</v>
      </c>
      <c r="B2577" s="1">
        <f>IFERROR(__xludf.DUMMYFUNCTION("""COMPUTED_VALUE"""),9853.62032)</f>
        <v>9853.62032</v>
      </c>
    </row>
    <row r="2578">
      <c r="A2578" s="3">
        <f>IFERROR(__xludf.DUMMYFUNCTION("""COMPUTED_VALUE"""),42984.99861111111)</f>
        <v>42984.99861</v>
      </c>
      <c r="B2578" s="1">
        <f>IFERROR(__xludf.DUMMYFUNCTION("""COMPUTED_VALUE"""),9878.8634)</f>
        <v>9878.8634</v>
      </c>
    </row>
    <row r="2579">
      <c r="A2579" s="3">
        <f>IFERROR(__xludf.DUMMYFUNCTION("""COMPUTED_VALUE"""),42985.99861111111)</f>
        <v>42985.99861</v>
      </c>
      <c r="B2579" s="1">
        <f>IFERROR(__xludf.DUMMYFUNCTION("""COMPUTED_VALUE"""),9920.10561)</f>
        <v>9920.10561</v>
      </c>
    </row>
    <row r="2580">
      <c r="A2580" s="3">
        <f>IFERROR(__xludf.DUMMYFUNCTION("""COMPUTED_VALUE"""),42986.99861111111)</f>
        <v>42986.99861</v>
      </c>
      <c r="B2580" s="1">
        <f>IFERROR(__xludf.DUMMYFUNCTION("""COMPUTED_VALUE"""),9834.80031)</f>
        <v>9834.80031</v>
      </c>
    </row>
    <row r="2581">
      <c r="A2581" s="3">
        <f>IFERROR(__xludf.DUMMYFUNCTION("""COMPUTED_VALUE"""),42987.99861111111)</f>
        <v>42987.99861</v>
      </c>
      <c r="B2581" s="1">
        <f>IFERROR(__xludf.DUMMYFUNCTION("""COMPUTED_VALUE"""),9830.14305)</f>
        <v>9830.14305</v>
      </c>
    </row>
    <row r="2582">
      <c r="A2582" s="3">
        <f>IFERROR(__xludf.DUMMYFUNCTION("""COMPUTED_VALUE"""),42988.99861111111)</f>
        <v>42988.99861</v>
      </c>
      <c r="B2582" s="1">
        <f>IFERROR(__xludf.DUMMYFUNCTION("""COMPUTED_VALUE"""),9822.79104)</f>
        <v>9822.79104</v>
      </c>
    </row>
    <row r="2583">
      <c r="A2583" s="3">
        <f>IFERROR(__xludf.DUMMYFUNCTION("""COMPUTED_VALUE"""),42989.99861111111)</f>
        <v>42989.99861</v>
      </c>
      <c r="B2583" s="1">
        <f>IFERROR(__xludf.DUMMYFUNCTION("""COMPUTED_VALUE"""),9784.23408)</f>
        <v>9784.23408</v>
      </c>
    </row>
    <row r="2584">
      <c r="A2584" s="3">
        <f>IFERROR(__xludf.DUMMYFUNCTION("""COMPUTED_VALUE"""),42990.99861111111)</f>
        <v>42990.99861</v>
      </c>
      <c r="B2584" s="1">
        <f>IFERROR(__xludf.DUMMYFUNCTION("""COMPUTED_VALUE"""),9800.336)</f>
        <v>9800.336</v>
      </c>
    </row>
    <row r="2585">
      <c r="A2585" s="3">
        <f>IFERROR(__xludf.DUMMYFUNCTION("""COMPUTED_VALUE"""),42991.99861111111)</f>
        <v>42991.99861</v>
      </c>
      <c r="B2585" s="1">
        <f>IFERROR(__xludf.DUMMYFUNCTION("""COMPUTED_VALUE"""),9807.42246)</f>
        <v>9807.42246</v>
      </c>
    </row>
    <row r="2586">
      <c r="A2586" s="3">
        <f>IFERROR(__xludf.DUMMYFUNCTION("""COMPUTED_VALUE"""),42992.99861111111)</f>
        <v>42992.99861</v>
      </c>
      <c r="B2586" s="1">
        <f>IFERROR(__xludf.DUMMYFUNCTION("""COMPUTED_VALUE"""),9845.57618)</f>
        <v>9845.57618</v>
      </c>
    </row>
    <row r="2587">
      <c r="A2587" s="3">
        <f>IFERROR(__xludf.DUMMYFUNCTION("""COMPUTED_VALUE"""),42993.99861111111)</f>
        <v>42993.99861</v>
      </c>
      <c r="B2587" s="1">
        <f>IFERROR(__xludf.DUMMYFUNCTION("""COMPUTED_VALUE"""),9842.4403)</f>
        <v>9842.4403</v>
      </c>
    </row>
    <row r="2588">
      <c r="A2588" s="3">
        <f>IFERROR(__xludf.DUMMYFUNCTION("""COMPUTED_VALUE"""),42995.99861111111)</f>
        <v>42995.99861</v>
      </c>
      <c r="B2588" s="1">
        <f>IFERROR(__xludf.DUMMYFUNCTION("""COMPUTED_VALUE"""),9840.40512)</f>
        <v>9840.40512</v>
      </c>
    </row>
    <row r="2589">
      <c r="A2589" s="3">
        <f>IFERROR(__xludf.DUMMYFUNCTION("""COMPUTED_VALUE"""),42996.99861111111)</f>
        <v>42996.99861</v>
      </c>
      <c r="B2589" s="1">
        <f>IFERROR(__xludf.DUMMYFUNCTION("""COMPUTED_VALUE"""),9846.1828)</f>
        <v>9846.1828</v>
      </c>
    </row>
    <row r="2590">
      <c r="A2590" s="3">
        <f>IFERROR(__xludf.DUMMYFUNCTION("""COMPUTED_VALUE"""),42997.99861111111)</f>
        <v>42997.99861</v>
      </c>
      <c r="B2590" s="1">
        <f>IFERROR(__xludf.DUMMYFUNCTION("""COMPUTED_VALUE"""),9841.9172)</f>
        <v>9841.9172</v>
      </c>
    </row>
    <row r="2591">
      <c r="A2591" s="3">
        <f>IFERROR(__xludf.DUMMYFUNCTION("""COMPUTED_VALUE"""),42998.99861111111)</f>
        <v>42998.99861</v>
      </c>
      <c r="B2591" s="1">
        <f>IFERROR(__xludf.DUMMYFUNCTION("""COMPUTED_VALUE"""),9825.20552)</f>
        <v>9825.20552</v>
      </c>
    </row>
    <row r="2592">
      <c r="A2592" s="3">
        <f>IFERROR(__xludf.DUMMYFUNCTION("""COMPUTED_VALUE"""),42999.99861111111)</f>
        <v>42999.99861</v>
      </c>
      <c r="B2592" s="1">
        <f>IFERROR(__xludf.DUMMYFUNCTION("""COMPUTED_VALUE"""),9833.16932)</f>
        <v>9833.16932</v>
      </c>
    </row>
    <row r="2593">
      <c r="A2593" s="3">
        <f>IFERROR(__xludf.DUMMYFUNCTION("""COMPUTED_VALUE"""),43000.99861111111)</f>
        <v>43000.99861</v>
      </c>
      <c r="B2593" s="1">
        <f>IFERROR(__xludf.DUMMYFUNCTION("""COMPUTED_VALUE"""),9874.2042)</f>
        <v>9874.2042</v>
      </c>
    </row>
    <row r="2594">
      <c r="A2594" s="3">
        <f>IFERROR(__xludf.DUMMYFUNCTION("""COMPUTED_VALUE"""),43002.99861111111)</f>
        <v>43002.99861</v>
      </c>
      <c r="B2594" s="1">
        <f>IFERROR(__xludf.DUMMYFUNCTION("""COMPUTED_VALUE"""),9873.7173)</f>
        <v>9873.7173</v>
      </c>
    </row>
    <row r="2595">
      <c r="A2595" s="3">
        <f>IFERROR(__xludf.DUMMYFUNCTION("""COMPUTED_VALUE"""),43003.99861111111)</f>
        <v>43003.99861</v>
      </c>
      <c r="B2595" s="1">
        <f>IFERROR(__xludf.DUMMYFUNCTION("""COMPUTED_VALUE"""),9857.3919)</f>
        <v>9857.3919</v>
      </c>
    </row>
    <row r="2596">
      <c r="A2596" s="3">
        <f>IFERROR(__xludf.DUMMYFUNCTION("""COMPUTED_VALUE"""),43004.99861111111)</f>
        <v>43004.99861</v>
      </c>
      <c r="B2596" s="1">
        <f>IFERROR(__xludf.DUMMYFUNCTION("""COMPUTED_VALUE"""),9862.85875)</f>
        <v>9862.85875</v>
      </c>
    </row>
    <row r="2597">
      <c r="A2597" s="3">
        <f>IFERROR(__xludf.DUMMYFUNCTION("""COMPUTED_VALUE"""),43005.99861111111)</f>
        <v>43005.99861</v>
      </c>
      <c r="B2597" s="1">
        <f>IFERROR(__xludf.DUMMYFUNCTION("""COMPUTED_VALUE"""),9881.3148)</f>
        <v>9881.3148</v>
      </c>
    </row>
    <row r="2598">
      <c r="A2598" s="3">
        <f>IFERROR(__xludf.DUMMYFUNCTION("""COMPUTED_VALUE"""),43006.99861111111)</f>
        <v>43006.99861</v>
      </c>
      <c r="B2598" s="1">
        <f>IFERROR(__xludf.DUMMYFUNCTION("""COMPUTED_VALUE"""),9942.5634)</f>
        <v>9942.5634</v>
      </c>
    </row>
    <row r="2599">
      <c r="A2599" s="3">
        <f>IFERROR(__xludf.DUMMYFUNCTION("""COMPUTED_VALUE"""),43007.99861111111)</f>
        <v>43007.99861</v>
      </c>
      <c r="B2599" s="1">
        <f>IFERROR(__xludf.DUMMYFUNCTION("""COMPUTED_VALUE"""),9903.0604)</f>
        <v>9903.0604</v>
      </c>
    </row>
    <row r="2600">
      <c r="A2600" s="3">
        <f>IFERROR(__xludf.DUMMYFUNCTION("""COMPUTED_VALUE"""),43009.99861111111)</f>
        <v>43009.99861</v>
      </c>
      <c r="B2600" s="1">
        <f>IFERROR(__xludf.DUMMYFUNCTION("""COMPUTED_VALUE"""),9906.7391)</f>
        <v>9906.7391</v>
      </c>
    </row>
    <row r="2601">
      <c r="A2601" s="3">
        <f>IFERROR(__xludf.DUMMYFUNCTION("""COMPUTED_VALUE"""),43010.99861111111)</f>
        <v>43010.99861</v>
      </c>
      <c r="B2601" s="1">
        <f>IFERROR(__xludf.DUMMYFUNCTION("""COMPUTED_VALUE"""),9934.05427)</f>
        <v>9934.05427</v>
      </c>
    </row>
    <row r="2602">
      <c r="A2602" s="3">
        <f>IFERROR(__xludf.DUMMYFUNCTION("""COMPUTED_VALUE"""),43011.99861111111)</f>
        <v>43011.99861</v>
      </c>
      <c r="B2602" s="1">
        <f>IFERROR(__xludf.DUMMYFUNCTION("""COMPUTED_VALUE"""),9935.424)</f>
        <v>9935.424</v>
      </c>
    </row>
    <row r="2603">
      <c r="A2603" s="3">
        <f>IFERROR(__xludf.DUMMYFUNCTION("""COMPUTED_VALUE"""),43012.99861111111)</f>
        <v>43012.99861</v>
      </c>
      <c r="B2603" s="1">
        <f>IFERROR(__xludf.DUMMYFUNCTION("""COMPUTED_VALUE"""),9888.4617)</f>
        <v>9888.4617</v>
      </c>
    </row>
    <row r="2604">
      <c r="A2604" s="3">
        <f>IFERROR(__xludf.DUMMYFUNCTION("""COMPUTED_VALUE"""),43013.99861111111)</f>
        <v>43013.99861</v>
      </c>
      <c r="B2604" s="1">
        <f>IFERROR(__xludf.DUMMYFUNCTION("""COMPUTED_VALUE"""),9858.77594)</f>
        <v>9858.77594</v>
      </c>
    </row>
    <row r="2605">
      <c r="A2605" s="3">
        <f>IFERROR(__xludf.DUMMYFUNCTION("""COMPUTED_VALUE"""),43014.99861111111)</f>
        <v>43014.99861</v>
      </c>
      <c r="B2605" s="1">
        <f>IFERROR(__xludf.DUMMYFUNCTION("""COMPUTED_VALUE"""),9892.2403)</f>
        <v>9892.2403</v>
      </c>
    </row>
    <row r="2606">
      <c r="A2606" s="3">
        <f>IFERROR(__xludf.DUMMYFUNCTION("""COMPUTED_VALUE"""),43015.99861111111)</f>
        <v>43015.99861</v>
      </c>
      <c r="B2606" s="1">
        <f>IFERROR(__xludf.DUMMYFUNCTION("""COMPUTED_VALUE"""),9888.57705)</f>
        <v>9888.57705</v>
      </c>
    </row>
    <row r="2607">
      <c r="A2607" s="3">
        <f>IFERROR(__xludf.DUMMYFUNCTION("""COMPUTED_VALUE"""),43016.99861111111)</f>
        <v>43016.99861</v>
      </c>
      <c r="B2607" s="1">
        <f>IFERROR(__xludf.DUMMYFUNCTION("""COMPUTED_VALUE"""),9889.2519)</f>
        <v>9889.2519</v>
      </c>
    </row>
    <row r="2608">
      <c r="A2608" s="3">
        <f>IFERROR(__xludf.DUMMYFUNCTION("""COMPUTED_VALUE"""),43017.99861111111)</f>
        <v>43017.99861</v>
      </c>
      <c r="B2608" s="1">
        <f>IFERROR(__xludf.DUMMYFUNCTION("""COMPUTED_VALUE"""),9909.585)</f>
        <v>9909.585</v>
      </c>
    </row>
    <row r="2609">
      <c r="A2609" s="3">
        <f>IFERROR(__xludf.DUMMYFUNCTION("""COMPUTED_VALUE"""),43018.99861111111)</f>
        <v>43018.99861</v>
      </c>
      <c r="B2609" s="1">
        <f>IFERROR(__xludf.DUMMYFUNCTION("""COMPUTED_VALUE"""),9962.4091)</f>
        <v>9962.4091</v>
      </c>
    </row>
    <row r="2610">
      <c r="A2610" s="3">
        <f>IFERROR(__xludf.DUMMYFUNCTION("""COMPUTED_VALUE"""),43019.99861111111)</f>
        <v>43019.99861</v>
      </c>
      <c r="B2610" s="1">
        <f>IFERROR(__xludf.DUMMYFUNCTION("""COMPUTED_VALUE"""),9981.188)</f>
        <v>9981.188</v>
      </c>
    </row>
    <row r="2611">
      <c r="A2611" s="3">
        <f>IFERROR(__xludf.DUMMYFUNCTION("""COMPUTED_VALUE"""),43020.99861111111)</f>
        <v>43020.99861</v>
      </c>
      <c r="B2611" s="1">
        <f>IFERROR(__xludf.DUMMYFUNCTION("""COMPUTED_VALUE"""),9982.98582)</f>
        <v>9982.98582</v>
      </c>
    </row>
    <row r="2612">
      <c r="A2612" s="3">
        <f>IFERROR(__xludf.DUMMYFUNCTION("""COMPUTED_VALUE"""),43021.99861111111)</f>
        <v>43021.99861</v>
      </c>
      <c r="B2612" s="1">
        <f>IFERROR(__xludf.DUMMYFUNCTION("""COMPUTED_VALUE"""),9951.0928)</f>
        <v>9951.0928</v>
      </c>
    </row>
    <row r="2613">
      <c r="A2613" s="3">
        <f>IFERROR(__xludf.DUMMYFUNCTION("""COMPUTED_VALUE"""),43022.99861111111)</f>
        <v>43022.99861</v>
      </c>
      <c r="B2613" s="1">
        <f>IFERROR(__xludf.DUMMYFUNCTION("""COMPUTED_VALUE"""),9995.5482)</f>
        <v>9995.5482</v>
      </c>
    </row>
    <row r="2614">
      <c r="A2614" s="3">
        <f>IFERROR(__xludf.DUMMYFUNCTION("""COMPUTED_VALUE"""),43023.99861111111)</f>
        <v>43023.99861</v>
      </c>
      <c r="B2614" s="1">
        <f>IFERROR(__xludf.DUMMYFUNCTION("""COMPUTED_VALUE"""),9993.11964)</f>
        <v>9993.11964</v>
      </c>
    </row>
    <row r="2615">
      <c r="A2615" s="3">
        <f>IFERROR(__xludf.DUMMYFUNCTION("""COMPUTED_VALUE"""),43024.99861111111)</f>
        <v>43024.99861</v>
      </c>
      <c r="B2615" s="1">
        <f>IFERROR(__xludf.DUMMYFUNCTION("""COMPUTED_VALUE"""),9961.59396)</f>
        <v>9961.59396</v>
      </c>
    </row>
    <row r="2616">
      <c r="A2616" s="3">
        <f>IFERROR(__xludf.DUMMYFUNCTION("""COMPUTED_VALUE"""),43025.99861111111)</f>
        <v>43025.99861</v>
      </c>
      <c r="B2616" s="1">
        <f>IFERROR(__xludf.DUMMYFUNCTION("""COMPUTED_VALUE"""),9959.44495)</f>
        <v>9959.44495</v>
      </c>
    </row>
    <row r="2617">
      <c r="A2617" s="3">
        <f>IFERROR(__xludf.DUMMYFUNCTION("""COMPUTED_VALUE"""),43026.99861111111)</f>
        <v>43026.99861</v>
      </c>
      <c r="B2617" s="1">
        <f>IFERROR(__xludf.DUMMYFUNCTION("""COMPUTED_VALUE"""),9954.3031)</f>
        <v>9954.3031</v>
      </c>
    </row>
    <row r="2618">
      <c r="A2618" s="3">
        <f>IFERROR(__xludf.DUMMYFUNCTION("""COMPUTED_VALUE"""),43027.99861111111)</f>
        <v>43027.99861</v>
      </c>
      <c r="B2618" s="1">
        <f>IFERROR(__xludf.DUMMYFUNCTION("""COMPUTED_VALUE"""),9937.4085)</f>
        <v>9937.4085</v>
      </c>
    </row>
    <row r="2619">
      <c r="A2619" s="3">
        <f>IFERROR(__xludf.DUMMYFUNCTION("""COMPUTED_VALUE"""),43028.99861111111)</f>
        <v>43028.99861</v>
      </c>
      <c r="B2619" s="1">
        <f>IFERROR(__xludf.DUMMYFUNCTION("""COMPUTED_VALUE"""),9925.88008)</f>
        <v>9925.88008</v>
      </c>
    </row>
    <row r="2620">
      <c r="A2620" s="3">
        <f>IFERROR(__xludf.DUMMYFUNCTION("""COMPUTED_VALUE"""),43029.99861111111)</f>
        <v>43029.99861</v>
      </c>
      <c r="B2620" s="1">
        <f>IFERROR(__xludf.DUMMYFUNCTION("""COMPUTED_VALUE"""),9924.39332)</f>
        <v>9924.39332</v>
      </c>
    </row>
    <row r="2621">
      <c r="A2621" s="3">
        <f>IFERROR(__xludf.DUMMYFUNCTION("""COMPUTED_VALUE"""),43030.99861111111)</f>
        <v>43030.99861</v>
      </c>
      <c r="B2621" s="1">
        <f>IFERROR(__xludf.DUMMYFUNCTION("""COMPUTED_VALUE"""),9914.25632)</f>
        <v>9914.25632</v>
      </c>
    </row>
    <row r="2622">
      <c r="A2622" s="3">
        <f>IFERROR(__xludf.DUMMYFUNCTION("""COMPUTED_VALUE"""),43031.99861111111)</f>
        <v>43031.99861</v>
      </c>
      <c r="B2622" s="1">
        <f>IFERROR(__xludf.DUMMYFUNCTION("""COMPUTED_VALUE"""),9942.811)</f>
        <v>9942.811</v>
      </c>
    </row>
    <row r="2623">
      <c r="A2623" s="3">
        <f>IFERROR(__xludf.DUMMYFUNCTION("""COMPUTED_VALUE"""),43032.99861111111)</f>
        <v>43032.99861</v>
      </c>
      <c r="B2623" s="1">
        <f>IFERROR(__xludf.DUMMYFUNCTION("""COMPUTED_VALUE"""),9919.235)</f>
        <v>9919.235</v>
      </c>
    </row>
    <row r="2624">
      <c r="A2624" s="3">
        <f>IFERROR(__xludf.DUMMYFUNCTION("""COMPUTED_VALUE"""),43033.99861111111)</f>
        <v>43033.99861</v>
      </c>
      <c r="B2624" s="1">
        <f>IFERROR(__xludf.DUMMYFUNCTION("""COMPUTED_VALUE"""),9982.206)</f>
        <v>9982.206</v>
      </c>
    </row>
    <row r="2625">
      <c r="A2625" s="3">
        <f>IFERROR(__xludf.DUMMYFUNCTION("""COMPUTED_VALUE"""),43034.99861111111)</f>
        <v>43034.99861</v>
      </c>
      <c r="B2625" s="1">
        <f>IFERROR(__xludf.DUMMYFUNCTION("""COMPUTED_VALUE"""),9969.34939)</f>
        <v>9969.34939</v>
      </c>
    </row>
    <row r="2626">
      <c r="A2626" s="3">
        <f>IFERROR(__xludf.DUMMYFUNCTION("""COMPUTED_VALUE"""),43035.99861111111)</f>
        <v>43035.99861</v>
      </c>
      <c r="B2626" s="1">
        <f>IFERROR(__xludf.DUMMYFUNCTION("""COMPUTED_VALUE"""),9950.92247)</f>
        <v>9950.92247</v>
      </c>
    </row>
    <row r="2627">
      <c r="A2627" s="3">
        <f>IFERROR(__xludf.DUMMYFUNCTION("""COMPUTED_VALUE"""),43037.99861111111)</f>
        <v>43037.99861</v>
      </c>
      <c r="B2627" s="1">
        <f>IFERROR(__xludf.DUMMYFUNCTION("""COMPUTED_VALUE"""),9943.6984)</f>
        <v>9943.6984</v>
      </c>
    </row>
    <row r="2628">
      <c r="A2628" s="3">
        <f>IFERROR(__xludf.DUMMYFUNCTION("""COMPUTED_VALUE"""),43038.99861111111)</f>
        <v>43038.99861</v>
      </c>
      <c r="B2628" s="1">
        <f>IFERROR(__xludf.DUMMYFUNCTION("""COMPUTED_VALUE"""),9977.16148)</f>
        <v>9977.16148</v>
      </c>
    </row>
    <row r="2629">
      <c r="A2629" s="3">
        <f>IFERROR(__xludf.DUMMYFUNCTION("""COMPUTED_VALUE"""),43039.99861111111)</f>
        <v>43039.99861</v>
      </c>
      <c r="B2629" s="1">
        <f>IFERROR(__xludf.DUMMYFUNCTION("""COMPUTED_VALUE"""),9948.636)</f>
        <v>9948.636</v>
      </c>
    </row>
    <row r="2630">
      <c r="A2630" s="3">
        <f>IFERROR(__xludf.DUMMYFUNCTION("""COMPUTED_VALUE"""),43040.99861111111)</f>
        <v>43040.99861</v>
      </c>
      <c r="B2630" s="1">
        <f>IFERROR(__xludf.DUMMYFUNCTION("""COMPUTED_VALUE"""),9959.69311)</f>
        <v>9959.69311</v>
      </c>
    </row>
    <row r="2631">
      <c r="A2631" s="3">
        <f>IFERROR(__xludf.DUMMYFUNCTION("""COMPUTED_VALUE"""),43041.99861111111)</f>
        <v>43041.99861</v>
      </c>
      <c r="B2631" s="1">
        <f>IFERROR(__xludf.DUMMYFUNCTION("""COMPUTED_VALUE"""),9963.5851)</f>
        <v>9963.5851</v>
      </c>
    </row>
    <row r="2632">
      <c r="A2632" s="3">
        <f>IFERROR(__xludf.DUMMYFUNCTION("""COMPUTED_VALUE"""),43042.99861111111)</f>
        <v>43042.99861</v>
      </c>
      <c r="B2632" s="1">
        <f>IFERROR(__xludf.DUMMYFUNCTION("""COMPUTED_VALUE"""),9871.8084)</f>
        <v>9871.8084</v>
      </c>
    </row>
    <row r="2633">
      <c r="A2633" s="3">
        <f>IFERROR(__xludf.DUMMYFUNCTION("""COMPUTED_VALUE"""),43043.99861111111)</f>
        <v>43043.99861</v>
      </c>
      <c r="B2633" s="1">
        <f>IFERROR(__xludf.DUMMYFUNCTION("""COMPUTED_VALUE"""),9871.1344)</f>
        <v>9871.1344</v>
      </c>
    </row>
    <row r="2634">
      <c r="A2634" s="3">
        <f>IFERROR(__xludf.DUMMYFUNCTION("""COMPUTED_VALUE"""),43044.99861111111)</f>
        <v>43044.99861</v>
      </c>
      <c r="B2634" s="1">
        <f>IFERROR(__xludf.DUMMYFUNCTION("""COMPUTED_VALUE"""),9876.796)</f>
        <v>9876.796</v>
      </c>
    </row>
    <row r="2635">
      <c r="A2635" s="3">
        <f>IFERROR(__xludf.DUMMYFUNCTION("""COMPUTED_VALUE"""),43045.99861111111)</f>
        <v>43045.99861</v>
      </c>
      <c r="B2635" s="1">
        <f>IFERROR(__xludf.DUMMYFUNCTION("""COMPUTED_VALUE"""),9894.36472)</f>
        <v>9894.36472</v>
      </c>
    </row>
    <row r="2636">
      <c r="A2636" s="3">
        <f>IFERROR(__xludf.DUMMYFUNCTION("""COMPUTED_VALUE"""),43046.99861111111)</f>
        <v>43046.99861</v>
      </c>
      <c r="B2636" s="1">
        <f>IFERROR(__xludf.DUMMYFUNCTION("""COMPUTED_VALUE"""),9912.519)</f>
        <v>9912.519</v>
      </c>
    </row>
    <row r="2637">
      <c r="A2637" s="3">
        <f>IFERROR(__xludf.DUMMYFUNCTION("""COMPUTED_VALUE"""),43047.99861111111)</f>
        <v>43047.99861</v>
      </c>
      <c r="B2637" s="1">
        <f>IFERROR(__xludf.DUMMYFUNCTION("""COMPUTED_VALUE"""),9909.71667)</f>
        <v>9909.71667</v>
      </c>
    </row>
    <row r="2638">
      <c r="A2638" s="3">
        <f>IFERROR(__xludf.DUMMYFUNCTION("""COMPUTED_VALUE"""),43048.99861111111)</f>
        <v>43048.99861</v>
      </c>
      <c r="B2638" s="1">
        <f>IFERROR(__xludf.DUMMYFUNCTION("""COMPUTED_VALUE"""),9953.70768)</f>
        <v>9953.70768</v>
      </c>
    </row>
    <row r="2639">
      <c r="A2639" s="3">
        <f>IFERROR(__xludf.DUMMYFUNCTION("""COMPUTED_VALUE"""),43049.99861111111)</f>
        <v>43049.99861</v>
      </c>
      <c r="B2639" s="1">
        <f>IFERROR(__xludf.DUMMYFUNCTION("""COMPUTED_VALUE"""),9950.79702)</f>
        <v>9950.79702</v>
      </c>
    </row>
    <row r="2640">
      <c r="A2640" s="3">
        <f>IFERROR(__xludf.DUMMYFUNCTION("""COMPUTED_VALUE"""),43050.99861111111)</f>
        <v>43050.99861</v>
      </c>
      <c r="B2640" s="1">
        <f>IFERROR(__xludf.DUMMYFUNCTION("""COMPUTED_VALUE"""),9956.771025)</f>
        <v>9956.771025</v>
      </c>
    </row>
    <row r="2641">
      <c r="A2641" s="3">
        <f>IFERROR(__xludf.DUMMYFUNCTION("""COMPUTED_VALUE"""),43051.99861111111)</f>
        <v>43051.99861</v>
      </c>
      <c r="B2641" s="1">
        <f>IFERROR(__xludf.DUMMYFUNCTION("""COMPUTED_VALUE"""),9927.2664)</f>
        <v>9927.2664</v>
      </c>
    </row>
    <row r="2642">
      <c r="A2642" s="3">
        <f>IFERROR(__xludf.DUMMYFUNCTION("""COMPUTED_VALUE"""),43052.99861111111)</f>
        <v>43052.99861</v>
      </c>
      <c r="B2642" s="1">
        <f>IFERROR(__xludf.DUMMYFUNCTION("""COMPUTED_VALUE"""),9948.85071)</f>
        <v>9948.85071</v>
      </c>
    </row>
    <row r="2643">
      <c r="A2643" s="3">
        <f>IFERROR(__xludf.DUMMYFUNCTION("""COMPUTED_VALUE"""),43053.99861111111)</f>
        <v>43053.99861</v>
      </c>
      <c r="B2643" s="1">
        <f>IFERROR(__xludf.DUMMYFUNCTION("""COMPUTED_VALUE"""),9964.5147)</f>
        <v>9964.5147</v>
      </c>
    </row>
    <row r="2644">
      <c r="A2644" s="3">
        <f>IFERROR(__xludf.DUMMYFUNCTION("""COMPUTED_VALUE"""),43054.99861111111)</f>
        <v>43054.99861</v>
      </c>
      <c r="B2644" s="1">
        <f>IFERROR(__xludf.DUMMYFUNCTION("""COMPUTED_VALUE"""),9974.61825)</f>
        <v>9974.61825</v>
      </c>
    </row>
    <row r="2645">
      <c r="A2645" s="3">
        <f>IFERROR(__xludf.DUMMYFUNCTION("""COMPUTED_VALUE"""),43055.99861111111)</f>
        <v>43055.99861</v>
      </c>
      <c r="B2645" s="1">
        <f>IFERROR(__xludf.DUMMYFUNCTION("""COMPUTED_VALUE"""),9962.38566)</f>
        <v>9962.38566</v>
      </c>
    </row>
    <row r="2646">
      <c r="A2646" s="3">
        <f>IFERROR(__xludf.DUMMYFUNCTION("""COMPUTED_VALUE"""),43056.99861111111)</f>
        <v>43056.99861</v>
      </c>
      <c r="B2646" s="1">
        <f>IFERROR(__xludf.DUMMYFUNCTION("""COMPUTED_VALUE"""),9962.42016)</f>
        <v>9962.42016</v>
      </c>
    </row>
    <row r="2647">
      <c r="A2647" s="3">
        <f>IFERROR(__xludf.DUMMYFUNCTION("""COMPUTED_VALUE"""),43057.99861111111)</f>
        <v>43057.99861</v>
      </c>
      <c r="B2647" s="1">
        <f>IFERROR(__xludf.DUMMYFUNCTION("""COMPUTED_VALUE"""),9966.483895)</f>
        <v>9966.483895</v>
      </c>
    </row>
    <row r="2648">
      <c r="A2648" s="3">
        <f>IFERROR(__xludf.DUMMYFUNCTION("""COMPUTED_VALUE"""),43058.99861111111)</f>
        <v>43058.99861</v>
      </c>
      <c r="B2648" s="1">
        <f>IFERROR(__xludf.DUMMYFUNCTION("""COMPUTED_VALUE"""),9944.72468)</f>
        <v>9944.72468</v>
      </c>
    </row>
    <row r="2649">
      <c r="A2649" s="3">
        <f>IFERROR(__xludf.DUMMYFUNCTION("""COMPUTED_VALUE"""),43059.99861111111)</f>
        <v>43059.99861</v>
      </c>
      <c r="B2649" s="1">
        <f>IFERROR(__xludf.DUMMYFUNCTION("""COMPUTED_VALUE"""),9965.761)</f>
        <v>9965.761</v>
      </c>
    </row>
    <row r="2650">
      <c r="A2650" s="3">
        <f>IFERROR(__xludf.DUMMYFUNCTION("""COMPUTED_VALUE"""),43060.99861111111)</f>
        <v>43060.99861</v>
      </c>
      <c r="B2650" s="1">
        <f>IFERROR(__xludf.DUMMYFUNCTION("""COMPUTED_VALUE"""),9983.91669)</f>
        <v>9983.91669</v>
      </c>
    </row>
    <row r="2651">
      <c r="A2651" s="3">
        <f>IFERROR(__xludf.DUMMYFUNCTION("""COMPUTED_VALUE"""),43061.99861111111)</f>
        <v>43061.99861</v>
      </c>
      <c r="B2651" s="1">
        <f>IFERROR(__xludf.DUMMYFUNCTION("""COMPUTED_VALUE"""),10010.322)</f>
        <v>10010.322</v>
      </c>
    </row>
    <row r="2652">
      <c r="A2652" s="3">
        <f>IFERROR(__xludf.DUMMYFUNCTION("""COMPUTED_VALUE"""),43062.99861111111)</f>
        <v>43062.99861</v>
      </c>
      <c r="B2652" s="1">
        <f>IFERROR(__xludf.DUMMYFUNCTION("""COMPUTED_VALUE"""),10022.327)</f>
        <v>10022.327</v>
      </c>
    </row>
    <row r="2653">
      <c r="A2653" s="3">
        <f>IFERROR(__xludf.DUMMYFUNCTION("""COMPUTED_VALUE"""),43063.99861111111)</f>
        <v>43063.99861</v>
      </c>
      <c r="B2653" s="1">
        <f>IFERROR(__xludf.DUMMYFUNCTION("""COMPUTED_VALUE"""),10032.11854)</f>
        <v>10032.11854</v>
      </c>
    </row>
    <row r="2654">
      <c r="A2654" s="3">
        <f>IFERROR(__xludf.DUMMYFUNCTION("""COMPUTED_VALUE"""),43064.99861111111)</f>
        <v>43064.99861</v>
      </c>
      <c r="B2654" s="1">
        <f>IFERROR(__xludf.DUMMYFUNCTION("""COMPUTED_VALUE"""),10029.014)</f>
        <v>10029.014</v>
      </c>
    </row>
    <row r="2655">
      <c r="A2655" s="3">
        <f>IFERROR(__xludf.DUMMYFUNCTION("""COMPUTED_VALUE"""),43065.99861111111)</f>
        <v>43065.99861</v>
      </c>
      <c r="B2655" s="1">
        <f>IFERROR(__xludf.DUMMYFUNCTION("""COMPUTED_VALUE"""),10016.8658)</f>
        <v>10016.8658</v>
      </c>
    </row>
    <row r="2656">
      <c r="A2656" s="3">
        <f>IFERROR(__xludf.DUMMYFUNCTION("""COMPUTED_VALUE"""),43066.99861111111)</f>
        <v>43066.99861</v>
      </c>
      <c r="B2656" s="1">
        <f>IFERROR(__xludf.DUMMYFUNCTION("""COMPUTED_VALUE"""),10030.5664)</f>
        <v>10030.5664</v>
      </c>
    </row>
    <row r="2657">
      <c r="A2657" s="3">
        <f>IFERROR(__xludf.DUMMYFUNCTION("""COMPUTED_VALUE"""),43067.99861111111)</f>
        <v>43067.99861</v>
      </c>
      <c r="B2657" s="1">
        <f>IFERROR(__xludf.DUMMYFUNCTION("""COMPUTED_VALUE"""),10029.555)</f>
        <v>10029.555</v>
      </c>
    </row>
    <row r="2658">
      <c r="A2658" s="3">
        <f>IFERROR(__xludf.DUMMYFUNCTION("""COMPUTED_VALUE"""),43068.99861111111)</f>
        <v>43068.99861</v>
      </c>
      <c r="B2658" s="1">
        <f>IFERROR(__xludf.DUMMYFUNCTION("""COMPUTED_VALUE"""),10022.6688)</f>
        <v>10022.6688</v>
      </c>
    </row>
    <row r="2659">
      <c r="A2659" s="3">
        <f>IFERROR(__xludf.DUMMYFUNCTION("""COMPUTED_VALUE"""),43069.99861111111)</f>
        <v>43069.99861</v>
      </c>
      <c r="B2659" s="1">
        <f>IFERROR(__xludf.DUMMYFUNCTION("""COMPUTED_VALUE"""),10036.72461)</f>
        <v>10036.72461</v>
      </c>
    </row>
    <row r="2660">
      <c r="A2660" s="3">
        <f>IFERROR(__xludf.DUMMYFUNCTION("""COMPUTED_VALUE"""),43070.99861111111)</f>
        <v>43070.99861</v>
      </c>
      <c r="B2660" s="1">
        <f>IFERROR(__xludf.DUMMYFUNCTION("""COMPUTED_VALUE"""),10039.40298)</f>
        <v>10039.40298</v>
      </c>
    </row>
    <row r="2661">
      <c r="A2661" s="3">
        <f>IFERROR(__xludf.DUMMYFUNCTION("""COMPUTED_VALUE"""),43071.99861111111)</f>
        <v>43071.99861</v>
      </c>
      <c r="B2661" s="1">
        <f>IFERROR(__xludf.DUMMYFUNCTION("""COMPUTED_VALUE"""),10043.70049)</f>
        <v>10043.70049</v>
      </c>
    </row>
    <row r="2662">
      <c r="A2662" s="3">
        <f>IFERROR(__xludf.DUMMYFUNCTION("""COMPUTED_VALUE"""),43072.99861111111)</f>
        <v>43072.99861</v>
      </c>
      <c r="B2662" s="1">
        <f>IFERROR(__xludf.DUMMYFUNCTION("""COMPUTED_VALUE"""),10047.96)</f>
        <v>10047.96</v>
      </c>
    </row>
    <row r="2663">
      <c r="A2663" s="3">
        <f>IFERROR(__xludf.DUMMYFUNCTION("""COMPUTED_VALUE"""),43073.99861111111)</f>
        <v>43073.99861</v>
      </c>
      <c r="B2663" s="1">
        <f>IFERROR(__xludf.DUMMYFUNCTION("""COMPUTED_VALUE"""),10013.8974)</f>
        <v>10013.8974</v>
      </c>
    </row>
    <row r="2664">
      <c r="A2664" s="3">
        <f>IFERROR(__xludf.DUMMYFUNCTION("""COMPUTED_VALUE"""),43074.99861111111)</f>
        <v>43074.99861</v>
      </c>
      <c r="B2664" s="1">
        <f>IFERROR(__xludf.DUMMYFUNCTION("""COMPUTED_VALUE"""),10027.45678)</f>
        <v>10027.45678</v>
      </c>
    </row>
    <row r="2665">
      <c r="A2665" s="3">
        <f>IFERROR(__xludf.DUMMYFUNCTION("""COMPUTED_VALUE"""),43075.99861111111)</f>
        <v>43075.99861</v>
      </c>
      <c r="B2665" s="1">
        <f>IFERROR(__xludf.DUMMYFUNCTION("""COMPUTED_VALUE"""),10029.64138)</f>
        <v>10029.64138</v>
      </c>
    </row>
    <row r="2666">
      <c r="A2666" s="3">
        <f>IFERROR(__xludf.DUMMYFUNCTION("""COMPUTED_VALUE"""),43076.99861111111)</f>
        <v>43076.99861</v>
      </c>
      <c r="B2666" s="1">
        <f>IFERROR(__xludf.DUMMYFUNCTION("""COMPUTED_VALUE"""),10026.5094)</f>
        <v>10026.5094</v>
      </c>
    </row>
    <row r="2667">
      <c r="A2667" s="3">
        <f>IFERROR(__xludf.DUMMYFUNCTION("""COMPUTED_VALUE"""),43077.99861111111)</f>
        <v>43077.99861</v>
      </c>
      <c r="B2667" s="1">
        <f>IFERROR(__xludf.DUMMYFUNCTION("""COMPUTED_VALUE"""),10007.42498)</f>
        <v>10007.42498</v>
      </c>
    </row>
    <row r="2668">
      <c r="A2668" s="3">
        <f>IFERROR(__xludf.DUMMYFUNCTION("""COMPUTED_VALUE"""),43078.99861111111)</f>
        <v>43078.99861</v>
      </c>
      <c r="B2668" s="1">
        <f>IFERROR(__xludf.DUMMYFUNCTION("""COMPUTED_VALUE"""),10007.42498)</f>
        <v>10007.42498</v>
      </c>
    </row>
    <row r="2669">
      <c r="A2669" s="3">
        <f>IFERROR(__xludf.DUMMYFUNCTION("""COMPUTED_VALUE"""),43079.99861111111)</f>
        <v>43079.99861</v>
      </c>
      <c r="B2669" s="1">
        <f>IFERROR(__xludf.DUMMYFUNCTION("""COMPUTED_VALUE"""),9981.53793)</f>
        <v>9981.53793</v>
      </c>
    </row>
    <row r="2670">
      <c r="A2670" s="3">
        <f>IFERROR(__xludf.DUMMYFUNCTION("""COMPUTED_VALUE"""),43080.99861111111)</f>
        <v>43080.99861</v>
      </c>
      <c r="B2670" s="1">
        <f>IFERROR(__xludf.DUMMYFUNCTION("""COMPUTED_VALUE"""),10026.4472)</f>
        <v>10026.4472</v>
      </c>
    </row>
    <row r="2671">
      <c r="A2671" s="3">
        <f>IFERROR(__xludf.DUMMYFUNCTION("""COMPUTED_VALUE"""),43081.99861111111)</f>
        <v>43081.99861</v>
      </c>
      <c r="B2671" s="1">
        <f>IFERROR(__xludf.DUMMYFUNCTION("""COMPUTED_VALUE"""),10018.2543)</f>
        <v>10018.2543</v>
      </c>
    </row>
    <row r="2672">
      <c r="A2672" s="3">
        <f>IFERROR(__xludf.DUMMYFUNCTION("""COMPUTED_VALUE"""),43082.99861111111)</f>
        <v>43082.99861</v>
      </c>
      <c r="B2672" s="1">
        <f>IFERROR(__xludf.DUMMYFUNCTION("""COMPUTED_VALUE"""),10047.4924)</f>
        <v>10047.4924</v>
      </c>
    </row>
    <row r="2673">
      <c r="A2673" s="3">
        <f>IFERROR(__xludf.DUMMYFUNCTION("""COMPUTED_VALUE"""),43083.99861111111)</f>
        <v>43083.99861</v>
      </c>
      <c r="B2673" s="1">
        <f>IFERROR(__xludf.DUMMYFUNCTION("""COMPUTED_VALUE"""),10065.33594)</f>
        <v>10065.33594</v>
      </c>
    </row>
    <row r="2674">
      <c r="A2674" s="3">
        <f>IFERROR(__xludf.DUMMYFUNCTION("""COMPUTED_VALUE"""),43084.99861111111)</f>
        <v>43084.99861</v>
      </c>
      <c r="B2674" s="1">
        <f>IFERROR(__xludf.DUMMYFUNCTION("""COMPUTED_VALUE"""),10057.82272)</f>
        <v>10057.82272</v>
      </c>
    </row>
    <row r="2675">
      <c r="A2675" s="3">
        <f>IFERROR(__xludf.DUMMYFUNCTION("""COMPUTED_VALUE"""),43086.99861111111)</f>
        <v>43086.99861</v>
      </c>
      <c r="B2675" s="1">
        <f>IFERROR(__xludf.DUMMYFUNCTION("""COMPUTED_VALUE"""),10051.1744)</f>
        <v>10051.1744</v>
      </c>
    </row>
    <row r="2676">
      <c r="A2676" s="3">
        <f>IFERROR(__xludf.DUMMYFUNCTION("""COMPUTED_VALUE"""),43087.99861111111)</f>
        <v>43087.99861</v>
      </c>
      <c r="B2676" s="1">
        <f>IFERROR(__xludf.DUMMYFUNCTION("""COMPUTED_VALUE"""),10069.57)</f>
        <v>10069.57</v>
      </c>
    </row>
    <row r="2677">
      <c r="A2677" s="3">
        <f>IFERROR(__xludf.DUMMYFUNCTION("""COMPUTED_VALUE"""),43088.99861111111)</f>
        <v>43088.99861</v>
      </c>
      <c r="B2677" s="1">
        <f>IFERROR(__xludf.DUMMYFUNCTION("""COMPUTED_VALUE"""),10075.365)</f>
        <v>10075.365</v>
      </c>
    </row>
    <row r="2678">
      <c r="A2678" s="3">
        <f>IFERROR(__xludf.DUMMYFUNCTION("""COMPUTED_VALUE"""),43089.99861111111)</f>
        <v>43089.99861</v>
      </c>
      <c r="B2678" s="1">
        <f>IFERROR(__xludf.DUMMYFUNCTION("""COMPUTED_VALUE"""),10098.17627)</f>
        <v>10098.17627</v>
      </c>
    </row>
    <row r="2679">
      <c r="A2679" s="3">
        <f>IFERROR(__xludf.DUMMYFUNCTION("""COMPUTED_VALUE"""),43090.99861111111)</f>
        <v>43090.99861</v>
      </c>
      <c r="B2679" s="1">
        <f>IFERROR(__xludf.DUMMYFUNCTION("""COMPUTED_VALUE"""),10082.53328)</f>
        <v>10082.53328</v>
      </c>
    </row>
    <row r="2680">
      <c r="A2680" s="3">
        <f>IFERROR(__xludf.DUMMYFUNCTION("""COMPUTED_VALUE"""),43091.99861111111)</f>
        <v>43091.99861</v>
      </c>
      <c r="B2680" s="1">
        <f>IFERROR(__xludf.DUMMYFUNCTION("""COMPUTED_VALUE"""),10075.85219)</f>
        <v>10075.85219</v>
      </c>
    </row>
    <row r="2681">
      <c r="A2681" s="3">
        <f>IFERROR(__xludf.DUMMYFUNCTION("""COMPUTED_VALUE"""),43092.99861111111)</f>
        <v>43092.99861</v>
      </c>
      <c r="B2681" s="1">
        <f>IFERROR(__xludf.DUMMYFUNCTION("""COMPUTED_VALUE"""),10075.85219)</f>
        <v>10075.85219</v>
      </c>
    </row>
    <row r="2682">
      <c r="A2682" s="3">
        <f>IFERROR(__xludf.DUMMYFUNCTION("""COMPUTED_VALUE"""),43093.99861111111)</f>
        <v>43093.99861</v>
      </c>
      <c r="B2682" s="1">
        <f>IFERROR(__xludf.DUMMYFUNCTION("""COMPUTED_VALUE"""),10081.944)</f>
        <v>10081.944</v>
      </c>
    </row>
    <row r="2683">
      <c r="A2683" s="3">
        <f>IFERROR(__xludf.DUMMYFUNCTION("""COMPUTED_VALUE"""),43094.99861111111)</f>
        <v>43094.99861</v>
      </c>
      <c r="B2683" s="1">
        <f>IFERROR(__xludf.DUMMYFUNCTION("""COMPUTED_VALUE"""),10067.808)</f>
        <v>10067.808</v>
      </c>
    </row>
    <row r="2684">
      <c r="A2684" s="3">
        <f>IFERROR(__xludf.DUMMYFUNCTION("""COMPUTED_VALUE"""),43095.99861111111)</f>
        <v>43095.99861</v>
      </c>
      <c r="B2684" s="1">
        <f>IFERROR(__xludf.DUMMYFUNCTION("""COMPUTED_VALUE"""),10086.21152)</f>
        <v>10086.21152</v>
      </c>
    </row>
    <row r="2685">
      <c r="A2685" s="3">
        <f>IFERROR(__xludf.DUMMYFUNCTION("""COMPUTED_VALUE"""),43096.99861111111)</f>
        <v>43096.99861</v>
      </c>
      <c r="B2685" s="1">
        <f>IFERROR(__xludf.DUMMYFUNCTION("""COMPUTED_VALUE"""),10111.82756)</f>
        <v>10111.82756</v>
      </c>
    </row>
    <row r="2686">
      <c r="A2686" s="3">
        <f>IFERROR(__xludf.DUMMYFUNCTION("""COMPUTED_VALUE"""),43097.99861111111)</f>
        <v>43097.99861</v>
      </c>
      <c r="B2686" s="1">
        <f>IFERROR(__xludf.DUMMYFUNCTION("""COMPUTED_VALUE"""),10127.01252)</f>
        <v>10127.01252</v>
      </c>
    </row>
    <row r="2687">
      <c r="A2687" s="3">
        <f>IFERROR(__xludf.DUMMYFUNCTION("""COMPUTED_VALUE"""),43098.99861111111)</f>
        <v>43098.99861</v>
      </c>
      <c r="B2687" s="1">
        <f>IFERROR(__xludf.DUMMYFUNCTION("""COMPUTED_VALUE"""),10089.63)</f>
        <v>10089.63</v>
      </c>
    </row>
    <row r="2688">
      <c r="A2688" s="3">
        <f>IFERROR(__xludf.DUMMYFUNCTION("""COMPUTED_VALUE"""),43099.99861111111)</f>
        <v>43099.99861</v>
      </c>
      <c r="B2688" s="1">
        <f>IFERROR(__xludf.DUMMYFUNCTION("""COMPUTED_VALUE"""),10072.44026)</f>
        <v>10072.44026</v>
      </c>
    </row>
    <row r="2689">
      <c r="A2689" s="3">
        <f>IFERROR(__xludf.DUMMYFUNCTION("""COMPUTED_VALUE"""),43100.99861111111)</f>
        <v>43100.99861</v>
      </c>
      <c r="B2689" s="1">
        <f>IFERROR(__xludf.DUMMYFUNCTION("""COMPUTED_VALUE"""),10118.85324)</f>
        <v>10118.85324</v>
      </c>
    </row>
    <row r="2690">
      <c r="A2690" s="3">
        <f>IFERROR(__xludf.DUMMYFUNCTION("""COMPUTED_VALUE"""),43101.99861111111)</f>
        <v>43101.99861</v>
      </c>
      <c r="B2690" s="1">
        <f>IFERROR(__xludf.DUMMYFUNCTION("""COMPUTED_VALUE"""),10127.812)</f>
        <v>10127.812</v>
      </c>
    </row>
    <row r="2691">
      <c r="A2691" s="3">
        <f>IFERROR(__xludf.DUMMYFUNCTION("""COMPUTED_VALUE"""),43102.99861111111)</f>
        <v>43102.99861</v>
      </c>
      <c r="B2691" s="1">
        <f>IFERROR(__xludf.DUMMYFUNCTION("""COMPUTED_VALUE"""),10153.0408)</f>
        <v>10153.0408</v>
      </c>
    </row>
    <row r="2692">
      <c r="A2692" s="3">
        <f>IFERROR(__xludf.DUMMYFUNCTION("""COMPUTED_VALUE"""),43103.99861111111)</f>
        <v>43103.99861</v>
      </c>
      <c r="B2692" s="1">
        <f>IFERROR(__xludf.DUMMYFUNCTION("""COMPUTED_VALUE"""),10118.64308)</f>
        <v>10118.64308</v>
      </c>
    </row>
    <row r="2693">
      <c r="A2693" s="3">
        <f>IFERROR(__xludf.DUMMYFUNCTION("""COMPUTED_VALUE"""),43104.99861111111)</f>
        <v>43104.99861</v>
      </c>
      <c r="B2693" s="1">
        <f>IFERROR(__xludf.DUMMYFUNCTION("""COMPUTED_VALUE"""),10103.23895)</f>
        <v>10103.23895</v>
      </c>
    </row>
    <row r="2694">
      <c r="A2694" s="3">
        <f>IFERROR(__xludf.DUMMYFUNCTION("""COMPUTED_VALUE"""),43105.99861111111)</f>
        <v>43105.99861</v>
      </c>
      <c r="B2694" s="1">
        <f>IFERROR(__xludf.DUMMYFUNCTION("""COMPUTED_VALUE"""),10103.98151)</f>
        <v>10103.98151</v>
      </c>
    </row>
    <row r="2695">
      <c r="A2695" s="3">
        <f>IFERROR(__xludf.DUMMYFUNCTION("""COMPUTED_VALUE"""),43107.99861111111)</f>
        <v>43107.99861</v>
      </c>
      <c r="B2695" s="1">
        <f>IFERROR(__xludf.DUMMYFUNCTION("""COMPUTED_VALUE"""),10117.37877)</f>
        <v>10117.37877</v>
      </c>
    </row>
    <row r="2696">
      <c r="A2696" s="3">
        <f>IFERROR(__xludf.DUMMYFUNCTION("""COMPUTED_VALUE"""),43108.99861111111)</f>
        <v>43108.99861</v>
      </c>
      <c r="B2696" s="1">
        <f>IFERROR(__xludf.DUMMYFUNCTION("""COMPUTED_VALUE"""),10075.75507)</f>
        <v>10075.75507</v>
      </c>
    </row>
    <row r="2697">
      <c r="A2697" s="3">
        <f>IFERROR(__xludf.DUMMYFUNCTION("""COMPUTED_VALUE"""),43109.99861111111)</f>
        <v>43109.99861</v>
      </c>
      <c r="B2697" s="1">
        <f>IFERROR(__xludf.DUMMYFUNCTION("""COMPUTED_VALUE"""),10044.1627)</f>
        <v>10044.1627</v>
      </c>
    </row>
    <row r="2698">
      <c r="A2698" s="3">
        <f>IFERROR(__xludf.DUMMYFUNCTION("""COMPUTED_VALUE"""),43110.99861111111)</f>
        <v>43110.99861</v>
      </c>
      <c r="B2698" s="1">
        <f>IFERROR(__xludf.DUMMYFUNCTION("""COMPUTED_VALUE"""),10073.49186)</f>
        <v>10073.49186</v>
      </c>
    </row>
    <row r="2699">
      <c r="A2699" s="3">
        <f>IFERROR(__xludf.DUMMYFUNCTION("""COMPUTED_VALUE"""),43111.99861111111)</f>
        <v>43111.99861</v>
      </c>
      <c r="B2699" s="1">
        <f>IFERROR(__xludf.DUMMYFUNCTION("""COMPUTED_VALUE"""),10073.00923)</f>
        <v>10073.00923</v>
      </c>
    </row>
    <row r="2700">
      <c r="A2700" s="3">
        <f>IFERROR(__xludf.DUMMYFUNCTION("""COMPUTED_VALUE"""),43112.99861111111)</f>
        <v>43112.99861</v>
      </c>
      <c r="B2700" s="1">
        <f>IFERROR(__xludf.DUMMYFUNCTION("""COMPUTED_VALUE"""),10045.944)</f>
        <v>10045.944</v>
      </c>
    </row>
    <row r="2701">
      <c r="A2701" s="3">
        <f>IFERROR(__xludf.DUMMYFUNCTION("""COMPUTED_VALUE"""),43113.99861111111)</f>
        <v>43113.99861</v>
      </c>
      <c r="B2701" s="1">
        <f>IFERROR(__xludf.DUMMYFUNCTION("""COMPUTED_VALUE"""),10027.089)</f>
        <v>10027.089</v>
      </c>
    </row>
    <row r="2702">
      <c r="A2702" s="3">
        <f>IFERROR(__xludf.DUMMYFUNCTION("""COMPUTED_VALUE"""),43114.99861111111)</f>
        <v>43114.99861</v>
      </c>
      <c r="B2702" s="1">
        <f>IFERROR(__xludf.DUMMYFUNCTION("""COMPUTED_VALUE"""),10030.8116)</f>
        <v>10030.8116</v>
      </c>
    </row>
    <row r="2703">
      <c r="A2703" s="3">
        <f>IFERROR(__xludf.DUMMYFUNCTION("""COMPUTED_VALUE"""),43115.99861111111)</f>
        <v>43115.99861</v>
      </c>
      <c r="B2703" s="1">
        <f>IFERROR(__xludf.DUMMYFUNCTION("""COMPUTED_VALUE"""),10058.44695)</f>
        <v>10058.44695</v>
      </c>
    </row>
    <row r="2704">
      <c r="A2704" s="3">
        <f>IFERROR(__xludf.DUMMYFUNCTION("""COMPUTED_VALUE"""),43116.99861111111)</f>
        <v>43116.99861</v>
      </c>
      <c r="B2704" s="1">
        <f>IFERROR(__xludf.DUMMYFUNCTION("""COMPUTED_VALUE"""),10074.23872)</f>
        <v>10074.23872</v>
      </c>
    </row>
    <row r="2705">
      <c r="A2705" s="3">
        <f>IFERROR(__xludf.DUMMYFUNCTION("""COMPUTED_VALUE"""),43117.99861111111)</f>
        <v>43117.99861</v>
      </c>
      <c r="B2705" s="1">
        <f>IFERROR(__xludf.DUMMYFUNCTION("""COMPUTED_VALUE"""),10058.81136)</f>
        <v>10058.81136</v>
      </c>
    </row>
    <row r="2706">
      <c r="A2706" s="3">
        <f>IFERROR(__xludf.DUMMYFUNCTION("""COMPUTED_VALUE"""),43118.99861111111)</f>
        <v>43118.99861</v>
      </c>
      <c r="B2706" s="1">
        <f>IFERROR(__xludf.DUMMYFUNCTION("""COMPUTED_VALUE"""),10095.1714)</f>
        <v>10095.1714</v>
      </c>
    </row>
    <row r="2707">
      <c r="A2707" s="3">
        <f>IFERROR(__xludf.DUMMYFUNCTION("""COMPUTED_VALUE"""),43119.99861111111)</f>
        <v>43119.99861</v>
      </c>
      <c r="B2707" s="1">
        <f>IFERROR(__xludf.DUMMYFUNCTION("""COMPUTED_VALUE"""),10075.7268)</f>
        <v>10075.7268</v>
      </c>
    </row>
    <row r="2708">
      <c r="A2708" s="3">
        <f>IFERROR(__xludf.DUMMYFUNCTION("""COMPUTED_VALUE"""),43120.99861111111)</f>
        <v>43120.99861</v>
      </c>
      <c r="B2708" s="1">
        <f>IFERROR(__xludf.DUMMYFUNCTION("""COMPUTED_VALUE"""),10089.59747)</f>
        <v>10089.59747</v>
      </c>
    </row>
    <row r="2709">
      <c r="A2709" s="3">
        <f>IFERROR(__xludf.DUMMYFUNCTION("""COMPUTED_VALUE"""),43121.99861111111)</f>
        <v>43121.99861</v>
      </c>
      <c r="B2709" s="1">
        <f>IFERROR(__xludf.DUMMYFUNCTION("""COMPUTED_VALUE"""),10092.355)</f>
        <v>10092.355</v>
      </c>
    </row>
    <row r="2710">
      <c r="A2710" s="3">
        <f>IFERROR(__xludf.DUMMYFUNCTION("""COMPUTED_VALUE"""),43122.99861111111)</f>
        <v>43122.99861</v>
      </c>
      <c r="B2710" s="1">
        <f>IFERROR(__xludf.DUMMYFUNCTION("""COMPUTED_VALUE"""),10107.63236)</f>
        <v>10107.63236</v>
      </c>
    </row>
    <row r="2711">
      <c r="A2711" s="3">
        <f>IFERROR(__xludf.DUMMYFUNCTION("""COMPUTED_VALUE"""),43123.99861111111)</f>
        <v>43123.99861</v>
      </c>
      <c r="B2711" s="1">
        <f>IFERROR(__xludf.DUMMYFUNCTION("""COMPUTED_VALUE"""),10127.62512)</f>
        <v>10127.62512</v>
      </c>
    </row>
    <row r="2712">
      <c r="A2712" s="3">
        <f>IFERROR(__xludf.DUMMYFUNCTION("""COMPUTED_VALUE"""),43124.99861111111)</f>
        <v>43124.99861</v>
      </c>
      <c r="B2712" s="1">
        <f>IFERROR(__xludf.DUMMYFUNCTION("""COMPUTED_VALUE"""),10156.48048)</f>
        <v>10156.48048</v>
      </c>
    </row>
    <row r="2713">
      <c r="A2713" s="3">
        <f>IFERROR(__xludf.DUMMYFUNCTION("""COMPUTED_VALUE"""),43125.99861111111)</f>
        <v>43125.99861</v>
      </c>
      <c r="B2713" s="1">
        <f>IFERROR(__xludf.DUMMYFUNCTION("""COMPUTED_VALUE"""),10137.96069)</f>
        <v>10137.96069</v>
      </c>
    </row>
    <row r="2714">
      <c r="A2714" s="3">
        <f>IFERROR(__xludf.DUMMYFUNCTION("""COMPUTED_VALUE"""),43126.99861111111)</f>
        <v>43126.99861</v>
      </c>
      <c r="B2714" s="1">
        <f>IFERROR(__xludf.DUMMYFUNCTION("""COMPUTED_VALUE"""),10169.01353)</f>
        <v>10169.01353</v>
      </c>
    </row>
    <row r="2715">
      <c r="A2715" s="3">
        <f>IFERROR(__xludf.DUMMYFUNCTION("""COMPUTED_VALUE"""),43128.99861111111)</f>
        <v>43128.99861</v>
      </c>
      <c r="B2715" s="1">
        <f>IFERROR(__xludf.DUMMYFUNCTION("""COMPUTED_VALUE"""),10174.0992)</f>
        <v>10174.0992</v>
      </c>
    </row>
    <row r="2716">
      <c r="A2716" s="3">
        <f>IFERROR(__xludf.DUMMYFUNCTION("""COMPUTED_VALUE"""),43129.99861111111)</f>
        <v>43129.99861</v>
      </c>
      <c r="B2716" s="1">
        <f>IFERROR(__xludf.DUMMYFUNCTION("""COMPUTED_VALUE"""),10201.6944)</f>
        <v>10201.6944</v>
      </c>
    </row>
    <row r="2717">
      <c r="A2717" s="3">
        <f>IFERROR(__xludf.DUMMYFUNCTION("""COMPUTED_VALUE"""),43130.99861111111)</f>
        <v>43130.99861</v>
      </c>
      <c r="B2717" s="1">
        <f>IFERROR(__xludf.DUMMYFUNCTION("""COMPUTED_VALUE"""),10229.62041)</f>
        <v>10229.62041</v>
      </c>
    </row>
    <row r="2718">
      <c r="A2718" s="3">
        <f>IFERROR(__xludf.DUMMYFUNCTION("""COMPUTED_VALUE"""),43131.99861111111)</f>
        <v>43131.99861</v>
      </c>
      <c r="B2718" s="1">
        <f>IFERROR(__xludf.DUMMYFUNCTION("""COMPUTED_VALUE"""),10204.5375)</f>
        <v>10204.5375</v>
      </c>
    </row>
    <row r="2719">
      <c r="A2719" s="3">
        <f>IFERROR(__xludf.DUMMYFUNCTION("""COMPUTED_VALUE"""),43132.99861111111)</f>
        <v>43132.99861</v>
      </c>
      <c r="B2719" s="1">
        <f>IFERROR(__xludf.DUMMYFUNCTION("""COMPUTED_VALUE"""),10229.5812)</f>
        <v>10229.5812</v>
      </c>
    </row>
    <row r="2720">
      <c r="A2720" s="3">
        <f>IFERROR(__xludf.DUMMYFUNCTION("""COMPUTED_VALUE"""),43133.99861111111)</f>
        <v>43133.99861</v>
      </c>
      <c r="B2720" s="1">
        <f>IFERROR(__xludf.DUMMYFUNCTION("""COMPUTED_VALUE"""),10161.5147)</f>
        <v>10161.5147</v>
      </c>
    </row>
    <row r="2721">
      <c r="A2721" s="3">
        <f>IFERROR(__xludf.DUMMYFUNCTION("""COMPUTED_VALUE"""),43134.99861111111)</f>
        <v>43134.99861</v>
      </c>
      <c r="B2721" s="1">
        <f>IFERROR(__xludf.DUMMYFUNCTION("""COMPUTED_VALUE"""),10159.90538)</f>
        <v>10159.90538</v>
      </c>
    </row>
    <row r="2722">
      <c r="A2722" s="3">
        <f>IFERROR(__xludf.DUMMYFUNCTION("""COMPUTED_VALUE"""),43135.99861111111)</f>
        <v>43135.99861</v>
      </c>
      <c r="B2722" s="1">
        <f>IFERROR(__xludf.DUMMYFUNCTION("""COMPUTED_VALUE"""),10149.04247)</f>
        <v>10149.04247</v>
      </c>
    </row>
    <row r="2723">
      <c r="A2723" s="3">
        <f>IFERROR(__xludf.DUMMYFUNCTION("""COMPUTED_VALUE"""),43136.99861111111)</f>
        <v>43136.99861</v>
      </c>
      <c r="B2723" s="1">
        <f>IFERROR(__xludf.DUMMYFUNCTION("""COMPUTED_VALUE"""),10255.60476)</f>
        <v>10255.60476</v>
      </c>
    </row>
    <row r="2724">
      <c r="A2724" s="3">
        <f>IFERROR(__xludf.DUMMYFUNCTION("""COMPUTED_VALUE"""),43137.99861111111)</f>
        <v>43137.99861</v>
      </c>
      <c r="B2724" s="1">
        <f>IFERROR(__xludf.DUMMYFUNCTION("""COMPUTED_VALUE"""),10264.45584)</f>
        <v>10264.45584</v>
      </c>
    </row>
    <row r="2725">
      <c r="A2725" s="3">
        <f>IFERROR(__xludf.DUMMYFUNCTION("""COMPUTED_VALUE"""),43138.99861111111)</f>
        <v>43138.99861</v>
      </c>
      <c r="B2725" s="1">
        <f>IFERROR(__xludf.DUMMYFUNCTION("""COMPUTED_VALUE"""),10292.1345)</f>
        <v>10292.1345</v>
      </c>
    </row>
    <row r="2726">
      <c r="A2726" s="3">
        <f>IFERROR(__xludf.DUMMYFUNCTION("""COMPUTED_VALUE"""),43139.99861111111)</f>
        <v>43139.99861</v>
      </c>
      <c r="B2726" s="1">
        <f>IFERROR(__xludf.DUMMYFUNCTION("""COMPUTED_VALUE"""),10212.098)</f>
        <v>10212.098</v>
      </c>
    </row>
    <row r="2727">
      <c r="A2727" s="3">
        <f>IFERROR(__xludf.DUMMYFUNCTION("""COMPUTED_VALUE"""),43140.99861111111)</f>
        <v>43140.99861</v>
      </c>
      <c r="B2727" s="1">
        <f>IFERROR(__xludf.DUMMYFUNCTION("""COMPUTED_VALUE"""),10245.59012)</f>
        <v>10245.59012</v>
      </c>
    </row>
    <row r="2728">
      <c r="A2728" s="3">
        <f>IFERROR(__xludf.DUMMYFUNCTION("""COMPUTED_VALUE"""),43141.99861111111)</f>
        <v>43141.99861</v>
      </c>
      <c r="B2728" s="1">
        <f>IFERROR(__xludf.DUMMYFUNCTION("""COMPUTED_VALUE"""),10231.57594)</f>
        <v>10231.57594</v>
      </c>
    </row>
    <row r="2729">
      <c r="A2729" s="3">
        <f>IFERROR(__xludf.DUMMYFUNCTION("""COMPUTED_VALUE"""),43142.99861111111)</f>
        <v>43142.99861</v>
      </c>
      <c r="B2729" s="1">
        <f>IFERROR(__xludf.DUMMYFUNCTION("""COMPUTED_VALUE"""),10249.691)</f>
        <v>10249.691</v>
      </c>
    </row>
    <row r="2730">
      <c r="A2730" s="3">
        <f>IFERROR(__xludf.DUMMYFUNCTION("""COMPUTED_VALUE"""),43143.99861111111)</f>
        <v>43143.99861</v>
      </c>
      <c r="B2730" s="1">
        <f>IFERROR(__xludf.DUMMYFUNCTION("""COMPUTED_VALUE"""),10312.06155)</f>
        <v>10312.06155</v>
      </c>
    </row>
    <row r="2731">
      <c r="A2731" s="3">
        <f>IFERROR(__xludf.DUMMYFUNCTION("""COMPUTED_VALUE"""),43144.99861111111)</f>
        <v>43144.99861</v>
      </c>
      <c r="B2731" s="1">
        <f>IFERROR(__xludf.DUMMYFUNCTION("""COMPUTED_VALUE"""),10309.112)</f>
        <v>10309.112</v>
      </c>
    </row>
    <row r="2732">
      <c r="A2732" s="3">
        <f>IFERROR(__xludf.DUMMYFUNCTION("""COMPUTED_VALUE"""),43145.99861111111)</f>
        <v>43145.99861</v>
      </c>
      <c r="B2732" s="1">
        <f>IFERROR(__xludf.DUMMYFUNCTION("""COMPUTED_VALUE"""),10368.3853)</f>
        <v>10368.3853</v>
      </c>
    </row>
    <row r="2733">
      <c r="A2733" s="3">
        <f>IFERROR(__xludf.DUMMYFUNCTION("""COMPUTED_VALUE"""),43146.99861111111)</f>
        <v>43146.99861</v>
      </c>
      <c r="B2733" s="1">
        <f>IFERROR(__xludf.DUMMYFUNCTION("""COMPUTED_VALUE"""),10352.10176)</f>
        <v>10352.10176</v>
      </c>
    </row>
    <row r="2734">
      <c r="A2734" s="3">
        <f>IFERROR(__xludf.DUMMYFUNCTION("""COMPUTED_VALUE"""),43147.99861111111)</f>
        <v>43147.99861</v>
      </c>
      <c r="B2734" s="1">
        <f>IFERROR(__xludf.DUMMYFUNCTION("""COMPUTED_VALUE"""),10325.2688)</f>
        <v>10325.2688</v>
      </c>
    </row>
    <row r="2735">
      <c r="A2735" s="3">
        <f>IFERROR(__xludf.DUMMYFUNCTION("""COMPUTED_VALUE"""),43148.99861111111)</f>
        <v>43148.99861</v>
      </c>
      <c r="B2735" s="1">
        <f>IFERROR(__xludf.DUMMYFUNCTION("""COMPUTED_VALUE"""),10325.2688)</f>
        <v>10325.2688</v>
      </c>
    </row>
    <row r="2736">
      <c r="A2736" s="3">
        <f>IFERROR(__xludf.DUMMYFUNCTION("""COMPUTED_VALUE"""),43149.99861111111)</f>
        <v>43149.99861</v>
      </c>
      <c r="B2736" s="1">
        <f>IFERROR(__xludf.DUMMYFUNCTION("""COMPUTED_VALUE"""),10328.25024)</f>
        <v>10328.25024</v>
      </c>
    </row>
    <row r="2737">
      <c r="A2737" s="3">
        <f>IFERROR(__xludf.DUMMYFUNCTION("""COMPUTED_VALUE"""),43150.99861111111)</f>
        <v>43150.99861</v>
      </c>
      <c r="B2737" s="1">
        <f>IFERROR(__xludf.DUMMYFUNCTION("""COMPUTED_VALUE"""),10310.39226)</f>
        <v>10310.39226</v>
      </c>
    </row>
    <row r="2738">
      <c r="A2738" s="3">
        <f>IFERROR(__xludf.DUMMYFUNCTION("""COMPUTED_VALUE"""),43151.99861111111)</f>
        <v>43151.99861</v>
      </c>
      <c r="B2738" s="1">
        <f>IFERROR(__xludf.DUMMYFUNCTION("""COMPUTED_VALUE"""),10312.27848)</f>
        <v>10312.27848</v>
      </c>
    </row>
    <row r="2739">
      <c r="A2739" s="3">
        <f>IFERROR(__xludf.DUMMYFUNCTION("""COMPUTED_VALUE"""),43152.99861111111)</f>
        <v>43152.99861</v>
      </c>
      <c r="B2739" s="1">
        <f>IFERROR(__xludf.DUMMYFUNCTION("""COMPUTED_VALUE"""),10278.4212)</f>
        <v>10278.4212</v>
      </c>
    </row>
    <row r="2740">
      <c r="A2740" s="3">
        <f>IFERROR(__xludf.DUMMYFUNCTION("""COMPUTED_VALUE"""),43153.99861111111)</f>
        <v>43153.99861</v>
      </c>
      <c r="B2740" s="1">
        <f>IFERROR(__xludf.DUMMYFUNCTION("""COMPUTED_VALUE"""),10364.49336)</f>
        <v>10364.49336</v>
      </c>
    </row>
    <row r="2741">
      <c r="A2741" s="3">
        <f>IFERROR(__xludf.DUMMYFUNCTION("""COMPUTED_VALUE"""),43154.99861111111)</f>
        <v>43154.99861</v>
      </c>
      <c r="B2741" s="1">
        <f>IFERROR(__xludf.DUMMYFUNCTION("""COMPUTED_VALUE"""),10340.0248)</f>
        <v>10340.0248</v>
      </c>
    </row>
    <row r="2742">
      <c r="A2742" s="3">
        <f>IFERROR(__xludf.DUMMYFUNCTION("""COMPUTED_VALUE"""),43155.99861111111)</f>
        <v>43155.99861</v>
      </c>
      <c r="B2742" s="1">
        <f>IFERROR(__xludf.DUMMYFUNCTION("""COMPUTED_VALUE"""),10340.0248)</f>
        <v>10340.0248</v>
      </c>
    </row>
    <row r="2743">
      <c r="A2743" s="3">
        <f>IFERROR(__xludf.DUMMYFUNCTION("""COMPUTED_VALUE"""),43156.99861111111)</f>
        <v>43156.99861</v>
      </c>
      <c r="B2743" s="1">
        <f>IFERROR(__xludf.DUMMYFUNCTION("""COMPUTED_VALUE"""),10343.71419)</f>
        <v>10343.71419</v>
      </c>
    </row>
    <row r="2744">
      <c r="A2744" s="3">
        <f>IFERROR(__xludf.DUMMYFUNCTION("""COMPUTED_VALUE"""),43157.99861111111)</f>
        <v>43157.99861</v>
      </c>
      <c r="B2744" s="1">
        <f>IFERROR(__xludf.DUMMYFUNCTION("""COMPUTED_VALUE"""),10369.16309)</f>
        <v>10369.16309</v>
      </c>
    </row>
    <row r="2745">
      <c r="A2745" s="3">
        <f>IFERROR(__xludf.DUMMYFUNCTION("""COMPUTED_VALUE"""),43158.99861111111)</f>
        <v>43158.99861</v>
      </c>
      <c r="B2745" s="1">
        <f>IFERROR(__xludf.DUMMYFUNCTION("""COMPUTED_VALUE"""),10336.2312)</f>
        <v>10336.2312</v>
      </c>
    </row>
    <row r="2746">
      <c r="A2746" s="3">
        <f>IFERROR(__xludf.DUMMYFUNCTION("""COMPUTED_VALUE"""),43159.99861111111)</f>
        <v>43159.99861</v>
      </c>
      <c r="B2746" s="1">
        <f>IFERROR(__xludf.DUMMYFUNCTION("""COMPUTED_VALUE"""),10378.902)</f>
        <v>10378.902</v>
      </c>
    </row>
    <row r="2747">
      <c r="A2747" s="3">
        <f>IFERROR(__xludf.DUMMYFUNCTION("""COMPUTED_VALUE"""),43160.99861111111)</f>
        <v>43160.99861</v>
      </c>
      <c r="B2747" s="1">
        <f>IFERROR(__xludf.DUMMYFUNCTION("""COMPUTED_VALUE"""),10390.25715)</f>
        <v>10390.25715</v>
      </c>
    </row>
    <row r="2748">
      <c r="A2748" s="3">
        <f>IFERROR(__xludf.DUMMYFUNCTION("""COMPUTED_VALUE"""),43161.99861111111)</f>
        <v>43161.99861</v>
      </c>
      <c r="B2748" s="1">
        <f>IFERROR(__xludf.DUMMYFUNCTION("""COMPUTED_VALUE"""),10415.83246)</f>
        <v>10415.83246</v>
      </c>
    </row>
    <row r="2749">
      <c r="A2749" s="3">
        <f>IFERROR(__xludf.DUMMYFUNCTION("""COMPUTED_VALUE"""),43162.99861111111)</f>
        <v>43162.99861</v>
      </c>
      <c r="B2749" s="1">
        <f>IFERROR(__xludf.DUMMYFUNCTION("""COMPUTED_VALUE"""),10415.83246)</f>
        <v>10415.83246</v>
      </c>
    </row>
    <row r="2750">
      <c r="A2750" s="3">
        <f>IFERROR(__xludf.DUMMYFUNCTION("""COMPUTED_VALUE"""),43163.99861111111)</f>
        <v>43163.99861</v>
      </c>
      <c r="B2750" s="1">
        <f>IFERROR(__xludf.DUMMYFUNCTION("""COMPUTED_VALUE"""),10418.17013)</f>
        <v>10418.17013</v>
      </c>
    </row>
    <row r="2751">
      <c r="A2751" s="3">
        <f>IFERROR(__xludf.DUMMYFUNCTION("""COMPUTED_VALUE"""),43164.99861111111)</f>
        <v>43164.99861</v>
      </c>
      <c r="B2751" s="1">
        <f>IFERROR(__xludf.DUMMYFUNCTION("""COMPUTED_VALUE"""),10418.82765)</f>
        <v>10418.82765</v>
      </c>
    </row>
    <row r="2752">
      <c r="A2752" s="3">
        <f>IFERROR(__xludf.DUMMYFUNCTION("""COMPUTED_VALUE"""),43165.99861111111)</f>
        <v>43165.99861</v>
      </c>
      <c r="B2752" s="1">
        <f>IFERROR(__xludf.DUMMYFUNCTION("""COMPUTED_VALUE"""),10435.37596)</f>
        <v>10435.37596</v>
      </c>
    </row>
    <row r="2753">
      <c r="A2753" s="3">
        <f>IFERROR(__xludf.DUMMYFUNCTION("""COMPUTED_VALUE"""),43166.99861111111)</f>
        <v>43166.99861</v>
      </c>
      <c r="B2753" s="1">
        <f>IFERROR(__xludf.DUMMYFUNCTION("""COMPUTED_VALUE"""),10455.68405)</f>
        <v>10455.68405</v>
      </c>
    </row>
    <row r="2754">
      <c r="A2754" s="3">
        <f>IFERROR(__xludf.DUMMYFUNCTION("""COMPUTED_VALUE"""),43167.99861111111)</f>
        <v>43167.99861</v>
      </c>
      <c r="B2754" s="1">
        <f>IFERROR(__xludf.DUMMYFUNCTION("""COMPUTED_VALUE"""),10463.574)</f>
        <v>10463.574</v>
      </c>
    </row>
    <row r="2755">
      <c r="A2755" s="3">
        <f>IFERROR(__xludf.DUMMYFUNCTION("""COMPUTED_VALUE"""),43168.99861111111)</f>
        <v>43168.99861</v>
      </c>
      <c r="B2755" s="1">
        <f>IFERROR(__xludf.DUMMYFUNCTION("""COMPUTED_VALUE"""),10453.2201)</f>
        <v>10453.2201</v>
      </c>
    </row>
    <row r="2756">
      <c r="A2756" s="3">
        <f>IFERROR(__xludf.DUMMYFUNCTION("""COMPUTED_VALUE"""),43170.99861111111)</f>
        <v>43170.99861</v>
      </c>
      <c r="B2756" s="1">
        <f>IFERROR(__xludf.DUMMYFUNCTION("""COMPUTED_VALUE"""),10462.5884)</f>
        <v>10462.5884</v>
      </c>
    </row>
    <row r="2757">
      <c r="A2757" s="3">
        <f>IFERROR(__xludf.DUMMYFUNCTION("""COMPUTED_VALUE"""),43171.99861111111)</f>
        <v>43171.99861</v>
      </c>
      <c r="B2757" s="1">
        <f>IFERROR(__xludf.DUMMYFUNCTION("""COMPUTED_VALUE"""),10481.5851)</f>
        <v>10481.5851</v>
      </c>
    </row>
    <row r="2758">
      <c r="A2758" s="3">
        <f>IFERROR(__xludf.DUMMYFUNCTION("""COMPUTED_VALUE"""),43172.99861111111)</f>
        <v>43172.99861</v>
      </c>
      <c r="B2758" s="1">
        <f>IFERROR(__xludf.DUMMYFUNCTION("""COMPUTED_VALUE"""),10471.8036)</f>
        <v>10471.8036</v>
      </c>
    </row>
    <row r="2759">
      <c r="A2759" s="3">
        <f>IFERROR(__xludf.DUMMYFUNCTION("""COMPUTED_VALUE"""),43173.99861111111)</f>
        <v>43173.99861</v>
      </c>
      <c r="B2759" s="1">
        <f>IFERROR(__xludf.DUMMYFUNCTION("""COMPUTED_VALUE"""),10484.5275)</f>
        <v>10484.5275</v>
      </c>
    </row>
    <row r="2760">
      <c r="A2760" s="3">
        <f>IFERROR(__xludf.DUMMYFUNCTION("""COMPUTED_VALUE"""),43174.99861111111)</f>
        <v>43174.99861</v>
      </c>
      <c r="B2760" s="1">
        <f>IFERROR(__xludf.DUMMYFUNCTION("""COMPUTED_VALUE"""),10465.84818)</f>
        <v>10465.84818</v>
      </c>
    </row>
    <row r="2761">
      <c r="A2761" s="3">
        <f>IFERROR(__xludf.DUMMYFUNCTION("""COMPUTED_VALUE"""),43175.99861111111)</f>
        <v>43175.99861</v>
      </c>
      <c r="B2761" s="1">
        <f>IFERROR(__xludf.DUMMYFUNCTION("""COMPUTED_VALUE"""),10428.9472)</f>
        <v>10428.9472</v>
      </c>
    </row>
    <row r="2762">
      <c r="A2762" s="3">
        <f>IFERROR(__xludf.DUMMYFUNCTION("""COMPUTED_VALUE"""),43177.99861111111)</f>
        <v>43177.99861</v>
      </c>
      <c r="B2762" s="1">
        <f>IFERROR(__xludf.DUMMYFUNCTION("""COMPUTED_VALUE"""),10427.03312)</f>
        <v>10427.03312</v>
      </c>
    </row>
    <row r="2763">
      <c r="A2763" s="3">
        <f>IFERROR(__xludf.DUMMYFUNCTION("""COMPUTED_VALUE"""),43178.99861111111)</f>
        <v>43178.99861</v>
      </c>
      <c r="B2763" s="1">
        <f>IFERROR(__xludf.DUMMYFUNCTION("""COMPUTED_VALUE"""),10457.97282)</f>
        <v>10457.97282</v>
      </c>
    </row>
    <row r="2764">
      <c r="A2764" s="3">
        <f>IFERROR(__xludf.DUMMYFUNCTION("""COMPUTED_VALUE"""),43179.99861111111)</f>
        <v>43179.99861</v>
      </c>
      <c r="B2764" s="1">
        <f>IFERROR(__xludf.DUMMYFUNCTION("""COMPUTED_VALUE"""),10416.91914)</f>
        <v>10416.91914</v>
      </c>
    </row>
    <row r="2765">
      <c r="A2765" s="3">
        <f>IFERROR(__xludf.DUMMYFUNCTION("""COMPUTED_VALUE"""),43180.99861111111)</f>
        <v>43180.99861</v>
      </c>
      <c r="B2765" s="1">
        <f>IFERROR(__xludf.DUMMYFUNCTION("""COMPUTED_VALUE"""),10441.15425)</f>
        <v>10441.15425</v>
      </c>
    </row>
    <row r="2766">
      <c r="A2766" s="3">
        <f>IFERROR(__xludf.DUMMYFUNCTION("""COMPUTED_VALUE"""),43181.99861111111)</f>
        <v>43181.99861</v>
      </c>
      <c r="B2766" s="1">
        <f>IFERROR(__xludf.DUMMYFUNCTION("""COMPUTED_VALUE"""),10447.95102)</f>
        <v>10447.95102</v>
      </c>
    </row>
    <row r="2767">
      <c r="A2767" s="3">
        <f>IFERROR(__xludf.DUMMYFUNCTION("""COMPUTED_VALUE"""),43182.99861111111)</f>
        <v>43182.99861</v>
      </c>
      <c r="B2767" s="1">
        <f>IFERROR(__xludf.DUMMYFUNCTION("""COMPUTED_VALUE"""),10471.8977)</f>
        <v>10471.8977</v>
      </c>
    </row>
    <row r="2768">
      <c r="A2768" s="3">
        <f>IFERROR(__xludf.DUMMYFUNCTION("""COMPUTED_VALUE"""),43183.99861111111)</f>
        <v>43183.99861</v>
      </c>
      <c r="B2768" s="1">
        <f>IFERROR(__xludf.DUMMYFUNCTION("""COMPUTED_VALUE"""),10468.86676)</f>
        <v>10468.86676</v>
      </c>
    </row>
    <row r="2769">
      <c r="A2769" s="3">
        <f>IFERROR(__xludf.DUMMYFUNCTION("""COMPUTED_VALUE"""),43184.99861111111)</f>
        <v>43184.99861</v>
      </c>
      <c r="B2769" s="1">
        <f>IFERROR(__xludf.DUMMYFUNCTION("""COMPUTED_VALUE"""),10461.8724)</f>
        <v>10461.8724</v>
      </c>
    </row>
    <row r="2770">
      <c r="A2770" s="3">
        <f>IFERROR(__xludf.DUMMYFUNCTION("""COMPUTED_VALUE"""),43185.99861111111)</f>
        <v>43185.99861</v>
      </c>
      <c r="B2770" s="1">
        <f>IFERROR(__xludf.DUMMYFUNCTION("""COMPUTED_VALUE"""),10484.53022)</f>
        <v>10484.53022</v>
      </c>
    </row>
    <row r="2771">
      <c r="A2771" s="3">
        <f>IFERROR(__xludf.DUMMYFUNCTION("""COMPUTED_VALUE"""),43186.99861111111)</f>
        <v>43186.99861</v>
      </c>
      <c r="B2771" s="1">
        <f>IFERROR(__xludf.DUMMYFUNCTION("""COMPUTED_VALUE"""),10485.4062)</f>
        <v>10485.4062</v>
      </c>
    </row>
    <row r="2772">
      <c r="A2772" s="3">
        <f>IFERROR(__xludf.DUMMYFUNCTION("""COMPUTED_VALUE"""),43187.99861111111)</f>
        <v>43187.99861</v>
      </c>
      <c r="B2772" s="1">
        <f>IFERROR(__xludf.DUMMYFUNCTION("""COMPUTED_VALUE"""),10474.36864)</f>
        <v>10474.36864</v>
      </c>
    </row>
    <row r="2773">
      <c r="A2773" s="3">
        <f>IFERROR(__xludf.DUMMYFUNCTION("""COMPUTED_VALUE"""),43188.99861111111)</f>
        <v>43188.99861</v>
      </c>
      <c r="B2773" s="1">
        <f>IFERROR(__xludf.DUMMYFUNCTION("""COMPUTED_VALUE"""),10486.27325)</f>
        <v>10486.27325</v>
      </c>
    </row>
    <row r="2774">
      <c r="A2774" s="3">
        <f>IFERROR(__xludf.DUMMYFUNCTION("""COMPUTED_VALUE"""),43189.99861111111)</f>
        <v>43189.99861</v>
      </c>
      <c r="B2774" s="1">
        <f>IFERROR(__xludf.DUMMYFUNCTION("""COMPUTED_VALUE"""),10478.23288)</f>
        <v>10478.23288</v>
      </c>
    </row>
    <row r="2775">
      <c r="A2775" s="3">
        <f>IFERROR(__xludf.DUMMYFUNCTION("""COMPUTED_VALUE"""),43190.99861111111)</f>
        <v>43190.99861</v>
      </c>
      <c r="B2775" s="1">
        <f>IFERROR(__xludf.DUMMYFUNCTION("""COMPUTED_VALUE"""),10487.38684)</f>
        <v>10487.38684</v>
      </c>
    </row>
    <row r="2776">
      <c r="A2776" s="3">
        <f>IFERROR(__xludf.DUMMYFUNCTION("""COMPUTED_VALUE"""),43191.99861111111)</f>
        <v>43191.99861</v>
      </c>
      <c r="B2776" s="1">
        <f>IFERROR(__xludf.DUMMYFUNCTION("""COMPUTED_VALUE"""),10496.7232)</f>
        <v>10496.7232</v>
      </c>
    </row>
    <row r="2777">
      <c r="A2777" s="3">
        <f>IFERROR(__xludf.DUMMYFUNCTION("""COMPUTED_VALUE"""),43192.99861111111)</f>
        <v>43192.99861</v>
      </c>
      <c r="B2777" s="1">
        <f>IFERROR(__xludf.DUMMYFUNCTION("""COMPUTED_VALUE"""),10466.62736)</f>
        <v>10466.62736</v>
      </c>
    </row>
    <row r="2778">
      <c r="A2778" s="3">
        <f>IFERROR(__xludf.DUMMYFUNCTION("""COMPUTED_VALUE"""),43193.99861111111)</f>
        <v>43193.99861</v>
      </c>
      <c r="B2778" s="1">
        <f>IFERROR(__xludf.DUMMYFUNCTION("""COMPUTED_VALUE"""),10478.06214)</f>
        <v>10478.06214</v>
      </c>
    </row>
    <row r="2779">
      <c r="A2779" s="3">
        <f>IFERROR(__xludf.DUMMYFUNCTION("""COMPUTED_VALUE"""),43194.99861111111)</f>
        <v>43194.99861</v>
      </c>
      <c r="B2779" s="1">
        <f>IFERROR(__xludf.DUMMYFUNCTION("""COMPUTED_VALUE"""),10479.08706)</f>
        <v>10479.08706</v>
      </c>
    </row>
    <row r="2780">
      <c r="A2780" s="3">
        <f>IFERROR(__xludf.DUMMYFUNCTION("""COMPUTED_VALUE"""),43195.99861111111)</f>
        <v>43195.99861</v>
      </c>
      <c r="B2780" s="1">
        <f>IFERROR(__xludf.DUMMYFUNCTION("""COMPUTED_VALUE"""),10452.096)</f>
        <v>10452.096</v>
      </c>
    </row>
    <row r="2781">
      <c r="A2781" s="3">
        <f>IFERROR(__xludf.DUMMYFUNCTION("""COMPUTED_VALUE"""),43196.99861111111)</f>
        <v>43196.99861</v>
      </c>
      <c r="B2781" s="1">
        <f>IFERROR(__xludf.DUMMYFUNCTION("""COMPUTED_VALUE"""),10459.05422)</f>
        <v>10459.05422</v>
      </c>
    </row>
    <row r="2782">
      <c r="A2782" s="3">
        <f>IFERROR(__xludf.DUMMYFUNCTION("""COMPUTED_VALUE"""),43197.99861111111)</f>
        <v>43197.99861</v>
      </c>
      <c r="B2782" s="1">
        <f>IFERROR(__xludf.DUMMYFUNCTION("""COMPUTED_VALUE"""),10459.05422)</f>
        <v>10459.05422</v>
      </c>
    </row>
    <row r="2783">
      <c r="A2783" s="3">
        <f>IFERROR(__xludf.DUMMYFUNCTION("""COMPUTED_VALUE"""),43198.99861111111)</f>
        <v>43198.99861</v>
      </c>
      <c r="B2783" s="1">
        <f>IFERROR(__xludf.DUMMYFUNCTION("""COMPUTED_VALUE"""),10453.96191)</f>
        <v>10453.96191</v>
      </c>
    </row>
    <row r="2784">
      <c r="A2784" s="3">
        <f>IFERROR(__xludf.DUMMYFUNCTION("""COMPUTED_VALUE"""),43199.99861111111)</f>
        <v>43199.99861</v>
      </c>
      <c r="B2784" s="1">
        <f>IFERROR(__xludf.DUMMYFUNCTION("""COMPUTED_VALUE"""),10498.1)</f>
        <v>10498.1</v>
      </c>
    </row>
    <row r="2785">
      <c r="A2785" s="3">
        <f>IFERROR(__xludf.DUMMYFUNCTION("""COMPUTED_VALUE"""),43200.99861111111)</f>
        <v>43200.99861</v>
      </c>
      <c r="B2785" s="1">
        <f>IFERROR(__xludf.DUMMYFUNCTION("""COMPUTED_VALUE"""),10494.97919)</f>
        <v>10494.97919</v>
      </c>
    </row>
    <row r="2786">
      <c r="A2786" s="3">
        <f>IFERROR(__xludf.DUMMYFUNCTION("""COMPUTED_VALUE"""),43201.99861111111)</f>
        <v>43201.99861</v>
      </c>
      <c r="B2786" s="1">
        <f>IFERROR(__xludf.DUMMYFUNCTION("""COMPUTED_VALUE"""),10504.51069)</f>
        <v>10504.51069</v>
      </c>
    </row>
    <row r="2787">
      <c r="A2787" s="3">
        <f>IFERROR(__xludf.DUMMYFUNCTION("""COMPUTED_VALUE"""),43202.99861111111)</f>
        <v>43202.99861</v>
      </c>
      <c r="B2787" s="1">
        <f>IFERROR(__xludf.DUMMYFUNCTION("""COMPUTED_VALUE"""),10492.38138)</f>
        <v>10492.38138</v>
      </c>
    </row>
    <row r="2788">
      <c r="A2788" s="3">
        <f>IFERROR(__xludf.DUMMYFUNCTION("""COMPUTED_VALUE"""),43203.99861111111)</f>
        <v>43203.99861</v>
      </c>
      <c r="B2788" s="1">
        <f>IFERROR(__xludf.DUMMYFUNCTION("""COMPUTED_VALUE"""),10491.42724)</f>
        <v>10491.42724</v>
      </c>
    </row>
    <row r="2789">
      <c r="A2789" s="3">
        <f>IFERROR(__xludf.DUMMYFUNCTION("""COMPUTED_VALUE"""),43205.99861111111)</f>
        <v>43205.99861</v>
      </c>
      <c r="B2789" s="1">
        <f>IFERROR(__xludf.DUMMYFUNCTION("""COMPUTED_VALUE"""),10463.1727)</f>
        <v>10463.1727</v>
      </c>
    </row>
    <row r="2790">
      <c r="A2790" s="3">
        <f>IFERROR(__xludf.DUMMYFUNCTION("""COMPUTED_VALUE"""),43206.99861111111)</f>
        <v>43206.99861</v>
      </c>
      <c r="B2790" s="1">
        <f>IFERROR(__xludf.DUMMYFUNCTION("""COMPUTED_VALUE"""),10507.5878)</f>
        <v>10507.5878</v>
      </c>
    </row>
    <row r="2791">
      <c r="A2791" s="3">
        <f>IFERROR(__xludf.DUMMYFUNCTION("""COMPUTED_VALUE"""),43207.99861111111)</f>
        <v>43207.99861</v>
      </c>
      <c r="B2791" s="1">
        <f>IFERROR(__xludf.DUMMYFUNCTION("""COMPUTED_VALUE"""),10487.09867)</f>
        <v>10487.09867</v>
      </c>
    </row>
    <row r="2792">
      <c r="A2792" s="3">
        <f>IFERROR(__xludf.DUMMYFUNCTION("""COMPUTED_VALUE"""),43208.99861111111)</f>
        <v>43208.99861</v>
      </c>
      <c r="B2792" s="1">
        <f>IFERROR(__xludf.DUMMYFUNCTION("""COMPUTED_VALUE"""),10511.94305)</f>
        <v>10511.94305</v>
      </c>
    </row>
    <row r="2793">
      <c r="A2793" s="3">
        <f>IFERROR(__xludf.DUMMYFUNCTION("""COMPUTED_VALUE"""),43209.99861111111)</f>
        <v>43209.99861</v>
      </c>
      <c r="B2793" s="1">
        <f>IFERROR(__xludf.DUMMYFUNCTION("""COMPUTED_VALUE"""),10519.05)</f>
        <v>10519.05</v>
      </c>
    </row>
    <row r="2794">
      <c r="A2794" s="3">
        <f>IFERROR(__xludf.DUMMYFUNCTION("""COMPUTED_VALUE"""),43210.99861111111)</f>
        <v>43210.99861</v>
      </c>
      <c r="B2794" s="1">
        <f>IFERROR(__xludf.DUMMYFUNCTION("""COMPUTED_VALUE"""),10512.65106)</f>
        <v>10512.65106</v>
      </c>
    </row>
    <row r="2795">
      <c r="A2795" s="3">
        <f>IFERROR(__xludf.DUMMYFUNCTION("""COMPUTED_VALUE"""),43211.99861111111)</f>
        <v>43211.99861</v>
      </c>
      <c r="B2795" s="1">
        <f>IFERROR(__xludf.DUMMYFUNCTION("""COMPUTED_VALUE"""),10516.61631)</f>
        <v>10516.61631</v>
      </c>
    </row>
    <row r="2796">
      <c r="A2796" s="3">
        <f>IFERROR(__xludf.DUMMYFUNCTION("""COMPUTED_VALUE"""),43212.99861111111)</f>
        <v>43212.99861</v>
      </c>
      <c r="B2796" s="1">
        <f>IFERROR(__xludf.DUMMYFUNCTION("""COMPUTED_VALUE"""),10547.11716)</f>
        <v>10547.11716</v>
      </c>
    </row>
    <row r="2797">
      <c r="A2797" s="3">
        <f>IFERROR(__xludf.DUMMYFUNCTION("""COMPUTED_VALUE"""),43213.99861111111)</f>
        <v>43213.99861</v>
      </c>
      <c r="B2797" s="1">
        <f>IFERROR(__xludf.DUMMYFUNCTION("""COMPUTED_VALUE"""),10531.89918)</f>
        <v>10531.89918</v>
      </c>
    </row>
    <row r="2798">
      <c r="A2798" s="3">
        <f>IFERROR(__xludf.DUMMYFUNCTION("""COMPUTED_VALUE"""),43214.99861111111)</f>
        <v>43214.99861</v>
      </c>
      <c r="B2798" s="1">
        <f>IFERROR(__xludf.DUMMYFUNCTION("""COMPUTED_VALUE"""),10489.17408)</f>
        <v>10489.17408</v>
      </c>
    </row>
    <row r="2799">
      <c r="A2799" s="3">
        <f>IFERROR(__xludf.DUMMYFUNCTION("""COMPUTED_VALUE"""),43215.99861111111)</f>
        <v>43215.99861</v>
      </c>
      <c r="B2799" s="1">
        <f>IFERROR(__xludf.DUMMYFUNCTION("""COMPUTED_VALUE"""),10479.6151)</f>
        <v>10479.6151</v>
      </c>
    </row>
    <row r="2800">
      <c r="A2800" s="3">
        <f>IFERROR(__xludf.DUMMYFUNCTION("""COMPUTED_VALUE"""),43216.99861111111)</f>
        <v>43216.99861</v>
      </c>
      <c r="B2800" s="1">
        <f>IFERROR(__xludf.DUMMYFUNCTION("""COMPUTED_VALUE"""),10447.97241)</f>
        <v>10447.97241</v>
      </c>
    </row>
    <row r="2801">
      <c r="A2801" s="3">
        <f>IFERROR(__xludf.DUMMYFUNCTION("""COMPUTED_VALUE"""),43217.99861111111)</f>
        <v>43217.99861</v>
      </c>
      <c r="B2801" s="1">
        <f>IFERROR(__xludf.DUMMYFUNCTION("""COMPUTED_VALUE"""),10450.87274)</f>
        <v>10450.87274</v>
      </c>
    </row>
    <row r="2802">
      <c r="A2802" s="3">
        <f>IFERROR(__xludf.DUMMYFUNCTION("""COMPUTED_VALUE"""),43219.99861111111)</f>
        <v>43219.99861</v>
      </c>
      <c r="B2802" s="1">
        <f>IFERROR(__xludf.DUMMYFUNCTION("""COMPUTED_VALUE"""),10474.2079)</f>
        <v>10474.2079</v>
      </c>
    </row>
    <row r="2803">
      <c r="A2803" s="3">
        <f>IFERROR(__xludf.DUMMYFUNCTION("""COMPUTED_VALUE"""),43220.99861111111)</f>
        <v>43220.99861</v>
      </c>
      <c r="B2803" s="1">
        <f>IFERROR(__xludf.DUMMYFUNCTION("""COMPUTED_VALUE"""),10482.7441)</f>
        <v>10482.7441</v>
      </c>
    </row>
    <row r="2804">
      <c r="A2804" s="3">
        <f>IFERROR(__xludf.DUMMYFUNCTION("""COMPUTED_VALUE"""),43221.99861111111)</f>
        <v>43221.99861</v>
      </c>
      <c r="B2804" s="1">
        <f>IFERROR(__xludf.DUMMYFUNCTION("""COMPUTED_VALUE"""),10480.71261)</f>
        <v>10480.71261</v>
      </c>
    </row>
    <row r="2805">
      <c r="A2805" s="3">
        <f>IFERROR(__xludf.DUMMYFUNCTION("""COMPUTED_VALUE"""),43222.99861111111)</f>
        <v>43222.99861</v>
      </c>
      <c r="B2805" s="1">
        <f>IFERROR(__xludf.DUMMYFUNCTION("""COMPUTED_VALUE"""),10474.9806)</f>
        <v>10474.9806</v>
      </c>
    </row>
    <row r="2806">
      <c r="A2806" s="3">
        <f>IFERROR(__xludf.DUMMYFUNCTION("""COMPUTED_VALUE"""),43223.99861111111)</f>
        <v>43223.99861</v>
      </c>
      <c r="B2806" s="1">
        <f>IFERROR(__xludf.DUMMYFUNCTION("""COMPUTED_VALUE"""),10462.59893)</f>
        <v>10462.59893</v>
      </c>
    </row>
    <row r="2807">
      <c r="A2807" s="3">
        <f>IFERROR(__xludf.DUMMYFUNCTION("""COMPUTED_VALUE"""),43224.99861111111)</f>
        <v>43224.99861</v>
      </c>
      <c r="B2807" s="1">
        <f>IFERROR(__xludf.DUMMYFUNCTION("""COMPUTED_VALUE"""),10441.82115)</f>
        <v>10441.82115</v>
      </c>
    </row>
    <row r="2808">
      <c r="A2808" s="3">
        <f>IFERROR(__xludf.DUMMYFUNCTION("""COMPUTED_VALUE"""),43225.99861111111)</f>
        <v>43225.99861</v>
      </c>
      <c r="B2808" s="1">
        <f>IFERROR(__xludf.DUMMYFUNCTION("""COMPUTED_VALUE"""),10438.15661)</f>
        <v>10438.15661</v>
      </c>
    </row>
    <row r="2809">
      <c r="A2809" s="3">
        <f>IFERROR(__xludf.DUMMYFUNCTION("""COMPUTED_VALUE"""),43226.99861111111)</f>
        <v>43226.99861</v>
      </c>
      <c r="B2809" s="1">
        <f>IFERROR(__xludf.DUMMYFUNCTION("""COMPUTED_VALUE"""),10444.03747)</f>
        <v>10444.03747</v>
      </c>
    </row>
    <row r="2810">
      <c r="A2810" s="3">
        <f>IFERROR(__xludf.DUMMYFUNCTION("""COMPUTED_VALUE"""),43227.99861111111)</f>
        <v>43227.99861</v>
      </c>
      <c r="B2810" s="1">
        <f>IFERROR(__xludf.DUMMYFUNCTION("""COMPUTED_VALUE"""),10686.53576)</f>
        <v>10686.53576</v>
      </c>
    </row>
    <row r="2811">
      <c r="A2811" s="3">
        <f>IFERROR(__xludf.DUMMYFUNCTION("""COMPUTED_VALUE"""),43228.99861111111)</f>
        <v>43228.99861</v>
      </c>
      <c r="B2811" s="1">
        <f>IFERROR(__xludf.DUMMYFUNCTION("""COMPUTED_VALUE"""),10641.0186)</f>
        <v>10641.0186</v>
      </c>
    </row>
    <row r="2812">
      <c r="A2812" s="3">
        <f>IFERROR(__xludf.DUMMYFUNCTION("""COMPUTED_VALUE"""),43229.99861111111)</f>
        <v>43229.99861</v>
      </c>
      <c r="B2812" s="1">
        <f>IFERROR(__xludf.DUMMYFUNCTION("""COMPUTED_VALUE"""),10436.5368)</f>
        <v>10436.5368</v>
      </c>
    </row>
    <row r="2813">
      <c r="A2813" s="3">
        <f>IFERROR(__xludf.DUMMYFUNCTION("""COMPUTED_VALUE"""),43230.99861111111)</f>
        <v>43230.99861</v>
      </c>
      <c r="B2813" s="1">
        <f>IFERROR(__xludf.DUMMYFUNCTION("""COMPUTED_VALUE"""),10513.51611)</f>
        <v>10513.51611</v>
      </c>
    </row>
    <row r="2814">
      <c r="A2814" s="3">
        <f>IFERROR(__xludf.DUMMYFUNCTION("""COMPUTED_VALUE"""),43231.99861111111)</f>
        <v>43231.99861</v>
      </c>
      <c r="B2814" s="1">
        <f>IFERROR(__xludf.DUMMYFUNCTION("""COMPUTED_VALUE"""),10429.908)</f>
        <v>10429.908</v>
      </c>
    </row>
    <row r="2815">
      <c r="A2815" s="3">
        <f>IFERROR(__xludf.DUMMYFUNCTION("""COMPUTED_VALUE"""),43232.99861111111)</f>
        <v>43232.99861</v>
      </c>
      <c r="B2815" s="1">
        <f>IFERROR(__xludf.DUMMYFUNCTION("""COMPUTED_VALUE"""),10430.20058)</f>
        <v>10430.20058</v>
      </c>
    </row>
    <row r="2816">
      <c r="A2816" s="3">
        <f>IFERROR(__xludf.DUMMYFUNCTION("""COMPUTED_VALUE"""),43233.99861111111)</f>
        <v>43233.99861</v>
      </c>
      <c r="B2816" s="1">
        <f>IFERROR(__xludf.DUMMYFUNCTION("""COMPUTED_VALUE"""),10444.7013)</f>
        <v>10444.7013</v>
      </c>
    </row>
    <row r="2817">
      <c r="A2817" s="3">
        <f>IFERROR(__xludf.DUMMYFUNCTION("""COMPUTED_VALUE"""),43234.99861111111)</f>
        <v>43234.99861</v>
      </c>
      <c r="B2817" s="1">
        <f>IFERROR(__xludf.DUMMYFUNCTION("""COMPUTED_VALUE"""),10451.3055)</f>
        <v>10451.3055</v>
      </c>
    </row>
    <row r="2818">
      <c r="A2818" s="3">
        <f>IFERROR(__xludf.DUMMYFUNCTION("""COMPUTED_VALUE"""),43235.99861111111)</f>
        <v>43235.99861</v>
      </c>
      <c r="B2818" s="1">
        <f>IFERROR(__xludf.DUMMYFUNCTION("""COMPUTED_VALUE"""),10428.0781)</f>
        <v>10428.0781</v>
      </c>
    </row>
    <row r="2819">
      <c r="A2819" s="3">
        <f>IFERROR(__xludf.DUMMYFUNCTION("""COMPUTED_VALUE"""),43236.99861111111)</f>
        <v>43236.99861</v>
      </c>
      <c r="B2819" s="1">
        <f>IFERROR(__xludf.DUMMYFUNCTION("""COMPUTED_VALUE"""),10558.13304)</f>
        <v>10558.13304</v>
      </c>
    </row>
    <row r="2820">
      <c r="A2820" s="3">
        <f>IFERROR(__xludf.DUMMYFUNCTION("""COMPUTED_VALUE"""),43237.99861111111)</f>
        <v>43237.99861</v>
      </c>
      <c r="B2820" s="1">
        <f>IFERROR(__xludf.DUMMYFUNCTION("""COMPUTED_VALUE"""),10543.36675)</f>
        <v>10543.36675</v>
      </c>
    </row>
    <row r="2821">
      <c r="A2821" s="3">
        <f>IFERROR(__xludf.DUMMYFUNCTION("""COMPUTED_VALUE"""),43238.99861111111)</f>
        <v>43238.99861</v>
      </c>
      <c r="B2821" s="1">
        <f>IFERROR(__xludf.DUMMYFUNCTION("""COMPUTED_VALUE"""),10524.1764)</f>
        <v>10524.1764</v>
      </c>
    </row>
    <row r="2822">
      <c r="A2822" s="3">
        <f>IFERROR(__xludf.DUMMYFUNCTION("""COMPUTED_VALUE"""),43239.99861111111)</f>
        <v>43239.99861</v>
      </c>
      <c r="B2822" s="1">
        <f>IFERROR(__xludf.DUMMYFUNCTION("""COMPUTED_VALUE"""),10521.06692)</f>
        <v>10521.06692</v>
      </c>
    </row>
    <row r="2823">
      <c r="A2823" s="3">
        <f>IFERROR(__xludf.DUMMYFUNCTION("""COMPUTED_VALUE"""),43240.99861111111)</f>
        <v>43240.99861</v>
      </c>
      <c r="B2823" s="1">
        <f>IFERROR(__xludf.DUMMYFUNCTION("""COMPUTED_VALUE"""),10541.80416)</f>
        <v>10541.80416</v>
      </c>
    </row>
    <row r="2824">
      <c r="A2824" s="3">
        <f>IFERROR(__xludf.DUMMYFUNCTION("""COMPUTED_VALUE"""),43241.99861111111)</f>
        <v>43241.99861</v>
      </c>
      <c r="B2824" s="1">
        <f>IFERROR(__xludf.DUMMYFUNCTION("""COMPUTED_VALUE"""),10609.2576)</f>
        <v>10609.2576</v>
      </c>
    </row>
    <row r="2825">
      <c r="A2825" s="3">
        <f>IFERROR(__xludf.DUMMYFUNCTION("""COMPUTED_VALUE"""),43242.99861111111)</f>
        <v>43242.99861</v>
      </c>
      <c r="B2825" s="1">
        <f>IFERROR(__xludf.DUMMYFUNCTION("""COMPUTED_VALUE"""),10606.57752)</f>
        <v>10606.57752</v>
      </c>
    </row>
    <row r="2826">
      <c r="A2826" s="3">
        <f>IFERROR(__xludf.DUMMYFUNCTION("""COMPUTED_VALUE"""),43243.99861111111)</f>
        <v>43243.99861</v>
      </c>
      <c r="B2826" s="1">
        <f>IFERROR(__xludf.DUMMYFUNCTION("""COMPUTED_VALUE"""),10550.2374)</f>
        <v>10550.2374</v>
      </c>
    </row>
    <row r="2827">
      <c r="A2827" s="3">
        <f>IFERROR(__xludf.DUMMYFUNCTION("""COMPUTED_VALUE"""),43244.99861111111)</f>
        <v>43244.99861</v>
      </c>
      <c r="B2827" s="1">
        <f>IFERROR(__xludf.DUMMYFUNCTION("""COMPUTED_VALUE"""),10538.76384)</f>
        <v>10538.76384</v>
      </c>
    </row>
    <row r="2828">
      <c r="A2828" s="3">
        <f>IFERROR(__xludf.DUMMYFUNCTION("""COMPUTED_VALUE"""),43245.99861111111)</f>
        <v>43245.99861</v>
      </c>
      <c r="B2828" s="1">
        <f>IFERROR(__xludf.DUMMYFUNCTION("""COMPUTED_VALUE"""),10514.2076)</f>
        <v>10514.2076</v>
      </c>
    </row>
    <row r="2829">
      <c r="A2829" s="3">
        <f>IFERROR(__xludf.DUMMYFUNCTION("""COMPUTED_VALUE"""),43246.99861111111)</f>
        <v>43246.99861</v>
      </c>
      <c r="B2829" s="1">
        <f>IFERROR(__xludf.DUMMYFUNCTION("""COMPUTED_VALUE"""),10466.51736)</f>
        <v>10466.51736</v>
      </c>
    </row>
    <row r="2830">
      <c r="A2830" s="3">
        <f>IFERROR(__xludf.DUMMYFUNCTION("""COMPUTED_VALUE"""),43247.99861111111)</f>
        <v>43247.99861</v>
      </c>
      <c r="B2830" s="1">
        <f>IFERROR(__xludf.DUMMYFUNCTION("""COMPUTED_VALUE"""),10495.00822)</f>
        <v>10495.00822</v>
      </c>
    </row>
    <row r="2831">
      <c r="A2831" s="3">
        <f>IFERROR(__xludf.DUMMYFUNCTION("""COMPUTED_VALUE"""),43248.99861111111)</f>
        <v>43248.99861</v>
      </c>
      <c r="B2831" s="1">
        <f>IFERROR(__xludf.DUMMYFUNCTION("""COMPUTED_VALUE"""),10431.2856)</f>
        <v>10431.2856</v>
      </c>
    </row>
    <row r="2832">
      <c r="A2832" s="3">
        <f>IFERROR(__xludf.DUMMYFUNCTION("""COMPUTED_VALUE"""),43249.99861111111)</f>
        <v>43249.99861</v>
      </c>
      <c r="B2832" s="1">
        <f>IFERROR(__xludf.DUMMYFUNCTION("""COMPUTED_VALUE"""),10418.49656)</f>
        <v>10418.49656</v>
      </c>
    </row>
    <row r="2833">
      <c r="A2833" s="3">
        <f>IFERROR(__xludf.DUMMYFUNCTION("""COMPUTED_VALUE"""),43250.99861111111)</f>
        <v>43250.99861</v>
      </c>
      <c r="B2833" s="1">
        <f>IFERROR(__xludf.DUMMYFUNCTION("""COMPUTED_VALUE"""),10436.76567)</f>
        <v>10436.76567</v>
      </c>
    </row>
    <row r="2834">
      <c r="A2834" s="3">
        <f>IFERROR(__xludf.DUMMYFUNCTION("""COMPUTED_VALUE"""),43251.99861111111)</f>
        <v>43251.99861</v>
      </c>
      <c r="B2834" s="1">
        <f>IFERROR(__xludf.DUMMYFUNCTION("""COMPUTED_VALUE"""),10367.5272)</f>
        <v>10367.5272</v>
      </c>
    </row>
    <row r="2835">
      <c r="A2835" s="3">
        <f>IFERROR(__xludf.DUMMYFUNCTION("""COMPUTED_VALUE"""),43252.99861111111)</f>
        <v>43252.99861</v>
      </c>
      <c r="B2835" s="1">
        <f>IFERROR(__xludf.DUMMYFUNCTION("""COMPUTED_VALUE"""),10323.37536)</f>
        <v>10323.37536</v>
      </c>
    </row>
    <row r="2836">
      <c r="A2836" s="3">
        <f>IFERROR(__xludf.DUMMYFUNCTION("""COMPUTED_VALUE"""),43253.99861111111)</f>
        <v>43253.99861</v>
      </c>
      <c r="B2836" s="1">
        <f>IFERROR(__xludf.DUMMYFUNCTION("""COMPUTED_VALUE"""),10329.59243)</f>
        <v>10329.59243</v>
      </c>
    </row>
    <row r="2837">
      <c r="A2837" s="3">
        <f>IFERROR(__xludf.DUMMYFUNCTION("""COMPUTED_VALUE"""),43254.99861111111)</f>
        <v>43254.99861</v>
      </c>
      <c r="B2837" s="1">
        <f>IFERROR(__xludf.DUMMYFUNCTION("""COMPUTED_VALUE"""),10413.0798)</f>
        <v>10413.0798</v>
      </c>
    </row>
    <row r="2838">
      <c r="A2838" s="3">
        <f>IFERROR(__xludf.DUMMYFUNCTION("""COMPUTED_VALUE"""),43255.99861111111)</f>
        <v>43255.99861</v>
      </c>
      <c r="B2838" s="1">
        <f>IFERROR(__xludf.DUMMYFUNCTION("""COMPUTED_VALUE"""),10370.052)</f>
        <v>10370.052</v>
      </c>
    </row>
    <row r="2839">
      <c r="A2839" s="3">
        <f>IFERROR(__xludf.DUMMYFUNCTION("""COMPUTED_VALUE"""),43256.99861111111)</f>
        <v>43256.99861</v>
      </c>
      <c r="B2839" s="1">
        <f>IFERROR(__xludf.DUMMYFUNCTION("""COMPUTED_VALUE"""),10394.178)</f>
        <v>10394.178</v>
      </c>
    </row>
    <row r="2840">
      <c r="A2840" s="3">
        <f>IFERROR(__xludf.DUMMYFUNCTION("""COMPUTED_VALUE"""),43257.99861111111)</f>
        <v>43257.99861</v>
      </c>
      <c r="B2840" s="1">
        <f>IFERROR(__xludf.DUMMYFUNCTION("""COMPUTED_VALUE"""),10371.47592)</f>
        <v>10371.47592</v>
      </c>
    </row>
    <row r="2841">
      <c r="A2841" s="3">
        <f>IFERROR(__xludf.DUMMYFUNCTION("""COMPUTED_VALUE"""),43258.99861111111)</f>
        <v>43258.99861</v>
      </c>
      <c r="B2841" s="1">
        <f>IFERROR(__xludf.DUMMYFUNCTION("""COMPUTED_VALUE"""),10390.3185)</f>
        <v>10390.3185</v>
      </c>
    </row>
    <row r="2842">
      <c r="A2842" s="3">
        <f>IFERROR(__xludf.DUMMYFUNCTION("""COMPUTED_VALUE"""),43259.99861111111)</f>
        <v>43259.99861</v>
      </c>
      <c r="B2842" s="1">
        <f>IFERROR(__xludf.DUMMYFUNCTION("""COMPUTED_VALUE"""),10429.68648)</f>
        <v>10429.68648</v>
      </c>
    </row>
    <row r="2843">
      <c r="A2843" s="3">
        <f>IFERROR(__xludf.DUMMYFUNCTION("""COMPUTED_VALUE"""),43260.99861111111)</f>
        <v>43260.99861</v>
      </c>
      <c r="B2843" s="1">
        <f>IFERROR(__xludf.DUMMYFUNCTION("""COMPUTED_VALUE"""),10442.53731)</f>
        <v>10442.53731</v>
      </c>
    </row>
    <row r="2844">
      <c r="A2844" s="3">
        <f>IFERROR(__xludf.DUMMYFUNCTION("""COMPUTED_VALUE"""),43261.99861111111)</f>
        <v>43261.99861</v>
      </c>
      <c r="B2844" s="1">
        <f>IFERROR(__xludf.DUMMYFUNCTION("""COMPUTED_VALUE"""),10387.0206)</f>
        <v>10387.0206</v>
      </c>
    </row>
    <row r="2845">
      <c r="A2845" s="3">
        <f>IFERROR(__xludf.DUMMYFUNCTION("""COMPUTED_VALUE"""),43262.99861111111)</f>
        <v>43262.99861</v>
      </c>
      <c r="B2845" s="1">
        <f>IFERROR(__xludf.DUMMYFUNCTION("""COMPUTED_VALUE"""),10417.46706)</f>
        <v>10417.46706</v>
      </c>
    </row>
    <row r="2846">
      <c r="A2846" s="3">
        <f>IFERROR(__xludf.DUMMYFUNCTION("""COMPUTED_VALUE"""),43263.99861111111)</f>
        <v>43263.99861</v>
      </c>
      <c r="B2846" s="1">
        <f>IFERROR(__xludf.DUMMYFUNCTION("""COMPUTED_VALUE"""),10409.67018)</f>
        <v>10409.67018</v>
      </c>
    </row>
    <row r="2847">
      <c r="A2847" s="3">
        <f>IFERROR(__xludf.DUMMYFUNCTION("""COMPUTED_VALUE"""),43264.99861111111)</f>
        <v>43264.99861</v>
      </c>
      <c r="B2847" s="1">
        <f>IFERROR(__xludf.DUMMYFUNCTION("""COMPUTED_VALUE"""),10426.09932)</f>
        <v>10426.09932</v>
      </c>
    </row>
    <row r="2848">
      <c r="A2848" s="3">
        <f>IFERROR(__xludf.DUMMYFUNCTION("""COMPUTED_VALUE"""),43265.99861111111)</f>
        <v>43265.99861</v>
      </c>
      <c r="B2848" s="1">
        <f>IFERROR(__xludf.DUMMYFUNCTION("""COMPUTED_VALUE"""),10492.90627)</f>
        <v>10492.90627</v>
      </c>
    </row>
    <row r="2849">
      <c r="A2849" s="3">
        <f>IFERROR(__xludf.DUMMYFUNCTION("""COMPUTED_VALUE"""),43266.99861111111)</f>
        <v>43266.99861</v>
      </c>
      <c r="B2849" s="1">
        <f>IFERROR(__xludf.DUMMYFUNCTION("""COMPUTED_VALUE"""),10411.2299)</f>
        <v>10411.2299</v>
      </c>
    </row>
    <row r="2850">
      <c r="A2850" s="3">
        <f>IFERROR(__xludf.DUMMYFUNCTION("""COMPUTED_VALUE"""),43268.99861111111)</f>
        <v>43268.99861</v>
      </c>
      <c r="B2850" s="1">
        <f>IFERROR(__xludf.DUMMYFUNCTION("""COMPUTED_VALUE"""),10292.71698)</f>
        <v>10292.71698</v>
      </c>
    </row>
    <row r="2851">
      <c r="A2851" s="3">
        <f>IFERROR(__xludf.DUMMYFUNCTION("""COMPUTED_VALUE"""),43269.99861111111)</f>
        <v>43269.99861</v>
      </c>
      <c r="B2851" s="1">
        <f>IFERROR(__xludf.DUMMYFUNCTION("""COMPUTED_VALUE"""),10301.6277)</f>
        <v>10301.6277</v>
      </c>
    </row>
    <row r="2852">
      <c r="A2852" s="3">
        <f>IFERROR(__xludf.DUMMYFUNCTION("""COMPUTED_VALUE"""),43270.99861111111)</f>
        <v>43270.99861</v>
      </c>
      <c r="B2852" s="1">
        <f>IFERROR(__xludf.DUMMYFUNCTION("""COMPUTED_VALUE"""),10265.4279)</f>
        <v>10265.4279</v>
      </c>
    </row>
    <row r="2853">
      <c r="A2853" s="3">
        <f>IFERROR(__xludf.DUMMYFUNCTION("""COMPUTED_VALUE"""),43271.99861111111)</f>
        <v>43271.99861</v>
      </c>
      <c r="B2853" s="1">
        <f>IFERROR(__xludf.DUMMYFUNCTION("""COMPUTED_VALUE"""),10247.328)</f>
        <v>10247.328</v>
      </c>
    </row>
    <row r="2854">
      <c r="A2854" s="3">
        <f>IFERROR(__xludf.DUMMYFUNCTION("""COMPUTED_VALUE"""),43272.99861111111)</f>
        <v>43272.99861</v>
      </c>
      <c r="B2854" s="1">
        <f>IFERROR(__xludf.DUMMYFUNCTION("""COMPUTED_VALUE"""),10370.31768)</f>
        <v>10370.31768</v>
      </c>
    </row>
    <row r="2855">
      <c r="A2855" s="3">
        <f>IFERROR(__xludf.DUMMYFUNCTION("""COMPUTED_VALUE"""),43273.99861111111)</f>
        <v>43273.99861</v>
      </c>
      <c r="B2855" s="1">
        <f>IFERROR(__xludf.DUMMYFUNCTION("""COMPUTED_VALUE"""),10367.77553)</f>
        <v>10367.77553</v>
      </c>
    </row>
    <row r="2856">
      <c r="A2856" s="3">
        <f>IFERROR(__xludf.DUMMYFUNCTION("""COMPUTED_VALUE"""),43275.99861111111)</f>
        <v>43275.99861</v>
      </c>
      <c r="B2856" s="1">
        <f>IFERROR(__xludf.DUMMYFUNCTION("""COMPUTED_VALUE"""),10349.2842)</f>
        <v>10349.2842</v>
      </c>
    </row>
    <row r="2857">
      <c r="A2857" s="3">
        <f>IFERROR(__xludf.DUMMYFUNCTION("""COMPUTED_VALUE"""),43276.99861111111)</f>
        <v>43276.99861</v>
      </c>
      <c r="B2857" s="1">
        <f>IFERROR(__xludf.DUMMYFUNCTION("""COMPUTED_VALUE"""),10387.32012)</f>
        <v>10387.32012</v>
      </c>
    </row>
    <row r="2858">
      <c r="A2858" s="3">
        <f>IFERROR(__xludf.DUMMYFUNCTION("""COMPUTED_VALUE"""),43277.99861111111)</f>
        <v>43277.99861</v>
      </c>
      <c r="B2858" s="1">
        <f>IFERROR(__xludf.DUMMYFUNCTION("""COMPUTED_VALUE"""),10410.16124)</f>
        <v>10410.16124</v>
      </c>
    </row>
    <row r="2859">
      <c r="A2859" s="3">
        <f>IFERROR(__xludf.DUMMYFUNCTION("""COMPUTED_VALUE"""),43278.99861111111)</f>
        <v>43278.99861</v>
      </c>
      <c r="B2859" s="1">
        <f>IFERROR(__xludf.DUMMYFUNCTION("""COMPUTED_VALUE"""),10414.326)</f>
        <v>10414.326</v>
      </c>
    </row>
    <row r="2860">
      <c r="A2860" s="3">
        <f>IFERROR(__xludf.DUMMYFUNCTION("""COMPUTED_VALUE"""),43279.99861111111)</f>
        <v>43279.99861</v>
      </c>
      <c r="B2860" s="1">
        <f>IFERROR(__xludf.DUMMYFUNCTION("""COMPUTED_VALUE"""),10485.1145)</f>
        <v>10485.1145</v>
      </c>
    </row>
    <row r="2861">
      <c r="A2861" s="3">
        <f>IFERROR(__xludf.DUMMYFUNCTION("""COMPUTED_VALUE"""),43280.99861111111)</f>
        <v>43280.99861</v>
      </c>
      <c r="B2861" s="1">
        <f>IFERROR(__xludf.DUMMYFUNCTION("""COMPUTED_VALUE"""),10470.6728)</f>
        <v>10470.6728</v>
      </c>
    </row>
    <row r="2862">
      <c r="A2862" s="3">
        <f>IFERROR(__xludf.DUMMYFUNCTION("""COMPUTED_VALUE"""),43281.99861111111)</f>
        <v>43281.99861</v>
      </c>
      <c r="B2862" s="1">
        <f>IFERROR(__xludf.DUMMYFUNCTION("""COMPUTED_VALUE"""),10468.67458)</f>
        <v>10468.67458</v>
      </c>
    </row>
    <row r="2863">
      <c r="A2863" s="3">
        <f>IFERROR(__xludf.DUMMYFUNCTION("""COMPUTED_VALUE"""),43282.99861111111)</f>
        <v>43282.99861</v>
      </c>
      <c r="B2863" s="1">
        <f>IFERROR(__xludf.DUMMYFUNCTION("""COMPUTED_VALUE"""),10503.66705)</f>
        <v>10503.66705</v>
      </c>
    </row>
    <row r="2864">
      <c r="A2864" s="3">
        <f>IFERROR(__xludf.DUMMYFUNCTION("""COMPUTED_VALUE"""),43283.99861111111)</f>
        <v>43283.99861</v>
      </c>
      <c r="B2864" s="1">
        <f>IFERROR(__xludf.DUMMYFUNCTION("""COMPUTED_VALUE"""),10476.89675)</f>
        <v>10476.89675</v>
      </c>
    </row>
    <row r="2865">
      <c r="A2865" s="3">
        <f>IFERROR(__xludf.DUMMYFUNCTION("""COMPUTED_VALUE"""),43284.99861111111)</f>
        <v>43284.99861</v>
      </c>
      <c r="B2865" s="1">
        <f>IFERROR(__xludf.DUMMYFUNCTION("""COMPUTED_VALUE"""),10508.83601)</f>
        <v>10508.83601</v>
      </c>
    </row>
    <row r="2866">
      <c r="A2866" s="3">
        <f>IFERROR(__xludf.DUMMYFUNCTION("""COMPUTED_VALUE"""),43285.99861111111)</f>
        <v>43285.99861</v>
      </c>
      <c r="B2866" s="1">
        <f>IFERROR(__xludf.DUMMYFUNCTION("""COMPUTED_VALUE"""),10549.44)</f>
        <v>10549.44</v>
      </c>
    </row>
    <row r="2867">
      <c r="A2867" s="3">
        <f>IFERROR(__xludf.DUMMYFUNCTION("""COMPUTED_VALUE"""),43286.99861111111)</f>
        <v>43286.99861</v>
      </c>
      <c r="B2867" s="1">
        <f>IFERROR(__xludf.DUMMYFUNCTION("""COMPUTED_VALUE"""),10530.88933)</f>
        <v>10530.88933</v>
      </c>
    </row>
    <row r="2868">
      <c r="A2868" s="3">
        <f>IFERROR(__xludf.DUMMYFUNCTION("""COMPUTED_VALUE"""),43287.99861111111)</f>
        <v>43287.99861</v>
      </c>
      <c r="B2868" s="1">
        <f>IFERROR(__xludf.DUMMYFUNCTION("""COMPUTED_VALUE"""),10559.05713)</f>
        <v>10559.05713</v>
      </c>
    </row>
    <row r="2869">
      <c r="A2869" s="3">
        <f>IFERROR(__xludf.DUMMYFUNCTION("""COMPUTED_VALUE"""),43288.99861111111)</f>
        <v>43288.99861</v>
      </c>
      <c r="B2869" s="1">
        <f>IFERROR(__xludf.DUMMYFUNCTION("""COMPUTED_VALUE"""),10560.49083)</f>
        <v>10560.49083</v>
      </c>
    </row>
    <row r="2870">
      <c r="A2870" s="3">
        <f>IFERROR(__xludf.DUMMYFUNCTION("""COMPUTED_VALUE"""),43289.99861111111)</f>
        <v>43289.99861</v>
      </c>
      <c r="B2870" s="1">
        <f>IFERROR(__xludf.DUMMYFUNCTION("""COMPUTED_VALUE"""),10537.67778)</f>
        <v>10537.67778</v>
      </c>
    </row>
    <row r="2871">
      <c r="A2871" s="3">
        <f>IFERROR(__xludf.DUMMYFUNCTION("""COMPUTED_VALUE"""),43290.99861111111)</f>
        <v>43290.99861</v>
      </c>
      <c r="B2871" s="1">
        <f>IFERROR(__xludf.DUMMYFUNCTION("""COMPUTED_VALUE"""),10556.22293)</f>
        <v>10556.22293</v>
      </c>
    </row>
    <row r="2872">
      <c r="A2872" s="3">
        <f>IFERROR(__xludf.DUMMYFUNCTION("""COMPUTED_VALUE"""),43291.99861111111)</f>
        <v>43291.99861</v>
      </c>
      <c r="B2872" s="1">
        <f>IFERROR(__xludf.DUMMYFUNCTION("""COMPUTED_VALUE"""),10571.80625)</f>
        <v>10571.80625</v>
      </c>
    </row>
    <row r="2873">
      <c r="A2873" s="3">
        <f>IFERROR(__xludf.DUMMYFUNCTION("""COMPUTED_VALUE"""),43292.99861111111)</f>
        <v>43292.99861</v>
      </c>
      <c r="B2873" s="1">
        <f>IFERROR(__xludf.DUMMYFUNCTION("""COMPUTED_VALUE"""),10537.92376)</f>
        <v>10537.92376</v>
      </c>
    </row>
    <row r="2874">
      <c r="A2874" s="3">
        <f>IFERROR(__xludf.DUMMYFUNCTION("""COMPUTED_VALUE"""),43293.99861111111)</f>
        <v>43293.99861</v>
      </c>
      <c r="B2874" s="1">
        <f>IFERROR(__xludf.DUMMYFUNCTION("""COMPUTED_VALUE"""),10543.9173)</f>
        <v>10543.9173</v>
      </c>
    </row>
    <row r="2875">
      <c r="A2875" s="3">
        <f>IFERROR(__xludf.DUMMYFUNCTION("""COMPUTED_VALUE"""),43294.99861111111)</f>
        <v>43294.99861</v>
      </c>
      <c r="B2875" s="1">
        <f>IFERROR(__xludf.DUMMYFUNCTION("""COMPUTED_VALUE"""),10518.66049)</f>
        <v>10518.66049</v>
      </c>
    </row>
    <row r="2876">
      <c r="A2876" s="3">
        <f>IFERROR(__xludf.DUMMYFUNCTION("""COMPUTED_VALUE"""),43295.99861111111)</f>
        <v>43295.99861</v>
      </c>
      <c r="B2876" s="1">
        <f>IFERROR(__xludf.DUMMYFUNCTION("""COMPUTED_VALUE"""),10518.88005)</f>
        <v>10518.88005</v>
      </c>
    </row>
    <row r="2877">
      <c r="A2877" s="3">
        <f>IFERROR(__xludf.DUMMYFUNCTION("""COMPUTED_VALUE"""),43296.99861111111)</f>
        <v>43296.99861</v>
      </c>
      <c r="B2877" s="1">
        <f>IFERROR(__xludf.DUMMYFUNCTION("""COMPUTED_VALUE"""),10522.4733)</f>
        <v>10522.4733</v>
      </c>
    </row>
    <row r="2878">
      <c r="A2878" s="3">
        <f>IFERROR(__xludf.DUMMYFUNCTION("""COMPUTED_VALUE"""),43297.99861111111)</f>
        <v>43297.99861</v>
      </c>
      <c r="B2878" s="1">
        <f>IFERROR(__xludf.DUMMYFUNCTION("""COMPUTED_VALUE"""),10545.8572)</f>
        <v>10545.8572</v>
      </c>
    </row>
    <row r="2879">
      <c r="A2879" s="3">
        <f>IFERROR(__xludf.DUMMYFUNCTION("""COMPUTED_VALUE"""),43298.99861111111)</f>
        <v>43298.99861</v>
      </c>
      <c r="B2879" s="1">
        <f>IFERROR(__xludf.DUMMYFUNCTION("""COMPUTED_VALUE"""),10525.97678)</f>
        <v>10525.97678</v>
      </c>
    </row>
    <row r="2880">
      <c r="A2880" s="3">
        <f>IFERROR(__xludf.DUMMYFUNCTION("""COMPUTED_VALUE"""),43299.99861111111)</f>
        <v>43299.99861</v>
      </c>
      <c r="B2880" s="1">
        <f>IFERROR(__xludf.DUMMYFUNCTION("""COMPUTED_VALUE"""),10575.57753)</f>
        <v>10575.57753</v>
      </c>
    </row>
    <row r="2881">
      <c r="A2881" s="3">
        <f>IFERROR(__xludf.DUMMYFUNCTION("""COMPUTED_VALUE"""),43300.99861111111)</f>
        <v>43300.99861</v>
      </c>
      <c r="B2881" s="1">
        <f>IFERROR(__xludf.DUMMYFUNCTION("""COMPUTED_VALUE"""),10566.7038)</f>
        <v>10566.7038</v>
      </c>
    </row>
    <row r="2882">
      <c r="A2882" s="3">
        <f>IFERROR(__xludf.DUMMYFUNCTION("""COMPUTED_VALUE"""),43301.99861111111)</f>
        <v>43301.99861</v>
      </c>
      <c r="B2882" s="1">
        <f>IFERROR(__xludf.DUMMYFUNCTION("""COMPUTED_VALUE"""),10627.13469)</f>
        <v>10627.13469</v>
      </c>
    </row>
    <row r="2883">
      <c r="A2883" s="3">
        <f>IFERROR(__xludf.DUMMYFUNCTION("""COMPUTED_VALUE"""),43302.99861111111)</f>
        <v>43302.99861</v>
      </c>
      <c r="B2883" s="1">
        <f>IFERROR(__xludf.DUMMYFUNCTION("""COMPUTED_VALUE"""),10635.56057)</f>
        <v>10635.56057</v>
      </c>
    </row>
    <row r="2884">
      <c r="A2884" s="3">
        <f>IFERROR(__xludf.DUMMYFUNCTION("""COMPUTED_VALUE"""),43303.99861111111)</f>
        <v>43303.99861</v>
      </c>
      <c r="B2884" s="1">
        <f>IFERROR(__xludf.DUMMYFUNCTION("""COMPUTED_VALUE"""),10627.81336)</f>
        <v>10627.81336</v>
      </c>
    </row>
    <row r="2885">
      <c r="A2885" s="3">
        <f>IFERROR(__xludf.DUMMYFUNCTION("""COMPUTED_VALUE"""),43304.99861111111)</f>
        <v>43304.99861</v>
      </c>
      <c r="B2885" s="1">
        <f>IFERROR(__xludf.DUMMYFUNCTION("""COMPUTED_VALUE"""),10669.237)</f>
        <v>10669.237</v>
      </c>
    </row>
    <row r="2886">
      <c r="A2886" s="3">
        <f>IFERROR(__xludf.DUMMYFUNCTION("""COMPUTED_VALUE"""),43305.99861111111)</f>
        <v>43305.99861</v>
      </c>
      <c r="B2886" s="1">
        <f>IFERROR(__xludf.DUMMYFUNCTION("""COMPUTED_VALUE"""),10660.67519)</f>
        <v>10660.67519</v>
      </c>
    </row>
    <row r="2887">
      <c r="A2887" s="3">
        <f>IFERROR(__xludf.DUMMYFUNCTION("""COMPUTED_VALUE"""),43306.99861111111)</f>
        <v>43306.99861</v>
      </c>
      <c r="B2887" s="1">
        <f>IFERROR(__xludf.DUMMYFUNCTION("""COMPUTED_VALUE"""),10652.45995)</f>
        <v>10652.45995</v>
      </c>
    </row>
    <row r="2888">
      <c r="A2888" s="3">
        <f>IFERROR(__xludf.DUMMYFUNCTION("""COMPUTED_VALUE"""),43307.99861111111)</f>
        <v>43307.99861</v>
      </c>
      <c r="B2888" s="1">
        <f>IFERROR(__xludf.DUMMYFUNCTION("""COMPUTED_VALUE"""),10649.73)</f>
        <v>10649.73</v>
      </c>
    </row>
    <row r="2889">
      <c r="A2889" s="3">
        <f>IFERROR(__xludf.DUMMYFUNCTION("""COMPUTED_VALUE"""),43308.99861111111)</f>
        <v>43308.99861</v>
      </c>
      <c r="B2889" s="1">
        <f>IFERROR(__xludf.DUMMYFUNCTION("""COMPUTED_VALUE"""),10550.6628)</f>
        <v>10550.6628</v>
      </c>
    </row>
    <row r="2890">
      <c r="A2890" s="3">
        <f>IFERROR(__xludf.DUMMYFUNCTION("""COMPUTED_VALUE"""),43310.99861111111)</f>
        <v>43310.99861</v>
      </c>
      <c r="B2890" s="1">
        <f>IFERROR(__xludf.DUMMYFUNCTION("""COMPUTED_VALUE"""),10583.15018)</f>
        <v>10583.15018</v>
      </c>
    </row>
    <row r="2891">
      <c r="A2891" s="3">
        <f>IFERROR(__xludf.DUMMYFUNCTION("""COMPUTED_VALUE"""),43311.99861111111)</f>
        <v>43311.99861</v>
      </c>
      <c r="B2891" s="1">
        <f>IFERROR(__xludf.DUMMYFUNCTION("""COMPUTED_VALUE"""),10579.0035)</f>
        <v>10579.0035</v>
      </c>
    </row>
    <row r="2892">
      <c r="A2892" s="3">
        <f>IFERROR(__xludf.DUMMYFUNCTION("""COMPUTED_VALUE"""),43312.99861111111)</f>
        <v>43312.99861</v>
      </c>
      <c r="B2892" s="1">
        <f>IFERROR(__xludf.DUMMYFUNCTION("""COMPUTED_VALUE"""),10576.3528)</f>
        <v>10576.3528</v>
      </c>
    </row>
    <row r="2893">
      <c r="A2893" s="3">
        <f>IFERROR(__xludf.DUMMYFUNCTION("""COMPUTED_VALUE"""),43313.99861111111)</f>
        <v>43313.99861</v>
      </c>
      <c r="B2893" s="1">
        <f>IFERROR(__xludf.DUMMYFUNCTION("""COMPUTED_VALUE"""),10635.79534)</f>
        <v>10635.79534</v>
      </c>
    </row>
    <row r="2894">
      <c r="A2894" s="3">
        <f>IFERROR(__xludf.DUMMYFUNCTION("""COMPUTED_VALUE"""),43314.99861111111)</f>
        <v>43314.99861</v>
      </c>
      <c r="B2894" s="1">
        <f>IFERROR(__xludf.DUMMYFUNCTION("""COMPUTED_VALUE"""),10606.28361)</f>
        <v>10606.28361</v>
      </c>
    </row>
    <row r="2895">
      <c r="A2895" s="3">
        <f>IFERROR(__xludf.DUMMYFUNCTION("""COMPUTED_VALUE"""),43315.99861111111)</f>
        <v>43315.99861</v>
      </c>
      <c r="B2895" s="1">
        <f>IFERROR(__xludf.DUMMYFUNCTION("""COMPUTED_VALUE"""),10590.18838)</f>
        <v>10590.18838</v>
      </c>
    </row>
    <row r="2896">
      <c r="A2896" s="3">
        <f>IFERROR(__xludf.DUMMYFUNCTION("""COMPUTED_VALUE"""),43317.99861111111)</f>
        <v>43317.99861</v>
      </c>
      <c r="B2896" s="1">
        <f>IFERROR(__xludf.DUMMYFUNCTION("""COMPUTED_VALUE"""),10596.21928)</f>
        <v>10596.21928</v>
      </c>
    </row>
    <row r="2897">
      <c r="A2897" s="3">
        <f>IFERROR(__xludf.DUMMYFUNCTION("""COMPUTED_VALUE"""),43318.99861111111)</f>
        <v>43318.99861</v>
      </c>
      <c r="B2897" s="1">
        <f>IFERROR(__xludf.DUMMYFUNCTION("""COMPUTED_VALUE"""),10624.02608)</f>
        <v>10624.02608</v>
      </c>
    </row>
    <row r="2898">
      <c r="A2898" s="3">
        <f>IFERROR(__xludf.DUMMYFUNCTION("""COMPUTED_VALUE"""),43319.99861111111)</f>
        <v>43319.99861</v>
      </c>
      <c r="B2898" s="1">
        <f>IFERROR(__xludf.DUMMYFUNCTION("""COMPUTED_VALUE"""),10572.7682)</f>
        <v>10572.7682</v>
      </c>
    </row>
    <row r="2899">
      <c r="A2899" s="3">
        <f>IFERROR(__xludf.DUMMYFUNCTION("""COMPUTED_VALUE"""),43320.99861111111)</f>
        <v>43320.99861</v>
      </c>
      <c r="B2899" s="1">
        <f>IFERROR(__xludf.DUMMYFUNCTION("""COMPUTED_VALUE"""),10556.46962)</f>
        <v>10556.46962</v>
      </c>
    </row>
    <row r="2900">
      <c r="A2900" s="3">
        <f>IFERROR(__xludf.DUMMYFUNCTION("""COMPUTED_VALUE"""),43321.99861111111)</f>
        <v>43321.99861</v>
      </c>
      <c r="B2900" s="1">
        <f>IFERROR(__xludf.DUMMYFUNCTION("""COMPUTED_VALUE"""),10578.88728)</f>
        <v>10578.88728</v>
      </c>
    </row>
    <row r="2901">
      <c r="A2901" s="3">
        <f>IFERROR(__xludf.DUMMYFUNCTION("""COMPUTED_VALUE"""),43322.99861111111)</f>
        <v>43322.99861</v>
      </c>
      <c r="B2901" s="1">
        <f>IFERROR(__xludf.DUMMYFUNCTION("""COMPUTED_VALUE"""),10540.12878)</f>
        <v>10540.12878</v>
      </c>
    </row>
    <row r="2902">
      <c r="A2902" s="3">
        <f>IFERROR(__xludf.DUMMYFUNCTION("""COMPUTED_VALUE"""),43324.99861111111)</f>
        <v>43324.99861</v>
      </c>
      <c r="B2902" s="1">
        <f>IFERROR(__xludf.DUMMYFUNCTION("""COMPUTED_VALUE"""),10534.8967)</f>
        <v>10534.8967</v>
      </c>
    </row>
    <row r="2903">
      <c r="A2903" s="3">
        <f>IFERROR(__xludf.DUMMYFUNCTION("""COMPUTED_VALUE"""),43325.99861111111)</f>
        <v>43325.99861</v>
      </c>
      <c r="B2903" s="1">
        <f>IFERROR(__xludf.DUMMYFUNCTION("""COMPUTED_VALUE"""),10602.24912)</f>
        <v>10602.24912</v>
      </c>
    </row>
    <row r="2904">
      <c r="A2904" s="3">
        <f>IFERROR(__xludf.DUMMYFUNCTION("""COMPUTED_VALUE"""),43326.99861111111)</f>
        <v>43326.99861</v>
      </c>
      <c r="B2904" s="1">
        <f>IFERROR(__xludf.DUMMYFUNCTION("""COMPUTED_VALUE"""),10623.94236)</f>
        <v>10623.94236</v>
      </c>
    </row>
    <row r="2905">
      <c r="A2905" s="3">
        <f>IFERROR(__xludf.DUMMYFUNCTION("""COMPUTED_VALUE"""),43327.99861111111)</f>
        <v>43327.99861</v>
      </c>
      <c r="B2905" s="1">
        <f>IFERROR(__xludf.DUMMYFUNCTION("""COMPUTED_VALUE"""),10543.05705)</f>
        <v>10543.05705</v>
      </c>
    </row>
    <row r="2906">
      <c r="A2906" s="3">
        <f>IFERROR(__xludf.DUMMYFUNCTION("""COMPUTED_VALUE"""),43328.99861111111)</f>
        <v>43328.99861</v>
      </c>
      <c r="B2906" s="1">
        <f>IFERROR(__xludf.DUMMYFUNCTION("""COMPUTED_VALUE"""),10607.9267)</f>
        <v>10607.9267</v>
      </c>
    </row>
    <row r="2907">
      <c r="A2907" s="3">
        <f>IFERROR(__xludf.DUMMYFUNCTION("""COMPUTED_VALUE"""),43329.99861111111)</f>
        <v>43329.99861</v>
      </c>
      <c r="B2907" s="1">
        <f>IFERROR(__xludf.DUMMYFUNCTION("""COMPUTED_VALUE"""),10626.92466)</f>
        <v>10626.92466</v>
      </c>
    </row>
    <row r="2908">
      <c r="A2908" s="3">
        <f>IFERROR(__xludf.DUMMYFUNCTION("""COMPUTED_VALUE"""),43331.99861111111)</f>
        <v>43331.99861</v>
      </c>
      <c r="B2908" s="1">
        <f>IFERROR(__xludf.DUMMYFUNCTION("""COMPUTED_VALUE"""),10628.52536)</f>
        <v>10628.52536</v>
      </c>
    </row>
    <row r="2909">
      <c r="A2909" s="3">
        <f>IFERROR(__xludf.DUMMYFUNCTION("""COMPUTED_VALUE"""),43332.99861111111)</f>
        <v>43332.99861</v>
      </c>
      <c r="B2909" s="1">
        <f>IFERROR(__xludf.DUMMYFUNCTION("""COMPUTED_VALUE"""),10635.3567)</f>
        <v>10635.3567</v>
      </c>
    </row>
    <row r="2910">
      <c r="A2910" s="3">
        <f>IFERROR(__xludf.DUMMYFUNCTION("""COMPUTED_VALUE"""),43333.99861111111)</f>
        <v>43333.99861</v>
      </c>
      <c r="B2910" s="1">
        <f>IFERROR(__xludf.DUMMYFUNCTION("""COMPUTED_VALUE"""),10666.9884)</f>
        <v>10666.9884</v>
      </c>
    </row>
    <row r="2911">
      <c r="A2911" s="3">
        <f>IFERROR(__xludf.DUMMYFUNCTION("""COMPUTED_VALUE"""),43334.99861111111)</f>
        <v>43334.99861</v>
      </c>
      <c r="B2911" s="1">
        <f>IFERROR(__xludf.DUMMYFUNCTION("""COMPUTED_VALUE"""),10650.52908)</f>
        <v>10650.52908</v>
      </c>
    </row>
    <row r="2912">
      <c r="A2912" s="3">
        <f>IFERROR(__xludf.DUMMYFUNCTION("""COMPUTED_VALUE"""),43335.99861111111)</f>
        <v>43335.99861</v>
      </c>
      <c r="B2912" s="1">
        <f>IFERROR(__xludf.DUMMYFUNCTION("""COMPUTED_VALUE"""),10669.5264)</f>
        <v>10669.5264</v>
      </c>
    </row>
    <row r="2913">
      <c r="A2913" s="3">
        <f>IFERROR(__xludf.DUMMYFUNCTION("""COMPUTED_VALUE"""),43336.99861111111)</f>
        <v>43336.99861</v>
      </c>
      <c r="B2913" s="1">
        <f>IFERROR(__xludf.DUMMYFUNCTION("""COMPUTED_VALUE"""),10672.24509)</f>
        <v>10672.24509</v>
      </c>
    </row>
    <row r="2914">
      <c r="A2914" s="3">
        <f>IFERROR(__xludf.DUMMYFUNCTION("""COMPUTED_VALUE"""),43338.99861111111)</f>
        <v>43338.99861</v>
      </c>
      <c r="B2914" s="1">
        <f>IFERROR(__xludf.DUMMYFUNCTION("""COMPUTED_VALUE"""),10668.25284)</f>
        <v>10668.25284</v>
      </c>
    </row>
    <row r="2915">
      <c r="A2915" s="3">
        <f>IFERROR(__xludf.DUMMYFUNCTION("""COMPUTED_VALUE"""),43339.99861111111)</f>
        <v>43339.99861</v>
      </c>
      <c r="B2915" s="1">
        <f>IFERROR(__xludf.DUMMYFUNCTION("""COMPUTED_VALUE"""),10681.74359)</f>
        <v>10681.74359</v>
      </c>
    </row>
    <row r="2916">
      <c r="A2916" s="3">
        <f>IFERROR(__xludf.DUMMYFUNCTION("""COMPUTED_VALUE"""),43340.99861111111)</f>
        <v>43340.99861</v>
      </c>
      <c r="B2916" s="1">
        <f>IFERROR(__xludf.DUMMYFUNCTION("""COMPUTED_VALUE"""),10738.01146)</f>
        <v>10738.01146</v>
      </c>
    </row>
    <row r="2917">
      <c r="A2917" s="3">
        <f>IFERROR(__xludf.DUMMYFUNCTION("""COMPUTED_VALUE"""),43341.99861111111)</f>
        <v>43341.99861</v>
      </c>
      <c r="B2917" s="1">
        <f>IFERROR(__xludf.DUMMYFUNCTION("""COMPUTED_VALUE"""),10711.48568)</f>
        <v>10711.48568</v>
      </c>
    </row>
    <row r="2918">
      <c r="A2918" s="3">
        <f>IFERROR(__xludf.DUMMYFUNCTION("""COMPUTED_VALUE"""),43342.99861111111)</f>
        <v>43342.99861</v>
      </c>
      <c r="B2918" s="1">
        <f>IFERROR(__xludf.DUMMYFUNCTION("""COMPUTED_VALUE"""),10782.83349)</f>
        <v>10782.83349</v>
      </c>
    </row>
    <row r="2919">
      <c r="A2919" s="3">
        <f>IFERROR(__xludf.DUMMYFUNCTION("""COMPUTED_VALUE"""),43343.99861111111)</f>
        <v>43343.99861</v>
      </c>
      <c r="B2919" s="1">
        <f>IFERROR(__xludf.DUMMYFUNCTION("""COMPUTED_VALUE"""),10727.7515)</f>
        <v>10727.7515</v>
      </c>
    </row>
    <row r="2920">
      <c r="A2920" s="3">
        <f>IFERROR(__xludf.DUMMYFUNCTION("""COMPUTED_VALUE"""),43344.99861111111)</f>
        <v>43344.99861</v>
      </c>
      <c r="B2920" s="1">
        <f>IFERROR(__xludf.DUMMYFUNCTION("""COMPUTED_VALUE"""),10726.29442)</f>
        <v>10726.29442</v>
      </c>
    </row>
    <row r="2921">
      <c r="A2921" s="3">
        <f>IFERROR(__xludf.DUMMYFUNCTION("""COMPUTED_VALUE"""),43345.99861111111)</f>
        <v>43345.99861</v>
      </c>
      <c r="B2921" s="1">
        <f>IFERROR(__xludf.DUMMYFUNCTION("""COMPUTED_VALUE"""),10725.7055)</f>
        <v>10725.7055</v>
      </c>
    </row>
    <row r="2922">
      <c r="A2922" s="3">
        <f>IFERROR(__xludf.DUMMYFUNCTION("""COMPUTED_VALUE"""),43346.99861111111)</f>
        <v>43346.99861</v>
      </c>
      <c r="B2922" s="1">
        <f>IFERROR(__xludf.DUMMYFUNCTION("""COMPUTED_VALUE"""),10810.45152)</f>
        <v>10810.45152</v>
      </c>
    </row>
    <row r="2923">
      <c r="A2923" s="3">
        <f>IFERROR(__xludf.DUMMYFUNCTION("""COMPUTED_VALUE"""),43347.99861111111)</f>
        <v>43347.99861</v>
      </c>
      <c r="B2923" s="1">
        <f>IFERROR(__xludf.DUMMYFUNCTION("""COMPUTED_VALUE"""),10852.4677)</f>
        <v>10852.4677</v>
      </c>
    </row>
    <row r="2924">
      <c r="A2924" s="3">
        <f>IFERROR(__xludf.DUMMYFUNCTION("""COMPUTED_VALUE"""),43348.99861111111)</f>
        <v>43348.99861</v>
      </c>
      <c r="B2924" s="1">
        <f>IFERROR(__xludf.DUMMYFUNCTION("""COMPUTED_VALUE"""),10890.83669)</f>
        <v>10890.83669</v>
      </c>
    </row>
    <row r="2925">
      <c r="A2925" s="3">
        <f>IFERROR(__xludf.DUMMYFUNCTION("""COMPUTED_VALUE"""),43349.99861111111)</f>
        <v>43349.99861</v>
      </c>
      <c r="B2925" s="1">
        <f>IFERROR(__xludf.DUMMYFUNCTION("""COMPUTED_VALUE"""),10831.08318)</f>
        <v>10831.08318</v>
      </c>
    </row>
    <row r="2926">
      <c r="A2926" s="3">
        <f>IFERROR(__xludf.DUMMYFUNCTION("""COMPUTED_VALUE"""),43350.99861111111)</f>
        <v>43350.99861</v>
      </c>
      <c r="B2926" s="1">
        <f>IFERROR(__xludf.DUMMYFUNCTION("""COMPUTED_VALUE"""),10855.76377)</f>
        <v>10855.76377</v>
      </c>
    </row>
    <row r="2927">
      <c r="A2927" s="3">
        <f>IFERROR(__xludf.DUMMYFUNCTION("""COMPUTED_VALUE"""),43351.99861111111)</f>
        <v>43351.99861</v>
      </c>
      <c r="B2927" s="1">
        <f>IFERROR(__xludf.DUMMYFUNCTION("""COMPUTED_VALUE"""),10738.68435)</f>
        <v>10738.68435</v>
      </c>
    </row>
    <row r="2928">
      <c r="A2928" s="3">
        <f>IFERROR(__xludf.DUMMYFUNCTION("""COMPUTED_VALUE"""),43352.99861111111)</f>
        <v>43352.99861</v>
      </c>
      <c r="B2928" s="1">
        <f>IFERROR(__xludf.DUMMYFUNCTION("""COMPUTED_VALUE"""),10743.42451)</f>
        <v>10743.42451</v>
      </c>
    </row>
    <row r="2929">
      <c r="A2929" s="3">
        <f>IFERROR(__xludf.DUMMYFUNCTION("""COMPUTED_VALUE"""),43353.99861111111)</f>
        <v>43353.99861</v>
      </c>
      <c r="B2929" s="1">
        <f>IFERROR(__xludf.DUMMYFUNCTION("""COMPUTED_VALUE"""),10760.03582)</f>
        <v>10760.03582</v>
      </c>
    </row>
    <row r="2930">
      <c r="A2930" s="3">
        <f>IFERROR(__xludf.DUMMYFUNCTION("""COMPUTED_VALUE"""),43354.99861111111)</f>
        <v>43354.99861</v>
      </c>
      <c r="B2930" s="1">
        <f>IFERROR(__xludf.DUMMYFUNCTION("""COMPUTED_VALUE"""),10778.33865)</f>
        <v>10778.33865</v>
      </c>
    </row>
    <row r="2931">
      <c r="A2931" s="3">
        <f>IFERROR(__xludf.DUMMYFUNCTION("""COMPUTED_VALUE"""),43355.99861111111)</f>
        <v>43355.99861</v>
      </c>
      <c r="B2931" s="1">
        <f>IFERROR(__xludf.DUMMYFUNCTION("""COMPUTED_VALUE"""),10784.38231)</f>
        <v>10784.38231</v>
      </c>
    </row>
    <row r="2932">
      <c r="A2932" s="3">
        <f>IFERROR(__xludf.DUMMYFUNCTION("""COMPUTED_VALUE"""),43356.99861111111)</f>
        <v>43356.99861</v>
      </c>
      <c r="B2932" s="1">
        <f>IFERROR(__xludf.DUMMYFUNCTION("""COMPUTED_VALUE"""),10752.83)</f>
        <v>10752.83</v>
      </c>
    </row>
    <row r="2933">
      <c r="A2933" s="3">
        <f>IFERROR(__xludf.DUMMYFUNCTION("""COMPUTED_VALUE"""),43357.99861111111)</f>
        <v>43357.99861</v>
      </c>
      <c r="B2933" s="1">
        <f>IFERROR(__xludf.DUMMYFUNCTION("""COMPUTED_VALUE"""),10769.2076)</f>
        <v>10769.2076</v>
      </c>
    </row>
    <row r="2934">
      <c r="A2934" s="3">
        <f>IFERROR(__xludf.DUMMYFUNCTION("""COMPUTED_VALUE"""),43359.99861111111)</f>
        <v>43359.99861</v>
      </c>
      <c r="B2934" s="1">
        <f>IFERROR(__xludf.DUMMYFUNCTION("""COMPUTED_VALUE"""),10770.90794)</f>
        <v>10770.90794</v>
      </c>
    </row>
    <row r="2935">
      <c r="A2935" s="3">
        <f>IFERROR(__xludf.DUMMYFUNCTION("""COMPUTED_VALUE"""),43360.99861111111)</f>
        <v>43360.99861</v>
      </c>
      <c r="B2935" s="1">
        <f>IFERROR(__xludf.DUMMYFUNCTION("""COMPUTED_VALUE"""),10840.89033)</f>
        <v>10840.89033</v>
      </c>
    </row>
    <row r="2936">
      <c r="A2936" s="3">
        <f>IFERROR(__xludf.DUMMYFUNCTION("""COMPUTED_VALUE"""),43361.99861111111)</f>
        <v>43361.99861</v>
      </c>
      <c r="B2936" s="1">
        <f>IFERROR(__xludf.DUMMYFUNCTION("""COMPUTED_VALUE"""),10851.86931)</f>
        <v>10851.86931</v>
      </c>
    </row>
    <row r="2937">
      <c r="A2937" s="3">
        <f>IFERROR(__xludf.DUMMYFUNCTION("""COMPUTED_VALUE"""),43362.99861111111)</f>
        <v>43362.99861</v>
      </c>
      <c r="B2937" s="1">
        <f>IFERROR(__xludf.DUMMYFUNCTION("""COMPUTED_VALUE"""),10866.864)</f>
        <v>10866.864</v>
      </c>
    </row>
    <row r="2938">
      <c r="A2938" s="3">
        <f>IFERROR(__xludf.DUMMYFUNCTION("""COMPUTED_VALUE"""),43363.99861111111)</f>
        <v>43363.99861</v>
      </c>
      <c r="B2938" s="1">
        <f>IFERROR(__xludf.DUMMYFUNCTION("""COMPUTED_VALUE"""),10864.44)</f>
        <v>10864.44</v>
      </c>
    </row>
    <row r="2939">
      <c r="A2939" s="3">
        <f>IFERROR(__xludf.DUMMYFUNCTION("""COMPUTED_VALUE"""),43364.99861111111)</f>
        <v>43364.99861</v>
      </c>
      <c r="B2939" s="1">
        <f>IFERROR(__xludf.DUMMYFUNCTION("""COMPUTED_VALUE"""),10887.5266)</f>
        <v>10887.5266</v>
      </c>
    </row>
    <row r="2940">
      <c r="A2940" s="3">
        <f>IFERROR(__xludf.DUMMYFUNCTION("""COMPUTED_VALUE"""),43365.99861111111)</f>
        <v>43365.99861</v>
      </c>
      <c r="B2940" s="1">
        <f>IFERROR(__xludf.DUMMYFUNCTION("""COMPUTED_VALUE"""),10856.01104)</f>
        <v>10856.01104</v>
      </c>
    </row>
    <row r="2941">
      <c r="A2941" s="3">
        <f>IFERROR(__xludf.DUMMYFUNCTION("""COMPUTED_VALUE"""),43366.99861111111)</f>
        <v>43366.99861</v>
      </c>
      <c r="B2941" s="1">
        <f>IFERROR(__xludf.DUMMYFUNCTION("""COMPUTED_VALUE"""),10846.53136)</f>
        <v>10846.53136</v>
      </c>
    </row>
    <row r="2942">
      <c r="A2942" s="3">
        <f>IFERROR(__xludf.DUMMYFUNCTION("""COMPUTED_VALUE"""),43367.99861111111)</f>
        <v>43367.99861</v>
      </c>
      <c r="B2942" s="1">
        <f>IFERROR(__xludf.DUMMYFUNCTION("""COMPUTED_VALUE"""),10872.90204)</f>
        <v>10872.90204</v>
      </c>
    </row>
    <row r="2943">
      <c r="A2943" s="3">
        <f>IFERROR(__xludf.DUMMYFUNCTION("""COMPUTED_VALUE"""),43368.99861111111)</f>
        <v>43368.99861</v>
      </c>
      <c r="B2943" s="1">
        <f>IFERROR(__xludf.DUMMYFUNCTION("""COMPUTED_VALUE"""),10994.68649)</f>
        <v>10994.68649</v>
      </c>
    </row>
    <row r="2944">
      <c r="A2944" s="3">
        <f>IFERROR(__xludf.DUMMYFUNCTION("""COMPUTED_VALUE"""),43369.99861111111)</f>
        <v>43369.99861</v>
      </c>
      <c r="B2944" s="1">
        <f>IFERROR(__xludf.DUMMYFUNCTION("""COMPUTED_VALUE"""),10969.9191)</f>
        <v>10969.9191</v>
      </c>
    </row>
    <row r="2945">
      <c r="A2945" s="3">
        <f>IFERROR(__xludf.DUMMYFUNCTION("""COMPUTED_VALUE"""),43370.99861111111)</f>
        <v>43370.99861</v>
      </c>
      <c r="B2945" s="1">
        <f>IFERROR(__xludf.DUMMYFUNCTION("""COMPUTED_VALUE"""),10902.50985)</f>
        <v>10902.50985</v>
      </c>
    </row>
    <row r="2946">
      <c r="A2946" s="3">
        <f>IFERROR(__xludf.DUMMYFUNCTION("""COMPUTED_VALUE"""),43371.99861111111)</f>
        <v>43371.99861</v>
      </c>
      <c r="B2946" s="1">
        <f>IFERROR(__xludf.DUMMYFUNCTION("""COMPUTED_VALUE"""),10892.035)</f>
        <v>10892.035</v>
      </c>
    </row>
    <row r="2947">
      <c r="A2947" s="3">
        <f>IFERROR(__xludf.DUMMYFUNCTION("""COMPUTED_VALUE"""),43373.99861111111)</f>
        <v>43373.99861</v>
      </c>
      <c r="B2947" s="1">
        <f>IFERROR(__xludf.DUMMYFUNCTION("""COMPUTED_VALUE"""),10896.78946)</f>
        <v>10896.78946</v>
      </c>
    </row>
    <row r="2948">
      <c r="A2948" s="3">
        <f>IFERROR(__xludf.DUMMYFUNCTION("""COMPUTED_VALUE"""),43374.99861111111)</f>
        <v>43374.99861</v>
      </c>
      <c r="B2948" s="1">
        <f>IFERROR(__xludf.DUMMYFUNCTION("""COMPUTED_VALUE"""),10971.74823)</f>
        <v>10971.74823</v>
      </c>
    </row>
    <row r="2949">
      <c r="A2949" s="3">
        <f>IFERROR(__xludf.DUMMYFUNCTION("""COMPUTED_VALUE"""),43375.99861111111)</f>
        <v>43375.99861</v>
      </c>
      <c r="B2949" s="1">
        <f>IFERROR(__xludf.DUMMYFUNCTION("""COMPUTED_VALUE"""),10951.87464)</f>
        <v>10951.87464</v>
      </c>
    </row>
    <row r="2950">
      <c r="A2950" s="3">
        <f>IFERROR(__xludf.DUMMYFUNCTION("""COMPUTED_VALUE"""),43376.99861111111)</f>
        <v>43376.99861</v>
      </c>
      <c r="B2950" s="1">
        <f>IFERROR(__xludf.DUMMYFUNCTION("""COMPUTED_VALUE"""),10960.32662)</f>
        <v>10960.32662</v>
      </c>
    </row>
    <row r="2951">
      <c r="A2951" s="3">
        <f>IFERROR(__xludf.DUMMYFUNCTION("""COMPUTED_VALUE"""),43377.99861111111)</f>
        <v>43377.99861</v>
      </c>
      <c r="B2951" s="1">
        <f>IFERROR(__xludf.DUMMYFUNCTION("""COMPUTED_VALUE"""),11157.73857)</f>
        <v>11157.73857</v>
      </c>
    </row>
    <row r="2952">
      <c r="A2952" s="3">
        <f>IFERROR(__xludf.DUMMYFUNCTION("""COMPUTED_VALUE"""),43378.99861111111)</f>
        <v>43378.99861</v>
      </c>
      <c r="B2952" s="1">
        <f>IFERROR(__xludf.DUMMYFUNCTION("""COMPUTED_VALUE"""),10922.1182)</f>
        <v>10922.1182</v>
      </c>
    </row>
    <row r="2953">
      <c r="A2953" s="3">
        <f>IFERROR(__xludf.DUMMYFUNCTION("""COMPUTED_VALUE"""),43379.99861111111)</f>
        <v>43379.99861</v>
      </c>
      <c r="B2953" s="1">
        <f>IFERROR(__xludf.DUMMYFUNCTION("""COMPUTED_VALUE"""),10986.46809)</f>
        <v>10986.46809</v>
      </c>
    </row>
    <row r="2954">
      <c r="A2954" s="3">
        <f>IFERROR(__xludf.DUMMYFUNCTION("""COMPUTED_VALUE"""),43380.99861111111)</f>
        <v>43380.99861</v>
      </c>
      <c r="B2954" s="1">
        <f>IFERROR(__xludf.DUMMYFUNCTION("""COMPUTED_VALUE"""),10964.76845)</f>
        <v>10964.76845</v>
      </c>
    </row>
    <row r="2955">
      <c r="A2955" s="3">
        <f>IFERROR(__xludf.DUMMYFUNCTION("""COMPUTED_VALUE"""),43381.99861111111)</f>
        <v>43381.99861</v>
      </c>
      <c r="B2955" s="1">
        <f>IFERROR(__xludf.DUMMYFUNCTION("""COMPUTED_VALUE"""),11124.806)</f>
        <v>11124.806</v>
      </c>
    </row>
    <row r="2956">
      <c r="A2956" s="3">
        <f>IFERROR(__xludf.DUMMYFUNCTION("""COMPUTED_VALUE"""),43382.99861111111)</f>
        <v>43382.99861</v>
      </c>
      <c r="B2956" s="1">
        <f>IFERROR(__xludf.DUMMYFUNCTION("""COMPUTED_VALUE"""),11012.77489)</f>
        <v>11012.77489</v>
      </c>
    </row>
    <row r="2957">
      <c r="A2957" s="3">
        <f>IFERROR(__xludf.DUMMYFUNCTION("""COMPUTED_VALUE"""),43383.99861111111)</f>
        <v>43383.99861</v>
      </c>
      <c r="B2957" s="1">
        <f>IFERROR(__xludf.DUMMYFUNCTION("""COMPUTED_VALUE"""),10988.53152)</f>
        <v>10988.53152</v>
      </c>
    </row>
    <row r="2958">
      <c r="A2958" s="3">
        <f>IFERROR(__xludf.DUMMYFUNCTION("""COMPUTED_VALUE"""),43384.99861111111)</f>
        <v>43384.99861</v>
      </c>
      <c r="B2958" s="1">
        <f>IFERROR(__xludf.DUMMYFUNCTION("""COMPUTED_VALUE"""),11115.02179)</f>
        <v>11115.02179</v>
      </c>
    </row>
    <row r="2959">
      <c r="A2959" s="3">
        <f>IFERROR(__xludf.DUMMYFUNCTION("""COMPUTED_VALUE"""),43385.99861111111)</f>
        <v>43385.99861</v>
      </c>
      <c r="B2959" s="1">
        <f>IFERROR(__xludf.DUMMYFUNCTION("""COMPUTED_VALUE"""),11018.66595)</f>
        <v>11018.66595</v>
      </c>
    </row>
    <row r="2960">
      <c r="A2960" s="3">
        <f>IFERROR(__xludf.DUMMYFUNCTION("""COMPUTED_VALUE"""),43387.99861111111)</f>
        <v>43387.99861</v>
      </c>
      <c r="B2960" s="1">
        <f>IFERROR(__xludf.DUMMYFUNCTION("""COMPUTED_VALUE"""),11022.3495)</f>
        <v>11022.3495</v>
      </c>
    </row>
    <row r="2961">
      <c r="A2961" s="3">
        <f>IFERROR(__xludf.DUMMYFUNCTION("""COMPUTED_VALUE"""),43388.99861111111)</f>
        <v>43388.99861</v>
      </c>
      <c r="B2961" s="1">
        <f>IFERROR(__xludf.DUMMYFUNCTION("""COMPUTED_VALUE"""),11037.23213)</f>
        <v>11037.23213</v>
      </c>
    </row>
    <row r="2962">
      <c r="A2962" s="3">
        <f>IFERROR(__xludf.DUMMYFUNCTION("""COMPUTED_VALUE"""),43389.99861111111)</f>
        <v>43389.99861</v>
      </c>
      <c r="B2962" s="1">
        <f>IFERROR(__xludf.DUMMYFUNCTION("""COMPUTED_VALUE"""),11050.78048)</f>
        <v>11050.78048</v>
      </c>
    </row>
    <row r="2963">
      <c r="A2963" s="3">
        <f>IFERROR(__xludf.DUMMYFUNCTION("""COMPUTED_VALUE"""),43390.99861111111)</f>
        <v>43390.99861</v>
      </c>
      <c r="B2963" s="1">
        <f>IFERROR(__xludf.DUMMYFUNCTION("""COMPUTED_VALUE"""),11073.18114)</f>
        <v>11073.18114</v>
      </c>
    </row>
    <row r="2964">
      <c r="A2964" s="3">
        <f>IFERROR(__xludf.DUMMYFUNCTION("""COMPUTED_VALUE"""),43391.99861111111)</f>
        <v>43391.99861</v>
      </c>
      <c r="B2964" s="1">
        <f>IFERROR(__xludf.DUMMYFUNCTION("""COMPUTED_VALUE"""),11093.23545)</f>
        <v>11093.23545</v>
      </c>
    </row>
    <row r="2965">
      <c r="A2965" s="3">
        <f>IFERROR(__xludf.DUMMYFUNCTION("""COMPUTED_VALUE"""),43392.99861111111)</f>
        <v>43392.99861</v>
      </c>
      <c r="B2965" s="1">
        <f>IFERROR(__xludf.DUMMYFUNCTION("""COMPUTED_VALUE"""),11011.32298)</f>
        <v>11011.32298</v>
      </c>
    </row>
    <row r="2966">
      <c r="A2966" s="3">
        <f>IFERROR(__xludf.DUMMYFUNCTION("""COMPUTED_VALUE"""),43394.99861111111)</f>
        <v>43394.99861</v>
      </c>
      <c r="B2966" s="1">
        <f>IFERROR(__xludf.DUMMYFUNCTION("""COMPUTED_VALUE"""),11017.45894)</f>
        <v>11017.45894</v>
      </c>
    </row>
    <row r="2967">
      <c r="A2967" s="3">
        <f>IFERROR(__xludf.DUMMYFUNCTION("""COMPUTED_VALUE"""),43395.99861111111)</f>
        <v>43395.99861</v>
      </c>
      <c r="B2967" s="1">
        <f>IFERROR(__xludf.DUMMYFUNCTION("""COMPUTED_VALUE"""),11057.74868)</f>
        <v>11057.74868</v>
      </c>
    </row>
    <row r="2968">
      <c r="A2968" s="3">
        <f>IFERROR(__xludf.DUMMYFUNCTION("""COMPUTED_VALUE"""),43396.99861111111)</f>
        <v>43396.99861</v>
      </c>
      <c r="B2968" s="1">
        <f>IFERROR(__xludf.DUMMYFUNCTION("""COMPUTED_VALUE"""),11017.08846)</f>
        <v>11017.08846</v>
      </c>
    </row>
    <row r="2969">
      <c r="A2969" s="3">
        <f>IFERROR(__xludf.DUMMYFUNCTION("""COMPUTED_VALUE"""),43397.99861111111)</f>
        <v>43397.99861</v>
      </c>
      <c r="B2969" s="1">
        <f>IFERROR(__xludf.DUMMYFUNCTION("""COMPUTED_VALUE"""),11052.0641)</f>
        <v>11052.0641</v>
      </c>
    </row>
    <row r="2970">
      <c r="A2970" s="3">
        <f>IFERROR(__xludf.DUMMYFUNCTION("""COMPUTED_VALUE"""),43398.99861111111)</f>
        <v>43398.99861</v>
      </c>
      <c r="B2970" s="1">
        <f>IFERROR(__xludf.DUMMYFUNCTION("""COMPUTED_VALUE"""),11048.72636)</f>
        <v>11048.72636</v>
      </c>
    </row>
    <row r="2971">
      <c r="A2971" s="3">
        <f>IFERROR(__xludf.DUMMYFUNCTION("""COMPUTED_VALUE"""),43399.99861111111)</f>
        <v>43399.99861</v>
      </c>
      <c r="B2971" s="1">
        <f>IFERROR(__xludf.DUMMYFUNCTION("""COMPUTED_VALUE"""),11003.76682)</f>
        <v>11003.76682</v>
      </c>
    </row>
    <row r="2972">
      <c r="A2972" s="3">
        <f>IFERROR(__xludf.DUMMYFUNCTION("""COMPUTED_VALUE"""),43400.99861111111)</f>
        <v>43400.99861</v>
      </c>
      <c r="B2972" s="1">
        <f>IFERROR(__xludf.DUMMYFUNCTION("""COMPUTED_VALUE"""),11017.8198)</f>
        <v>11017.8198</v>
      </c>
    </row>
    <row r="2973">
      <c r="A2973" s="3">
        <f>IFERROR(__xludf.DUMMYFUNCTION("""COMPUTED_VALUE"""),43401.99861111111)</f>
        <v>43401.99861</v>
      </c>
      <c r="B2973" s="1">
        <f>IFERROR(__xludf.DUMMYFUNCTION("""COMPUTED_VALUE"""),11018.8845)</f>
        <v>11018.8845</v>
      </c>
    </row>
    <row r="2974">
      <c r="A2974" s="3">
        <f>IFERROR(__xludf.DUMMYFUNCTION("""COMPUTED_VALUE"""),43402.99861111111)</f>
        <v>43402.99861</v>
      </c>
      <c r="B2974" s="1">
        <f>IFERROR(__xludf.DUMMYFUNCTION("""COMPUTED_VALUE"""),11057.09686)</f>
        <v>11057.09686</v>
      </c>
    </row>
    <row r="2975">
      <c r="A2975" s="3">
        <f>IFERROR(__xludf.DUMMYFUNCTION("""COMPUTED_VALUE"""),43403.99861111111)</f>
        <v>43403.99861</v>
      </c>
      <c r="B2975" s="1">
        <f>IFERROR(__xludf.DUMMYFUNCTION("""COMPUTED_VALUE"""),11021.06896)</f>
        <v>11021.06896</v>
      </c>
    </row>
    <row r="2976">
      <c r="A2976" s="3">
        <f>IFERROR(__xludf.DUMMYFUNCTION("""COMPUTED_VALUE"""),43404.99861111111)</f>
        <v>43404.99861</v>
      </c>
      <c r="B2976" s="1">
        <f>IFERROR(__xludf.DUMMYFUNCTION("""COMPUTED_VALUE"""),10965.4336)</f>
        <v>10965.4336</v>
      </c>
    </row>
    <row r="2977">
      <c r="A2977" s="3">
        <f>IFERROR(__xludf.DUMMYFUNCTION("""COMPUTED_VALUE"""),43405.99861111111)</f>
        <v>43405.99861</v>
      </c>
      <c r="B2977" s="1">
        <f>IFERROR(__xludf.DUMMYFUNCTION("""COMPUTED_VALUE"""),10945.90368)</f>
        <v>10945.90368</v>
      </c>
    </row>
    <row r="2978">
      <c r="A2978" s="3">
        <f>IFERROR(__xludf.DUMMYFUNCTION("""COMPUTED_VALUE"""),43406.99861111111)</f>
        <v>43406.99861</v>
      </c>
      <c r="B2978" s="1">
        <f>IFERROR(__xludf.DUMMYFUNCTION("""COMPUTED_VALUE"""),10874.7096)</f>
        <v>10874.7096</v>
      </c>
    </row>
    <row r="2979">
      <c r="A2979" s="3">
        <f>IFERROR(__xludf.DUMMYFUNCTION("""COMPUTED_VALUE"""),43408.99861111111)</f>
        <v>43408.99861</v>
      </c>
      <c r="B2979" s="1">
        <f>IFERROR(__xludf.DUMMYFUNCTION("""COMPUTED_VALUE"""),10877.25042)</f>
        <v>10877.25042</v>
      </c>
    </row>
    <row r="2980">
      <c r="A2980" s="3">
        <f>IFERROR(__xludf.DUMMYFUNCTION("""COMPUTED_VALUE"""),43409.99861111111)</f>
        <v>43409.99861</v>
      </c>
      <c r="B2980" s="1">
        <f>IFERROR(__xludf.DUMMYFUNCTION("""COMPUTED_VALUE"""),10850.53987)</f>
        <v>10850.53987</v>
      </c>
    </row>
    <row r="2981">
      <c r="A2981" s="3">
        <f>IFERROR(__xludf.DUMMYFUNCTION("""COMPUTED_VALUE"""),43410.99861111111)</f>
        <v>43410.99861</v>
      </c>
      <c r="B2981" s="1">
        <f>IFERROR(__xludf.DUMMYFUNCTION("""COMPUTED_VALUE"""),10800.689)</f>
        <v>10800.689</v>
      </c>
    </row>
    <row r="2982">
      <c r="A2982" s="3">
        <f>IFERROR(__xludf.DUMMYFUNCTION("""COMPUTED_VALUE"""),43411.99861111111)</f>
        <v>43411.99861</v>
      </c>
      <c r="B2982" s="1">
        <f>IFERROR(__xludf.DUMMYFUNCTION("""COMPUTED_VALUE"""),10642.89007)</f>
        <v>10642.89007</v>
      </c>
    </row>
    <row r="2983">
      <c r="A2983" s="3">
        <f>IFERROR(__xludf.DUMMYFUNCTION("""COMPUTED_VALUE"""),43412.99861111111)</f>
        <v>43412.99861</v>
      </c>
      <c r="B2983" s="1">
        <f>IFERROR(__xludf.DUMMYFUNCTION("""COMPUTED_VALUE"""),10703.0592)</f>
        <v>10703.0592</v>
      </c>
    </row>
    <row r="2984">
      <c r="A2984" s="3">
        <f>IFERROR(__xludf.DUMMYFUNCTION("""COMPUTED_VALUE"""),43413.99861111111)</f>
        <v>43413.99861</v>
      </c>
      <c r="B2984" s="1">
        <f>IFERROR(__xludf.DUMMYFUNCTION("""COMPUTED_VALUE"""),10638.6144)</f>
        <v>10638.6144</v>
      </c>
    </row>
    <row r="2985">
      <c r="A2985" s="3">
        <f>IFERROR(__xludf.DUMMYFUNCTION("""COMPUTED_VALUE"""),43414.99861111111)</f>
        <v>43414.99861</v>
      </c>
      <c r="B2985" s="1">
        <f>IFERROR(__xludf.DUMMYFUNCTION("""COMPUTED_VALUE"""),10638.6144)</f>
        <v>10638.6144</v>
      </c>
    </row>
    <row r="2986">
      <c r="A2986" s="3">
        <f>IFERROR(__xludf.DUMMYFUNCTION("""COMPUTED_VALUE"""),43415.99861111111)</f>
        <v>43415.99861</v>
      </c>
      <c r="B2986" s="1">
        <f>IFERROR(__xludf.DUMMYFUNCTION("""COMPUTED_VALUE"""),10638.6144)</f>
        <v>10638.6144</v>
      </c>
    </row>
    <row r="2987">
      <c r="A2987" s="3">
        <f>IFERROR(__xludf.DUMMYFUNCTION("""COMPUTED_VALUE"""),43416.99861111111)</f>
        <v>43416.99861</v>
      </c>
      <c r="B2987" s="1">
        <f>IFERROR(__xludf.DUMMYFUNCTION("""COMPUTED_VALUE"""),10691.67216)</f>
        <v>10691.67216</v>
      </c>
    </row>
    <row r="2988">
      <c r="A2988" s="3">
        <f>IFERROR(__xludf.DUMMYFUNCTION("""COMPUTED_VALUE"""),43417.99861111111)</f>
        <v>43417.99861</v>
      </c>
      <c r="B2988" s="1">
        <f>IFERROR(__xludf.DUMMYFUNCTION("""COMPUTED_VALUE"""),10735.33585)</f>
        <v>10735.33585</v>
      </c>
    </row>
    <row r="2989">
      <c r="A2989" s="3">
        <f>IFERROR(__xludf.DUMMYFUNCTION("""COMPUTED_VALUE"""),43418.99861111111)</f>
        <v>43418.99861</v>
      </c>
      <c r="B2989" s="1">
        <f>IFERROR(__xludf.DUMMYFUNCTION("""COMPUTED_VALUE"""),10741.42009)</f>
        <v>10741.42009</v>
      </c>
    </row>
    <row r="2990">
      <c r="A2990" s="3">
        <f>IFERROR(__xludf.DUMMYFUNCTION("""COMPUTED_VALUE"""),43419.99861111111)</f>
        <v>43419.99861</v>
      </c>
      <c r="B2990" s="1">
        <f>IFERROR(__xludf.DUMMYFUNCTION("""COMPUTED_VALUE"""),10581.04014)</f>
        <v>10581.04014</v>
      </c>
    </row>
    <row r="2991">
      <c r="A2991" s="3">
        <f>IFERROR(__xludf.DUMMYFUNCTION("""COMPUTED_VALUE"""),43420.99861111111)</f>
        <v>43420.99861</v>
      </c>
      <c r="B2991" s="1">
        <f>IFERROR(__xludf.DUMMYFUNCTION("""COMPUTED_VALUE"""),10604.6905)</f>
        <v>10604.6905</v>
      </c>
    </row>
    <row r="2992">
      <c r="A2992" s="3">
        <f>IFERROR(__xludf.DUMMYFUNCTION("""COMPUTED_VALUE"""),43421.99861111111)</f>
        <v>43421.99861</v>
      </c>
      <c r="B2992" s="1">
        <f>IFERROR(__xludf.DUMMYFUNCTION("""COMPUTED_VALUE"""),10638.8662)</f>
        <v>10638.8662</v>
      </c>
    </row>
    <row r="2993">
      <c r="A2993" s="3">
        <f>IFERROR(__xludf.DUMMYFUNCTION("""COMPUTED_VALUE"""),43422.99861111111)</f>
        <v>43422.99861</v>
      </c>
      <c r="B2993" s="1">
        <f>IFERROR(__xludf.DUMMYFUNCTION("""COMPUTED_VALUE"""),10635.361)</f>
        <v>10635.361</v>
      </c>
    </row>
    <row r="2994">
      <c r="A2994" s="3">
        <f>IFERROR(__xludf.DUMMYFUNCTION("""COMPUTED_VALUE"""),43423.99861111111)</f>
        <v>43423.99861</v>
      </c>
      <c r="B2994" s="1">
        <f>IFERROR(__xludf.DUMMYFUNCTION("""COMPUTED_VALUE"""),10679.76692)</f>
        <v>10679.76692</v>
      </c>
    </row>
    <row r="2995">
      <c r="A2995" s="3">
        <f>IFERROR(__xludf.DUMMYFUNCTION("""COMPUTED_VALUE"""),43424.99861111111)</f>
        <v>43424.99861</v>
      </c>
      <c r="B2995" s="1">
        <f>IFERROR(__xludf.DUMMYFUNCTION("""COMPUTED_VALUE"""),10662.41253)</f>
        <v>10662.41253</v>
      </c>
    </row>
    <row r="2996">
      <c r="A2996" s="3">
        <f>IFERROR(__xludf.DUMMYFUNCTION("""COMPUTED_VALUE"""),43425.99861111111)</f>
        <v>43425.99861</v>
      </c>
      <c r="B2996" s="1">
        <f>IFERROR(__xludf.DUMMYFUNCTION("""COMPUTED_VALUE"""),10651.6641)</f>
        <v>10651.6641</v>
      </c>
    </row>
    <row r="2997">
      <c r="A2997" s="3">
        <f>IFERROR(__xludf.DUMMYFUNCTION("""COMPUTED_VALUE"""),43426.99861111111)</f>
        <v>43426.99861</v>
      </c>
      <c r="B2997" s="1">
        <f>IFERROR(__xludf.DUMMYFUNCTION("""COMPUTED_VALUE"""),10630.26)</f>
        <v>10630.26</v>
      </c>
    </row>
    <row r="2998">
      <c r="A2998" s="3">
        <f>IFERROR(__xludf.DUMMYFUNCTION("""COMPUTED_VALUE"""),43427.99861111111)</f>
        <v>43427.99861</v>
      </c>
      <c r="B2998" s="1">
        <f>IFERROR(__xludf.DUMMYFUNCTION("""COMPUTED_VALUE"""),10563.31105)</f>
        <v>10563.31105</v>
      </c>
    </row>
    <row r="2999">
      <c r="A2999" s="3">
        <f>IFERROR(__xludf.DUMMYFUNCTION("""COMPUTED_VALUE"""),43428.99861111111)</f>
        <v>43428.99861</v>
      </c>
      <c r="B2999" s="1">
        <f>IFERROR(__xludf.DUMMYFUNCTION("""COMPUTED_VALUE"""),10575.76357)</f>
        <v>10575.76357</v>
      </c>
    </row>
    <row r="3000">
      <c r="A3000" s="3">
        <f>IFERROR(__xludf.DUMMYFUNCTION("""COMPUTED_VALUE"""),43429.99861111111)</f>
        <v>43429.99861</v>
      </c>
      <c r="B3000" s="1">
        <f>IFERROR(__xludf.DUMMYFUNCTION("""COMPUTED_VALUE"""),10563.89237)</f>
        <v>10563.89237</v>
      </c>
    </row>
    <row r="3001">
      <c r="A3001" s="3">
        <f>IFERROR(__xludf.DUMMYFUNCTION("""COMPUTED_VALUE"""),43430.99861111111)</f>
        <v>43430.99861</v>
      </c>
      <c r="B3001" s="1">
        <f>IFERROR(__xludf.DUMMYFUNCTION("""COMPUTED_VALUE"""),10561.20156)</f>
        <v>10561.20156</v>
      </c>
    </row>
    <row r="3002">
      <c r="A3002" s="3">
        <f>IFERROR(__xludf.DUMMYFUNCTION("""COMPUTED_VALUE"""),43431.99861111111)</f>
        <v>43431.99861</v>
      </c>
      <c r="B3002" s="1">
        <f>IFERROR(__xludf.DUMMYFUNCTION("""COMPUTED_VALUE"""),10580.35545)</f>
        <v>10580.35545</v>
      </c>
    </row>
    <row r="3003">
      <c r="A3003" s="3">
        <f>IFERROR(__xludf.DUMMYFUNCTION("""COMPUTED_VALUE"""),43432.99861111111)</f>
        <v>43432.99861</v>
      </c>
      <c r="B3003" s="1">
        <f>IFERROR(__xludf.DUMMYFUNCTION("""COMPUTED_VALUE"""),10530.06015)</f>
        <v>10530.06015</v>
      </c>
    </row>
    <row r="3004">
      <c r="A3004" s="3">
        <f>IFERROR(__xludf.DUMMYFUNCTION("""COMPUTED_VALUE"""),43433.99861111111)</f>
        <v>43433.99861</v>
      </c>
      <c r="B3004" s="1">
        <f>IFERROR(__xludf.DUMMYFUNCTION("""COMPUTED_VALUE"""),10475.71676)</f>
        <v>10475.71676</v>
      </c>
    </row>
    <row r="3005">
      <c r="A3005" s="3">
        <f>IFERROR(__xludf.DUMMYFUNCTION("""COMPUTED_VALUE"""),43434.99861111111)</f>
        <v>43434.99861</v>
      </c>
      <c r="B3005" s="1">
        <f>IFERROR(__xludf.DUMMYFUNCTION("""COMPUTED_VALUE"""),10432.34104)</f>
        <v>10432.34104</v>
      </c>
    </row>
    <row r="3006">
      <c r="A3006" s="3">
        <f>IFERROR(__xludf.DUMMYFUNCTION("""COMPUTED_VALUE"""),43435.99861111111)</f>
        <v>43435.99861</v>
      </c>
      <c r="B3006" s="1">
        <f>IFERROR(__xludf.DUMMYFUNCTION("""COMPUTED_VALUE"""),10485.45366)</f>
        <v>10485.45366</v>
      </c>
    </row>
    <row r="3007">
      <c r="A3007" s="3">
        <f>IFERROR(__xludf.DUMMYFUNCTION("""COMPUTED_VALUE"""),43436.99861111111)</f>
        <v>43436.99861</v>
      </c>
      <c r="B3007" s="1">
        <f>IFERROR(__xludf.DUMMYFUNCTION("""COMPUTED_VALUE"""),10437.36664)</f>
        <v>10437.36664</v>
      </c>
    </row>
    <row r="3008">
      <c r="A3008" s="3">
        <f>IFERROR(__xludf.DUMMYFUNCTION("""COMPUTED_VALUE"""),43437.99861111111)</f>
        <v>43437.99861</v>
      </c>
      <c r="B3008" s="1">
        <f>IFERROR(__xludf.DUMMYFUNCTION("""COMPUTED_VALUE"""),10417.95)</f>
        <v>10417.95</v>
      </c>
    </row>
    <row r="3009">
      <c r="A3009" s="3">
        <f>IFERROR(__xludf.DUMMYFUNCTION("""COMPUTED_VALUE"""),43438.99861111111)</f>
        <v>43438.99861</v>
      </c>
      <c r="B3009" s="1">
        <f>IFERROR(__xludf.DUMMYFUNCTION("""COMPUTED_VALUE"""),10513.9)</f>
        <v>10513.9</v>
      </c>
    </row>
    <row r="3010">
      <c r="A3010" s="3">
        <f>IFERROR(__xludf.DUMMYFUNCTION("""COMPUTED_VALUE"""),43439.99861111111)</f>
        <v>43439.99861</v>
      </c>
      <c r="B3010" s="1">
        <f>IFERROR(__xludf.DUMMYFUNCTION("""COMPUTED_VALUE"""),10415.95)</f>
        <v>10415.95</v>
      </c>
    </row>
    <row r="3011">
      <c r="A3011" s="3">
        <f>IFERROR(__xludf.DUMMYFUNCTION("""COMPUTED_VALUE"""),43440.99861111111)</f>
        <v>43440.99861</v>
      </c>
      <c r="B3011" s="1">
        <f>IFERROR(__xludf.DUMMYFUNCTION("""COMPUTED_VALUE"""),10609.3)</f>
        <v>10609.3</v>
      </c>
    </row>
    <row r="3012">
      <c r="A3012" s="3">
        <f>IFERROR(__xludf.DUMMYFUNCTION("""COMPUTED_VALUE"""),43441.99861111111)</f>
        <v>43441.99861</v>
      </c>
      <c r="B3012" s="1">
        <f>IFERROR(__xludf.DUMMYFUNCTION("""COMPUTED_VALUE"""),10570.1)</f>
        <v>10570.1</v>
      </c>
    </row>
    <row r="3013">
      <c r="A3013" s="3">
        <f>IFERROR(__xludf.DUMMYFUNCTION("""COMPUTED_VALUE"""),43442.99861111111)</f>
        <v>43442.99861</v>
      </c>
      <c r="B3013" s="1">
        <f>IFERROR(__xludf.DUMMYFUNCTION("""COMPUTED_VALUE"""),10570.1)</f>
        <v>10570.1</v>
      </c>
    </row>
    <row r="3014">
      <c r="A3014" s="3">
        <f>IFERROR(__xludf.DUMMYFUNCTION("""COMPUTED_VALUE"""),43443.99861111111)</f>
        <v>43443.99861</v>
      </c>
      <c r="B3014" s="1">
        <f>IFERROR(__xludf.DUMMYFUNCTION("""COMPUTED_VALUE"""),10543.9)</f>
        <v>10543.9</v>
      </c>
    </row>
    <row r="3015">
      <c r="A3015" s="3">
        <f>IFERROR(__xludf.DUMMYFUNCTION("""COMPUTED_VALUE"""),43444.99861111111)</f>
        <v>43444.99861</v>
      </c>
      <c r="B3015" s="1">
        <f>IFERROR(__xludf.DUMMYFUNCTION("""COMPUTED_VALUE"""),10602.4)</f>
        <v>10602.4</v>
      </c>
    </row>
    <row r="3016">
      <c r="A3016" s="3">
        <f>IFERROR(__xludf.DUMMYFUNCTION("""COMPUTED_VALUE"""),43445.99861111111)</f>
        <v>43445.99861</v>
      </c>
      <c r="B3016" s="1">
        <f>IFERROR(__xludf.DUMMYFUNCTION("""COMPUTED_VALUE"""),10627.5)</f>
        <v>10627.5</v>
      </c>
    </row>
    <row r="3017">
      <c r="A3017" s="3">
        <f>IFERROR(__xludf.DUMMYFUNCTION("""COMPUTED_VALUE"""),43446.99861111111)</f>
        <v>43446.99861</v>
      </c>
      <c r="B3017" s="1">
        <f>IFERROR(__xludf.DUMMYFUNCTION("""COMPUTED_VALUE"""),10628.3)</f>
        <v>10628.3</v>
      </c>
    </row>
    <row r="3018">
      <c r="A3018" s="3">
        <f>IFERROR(__xludf.DUMMYFUNCTION("""COMPUTED_VALUE"""),43447.99861111111)</f>
        <v>43447.99861</v>
      </c>
      <c r="B3018" s="1">
        <f>IFERROR(__xludf.DUMMYFUNCTION("""COMPUTED_VALUE"""),10642.7)</f>
        <v>10642.7</v>
      </c>
    </row>
    <row r="3019">
      <c r="A3019" s="3">
        <f>IFERROR(__xludf.DUMMYFUNCTION("""COMPUTED_VALUE"""),43448.99861111111)</f>
        <v>43448.99861</v>
      </c>
      <c r="B3019" s="1">
        <f>IFERROR(__xludf.DUMMYFUNCTION("""COMPUTED_VALUE"""),10584.35)</f>
        <v>10584.35</v>
      </c>
    </row>
    <row r="3020">
      <c r="A3020" s="3">
        <f>IFERROR(__xludf.DUMMYFUNCTION("""COMPUTED_VALUE"""),43449.99861111111)</f>
        <v>43449.99861</v>
      </c>
      <c r="B3020" s="1">
        <f>IFERROR(__xludf.DUMMYFUNCTION("""COMPUTED_VALUE"""),10584.35)</f>
        <v>10584.35</v>
      </c>
    </row>
    <row r="3021">
      <c r="A3021" s="3">
        <f>IFERROR(__xludf.DUMMYFUNCTION("""COMPUTED_VALUE"""),43450.99861111111)</f>
        <v>43450.99861</v>
      </c>
      <c r="B3021" s="1">
        <f>IFERROR(__xludf.DUMMYFUNCTION("""COMPUTED_VALUE"""),10589.75)</f>
        <v>10589.75</v>
      </c>
    </row>
    <row r="3022">
      <c r="A3022" s="3">
        <f>IFERROR(__xludf.DUMMYFUNCTION("""COMPUTED_VALUE"""),43451.99861111111)</f>
        <v>43451.99861</v>
      </c>
      <c r="B3022" s="1">
        <f>IFERROR(__xludf.DUMMYFUNCTION("""COMPUTED_VALUE"""),10622.1)</f>
        <v>10622.1</v>
      </c>
    </row>
    <row r="3023">
      <c r="A3023" s="3">
        <f>IFERROR(__xludf.DUMMYFUNCTION("""COMPUTED_VALUE"""),43452.99861111111)</f>
        <v>43452.99861</v>
      </c>
      <c r="B3023" s="1">
        <f>IFERROR(__xludf.DUMMYFUNCTION("""COMPUTED_VALUE"""),10574.0)</f>
        <v>10574</v>
      </c>
    </row>
    <row r="3024">
      <c r="A3024" s="3">
        <f>IFERROR(__xludf.DUMMYFUNCTION("""COMPUTED_VALUE"""),43453.99861111111)</f>
        <v>43453.99861</v>
      </c>
      <c r="B3024" s="1">
        <f>IFERROR(__xludf.DUMMYFUNCTION("""COMPUTED_VALUE"""),10565.7)</f>
        <v>10565.7</v>
      </c>
    </row>
    <row r="3025">
      <c r="A3025" s="3">
        <f>IFERROR(__xludf.DUMMYFUNCTION("""COMPUTED_VALUE"""),43454.99861111111)</f>
        <v>43454.99861</v>
      </c>
      <c r="B3025" s="1">
        <f>IFERROR(__xludf.DUMMYFUNCTION("""COMPUTED_VALUE"""),10529.4)</f>
        <v>10529.4</v>
      </c>
    </row>
    <row r="3026">
      <c r="A3026" s="3">
        <f>IFERROR(__xludf.DUMMYFUNCTION("""COMPUTED_VALUE"""),43455.99861111111)</f>
        <v>43455.99861</v>
      </c>
      <c r="B3026" s="1">
        <f>IFERROR(__xludf.DUMMYFUNCTION("""COMPUTED_VALUE"""),10593.6)</f>
        <v>10593.6</v>
      </c>
    </row>
    <row r="3027">
      <c r="A3027" s="3">
        <f>IFERROR(__xludf.DUMMYFUNCTION("""COMPUTED_VALUE"""),43456.99861111111)</f>
        <v>43456.99861</v>
      </c>
      <c r="B3027" s="1">
        <f>IFERROR(__xludf.DUMMYFUNCTION("""COMPUTED_VALUE"""),10593.6)</f>
        <v>10593.6</v>
      </c>
    </row>
    <row r="3028">
      <c r="A3028" s="3">
        <f>IFERROR(__xludf.DUMMYFUNCTION("""COMPUTED_VALUE"""),43457.99861111111)</f>
        <v>43457.99861</v>
      </c>
      <c r="B3028" s="1">
        <f>IFERROR(__xludf.DUMMYFUNCTION("""COMPUTED_VALUE"""),10611.6)</f>
        <v>10611.6</v>
      </c>
    </row>
    <row r="3029">
      <c r="A3029" s="3">
        <f>IFERROR(__xludf.DUMMYFUNCTION("""COMPUTED_VALUE"""),43458.99861111111)</f>
        <v>43458.99861</v>
      </c>
      <c r="B3029" s="1">
        <f>IFERROR(__xludf.DUMMYFUNCTION("""COMPUTED_VALUE"""),10586.35)</f>
        <v>10586.35</v>
      </c>
    </row>
    <row r="3030">
      <c r="A3030" s="3">
        <f>IFERROR(__xludf.DUMMYFUNCTION("""COMPUTED_VALUE"""),43459.99861111111)</f>
        <v>43459.99861</v>
      </c>
      <c r="B3030" s="1">
        <f>IFERROR(__xludf.DUMMYFUNCTION("""COMPUTED_VALUE"""),10591.75)</f>
        <v>10591.75</v>
      </c>
    </row>
    <row r="3031">
      <c r="A3031" s="3">
        <f>IFERROR(__xludf.DUMMYFUNCTION("""COMPUTED_VALUE"""),43460.99861111111)</f>
        <v>43460.99861</v>
      </c>
      <c r="B3031" s="1">
        <f>IFERROR(__xludf.DUMMYFUNCTION("""COMPUTED_VALUE"""),10613.2)</f>
        <v>10613.2</v>
      </c>
    </row>
    <row r="3032">
      <c r="A3032" s="3">
        <f>IFERROR(__xludf.DUMMYFUNCTION("""COMPUTED_VALUE"""),43461.99861111111)</f>
        <v>43461.99861</v>
      </c>
      <c r="B3032" s="1">
        <f>IFERROR(__xludf.DUMMYFUNCTION("""COMPUTED_VALUE"""),10638.5)</f>
        <v>10638.5</v>
      </c>
    </row>
    <row r="3033">
      <c r="A3033" s="3">
        <f>IFERROR(__xludf.DUMMYFUNCTION("""COMPUTED_VALUE"""),43462.99861111111)</f>
        <v>43462.99861</v>
      </c>
      <c r="B3033" s="1">
        <f>IFERROR(__xludf.DUMMYFUNCTION("""COMPUTED_VALUE"""),10656.4)</f>
        <v>10656.4</v>
      </c>
    </row>
    <row r="3034">
      <c r="A3034" s="3">
        <f>IFERROR(__xludf.DUMMYFUNCTION("""COMPUTED_VALUE"""),43463.99861111111)</f>
        <v>43463.99861</v>
      </c>
      <c r="B3034" s="1">
        <f>IFERROR(__xludf.DUMMYFUNCTION("""COMPUTED_VALUE"""),10656.4)</f>
        <v>10656.4</v>
      </c>
    </row>
    <row r="3035">
      <c r="A3035" s="3">
        <f>IFERROR(__xludf.DUMMYFUNCTION("""COMPUTED_VALUE"""),43464.99861111111)</f>
        <v>43464.99861</v>
      </c>
      <c r="B3035" s="1">
        <f>IFERROR(__xludf.DUMMYFUNCTION("""COMPUTED_VALUE"""),10657.2)</f>
        <v>10657.2</v>
      </c>
    </row>
    <row r="3036">
      <c r="A3036" s="3">
        <f>IFERROR(__xludf.DUMMYFUNCTION("""COMPUTED_VALUE"""),43465.99861111111)</f>
        <v>43465.99861</v>
      </c>
      <c r="B3036" s="1">
        <f>IFERROR(__xludf.DUMMYFUNCTION("""COMPUTED_VALUE"""),10574.0)</f>
        <v>10574</v>
      </c>
    </row>
    <row r="3037">
      <c r="A3037" s="3">
        <f>IFERROR(__xludf.DUMMYFUNCTION("""COMPUTED_VALUE"""),43466.99861111111)</f>
        <v>43466.99861</v>
      </c>
      <c r="B3037" s="1">
        <f>IFERROR(__xludf.DUMMYFUNCTION("""COMPUTED_VALUE"""),10542.75)</f>
        <v>10542.75</v>
      </c>
    </row>
    <row r="3038">
      <c r="A3038" s="3">
        <f>IFERROR(__xludf.DUMMYFUNCTION("""COMPUTED_VALUE"""),43467.99861111111)</f>
        <v>43467.99861</v>
      </c>
      <c r="B3038" s="1">
        <f>IFERROR(__xludf.DUMMYFUNCTION("""COMPUTED_VALUE"""),10586.6)</f>
        <v>10586.6</v>
      </c>
    </row>
    <row r="3039">
      <c r="A3039" s="3">
        <f>IFERROR(__xludf.DUMMYFUNCTION("""COMPUTED_VALUE"""),43468.99861111111)</f>
        <v>43468.99861</v>
      </c>
      <c r="B3039" s="1">
        <f>IFERROR(__xludf.DUMMYFUNCTION("""COMPUTED_VALUE"""),10561.2)</f>
        <v>10561.2</v>
      </c>
    </row>
    <row r="3040">
      <c r="A3040" s="3">
        <f>IFERROR(__xludf.DUMMYFUNCTION("""COMPUTED_VALUE"""),43469.99861111111)</f>
        <v>43469.99861</v>
      </c>
      <c r="B3040" s="1">
        <f>IFERROR(__xludf.DUMMYFUNCTION("""COMPUTED_VALUE"""),10552.3)</f>
        <v>10552.3</v>
      </c>
    </row>
    <row r="3041">
      <c r="A3041" s="3">
        <f>IFERROR(__xludf.DUMMYFUNCTION("""COMPUTED_VALUE"""),43470.99861111111)</f>
        <v>43470.99861</v>
      </c>
      <c r="B3041" s="1">
        <f>IFERROR(__xludf.DUMMYFUNCTION("""COMPUTED_VALUE"""),10552.3)</f>
        <v>10552.3</v>
      </c>
    </row>
    <row r="3042">
      <c r="A3042" s="3">
        <f>IFERROR(__xludf.DUMMYFUNCTION("""COMPUTED_VALUE"""),43471.99861111111)</f>
        <v>43471.99861</v>
      </c>
      <c r="B3042" s="1">
        <f>IFERROR(__xludf.DUMMYFUNCTION("""COMPUTED_VALUE"""),10542.6)</f>
        <v>10542.6</v>
      </c>
    </row>
    <row r="3043">
      <c r="A3043" s="3">
        <f>IFERROR(__xludf.DUMMYFUNCTION("""COMPUTED_VALUE"""),43472.99861111111)</f>
        <v>43472.99861</v>
      </c>
      <c r="B3043" s="1">
        <f>IFERROR(__xludf.DUMMYFUNCTION("""COMPUTED_VALUE"""),10387.15)</f>
        <v>10387.15</v>
      </c>
    </row>
    <row r="3044">
      <c r="A3044" s="3">
        <f>IFERROR(__xludf.DUMMYFUNCTION("""COMPUTED_VALUE"""),43473.99861111111)</f>
        <v>43473.99861</v>
      </c>
      <c r="B3044" s="1">
        <f>IFERROR(__xludf.DUMMYFUNCTION("""COMPUTED_VALUE"""),10413.2)</f>
        <v>10413.2</v>
      </c>
    </row>
    <row r="3045">
      <c r="A3045" s="3">
        <f>IFERROR(__xludf.DUMMYFUNCTION("""COMPUTED_VALUE"""),43474.99861111111)</f>
        <v>43474.99861</v>
      </c>
      <c r="B3045" s="1">
        <f>IFERROR(__xludf.DUMMYFUNCTION("""COMPUTED_VALUE"""),10353.55)</f>
        <v>10353.55</v>
      </c>
    </row>
    <row r="3046">
      <c r="A3046" s="3">
        <f>IFERROR(__xludf.DUMMYFUNCTION("""COMPUTED_VALUE"""),43475.99861111111)</f>
        <v>43475.99861</v>
      </c>
      <c r="B3046" s="1">
        <f>IFERROR(__xludf.DUMMYFUNCTION("""COMPUTED_VALUE"""),10405.6)</f>
        <v>10405.6</v>
      </c>
    </row>
    <row r="3047">
      <c r="A3047" s="3">
        <f>IFERROR(__xludf.DUMMYFUNCTION("""COMPUTED_VALUE"""),43476.99861111111)</f>
        <v>43476.99861</v>
      </c>
      <c r="B3047" s="1">
        <f>IFERROR(__xludf.DUMMYFUNCTION("""COMPUTED_VALUE"""),10429.1)</f>
        <v>10429.1</v>
      </c>
    </row>
    <row r="3048">
      <c r="A3048" s="3">
        <f>IFERROR(__xludf.DUMMYFUNCTION("""COMPUTED_VALUE"""),43477.99861111111)</f>
        <v>43477.99861</v>
      </c>
      <c r="B3048" s="1">
        <f>IFERROR(__xludf.DUMMYFUNCTION("""COMPUTED_VALUE"""),10429.1)</f>
        <v>10429.1</v>
      </c>
    </row>
    <row r="3049">
      <c r="A3049" s="3">
        <f>IFERROR(__xludf.DUMMYFUNCTION("""COMPUTED_VALUE"""),43478.99861111111)</f>
        <v>43478.99861</v>
      </c>
      <c r="B3049" s="1">
        <f>IFERROR(__xludf.DUMMYFUNCTION("""COMPUTED_VALUE"""),10436.3)</f>
        <v>10436.3</v>
      </c>
    </row>
    <row r="3050">
      <c r="A3050" s="3">
        <f>IFERROR(__xludf.DUMMYFUNCTION("""COMPUTED_VALUE"""),43479.99861111111)</f>
        <v>43479.99861</v>
      </c>
      <c r="B3050" s="1">
        <f>IFERROR(__xludf.DUMMYFUNCTION("""COMPUTED_VALUE"""),10439.6)</f>
        <v>10439.6</v>
      </c>
    </row>
    <row r="3051">
      <c r="A3051" s="3">
        <f>IFERROR(__xludf.DUMMYFUNCTION("""COMPUTED_VALUE"""),43480.99861111111)</f>
        <v>43480.99861</v>
      </c>
      <c r="B3051" s="1">
        <f>IFERROR(__xludf.DUMMYFUNCTION("""COMPUTED_VALUE"""),10395.35)</f>
        <v>10395.35</v>
      </c>
    </row>
    <row r="3052">
      <c r="A3052" s="3">
        <f>IFERROR(__xludf.DUMMYFUNCTION("""COMPUTED_VALUE"""),43481.99861111111)</f>
        <v>43481.99861</v>
      </c>
      <c r="B3052" s="1">
        <f>IFERROR(__xludf.DUMMYFUNCTION("""COMPUTED_VALUE"""),10431.75)</f>
        <v>10431.75</v>
      </c>
    </row>
    <row r="3053">
      <c r="A3053" s="3">
        <f>IFERROR(__xludf.DUMMYFUNCTION("""COMPUTED_VALUE"""),43482.99861111111)</f>
        <v>43482.99861</v>
      </c>
      <c r="B3053" s="1">
        <f>IFERROR(__xludf.DUMMYFUNCTION("""COMPUTED_VALUE"""),10457.55)</f>
        <v>10457.55</v>
      </c>
    </row>
    <row r="3054">
      <c r="A3054" s="3">
        <f>IFERROR(__xludf.DUMMYFUNCTION("""COMPUTED_VALUE"""),43483.99861111111)</f>
        <v>43483.99861</v>
      </c>
      <c r="B3054" s="1">
        <f>IFERROR(__xludf.DUMMYFUNCTION("""COMPUTED_VALUE"""),10419.35)</f>
        <v>10419.35</v>
      </c>
    </row>
    <row r="3055">
      <c r="A3055" s="3">
        <f>IFERROR(__xludf.DUMMYFUNCTION("""COMPUTED_VALUE"""),43484.99861111111)</f>
        <v>43484.99861</v>
      </c>
      <c r="B3055" s="1">
        <f>IFERROR(__xludf.DUMMYFUNCTION("""COMPUTED_VALUE"""),10419.35)</f>
        <v>10419.35</v>
      </c>
    </row>
    <row r="3056">
      <c r="A3056" s="3">
        <f>IFERROR(__xludf.DUMMYFUNCTION("""COMPUTED_VALUE"""),43485.99861111111)</f>
        <v>43485.99861</v>
      </c>
      <c r="B3056" s="1">
        <f>IFERROR(__xludf.DUMMYFUNCTION("""COMPUTED_VALUE"""),10424.05)</f>
        <v>10424.05</v>
      </c>
    </row>
    <row r="3057">
      <c r="A3057" s="3">
        <f>IFERROR(__xludf.DUMMYFUNCTION("""COMPUTED_VALUE"""),43486.99861111111)</f>
        <v>43486.99861</v>
      </c>
      <c r="B3057" s="1">
        <f>IFERROR(__xludf.DUMMYFUNCTION("""COMPUTED_VALUE"""),10463.45)</f>
        <v>10463.45</v>
      </c>
    </row>
    <row r="3058">
      <c r="A3058" s="3">
        <f>IFERROR(__xludf.DUMMYFUNCTION("""COMPUTED_VALUE"""),43487.99861111111)</f>
        <v>43487.99861</v>
      </c>
      <c r="B3058" s="1">
        <f>IFERROR(__xludf.DUMMYFUNCTION("""COMPUTED_VALUE"""),10457.15)</f>
        <v>10457.15</v>
      </c>
    </row>
    <row r="3059">
      <c r="A3059" s="3">
        <f>IFERROR(__xludf.DUMMYFUNCTION("""COMPUTED_VALUE"""),43488.99861111111)</f>
        <v>43488.99861</v>
      </c>
      <c r="B3059" s="1">
        <f>IFERROR(__xludf.DUMMYFUNCTION("""COMPUTED_VALUE"""),10444.55)</f>
        <v>10444.55</v>
      </c>
    </row>
    <row r="3060">
      <c r="A3060" s="3">
        <f>IFERROR(__xludf.DUMMYFUNCTION("""COMPUTED_VALUE"""),43489.99861111111)</f>
        <v>43489.99861</v>
      </c>
      <c r="B3060" s="1">
        <f>IFERROR(__xludf.DUMMYFUNCTION("""COMPUTED_VALUE"""),10398.35)</f>
        <v>10398.35</v>
      </c>
    </row>
    <row r="3061">
      <c r="A3061" s="3">
        <f>IFERROR(__xludf.DUMMYFUNCTION("""COMPUTED_VALUE"""),43490.99861111111)</f>
        <v>43490.99861</v>
      </c>
      <c r="B3061" s="1">
        <f>IFERROR(__xludf.DUMMYFUNCTION("""COMPUTED_VALUE"""),10368.0)</f>
        <v>10368</v>
      </c>
    </row>
    <row r="3062">
      <c r="A3062" s="3">
        <f>IFERROR(__xludf.DUMMYFUNCTION("""COMPUTED_VALUE"""),43491.99861111111)</f>
        <v>43491.99861</v>
      </c>
      <c r="B3062" s="1">
        <f>IFERROR(__xludf.DUMMYFUNCTION("""COMPUTED_VALUE"""),10351.6)</f>
        <v>10351.6</v>
      </c>
    </row>
    <row r="3063">
      <c r="A3063" s="3">
        <f>IFERROR(__xludf.DUMMYFUNCTION("""COMPUTED_VALUE"""),43492.99861111111)</f>
        <v>43492.99861</v>
      </c>
      <c r="B3063" s="1">
        <f>IFERROR(__xludf.DUMMYFUNCTION("""COMPUTED_VALUE"""),10347.9)</f>
        <v>10347.9</v>
      </c>
    </row>
    <row r="3064">
      <c r="A3064" s="3">
        <f>IFERROR(__xludf.DUMMYFUNCTION("""COMPUTED_VALUE"""),43493.99861111111)</f>
        <v>43493.99861</v>
      </c>
      <c r="B3064" s="1">
        <f>IFERROR(__xludf.DUMMYFUNCTION("""COMPUTED_VALUE"""),10393.15)</f>
        <v>10393.15</v>
      </c>
    </row>
    <row r="3065">
      <c r="A3065" s="3">
        <f>IFERROR(__xludf.DUMMYFUNCTION("""COMPUTED_VALUE"""),43494.99861111111)</f>
        <v>43494.99861</v>
      </c>
      <c r="B3065" s="1">
        <f>IFERROR(__xludf.DUMMYFUNCTION("""COMPUTED_VALUE"""),10415.3)</f>
        <v>10415.3</v>
      </c>
    </row>
    <row r="3066">
      <c r="A3066" s="3">
        <f>IFERROR(__xludf.DUMMYFUNCTION("""COMPUTED_VALUE"""),43495.99861111111)</f>
        <v>43495.99861</v>
      </c>
      <c r="B3066" s="1">
        <f>IFERROR(__xludf.DUMMYFUNCTION("""COMPUTED_VALUE"""),10484.8)</f>
        <v>10484.8</v>
      </c>
    </row>
    <row r="3067">
      <c r="A3067" s="3">
        <f>IFERROR(__xludf.DUMMYFUNCTION("""COMPUTED_VALUE"""),43496.99861111111)</f>
        <v>43496.99861</v>
      </c>
      <c r="B3067" s="1">
        <f>IFERROR(__xludf.DUMMYFUNCTION("""COMPUTED_VALUE"""),10415.35)</f>
        <v>10415.35</v>
      </c>
    </row>
    <row r="3068">
      <c r="A3068" s="3">
        <f>IFERROR(__xludf.DUMMYFUNCTION("""COMPUTED_VALUE"""),43497.99861111111)</f>
        <v>43497.99861</v>
      </c>
      <c r="B3068" s="1">
        <f>IFERROR(__xludf.DUMMYFUNCTION("""COMPUTED_VALUE"""),10332.95)</f>
        <v>10332.95</v>
      </c>
    </row>
    <row r="3069">
      <c r="A3069" s="3">
        <f>IFERROR(__xludf.DUMMYFUNCTION("""COMPUTED_VALUE"""),43498.99861111111)</f>
        <v>43498.99861</v>
      </c>
      <c r="B3069" s="1">
        <f>IFERROR(__xludf.DUMMYFUNCTION("""COMPUTED_VALUE"""),10332.95)</f>
        <v>10332.95</v>
      </c>
    </row>
    <row r="3070">
      <c r="A3070" s="3">
        <f>IFERROR(__xludf.DUMMYFUNCTION("""COMPUTED_VALUE"""),43499.99861111111)</f>
        <v>43499.99861</v>
      </c>
      <c r="B3070" s="1">
        <f>IFERROR(__xludf.DUMMYFUNCTION("""COMPUTED_VALUE"""),10331.1)</f>
        <v>10331.1</v>
      </c>
    </row>
    <row r="3071">
      <c r="A3071" s="3">
        <f>IFERROR(__xludf.DUMMYFUNCTION("""COMPUTED_VALUE"""),43500.99861111111)</f>
        <v>43500.99861</v>
      </c>
      <c r="B3071" s="1">
        <f>IFERROR(__xludf.DUMMYFUNCTION("""COMPUTED_VALUE"""),10310.25)</f>
        <v>10310.25</v>
      </c>
    </row>
    <row r="3072">
      <c r="A3072" s="3">
        <f>IFERROR(__xludf.DUMMYFUNCTION("""COMPUTED_VALUE"""),43501.99861111111)</f>
        <v>43501.99861</v>
      </c>
      <c r="B3072" s="1">
        <f>IFERROR(__xludf.DUMMYFUNCTION("""COMPUTED_VALUE"""),10341.3)</f>
        <v>10341.3</v>
      </c>
    </row>
    <row r="3073">
      <c r="A3073" s="3">
        <f>IFERROR(__xludf.DUMMYFUNCTION("""COMPUTED_VALUE"""),43502.99861111111)</f>
        <v>43502.99861</v>
      </c>
      <c r="B3073" s="1">
        <f>IFERROR(__xludf.DUMMYFUNCTION("""COMPUTED_VALUE"""),10267.75)</f>
        <v>10267.75</v>
      </c>
    </row>
    <row r="3074">
      <c r="A3074" s="3">
        <f>IFERROR(__xludf.DUMMYFUNCTION("""COMPUTED_VALUE"""),43503.99861111111)</f>
        <v>43503.99861</v>
      </c>
      <c r="B3074" s="1">
        <f>IFERROR(__xludf.DUMMYFUNCTION("""COMPUTED_VALUE"""),10305.35)</f>
        <v>10305.35</v>
      </c>
    </row>
    <row r="3075">
      <c r="A3075" s="3">
        <f>IFERROR(__xludf.DUMMYFUNCTION("""COMPUTED_VALUE"""),43504.99861111111)</f>
        <v>43504.99861</v>
      </c>
      <c r="B3075" s="1">
        <f>IFERROR(__xludf.DUMMYFUNCTION("""COMPUTED_VALUE"""),10283.55)</f>
        <v>10283.55</v>
      </c>
    </row>
    <row r="3076">
      <c r="A3076" s="3">
        <f>IFERROR(__xludf.DUMMYFUNCTION("""COMPUTED_VALUE"""),43505.99861111111)</f>
        <v>43505.99861</v>
      </c>
      <c r="B3076" s="1">
        <f>IFERROR(__xludf.DUMMYFUNCTION("""COMPUTED_VALUE"""),10311.15)</f>
        <v>10311.15</v>
      </c>
    </row>
    <row r="3077">
      <c r="A3077" s="3">
        <f>IFERROR(__xludf.DUMMYFUNCTION("""COMPUTED_VALUE"""),43506.99861111111)</f>
        <v>43506.99861</v>
      </c>
      <c r="B3077" s="1">
        <f>IFERROR(__xludf.DUMMYFUNCTION("""COMPUTED_VALUE"""),10313.5)</f>
        <v>10313.5</v>
      </c>
    </row>
    <row r="3078">
      <c r="A3078" s="3">
        <f>IFERROR(__xludf.DUMMYFUNCTION("""COMPUTED_VALUE"""),43507.99861111111)</f>
        <v>43507.99861</v>
      </c>
      <c r="B3078" s="1">
        <f>IFERROR(__xludf.DUMMYFUNCTION("""COMPUTED_VALUE"""),10312.1)</f>
        <v>10312.1</v>
      </c>
    </row>
    <row r="3079">
      <c r="A3079" s="3">
        <f>IFERROR(__xludf.DUMMYFUNCTION("""COMPUTED_VALUE"""),43508.99861111111)</f>
        <v>43508.99861</v>
      </c>
      <c r="B3079" s="1">
        <f>IFERROR(__xludf.DUMMYFUNCTION("""COMPUTED_VALUE"""),10374.95)</f>
        <v>10374.95</v>
      </c>
    </row>
    <row r="3080">
      <c r="A3080" s="3">
        <f>IFERROR(__xludf.DUMMYFUNCTION("""COMPUTED_VALUE"""),43509.99861111111)</f>
        <v>43509.99861</v>
      </c>
      <c r="B3080" s="1">
        <f>IFERROR(__xludf.DUMMYFUNCTION("""COMPUTED_VALUE"""),10351.55)</f>
        <v>10351.55</v>
      </c>
    </row>
    <row r="3081">
      <c r="A3081" s="3">
        <f>IFERROR(__xludf.DUMMYFUNCTION("""COMPUTED_VALUE"""),43510.99861111111)</f>
        <v>43510.99861</v>
      </c>
      <c r="B3081" s="1">
        <f>IFERROR(__xludf.DUMMYFUNCTION("""COMPUTED_VALUE"""),10371.55)</f>
        <v>10371.55</v>
      </c>
    </row>
    <row r="3082">
      <c r="A3082" s="3">
        <f>IFERROR(__xludf.DUMMYFUNCTION("""COMPUTED_VALUE"""),43511.99861111111)</f>
        <v>43511.99861</v>
      </c>
      <c r="B3082" s="1">
        <f>IFERROR(__xludf.DUMMYFUNCTION("""COMPUTED_VALUE"""),10403.2)</f>
        <v>10403.2</v>
      </c>
    </row>
    <row r="3083">
      <c r="A3083" s="3">
        <f>IFERROR(__xludf.DUMMYFUNCTION("""COMPUTED_VALUE"""),43512.99861111111)</f>
        <v>43512.99861</v>
      </c>
      <c r="B3083" s="1">
        <f>IFERROR(__xludf.DUMMYFUNCTION("""COMPUTED_VALUE"""),10403.2)</f>
        <v>10403.2</v>
      </c>
    </row>
    <row r="3084">
      <c r="A3084" s="3">
        <f>IFERROR(__xludf.DUMMYFUNCTION("""COMPUTED_VALUE"""),43513.99861111111)</f>
        <v>43513.99861</v>
      </c>
      <c r="B3084" s="1">
        <f>IFERROR(__xludf.DUMMYFUNCTION("""COMPUTED_VALUE"""),10408.35)</f>
        <v>10408.35</v>
      </c>
    </row>
    <row r="3085">
      <c r="A3085" s="3">
        <f>IFERROR(__xludf.DUMMYFUNCTION("""COMPUTED_VALUE"""),43514.99861111111)</f>
        <v>43514.99861</v>
      </c>
      <c r="B3085" s="1">
        <f>IFERROR(__xludf.DUMMYFUNCTION("""COMPUTED_VALUE"""),10416.0)</f>
        <v>10416</v>
      </c>
    </row>
    <row r="3086">
      <c r="A3086" s="3">
        <f>IFERROR(__xludf.DUMMYFUNCTION("""COMPUTED_VALUE"""),43515.99861111111)</f>
        <v>43515.99861</v>
      </c>
      <c r="B3086" s="1">
        <f>IFERROR(__xludf.DUMMYFUNCTION("""COMPUTED_VALUE"""),10437.1)</f>
        <v>10437.1</v>
      </c>
    </row>
    <row r="3087">
      <c r="A3087" s="3">
        <f>IFERROR(__xludf.DUMMYFUNCTION("""COMPUTED_VALUE"""),43516.99861111111)</f>
        <v>43516.99861</v>
      </c>
      <c r="B3087" s="1">
        <f>IFERROR(__xludf.DUMMYFUNCTION("""COMPUTED_VALUE"""),10407.55)</f>
        <v>10407.55</v>
      </c>
    </row>
    <row r="3088">
      <c r="A3088" s="3">
        <f>IFERROR(__xludf.DUMMYFUNCTION("""COMPUTED_VALUE"""),43517.99861111111)</f>
        <v>43517.99861</v>
      </c>
      <c r="B3088" s="1">
        <f>IFERROR(__xludf.DUMMYFUNCTION("""COMPUTED_VALUE"""),10383.85)</f>
        <v>10383.85</v>
      </c>
    </row>
    <row r="3089">
      <c r="A3089" s="3">
        <f>IFERROR(__xludf.DUMMYFUNCTION("""COMPUTED_VALUE"""),43518.99861111111)</f>
        <v>43518.99861</v>
      </c>
      <c r="B3089" s="1">
        <f>IFERROR(__xludf.DUMMYFUNCTION("""COMPUTED_VALUE"""),10396.05)</f>
        <v>10396.05</v>
      </c>
    </row>
    <row r="3090">
      <c r="A3090" s="3">
        <f>IFERROR(__xludf.DUMMYFUNCTION("""COMPUTED_VALUE"""),43519.99861111111)</f>
        <v>43519.99861</v>
      </c>
      <c r="B3090" s="1">
        <f>IFERROR(__xludf.DUMMYFUNCTION("""COMPUTED_VALUE"""),10407.15)</f>
        <v>10407.15</v>
      </c>
    </row>
    <row r="3091">
      <c r="A3091" s="3">
        <f>IFERROR(__xludf.DUMMYFUNCTION("""COMPUTED_VALUE"""),43520.99861111111)</f>
        <v>43520.99861</v>
      </c>
      <c r="B3091" s="1">
        <f>IFERROR(__xludf.DUMMYFUNCTION("""COMPUTED_VALUE"""),10408.8)</f>
        <v>10408.8</v>
      </c>
    </row>
    <row r="3092">
      <c r="A3092" s="3">
        <f>IFERROR(__xludf.DUMMYFUNCTION("""COMPUTED_VALUE"""),43521.99861111111)</f>
        <v>43521.99861</v>
      </c>
      <c r="B3092" s="1">
        <f>IFERROR(__xludf.DUMMYFUNCTION("""COMPUTED_VALUE"""),10391.0)</f>
        <v>10391</v>
      </c>
    </row>
    <row r="3093">
      <c r="A3093" s="3">
        <f>IFERROR(__xludf.DUMMYFUNCTION("""COMPUTED_VALUE"""),43522.99861111111)</f>
        <v>43522.99861</v>
      </c>
      <c r="B3093" s="1">
        <f>IFERROR(__xludf.DUMMYFUNCTION("""COMPUTED_VALUE"""),10365.35)</f>
        <v>10365.35</v>
      </c>
    </row>
    <row r="3094">
      <c r="A3094" s="3">
        <f>IFERROR(__xludf.DUMMYFUNCTION("""COMPUTED_VALUE"""),43523.99861111111)</f>
        <v>43523.99861</v>
      </c>
      <c r="B3094" s="1">
        <f>IFERROR(__xludf.DUMMYFUNCTION("""COMPUTED_VALUE"""),10404.25)</f>
        <v>10404.25</v>
      </c>
    </row>
    <row r="3095">
      <c r="A3095" s="3">
        <f>IFERROR(__xludf.DUMMYFUNCTION("""COMPUTED_VALUE"""),43524.99861111111)</f>
        <v>43524.99861</v>
      </c>
      <c r="B3095" s="1">
        <f>IFERROR(__xludf.DUMMYFUNCTION("""COMPUTED_VALUE"""),10414.45)</f>
        <v>10414.45</v>
      </c>
    </row>
    <row r="3096">
      <c r="A3096" s="3">
        <f>IFERROR(__xludf.DUMMYFUNCTION("""COMPUTED_VALUE"""),43525.99861111111)</f>
        <v>43525.99861</v>
      </c>
      <c r="B3096" s="1">
        <f>IFERROR(__xludf.DUMMYFUNCTION("""COMPUTED_VALUE"""),10405.95)</f>
        <v>10405.95</v>
      </c>
    </row>
    <row r="3097">
      <c r="A3097" s="3">
        <f>IFERROR(__xludf.DUMMYFUNCTION("""COMPUTED_VALUE"""),43526.99861111111)</f>
        <v>43526.99861</v>
      </c>
      <c r="B3097" s="1">
        <f>IFERROR(__xludf.DUMMYFUNCTION("""COMPUTED_VALUE"""),10405.95)</f>
        <v>10405.95</v>
      </c>
    </row>
    <row r="3098">
      <c r="A3098" s="3">
        <f>IFERROR(__xludf.DUMMYFUNCTION("""COMPUTED_VALUE"""),43527.99861111111)</f>
        <v>43527.99861</v>
      </c>
      <c r="B3098" s="1">
        <f>IFERROR(__xludf.DUMMYFUNCTION("""COMPUTED_VALUE"""),10421.55)</f>
        <v>10421.55</v>
      </c>
    </row>
    <row r="3099">
      <c r="A3099" s="3">
        <f>IFERROR(__xludf.DUMMYFUNCTION("""COMPUTED_VALUE"""),43528.99861111111)</f>
        <v>43528.99861</v>
      </c>
      <c r="B3099" s="1">
        <f>IFERROR(__xludf.DUMMYFUNCTION("""COMPUTED_VALUE"""),10430.65)</f>
        <v>10430.65</v>
      </c>
    </row>
    <row r="3100">
      <c r="A3100" s="3">
        <f>IFERROR(__xludf.DUMMYFUNCTION("""COMPUTED_VALUE"""),43529.99861111111)</f>
        <v>43529.99861</v>
      </c>
      <c r="B3100" s="1">
        <f>IFERROR(__xludf.DUMMYFUNCTION("""COMPUTED_VALUE"""),10449.5)</f>
        <v>10449.5</v>
      </c>
    </row>
    <row r="3101">
      <c r="A3101" s="3">
        <f>IFERROR(__xludf.DUMMYFUNCTION("""COMPUTED_VALUE"""),43530.99861111111)</f>
        <v>43530.99861</v>
      </c>
      <c r="B3101" s="1">
        <f>IFERROR(__xludf.DUMMYFUNCTION("""COMPUTED_VALUE"""),10422.1)</f>
        <v>10422.1</v>
      </c>
    </row>
    <row r="3102">
      <c r="A3102" s="3">
        <f>IFERROR(__xludf.DUMMYFUNCTION("""COMPUTED_VALUE"""),43531.99861111111)</f>
        <v>43531.99861</v>
      </c>
      <c r="B3102" s="1">
        <f>IFERROR(__xludf.DUMMYFUNCTION("""COMPUTED_VALUE"""),10377.4)</f>
        <v>10377.4</v>
      </c>
    </row>
    <row r="3103">
      <c r="A3103" s="3">
        <f>IFERROR(__xludf.DUMMYFUNCTION("""COMPUTED_VALUE"""),43532.99861111111)</f>
        <v>43532.99861</v>
      </c>
      <c r="B3103" s="1">
        <f>IFERROR(__xludf.DUMMYFUNCTION("""COMPUTED_VALUE"""),10350.9)</f>
        <v>10350.9</v>
      </c>
    </row>
    <row r="3104">
      <c r="A3104" s="3">
        <f>IFERROR(__xludf.DUMMYFUNCTION("""COMPUTED_VALUE"""),43533.99861111111)</f>
        <v>43533.99861</v>
      </c>
      <c r="B3104" s="1">
        <f>IFERROR(__xludf.DUMMYFUNCTION("""COMPUTED_VALUE"""),10350.9)</f>
        <v>10350.9</v>
      </c>
    </row>
    <row r="3105">
      <c r="A3105" s="3">
        <f>IFERROR(__xludf.DUMMYFUNCTION("""COMPUTED_VALUE"""),43534.99861111111)</f>
        <v>43534.99861</v>
      </c>
      <c r="B3105" s="1">
        <f>IFERROR(__xludf.DUMMYFUNCTION("""COMPUTED_VALUE"""),10511.5)</f>
        <v>10511.5</v>
      </c>
    </row>
    <row r="3106">
      <c r="A3106" s="3">
        <f>IFERROR(__xludf.DUMMYFUNCTION("""COMPUTED_VALUE"""),43535.99861111111)</f>
        <v>43535.99861</v>
      </c>
      <c r="B3106" s="1">
        <f>IFERROR(__xludf.DUMMYFUNCTION("""COMPUTED_VALUE"""),10494.65)</f>
        <v>10494.65</v>
      </c>
    </row>
    <row r="3107">
      <c r="A3107" s="3">
        <f>IFERROR(__xludf.DUMMYFUNCTION("""COMPUTED_VALUE"""),43536.99861111111)</f>
        <v>43536.99861</v>
      </c>
      <c r="B3107" s="1">
        <f>IFERROR(__xludf.DUMMYFUNCTION("""COMPUTED_VALUE"""),10517.25)</f>
        <v>10517.25</v>
      </c>
    </row>
    <row r="3108">
      <c r="A3108" s="3">
        <f>IFERROR(__xludf.DUMMYFUNCTION("""COMPUTED_VALUE"""),43537.99861111111)</f>
        <v>43537.99861</v>
      </c>
      <c r="B3108" s="1">
        <f>IFERROR(__xludf.DUMMYFUNCTION("""COMPUTED_VALUE"""),10521.85)</f>
        <v>10521.85</v>
      </c>
    </row>
    <row r="3109">
      <c r="A3109" s="3">
        <f>IFERROR(__xludf.DUMMYFUNCTION("""COMPUTED_VALUE"""),43538.99861111111)</f>
        <v>43538.99861</v>
      </c>
      <c r="B3109" s="1">
        <f>IFERROR(__xludf.DUMMYFUNCTION("""COMPUTED_VALUE"""),10513.65)</f>
        <v>10513.65</v>
      </c>
    </row>
    <row r="3110">
      <c r="A3110" s="3">
        <f>IFERROR(__xludf.DUMMYFUNCTION("""COMPUTED_VALUE"""),43539.99861111111)</f>
        <v>43539.99861</v>
      </c>
      <c r="B3110" s="1">
        <f>IFERROR(__xludf.DUMMYFUNCTION("""COMPUTED_VALUE"""),10535.9)</f>
        <v>10535.9</v>
      </c>
    </row>
    <row r="3111">
      <c r="A3111" s="3">
        <f>IFERROR(__xludf.DUMMYFUNCTION("""COMPUTED_VALUE"""),43540.99861111111)</f>
        <v>43540.99861</v>
      </c>
      <c r="B3111" s="1">
        <f>IFERROR(__xludf.DUMMYFUNCTION("""COMPUTED_VALUE"""),10535.9)</f>
        <v>10535.9</v>
      </c>
    </row>
    <row r="3112">
      <c r="A3112" s="3">
        <f>IFERROR(__xludf.DUMMYFUNCTION("""COMPUTED_VALUE"""),43541.99861111111)</f>
        <v>43541.99861</v>
      </c>
      <c r="B3112" s="1">
        <f>IFERROR(__xludf.DUMMYFUNCTION("""COMPUTED_VALUE"""),10538.75)</f>
        <v>10538.75</v>
      </c>
    </row>
    <row r="3113">
      <c r="A3113" s="3">
        <f>IFERROR(__xludf.DUMMYFUNCTION("""COMPUTED_VALUE"""),43542.99861111111)</f>
        <v>43542.99861</v>
      </c>
      <c r="B3113" s="1">
        <f>IFERROR(__xludf.DUMMYFUNCTION("""COMPUTED_VALUE"""),10555.4)</f>
        <v>10555.4</v>
      </c>
    </row>
    <row r="3114">
      <c r="A3114" s="3">
        <f>IFERROR(__xludf.DUMMYFUNCTION("""COMPUTED_VALUE"""),43543.99861111111)</f>
        <v>43543.99861</v>
      </c>
      <c r="B3114" s="1">
        <f>IFERROR(__xludf.DUMMYFUNCTION("""COMPUTED_VALUE"""),10529.45)</f>
        <v>10529.45</v>
      </c>
    </row>
    <row r="3115">
      <c r="A3115" s="3">
        <f>IFERROR(__xludf.DUMMYFUNCTION("""COMPUTED_VALUE"""),43544.99861111111)</f>
        <v>43544.99861</v>
      </c>
      <c r="B3115" s="1">
        <f>IFERROR(__xludf.DUMMYFUNCTION("""COMPUTED_VALUE"""),10510.95)</f>
        <v>10510.95</v>
      </c>
    </row>
    <row r="3116">
      <c r="A3116" s="3">
        <f>IFERROR(__xludf.DUMMYFUNCTION("""COMPUTED_VALUE"""),43545.99861111111)</f>
        <v>43545.99861</v>
      </c>
      <c r="B3116" s="1">
        <f>IFERROR(__xludf.DUMMYFUNCTION("""COMPUTED_VALUE"""),10460.35)</f>
        <v>10460.35</v>
      </c>
    </row>
    <row r="3117">
      <c r="A3117" s="3">
        <f>IFERROR(__xludf.DUMMYFUNCTION("""COMPUTED_VALUE"""),43546.99861111111)</f>
        <v>43546.99861</v>
      </c>
      <c r="B3117" s="1">
        <f>IFERROR(__xludf.DUMMYFUNCTION("""COMPUTED_VALUE"""),10477.75)</f>
        <v>10477.75</v>
      </c>
    </row>
    <row r="3118">
      <c r="A3118" s="3">
        <f>IFERROR(__xludf.DUMMYFUNCTION("""COMPUTED_VALUE"""),43547.99861111111)</f>
        <v>43547.99861</v>
      </c>
      <c r="B3118" s="1">
        <f>IFERROR(__xludf.DUMMYFUNCTION("""COMPUTED_VALUE"""),10458.9)</f>
        <v>10458.9</v>
      </c>
    </row>
    <row r="3119">
      <c r="A3119" s="3">
        <f>IFERROR(__xludf.DUMMYFUNCTION("""COMPUTED_VALUE"""),43548.99861111111)</f>
        <v>43548.99861</v>
      </c>
      <c r="B3119" s="1">
        <f>IFERROR(__xludf.DUMMYFUNCTION("""COMPUTED_VALUE"""),10475.85)</f>
        <v>10475.85</v>
      </c>
    </row>
    <row r="3120">
      <c r="A3120" s="3">
        <f>IFERROR(__xludf.DUMMYFUNCTION("""COMPUTED_VALUE"""),43549.99861111111)</f>
        <v>43549.99861</v>
      </c>
      <c r="B3120" s="1">
        <f>IFERROR(__xludf.DUMMYFUNCTION("""COMPUTED_VALUE"""),10503.8)</f>
        <v>10503.8</v>
      </c>
    </row>
    <row r="3121">
      <c r="A3121" s="3">
        <f>IFERROR(__xludf.DUMMYFUNCTION("""COMPUTED_VALUE"""),43550.99861111111)</f>
        <v>43550.99861</v>
      </c>
      <c r="B3121" s="1">
        <f>IFERROR(__xludf.DUMMYFUNCTION("""COMPUTED_VALUE"""),10488.05)</f>
        <v>10488.05</v>
      </c>
    </row>
    <row r="3122">
      <c r="A3122" s="3">
        <f>IFERROR(__xludf.DUMMYFUNCTION("""COMPUTED_VALUE"""),43551.99861111111)</f>
        <v>43551.99861</v>
      </c>
      <c r="B3122" s="1">
        <f>IFERROR(__xludf.DUMMYFUNCTION("""COMPUTED_VALUE"""),10471.0)</f>
        <v>10471</v>
      </c>
    </row>
    <row r="3123">
      <c r="A3123" s="3">
        <f>IFERROR(__xludf.DUMMYFUNCTION("""COMPUTED_VALUE"""),43552.99861111111)</f>
        <v>43552.99861</v>
      </c>
      <c r="B3123" s="1">
        <f>IFERROR(__xludf.DUMMYFUNCTION("""COMPUTED_VALUE"""),10491.4)</f>
        <v>10491.4</v>
      </c>
    </row>
    <row r="3124">
      <c r="A3124" s="3">
        <f>IFERROR(__xludf.DUMMYFUNCTION("""COMPUTED_VALUE"""),43553.99861111111)</f>
        <v>43553.99861</v>
      </c>
      <c r="B3124" s="1">
        <f>IFERROR(__xludf.DUMMYFUNCTION("""COMPUTED_VALUE"""),10491.4)</f>
        <v>10491.4</v>
      </c>
    </row>
    <row r="3125">
      <c r="A3125" s="3">
        <f>IFERROR(__xludf.DUMMYFUNCTION("""COMPUTED_VALUE"""),43554.99861111111)</f>
        <v>43554.99861</v>
      </c>
      <c r="B3125" s="1">
        <f>IFERROR(__xludf.DUMMYFUNCTION("""COMPUTED_VALUE"""),10491.4)</f>
        <v>10491.4</v>
      </c>
    </row>
    <row r="3126">
      <c r="A3126" s="3">
        <f>IFERROR(__xludf.DUMMYFUNCTION("""COMPUTED_VALUE"""),43555.99861111111)</f>
        <v>43555.99861</v>
      </c>
      <c r="B3126" s="1">
        <f>IFERROR(__xludf.DUMMYFUNCTION("""COMPUTED_VALUE"""),10506.2)</f>
        <v>10506.2</v>
      </c>
    </row>
    <row r="3127">
      <c r="A3127" s="3">
        <f>IFERROR(__xludf.DUMMYFUNCTION("""COMPUTED_VALUE"""),43556.99861111111)</f>
        <v>43556.99861</v>
      </c>
      <c r="B3127" s="1">
        <f>IFERROR(__xludf.DUMMYFUNCTION("""COMPUTED_VALUE"""),10499.4)</f>
        <v>10499.4</v>
      </c>
    </row>
    <row r="3128">
      <c r="A3128" s="3">
        <f>IFERROR(__xludf.DUMMYFUNCTION("""COMPUTED_VALUE"""),43557.99861111111)</f>
        <v>43557.99861</v>
      </c>
      <c r="B3128" s="1">
        <f>IFERROR(__xludf.DUMMYFUNCTION("""COMPUTED_VALUE"""),10497.7)</f>
        <v>10497.7</v>
      </c>
    </row>
    <row r="3129">
      <c r="A3129" s="3">
        <f>IFERROR(__xludf.DUMMYFUNCTION("""COMPUTED_VALUE"""),43558.99861111111)</f>
        <v>43558.99861</v>
      </c>
      <c r="B3129" s="1">
        <f>IFERROR(__xludf.DUMMYFUNCTION("""COMPUTED_VALUE"""),10503.35)</f>
        <v>10503.35</v>
      </c>
    </row>
    <row r="3130">
      <c r="A3130" s="3">
        <f>IFERROR(__xludf.DUMMYFUNCTION("""COMPUTED_VALUE"""),43559.99861111111)</f>
        <v>43559.99861</v>
      </c>
      <c r="B3130" s="1">
        <f>IFERROR(__xludf.DUMMYFUNCTION("""COMPUTED_VALUE"""),10462.8)</f>
        <v>10462.8</v>
      </c>
    </row>
    <row r="3131">
      <c r="A3131" s="3">
        <f>IFERROR(__xludf.DUMMYFUNCTION("""COMPUTED_VALUE"""),43560.99861111111)</f>
        <v>43560.99861</v>
      </c>
      <c r="B3131" s="1">
        <f>IFERROR(__xludf.DUMMYFUNCTION("""COMPUTED_VALUE"""),10408.1)</f>
        <v>10408.1</v>
      </c>
    </row>
    <row r="3132">
      <c r="A3132" s="3">
        <f>IFERROR(__xludf.DUMMYFUNCTION("""COMPUTED_VALUE"""),43561.99861111111)</f>
        <v>43561.99861</v>
      </c>
      <c r="B3132" s="1">
        <f>IFERROR(__xludf.DUMMYFUNCTION("""COMPUTED_VALUE"""),10408.1)</f>
        <v>10408.1</v>
      </c>
    </row>
    <row r="3133">
      <c r="A3133" s="3">
        <f>IFERROR(__xludf.DUMMYFUNCTION("""COMPUTED_VALUE"""),43562.99861111111)</f>
        <v>43562.99861</v>
      </c>
      <c r="B3133" s="1">
        <f>IFERROR(__xludf.DUMMYFUNCTION("""COMPUTED_VALUE"""),10420.4)</f>
        <v>10420.4</v>
      </c>
    </row>
    <row r="3134">
      <c r="A3134" s="3">
        <f>IFERROR(__xludf.DUMMYFUNCTION("""COMPUTED_VALUE"""),43563.99861111111)</f>
        <v>43563.99861</v>
      </c>
      <c r="B3134" s="1">
        <f>IFERROR(__xludf.DUMMYFUNCTION("""COMPUTED_VALUE"""),10458.3)</f>
        <v>10458.3</v>
      </c>
    </row>
    <row r="3135">
      <c r="A3135" s="3">
        <f>IFERROR(__xludf.DUMMYFUNCTION("""COMPUTED_VALUE"""),43564.99861111111)</f>
        <v>43564.99861</v>
      </c>
      <c r="B3135" s="1">
        <f>IFERROR(__xludf.DUMMYFUNCTION("""COMPUTED_VALUE"""),10441.75)</f>
        <v>10441.75</v>
      </c>
    </row>
    <row r="3136">
      <c r="A3136" s="3">
        <f>IFERROR(__xludf.DUMMYFUNCTION("""COMPUTED_VALUE"""),43565.99861111111)</f>
        <v>43565.99861</v>
      </c>
      <c r="B3136" s="1">
        <f>IFERROR(__xludf.DUMMYFUNCTION("""COMPUTED_VALUE"""),10460.75)</f>
        <v>10460.75</v>
      </c>
    </row>
    <row r="3137">
      <c r="A3137" s="3">
        <f>IFERROR(__xludf.DUMMYFUNCTION("""COMPUTED_VALUE"""),43566.99861111111)</f>
        <v>43566.99861</v>
      </c>
      <c r="B3137" s="1">
        <f>IFERROR(__xludf.DUMMYFUNCTION("""COMPUTED_VALUE"""),10444.4)</f>
        <v>10444.4</v>
      </c>
    </row>
    <row r="3138">
      <c r="A3138" s="3">
        <f>IFERROR(__xludf.DUMMYFUNCTION("""COMPUTED_VALUE"""),43567.99861111111)</f>
        <v>43567.99861</v>
      </c>
      <c r="B3138" s="1">
        <f>IFERROR(__xludf.DUMMYFUNCTION("""COMPUTED_VALUE"""),10395.75)</f>
        <v>10395.75</v>
      </c>
    </row>
    <row r="3139">
      <c r="A3139" s="3">
        <f>IFERROR(__xludf.DUMMYFUNCTION("""COMPUTED_VALUE"""),43568.99861111111)</f>
        <v>43568.99861</v>
      </c>
      <c r="B3139" s="1">
        <f>IFERROR(__xludf.DUMMYFUNCTION("""COMPUTED_VALUE"""),10430.2)</f>
        <v>10430.2</v>
      </c>
    </row>
    <row r="3140">
      <c r="A3140" s="3">
        <f>IFERROR(__xludf.DUMMYFUNCTION("""COMPUTED_VALUE"""),43569.99861111111)</f>
        <v>43569.99861</v>
      </c>
      <c r="B3140" s="1">
        <f>IFERROR(__xludf.DUMMYFUNCTION("""COMPUTED_VALUE"""),10425.1)</f>
        <v>10425.1</v>
      </c>
    </row>
    <row r="3141">
      <c r="A3141" s="3">
        <f>IFERROR(__xludf.DUMMYFUNCTION("""COMPUTED_VALUE"""),43570.99861111111)</f>
        <v>43570.99861</v>
      </c>
      <c r="B3141" s="1">
        <f>IFERROR(__xludf.DUMMYFUNCTION("""COMPUTED_VALUE"""),10394.65)</f>
        <v>10394.65</v>
      </c>
    </row>
    <row r="3142">
      <c r="A3142" s="3">
        <f>IFERROR(__xludf.DUMMYFUNCTION("""COMPUTED_VALUE"""),43571.99861111111)</f>
        <v>43571.99861</v>
      </c>
      <c r="B3142" s="1">
        <f>IFERROR(__xludf.DUMMYFUNCTION("""COMPUTED_VALUE"""),10401.5)</f>
        <v>10401.5</v>
      </c>
    </row>
    <row r="3143">
      <c r="A3143" s="3">
        <f>IFERROR(__xludf.DUMMYFUNCTION("""COMPUTED_VALUE"""),43572.99861111111)</f>
        <v>43572.99861</v>
      </c>
      <c r="B3143" s="1">
        <f>IFERROR(__xludf.DUMMYFUNCTION("""COMPUTED_VALUE"""),10410.85)</f>
        <v>10410.85</v>
      </c>
    </row>
    <row r="3144">
      <c r="A3144" s="3">
        <f>IFERROR(__xludf.DUMMYFUNCTION("""COMPUTED_VALUE"""),43573.99861111111)</f>
        <v>43573.99861</v>
      </c>
      <c r="B3144" s="1">
        <f>IFERROR(__xludf.DUMMYFUNCTION("""COMPUTED_VALUE"""),10356.5)</f>
        <v>10356.5</v>
      </c>
    </row>
    <row r="3145">
      <c r="A3145" s="3">
        <f>IFERROR(__xludf.DUMMYFUNCTION("""COMPUTED_VALUE"""),43574.99861111111)</f>
        <v>43574.99861</v>
      </c>
      <c r="B3145" s="1">
        <f>IFERROR(__xludf.DUMMYFUNCTION("""COMPUTED_VALUE"""),10374.6)</f>
        <v>10374.6</v>
      </c>
    </row>
    <row r="3146">
      <c r="A3146" s="3">
        <f>IFERROR(__xludf.DUMMYFUNCTION("""COMPUTED_VALUE"""),43575.99861111111)</f>
        <v>43575.99861</v>
      </c>
      <c r="B3146" s="1">
        <f>IFERROR(__xludf.DUMMYFUNCTION("""COMPUTED_VALUE"""),10374.6)</f>
        <v>10374.6</v>
      </c>
    </row>
    <row r="3147">
      <c r="A3147" s="3">
        <f>IFERROR(__xludf.DUMMYFUNCTION("""COMPUTED_VALUE"""),43576.99861111111)</f>
        <v>43576.99861</v>
      </c>
      <c r="B3147" s="1">
        <f>IFERROR(__xludf.DUMMYFUNCTION("""COMPUTED_VALUE"""),10373.25)</f>
        <v>10373.25</v>
      </c>
    </row>
    <row r="3148">
      <c r="A3148" s="3">
        <f>IFERROR(__xludf.DUMMYFUNCTION("""COMPUTED_VALUE"""),43577.99861111111)</f>
        <v>43577.99861</v>
      </c>
      <c r="B3148" s="1">
        <f>IFERROR(__xludf.DUMMYFUNCTION("""COMPUTED_VALUE"""),10377.35)</f>
        <v>10377.35</v>
      </c>
    </row>
    <row r="3149">
      <c r="A3149" s="3">
        <f>IFERROR(__xludf.DUMMYFUNCTION("""COMPUTED_VALUE"""),43578.99861111111)</f>
        <v>43578.99861</v>
      </c>
      <c r="B3149" s="1">
        <f>IFERROR(__xludf.DUMMYFUNCTION("""COMPUTED_VALUE"""),10360.0)</f>
        <v>10360</v>
      </c>
    </row>
    <row r="3150">
      <c r="A3150" s="3">
        <f>IFERROR(__xludf.DUMMYFUNCTION("""COMPUTED_VALUE"""),43579.99861111111)</f>
        <v>43579.99861</v>
      </c>
      <c r="B3150" s="1">
        <f>IFERROR(__xludf.DUMMYFUNCTION("""COMPUTED_VALUE"""),10350.35)</f>
        <v>10350.35</v>
      </c>
    </row>
    <row r="3151">
      <c r="A3151" s="3">
        <f>IFERROR(__xludf.DUMMYFUNCTION("""COMPUTED_VALUE"""),43580.99861111111)</f>
        <v>43580.99861</v>
      </c>
      <c r="B3151" s="1">
        <f>IFERROR(__xludf.DUMMYFUNCTION("""COMPUTED_VALUE"""),10366.0)</f>
        <v>10366</v>
      </c>
    </row>
    <row r="3152">
      <c r="A3152" s="3">
        <f>IFERROR(__xludf.DUMMYFUNCTION("""COMPUTED_VALUE"""),43581.99861111111)</f>
        <v>43581.99861</v>
      </c>
      <c r="B3152" s="1">
        <f>IFERROR(__xludf.DUMMYFUNCTION("""COMPUTED_VALUE"""),11386.95)</f>
        <v>11386.95</v>
      </c>
    </row>
    <row r="3153">
      <c r="A3153" s="3">
        <f>IFERROR(__xludf.DUMMYFUNCTION("""COMPUTED_VALUE"""),43582.99861111111)</f>
        <v>43582.99861</v>
      </c>
      <c r="B3153" s="1">
        <f>IFERROR(__xludf.DUMMYFUNCTION("""COMPUTED_VALUE"""),10400.2)</f>
        <v>10400.2</v>
      </c>
    </row>
    <row r="3154">
      <c r="A3154" s="3">
        <f>IFERROR(__xludf.DUMMYFUNCTION("""COMPUTED_VALUE"""),43583.99861111111)</f>
        <v>43583.99861</v>
      </c>
      <c r="B3154" s="1">
        <f>IFERROR(__xludf.DUMMYFUNCTION("""COMPUTED_VALUE"""),10406.9)</f>
        <v>10406.9</v>
      </c>
    </row>
    <row r="3155">
      <c r="A3155" s="3">
        <f>IFERROR(__xludf.DUMMYFUNCTION("""COMPUTED_VALUE"""),43584.99861111111)</f>
        <v>43584.99861</v>
      </c>
      <c r="B3155" s="1">
        <f>IFERROR(__xludf.DUMMYFUNCTION("""COMPUTED_VALUE"""),11390.5)</f>
        <v>11390.5</v>
      </c>
    </row>
    <row r="3156">
      <c r="A3156" s="3">
        <f>IFERROR(__xludf.DUMMYFUNCTION("""COMPUTED_VALUE"""),43585.99861111111)</f>
        <v>43585.99861</v>
      </c>
      <c r="B3156" s="1">
        <f>IFERROR(__xludf.DUMMYFUNCTION("""COMPUTED_VALUE"""),10473.9)</f>
        <v>10473.9</v>
      </c>
    </row>
    <row r="3157">
      <c r="A3157" s="3">
        <f>IFERROR(__xludf.DUMMYFUNCTION("""COMPUTED_VALUE"""),43586.99861111111)</f>
        <v>43586.99861</v>
      </c>
      <c r="B3157" s="1">
        <f>IFERROR(__xludf.DUMMYFUNCTION("""COMPUTED_VALUE"""),10480.9)</f>
        <v>10480.9</v>
      </c>
    </row>
    <row r="3158">
      <c r="A3158" s="3">
        <f>IFERROR(__xludf.DUMMYFUNCTION("""COMPUTED_VALUE"""),43587.99861111111)</f>
        <v>43587.99861</v>
      </c>
      <c r="B3158" s="1">
        <f>IFERROR(__xludf.DUMMYFUNCTION("""COMPUTED_VALUE"""),10456.5)</f>
        <v>10456.5</v>
      </c>
    </row>
    <row r="3159">
      <c r="A3159" s="3">
        <f>IFERROR(__xludf.DUMMYFUNCTION("""COMPUTED_VALUE"""),43588.99861111111)</f>
        <v>43588.99861</v>
      </c>
      <c r="B3159" s="1">
        <f>IFERROR(__xludf.DUMMYFUNCTION("""COMPUTED_VALUE"""),10439.95)</f>
        <v>10439.95</v>
      </c>
    </row>
    <row r="3160">
      <c r="A3160" s="3">
        <f>IFERROR(__xludf.DUMMYFUNCTION("""COMPUTED_VALUE"""),43589.99861111111)</f>
        <v>43589.99861</v>
      </c>
      <c r="B3160" s="1">
        <f>IFERROR(__xludf.DUMMYFUNCTION("""COMPUTED_VALUE"""),10439.95)</f>
        <v>10439.95</v>
      </c>
    </row>
    <row r="3161">
      <c r="A3161" s="3">
        <f>IFERROR(__xludf.DUMMYFUNCTION("""COMPUTED_VALUE"""),43590.99861111111)</f>
        <v>43590.99861</v>
      </c>
      <c r="B3161" s="1">
        <f>IFERROR(__xludf.DUMMYFUNCTION("""COMPUTED_VALUE"""),10422.05)</f>
        <v>10422.05</v>
      </c>
    </row>
    <row r="3162">
      <c r="A3162" s="3">
        <f>IFERROR(__xludf.DUMMYFUNCTION("""COMPUTED_VALUE"""),43591.99861111111)</f>
        <v>43591.99861</v>
      </c>
      <c r="B3162" s="1">
        <f>IFERROR(__xludf.DUMMYFUNCTION("""COMPUTED_VALUE"""),10487.3)</f>
        <v>10487.3</v>
      </c>
    </row>
    <row r="3163">
      <c r="A3163" s="3">
        <f>IFERROR(__xludf.DUMMYFUNCTION("""COMPUTED_VALUE"""),43592.99861111111)</f>
        <v>43592.99861</v>
      </c>
      <c r="B3163" s="1">
        <f>IFERROR(__xludf.DUMMYFUNCTION("""COMPUTED_VALUE"""),10462.95)</f>
        <v>10462.95</v>
      </c>
    </row>
    <row r="3164">
      <c r="A3164" s="3">
        <f>IFERROR(__xludf.DUMMYFUNCTION("""COMPUTED_VALUE"""),43593.99861111111)</f>
        <v>43593.99861</v>
      </c>
      <c r="B3164" s="1">
        <f>IFERROR(__xludf.DUMMYFUNCTION("""COMPUTED_VALUE"""),10484.3)</f>
        <v>10484.3</v>
      </c>
    </row>
    <row r="3165">
      <c r="A3165" s="3">
        <f>IFERROR(__xludf.DUMMYFUNCTION("""COMPUTED_VALUE"""),43594.99861111111)</f>
        <v>43594.99861</v>
      </c>
      <c r="B3165" s="1">
        <f>IFERROR(__xludf.DUMMYFUNCTION("""COMPUTED_VALUE"""),10510.65)</f>
        <v>10510.65</v>
      </c>
    </row>
    <row r="3166">
      <c r="A3166" s="3">
        <f>IFERROR(__xludf.DUMMYFUNCTION("""COMPUTED_VALUE"""),43595.99861111111)</f>
        <v>43595.99861</v>
      </c>
      <c r="B3166" s="1">
        <f>IFERROR(__xludf.DUMMYFUNCTION("""COMPUTED_VALUE"""),10504.15)</f>
        <v>10504.15</v>
      </c>
    </row>
    <row r="3167">
      <c r="A3167" s="3">
        <f>IFERROR(__xludf.DUMMYFUNCTION("""COMPUTED_VALUE"""),43596.99861111111)</f>
        <v>43596.99861</v>
      </c>
      <c r="B3167" s="1">
        <f>IFERROR(__xludf.DUMMYFUNCTION("""COMPUTED_VALUE"""),10504.15)</f>
        <v>10504.15</v>
      </c>
    </row>
    <row r="3168">
      <c r="A3168" s="3">
        <f>IFERROR(__xludf.DUMMYFUNCTION("""COMPUTED_VALUE"""),43597.99861111111)</f>
        <v>43597.99861</v>
      </c>
      <c r="B3168" s="1">
        <f>IFERROR(__xludf.DUMMYFUNCTION("""COMPUTED_VALUE"""),10492.5)</f>
        <v>10492.5</v>
      </c>
    </row>
    <row r="3169">
      <c r="A3169" s="3">
        <f>IFERROR(__xludf.DUMMYFUNCTION("""COMPUTED_VALUE"""),43598.99861111111)</f>
        <v>43598.99861</v>
      </c>
      <c r="B3169" s="1">
        <f>IFERROR(__xludf.DUMMYFUNCTION("""COMPUTED_VALUE"""),10452.45)</f>
        <v>10452.45</v>
      </c>
    </row>
    <row r="3170">
      <c r="A3170" s="3">
        <f>IFERROR(__xludf.DUMMYFUNCTION("""COMPUTED_VALUE"""),43599.99861111111)</f>
        <v>43599.99861</v>
      </c>
      <c r="B3170" s="1">
        <f>IFERROR(__xludf.DUMMYFUNCTION("""COMPUTED_VALUE"""),10546.05)</f>
        <v>10546.05</v>
      </c>
    </row>
    <row r="3171">
      <c r="A3171" s="3">
        <f>IFERROR(__xludf.DUMMYFUNCTION("""COMPUTED_VALUE"""),43600.99861111111)</f>
        <v>43600.99861</v>
      </c>
      <c r="B3171" s="1">
        <f>IFERROR(__xludf.DUMMYFUNCTION("""COMPUTED_VALUE"""),10566.05)</f>
        <v>10566.05</v>
      </c>
    </row>
    <row r="3172">
      <c r="A3172" s="3">
        <f>IFERROR(__xludf.DUMMYFUNCTION("""COMPUTED_VALUE"""),43601.99861111111)</f>
        <v>43601.99861</v>
      </c>
      <c r="B3172" s="1">
        <f>IFERROR(__xludf.DUMMYFUNCTION("""COMPUTED_VALUE"""),10527.2)</f>
        <v>10527.2</v>
      </c>
    </row>
    <row r="3173">
      <c r="A3173" s="3">
        <f>IFERROR(__xludf.DUMMYFUNCTION("""COMPUTED_VALUE"""),43602.99861111111)</f>
        <v>43602.99861</v>
      </c>
      <c r="B3173" s="1">
        <f>IFERROR(__xludf.DUMMYFUNCTION("""COMPUTED_VALUE"""),10483.05)</f>
        <v>10483.05</v>
      </c>
    </row>
    <row r="3174">
      <c r="A3174" s="3">
        <f>IFERROR(__xludf.DUMMYFUNCTION("""COMPUTED_VALUE"""),43603.99861111111)</f>
        <v>43603.99861</v>
      </c>
      <c r="B3174" s="1">
        <f>IFERROR(__xludf.DUMMYFUNCTION("""COMPUTED_VALUE"""),10483.05)</f>
        <v>10483.05</v>
      </c>
    </row>
    <row r="3175">
      <c r="A3175" s="3">
        <f>IFERROR(__xludf.DUMMYFUNCTION("""COMPUTED_VALUE"""),43604.99861111111)</f>
        <v>43604.99861</v>
      </c>
      <c r="B3175" s="1">
        <f>IFERROR(__xludf.DUMMYFUNCTION("""COMPUTED_VALUE"""),10489.85)</f>
        <v>10489.85</v>
      </c>
    </row>
    <row r="3176">
      <c r="A3176" s="3">
        <f>IFERROR(__xludf.DUMMYFUNCTION("""COMPUTED_VALUE"""),43605.99861111111)</f>
        <v>43605.99861</v>
      </c>
      <c r="B3176" s="1">
        <f>IFERROR(__xludf.DUMMYFUNCTION("""COMPUTED_VALUE"""),10507.75)</f>
        <v>10507.75</v>
      </c>
    </row>
    <row r="3177">
      <c r="A3177" s="3">
        <f>IFERROR(__xludf.DUMMYFUNCTION("""COMPUTED_VALUE"""),43606.99861111111)</f>
        <v>43606.99861</v>
      </c>
      <c r="B3177" s="1">
        <f>IFERROR(__xludf.DUMMYFUNCTION("""COMPUTED_VALUE"""),10499.75)</f>
        <v>10499.75</v>
      </c>
    </row>
    <row r="3178">
      <c r="A3178" s="3">
        <f>IFERROR(__xludf.DUMMYFUNCTION("""COMPUTED_VALUE"""),43607.99861111111)</f>
        <v>43607.99861</v>
      </c>
      <c r="B3178" s="1">
        <f>IFERROR(__xludf.DUMMYFUNCTION("""COMPUTED_VALUE"""),10543.5)</f>
        <v>10543.5</v>
      </c>
    </row>
    <row r="3179">
      <c r="A3179" s="3">
        <f>IFERROR(__xludf.DUMMYFUNCTION("""COMPUTED_VALUE"""),43608.99861111111)</f>
        <v>43608.99861</v>
      </c>
      <c r="B3179" s="1">
        <f>IFERROR(__xludf.DUMMYFUNCTION("""COMPUTED_VALUE"""),10476.65)</f>
        <v>10476.65</v>
      </c>
    </row>
    <row r="3180">
      <c r="A3180" s="3">
        <f>IFERROR(__xludf.DUMMYFUNCTION("""COMPUTED_VALUE"""),43609.99861111111)</f>
        <v>43609.99861</v>
      </c>
      <c r="B3180" s="1">
        <f>IFERROR(__xludf.DUMMYFUNCTION("""COMPUTED_VALUE"""),10458.7)</f>
        <v>10458.7</v>
      </c>
    </row>
    <row r="3181">
      <c r="A3181" s="3">
        <f>IFERROR(__xludf.DUMMYFUNCTION("""COMPUTED_VALUE"""),43610.99861111111)</f>
        <v>43610.99861</v>
      </c>
      <c r="B3181" s="1">
        <f>IFERROR(__xludf.DUMMYFUNCTION("""COMPUTED_VALUE"""),10445.55)</f>
        <v>10445.55</v>
      </c>
    </row>
    <row r="3182">
      <c r="A3182" s="3">
        <f>IFERROR(__xludf.DUMMYFUNCTION("""COMPUTED_VALUE"""),43611.99861111111)</f>
        <v>43611.99861</v>
      </c>
      <c r="B3182" s="1">
        <f>IFERROR(__xludf.DUMMYFUNCTION("""COMPUTED_VALUE"""),10449.4)</f>
        <v>10449.4</v>
      </c>
    </row>
    <row r="3183">
      <c r="A3183" s="3">
        <f>IFERROR(__xludf.DUMMYFUNCTION("""COMPUTED_VALUE"""),43612.99861111111)</f>
        <v>43612.99861</v>
      </c>
      <c r="B3183" s="1">
        <f>IFERROR(__xludf.DUMMYFUNCTION("""COMPUTED_VALUE"""),10455.6)</f>
        <v>10455.6</v>
      </c>
    </row>
    <row r="3184">
      <c r="A3184" s="3">
        <f>IFERROR(__xludf.DUMMYFUNCTION("""COMPUTED_VALUE"""),43613.99861111111)</f>
        <v>43613.99861</v>
      </c>
      <c r="B3184" s="1">
        <f>IFERROR(__xludf.DUMMYFUNCTION("""COMPUTED_VALUE"""),10444.55)</f>
        <v>10444.55</v>
      </c>
    </row>
    <row r="3185">
      <c r="A3185" s="3">
        <f>IFERROR(__xludf.DUMMYFUNCTION("""COMPUTED_VALUE"""),43614.99861111111)</f>
        <v>43614.99861</v>
      </c>
      <c r="B3185" s="1">
        <f>IFERROR(__xludf.DUMMYFUNCTION("""COMPUTED_VALUE"""),10424.3)</f>
        <v>10424.3</v>
      </c>
    </row>
    <row r="3186">
      <c r="A3186" s="3">
        <f>IFERROR(__xludf.DUMMYFUNCTION("""COMPUTED_VALUE"""),43615.99861111111)</f>
        <v>43615.99861</v>
      </c>
      <c r="B3186" s="1">
        <f>IFERROR(__xludf.DUMMYFUNCTION("""COMPUTED_VALUE"""),10438.85)</f>
        <v>10438.85</v>
      </c>
    </row>
    <row r="3187">
      <c r="A3187" s="3">
        <f>IFERROR(__xludf.DUMMYFUNCTION("""COMPUTED_VALUE"""),43616.99861111111)</f>
        <v>43616.99861</v>
      </c>
      <c r="B3187" s="1">
        <f>IFERROR(__xludf.DUMMYFUNCTION("""COMPUTED_VALUE"""),10423.75)</f>
        <v>10423.75</v>
      </c>
    </row>
    <row r="3188">
      <c r="A3188" s="3">
        <f>IFERROR(__xludf.DUMMYFUNCTION("""COMPUTED_VALUE"""),43617.99861111111)</f>
        <v>43617.99861</v>
      </c>
      <c r="B3188" s="1">
        <f>IFERROR(__xludf.DUMMYFUNCTION("""COMPUTED_VALUE"""),10423.75)</f>
        <v>10423.75</v>
      </c>
    </row>
    <row r="3189">
      <c r="A3189" s="3">
        <f>IFERROR(__xludf.DUMMYFUNCTION("""COMPUTED_VALUE"""),43618.99861111111)</f>
        <v>43618.99861</v>
      </c>
      <c r="B3189" s="1">
        <f>IFERROR(__xludf.DUMMYFUNCTION("""COMPUTED_VALUE"""),10362.5)</f>
        <v>10362.5</v>
      </c>
    </row>
    <row r="3190">
      <c r="A3190" s="3">
        <f>IFERROR(__xludf.DUMMYFUNCTION("""COMPUTED_VALUE"""),43619.99861111111)</f>
        <v>43619.99861</v>
      </c>
      <c r="B3190" s="1">
        <f>IFERROR(__xludf.DUMMYFUNCTION("""COMPUTED_VALUE"""),10443.45)</f>
        <v>10443.45</v>
      </c>
    </row>
    <row r="3191">
      <c r="A3191" s="3">
        <f>IFERROR(__xludf.DUMMYFUNCTION("""COMPUTED_VALUE"""),43620.99861111111)</f>
        <v>43620.99861</v>
      </c>
      <c r="B3191" s="1">
        <f>IFERROR(__xludf.DUMMYFUNCTION("""COMPUTED_VALUE"""),10449.55)</f>
        <v>10449.55</v>
      </c>
    </row>
    <row r="3192">
      <c r="A3192" s="3">
        <f>IFERROR(__xludf.DUMMYFUNCTION("""COMPUTED_VALUE"""),43621.99861111111)</f>
        <v>43621.99861</v>
      </c>
      <c r="B3192" s="1">
        <f>IFERROR(__xludf.DUMMYFUNCTION("""COMPUTED_VALUE"""),10476.8)</f>
        <v>10476.8</v>
      </c>
    </row>
    <row r="3193">
      <c r="A3193" s="3">
        <f>IFERROR(__xludf.DUMMYFUNCTION("""COMPUTED_VALUE"""),43622.99861111111)</f>
        <v>43622.99861</v>
      </c>
      <c r="B3193" s="1">
        <f>IFERROR(__xludf.DUMMYFUNCTION("""COMPUTED_VALUE"""),10478.25)</f>
        <v>10478.25</v>
      </c>
    </row>
    <row r="3194">
      <c r="A3194" s="3">
        <f>IFERROR(__xludf.DUMMYFUNCTION("""COMPUTED_VALUE"""),43623.99861111111)</f>
        <v>43623.99861</v>
      </c>
      <c r="B3194" s="1">
        <f>IFERROR(__xludf.DUMMYFUNCTION("""COMPUTED_VALUE"""),10472.65)</f>
        <v>10472.65</v>
      </c>
    </row>
    <row r="3195">
      <c r="A3195" s="3">
        <f>IFERROR(__xludf.DUMMYFUNCTION("""COMPUTED_VALUE"""),43624.99861111111)</f>
        <v>43624.99861</v>
      </c>
      <c r="B3195" s="1">
        <f>IFERROR(__xludf.DUMMYFUNCTION("""COMPUTED_VALUE"""),10472.65)</f>
        <v>10472.65</v>
      </c>
    </row>
    <row r="3196">
      <c r="A3196" s="3">
        <f>IFERROR(__xludf.DUMMYFUNCTION("""COMPUTED_VALUE"""),43625.99861111111)</f>
        <v>43625.99861</v>
      </c>
      <c r="B3196" s="1">
        <f>IFERROR(__xludf.DUMMYFUNCTION("""COMPUTED_VALUE"""),10478.75)</f>
        <v>10478.75</v>
      </c>
    </row>
    <row r="3197">
      <c r="A3197" s="3">
        <f>IFERROR(__xludf.DUMMYFUNCTION("""COMPUTED_VALUE"""),43626.99861111111)</f>
        <v>43626.99861</v>
      </c>
      <c r="B3197" s="1">
        <f>IFERROR(__xludf.DUMMYFUNCTION("""COMPUTED_VALUE"""),10434.85)</f>
        <v>10434.85</v>
      </c>
    </row>
    <row r="3198">
      <c r="A3198" s="3">
        <f>IFERROR(__xludf.DUMMYFUNCTION("""COMPUTED_VALUE"""),43627.99861111111)</f>
        <v>43627.99861</v>
      </c>
      <c r="B3198" s="1">
        <f>IFERROR(__xludf.DUMMYFUNCTION("""COMPUTED_VALUE"""),10438.25)</f>
        <v>10438.25</v>
      </c>
    </row>
    <row r="3199">
      <c r="A3199" s="3">
        <f>IFERROR(__xludf.DUMMYFUNCTION("""COMPUTED_VALUE"""),43628.99861111111)</f>
        <v>43628.99861</v>
      </c>
      <c r="B3199" s="1">
        <f>IFERROR(__xludf.DUMMYFUNCTION("""COMPUTED_VALUE"""),10414.65)</f>
        <v>10414.65</v>
      </c>
    </row>
    <row r="3200">
      <c r="A3200" s="3">
        <f>IFERROR(__xludf.DUMMYFUNCTION("""COMPUTED_VALUE"""),43629.99861111111)</f>
        <v>43629.99861</v>
      </c>
      <c r="B3200" s="1">
        <f>IFERROR(__xludf.DUMMYFUNCTION("""COMPUTED_VALUE"""),10440.65)</f>
        <v>10440.65</v>
      </c>
    </row>
    <row r="3201">
      <c r="A3201" s="3">
        <f>IFERROR(__xludf.DUMMYFUNCTION("""COMPUTED_VALUE"""),43630.99861111111)</f>
        <v>43630.99861</v>
      </c>
      <c r="B3201" s="1">
        <f>IFERROR(__xludf.DUMMYFUNCTION("""COMPUTED_VALUE"""),10432.25)</f>
        <v>10432.25</v>
      </c>
    </row>
    <row r="3202">
      <c r="A3202" s="3">
        <f>IFERROR(__xludf.DUMMYFUNCTION("""COMPUTED_VALUE"""),43631.99861111111)</f>
        <v>43631.99861</v>
      </c>
      <c r="B3202" s="1">
        <f>IFERROR(__xludf.DUMMYFUNCTION("""COMPUTED_VALUE"""),10494.7)</f>
        <v>10494.7</v>
      </c>
    </row>
    <row r="3203">
      <c r="A3203" s="3">
        <f>IFERROR(__xludf.DUMMYFUNCTION("""COMPUTED_VALUE"""),43632.99861111111)</f>
        <v>43632.99861</v>
      </c>
      <c r="B3203" s="1">
        <f>IFERROR(__xludf.DUMMYFUNCTION("""COMPUTED_VALUE"""),10490.95)</f>
        <v>10490.95</v>
      </c>
    </row>
    <row r="3204">
      <c r="A3204" s="3">
        <f>IFERROR(__xludf.DUMMYFUNCTION("""COMPUTED_VALUE"""),43633.99861111111)</f>
        <v>43633.99861</v>
      </c>
      <c r="B3204" s="1">
        <f>IFERROR(__xludf.DUMMYFUNCTION("""COMPUTED_VALUE"""),10449.15)</f>
        <v>10449.15</v>
      </c>
    </row>
    <row r="3205">
      <c r="A3205" s="3">
        <f>IFERROR(__xludf.DUMMYFUNCTION("""COMPUTED_VALUE"""),43634.99861111111)</f>
        <v>43634.99861</v>
      </c>
      <c r="B3205" s="1">
        <f>IFERROR(__xludf.DUMMYFUNCTION("""COMPUTED_VALUE"""),10504.4)</f>
        <v>10504.4</v>
      </c>
    </row>
    <row r="3206">
      <c r="A3206" s="3">
        <f>IFERROR(__xludf.DUMMYFUNCTION("""COMPUTED_VALUE"""),43635.99861111111)</f>
        <v>43635.99861</v>
      </c>
      <c r="B3206" s="1">
        <f>IFERROR(__xludf.DUMMYFUNCTION("""COMPUTED_VALUE"""),10467.15)</f>
        <v>10467.15</v>
      </c>
    </row>
    <row r="3207">
      <c r="A3207" s="3">
        <f>IFERROR(__xludf.DUMMYFUNCTION("""COMPUTED_VALUE"""),43636.99861111111)</f>
        <v>43636.99861</v>
      </c>
      <c r="B3207" s="1">
        <f>IFERROR(__xludf.DUMMYFUNCTION("""COMPUTED_VALUE"""),10449.4)</f>
        <v>10449.4</v>
      </c>
    </row>
    <row r="3208">
      <c r="A3208" s="3">
        <f>IFERROR(__xludf.DUMMYFUNCTION("""COMPUTED_VALUE"""),43637.99861111111)</f>
        <v>43637.99861</v>
      </c>
      <c r="B3208" s="1">
        <f>IFERROR(__xludf.DUMMYFUNCTION("""COMPUTED_VALUE"""),11395.45)</f>
        <v>11395.45</v>
      </c>
    </row>
    <row r="3209">
      <c r="A3209" s="3">
        <f>IFERROR(__xludf.DUMMYFUNCTION("""COMPUTED_VALUE"""),43638.99861111111)</f>
        <v>43638.99861</v>
      </c>
      <c r="B3209" s="1">
        <f>IFERROR(__xludf.DUMMYFUNCTION("""COMPUTED_VALUE"""),11395.45)</f>
        <v>11395.45</v>
      </c>
    </row>
    <row r="3210">
      <c r="A3210" s="3">
        <f>IFERROR(__xludf.DUMMYFUNCTION("""COMPUTED_VALUE"""),43639.99861111111)</f>
        <v>43639.99861</v>
      </c>
      <c r="B3210" s="1">
        <f>IFERROR(__xludf.DUMMYFUNCTION("""COMPUTED_VALUE"""),11417.45)</f>
        <v>11417.45</v>
      </c>
    </row>
    <row r="3211">
      <c r="A3211" s="3">
        <f>IFERROR(__xludf.DUMMYFUNCTION("""COMPUTED_VALUE"""),43640.99861111111)</f>
        <v>43640.99861</v>
      </c>
      <c r="B3211" s="1">
        <f>IFERROR(__xludf.DUMMYFUNCTION("""COMPUTED_VALUE"""),11410.25)</f>
        <v>11410.25</v>
      </c>
    </row>
    <row r="3212">
      <c r="A3212" s="3">
        <f>IFERROR(__xludf.DUMMYFUNCTION("""COMPUTED_VALUE"""),43641.99861111111)</f>
        <v>43641.99861</v>
      </c>
      <c r="B3212" s="1">
        <f>IFERROR(__xludf.DUMMYFUNCTION("""COMPUTED_VALUE"""),10426.65)</f>
        <v>10426.65</v>
      </c>
    </row>
    <row r="3213">
      <c r="A3213" s="3">
        <f>IFERROR(__xludf.DUMMYFUNCTION("""COMPUTED_VALUE"""),43642.99861111111)</f>
        <v>43642.99861</v>
      </c>
      <c r="B3213" s="1">
        <f>IFERROR(__xludf.DUMMYFUNCTION("""COMPUTED_VALUE"""),10460.05)</f>
        <v>10460.05</v>
      </c>
    </row>
    <row r="3214">
      <c r="A3214" s="3">
        <f>IFERROR(__xludf.DUMMYFUNCTION("""COMPUTED_VALUE"""),43643.99861111111)</f>
        <v>43643.99861</v>
      </c>
      <c r="B3214" s="1">
        <f>IFERROR(__xludf.DUMMYFUNCTION("""COMPUTED_VALUE"""),10441.25)</f>
        <v>10441.25</v>
      </c>
    </row>
    <row r="3215">
      <c r="A3215" s="3">
        <f>IFERROR(__xludf.DUMMYFUNCTION("""COMPUTED_VALUE"""),43644.99861111111)</f>
        <v>43644.99861</v>
      </c>
      <c r="B3215" s="1">
        <f>IFERROR(__xludf.DUMMYFUNCTION("""COMPUTED_VALUE"""),10417.95)</f>
        <v>10417.95</v>
      </c>
    </row>
    <row r="3216">
      <c r="A3216" s="3">
        <f>IFERROR(__xludf.DUMMYFUNCTION("""COMPUTED_VALUE"""),43645.99861111111)</f>
        <v>43645.99861</v>
      </c>
      <c r="B3216" s="1">
        <f>IFERROR(__xludf.DUMMYFUNCTION("""COMPUTED_VALUE"""),10417.95)</f>
        <v>10417.95</v>
      </c>
    </row>
    <row r="3217">
      <c r="A3217" s="3">
        <f>IFERROR(__xludf.DUMMYFUNCTION("""COMPUTED_VALUE"""),43646.99861111111)</f>
        <v>43646.99861</v>
      </c>
      <c r="B3217" s="1">
        <f>IFERROR(__xludf.DUMMYFUNCTION("""COMPUTED_VALUE"""),10451.15)</f>
        <v>10451.15</v>
      </c>
    </row>
    <row r="3218">
      <c r="A3218" s="3">
        <f>IFERROR(__xludf.DUMMYFUNCTION("""COMPUTED_VALUE"""),43647.99861111111)</f>
        <v>43647.99861</v>
      </c>
      <c r="B3218" s="1">
        <f>IFERROR(__xludf.DUMMYFUNCTION("""COMPUTED_VALUE"""),10417.45)</f>
        <v>10417.45</v>
      </c>
    </row>
    <row r="3219">
      <c r="A3219" s="3">
        <f>IFERROR(__xludf.DUMMYFUNCTION("""COMPUTED_VALUE"""),43648.99861111111)</f>
        <v>43648.99861</v>
      </c>
      <c r="B3219" s="1">
        <f>IFERROR(__xludf.DUMMYFUNCTION("""COMPUTED_VALUE"""),10436.05)</f>
        <v>10436.05</v>
      </c>
    </row>
    <row r="3220">
      <c r="A3220" s="3">
        <f>IFERROR(__xludf.DUMMYFUNCTION("""COMPUTED_VALUE"""),43649.99861111111)</f>
        <v>43649.99861</v>
      </c>
      <c r="B3220" s="1">
        <f>IFERROR(__xludf.DUMMYFUNCTION("""COMPUTED_VALUE"""),10401.05)</f>
        <v>10401.05</v>
      </c>
    </row>
    <row r="3221">
      <c r="A3221" s="3">
        <f>IFERROR(__xludf.DUMMYFUNCTION("""COMPUTED_VALUE"""),43650.99861111111)</f>
        <v>43650.99861</v>
      </c>
      <c r="B3221" s="1">
        <f>IFERROR(__xludf.DUMMYFUNCTION("""COMPUTED_VALUE"""),10431.65)</f>
        <v>10431.65</v>
      </c>
    </row>
    <row r="3222">
      <c r="A3222" s="3">
        <f>IFERROR(__xludf.DUMMYFUNCTION("""COMPUTED_VALUE"""),43651.99861111111)</f>
        <v>43651.99861</v>
      </c>
      <c r="B3222" s="1">
        <f>IFERROR(__xludf.DUMMYFUNCTION("""COMPUTED_VALUE"""),10341.05)</f>
        <v>10341.05</v>
      </c>
    </row>
    <row r="3223">
      <c r="A3223" s="3">
        <f>IFERROR(__xludf.DUMMYFUNCTION("""COMPUTED_VALUE"""),43652.99861111111)</f>
        <v>43652.99861</v>
      </c>
      <c r="B3223" s="1">
        <f>IFERROR(__xludf.DUMMYFUNCTION("""COMPUTED_VALUE"""),10341.05)</f>
        <v>10341.05</v>
      </c>
    </row>
    <row r="3224">
      <c r="A3224" s="3">
        <f>IFERROR(__xludf.DUMMYFUNCTION("""COMPUTED_VALUE"""),43653.99861111111)</f>
        <v>43653.99861</v>
      </c>
      <c r="B3224" s="1">
        <f>IFERROR(__xludf.DUMMYFUNCTION("""COMPUTED_VALUE"""),10346.5)</f>
        <v>10346.5</v>
      </c>
    </row>
    <row r="3225">
      <c r="A3225" s="3">
        <f>IFERROR(__xludf.DUMMYFUNCTION("""COMPUTED_VALUE"""),43654.99861111111)</f>
        <v>43654.99861</v>
      </c>
      <c r="B3225" s="1">
        <f>IFERROR(__xludf.DUMMYFUNCTION("""COMPUTED_VALUE"""),11352.45)</f>
        <v>11352.45</v>
      </c>
    </row>
    <row r="3226">
      <c r="A3226" s="3">
        <f>IFERROR(__xludf.DUMMYFUNCTION("""COMPUTED_VALUE"""),43655.99861111111)</f>
        <v>43655.99861</v>
      </c>
      <c r="B3226" s="1">
        <f>IFERROR(__xludf.DUMMYFUNCTION("""COMPUTED_VALUE"""),11351.65)</f>
        <v>11351.65</v>
      </c>
    </row>
    <row r="3227">
      <c r="A3227" s="3">
        <f>IFERROR(__xludf.DUMMYFUNCTION("""COMPUTED_VALUE"""),43656.99861111111)</f>
        <v>43656.99861</v>
      </c>
      <c r="B3227" s="1">
        <f>IFERROR(__xludf.DUMMYFUNCTION("""COMPUTED_VALUE"""),10398.85)</f>
        <v>10398.85</v>
      </c>
    </row>
    <row r="3228">
      <c r="A3228" s="3">
        <f>IFERROR(__xludf.DUMMYFUNCTION("""COMPUTED_VALUE"""),43657.99861111111)</f>
        <v>43657.99861</v>
      </c>
      <c r="B3228" s="1">
        <f>IFERROR(__xludf.DUMMYFUNCTION("""COMPUTED_VALUE"""),10407.8)</f>
        <v>10407.8</v>
      </c>
    </row>
    <row r="3229">
      <c r="A3229" s="3">
        <f>IFERROR(__xludf.DUMMYFUNCTION("""COMPUTED_VALUE"""),43658.99861111111)</f>
        <v>43658.99861</v>
      </c>
      <c r="B3229" s="1">
        <f>IFERROR(__xludf.DUMMYFUNCTION("""COMPUTED_VALUE"""),10302.15)</f>
        <v>10302.15</v>
      </c>
    </row>
    <row r="3230">
      <c r="A3230" s="3">
        <f>IFERROR(__xludf.DUMMYFUNCTION("""COMPUTED_VALUE"""),43659.99861111111)</f>
        <v>43659.99861</v>
      </c>
      <c r="B3230" s="1">
        <f>IFERROR(__xludf.DUMMYFUNCTION("""COMPUTED_VALUE"""),10302.15)</f>
        <v>10302.15</v>
      </c>
    </row>
    <row r="3231">
      <c r="A3231" s="3">
        <f>IFERROR(__xludf.DUMMYFUNCTION("""COMPUTED_VALUE"""),43660.99861111111)</f>
        <v>43660.99861</v>
      </c>
      <c r="B3231" s="1">
        <f>IFERROR(__xludf.DUMMYFUNCTION("""COMPUTED_VALUE"""),10310.95)</f>
        <v>10310.95</v>
      </c>
    </row>
    <row r="3232">
      <c r="A3232" s="3">
        <f>IFERROR(__xludf.DUMMYFUNCTION("""COMPUTED_VALUE"""),43661.99861111111)</f>
        <v>43661.99861</v>
      </c>
      <c r="B3232" s="1">
        <f>IFERROR(__xludf.DUMMYFUNCTION("""COMPUTED_VALUE"""),10256.85)</f>
        <v>10256.85</v>
      </c>
    </row>
    <row r="3233">
      <c r="A3233" s="3">
        <f>IFERROR(__xludf.DUMMYFUNCTION("""COMPUTED_VALUE"""),43662.99861111111)</f>
        <v>43662.99861</v>
      </c>
      <c r="B3233" s="1">
        <f>IFERROR(__xludf.DUMMYFUNCTION("""COMPUTED_VALUE"""),10270.8)</f>
        <v>10270.8</v>
      </c>
    </row>
    <row r="3234">
      <c r="A3234" s="3">
        <f>IFERROR(__xludf.DUMMYFUNCTION("""COMPUTED_VALUE"""),43663.99861111111)</f>
        <v>43663.99861</v>
      </c>
      <c r="B3234" s="1">
        <f>IFERROR(__xludf.DUMMYFUNCTION("""COMPUTED_VALUE"""),10268.4)</f>
        <v>10268.4</v>
      </c>
    </row>
    <row r="3235">
      <c r="A3235" s="3">
        <f>IFERROR(__xludf.DUMMYFUNCTION("""COMPUTED_VALUE"""),43664.99861111111)</f>
        <v>43664.99861</v>
      </c>
      <c r="B3235" s="1">
        <f>IFERROR(__xludf.DUMMYFUNCTION("""COMPUTED_VALUE"""),10255.25)</f>
        <v>10255.25</v>
      </c>
    </row>
    <row r="3236">
      <c r="A3236" s="3">
        <f>IFERROR(__xludf.DUMMYFUNCTION("""COMPUTED_VALUE"""),43665.99861111111)</f>
        <v>43665.99861</v>
      </c>
      <c r="B3236" s="1">
        <f>IFERROR(__xludf.DUMMYFUNCTION("""COMPUTED_VALUE"""),10232.3)</f>
        <v>10232.3</v>
      </c>
    </row>
    <row r="3237">
      <c r="A3237" s="3">
        <f>IFERROR(__xludf.DUMMYFUNCTION("""COMPUTED_VALUE"""),43666.99861111111)</f>
        <v>43666.99861</v>
      </c>
      <c r="B3237" s="1">
        <f>IFERROR(__xludf.DUMMYFUNCTION("""COMPUTED_VALUE"""),10259.2)</f>
        <v>10259.2</v>
      </c>
    </row>
    <row r="3238">
      <c r="A3238" s="3">
        <f>IFERROR(__xludf.DUMMYFUNCTION("""COMPUTED_VALUE"""),43667.99861111111)</f>
        <v>43667.99861</v>
      </c>
      <c r="B3238" s="1">
        <f>IFERROR(__xludf.DUMMYFUNCTION("""COMPUTED_VALUE"""),10261.5)</f>
        <v>10261.5</v>
      </c>
    </row>
    <row r="3239">
      <c r="A3239" s="3">
        <f>IFERROR(__xludf.DUMMYFUNCTION("""COMPUTED_VALUE"""),43668.99861111111)</f>
        <v>43668.99861</v>
      </c>
      <c r="B3239" s="1">
        <f>IFERROR(__xludf.DUMMYFUNCTION("""COMPUTED_VALUE"""),10243.2)</f>
        <v>10243.2</v>
      </c>
    </row>
    <row r="3240">
      <c r="A3240" s="3">
        <f>IFERROR(__xludf.DUMMYFUNCTION("""COMPUTED_VALUE"""),43669.99861111111)</f>
        <v>43669.99861</v>
      </c>
      <c r="B3240" s="1">
        <f>IFERROR(__xludf.DUMMYFUNCTION("""COMPUTED_VALUE"""),10266.15)</f>
        <v>10266.15</v>
      </c>
    </row>
    <row r="3241">
      <c r="A3241" s="3">
        <f>IFERROR(__xludf.DUMMYFUNCTION("""COMPUTED_VALUE"""),43670.99861111111)</f>
        <v>43670.99861</v>
      </c>
      <c r="B3241" s="1">
        <f>IFERROR(__xludf.DUMMYFUNCTION("""COMPUTED_VALUE"""),10259.8)</f>
        <v>10259.8</v>
      </c>
    </row>
    <row r="3242">
      <c r="A3242" s="3">
        <f>IFERROR(__xludf.DUMMYFUNCTION("""COMPUTED_VALUE"""),43671.99861111111)</f>
        <v>43671.99861</v>
      </c>
      <c r="B3242" s="1">
        <f>IFERROR(__xludf.DUMMYFUNCTION("""COMPUTED_VALUE"""),10220.4)</f>
        <v>10220.4</v>
      </c>
    </row>
    <row r="3243">
      <c r="A3243" s="3">
        <f>IFERROR(__xludf.DUMMYFUNCTION("""COMPUTED_VALUE"""),43672.99861111111)</f>
        <v>43672.99861</v>
      </c>
      <c r="B3243" s="1">
        <f>IFERROR(__xludf.DUMMYFUNCTION("""COMPUTED_VALUE"""),10198.45)</f>
        <v>10198.45</v>
      </c>
    </row>
    <row r="3244">
      <c r="A3244" s="3">
        <f>IFERROR(__xludf.DUMMYFUNCTION("""COMPUTED_VALUE"""),43673.99861111111)</f>
        <v>43673.99861</v>
      </c>
      <c r="B3244" s="1">
        <f>IFERROR(__xludf.DUMMYFUNCTION("""COMPUTED_VALUE"""),10198.45)</f>
        <v>10198.45</v>
      </c>
    </row>
    <row r="3245">
      <c r="A3245" s="3">
        <f>IFERROR(__xludf.DUMMYFUNCTION("""COMPUTED_VALUE"""),43674.99861111111)</f>
        <v>43674.99861</v>
      </c>
      <c r="B3245" s="1">
        <f>IFERROR(__xludf.DUMMYFUNCTION("""COMPUTED_VALUE"""),10216.6)</f>
        <v>10216.6</v>
      </c>
    </row>
    <row r="3246">
      <c r="A3246" s="3">
        <f>IFERROR(__xludf.DUMMYFUNCTION("""COMPUTED_VALUE"""),43675.99861111111)</f>
        <v>43675.99861</v>
      </c>
      <c r="B3246" s="1">
        <f>IFERROR(__xludf.DUMMYFUNCTION("""COMPUTED_VALUE"""),10558.8)</f>
        <v>10558.8</v>
      </c>
    </row>
    <row r="3247">
      <c r="A3247" s="3">
        <f>IFERROR(__xludf.DUMMYFUNCTION("""COMPUTED_VALUE"""),43676.99861111111)</f>
        <v>43676.99861</v>
      </c>
      <c r="B3247" s="1">
        <f>IFERROR(__xludf.DUMMYFUNCTION("""COMPUTED_VALUE"""),10229.3)</f>
        <v>10229.3</v>
      </c>
    </row>
    <row r="3248">
      <c r="A3248" s="3">
        <f>IFERROR(__xludf.DUMMYFUNCTION("""COMPUTED_VALUE"""),43677.99861111111)</f>
        <v>43677.99861</v>
      </c>
      <c r="B3248" s="1">
        <f>IFERROR(__xludf.DUMMYFUNCTION("""COMPUTED_VALUE"""),10254.4)</f>
        <v>10254.4</v>
      </c>
    </row>
    <row r="3249">
      <c r="A3249" s="3">
        <f>IFERROR(__xludf.DUMMYFUNCTION("""COMPUTED_VALUE"""),43678.99861111111)</f>
        <v>43678.99861</v>
      </c>
      <c r="B3249" s="1">
        <f>IFERROR(__xludf.DUMMYFUNCTION("""COMPUTED_VALUE"""),10251.95)</f>
        <v>10251.95</v>
      </c>
    </row>
    <row r="3250">
      <c r="A3250" s="3">
        <f>IFERROR(__xludf.DUMMYFUNCTION("""COMPUTED_VALUE"""),43679.99861111111)</f>
        <v>43679.99861</v>
      </c>
      <c r="B3250" s="1">
        <f>IFERROR(__xludf.DUMMYFUNCTION("""COMPUTED_VALUE"""),10278.65)</f>
        <v>10278.65</v>
      </c>
    </row>
    <row r="3251">
      <c r="A3251" s="3">
        <f>IFERROR(__xludf.DUMMYFUNCTION("""COMPUTED_VALUE"""),43680.99861111111)</f>
        <v>43680.99861</v>
      </c>
      <c r="B3251" s="1">
        <f>IFERROR(__xludf.DUMMYFUNCTION("""COMPUTED_VALUE"""),10278.65)</f>
        <v>10278.65</v>
      </c>
    </row>
    <row r="3252">
      <c r="A3252" s="3">
        <f>IFERROR(__xludf.DUMMYFUNCTION("""COMPUTED_VALUE"""),43681.99861111111)</f>
        <v>43681.99861</v>
      </c>
      <c r="B3252" s="1">
        <f>IFERROR(__xludf.DUMMYFUNCTION("""COMPUTED_VALUE"""),10295.45)</f>
        <v>10295.45</v>
      </c>
    </row>
    <row r="3253">
      <c r="A3253" s="3">
        <f>IFERROR(__xludf.DUMMYFUNCTION("""COMPUTED_VALUE"""),43682.99861111111)</f>
        <v>43682.99861</v>
      </c>
      <c r="B3253" s="1">
        <f>IFERROR(__xludf.DUMMYFUNCTION("""COMPUTED_VALUE"""),10243.75)</f>
        <v>10243.75</v>
      </c>
    </row>
    <row r="3254">
      <c r="A3254" s="3">
        <f>IFERROR(__xludf.DUMMYFUNCTION("""COMPUTED_VALUE"""),43683.99861111111)</f>
        <v>43683.99861</v>
      </c>
      <c r="B3254" s="1">
        <f>IFERROR(__xludf.DUMMYFUNCTION("""COMPUTED_VALUE"""),10295.7)</f>
        <v>10295.7</v>
      </c>
    </row>
    <row r="3255">
      <c r="A3255" s="3">
        <f>IFERROR(__xludf.DUMMYFUNCTION("""COMPUTED_VALUE"""),43684.99861111111)</f>
        <v>43684.99861</v>
      </c>
      <c r="B3255" s="1">
        <f>IFERROR(__xludf.DUMMYFUNCTION("""COMPUTED_VALUE"""),10307.8)</f>
        <v>10307.8</v>
      </c>
    </row>
    <row r="3256">
      <c r="A3256" s="3">
        <f>IFERROR(__xludf.DUMMYFUNCTION("""COMPUTED_VALUE"""),43685.99861111111)</f>
        <v>43685.99861</v>
      </c>
      <c r="B3256" s="1">
        <f>IFERROR(__xludf.DUMMYFUNCTION("""COMPUTED_VALUE"""),10296.7)</f>
        <v>10296.7</v>
      </c>
    </row>
    <row r="3257">
      <c r="A3257" s="3">
        <f>IFERROR(__xludf.DUMMYFUNCTION("""COMPUTED_VALUE"""),43686.99861111111)</f>
        <v>43686.99861</v>
      </c>
      <c r="B3257" s="1">
        <f>IFERROR(__xludf.DUMMYFUNCTION("""COMPUTED_VALUE"""),10144.55)</f>
        <v>10144.55</v>
      </c>
    </row>
    <row r="3258">
      <c r="A3258" s="3">
        <f>IFERROR(__xludf.DUMMYFUNCTION("""COMPUTED_VALUE"""),43687.99861111111)</f>
        <v>43687.99861</v>
      </c>
      <c r="B3258" s="1">
        <f>IFERROR(__xludf.DUMMYFUNCTION("""COMPUTED_VALUE"""),10144.55)</f>
        <v>10144.55</v>
      </c>
    </row>
    <row r="3259">
      <c r="A3259" s="3">
        <f>IFERROR(__xludf.DUMMYFUNCTION("""COMPUTED_VALUE"""),43688.99861111111)</f>
        <v>43688.99861</v>
      </c>
      <c r="B3259" s="1">
        <f>IFERROR(__xludf.DUMMYFUNCTION("""COMPUTED_VALUE"""),10222.45)</f>
        <v>10222.45</v>
      </c>
    </row>
    <row r="3260">
      <c r="A3260" s="3">
        <f>IFERROR(__xludf.DUMMYFUNCTION("""COMPUTED_VALUE"""),43689.99861111111)</f>
        <v>43689.99861</v>
      </c>
      <c r="B3260" s="1">
        <f>IFERROR(__xludf.DUMMYFUNCTION("""COMPUTED_VALUE"""),10251.8)</f>
        <v>10251.8</v>
      </c>
    </row>
    <row r="3261">
      <c r="A3261" s="3">
        <f>IFERROR(__xludf.DUMMYFUNCTION("""COMPUTED_VALUE"""),43690.99861111111)</f>
        <v>43690.99861</v>
      </c>
      <c r="B3261" s="1">
        <f>IFERROR(__xludf.DUMMYFUNCTION("""COMPUTED_VALUE"""),10387.4)</f>
        <v>10387.4</v>
      </c>
    </row>
    <row r="3262">
      <c r="A3262" s="3">
        <f>IFERROR(__xludf.DUMMYFUNCTION("""COMPUTED_VALUE"""),43691.99861111111)</f>
        <v>43691.99861</v>
      </c>
      <c r="B3262" s="1">
        <f>IFERROR(__xludf.DUMMYFUNCTION("""COMPUTED_VALUE"""),10285.75)</f>
        <v>10285.75</v>
      </c>
    </row>
    <row r="3263">
      <c r="A3263" s="3">
        <f>IFERROR(__xludf.DUMMYFUNCTION("""COMPUTED_VALUE"""),43692.99861111111)</f>
        <v>43692.99861</v>
      </c>
      <c r="B3263" s="1">
        <f>IFERROR(__xludf.DUMMYFUNCTION("""COMPUTED_VALUE"""),10312.05)</f>
        <v>10312.05</v>
      </c>
    </row>
    <row r="3264">
      <c r="A3264" s="3">
        <f>IFERROR(__xludf.DUMMYFUNCTION("""COMPUTED_VALUE"""),43693.99861111111)</f>
        <v>43693.99861</v>
      </c>
      <c r="B3264" s="1">
        <f>IFERROR(__xludf.DUMMYFUNCTION("""COMPUTED_VALUE"""),10265.95)</f>
        <v>10265.95</v>
      </c>
    </row>
    <row r="3265">
      <c r="A3265" s="3">
        <f>IFERROR(__xludf.DUMMYFUNCTION("""COMPUTED_VALUE"""),43694.99861111111)</f>
        <v>43694.99861</v>
      </c>
      <c r="B3265" s="1">
        <f>IFERROR(__xludf.DUMMYFUNCTION("""COMPUTED_VALUE"""),10265.95)</f>
        <v>10265.95</v>
      </c>
    </row>
    <row r="3266">
      <c r="A3266" s="3">
        <f>IFERROR(__xludf.DUMMYFUNCTION("""COMPUTED_VALUE"""),43695.99861111111)</f>
        <v>43695.99861</v>
      </c>
      <c r="B3266" s="1">
        <f>IFERROR(__xludf.DUMMYFUNCTION("""COMPUTED_VALUE"""),10261.85)</f>
        <v>10261.85</v>
      </c>
    </row>
    <row r="3267">
      <c r="A3267" s="3">
        <f>IFERROR(__xludf.DUMMYFUNCTION("""COMPUTED_VALUE"""),43696.99861111111)</f>
        <v>43696.99861</v>
      </c>
      <c r="B3267" s="1">
        <f>IFERROR(__xludf.DUMMYFUNCTION("""COMPUTED_VALUE"""),10279.2)</f>
        <v>10279.2</v>
      </c>
    </row>
    <row r="3268">
      <c r="A3268" s="3">
        <f>IFERROR(__xludf.DUMMYFUNCTION("""COMPUTED_VALUE"""),43697.99861111111)</f>
        <v>43697.99861</v>
      </c>
      <c r="B3268" s="1">
        <f>IFERROR(__xludf.DUMMYFUNCTION("""COMPUTED_VALUE"""),10278.4)</f>
        <v>10278.4</v>
      </c>
    </row>
    <row r="3269">
      <c r="A3269" s="3">
        <f>IFERROR(__xludf.DUMMYFUNCTION("""COMPUTED_VALUE"""),43698.99861111111)</f>
        <v>43698.99861</v>
      </c>
      <c r="B3269" s="1">
        <f>IFERROR(__xludf.DUMMYFUNCTION("""COMPUTED_VALUE"""),10301.8)</f>
        <v>10301.8</v>
      </c>
    </row>
    <row r="3270">
      <c r="A3270" s="3">
        <f>IFERROR(__xludf.DUMMYFUNCTION("""COMPUTED_VALUE"""),43699.99861111111)</f>
        <v>43699.99861</v>
      </c>
      <c r="B3270" s="1">
        <f>IFERROR(__xludf.DUMMYFUNCTION("""COMPUTED_VALUE"""),10256.6)</f>
        <v>10256.6</v>
      </c>
    </row>
    <row r="3271">
      <c r="A3271" s="3">
        <f>IFERROR(__xludf.DUMMYFUNCTION("""COMPUTED_VALUE"""),43700.99861111111)</f>
        <v>43700.99861</v>
      </c>
      <c r="B3271" s="1">
        <f>IFERROR(__xludf.DUMMYFUNCTION("""COMPUTED_VALUE"""),10076.8)</f>
        <v>10076.8</v>
      </c>
    </row>
    <row r="3272">
      <c r="A3272" s="3">
        <f>IFERROR(__xludf.DUMMYFUNCTION("""COMPUTED_VALUE"""),43701.99861111111)</f>
        <v>43701.99861</v>
      </c>
      <c r="B3272" s="1">
        <f>IFERROR(__xludf.DUMMYFUNCTION("""COMPUTED_VALUE"""),10165.8)</f>
        <v>10165.8</v>
      </c>
    </row>
    <row r="3273">
      <c r="A3273" s="3">
        <f>IFERROR(__xludf.DUMMYFUNCTION("""COMPUTED_VALUE"""),43702.99861111111)</f>
        <v>43702.99861</v>
      </c>
      <c r="B3273" s="1">
        <f>IFERROR(__xludf.DUMMYFUNCTION("""COMPUTED_VALUE"""),10137.2)</f>
        <v>10137.2</v>
      </c>
    </row>
    <row r="3274">
      <c r="A3274" s="3">
        <f>IFERROR(__xludf.DUMMYFUNCTION("""COMPUTED_VALUE"""),43703.99861111111)</f>
        <v>43703.99861</v>
      </c>
      <c r="B3274" s="1">
        <f>IFERROR(__xludf.DUMMYFUNCTION("""COMPUTED_VALUE"""),10252.65)</f>
        <v>10252.65</v>
      </c>
    </row>
    <row r="3275">
      <c r="A3275" s="3">
        <f>IFERROR(__xludf.DUMMYFUNCTION("""COMPUTED_VALUE"""),43704.99861111111)</f>
        <v>43704.99861</v>
      </c>
      <c r="B3275" s="1">
        <f>IFERROR(__xludf.DUMMYFUNCTION("""COMPUTED_VALUE"""),10262.2)</f>
        <v>10262.2</v>
      </c>
    </row>
    <row r="3276">
      <c r="A3276" s="3">
        <f>IFERROR(__xludf.DUMMYFUNCTION("""COMPUTED_VALUE"""),43705.99861111111)</f>
        <v>43705.99861</v>
      </c>
      <c r="B3276" s="1">
        <f>IFERROR(__xludf.DUMMYFUNCTION("""COMPUTED_VALUE"""),10261.25)</f>
        <v>10261.25</v>
      </c>
    </row>
    <row r="3277">
      <c r="A3277" s="3">
        <f>IFERROR(__xludf.DUMMYFUNCTION("""COMPUTED_VALUE"""),43706.99861111111)</f>
        <v>43706.99861</v>
      </c>
      <c r="B3277" s="1">
        <f>IFERROR(__xludf.DUMMYFUNCTION("""COMPUTED_VALUE"""),10259.75)</f>
        <v>10259.75</v>
      </c>
    </row>
    <row r="3278">
      <c r="A3278" s="3">
        <f>IFERROR(__xludf.DUMMYFUNCTION("""COMPUTED_VALUE"""),43707.99861111111)</f>
        <v>43707.99861</v>
      </c>
      <c r="B3278" s="1">
        <f>IFERROR(__xludf.DUMMYFUNCTION("""COMPUTED_VALUE"""),10256.9)</f>
        <v>10256.9</v>
      </c>
    </row>
    <row r="3279">
      <c r="A3279" s="3">
        <f>IFERROR(__xludf.DUMMYFUNCTION("""COMPUTED_VALUE"""),43708.99861111111)</f>
        <v>43708.99861</v>
      </c>
      <c r="B3279" s="1">
        <f>IFERROR(__xludf.DUMMYFUNCTION("""COMPUTED_VALUE"""),10256.9)</f>
        <v>10256.9</v>
      </c>
    </row>
    <row r="3280">
      <c r="A3280" s="3">
        <f>IFERROR(__xludf.DUMMYFUNCTION("""COMPUTED_VALUE"""),43709.99861111111)</f>
        <v>43709.99861</v>
      </c>
      <c r="B3280" s="1">
        <f>IFERROR(__xludf.DUMMYFUNCTION("""COMPUTED_VALUE"""),10260.4)</f>
        <v>10260.4</v>
      </c>
    </row>
    <row r="3281">
      <c r="A3281" s="3">
        <f>IFERROR(__xludf.DUMMYFUNCTION("""COMPUTED_VALUE"""),43710.99861111111)</f>
        <v>43710.99861</v>
      </c>
      <c r="B3281" s="1">
        <f>IFERROR(__xludf.DUMMYFUNCTION("""COMPUTED_VALUE"""),10202.05)</f>
        <v>10202.05</v>
      </c>
    </row>
    <row r="3282">
      <c r="A3282" s="3">
        <f>IFERROR(__xludf.DUMMYFUNCTION("""COMPUTED_VALUE"""),43711.99861111111)</f>
        <v>43711.99861</v>
      </c>
      <c r="B3282" s="1">
        <f>IFERROR(__xludf.DUMMYFUNCTION("""COMPUTED_VALUE"""),10226.75)</f>
        <v>10226.75</v>
      </c>
    </row>
    <row r="3283">
      <c r="A3283" s="3">
        <f>IFERROR(__xludf.DUMMYFUNCTION("""COMPUTED_VALUE"""),43712.99861111111)</f>
        <v>43712.99861</v>
      </c>
      <c r="B3283" s="1">
        <f>IFERROR(__xludf.DUMMYFUNCTION("""COMPUTED_VALUE"""),10219.8)</f>
        <v>10219.8</v>
      </c>
    </row>
    <row r="3284">
      <c r="A3284" s="3">
        <f>IFERROR(__xludf.DUMMYFUNCTION("""COMPUTED_VALUE"""),43713.99861111111)</f>
        <v>43713.99861</v>
      </c>
      <c r="B3284" s="1">
        <f>IFERROR(__xludf.DUMMYFUNCTION("""COMPUTED_VALUE"""),10218.55)</f>
        <v>10218.55</v>
      </c>
    </row>
    <row r="3285">
      <c r="A3285" s="3">
        <f>IFERROR(__xludf.DUMMYFUNCTION("""COMPUTED_VALUE"""),43714.99861111111)</f>
        <v>43714.99861</v>
      </c>
      <c r="B3285" s="1">
        <f>IFERROR(__xludf.DUMMYFUNCTION("""COMPUTED_VALUE"""),10114.45)</f>
        <v>10114.45</v>
      </c>
    </row>
    <row r="3286">
      <c r="A3286" s="3">
        <f>IFERROR(__xludf.DUMMYFUNCTION("""COMPUTED_VALUE"""),43715.99861111111)</f>
        <v>43715.99861</v>
      </c>
      <c r="B3286" s="1">
        <f>IFERROR(__xludf.DUMMYFUNCTION("""COMPUTED_VALUE"""),10208.0)</f>
        <v>10208</v>
      </c>
    </row>
    <row r="3287">
      <c r="A3287" s="3">
        <f>IFERROR(__xludf.DUMMYFUNCTION("""COMPUTED_VALUE"""),43716.99861111111)</f>
        <v>43716.99861</v>
      </c>
      <c r="B3287" s="1">
        <f>IFERROR(__xludf.DUMMYFUNCTION("""COMPUTED_VALUE"""),10212.6)</f>
        <v>10212.6</v>
      </c>
    </row>
    <row r="3288">
      <c r="A3288" s="3">
        <f>IFERROR(__xludf.DUMMYFUNCTION("""COMPUTED_VALUE"""),43717.99861111111)</f>
        <v>43717.99861</v>
      </c>
      <c r="B3288" s="1">
        <f>IFERROR(__xludf.DUMMYFUNCTION("""COMPUTED_VALUE"""),10157.55)</f>
        <v>10157.55</v>
      </c>
    </row>
    <row r="3289">
      <c r="A3289" s="3">
        <f>IFERROR(__xludf.DUMMYFUNCTION("""COMPUTED_VALUE"""),43718.99861111111)</f>
        <v>43718.99861</v>
      </c>
      <c r="B3289" s="1">
        <f>IFERROR(__xludf.DUMMYFUNCTION("""COMPUTED_VALUE"""),10181.55)</f>
        <v>10181.55</v>
      </c>
    </row>
    <row r="3290">
      <c r="A3290" s="3">
        <f>IFERROR(__xludf.DUMMYFUNCTION("""COMPUTED_VALUE"""),43719.99861111111)</f>
        <v>43719.99861</v>
      </c>
      <c r="B3290" s="1">
        <f>IFERROR(__xludf.DUMMYFUNCTION("""COMPUTED_VALUE"""),10188.2)</f>
        <v>10188.2</v>
      </c>
    </row>
    <row r="3291">
      <c r="A3291" s="3">
        <f>IFERROR(__xludf.DUMMYFUNCTION("""COMPUTED_VALUE"""),43720.99861111111)</f>
        <v>43720.99861</v>
      </c>
      <c r="B3291" s="1">
        <f>IFERROR(__xludf.DUMMYFUNCTION("""COMPUTED_VALUE"""),10141.65)</f>
        <v>10141.65</v>
      </c>
    </row>
    <row r="3292">
      <c r="A3292" s="3">
        <f>IFERROR(__xludf.DUMMYFUNCTION("""COMPUTED_VALUE"""),43721.99861111111)</f>
        <v>43721.99861</v>
      </c>
      <c r="B3292" s="1">
        <f>IFERROR(__xludf.DUMMYFUNCTION("""COMPUTED_VALUE"""),10165.0)</f>
        <v>10165</v>
      </c>
    </row>
    <row r="3293">
      <c r="A3293" s="3">
        <f>IFERROR(__xludf.DUMMYFUNCTION("""COMPUTED_VALUE"""),43722.99861111111)</f>
        <v>43722.99861</v>
      </c>
      <c r="B3293" s="1">
        <f>IFERROR(__xludf.DUMMYFUNCTION("""COMPUTED_VALUE"""),10090.05)</f>
        <v>10090.05</v>
      </c>
    </row>
    <row r="3294">
      <c r="A3294" s="3">
        <f>IFERROR(__xludf.DUMMYFUNCTION("""COMPUTED_VALUE"""),43723.99861111111)</f>
        <v>43723.99861</v>
      </c>
      <c r="B3294" s="1">
        <f>IFERROR(__xludf.DUMMYFUNCTION("""COMPUTED_VALUE"""),10153.1)</f>
        <v>10153.1</v>
      </c>
    </row>
    <row r="3295">
      <c r="A3295" s="3">
        <f>IFERROR(__xludf.DUMMYFUNCTION("""COMPUTED_VALUE"""),43724.99861111111)</f>
        <v>43724.99861</v>
      </c>
      <c r="B3295" s="1">
        <f>IFERROR(__xludf.DUMMYFUNCTION("""COMPUTED_VALUE"""),10206.4)</f>
        <v>10206.4</v>
      </c>
    </row>
    <row r="3296">
      <c r="A3296" s="3">
        <f>IFERROR(__xludf.DUMMYFUNCTION("""COMPUTED_VALUE"""),43725.99861111111)</f>
        <v>43725.99861</v>
      </c>
      <c r="B3296" s="1">
        <f>IFERROR(__xludf.DUMMYFUNCTION("""COMPUTED_VALUE"""),10152.45)</f>
        <v>10152.45</v>
      </c>
    </row>
    <row r="3297">
      <c r="A3297" s="3">
        <f>IFERROR(__xludf.DUMMYFUNCTION("""COMPUTED_VALUE"""),43726.99861111111)</f>
        <v>43726.99861</v>
      </c>
      <c r="B3297" s="1">
        <f>IFERROR(__xludf.DUMMYFUNCTION("""COMPUTED_VALUE"""),10275.7)</f>
        <v>10275.7</v>
      </c>
    </row>
    <row r="3298">
      <c r="A3298" s="3">
        <f>IFERROR(__xludf.DUMMYFUNCTION("""COMPUTED_VALUE"""),43727.99861111111)</f>
        <v>43727.99861</v>
      </c>
      <c r="B3298" s="1">
        <f>IFERROR(__xludf.DUMMYFUNCTION("""COMPUTED_VALUE"""),10244.0)</f>
        <v>10244</v>
      </c>
    </row>
    <row r="3299">
      <c r="A3299" s="3">
        <f>IFERROR(__xludf.DUMMYFUNCTION("""COMPUTED_VALUE"""),43728.99861111111)</f>
        <v>43728.99861</v>
      </c>
      <c r="B3299" s="1">
        <f>IFERROR(__xludf.DUMMYFUNCTION("""COMPUTED_VALUE"""),10203.1)</f>
        <v>10203.1</v>
      </c>
    </row>
    <row r="3300">
      <c r="A3300" s="3">
        <f>IFERROR(__xludf.DUMMYFUNCTION("""COMPUTED_VALUE"""),43729.99861111111)</f>
        <v>43729.99861</v>
      </c>
      <c r="B3300" s="1">
        <f>IFERROR(__xludf.DUMMYFUNCTION("""COMPUTED_VALUE"""),10203.1)</f>
        <v>10203.1</v>
      </c>
    </row>
    <row r="3301">
      <c r="A3301" s="3">
        <f>IFERROR(__xludf.DUMMYFUNCTION("""COMPUTED_VALUE"""),43730.99861111111)</f>
        <v>43730.99861</v>
      </c>
      <c r="B3301" s="1">
        <f>IFERROR(__xludf.DUMMYFUNCTION("""COMPUTED_VALUE"""),10199.1)</f>
        <v>10199.1</v>
      </c>
    </row>
    <row r="3302">
      <c r="A3302" s="3">
        <f>IFERROR(__xludf.DUMMYFUNCTION("""COMPUTED_VALUE"""),43731.99861111111)</f>
        <v>43731.99861</v>
      </c>
      <c r="B3302" s="1">
        <f>IFERROR(__xludf.DUMMYFUNCTION("""COMPUTED_VALUE"""),10226.5)</f>
        <v>10226.5</v>
      </c>
    </row>
    <row r="3303">
      <c r="A3303" s="3">
        <f>IFERROR(__xludf.DUMMYFUNCTION("""COMPUTED_VALUE"""),43732.99861111111)</f>
        <v>43732.99861</v>
      </c>
      <c r="B3303" s="1">
        <f>IFERROR(__xludf.DUMMYFUNCTION("""COMPUTED_VALUE"""),10310.9)</f>
        <v>10310.9</v>
      </c>
    </row>
    <row r="3304">
      <c r="A3304" s="3">
        <f>IFERROR(__xludf.DUMMYFUNCTION("""COMPUTED_VALUE"""),43733.99861111111)</f>
        <v>43733.99861</v>
      </c>
      <c r="B3304" s="1">
        <f>IFERROR(__xludf.DUMMYFUNCTION("""COMPUTED_VALUE"""),10312.75)</f>
        <v>10312.75</v>
      </c>
    </row>
    <row r="3305">
      <c r="A3305" s="3">
        <f>IFERROR(__xludf.DUMMYFUNCTION("""COMPUTED_VALUE"""),43734.99861111111)</f>
        <v>43734.99861</v>
      </c>
      <c r="B3305" s="1">
        <f>IFERROR(__xludf.DUMMYFUNCTION("""COMPUTED_VALUE"""),10305.5)</f>
        <v>10305.5</v>
      </c>
    </row>
    <row r="3306">
      <c r="A3306" s="3">
        <f>IFERROR(__xludf.DUMMYFUNCTION("""COMPUTED_VALUE"""),43735.99861111111)</f>
        <v>43735.99861</v>
      </c>
      <c r="B3306" s="1">
        <f>IFERROR(__xludf.DUMMYFUNCTION("""COMPUTED_VALUE"""),10275.45)</f>
        <v>10275.45</v>
      </c>
    </row>
    <row r="3307">
      <c r="A3307" s="3">
        <f>IFERROR(__xludf.DUMMYFUNCTION("""COMPUTED_VALUE"""),43736.99861111111)</f>
        <v>43736.99861</v>
      </c>
      <c r="B3307" s="1">
        <f>IFERROR(__xludf.DUMMYFUNCTION("""COMPUTED_VALUE"""),10275.45)</f>
        <v>10275.45</v>
      </c>
    </row>
    <row r="3308">
      <c r="A3308" s="3">
        <f>IFERROR(__xludf.DUMMYFUNCTION("""COMPUTED_VALUE"""),43737.99861111111)</f>
        <v>43737.99861</v>
      </c>
      <c r="B3308" s="1">
        <f>IFERROR(__xludf.DUMMYFUNCTION("""COMPUTED_VALUE"""),10253.4)</f>
        <v>10253.4</v>
      </c>
    </row>
    <row r="3309">
      <c r="A3309" s="3">
        <f>IFERROR(__xludf.DUMMYFUNCTION("""COMPUTED_VALUE"""),43738.99861111111)</f>
        <v>43738.99861</v>
      </c>
      <c r="B3309" s="1">
        <f>IFERROR(__xludf.DUMMYFUNCTION("""COMPUTED_VALUE"""),10289.9)</f>
        <v>10289.9</v>
      </c>
    </row>
    <row r="3310">
      <c r="A3310" s="3">
        <f>IFERROR(__xludf.DUMMYFUNCTION("""COMPUTED_VALUE"""),43739.99861111111)</f>
        <v>43739.99861</v>
      </c>
      <c r="B3310" s="1">
        <f>IFERROR(__xludf.DUMMYFUNCTION("""COMPUTED_VALUE"""),10261.05)</f>
        <v>10261.05</v>
      </c>
    </row>
    <row r="3311">
      <c r="A3311" s="3">
        <f>IFERROR(__xludf.DUMMYFUNCTION("""COMPUTED_VALUE"""),43740.99861111111)</f>
        <v>43740.99861</v>
      </c>
      <c r="B3311" s="1">
        <f>IFERROR(__xludf.DUMMYFUNCTION("""COMPUTED_VALUE"""),10256.05)</f>
        <v>10256.05</v>
      </c>
    </row>
    <row r="3312">
      <c r="A3312" s="3">
        <f>IFERROR(__xludf.DUMMYFUNCTION("""COMPUTED_VALUE"""),43741.99861111111)</f>
        <v>43741.99861</v>
      </c>
      <c r="B3312" s="1">
        <f>IFERROR(__xludf.DUMMYFUNCTION("""COMPUTED_VALUE"""),10268.1)</f>
        <v>10268.1</v>
      </c>
    </row>
    <row r="3313">
      <c r="A3313" s="3">
        <f>IFERROR(__xludf.DUMMYFUNCTION("""COMPUTED_VALUE"""),43742.99861111111)</f>
        <v>43742.99861</v>
      </c>
      <c r="B3313" s="1">
        <f>IFERROR(__xludf.DUMMYFUNCTION("""COMPUTED_VALUE"""),10250.0)</f>
        <v>10250</v>
      </c>
    </row>
    <row r="3314">
      <c r="A3314" s="3">
        <f>IFERROR(__xludf.DUMMYFUNCTION("""COMPUTED_VALUE"""),43743.99861111111)</f>
        <v>43743.99861</v>
      </c>
      <c r="B3314" s="1">
        <f>IFERROR(__xludf.DUMMYFUNCTION("""COMPUTED_VALUE"""),10250.0)</f>
        <v>10250</v>
      </c>
    </row>
    <row r="3315">
      <c r="A3315" s="3">
        <f>IFERROR(__xludf.DUMMYFUNCTION("""COMPUTED_VALUE"""),43744.99861111111)</f>
        <v>43744.99861</v>
      </c>
      <c r="B3315" s="1">
        <f>IFERROR(__xludf.DUMMYFUNCTION("""COMPUTED_VALUE"""),10243.7)</f>
        <v>10243.7</v>
      </c>
    </row>
    <row r="3316">
      <c r="A3316" s="3">
        <f>IFERROR(__xludf.DUMMYFUNCTION("""COMPUTED_VALUE"""),43745.99861111111)</f>
        <v>43745.99861</v>
      </c>
      <c r="B3316" s="1">
        <f>IFERROR(__xludf.DUMMYFUNCTION("""COMPUTED_VALUE"""),10311.0)</f>
        <v>10311</v>
      </c>
    </row>
    <row r="3317">
      <c r="A3317" s="3">
        <f>IFERROR(__xludf.DUMMYFUNCTION("""COMPUTED_VALUE"""),43746.99861111111)</f>
        <v>43746.99861</v>
      </c>
      <c r="B3317" s="1">
        <f>IFERROR(__xludf.DUMMYFUNCTION("""COMPUTED_VALUE"""),10282.65)</f>
        <v>10282.65</v>
      </c>
    </row>
    <row r="3318">
      <c r="A3318" s="3">
        <f>IFERROR(__xludf.DUMMYFUNCTION("""COMPUTED_VALUE"""),43747.99861111111)</f>
        <v>43747.99861</v>
      </c>
      <c r="B3318" s="1">
        <f>IFERROR(__xludf.DUMMYFUNCTION("""COMPUTED_VALUE"""),10293.8)</f>
        <v>10293.8</v>
      </c>
    </row>
    <row r="3319">
      <c r="A3319" s="3">
        <f>IFERROR(__xludf.DUMMYFUNCTION("""COMPUTED_VALUE"""),43748.99861111111)</f>
        <v>43748.99861</v>
      </c>
      <c r="B3319" s="1">
        <f>IFERROR(__xludf.DUMMYFUNCTION("""COMPUTED_VALUE"""),10290.1)</f>
        <v>10290.1</v>
      </c>
    </row>
    <row r="3320">
      <c r="A3320" s="3">
        <f>IFERROR(__xludf.DUMMYFUNCTION("""COMPUTED_VALUE"""),43749.99861111111)</f>
        <v>43749.99861</v>
      </c>
      <c r="B3320" s="1">
        <f>IFERROR(__xludf.DUMMYFUNCTION("""COMPUTED_VALUE"""),10291.95)</f>
        <v>10291.95</v>
      </c>
    </row>
    <row r="3321">
      <c r="A3321" s="3">
        <f>IFERROR(__xludf.DUMMYFUNCTION("""COMPUTED_VALUE"""),43750.99861111111)</f>
        <v>43750.99861</v>
      </c>
      <c r="B3321" s="1">
        <f>IFERROR(__xludf.DUMMYFUNCTION("""COMPUTED_VALUE"""),10291.94)</f>
        <v>10291.94</v>
      </c>
    </row>
    <row r="3322">
      <c r="A3322" s="3">
        <f>IFERROR(__xludf.DUMMYFUNCTION("""COMPUTED_VALUE"""),43751.99861111111)</f>
        <v>43751.99861</v>
      </c>
      <c r="B3322" s="1">
        <f>IFERROR(__xludf.DUMMYFUNCTION("""COMPUTED_VALUE"""),10291.34)</f>
        <v>10291.34</v>
      </c>
    </row>
    <row r="3323">
      <c r="A3323" s="3">
        <f>IFERROR(__xludf.DUMMYFUNCTION("""COMPUTED_VALUE"""),43752.99861111111)</f>
        <v>43752.99861</v>
      </c>
      <c r="B3323" s="1">
        <f>IFERROR(__xludf.DUMMYFUNCTION("""COMPUTED_VALUE"""),10352.3)</f>
        <v>10352.3</v>
      </c>
    </row>
    <row r="3324">
      <c r="A3324" s="3">
        <f>IFERROR(__xludf.DUMMYFUNCTION("""COMPUTED_VALUE"""),43753.99861111111)</f>
        <v>43753.99861</v>
      </c>
      <c r="B3324" s="1">
        <f>IFERROR(__xludf.DUMMYFUNCTION("""COMPUTED_VALUE"""),10371.46)</f>
        <v>10371.46</v>
      </c>
    </row>
    <row r="3325">
      <c r="A3325" s="3">
        <f>IFERROR(__xludf.DUMMYFUNCTION("""COMPUTED_VALUE"""),43754.99861111111)</f>
        <v>43754.99861</v>
      </c>
      <c r="B3325" s="1">
        <f>IFERROR(__xludf.DUMMYFUNCTION("""COMPUTED_VALUE"""),10379.19)</f>
        <v>10379.19</v>
      </c>
    </row>
    <row r="3326">
      <c r="A3326" s="3">
        <f>IFERROR(__xludf.DUMMYFUNCTION("""COMPUTED_VALUE"""),43755.99861111111)</f>
        <v>43755.99861</v>
      </c>
      <c r="B3326" s="1">
        <f>IFERROR(__xludf.DUMMYFUNCTION("""COMPUTED_VALUE"""),10395.5)</f>
        <v>10395.5</v>
      </c>
    </row>
    <row r="3327">
      <c r="A3327" s="3">
        <f>IFERROR(__xludf.DUMMYFUNCTION("""COMPUTED_VALUE"""),43756.99861111111)</f>
        <v>43756.99861</v>
      </c>
      <c r="B3327" s="1">
        <f>IFERROR(__xludf.DUMMYFUNCTION("""COMPUTED_VALUE"""),10352.51)</f>
        <v>10352.51</v>
      </c>
    </row>
    <row r="3328">
      <c r="A3328" s="3">
        <f>IFERROR(__xludf.DUMMYFUNCTION("""COMPUTED_VALUE"""),43757.99861111111)</f>
        <v>43757.99861</v>
      </c>
      <c r="B3328" s="1">
        <f>IFERROR(__xludf.DUMMYFUNCTION("""COMPUTED_VALUE"""),10352.51)</f>
        <v>10352.51</v>
      </c>
    </row>
    <row r="3329">
      <c r="A3329" s="3">
        <f>IFERROR(__xludf.DUMMYFUNCTION("""COMPUTED_VALUE"""),43758.99861111111)</f>
        <v>43758.99861</v>
      </c>
      <c r="B3329" s="1">
        <f>IFERROR(__xludf.DUMMYFUNCTION("""COMPUTED_VALUE"""),10370.65)</f>
        <v>10370.65</v>
      </c>
    </row>
    <row r="3330">
      <c r="A3330" s="3">
        <f>IFERROR(__xludf.DUMMYFUNCTION("""COMPUTED_VALUE"""),43759.99861111111)</f>
        <v>43759.99861</v>
      </c>
      <c r="B3330" s="1">
        <f>IFERROR(__xludf.DUMMYFUNCTION("""COMPUTED_VALUE"""),10362.9)</f>
        <v>10362.9</v>
      </c>
    </row>
    <row r="3331">
      <c r="A3331" s="3">
        <f>IFERROR(__xludf.DUMMYFUNCTION("""COMPUTED_VALUE"""),43760.99861111111)</f>
        <v>43760.99861</v>
      </c>
      <c r="B3331" s="1">
        <f>IFERROR(__xludf.DUMMYFUNCTION("""COMPUTED_VALUE"""),10308.25)</f>
        <v>10308.25</v>
      </c>
    </row>
    <row r="3332">
      <c r="A3332" s="3">
        <f>IFERROR(__xludf.DUMMYFUNCTION("""COMPUTED_VALUE"""),43761.99861111111)</f>
        <v>43761.99861</v>
      </c>
      <c r="B3332" s="1">
        <f>IFERROR(__xludf.DUMMYFUNCTION("""COMPUTED_VALUE"""),10277.06)</f>
        <v>10277.06</v>
      </c>
    </row>
    <row r="3333">
      <c r="A3333" s="3">
        <f>IFERROR(__xludf.DUMMYFUNCTION("""COMPUTED_VALUE"""),43762.99861111111)</f>
        <v>43762.99861</v>
      </c>
      <c r="B3333" s="1">
        <f>IFERROR(__xludf.DUMMYFUNCTION("""COMPUTED_VALUE"""),10334.6)</f>
        <v>10334.6</v>
      </c>
    </row>
    <row r="3334">
      <c r="A3334" s="3">
        <f>IFERROR(__xludf.DUMMYFUNCTION("""COMPUTED_VALUE"""),43763.99861111111)</f>
        <v>43763.99861</v>
      </c>
      <c r="B3334" s="1">
        <f>IFERROR(__xludf.DUMMYFUNCTION("""COMPUTED_VALUE"""),10295.63)</f>
        <v>10295.63</v>
      </c>
    </row>
    <row r="3335">
      <c r="A3335" s="3">
        <f>IFERROR(__xludf.DUMMYFUNCTION("""COMPUTED_VALUE"""),43764.99861111111)</f>
        <v>43764.99861</v>
      </c>
      <c r="B3335" s="1">
        <f>IFERROR(__xludf.DUMMYFUNCTION("""COMPUTED_VALUE"""),10295.63)</f>
        <v>10295.63</v>
      </c>
    </row>
    <row r="3336">
      <c r="A3336" s="3">
        <f>IFERROR(__xludf.DUMMYFUNCTION("""COMPUTED_VALUE"""),43765.99861111111)</f>
        <v>43765.99861</v>
      </c>
      <c r="B3336" s="1">
        <f>IFERROR(__xludf.DUMMYFUNCTION("""COMPUTED_VALUE"""),10295.63)</f>
        <v>10295.63</v>
      </c>
    </row>
    <row r="3337">
      <c r="A3337" s="3">
        <f>IFERROR(__xludf.DUMMYFUNCTION("""COMPUTED_VALUE"""),43766.99861111111)</f>
        <v>43766.99861</v>
      </c>
      <c r="B3337" s="1">
        <f>IFERROR(__xludf.DUMMYFUNCTION("""COMPUTED_VALUE"""),10295.35)</f>
        <v>10295.35</v>
      </c>
    </row>
    <row r="3338">
      <c r="A3338" s="3">
        <f>IFERROR(__xludf.DUMMYFUNCTION("""COMPUTED_VALUE"""),43767.99861111111)</f>
        <v>43767.99861</v>
      </c>
      <c r="B3338" s="1">
        <f>IFERROR(__xludf.DUMMYFUNCTION("""COMPUTED_VALUE"""),10293.58)</f>
        <v>10293.58</v>
      </c>
    </row>
    <row r="3339">
      <c r="A3339" s="3">
        <f>IFERROR(__xludf.DUMMYFUNCTION("""COMPUTED_VALUE"""),43768.99861111111)</f>
        <v>43768.99861</v>
      </c>
      <c r="B3339" s="1">
        <f>IFERROR(__xludf.DUMMYFUNCTION("""COMPUTED_VALUE"""),10331.22)</f>
        <v>10331.22</v>
      </c>
    </row>
    <row r="3340">
      <c r="A3340" s="3">
        <f>IFERROR(__xludf.DUMMYFUNCTION("""COMPUTED_VALUE"""),43769.99861111111)</f>
        <v>43769.99861</v>
      </c>
      <c r="B3340" s="1">
        <f>IFERROR(__xludf.DUMMYFUNCTION("""COMPUTED_VALUE"""),10383.36)</f>
        <v>10383.36</v>
      </c>
    </row>
    <row r="3341">
      <c r="A3341" s="3">
        <f>IFERROR(__xludf.DUMMYFUNCTION("""COMPUTED_VALUE"""),43770.99861111111)</f>
        <v>43770.99861</v>
      </c>
      <c r="B3341" s="1">
        <f>IFERROR(__xludf.DUMMYFUNCTION("""COMPUTED_VALUE"""),10300.42)</f>
        <v>10300.42</v>
      </c>
    </row>
    <row r="3342">
      <c r="A3342" s="3">
        <f>IFERROR(__xludf.DUMMYFUNCTION("""COMPUTED_VALUE"""),43771.99861111111)</f>
        <v>43771.99861</v>
      </c>
      <c r="B3342" s="1">
        <f>IFERROR(__xludf.DUMMYFUNCTION("""COMPUTED_VALUE"""),10302.7)</f>
        <v>10302.7</v>
      </c>
    </row>
    <row r="3343">
      <c r="A3343" s="3">
        <f>IFERROR(__xludf.DUMMYFUNCTION("""COMPUTED_VALUE"""),43772.99861111111)</f>
        <v>43772.99861</v>
      </c>
      <c r="B3343" s="1">
        <f>IFERROR(__xludf.DUMMYFUNCTION("""COMPUTED_VALUE"""),10330.07)</f>
        <v>10330.07</v>
      </c>
    </row>
    <row r="3344">
      <c r="A3344" s="3">
        <f>IFERROR(__xludf.DUMMYFUNCTION("""COMPUTED_VALUE"""),43773.99861111111)</f>
        <v>43773.99861</v>
      </c>
      <c r="B3344" s="1">
        <f>IFERROR(__xludf.DUMMYFUNCTION("""COMPUTED_VALUE"""),10352.42)</f>
        <v>10352.42</v>
      </c>
    </row>
    <row r="3345">
      <c r="A3345" s="3">
        <f>IFERROR(__xludf.DUMMYFUNCTION("""COMPUTED_VALUE"""),43774.99861111111)</f>
        <v>43774.99861</v>
      </c>
      <c r="B3345" s="1">
        <f>IFERROR(__xludf.DUMMYFUNCTION("""COMPUTED_VALUE"""),10330.55)</f>
        <v>10330.55</v>
      </c>
    </row>
    <row r="3346">
      <c r="A3346" s="3">
        <f>IFERROR(__xludf.DUMMYFUNCTION("""COMPUTED_VALUE"""),43775.99861111111)</f>
        <v>43775.99861</v>
      </c>
      <c r="B3346" s="1">
        <f>IFERROR(__xludf.DUMMYFUNCTION("""COMPUTED_VALUE"""),10301.74)</f>
        <v>10301.74</v>
      </c>
    </row>
    <row r="3347">
      <c r="A3347" s="3">
        <f>IFERROR(__xludf.DUMMYFUNCTION("""COMPUTED_VALUE"""),43776.99861111111)</f>
        <v>43776.99861</v>
      </c>
      <c r="B3347" s="1">
        <f>IFERROR(__xludf.DUMMYFUNCTION("""COMPUTED_VALUE"""),10310.38)</f>
        <v>10310.38</v>
      </c>
    </row>
    <row r="3348">
      <c r="A3348" s="3">
        <f>IFERROR(__xludf.DUMMYFUNCTION("""COMPUTED_VALUE"""),43777.99861111111)</f>
        <v>43777.99861</v>
      </c>
      <c r="B3348" s="1">
        <f>IFERROR(__xludf.DUMMYFUNCTION("""COMPUTED_VALUE"""),10309.71)</f>
        <v>10309.71</v>
      </c>
    </row>
    <row r="3349">
      <c r="A3349" s="3">
        <f>IFERROR(__xludf.DUMMYFUNCTION("""COMPUTED_VALUE"""),43778.99861111111)</f>
        <v>43778.99861</v>
      </c>
      <c r="B3349" s="1">
        <f>IFERROR(__xludf.DUMMYFUNCTION("""COMPUTED_VALUE"""),10309.71)</f>
        <v>10309.71</v>
      </c>
    </row>
    <row r="3350">
      <c r="A3350" s="3">
        <f>IFERROR(__xludf.DUMMYFUNCTION("""COMPUTED_VALUE"""),43779.99861111111)</f>
        <v>43779.99861</v>
      </c>
      <c r="B3350" s="1">
        <f>IFERROR(__xludf.DUMMYFUNCTION("""COMPUTED_VALUE"""),10304.7)</f>
        <v>10304.7</v>
      </c>
    </row>
    <row r="3351">
      <c r="A3351" s="3">
        <f>IFERROR(__xludf.DUMMYFUNCTION("""COMPUTED_VALUE"""),43780.99861111111)</f>
        <v>43780.99861</v>
      </c>
      <c r="B3351" s="1">
        <f>IFERROR(__xludf.DUMMYFUNCTION("""COMPUTED_VALUE"""),10375.06)</f>
        <v>10375.06</v>
      </c>
    </row>
    <row r="3352">
      <c r="A3352" s="3">
        <f>IFERROR(__xludf.DUMMYFUNCTION("""COMPUTED_VALUE"""),43781.99861111111)</f>
        <v>43781.99861</v>
      </c>
      <c r="B3352" s="1">
        <f>IFERROR(__xludf.DUMMYFUNCTION("""COMPUTED_VALUE"""),10385.53)</f>
        <v>10385.53</v>
      </c>
    </row>
    <row r="3353">
      <c r="A3353" s="3">
        <f>IFERROR(__xludf.DUMMYFUNCTION("""COMPUTED_VALUE"""),43782.99861111111)</f>
        <v>43782.99861</v>
      </c>
      <c r="B3353" s="1">
        <f>IFERROR(__xludf.DUMMYFUNCTION("""COMPUTED_VALUE"""),10404.91)</f>
        <v>10404.91</v>
      </c>
    </row>
    <row r="3354">
      <c r="A3354" s="3">
        <f>IFERROR(__xludf.DUMMYFUNCTION("""COMPUTED_VALUE"""),43783.99861111111)</f>
        <v>43783.99861</v>
      </c>
      <c r="B3354" s="1">
        <f>IFERROR(__xludf.DUMMYFUNCTION("""COMPUTED_VALUE"""),10343.57)</f>
        <v>10343.57</v>
      </c>
    </row>
    <row r="3355">
      <c r="A3355" s="3">
        <f>IFERROR(__xludf.DUMMYFUNCTION("""COMPUTED_VALUE"""),43784.99861111111)</f>
        <v>43784.99861</v>
      </c>
      <c r="B3355" s="1">
        <f>IFERROR(__xludf.DUMMYFUNCTION("""COMPUTED_VALUE"""),10325.38)</f>
        <v>10325.38</v>
      </c>
    </row>
    <row r="3356">
      <c r="A3356" s="3">
        <f>IFERROR(__xludf.DUMMYFUNCTION("""COMPUTED_VALUE"""),43785.99861111111)</f>
        <v>43785.99861</v>
      </c>
      <c r="B3356" s="1">
        <f>IFERROR(__xludf.DUMMYFUNCTION("""COMPUTED_VALUE"""),10325.38)</f>
        <v>10325.38</v>
      </c>
    </row>
    <row r="3357">
      <c r="A3357" s="3">
        <f>IFERROR(__xludf.DUMMYFUNCTION("""COMPUTED_VALUE"""),43786.99861111111)</f>
        <v>43786.99861</v>
      </c>
      <c r="B3357" s="1">
        <f>IFERROR(__xludf.DUMMYFUNCTION("""COMPUTED_VALUE"""),10333.19)</f>
        <v>10333.19</v>
      </c>
    </row>
    <row r="3358">
      <c r="A3358" s="3">
        <f>IFERROR(__xludf.DUMMYFUNCTION("""COMPUTED_VALUE"""),43787.99861111111)</f>
        <v>43787.99861</v>
      </c>
      <c r="B3358" s="1">
        <f>IFERROR(__xludf.DUMMYFUNCTION("""COMPUTED_VALUE"""),10395.29)</f>
        <v>10395.29</v>
      </c>
    </row>
    <row r="3359">
      <c r="A3359" s="3">
        <f>IFERROR(__xludf.DUMMYFUNCTION("""COMPUTED_VALUE"""),43788.99861111111)</f>
        <v>43788.99861</v>
      </c>
      <c r="B3359" s="1">
        <f>IFERROR(__xludf.DUMMYFUNCTION("""COMPUTED_VALUE"""),10349.64)</f>
        <v>10349.64</v>
      </c>
    </row>
    <row r="3360">
      <c r="A3360" s="3">
        <f>IFERROR(__xludf.DUMMYFUNCTION("""COMPUTED_VALUE"""),43789.99861111111)</f>
        <v>43789.99861</v>
      </c>
      <c r="B3360" s="1">
        <f>IFERROR(__xludf.DUMMYFUNCTION("""COMPUTED_VALUE"""),10384.62)</f>
        <v>10384.62</v>
      </c>
    </row>
    <row r="3361">
      <c r="A3361" s="3">
        <f>IFERROR(__xludf.DUMMYFUNCTION("""COMPUTED_VALUE"""),43790.99861111111)</f>
        <v>43790.99861</v>
      </c>
      <c r="B3361" s="1">
        <f>IFERROR(__xludf.DUMMYFUNCTION("""COMPUTED_VALUE"""),10328.17)</f>
        <v>10328.17</v>
      </c>
    </row>
    <row r="3362">
      <c r="A3362" s="3">
        <f>IFERROR(__xludf.DUMMYFUNCTION("""COMPUTED_VALUE"""),43791.99861111111)</f>
        <v>43791.99861</v>
      </c>
      <c r="B3362" s="1">
        <f>IFERROR(__xludf.DUMMYFUNCTION("""COMPUTED_VALUE"""),10341.26)</f>
        <v>10341.26</v>
      </c>
    </row>
    <row r="3363">
      <c r="A3363" s="3">
        <f>IFERROR(__xludf.DUMMYFUNCTION("""COMPUTED_VALUE"""),43792.99861111111)</f>
        <v>43792.99861</v>
      </c>
      <c r="B3363" s="1">
        <f>IFERROR(__xludf.DUMMYFUNCTION("""COMPUTED_VALUE"""),10341.26)</f>
        <v>10341.26</v>
      </c>
    </row>
    <row r="3364">
      <c r="A3364" s="3">
        <f>IFERROR(__xludf.DUMMYFUNCTION("""COMPUTED_VALUE"""),43793.99861111111)</f>
        <v>43793.99861</v>
      </c>
      <c r="B3364" s="1">
        <f>IFERROR(__xludf.DUMMYFUNCTION("""COMPUTED_VALUE"""),10323.98)</f>
        <v>10323.98</v>
      </c>
    </row>
    <row r="3365">
      <c r="A3365" s="3">
        <f>IFERROR(__xludf.DUMMYFUNCTION("""COMPUTED_VALUE"""),43794.99861111111)</f>
        <v>43794.99861</v>
      </c>
      <c r="B3365" s="1">
        <f>IFERROR(__xludf.DUMMYFUNCTION("""COMPUTED_VALUE"""),10311.58)</f>
        <v>10311.58</v>
      </c>
    </row>
    <row r="3366">
      <c r="A3366" s="3">
        <f>IFERROR(__xludf.DUMMYFUNCTION("""COMPUTED_VALUE"""),43795.99861111111)</f>
        <v>43795.99861</v>
      </c>
      <c r="B3366" s="1">
        <f>IFERROR(__xludf.DUMMYFUNCTION("""COMPUTED_VALUE"""),10322.46)</f>
        <v>10322.46</v>
      </c>
    </row>
    <row r="3367">
      <c r="A3367" s="3">
        <f>IFERROR(__xludf.DUMMYFUNCTION("""COMPUTED_VALUE"""),43796.99861111111)</f>
        <v>43796.99861</v>
      </c>
      <c r="B3367" s="1">
        <f>IFERROR(__xludf.DUMMYFUNCTION("""COMPUTED_VALUE"""),10347.78)</f>
        <v>10347.78</v>
      </c>
    </row>
    <row r="3368">
      <c r="A3368" s="3">
        <f>IFERROR(__xludf.DUMMYFUNCTION("""COMPUTED_VALUE"""),43797.99861111111)</f>
        <v>43797.99861</v>
      </c>
      <c r="B3368" s="1">
        <f>IFERROR(__xludf.DUMMYFUNCTION("""COMPUTED_VALUE"""),10261.78)</f>
        <v>10261.78</v>
      </c>
    </row>
    <row r="3369">
      <c r="A3369" s="3">
        <f>IFERROR(__xludf.DUMMYFUNCTION("""COMPUTED_VALUE"""),43798.99861111111)</f>
        <v>43798.99861</v>
      </c>
      <c r="B3369" s="1">
        <f>IFERROR(__xludf.DUMMYFUNCTION("""COMPUTED_VALUE"""),10318.52)</f>
        <v>10318.52</v>
      </c>
    </row>
    <row r="3370">
      <c r="A3370" s="3">
        <f>IFERROR(__xludf.DUMMYFUNCTION("""COMPUTED_VALUE"""),43799.99861111111)</f>
        <v>43799.99861</v>
      </c>
      <c r="B3370" s="1">
        <f>IFERROR(__xludf.DUMMYFUNCTION("""COMPUTED_VALUE"""),10318.52)</f>
        <v>10318.52</v>
      </c>
    </row>
    <row r="3371">
      <c r="A3371" s="3">
        <f>IFERROR(__xludf.DUMMYFUNCTION("""COMPUTED_VALUE"""),43800.99861111111)</f>
        <v>43800.99861</v>
      </c>
      <c r="B3371" s="1">
        <f>IFERROR(__xludf.DUMMYFUNCTION("""COMPUTED_VALUE"""),10320.94)</f>
        <v>10320.94</v>
      </c>
    </row>
    <row r="3372">
      <c r="A3372" s="3">
        <f>IFERROR(__xludf.DUMMYFUNCTION("""COMPUTED_VALUE"""),43801.99861111111)</f>
        <v>43801.99861</v>
      </c>
      <c r="B3372" s="1">
        <f>IFERROR(__xludf.DUMMYFUNCTION("""COMPUTED_VALUE"""),10335.19)</f>
        <v>10335.19</v>
      </c>
    </row>
    <row r="3373">
      <c r="A3373" s="3">
        <f>IFERROR(__xludf.DUMMYFUNCTION("""COMPUTED_VALUE"""),43802.99861111111)</f>
        <v>43802.99861</v>
      </c>
      <c r="B3373" s="1">
        <f>IFERROR(__xludf.DUMMYFUNCTION("""COMPUTED_VALUE"""),10340.91)</f>
        <v>10340.91</v>
      </c>
    </row>
    <row r="3374">
      <c r="A3374" s="3">
        <f>IFERROR(__xludf.DUMMYFUNCTION("""COMPUTED_VALUE"""),43803.99861111111)</f>
        <v>43803.99861</v>
      </c>
      <c r="B3374" s="1">
        <f>IFERROR(__xludf.DUMMYFUNCTION("""COMPUTED_VALUE"""),10350.85)</f>
        <v>10350.85</v>
      </c>
    </row>
    <row r="3375">
      <c r="A3375" s="3">
        <f>IFERROR(__xludf.DUMMYFUNCTION("""COMPUTED_VALUE"""),43804.99861111111)</f>
        <v>43804.99861</v>
      </c>
      <c r="B3375" s="1">
        <f>IFERROR(__xludf.DUMMYFUNCTION("""COMPUTED_VALUE"""),10337.35)</f>
        <v>10337.35</v>
      </c>
    </row>
    <row r="3376">
      <c r="A3376" s="3">
        <f>IFERROR(__xludf.DUMMYFUNCTION("""COMPUTED_VALUE"""),43805.99861111111)</f>
        <v>43805.99861</v>
      </c>
      <c r="B3376" s="1">
        <f>IFERROR(__xludf.DUMMYFUNCTION("""COMPUTED_VALUE"""),10301.86)</f>
        <v>10301.86</v>
      </c>
    </row>
    <row r="3377">
      <c r="A3377" s="3">
        <f>IFERROR(__xludf.DUMMYFUNCTION("""COMPUTED_VALUE"""),43806.99861111111)</f>
        <v>43806.99861</v>
      </c>
      <c r="B3377" s="1">
        <f>IFERROR(__xludf.DUMMYFUNCTION("""COMPUTED_VALUE"""),10301.86)</f>
        <v>10301.86</v>
      </c>
    </row>
    <row r="3378">
      <c r="A3378" s="3">
        <f>IFERROR(__xludf.DUMMYFUNCTION("""COMPUTED_VALUE"""),43807.99861111111)</f>
        <v>43807.99861</v>
      </c>
      <c r="B3378" s="1">
        <f>IFERROR(__xludf.DUMMYFUNCTION("""COMPUTED_VALUE"""),10299.96)</f>
        <v>10299.96</v>
      </c>
    </row>
    <row r="3379">
      <c r="A3379" s="3">
        <f>IFERROR(__xludf.DUMMYFUNCTION("""COMPUTED_VALUE"""),43808.99861111111)</f>
        <v>43808.99861</v>
      </c>
      <c r="B3379" s="1">
        <f>IFERROR(__xludf.DUMMYFUNCTION("""COMPUTED_VALUE"""),10314.42)</f>
        <v>10314.42</v>
      </c>
    </row>
    <row r="3380">
      <c r="A3380" s="3">
        <f>IFERROR(__xludf.DUMMYFUNCTION("""COMPUTED_VALUE"""),43809.99861111111)</f>
        <v>43809.99861</v>
      </c>
      <c r="B3380" s="1">
        <f>IFERROR(__xludf.DUMMYFUNCTION("""COMPUTED_VALUE"""),10324.65)</f>
        <v>10324.65</v>
      </c>
    </row>
    <row r="3381">
      <c r="A3381" s="3">
        <f>IFERROR(__xludf.DUMMYFUNCTION("""COMPUTED_VALUE"""),43810.99861111111)</f>
        <v>43810.99861</v>
      </c>
      <c r="B3381" s="1">
        <f>IFERROR(__xludf.DUMMYFUNCTION("""COMPUTED_VALUE"""),10341.91)</f>
        <v>10341.91</v>
      </c>
    </row>
    <row r="3382">
      <c r="A3382" s="3">
        <f>IFERROR(__xludf.DUMMYFUNCTION("""COMPUTED_VALUE"""),43811.99861111111)</f>
        <v>43811.99861</v>
      </c>
      <c r="B3382" s="1">
        <f>IFERROR(__xludf.DUMMYFUNCTION("""COMPUTED_VALUE"""),10361.97)</f>
        <v>10361.97</v>
      </c>
    </row>
    <row r="3383">
      <c r="A3383" s="3">
        <f>IFERROR(__xludf.DUMMYFUNCTION("""COMPUTED_VALUE"""),43812.99861111111)</f>
        <v>43812.99861</v>
      </c>
      <c r="B3383" s="1">
        <f>IFERROR(__xludf.DUMMYFUNCTION("""COMPUTED_VALUE"""),10351.38)</f>
        <v>10351.38</v>
      </c>
    </row>
    <row r="3384">
      <c r="A3384" s="3">
        <f>IFERROR(__xludf.DUMMYFUNCTION("""COMPUTED_VALUE"""),43813.99861111111)</f>
        <v>43813.99861</v>
      </c>
      <c r="B3384" s="1">
        <f>IFERROR(__xludf.DUMMYFUNCTION("""COMPUTED_VALUE"""),10351.38)</f>
        <v>10351.38</v>
      </c>
    </row>
    <row r="3385">
      <c r="A3385" s="3">
        <f>IFERROR(__xludf.DUMMYFUNCTION("""COMPUTED_VALUE"""),43814.99861111111)</f>
        <v>43814.99861</v>
      </c>
      <c r="B3385" s="1">
        <f>IFERROR(__xludf.DUMMYFUNCTION("""COMPUTED_VALUE"""),10344.81)</f>
        <v>10344.81</v>
      </c>
    </row>
    <row r="3386">
      <c r="A3386" s="3">
        <f>IFERROR(__xludf.DUMMYFUNCTION("""COMPUTED_VALUE"""),43815.99861111111)</f>
        <v>43815.99861</v>
      </c>
      <c r="B3386" s="1">
        <f>IFERROR(__xludf.DUMMYFUNCTION("""COMPUTED_VALUE"""),10346.7)</f>
        <v>10346.7</v>
      </c>
    </row>
    <row r="3387">
      <c r="A3387" s="3">
        <f>IFERROR(__xludf.DUMMYFUNCTION("""COMPUTED_VALUE"""),43816.99861111111)</f>
        <v>43816.99861</v>
      </c>
      <c r="B3387" s="1">
        <f>IFERROR(__xludf.DUMMYFUNCTION("""COMPUTED_VALUE"""),10321.75)</f>
        <v>10321.75</v>
      </c>
    </row>
    <row r="3388">
      <c r="A3388" s="3">
        <f>IFERROR(__xludf.DUMMYFUNCTION("""COMPUTED_VALUE"""),43817.99861111111)</f>
        <v>43817.99861</v>
      </c>
      <c r="B3388" s="1">
        <f>IFERROR(__xludf.DUMMYFUNCTION("""COMPUTED_VALUE"""),10311.75)</f>
        <v>10311.75</v>
      </c>
    </row>
    <row r="3389">
      <c r="A3389" s="3">
        <f>IFERROR(__xludf.DUMMYFUNCTION("""COMPUTED_VALUE"""),43818.99861111111)</f>
        <v>43818.99861</v>
      </c>
      <c r="B3389" s="1">
        <f>IFERROR(__xludf.DUMMYFUNCTION("""COMPUTED_VALUE"""),10322.56)</f>
        <v>10322.56</v>
      </c>
    </row>
    <row r="3390">
      <c r="A3390" s="3">
        <f>IFERROR(__xludf.DUMMYFUNCTION("""COMPUTED_VALUE"""),43819.99861111111)</f>
        <v>43819.99861</v>
      </c>
      <c r="B3390" s="1">
        <f>IFERROR(__xludf.DUMMYFUNCTION("""COMPUTED_VALUE"""),10304.8)</f>
        <v>10304.8</v>
      </c>
    </row>
    <row r="3391">
      <c r="A3391" s="3">
        <f>IFERROR(__xludf.DUMMYFUNCTION("""COMPUTED_VALUE"""),43820.99861111111)</f>
        <v>43820.99861</v>
      </c>
      <c r="B3391" s="1">
        <f>IFERROR(__xludf.DUMMYFUNCTION("""COMPUTED_VALUE"""),10304.8)</f>
        <v>10304.8</v>
      </c>
    </row>
    <row r="3392">
      <c r="A3392" s="3">
        <f>IFERROR(__xludf.DUMMYFUNCTION("""COMPUTED_VALUE"""),43821.99861111111)</f>
        <v>43821.99861</v>
      </c>
      <c r="B3392" s="1">
        <f>IFERROR(__xludf.DUMMYFUNCTION("""COMPUTED_VALUE"""),10305.56)</f>
        <v>10305.56</v>
      </c>
    </row>
    <row r="3393">
      <c r="A3393" s="3">
        <f>IFERROR(__xludf.DUMMYFUNCTION("""COMPUTED_VALUE"""),43822.99861111111)</f>
        <v>43822.99861</v>
      </c>
      <c r="B3393" s="1">
        <f>IFERROR(__xludf.DUMMYFUNCTION("""COMPUTED_VALUE"""),10323.8)</f>
        <v>10323.8</v>
      </c>
    </row>
    <row r="3394">
      <c r="A3394" s="3">
        <f>IFERROR(__xludf.DUMMYFUNCTION("""COMPUTED_VALUE"""),43823.99861111111)</f>
        <v>43823.99861</v>
      </c>
      <c r="B3394" s="1">
        <f>IFERROR(__xludf.DUMMYFUNCTION("""COMPUTED_VALUE"""),10304.68)</f>
        <v>10304.68</v>
      </c>
    </row>
    <row r="3395">
      <c r="A3395" s="3">
        <f>IFERROR(__xludf.DUMMYFUNCTION("""COMPUTED_VALUE"""),43824.99861111111)</f>
        <v>43824.99861</v>
      </c>
      <c r="B3395" s="1">
        <f>IFERROR(__xludf.DUMMYFUNCTION("""COMPUTED_VALUE"""),10309.86)</f>
        <v>10309.86</v>
      </c>
    </row>
    <row r="3396">
      <c r="A3396" s="3">
        <f>IFERROR(__xludf.DUMMYFUNCTION("""COMPUTED_VALUE"""),43825.99861111111)</f>
        <v>43825.99861</v>
      </c>
      <c r="B3396" s="1">
        <f>IFERROR(__xludf.DUMMYFUNCTION("""COMPUTED_VALUE"""),10328.36)</f>
        <v>10328.36</v>
      </c>
    </row>
    <row r="3397">
      <c r="A3397" s="3">
        <f>IFERROR(__xludf.DUMMYFUNCTION("""COMPUTED_VALUE"""),43826.99861111111)</f>
        <v>43826.99861</v>
      </c>
      <c r="B3397" s="1">
        <f>IFERROR(__xludf.DUMMYFUNCTION("""COMPUTED_VALUE"""),10316.58)</f>
        <v>10316.58</v>
      </c>
    </row>
    <row r="3398">
      <c r="A3398" s="3">
        <f>IFERROR(__xludf.DUMMYFUNCTION("""COMPUTED_VALUE"""),43827.99861111111)</f>
        <v>43827.99861</v>
      </c>
      <c r="B3398" s="1">
        <f>IFERROR(__xludf.DUMMYFUNCTION("""COMPUTED_VALUE"""),10316.58)</f>
        <v>10316.58</v>
      </c>
    </row>
    <row r="3399">
      <c r="A3399" s="3">
        <f>IFERROR(__xludf.DUMMYFUNCTION("""COMPUTED_VALUE"""),43828.99861111111)</f>
        <v>43828.99861</v>
      </c>
      <c r="B3399" s="1">
        <f>IFERROR(__xludf.DUMMYFUNCTION("""COMPUTED_VALUE"""),10314.52)</f>
        <v>10314.52</v>
      </c>
    </row>
    <row r="3400">
      <c r="A3400" s="3">
        <f>IFERROR(__xludf.DUMMYFUNCTION("""COMPUTED_VALUE"""),43829.99861111111)</f>
        <v>43829.99861</v>
      </c>
      <c r="B3400" s="1">
        <f>IFERROR(__xludf.DUMMYFUNCTION("""COMPUTED_VALUE"""),10327.82)</f>
        <v>10327.82</v>
      </c>
    </row>
    <row r="3401">
      <c r="A3401" s="3">
        <f>IFERROR(__xludf.DUMMYFUNCTION("""COMPUTED_VALUE"""),43830.99861111111)</f>
        <v>43830.99861</v>
      </c>
      <c r="B3401" s="1">
        <f>IFERROR(__xludf.DUMMYFUNCTION("""COMPUTED_VALUE"""),10320.4)</f>
        <v>10320.4</v>
      </c>
    </row>
    <row r="3402">
      <c r="A3402" s="3">
        <f>IFERROR(__xludf.DUMMYFUNCTION("""COMPUTED_VALUE"""),43831.99861111111)</f>
        <v>43831.99861</v>
      </c>
      <c r="B3402" s="1">
        <f>IFERROR(__xludf.DUMMYFUNCTION("""COMPUTED_VALUE"""),10307.88)</f>
        <v>10307.88</v>
      </c>
    </row>
    <row r="3403">
      <c r="A3403" s="3">
        <f>IFERROR(__xludf.DUMMYFUNCTION("""COMPUTED_VALUE"""),43832.99861111111)</f>
        <v>43832.99861</v>
      </c>
      <c r="B3403" s="1">
        <f>IFERROR(__xludf.DUMMYFUNCTION("""COMPUTED_VALUE"""),10323.3)</f>
        <v>10323.3</v>
      </c>
    </row>
    <row r="3404">
      <c r="A3404" s="3">
        <f>IFERROR(__xludf.DUMMYFUNCTION("""COMPUTED_VALUE"""),43833.99861111111)</f>
        <v>43833.99861</v>
      </c>
      <c r="B3404" s="1">
        <f>IFERROR(__xludf.DUMMYFUNCTION("""COMPUTED_VALUE"""),10333.09)</f>
        <v>10333.09</v>
      </c>
    </row>
    <row r="3405">
      <c r="A3405" s="3">
        <f>IFERROR(__xludf.DUMMYFUNCTION("""COMPUTED_VALUE"""),43834.99861111111)</f>
        <v>43834.99861</v>
      </c>
      <c r="B3405" s="1">
        <f>IFERROR(__xludf.DUMMYFUNCTION("""COMPUTED_VALUE"""),10333.09)</f>
        <v>10333.09</v>
      </c>
    </row>
    <row r="3406">
      <c r="A3406" s="3">
        <f>IFERROR(__xludf.DUMMYFUNCTION("""COMPUTED_VALUE"""),43835.99861111111)</f>
        <v>43835.99861</v>
      </c>
      <c r="B3406" s="1">
        <f>IFERROR(__xludf.DUMMYFUNCTION("""COMPUTED_VALUE"""),10328.65)</f>
        <v>10328.65</v>
      </c>
    </row>
    <row r="3407">
      <c r="A3407" s="3">
        <f>IFERROR(__xludf.DUMMYFUNCTION("""COMPUTED_VALUE"""),43836.99861111111)</f>
        <v>43836.99861</v>
      </c>
      <c r="B3407" s="1">
        <f>IFERROR(__xludf.DUMMYFUNCTION("""COMPUTED_VALUE"""),10349.82)</f>
        <v>10349.82</v>
      </c>
    </row>
    <row r="3408">
      <c r="A3408" s="3">
        <f>IFERROR(__xludf.DUMMYFUNCTION("""COMPUTED_VALUE"""),43837.99861111111)</f>
        <v>43837.99861</v>
      </c>
      <c r="B3408" s="1">
        <f>IFERROR(__xludf.DUMMYFUNCTION("""COMPUTED_VALUE"""),10267.24)</f>
        <v>10267.24</v>
      </c>
    </row>
    <row r="3409">
      <c r="A3409" s="3">
        <f>IFERROR(__xludf.DUMMYFUNCTION("""COMPUTED_VALUE"""),43838.99861111111)</f>
        <v>43838.99861</v>
      </c>
      <c r="B3409" s="1">
        <f>IFERROR(__xludf.DUMMYFUNCTION("""COMPUTED_VALUE"""),10278.83)</f>
        <v>10278.83</v>
      </c>
    </row>
    <row r="3410">
      <c r="A3410" s="3">
        <f>IFERROR(__xludf.DUMMYFUNCTION("""COMPUTED_VALUE"""),43839.99861111111)</f>
        <v>43839.99861</v>
      </c>
      <c r="B3410" s="1">
        <f>IFERROR(__xludf.DUMMYFUNCTION("""COMPUTED_VALUE"""),10267.38)</f>
        <v>10267.38</v>
      </c>
    </row>
    <row r="3411">
      <c r="A3411" s="3">
        <f>IFERROR(__xludf.DUMMYFUNCTION("""COMPUTED_VALUE"""),43840.99861111111)</f>
        <v>43840.99861</v>
      </c>
      <c r="B3411" s="1">
        <f>IFERROR(__xludf.DUMMYFUNCTION("""COMPUTED_VALUE"""),10190.35)</f>
        <v>10190.35</v>
      </c>
    </row>
    <row r="3412">
      <c r="A3412" s="3">
        <f>IFERROR(__xludf.DUMMYFUNCTION("""COMPUTED_VALUE"""),43841.99861111111)</f>
        <v>43841.99861</v>
      </c>
      <c r="B3412" s="1">
        <f>IFERROR(__xludf.DUMMYFUNCTION("""COMPUTED_VALUE"""),10190.35)</f>
        <v>10190.35</v>
      </c>
    </row>
    <row r="3413">
      <c r="A3413" s="3">
        <f>IFERROR(__xludf.DUMMYFUNCTION("""COMPUTED_VALUE"""),43842.99861111111)</f>
        <v>43842.99861</v>
      </c>
      <c r="B3413" s="1">
        <f>IFERROR(__xludf.DUMMYFUNCTION("""COMPUTED_VALUE"""),10193.56)</f>
        <v>10193.56</v>
      </c>
    </row>
    <row r="3414">
      <c r="A3414" s="3">
        <f>IFERROR(__xludf.DUMMYFUNCTION("""COMPUTED_VALUE"""),43843.99861111111)</f>
        <v>43843.99861</v>
      </c>
      <c r="B3414" s="1">
        <f>IFERROR(__xludf.DUMMYFUNCTION("""COMPUTED_VALUE"""),10149.25)</f>
        <v>10149.25</v>
      </c>
    </row>
    <row r="3415">
      <c r="A3415" s="3">
        <f>IFERROR(__xludf.DUMMYFUNCTION("""COMPUTED_VALUE"""),43844.99861111111)</f>
        <v>43844.99861</v>
      </c>
      <c r="B3415" s="1">
        <f>IFERROR(__xludf.DUMMYFUNCTION("""COMPUTED_VALUE"""),10182.32)</f>
        <v>10182.32</v>
      </c>
    </row>
    <row r="3416">
      <c r="A3416" s="3">
        <f>IFERROR(__xludf.DUMMYFUNCTION("""COMPUTED_VALUE"""),43845.99861111111)</f>
        <v>43845.99861</v>
      </c>
      <c r="B3416" s="1">
        <f>IFERROR(__xludf.DUMMYFUNCTION("""COMPUTED_VALUE"""),10152.45)</f>
        <v>10152.45</v>
      </c>
    </row>
    <row r="3417">
      <c r="A3417" s="3">
        <f>IFERROR(__xludf.DUMMYFUNCTION("""COMPUTED_VALUE"""),43846.99861111111)</f>
        <v>43846.99861</v>
      </c>
      <c r="B3417" s="1">
        <f>IFERROR(__xludf.DUMMYFUNCTION("""COMPUTED_VALUE"""),10121.38)</f>
        <v>10121.38</v>
      </c>
    </row>
    <row r="3418">
      <c r="A3418" s="3">
        <f>IFERROR(__xludf.DUMMYFUNCTION("""COMPUTED_VALUE"""),43847.99861111111)</f>
        <v>43847.99861</v>
      </c>
      <c r="B3418" s="1">
        <f>IFERROR(__xludf.DUMMYFUNCTION("""COMPUTED_VALUE"""),10128.8)</f>
        <v>10128.8</v>
      </c>
    </row>
    <row r="3419">
      <c r="A3419" s="3">
        <f>IFERROR(__xludf.DUMMYFUNCTION("""COMPUTED_VALUE"""),43848.99861111111)</f>
        <v>43848.99861</v>
      </c>
      <c r="B3419" s="1">
        <f>IFERROR(__xludf.DUMMYFUNCTION("""COMPUTED_VALUE"""),10128.8)</f>
        <v>10128.8</v>
      </c>
    </row>
    <row r="3420">
      <c r="A3420" s="3">
        <f>IFERROR(__xludf.DUMMYFUNCTION("""COMPUTED_VALUE"""),43849.99861111111)</f>
        <v>43849.99861</v>
      </c>
      <c r="B3420" s="1">
        <f>IFERROR(__xludf.DUMMYFUNCTION("""COMPUTED_VALUE"""),10128.69)</f>
        <v>10128.69</v>
      </c>
    </row>
    <row r="3421">
      <c r="A3421" s="3">
        <f>IFERROR(__xludf.DUMMYFUNCTION("""COMPUTED_VALUE"""),43850.99861111111)</f>
        <v>43850.99861</v>
      </c>
      <c r="B3421" s="1">
        <f>IFERROR(__xludf.DUMMYFUNCTION("""COMPUTED_VALUE"""),10114.34)</f>
        <v>10114.34</v>
      </c>
    </row>
    <row r="3422">
      <c r="A3422" s="3">
        <f>IFERROR(__xludf.DUMMYFUNCTION("""COMPUTED_VALUE"""),43851.99861111111)</f>
        <v>43851.99861</v>
      </c>
      <c r="B3422" s="1">
        <f>IFERROR(__xludf.DUMMYFUNCTION("""COMPUTED_VALUE"""),10116.29)</f>
        <v>10116.29</v>
      </c>
    </row>
    <row r="3423">
      <c r="A3423" s="3">
        <f>IFERROR(__xludf.DUMMYFUNCTION("""COMPUTED_VALUE"""),43852.99861111111)</f>
        <v>43852.99861</v>
      </c>
      <c r="B3423" s="1">
        <f>IFERROR(__xludf.DUMMYFUNCTION("""COMPUTED_VALUE"""),10143.14)</f>
        <v>10143.14</v>
      </c>
    </row>
    <row r="3424">
      <c r="A3424" s="3">
        <f>IFERROR(__xludf.DUMMYFUNCTION("""COMPUTED_VALUE"""),43853.99861111111)</f>
        <v>43853.99861</v>
      </c>
      <c r="B3424" s="1">
        <f>IFERROR(__xludf.DUMMYFUNCTION("""COMPUTED_VALUE"""),10133.46)</f>
        <v>10133.46</v>
      </c>
    </row>
    <row r="3425">
      <c r="A3425" s="3">
        <f>IFERROR(__xludf.DUMMYFUNCTION("""COMPUTED_VALUE"""),43854.99861111111)</f>
        <v>43854.99861</v>
      </c>
      <c r="B3425" s="1">
        <f>IFERROR(__xludf.DUMMYFUNCTION("""COMPUTED_VALUE"""),10067.66)</f>
        <v>10067.66</v>
      </c>
    </row>
    <row r="3426">
      <c r="A3426" s="3">
        <f>IFERROR(__xludf.DUMMYFUNCTION("""COMPUTED_VALUE"""),43855.99861111111)</f>
        <v>43855.99861</v>
      </c>
      <c r="B3426" s="1">
        <f>IFERROR(__xludf.DUMMYFUNCTION("""COMPUTED_VALUE"""),10067.66)</f>
        <v>10067.66</v>
      </c>
    </row>
    <row r="3427">
      <c r="A3427" s="3">
        <f>IFERROR(__xludf.DUMMYFUNCTION("""COMPUTED_VALUE"""),43856.99861111111)</f>
        <v>43856.99861</v>
      </c>
      <c r="B3427" s="1">
        <f>IFERROR(__xludf.DUMMYFUNCTION("""COMPUTED_VALUE"""),10046.18)</f>
        <v>10046.18</v>
      </c>
    </row>
    <row r="3428">
      <c r="A3428" s="3">
        <f>IFERROR(__xludf.DUMMYFUNCTION("""COMPUTED_VALUE"""),43857.99861111111)</f>
        <v>43857.99861</v>
      </c>
      <c r="B3428" s="1">
        <f>IFERROR(__xludf.DUMMYFUNCTION("""COMPUTED_VALUE"""),10106.44)</f>
        <v>10106.44</v>
      </c>
    </row>
    <row r="3429">
      <c r="A3429" s="3">
        <f>IFERROR(__xludf.DUMMYFUNCTION("""COMPUTED_VALUE"""),43858.99861111111)</f>
        <v>43858.99861</v>
      </c>
      <c r="B3429" s="1">
        <f>IFERROR(__xludf.DUMMYFUNCTION("""COMPUTED_VALUE"""),10073.88)</f>
        <v>10073.88</v>
      </c>
    </row>
    <row r="3430">
      <c r="A3430" s="3">
        <f>IFERROR(__xludf.DUMMYFUNCTION("""COMPUTED_VALUE"""),43859.99861111111)</f>
        <v>43859.99861</v>
      </c>
      <c r="B3430" s="1">
        <f>IFERROR(__xludf.DUMMYFUNCTION("""COMPUTED_VALUE"""),10037.85)</f>
        <v>10037.85</v>
      </c>
    </row>
    <row r="3431">
      <c r="A3431" s="3">
        <f>IFERROR(__xludf.DUMMYFUNCTION("""COMPUTED_VALUE"""),43860.99861111111)</f>
        <v>43860.99861</v>
      </c>
      <c r="B3431" s="1">
        <f>IFERROR(__xludf.DUMMYFUNCTION("""COMPUTED_VALUE"""),10069.18)</f>
        <v>10069.18</v>
      </c>
    </row>
    <row r="3432">
      <c r="A3432" s="3">
        <f>IFERROR(__xludf.DUMMYFUNCTION("""COMPUTED_VALUE"""),43861.99861111111)</f>
        <v>43861.99861</v>
      </c>
      <c r="B3432" s="1">
        <f>IFERROR(__xludf.DUMMYFUNCTION("""COMPUTED_VALUE"""),10092.36)</f>
        <v>10092.36</v>
      </c>
    </row>
    <row r="3433">
      <c r="A3433" s="3">
        <f>IFERROR(__xludf.DUMMYFUNCTION("""COMPUTED_VALUE"""),43862.99861111111)</f>
        <v>43862.99861</v>
      </c>
      <c r="B3433" s="1">
        <f>IFERROR(__xludf.DUMMYFUNCTION("""COMPUTED_VALUE"""),10092.36)</f>
        <v>10092.36</v>
      </c>
    </row>
    <row r="3434">
      <c r="A3434" s="3">
        <f>IFERROR(__xludf.DUMMYFUNCTION("""COMPUTED_VALUE"""),43863.99861111111)</f>
        <v>43863.99861</v>
      </c>
      <c r="B3434" s="1">
        <f>IFERROR(__xludf.DUMMYFUNCTION("""COMPUTED_VALUE"""),10093.44)</f>
        <v>10093.44</v>
      </c>
    </row>
    <row r="3435">
      <c r="A3435" s="3">
        <f>IFERROR(__xludf.DUMMYFUNCTION("""COMPUTED_VALUE"""),43864.99861111111)</f>
        <v>43864.99861</v>
      </c>
      <c r="B3435" s="1">
        <f>IFERROR(__xludf.DUMMYFUNCTION("""COMPUTED_VALUE"""),10030.12)</f>
        <v>10030.12</v>
      </c>
    </row>
    <row r="3436">
      <c r="A3436" s="3">
        <f>IFERROR(__xludf.DUMMYFUNCTION("""COMPUTED_VALUE"""),43865.99861111111)</f>
        <v>43865.99861</v>
      </c>
      <c r="B3436" s="1">
        <f>IFERROR(__xludf.DUMMYFUNCTION("""COMPUTED_VALUE"""),10002.92)</f>
        <v>10002.92</v>
      </c>
    </row>
    <row r="3437">
      <c r="A3437" s="3">
        <f>IFERROR(__xludf.DUMMYFUNCTION("""COMPUTED_VALUE"""),43866.99861111111)</f>
        <v>43866.99861</v>
      </c>
      <c r="B3437" s="1">
        <f>IFERROR(__xludf.DUMMYFUNCTION("""COMPUTED_VALUE"""),9911.136)</f>
        <v>9911.136</v>
      </c>
    </row>
    <row r="3438">
      <c r="A3438" s="3">
        <f>IFERROR(__xludf.DUMMYFUNCTION("""COMPUTED_VALUE"""),43867.99861111111)</f>
        <v>43867.99861</v>
      </c>
      <c r="B3438" s="1">
        <f>IFERROR(__xludf.DUMMYFUNCTION("""COMPUTED_VALUE"""),9884.576)</f>
        <v>9884.576</v>
      </c>
    </row>
    <row r="3439">
      <c r="A3439" s="3">
        <f>IFERROR(__xludf.DUMMYFUNCTION("""COMPUTED_VALUE"""),43868.99861111111)</f>
        <v>43868.99861</v>
      </c>
      <c r="B3439" s="1">
        <f>IFERROR(__xludf.DUMMYFUNCTION("""COMPUTED_VALUE"""),9882.387)</f>
        <v>9882.387</v>
      </c>
    </row>
    <row r="3440">
      <c r="A3440" s="3">
        <f>IFERROR(__xludf.DUMMYFUNCTION("""COMPUTED_VALUE"""),43869.99861111111)</f>
        <v>43869.99861</v>
      </c>
      <c r="B3440" s="1">
        <f>IFERROR(__xludf.DUMMYFUNCTION("""COMPUTED_VALUE"""),9882.387)</f>
        <v>9882.387</v>
      </c>
    </row>
    <row r="3441">
      <c r="A3441" s="3">
        <f>IFERROR(__xludf.DUMMYFUNCTION("""COMPUTED_VALUE"""),43870.99861111111)</f>
        <v>43870.99861</v>
      </c>
      <c r="B3441" s="1">
        <f>IFERROR(__xludf.DUMMYFUNCTION("""COMPUTED_VALUE"""),9873.047)</f>
        <v>9873.047</v>
      </c>
    </row>
    <row r="3442">
      <c r="A3442" s="3">
        <f>IFERROR(__xludf.DUMMYFUNCTION("""COMPUTED_VALUE"""),43871.99861111111)</f>
        <v>43871.99861</v>
      </c>
      <c r="B3442" s="1">
        <f>IFERROR(__xludf.DUMMYFUNCTION("""COMPUTED_VALUE"""),9901.685)</f>
        <v>9901.685</v>
      </c>
    </row>
    <row r="3443">
      <c r="A3443" s="3">
        <f>IFERROR(__xludf.DUMMYFUNCTION("""COMPUTED_VALUE"""),43872.99861111111)</f>
        <v>43872.99861</v>
      </c>
      <c r="B3443" s="1">
        <f>IFERROR(__xludf.DUMMYFUNCTION("""COMPUTED_VALUE"""),9895.773)</f>
        <v>9895.773</v>
      </c>
    </row>
    <row r="3444">
      <c r="A3444" s="3">
        <f>IFERROR(__xludf.DUMMYFUNCTION("""COMPUTED_VALUE"""),43873.99861111111)</f>
        <v>43873.99861</v>
      </c>
      <c r="B3444" s="1">
        <f>IFERROR(__xludf.DUMMYFUNCTION("""COMPUTED_VALUE"""),9877.245)</f>
        <v>9877.245</v>
      </c>
    </row>
    <row r="3445">
      <c r="A3445" s="3">
        <f>IFERROR(__xludf.DUMMYFUNCTION("""COMPUTED_VALUE"""),43874.99861111111)</f>
        <v>43874.99861</v>
      </c>
      <c r="B3445" s="1">
        <f>IFERROR(__xludf.DUMMYFUNCTION("""COMPUTED_VALUE"""),9887.616)</f>
        <v>9887.616</v>
      </c>
    </row>
    <row r="3446">
      <c r="A3446" s="3">
        <f>IFERROR(__xludf.DUMMYFUNCTION("""COMPUTED_VALUE"""),43875.99861111111)</f>
        <v>43875.99861</v>
      </c>
      <c r="B3446" s="1">
        <f>IFERROR(__xludf.DUMMYFUNCTION("""COMPUTED_VALUE"""),9843.093)</f>
        <v>9843.093</v>
      </c>
    </row>
    <row r="3447">
      <c r="A3447" s="3">
        <f>IFERROR(__xludf.DUMMYFUNCTION("""COMPUTED_VALUE"""),43876.99861111111)</f>
        <v>43876.99861</v>
      </c>
      <c r="B3447" s="1">
        <f>IFERROR(__xludf.DUMMYFUNCTION("""COMPUTED_VALUE"""),9843.093)</f>
        <v>9843.093</v>
      </c>
    </row>
    <row r="3448">
      <c r="A3448" s="3">
        <f>IFERROR(__xludf.DUMMYFUNCTION("""COMPUTED_VALUE"""),43877.99861111111)</f>
        <v>43877.99861</v>
      </c>
      <c r="B3448" s="1">
        <f>IFERROR(__xludf.DUMMYFUNCTION("""COMPUTED_VALUE"""),9858.03)</f>
        <v>9858.03</v>
      </c>
    </row>
    <row r="3449">
      <c r="A3449" s="3">
        <f>IFERROR(__xludf.DUMMYFUNCTION("""COMPUTED_VALUE"""),43878.99861111111)</f>
        <v>43878.99861</v>
      </c>
      <c r="B3449" s="1">
        <f>IFERROR(__xludf.DUMMYFUNCTION("""COMPUTED_VALUE"""),9880.022)</f>
        <v>9880.022</v>
      </c>
    </row>
    <row r="3450">
      <c r="A3450" s="3">
        <f>IFERROR(__xludf.DUMMYFUNCTION("""COMPUTED_VALUE"""),43879.99861111111)</f>
        <v>43879.99861</v>
      </c>
      <c r="B3450" s="1">
        <f>IFERROR(__xludf.DUMMYFUNCTION("""COMPUTED_VALUE"""),9893.678)</f>
        <v>9893.678</v>
      </c>
    </row>
    <row r="3451">
      <c r="A3451" s="3">
        <f>IFERROR(__xludf.DUMMYFUNCTION("""COMPUTED_VALUE"""),43880.99861111111)</f>
        <v>43880.99861</v>
      </c>
      <c r="B3451" s="1">
        <f>IFERROR(__xludf.DUMMYFUNCTION("""COMPUTED_VALUE"""),9873.94)</f>
        <v>9873.94</v>
      </c>
    </row>
    <row r="3452">
      <c r="A3452" s="3">
        <f>IFERROR(__xludf.DUMMYFUNCTION("""COMPUTED_VALUE"""),43881.99861111111)</f>
        <v>43881.99861</v>
      </c>
      <c r="B3452" s="1">
        <f>IFERROR(__xludf.DUMMYFUNCTION("""COMPUTED_VALUE"""),9869.853)</f>
        <v>9869.853</v>
      </c>
    </row>
    <row r="3453">
      <c r="A3453" s="3">
        <f>IFERROR(__xludf.DUMMYFUNCTION("""COMPUTED_VALUE"""),43882.99861111111)</f>
        <v>43882.99861</v>
      </c>
      <c r="B3453" s="1">
        <f>IFERROR(__xludf.DUMMYFUNCTION("""COMPUTED_VALUE"""),9894.418)</f>
        <v>9894.418</v>
      </c>
    </row>
    <row r="3454">
      <c r="A3454" s="3">
        <f>IFERROR(__xludf.DUMMYFUNCTION("""COMPUTED_VALUE"""),43883.99861111111)</f>
        <v>43883.99861</v>
      </c>
      <c r="B3454" s="1">
        <f>IFERROR(__xludf.DUMMYFUNCTION("""COMPUTED_VALUE"""),9894.418)</f>
        <v>9894.418</v>
      </c>
    </row>
    <row r="3455">
      <c r="A3455" s="3">
        <f>IFERROR(__xludf.DUMMYFUNCTION("""COMPUTED_VALUE"""),43884.99861111111)</f>
        <v>43884.99861</v>
      </c>
      <c r="B3455" s="1">
        <f>IFERROR(__xludf.DUMMYFUNCTION("""COMPUTED_VALUE"""),9863.927)</f>
        <v>9863.927</v>
      </c>
    </row>
    <row r="3456">
      <c r="A3456" s="3">
        <f>IFERROR(__xludf.DUMMYFUNCTION("""COMPUTED_VALUE"""),43885.99861111111)</f>
        <v>43885.99861</v>
      </c>
      <c r="B3456" s="1">
        <f>IFERROR(__xludf.DUMMYFUNCTION("""COMPUTED_VALUE"""),10048.25)</f>
        <v>10048.25</v>
      </c>
    </row>
    <row r="3457">
      <c r="A3457" s="3">
        <f>IFERROR(__xludf.DUMMYFUNCTION("""COMPUTED_VALUE"""),43886.99861111111)</f>
        <v>43886.99861</v>
      </c>
      <c r="B3457" s="1">
        <f>IFERROR(__xludf.DUMMYFUNCTION("""COMPUTED_VALUE"""),10054.7)</f>
        <v>10054.7</v>
      </c>
    </row>
    <row r="3458">
      <c r="A3458" s="3">
        <f>IFERROR(__xludf.DUMMYFUNCTION("""COMPUTED_VALUE"""),43887.99861111111)</f>
        <v>43887.99861</v>
      </c>
      <c r="B3458" s="1">
        <f>IFERROR(__xludf.DUMMYFUNCTION("""COMPUTED_VALUE"""),9971.343)</f>
        <v>9971.343</v>
      </c>
    </row>
    <row r="3459">
      <c r="A3459" s="3">
        <f>IFERROR(__xludf.DUMMYFUNCTION("""COMPUTED_VALUE"""),43888.99861111111)</f>
        <v>43888.99861</v>
      </c>
      <c r="B3459" s="1">
        <f>IFERROR(__xludf.DUMMYFUNCTION("""COMPUTED_VALUE"""),10266.52)</f>
        <v>10266.52</v>
      </c>
    </row>
    <row r="3460">
      <c r="A3460" s="3">
        <f>IFERROR(__xludf.DUMMYFUNCTION("""COMPUTED_VALUE"""),43889.99861111111)</f>
        <v>43889.99861</v>
      </c>
      <c r="B3460" s="1">
        <f>IFERROR(__xludf.DUMMYFUNCTION("""COMPUTED_VALUE"""),10273.99)</f>
        <v>10273.99</v>
      </c>
    </row>
    <row r="3461">
      <c r="A3461" s="3">
        <f>IFERROR(__xludf.DUMMYFUNCTION("""COMPUTED_VALUE"""),43890.99861111111)</f>
        <v>43890.99861</v>
      </c>
      <c r="B3461" s="1">
        <f>IFERROR(__xludf.DUMMYFUNCTION("""COMPUTED_VALUE"""),10273.99)</f>
        <v>10273.99</v>
      </c>
    </row>
    <row r="3462">
      <c r="A3462" s="3">
        <f>IFERROR(__xludf.DUMMYFUNCTION("""COMPUTED_VALUE"""),43891.99861111111)</f>
        <v>43891.99861</v>
      </c>
      <c r="B3462" s="1">
        <f>IFERROR(__xludf.DUMMYFUNCTION("""COMPUTED_VALUE"""),10279.79)</f>
        <v>10279.79</v>
      </c>
    </row>
    <row r="3463">
      <c r="A3463" s="3">
        <f>IFERROR(__xludf.DUMMYFUNCTION("""COMPUTED_VALUE"""),43892.99861111111)</f>
        <v>43892.99861</v>
      </c>
      <c r="B3463" s="1">
        <f>IFERROR(__xludf.DUMMYFUNCTION("""COMPUTED_VALUE"""),10245.89)</f>
        <v>10245.89</v>
      </c>
    </row>
    <row r="3464">
      <c r="A3464" s="3">
        <f>IFERROR(__xludf.DUMMYFUNCTION("""COMPUTED_VALUE"""),43893.99861111111)</f>
        <v>43893.99861</v>
      </c>
      <c r="B3464" s="1">
        <f>IFERROR(__xludf.DUMMYFUNCTION("""COMPUTED_VALUE"""),10297.89)</f>
        <v>10297.89</v>
      </c>
    </row>
    <row r="3465">
      <c r="A3465" s="3">
        <f>IFERROR(__xludf.DUMMYFUNCTION("""COMPUTED_VALUE"""),43894.99861111111)</f>
        <v>43894.99861</v>
      </c>
      <c r="B3465" s="1">
        <f>IFERROR(__xludf.DUMMYFUNCTION("""COMPUTED_VALUE"""),10314.39)</f>
        <v>10314.39</v>
      </c>
    </row>
    <row r="3466">
      <c r="A3466" s="3">
        <f>IFERROR(__xludf.DUMMYFUNCTION("""COMPUTED_VALUE"""),43895.99861111111)</f>
        <v>43895.99861</v>
      </c>
      <c r="B3466" s="1">
        <f>IFERROR(__xludf.DUMMYFUNCTION("""COMPUTED_VALUE"""),10466.77)</f>
        <v>10466.77</v>
      </c>
    </row>
    <row r="3467">
      <c r="A3467" s="3">
        <f>IFERROR(__xludf.DUMMYFUNCTION("""COMPUTED_VALUE"""),43896.99861111111)</f>
        <v>43896.99861</v>
      </c>
      <c r="B3467" s="1">
        <f>IFERROR(__xludf.DUMMYFUNCTION("""COMPUTED_VALUE"""),10345.63)</f>
        <v>10345.63</v>
      </c>
    </row>
    <row r="3468">
      <c r="A3468" s="3">
        <f>IFERROR(__xludf.DUMMYFUNCTION("""COMPUTED_VALUE"""),43897.99861111111)</f>
        <v>43897.99861</v>
      </c>
      <c r="B3468" s="1">
        <f>IFERROR(__xludf.DUMMYFUNCTION("""COMPUTED_VALUE"""),10322.06)</f>
        <v>10322.06</v>
      </c>
    </row>
    <row r="3469">
      <c r="A3469" s="3">
        <f>IFERROR(__xludf.DUMMYFUNCTION("""COMPUTED_VALUE"""),43898.99861111111)</f>
        <v>43898.99861</v>
      </c>
      <c r="B3469" s="1">
        <f>IFERROR(__xludf.DUMMYFUNCTION("""COMPUTED_VALUE"""),10335.48)</f>
        <v>10335.48</v>
      </c>
    </row>
    <row r="3470">
      <c r="A3470" s="3">
        <f>IFERROR(__xludf.DUMMYFUNCTION("""COMPUTED_VALUE"""),43899.99861111111)</f>
        <v>43899.99861</v>
      </c>
      <c r="B3470" s="1">
        <f>IFERROR(__xludf.DUMMYFUNCTION("""COMPUTED_VALUE"""),10611.43)</f>
        <v>10611.43</v>
      </c>
    </row>
    <row r="3471">
      <c r="A3471" s="3">
        <f>IFERROR(__xludf.DUMMYFUNCTION("""COMPUTED_VALUE"""),43900.99861111111)</f>
        <v>43900.99861</v>
      </c>
      <c r="B3471" s="1">
        <f>IFERROR(__xludf.DUMMYFUNCTION("""COMPUTED_VALUE"""),10254.36)</f>
        <v>10254.36</v>
      </c>
    </row>
    <row r="3472">
      <c r="A3472" s="3">
        <f>IFERROR(__xludf.DUMMYFUNCTION("""COMPUTED_VALUE"""),43901.99861111111)</f>
        <v>43901.99861</v>
      </c>
      <c r="B3472" s="1">
        <f>IFERROR(__xludf.DUMMYFUNCTION("""COMPUTED_VALUE"""),10408.44)</f>
        <v>10408.44</v>
      </c>
    </row>
    <row r="3473">
      <c r="A3473" s="3">
        <f>IFERROR(__xludf.DUMMYFUNCTION("""COMPUTED_VALUE"""),43902.99861111111)</f>
        <v>43902.99861</v>
      </c>
      <c r="B3473" s="1">
        <f>IFERROR(__xludf.DUMMYFUNCTION("""COMPUTED_VALUE"""),10541.86)</f>
        <v>10541.86</v>
      </c>
    </row>
    <row r="3474">
      <c r="A3474" s="3">
        <f>IFERROR(__xludf.DUMMYFUNCTION("""COMPUTED_VALUE"""),43903.99861111111)</f>
        <v>43903.99861</v>
      </c>
      <c r="B3474" s="1">
        <f>IFERROR(__xludf.DUMMYFUNCTION("""COMPUTED_VALUE"""),10435.66)</f>
        <v>10435.66</v>
      </c>
    </row>
    <row r="3475">
      <c r="A3475" s="3">
        <f>IFERROR(__xludf.DUMMYFUNCTION("""COMPUTED_VALUE"""),43904.99861111111)</f>
        <v>43904.99861</v>
      </c>
      <c r="B3475" s="1">
        <f>IFERROR(__xludf.DUMMYFUNCTION("""COMPUTED_VALUE"""),10435.66)</f>
        <v>10435.66</v>
      </c>
    </row>
    <row r="3476">
      <c r="A3476" s="3">
        <f>IFERROR(__xludf.DUMMYFUNCTION("""COMPUTED_VALUE"""),43905.99861111111)</f>
        <v>43905.99861</v>
      </c>
      <c r="B3476" s="1">
        <f>IFERROR(__xludf.DUMMYFUNCTION("""COMPUTED_VALUE"""),10440.08)</f>
        <v>10440.08</v>
      </c>
    </row>
    <row r="3477">
      <c r="A3477" s="3">
        <f>IFERROR(__xludf.DUMMYFUNCTION("""COMPUTED_VALUE"""),43906.99861111111)</f>
        <v>43906.99861</v>
      </c>
      <c r="B3477" s="1">
        <f>IFERROR(__xludf.DUMMYFUNCTION("""COMPUTED_VALUE"""),10679.48)</f>
        <v>10679.48</v>
      </c>
    </row>
    <row r="3478">
      <c r="A3478" s="3">
        <f>IFERROR(__xludf.DUMMYFUNCTION("""COMPUTED_VALUE"""),43907.99861111111)</f>
        <v>43907.99861</v>
      </c>
      <c r="B3478" s="1">
        <f>IFERROR(__xludf.DUMMYFUNCTION("""COMPUTED_VALUE"""),10635.21)</f>
        <v>10635.21</v>
      </c>
    </row>
    <row r="3479">
      <c r="A3479" s="3">
        <f>IFERROR(__xludf.DUMMYFUNCTION("""COMPUTED_VALUE"""),43908.99861111111)</f>
        <v>43908.99861</v>
      </c>
      <c r="B3479" s="1">
        <f>IFERROR(__xludf.DUMMYFUNCTION("""COMPUTED_VALUE"""),10757.73)</f>
        <v>10757.73</v>
      </c>
    </row>
    <row r="3480">
      <c r="A3480" s="3">
        <f>IFERROR(__xludf.DUMMYFUNCTION("""COMPUTED_VALUE"""),43909.99861111111)</f>
        <v>43909.99861</v>
      </c>
      <c r="B3480" s="1">
        <f>IFERROR(__xludf.DUMMYFUNCTION("""COMPUTED_VALUE"""),10948.52)</f>
        <v>10948.52</v>
      </c>
    </row>
    <row r="3481">
      <c r="A3481" s="3">
        <f>IFERROR(__xludf.DUMMYFUNCTION("""COMPUTED_VALUE"""),43910.99861111111)</f>
        <v>43910.99861</v>
      </c>
      <c r="B3481" s="1">
        <f>IFERROR(__xludf.DUMMYFUNCTION("""COMPUTED_VALUE"""),11278.97)</f>
        <v>11278.97</v>
      </c>
    </row>
    <row r="3482">
      <c r="A3482" s="3">
        <f>IFERROR(__xludf.DUMMYFUNCTION("""COMPUTED_VALUE"""),43911.99861111111)</f>
        <v>43911.99861</v>
      </c>
      <c r="B3482" s="1">
        <f>IFERROR(__xludf.DUMMYFUNCTION("""COMPUTED_VALUE"""),11278.97)</f>
        <v>11278.97</v>
      </c>
    </row>
    <row r="3483">
      <c r="A3483" s="3">
        <f>IFERROR(__xludf.DUMMYFUNCTION("""COMPUTED_VALUE"""),43912.99861111111)</f>
        <v>43912.99861</v>
      </c>
      <c r="B3483" s="1">
        <f>IFERROR(__xludf.DUMMYFUNCTION("""COMPUTED_VALUE"""),11235.3)</f>
        <v>11235.3</v>
      </c>
    </row>
    <row r="3484">
      <c r="A3484" s="3">
        <f>IFERROR(__xludf.DUMMYFUNCTION("""COMPUTED_VALUE"""),43913.99861111111)</f>
        <v>43913.99861</v>
      </c>
      <c r="B3484" s="1">
        <f>IFERROR(__xludf.DUMMYFUNCTION("""COMPUTED_VALUE"""),11652.21)</f>
        <v>11652.21</v>
      </c>
    </row>
    <row r="3485">
      <c r="A3485" s="3">
        <f>IFERROR(__xludf.DUMMYFUNCTION("""COMPUTED_VALUE"""),43914.99861111111)</f>
        <v>43914.99861</v>
      </c>
      <c r="B3485" s="1">
        <f>IFERROR(__xludf.DUMMYFUNCTION("""COMPUTED_VALUE"""),11220.36)</f>
        <v>11220.36</v>
      </c>
    </row>
    <row r="3486">
      <c r="A3486" s="3">
        <f>IFERROR(__xludf.DUMMYFUNCTION("""COMPUTED_VALUE"""),43915.99861111111)</f>
        <v>43915.99861</v>
      </c>
      <c r="B3486" s="1">
        <f>IFERROR(__xludf.DUMMYFUNCTION("""COMPUTED_VALUE"""),11186.33)</f>
        <v>11186.33</v>
      </c>
    </row>
    <row r="3487">
      <c r="A3487" s="3">
        <f>IFERROR(__xludf.DUMMYFUNCTION("""COMPUTED_VALUE"""),43916.99861111111)</f>
        <v>43916.99861</v>
      </c>
      <c r="B3487" s="1">
        <f>IFERROR(__xludf.DUMMYFUNCTION("""COMPUTED_VALUE"""),11223.77)</f>
        <v>11223.77</v>
      </c>
    </row>
    <row r="3488">
      <c r="A3488" s="3">
        <f>IFERROR(__xludf.DUMMYFUNCTION("""COMPUTED_VALUE"""),43917.99861111111)</f>
        <v>43917.99861</v>
      </c>
      <c r="B3488" s="1">
        <f>IFERROR(__xludf.DUMMYFUNCTION("""COMPUTED_VALUE"""),11400.41)</f>
        <v>11400.41</v>
      </c>
    </row>
    <row r="3489">
      <c r="A3489" s="3">
        <f>IFERROR(__xludf.DUMMYFUNCTION("""COMPUTED_VALUE"""),43918.99861111111)</f>
        <v>43918.99861</v>
      </c>
      <c r="B3489" s="1">
        <f>IFERROR(__xludf.DUMMYFUNCTION("""COMPUTED_VALUE"""),11400.41)</f>
        <v>11400.41</v>
      </c>
    </row>
    <row r="3490">
      <c r="A3490" s="3">
        <f>IFERROR(__xludf.DUMMYFUNCTION("""COMPUTED_VALUE"""),43919.99861111111)</f>
        <v>43919.99861</v>
      </c>
      <c r="B3490" s="1">
        <f>IFERROR(__xludf.DUMMYFUNCTION("""COMPUTED_VALUE"""),11292.75)</f>
        <v>11292.75</v>
      </c>
    </row>
    <row r="3491">
      <c r="A3491" s="3">
        <f>IFERROR(__xludf.DUMMYFUNCTION("""COMPUTED_VALUE"""),43920.99861111111)</f>
        <v>43920.99861</v>
      </c>
      <c r="B3491" s="1">
        <f>IFERROR(__xludf.DUMMYFUNCTION("""COMPUTED_VALUE"""),11527.26)</f>
        <v>11527.26</v>
      </c>
    </row>
    <row r="3492">
      <c r="A3492" s="3">
        <f>IFERROR(__xludf.DUMMYFUNCTION("""COMPUTED_VALUE"""),43921.99861111111)</f>
        <v>43921.99861</v>
      </c>
      <c r="B3492" s="1">
        <f>IFERROR(__xludf.DUMMYFUNCTION("""COMPUTED_VALUE"""),11539.71)</f>
        <v>11539.71</v>
      </c>
    </row>
    <row r="3493">
      <c r="A3493" s="3">
        <f>IFERROR(__xludf.DUMMYFUNCTION("""COMPUTED_VALUE"""),43922.99861111111)</f>
        <v>43922.99861</v>
      </c>
      <c r="B3493" s="1">
        <f>IFERROR(__xludf.DUMMYFUNCTION("""COMPUTED_VALUE"""),11951.55)</f>
        <v>11951.55</v>
      </c>
    </row>
    <row r="3494">
      <c r="A3494" s="3">
        <f>IFERROR(__xludf.DUMMYFUNCTION("""COMPUTED_VALUE"""),43923.99861111111)</f>
        <v>43923.99861</v>
      </c>
      <c r="B3494" s="1">
        <f>IFERROR(__xludf.DUMMYFUNCTION("""COMPUTED_VALUE"""),11777.25)</f>
        <v>11777.25</v>
      </c>
    </row>
    <row r="3495">
      <c r="A3495" s="3">
        <f>IFERROR(__xludf.DUMMYFUNCTION("""COMPUTED_VALUE"""),43924.99861111111)</f>
        <v>43924.99861</v>
      </c>
      <c r="B3495" s="1">
        <f>IFERROR(__xludf.DUMMYFUNCTION("""COMPUTED_VALUE"""),11417.75)</f>
        <v>11417.75</v>
      </c>
    </row>
    <row r="3496">
      <c r="A3496" s="3">
        <f>IFERROR(__xludf.DUMMYFUNCTION("""COMPUTED_VALUE"""),43925.99861111111)</f>
        <v>43925.99861</v>
      </c>
      <c r="B3496" s="1">
        <f>IFERROR(__xludf.DUMMYFUNCTION("""COMPUTED_VALUE"""),11417.75)</f>
        <v>11417.75</v>
      </c>
    </row>
    <row r="3497">
      <c r="A3497" s="3">
        <f>IFERROR(__xludf.DUMMYFUNCTION("""COMPUTED_VALUE"""),43926.99861111111)</f>
        <v>43926.99861</v>
      </c>
      <c r="B3497" s="1">
        <f>IFERROR(__xludf.DUMMYFUNCTION("""COMPUTED_VALUE"""),11408.63)</f>
        <v>11408.63</v>
      </c>
    </row>
    <row r="3498">
      <c r="A3498" s="3">
        <f>IFERROR(__xludf.DUMMYFUNCTION("""COMPUTED_VALUE"""),43927.99861111111)</f>
        <v>43927.99861</v>
      </c>
      <c r="B3498" s="1">
        <f>IFERROR(__xludf.DUMMYFUNCTION("""COMPUTED_VALUE"""),11628.01)</f>
        <v>11628.01</v>
      </c>
    </row>
    <row r="3499">
      <c r="A3499" s="3">
        <f>IFERROR(__xludf.DUMMYFUNCTION("""COMPUTED_VALUE"""),43928.99861111111)</f>
        <v>43928.99861</v>
      </c>
      <c r="B3499" s="1">
        <f>IFERROR(__xludf.DUMMYFUNCTION("""COMPUTED_VALUE"""),11409.72)</f>
        <v>11409.72</v>
      </c>
    </row>
    <row r="3500">
      <c r="A3500" s="3">
        <f>IFERROR(__xludf.DUMMYFUNCTION("""COMPUTED_VALUE"""),43929.99861111111)</f>
        <v>43929.99861</v>
      </c>
      <c r="B3500" s="1">
        <f>IFERROR(__xludf.DUMMYFUNCTION("""COMPUTED_VALUE"""),11401.14)</f>
        <v>11401.14</v>
      </c>
    </row>
    <row r="3501">
      <c r="A3501" s="3">
        <f>IFERROR(__xludf.DUMMYFUNCTION("""COMPUTED_VALUE"""),43930.99861111111)</f>
        <v>43930.99861</v>
      </c>
      <c r="B3501" s="1">
        <f>IFERROR(__xludf.DUMMYFUNCTION("""COMPUTED_VALUE"""),11225.39)</f>
        <v>11225.39</v>
      </c>
    </row>
    <row r="3502">
      <c r="A3502" s="3">
        <f>IFERROR(__xludf.DUMMYFUNCTION("""COMPUTED_VALUE"""),43931.99861111111)</f>
        <v>43931.99861</v>
      </c>
      <c r="B3502" s="1">
        <f>IFERROR(__xludf.DUMMYFUNCTION("""COMPUTED_VALUE"""),11226.03)</f>
        <v>11226.03</v>
      </c>
    </row>
    <row r="3503">
      <c r="A3503" s="3">
        <f>IFERROR(__xludf.DUMMYFUNCTION("""COMPUTED_VALUE"""),43932.99861111111)</f>
        <v>43932.99861</v>
      </c>
      <c r="B3503" s="1">
        <f>IFERROR(__xludf.DUMMYFUNCTION("""COMPUTED_VALUE"""),11226.03)</f>
        <v>11226.03</v>
      </c>
    </row>
    <row r="3504">
      <c r="A3504" s="3">
        <f>IFERROR(__xludf.DUMMYFUNCTION("""COMPUTED_VALUE"""),43933.99861111111)</f>
        <v>43933.99861</v>
      </c>
      <c r="B3504" s="1">
        <f>IFERROR(__xludf.DUMMYFUNCTION("""COMPUTED_VALUE"""),11174.1)</f>
        <v>11174.1</v>
      </c>
    </row>
    <row r="3505">
      <c r="A3505" s="3">
        <f>IFERROR(__xludf.DUMMYFUNCTION("""COMPUTED_VALUE"""),43934.99861111111)</f>
        <v>43934.99861</v>
      </c>
      <c r="B3505" s="1">
        <f>IFERROR(__xludf.DUMMYFUNCTION("""COMPUTED_VALUE"""),11209.6)</f>
        <v>11209.6</v>
      </c>
    </row>
    <row r="3506">
      <c r="A3506" s="3">
        <f>IFERROR(__xludf.DUMMYFUNCTION("""COMPUTED_VALUE"""),43935.99861111111)</f>
        <v>43935.99861</v>
      </c>
      <c r="B3506" s="1">
        <f>IFERROR(__xludf.DUMMYFUNCTION("""COMPUTED_VALUE"""),11147.83)</f>
        <v>11147.83</v>
      </c>
    </row>
    <row r="3507">
      <c r="A3507" s="3">
        <f>IFERROR(__xludf.DUMMYFUNCTION("""COMPUTED_VALUE"""),43936.99861111111)</f>
        <v>43936.99861</v>
      </c>
      <c r="B3507" s="1">
        <f>IFERROR(__xludf.DUMMYFUNCTION("""COMPUTED_VALUE"""),11160.81)</f>
        <v>11160.81</v>
      </c>
    </row>
    <row r="3508">
      <c r="A3508" s="3">
        <f>IFERROR(__xludf.DUMMYFUNCTION("""COMPUTED_VALUE"""),43937.99861111111)</f>
        <v>43937.99861</v>
      </c>
      <c r="B3508" s="1">
        <f>IFERROR(__xludf.DUMMYFUNCTION("""COMPUTED_VALUE"""),11128.9)</f>
        <v>11128.9</v>
      </c>
    </row>
    <row r="3509">
      <c r="A3509" s="3">
        <f>IFERROR(__xludf.DUMMYFUNCTION("""COMPUTED_VALUE"""),43938.99861111111)</f>
        <v>43938.99861</v>
      </c>
      <c r="B3509" s="1">
        <f>IFERROR(__xludf.DUMMYFUNCTION("""COMPUTED_VALUE"""),10945.89)</f>
        <v>10945.89</v>
      </c>
    </row>
    <row r="3510">
      <c r="A3510" s="3">
        <f>IFERROR(__xludf.DUMMYFUNCTION("""COMPUTED_VALUE"""),43939.99861111111)</f>
        <v>43939.99861</v>
      </c>
      <c r="B3510" s="1">
        <f>IFERROR(__xludf.DUMMYFUNCTION("""COMPUTED_VALUE"""),10945.89)</f>
        <v>10945.89</v>
      </c>
    </row>
    <row r="3511">
      <c r="A3511" s="3">
        <f>IFERROR(__xludf.DUMMYFUNCTION("""COMPUTED_VALUE"""),43940.99861111111)</f>
        <v>43940.99861</v>
      </c>
      <c r="B3511" s="1">
        <f>IFERROR(__xludf.DUMMYFUNCTION("""COMPUTED_VALUE"""),10835.52)</f>
        <v>10835.52</v>
      </c>
    </row>
    <row r="3512">
      <c r="A3512" s="3">
        <f>IFERROR(__xludf.DUMMYFUNCTION("""COMPUTED_VALUE"""),43941.99861111111)</f>
        <v>43941.99861</v>
      </c>
      <c r="B3512" s="1">
        <f>IFERROR(__xludf.DUMMYFUNCTION("""COMPUTED_VALUE"""),11061.22)</f>
        <v>11061.22</v>
      </c>
    </row>
    <row r="3513">
      <c r="A3513" s="3">
        <f>IFERROR(__xludf.DUMMYFUNCTION("""COMPUTED_VALUE"""),43942.99861111111)</f>
        <v>43942.99861</v>
      </c>
      <c r="B3513" s="1">
        <f>IFERROR(__xludf.DUMMYFUNCTION("""COMPUTED_VALUE"""),11101.25)</f>
        <v>11101.25</v>
      </c>
    </row>
    <row r="3514">
      <c r="A3514" s="3">
        <f>IFERROR(__xludf.DUMMYFUNCTION("""COMPUTED_VALUE"""),43943.99861111111)</f>
        <v>43943.99861</v>
      </c>
      <c r="B3514" s="1">
        <f>IFERROR(__xludf.DUMMYFUNCTION("""COMPUTED_VALUE"""),11046.76)</f>
        <v>11046.76</v>
      </c>
    </row>
    <row r="3515">
      <c r="A3515" s="3">
        <f>IFERROR(__xludf.DUMMYFUNCTION("""COMPUTED_VALUE"""),43944.99861111111)</f>
        <v>43944.99861</v>
      </c>
      <c r="B3515" s="1">
        <f>IFERROR(__xludf.DUMMYFUNCTION("""COMPUTED_VALUE"""),11004.28)</f>
        <v>11004.28</v>
      </c>
    </row>
    <row r="3516">
      <c r="A3516" s="3">
        <f>IFERROR(__xludf.DUMMYFUNCTION("""COMPUTED_VALUE"""),43945.99861111111)</f>
        <v>43945.99861</v>
      </c>
      <c r="B3516" s="1">
        <f>IFERROR(__xludf.DUMMYFUNCTION("""COMPUTED_VALUE"""),10951.88)</f>
        <v>10951.88</v>
      </c>
    </row>
    <row r="3517">
      <c r="A3517" s="3">
        <f>IFERROR(__xludf.DUMMYFUNCTION("""COMPUTED_VALUE"""),43946.99861111111)</f>
        <v>43946.99861</v>
      </c>
      <c r="B3517" s="1">
        <f>IFERROR(__xludf.DUMMYFUNCTION("""COMPUTED_VALUE"""),10818.4)</f>
        <v>10818.4</v>
      </c>
    </row>
    <row r="3518">
      <c r="A3518" s="3">
        <f>IFERROR(__xludf.DUMMYFUNCTION("""COMPUTED_VALUE"""),43947.99861111111)</f>
        <v>43947.99861</v>
      </c>
      <c r="B3518" s="1">
        <f>IFERROR(__xludf.DUMMYFUNCTION("""COMPUTED_VALUE"""),10819.09)</f>
        <v>10819.09</v>
      </c>
    </row>
    <row r="3519">
      <c r="A3519" s="3">
        <f>IFERROR(__xludf.DUMMYFUNCTION("""COMPUTED_VALUE"""),43948.99861111111)</f>
        <v>43948.99861</v>
      </c>
      <c r="B3519" s="1">
        <f>IFERROR(__xludf.DUMMYFUNCTION("""COMPUTED_VALUE"""),11012.93)</f>
        <v>11012.93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IFERROR(__xludf.DUMMYFUNCTION("googlefinance(""Currency:MYRIDR"",""price"",""01/01/2010"",""28/04/2020"", ""DAILY"")
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IFERROR(__xludf.DUMMYFUNCTION("""COMPUTED_VALUE"""),2695.638176)</f>
        <v>2695.638176</v>
      </c>
    </row>
    <row r="3">
      <c r="A3" s="3">
        <f>IFERROR(__xludf.DUMMYFUNCTION("""COMPUTED_VALUE"""),40182.99861111111)</f>
        <v>40182.99861</v>
      </c>
      <c r="B3" s="1">
        <f>IFERROR(__xludf.DUMMYFUNCTION("""COMPUTED_VALUE"""),2717.95905)</f>
        <v>2717.95905</v>
      </c>
    </row>
    <row r="4">
      <c r="A4" s="3">
        <f>IFERROR(__xludf.DUMMYFUNCTION("""COMPUTED_VALUE"""),40183.99861111111)</f>
        <v>40183.99861</v>
      </c>
      <c r="B4" s="1">
        <f>IFERROR(__xludf.DUMMYFUNCTION("""COMPUTED_VALUE"""),2737.682892)</f>
        <v>2737.682892</v>
      </c>
    </row>
    <row r="5">
      <c r="A5" s="3">
        <f>IFERROR(__xludf.DUMMYFUNCTION("""COMPUTED_VALUE"""),40184.99861111111)</f>
        <v>40184.99861</v>
      </c>
      <c r="B5" s="1">
        <f>IFERROR(__xludf.DUMMYFUNCTION("""COMPUTED_VALUE"""),2723.672007)</f>
        <v>2723.672007</v>
      </c>
    </row>
    <row r="6">
      <c r="A6" s="3">
        <f>IFERROR(__xludf.DUMMYFUNCTION("""COMPUTED_VALUE"""),40185.99861111111)</f>
        <v>40185.99861</v>
      </c>
      <c r="B6" s="1">
        <f>IFERROR(__xludf.DUMMYFUNCTION("""COMPUTED_VALUE"""),2749.4817)</f>
        <v>2749.4817</v>
      </c>
    </row>
    <row r="7">
      <c r="A7" s="3">
        <f>IFERROR(__xludf.DUMMYFUNCTION("""COMPUTED_VALUE"""),40186.99861111111)</f>
        <v>40186.99861</v>
      </c>
      <c r="B7" s="1">
        <f>IFERROR(__xludf.DUMMYFUNCTION("""COMPUTED_VALUE"""),2735.342757)</f>
        <v>2735.342757</v>
      </c>
    </row>
    <row r="8">
      <c r="A8" s="3">
        <f>IFERROR(__xludf.DUMMYFUNCTION("""COMPUTED_VALUE"""),40189.99861111111)</f>
        <v>40189.99861</v>
      </c>
      <c r="B8" s="1">
        <f>IFERROR(__xludf.DUMMYFUNCTION("""COMPUTED_VALUE"""),2734.915976)</f>
        <v>2734.915976</v>
      </c>
    </row>
    <row r="9">
      <c r="A9" s="3">
        <f>IFERROR(__xludf.DUMMYFUNCTION("""COMPUTED_VALUE"""),40190.99861111111)</f>
        <v>40190.99861</v>
      </c>
      <c r="B9" s="1">
        <f>IFERROR(__xludf.DUMMYFUNCTION("""COMPUTED_VALUE"""),2731.58235)</f>
        <v>2731.58235</v>
      </c>
    </row>
    <row r="10">
      <c r="A10" s="3">
        <f>IFERROR(__xludf.DUMMYFUNCTION("""COMPUTED_VALUE"""),40191.99861111111)</f>
        <v>40191.99861</v>
      </c>
      <c r="B10" s="1">
        <f>IFERROR(__xludf.DUMMYFUNCTION("""COMPUTED_VALUE"""),2735.62707)</f>
        <v>2735.62707</v>
      </c>
    </row>
    <row r="11">
      <c r="A11" s="3">
        <f>IFERROR(__xludf.DUMMYFUNCTION("""COMPUTED_VALUE"""),40192.99861111111)</f>
        <v>40192.99861</v>
      </c>
      <c r="B11" s="1">
        <f>IFERROR(__xludf.DUMMYFUNCTION("""COMPUTED_VALUE"""),2743.901702)</f>
        <v>2743.901702</v>
      </c>
    </row>
    <row r="12">
      <c r="A12" s="3">
        <f>IFERROR(__xludf.DUMMYFUNCTION("""COMPUTED_VALUE"""),40193.99861111111)</f>
        <v>40193.99861</v>
      </c>
      <c r="B12" s="1">
        <f>IFERROR(__xludf.DUMMYFUNCTION("""COMPUTED_VALUE"""),2762.940167)</f>
        <v>2762.940167</v>
      </c>
    </row>
    <row r="13">
      <c r="A13" s="3">
        <f>IFERROR(__xludf.DUMMYFUNCTION("""COMPUTED_VALUE"""),40196.99861111111)</f>
        <v>40196.99861</v>
      </c>
      <c r="B13" s="1">
        <f>IFERROR(__xludf.DUMMYFUNCTION("""COMPUTED_VALUE"""),2732.7916)</f>
        <v>2732.7916</v>
      </c>
    </row>
    <row r="14">
      <c r="A14" s="3">
        <f>IFERROR(__xludf.DUMMYFUNCTION("""COMPUTED_VALUE"""),40197.99861111111)</f>
        <v>40197.99861</v>
      </c>
      <c r="B14" s="1">
        <f>IFERROR(__xludf.DUMMYFUNCTION("""COMPUTED_VALUE"""),2764.462324)</f>
        <v>2764.462324</v>
      </c>
    </row>
    <row r="15">
      <c r="A15" s="3">
        <f>IFERROR(__xludf.DUMMYFUNCTION("""COMPUTED_VALUE"""),40198.99861111111)</f>
        <v>40198.99861</v>
      </c>
      <c r="B15" s="1">
        <f>IFERROR(__xludf.DUMMYFUNCTION("""COMPUTED_VALUE"""),2763.388635)</f>
        <v>2763.388635</v>
      </c>
    </row>
    <row r="16">
      <c r="A16" s="3">
        <f>IFERROR(__xludf.DUMMYFUNCTION("""COMPUTED_VALUE"""),40199.99861111111)</f>
        <v>40199.99861</v>
      </c>
      <c r="B16" s="1">
        <f>IFERROR(__xludf.DUMMYFUNCTION("""COMPUTED_VALUE"""),2721.74937)</f>
        <v>2721.74937</v>
      </c>
    </row>
    <row r="17">
      <c r="A17" s="3">
        <f>IFERROR(__xludf.DUMMYFUNCTION("""COMPUTED_VALUE"""),40200.99861111111)</f>
        <v>40200.99861</v>
      </c>
      <c r="B17" s="1">
        <f>IFERROR(__xludf.DUMMYFUNCTION("""COMPUTED_VALUE"""),2714.5272)</f>
        <v>2714.5272</v>
      </c>
    </row>
    <row r="18">
      <c r="A18" s="3">
        <f>IFERROR(__xludf.DUMMYFUNCTION("""COMPUTED_VALUE"""),40203.99861111111)</f>
        <v>40203.99861</v>
      </c>
      <c r="B18" s="1">
        <f>IFERROR(__xludf.DUMMYFUNCTION("""COMPUTED_VALUE"""),2691.974358)</f>
        <v>2691.974358</v>
      </c>
    </row>
    <row r="19">
      <c r="A19" s="3">
        <f>IFERROR(__xludf.DUMMYFUNCTION("""COMPUTED_VALUE"""),40204.99861111111)</f>
        <v>40204.99861</v>
      </c>
      <c r="B19" s="1">
        <f>IFERROR(__xludf.DUMMYFUNCTION("""COMPUTED_VALUE"""),2739.132999)</f>
        <v>2739.132999</v>
      </c>
    </row>
    <row r="20">
      <c r="A20" s="3">
        <f>IFERROR(__xludf.DUMMYFUNCTION("""COMPUTED_VALUE"""),40205.99861111111)</f>
        <v>40205.99861</v>
      </c>
      <c r="B20" s="1">
        <f>IFERROR(__xludf.DUMMYFUNCTION("""COMPUTED_VALUE"""),2732.095467)</f>
        <v>2732.095467</v>
      </c>
    </row>
    <row r="21">
      <c r="A21" s="3">
        <f>IFERROR(__xludf.DUMMYFUNCTION("""COMPUTED_VALUE"""),40206.99861111111)</f>
        <v>40206.99861</v>
      </c>
      <c r="B21" s="1">
        <f>IFERROR(__xludf.DUMMYFUNCTION("""COMPUTED_VALUE"""),2726.335631)</f>
        <v>2726.335631</v>
      </c>
    </row>
    <row r="22">
      <c r="A22" s="3">
        <f>IFERROR(__xludf.DUMMYFUNCTION("""COMPUTED_VALUE"""),40207.99861111111)</f>
        <v>40207.99861</v>
      </c>
      <c r="B22" s="1">
        <f>IFERROR(__xludf.DUMMYFUNCTION("""COMPUTED_VALUE"""),2707.1975)</f>
        <v>2707.1975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IFERROR(__xludf.DUMMYFUNCTION("""COMPUTED_VALUE"""),2712.680584)</f>
        <v>2712.680584</v>
      </c>
    </row>
    <row r="24">
      <c r="A24" s="3">
        <f>IFERROR(__xludf.DUMMYFUNCTION("""COMPUTED_VALUE"""),40211.99861111111)</f>
        <v>40211.99861</v>
      </c>
      <c r="B24" s="1">
        <f>IFERROR(__xludf.DUMMYFUNCTION("""COMPUTED_VALUE"""),2723.046469)</f>
        <v>2723.046469</v>
      </c>
    </row>
    <row r="25">
      <c r="A25" s="3">
        <f>IFERROR(__xludf.DUMMYFUNCTION("""COMPUTED_VALUE"""),40212.99861111111)</f>
        <v>40212.99861</v>
      </c>
      <c r="B25" s="1">
        <f>IFERROR(__xludf.DUMMYFUNCTION("""COMPUTED_VALUE"""),2750.38302)</f>
        <v>2750.38302</v>
      </c>
    </row>
    <row r="26">
      <c r="A26" s="3">
        <f>IFERROR(__xludf.DUMMYFUNCTION("""COMPUTED_VALUE"""),40213.99861111111)</f>
        <v>40213.99861</v>
      </c>
      <c r="B26" s="1">
        <f>IFERROR(__xludf.DUMMYFUNCTION("""COMPUTED_VALUE"""),2737.313909)</f>
        <v>2737.313909</v>
      </c>
    </row>
    <row r="27">
      <c r="A27" s="3">
        <f>IFERROR(__xludf.DUMMYFUNCTION("""COMPUTED_VALUE"""),40214.99861111111)</f>
        <v>40214.99861</v>
      </c>
      <c r="B27" s="1">
        <f>IFERROR(__xludf.DUMMYFUNCTION("""COMPUTED_VALUE"""),2760.803279)</f>
        <v>2760.803279</v>
      </c>
    </row>
    <row r="28">
      <c r="A28" s="3">
        <f>IFERROR(__xludf.DUMMYFUNCTION("""COMPUTED_VALUE"""),40217.99861111111)</f>
        <v>40217.99861</v>
      </c>
      <c r="B28" s="1">
        <f>IFERROR(__xludf.DUMMYFUNCTION("""COMPUTED_VALUE"""),2743.960695)</f>
        <v>2743.960695</v>
      </c>
    </row>
    <row r="29">
      <c r="A29" s="3">
        <f>IFERROR(__xludf.DUMMYFUNCTION("""COMPUTED_VALUE"""),40218.99861111111)</f>
        <v>40218.99861</v>
      </c>
      <c r="B29" s="1">
        <f>IFERROR(__xludf.DUMMYFUNCTION("""COMPUTED_VALUE"""),2715.961833)</f>
        <v>2715.961833</v>
      </c>
    </row>
    <row r="30">
      <c r="A30" s="3">
        <f>IFERROR(__xludf.DUMMYFUNCTION("""COMPUTED_VALUE"""),40219.99861111111)</f>
        <v>40219.99861</v>
      </c>
      <c r="B30" s="1">
        <f>IFERROR(__xludf.DUMMYFUNCTION("""COMPUTED_VALUE"""),2716.54476)</f>
        <v>2716.54476</v>
      </c>
    </row>
    <row r="31">
      <c r="A31" s="3">
        <f>IFERROR(__xludf.DUMMYFUNCTION("""COMPUTED_VALUE"""),40220.99861111111)</f>
        <v>40220.99861</v>
      </c>
      <c r="B31" s="1">
        <f>IFERROR(__xludf.DUMMYFUNCTION("""COMPUTED_VALUE"""),2726.348521)</f>
        <v>2726.348521</v>
      </c>
    </row>
    <row r="32">
      <c r="A32" s="3">
        <f>IFERROR(__xludf.DUMMYFUNCTION("""COMPUTED_VALUE"""),40221.99861111111)</f>
        <v>40221.99861</v>
      </c>
      <c r="B32" s="1">
        <f>IFERROR(__xludf.DUMMYFUNCTION("""COMPUTED_VALUE"""),2725.31751)</f>
        <v>2725.31751</v>
      </c>
    </row>
    <row r="33">
      <c r="A33" s="3">
        <f>IFERROR(__xludf.DUMMYFUNCTION("""COMPUTED_VALUE"""),40224.99861111111)</f>
        <v>40224.99861</v>
      </c>
      <c r="B33" s="1">
        <f>IFERROR(__xludf.DUMMYFUNCTION("""COMPUTED_VALUE"""),2725.317472)</f>
        <v>2725.317472</v>
      </c>
    </row>
    <row r="34">
      <c r="A34" s="3">
        <f>IFERROR(__xludf.DUMMYFUNCTION("""COMPUTED_VALUE"""),40225.99861111111)</f>
        <v>40225.99861</v>
      </c>
      <c r="B34" s="1">
        <f>IFERROR(__xludf.DUMMYFUNCTION("""COMPUTED_VALUE"""),2714.920735)</f>
        <v>2714.920735</v>
      </c>
    </row>
    <row r="35">
      <c r="A35" s="3">
        <f>IFERROR(__xludf.DUMMYFUNCTION("""COMPUTED_VALUE"""),40226.99861111111)</f>
        <v>40226.99861</v>
      </c>
      <c r="B35" s="1">
        <f>IFERROR(__xludf.DUMMYFUNCTION("""COMPUTED_VALUE"""),2763.024352)</f>
        <v>2763.024352</v>
      </c>
    </row>
    <row r="36">
      <c r="A36" s="3">
        <f>IFERROR(__xludf.DUMMYFUNCTION("""COMPUTED_VALUE"""),40227.99861111111)</f>
        <v>40227.99861</v>
      </c>
      <c r="B36" s="1">
        <f>IFERROR(__xludf.DUMMYFUNCTION("""COMPUTED_VALUE"""),2771.376654)</f>
        <v>2771.376654</v>
      </c>
    </row>
    <row r="37">
      <c r="A37" s="3">
        <f>IFERROR(__xludf.DUMMYFUNCTION("""COMPUTED_VALUE"""),40228.99861111111)</f>
        <v>40228.99861</v>
      </c>
      <c r="B37" s="1">
        <f>IFERROR(__xludf.DUMMYFUNCTION("""COMPUTED_VALUE"""),2737.389198)</f>
        <v>2737.389198</v>
      </c>
    </row>
    <row r="38">
      <c r="A38" s="3">
        <f>IFERROR(__xludf.DUMMYFUNCTION("""COMPUTED_VALUE"""),40231.99861111111)</f>
        <v>40231.99861</v>
      </c>
      <c r="B38" s="1">
        <f>IFERROR(__xludf.DUMMYFUNCTION("""COMPUTED_VALUE"""),2728.726983)</f>
        <v>2728.726983</v>
      </c>
    </row>
    <row r="39">
      <c r="A39" s="3">
        <f>IFERROR(__xludf.DUMMYFUNCTION("""COMPUTED_VALUE"""),40232.99861111111)</f>
        <v>40232.99861</v>
      </c>
      <c r="B39" s="1">
        <f>IFERROR(__xludf.DUMMYFUNCTION("""COMPUTED_VALUE"""),2739.389432)</f>
        <v>2739.389432</v>
      </c>
    </row>
    <row r="40">
      <c r="A40" s="3">
        <f>IFERROR(__xludf.DUMMYFUNCTION("""COMPUTED_VALUE"""),40233.99861111111)</f>
        <v>40233.99861</v>
      </c>
      <c r="B40" s="1">
        <f>IFERROR(__xludf.DUMMYFUNCTION("""COMPUTED_VALUE"""),2741.533222)</f>
        <v>2741.533222</v>
      </c>
    </row>
    <row r="41">
      <c r="A41" s="3">
        <f>IFERROR(__xludf.DUMMYFUNCTION("""COMPUTED_VALUE"""),40234.99861111111)</f>
        <v>40234.99861</v>
      </c>
      <c r="B41" s="1">
        <f>IFERROR(__xludf.DUMMYFUNCTION("""COMPUTED_VALUE"""),2750.243272)</f>
        <v>2750.243272</v>
      </c>
    </row>
    <row r="42">
      <c r="A42" s="3">
        <f>IFERROR(__xludf.DUMMYFUNCTION("""COMPUTED_VALUE"""),40235.99861111111)</f>
        <v>40235.99861</v>
      </c>
      <c r="B42" s="1">
        <f>IFERROR(__xludf.DUMMYFUNCTION("""COMPUTED_VALUE"""),2736.7134)</f>
        <v>2736.7134</v>
      </c>
    </row>
    <row r="43">
      <c r="A43" s="3">
        <f>IFERROR(__xludf.DUMMYFUNCTION("""COMPUTED_VALUE"""),40238.99861111111)</f>
        <v>40238.99861</v>
      </c>
      <c r="B43" s="1">
        <f>IFERROR(__xludf.DUMMYFUNCTION("""COMPUTED_VALUE"""),2777.238792)</f>
        <v>2777.238792</v>
      </c>
    </row>
    <row r="44">
      <c r="A44" s="3">
        <f>IFERROR(__xludf.DUMMYFUNCTION("""COMPUTED_VALUE"""),40239.99861111111)</f>
        <v>40239.99861</v>
      </c>
      <c r="B44" s="1">
        <f>IFERROR(__xludf.DUMMYFUNCTION("""COMPUTED_VALUE"""),2682.30402)</f>
        <v>2682.30402</v>
      </c>
    </row>
    <row r="45">
      <c r="A45" s="3">
        <f>IFERROR(__xludf.DUMMYFUNCTION("""COMPUTED_VALUE"""),40240.99861111111)</f>
        <v>40240.99861</v>
      </c>
      <c r="B45" s="1">
        <f>IFERROR(__xludf.DUMMYFUNCTION("""COMPUTED_VALUE"""),2708.284293)</f>
        <v>2708.284293</v>
      </c>
    </row>
    <row r="46">
      <c r="A46" s="3">
        <f>IFERROR(__xludf.DUMMYFUNCTION("""COMPUTED_VALUE"""),40241.99861111111)</f>
        <v>40241.99861</v>
      </c>
      <c r="B46" s="1">
        <f>IFERROR(__xludf.DUMMYFUNCTION("""COMPUTED_VALUE"""),2767.791341)</f>
        <v>2767.791341</v>
      </c>
    </row>
    <row r="47">
      <c r="A47" s="3">
        <f>IFERROR(__xludf.DUMMYFUNCTION("""COMPUTED_VALUE"""),40242.99861111111)</f>
        <v>40242.99861</v>
      </c>
      <c r="B47" s="1">
        <f>IFERROR(__xludf.DUMMYFUNCTION("""COMPUTED_VALUE"""),2738.547648)</f>
        <v>2738.547648</v>
      </c>
    </row>
    <row r="48">
      <c r="A48" s="3">
        <f>IFERROR(__xludf.DUMMYFUNCTION("""COMPUTED_VALUE"""),40245.99861111111)</f>
        <v>40245.99861</v>
      </c>
      <c r="B48" s="1">
        <f>IFERROR(__xludf.DUMMYFUNCTION("""COMPUTED_VALUE"""),2751.0624)</f>
        <v>2751.0624</v>
      </c>
    </row>
    <row r="49">
      <c r="A49" s="3">
        <f>IFERROR(__xludf.DUMMYFUNCTION("""COMPUTED_VALUE"""),40246.99861111111)</f>
        <v>40246.99861</v>
      </c>
      <c r="B49" s="1">
        <f>IFERROR(__xludf.DUMMYFUNCTION("""COMPUTED_VALUE"""),2746.609602)</f>
        <v>2746.609602</v>
      </c>
    </row>
    <row r="50">
      <c r="A50" s="3">
        <f>IFERROR(__xludf.DUMMYFUNCTION("""COMPUTED_VALUE"""),40247.99861111111)</f>
        <v>40247.99861</v>
      </c>
      <c r="B50" s="1">
        <f>IFERROR(__xludf.DUMMYFUNCTION("""COMPUTED_VALUE"""),2755.55495)</f>
        <v>2755.55495</v>
      </c>
    </row>
    <row r="51">
      <c r="A51" s="3">
        <f>IFERROR(__xludf.DUMMYFUNCTION("""COMPUTED_VALUE"""),40248.99861111111)</f>
        <v>40248.99861</v>
      </c>
      <c r="B51" s="1">
        <f>IFERROR(__xludf.DUMMYFUNCTION("""COMPUTED_VALUE"""),2758.043357)</f>
        <v>2758.043357</v>
      </c>
    </row>
    <row r="52">
      <c r="A52" s="3">
        <f>IFERROR(__xludf.DUMMYFUNCTION("""COMPUTED_VALUE"""),40249.99861111111)</f>
        <v>40249.99861</v>
      </c>
      <c r="B52" s="1">
        <f>IFERROR(__xludf.DUMMYFUNCTION("""COMPUTED_VALUE"""),2765.174386)</f>
        <v>2765.174386</v>
      </c>
    </row>
    <row r="53">
      <c r="A53" s="3">
        <f>IFERROR(__xludf.DUMMYFUNCTION("""COMPUTED_VALUE"""),40252.99861111111)</f>
        <v>40252.99861</v>
      </c>
      <c r="B53" s="1">
        <f>IFERROR(__xludf.DUMMYFUNCTION("""COMPUTED_VALUE"""),2773.73767)</f>
        <v>2773.73767</v>
      </c>
    </row>
    <row r="54">
      <c r="A54" s="3">
        <f>IFERROR(__xludf.DUMMYFUNCTION("""COMPUTED_VALUE"""),40253.99861111111)</f>
        <v>40253.99861</v>
      </c>
      <c r="B54" s="1">
        <f>IFERROR(__xludf.DUMMYFUNCTION("""COMPUTED_VALUE"""),2762.92842)</f>
        <v>2762.92842</v>
      </c>
    </row>
    <row r="55">
      <c r="A55" s="3">
        <f>IFERROR(__xludf.DUMMYFUNCTION("""COMPUTED_VALUE"""),40254.99861111111)</f>
        <v>40254.99861</v>
      </c>
      <c r="B55" s="1">
        <f>IFERROR(__xludf.DUMMYFUNCTION("""COMPUTED_VALUE"""),2751.233825)</f>
        <v>2751.233825</v>
      </c>
    </row>
    <row r="56">
      <c r="A56" s="3">
        <f>IFERROR(__xludf.DUMMYFUNCTION("""COMPUTED_VALUE"""),40255.99861111111)</f>
        <v>40255.99861</v>
      </c>
      <c r="B56" s="1">
        <f>IFERROR(__xludf.DUMMYFUNCTION("""COMPUTED_VALUE"""),2756.519472)</f>
        <v>2756.519472</v>
      </c>
    </row>
    <row r="57">
      <c r="A57" s="3">
        <f>IFERROR(__xludf.DUMMYFUNCTION("""COMPUTED_VALUE"""),40256.99861111111)</f>
        <v>40256.99861</v>
      </c>
      <c r="B57" s="1">
        <f>IFERROR(__xludf.DUMMYFUNCTION("""COMPUTED_VALUE"""),2751.79632)</f>
        <v>2751.79632</v>
      </c>
    </row>
    <row r="58">
      <c r="A58" s="3">
        <f>IFERROR(__xludf.DUMMYFUNCTION("""COMPUTED_VALUE"""),40259.99861111111)</f>
        <v>40259.99861</v>
      </c>
      <c r="B58" s="1">
        <f>IFERROR(__xludf.DUMMYFUNCTION("""COMPUTED_VALUE"""),2741.638858)</f>
        <v>2741.638858</v>
      </c>
    </row>
    <row r="59">
      <c r="A59" s="3">
        <f>IFERROR(__xludf.DUMMYFUNCTION("""COMPUTED_VALUE"""),40260.99861111111)</f>
        <v>40260.99861</v>
      </c>
      <c r="B59" s="1">
        <f>IFERROR(__xludf.DUMMYFUNCTION("""COMPUTED_VALUE"""),2743.38)</f>
        <v>2743.38</v>
      </c>
    </row>
    <row r="60">
      <c r="A60" s="3">
        <f>IFERROR(__xludf.DUMMYFUNCTION("""COMPUTED_VALUE"""),40261.99861111111)</f>
        <v>40261.99861</v>
      </c>
      <c r="B60" s="1">
        <f>IFERROR(__xludf.DUMMYFUNCTION("""COMPUTED_VALUE"""),2740.152261)</f>
        <v>2740.152261</v>
      </c>
    </row>
    <row r="61">
      <c r="A61" s="3">
        <f>IFERROR(__xludf.DUMMYFUNCTION("""COMPUTED_VALUE"""),40262.99861111111)</f>
        <v>40262.99861</v>
      </c>
      <c r="B61" s="1">
        <f>IFERROR(__xludf.DUMMYFUNCTION("""COMPUTED_VALUE"""),2742.154476)</f>
        <v>2742.154476</v>
      </c>
    </row>
    <row r="62">
      <c r="A62" s="3">
        <f>IFERROR(__xludf.DUMMYFUNCTION("""COMPUTED_VALUE"""),40263.99861111111)</f>
        <v>40263.99861</v>
      </c>
      <c r="B62" s="1">
        <f>IFERROR(__xludf.DUMMYFUNCTION("""COMPUTED_VALUE"""),2757.107895)</f>
        <v>2757.107895</v>
      </c>
    </row>
    <row r="63">
      <c r="A63" s="3">
        <f>IFERROR(__xludf.DUMMYFUNCTION("""COMPUTED_VALUE"""),40266.99861111111)</f>
        <v>40266.99861</v>
      </c>
      <c r="B63" s="1">
        <f>IFERROR(__xludf.DUMMYFUNCTION("""COMPUTED_VALUE"""),2776.97311)</f>
        <v>2776.97311</v>
      </c>
    </row>
    <row r="64">
      <c r="A64" s="3">
        <f>IFERROR(__xludf.DUMMYFUNCTION("""COMPUTED_VALUE"""),40267.99861111111)</f>
        <v>40267.99861</v>
      </c>
      <c r="B64" s="1">
        <f>IFERROR(__xludf.DUMMYFUNCTION("""COMPUTED_VALUE"""),2776.16486)</f>
        <v>2776.16486</v>
      </c>
    </row>
    <row r="65">
      <c r="A65" s="3">
        <f>IFERROR(__xludf.DUMMYFUNCTION("""COMPUTED_VALUE"""),40268.99861111111)</f>
        <v>40268.99861</v>
      </c>
      <c r="B65" s="1">
        <f>IFERROR(__xludf.DUMMYFUNCTION("""COMPUTED_VALUE"""),2787.3386)</f>
        <v>2787.3386</v>
      </c>
    </row>
    <row r="66">
      <c r="A66" s="3">
        <f>IFERROR(__xludf.DUMMYFUNCTION("""COMPUTED_VALUE"""),40269.99861111111)</f>
        <v>40269.99861</v>
      </c>
      <c r="B66" s="1">
        <f>IFERROR(__xludf.DUMMYFUNCTION("""COMPUTED_VALUE"""),2774.715246)</f>
        <v>2774.715246</v>
      </c>
    </row>
    <row r="67">
      <c r="A67" s="3">
        <f>IFERROR(__xludf.DUMMYFUNCTION("""COMPUTED_VALUE"""),40270.99861111111)</f>
        <v>40270.99861</v>
      </c>
      <c r="B67" s="1">
        <f>IFERROR(__xludf.DUMMYFUNCTION("""COMPUTED_VALUE"""),2742.385197)</f>
        <v>2742.385197</v>
      </c>
    </row>
    <row r="68">
      <c r="A68" s="3">
        <f>IFERROR(__xludf.DUMMYFUNCTION("""COMPUTED_VALUE"""),40273.99861111111)</f>
        <v>40273.99861</v>
      </c>
      <c r="B68" s="1">
        <f>IFERROR(__xludf.DUMMYFUNCTION("""COMPUTED_VALUE"""),2758.750272)</f>
        <v>2758.750272</v>
      </c>
    </row>
    <row r="69">
      <c r="A69" s="3">
        <f>IFERROR(__xludf.DUMMYFUNCTION("""COMPUTED_VALUE"""),40274.99861111111)</f>
        <v>40274.99861</v>
      </c>
      <c r="B69" s="1">
        <f>IFERROR(__xludf.DUMMYFUNCTION("""COMPUTED_VALUE"""),2814.847831)</f>
        <v>2814.847831</v>
      </c>
    </row>
    <row r="70">
      <c r="A70" s="3">
        <f>IFERROR(__xludf.DUMMYFUNCTION("""COMPUTED_VALUE"""),40275.99861111111)</f>
        <v>40275.99861</v>
      </c>
      <c r="B70" s="1">
        <f>IFERROR(__xludf.DUMMYFUNCTION("""COMPUTED_VALUE"""),2816.13059)</f>
        <v>2816.13059</v>
      </c>
    </row>
    <row r="71">
      <c r="A71" s="3">
        <f>IFERROR(__xludf.DUMMYFUNCTION("""COMPUTED_VALUE"""),40276.99861111111)</f>
        <v>40276.99861</v>
      </c>
      <c r="B71" s="1">
        <f>IFERROR(__xludf.DUMMYFUNCTION("""COMPUTED_VALUE"""),2829.534903)</f>
        <v>2829.534903</v>
      </c>
    </row>
    <row r="72">
      <c r="A72" s="3">
        <f>IFERROR(__xludf.DUMMYFUNCTION("""COMPUTED_VALUE"""),40277.99861111111)</f>
        <v>40277.99861</v>
      </c>
      <c r="B72" s="1">
        <f>IFERROR(__xludf.DUMMYFUNCTION("""COMPUTED_VALUE"""),2826.46847)</f>
        <v>2826.46847</v>
      </c>
    </row>
    <row r="73">
      <c r="A73" s="3">
        <f>IFERROR(__xludf.DUMMYFUNCTION("""COMPUTED_VALUE"""),40280.99861111111)</f>
        <v>40280.99861</v>
      </c>
      <c r="B73" s="1">
        <f>IFERROR(__xludf.DUMMYFUNCTION("""COMPUTED_VALUE"""),2804.85397)</f>
        <v>2804.85397</v>
      </c>
    </row>
    <row r="74">
      <c r="A74" s="3">
        <f>IFERROR(__xludf.DUMMYFUNCTION("""COMPUTED_VALUE"""),40281.99861111111)</f>
        <v>40281.99861</v>
      </c>
      <c r="B74" s="1">
        <f>IFERROR(__xludf.DUMMYFUNCTION("""COMPUTED_VALUE"""),2799.161555)</f>
        <v>2799.161555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IFERROR(__xludf.DUMMYFUNCTION("""COMPUTED_VALUE"""),2810.475432)</f>
        <v>2810.475432</v>
      </c>
    </row>
    <row r="76">
      <c r="A76" s="3">
        <f>IFERROR(__xludf.DUMMYFUNCTION("""COMPUTED_VALUE"""),40283.99861111111)</f>
        <v>40283.99861</v>
      </c>
      <c r="B76" s="1">
        <f>IFERROR(__xludf.DUMMYFUNCTION("""COMPUTED_VALUE"""),2819.594575)</f>
        <v>2819.594575</v>
      </c>
    </row>
    <row r="77">
      <c r="A77" s="3">
        <f>IFERROR(__xludf.DUMMYFUNCTION("""COMPUTED_VALUE"""),40284.99861111111)</f>
        <v>40284.99861</v>
      </c>
      <c r="B77" s="1">
        <f>IFERROR(__xludf.DUMMYFUNCTION("""COMPUTED_VALUE"""),2822.962045)</f>
        <v>2822.962045</v>
      </c>
    </row>
    <row r="78">
      <c r="A78" s="3">
        <f>IFERROR(__xludf.DUMMYFUNCTION("""COMPUTED_VALUE"""),40287.99861111111)</f>
        <v>40287.99861</v>
      </c>
      <c r="B78" s="1">
        <f>IFERROR(__xludf.DUMMYFUNCTION("""COMPUTED_VALUE"""),2806.264336)</f>
        <v>2806.264336</v>
      </c>
    </row>
    <row r="79">
      <c r="A79" s="3">
        <f>IFERROR(__xludf.DUMMYFUNCTION("""COMPUTED_VALUE"""),40288.99861111111)</f>
        <v>40288.99861</v>
      </c>
      <c r="B79" s="1">
        <f>IFERROR(__xludf.DUMMYFUNCTION("""COMPUTED_VALUE"""),2807.782208)</f>
        <v>2807.782208</v>
      </c>
    </row>
    <row r="80">
      <c r="A80" s="3">
        <f>IFERROR(__xludf.DUMMYFUNCTION("""COMPUTED_VALUE"""),40289.99861111111)</f>
        <v>40289.99861</v>
      </c>
      <c r="B80" s="1">
        <f>IFERROR(__xludf.DUMMYFUNCTION("""COMPUTED_VALUE"""),2819.510551)</f>
        <v>2819.510551</v>
      </c>
    </row>
    <row r="81">
      <c r="A81" s="3">
        <f>IFERROR(__xludf.DUMMYFUNCTION("""COMPUTED_VALUE"""),40290.99861111111)</f>
        <v>40290.99861</v>
      </c>
      <c r="B81" s="1">
        <f>IFERROR(__xludf.DUMMYFUNCTION("""COMPUTED_VALUE"""),2837.264052)</f>
        <v>2837.264052</v>
      </c>
    </row>
    <row r="82">
      <c r="A82" s="3">
        <f>IFERROR(__xludf.DUMMYFUNCTION("""COMPUTED_VALUE"""),40291.99861111111)</f>
        <v>40291.99861</v>
      </c>
      <c r="B82" s="1">
        <f>IFERROR(__xludf.DUMMYFUNCTION("""COMPUTED_VALUE"""),2823.29424)</f>
        <v>2823.29424</v>
      </c>
    </row>
    <row r="83">
      <c r="A83" s="3">
        <f>IFERROR(__xludf.DUMMYFUNCTION("""COMPUTED_VALUE"""),40294.99861111111)</f>
        <v>40294.99861</v>
      </c>
      <c r="B83" s="1">
        <f>IFERROR(__xludf.DUMMYFUNCTION("""COMPUTED_VALUE"""),2827.837926)</f>
        <v>2827.837926</v>
      </c>
    </row>
    <row r="84">
      <c r="A84" s="3">
        <f>IFERROR(__xludf.DUMMYFUNCTION("""COMPUTED_VALUE"""),40295.99861111111)</f>
        <v>40295.99861</v>
      </c>
      <c r="B84" s="1">
        <f>IFERROR(__xludf.DUMMYFUNCTION("""COMPUTED_VALUE"""),2837.9832)</f>
        <v>2837.9832</v>
      </c>
    </row>
    <row r="85">
      <c r="A85" s="3">
        <f>IFERROR(__xludf.DUMMYFUNCTION("""COMPUTED_VALUE"""),40296.99861111111)</f>
        <v>40296.99861</v>
      </c>
      <c r="B85" s="1">
        <f>IFERROR(__xludf.DUMMYFUNCTION("""COMPUTED_VALUE"""),2819.95112)</f>
        <v>2819.95112</v>
      </c>
    </row>
    <row r="86">
      <c r="A86" s="3">
        <f>IFERROR(__xludf.DUMMYFUNCTION("""COMPUTED_VALUE"""),40297.99861111111)</f>
        <v>40297.99861</v>
      </c>
      <c r="B86" s="1">
        <f>IFERROR(__xludf.DUMMYFUNCTION("""COMPUTED_VALUE"""),2821.92365)</f>
        <v>2821.92365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IFERROR(__xludf.DUMMYFUNCTION("""COMPUTED_VALUE"""),2830.587737)</f>
        <v>2830.587737</v>
      </c>
    </row>
    <row r="88">
      <c r="A88" s="3">
        <f>IFERROR(__xludf.DUMMYFUNCTION("""COMPUTED_VALUE"""),40301.99861111111)</f>
        <v>40301.99861</v>
      </c>
      <c r="B88" s="1">
        <f>IFERROR(__xludf.DUMMYFUNCTION("""COMPUTED_VALUE"""),2813.320246)</f>
        <v>2813.320246</v>
      </c>
    </row>
    <row r="89">
      <c r="A89" s="3">
        <f>IFERROR(__xludf.DUMMYFUNCTION("""COMPUTED_VALUE"""),40302.99861111111)</f>
        <v>40302.99861</v>
      </c>
      <c r="B89" s="1">
        <f>IFERROR(__xludf.DUMMYFUNCTION("""COMPUTED_VALUE"""),2803.262876)</f>
        <v>2803.262876</v>
      </c>
    </row>
    <row r="90">
      <c r="A90" s="3">
        <f>IFERROR(__xludf.DUMMYFUNCTION("""COMPUTED_VALUE"""),40303.99861111111)</f>
        <v>40303.99861</v>
      </c>
      <c r="B90" s="1">
        <f>IFERROR(__xludf.DUMMYFUNCTION("""COMPUTED_VALUE"""),2803.87074)</f>
        <v>2803.87074</v>
      </c>
    </row>
    <row r="91">
      <c r="A91" s="3">
        <f>IFERROR(__xludf.DUMMYFUNCTION("""COMPUTED_VALUE"""),40304.99861111111)</f>
        <v>40304.99861</v>
      </c>
      <c r="B91" s="1">
        <f>IFERROR(__xludf.DUMMYFUNCTION("""COMPUTED_VALUE"""),2825.883182)</f>
        <v>2825.883182</v>
      </c>
    </row>
    <row r="92">
      <c r="A92" s="3">
        <f>IFERROR(__xludf.DUMMYFUNCTION("""COMPUTED_VALUE"""),40305.99861111111)</f>
        <v>40305.99861</v>
      </c>
      <c r="B92" s="1">
        <f>IFERROR(__xludf.DUMMYFUNCTION("""COMPUTED_VALUE"""),2825.560935)</f>
        <v>2825.560935</v>
      </c>
    </row>
    <row r="93">
      <c r="A93" s="3">
        <f>IFERROR(__xludf.DUMMYFUNCTION("""COMPUTED_VALUE"""),40308.99861111111)</f>
        <v>40308.99861</v>
      </c>
      <c r="B93" s="1">
        <f>IFERROR(__xludf.DUMMYFUNCTION("""COMPUTED_VALUE"""),2854.188416)</f>
        <v>2854.188416</v>
      </c>
    </row>
    <row r="94">
      <c r="A94" s="3">
        <f>IFERROR(__xludf.DUMMYFUNCTION("""COMPUTED_VALUE"""),40309.99861111111)</f>
        <v>40309.99861</v>
      </c>
      <c r="B94" s="1">
        <f>IFERROR(__xludf.DUMMYFUNCTION("""COMPUTED_VALUE"""),2839.517103)</f>
        <v>2839.517103</v>
      </c>
    </row>
    <row r="95">
      <c r="A95" s="3">
        <f>IFERROR(__xludf.DUMMYFUNCTION("""COMPUTED_VALUE"""),40310.99861111111)</f>
        <v>40310.99861</v>
      </c>
      <c r="B95" s="1">
        <f>IFERROR(__xludf.DUMMYFUNCTION("""COMPUTED_VALUE"""),2857.69807)</f>
        <v>2857.69807</v>
      </c>
    </row>
    <row r="96">
      <c r="A96" s="3">
        <f>IFERROR(__xludf.DUMMYFUNCTION("""COMPUTED_VALUE"""),40311.99861111111)</f>
        <v>40311.99861</v>
      </c>
      <c r="B96" s="1">
        <f>IFERROR(__xludf.DUMMYFUNCTION("""COMPUTED_VALUE"""),2788.46331)</f>
        <v>2788.46331</v>
      </c>
    </row>
    <row r="97">
      <c r="A97" s="3">
        <f>IFERROR(__xludf.DUMMYFUNCTION("""COMPUTED_VALUE"""),40312.99861111111)</f>
        <v>40312.99861</v>
      </c>
      <c r="B97" s="1">
        <f>IFERROR(__xludf.DUMMYFUNCTION("""COMPUTED_VALUE"""),2841.056652)</f>
        <v>2841.056652</v>
      </c>
    </row>
    <row r="98">
      <c r="A98" s="3">
        <f>IFERROR(__xludf.DUMMYFUNCTION("""COMPUTED_VALUE"""),40315.99861111111)</f>
        <v>40315.99861</v>
      </c>
      <c r="B98" s="1">
        <f>IFERROR(__xludf.DUMMYFUNCTION("""COMPUTED_VALUE"""),2774.844432)</f>
        <v>2774.844432</v>
      </c>
    </row>
    <row r="99">
      <c r="A99" s="3">
        <f>IFERROR(__xludf.DUMMYFUNCTION("""COMPUTED_VALUE"""),40316.99861111111)</f>
        <v>40316.99861</v>
      </c>
      <c r="B99" s="1">
        <f>IFERROR(__xludf.DUMMYFUNCTION("""COMPUTED_VALUE"""),2844.83574)</f>
        <v>2844.83574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IFERROR(__xludf.DUMMYFUNCTION("""COMPUTED_VALUE"""),2797.570218)</f>
        <v>2797.570218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IFERROR(__xludf.DUMMYFUNCTION("""COMPUTED_VALUE"""),2806.653681)</f>
        <v>2806.653681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IFERROR(__xludf.DUMMYFUNCTION("""COMPUTED_VALUE"""),2789.29272)</f>
        <v>2789.29272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IFERROR(__xludf.DUMMYFUNCTION("""COMPUTED_VALUE"""),2735.801752)</f>
        <v>2735.801752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IFERROR(__xludf.DUMMYFUNCTION("""COMPUTED_VALUE"""),2770.130082)</f>
        <v>2770.130082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IFERROR(__xludf.DUMMYFUNCTION("""COMPUTED_VALUE"""),2812.86)</f>
        <v>2812.86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IFERROR(__xludf.DUMMYFUNCTION("""COMPUTED_VALUE"""),2789.65695)</f>
        <v>2789.65695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IFERROR(__xludf.DUMMYFUNCTION("""COMPUTED_VALUE"""),2798.44038)</f>
        <v>2798.44038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IFERROR(__xludf.DUMMYFUNCTION("""COMPUTED_VALUE"""),2846.472668)</f>
        <v>2846.472668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IFERROR(__xludf.DUMMYFUNCTION("""COMPUTED_VALUE"""),2782.035492)</f>
        <v>2782.035492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IFERROR(__xludf.DUMMYFUNCTION("""COMPUTED_VALUE"""),2811.354399)</f>
        <v>2811.354399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IFERROR(__xludf.DUMMYFUNCTION("""COMPUTED_VALUE"""),2820.763)</f>
        <v>2820.763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IFERROR(__xludf.DUMMYFUNCTION("""COMPUTED_VALUE"""),2823.890167)</f>
        <v>2823.890167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IFERROR(__xludf.DUMMYFUNCTION("""COMPUTED_VALUE"""),2785.18009)</f>
        <v>2785.18009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IFERROR(__xludf.DUMMYFUNCTION("""COMPUTED_VALUE"""),2763.976278)</f>
        <v>2763.976278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IFERROR(__xludf.DUMMYFUNCTION("""COMPUTED_VALUE"""),2781.390016)</f>
        <v>2781.390016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IFERROR(__xludf.DUMMYFUNCTION("""COMPUTED_VALUE"""),2781.279302)</f>
        <v>2781.279302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IFERROR(__xludf.DUMMYFUNCTION("""COMPUTED_VALUE"""),2805.88266)</f>
        <v>2805.88266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IFERROR(__xludf.DUMMYFUNCTION("""COMPUTED_VALUE"""),2817.343512)</f>
        <v>2817.343512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IFERROR(__xludf.DUMMYFUNCTION("""COMPUTED_VALUE"""),2792.02704)</f>
        <v>2792.02704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IFERROR(__xludf.DUMMYFUNCTION("""COMPUTED_VALUE"""),2807.360221)</f>
        <v>2807.360221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IFERROR(__xludf.DUMMYFUNCTION("""COMPUTED_VALUE"""),2798.550261)</f>
        <v>2798.550261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IFERROR(__xludf.DUMMYFUNCTION("""COMPUTED_VALUE"""),2794.74772)</f>
        <v>2794.74772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IFERROR(__xludf.DUMMYFUNCTION("""COMPUTED_VALUE"""),2803.475703)</f>
        <v>2803.475703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IFERROR(__xludf.DUMMYFUNCTION("""COMPUTED_VALUE"""),2801.74068)</f>
        <v>2801.74068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IFERROR(__xludf.DUMMYFUNCTION("""COMPUTED_VALUE"""),2789.122495)</f>
        <v>2789.122495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IFERROR(__xludf.DUMMYFUNCTION("""COMPUTED_VALUE"""),2790.17959)</f>
        <v>2790.17959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IFERROR(__xludf.DUMMYFUNCTION("""COMPUTED_VALUE"""),2796.556288)</f>
        <v>2796.556288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IFERROR(__xludf.DUMMYFUNCTION("""COMPUTED_VALUE"""),2797.540671)</f>
        <v>2797.540671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IFERROR(__xludf.DUMMYFUNCTION("""COMPUTED_VALUE"""),2786.215845)</f>
        <v>2786.215845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IFERROR(__xludf.DUMMYFUNCTION("""COMPUTED_VALUE"""),2776.934496)</f>
        <v>2776.934496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IFERROR(__xludf.DUMMYFUNCTION("""COMPUTED_VALUE"""),2795.64558)</f>
        <v>2795.64558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IFERROR(__xludf.DUMMYFUNCTION("""COMPUTED_VALUE"""),2806.083801)</f>
        <v>2806.083801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IFERROR(__xludf.DUMMYFUNCTION("""COMPUTED_VALUE"""),2830.462905)</f>
        <v>2830.462905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IFERROR(__xludf.DUMMYFUNCTION("""COMPUTED_VALUE"""),2806.79078)</f>
        <v>2806.79078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IFERROR(__xludf.DUMMYFUNCTION("""COMPUTED_VALUE"""),2818.931139)</f>
        <v>2818.931139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IFERROR(__xludf.DUMMYFUNCTION("""COMPUTED_VALUE"""),2828.159332)</f>
        <v>2828.159332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IFERROR(__xludf.DUMMYFUNCTION("""COMPUTED_VALUE"""),2824.601706)</f>
        <v>2824.601706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IFERROR(__xludf.DUMMYFUNCTION("""COMPUTED_VALUE"""),2832.218899)</f>
        <v>2832.218899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IFERROR(__xludf.DUMMYFUNCTION("""COMPUTED_VALUE"""),2799.937673)</f>
        <v>2799.937673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IFERROR(__xludf.DUMMYFUNCTION("""COMPUTED_VALUE"""),2771.116488)</f>
        <v>2771.116488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IFERROR(__xludf.DUMMYFUNCTION("""COMPUTED_VALUE"""),2826.356476)</f>
        <v>2826.356476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IFERROR(__xludf.DUMMYFUNCTION("""COMPUTED_VALUE"""),2817.16256)</f>
        <v>2817.16256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IFERROR(__xludf.DUMMYFUNCTION("""COMPUTED_VALUE"""),2802.47847)</f>
        <v>2802.47847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IFERROR(__xludf.DUMMYFUNCTION("""COMPUTED_VALUE"""),2807.199997)</f>
        <v>2807.199997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IFERROR(__xludf.DUMMYFUNCTION("""COMPUTED_VALUE"""),2812.813452)</f>
        <v>2812.813452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IFERROR(__xludf.DUMMYFUNCTION("""COMPUTED_VALUE"""),2802.81789)</f>
        <v>2802.81789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IFERROR(__xludf.DUMMYFUNCTION("""COMPUTED_VALUE"""),2815.074675)</f>
        <v>2815.074675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IFERROR(__xludf.DUMMYFUNCTION("""COMPUTED_VALUE"""),2789.358051)</f>
        <v>2789.358051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IFERROR(__xludf.DUMMYFUNCTION("""COMPUTED_VALUE"""),2800.852067)</f>
        <v>2800.852067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IFERROR(__xludf.DUMMYFUNCTION("""COMPUTED_VALUE"""),2821.66625)</f>
        <v>2821.66625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IFERROR(__xludf.DUMMYFUNCTION("""COMPUTED_VALUE"""),2811.027216)</f>
        <v>2811.027216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IFERROR(__xludf.DUMMYFUNCTION("""COMPUTED_VALUE"""),2796.388532)</f>
        <v>2796.388532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IFERROR(__xludf.DUMMYFUNCTION("""COMPUTED_VALUE"""),2790.760482)</f>
        <v>2790.760482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IFERROR(__xludf.DUMMYFUNCTION("""COMPUTED_VALUE"""),2780.086834)</f>
        <v>2780.086834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IFERROR(__xludf.DUMMYFUNCTION("""COMPUTED_VALUE"""),2818.65474)</f>
        <v>2818.65474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IFERROR(__xludf.DUMMYFUNCTION("""COMPUTED_VALUE"""),2829.9858)</f>
        <v>2829.9858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IFERROR(__xludf.DUMMYFUNCTION("""COMPUTED_VALUE"""),2812.6872)</f>
        <v>2812.6872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IFERROR(__xludf.DUMMYFUNCTION("""COMPUTED_VALUE"""),2838.526332)</f>
        <v>2838.526332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IFERROR(__xludf.DUMMYFUNCTION("""COMPUTED_VALUE"""),2829.670993)</f>
        <v>2829.670993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IFERROR(__xludf.DUMMYFUNCTION("""COMPUTED_VALUE"""),2823.95672)</f>
        <v>2823.95672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IFERROR(__xludf.DUMMYFUNCTION("""COMPUTED_VALUE"""),2823.360498)</f>
        <v>2823.360498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IFERROR(__xludf.DUMMYFUNCTION("""COMPUTED_VALUE"""),2823.902031)</f>
        <v>2823.902031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IFERROR(__xludf.DUMMYFUNCTION("""COMPUTED_VALUE"""),2797.044528)</f>
        <v>2797.044528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IFERROR(__xludf.DUMMYFUNCTION("""COMPUTED_VALUE"""),2807.971568)</f>
        <v>2807.971568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IFERROR(__xludf.DUMMYFUNCTION("""COMPUTED_VALUE"""),2821.276566)</f>
        <v>2821.276566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IFERROR(__xludf.DUMMYFUNCTION("""COMPUTED_VALUE"""),2842.151952)</f>
        <v>2842.151952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IFERROR(__xludf.DUMMYFUNCTION("""COMPUTED_VALUE"""),2865.778584)</f>
        <v>2865.778584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IFERROR(__xludf.DUMMYFUNCTION("""COMPUTED_VALUE"""),2822.10009)</f>
        <v>2822.10009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IFERROR(__xludf.DUMMYFUNCTION("""COMPUTED_VALUE"""),2843.876611)</f>
        <v>2843.876611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IFERROR(__xludf.DUMMYFUNCTION("""COMPUTED_VALUE"""),2820.71816)</f>
        <v>2820.71816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IFERROR(__xludf.DUMMYFUNCTION("""COMPUTED_VALUE"""),2857.110355)</f>
        <v>2857.110355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IFERROR(__xludf.DUMMYFUNCTION("""COMPUTED_VALUE"""),2861.435279)</f>
        <v>2861.435279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IFERROR(__xludf.DUMMYFUNCTION("""COMPUTED_VALUE"""),2830.5732)</f>
        <v>2830.5732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IFERROR(__xludf.DUMMYFUNCTION("""COMPUTED_VALUE"""),2854.887282)</f>
        <v>2854.887282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IFERROR(__xludf.DUMMYFUNCTION("""COMPUTED_VALUE"""),2876.501716)</f>
        <v>2876.501716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IFERROR(__xludf.DUMMYFUNCTION("""COMPUTED_VALUE"""),2872.342896)</f>
        <v>2872.342896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IFERROR(__xludf.DUMMYFUNCTION("""COMPUTED_VALUE"""),2882.419855)</f>
        <v>2882.419855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IFERROR(__xludf.DUMMYFUNCTION("""COMPUTED_VALUE"""),2881.075694)</f>
        <v>2881.075694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IFERROR(__xludf.DUMMYFUNCTION("""COMPUTED_VALUE"""),2876.686767)</f>
        <v>2876.686767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IFERROR(__xludf.DUMMYFUNCTION("""COMPUTED_VALUE"""),2896.20738)</f>
        <v>2896.20738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IFERROR(__xludf.DUMMYFUNCTION("""COMPUTED_VALUE"""),2901.6099)</f>
        <v>2901.6099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IFERROR(__xludf.DUMMYFUNCTION("""COMPUTED_VALUE"""),2899.233256)</f>
        <v>2899.233256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IFERROR(__xludf.DUMMYFUNCTION("""COMPUTED_VALUE"""),2894.502282)</f>
        <v>2894.502282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IFERROR(__xludf.DUMMYFUNCTION("""COMPUTED_VALUE"""),2891.304283)</f>
        <v>2891.304283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IFERROR(__xludf.DUMMYFUNCTION("""COMPUTED_VALUE"""),2878.833944)</f>
        <v>2878.833944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IFERROR(__xludf.DUMMYFUNCTION("""COMPUTED_VALUE"""),2861.7971)</f>
        <v>2861.7971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IFERROR(__xludf.DUMMYFUNCTION("""COMPUTED_VALUE"""),2888.950988)</f>
        <v>2888.950988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IFERROR(__xludf.DUMMYFUNCTION("""COMPUTED_VALUE"""),2890.02285)</f>
        <v>2890.02285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IFERROR(__xludf.DUMMYFUNCTION("""COMPUTED_VALUE"""),2884.978696)</f>
        <v>2884.978696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IFERROR(__xludf.DUMMYFUNCTION("""COMPUTED_VALUE"""),2884.032192)</f>
        <v>2884.032192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IFERROR(__xludf.DUMMYFUNCTION("""COMPUTED_VALUE"""),2887.918965)</f>
        <v>2887.918965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IFERROR(__xludf.DUMMYFUNCTION("""COMPUTED_VALUE"""),2861.5283)</f>
        <v>2861.5283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IFERROR(__xludf.DUMMYFUNCTION("""COMPUTED_VALUE"""),2891.138935)</f>
        <v>2891.138935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IFERROR(__xludf.DUMMYFUNCTION("""COMPUTED_VALUE"""),2889.25368)</f>
        <v>2889.25368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IFERROR(__xludf.DUMMYFUNCTION("""COMPUTED_VALUE"""),2890.241162)</f>
        <v>2890.241162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IFERROR(__xludf.DUMMYFUNCTION("""COMPUTED_VALUE"""),2896.06037)</f>
        <v>2896.06037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IFERROR(__xludf.DUMMYFUNCTION("""COMPUTED_VALUE"""),2892.715389)</f>
        <v>2892.715389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IFERROR(__xludf.DUMMYFUNCTION("""COMPUTED_VALUE"""),2884.01905)</f>
        <v>2884.01905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IFERROR(__xludf.DUMMYFUNCTION("""COMPUTED_VALUE"""),2848.973988)</f>
        <v>2848.973988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IFERROR(__xludf.DUMMYFUNCTION("""COMPUTED_VALUE"""),2864.406024)</f>
        <v>2864.406024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IFERROR(__xludf.DUMMYFUNCTION("""COMPUTED_VALUE"""),2882.043008)</f>
        <v>2882.043008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IFERROR(__xludf.DUMMYFUNCTION("""COMPUTED_VALUE"""),2861.575752)</f>
        <v>2861.575752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IFERROR(__xludf.DUMMYFUNCTION("""COMPUTED_VALUE"""),2837.297526)</f>
        <v>2837.297526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IFERROR(__xludf.DUMMYFUNCTION("""COMPUTED_VALUE"""),2879.185239)</f>
        <v>2879.185239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IFERROR(__xludf.DUMMYFUNCTION("""COMPUTED_VALUE"""),2868.441609)</f>
        <v>2868.441609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IFERROR(__xludf.DUMMYFUNCTION("""COMPUTED_VALUE"""),2887.18685)</f>
        <v>2887.18685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IFERROR(__xludf.DUMMYFUNCTION("""COMPUTED_VALUE"""),2892.670434)</f>
        <v>2892.670434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IFERROR(__xludf.DUMMYFUNCTION("""COMPUTED_VALUE"""),2878.332324)</f>
        <v>2878.332324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IFERROR(__xludf.DUMMYFUNCTION("""COMPUTED_VALUE"""),2862.527839)</f>
        <v>2862.527839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IFERROR(__xludf.DUMMYFUNCTION("""COMPUTED_VALUE"""),2824.37337)</f>
        <v>2824.37337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IFERROR(__xludf.DUMMYFUNCTION("""COMPUTED_VALUE"""),2834.67184)</f>
        <v>2834.67184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IFERROR(__xludf.DUMMYFUNCTION("""COMPUTED_VALUE"""),2866.43804)</f>
        <v>2866.43804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IFERROR(__xludf.DUMMYFUNCTION("""COMPUTED_VALUE"""),2874.494)</f>
        <v>2874.494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IFERROR(__xludf.DUMMYFUNCTION("""COMPUTED_VALUE"""),2872.494634)</f>
        <v>2872.494634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IFERROR(__xludf.DUMMYFUNCTION("""COMPUTED_VALUE"""),2866.938504)</f>
        <v>2866.938504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IFERROR(__xludf.DUMMYFUNCTION("""COMPUTED_VALUE"""),2835.8665)</f>
        <v>2835.8665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IFERROR(__xludf.DUMMYFUNCTION("""COMPUTED_VALUE"""),2875.47876)</f>
        <v>2875.47876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IFERROR(__xludf.DUMMYFUNCTION("""COMPUTED_VALUE"""),2884.021704)</f>
        <v>2884.021704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IFERROR(__xludf.DUMMYFUNCTION("""COMPUTED_VALUE"""),2854.225305)</f>
        <v>2854.225305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IFERROR(__xludf.DUMMYFUNCTION("""COMPUTED_VALUE"""),2860.363653)</f>
        <v>2860.363653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IFERROR(__xludf.DUMMYFUNCTION("""COMPUTED_VALUE"""),2891.189675)</f>
        <v>2891.189675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IFERROR(__xludf.DUMMYFUNCTION("""COMPUTED_VALUE"""),2881.019)</f>
        <v>2881.019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IFERROR(__xludf.DUMMYFUNCTION("""COMPUTED_VALUE"""),2865.45201)</f>
        <v>2865.45201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IFERROR(__xludf.DUMMYFUNCTION("""COMPUTED_VALUE"""),2820.4176)</f>
        <v>2820.4176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IFERROR(__xludf.DUMMYFUNCTION("""COMPUTED_VALUE"""),2848.804608)</f>
        <v>2848.804608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IFERROR(__xludf.DUMMYFUNCTION("""COMPUTED_VALUE"""),2834.7156)</f>
        <v>2834.7156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IFERROR(__xludf.DUMMYFUNCTION("""COMPUTED_VALUE"""),2863.856005)</f>
        <v>2863.856005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IFERROR(__xludf.DUMMYFUNCTION("""COMPUTED_VALUE"""),2844.654489)</f>
        <v>2844.654489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IFERROR(__xludf.DUMMYFUNCTION("""COMPUTED_VALUE"""),2820.28176)</f>
        <v>2820.28176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IFERROR(__xludf.DUMMYFUNCTION("""COMPUTED_VALUE"""),2821.96246)</f>
        <v>2821.96246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IFERROR(__xludf.DUMMYFUNCTION("""COMPUTED_VALUE"""),2839.39887)</f>
        <v>2839.39887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IFERROR(__xludf.DUMMYFUNCTION("""COMPUTED_VALUE"""),2871.997062)</f>
        <v>2871.997062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IFERROR(__xludf.DUMMYFUNCTION("""COMPUTED_VALUE"""),2872.604065)</f>
        <v>2872.604065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IFERROR(__xludf.DUMMYFUNCTION("""COMPUTED_VALUE"""),2862.132623)</f>
        <v>2862.132623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IFERROR(__xludf.DUMMYFUNCTION("""COMPUTED_VALUE"""),2853.285582)</f>
        <v>2853.285582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IFERROR(__xludf.DUMMYFUNCTION("""COMPUTED_VALUE"""),2863.037761)</f>
        <v>2863.037761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IFERROR(__xludf.DUMMYFUNCTION("""COMPUTED_VALUE"""),2820.48804)</f>
        <v>2820.48804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IFERROR(__xludf.DUMMYFUNCTION("""COMPUTED_VALUE"""),2858.799195)</f>
        <v>2858.799195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IFERROR(__xludf.DUMMYFUNCTION("""COMPUTED_VALUE"""),2839.641503)</f>
        <v>2839.641503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IFERROR(__xludf.DUMMYFUNCTION("""COMPUTED_VALUE"""),2852.896473)</f>
        <v>2852.896473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IFERROR(__xludf.DUMMYFUNCTION("""COMPUTED_VALUE"""),2821.73568)</f>
        <v>2821.73568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IFERROR(__xludf.DUMMYFUNCTION("""COMPUTED_VALUE"""),2861.27325)</f>
        <v>2861.27325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IFERROR(__xludf.DUMMYFUNCTION("""COMPUTED_VALUE"""),2864.353204)</f>
        <v>2864.353204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IFERROR(__xludf.DUMMYFUNCTION("""COMPUTED_VALUE"""),2839.4915)</f>
        <v>2839.4915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IFERROR(__xludf.DUMMYFUNCTION("""COMPUTED_VALUE"""),2867.3678)</f>
        <v>2867.3678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IFERROR(__xludf.DUMMYFUNCTION("""COMPUTED_VALUE"""),2875.29912)</f>
        <v>2875.29912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IFERROR(__xludf.DUMMYFUNCTION("""COMPUTED_VALUE"""),2871.6381)</f>
        <v>2871.6381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IFERROR(__xludf.DUMMYFUNCTION("""COMPUTED_VALUE"""),2870.10555)</f>
        <v>2870.10555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IFERROR(__xludf.DUMMYFUNCTION("""COMPUTED_VALUE"""),2870.140486)</f>
        <v>2870.140486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IFERROR(__xludf.DUMMYFUNCTION("""COMPUTED_VALUE"""),2854.883629)</f>
        <v>2854.883629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IFERROR(__xludf.DUMMYFUNCTION("""COMPUTED_VALUE"""),2853.72464)</f>
        <v>2853.72464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IFERROR(__xludf.DUMMYFUNCTION("""COMPUTED_VALUE"""),2886.958497)</f>
        <v>2886.958497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IFERROR(__xludf.DUMMYFUNCTION("""COMPUTED_VALUE"""),2839.31307)</f>
        <v>2839.31307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IFERROR(__xludf.DUMMYFUNCTION("""COMPUTED_VALUE"""),2872.537095)</f>
        <v>2872.537095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IFERROR(__xludf.DUMMYFUNCTION("""COMPUTED_VALUE"""),2889.69536)</f>
        <v>2889.69536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IFERROR(__xludf.DUMMYFUNCTION("""COMPUTED_VALUE"""),2902.39079)</f>
        <v>2902.39079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IFERROR(__xludf.DUMMYFUNCTION("""COMPUTED_VALUE"""),2861.87952)</f>
        <v>2861.87952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IFERROR(__xludf.DUMMYFUNCTION("""COMPUTED_VALUE"""),2894.62698)</f>
        <v>2894.62698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IFERROR(__xludf.DUMMYFUNCTION("""COMPUTED_VALUE"""),2902.807329)</f>
        <v>2902.807329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IFERROR(__xludf.DUMMYFUNCTION("""COMPUTED_VALUE"""),2919.890351)</f>
        <v>2919.890351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IFERROR(__xludf.DUMMYFUNCTION("""COMPUTED_VALUE"""),2885.2842)</f>
        <v>2885.2842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IFERROR(__xludf.DUMMYFUNCTION("""COMPUTED_VALUE"""),2867.776985)</f>
        <v>2867.776985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IFERROR(__xludf.DUMMYFUNCTION("""COMPUTED_VALUE"""),2927.667117)</f>
        <v>2927.667117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IFERROR(__xludf.DUMMYFUNCTION("""COMPUTED_VALUE"""),2898.87978)</f>
        <v>2898.87978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IFERROR(__xludf.DUMMYFUNCTION("""COMPUTED_VALUE"""),2922.119577)</f>
        <v>2922.119577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IFERROR(__xludf.DUMMYFUNCTION("""COMPUTED_VALUE"""),2921.209358)</f>
        <v>2921.209358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IFERROR(__xludf.DUMMYFUNCTION("""COMPUTED_VALUE"""),2891.74662)</f>
        <v>2891.74662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IFERROR(__xludf.DUMMYFUNCTION("""COMPUTED_VALUE"""),2939.74856)</f>
        <v>2939.74856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IFERROR(__xludf.DUMMYFUNCTION("""COMPUTED_VALUE"""),2855.939077)</f>
        <v>2855.939077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IFERROR(__xludf.DUMMYFUNCTION("""COMPUTED_VALUE"""),2962.408)</f>
        <v>2962.408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IFERROR(__xludf.DUMMYFUNCTION("""COMPUTED_VALUE"""),2957.252161)</f>
        <v>2957.252161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IFERROR(__xludf.DUMMYFUNCTION("""COMPUTED_VALUE"""),2966.233495)</f>
        <v>2966.233495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IFERROR(__xludf.DUMMYFUNCTION("""COMPUTED_VALUE"""),2955.825)</f>
        <v>2955.825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IFERROR(__xludf.DUMMYFUNCTION("""COMPUTED_VALUE"""),2954.484964)</f>
        <v>2954.484964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IFERROR(__xludf.DUMMYFUNCTION("""COMPUTED_VALUE"""),2919.19552)</f>
        <v>2919.19552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IFERROR(__xludf.DUMMYFUNCTION("""COMPUTED_VALUE"""),2857.198056)</f>
        <v>2857.198056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IFERROR(__xludf.DUMMYFUNCTION("""COMPUTED_VALUE"""),2849.34045)</f>
        <v>2849.34045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IFERROR(__xludf.DUMMYFUNCTION("""COMPUTED_VALUE"""),2956.5445)</f>
        <v>2956.5445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IFERROR(__xludf.DUMMYFUNCTION("""COMPUTED_VALUE"""),2966.214712)</f>
        <v>2966.214712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IFERROR(__xludf.DUMMYFUNCTION("""COMPUTED_VALUE"""),2871.362728)</f>
        <v>2871.362728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IFERROR(__xludf.DUMMYFUNCTION("""COMPUTED_VALUE"""),2961.561756)</f>
        <v>2961.561756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IFERROR(__xludf.DUMMYFUNCTION("""COMPUTED_VALUE"""),2953.042445)</f>
        <v>2953.042445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IFERROR(__xludf.DUMMYFUNCTION("""COMPUTED_VALUE"""),2922.5475)</f>
        <v>2922.5475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IFERROR(__xludf.DUMMYFUNCTION("""COMPUTED_VALUE"""),2944.08)</f>
        <v>2944.08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IFERROR(__xludf.DUMMYFUNCTION("""COMPUTED_VALUE"""),2969.69674)</f>
        <v>2969.69674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IFERROR(__xludf.DUMMYFUNCTION("""COMPUTED_VALUE"""),2922.07355)</f>
        <v>2922.07355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IFERROR(__xludf.DUMMYFUNCTION("""COMPUTED_VALUE"""),2952.940731)</f>
        <v>2952.940731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IFERROR(__xludf.DUMMYFUNCTION("""COMPUTED_VALUE"""),2859.905232)</f>
        <v>2859.905232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IFERROR(__xludf.DUMMYFUNCTION("""COMPUTED_VALUE"""),2917.954)</f>
        <v>2917.954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IFERROR(__xludf.DUMMYFUNCTION("""COMPUTED_VALUE"""),2943.22222)</f>
        <v>2943.22222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IFERROR(__xludf.DUMMYFUNCTION("""COMPUTED_VALUE"""),2920.70625)</f>
        <v>2920.70625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IFERROR(__xludf.DUMMYFUNCTION("""COMPUTED_VALUE"""),2928.063264)</f>
        <v>2928.063264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IFERROR(__xludf.DUMMYFUNCTION("""COMPUTED_VALUE"""),2917.521196)</f>
        <v>2917.521196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IFERROR(__xludf.DUMMYFUNCTION("""COMPUTED_VALUE"""),2885.1495)</f>
        <v>2885.1495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IFERROR(__xludf.DUMMYFUNCTION("""COMPUTED_VALUE"""),2924.481661)</f>
        <v>2924.481661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IFERROR(__xludf.DUMMYFUNCTION("""COMPUTED_VALUE"""),2882.2984)</f>
        <v>2882.2984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IFERROR(__xludf.DUMMYFUNCTION("""COMPUTED_VALUE"""),2919.592669)</f>
        <v>2919.592669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IFERROR(__xludf.DUMMYFUNCTION("""COMPUTED_VALUE"""),2882.5125)</f>
        <v>2882.5125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IFERROR(__xludf.DUMMYFUNCTION("""COMPUTED_VALUE"""),2917.689115)</f>
        <v>2917.689115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IFERROR(__xludf.DUMMYFUNCTION("""COMPUTED_VALUE"""),2910.63704)</f>
        <v>2910.63704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IFERROR(__xludf.DUMMYFUNCTION("""COMPUTED_VALUE"""),2894.86575)</f>
        <v>2894.86575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IFERROR(__xludf.DUMMYFUNCTION("""COMPUTED_VALUE"""),2894.513901)</f>
        <v>2894.513901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IFERROR(__xludf.DUMMYFUNCTION("""COMPUTED_VALUE"""),2894.847032)</f>
        <v>2894.847032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IFERROR(__xludf.DUMMYFUNCTION("""COMPUTED_VALUE"""),2888.03148)</f>
        <v>2888.03148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IFERROR(__xludf.DUMMYFUNCTION("""COMPUTED_VALUE"""),2899.560423)</f>
        <v>2899.560423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IFERROR(__xludf.DUMMYFUNCTION("""COMPUTED_VALUE"""),2904.8299)</f>
        <v>2904.8299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IFERROR(__xludf.DUMMYFUNCTION("""COMPUTED_VALUE"""),2890.530194)</f>
        <v>2890.530194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IFERROR(__xludf.DUMMYFUNCTION("""COMPUTED_VALUE"""),2893.652632)</f>
        <v>2893.652632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IFERROR(__xludf.DUMMYFUNCTION("""COMPUTED_VALUE"""),2890.94544)</f>
        <v>2890.94544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IFERROR(__xludf.DUMMYFUNCTION("""COMPUTED_VALUE"""),2883.792)</f>
        <v>2883.792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IFERROR(__xludf.DUMMYFUNCTION("""COMPUTED_VALUE"""),2886.680842)</f>
        <v>2886.680842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IFERROR(__xludf.DUMMYFUNCTION("""COMPUTED_VALUE"""),2892.707181)</f>
        <v>2892.707181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IFERROR(__xludf.DUMMYFUNCTION("""COMPUTED_VALUE"""),2883.284172)</f>
        <v>2883.284172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IFERROR(__xludf.DUMMYFUNCTION("""COMPUTED_VALUE"""),2857.842)</f>
        <v>2857.842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IFERROR(__xludf.DUMMYFUNCTION("""COMPUTED_VALUE"""),2860.65367)</f>
        <v>2860.65367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IFERROR(__xludf.DUMMYFUNCTION("""COMPUTED_VALUE"""),2871.298)</f>
        <v>2871.298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IFERROR(__xludf.DUMMYFUNCTION("""COMPUTED_VALUE"""),2863.55025)</f>
        <v>2863.55025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IFERROR(__xludf.DUMMYFUNCTION("""COMPUTED_VALUE"""),2878.2976)</f>
        <v>2878.2976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IFERROR(__xludf.DUMMYFUNCTION("""COMPUTED_VALUE"""),2866.85433)</f>
        <v>2866.85433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IFERROR(__xludf.DUMMYFUNCTION("""COMPUTED_VALUE"""),2875.37485)</f>
        <v>2875.37485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IFERROR(__xludf.DUMMYFUNCTION("""COMPUTED_VALUE"""),2871.2515)</f>
        <v>2871.2515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IFERROR(__xludf.DUMMYFUNCTION("""COMPUTED_VALUE"""),2878.026172)</f>
        <v>2878.026172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IFERROR(__xludf.DUMMYFUNCTION("""COMPUTED_VALUE"""),2873.169992)</f>
        <v>2873.169992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IFERROR(__xludf.DUMMYFUNCTION("""COMPUTED_VALUE"""),2869.856781)</f>
        <v>2869.856781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IFERROR(__xludf.DUMMYFUNCTION("""COMPUTED_VALUE"""),2876.729799)</f>
        <v>2876.729799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IFERROR(__xludf.DUMMYFUNCTION("""COMPUTED_VALUE"""),2873.216688)</f>
        <v>2873.216688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IFERROR(__xludf.DUMMYFUNCTION("""COMPUTED_VALUE"""),2864.809761)</f>
        <v>2864.809761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IFERROR(__xludf.DUMMYFUNCTION("""COMPUTED_VALUE"""),2864.762784)</f>
        <v>2864.762784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IFERROR(__xludf.DUMMYFUNCTION("""COMPUTED_VALUE"""),2862.961925)</f>
        <v>2862.961925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IFERROR(__xludf.DUMMYFUNCTION("""COMPUTED_VALUE"""),2853.838672)</f>
        <v>2853.838672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IFERROR(__xludf.DUMMYFUNCTION("""COMPUTED_VALUE"""),2854.810203)</f>
        <v>2854.810203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IFERROR(__xludf.DUMMYFUNCTION("""COMPUTED_VALUE"""),2852.920501)</f>
        <v>2852.920501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IFERROR(__xludf.DUMMYFUNCTION("""COMPUTED_VALUE"""),2853.346603)</f>
        <v>2853.346603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IFERROR(__xludf.DUMMYFUNCTION("""COMPUTED_VALUE"""),2855.413364)</f>
        <v>2855.413364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IFERROR(__xludf.DUMMYFUNCTION("""COMPUTED_VALUE"""),2853.360864)</f>
        <v>2853.360864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IFERROR(__xludf.DUMMYFUNCTION("""COMPUTED_VALUE"""),2853.353975)</f>
        <v>2853.353975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IFERROR(__xludf.DUMMYFUNCTION("""COMPUTED_VALUE"""),2859.517535)</f>
        <v>2859.517535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IFERROR(__xludf.DUMMYFUNCTION("""COMPUTED_VALUE"""),2848.356405)</f>
        <v>2848.356405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IFERROR(__xludf.DUMMYFUNCTION("""COMPUTED_VALUE"""),2857.48434)</f>
        <v>2857.48434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IFERROR(__xludf.DUMMYFUNCTION("""COMPUTED_VALUE"""),2862.357615)</f>
        <v>2862.357615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IFERROR(__xludf.DUMMYFUNCTION("""COMPUTED_VALUE"""),2862.63588)</f>
        <v>2862.63588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IFERROR(__xludf.DUMMYFUNCTION("""COMPUTED_VALUE"""),2862.63588)</f>
        <v>2862.63588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IFERROR(__xludf.DUMMYFUNCTION("""COMPUTED_VALUE"""),2848.664736)</f>
        <v>2848.664736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IFERROR(__xludf.DUMMYFUNCTION("""COMPUTED_VALUE"""),2863.809494)</f>
        <v>2863.809494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IFERROR(__xludf.DUMMYFUNCTION("""COMPUTED_VALUE"""),2866.135832)</f>
        <v>2866.135832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IFERROR(__xludf.DUMMYFUNCTION("""COMPUTED_VALUE"""),2860.139008)</f>
        <v>2860.139008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IFERROR(__xludf.DUMMYFUNCTION("""COMPUTED_VALUE"""),2863.741032)</f>
        <v>2863.741032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IFERROR(__xludf.DUMMYFUNCTION("""COMPUTED_VALUE"""),2863.717638)</f>
        <v>2863.717638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IFERROR(__xludf.DUMMYFUNCTION("""COMPUTED_VALUE"""),2863.717638)</f>
        <v>2863.717638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IFERROR(__xludf.DUMMYFUNCTION("""COMPUTED_VALUE"""),2858.318892)</f>
        <v>2858.318892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IFERROR(__xludf.DUMMYFUNCTION("""COMPUTED_VALUE"""),2862.557472)</f>
        <v>2862.557472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IFERROR(__xludf.DUMMYFUNCTION("""COMPUTED_VALUE"""),2892.65976)</f>
        <v>2892.65976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IFERROR(__xludf.DUMMYFUNCTION("""COMPUTED_VALUE"""),2897.458604)</f>
        <v>2897.458604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IFERROR(__xludf.DUMMYFUNCTION("""COMPUTED_VALUE"""),2893.51373)</f>
        <v>2893.51373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IFERROR(__xludf.DUMMYFUNCTION("""COMPUTED_VALUE"""),2887.474718)</f>
        <v>2887.474718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IFERROR(__xludf.DUMMYFUNCTION("""COMPUTED_VALUE"""),2883.817475)</f>
        <v>2883.817475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IFERROR(__xludf.DUMMYFUNCTION("""COMPUTED_VALUE"""),2883.952072)</f>
        <v>2883.952072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IFERROR(__xludf.DUMMYFUNCTION("""COMPUTED_VALUE"""),2878.599522)</f>
        <v>2878.599522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IFERROR(__xludf.DUMMYFUNCTION("""COMPUTED_VALUE"""),2866.833335)</f>
        <v>2866.833335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IFERROR(__xludf.DUMMYFUNCTION("""COMPUTED_VALUE"""),2860.57228)</f>
        <v>2860.57228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IFERROR(__xludf.DUMMYFUNCTION("""COMPUTED_VALUE"""),2850.021356)</f>
        <v>2850.021356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IFERROR(__xludf.DUMMYFUNCTION("""COMPUTED_VALUE"""),2856.118005)</f>
        <v>2856.118005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IFERROR(__xludf.DUMMYFUNCTION("""COMPUTED_VALUE"""),2838.949344)</f>
        <v>2838.949344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IFERROR(__xludf.DUMMYFUNCTION("""COMPUTED_VALUE"""),2838.609471)</f>
        <v>2838.609471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IFERROR(__xludf.DUMMYFUNCTION("""COMPUTED_VALUE"""),2864.07376)</f>
        <v>2864.07376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IFERROR(__xludf.DUMMYFUNCTION("""COMPUTED_VALUE"""),2861.296382)</f>
        <v>2861.296382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IFERROR(__xludf.DUMMYFUNCTION("""COMPUTED_VALUE"""),2866.550544)</f>
        <v>2866.550544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IFERROR(__xludf.DUMMYFUNCTION("""COMPUTED_VALUE"""),2835.9495)</f>
        <v>2835.9495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IFERROR(__xludf.DUMMYFUNCTION("""COMPUTED_VALUE"""),2858.668608)</f>
        <v>2858.668608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IFERROR(__xludf.DUMMYFUNCTION("""COMPUTED_VALUE"""),2858.641426)</f>
        <v>2858.641426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IFERROR(__xludf.DUMMYFUNCTION("""COMPUTED_VALUE"""),2832.41148)</f>
        <v>2832.41148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IFERROR(__xludf.DUMMYFUNCTION("""COMPUTED_VALUE"""),2807.738548)</f>
        <v>2807.738548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IFERROR(__xludf.DUMMYFUNCTION("""COMPUTED_VALUE"""),2715.109832)</f>
        <v>2715.109832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IFERROR(__xludf.DUMMYFUNCTION("""COMPUTED_VALUE"""),2812.368927)</f>
        <v>2812.368927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IFERROR(__xludf.DUMMYFUNCTION("""COMPUTED_VALUE"""),2831.73824)</f>
        <v>2831.73824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IFERROR(__xludf.DUMMYFUNCTION("""COMPUTED_VALUE"""),2836.20678)</f>
        <v>2836.20678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IFERROR(__xludf.DUMMYFUNCTION("""COMPUTED_VALUE"""),2792.41137)</f>
        <v>2792.41137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IFERROR(__xludf.DUMMYFUNCTION("""COMPUTED_VALUE"""),2826.369587)</f>
        <v>2826.369587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IFERROR(__xludf.DUMMYFUNCTION("""COMPUTED_VALUE"""),2812.028)</f>
        <v>2812.028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IFERROR(__xludf.DUMMYFUNCTION("""COMPUTED_VALUE"""),2750.966166)</f>
        <v>2750.966166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IFERROR(__xludf.DUMMYFUNCTION("""COMPUTED_VALUE"""),2800.546102)</f>
        <v>2800.546102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IFERROR(__xludf.DUMMYFUNCTION("""COMPUTED_VALUE"""),2821.26075)</f>
        <v>2821.26075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IFERROR(__xludf.DUMMYFUNCTION("""COMPUTED_VALUE"""),2828.806676)</f>
        <v>2828.806676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IFERROR(__xludf.DUMMYFUNCTION("""COMPUTED_VALUE"""),2759.015604)</f>
        <v>2759.015604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IFERROR(__xludf.DUMMYFUNCTION("""COMPUTED_VALUE"""),2827.522684)</f>
        <v>2827.522684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IFERROR(__xludf.DUMMYFUNCTION("""COMPUTED_VALUE"""),2838.978957)</f>
        <v>2838.978957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IFERROR(__xludf.DUMMYFUNCTION("""COMPUTED_VALUE"""),2843.889111)</f>
        <v>2843.889111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IFERROR(__xludf.DUMMYFUNCTION("""COMPUTED_VALUE"""),2816.065)</f>
        <v>2816.065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IFERROR(__xludf.DUMMYFUNCTION("""COMPUTED_VALUE"""),2839.156245)</f>
        <v>2839.156245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IFERROR(__xludf.DUMMYFUNCTION("""COMPUTED_VALUE"""),2833.986874)</f>
        <v>2833.986874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IFERROR(__xludf.DUMMYFUNCTION("""COMPUTED_VALUE"""),2833.134395)</f>
        <v>2833.134395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IFERROR(__xludf.DUMMYFUNCTION("""COMPUTED_VALUE"""),2837.650668)</f>
        <v>2837.650668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IFERROR(__xludf.DUMMYFUNCTION("""COMPUTED_VALUE"""),2818.43)</f>
        <v>2818.43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IFERROR(__xludf.DUMMYFUNCTION("""COMPUTED_VALUE"""),2833.260524)</f>
        <v>2833.260524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IFERROR(__xludf.DUMMYFUNCTION("""COMPUTED_VALUE"""),2813.78484)</f>
        <v>2813.78484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IFERROR(__xludf.DUMMYFUNCTION("""COMPUTED_VALUE"""),2813.3892)</f>
        <v>2813.3892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IFERROR(__xludf.DUMMYFUNCTION("""COMPUTED_VALUE"""),2817.09567)</f>
        <v>2817.09567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IFERROR(__xludf.DUMMYFUNCTION("""COMPUTED_VALUE"""),2743.69824)</f>
        <v>2743.69824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IFERROR(__xludf.DUMMYFUNCTION("""COMPUTED_VALUE"""),2744.237215)</f>
        <v>2744.237215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IFERROR(__xludf.DUMMYFUNCTION("""COMPUTED_VALUE"""),2814.261142)</f>
        <v>2814.261142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IFERROR(__xludf.DUMMYFUNCTION("""COMPUTED_VALUE"""),2808.437605)</f>
        <v>2808.437605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IFERROR(__xludf.DUMMYFUNCTION("""COMPUTED_VALUE"""),2800.453408)</f>
        <v>2800.453408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IFERROR(__xludf.DUMMYFUNCTION("""COMPUTED_VALUE"""),2831.4846)</f>
        <v>2831.4846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IFERROR(__xludf.DUMMYFUNCTION("""COMPUTED_VALUE"""),2819.6454)</f>
        <v>2819.6454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IFERROR(__xludf.DUMMYFUNCTION("""COMPUTED_VALUE"""),2758.670124)</f>
        <v>2758.670124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IFERROR(__xludf.DUMMYFUNCTION("""COMPUTED_VALUE"""),2823.579713)</f>
        <v>2823.579713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IFERROR(__xludf.DUMMYFUNCTION("""COMPUTED_VALUE"""),2827.639304)</f>
        <v>2827.639304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IFERROR(__xludf.DUMMYFUNCTION("""COMPUTED_VALUE"""),2833.098)</f>
        <v>2833.098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IFERROR(__xludf.DUMMYFUNCTION("""COMPUTED_VALUE"""),2816.7282)</f>
        <v>2816.7282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IFERROR(__xludf.DUMMYFUNCTION("""COMPUTED_VALUE"""),2853.979407)</f>
        <v>2853.979407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IFERROR(__xludf.DUMMYFUNCTION("""COMPUTED_VALUE"""),2764.923)</f>
        <v>2764.923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IFERROR(__xludf.DUMMYFUNCTION("""COMPUTED_VALUE"""),2775.796884)</f>
        <v>2775.796884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IFERROR(__xludf.DUMMYFUNCTION("""COMPUTED_VALUE"""),2822.159592)</f>
        <v>2822.159592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IFERROR(__xludf.DUMMYFUNCTION("""COMPUTED_VALUE"""),2789.41125)</f>
        <v>2789.41125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IFERROR(__xludf.DUMMYFUNCTION("""COMPUTED_VALUE"""),2823.05)</f>
        <v>2823.05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IFERROR(__xludf.DUMMYFUNCTION("""COMPUTED_VALUE"""),2845.23072)</f>
        <v>2845.23072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IFERROR(__xludf.DUMMYFUNCTION("""COMPUTED_VALUE"""),2790.34056)</f>
        <v>2790.34056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IFERROR(__xludf.DUMMYFUNCTION("""COMPUTED_VALUE"""),2838.68676)</f>
        <v>2838.68676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IFERROR(__xludf.DUMMYFUNCTION("""COMPUTED_VALUE"""),2779.880557)</f>
        <v>2779.880557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IFERROR(__xludf.DUMMYFUNCTION("""COMPUTED_VALUE"""),2842.387579)</f>
        <v>2842.387579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IFERROR(__xludf.DUMMYFUNCTION("""COMPUTED_VALUE"""),2840.958707)</f>
        <v>2840.958707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IFERROR(__xludf.DUMMYFUNCTION("""COMPUTED_VALUE"""),2826.920444)</f>
        <v>2826.920444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IFERROR(__xludf.DUMMYFUNCTION("""COMPUTED_VALUE"""),2832.610011)</f>
        <v>2832.610011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IFERROR(__xludf.DUMMYFUNCTION("""COMPUTED_VALUE"""),2836.262776)</f>
        <v>2836.262776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IFERROR(__xludf.DUMMYFUNCTION("""COMPUTED_VALUE"""),2844.094669)</f>
        <v>2844.094669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IFERROR(__xludf.DUMMYFUNCTION("""COMPUTED_VALUE"""),2853.372968)</f>
        <v>2853.372968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IFERROR(__xludf.DUMMYFUNCTION("""COMPUTED_VALUE"""),2831.666492)</f>
        <v>2831.666492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IFERROR(__xludf.DUMMYFUNCTION("""COMPUTED_VALUE"""),2830.274362)</f>
        <v>2830.274362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IFERROR(__xludf.DUMMYFUNCTION("""COMPUTED_VALUE"""),2812.958032)</f>
        <v>2812.958032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IFERROR(__xludf.DUMMYFUNCTION("""COMPUTED_VALUE"""),2841.507)</f>
        <v>2841.507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IFERROR(__xludf.DUMMYFUNCTION("""COMPUTED_VALUE"""),2831.412927)</f>
        <v>2831.412927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IFERROR(__xludf.DUMMYFUNCTION("""COMPUTED_VALUE"""),2835.660906)</f>
        <v>2835.660906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IFERROR(__xludf.DUMMYFUNCTION("""COMPUTED_VALUE"""),2779.887708)</f>
        <v>2779.887708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IFERROR(__xludf.DUMMYFUNCTION("""COMPUTED_VALUE"""),2845.750745)</f>
        <v>2845.750745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IFERROR(__xludf.DUMMYFUNCTION("""COMPUTED_VALUE"""),2852.620796)</f>
        <v>2852.620796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IFERROR(__xludf.DUMMYFUNCTION("""COMPUTED_VALUE"""),2840.831)</f>
        <v>2840.831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IFERROR(__xludf.DUMMYFUNCTION("""COMPUTED_VALUE"""),2858.5736)</f>
        <v>2858.5736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IFERROR(__xludf.DUMMYFUNCTION("""COMPUTED_VALUE"""),2857.16316)</f>
        <v>2857.16316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IFERROR(__xludf.DUMMYFUNCTION("""COMPUTED_VALUE"""),2861.5015)</f>
        <v>2861.5015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IFERROR(__xludf.DUMMYFUNCTION("""COMPUTED_VALUE"""),2867.463488)</f>
        <v>2867.463488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IFERROR(__xludf.DUMMYFUNCTION("""COMPUTED_VALUE"""),2810.226911)</f>
        <v>2810.226911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IFERROR(__xludf.DUMMYFUNCTION("""COMPUTED_VALUE"""),2867.376068)</f>
        <v>2867.376068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IFERROR(__xludf.DUMMYFUNCTION("""COMPUTED_VALUE"""),2875.55)</f>
        <v>2875.55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IFERROR(__xludf.DUMMYFUNCTION("""COMPUTED_VALUE"""),2879.46936)</f>
        <v>2879.46936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IFERROR(__xludf.DUMMYFUNCTION("""COMPUTED_VALUE"""),2883.8826)</f>
        <v>2883.8826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IFERROR(__xludf.DUMMYFUNCTION("""COMPUTED_VALUE"""),2866.115)</f>
        <v>2866.115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IFERROR(__xludf.DUMMYFUNCTION("""COMPUTED_VALUE"""),2781.532285)</f>
        <v>2781.532285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IFERROR(__xludf.DUMMYFUNCTION("""COMPUTED_VALUE"""),2858.108187)</f>
        <v>2858.108187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IFERROR(__xludf.DUMMYFUNCTION("""COMPUTED_VALUE"""),2879.399712)</f>
        <v>2879.399712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IFERROR(__xludf.DUMMYFUNCTION("""COMPUTED_VALUE"""),2847.51876)</f>
        <v>2847.51876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IFERROR(__xludf.DUMMYFUNCTION("""COMPUTED_VALUE"""),2809.421992)</f>
        <v>2809.421992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IFERROR(__xludf.DUMMYFUNCTION("""COMPUTED_VALUE"""),2822.071716)</f>
        <v>2822.071716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IFERROR(__xludf.DUMMYFUNCTION("""COMPUTED_VALUE"""),2851.997353)</f>
        <v>2851.997353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IFERROR(__xludf.DUMMYFUNCTION("""COMPUTED_VALUE"""),2774.507967)</f>
        <v>2774.507967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IFERROR(__xludf.DUMMYFUNCTION("""COMPUTED_VALUE"""),2856.254828)</f>
        <v>2856.254828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IFERROR(__xludf.DUMMYFUNCTION("""COMPUTED_VALUE"""),2792.158539)</f>
        <v>2792.158539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IFERROR(__xludf.DUMMYFUNCTION("""COMPUTED_VALUE"""),2841.301008)</f>
        <v>2841.301008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IFERROR(__xludf.DUMMYFUNCTION("""COMPUTED_VALUE"""),2813.684303)</f>
        <v>2813.684303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IFERROR(__xludf.DUMMYFUNCTION("""COMPUTED_VALUE"""),2834.618016)</f>
        <v>2834.618016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IFERROR(__xludf.DUMMYFUNCTION("""COMPUTED_VALUE"""),2757.156896)</f>
        <v>2757.156896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IFERROR(__xludf.DUMMYFUNCTION("""COMPUTED_VALUE"""),2798.241999)</f>
        <v>2798.241999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IFERROR(__xludf.DUMMYFUNCTION("""COMPUTED_VALUE"""),2810.38152)</f>
        <v>2810.38152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IFERROR(__xludf.DUMMYFUNCTION("""COMPUTED_VALUE"""),2868.5416)</f>
        <v>2868.5416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IFERROR(__xludf.DUMMYFUNCTION("""COMPUTED_VALUE"""),2859.314268)</f>
        <v>2859.314268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IFERROR(__xludf.DUMMYFUNCTION("""COMPUTED_VALUE"""),2794.49943)</f>
        <v>2794.49943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IFERROR(__xludf.DUMMYFUNCTION("""COMPUTED_VALUE"""),2866.123388)</f>
        <v>2866.123388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IFERROR(__xludf.DUMMYFUNCTION("""COMPUTED_VALUE"""),2872.18828)</f>
        <v>2872.18828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IFERROR(__xludf.DUMMYFUNCTION("""COMPUTED_VALUE"""),2879.24729)</f>
        <v>2879.24729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IFERROR(__xludf.DUMMYFUNCTION("""COMPUTED_VALUE"""),2872.2015)</f>
        <v>2872.2015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IFERROR(__xludf.DUMMYFUNCTION("""COMPUTED_VALUE"""),2873.604)</f>
        <v>2873.604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IFERROR(__xludf.DUMMYFUNCTION("""COMPUTED_VALUE"""),2865.48672)</f>
        <v>2865.48672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IFERROR(__xludf.DUMMYFUNCTION("""COMPUTED_VALUE"""),2796.57036)</f>
        <v>2796.57036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IFERROR(__xludf.DUMMYFUNCTION("""COMPUTED_VALUE"""),2860.756817)</f>
        <v>2860.756817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IFERROR(__xludf.DUMMYFUNCTION("""COMPUTED_VALUE"""),2856.1596)</f>
        <v>2856.1596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IFERROR(__xludf.DUMMYFUNCTION("""COMPUTED_VALUE"""),2857.428966)</f>
        <v>2857.428966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IFERROR(__xludf.DUMMYFUNCTION("""COMPUTED_VALUE"""),2851.199913)</f>
        <v>2851.199913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IFERROR(__xludf.DUMMYFUNCTION("""COMPUTED_VALUE"""),2833.8771)</f>
        <v>2833.8771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IFERROR(__xludf.DUMMYFUNCTION("""COMPUTED_VALUE"""),2865.52)</f>
        <v>2865.52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IFERROR(__xludf.DUMMYFUNCTION("""COMPUTED_VALUE"""),2831.72606)</f>
        <v>2831.72606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IFERROR(__xludf.DUMMYFUNCTION("""COMPUTED_VALUE"""),2882.832286)</f>
        <v>2882.832286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IFERROR(__xludf.DUMMYFUNCTION("""COMPUTED_VALUE"""),2804.367265)</f>
        <v>2804.367265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IFERROR(__xludf.DUMMYFUNCTION("""COMPUTED_VALUE"""),2867.376487)</f>
        <v>2867.376487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IFERROR(__xludf.DUMMYFUNCTION("""COMPUTED_VALUE"""),2863.40715)</f>
        <v>2863.40715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IFERROR(__xludf.DUMMYFUNCTION("""COMPUTED_VALUE"""),2851.670798)</f>
        <v>2851.670798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IFERROR(__xludf.DUMMYFUNCTION("""COMPUTED_VALUE"""),2844.966301)</f>
        <v>2844.966301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IFERROR(__xludf.DUMMYFUNCTION("""COMPUTED_VALUE"""),2849.527569)</f>
        <v>2849.527569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IFERROR(__xludf.DUMMYFUNCTION("""COMPUTED_VALUE"""),2805.912431)</f>
        <v>2805.912431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IFERROR(__xludf.DUMMYFUNCTION("""COMPUTED_VALUE"""),2831.344967)</f>
        <v>2831.344967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IFERROR(__xludf.DUMMYFUNCTION("""COMPUTED_VALUE"""),2819.66139)</f>
        <v>2819.66139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IFERROR(__xludf.DUMMYFUNCTION("""COMPUTED_VALUE"""),2837.38453)</f>
        <v>2837.38453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IFERROR(__xludf.DUMMYFUNCTION("""COMPUTED_VALUE"""),2851.73757)</f>
        <v>2851.73757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IFERROR(__xludf.DUMMYFUNCTION("""COMPUTED_VALUE"""),2838.353758)</f>
        <v>2838.353758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IFERROR(__xludf.DUMMYFUNCTION("""COMPUTED_VALUE"""),2850.836782)</f>
        <v>2850.836782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IFERROR(__xludf.DUMMYFUNCTION("""COMPUTED_VALUE"""),2818.544971)</f>
        <v>2818.544971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IFERROR(__xludf.DUMMYFUNCTION("""COMPUTED_VALUE"""),2824.226688)</f>
        <v>2824.226688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IFERROR(__xludf.DUMMYFUNCTION("""COMPUTED_VALUE"""),2821.121524)</f>
        <v>2821.121524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IFERROR(__xludf.DUMMYFUNCTION("""COMPUTED_VALUE"""),2797.26076)</f>
        <v>2797.26076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IFERROR(__xludf.DUMMYFUNCTION("""COMPUTED_VALUE"""),2787.319136)</f>
        <v>2787.319136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IFERROR(__xludf.DUMMYFUNCTION("""COMPUTED_VALUE"""),2758.731994)</f>
        <v>2758.731994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IFERROR(__xludf.DUMMYFUNCTION("""COMPUTED_VALUE"""),2704.668992)</f>
        <v>2704.668992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IFERROR(__xludf.DUMMYFUNCTION("""COMPUTED_VALUE"""),2776.834786)</f>
        <v>2776.834786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IFERROR(__xludf.DUMMYFUNCTION("""COMPUTED_VALUE"""),2852.028)</f>
        <v>2852.028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IFERROR(__xludf.DUMMYFUNCTION("""COMPUTED_VALUE"""),2824.56109)</f>
        <v>2824.56109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IFERROR(__xludf.DUMMYFUNCTION("""COMPUTED_VALUE"""),2789.399611)</f>
        <v>2789.399611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IFERROR(__xludf.DUMMYFUNCTION("""COMPUTED_VALUE"""),2803.864794)</f>
        <v>2803.864794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IFERROR(__xludf.DUMMYFUNCTION("""COMPUTED_VALUE"""),2738.333123)</f>
        <v>2738.333123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IFERROR(__xludf.DUMMYFUNCTION("""COMPUTED_VALUE"""),2822.826082)</f>
        <v>2822.826082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IFERROR(__xludf.DUMMYFUNCTION("""COMPUTED_VALUE"""),2732.707555)</f>
        <v>2732.707555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IFERROR(__xludf.DUMMYFUNCTION("""COMPUTED_VALUE"""),2751.002565)</f>
        <v>2751.002565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IFERROR(__xludf.DUMMYFUNCTION("""COMPUTED_VALUE"""),2661.69762)</f>
        <v>2661.69762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IFERROR(__xludf.DUMMYFUNCTION("""COMPUTED_VALUE"""),2806.814857)</f>
        <v>2806.814857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IFERROR(__xludf.DUMMYFUNCTION("""COMPUTED_VALUE"""),2801.5946)</f>
        <v>2801.5946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IFERROR(__xludf.DUMMYFUNCTION("""COMPUTED_VALUE"""),2786.859289)</f>
        <v>2786.859289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IFERROR(__xludf.DUMMYFUNCTION("""COMPUTED_VALUE"""),2841.795061)</f>
        <v>2841.795061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IFERROR(__xludf.DUMMYFUNCTION("""COMPUTED_VALUE"""),2754.027698)</f>
        <v>2754.027698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IFERROR(__xludf.DUMMYFUNCTION("""COMPUTED_VALUE"""),2832.778872)</f>
        <v>2832.778872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IFERROR(__xludf.DUMMYFUNCTION("""COMPUTED_VALUE"""),2768.43203)</f>
        <v>2768.43203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IFERROR(__xludf.DUMMYFUNCTION("""COMPUTED_VALUE"""),2827.700224)</f>
        <v>2827.700224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IFERROR(__xludf.DUMMYFUNCTION("""COMPUTED_VALUE"""),2823.925981)</f>
        <v>2823.925981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IFERROR(__xludf.DUMMYFUNCTION("""COMPUTED_VALUE"""),2830.947572)</f>
        <v>2830.947572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IFERROR(__xludf.DUMMYFUNCTION("""COMPUTED_VALUE"""),2758.935816)</f>
        <v>2758.935816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IFERROR(__xludf.DUMMYFUNCTION("""COMPUTED_VALUE"""),2842.666382)</f>
        <v>2842.666382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IFERROR(__xludf.DUMMYFUNCTION("""COMPUTED_VALUE"""),2855.961122)</f>
        <v>2855.961122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IFERROR(__xludf.DUMMYFUNCTION("""COMPUTED_VALUE"""),2834.7624)</f>
        <v>2834.7624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IFERROR(__xludf.DUMMYFUNCTION("""COMPUTED_VALUE"""),2842.75924)</f>
        <v>2842.75924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IFERROR(__xludf.DUMMYFUNCTION("""COMPUTED_VALUE"""),2843.663638)</f>
        <v>2843.663638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IFERROR(__xludf.DUMMYFUNCTION("""COMPUTED_VALUE"""),2813.238)</f>
        <v>2813.238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IFERROR(__xludf.DUMMYFUNCTION("""COMPUTED_VALUE"""),2715.290772)</f>
        <v>2715.290772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IFERROR(__xludf.DUMMYFUNCTION("""COMPUTED_VALUE"""),2807.275157)</f>
        <v>2807.275157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IFERROR(__xludf.DUMMYFUNCTION("""COMPUTED_VALUE"""),2816.496469)</f>
        <v>2816.496469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IFERROR(__xludf.DUMMYFUNCTION("""COMPUTED_VALUE"""),2824.638541)</f>
        <v>2824.638541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IFERROR(__xludf.DUMMYFUNCTION("""COMPUTED_VALUE"""),2843.780475)</f>
        <v>2843.780475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IFERROR(__xludf.DUMMYFUNCTION("""COMPUTED_VALUE"""),2852.06666)</f>
        <v>2852.06666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IFERROR(__xludf.DUMMYFUNCTION("""COMPUTED_VALUE"""),2869.052772)</f>
        <v>2869.052772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IFERROR(__xludf.DUMMYFUNCTION("""COMPUTED_VALUE"""),2872.398539)</f>
        <v>2872.398539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IFERROR(__xludf.DUMMYFUNCTION("""COMPUTED_VALUE"""),2874.051083)</f>
        <v>2874.051083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IFERROR(__xludf.DUMMYFUNCTION("""COMPUTED_VALUE"""),2859.4944)</f>
        <v>2859.4944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IFERROR(__xludf.DUMMYFUNCTION("""COMPUTED_VALUE"""),2834.62005)</f>
        <v>2834.62005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IFERROR(__xludf.DUMMYFUNCTION("""COMPUTED_VALUE"""),2831.935719)</f>
        <v>2831.935719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IFERROR(__xludf.DUMMYFUNCTION("""COMPUTED_VALUE"""),2850.7725)</f>
        <v>2850.7725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IFERROR(__xludf.DUMMYFUNCTION("""COMPUTED_VALUE"""),2879.84275)</f>
        <v>2879.84275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IFERROR(__xludf.DUMMYFUNCTION("""COMPUTED_VALUE"""),2835.777488)</f>
        <v>2835.777488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IFERROR(__xludf.DUMMYFUNCTION("""COMPUTED_VALUE"""),2879.109415)</f>
        <v>2879.109415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IFERROR(__xludf.DUMMYFUNCTION("""COMPUTED_VALUE"""),2867.554089)</f>
        <v>2867.554089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IFERROR(__xludf.DUMMYFUNCTION("""COMPUTED_VALUE"""),2856.366)</f>
        <v>2856.366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IFERROR(__xludf.DUMMYFUNCTION("""COMPUTED_VALUE"""),2835.182854)</f>
        <v>2835.182854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IFERROR(__xludf.DUMMYFUNCTION("""COMPUTED_VALUE"""),2846.434233)</f>
        <v>2846.434233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IFERROR(__xludf.DUMMYFUNCTION("""COMPUTED_VALUE"""),2841.35804)</f>
        <v>2841.35804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IFERROR(__xludf.DUMMYFUNCTION("""COMPUTED_VALUE"""),2849.193396)</f>
        <v>2849.193396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IFERROR(__xludf.DUMMYFUNCTION("""COMPUTED_VALUE"""),2853.960408)</f>
        <v>2853.960408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IFERROR(__xludf.DUMMYFUNCTION("""COMPUTED_VALUE"""),2855.784822)</f>
        <v>2855.784822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IFERROR(__xludf.DUMMYFUNCTION("""COMPUTED_VALUE"""),2847.441372)</f>
        <v>2847.441372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IFERROR(__xludf.DUMMYFUNCTION("""COMPUTED_VALUE"""),2837.613344)</f>
        <v>2837.613344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IFERROR(__xludf.DUMMYFUNCTION("""COMPUTED_VALUE"""),2826.4005)</f>
        <v>2826.4005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IFERROR(__xludf.DUMMYFUNCTION("""COMPUTED_VALUE"""),2841.49383)</f>
        <v>2841.49383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IFERROR(__xludf.DUMMYFUNCTION("""COMPUTED_VALUE"""),2811.60477)</f>
        <v>2811.60477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IFERROR(__xludf.DUMMYFUNCTION("""COMPUTED_VALUE"""),2850.394399)</f>
        <v>2850.394399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IFERROR(__xludf.DUMMYFUNCTION("""COMPUTED_VALUE"""),2823.00436)</f>
        <v>2823.00436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IFERROR(__xludf.DUMMYFUNCTION("""COMPUTED_VALUE"""),2848.073856)</f>
        <v>2848.073856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IFERROR(__xludf.DUMMYFUNCTION("""COMPUTED_VALUE"""),2829.052375)</f>
        <v>2829.052375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IFERROR(__xludf.DUMMYFUNCTION("""COMPUTED_VALUE"""),2810.698264)</f>
        <v>2810.698264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IFERROR(__xludf.DUMMYFUNCTION("""COMPUTED_VALUE"""),2820.722234)</f>
        <v>2820.722234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IFERROR(__xludf.DUMMYFUNCTION("""COMPUTED_VALUE"""),2823.781765)</f>
        <v>2823.781765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IFERROR(__xludf.DUMMYFUNCTION("""COMPUTED_VALUE"""),2844.159795)</f>
        <v>2844.159795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IFERROR(__xludf.DUMMYFUNCTION("""COMPUTED_VALUE"""),2788.080906)</f>
        <v>2788.080906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IFERROR(__xludf.DUMMYFUNCTION("""COMPUTED_VALUE"""),2861.192055)</f>
        <v>2861.192055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IFERROR(__xludf.DUMMYFUNCTION("""COMPUTED_VALUE"""),2849.993033)</f>
        <v>2849.993033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IFERROR(__xludf.DUMMYFUNCTION("""COMPUTED_VALUE"""),2858.055413)</f>
        <v>2858.055413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IFERROR(__xludf.DUMMYFUNCTION("""COMPUTED_VALUE"""),2880.4728)</f>
        <v>2880.4728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IFERROR(__xludf.DUMMYFUNCTION("""COMPUTED_VALUE"""),2774.14744)</f>
        <v>2774.14744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IFERROR(__xludf.DUMMYFUNCTION("""COMPUTED_VALUE"""),2885.865794)</f>
        <v>2885.865794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IFERROR(__xludf.DUMMYFUNCTION("""COMPUTED_VALUE"""),2857.450706)</f>
        <v>2857.450706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IFERROR(__xludf.DUMMYFUNCTION("""COMPUTED_VALUE"""),2880.703458)</f>
        <v>2880.703458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IFERROR(__xludf.DUMMYFUNCTION("""COMPUTED_VALUE"""),2890.754028)</f>
        <v>2890.754028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IFERROR(__xludf.DUMMYFUNCTION("""COMPUTED_VALUE"""),2872.267434)</f>
        <v>2872.267434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IFERROR(__xludf.DUMMYFUNCTION("""COMPUTED_VALUE"""),2871.8365)</f>
        <v>2871.8365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IFERROR(__xludf.DUMMYFUNCTION("""COMPUTED_VALUE"""),2821.23394)</f>
        <v>2821.23394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IFERROR(__xludf.DUMMYFUNCTION("""COMPUTED_VALUE"""),2884.258393)</f>
        <v>2884.258393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IFERROR(__xludf.DUMMYFUNCTION("""COMPUTED_VALUE"""),2791.276078)</f>
        <v>2791.276078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IFERROR(__xludf.DUMMYFUNCTION("""COMPUTED_VALUE"""),2845.70883)</f>
        <v>2845.70883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IFERROR(__xludf.DUMMYFUNCTION("""COMPUTED_VALUE"""),2858.31)</f>
        <v>2858.31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IFERROR(__xludf.DUMMYFUNCTION("""COMPUTED_VALUE"""),2853.880702)</f>
        <v>2853.880702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IFERROR(__xludf.DUMMYFUNCTION("""COMPUTED_VALUE"""),2857.170932)</f>
        <v>2857.170932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IFERROR(__xludf.DUMMYFUNCTION("""COMPUTED_VALUE"""),2857.803941)</f>
        <v>2857.803941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IFERROR(__xludf.DUMMYFUNCTION("""COMPUTED_VALUE"""),2836.5909)</f>
        <v>2836.5909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IFERROR(__xludf.DUMMYFUNCTION("""COMPUTED_VALUE"""),2858.882481)</f>
        <v>2858.882481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IFERROR(__xludf.DUMMYFUNCTION("""COMPUTED_VALUE"""),2845.832104)</f>
        <v>2845.832104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IFERROR(__xludf.DUMMYFUNCTION("""COMPUTED_VALUE"""),2857.20339)</f>
        <v>2857.20339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IFERROR(__xludf.DUMMYFUNCTION("""COMPUTED_VALUE"""),2885.763525)</f>
        <v>2885.763525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IFERROR(__xludf.DUMMYFUNCTION("""COMPUTED_VALUE"""),2861.612)</f>
        <v>2861.612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IFERROR(__xludf.DUMMYFUNCTION("""COMPUTED_VALUE"""),2859.840144)</f>
        <v>2859.840144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IFERROR(__xludf.DUMMYFUNCTION("""COMPUTED_VALUE"""),2879.07186)</f>
        <v>2879.07186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IFERROR(__xludf.DUMMYFUNCTION("""COMPUTED_VALUE"""),2878.999971)</f>
        <v>2878.999971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IFERROR(__xludf.DUMMYFUNCTION("""COMPUTED_VALUE"""),2851.99264)</f>
        <v>2851.99264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IFERROR(__xludf.DUMMYFUNCTION("""COMPUTED_VALUE"""),2855.31708)</f>
        <v>2855.31708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IFERROR(__xludf.DUMMYFUNCTION("""COMPUTED_VALUE"""),2783.329284)</f>
        <v>2783.329284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IFERROR(__xludf.DUMMYFUNCTION("""COMPUTED_VALUE"""),2851.9068)</f>
        <v>2851.9068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IFERROR(__xludf.DUMMYFUNCTION("""COMPUTED_VALUE"""),2850.3329)</f>
        <v>2850.3329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IFERROR(__xludf.DUMMYFUNCTION("""COMPUTED_VALUE"""),2866.757702)</f>
        <v>2866.757702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IFERROR(__xludf.DUMMYFUNCTION("""COMPUTED_VALUE"""),2807.457178)</f>
        <v>2807.457178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IFERROR(__xludf.DUMMYFUNCTION("""COMPUTED_VALUE"""),2889.6373)</f>
        <v>2889.6373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IFERROR(__xludf.DUMMYFUNCTION("""COMPUTED_VALUE"""),2905.023144)</f>
        <v>2905.023144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IFERROR(__xludf.DUMMYFUNCTION("""COMPUTED_VALUE"""),2893.0627)</f>
        <v>2893.0627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IFERROR(__xludf.DUMMYFUNCTION("""COMPUTED_VALUE"""),2883.5298)</f>
        <v>2883.5298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IFERROR(__xludf.DUMMYFUNCTION("""COMPUTED_VALUE"""),2874.954992)</f>
        <v>2874.954992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IFERROR(__xludf.DUMMYFUNCTION("""COMPUTED_VALUE"""),2883.318051)</f>
        <v>2883.318051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IFERROR(__xludf.DUMMYFUNCTION("""COMPUTED_VALUE"""),2904.03792)</f>
        <v>2904.03792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IFERROR(__xludf.DUMMYFUNCTION("""COMPUTED_VALUE"""),2908.01855)</f>
        <v>2908.01855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IFERROR(__xludf.DUMMYFUNCTION("""COMPUTED_VALUE"""),2931.9776)</f>
        <v>2931.9776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IFERROR(__xludf.DUMMYFUNCTION("""COMPUTED_VALUE"""),2910.615)</f>
        <v>2910.615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IFERROR(__xludf.DUMMYFUNCTION("""COMPUTED_VALUE"""),2892.79548)</f>
        <v>2892.79548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IFERROR(__xludf.DUMMYFUNCTION("""COMPUTED_VALUE"""),2884.797114)</f>
        <v>2884.797114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IFERROR(__xludf.DUMMYFUNCTION("""COMPUTED_VALUE"""),2898.267913)</f>
        <v>2898.267913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IFERROR(__xludf.DUMMYFUNCTION("""COMPUTED_VALUE"""),2893.404204)</f>
        <v>2893.404204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IFERROR(__xludf.DUMMYFUNCTION("""COMPUTED_VALUE"""),2901.3116)</f>
        <v>2901.3116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IFERROR(__xludf.DUMMYFUNCTION("""COMPUTED_VALUE"""),2894.122368)</f>
        <v>2894.122368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IFERROR(__xludf.DUMMYFUNCTION("""COMPUTED_VALUE"""),2882.6157)</f>
        <v>2882.6157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IFERROR(__xludf.DUMMYFUNCTION("""COMPUTED_VALUE"""),2871.7233)</f>
        <v>2871.7233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IFERROR(__xludf.DUMMYFUNCTION("""COMPUTED_VALUE"""),2868.1368)</f>
        <v>2868.1368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IFERROR(__xludf.DUMMYFUNCTION("""COMPUTED_VALUE"""),2871.210485)</f>
        <v>2871.210485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IFERROR(__xludf.DUMMYFUNCTION("""COMPUTED_VALUE"""),2865.996)</f>
        <v>2865.996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IFERROR(__xludf.DUMMYFUNCTION("""COMPUTED_VALUE"""),2887.25298)</f>
        <v>2887.25298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IFERROR(__xludf.DUMMYFUNCTION("""COMPUTED_VALUE"""),2968.777812)</f>
        <v>2968.777812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IFERROR(__xludf.DUMMYFUNCTION("""COMPUTED_VALUE"""),2935.452429)</f>
        <v>2935.452429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IFERROR(__xludf.DUMMYFUNCTION("""COMPUTED_VALUE"""),2953.980565)</f>
        <v>2953.980565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IFERROR(__xludf.DUMMYFUNCTION("""COMPUTED_VALUE"""),2939.3892)</f>
        <v>2939.3892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IFERROR(__xludf.DUMMYFUNCTION("""COMPUTED_VALUE"""),2959.49592)</f>
        <v>2959.49592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IFERROR(__xludf.DUMMYFUNCTION("""COMPUTED_VALUE"""),2936.087)</f>
        <v>2936.087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IFERROR(__xludf.DUMMYFUNCTION("""COMPUTED_VALUE"""),2955.314557)</f>
        <v>2955.314557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IFERROR(__xludf.DUMMYFUNCTION("""COMPUTED_VALUE"""),2940.7704)</f>
        <v>2940.7704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IFERROR(__xludf.DUMMYFUNCTION("""COMPUTED_VALUE"""),2958.554112)</f>
        <v>2958.554112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IFERROR(__xludf.DUMMYFUNCTION("""COMPUTED_VALUE"""),2983.274683)</f>
        <v>2983.274683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IFERROR(__xludf.DUMMYFUNCTION("""COMPUTED_VALUE"""),2962.165018)</f>
        <v>2962.165018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IFERROR(__xludf.DUMMYFUNCTION("""COMPUTED_VALUE"""),2979.730654)</f>
        <v>2979.730654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IFERROR(__xludf.DUMMYFUNCTION("""COMPUTED_VALUE"""),2980.62168)</f>
        <v>2980.62168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IFERROR(__xludf.DUMMYFUNCTION("""COMPUTED_VALUE"""),2962.7954)</f>
        <v>2962.7954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IFERROR(__xludf.DUMMYFUNCTION("""COMPUTED_VALUE"""),2939.05206)</f>
        <v>2939.05206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IFERROR(__xludf.DUMMYFUNCTION("""COMPUTED_VALUE"""),2962.0644)</f>
        <v>2962.0644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IFERROR(__xludf.DUMMYFUNCTION("""COMPUTED_VALUE"""),2957.82245)</f>
        <v>2957.82245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IFERROR(__xludf.DUMMYFUNCTION("""COMPUTED_VALUE"""),2957.3742)</f>
        <v>2957.3742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IFERROR(__xludf.DUMMYFUNCTION("""COMPUTED_VALUE"""),2965.17375)</f>
        <v>2965.17375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IFERROR(__xludf.DUMMYFUNCTION("""COMPUTED_VALUE"""),2957.813835)</f>
        <v>2957.813835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IFERROR(__xludf.DUMMYFUNCTION("""COMPUTED_VALUE"""),2946.845)</f>
        <v>2946.845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IFERROR(__xludf.DUMMYFUNCTION("""COMPUTED_VALUE"""),2933.4157)</f>
        <v>2933.4157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IFERROR(__xludf.DUMMYFUNCTION("""COMPUTED_VALUE"""),2942.297)</f>
        <v>2942.297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IFERROR(__xludf.DUMMYFUNCTION("""COMPUTED_VALUE"""),2953.70424)</f>
        <v>2953.70424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IFERROR(__xludf.DUMMYFUNCTION("""COMPUTED_VALUE"""),2948.825232)</f>
        <v>2948.825232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IFERROR(__xludf.DUMMYFUNCTION("""COMPUTED_VALUE"""),2966.7018)</f>
        <v>2966.7018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IFERROR(__xludf.DUMMYFUNCTION("""COMPUTED_VALUE"""),2960.358852)</f>
        <v>2960.358852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IFERROR(__xludf.DUMMYFUNCTION("""COMPUTED_VALUE"""),2982.2478)</f>
        <v>2982.2478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IFERROR(__xludf.DUMMYFUNCTION("""COMPUTED_VALUE"""),2985.1888)</f>
        <v>2985.1888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IFERROR(__xludf.DUMMYFUNCTION("""COMPUTED_VALUE"""),2997.8448)</f>
        <v>2997.8448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IFERROR(__xludf.DUMMYFUNCTION("""COMPUTED_VALUE"""),2997.8448)</f>
        <v>2997.8448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IFERROR(__xludf.DUMMYFUNCTION("""COMPUTED_VALUE"""),2991.601067)</f>
        <v>2991.601067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IFERROR(__xludf.DUMMYFUNCTION("""COMPUTED_VALUE"""),3010.516726)</f>
        <v>3010.516726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IFERROR(__xludf.DUMMYFUNCTION("""COMPUTED_VALUE"""),3014.02815)</f>
        <v>3014.02815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IFERROR(__xludf.DUMMYFUNCTION("""COMPUTED_VALUE"""),2991.1008)</f>
        <v>2991.1008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IFERROR(__xludf.DUMMYFUNCTION("""COMPUTED_VALUE"""),2999.3389)</f>
        <v>2999.3389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IFERROR(__xludf.DUMMYFUNCTION("""COMPUTED_VALUE"""),3015.1339)</f>
        <v>3015.1339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IFERROR(__xludf.DUMMYFUNCTION("""COMPUTED_VALUE"""),3017.39765)</f>
        <v>3017.39765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IFERROR(__xludf.DUMMYFUNCTION("""COMPUTED_VALUE"""),2947.7647)</f>
        <v>2947.7647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IFERROR(__xludf.DUMMYFUNCTION("""COMPUTED_VALUE"""),3015.40555)</f>
        <v>3015.40555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IFERROR(__xludf.DUMMYFUNCTION("""COMPUTED_VALUE"""),3020.23046)</f>
        <v>3020.23046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IFERROR(__xludf.DUMMYFUNCTION("""COMPUTED_VALUE"""),3012.8721)</f>
        <v>3012.8721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IFERROR(__xludf.DUMMYFUNCTION("""COMPUTED_VALUE"""),3002.7742)</f>
        <v>3002.7742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IFERROR(__xludf.DUMMYFUNCTION("""COMPUTED_VALUE"""),3028.5051)</f>
        <v>3028.5051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IFERROR(__xludf.DUMMYFUNCTION("""COMPUTED_VALUE"""),3022.3137)</f>
        <v>3022.3137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IFERROR(__xludf.DUMMYFUNCTION("""COMPUTED_VALUE"""),3037.053703)</f>
        <v>3037.053703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IFERROR(__xludf.DUMMYFUNCTION("""COMPUTED_VALUE"""),3030.877506)</f>
        <v>3030.877506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IFERROR(__xludf.DUMMYFUNCTION("""COMPUTED_VALUE"""),3012.79404)</f>
        <v>3012.79404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IFERROR(__xludf.DUMMYFUNCTION("""COMPUTED_VALUE"""),3011.51542)</f>
        <v>3011.51542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IFERROR(__xludf.DUMMYFUNCTION("""COMPUTED_VALUE"""),2993.91862)</f>
        <v>2993.91862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IFERROR(__xludf.DUMMYFUNCTION("""COMPUTED_VALUE"""),2999.23316)</f>
        <v>2999.23316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IFERROR(__xludf.DUMMYFUNCTION("""COMPUTED_VALUE"""),2973.425)</f>
        <v>2973.425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IFERROR(__xludf.DUMMYFUNCTION("""COMPUTED_VALUE"""),2969.155758)</f>
        <v>2969.155758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IFERROR(__xludf.DUMMYFUNCTION("""COMPUTED_VALUE"""),2981.1456)</f>
        <v>2981.1456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IFERROR(__xludf.DUMMYFUNCTION("""COMPUTED_VALUE"""),2985.8936)</f>
        <v>2985.8936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IFERROR(__xludf.DUMMYFUNCTION("""COMPUTED_VALUE"""),2964.6261)</f>
        <v>2964.6261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IFERROR(__xludf.DUMMYFUNCTION("""COMPUTED_VALUE"""),2964.0774)</f>
        <v>2964.0774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IFERROR(__xludf.DUMMYFUNCTION("""COMPUTED_VALUE"""),2978.2444)</f>
        <v>2978.2444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IFERROR(__xludf.DUMMYFUNCTION("""COMPUTED_VALUE"""),2969.9302)</f>
        <v>2969.9302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IFERROR(__xludf.DUMMYFUNCTION("""COMPUTED_VALUE"""),2863.342015)</f>
        <v>2863.342015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IFERROR(__xludf.DUMMYFUNCTION("""COMPUTED_VALUE"""),2927.1765)</f>
        <v>2927.1765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IFERROR(__xludf.DUMMYFUNCTION("""COMPUTED_VALUE"""),2972.7435)</f>
        <v>2972.7435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IFERROR(__xludf.DUMMYFUNCTION("""COMPUTED_VALUE"""),2990.6775)</f>
        <v>2990.6775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IFERROR(__xludf.DUMMYFUNCTION("""COMPUTED_VALUE"""),2982.8085)</f>
        <v>2982.8085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IFERROR(__xludf.DUMMYFUNCTION("""COMPUTED_VALUE"""),2983.3575)</f>
        <v>2983.3575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IFERROR(__xludf.DUMMYFUNCTION("""COMPUTED_VALUE"""),2975.3088)</f>
        <v>2975.3088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IFERROR(__xludf.DUMMYFUNCTION("""COMPUTED_VALUE"""),2973.15448)</f>
        <v>2973.15448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IFERROR(__xludf.DUMMYFUNCTION("""COMPUTED_VALUE"""),2997.708249)</f>
        <v>2997.708249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IFERROR(__xludf.DUMMYFUNCTION("""COMPUTED_VALUE"""),2982.68016)</f>
        <v>2982.68016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IFERROR(__xludf.DUMMYFUNCTION("""COMPUTED_VALUE"""),2991.30912)</f>
        <v>2991.30912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IFERROR(__xludf.DUMMYFUNCTION("""COMPUTED_VALUE"""),2978.17997)</f>
        <v>2978.17997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IFERROR(__xludf.DUMMYFUNCTION("""COMPUTED_VALUE"""),2958.71195)</f>
        <v>2958.71195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IFERROR(__xludf.DUMMYFUNCTION("""COMPUTED_VALUE"""),3004.016652)</f>
        <v>3004.016652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IFERROR(__xludf.DUMMYFUNCTION("""COMPUTED_VALUE"""),2904.047168)</f>
        <v>2904.047168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IFERROR(__xludf.DUMMYFUNCTION("""COMPUTED_VALUE"""),2963.527)</f>
        <v>2963.527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IFERROR(__xludf.DUMMYFUNCTION("""COMPUTED_VALUE"""),2991.44232)</f>
        <v>2991.44232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IFERROR(__xludf.DUMMYFUNCTION("""COMPUTED_VALUE"""),2980.83569)</f>
        <v>2980.83569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IFERROR(__xludf.DUMMYFUNCTION("""COMPUTED_VALUE"""),2979.46334)</f>
        <v>2979.46334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IFERROR(__xludf.DUMMYFUNCTION("""COMPUTED_VALUE"""),2976.07821)</f>
        <v>2976.07821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IFERROR(__xludf.DUMMYFUNCTION("""COMPUTED_VALUE"""),2979.1466)</f>
        <v>2979.1466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IFERROR(__xludf.DUMMYFUNCTION("""COMPUTED_VALUE"""),2880.29233)</f>
        <v>2880.29233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IFERROR(__xludf.DUMMYFUNCTION("""COMPUTED_VALUE"""),2912.902065)</f>
        <v>2912.902065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IFERROR(__xludf.DUMMYFUNCTION("""COMPUTED_VALUE"""),2975.9243)</f>
        <v>2975.9243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IFERROR(__xludf.DUMMYFUNCTION("""COMPUTED_VALUE"""),2981.2342)</f>
        <v>2981.2342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IFERROR(__xludf.DUMMYFUNCTION("""COMPUTED_VALUE"""),2985.2624)</f>
        <v>2985.2624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IFERROR(__xludf.DUMMYFUNCTION("""COMPUTED_VALUE"""),2982.73936)</f>
        <v>2982.73936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IFERROR(__xludf.DUMMYFUNCTION("""COMPUTED_VALUE"""),2986.9502)</f>
        <v>2986.9502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IFERROR(__xludf.DUMMYFUNCTION("""COMPUTED_VALUE"""),3002.207906)</f>
        <v>3002.207906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IFERROR(__xludf.DUMMYFUNCTION("""COMPUTED_VALUE"""),2980.114704)</f>
        <v>2980.114704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IFERROR(__xludf.DUMMYFUNCTION("""COMPUTED_VALUE"""),2986.03844)</f>
        <v>2986.03844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IFERROR(__xludf.DUMMYFUNCTION("""COMPUTED_VALUE"""),2986.13007)</f>
        <v>2986.13007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IFERROR(__xludf.DUMMYFUNCTION("""COMPUTED_VALUE"""),2994.01025)</f>
        <v>2994.01025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IFERROR(__xludf.DUMMYFUNCTION("""COMPUTED_VALUE"""),2935.363319)</f>
        <v>2935.363319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IFERROR(__xludf.DUMMYFUNCTION("""COMPUTED_VALUE"""),3016.364727)</f>
        <v>3016.364727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IFERROR(__xludf.DUMMYFUNCTION("""COMPUTED_VALUE"""),3011.121169)</f>
        <v>3011.121169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IFERROR(__xludf.DUMMYFUNCTION("""COMPUTED_VALUE"""),3013.516152)</f>
        <v>3013.516152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IFERROR(__xludf.DUMMYFUNCTION("""COMPUTED_VALUE"""),3030.563504)</f>
        <v>3030.563504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IFERROR(__xludf.DUMMYFUNCTION("""COMPUTED_VALUE"""),3023.44185)</f>
        <v>3023.44185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IFERROR(__xludf.DUMMYFUNCTION("""COMPUTED_VALUE"""),3016.84305)</f>
        <v>3016.84305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IFERROR(__xludf.DUMMYFUNCTION("""COMPUTED_VALUE"""),3012.557509)</f>
        <v>3012.557509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IFERROR(__xludf.DUMMYFUNCTION("""COMPUTED_VALUE"""),2905.277765)</f>
        <v>2905.277765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IFERROR(__xludf.DUMMYFUNCTION("""COMPUTED_VALUE"""),2882.655836)</f>
        <v>2882.655836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IFERROR(__xludf.DUMMYFUNCTION("""COMPUTED_VALUE"""),3000.9742)</f>
        <v>3000.9742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IFERROR(__xludf.DUMMYFUNCTION("""COMPUTED_VALUE"""),2997.19034)</f>
        <v>2997.19034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IFERROR(__xludf.DUMMYFUNCTION("""COMPUTED_VALUE"""),2998.18659)</f>
        <v>2998.18659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IFERROR(__xludf.DUMMYFUNCTION("""COMPUTED_VALUE"""),2986.9441)</f>
        <v>2986.9441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IFERROR(__xludf.DUMMYFUNCTION("""COMPUTED_VALUE"""),2986.03611)</f>
        <v>2986.03611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IFERROR(__xludf.DUMMYFUNCTION("""COMPUTED_VALUE"""),2985.54058)</f>
        <v>2985.54058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IFERROR(__xludf.DUMMYFUNCTION("""COMPUTED_VALUE"""),2980.2747)</f>
        <v>2980.2747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IFERROR(__xludf.DUMMYFUNCTION("""COMPUTED_VALUE"""),2999.5786)</f>
        <v>2999.5786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IFERROR(__xludf.DUMMYFUNCTION("""COMPUTED_VALUE"""),2996.06816)</f>
        <v>2996.06816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IFERROR(__xludf.DUMMYFUNCTION("""COMPUTED_VALUE"""),2961.33328)</f>
        <v>2961.33328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IFERROR(__xludf.DUMMYFUNCTION("""COMPUTED_VALUE"""),2956.99794)</f>
        <v>2956.99794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IFERROR(__xludf.DUMMYFUNCTION("""COMPUTED_VALUE"""),2935.049736)</f>
        <v>2935.049736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IFERROR(__xludf.DUMMYFUNCTION("""COMPUTED_VALUE"""),2868.659232)</f>
        <v>2868.659232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IFERROR(__xludf.DUMMYFUNCTION("""COMPUTED_VALUE"""),2953.803069)</f>
        <v>2953.803069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IFERROR(__xludf.DUMMYFUNCTION("""COMPUTED_VALUE"""),2947.03812)</f>
        <v>2947.03812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IFERROR(__xludf.DUMMYFUNCTION("""COMPUTED_VALUE"""),2949.1341)</f>
        <v>2949.1341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IFERROR(__xludf.DUMMYFUNCTION("""COMPUTED_VALUE"""),2940.03585)</f>
        <v>2940.03585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IFERROR(__xludf.DUMMYFUNCTION("""COMPUTED_VALUE"""),2937.1668)</f>
        <v>2937.1668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IFERROR(__xludf.DUMMYFUNCTION("""COMPUTED_VALUE"""),2935.24465)</f>
        <v>2935.24465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IFERROR(__xludf.DUMMYFUNCTION("""COMPUTED_VALUE"""),2949.999694)</f>
        <v>2949.999694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IFERROR(__xludf.DUMMYFUNCTION("""COMPUTED_VALUE"""),2887.468205)</f>
        <v>2887.468205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IFERROR(__xludf.DUMMYFUNCTION("""COMPUTED_VALUE"""),2940.80365)</f>
        <v>2940.80365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IFERROR(__xludf.DUMMYFUNCTION("""COMPUTED_VALUE"""),2971.227)</f>
        <v>2971.227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IFERROR(__xludf.DUMMYFUNCTION("""COMPUTED_VALUE"""),2971.4898)</f>
        <v>2971.4898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IFERROR(__xludf.DUMMYFUNCTION("""COMPUTED_VALUE"""),2952.75)</f>
        <v>2952.75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IFERROR(__xludf.DUMMYFUNCTION("""COMPUTED_VALUE"""),2912.25)</f>
        <v>2912.25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IFERROR(__xludf.DUMMYFUNCTION("""COMPUTED_VALUE"""),2925.070474)</f>
        <v>2925.070474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IFERROR(__xludf.DUMMYFUNCTION("""COMPUTED_VALUE"""),2911.893115)</f>
        <v>2911.893115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IFERROR(__xludf.DUMMYFUNCTION("""COMPUTED_VALUE"""),2927.625)</f>
        <v>2927.625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IFERROR(__xludf.DUMMYFUNCTION("""COMPUTED_VALUE"""),2928.09294)</f>
        <v>2928.09294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IFERROR(__xludf.DUMMYFUNCTION("""COMPUTED_VALUE"""),2917.82225)</f>
        <v>2917.82225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IFERROR(__xludf.DUMMYFUNCTION("""COMPUTED_VALUE"""),2957.58325)</f>
        <v>2957.58325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IFERROR(__xludf.DUMMYFUNCTION("""COMPUTED_VALUE"""),2936.0448)</f>
        <v>2936.0448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IFERROR(__xludf.DUMMYFUNCTION("""COMPUTED_VALUE"""),2832.075743)</f>
        <v>2832.075743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IFERROR(__xludf.DUMMYFUNCTION("""COMPUTED_VALUE"""),2932.139928)</f>
        <v>2932.139928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IFERROR(__xludf.DUMMYFUNCTION("""COMPUTED_VALUE"""),2956.107)</f>
        <v>2956.107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IFERROR(__xludf.DUMMYFUNCTION("""COMPUTED_VALUE"""),2953.45215)</f>
        <v>2953.45215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IFERROR(__xludf.DUMMYFUNCTION("""COMPUTED_VALUE"""),2954.3517)</f>
        <v>2954.3517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IFERROR(__xludf.DUMMYFUNCTION("""COMPUTED_VALUE"""),2943.35955)</f>
        <v>2943.35955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IFERROR(__xludf.DUMMYFUNCTION("""COMPUTED_VALUE"""),2962.61775)</f>
        <v>2962.61775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IFERROR(__xludf.DUMMYFUNCTION("""COMPUTED_VALUE"""),2889.00784)</f>
        <v>2889.00784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IFERROR(__xludf.DUMMYFUNCTION("""COMPUTED_VALUE"""),3000.766264)</f>
        <v>3000.766264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IFERROR(__xludf.DUMMYFUNCTION("""COMPUTED_VALUE"""),2960.556147)</f>
        <v>2960.556147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IFERROR(__xludf.DUMMYFUNCTION("""COMPUTED_VALUE"""),2967.4407)</f>
        <v>2967.4407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IFERROR(__xludf.DUMMYFUNCTION("""COMPUTED_VALUE"""),2973.250689)</f>
        <v>2973.250689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IFERROR(__xludf.DUMMYFUNCTION("""COMPUTED_VALUE"""),2956.26855)</f>
        <v>2956.26855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IFERROR(__xludf.DUMMYFUNCTION("""COMPUTED_VALUE"""),2947.02204)</f>
        <v>2947.02204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IFERROR(__xludf.DUMMYFUNCTION("""COMPUTED_VALUE"""),2919.21776)</f>
        <v>2919.21776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IFERROR(__xludf.DUMMYFUNCTION("""COMPUTED_VALUE"""),2898.14652)</f>
        <v>2898.14652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IFERROR(__xludf.DUMMYFUNCTION("""COMPUTED_VALUE"""),2941.251775)</f>
        <v>2941.251775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IFERROR(__xludf.DUMMYFUNCTION("""COMPUTED_VALUE"""),2944.545682)</f>
        <v>2944.545682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IFERROR(__xludf.DUMMYFUNCTION("""COMPUTED_VALUE"""),2946.487104)</f>
        <v>2946.487104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IFERROR(__xludf.DUMMYFUNCTION("""COMPUTED_VALUE"""),2943.380544)</f>
        <v>2943.380544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IFERROR(__xludf.DUMMYFUNCTION("""COMPUTED_VALUE"""),2952.60624)</f>
        <v>2952.60624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IFERROR(__xludf.DUMMYFUNCTION("""COMPUTED_VALUE"""),2911.48072)</f>
        <v>2911.48072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IFERROR(__xludf.DUMMYFUNCTION("""COMPUTED_VALUE"""),2924.952652)</f>
        <v>2924.952652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IFERROR(__xludf.DUMMYFUNCTION("""COMPUTED_VALUE"""),2963.540657)</f>
        <v>2963.540657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IFERROR(__xludf.DUMMYFUNCTION("""COMPUTED_VALUE"""),2951.539344)</f>
        <v>2951.539344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IFERROR(__xludf.DUMMYFUNCTION("""COMPUTED_VALUE"""),2954.822823)</f>
        <v>2954.822823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IFERROR(__xludf.DUMMYFUNCTION("""COMPUTED_VALUE"""),2957.612602)</f>
        <v>2957.612602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IFERROR(__xludf.DUMMYFUNCTION("""COMPUTED_VALUE"""),2965.03662)</f>
        <v>2965.03662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IFERROR(__xludf.DUMMYFUNCTION("""COMPUTED_VALUE"""),2850.96052)</f>
        <v>2850.96052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IFERROR(__xludf.DUMMYFUNCTION("""COMPUTED_VALUE"""),2891.408348)</f>
        <v>2891.408348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IFERROR(__xludf.DUMMYFUNCTION("""COMPUTED_VALUE"""),2938.409568)</f>
        <v>2938.409568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IFERROR(__xludf.DUMMYFUNCTION("""COMPUTED_VALUE"""),2957.457462)</f>
        <v>2957.457462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IFERROR(__xludf.DUMMYFUNCTION("""COMPUTED_VALUE"""),2950.173358)</f>
        <v>2950.173358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IFERROR(__xludf.DUMMYFUNCTION("""COMPUTED_VALUE"""),2947.554496)</f>
        <v>2947.554496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IFERROR(__xludf.DUMMYFUNCTION("""COMPUTED_VALUE"""),2956.65471)</f>
        <v>2956.65471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IFERROR(__xludf.DUMMYFUNCTION("""COMPUTED_VALUE"""),2910.10509)</f>
        <v>2910.10509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IFERROR(__xludf.DUMMYFUNCTION("""COMPUTED_VALUE"""),2927.17773)</f>
        <v>2927.17773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IFERROR(__xludf.DUMMYFUNCTION("""COMPUTED_VALUE"""),2960.706087)</f>
        <v>2960.706087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IFERROR(__xludf.DUMMYFUNCTION("""COMPUTED_VALUE"""),2970.109272)</f>
        <v>2970.109272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IFERROR(__xludf.DUMMYFUNCTION("""COMPUTED_VALUE"""),2976.21562)</f>
        <v>2976.21562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IFERROR(__xludf.DUMMYFUNCTION("""COMPUTED_VALUE"""),2985.784776)</f>
        <v>2985.784776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IFERROR(__xludf.DUMMYFUNCTION("""COMPUTED_VALUE"""),2983.48375)</f>
        <v>2983.48375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IFERROR(__xludf.DUMMYFUNCTION("""COMPUTED_VALUE"""),2983.7665)</f>
        <v>2983.7665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IFERROR(__xludf.DUMMYFUNCTION("""COMPUTED_VALUE"""),2991.184523)</f>
        <v>2991.184523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IFERROR(__xludf.DUMMYFUNCTION("""COMPUTED_VALUE"""),2966.86368)</f>
        <v>2966.86368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IFERROR(__xludf.DUMMYFUNCTION("""COMPUTED_VALUE"""),2965.860768)</f>
        <v>2965.860768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IFERROR(__xludf.DUMMYFUNCTION("""COMPUTED_VALUE"""),2975.01645)</f>
        <v>2975.01645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IFERROR(__xludf.DUMMYFUNCTION("""COMPUTED_VALUE"""),2982.952882)</f>
        <v>2982.952882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IFERROR(__xludf.DUMMYFUNCTION("""COMPUTED_VALUE"""),2980.3515)</f>
        <v>2980.3515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IFERROR(__xludf.DUMMYFUNCTION("""COMPUTED_VALUE"""),2995.544712)</f>
        <v>2995.544712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IFERROR(__xludf.DUMMYFUNCTION("""COMPUTED_VALUE"""),2921.9798)</f>
        <v>2921.9798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IFERROR(__xludf.DUMMYFUNCTION("""COMPUTED_VALUE"""),2987.408)</f>
        <v>2987.408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IFERROR(__xludf.DUMMYFUNCTION("""COMPUTED_VALUE"""),3010.442688)</f>
        <v>3010.442688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IFERROR(__xludf.DUMMYFUNCTION("""COMPUTED_VALUE"""),3018.997324)</f>
        <v>3018.997324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IFERROR(__xludf.DUMMYFUNCTION("""COMPUTED_VALUE"""),3015.240336)</f>
        <v>3015.240336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IFERROR(__xludf.DUMMYFUNCTION("""COMPUTED_VALUE"""),3017.60508)</f>
        <v>3017.60508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IFERROR(__xludf.DUMMYFUNCTION("""COMPUTED_VALUE"""),2979.315619)</f>
        <v>2979.315619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IFERROR(__xludf.DUMMYFUNCTION("""COMPUTED_VALUE"""),2998.861469)</f>
        <v>2998.861469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IFERROR(__xludf.DUMMYFUNCTION("""COMPUTED_VALUE"""),3034.418235)</f>
        <v>3034.418235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IFERROR(__xludf.DUMMYFUNCTION("""COMPUTED_VALUE"""),3050.287)</f>
        <v>3050.287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IFERROR(__xludf.DUMMYFUNCTION("""COMPUTED_VALUE"""),3033.98386)</f>
        <v>3033.98386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IFERROR(__xludf.DUMMYFUNCTION("""COMPUTED_VALUE"""),3037.609575)</f>
        <v>3037.609575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IFERROR(__xludf.DUMMYFUNCTION("""COMPUTED_VALUE"""),3028.085667)</f>
        <v>3028.085667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IFERROR(__xludf.DUMMYFUNCTION("""COMPUTED_VALUE"""),2975.61534)</f>
        <v>2975.61534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IFERROR(__xludf.DUMMYFUNCTION("""COMPUTED_VALUE"""),2982.932613)</f>
        <v>2982.932613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IFERROR(__xludf.DUMMYFUNCTION("""COMPUTED_VALUE"""),3030.60792)</f>
        <v>3030.60792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IFERROR(__xludf.DUMMYFUNCTION("""COMPUTED_VALUE"""),3031.950117)</f>
        <v>3031.950117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IFERROR(__xludf.DUMMYFUNCTION("""COMPUTED_VALUE"""),3029.063944)</f>
        <v>3029.063944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IFERROR(__xludf.DUMMYFUNCTION("""COMPUTED_VALUE"""),3016.601581)</f>
        <v>3016.601581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IFERROR(__xludf.DUMMYFUNCTION("""COMPUTED_VALUE"""),3019.42965)</f>
        <v>3019.42965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IFERROR(__xludf.DUMMYFUNCTION("""COMPUTED_VALUE"""),3019.5243)</f>
        <v>3019.5243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IFERROR(__xludf.DUMMYFUNCTION("""COMPUTED_VALUE"""),3028.812442)</f>
        <v>3028.812442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IFERROR(__xludf.DUMMYFUNCTION("""COMPUTED_VALUE"""),3016.697254)</f>
        <v>3016.697254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IFERROR(__xludf.DUMMYFUNCTION("""COMPUTED_VALUE"""),3051.04275)</f>
        <v>3051.04275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IFERROR(__xludf.DUMMYFUNCTION("""COMPUTED_VALUE"""),3055.230837)</f>
        <v>3055.230837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IFERROR(__xludf.DUMMYFUNCTION("""COMPUTED_VALUE"""),3056.9208)</f>
        <v>3056.9208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IFERROR(__xludf.DUMMYFUNCTION("""COMPUTED_VALUE"""),2993.9736)</f>
        <v>2993.9736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IFERROR(__xludf.DUMMYFUNCTION("""COMPUTED_VALUE"""),3011.534648)</f>
        <v>3011.534648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IFERROR(__xludf.DUMMYFUNCTION("""COMPUTED_VALUE"""),3047.43565)</f>
        <v>3047.43565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IFERROR(__xludf.DUMMYFUNCTION("""COMPUTED_VALUE"""),3040.427412)</f>
        <v>3040.427412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IFERROR(__xludf.DUMMYFUNCTION("""COMPUTED_VALUE"""),3045.661504)</f>
        <v>3045.661504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IFERROR(__xludf.DUMMYFUNCTION("""COMPUTED_VALUE"""),3042.578788)</f>
        <v>3042.578788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IFERROR(__xludf.DUMMYFUNCTION("""COMPUTED_VALUE"""),3041.9637)</f>
        <v>3041.9637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IFERROR(__xludf.DUMMYFUNCTION("""COMPUTED_VALUE"""),3040.7274)</f>
        <v>3040.7274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IFERROR(__xludf.DUMMYFUNCTION("""COMPUTED_VALUE"""),3049.563058)</f>
        <v>3049.563058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IFERROR(__xludf.DUMMYFUNCTION("""COMPUTED_VALUE"""),3051.45561)</f>
        <v>3051.45561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IFERROR(__xludf.DUMMYFUNCTION("""COMPUTED_VALUE"""),3067.590168)</f>
        <v>3067.590168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IFERROR(__xludf.DUMMYFUNCTION("""COMPUTED_VALUE"""),3059.288796)</f>
        <v>3059.288796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IFERROR(__xludf.DUMMYFUNCTION("""COMPUTED_VALUE"""),3056.221497)</f>
        <v>3056.221497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IFERROR(__xludf.DUMMYFUNCTION("""COMPUTED_VALUE"""),3064.5177)</f>
        <v>3064.5177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IFERROR(__xludf.DUMMYFUNCTION("""COMPUTED_VALUE"""),3035.469228)</f>
        <v>3035.469228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IFERROR(__xludf.DUMMYFUNCTION("""COMPUTED_VALUE"""),3054.999804)</f>
        <v>3054.999804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IFERROR(__xludf.DUMMYFUNCTION("""COMPUTED_VALUE"""),3074.266151)</f>
        <v>3074.266151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IFERROR(__xludf.DUMMYFUNCTION("""COMPUTED_VALUE"""),3087.981818)</f>
        <v>3087.981818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IFERROR(__xludf.DUMMYFUNCTION("""COMPUTED_VALUE"""),3101.408596)</f>
        <v>3101.408596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IFERROR(__xludf.DUMMYFUNCTION("""COMPUTED_VALUE"""),3096.994737)</f>
        <v>3096.994737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IFERROR(__xludf.DUMMYFUNCTION("""COMPUTED_VALUE"""),3118.7304)</f>
        <v>3118.7304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IFERROR(__xludf.DUMMYFUNCTION("""COMPUTED_VALUE"""),3061.636335)</f>
        <v>3061.636335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IFERROR(__xludf.DUMMYFUNCTION("""COMPUTED_VALUE"""),3178.239554)</f>
        <v>3178.239554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IFERROR(__xludf.DUMMYFUNCTION("""COMPUTED_VALUE"""),3103.24416)</f>
        <v>3103.24416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IFERROR(__xludf.DUMMYFUNCTION("""COMPUTED_VALUE"""),3091.265154)</f>
        <v>3091.265154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IFERROR(__xludf.DUMMYFUNCTION("""COMPUTED_VALUE"""),3103.829854)</f>
        <v>3103.829854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IFERROR(__xludf.DUMMYFUNCTION("""COMPUTED_VALUE"""),3095.92815)</f>
        <v>3095.92815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IFERROR(__xludf.DUMMYFUNCTION("""COMPUTED_VALUE"""),3118.3712)</f>
        <v>3118.3712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IFERROR(__xludf.DUMMYFUNCTION("""COMPUTED_VALUE"""),3117.7048)</f>
        <v>3117.7048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IFERROR(__xludf.DUMMYFUNCTION("""COMPUTED_VALUE"""),3134.291167)</f>
        <v>3134.291167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IFERROR(__xludf.DUMMYFUNCTION("""COMPUTED_VALUE"""),3101.310354)</f>
        <v>3101.310354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IFERROR(__xludf.DUMMYFUNCTION("""COMPUTED_VALUE"""),3106.047094)</f>
        <v>3106.047094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IFERROR(__xludf.DUMMYFUNCTION("""COMPUTED_VALUE"""),3097.352184)</f>
        <v>3097.352184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IFERROR(__xludf.DUMMYFUNCTION("""COMPUTED_VALUE"""),3103.790592)</f>
        <v>3103.790592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IFERROR(__xludf.DUMMYFUNCTION("""COMPUTED_VALUE"""),3119.78325)</f>
        <v>3119.78325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IFERROR(__xludf.DUMMYFUNCTION("""COMPUTED_VALUE"""),3045.52315)</f>
        <v>3045.52315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IFERROR(__xludf.DUMMYFUNCTION("""COMPUTED_VALUE"""),3050.325863)</f>
        <v>3050.325863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IFERROR(__xludf.DUMMYFUNCTION("""COMPUTED_VALUE"""),3117.47421)</f>
        <v>3117.47421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IFERROR(__xludf.DUMMYFUNCTION("""COMPUTED_VALUE"""),3127.57046)</f>
        <v>3127.57046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IFERROR(__xludf.DUMMYFUNCTION("""COMPUTED_VALUE"""),3122.581443)</f>
        <v>3122.581443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IFERROR(__xludf.DUMMYFUNCTION("""COMPUTED_VALUE"""),3128.170521)</f>
        <v>3128.170521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IFERROR(__xludf.DUMMYFUNCTION("""COMPUTED_VALUE"""),3127.04544)</f>
        <v>3127.04544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IFERROR(__xludf.DUMMYFUNCTION("""COMPUTED_VALUE"""),3145.192106)</f>
        <v>3145.192106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IFERROR(__xludf.DUMMYFUNCTION("""COMPUTED_VALUE"""),3021.59264)</f>
        <v>3021.59264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IFERROR(__xludf.DUMMYFUNCTION("""COMPUTED_VALUE"""),3114.08284)</f>
        <v>3114.08284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IFERROR(__xludf.DUMMYFUNCTION("""COMPUTED_VALUE"""),3111.358521)</f>
        <v>3111.358521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IFERROR(__xludf.DUMMYFUNCTION("""COMPUTED_VALUE"""),3108.131878)</f>
        <v>3108.131878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IFERROR(__xludf.DUMMYFUNCTION("""COMPUTED_VALUE"""),3111.865911)</f>
        <v>3111.865911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IFERROR(__xludf.DUMMYFUNCTION("""COMPUTED_VALUE"""),3119.91427)</f>
        <v>3119.91427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IFERROR(__xludf.DUMMYFUNCTION("""COMPUTED_VALUE"""),3120.39192)</f>
        <v>3120.39192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IFERROR(__xludf.DUMMYFUNCTION("""COMPUTED_VALUE"""),3126.558552)</f>
        <v>3126.558552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IFERROR(__xludf.DUMMYFUNCTION("""COMPUTED_VALUE"""),3124.595292)</f>
        <v>3124.595292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IFERROR(__xludf.DUMMYFUNCTION("""COMPUTED_VALUE"""),3126.974544)</f>
        <v>3126.974544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IFERROR(__xludf.DUMMYFUNCTION("""COMPUTED_VALUE"""),3142.00296)</f>
        <v>3142.00296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IFERROR(__xludf.DUMMYFUNCTION("""COMPUTED_VALUE"""),3144.947006)</f>
        <v>3144.947006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IFERROR(__xludf.DUMMYFUNCTION("""COMPUTED_VALUE"""),3134.18976)</f>
        <v>3134.18976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IFERROR(__xludf.DUMMYFUNCTION("""COMPUTED_VALUE"""),3066.63247)</f>
        <v>3066.63247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IFERROR(__xludf.DUMMYFUNCTION("""COMPUTED_VALUE"""),3141.911073)</f>
        <v>3141.911073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IFERROR(__xludf.DUMMYFUNCTION("""COMPUTED_VALUE"""),3134.32056)</f>
        <v>3134.32056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IFERROR(__xludf.DUMMYFUNCTION("""COMPUTED_VALUE"""),3129.6115)</f>
        <v>3129.6115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IFERROR(__xludf.DUMMYFUNCTION("""COMPUTED_VALUE"""),3129.246052)</f>
        <v>3129.246052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IFERROR(__xludf.DUMMYFUNCTION("""COMPUTED_VALUE"""),3146.703638)</f>
        <v>3146.703638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IFERROR(__xludf.DUMMYFUNCTION("""COMPUTED_VALUE"""),3147.988)</f>
        <v>3147.988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IFERROR(__xludf.DUMMYFUNCTION("""COMPUTED_VALUE"""),3099.0342)</f>
        <v>3099.0342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IFERROR(__xludf.DUMMYFUNCTION("""COMPUTED_VALUE"""),3102.110701)</f>
        <v>3102.110701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IFERROR(__xludf.DUMMYFUNCTION("""COMPUTED_VALUE"""),3125.47584)</f>
        <v>3125.47584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IFERROR(__xludf.DUMMYFUNCTION("""COMPUTED_VALUE"""),3140.532558)</f>
        <v>3140.532558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IFERROR(__xludf.DUMMYFUNCTION("""COMPUTED_VALUE"""),3140.64072)</f>
        <v>3140.64072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IFERROR(__xludf.DUMMYFUNCTION("""COMPUTED_VALUE"""),3139.29795)</f>
        <v>3139.29795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IFERROR(__xludf.DUMMYFUNCTION("""COMPUTED_VALUE"""),3136.660848)</f>
        <v>3136.660848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IFERROR(__xludf.DUMMYFUNCTION("""COMPUTED_VALUE"""),3064.005)</f>
        <v>3064.005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IFERROR(__xludf.DUMMYFUNCTION("""COMPUTED_VALUE"""),3129.702552)</f>
        <v>3129.702552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IFERROR(__xludf.DUMMYFUNCTION("""COMPUTED_VALUE"""),3128.618766)</f>
        <v>3128.618766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IFERROR(__xludf.DUMMYFUNCTION("""COMPUTED_VALUE"""),3129.41278)</f>
        <v>3129.41278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IFERROR(__xludf.DUMMYFUNCTION("""COMPUTED_VALUE"""),3131.636928)</f>
        <v>3131.636928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IFERROR(__xludf.DUMMYFUNCTION("""COMPUTED_VALUE"""),3130.858926)</f>
        <v>3130.858926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IFERROR(__xludf.DUMMYFUNCTION("""COMPUTED_VALUE"""),3129.57593)</f>
        <v>3129.57593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IFERROR(__xludf.DUMMYFUNCTION("""COMPUTED_VALUE"""),3068.0972)</f>
        <v>3068.0972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IFERROR(__xludf.DUMMYFUNCTION("""COMPUTED_VALUE"""),3087.012796)</f>
        <v>3087.012796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IFERROR(__xludf.DUMMYFUNCTION("""COMPUTED_VALUE"""),3124.838184)</f>
        <v>3124.838184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IFERROR(__xludf.DUMMYFUNCTION("""COMPUTED_VALUE"""),3129.05994)</f>
        <v>3129.05994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IFERROR(__xludf.DUMMYFUNCTION("""COMPUTED_VALUE"""),3133.633074)</f>
        <v>3133.633074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IFERROR(__xludf.DUMMYFUNCTION("""COMPUTED_VALUE"""),3131.01165)</f>
        <v>3131.01165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IFERROR(__xludf.DUMMYFUNCTION("""COMPUTED_VALUE"""),3120.754041)</f>
        <v>3120.754041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IFERROR(__xludf.DUMMYFUNCTION("""COMPUTED_VALUE"""),3066.24)</f>
        <v>3066.24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IFERROR(__xludf.DUMMYFUNCTION("""COMPUTED_VALUE"""),3078.05901)</f>
        <v>3078.05901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IFERROR(__xludf.DUMMYFUNCTION("""COMPUTED_VALUE"""),3135.073968)</f>
        <v>3135.073968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IFERROR(__xludf.DUMMYFUNCTION("""COMPUTED_VALUE"""),3135.67335)</f>
        <v>3135.67335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IFERROR(__xludf.DUMMYFUNCTION("""COMPUTED_VALUE"""),3134.754925)</f>
        <v>3134.754925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IFERROR(__xludf.DUMMYFUNCTION("""COMPUTED_VALUE"""),3132.59524)</f>
        <v>3132.59524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IFERROR(__xludf.DUMMYFUNCTION("""COMPUTED_VALUE"""),3127.998451)</f>
        <v>3127.998451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IFERROR(__xludf.DUMMYFUNCTION("""COMPUTED_VALUE"""),3087.3117)</f>
        <v>3087.3117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IFERROR(__xludf.DUMMYFUNCTION("""COMPUTED_VALUE"""),3096.07402)</f>
        <v>3096.07402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IFERROR(__xludf.DUMMYFUNCTION("""COMPUTED_VALUE"""),3132.333897)</f>
        <v>3132.333897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IFERROR(__xludf.DUMMYFUNCTION("""COMPUTED_VALUE"""),3137.986128)</f>
        <v>3137.986128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IFERROR(__xludf.DUMMYFUNCTION("""COMPUTED_VALUE"""),3138.016275)</f>
        <v>3138.016275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IFERROR(__xludf.DUMMYFUNCTION("""COMPUTED_VALUE"""),3139.132058)</f>
        <v>3139.132058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IFERROR(__xludf.DUMMYFUNCTION("""COMPUTED_VALUE"""),3148.01529)</f>
        <v>3148.01529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IFERROR(__xludf.DUMMYFUNCTION("""COMPUTED_VALUE"""),3081.12231)</f>
        <v>3081.12231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IFERROR(__xludf.DUMMYFUNCTION("""COMPUTED_VALUE"""),3098.076724)</f>
        <v>3098.076724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IFERROR(__xludf.DUMMYFUNCTION("""COMPUTED_VALUE"""),3143.925752)</f>
        <v>3143.925752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IFERROR(__xludf.DUMMYFUNCTION("""COMPUTED_VALUE"""),3144.353184)</f>
        <v>3144.353184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IFERROR(__xludf.DUMMYFUNCTION("""COMPUTED_VALUE"""),3143.912092)</f>
        <v>3143.912092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IFERROR(__xludf.DUMMYFUNCTION("""COMPUTED_VALUE"""),3140.139975)</f>
        <v>3140.139975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IFERROR(__xludf.DUMMYFUNCTION("""COMPUTED_VALUE"""),3136.969869)</f>
        <v>3136.969869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IFERROR(__xludf.DUMMYFUNCTION("""COMPUTED_VALUE"""),3137.85285)</f>
        <v>3137.85285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IFERROR(__xludf.DUMMYFUNCTION("""COMPUTED_VALUE"""),3136.926933)</f>
        <v>3136.926933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IFERROR(__xludf.DUMMYFUNCTION("""COMPUTED_VALUE"""),3134.949224)</f>
        <v>3134.949224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IFERROR(__xludf.DUMMYFUNCTION("""COMPUTED_VALUE"""),3138.437688)</f>
        <v>3138.437688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IFERROR(__xludf.DUMMYFUNCTION("""COMPUTED_VALUE"""),3147.374022)</f>
        <v>3147.374022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IFERROR(__xludf.DUMMYFUNCTION("""COMPUTED_VALUE"""),3141.963188)</f>
        <v>3141.963188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IFERROR(__xludf.DUMMYFUNCTION("""COMPUTED_VALUE"""),3140.70165)</f>
        <v>3140.70165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IFERROR(__xludf.DUMMYFUNCTION("""COMPUTED_VALUE"""),3140.732368)</f>
        <v>3140.732368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IFERROR(__xludf.DUMMYFUNCTION("""COMPUTED_VALUE"""),3143.27115)</f>
        <v>3143.27115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IFERROR(__xludf.DUMMYFUNCTION("""COMPUTED_VALUE"""),3140.367296)</f>
        <v>3140.367296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IFERROR(__xludf.DUMMYFUNCTION("""COMPUTED_VALUE"""),3147.122453)</f>
        <v>3147.122453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IFERROR(__xludf.DUMMYFUNCTION("""COMPUTED_VALUE"""),3143.701633)</f>
        <v>3143.701633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IFERROR(__xludf.DUMMYFUNCTION("""COMPUTED_VALUE"""),3146.47056)</f>
        <v>3146.47056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IFERROR(__xludf.DUMMYFUNCTION("""COMPUTED_VALUE"""),3142.763455)</f>
        <v>3142.763455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IFERROR(__xludf.DUMMYFUNCTION("""COMPUTED_VALUE"""),3137.3767)</f>
        <v>3137.3767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IFERROR(__xludf.DUMMYFUNCTION("""COMPUTED_VALUE"""),3162.306044)</f>
        <v>3162.306044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IFERROR(__xludf.DUMMYFUNCTION("""COMPUTED_VALUE"""),3139.522176)</f>
        <v>3139.522176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IFERROR(__xludf.DUMMYFUNCTION("""COMPUTED_VALUE"""),3137.80951)</f>
        <v>3137.80951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IFERROR(__xludf.DUMMYFUNCTION("""COMPUTED_VALUE"""),3135.29869)</f>
        <v>3135.29869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IFERROR(__xludf.DUMMYFUNCTION("""COMPUTED_VALUE"""),3144.890316)</f>
        <v>3144.890316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IFERROR(__xludf.DUMMYFUNCTION("""COMPUTED_VALUE"""),3141.6912)</f>
        <v>3141.6912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IFERROR(__xludf.DUMMYFUNCTION("""COMPUTED_VALUE"""),3087.182616)</f>
        <v>3087.182616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IFERROR(__xludf.DUMMYFUNCTION("""COMPUTED_VALUE"""),3089.633679)</f>
        <v>3089.633679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IFERROR(__xludf.DUMMYFUNCTION("""COMPUTED_VALUE"""),3139.93293)</f>
        <v>3139.93293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IFERROR(__xludf.DUMMYFUNCTION("""COMPUTED_VALUE"""),3139.74075)</f>
        <v>3139.74075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IFERROR(__xludf.DUMMYFUNCTION("""COMPUTED_VALUE"""),3168.977925)</f>
        <v>3168.977925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IFERROR(__xludf.DUMMYFUNCTION("""COMPUTED_VALUE"""),3165.416229)</f>
        <v>3165.416229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IFERROR(__xludf.DUMMYFUNCTION("""COMPUTED_VALUE"""),3157.098496)</f>
        <v>3157.098496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IFERROR(__xludf.DUMMYFUNCTION("""COMPUTED_VALUE"""),3157.4686)</f>
        <v>3157.4686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IFERROR(__xludf.DUMMYFUNCTION("""COMPUTED_VALUE"""),3163.013436)</f>
        <v>3163.013436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IFERROR(__xludf.DUMMYFUNCTION("""COMPUTED_VALUE"""),3164.805703)</f>
        <v>3164.805703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IFERROR(__xludf.DUMMYFUNCTION("""COMPUTED_VALUE"""),3162.79566)</f>
        <v>3162.79566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IFERROR(__xludf.DUMMYFUNCTION("""COMPUTED_VALUE"""),3165.974949)</f>
        <v>3165.974949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IFERROR(__xludf.DUMMYFUNCTION("""COMPUTED_VALUE"""),3183.8576)</f>
        <v>3183.8576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IFERROR(__xludf.DUMMYFUNCTION("""COMPUTED_VALUE"""),3176.601834)</f>
        <v>3176.601834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IFERROR(__xludf.DUMMYFUNCTION("""COMPUTED_VALUE"""),3139.165455)</f>
        <v>3139.165455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IFERROR(__xludf.DUMMYFUNCTION("""COMPUTED_VALUE"""),3145.385889)</f>
        <v>3145.385889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IFERROR(__xludf.DUMMYFUNCTION("""COMPUTED_VALUE"""),3181.003616)</f>
        <v>3181.003616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IFERROR(__xludf.DUMMYFUNCTION("""COMPUTED_VALUE"""),3190.04148)</f>
        <v>3190.04148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IFERROR(__xludf.DUMMYFUNCTION("""COMPUTED_VALUE"""),3185.887152)</f>
        <v>3185.887152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IFERROR(__xludf.DUMMYFUNCTION("""COMPUTED_VALUE"""),3191.262406)</f>
        <v>3191.262406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IFERROR(__xludf.DUMMYFUNCTION("""COMPUTED_VALUE"""),3182.526834)</f>
        <v>3182.526834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IFERROR(__xludf.DUMMYFUNCTION("""COMPUTED_VALUE"""),3116.191078)</f>
        <v>3116.191078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IFERROR(__xludf.DUMMYFUNCTION("""COMPUTED_VALUE"""),3142.48674)</f>
        <v>3142.48674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IFERROR(__xludf.DUMMYFUNCTION("""COMPUTED_VALUE"""),3157.118162)</f>
        <v>3157.118162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IFERROR(__xludf.DUMMYFUNCTION("""COMPUTED_VALUE"""),3147.291708)</f>
        <v>3147.291708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IFERROR(__xludf.DUMMYFUNCTION("""COMPUTED_VALUE"""),3151.909867)</f>
        <v>3151.909867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IFERROR(__xludf.DUMMYFUNCTION("""COMPUTED_VALUE"""),3152.5868)</f>
        <v>3152.5868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IFERROR(__xludf.DUMMYFUNCTION("""COMPUTED_VALUE"""),3158.07168)</f>
        <v>3158.07168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IFERROR(__xludf.DUMMYFUNCTION("""COMPUTED_VALUE"""),3144.560384)</f>
        <v>3144.560384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IFERROR(__xludf.DUMMYFUNCTION("""COMPUTED_VALUE"""),3155.382837)</f>
        <v>3155.382837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IFERROR(__xludf.DUMMYFUNCTION("""COMPUTED_VALUE"""),3162.72195)</f>
        <v>3162.72195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IFERROR(__xludf.DUMMYFUNCTION("""COMPUTED_VALUE"""),3139.4345)</f>
        <v>3139.4345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IFERROR(__xludf.DUMMYFUNCTION("""COMPUTED_VALUE"""),3129.839397)</f>
        <v>3129.839397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IFERROR(__xludf.DUMMYFUNCTION("""COMPUTED_VALUE"""),3108.389355)</f>
        <v>3108.389355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IFERROR(__xludf.DUMMYFUNCTION("""COMPUTED_VALUE"""),3117.4296)</f>
        <v>3117.4296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IFERROR(__xludf.DUMMYFUNCTION("""COMPUTED_VALUE"""),3134.5027)</f>
        <v>3134.5027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IFERROR(__xludf.DUMMYFUNCTION("""COMPUTED_VALUE"""),3039.072192)</f>
        <v>3039.072192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IFERROR(__xludf.DUMMYFUNCTION("""COMPUTED_VALUE"""),3114.399246)</f>
        <v>3114.399246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IFERROR(__xludf.DUMMYFUNCTION("""COMPUTED_VALUE"""),3120.999171)</f>
        <v>3120.999171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IFERROR(__xludf.DUMMYFUNCTION("""COMPUTED_VALUE"""),3121.702682)</f>
        <v>3121.702682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IFERROR(__xludf.DUMMYFUNCTION("""COMPUTED_VALUE"""),3123.27792)</f>
        <v>3123.27792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IFERROR(__xludf.DUMMYFUNCTION("""COMPUTED_VALUE"""),3108.000159)</f>
        <v>3108.000159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IFERROR(__xludf.DUMMYFUNCTION("""COMPUTED_VALUE"""),3039.311765)</f>
        <v>3039.311765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IFERROR(__xludf.DUMMYFUNCTION("""COMPUTED_VALUE"""),3031.574481)</f>
        <v>3031.574481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IFERROR(__xludf.DUMMYFUNCTION("""COMPUTED_VALUE"""),3092.623578)</f>
        <v>3092.623578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IFERROR(__xludf.DUMMYFUNCTION("""COMPUTED_VALUE"""),3101.323542)</f>
        <v>3101.323542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IFERROR(__xludf.DUMMYFUNCTION("""COMPUTED_VALUE"""),3111.296195)</f>
        <v>3111.296195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IFERROR(__xludf.DUMMYFUNCTION("""COMPUTED_VALUE"""),3113.799964)</f>
        <v>3113.799964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IFERROR(__xludf.DUMMYFUNCTION("""COMPUTED_VALUE"""),3112.945836)</f>
        <v>3112.945836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IFERROR(__xludf.DUMMYFUNCTION("""COMPUTED_VALUE"""),3065.66325)</f>
        <v>3065.66325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IFERROR(__xludf.DUMMYFUNCTION("""COMPUTED_VALUE"""),3077.594553)</f>
        <v>3077.594553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IFERROR(__xludf.DUMMYFUNCTION("""COMPUTED_VALUE"""),3111.644888)</f>
        <v>3111.644888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IFERROR(__xludf.DUMMYFUNCTION("""COMPUTED_VALUE"""),3115.3178)</f>
        <v>3115.3178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IFERROR(__xludf.DUMMYFUNCTION("""COMPUTED_VALUE"""),3115.347075)</f>
        <v>3115.347075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IFERROR(__xludf.DUMMYFUNCTION("""COMPUTED_VALUE"""),3106.385205)</f>
        <v>3106.385205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IFERROR(__xludf.DUMMYFUNCTION("""COMPUTED_VALUE"""),3116.768815)</f>
        <v>3116.768815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IFERROR(__xludf.DUMMYFUNCTION("""COMPUTED_VALUE"""),3067.21332)</f>
        <v>3067.21332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IFERROR(__xludf.DUMMYFUNCTION("""COMPUTED_VALUE"""),3085.394243)</f>
        <v>3085.394243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IFERROR(__xludf.DUMMYFUNCTION("""COMPUTED_VALUE"""),3119.284304)</f>
        <v>3119.284304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IFERROR(__xludf.DUMMYFUNCTION("""COMPUTED_VALUE"""),3116.960925)</f>
        <v>3116.960925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IFERROR(__xludf.DUMMYFUNCTION("""COMPUTED_VALUE"""),3113.803239)</f>
        <v>3113.803239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IFERROR(__xludf.DUMMYFUNCTION("""COMPUTED_VALUE"""),3109.694302)</f>
        <v>3109.694302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IFERROR(__xludf.DUMMYFUNCTION("""COMPUTED_VALUE"""),3113.795175)</f>
        <v>3113.795175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IFERROR(__xludf.DUMMYFUNCTION("""COMPUTED_VALUE"""),3115.50575)</f>
        <v>3115.50575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IFERROR(__xludf.DUMMYFUNCTION("""COMPUTED_VALUE"""),3102.994984)</f>
        <v>3102.994984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IFERROR(__xludf.DUMMYFUNCTION("""COMPUTED_VALUE"""),3109.38075)</f>
        <v>3109.38075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IFERROR(__xludf.DUMMYFUNCTION("""COMPUTED_VALUE"""),3110.873858)</f>
        <v>3110.873858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IFERROR(__xludf.DUMMYFUNCTION("""COMPUTED_VALUE"""),3107.622312)</f>
        <v>3107.622312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IFERROR(__xludf.DUMMYFUNCTION("""COMPUTED_VALUE"""),3111.7758)</f>
        <v>3111.7758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IFERROR(__xludf.DUMMYFUNCTION("""COMPUTED_VALUE"""),3104.69453)</f>
        <v>3104.69453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IFERROR(__xludf.DUMMYFUNCTION("""COMPUTED_VALUE"""),3026.27136)</f>
        <v>3026.27136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IFERROR(__xludf.DUMMYFUNCTION("""COMPUTED_VALUE"""),3010.907713)</f>
        <v>3010.907713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IFERROR(__xludf.DUMMYFUNCTION("""COMPUTED_VALUE"""),3104.10403)</f>
        <v>3104.10403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IFERROR(__xludf.DUMMYFUNCTION("""COMPUTED_VALUE"""),3112.51592)</f>
        <v>3112.51592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IFERROR(__xludf.DUMMYFUNCTION("""COMPUTED_VALUE"""),3105.012666)</f>
        <v>3105.012666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IFERROR(__xludf.DUMMYFUNCTION("""COMPUTED_VALUE"""),3105.064666)</f>
        <v>3105.064666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IFERROR(__xludf.DUMMYFUNCTION("""COMPUTED_VALUE"""),3098.120613)</f>
        <v>3098.120613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IFERROR(__xludf.DUMMYFUNCTION("""COMPUTED_VALUE"""),3051.26353)</f>
        <v>3051.26353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IFERROR(__xludf.DUMMYFUNCTION("""COMPUTED_VALUE"""),3029.308558)</f>
        <v>3029.308558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IFERROR(__xludf.DUMMYFUNCTION("""COMPUTED_VALUE"""),3086.42796)</f>
        <v>3086.42796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IFERROR(__xludf.DUMMYFUNCTION("""COMPUTED_VALUE"""),3098.560827)</f>
        <v>3098.560827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IFERROR(__xludf.DUMMYFUNCTION("""COMPUTED_VALUE"""),3102.076192)</f>
        <v>3102.076192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IFERROR(__xludf.DUMMYFUNCTION("""COMPUTED_VALUE"""),3104.829936)</f>
        <v>3104.829936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IFERROR(__xludf.DUMMYFUNCTION("""COMPUTED_VALUE"""),3118.357008)</f>
        <v>3118.357008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IFERROR(__xludf.DUMMYFUNCTION("""COMPUTED_VALUE"""),3074.67802)</f>
        <v>3074.67802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IFERROR(__xludf.DUMMYFUNCTION("""COMPUTED_VALUE"""),3051.376128)</f>
        <v>3051.376128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IFERROR(__xludf.DUMMYFUNCTION("""COMPUTED_VALUE"""),3129.2802)</f>
        <v>3129.2802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IFERROR(__xludf.DUMMYFUNCTION("""COMPUTED_VALUE"""),3130.899504)</f>
        <v>3130.899504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IFERROR(__xludf.DUMMYFUNCTION("""COMPUTED_VALUE"""),3123.470664)</f>
        <v>3123.470664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IFERROR(__xludf.DUMMYFUNCTION("""COMPUTED_VALUE"""),3124.767272)</f>
        <v>3124.767272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IFERROR(__xludf.DUMMYFUNCTION("""COMPUTED_VALUE"""),3123.7358)</f>
        <v>3123.7358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IFERROR(__xludf.DUMMYFUNCTION("""COMPUTED_VALUE"""),3069.57924)</f>
        <v>3069.57924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IFERROR(__xludf.DUMMYFUNCTION("""COMPUTED_VALUE"""),3039.937312)</f>
        <v>3039.937312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IFERROR(__xludf.DUMMYFUNCTION("""COMPUTED_VALUE"""),3082.1809)</f>
        <v>3082.1809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IFERROR(__xludf.DUMMYFUNCTION("""COMPUTED_VALUE"""),3140.69975)</f>
        <v>3140.69975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IFERROR(__xludf.DUMMYFUNCTION("""COMPUTED_VALUE"""),3151.644464)</f>
        <v>3151.644464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IFERROR(__xludf.DUMMYFUNCTION("""COMPUTED_VALUE"""),3152.325435)</f>
        <v>3152.325435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IFERROR(__xludf.DUMMYFUNCTION("""COMPUTED_VALUE"""),3178.793106)</f>
        <v>3178.793106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IFERROR(__xludf.DUMMYFUNCTION("""COMPUTED_VALUE"""),3199.015525)</f>
        <v>3199.015525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IFERROR(__xludf.DUMMYFUNCTION("""COMPUTED_VALUE"""),3135.528373)</f>
        <v>3135.528373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IFERROR(__xludf.DUMMYFUNCTION("""COMPUTED_VALUE"""),3171.992166)</f>
        <v>3171.992166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IFERROR(__xludf.DUMMYFUNCTION("""COMPUTED_VALUE"""),3188.5035)</f>
        <v>3188.5035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IFERROR(__xludf.DUMMYFUNCTION("""COMPUTED_VALUE"""),3185.752341)</f>
        <v>3185.752341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IFERROR(__xludf.DUMMYFUNCTION("""COMPUTED_VALUE"""),3184.590084)</f>
        <v>3184.590084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IFERROR(__xludf.DUMMYFUNCTION("""COMPUTED_VALUE"""),3179.68235)</f>
        <v>3179.68235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IFERROR(__xludf.DUMMYFUNCTION("""COMPUTED_VALUE"""),3132.71168)</f>
        <v>3132.71168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IFERROR(__xludf.DUMMYFUNCTION("""COMPUTED_VALUE"""),3177.73736)</f>
        <v>3177.73736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IFERROR(__xludf.DUMMYFUNCTION("""COMPUTED_VALUE"""),3180.509316)</f>
        <v>3180.509316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IFERROR(__xludf.DUMMYFUNCTION("""COMPUTED_VALUE"""),3184.135677)</f>
        <v>3184.135677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IFERROR(__xludf.DUMMYFUNCTION("""COMPUTED_VALUE"""),3191.45088)</f>
        <v>3191.45088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IFERROR(__xludf.DUMMYFUNCTION("""COMPUTED_VALUE"""),3125.995173)</f>
        <v>3125.995173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IFERROR(__xludf.DUMMYFUNCTION("""COMPUTED_VALUE"""),3187.956926)</f>
        <v>3187.956926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IFERROR(__xludf.DUMMYFUNCTION("""COMPUTED_VALUE"""),3207.699576)</f>
        <v>3207.699576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IFERROR(__xludf.DUMMYFUNCTION("""COMPUTED_VALUE"""),3122.15176)</f>
        <v>3122.15176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IFERROR(__xludf.DUMMYFUNCTION("""COMPUTED_VALUE"""),3175.05536)</f>
        <v>3175.05536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IFERROR(__xludf.DUMMYFUNCTION("""COMPUTED_VALUE"""),3168.131013)</f>
        <v>3168.131013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IFERROR(__xludf.DUMMYFUNCTION("""COMPUTED_VALUE"""),3174.825984)</f>
        <v>3174.825984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IFERROR(__xludf.DUMMYFUNCTION("""COMPUTED_VALUE"""),3187.426815)</f>
        <v>3187.426815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IFERROR(__xludf.DUMMYFUNCTION("""COMPUTED_VALUE"""),3191.82624)</f>
        <v>3191.82624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IFERROR(__xludf.DUMMYFUNCTION("""COMPUTED_VALUE"""),3190.575318)</f>
        <v>3190.575318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IFERROR(__xludf.DUMMYFUNCTION("""COMPUTED_VALUE"""),3167.879022)</f>
        <v>3167.879022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IFERROR(__xludf.DUMMYFUNCTION("""COMPUTED_VALUE"""),3192.250246)</f>
        <v>3192.250246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IFERROR(__xludf.DUMMYFUNCTION("""COMPUTED_VALUE"""),3183.573699)</f>
        <v>3183.573699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IFERROR(__xludf.DUMMYFUNCTION("""COMPUTED_VALUE"""),3183.217206)</f>
        <v>3183.217206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IFERROR(__xludf.DUMMYFUNCTION("""COMPUTED_VALUE"""),3179.245936)</f>
        <v>3179.245936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IFERROR(__xludf.DUMMYFUNCTION("""COMPUTED_VALUE"""),3194.62264)</f>
        <v>3194.62264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IFERROR(__xludf.DUMMYFUNCTION("""COMPUTED_VALUE"""),3136.5242)</f>
        <v>3136.5242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IFERROR(__xludf.DUMMYFUNCTION("""COMPUTED_VALUE"""),3104.052354)</f>
        <v>3104.052354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IFERROR(__xludf.DUMMYFUNCTION("""COMPUTED_VALUE"""),3256.292305)</f>
        <v>3256.292305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IFERROR(__xludf.DUMMYFUNCTION("""COMPUTED_VALUE"""),3251.356232)</f>
        <v>3251.356232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IFERROR(__xludf.DUMMYFUNCTION("""COMPUTED_VALUE"""),3272.42895)</f>
        <v>3272.42895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IFERROR(__xludf.DUMMYFUNCTION("""COMPUTED_VALUE"""),3258.920346)</f>
        <v>3258.920346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IFERROR(__xludf.DUMMYFUNCTION("""COMPUTED_VALUE"""),3245.62161)</f>
        <v>3245.62161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IFERROR(__xludf.DUMMYFUNCTION("""COMPUTED_VALUE"""),3185.61999)</f>
        <v>3185.61999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IFERROR(__xludf.DUMMYFUNCTION("""COMPUTED_VALUE"""),3195.024206)</f>
        <v>3195.024206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IFERROR(__xludf.DUMMYFUNCTION("""COMPUTED_VALUE"""),3236.91392)</f>
        <v>3236.91392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IFERROR(__xludf.DUMMYFUNCTION("""COMPUTED_VALUE"""),3246.124364)</f>
        <v>3246.124364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IFERROR(__xludf.DUMMYFUNCTION("""COMPUTED_VALUE"""),3232.176138)</f>
        <v>3232.176138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IFERROR(__xludf.DUMMYFUNCTION("""COMPUTED_VALUE"""),3224.683292)</f>
        <v>3224.683292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IFERROR(__xludf.DUMMYFUNCTION("""COMPUTED_VALUE"""),3216.67936)</f>
        <v>3216.67936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IFERROR(__xludf.DUMMYFUNCTION("""COMPUTED_VALUE"""),3217.36053)</f>
        <v>3217.36053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IFERROR(__xludf.DUMMYFUNCTION("""COMPUTED_VALUE"""),3216.97129)</f>
        <v>3216.97129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IFERROR(__xludf.DUMMYFUNCTION("""COMPUTED_VALUE"""),3224.904777)</f>
        <v>3224.904777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IFERROR(__xludf.DUMMYFUNCTION("""COMPUTED_VALUE"""),3221.01369)</f>
        <v>3221.01369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IFERROR(__xludf.DUMMYFUNCTION("""COMPUTED_VALUE"""),3219.015506)</f>
        <v>3219.015506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IFERROR(__xludf.DUMMYFUNCTION("""COMPUTED_VALUE"""),3207.361346)</f>
        <v>3207.361346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IFERROR(__xludf.DUMMYFUNCTION("""COMPUTED_VALUE"""),3209.13908)</f>
        <v>3209.13908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IFERROR(__xludf.DUMMYFUNCTION("""COMPUTED_VALUE"""),3140.58864)</f>
        <v>3140.58864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IFERROR(__xludf.DUMMYFUNCTION("""COMPUTED_VALUE"""),3162.05864)</f>
        <v>3162.05864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IFERROR(__xludf.DUMMYFUNCTION("""COMPUTED_VALUE"""),3221.421428)</f>
        <v>3221.421428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IFERROR(__xludf.DUMMYFUNCTION("""COMPUTED_VALUE"""),3206.85442)</f>
        <v>3206.85442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IFERROR(__xludf.DUMMYFUNCTION("""COMPUTED_VALUE"""),3170.100864)</f>
        <v>3170.100864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IFERROR(__xludf.DUMMYFUNCTION("""COMPUTED_VALUE"""),3177.2975)</f>
        <v>3177.2975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IFERROR(__xludf.DUMMYFUNCTION("""COMPUTED_VALUE"""),3148.7733)</f>
        <v>3148.7733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IFERROR(__xludf.DUMMYFUNCTION("""COMPUTED_VALUE"""),3165.913326)</f>
        <v>3165.913326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IFERROR(__xludf.DUMMYFUNCTION("""COMPUTED_VALUE"""),3040.898557)</f>
        <v>3040.898557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IFERROR(__xludf.DUMMYFUNCTION("""COMPUTED_VALUE"""),3151.35807)</f>
        <v>3151.35807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IFERROR(__xludf.DUMMYFUNCTION("""COMPUTED_VALUE"""),3154.372788)</f>
        <v>3154.372788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IFERROR(__xludf.DUMMYFUNCTION("""COMPUTED_VALUE"""),3163.796517)</f>
        <v>3163.796517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IFERROR(__xludf.DUMMYFUNCTION("""COMPUTED_VALUE"""),3164.47999)</f>
        <v>3164.47999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IFERROR(__xludf.DUMMYFUNCTION("""COMPUTED_VALUE"""),3157.2774)</f>
        <v>3157.2774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IFERROR(__xludf.DUMMYFUNCTION("""COMPUTED_VALUE"""),3107.760515)</f>
        <v>3107.760515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IFERROR(__xludf.DUMMYFUNCTION("""COMPUTED_VALUE"""),3091.1646)</f>
        <v>3091.1646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IFERROR(__xludf.DUMMYFUNCTION("""COMPUTED_VALUE"""),3124.290744)</f>
        <v>3124.290744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IFERROR(__xludf.DUMMYFUNCTION("""COMPUTED_VALUE"""),3109.760993)</f>
        <v>3109.760993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IFERROR(__xludf.DUMMYFUNCTION("""COMPUTED_VALUE"""),3136.676265)</f>
        <v>3136.676265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IFERROR(__xludf.DUMMYFUNCTION("""COMPUTED_VALUE"""),3143.19132)</f>
        <v>3143.19132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IFERROR(__xludf.DUMMYFUNCTION("""COMPUTED_VALUE"""),3157.7612)</f>
        <v>3157.7612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IFERROR(__xludf.DUMMYFUNCTION("""COMPUTED_VALUE"""),3077.349649)</f>
        <v>3077.349649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IFERROR(__xludf.DUMMYFUNCTION("""COMPUTED_VALUE"""),3083.577835)</f>
        <v>3083.577835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IFERROR(__xludf.DUMMYFUNCTION("""COMPUTED_VALUE"""),3144.780294)</f>
        <v>3144.780294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IFERROR(__xludf.DUMMYFUNCTION("""COMPUTED_VALUE"""),3127.911696)</f>
        <v>3127.911696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IFERROR(__xludf.DUMMYFUNCTION("""COMPUTED_VALUE"""),3132.221004)</f>
        <v>3132.221004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IFERROR(__xludf.DUMMYFUNCTION("""COMPUTED_VALUE"""),3091.749812)</f>
        <v>3091.749812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IFERROR(__xludf.DUMMYFUNCTION("""COMPUTED_VALUE"""),3011.4144)</f>
        <v>3011.4144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IFERROR(__xludf.DUMMYFUNCTION("""COMPUTED_VALUE"""),3087.107569)</f>
        <v>3087.107569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IFERROR(__xludf.DUMMYFUNCTION("""COMPUTED_VALUE"""),2994.374299)</f>
        <v>2994.374299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IFERROR(__xludf.DUMMYFUNCTION("""COMPUTED_VALUE"""),3071.637378)</f>
        <v>3071.637378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IFERROR(__xludf.DUMMYFUNCTION("""COMPUTED_VALUE"""),3103.31824)</f>
        <v>3103.31824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IFERROR(__xludf.DUMMYFUNCTION("""COMPUTED_VALUE"""),3085.807314)</f>
        <v>3085.807314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IFERROR(__xludf.DUMMYFUNCTION("""COMPUTED_VALUE"""),3114.351924)</f>
        <v>3114.351924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IFERROR(__xludf.DUMMYFUNCTION("""COMPUTED_VALUE"""),3130.38)</f>
        <v>3130.38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IFERROR(__xludf.DUMMYFUNCTION("""COMPUTED_VALUE"""),3130.479)</f>
        <v>3130.479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IFERROR(__xludf.DUMMYFUNCTION("""COMPUTED_VALUE"""),2971.688917)</f>
        <v>2971.688917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IFERROR(__xludf.DUMMYFUNCTION("""COMPUTED_VALUE"""),3124.960722)</f>
        <v>3124.960722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IFERROR(__xludf.DUMMYFUNCTION("""COMPUTED_VALUE"""),3122.073912)</f>
        <v>3122.073912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IFERROR(__xludf.DUMMYFUNCTION("""COMPUTED_VALUE"""),3107.698199)</f>
        <v>3107.698199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IFERROR(__xludf.DUMMYFUNCTION("""COMPUTED_VALUE"""),3109.17981)</f>
        <v>3109.17981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IFERROR(__xludf.DUMMYFUNCTION("""COMPUTED_VALUE"""),3106.71432)</f>
        <v>3106.71432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IFERROR(__xludf.DUMMYFUNCTION("""COMPUTED_VALUE"""),3107.70612)</f>
        <v>3107.70612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IFERROR(__xludf.DUMMYFUNCTION("""COMPUTED_VALUE"""),3038.18094)</f>
        <v>3038.18094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IFERROR(__xludf.DUMMYFUNCTION("""COMPUTED_VALUE"""),3089.7165)</f>
        <v>3089.7165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IFERROR(__xludf.DUMMYFUNCTION("""COMPUTED_VALUE"""),3112.480224)</f>
        <v>3112.480224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IFERROR(__xludf.DUMMYFUNCTION("""COMPUTED_VALUE"""),3118.955245)</f>
        <v>3118.955245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IFERROR(__xludf.DUMMYFUNCTION("""COMPUTED_VALUE"""),3134.261536)</f>
        <v>3134.261536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IFERROR(__xludf.DUMMYFUNCTION("""COMPUTED_VALUE"""),3136.23184)</f>
        <v>3136.23184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IFERROR(__xludf.DUMMYFUNCTION("""COMPUTED_VALUE"""),3122.557422)</f>
        <v>3122.557422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IFERROR(__xludf.DUMMYFUNCTION("""COMPUTED_VALUE"""),3021.962031)</f>
        <v>3021.962031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IFERROR(__xludf.DUMMYFUNCTION("""COMPUTED_VALUE"""),3127.818304)</f>
        <v>3127.818304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IFERROR(__xludf.DUMMYFUNCTION("""COMPUTED_VALUE"""),3134.89289)</f>
        <v>3134.89289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IFERROR(__xludf.DUMMYFUNCTION("""COMPUTED_VALUE"""),3135.62151)</f>
        <v>3135.62151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IFERROR(__xludf.DUMMYFUNCTION("""COMPUTED_VALUE"""),3137.60832)</f>
        <v>3137.60832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IFERROR(__xludf.DUMMYFUNCTION("""COMPUTED_VALUE"""),3152.1168)</f>
        <v>3152.1168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IFERROR(__xludf.DUMMYFUNCTION("""COMPUTED_VALUE"""),3144.87999)</f>
        <v>3144.87999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IFERROR(__xludf.DUMMYFUNCTION("""COMPUTED_VALUE"""),3145.08105)</f>
        <v>3145.08105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IFERROR(__xludf.DUMMYFUNCTION("""COMPUTED_VALUE"""),3152.82244)</f>
        <v>3152.82244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IFERROR(__xludf.DUMMYFUNCTION("""COMPUTED_VALUE"""),3197.26304)</f>
        <v>3197.26304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IFERROR(__xludf.DUMMYFUNCTION("""COMPUTED_VALUE"""),3206.70233)</f>
        <v>3206.70233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IFERROR(__xludf.DUMMYFUNCTION("""COMPUTED_VALUE"""),3199.58511)</f>
        <v>3199.58511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IFERROR(__xludf.DUMMYFUNCTION("""COMPUTED_VALUE"""),3187.27251)</f>
        <v>3187.27251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IFERROR(__xludf.DUMMYFUNCTION("""COMPUTED_VALUE"""),3135.3856)</f>
        <v>3135.3856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IFERROR(__xludf.DUMMYFUNCTION("""COMPUTED_VALUE"""),3199.71771)</f>
        <v>3199.71771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IFERROR(__xludf.DUMMYFUNCTION("""COMPUTED_VALUE"""),3173.28388)</f>
        <v>3173.28388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IFERROR(__xludf.DUMMYFUNCTION("""COMPUTED_VALUE"""),3163.65452)</f>
        <v>3163.65452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IFERROR(__xludf.DUMMYFUNCTION("""COMPUTED_VALUE"""),3154.95)</f>
        <v>3154.95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IFERROR(__xludf.DUMMYFUNCTION("""COMPUTED_VALUE"""),3158.6412)</f>
        <v>3158.6412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IFERROR(__xludf.DUMMYFUNCTION("""COMPUTED_VALUE"""),3149.2955)</f>
        <v>3149.2955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IFERROR(__xludf.DUMMYFUNCTION("""COMPUTED_VALUE"""),3146.9472)</f>
        <v>3146.9472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IFERROR(__xludf.DUMMYFUNCTION("""COMPUTED_VALUE"""),3101.02364)</f>
        <v>3101.02364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IFERROR(__xludf.DUMMYFUNCTION("""COMPUTED_VALUE"""),3170.6424)</f>
        <v>3170.6424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IFERROR(__xludf.DUMMYFUNCTION("""COMPUTED_VALUE"""),3156.59175)</f>
        <v>3156.59175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IFERROR(__xludf.DUMMYFUNCTION("""COMPUTED_VALUE"""),3149.00084)</f>
        <v>3149.00084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IFERROR(__xludf.DUMMYFUNCTION("""COMPUTED_VALUE"""),3148.59129)</f>
        <v>3148.59129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IFERROR(__xludf.DUMMYFUNCTION("""COMPUTED_VALUE"""),3149.5122)</f>
        <v>3149.5122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IFERROR(__xludf.DUMMYFUNCTION("""COMPUTED_VALUE"""),3152.5819)</f>
        <v>3152.5819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IFERROR(__xludf.DUMMYFUNCTION("""COMPUTED_VALUE"""),3150.32382)</f>
        <v>3150.32382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IFERROR(__xludf.DUMMYFUNCTION("""COMPUTED_VALUE"""),3155.97548)</f>
        <v>3155.97548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IFERROR(__xludf.DUMMYFUNCTION("""COMPUTED_VALUE"""),3158.79424)</f>
        <v>3158.79424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IFERROR(__xludf.DUMMYFUNCTION("""COMPUTED_VALUE"""),3141.81294)</f>
        <v>3141.81294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IFERROR(__xludf.DUMMYFUNCTION("""COMPUTED_VALUE"""),3147.06978)</f>
        <v>3147.06978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IFERROR(__xludf.DUMMYFUNCTION("""COMPUTED_VALUE"""),3158.3496)</f>
        <v>3158.3496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IFERROR(__xludf.DUMMYFUNCTION("""COMPUTED_VALUE"""),3102.34692)</f>
        <v>3102.34692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IFERROR(__xludf.DUMMYFUNCTION("""COMPUTED_VALUE"""),3160.6848)</f>
        <v>3160.6848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IFERROR(__xludf.DUMMYFUNCTION("""COMPUTED_VALUE"""),3180.35322)</f>
        <v>3180.35322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IFERROR(__xludf.DUMMYFUNCTION("""COMPUTED_VALUE"""),3237.38346)</f>
        <v>3237.38346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IFERROR(__xludf.DUMMYFUNCTION("""COMPUTED_VALUE"""),3262.018)</f>
        <v>3262.018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IFERROR(__xludf.DUMMYFUNCTION("""COMPUTED_VALUE"""),3329.4576)</f>
        <v>3329.4576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IFERROR(__xludf.DUMMYFUNCTION("""COMPUTED_VALUE"""),3253.2725)</f>
        <v>3253.2725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IFERROR(__xludf.DUMMYFUNCTION("""COMPUTED_VALUE"""),3193.9325)</f>
        <v>3193.9325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IFERROR(__xludf.DUMMYFUNCTION("""COMPUTED_VALUE"""),3330.5532)</f>
        <v>3330.5532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IFERROR(__xludf.DUMMYFUNCTION("""COMPUTED_VALUE"""),3357.18336)</f>
        <v>3357.18336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IFERROR(__xludf.DUMMYFUNCTION("""COMPUTED_VALUE"""),3269.1)</f>
        <v>3269.1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IFERROR(__xludf.DUMMYFUNCTION("""COMPUTED_VALUE"""),3271.06071)</f>
        <v>3271.06071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IFERROR(__xludf.DUMMYFUNCTION("""COMPUTED_VALUE"""),3291.29632)</f>
        <v>3291.29632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IFERROR(__xludf.DUMMYFUNCTION("""COMPUTED_VALUE"""),3309.10365)</f>
        <v>3309.10365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IFERROR(__xludf.DUMMYFUNCTION("""COMPUTED_VALUE"""),3251.17695)</f>
        <v>3251.17695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IFERROR(__xludf.DUMMYFUNCTION("""COMPUTED_VALUE"""),3245.8384)</f>
        <v>3245.8384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IFERROR(__xludf.DUMMYFUNCTION("""COMPUTED_VALUE"""),3342.4244)</f>
        <v>3342.4244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IFERROR(__xludf.DUMMYFUNCTION("""COMPUTED_VALUE"""),3354.91689)</f>
        <v>3354.91689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IFERROR(__xludf.DUMMYFUNCTION("""COMPUTED_VALUE"""),3377.26098)</f>
        <v>3377.26098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IFERROR(__xludf.DUMMYFUNCTION("""COMPUTED_VALUE"""),3354.40116)</f>
        <v>3354.40116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IFERROR(__xludf.DUMMYFUNCTION("""COMPUTED_VALUE"""),3345.32617)</f>
        <v>3345.32617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IFERROR(__xludf.DUMMYFUNCTION("""COMPUTED_VALUE"""),3346.784)</f>
        <v>3346.784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IFERROR(__xludf.DUMMYFUNCTION("""COMPUTED_VALUE"""),3305.1945)</f>
        <v>3305.1945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IFERROR(__xludf.DUMMYFUNCTION("""COMPUTED_VALUE"""),3377.67144)</f>
        <v>3377.67144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IFERROR(__xludf.DUMMYFUNCTION("""COMPUTED_VALUE"""),3418.3774)</f>
        <v>3418.3774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IFERROR(__xludf.DUMMYFUNCTION("""COMPUTED_VALUE"""),3468.12768)</f>
        <v>3468.12768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IFERROR(__xludf.DUMMYFUNCTION("""COMPUTED_VALUE"""),3451.17204)</f>
        <v>3451.17204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IFERROR(__xludf.DUMMYFUNCTION("""COMPUTED_VALUE"""),3454.93017)</f>
        <v>3454.93017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IFERROR(__xludf.DUMMYFUNCTION("""COMPUTED_VALUE"""),3400.18756)</f>
        <v>3400.18756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IFERROR(__xludf.DUMMYFUNCTION("""COMPUTED_VALUE"""),3475.87121)</f>
        <v>3475.87121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IFERROR(__xludf.DUMMYFUNCTION("""COMPUTED_VALUE"""),3446.46432)</f>
        <v>3446.46432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IFERROR(__xludf.DUMMYFUNCTION("""COMPUTED_VALUE"""),3512.89673)</f>
        <v>3512.89673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IFERROR(__xludf.DUMMYFUNCTION("""COMPUTED_VALUE"""),3536.63064)</f>
        <v>3536.63064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IFERROR(__xludf.DUMMYFUNCTION("""COMPUTED_VALUE"""),3573.34995)</f>
        <v>3573.34995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IFERROR(__xludf.DUMMYFUNCTION("""COMPUTED_VALUE"""),3574.12896)</f>
        <v>3574.12896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IFERROR(__xludf.DUMMYFUNCTION("""COMPUTED_VALUE"""),3574.28325)</f>
        <v>3574.28325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IFERROR(__xludf.DUMMYFUNCTION("""COMPUTED_VALUE"""),3583.0815)</f>
        <v>3583.0815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IFERROR(__xludf.DUMMYFUNCTION("""COMPUTED_VALUE"""),3563.47404)</f>
        <v>3563.47404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IFERROR(__xludf.DUMMYFUNCTION("""COMPUTED_VALUE"""),3554.1303)</f>
        <v>3554.1303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IFERROR(__xludf.DUMMYFUNCTION("""COMPUTED_VALUE"""),3552.32374)</f>
        <v>3552.32374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IFERROR(__xludf.DUMMYFUNCTION("""COMPUTED_VALUE"""),3550.5009)</f>
        <v>3550.5009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IFERROR(__xludf.DUMMYFUNCTION("""COMPUTED_VALUE"""),3562.72604)</f>
        <v>3562.72604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IFERROR(__xludf.DUMMYFUNCTION("""COMPUTED_VALUE"""),3578.727196)</f>
        <v>3578.727196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IFERROR(__xludf.DUMMYFUNCTION("""COMPUTED_VALUE"""),3555.24519)</f>
        <v>3555.24519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IFERROR(__xludf.DUMMYFUNCTION("""COMPUTED_VALUE"""),3542.88288)</f>
        <v>3542.88288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IFERROR(__xludf.DUMMYFUNCTION("""COMPUTED_VALUE"""),3546.27823)</f>
        <v>3546.27823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IFERROR(__xludf.DUMMYFUNCTION("""COMPUTED_VALUE"""),3561.24924)</f>
        <v>3561.24924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IFERROR(__xludf.DUMMYFUNCTION("""COMPUTED_VALUE"""),3597.79331)</f>
        <v>3597.79331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IFERROR(__xludf.DUMMYFUNCTION("""COMPUTED_VALUE"""),3607.94418)</f>
        <v>3607.94418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IFERROR(__xludf.DUMMYFUNCTION("""COMPUTED_VALUE"""),3538.62448)</f>
        <v>3538.62448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IFERROR(__xludf.DUMMYFUNCTION("""COMPUTED_VALUE"""),3539.4945)</f>
        <v>3539.4945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IFERROR(__xludf.DUMMYFUNCTION("""COMPUTED_VALUE"""),3601.43525)</f>
        <v>3601.43525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IFERROR(__xludf.DUMMYFUNCTION("""COMPUTED_VALUE"""),3590.34464)</f>
        <v>3590.34464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IFERROR(__xludf.DUMMYFUNCTION("""COMPUTED_VALUE"""),3596.80815)</f>
        <v>3596.80815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IFERROR(__xludf.DUMMYFUNCTION("""COMPUTED_VALUE"""),3588.03363)</f>
        <v>3588.03363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IFERROR(__xludf.DUMMYFUNCTION("""COMPUTED_VALUE"""),3562.5744)</f>
        <v>3562.5744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IFERROR(__xludf.DUMMYFUNCTION("""COMPUTED_VALUE"""),3494.3076)</f>
        <v>3494.3076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IFERROR(__xludf.DUMMYFUNCTION("""COMPUTED_VALUE"""),3498.0498)</f>
        <v>3498.0498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IFERROR(__xludf.DUMMYFUNCTION("""COMPUTED_VALUE"""),3559.93137)</f>
        <v>3559.93137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IFERROR(__xludf.DUMMYFUNCTION("""COMPUTED_VALUE"""),3560.04474)</f>
        <v>3560.04474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IFERROR(__xludf.DUMMYFUNCTION("""COMPUTED_VALUE"""),3569.47968)</f>
        <v>3569.47968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IFERROR(__xludf.DUMMYFUNCTION("""COMPUTED_VALUE"""),3586.57668)</f>
        <v>3586.57668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IFERROR(__xludf.DUMMYFUNCTION("""COMPUTED_VALUE"""),3574.80018)</f>
        <v>3574.80018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IFERROR(__xludf.DUMMYFUNCTION("""COMPUTED_VALUE"""),3573.89634)</f>
        <v>3573.89634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IFERROR(__xludf.DUMMYFUNCTION("""COMPUTED_VALUE"""),3574.46124)</f>
        <v>3574.46124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IFERROR(__xludf.DUMMYFUNCTION("""COMPUTED_VALUE"""),3565.63856)</f>
        <v>3565.63856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IFERROR(__xludf.DUMMYFUNCTION("""COMPUTED_VALUE"""),3545.00608)</f>
        <v>3545.00608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IFERROR(__xludf.DUMMYFUNCTION("""COMPUTED_VALUE"""),3549.84324)</f>
        <v>3549.84324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IFERROR(__xludf.DUMMYFUNCTION("""COMPUTED_VALUE"""),3519.00744)</f>
        <v>3519.00744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IFERROR(__xludf.DUMMYFUNCTION("""COMPUTED_VALUE"""),3491.8527)</f>
        <v>3491.8527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IFERROR(__xludf.DUMMYFUNCTION("""COMPUTED_VALUE"""),3433.6057)</f>
        <v>3433.6057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IFERROR(__xludf.DUMMYFUNCTION("""COMPUTED_VALUE"""),3492.2923)</f>
        <v>3492.2923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IFERROR(__xludf.DUMMYFUNCTION("""COMPUTED_VALUE"""),3512.01375)</f>
        <v>3512.01375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IFERROR(__xludf.DUMMYFUNCTION("""COMPUTED_VALUE"""),3515.75875)</f>
        <v>3515.75875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IFERROR(__xludf.DUMMYFUNCTION("""COMPUTED_VALUE"""),3537.83486)</f>
        <v>3537.83486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IFERROR(__xludf.DUMMYFUNCTION("""COMPUTED_VALUE"""),3553.42)</f>
        <v>3553.42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IFERROR(__xludf.DUMMYFUNCTION("""COMPUTED_VALUE"""),3561.79384)</f>
        <v>3561.79384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IFERROR(__xludf.DUMMYFUNCTION("""COMPUTED_VALUE"""),3493.0412)</f>
        <v>3493.0412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IFERROR(__xludf.DUMMYFUNCTION("""COMPUTED_VALUE"""),3511.248033)</f>
        <v>3511.248033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IFERROR(__xludf.DUMMYFUNCTION("""COMPUTED_VALUE"""),3566.41922)</f>
        <v>3566.41922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IFERROR(__xludf.DUMMYFUNCTION("""COMPUTED_VALUE"""),3567.2505)</f>
        <v>3567.2505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IFERROR(__xludf.DUMMYFUNCTION("""COMPUTED_VALUE"""),3574.5718)</f>
        <v>3574.5718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IFERROR(__xludf.DUMMYFUNCTION("""COMPUTED_VALUE"""),3564.48664)</f>
        <v>3564.48664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IFERROR(__xludf.DUMMYFUNCTION("""COMPUTED_VALUE"""),3575.88294)</f>
        <v>3575.88294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IFERROR(__xludf.DUMMYFUNCTION("""COMPUTED_VALUE"""),3594.620038)</f>
        <v>3594.620038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IFERROR(__xludf.DUMMYFUNCTION("""COMPUTED_VALUE"""),3494.37711)</f>
        <v>3494.37711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IFERROR(__xludf.DUMMYFUNCTION("""COMPUTED_VALUE"""),3599.82912)</f>
        <v>3599.82912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IFERROR(__xludf.DUMMYFUNCTION("""COMPUTED_VALUE"""),3597.98715)</f>
        <v>3597.98715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IFERROR(__xludf.DUMMYFUNCTION("""COMPUTED_VALUE"""),3611.44515)</f>
        <v>3611.44515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IFERROR(__xludf.DUMMYFUNCTION("""COMPUTED_VALUE"""),3596.9736)</f>
        <v>3596.9736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IFERROR(__xludf.DUMMYFUNCTION("""COMPUTED_VALUE"""),3614.1615)</f>
        <v>3614.1615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IFERROR(__xludf.DUMMYFUNCTION("""COMPUTED_VALUE"""),3628.636848)</f>
        <v>3628.636848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IFERROR(__xludf.DUMMYFUNCTION("""COMPUTED_VALUE"""),3560.5926)</f>
        <v>3560.5926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IFERROR(__xludf.DUMMYFUNCTION("""COMPUTED_VALUE"""),3639.7922)</f>
        <v>3639.7922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IFERROR(__xludf.DUMMYFUNCTION("""COMPUTED_VALUE"""),3643.2773)</f>
        <v>3643.2773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IFERROR(__xludf.DUMMYFUNCTION("""COMPUTED_VALUE"""),3640.92361)</f>
        <v>3640.92361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IFERROR(__xludf.DUMMYFUNCTION("""COMPUTED_VALUE"""),3638.08536)</f>
        <v>3638.08536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IFERROR(__xludf.DUMMYFUNCTION("""COMPUTED_VALUE"""),3627.2703)</f>
        <v>3627.2703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IFERROR(__xludf.DUMMYFUNCTION("""COMPUTED_VALUE"""),3627.38697)</f>
        <v>3627.38697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IFERROR(__xludf.DUMMYFUNCTION("""COMPUTED_VALUE"""),3625.98693)</f>
        <v>3625.98693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IFERROR(__xludf.DUMMYFUNCTION("""COMPUTED_VALUE"""),3637.22603)</f>
        <v>3637.22603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IFERROR(__xludf.DUMMYFUNCTION("""COMPUTED_VALUE"""),3651.0775)</f>
        <v>3651.0775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IFERROR(__xludf.DUMMYFUNCTION("""COMPUTED_VALUE"""),3693.0168)</f>
        <v>3693.0168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IFERROR(__xludf.DUMMYFUNCTION("""COMPUTED_VALUE"""),3612.3516)</f>
        <v>3612.3516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IFERROR(__xludf.DUMMYFUNCTION("""COMPUTED_VALUE"""),3607.08502)</f>
        <v>3607.08502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IFERROR(__xludf.DUMMYFUNCTION("""COMPUTED_VALUE"""),3536.325)</f>
        <v>3536.325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IFERROR(__xludf.DUMMYFUNCTION("""COMPUTED_VALUE"""),3533.88375)</f>
        <v>3533.88375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IFERROR(__xludf.DUMMYFUNCTION("""COMPUTED_VALUE"""),3637.7608)</f>
        <v>3637.7608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IFERROR(__xludf.DUMMYFUNCTION("""COMPUTED_VALUE"""),3631.22405)</f>
        <v>3631.22405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IFERROR(__xludf.DUMMYFUNCTION("""COMPUTED_VALUE"""),3643.19932)</f>
        <v>3643.19932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IFERROR(__xludf.DUMMYFUNCTION("""COMPUTED_VALUE"""),3663.871)</f>
        <v>3663.871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IFERROR(__xludf.DUMMYFUNCTION("""COMPUTED_VALUE"""),3639.253)</f>
        <v>3639.253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IFERROR(__xludf.DUMMYFUNCTION("""COMPUTED_VALUE"""),3556.06778)</f>
        <v>3556.06778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IFERROR(__xludf.DUMMYFUNCTION("""COMPUTED_VALUE"""),3556.41812)</f>
        <v>3556.41812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IFERROR(__xludf.DUMMYFUNCTION("""COMPUTED_VALUE"""),3621.62954)</f>
        <v>3621.62954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IFERROR(__xludf.DUMMYFUNCTION("""COMPUTED_VALUE"""),3627.35768)</f>
        <v>3627.35768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IFERROR(__xludf.DUMMYFUNCTION("""COMPUTED_VALUE"""),3633.4802)</f>
        <v>3633.4802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IFERROR(__xludf.DUMMYFUNCTION("""COMPUTED_VALUE"""),3638.93673)</f>
        <v>3638.93673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IFERROR(__xludf.DUMMYFUNCTION("""COMPUTED_VALUE"""),3656.05961)</f>
        <v>3656.05961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IFERROR(__xludf.DUMMYFUNCTION("""COMPUTED_VALUE"""),3656.129573)</f>
        <v>3656.129573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IFERROR(__xludf.DUMMYFUNCTION("""COMPUTED_VALUE"""),3646.1502)</f>
        <v>3646.1502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IFERROR(__xludf.DUMMYFUNCTION("""COMPUTED_VALUE"""),3620.54568)</f>
        <v>3620.54568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IFERROR(__xludf.DUMMYFUNCTION("""COMPUTED_VALUE"""),3628.7552)</f>
        <v>3628.7552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IFERROR(__xludf.DUMMYFUNCTION("""COMPUTED_VALUE"""),3602.27868)</f>
        <v>3602.27868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IFERROR(__xludf.DUMMYFUNCTION("""COMPUTED_VALUE"""),3628.00802)</f>
        <v>3628.00802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IFERROR(__xludf.DUMMYFUNCTION("""COMPUTED_VALUE"""),3637.75749)</f>
        <v>3637.75749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IFERROR(__xludf.DUMMYFUNCTION("""COMPUTED_VALUE"""),3636.814044)</f>
        <v>3636.814044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IFERROR(__xludf.DUMMYFUNCTION("""COMPUTED_VALUE"""),3638.97279)</f>
        <v>3638.97279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IFERROR(__xludf.DUMMYFUNCTION("""COMPUTED_VALUE"""),3630.37389)</f>
        <v>3630.37389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IFERROR(__xludf.DUMMYFUNCTION("""COMPUTED_VALUE"""),3624.11284)</f>
        <v>3624.11284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IFERROR(__xludf.DUMMYFUNCTION("""COMPUTED_VALUE"""),3620.83288)</f>
        <v>3620.83288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IFERROR(__xludf.DUMMYFUNCTION("""COMPUTED_VALUE"""),3628.24316)</f>
        <v>3628.24316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IFERROR(__xludf.DUMMYFUNCTION("""COMPUTED_VALUE"""),3597.79602)</f>
        <v>3597.79602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IFERROR(__xludf.DUMMYFUNCTION("""COMPUTED_VALUE"""),3599.633025)</f>
        <v>3599.633025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IFERROR(__xludf.DUMMYFUNCTION("""COMPUTED_VALUE"""),3599.01022)</f>
        <v>3599.01022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IFERROR(__xludf.DUMMYFUNCTION("""COMPUTED_VALUE"""),3652.0232)</f>
        <v>3652.0232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IFERROR(__xludf.DUMMYFUNCTION("""COMPUTED_VALUE"""),3637.55202)</f>
        <v>3637.55202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IFERROR(__xludf.DUMMYFUNCTION("""COMPUTED_VALUE"""),3643.1447)</f>
        <v>3643.1447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IFERROR(__xludf.DUMMYFUNCTION("""COMPUTED_VALUE"""),3611.59986)</f>
        <v>3611.59986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IFERROR(__xludf.DUMMYFUNCTION("""COMPUTED_VALUE"""),3606.24672)</f>
        <v>3606.24672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IFERROR(__xludf.DUMMYFUNCTION("""COMPUTED_VALUE"""),3605.566764)</f>
        <v>3605.566764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IFERROR(__xludf.DUMMYFUNCTION("""COMPUTED_VALUE"""),3609.25488)</f>
        <v>3609.25488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IFERROR(__xludf.DUMMYFUNCTION("""COMPUTED_VALUE"""),3635.16813)</f>
        <v>3635.16813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IFERROR(__xludf.DUMMYFUNCTION("""COMPUTED_VALUE"""),3603.21225)</f>
        <v>3603.21225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IFERROR(__xludf.DUMMYFUNCTION("""COMPUTED_VALUE"""),3623.1)</f>
        <v>3623.1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IFERROR(__xludf.DUMMYFUNCTION("""COMPUTED_VALUE"""),3609.6)</f>
        <v>3609.6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IFERROR(__xludf.DUMMYFUNCTION("""COMPUTED_VALUE"""),3571.4392)</f>
        <v>3571.4392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IFERROR(__xludf.DUMMYFUNCTION("""COMPUTED_VALUE"""),3571.039896)</f>
        <v>3571.039896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IFERROR(__xludf.DUMMYFUNCTION("""COMPUTED_VALUE"""),3630.57604)</f>
        <v>3630.57604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IFERROR(__xludf.DUMMYFUNCTION("""COMPUTED_VALUE"""),3558.01064)</f>
        <v>3558.01064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IFERROR(__xludf.DUMMYFUNCTION("""COMPUTED_VALUE"""),3552.69105)</f>
        <v>3552.69105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IFERROR(__xludf.DUMMYFUNCTION("""COMPUTED_VALUE"""),3529.23864)</f>
        <v>3529.23864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IFERROR(__xludf.DUMMYFUNCTION("""COMPUTED_VALUE"""),3540.59424)</f>
        <v>3540.59424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IFERROR(__xludf.DUMMYFUNCTION("""COMPUTED_VALUE"""),3518.8615)</f>
        <v>3518.8615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IFERROR(__xludf.DUMMYFUNCTION("""COMPUTED_VALUE"""),3520.40148)</f>
        <v>3520.40148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IFERROR(__xludf.DUMMYFUNCTION("""COMPUTED_VALUE"""),3515.18552)</f>
        <v>3515.18552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IFERROR(__xludf.DUMMYFUNCTION("""COMPUTED_VALUE"""),3522.82067)</f>
        <v>3522.82067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IFERROR(__xludf.DUMMYFUNCTION("""COMPUTED_VALUE"""),3576.74486)</f>
        <v>3576.74486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IFERROR(__xludf.DUMMYFUNCTION("""COMPUTED_VALUE"""),3560.64288)</f>
        <v>3560.64288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IFERROR(__xludf.DUMMYFUNCTION("""COMPUTED_VALUE"""),3583.88148)</f>
        <v>3583.88148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IFERROR(__xludf.DUMMYFUNCTION("""COMPUTED_VALUE"""),3564.1253)</f>
        <v>3564.1253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IFERROR(__xludf.DUMMYFUNCTION("""COMPUTED_VALUE"""),3566.38281)</f>
        <v>3566.38281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IFERROR(__xludf.DUMMYFUNCTION("""COMPUTED_VALUE"""),3567.52086)</f>
        <v>3567.52086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IFERROR(__xludf.DUMMYFUNCTION("""COMPUTED_VALUE"""),3583.84451)</f>
        <v>3583.84451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IFERROR(__xludf.DUMMYFUNCTION("""COMPUTED_VALUE"""),3565.98384)</f>
        <v>3565.98384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IFERROR(__xludf.DUMMYFUNCTION("""COMPUTED_VALUE"""),3558.05019)</f>
        <v>3558.05019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IFERROR(__xludf.DUMMYFUNCTION("""COMPUTED_VALUE"""),3555.83469)</f>
        <v>3555.83469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IFERROR(__xludf.DUMMYFUNCTION("""COMPUTED_VALUE"""),3551.5665)</f>
        <v>3551.5665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IFERROR(__xludf.DUMMYFUNCTION("""COMPUTED_VALUE"""),3560.533603)</f>
        <v>3560.533603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IFERROR(__xludf.DUMMYFUNCTION("""COMPUTED_VALUE"""),3551.688)</f>
        <v>3551.688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IFERROR(__xludf.DUMMYFUNCTION("""COMPUTED_VALUE"""),3555.70479)</f>
        <v>3555.70479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IFERROR(__xludf.DUMMYFUNCTION("""COMPUTED_VALUE"""),3539.90626)</f>
        <v>3539.90626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IFERROR(__xludf.DUMMYFUNCTION("""COMPUTED_VALUE"""),3567.536)</f>
        <v>3567.536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IFERROR(__xludf.DUMMYFUNCTION("""COMPUTED_VALUE"""),3549.2844)</f>
        <v>3549.2844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IFERROR(__xludf.DUMMYFUNCTION("""COMPUTED_VALUE"""),3557.93647)</f>
        <v>3557.93647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IFERROR(__xludf.DUMMYFUNCTION("""COMPUTED_VALUE"""),3563.220925)</f>
        <v>3563.220925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IFERROR(__xludf.DUMMYFUNCTION("""COMPUTED_VALUE"""),3554.09615)</f>
        <v>3554.09615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IFERROR(__xludf.DUMMYFUNCTION("""COMPUTED_VALUE"""),3546.10662)</f>
        <v>3546.10662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IFERROR(__xludf.DUMMYFUNCTION("""COMPUTED_VALUE"""),3532.8535)</f>
        <v>3532.8535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IFERROR(__xludf.DUMMYFUNCTION("""COMPUTED_VALUE"""),3531.09876)</f>
        <v>3531.09876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IFERROR(__xludf.DUMMYFUNCTION("""COMPUTED_VALUE"""),3513.63336)</f>
        <v>3513.63336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IFERROR(__xludf.DUMMYFUNCTION("""COMPUTED_VALUE"""),3443.96444)</f>
        <v>3443.96444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IFERROR(__xludf.DUMMYFUNCTION("""COMPUTED_VALUE"""),3450.230488)</f>
        <v>3450.230488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IFERROR(__xludf.DUMMYFUNCTION("""COMPUTED_VALUE"""),3469.33968)</f>
        <v>3469.33968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IFERROR(__xludf.DUMMYFUNCTION("""COMPUTED_VALUE"""),3468.48051)</f>
        <v>3468.48051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IFERROR(__xludf.DUMMYFUNCTION("""COMPUTED_VALUE"""),3529.7408)</f>
        <v>3529.7408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IFERROR(__xludf.DUMMYFUNCTION("""COMPUTED_VALUE"""),3476.44077)</f>
        <v>3476.44077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IFERROR(__xludf.DUMMYFUNCTION("""COMPUTED_VALUE"""),3500.42643)</f>
        <v>3500.42643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IFERROR(__xludf.DUMMYFUNCTION("""COMPUTED_VALUE"""),3491.68452)</f>
        <v>3491.68452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IFERROR(__xludf.DUMMYFUNCTION("""COMPUTED_VALUE"""),3496.840182)</f>
        <v>3496.840182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IFERROR(__xludf.DUMMYFUNCTION("""COMPUTED_VALUE"""),3492.03495)</f>
        <v>3492.03495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IFERROR(__xludf.DUMMYFUNCTION("""COMPUTED_VALUE"""),3464.118)</f>
        <v>3464.118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IFERROR(__xludf.DUMMYFUNCTION("""COMPUTED_VALUE"""),3477.5174)</f>
        <v>3477.5174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IFERROR(__xludf.DUMMYFUNCTION("""COMPUTED_VALUE"""),3490.93384)</f>
        <v>3490.93384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IFERROR(__xludf.DUMMYFUNCTION("""COMPUTED_VALUE"""),3482.73621)</f>
        <v>3482.73621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IFERROR(__xludf.DUMMYFUNCTION("""COMPUTED_VALUE"""),3470.7)</f>
        <v>3470.7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IFERROR(__xludf.DUMMYFUNCTION("""COMPUTED_VALUE"""),3476.244)</f>
        <v>3476.244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IFERROR(__xludf.DUMMYFUNCTION("""COMPUTED_VALUE"""),3463.98998)</f>
        <v>3463.98998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IFERROR(__xludf.DUMMYFUNCTION("""COMPUTED_VALUE"""),3482.34656)</f>
        <v>3482.34656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IFERROR(__xludf.DUMMYFUNCTION("""COMPUTED_VALUE"""),3460.08456)</f>
        <v>3460.08456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IFERROR(__xludf.DUMMYFUNCTION("""COMPUTED_VALUE"""),3476.50695)</f>
        <v>3476.50695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IFERROR(__xludf.DUMMYFUNCTION("""COMPUTED_VALUE"""),3469.0964)</f>
        <v>3469.0964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IFERROR(__xludf.DUMMYFUNCTION("""COMPUTED_VALUE"""),3427.52758)</f>
        <v>3427.52758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IFERROR(__xludf.DUMMYFUNCTION("""COMPUTED_VALUE"""),3433.29275)</f>
        <v>3433.29275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IFERROR(__xludf.DUMMYFUNCTION("""COMPUTED_VALUE"""),3427.64144)</f>
        <v>3427.64144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IFERROR(__xludf.DUMMYFUNCTION("""COMPUTED_VALUE"""),3423.6279)</f>
        <v>3423.6279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IFERROR(__xludf.DUMMYFUNCTION("""COMPUTED_VALUE"""),3440.56145)</f>
        <v>3440.56145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IFERROR(__xludf.DUMMYFUNCTION("""COMPUTED_VALUE"""),3426.1547)</f>
        <v>3426.1547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IFERROR(__xludf.DUMMYFUNCTION("""COMPUTED_VALUE"""),3410.19639)</f>
        <v>3410.19639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IFERROR(__xludf.DUMMYFUNCTION("""COMPUTED_VALUE"""),3390.72032)</f>
        <v>3390.72032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IFERROR(__xludf.DUMMYFUNCTION("""COMPUTED_VALUE"""),3397.056663)</f>
        <v>3397.056663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IFERROR(__xludf.DUMMYFUNCTION("""COMPUTED_VALUE"""),3391.28512)</f>
        <v>3391.28512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IFERROR(__xludf.DUMMYFUNCTION("""COMPUTED_VALUE"""),3393.81306)</f>
        <v>3393.81306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IFERROR(__xludf.DUMMYFUNCTION("""COMPUTED_VALUE"""),3397.5)</f>
        <v>3397.5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IFERROR(__xludf.DUMMYFUNCTION("""COMPUTED_VALUE"""),3366.1953)</f>
        <v>3366.1953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IFERROR(__xludf.DUMMYFUNCTION("""COMPUTED_VALUE"""),3410.94615)</f>
        <v>3410.94615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IFERROR(__xludf.DUMMYFUNCTION("""COMPUTED_VALUE"""),3386.21101)</f>
        <v>3386.21101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IFERROR(__xludf.DUMMYFUNCTION("""COMPUTED_VALUE"""),3391.550992)</f>
        <v>3391.550992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IFERROR(__xludf.DUMMYFUNCTION("""COMPUTED_VALUE"""),3386.43903)</f>
        <v>3386.43903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IFERROR(__xludf.DUMMYFUNCTION("""COMPUTED_VALUE"""),3400.57452)</f>
        <v>3400.57452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IFERROR(__xludf.DUMMYFUNCTION("""COMPUTED_VALUE"""),3389.03418)</f>
        <v>3389.03418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IFERROR(__xludf.DUMMYFUNCTION("""COMPUTED_VALUE"""),3405.91475)</f>
        <v>3405.91475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IFERROR(__xludf.DUMMYFUNCTION("""COMPUTED_VALUE"""),3392.90372)</f>
        <v>3392.90372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IFERROR(__xludf.DUMMYFUNCTION("""COMPUTED_VALUE"""),3399.30045)</f>
        <v>3399.30045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IFERROR(__xludf.DUMMYFUNCTION("""COMPUTED_VALUE"""),3405.320263)</f>
        <v>3405.320263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IFERROR(__xludf.DUMMYFUNCTION("""COMPUTED_VALUE"""),3398.283)</f>
        <v>3398.283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IFERROR(__xludf.DUMMYFUNCTION("""COMPUTED_VALUE"""),3381.2271)</f>
        <v>3381.2271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IFERROR(__xludf.DUMMYFUNCTION("""COMPUTED_VALUE"""),3389.67122)</f>
        <v>3389.67122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IFERROR(__xludf.DUMMYFUNCTION("""COMPUTED_VALUE"""),3382.5)</f>
        <v>3382.5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IFERROR(__xludf.DUMMYFUNCTION("""COMPUTED_VALUE"""),3381.4572)</f>
        <v>3381.4572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IFERROR(__xludf.DUMMYFUNCTION("""COMPUTED_VALUE"""),3388.2498)</f>
        <v>3388.2498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IFERROR(__xludf.DUMMYFUNCTION("""COMPUTED_VALUE"""),3393.768743)</f>
        <v>3393.768743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IFERROR(__xludf.DUMMYFUNCTION("""COMPUTED_VALUE"""),3387.1188)</f>
        <v>3387.1188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IFERROR(__xludf.DUMMYFUNCTION("""COMPUTED_VALUE"""),3396.06765)</f>
        <v>3396.06765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IFERROR(__xludf.DUMMYFUNCTION("""COMPUTED_VALUE"""),3421.351)</f>
        <v>3421.351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IFERROR(__xludf.DUMMYFUNCTION("""COMPUTED_VALUE"""),3442.3088)</f>
        <v>3442.3088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IFERROR(__xludf.DUMMYFUNCTION("""COMPUTED_VALUE"""),3461.24605)</f>
        <v>3461.24605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IFERROR(__xludf.DUMMYFUNCTION("""COMPUTED_VALUE"""),3457.35695)</f>
        <v>3457.35695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IFERROR(__xludf.DUMMYFUNCTION("""COMPUTED_VALUE"""),3463.697078)</f>
        <v>3463.697078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IFERROR(__xludf.DUMMYFUNCTION("""COMPUTED_VALUE"""),3447.32935)</f>
        <v>3447.32935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IFERROR(__xludf.DUMMYFUNCTION("""COMPUTED_VALUE"""),3453.90072)</f>
        <v>3453.90072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IFERROR(__xludf.DUMMYFUNCTION("""COMPUTED_VALUE"""),3474.0445)</f>
        <v>3474.0445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IFERROR(__xludf.DUMMYFUNCTION("""COMPUTED_VALUE"""),3450.6968)</f>
        <v>3450.6968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IFERROR(__xludf.DUMMYFUNCTION("""COMPUTED_VALUE"""),3462.68475)</f>
        <v>3462.68475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IFERROR(__xludf.DUMMYFUNCTION("""COMPUTED_VALUE"""),3463.37145)</f>
        <v>3463.37145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IFERROR(__xludf.DUMMYFUNCTION("""COMPUTED_VALUE"""),3470.295166)</f>
        <v>3470.295166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IFERROR(__xludf.DUMMYFUNCTION("""COMPUTED_VALUE"""),3463.257)</f>
        <v>3463.257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IFERROR(__xludf.DUMMYFUNCTION("""COMPUTED_VALUE"""),3454.7422)</f>
        <v>3454.7422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IFERROR(__xludf.DUMMYFUNCTION("""COMPUTED_VALUE"""),3470.1934)</f>
        <v>3470.1934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IFERROR(__xludf.DUMMYFUNCTION("""COMPUTED_VALUE"""),3490.2994)</f>
        <v>3490.2994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IFERROR(__xludf.DUMMYFUNCTION("""COMPUTED_VALUE"""),3489.05145)</f>
        <v>3489.05145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IFERROR(__xludf.DUMMYFUNCTION("""COMPUTED_VALUE"""),3477.01725)</f>
        <v>3477.01725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IFERROR(__xludf.DUMMYFUNCTION("""COMPUTED_VALUE"""),3475.721448)</f>
        <v>3475.721448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IFERROR(__xludf.DUMMYFUNCTION("""COMPUTED_VALUE"""),3478.40505)</f>
        <v>3478.40505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IFERROR(__xludf.DUMMYFUNCTION("""COMPUTED_VALUE"""),3482.2193)</f>
        <v>3482.2193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IFERROR(__xludf.DUMMYFUNCTION("""COMPUTED_VALUE"""),3467.8871)</f>
        <v>3467.8871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IFERROR(__xludf.DUMMYFUNCTION("""COMPUTED_VALUE"""),3486.93635)</f>
        <v>3486.93635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IFERROR(__xludf.DUMMYFUNCTION("""COMPUTED_VALUE"""),3487.39815)</f>
        <v>3487.39815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IFERROR(__xludf.DUMMYFUNCTION("""COMPUTED_VALUE"""),3467.28165)</f>
        <v>3467.28165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IFERROR(__xludf.DUMMYFUNCTION("""COMPUTED_VALUE"""),3473.008762)</f>
        <v>3473.008762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IFERROR(__xludf.DUMMYFUNCTION("""COMPUTED_VALUE"""),3467.28165)</f>
        <v>3467.28165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IFERROR(__xludf.DUMMYFUNCTION("""COMPUTED_VALUE"""),3476.00565)</f>
        <v>3476.00565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IFERROR(__xludf.DUMMYFUNCTION("""COMPUTED_VALUE"""),3475.4445)</f>
        <v>3475.4445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IFERROR(__xludf.DUMMYFUNCTION("""COMPUTED_VALUE"""),3491.5946)</f>
        <v>3491.5946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IFERROR(__xludf.DUMMYFUNCTION("""COMPUTED_VALUE"""),3474.44175)</f>
        <v>3474.44175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IFERROR(__xludf.DUMMYFUNCTION("""COMPUTED_VALUE"""),3500.06505)</f>
        <v>3500.06505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IFERROR(__xludf.DUMMYFUNCTION("""COMPUTED_VALUE"""),3507.513346)</f>
        <v>3507.513346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IFERROR(__xludf.DUMMYFUNCTION("""COMPUTED_VALUE"""),3478.36635)</f>
        <v>3478.36635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IFERROR(__xludf.DUMMYFUNCTION("""COMPUTED_VALUE"""),3494.592)</f>
        <v>3494.592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IFERROR(__xludf.DUMMYFUNCTION("""COMPUTED_VALUE"""),3481.44805)</f>
        <v>3481.44805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IFERROR(__xludf.DUMMYFUNCTION("""COMPUTED_VALUE"""),3482.4027)</f>
        <v>3482.4027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IFERROR(__xludf.DUMMYFUNCTION("""COMPUTED_VALUE"""),3480.50835)</f>
        <v>3480.50835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IFERROR(__xludf.DUMMYFUNCTION("""COMPUTED_VALUE"""),3446.2608)</f>
        <v>3446.2608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IFERROR(__xludf.DUMMYFUNCTION("""COMPUTED_VALUE"""),3456.07027)</f>
        <v>3456.07027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IFERROR(__xludf.DUMMYFUNCTION("""COMPUTED_VALUE"""),3468.5967)</f>
        <v>3468.5967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IFERROR(__xludf.DUMMYFUNCTION("""COMPUTED_VALUE"""),3490.4088)</f>
        <v>3490.4088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IFERROR(__xludf.DUMMYFUNCTION("""COMPUTED_VALUE"""),3497.2482)</f>
        <v>3497.2482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IFERROR(__xludf.DUMMYFUNCTION("""COMPUTED_VALUE"""),3513.67665)</f>
        <v>3513.67665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IFERROR(__xludf.DUMMYFUNCTION("""COMPUTED_VALUE"""),3515.2691)</f>
        <v>3515.2691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IFERROR(__xludf.DUMMYFUNCTION("""COMPUTED_VALUE"""),3548.3019)</f>
        <v>3548.3019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IFERROR(__xludf.DUMMYFUNCTION("""COMPUTED_VALUE"""),3537.802353)</f>
        <v>3537.802353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IFERROR(__xludf.DUMMYFUNCTION("""COMPUTED_VALUE"""),3547.8381)</f>
        <v>3547.8381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IFERROR(__xludf.DUMMYFUNCTION("""COMPUTED_VALUE"""),3536.5508)</f>
        <v>3536.5508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IFERROR(__xludf.DUMMYFUNCTION("""COMPUTED_VALUE"""),3525.4532)</f>
        <v>3525.4532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IFERROR(__xludf.DUMMYFUNCTION("""COMPUTED_VALUE"""),3533.194)</f>
        <v>3533.194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IFERROR(__xludf.DUMMYFUNCTION("""COMPUTED_VALUE"""),3538.5621)</f>
        <v>3538.5621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IFERROR(__xludf.DUMMYFUNCTION("""COMPUTED_VALUE"""),3565.9778)</f>
        <v>3565.9778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IFERROR(__xludf.DUMMYFUNCTION("""COMPUTED_VALUE"""),3576.957097)</f>
        <v>3576.957097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IFERROR(__xludf.DUMMYFUNCTION("""COMPUTED_VALUE"""),3575.904466)</f>
        <v>3575.904466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IFERROR(__xludf.DUMMYFUNCTION("""COMPUTED_VALUE"""),3575.628)</f>
        <v>3575.628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IFERROR(__xludf.DUMMYFUNCTION("""COMPUTED_VALUE"""),3585.142)</f>
        <v>3585.142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IFERROR(__xludf.DUMMYFUNCTION("""COMPUTED_VALUE"""),3595.63125)</f>
        <v>3595.63125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IFERROR(__xludf.DUMMYFUNCTION("""COMPUTED_VALUE"""),3617.58145)</f>
        <v>3617.58145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IFERROR(__xludf.DUMMYFUNCTION("""COMPUTED_VALUE"""),3614.2085)</f>
        <v>3614.2085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IFERROR(__xludf.DUMMYFUNCTION("""COMPUTED_VALUE"""),3619.997085)</f>
        <v>3619.997085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IFERROR(__xludf.DUMMYFUNCTION("""COMPUTED_VALUE"""),3619.997085)</f>
        <v>3619.997085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IFERROR(__xludf.DUMMYFUNCTION("""COMPUTED_VALUE"""),3607.86)</f>
        <v>3607.86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IFERROR(__xludf.DUMMYFUNCTION("""COMPUTED_VALUE"""),3616.92595)</f>
        <v>3616.92595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IFERROR(__xludf.DUMMYFUNCTION("""COMPUTED_VALUE"""),3609.0246)</f>
        <v>3609.0246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IFERROR(__xludf.DUMMYFUNCTION("""COMPUTED_VALUE"""),3613.0438)</f>
        <v>3613.0438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IFERROR(__xludf.DUMMYFUNCTION("""COMPUTED_VALUE"""),3595.6035)</f>
        <v>3595.6035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IFERROR(__xludf.DUMMYFUNCTION("""COMPUTED_VALUE"""),3602.595741)</f>
        <v>3602.595741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IFERROR(__xludf.DUMMYFUNCTION("""COMPUTED_VALUE"""),3600.706722)</f>
        <v>3600.706722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IFERROR(__xludf.DUMMYFUNCTION("""COMPUTED_VALUE"""),3605.938)</f>
        <v>3605.938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IFERROR(__xludf.DUMMYFUNCTION("""COMPUTED_VALUE"""),3618.2694)</f>
        <v>3618.2694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IFERROR(__xludf.DUMMYFUNCTION("""COMPUTED_VALUE"""),3651.2007)</f>
        <v>3651.2007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IFERROR(__xludf.DUMMYFUNCTION("""COMPUTED_VALUE"""),3637.53035)</f>
        <v>3637.53035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IFERROR(__xludf.DUMMYFUNCTION("""COMPUTED_VALUE"""),3642.4795)</f>
        <v>3642.4795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IFERROR(__xludf.DUMMYFUNCTION("""COMPUTED_VALUE"""),3650.895794)</f>
        <v>3650.895794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IFERROR(__xludf.DUMMYFUNCTION("""COMPUTED_VALUE"""),3649.578429)</f>
        <v>3649.578429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IFERROR(__xludf.DUMMYFUNCTION("""COMPUTED_VALUE"""),3663.29304)</f>
        <v>3663.29304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IFERROR(__xludf.DUMMYFUNCTION("""COMPUTED_VALUE"""),3661.23385)</f>
        <v>3661.23385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IFERROR(__xludf.DUMMYFUNCTION("""COMPUTED_VALUE"""),3690.2307)</f>
        <v>3690.2307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IFERROR(__xludf.DUMMYFUNCTION("""COMPUTED_VALUE"""),3690.1098)</f>
        <v>3690.1098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IFERROR(__xludf.DUMMYFUNCTION("""COMPUTED_VALUE"""),3684.4906)</f>
        <v>3684.4906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IFERROR(__xludf.DUMMYFUNCTION("""COMPUTED_VALUE"""),3684.254571)</f>
        <v>3684.254571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IFERROR(__xludf.DUMMYFUNCTION("""COMPUTED_VALUE"""),3683.413225)</f>
        <v>3683.413225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IFERROR(__xludf.DUMMYFUNCTION("""COMPUTED_VALUE"""),3645.8426)</f>
        <v>3645.8426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IFERROR(__xludf.DUMMYFUNCTION("""COMPUTED_VALUE"""),3641.281)</f>
        <v>3641.281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IFERROR(__xludf.DUMMYFUNCTION("""COMPUTED_VALUE"""),3646.16)</f>
        <v>3646.16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IFERROR(__xludf.DUMMYFUNCTION("""COMPUTED_VALUE"""),3648.4063)</f>
        <v>3648.4063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IFERROR(__xludf.DUMMYFUNCTION("""COMPUTED_VALUE"""),3656.5566)</f>
        <v>3656.5566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IFERROR(__xludf.DUMMYFUNCTION("""COMPUTED_VALUE"""),3662.350137)</f>
        <v>3662.350137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IFERROR(__xludf.DUMMYFUNCTION("""COMPUTED_VALUE"""),3660.4499)</f>
        <v>3660.4499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IFERROR(__xludf.DUMMYFUNCTION("""COMPUTED_VALUE"""),3613.05875)</f>
        <v>3613.05875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IFERROR(__xludf.DUMMYFUNCTION("""COMPUTED_VALUE"""),3616.26665)</f>
        <v>3616.26665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IFERROR(__xludf.DUMMYFUNCTION("""COMPUTED_VALUE"""),3601.8115)</f>
        <v>3601.8115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IFERROR(__xludf.DUMMYFUNCTION("""COMPUTED_VALUE"""),3568.5351)</f>
        <v>3568.5351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IFERROR(__xludf.DUMMYFUNCTION("""COMPUTED_VALUE"""),3578.40175)</f>
        <v>3578.40175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IFERROR(__xludf.DUMMYFUNCTION("""COMPUTED_VALUE"""),3589.987267)</f>
        <v>3589.987267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IFERROR(__xludf.DUMMYFUNCTION("""COMPUTED_VALUE"""),3588.823123)</f>
        <v>3588.823123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IFERROR(__xludf.DUMMYFUNCTION("""COMPUTED_VALUE"""),3598.276)</f>
        <v>3598.276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IFERROR(__xludf.DUMMYFUNCTION("""COMPUTED_VALUE"""),3607.7676)</f>
        <v>3607.7676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IFERROR(__xludf.DUMMYFUNCTION("""COMPUTED_VALUE"""),3582.94192)</f>
        <v>3582.94192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IFERROR(__xludf.DUMMYFUNCTION("""COMPUTED_VALUE"""),3601.191)</f>
        <v>3601.191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IFERROR(__xludf.DUMMYFUNCTION("""COMPUTED_VALUE"""),3582.64675)</f>
        <v>3582.64675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IFERROR(__xludf.DUMMYFUNCTION("""COMPUTED_VALUE"""),3590.452924)</f>
        <v>3590.452924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IFERROR(__xludf.DUMMYFUNCTION("""COMPUTED_VALUE"""),3592.19914)</f>
        <v>3592.19914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IFERROR(__xludf.DUMMYFUNCTION("""COMPUTED_VALUE"""),3577.1264)</f>
        <v>3577.1264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IFERROR(__xludf.DUMMYFUNCTION("""COMPUTED_VALUE"""),3576.0198)</f>
        <v>3576.0198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IFERROR(__xludf.DUMMYFUNCTION("""COMPUTED_VALUE"""),3555.5263)</f>
        <v>3555.5263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IFERROR(__xludf.DUMMYFUNCTION("""COMPUTED_VALUE"""),3568.52832)</f>
        <v>3568.52832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IFERROR(__xludf.DUMMYFUNCTION("""COMPUTED_VALUE"""),3568.76509)</f>
        <v>3568.76509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IFERROR(__xludf.DUMMYFUNCTION("""COMPUTED_VALUE"""),3577.286825)</f>
        <v>3577.286825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IFERROR(__xludf.DUMMYFUNCTION("""COMPUTED_VALUE"""),3577.518575)</f>
        <v>3577.518575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IFERROR(__xludf.DUMMYFUNCTION("""COMPUTED_VALUE"""),3574.6612)</f>
        <v>3574.6612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IFERROR(__xludf.DUMMYFUNCTION("""COMPUTED_VALUE"""),3567.84021)</f>
        <v>3567.84021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IFERROR(__xludf.DUMMYFUNCTION("""COMPUTED_VALUE"""),3563.33142)</f>
        <v>3563.33142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IFERROR(__xludf.DUMMYFUNCTION("""COMPUTED_VALUE"""),3611.8031)</f>
        <v>3611.8031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IFERROR(__xludf.DUMMYFUNCTION("""COMPUTED_VALUE"""),3634.80345)</f>
        <v>3634.80345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IFERROR(__xludf.DUMMYFUNCTION("""COMPUTED_VALUE"""),3617.944022)</f>
        <v>3617.944022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IFERROR(__xludf.DUMMYFUNCTION("""COMPUTED_VALUE"""),3637.528294)</f>
        <v>3637.528294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IFERROR(__xludf.DUMMYFUNCTION("""COMPUTED_VALUE"""),3604.3181)</f>
        <v>3604.3181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IFERROR(__xludf.DUMMYFUNCTION("""COMPUTED_VALUE"""),3566.12875)</f>
        <v>3566.12875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IFERROR(__xludf.DUMMYFUNCTION("""COMPUTED_VALUE"""),3617.81902)</f>
        <v>3617.81902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IFERROR(__xludf.DUMMYFUNCTION("""COMPUTED_VALUE"""),3609.63604)</f>
        <v>3609.63604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IFERROR(__xludf.DUMMYFUNCTION("""COMPUTED_VALUE"""),3599.6076)</f>
        <v>3599.6076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IFERROR(__xludf.DUMMYFUNCTION("""COMPUTED_VALUE"""),3618.416277)</f>
        <v>3618.416277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IFERROR(__xludf.DUMMYFUNCTION("""COMPUTED_VALUE"""),3621.276298)</f>
        <v>3621.276298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IFERROR(__xludf.DUMMYFUNCTION("""COMPUTED_VALUE"""),3590.145)</f>
        <v>3590.145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IFERROR(__xludf.DUMMYFUNCTION("""COMPUTED_VALUE"""),3594.9872)</f>
        <v>3594.9872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IFERROR(__xludf.DUMMYFUNCTION("""COMPUTED_VALUE"""),3593.92446)</f>
        <v>3593.92446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IFERROR(__xludf.DUMMYFUNCTION("""COMPUTED_VALUE"""),3599.9616)</f>
        <v>3599.9616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IFERROR(__xludf.DUMMYFUNCTION("""COMPUTED_VALUE"""),3635.67054)</f>
        <v>3635.67054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IFERROR(__xludf.DUMMYFUNCTION("""COMPUTED_VALUE"""),3640.419628)</f>
        <v>3640.419628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IFERROR(__xludf.DUMMYFUNCTION("""COMPUTED_VALUE"""),3637.966358)</f>
        <v>3637.966358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IFERROR(__xludf.DUMMYFUNCTION("""COMPUTED_VALUE"""),3623.9536)</f>
        <v>3623.9536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IFERROR(__xludf.DUMMYFUNCTION("""COMPUTED_VALUE"""),3617.62934)</f>
        <v>3617.62934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IFERROR(__xludf.DUMMYFUNCTION("""COMPUTED_VALUE"""),3620.214)</f>
        <v>3620.214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IFERROR(__xludf.DUMMYFUNCTION("""COMPUTED_VALUE"""),3623.51376)</f>
        <v>3623.51376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IFERROR(__xludf.DUMMYFUNCTION("""COMPUTED_VALUE"""),3612.0348)</f>
        <v>3612.0348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IFERROR(__xludf.DUMMYFUNCTION("""COMPUTED_VALUE"""),3619.742064)</f>
        <v>3619.742064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IFERROR(__xludf.DUMMYFUNCTION("""COMPUTED_VALUE"""),3604.438329)</f>
        <v>3604.438329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IFERROR(__xludf.DUMMYFUNCTION("""COMPUTED_VALUE"""),3626.02906)</f>
        <v>3626.02906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IFERROR(__xludf.DUMMYFUNCTION("""COMPUTED_VALUE"""),3624.50832)</f>
        <v>3624.50832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IFERROR(__xludf.DUMMYFUNCTION("""COMPUTED_VALUE"""),3638.3135)</f>
        <v>3638.3135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IFERROR(__xludf.DUMMYFUNCTION("""COMPUTED_VALUE"""),3651.5655)</f>
        <v>3651.5655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IFERROR(__xludf.DUMMYFUNCTION("""COMPUTED_VALUE"""),3625.49082)</f>
        <v>3625.49082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IFERROR(__xludf.DUMMYFUNCTION("""COMPUTED_VALUE"""),3630.327288)</f>
        <v>3630.327288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IFERROR(__xludf.DUMMYFUNCTION("""COMPUTED_VALUE"""),3630.795672)</f>
        <v>3630.795672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IFERROR(__xludf.DUMMYFUNCTION("""COMPUTED_VALUE"""),3642.71004)</f>
        <v>3642.71004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IFERROR(__xludf.DUMMYFUNCTION("""COMPUTED_VALUE"""),3626.94298)</f>
        <v>3626.94298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IFERROR(__xludf.DUMMYFUNCTION("""COMPUTED_VALUE"""),3632.82591)</f>
        <v>3632.82591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IFERROR(__xludf.DUMMYFUNCTION("""COMPUTED_VALUE"""),3571.37738)</f>
        <v>3571.37738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IFERROR(__xludf.DUMMYFUNCTION("""COMPUTED_VALUE"""),3610.49322)</f>
        <v>3610.49322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IFERROR(__xludf.DUMMYFUNCTION("""COMPUTED_VALUE"""),3615.13801)</f>
        <v>3615.13801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IFERROR(__xludf.DUMMYFUNCTION("""COMPUTED_VALUE"""),3615.255381)</f>
        <v>3615.255381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IFERROR(__xludf.DUMMYFUNCTION("""COMPUTED_VALUE"""),3606.4327)</f>
        <v>3606.4327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IFERROR(__xludf.DUMMYFUNCTION("""COMPUTED_VALUE"""),3642.6873)</f>
        <v>3642.6873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IFERROR(__xludf.DUMMYFUNCTION("""COMPUTED_VALUE"""),3613.14515)</f>
        <v>3613.14515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IFERROR(__xludf.DUMMYFUNCTION("""COMPUTED_VALUE"""),3636.542)</f>
        <v>3636.542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IFERROR(__xludf.DUMMYFUNCTION("""COMPUTED_VALUE"""),3656.89565)</f>
        <v>3656.89565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IFERROR(__xludf.DUMMYFUNCTION("""COMPUTED_VALUE"""),3658.570843)</f>
        <v>3658.570843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IFERROR(__xludf.DUMMYFUNCTION("""COMPUTED_VALUE"""),3662.737509)</f>
        <v>3662.737509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IFERROR(__xludf.DUMMYFUNCTION("""COMPUTED_VALUE"""),3634.32685)</f>
        <v>3634.32685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IFERROR(__xludf.DUMMYFUNCTION("""COMPUTED_VALUE"""),3646.91565)</f>
        <v>3646.91565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IFERROR(__xludf.DUMMYFUNCTION("""COMPUTED_VALUE"""),3615.39488)</f>
        <v>3615.39488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IFERROR(__xludf.DUMMYFUNCTION("""COMPUTED_VALUE"""),3645.15895)</f>
        <v>3645.15895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IFERROR(__xludf.DUMMYFUNCTION("""COMPUTED_VALUE"""),3627.73342)</f>
        <v>3627.73342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IFERROR(__xludf.DUMMYFUNCTION("""COMPUTED_VALUE"""),3634.693296)</f>
        <v>3634.693296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IFERROR(__xludf.DUMMYFUNCTION("""COMPUTED_VALUE"""),3636.494016)</f>
        <v>3636.494016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IFERROR(__xludf.DUMMYFUNCTION("""COMPUTED_VALUE"""),3629.367)</f>
        <v>3629.367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IFERROR(__xludf.DUMMYFUNCTION("""COMPUTED_VALUE"""),3609.6732)</f>
        <v>3609.6732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IFERROR(__xludf.DUMMYFUNCTION("""COMPUTED_VALUE"""),3597.35103)</f>
        <v>3597.35103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IFERROR(__xludf.DUMMYFUNCTION("""COMPUTED_VALUE"""),3621.18896)</f>
        <v>3621.18896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IFERROR(__xludf.DUMMYFUNCTION("""COMPUTED_VALUE"""),3611.2645)</f>
        <v>3611.2645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IFERROR(__xludf.DUMMYFUNCTION("""COMPUTED_VALUE"""),3615.197184)</f>
        <v>3615.197184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IFERROR(__xludf.DUMMYFUNCTION("""COMPUTED_VALUE"""),3611.578368)</f>
        <v>3611.578368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IFERROR(__xludf.DUMMYFUNCTION("""COMPUTED_VALUE"""),3635.19338)</f>
        <v>3635.19338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IFERROR(__xludf.DUMMYFUNCTION("""COMPUTED_VALUE"""),3652.5)</f>
        <v>3652.5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IFERROR(__xludf.DUMMYFUNCTION("""COMPUTED_VALUE"""),3643.1242)</f>
        <v>3643.1242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IFERROR(__xludf.DUMMYFUNCTION("""COMPUTED_VALUE"""),3662.91104)</f>
        <v>3662.91104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IFERROR(__xludf.DUMMYFUNCTION("""COMPUTED_VALUE"""),3637.49022)</f>
        <v>3637.49022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IFERROR(__xludf.DUMMYFUNCTION("""COMPUTED_VALUE"""),3641.950636)</f>
        <v>3641.950636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IFERROR(__xludf.DUMMYFUNCTION("""COMPUTED_VALUE"""),3640.487222)</f>
        <v>3640.487222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IFERROR(__xludf.DUMMYFUNCTION("""COMPUTED_VALUE"""),3687.58626)</f>
        <v>3687.58626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IFERROR(__xludf.DUMMYFUNCTION("""COMPUTED_VALUE"""),3698.63296)</f>
        <v>3698.63296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IFERROR(__xludf.DUMMYFUNCTION("""COMPUTED_VALUE"""),3680.4603)</f>
        <v>3680.4603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IFERROR(__xludf.DUMMYFUNCTION("""COMPUTED_VALUE"""),3668.5728)</f>
        <v>3668.5728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IFERROR(__xludf.DUMMYFUNCTION("""COMPUTED_VALUE"""),3665.442)</f>
        <v>3665.442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IFERROR(__xludf.DUMMYFUNCTION("""COMPUTED_VALUE"""),3669.679487)</f>
        <v>3669.679487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IFERROR(__xludf.DUMMYFUNCTION("""COMPUTED_VALUE"""),3674.936207)</f>
        <v>3674.936207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IFERROR(__xludf.DUMMYFUNCTION("""COMPUTED_VALUE"""),3683.668)</f>
        <v>3683.668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IFERROR(__xludf.DUMMYFUNCTION("""COMPUTED_VALUE"""),3659.4)</f>
        <v>3659.4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IFERROR(__xludf.DUMMYFUNCTION("""COMPUTED_VALUE"""),3710.52769)</f>
        <v>3710.52769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IFERROR(__xludf.DUMMYFUNCTION("""COMPUTED_VALUE"""),3668.6166)</f>
        <v>3668.6166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IFERROR(__xludf.DUMMYFUNCTION("""COMPUTED_VALUE"""),3610.6317)</f>
        <v>3610.6317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IFERROR(__xludf.DUMMYFUNCTION("""COMPUTED_VALUE"""),3616.484215)</f>
        <v>3616.484215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IFERROR(__xludf.DUMMYFUNCTION("""COMPUTED_VALUE"""),3612.484216)</f>
        <v>3612.484216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IFERROR(__xludf.DUMMYFUNCTION("""COMPUTED_VALUE"""),3611.409)</f>
        <v>3611.409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IFERROR(__xludf.DUMMYFUNCTION("""COMPUTED_VALUE"""),3592.26416)</f>
        <v>3592.26416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IFERROR(__xludf.DUMMYFUNCTION("""COMPUTED_VALUE"""),3590.0466)</f>
        <v>3590.0466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IFERROR(__xludf.DUMMYFUNCTION("""COMPUTED_VALUE"""),3609.267)</f>
        <v>3609.267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IFERROR(__xludf.DUMMYFUNCTION("""COMPUTED_VALUE"""),3618.8775)</f>
        <v>3618.8775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IFERROR(__xludf.DUMMYFUNCTION("""COMPUTED_VALUE"""),3623.818514)</f>
        <v>3623.818514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IFERROR(__xludf.DUMMYFUNCTION("""COMPUTED_VALUE"""),3625.511378)</f>
        <v>3625.511378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IFERROR(__xludf.DUMMYFUNCTION("""COMPUTED_VALUE"""),3630.0)</f>
        <v>3630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IFERROR(__xludf.DUMMYFUNCTION("""COMPUTED_VALUE"""),3648.62494)</f>
        <v>3648.62494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IFERROR(__xludf.DUMMYFUNCTION("""COMPUTED_VALUE"""),3596.88632)</f>
        <v>3596.88632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IFERROR(__xludf.DUMMYFUNCTION("""COMPUTED_VALUE"""),3631.392)</f>
        <v>3631.392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IFERROR(__xludf.DUMMYFUNCTION("""COMPUTED_VALUE"""),3582.1346)</f>
        <v>3582.1346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IFERROR(__xludf.DUMMYFUNCTION("""COMPUTED_VALUE"""),3588.631114)</f>
        <v>3588.631114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IFERROR(__xludf.DUMMYFUNCTION("""COMPUTED_VALUE"""),3582.343331)</f>
        <v>3582.343331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IFERROR(__xludf.DUMMYFUNCTION("""COMPUTED_VALUE"""),3584.76163)</f>
        <v>3584.76163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IFERROR(__xludf.DUMMYFUNCTION("""COMPUTED_VALUE"""),3579.716)</f>
        <v>3579.716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IFERROR(__xludf.DUMMYFUNCTION("""COMPUTED_VALUE"""),3575.3105)</f>
        <v>3575.3105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IFERROR(__xludf.DUMMYFUNCTION("""COMPUTED_VALUE"""),3533.5845)</f>
        <v>3533.5845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IFERROR(__xludf.DUMMYFUNCTION("""COMPUTED_VALUE"""),3587.60725)</f>
        <v>3587.60725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IFERROR(__xludf.DUMMYFUNCTION("""COMPUTED_VALUE"""),3593.53601)</f>
        <v>3593.53601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IFERROR(__xludf.DUMMYFUNCTION("""COMPUTED_VALUE"""),3595.243327)</f>
        <v>3595.243327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IFERROR(__xludf.DUMMYFUNCTION("""COMPUTED_VALUE"""),3564.45375)</f>
        <v>3564.45375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IFERROR(__xludf.DUMMYFUNCTION("""COMPUTED_VALUE"""),3573.27264)</f>
        <v>3573.27264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IFERROR(__xludf.DUMMYFUNCTION("""COMPUTED_VALUE"""),3576.64076)</f>
        <v>3576.64076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IFERROR(__xludf.DUMMYFUNCTION("""COMPUTED_VALUE"""),3586.02475)</f>
        <v>3586.02475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IFERROR(__xludf.DUMMYFUNCTION("""COMPUTED_VALUE"""),3599.61)</f>
        <v>3599.61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IFERROR(__xludf.DUMMYFUNCTION("""COMPUTED_VALUE"""),3606.721097)</f>
        <v>3606.721097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IFERROR(__xludf.DUMMYFUNCTION("""COMPUTED_VALUE"""),3605.131857)</f>
        <v>3605.131857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IFERROR(__xludf.DUMMYFUNCTION("""COMPUTED_VALUE"""),3563.1351)</f>
        <v>3563.1351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IFERROR(__xludf.DUMMYFUNCTION("""COMPUTED_VALUE"""),3553.47375)</f>
        <v>3553.47375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IFERROR(__xludf.DUMMYFUNCTION("""COMPUTED_VALUE"""),3535.72032)</f>
        <v>3535.72032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IFERROR(__xludf.DUMMYFUNCTION("""COMPUTED_VALUE"""),3540.16674)</f>
        <v>3540.16674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IFERROR(__xludf.DUMMYFUNCTION("""COMPUTED_VALUE"""),3539.1961)</f>
        <v>3539.1961</v>
      </c>
    </row>
    <row r="1653">
      <c r="A1653" s="3">
        <f>IFERROR(__xludf.DUMMYFUNCTION("""COMPUTED_VALUE"""),41965.99861111111)</f>
        <v>41965.99861</v>
      </c>
      <c r="B1653" s="1">
        <f>IFERROR(__xludf.DUMMYFUNCTION("""COMPUTED_VALUE"""),3574.75433)</f>
        <v>3574.75433</v>
      </c>
    </row>
    <row r="1654">
      <c r="A1654" s="3">
        <f>IFERROR(__xludf.DUMMYFUNCTION("""COMPUTED_VALUE"""),41966.99861111111)</f>
        <v>41966.99861</v>
      </c>
      <c r="B1654" s="1">
        <f>IFERROR(__xludf.DUMMYFUNCTION("""COMPUTED_VALUE"""),3538.879725)</f>
        <v>3538.879725</v>
      </c>
    </row>
    <row r="1655">
      <c r="A1655" s="3">
        <f>IFERROR(__xludf.DUMMYFUNCTION("""COMPUTED_VALUE"""),41967.99861111111)</f>
        <v>41967.99861</v>
      </c>
      <c r="B1655" s="1">
        <f>IFERROR(__xludf.DUMMYFUNCTION("""COMPUTED_VALUE"""),3556.1823)</f>
        <v>3556.1823</v>
      </c>
    </row>
    <row r="1656">
      <c r="A1656" s="3">
        <f>IFERROR(__xludf.DUMMYFUNCTION("""COMPUTED_VALUE"""),41968.99861111111)</f>
        <v>41968.99861</v>
      </c>
      <c r="B1656" s="1">
        <f>IFERROR(__xludf.DUMMYFUNCTION("""COMPUTED_VALUE"""),3562.61279)</f>
        <v>3562.61279</v>
      </c>
    </row>
    <row r="1657">
      <c r="A1657" s="3">
        <f>IFERROR(__xludf.DUMMYFUNCTION("""COMPUTED_VALUE"""),41969.99861111111)</f>
        <v>41969.99861</v>
      </c>
      <c r="B1657" s="1">
        <f>IFERROR(__xludf.DUMMYFUNCTION("""COMPUTED_VALUE"""),3580.424)</f>
        <v>3580.424</v>
      </c>
    </row>
    <row r="1658">
      <c r="A1658" s="3">
        <f>IFERROR(__xludf.DUMMYFUNCTION("""COMPUTED_VALUE"""),41970.99861111111)</f>
        <v>41970.99861</v>
      </c>
      <c r="B1658" s="1">
        <f>IFERROR(__xludf.DUMMYFUNCTION("""COMPUTED_VALUE"""),3563.01375)</f>
        <v>3563.01375</v>
      </c>
    </row>
    <row r="1659">
      <c r="A1659" s="3">
        <f>IFERROR(__xludf.DUMMYFUNCTION("""COMPUTED_VALUE"""),41971.99861111111)</f>
        <v>41971.99861</v>
      </c>
      <c r="B1659" s="1">
        <f>IFERROR(__xludf.DUMMYFUNCTION("""COMPUTED_VALUE"""),3526.00175)</f>
        <v>3526.00175</v>
      </c>
    </row>
    <row r="1660">
      <c r="A1660" s="3">
        <f>IFERROR(__xludf.DUMMYFUNCTION("""COMPUTED_VALUE"""),41972.99861111111)</f>
        <v>41972.99861</v>
      </c>
      <c r="B1660" s="1">
        <f>IFERROR(__xludf.DUMMYFUNCTION("""COMPUTED_VALUE"""),3531.828703)</f>
        <v>3531.828703</v>
      </c>
    </row>
    <row r="1661">
      <c r="A1661" s="3">
        <f>IFERROR(__xludf.DUMMYFUNCTION("""COMPUTED_VALUE"""),41973.99861111111)</f>
        <v>41973.99861</v>
      </c>
      <c r="B1661" s="1">
        <f>IFERROR(__xludf.DUMMYFUNCTION("""COMPUTED_VALUE"""),3527.560411)</f>
        <v>3527.560411</v>
      </c>
    </row>
    <row r="1662">
      <c r="A1662" s="3">
        <f>IFERROR(__xludf.DUMMYFUNCTION("""COMPUTED_VALUE"""),41974.99861111111)</f>
        <v>41974.99861</v>
      </c>
      <c r="B1662" s="1">
        <f>IFERROR(__xludf.DUMMYFUNCTION("""COMPUTED_VALUE"""),3515.35275)</f>
        <v>3515.35275</v>
      </c>
    </row>
    <row r="1663">
      <c r="A1663" s="3">
        <f>IFERROR(__xludf.DUMMYFUNCTION("""COMPUTED_VALUE"""),41975.99861111111)</f>
        <v>41975.99861</v>
      </c>
      <c r="B1663" s="1">
        <f>IFERROR(__xludf.DUMMYFUNCTION("""COMPUTED_VALUE"""),3508.47315)</f>
        <v>3508.47315</v>
      </c>
    </row>
    <row r="1664">
      <c r="A1664" s="3">
        <f>IFERROR(__xludf.DUMMYFUNCTION("""COMPUTED_VALUE"""),41976.99861111111)</f>
        <v>41976.99861</v>
      </c>
      <c r="B1664" s="1">
        <f>IFERROR(__xludf.DUMMYFUNCTION("""COMPUTED_VALUE"""),3501.34785)</f>
        <v>3501.34785</v>
      </c>
    </row>
    <row r="1665">
      <c r="A1665" s="3">
        <f>IFERROR(__xludf.DUMMYFUNCTION("""COMPUTED_VALUE"""),41977.99861111111)</f>
        <v>41977.99861</v>
      </c>
      <c r="B1665" s="1">
        <f>IFERROR(__xludf.DUMMYFUNCTION("""COMPUTED_VALUE"""),3521.49525)</f>
        <v>3521.49525</v>
      </c>
    </row>
    <row r="1666">
      <c r="A1666" s="3">
        <f>IFERROR(__xludf.DUMMYFUNCTION("""COMPUTED_VALUE"""),41978.99861111111)</f>
        <v>41978.99861</v>
      </c>
      <c r="B1666" s="1">
        <f>IFERROR(__xludf.DUMMYFUNCTION("""COMPUTED_VALUE"""),3456.7533)</f>
        <v>3456.7533</v>
      </c>
    </row>
    <row r="1667">
      <c r="A1667" s="3">
        <f>IFERROR(__xludf.DUMMYFUNCTION("""COMPUTED_VALUE"""),41979.99861111111)</f>
        <v>41979.99861</v>
      </c>
      <c r="B1667" s="1">
        <f>IFERROR(__xludf.DUMMYFUNCTION("""COMPUTED_VALUE"""),3491.064777)</f>
        <v>3491.064777</v>
      </c>
    </row>
    <row r="1668">
      <c r="A1668" s="3">
        <f>IFERROR(__xludf.DUMMYFUNCTION("""COMPUTED_VALUE"""),41980.99861111111)</f>
        <v>41980.99861</v>
      </c>
      <c r="B1668" s="1">
        <f>IFERROR(__xludf.DUMMYFUNCTION("""COMPUTED_VALUE"""),3464.5748)</f>
        <v>3464.5748</v>
      </c>
    </row>
    <row r="1669">
      <c r="A1669" s="3">
        <f>IFERROR(__xludf.DUMMYFUNCTION("""COMPUTED_VALUE"""),41981.99861111111)</f>
        <v>41981.99861</v>
      </c>
      <c r="B1669" s="1">
        <f>IFERROR(__xludf.DUMMYFUNCTION("""COMPUTED_VALUE"""),3464.73855)</f>
        <v>3464.73855</v>
      </c>
    </row>
    <row r="1670">
      <c r="A1670" s="3">
        <f>IFERROR(__xludf.DUMMYFUNCTION("""COMPUTED_VALUE"""),41982.99861111111)</f>
        <v>41982.99861</v>
      </c>
      <c r="B1670" s="1">
        <f>IFERROR(__xludf.DUMMYFUNCTION("""COMPUTED_VALUE"""),3475.4265)</f>
        <v>3475.4265</v>
      </c>
    </row>
    <row r="1671">
      <c r="A1671" s="3">
        <f>IFERROR(__xludf.DUMMYFUNCTION("""COMPUTED_VALUE"""),41983.99861111111)</f>
        <v>41983.99861</v>
      </c>
      <c r="B1671" s="1">
        <f>IFERROR(__xludf.DUMMYFUNCTION("""COMPUTED_VALUE"""),3487.09725)</f>
        <v>3487.09725</v>
      </c>
    </row>
    <row r="1672">
      <c r="A1672" s="3">
        <f>IFERROR(__xludf.DUMMYFUNCTION("""COMPUTED_VALUE"""),41984.99861111111)</f>
        <v>41984.99861</v>
      </c>
      <c r="B1672" s="1">
        <f>IFERROR(__xludf.DUMMYFUNCTION("""COMPUTED_VALUE"""),3488.01981)</f>
        <v>3488.01981</v>
      </c>
    </row>
    <row r="1673">
      <c r="A1673" s="3">
        <f>IFERROR(__xludf.DUMMYFUNCTION("""COMPUTED_VALUE"""),41985.99861111111)</f>
        <v>41985.99861</v>
      </c>
      <c r="B1673" s="1">
        <f>IFERROR(__xludf.DUMMYFUNCTION("""COMPUTED_VALUE"""),3544.72872)</f>
        <v>3544.72872</v>
      </c>
    </row>
    <row r="1674">
      <c r="A1674" s="3">
        <f>IFERROR(__xludf.DUMMYFUNCTION("""COMPUTED_VALUE"""),41986.99861111111)</f>
        <v>41986.99861</v>
      </c>
      <c r="B1674" s="1">
        <f>IFERROR(__xludf.DUMMYFUNCTION("""COMPUTED_VALUE"""),3549.367948)</f>
        <v>3549.367948</v>
      </c>
    </row>
    <row r="1675">
      <c r="A1675" s="3">
        <f>IFERROR(__xludf.DUMMYFUNCTION("""COMPUTED_VALUE"""),41987.99861111111)</f>
        <v>41987.99861</v>
      </c>
      <c r="B1675" s="1">
        <f>IFERROR(__xludf.DUMMYFUNCTION("""COMPUTED_VALUE"""),3548.48411)</f>
        <v>3548.48411</v>
      </c>
    </row>
    <row r="1676">
      <c r="A1676" s="3">
        <f>IFERROR(__xludf.DUMMYFUNCTION("""COMPUTED_VALUE"""),41988.99861111111)</f>
        <v>41988.99861</v>
      </c>
      <c r="B1676" s="1">
        <f>IFERROR(__xludf.DUMMYFUNCTION("""COMPUTED_VALUE"""),3613.42)</f>
        <v>3613.42</v>
      </c>
    </row>
    <row r="1677">
      <c r="A1677" s="3">
        <f>IFERROR(__xludf.DUMMYFUNCTION("""COMPUTED_VALUE"""),41989.99861111111)</f>
        <v>41989.99861</v>
      </c>
      <c r="B1677" s="1">
        <f>IFERROR(__xludf.DUMMYFUNCTION("""COMPUTED_VALUE"""),3566.5476)</f>
        <v>3566.5476</v>
      </c>
    </row>
    <row r="1678">
      <c r="A1678" s="3">
        <f>IFERROR(__xludf.DUMMYFUNCTION("""COMPUTED_VALUE"""),41990.99861111111)</f>
        <v>41990.99861</v>
      </c>
      <c r="B1678" s="1">
        <f>IFERROR(__xludf.DUMMYFUNCTION("""COMPUTED_VALUE"""),3537.79468)</f>
        <v>3537.79468</v>
      </c>
    </row>
    <row r="1679">
      <c r="A1679" s="3">
        <f>IFERROR(__xludf.DUMMYFUNCTION("""COMPUTED_VALUE"""),41991.99861111111)</f>
        <v>41991.99861</v>
      </c>
      <c r="B1679" s="1">
        <f>IFERROR(__xludf.DUMMYFUNCTION("""COMPUTED_VALUE"""),3526.7232)</f>
        <v>3526.7232</v>
      </c>
    </row>
    <row r="1680">
      <c r="A1680" s="3">
        <f>IFERROR(__xludf.DUMMYFUNCTION("""COMPUTED_VALUE"""),41992.99861111111)</f>
        <v>41992.99861</v>
      </c>
      <c r="B1680" s="1">
        <f>IFERROR(__xludf.DUMMYFUNCTION("""COMPUTED_VALUE"""),3482.17619)</f>
        <v>3482.17619</v>
      </c>
    </row>
    <row r="1681">
      <c r="A1681" s="3">
        <f>IFERROR(__xludf.DUMMYFUNCTION("""COMPUTED_VALUE"""),41993.99861111111)</f>
        <v>41993.99861</v>
      </c>
      <c r="B1681" s="1">
        <f>IFERROR(__xludf.DUMMYFUNCTION("""COMPUTED_VALUE"""),3497.763905)</f>
        <v>3497.763905</v>
      </c>
    </row>
    <row r="1682">
      <c r="A1682" s="3">
        <f>IFERROR(__xludf.DUMMYFUNCTION("""COMPUTED_VALUE"""),41994.99861111111)</f>
        <v>41994.99861</v>
      </c>
      <c r="B1682" s="1">
        <f>IFERROR(__xludf.DUMMYFUNCTION("""COMPUTED_VALUE"""),3496.770116)</f>
        <v>3496.770116</v>
      </c>
    </row>
    <row r="1683">
      <c r="A1683" s="3">
        <f>IFERROR(__xludf.DUMMYFUNCTION("""COMPUTED_VALUE"""),41995.99861111111)</f>
        <v>41995.99861</v>
      </c>
      <c r="B1683" s="1">
        <f>IFERROR(__xludf.DUMMYFUNCTION("""COMPUTED_VALUE"""),3496.7744)</f>
        <v>3496.7744</v>
      </c>
    </row>
    <row r="1684">
      <c r="A1684" s="3">
        <f>IFERROR(__xludf.DUMMYFUNCTION("""COMPUTED_VALUE"""),41996.99861111111)</f>
        <v>41996.99861</v>
      </c>
      <c r="B1684" s="1">
        <f>IFERROR(__xludf.DUMMYFUNCTION("""COMPUTED_VALUE"""),3470.4891)</f>
        <v>3470.4891</v>
      </c>
    </row>
    <row r="1685">
      <c r="A1685" s="3">
        <f>IFERROR(__xludf.DUMMYFUNCTION("""COMPUTED_VALUE"""),41997.99861111111)</f>
        <v>41997.99861</v>
      </c>
      <c r="B1685" s="1">
        <f>IFERROR(__xludf.DUMMYFUNCTION("""COMPUTED_VALUE"""),3500.4537)</f>
        <v>3500.4537</v>
      </c>
    </row>
    <row r="1686">
      <c r="A1686" s="3">
        <f>IFERROR(__xludf.DUMMYFUNCTION("""COMPUTED_VALUE"""),41998.99861111111)</f>
        <v>41998.99861</v>
      </c>
      <c r="B1686" s="1">
        <f>IFERROR(__xludf.DUMMYFUNCTION("""COMPUTED_VALUE"""),3502.823)</f>
        <v>3502.823</v>
      </c>
    </row>
    <row r="1687">
      <c r="A1687" s="3">
        <f>IFERROR(__xludf.DUMMYFUNCTION("""COMPUTED_VALUE"""),41999.99861111111)</f>
        <v>41999.99861</v>
      </c>
      <c r="B1687" s="1">
        <f>IFERROR(__xludf.DUMMYFUNCTION("""COMPUTED_VALUE"""),3483.1147)</f>
        <v>3483.1147</v>
      </c>
    </row>
    <row r="1688">
      <c r="A1688" s="3">
        <f>IFERROR(__xludf.DUMMYFUNCTION("""COMPUTED_VALUE"""),42000.99861111111)</f>
        <v>42000.99861</v>
      </c>
      <c r="B1688" s="1">
        <f>IFERROR(__xludf.DUMMYFUNCTION("""COMPUTED_VALUE"""),3481.71135)</f>
        <v>3481.71135</v>
      </c>
    </row>
    <row r="1689">
      <c r="A1689" s="3">
        <f>IFERROR(__xludf.DUMMYFUNCTION("""COMPUTED_VALUE"""),42001.99861111111)</f>
        <v>42001.99861</v>
      </c>
      <c r="B1689" s="1">
        <f>IFERROR(__xludf.DUMMYFUNCTION("""COMPUTED_VALUE"""),3488.16933)</f>
        <v>3488.16933</v>
      </c>
    </row>
    <row r="1690">
      <c r="A1690" s="3">
        <f>IFERROR(__xludf.DUMMYFUNCTION("""COMPUTED_VALUE"""),42002.99861111111)</f>
        <v>42002.99861</v>
      </c>
      <c r="B1690" s="1">
        <f>IFERROR(__xludf.DUMMYFUNCTION("""COMPUTED_VALUE"""),3472.318)</f>
        <v>3472.318</v>
      </c>
    </row>
    <row r="1691">
      <c r="A1691" s="3">
        <f>IFERROR(__xludf.DUMMYFUNCTION("""COMPUTED_VALUE"""),42003.99861111111)</f>
        <v>42003.99861</v>
      </c>
      <c r="B1691" s="1">
        <f>IFERROR(__xludf.DUMMYFUNCTION("""COMPUTED_VALUE"""),3483.4374)</f>
        <v>3483.4374</v>
      </c>
    </row>
    <row r="1692">
      <c r="A1692" s="3">
        <f>IFERROR(__xludf.DUMMYFUNCTION("""COMPUTED_VALUE"""),42004.99861111111)</f>
        <v>42004.99861</v>
      </c>
      <c r="B1692" s="1">
        <f>IFERROR(__xludf.DUMMYFUNCTION("""COMPUTED_VALUE"""),3461.766)</f>
        <v>3461.766</v>
      </c>
    </row>
    <row r="1693">
      <c r="A1693" s="3">
        <f>IFERROR(__xludf.DUMMYFUNCTION("""COMPUTED_VALUE"""),42005.99861111111)</f>
        <v>42005.99861</v>
      </c>
      <c r="B1693" s="1">
        <f>IFERROR(__xludf.DUMMYFUNCTION("""COMPUTED_VALUE"""),3459.0402)</f>
        <v>3459.0402</v>
      </c>
    </row>
    <row r="1694">
      <c r="A1694" s="3">
        <f>IFERROR(__xludf.DUMMYFUNCTION("""COMPUTED_VALUE"""),42006.99861111111)</f>
        <v>42006.99861</v>
      </c>
      <c r="B1694" s="1">
        <f>IFERROR(__xludf.DUMMYFUNCTION("""COMPUTED_VALUE"""),3468.6912)</f>
        <v>3468.6912</v>
      </c>
    </row>
    <row r="1695">
      <c r="A1695" s="3">
        <f>IFERROR(__xludf.DUMMYFUNCTION("""COMPUTED_VALUE"""),42007.99861111111)</f>
        <v>42007.99861</v>
      </c>
      <c r="B1695" s="1">
        <f>IFERROR(__xludf.DUMMYFUNCTION("""COMPUTED_VALUE"""),3487.327077)</f>
        <v>3487.327077</v>
      </c>
    </row>
    <row r="1696">
      <c r="A1696" s="3">
        <f>IFERROR(__xludf.DUMMYFUNCTION("""COMPUTED_VALUE"""),42008.99861111111)</f>
        <v>42008.99861</v>
      </c>
      <c r="B1696" s="1">
        <f>IFERROR(__xludf.DUMMYFUNCTION("""COMPUTED_VALUE"""),3470.890441)</f>
        <v>3470.890441</v>
      </c>
    </row>
    <row r="1697">
      <c r="A1697" s="3">
        <f>IFERROR(__xludf.DUMMYFUNCTION("""COMPUTED_VALUE"""),42009.99861111111)</f>
        <v>42009.99861</v>
      </c>
      <c r="B1697" s="1">
        <f>IFERROR(__xludf.DUMMYFUNCTION("""COMPUTED_VALUE"""),3515.81)</f>
        <v>3515.81</v>
      </c>
    </row>
    <row r="1698">
      <c r="A1698" s="3">
        <f>IFERROR(__xludf.DUMMYFUNCTION("""COMPUTED_VALUE"""),42010.99861111111)</f>
        <v>42010.99861</v>
      </c>
      <c r="B1698" s="1">
        <f>IFERROR(__xludf.DUMMYFUNCTION("""COMPUTED_VALUE"""),3482.206)</f>
        <v>3482.206</v>
      </c>
    </row>
    <row r="1699">
      <c r="A1699" s="3">
        <f>IFERROR(__xludf.DUMMYFUNCTION("""COMPUTED_VALUE"""),42011.99861111111)</f>
        <v>42011.99861</v>
      </c>
      <c r="B1699" s="1">
        <f>IFERROR(__xludf.DUMMYFUNCTION("""COMPUTED_VALUE"""),3490.4952)</f>
        <v>3490.4952</v>
      </c>
    </row>
    <row r="1700">
      <c r="A1700" s="3">
        <f>IFERROR(__xludf.DUMMYFUNCTION("""COMPUTED_VALUE"""),42012.99861111111)</f>
        <v>42012.99861</v>
      </c>
      <c r="B1700" s="1">
        <f>IFERROR(__xludf.DUMMYFUNCTION("""COMPUTED_VALUE"""),3475.4421)</f>
        <v>3475.4421</v>
      </c>
    </row>
    <row r="1701">
      <c r="A1701" s="3">
        <f>IFERROR(__xludf.DUMMYFUNCTION("""COMPUTED_VALUE"""),42013.99861111111)</f>
        <v>42013.99861</v>
      </c>
      <c r="B1701" s="1">
        <f>IFERROR(__xludf.DUMMYFUNCTION("""COMPUTED_VALUE"""),3471.08125)</f>
        <v>3471.08125</v>
      </c>
    </row>
    <row r="1702">
      <c r="A1702" s="3">
        <f>IFERROR(__xludf.DUMMYFUNCTION("""COMPUTED_VALUE"""),42014.99861111111)</f>
        <v>42014.99861</v>
      </c>
      <c r="B1702" s="1">
        <f>IFERROR(__xludf.DUMMYFUNCTION("""COMPUTED_VALUE"""),3537.129862)</f>
        <v>3537.129862</v>
      </c>
    </row>
    <row r="1703">
      <c r="A1703" s="3">
        <f>IFERROR(__xludf.DUMMYFUNCTION("""COMPUTED_VALUE"""),42015.99861111111)</f>
        <v>42015.99861</v>
      </c>
      <c r="B1703" s="1">
        <f>IFERROR(__xludf.DUMMYFUNCTION("""COMPUTED_VALUE"""),3540.408159)</f>
        <v>3540.408159</v>
      </c>
    </row>
    <row r="1704">
      <c r="A1704" s="3">
        <f>IFERROR(__xludf.DUMMYFUNCTION("""COMPUTED_VALUE"""),42016.99861111111)</f>
        <v>42016.99861</v>
      </c>
      <c r="B1704" s="1">
        <f>IFERROR(__xludf.DUMMYFUNCTION("""COMPUTED_VALUE"""),3464.24988)</f>
        <v>3464.24988</v>
      </c>
    </row>
    <row r="1705">
      <c r="A1705" s="3">
        <f>IFERROR(__xludf.DUMMYFUNCTION("""COMPUTED_VALUE"""),42017.99861111111)</f>
        <v>42017.99861</v>
      </c>
      <c r="B1705" s="1">
        <f>IFERROR(__xludf.DUMMYFUNCTION("""COMPUTED_VALUE"""),3433.60773)</f>
        <v>3433.60773</v>
      </c>
    </row>
    <row r="1706">
      <c r="A1706" s="3">
        <f>IFERROR(__xludf.DUMMYFUNCTION("""COMPUTED_VALUE"""),42018.99861111111)</f>
        <v>42018.99861</v>
      </c>
      <c r="B1706" s="1">
        <f>IFERROR(__xludf.DUMMYFUNCTION("""COMPUTED_VALUE"""),3437.68455)</f>
        <v>3437.68455</v>
      </c>
    </row>
    <row r="1707">
      <c r="A1707" s="3">
        <f>IFERROR(__xludf.DUMMYFUNCTION("""COMPUTED_VALUE"""),42019.99861111111)</f>
        <v>42019.99861</v>
      </c>
      <c r="B1707" s="1">
        <f>IFERROR(__xludf.DUMMYFUNCTION("""COMPUTED_VALUE"""),3416.13193)</f>
        <v>3416.13193</v>
      </c>
    </row>
    <row r="1708">
      <c r="A1708" s="3">
        <f>IFERROR(__xludf.DUMMYFUNCTION("""COMPUTED_VALUE"""),42020.99861111111)</f>
        <v>42020.99861</v>
      </c>
      <c r="B1708" s="1">
        <f>IFERROR(__xludf.DUMMYFUNCTION("""COMPUTED_VALUE"""),3460.3806)</f>
        <v>3460.3806</v>
      </c>
    </row>
    <row r="1709">
      <c r="A1709" s="3">
        <f>IFERROR(__xludf.DUMMYFUNCTION("""COMPUTED_VALUE"""),42021.99861111111)</f>
        <v>42021.99861</v>
      </c>
      <c r="B1709" s="1">
        <f>IFERROR(__xludf.DUMMYFUNCTION("""COMPUTED_VALUE"""),3526.537685)</f>
        <v>3526.537685</v>
      </c>
    </row>
    <row r="1710">
      <c r="A1710" s="3">
        <f>IFERROR(__xludf.DUMMYFUNCTION("""COMPUTED_VALUE"""),42022.99861111111)</f>
        <v>42022.99861</v>
      </c>
      <c r="B1710" s="1">
        <f>IFERROR(__xludf.DUMMYFUNCTION("""COMPUTED_VALUE"""),3522.789281)</f>
        <v>3522.789281</v>
      </c>
    </row>
    <row r="1711">
      <c r="A1711" s="3">
        <f>IFERROR(__xludf.DUMMYFUNCTION("""COMPUTED_VALUE"""),42023.99861111111)</f>
        <v>42023.99861</v>
      </c>
      <c r="B1711" s="1">
        <f>IFERROR(__xludf.DUMMYFUNCTION("""COMPUTED_VALUE"""),3471.4818)</f>
        <v>3471.4818</v>
      </c>
    </row>
    <row r="1712">
      <c r="A1712" s="3">
        <f>IFERROR(__xludf.DUMMYFUNCTION("""COMPUTED_VALUE"""),42024.99861111111)</f>
        <v>42024.99861</v>
      </c>
      <c r="B1712" s="1">
        <f>IFERROR(__xludf.DUMMYFUNCTION("""COMPUTED_VALUE"""),3398.52348)</f>
        <v>3398.52348</v>
      </c>
    </row>
    <row r="1713">
      <c r="A1713" s="3">
        <f>IFERROR(__xludf.DUMMYFUNCTION("""COMPUTED_VALUE"""),42025.99861111111)</f>
        <v>42025.99861</v>
      </c>
      <c r="B1713" s="1">
        <f>IFERROR(__xludf.DUMMYFUNCTION("""COMPUTED_VALUE"""),3395.34135)</f>
        <v>3395.34135</v>
      </c>
    </row>
    <row r="1714">
      <c r="A1714" s="3">
        <f>IFERROR(__xludf.DUMMYFUNCTION("""COMPUTED_VALUE"""),42026.99861111111)</f>
        <v>42026.99861</v>
      </c>
      <c r="B1714" s="1">
        <f>IFERROR(__xludf.DUMMYFUNCTION("""COMPUTED_VALUE"""),3297.7452)</f>
        <v>3297.7452</v>
      </c>
    </row>
    <row r="1715">
      <c r="A1715" s="3">
        <f>IFERROR(__xludf.DUMMYFUNCTION("""COMPUTED_VALUE"""),42027.99861111111)</f>
        <v>42027.99861</v>
      </c>
      <c r="B1715" s="1">
        <f>IFERROR(__xludf.DUMMYFUNCTION("""COMPUTED_VALUE"""),3392.59707)</f>
        <v>3392.59707</v>
      </c>
    </row>
    <row r="1716">
      <c r="A1716" s="3">
        <f>IFERROR(__xludf.DUMMYFUNCTION("""COMPUTED_VALUE"""),42028.99861111111)</f>
        <v>42028.99861</v>
      </c>
      <c r="B1716" s="1">
        <f>IFERROR(__xludf.DUMMYFUNCTION("""COMPUTED_VALUE"""),3417.896127)</f>
        <v>3417.896127</v>
      </c>
    </row>
    <row r="1717">
      <c r="A1717" s="3">
        <f>IFERROR(__xludf.DUMMYFUNCTION("""COMPUTED_VALUE"""),42029.99861111111)</f>
        <v>42029.99861</v>
      </c>
      <c r="B1717" s="1">
        <f>IFERROR(__xludf.DUMMYFUNCTION("""COMPUTED_VALUE"""),3392.990004)</f>
        <v>3392.990004</v>
      </c>
    </row>
    <row r="1718">
      <c r="A1718" s="3">
        <f>IFERROR(__xludf.DUMMYFUNCTION("""COMPUTED_VALUE"""),42030.99861111111)</f>
        <v>42030.99861</v>
      </c>
      <c r="B1718" s="1">
        <f>IFERROR(__xludf.DUMMYFUNCTION("""COMPUTED_VALUE"""),3390.71998)</f>
        <v>3390.71998</v>
      </c>
    </row>
    <row r="1719">
      <c r="A1719" s="3">
        <f>IFERROR(__xludf.DUMMYFUNCTION("""COMPUTED_VALUE"""),42031.99861111111)</f>
        <v>42031.99861</v>
      </c>
      <c r="B1719" s="1">
        <f>IFERROR(__xludf.DUMMYFUNCTION("""COMPUTED_VALUE"""),3418.8945)</f>
        <v>3418.8945</v>
      </c>
    </row>
    <row r="1720">
      <c r="A1720" s="3">
        <f>IFERROR(__xludf.DUMMYFUNCTION("""COMPUTED_VALUE"""),42032.99861111111)</f>
        <v>42032.99861</v>
      </c>
      <c r="B1720" s="1">
        <f>IFERROR(__xludf.DUMMYFUNCTION("""COMPUTED_VALUE"""),3352.886)</f>
        <v>3352.886</v>
      </c>
    </row>
    <row r="1721">
      <c r="A1721" s="3">
        <f>IFERROR(__xludf.DUMMYFUNCTION("""COMPUTED_VALUE"""),42033.99861111111)</f>
        <v>42033.99861</v>
      </c>
      <c r="B1721" s="1">
        <f>IFERROR(__xludf.DUMMYFUNCTION("""COMPUTED_VALUE"""),3403.956)</f>
        <v>3403.956</v>
      </c>
    </row>
    <row r="1722">
      <c r="A1722" s="3">
        <f>IFERROR(__xludf.DUMMYFUNCTION("""COMPUTED_VALUE"""),42034.99861111111)</f>
        <v>42034.99861</v>
      </c>
      <c r="B1722" s="1">
        <f>IFERROR(__xludf.DUMMYFUNCTION("""COMPUTED_VALUE"""),3424.7519)</f>
        <v>3424.7519</v>
      </c>
    </row>
    <row r="1723">
      <c r="A1723" s="3">
        <f>IFERROR(__xludf.DUMMYFUNCTION("""COMPUTED_VALUE"""),42035.99861111111)</f>
        <v>42035.99861</v>
      </c>
      <c r="B1723" s="1">
        <f>IFERROR(__xludf.DUMMYFUNCTION("""COMPUTED_VALUE"""),3440.919697)</f>
        <v>3440.919697</v>
      </c>
    </row>
    <row r="1724">
      <c r="A1724" s="3">
        <f>IFERROR(__xludf.DUMMYFUNCTION("""COMPUTED_VALUE"""),42036.99861111111)</f>
        <v>42036.99861</v>
      </c>
      <c r="B1724" s="1">
        <f>IFERROR(__xludf.DUMMYFUNCTION("""COMPUTED_VALUE"""),3447.18568)</f>
        <v>3447.18568</v>
      </c>
    </row>
    <row r="1725">
      <c r="A1725" s="3">
        <f>IFERROR(__xludf.DUMMYFUNCTION("""COMPUTED_VALUE"""),42037.99861111111)</f>
        <v>42037.99861</v>
      </c>
      <c r="B1725" s="1">
        <f>IFERROR(__xludf.DUMMYFUNCTION("""COMPUTED_VALUE"""),3420.2196)</f>
        <v>3420.2196</v>
      </c>
    </row>
    <row r="1726">
      <c r="A1726" s="3">
        <f>IFERROR(__xludf.DUMMYFUNCTION("""COMPUTED_VALUE"""),42038.99861111111)</f>
        <v>42038.99861</v>
      </c>
      <c r="B1726" s="1">
        <f>IFERROR(__xludf.DUMMYFUNCTION("""COMPUTED_VALUE"""),3434.484)</f>
        <v>3434.484</v>
      </c>
    </row>
    <row r="1727">
      <c r="A1727" s="3">
        <f>IFERROR(__xludf.DUMMYFUNCTION("""COMPUTED_VALUE"""),42039.99861111111)</f>
        <v>42039.99861</v>
      </c>
      <c r="B1727" s="1">
        <f>IFERROR(__xludf.DUMMYFUNCTION("""COMPUTED_VALUE"""),3436.90375)</f>
        <v>3436.90375</v>
      </c>
    </row>
    <row r="1728">
      <c r="A1728" s="3">
        <f>IFERROR(__xludf.DUMMYFUNCTION("""COMPUTED_VALUE"""),42040.99861111111)</f>
        <v>42040.99861</v>
      </c>
      <c r="B1728" s="1">
        <f>IFERROR(__xludf.DUMMYFUNCTION("""COMPUTED_VALUE"""),3470.48764)</f>
        <v>3470.48764</v>
      </c>
    </row>
    <row r="1729">
      <c r="A1729" s="3">
        <f>IFERROR(__xludf.DUMMYFUNCTION("""COMPUTED_VALUE"""),42041.99861111111)</f>
        <v>42041.99861</v>
      </c>
      <c r="B1729" s="1">
        <f>IFERROR(__xludf.DUMMYFUNCTION("""COMPUTED_VALUE"""),3457.52577)</f>
        <v>3457.52577</v>
      </c>
    </row>
    <row r="1730">
      <c r="A1730" s="3">
        <f>IFERROR(__xludf.DUMMYFUNCTION("""COMPUTED_VALUE"""),42042.99861111111)</f>
        <v>42042.99861</v>
      </c>
      <c r="B1730" s="1">
        <f>IFERROR(__xludf.DUMMYFUNCTION("""COMPUTED_VALUE"""),3545.205098)</f>
        <v>3545.205098</v>
      </c>
    </row>
    <row r="1731">
      <c r="A1731" s="3">
        <f>IFERROR(__xludf.DUMMYFUNCTION("""COMPUTED_VALUE"""),42043.99861111111)</f>
        <v>42043.99861</v>
      </c>
      <c r="B1731" s="1">
        <f>IFERROR(__xludf.DUMMYFUNCTION("""COMPUTED_VALUE"""),3545.205098)</f>
        <v>3545.205098</v>
      </c>
    </row>
    <row r="1732">
      <c r="A1732" s="3">
        <f>IFERROR(__xludf.DUMMYFUNCTION("""COMPUTED_VALUE"""),42044.99861111111)</f>
        <v>42044.99861</v>
      </c>
      <c r="B1732" s="1">
        <f>IFERROR(__xludf.DUMMYFUNCTION("""COMPUTED_VALUE"""),3491.2339)</f>
        <v>3491.2339</v>
      </c>
    </row>
    <row r="1733">
      <c r="A1733" s="3">
        <f>IFERROR(__xludf.DUMMYFUNCTION("""COMPUTED_VALUE"""),42045.99861111111)</f>
        <v>42045.99861</v>
      </c>
      <c r="B1733" s="1">
        <f>IFERROR(__xludf.DUMMYFUNCTION("""COMPUTED_VALUE"""),3499.03411)</f>
        <v>3499.03411</v>
      </c>
    </row>
    <row r="1734">
      <c r="A1734" s="3">
        <f>IFERROR(__xludf.DUMMYFUNCTION("""COMPUTED_VALUE"""),42046.99861111111)</f>
        <v>42046.99861</v>
      </c>
      <c r="B1734" s="1">
        <f>IFERROR(__xludf.DUMMYFUNCTION("""COMPUTED_VALUE"""),3492.9479)</f>
        <v>3492.9479</v>
      </c>
    </row>
    <row r="1735">
      <c r="A1735" s="3">
        <f>IFERROR(__xludf.DUMMYFUNCTION("""COMPUTED_VALUE"""),42047.99861111111)</f>
        <v>42047.99861</v>
      </c>
      <c r="B1735" s="1">
        <f>IFERROR(__xludf.DUMMYFUNCTION("""COMPUTED_VALUE"""),3492.2119)</f>
        <v>3492.2119</v>
      </c>
    </row>
    <row r="1736">
      <c r="A1736" s="3">
        <f>IFERROR(__xludf.DUMMYFUNCTION("""COMPUTED_VALUE"""),42048.99861111111)</f>
        <v>42048.99861</v>
      </c>
      <c r="B1736" s="1">
        <f>IFERROR(__xludf.DUMMYFUNCTION("""COMPUTED_VALUE"""),3462.72255)</f>
        <v>3462.72255</v>
      </c>
    </row>
    <row r="1737">
      <c r="A1737" s="3">
        <f>IFERROR(__xludf.DUMMYFUNCTION("""COMPUTED_VALUE"""),42049.99861111111)</f>
        <v>42049.99861</v>
      </c>
      <c r="B1737" s="1">
        <f>IFERROR(__xludf.DUMMYFUNCTION("""COMPUTED_VALUE"""),3497.437183)</f>
        <v>3497.437183</v>
      </c>
    </row>
    <row r="1738">
      <c r="A1738" s="3">
        <f>IFERROR(__xludf.DUMMYFUNCTION("""COMPUTED_VALUE"""),42050.99861111111)</f>
        <v>42050.99861</v>
      </c>
      <c r="B1738" s="1">
        <f>IFERROR(__xludf.DUMMYFUNCTION("""COMPUTED_VALUE"""),3498.208683)</f>
        <v>3498.208683</v>
      </c>
    </row>
    <row r="1739">
      <c r="A1739" s="3">
        <f>IFERROR(__xludf.DUMMYFUNCTION("""COMPUTED_VALUE"""),42051.99861111111)</f>
        <v>42051.99861</v>
      </c>
      <c r="B1739" s="1">
        <f>IFERROR(__xludf.DUMMYFUNCTION("""COMPUTED_VALUE"""),3430.14465)</f>
        <v>3430.14465</v>
      </c>
    </row>
    <row r="1740">
      <c r="A1740" s="3">
        <f>IFERROR(__xludf.DUMMYFUNCTION("""COMPUTED_VALUE"""),42052.99861111111)</f>
        <v>42052.99861</v>
      </c>
      <c r="B1740" s="1">
        <f>IFERROR(__xludf.DUMMYFUNCTION("""COMPUTED_VALUE"""),3484.45704)</f>
        <v>3484.45704</v>
      </c>
    </row>
    <row r="1741">
      <c r="A1741" s="3">
        <f>IFERROR(__xludf.DUMMYFUNCTION("""COMPUTED_VALUE"""),42053.99861111111)</f>
        <v>42053.99861</v>
      </c>
      <c r="B1741" s="1">
        <f>IFERROR(__xludf.DUMMYFUNCTION("""COMPUTED_VALUE"""),3479.7084)</f>
        <v>3479.7084</v>
      </c>
    </row>
    <row r="1742">
      <c r="A1742" s="3">
        <f>IFERROR(__xludf.DUMMYFUNCTION("""COMPUTED_VALUE"""),42054.99861111111)</f>
        <v>42054.99861</v>
      </c>
      <c r="B1742" s="1">
        <f>IFERROR(__xludf.DUMMYFUNCTION("""COMPUTED_VALUE"""),3481.91355)</f>
        <v>3481.91355</v>
      </c>
    </row>
    <row r="1743">
      <c r="A1743" s="3">
        <f>IFERROR(__xludf.DUMMYFUNCTION("""COMPUTED_VALUE"""),42055.99861111111)</f>
        <v>42055.99861</v>
      </c>
      <c r="B1743" s="1">
        <f>IFERROR(__xludf.DUMMYFUNCTION("""COMPUTED_VALUE"""),3488.85177)</f>
        <v>3488.85177</v>
      </c>
    </row>
    <row r="1744">
      <c r="A1744" s="3">
        <f>IFERROR(__xludf.DUMMYFUNCTION("""COMPUTED_VALUE"""),42056.99861111111)</f>
        <v>42056.99861</v>
      </c>
      <c r="B1744" s="1">
        <f>IFERROR(__xludf.DUMMYFUNCTION("""COMPUTED_VALUE"""),3504.375022)</f>
        <v>3504.375022</v>
      </c>
    </row>
    <row r="1745">
      <c r="A1745" s="3">
        <f>IFERROR(__xludf.DUMMYFUNCTION("""COMPUTED_VALUE"""),42057.99861111111)</f>
        <v>42057.99861</v>
      </c>
      <c r="B1745" s="1">
        <f>IFERROR(__xludf.DUMMYFUNCTION("""COMPUTED_VALUE"""),3504.889823)</f>
        <v>3504.889823</v>
      </c>
    </row>
    <row r="1746">
      <c r="A1746" s="3">
        <f>IFERROR(__xludf.DUMMYFUNCTION("""COMPUTED_VALUE"""),42058.99861111111)</f>
        <v>42058.99861</v>
      </c>
      <c r="B1746" s="1">
        <f>IFERROR(__xludf.DUMMYFUNCTION("""COMPUTED_VALUE"""),3477.2154)</f>
        <v>3477.2154</v>
      </c>
    </row>
    <row r="1747">
      <c r="A1747" s="3">
        <f>IFERROR(__xludf.DUMMYFUNCTION("""COMPUTED_VALUE"""),42059.99861111111)</f>
        <v>42059.99861</v>
      </c>
      <c r="B1747" s="1">
        <f>IFERROR(__xludf.DUMMYFUNCTION("""COMPUTED_VALUE"""),3452.37466)</f>
        <v>3452.37466</v>
      </c>
    </row>
    <row r="1748">
      <c r="A1748" s="3">
        <f>IFERROR(__xludf.DUMMYFUNCTION("""COMPUTED_VALUE"""),42060.99861111111)</f>
        <v>42060.99861</v>
      </c>
      <c r="B1748" s="1">
        <f>IFERROR(__xludf.DUMMYFUNCTION("""COMPUTED_VALUE"""),3504.273)</f>
        <v>3504.273</v>
      </c>
    </row>
    <row r="1749">
      <c r="A1749" s="3">
        <f>IFERROR(__xludf.DUMMYFUNCTION("""COMPUTED_VALUE"""),42061.99861111111)</f>
        <v>42061.99861</v>
      </c>
      <c r="B1749" s="1">
        <f>IFERROR(__xludf.DUMMYFUNCTION("""COMPUTED_VALUE"""),3473.57569)</f>
        <v>3473.57569</v>
      </c>
    </row>
    <row r="1750">
      <c r="A1750" s="3">
        <f>IFERROR(__xludf.DUMMYFUNCTION("""COMPUTED_VALUE"""),42062.99861111111)</f>
        <v>42062.99861</v>
      </c>
      <c r="B1750" s="1">
        <f>IFERROR(__xludf.DUMMYFUNCTION("""COMPUTED_VALUE"""),3515.61042)</f>
        <v>3515.61042</v>
      </c>
    </row>
    <row r="1751">
      <c r="A1751" s="3">
        <f>IFERROR(__xludf.DUMMYFUNCTION("""COMPUTED_VALUE"""),42063.99861111111)</f>
        <v>42063.99861</v>
      </c>
      <c r="B1751" s="1">
        <f>IFERROR(__xludf.DUMMYFUNCTION("""COMPUTED_VALUE"""),3522.626471)</f>
        <v>3522.626471</v>
      </c>
    </row>
    <row r="1752">
      <c r="A1752" s="3">
        <f>IFERROR(__xludf.DUMMYFUNCTION("""COMPUTED_VALUE"""),42064.99861111111)</f>
        <v>42064.99861</v>
      </c>
      <c r="B1752" s="1">
        <f>IFERROR(__xludf.DUMMYFUNCTION("""COMPUTED_VALUE"""),3511.703195)</f>
        <v>3511.703195</v>
      </c>
    </row>
    <row r="1753">
      <c r="A1753" s="3">
        <f>IFERROR(__xludf.DUMMYFUNCTION("""COMPUTED_VALUE"""),42065.99861111111)</f>
        <v>42065.99861</v>
      </c>
      <c r="B1753" s="1">
        <f>IFERROR(__xludf.DUMMYFUNCTION("""COMPUTED_VALUE"""),3494.48545)</f>
        <v>3494.48545</v>
      </c>
    </row>
    <row r="1754">
      <c r="A1754" s="3">
        <f>IFERROR(__xludf.DUMMYFUNCTION("""COMPUTED_VALUE"""),42066.99861111111)</f>
        <v>42066.99861</v>
      </c>
      <c r="B1754" s="1">
        <f>IFERROR(__xludf.DUMMYFUNCTION("""COMPUTED_VALUE"""),3515.9076)</f>
        <v>3515.9076</v>
      </c>
    </row>
    <row r="1755">
      <c r="A1755" s="3">
        <f>IFERROR(__xludf.DUMMYFUNCTION("""COMPUTED_VALUE"""),42067.99861111111)</f>
        <v>42067.99861</v>
      </c>
      <c r="B1755" s="1">
        <f>IFERROR(__xludf.DUMMYFUNCTION("""COMPUTED_VALUE"""),3485.28685)</f>
        <v>3485.28685</v>
      </c>
    </row>
    <row r="1756">
      <c r="A1756" s="3">
        <f>IFERROR(__xludf.DUMMYFUNCTION("""COMPUTED_VALUE"""),42068.99861111111)</f>
        <v>42068.99861</v>
      </c>
      <c r="B1756" s="1">
        <f>IFERROR(__xludf.DUMMYFUNCTION("""COMPUTED_VALUE"""),3459.651)</f>
        <v>3459.651</v>
      </c>
    </row>
    <row r="1757">
      <c r="A1757" s="3">
        <f>IFERROR(__xludf.DUMMYFUNCTION("""COMPUTED_VALUE"""),42069.99861111111)</f>
        <v>42069.99861</v>
      </c>
      <c r="B1757" s="1">
        <f>IFERROR(__xludf.DUMMYFUNCTION("""COMPUTED_VALUE"""),3466.3709)</f>
        <v>3466.3709</v>
      </c>
    </row>
    <row r="1758">
      <c r="A1758" s="3">
        <f>IFERROR(__xludf.DUMMYFUNCTION("""COMPUTED_VALUE"""),42070.99861111111)</f>
        <v>42070.99861</v>
      </c>
      <c r="B1758" s="1">
        <f>IFERROR(__xludf.DUMMYFUNCTION("""COMPUTED_VALUE"""),3518.914485)</f>
        <v>3518.914485</v>
      </c>
    </row>
    <row r="1759">
      <c r="A1759" s="3">
        <f>IFERROR(__xludf.DUMMYFUNCTION("""COMPUTED_VALUE"""),42071.99861111111)</f>
        <v>42071.99861</v>
      </c>
      <c r="B1759" s="1">
        <f>IFERROR(__xludf.DUMMYFUNCTION("""COMPUTED_VALUE"""),3518.649935)</f>
        <v>3518.649935</v>
      </c>
    </row>
    <row r="1760">
      <c r="A1760" s="3">
        <f>IFERROR(__xludf.DUMMYFUNCTION("""COMPUTED_VALUE"""),42072.99861111111)</f>
        <v>42072.99861</v>
      </c>
      <c r="B1760" s="1">
        <f>IFERROR(__xludf.DUMMYFUNCTION("""COMPUTED_VALUE"""),3475.58778)</f>
        <v>3475.58778</v>
      </c>
    </row>
    <row r="1761">
      <c r="A1761" s="3">
        <f>IFERROR(__xludf.DUMMYFUNCTION("""COMPUTED_VALUE"""),42073.99861111111)</f>
        <v>42073.99861</v>
      </c>
      <c r="B1761" s="1">
        <f>IFERROR(__xludf.DUMMYFUNCTION("""COMPUTED_VALUE"""),3453.3554)</f>
        <v>3453.3554</v>
      </c>
    </row>
    <row r="1762">
      <c r="A1762" s="3">
        <f>IFERROR(__xludf.DUMMYFUNCTION("""COMPUTED_VALUE"""),42074.99861111111)</f>
        <v>42074.99861</v>
      </c>
      <c r="B1762" s="1">
        <f>IFERROR(__xludf.DUMMYFUNCTION("""COMPUTED_VALUE"""),3473.32525)</f>
        <v>3473.32525</v>
      </c>
    </row>
    <row r="1763">
      <c r="A1763" s="3">
        <f>IFERROR(__xludf.DUMMYFUNCTION("""COMPUTED_VALUE"""),42075.99861111111)</f>
        <v>42075.99861</v>
      </c>
      <c r="B1763" s="1">
        <f>IFERROR(__xludf.DUMMYFUNCTION("""COMPUTED_VALUE"""),3492.684)</f>
        <v>3492.684</v>
      </c>
    </row>
    <row r="1764">
      <c r="A1764" s="3">
        <f>IFERROR(__xludf.DUMMYFUNCTION("""COMPUTED_VALUE"""),42076.99861111111)</f>
        <v>42076.99861</v>
      </c>
      <c r="B1764" s="1">
        <f>IFERROR(__xludf.DUMMYFUNCTION("""COMPUTED_VALUE"""),3478.9941)</f>
        <v>3478.9941</v>
      </c>
    </row>
    <row r="1765">
      <c r="A1765" s="3">
        <f>IFERROR(__xludf.DUMMYFUNCTION("""COMPUTED_VALUE"""),42077.99861111111)</f>
        <v>42077.99861</v>
      </c>
      <c r="B1765" s="1">
        <f>IFERROR(__xludf.DUMMYFUNCTION("""COMPUTED_VALUE"""),3504.11621)</f>
        <v>3504.11621</v>
      </c>
    </row>
    <row r="1766">
      <c r="A1766" s="3">
        <f>IFERROR(__xludf.DUMMYFUNCTION("""COMPUTED_VALUE"""),42078.99861111111)</f>
        <v>42078.99861</v>
      </c>
      <c r="B1766" s="1">
        <f>IFERROR(__xludf.DUMMYFUNCTION("""COMPUTED_VALUE"""),3498.936928)</f>
        <v>3498.936928</v>
      </c>
    </row>
    <row r="1767">
      <c r="A1767" s="3">
        <f>IFERROR(__xludf.DUMMYFUNCTION("""COMPUTED_VALUE"""),42079.99861111111)</f>
        <v>42079.99861</v>
      </c>
      <c r="B1767" s="1">
        <f>IFERROR(__xludf.DUMMYFUNCTION("""COMPUTED_VALUE"""),3504.592)</f>
        <v>3504.592</v>
      </c>
    </row>
    <row r="1768">
      <c r="A1768" s="3">
        <f>IFERROR(__xludf.DUMMYFUNCTION("""COMPUTED_VALUE"""),42080.99861111111)</f>
        <v>42080.99861</v>
      </c>
      <c r="B1768" s="1">
        <f>IFERROR(__xludf.DUMMYFUNCTION("""COMPUTED_VALUE"""),3471.9456)</f>
        <v>3471.9456</v>
      </c>
    </row>
    <row r="1769">
      <c r="A1769" s="3">
        <f>IFERROR(__xludf.DUMMYFUNCTION("""COMPUTED_VALUE"""),42081.99861111111)</f>
        <v>42081.99861</v>
      </c>
      <c r="B1769" s="1">
        <f>IFERROR(__xludf.DUMMYFUNCTION("""COMPUTED_VALUE"""),3484.5552)</f>
        <v>3484.5552</v>
      </c>
    </row>
    <row r="1770">
      <c r="A1770" s="3">
        <f>IFERROR(__xludf.DUMMYFUNCTION("""COMPUTED_VALUE"""),42082.99861111111)</f>
        <v>42082.99861</v>
      </c>
      <c r="B1770" s="1">
        <f>IFERROR(__xludf.DUMMYFUNCTION("""COMPUTED_VALUE"""),3445.22272)</f>
        <v>3445.22272</v>
      </c>
    </row>
    <row r="1771">
      <c r="A1771" s="3">
        <f>IFERROR(__xludf.DUMMYFUNCTION("""COMPUTED_VALUE"""),42083.99861111111)</f>
        <v>42083.99861</v>
      </c>
      <c r="B1771" s="1">
        <f>IFERROR(__xludf.DUMMYFUNCTION("""COMPUTED_VALUE"""),3456.835)</f>
        <v>3456.835</v>
      </c>
    </row>
    <row r="1772">
      <c r="A1772" s="3">
        <f>IFERROR(__xludf.DUMMYFUNCTION("""COMPUTED_VALUE"""),42084.99861111111)</f>
        <v>42084.99861</v>
      </c>
      <c r="B1772" s="1">
        <f>IFERROR(__xludf.DUMMYFUNCTION("""COMPUTED_VALUE"""),3460.23212)</f>
        <v>3460.23212</v>
      </c>
    </row>
    <row r="1773">
      <c r="A1773" s="3">
        <f>IFERROR(__xludf.DUMMYFUNCTION("""COMPUTED_VALUE"""),42085.99861111111)</f>
        <v>42085.99861</v>
      </c>
      <c r="B1773" s="1">
        <f>IFERROR(__xludf.DUMMYFUNCTION("""COMPUTED_VALUE"""),3461.796656)</f>
        <v>3461.796656</v>
      </c>
    </row>
    <row r="1774">
      <c r="A1774" s="3">
        <f>IFERROR(__xludf.DUMMYFUNCTION("""COMPUTED_VALUE"""),42086.99861111111)</f>
        <v>42086.99861</v>
      </c>
      <c r="B1774" s="1">
        <f>IFERROR(__xludf.DUMMYFUNCTION("""COMPUTED_VALUE"""),3448.92121)</f>
        <v>3448.92121</v>
      </c>
    </row>
    <row r="1775">
      <c r="A1775" s="3">
        <f>IFERROR(__xludf.DUMMYFUNCTION("""COMPUTED_VALUE"""),42087.99861111111)</f>
        <v>42087.99861</v>
      </c>
      <c r="B1775" s="1">
        <f>IFERROR(__xludf.DUMMYFUNCTION("""COMPUTED_VALUE"""),3442.40875)</f>
        <v>3442.40875</v>
      </c>
    </row>
    <row r="1776">
      <c r="A1776" s="3">
        <f>IFERROR(__xludf.DUMMYFUNCTION("""COMPUTED_VALUE"""),42088.99861111111)</f>
        <v>42088.99861</v>
      </c>
      <c r="B1776" s="1">
        <f>IFERROR(__xludf.DUMMYFUNCTION("""COMPUTED_VALUE"""),3467.9553)</f>
        <v>3467.9553</v>
      </c>
    </row>
    <row r="1777">
      <c r="A1777" s="3">
        <f>IFERROR(__xludf.DUMMYFUNCTION("""COMPUTED_VALUE"""),42089.99861111111)</f>
        <v>42089.99861</v>
      </c>
      <c r="B1777" s="1">
        <f>IFERROR(__xludf.DUMMYFUNCTION("""COMPUTED_VALUE"""),3452.5938)</f>
        <v>3452.5938</v>
      </c>
    </row>
    <row r="1778">
      <c r="A1778" s="3">
        <f>IFERROR(__xludf.DUMMYFUNCTION("""COMPUTED_VALUE"""),42090.99861111111)</f>
        <v>42090.99861</v>
      </c>
      <c r="B1778" s="1">
        <f>IFERROR(__xludf.DUMMYFUNCTION("""COMPUTED_VALUE"""),3478.65045)</f>
        <v>3478.65045</v>
      </c>
    </row>
    <row r="1779">
      <c r="A1779" s="3">
        <f>IFERROR(__xludf.DUMMYFUNCTION("""COMPUTED_VALUE"""),42091.99861111111)</f>
        <v>42091.99861</v>
      </c>
      <c r="B1779" s="1">
        <f>IFERROR(__xludf.DUMMYFUNCTION("""COMPUTED_VALUE"""),3506.831922)</f>
        <v>3506.831922</v>
      </c>
    </row>
    <row r="1780">
      <c r="A1780" s="3">
        <f>IFERROR(__xludf.DUMMYFUNCTION("""COMPUTED_VALUE"""),42092.99861111111)</f>
        <v>42092.99861</v>
      </c>
      <c r="B1780" s="1">
        <f>IFERROR(__xludf.DUMMYFUNCTION("""COMPUTED_VALUE"""),3504.860832)</f>
        <v>3504.860832</v>
      </c>
    </row>
    <row r="1781">
      <c r="A1781" s="3">
        <f>IFERROR(__xludf.DUMMYFUNCTION("""COMPUTED_VALUE"""),42093.99861111111)</f>
        <v>42093.99861</v>
      </c>
      <c r="B1781" s="1">
        <f>IFERROR(__xludf.DUMMYFUNCTION("""COMPUTED_VALUE"""),3455.36061)</f>
        <v>3455.36061</v>
      </c>
    </row>
    <row r="1782">
      <c r="A1782" s="3">
        <f>IFERROR(__xludf.DUMMYFUNCTION("""COMPUTED_VALUE"""),42094.99861111111)</f>
        <v>42094.99861</v>
      </c>
      <c r="B1782" s="1">
        <f>IFERROR(__xludf.DUMMYFUNCTION("""COMPUTED_VALUE"""),3456.1984)</f>
        <v>3456.1984</v>
      </c>
    </row>
    <row r="1783">
      <c r="A1783" s="3">
        <f>IFERROR(__xludf.DUMMYFUNCTION("""COMPUTED_VALUE"""),42095.99861111111)</f>
        <v>42095.99861</v>
      </c>
      <c r="B1783" s="1">
        <f>IFERROR(__xludf.DUMMYFUNCTION("""COMPUTED_VALUE"""),3438.4053)</f>
        <v>3438.4053</v>
      </c>
    </row>
    <row r="1784">
      <c r="A1784" s="3">
        <f>IFERROR(__xludf.DUMMYFUNCTION("""COMPUTED_VALUE"""),42096.99861111111)</f>
        <v>42096.99861</v>
      </c>
      <c r="B1784" s="1">
        <f>IFERROR(__xludf.DUMMYFUNCTION("""COMPUTED_VALUE"""),3484.3949)</f>
        <v>3484.3949</v>
      </c>
    </row>
    <row r="1785">
      <c r="A1785" s="3">
        <f>IFERROR(__xludf.DUMMYFUNCTION("""COMPUTED_VALUE"""),42097.99861111111)</f>
        <v>42097.99861</v>
      </c>
      <c r="B1785" s="1">
        <f>IFERROR(__xludf.DUMMYFUNCTION("""COMPUTED_VALUE"""),3512.4778)</f>
        <v>3512.4778</v>
      </c>
    </row>
    <row r="1786">
      <c r="A1786" s="3">
        <f>IFERROR(__xludf.DUMMYFUNCTION("""COMPUTED_VALUE"""),42098.99861111111)</f>
        <v>42098.99861</v>
      </c>
      <c r="B1786" s="1">
        <f>IFERROR(__xludf.DUMMYFUNCTION("""COMPUTED_VALUE"""),3523.016588)</f>
        <v>3523.016588</v>
      </c>
    </row>
    <row r="1787">
      <c r="A1787" s="3">
        <f>IFERROR(__xludf.DUMMYFUNCTION("""COMPUTED_VALUE"""),42099.99861111111)</f>
        <v>42099.99861</v>
      </c>
      <c r="B1787" s="1">
        <f>IFERROR(__xludf.DUMMYFUNCTION("""COMPUTED_VALUE"""),3522.306351)</f>
        <v>3522.306351</v>
      </c>
    </row>
    <row r="1788">
      <c r="A1788" s="3">
        <f>IFERROR(__xludf.DUMMYFUNCTION("""COMPUTED_VALUE"""),42100.99861111111)</f>
        <v>42100.99861</v>
      </c>
      <c r="B1788" s="1">
        <f>IFERROR(__xludf.DUMMYFUNCTION("""COMPUTED_VALUE"""),3494.3733)</f>
        <v>3494.3733</v>
      </c>
    </row>
    <row r="1789">
      <c r="A1789" s="3">
        <f>IFERROR(__xludf.DUMMYFUNCTION("""COMPUTED_VALUE"""),42101.99861111111)</f>
        <v>42101.99861</v>
      </c>
      <c r="B1789" s="1">
        <f>IFERROR(__xludf.DUMMYFUNCTION("""COMPUTED_VALUE"""),3491.4966)</f>
        <v>3491.4966</v>
      </c>
    </row>
    <row r="1790">
      <c r="A1790" s="3">
        <f>IFERROR(__xludf.DUMMYFUNCTION("""COMPUTED_VALUE"""),42102.99861111111)</f>
        <v>42102.99861</v>
      </c>
      <c r="B1790" s="1">
        <f>IFERROR(__xludf.DUMMYFUNCTION("""COMPUTED_VALUE"""),3463.51225)</f>
        <v>3463.51225</v>
      </c>
    </row>
    <row r="1791">
      <c r="A1791" s="3">
        <f>IFERROR(__xludf.DUMMYFUNCTION("""COMPUTED_VALUE"""),42103.99861111111)</f>
        <v>42103.99861</v>
      </c>
      <c r="B1791" s="1">
        <f>IFERROR(__xludf.DUMMYFUNCTION("""COMPUTED_VALUE"""),3461.9234)</f>
        <v>3461.9234</v>
      </c>
    </row>
    <row r="1792">
      <c r="A1792" s="3">
        <f>IFERROR(__xludf.DUMMYFUNCTION("""COMPUTED_VALUE"""),42104.99861111111)</f>
        <v>42104.99861</v>
      </c>
      <c r="B1792" s="1">
        <f>IFERROR(__xludf.DUMMYFUNCTION("""COMPUTED_VALUE"""),3451.6842)</f>
        <v>3451.6842</v>
      </c>
    </row>
    <row r="1793">
      <c r="A1793" s="3">
        <f>IFERROR(__xludf.DUMMYFUNCTION("""COMPUTED_VALUE"""),42105.99861111111)</f>
        <v>42105.99861</v>
      </c>
      <c r="B1793" s="1">
        <f>IFERROR(__xludf.DUMMYFUNCTION("""COMPUTED_VALUE"""),3466.105917)</f>
        <v>3466.105917</v>
      </c>
    </row>
    <row r="1794">
      <c r="A1794" s="3">
        <f>IFERROR(__xludf.DUMMYFUNCTION("""COMPUTED_VALUE"""),42106.99861111111)</f>
        <v>42106.99861</v>
      </c>
      <c r="B1794" s="1">
        <f>IFERROR(__xludf.DUMMYFUNCTION("""COMPUTED_VALUE"""),3465.847185)</f>
        <v>3465.847185</v>
      </c>
    </row>
    <row r="1795">
      <c r="A1795" s="3">
        <f>IFERROR(__xludf.DUMMYFUNCTION("""COMPUTED_VALUE"""),42107.99861111111)</f>
        <v>42107.99861</v>
      </c>
      <c r="B1795" s="1">
        <f>IFERROR(__xludf.DUMMYFUNCTION("""COMPUTED_VALUE"""),3463.4475)</f>
        <v>3463.4475</v>
      </c>
    </row>
    <row r="1796">
      <c r="A1796" s="3">
        <f>IFERROR(__xludf.DUMMYFUNCTION("""COMPUTED_VALUE"""),42108.99861111111)</f>
        <v>42108.99861</v>
      </c>
      <c r="B1796" s="1">
        <f>IFERROR(__xludf.DUMMYFUNCTION("""COMPUTED_VALUE"""),3460.173)</f>
        <v>3460.173</v>
      </c>
    </row>
    <row r="1797">
      <c r="A1797" s="3">
        <f>IFERROR(__xludf.DUMMYFUNCTION("""COMPUTED_VALUE"""),42109.99861111111)</f>
        <v>42109.99861</v>
      </c>
      <c r="B1797" s="1">
        <f>IFERROR(__xludf.DUMMYFUNCTION("""COMPUTED_VALUE"""),3441.95136)</f>
        <v>3441.95136</v>
      </c>
    </row>
    <row r="1798">
      <c r="A1798" s="3">
        <f>IFERROR(__xludf.DUMMYFUNCTION("""COMPUTED_VALUE"""),42110.99861111111)</f>
        <v>42110.99861</v>
      </c>
      <c r="B1798" s="1">
        <f>IFERROR(__xludf.DUMMYFUNCTION("""COMPUTED_VALUE"""),3450.1184)</f>
        <v>3450.1184</v>
      </c>
    </row>
    <row r="1799">
      <c r="A1799" s="3">
        <f>IFERROR(__xludf.DUMMYFUNCTION("""COMPUTED_VALUE"""),42111.99861111111)</f>
        <v>42111.99861</v>
      </c>
      <c r="B1799" s="1">
        <f>IFERROR(__xludf.DUMMYFUNCTION("""COMPUTED_VALUE"""),3455.872)</f>
        <v>3455.872</v>
      </c>
    </row>
    <row r="1800">
      <c r="A1800" s="3">
        <f>IFERROR(__xludf.DUMMYFUNCTION("""COMPUTED_VALUE"""),42112.99861111111)</f>
        <v>42112.99861</v>
      </c>
      <c r="B1800" s="1">
        <f>IFERROR(__xludf.DUMMYFUNCTION("""COMPUTED_VALUE"""),3465.85353)</f>
        <v>3465.85353</v>
      </c>
    </row>
    <row r="1801">
      <c r="A1801" s="3">
        <f>IFERROR(__xludf.DUMMYFUNCTION("""COMPUTED_VALUE"""),42113.99861111111)</f>
        <v>42113.99861</v>
      </c>
      <c r="B1801" s="1">
        <f>IFERROR(__xludf.DUMMYFUNCTION("""COMPUTED_VALUE"""),3480.539093)</f>
        <v>3480.539093</v>
      </c>
    </row>
    <row r="1802">
      <c r="A1802" s="3">
        <f>IFERROR(__xludf.DUMMYFUNCTION("""COMPUTED_VALUE"""),42114.99861111111)</f>
        <v>42114.99861</v>
      </c>
      <c r="B1802" s="1">
        <f>IFERROR(__xludf.DUMMYFUNCTION("""COMPUTED_VALUE"""),3515.9076)</f>
        <v>3515.9076</v>
      </c>
    </row>
    <row r="1803">
      <c r="A1803" s="3">
        <f>IFERROR(__xludf.DUMMYFUNCTION("""COMPUTED_VALUE"""),42115.99861111111)</f>
        <v>42115.99861</v>
      </c>
      <c r="B1803" s="1">
        <f>IFERROR(__xludf.DUMMYFUNCTION("""COMPUTED_VALUE"""),3501.25325)</f>
        <v>3501.25325</v>
      </c>
    </row>
    <row r="1804">
      <c r="A1804" s="3">
        <f>IFERROR(__xludf.DUMMYFUNCTION("""COMPUTED_VALUE"""),42116.99861111111)</f>
        <v>42116.99861</v>
      </c>
      <c r="B1804" s="1">
        <f>IFERROR(__xludf.DUMMYFUNCTION("""COMPUTED_VALUE"""),3486.483)</f>
        <v>3486.483</v>
      </c>
    </row>
    <row r="1805">
      <c r="A1805" s="3">
        <f>IFERROR(__xludf.DUMMYFUNCTION("""COMPUTED_VALUE"""),42117.99861111111)</f>
        <v>42117.99861</v>
      </c>
      <c r="B1805" s="1">
        <f>IFERROR(__xludf.DUMMYFUNCTION("""COMPUTED_VALUE"""),3517.9944)</f>
        <v>3517.9944</v>
      </c>
    </row>
    <row r="1806">
      <c r="A1806" s="3">
        <f>IFERROR(__xludf.DUMMYFUNCTION("""COMPUTED_VALUE"""),42118.99861111111)</f>
        <v>42118.99861</v>
      </c>
      <c r="B1806" s="1">
        <f>IFERROR(__xludf.DUMMYFUNCTION("""COMPUTED_VALUE"""),3557.62638)</f>
        <v>3557.62638</v>
      </c>
    </row>
    <row r="1807">
      <c r="A1807" s="3">
        <f>IFERROR(__xludf.DUMMYFUNCTION("""COMPUTED_VALUE"""),42119.99861111111)</f>
        <v>42119.99861</v>
      </c>
      <c r="B1807" s="1">
        <f>IFERROR(__xludf.DUMMYFUNCTION("""COMPUTED_VALUE"""),3565.367282)</f>
        <v>3565.367282</v>
      </c>
    </row>
    <row r="1808">
      <c r="A1808" s="3">
        <f>IFERROR(__xludf.DUMMYFUNCTION("""COMPUTED_VALUE"""),42120.99861111111)</f>
        <v>42120.99861</v>
      </c>
      <c r="B1808" s="1">
        <f>IFERROR(__xludf.DUMMYFUNCTION("""COMPUTED_VALUE"""),3564.070266)</f>
        <v>3564.070266</v>
      </c>
    </row>
    <row r="1809">
      <c r="A1809" s="3">
        <f>IFERROR(__xludf.DUMMYFUNCTION("""COMPUTED_VALUE"""),42121.99861111111)</f>
        <v>42121.99861</v>
      </c>
      <c r="B1809" s="1">
        <f>IFERROR(__xludf.DUMMYFUNCTION("""COMPUTED_VALUE"""),3561.00069)</f>
        <v>3561.00069</v>
      </c>
    </row>
    <row r="1810">
      <c r="A1810" s="3">
        <f>IFERROR(__xludf.DUMMYFUNCTION("""COMPUTED_VALUE"""),42122.99861111111)</f>
        <v>42122.99861</v>
      </c>
      <c r="B1810" s="1">
        <f>IFERROR(__xludf.DUMMYFUNCTION("""COMPUTED_VALUE"""),3573.55245)</f>
        <v>3573.55245</v>
      </c>
    </row>
    <row r="1811">
      <c r="A1811" s="3">
        <f>IFERROR(__xludf.DUMMYFUNCTION("""COMPUTED_VALUE"""),42123.99861111111)</f>
        <v>42123.99861</v>
      </c>
      <c r="B1811" s="1">
        <f>IFERROR(__xludf.DUMMYFUNCTION("""COMPUTED_VALUE"""),3594.89025)</f>
        <v>3594.89025</v>
      </c>
    </row>
    <row r="1812">
      <c r="A1812" s="3">
        <f>IFERROR(__xludf.DUMMYFUNCTION("""COMPUTED_VALUE"""),42124.99861111111)</f>
        <v>42124.99861</v>
      </c>
      <c r="B1812" s="1">
        <f>IFERROR(__xludf.DUMMYFUNCTION("""COMPUTED_VALUE"""),3626.53473)</f>
        <v>3626.53473</v>
      </c>
    </row>
    <row r="1813">
      <c r="A1813" s="3">
        <f>IFERROR(__xludf.DUMMYFUNCTION("""COMPUTED_VALUE"""),42125.99861111111)</f>
        <v>42125.99861</v>
      </c>
      <c r="B1813" s="1">
        <f>IFERROR(__xludf.DUMMYFUNCTION("""COMPUTED_VALUE"""),3607.3095)</f>
        <v>3607.3095</v>
      </c>
    </row>
    <row r="1814">
      <c r="A1814" s="3">
        <f>IFERROR(__xludf.DUMMYFUNCTION("""COMPUTED_VALUE"""),42126.99861111111)</f>
        <v>42126.99861</v>
      </c>
      <c r="B1814" s="1">
        <f>IFERROR(__xludf.DUMMYFUNCTION("""COMPUTED_VALUE"""),3634.246857)</f>
        <v>3634.246857</v>
      </c>
    </row>
    <row r="1815">
      <c r="A1815" s="3">
        <f>IFERROR(__xludf.DUMMYFUNCTION("""COMPUTED_VALUE"""),42127.99861111111)</f>
        <v>42127.99861</v>
      </c>
      <c r="B1815" s="1">
        <f>IFERROR(__xludf.DUMMYFUNCTION("""COMPUTED_VALUE"""),3624.769156)</f>
        <v>3624.769156</v>
      </c>
    </row>
    <row r="1816">
      <c r="A1816" s="3">
        <f>IFERROR(__xludf.DUMMYFUNCTION("""COMPUTED_VALUE"""),42128.99861111111)</f>
        <v>42128.99861</v>
      </c>
      <c r="B1816" s="1">
        <f>IFERROR(__xludf.DUMMYFUNCTION("""COMPUTED_VALUE"""),3573.9226)</f>
        <v>3573.9226</v>
      </c>
    </row>
    <row r="1817">
      <c r="A1817" s="3">
        <f>IFERROR(__xludf.DUMMYFUNCTION("""COMPUTED_VALUE"""),42129.99861111111)</f>
        <v>42129.99861</v>
      </c>
      <c r="B1817" s="1">
        <f>IFERROR(__xludf.DUMMYFUNCTION("""COMPUTED_VALUE"""),3625.5339)</f>
        <v>3625.5339</v>
      </c>
    </row>
    <row r="1818">
      <c r="A1818" s="3">
        <f>IFERROR(__xludf.DUMMYFUNCTION("""COMPUTED_VALUE"""),42130.99861111111)</f>
        <v>42130.99861</v>
      </c>
      <c r="B1818" s="1">
        <f>IFERROR(__xludf.DUMMYFUNCTION("""COMPUTED_VALUE"""),3645.0212)</f>
        <v>3645.0212</v>
      </c>
    </row>
    <row r="1819">
      <c r="A1819" s="3">
        <f>IFERROR(__xludf.DUMMYFUNCTION("""COMPUTED_VALUE"""),42131.99861111111)</f>
        <v>42131.99861</v>
      </c>
      <c r="B1819" s="1">
        <f>IFERROR(__xludf.DUMMYFUNCTION("""COMPUTED_VALUE"""),3636.7434)</f>
        <v>3636.7434</v>
      </c>
    </row>
    <row r="1820">
      <c r="A1820" s="3">
        <f>IFERROR(__xludf.DUMMYFUNCTION("""COMPUTED_VALUE"""),42132.99861111111)</f>
        <v>42132.99861</v>
      </c>
      <c r="B1820" s="1">
        <f>IFERROR(__xludf.DUMMYFUNCTION("""COMPUTED_VALUE"""),3633.32856)</f>
        <v>3633.32856</v>
      </c>
    </row>
    <row r="1821">
      <c r="A1821" s="3">
        <f>IFERROR(__xludf.DUMMYFUNCTION("""COMPUTED_VALUE"""),42133.99861111111)</f>
        <v>42133.99861</v>
      </c>
      <c r="B1821" s="1">
        <f>IFERROR(__xludf.DUMMYFUNCTION("""COMPUTED_VALUE"""),3664.209207)</f>
        <v>3664.209207</v>
      </c>
    </row>
    <row r="1822">
      <c r="A1822" s="3">
        <f>IFERROR(__xludf.DUMMYFUNCTION("""COMPUTED_VALUE"""),42134.99861111111)</f>
        <v>42134.99861</v>
      </c>
      <c r="B1822" s="1">
        <f>IFERROR(__xludf.DUMMYFUNCTION("""COMPUTED_VALUE"""),3664.209207)</f>
        <v>3664.209207</v>
      </c>
    </row>
    <row r="1823">
      <c r="A1823" s="3">
        <f>IFERROR(__xludf.DUMMYFUNCTION("""COMPUTED_VALUE"""),42135.99861111111)</f>
        <v>42135.99861</v>
      </c>
      <c r="B1823" s="1">
        <f>IFERROR(__xludf.DUMMYFUNCTION("""COMPUTED_VALUE"""),3641.6367)</f>
        <v>3641.6367</v>
      </c>
    </row>
    <row r="1824">
      <c r="A1824" s="3">
        <f>IFERROR(__xludf.DUMMYFUNCTION("""COMPUTED_VALUE"""),42136.99861111111)</f>
        <v>42136.99861</v>
      </c>
      <c r="B1824" s="1">
        <f>IFERROR(__xludf.DUMMYFUNCTION("""COMPUTED_VALUE"""),3649.3149)</f>
        <v>3649.3149</v>
      </c>
    </row>
    <row r="1825">
      <c r="A1825" s="3">
        <f>IFERROR(__xludf.DUMMYFUNCTION("""COMPUTED_VALUE"""),42137.99861111111)</f>
        <v>42137.99861</v>
      </c>
      <c r="B1825" s="1">
        <f>IFERROR(__xludf.DUMMYFUNCTION("""COMPUTED_VALUE"""),3651.00332)</f>
        <v>3651.00332</v>
      </c>
    </row>
    <row r="1826">
      <c r="A1826" s="3">
        <f>IFERROR(__xludf.DUMMYFUNCTION("""COMPUTED_VALUE"""),42138.99861111111)</f>
        <v>42138.99861</v>
      </c>
      <c r="B1826" s="1">
        <f>IFERROR(__xludf.DUMMYFUNCTION("""COMPUTED_VALUE"""),3650.40676)</f>
        <v>3650.40676</v>
      </c>
    </row>
    <row r="1827">
      <c r="A1827" s="3">
        <f>IFERROR(__xludf.DUMMYFUNCTION("""COMPUTED_VALUE"""),42139.99861111111)</f>
        <v>42139.99861</v>
      </c>
      <c r="B1827" s="1">
        <f>IFERROR(__xludf.DUMMYFUNCTION("""COMPUTED_VALUE"""),3659.81397)</f>
        <v>3659.81397</v>
      </c>
    </row>
    <row r="1828">
      <c r="A1828" s="3">
        <f>IFERROR(__xludf.DUMMYFUNCTION("""COMPUTED_VALUE"""),42140.99861111111)</f>
        <v>42140.99861</v>
      </c>
      <c r="B1828" s="1">
        <f>IFERROR(__xludf.DUMMYFUNCTION("""COMPUTED_VALUE"""),3666.795863)</f>
        <v>3666.795863</v>
      </c>
    </row>
    <row r="1829">
      <c r="A1829" s="3">
        <f>IFERROR(__xludf.DUMMYFUNCTION("""COMPUTED_VALUE"""),42141.99861111111)</f>
        <v>42141.99861</v>
      </c>
      <c r="B1829" s="1">
        <f>IFERROR(__xludf.DUMMYFUNCTION("""COMPUTED_VALUE"""),3666.795863)</f>
        <v>3666.795863</v>
      </c>
    </row>
    <row r="1830">
      <c r="A1830" s="3">
        <f>IFERROR(__xludf.DUMMYFUNCTION("""COMPUTED_VALUE"""),42142.99861111111)</f>
        <v>42142.99861</v>
      </c>
      <c r="B1830" s="1">
        <f>IFERROR(__xludf.DUMMYFUNCTION("""COMPUTED_VALUE"""),3666.80158)</f>
        <v>3666.80158</v>
      </c>
    </row>
    <row r="1831">
      <c r="A1831" s="3">
        <f>IFERROR(__xludf.DUMMYFUNCTION("""COMPUTED_VALUE"""),42143.99861111111)</f>
        <v>42143.99861</v>
      </c>
      <c r="B1831" s="1">
        <f>IFERROR(__xludf.DUMMYFUNCTION("""COMPUTED_VALUE"""),3640.55696)</f>
        <v>3640.55696</v>
      </c>
    </row>
    <row r="1832">
      <c r="A1832" s="3">
        <f>IFERROR(__xludf.DUMMYFUNCTION("""COMPUTED_VALUE"""),42144.99861111111)</f>
        <v>42144.99861</v>
      </c>
      <c r="B1832" s="1">
        <f>IFERROR(__xludf.DUMMYFUNCTION("""COMPUTED_VALUE"""),3602.16155)</f>
        <v>3602.16155</v>
      </c>
    </row>
    <row r="1833">
      <c r="A1833" s="3">
        <f>IFERROR(__xludf.DUMMYFUNCTION("""COMPUTED_VALUE"""),42145.99861111111)</f>
        <v>42145.99861</v>
      </c>
      <c r="B1833" s="1">
        <f>IFERROR(__xludf.DUMMYFUNCTION("""COMPUTED_VALUE"""),3639.4362)</f>
        <v>3639.4362</v>
      </c>
    </row>
    <row r="1834">
      <c r="A1834" s="3">
        <f>IFERROR(__xludf.DUMMYFUNCTION("""COMPUTED_VALUE"""),42146.99861111111)</f>
        <v>42146.99861</v>
      </c>
      <c r="B1834" s="1">
        <f>IFERROR(__xludf.DUMMYFUNCTION("""COMPUTED_VALUE"""),3645.4302)</f>
        <v>3645.4302</v>
      </c>
    </row>
    <row r="1835">
      <c r="A1835" s="3">
        <f>IFERROR(__xludf.DUMMYFUNCTION("""COMPUTED_VALUE"""),42147.99861111111)</f>
        <v>42147.99861</v>
      </c>
      <c r="B1835" s="1">
        <f>IFERROR(__xludf.DUMMYFUNCTION("""COMPUTED_VALUE"""),3655.204058)</f>
        <v>3655.204058</v>
      </c>
    </row>
    <row r="1836">
      <c r="A1836" s="3">
        <f>IFERROR(__xludf.DUMMYFUNCTION("""COMPUTED_VALUE"""),42149.99861111111)</f>
        <v>42149.99861</v>
      </c>
      <c r="B1836" s="1">
        <f>IFERROR(__xludf.DUMMYFUNCTION("""COMPUTED_VALUE"""),3630.61053)</f>
        <v>3630.61053</v>
      </c>
    </row>
    <row r="1837">
      <c r="A1837" s="3">
        <f>IFERROR(__xludf.DUMMYFUNCTION("""COMPUTED_VALUE"""),42150.99861111111)</f>
        <v>42150.99861</v>
      </c>
      <c r="B1837" s="1">
        <f>IFERROR(__xludf.DUMMYFUNCTION("""COMPUTED_VALUE"""),3624.89442)</f>
        <v>3624.89442</v>
      </c>
    </row>
    <row r="1838">
      <c r="A1838" s="3">
        <f>IFERROR(__xludf.DUMMYFUNCTION("""COMPUTED_VALUE"""),42151.99861111111)</f>
        <v>42151.99861</v>
      </c>
      <c r="B1838" s="1">
        <f>IFERROR(__xludf.DUMMYFUNCTION("""COMPUTED_VALUE"""),3612.1359)</f>
        <v>3612.1359</v>
      </c>
    </row>
    <row r="1839">
      <c r="A1839" s="3">
        <f>IFERROR(__xludf.DUMMYFUNCTION("""COMPUTED_VALUE"""),42152.99861111111)</f>
        <v>42152.99861</v>
      </c>
      <c r="B1839" s="1">
        <f>IFERROR(__xludf.DUMMYFUNCTION("""COMPUTED_VALUE"""),3604.8403)</f>
        <v>3604.8403</v>
      </c>
    </row>
    <row r="1840">
      <c r="A1840" s="3">
        <f>IFERROR(__xludf.DUMMYFUNCTION("""COMPUTED_VALUE"""),42153.99861111111)</f>
        <v>42153.99861</v>
      </c>
      <c r="B1840" s="1">
        <f>IFERROR(__xludf.DUMMYFUNCTION("""COMPUTED_VALUE"""),3606.108)</f>
        <v>3606.108</v>
      </c>
    </row>
    <row r="1841">
      <c r="A1841" s="3">
        <f>IFERROR(__xludf.DUMMYFUNCTION("""COMPUTED_VALUE"""),42156.99861111111)</f>
        <v>42156.99861</v>
      </c>
      <c r="B1841" s="1">
        <f>IFERROR(__xludf.DUMMYFUNCTION("""COMPUTED_VALUE"""),3567.74964)</f>
        <v>3567.74964</v>
      </c>
    </row>
    <row r="1842">
      <c r="A1842" s="3">
        <f>IFERROR(__xludf.DUMMYFUNCTION("""COMPUTED_VALUE"""),42157.99861111111)</f>
        <v>42157.99861</v>
      </c>
      <c r="B1842" s="1">
        <f>IFERROR(__xludf.DUMMYFUNCTION("""COMPUTED_VALUE"""),3576.1425)</f>
        <v>3576.1425</v>
      </c>
    </row>
    <row r="1843">
      <c r="A1843" s="3">
        <f>IFERROR(__xludf.DUMMYFUNCTION("""COMPUTED_VALUE"""),42158.99861111111)</f>
        <v>42158.99861</v>
      </c>
      <c r="B1843" s="1">
        <f>IFERROR(__xludf.DUMMYFUNCTION("""COMPUTED_VALUE"""),3570.9093)</f>
        <v>3570.9093</v>
      </c>
    </row>
    <row r="1844">
      <c r="A1844" s="3">
        <f>IFERROR(__xludf.DUMMYFUNCTION("""COMPUTED_VALUE"""),42159.99861111111)</f>
        <v>42159.99861</v>
      </c>
      <c r="B1844" s="1">
        <f>IFERROR(__xludf.DUMMYFUNCTION("""COMPUTED_VALUE"""),3571.10775)</f>
        <v>3571.10775</v>
      </c>
    </row>
    <row r="1845">
      <c r="A1845" s="3">
        <f>IFERROR(__xludf.DUMMYFUNCTION("""COMPUTED_VALUE"""),42160.99861111111)</f>
        <v>42160.99861</v>
      </c>
      <c r="B1845" s="1">
        <f>IFERROR(__xludf.DUMMYFUNCTION("""COMPUTED_VALUE"""),3550.76536)</f>
        <v>3550.76536</v>
      </c>
    </row>
    <row r="1846">
      <c r="A1846" s="3">
        <f>IFERROR(__xludf.DUMMYFUNCTION("""COMPUTED_VALUE"""),42163.99861111111)</f>
        <v>42163.99861</v>
      </c>
      <c r="B1846" s="1">
        <f>IFERROR(__xludf.DUMMYFUNCTION("""COMPUTED_VALUE"""),3500.6631)</f>
        <v>3500.6631</v>
      </c>
    </row>
    <row r="1847">
      <c r="A1847" s="3">
        <f>IFERROR(__xludf.DUMMYFUNCTION("""COMPUTED_VALUE"""),42164.99861111111)</f>
        <v>42164.99861</v>
      </c>
      <c r="B1847" s="1">
        <f>IFERROR(__xludf.DUMMYFUNCTION("""COMPUTED_VALUE"""),3562.44775)</f>
        <v>3562.44775</v>
      </c>
    </row>
    <row r="1848">
      <c r="A1848" s="3">
        <f>IFERROR(__xludf.DUMMYFUNCTION("""COMPUTED_VALUE"""),42165.99861111111)</f>
        <v>42165.99861</v>
      </c>
      <c r="B1848" s="1">
        <f>IFERROR(__xludf.DUMMYFUNCTION("""COMPUTED_VALUE"""),3542.76945)</f>
        <v>3542.76945</v>
      </c>
    </row>
    <row r="1849">
      <c r="A1849" s="3">
        <f>IFERROR(__xludf.DUMMYFUNCTION("""COMPUTED_VALUE"""),42166.99861111111)</f>
        <v>42166.99861</v>
      </c>
      <c r="B1849" s="1">
        <f>IFERROR(__xludf.DUMMYFUNCTION("""COMPUTED_VALUE"""),3517.5924)</f>
        <v>3517.5924</v>
      </c>
    </row>
    <row r="1850">
      <c r="A1850" s="3">
        <f>IFERROR(__xludf.DUMMYFUNCTION("""COMPUTED_VALUE"""),42167.99861111111)</f>
        <v>42167.99861</v>
      </c>
      <c r="B1850" s="1">
        <f>IFERROR(__xludf.DUMMYFUNCTION("""COMPUTED_VALUE"""),3546.8497)</f>
        <v>3546.8497</v>
      </c>
    </row>
    <row r="1851">
      <c r="A1851" s="3">
        <f>IFERROR(__xludf.DUMMYFUNCTION("""COMPUTED_VALUE"""),42170.99861111111)</f>
        <v>42170.99861</v>
      </c>
      <c r="B1851" s="1">
        <f>IFERROR(__xludf.DUMMYFUNCTION("""COMPUTED_VALUE"""),3541.122)</f>
        <v>3541.122</v>
      </c>
    </row>
    <row r="1852">
      <c r="A1852" s="3">
        <f>IFERROR(__xludf.DUMMYFUNCTION("""COMPUTED_VALUE"""),42171.99861111111)</f>
        <v>42171.99861</v>
      </c>
      <c r="B1852" s="1">
        <f>IFERROR(__xludf.DUMMYFUNCTION("""COMPUTED_VALUE"""),3557.111)</f>
        <v>3557.111</v>
      </c>
    </row>
    <row r="1853">
      <c r="A1853" s="3">
        <f>IFERROR(__xludf.DUMMYFUNCTION("""COMPUTED_VALUE"""),42172.99861111111)</f>
        <v>42172.99861</v>
      </c>
      <c r="B1853" s="1">
        <f>IFERROR(__xludf.DUMMYFUNCTION("""COMPUTED_VALUE"""),3572.0401)</f>
        <v>3572.0401</v>
      </c>
    </row>
    <row r="1854">
      <c r="A1854" s="3">
        <f>IFERROR(__xludf.DUMMYFUNCTION("""COMPUTED_VALUE"""),42173.99861111111)</f>
        <v>42173.99861</v>
      </c>
      <c r="B1854" s="1">
        <f>IFERROR(__xludf.DUMMYFUNCTION("""COMPUTED_VALUE"""),3579.7944)</f>
        <v>3579.7944</v>
      </c>
    </row>
    <row r="1855">
      <c r="A1855" s="3">
        <f>IFERROR(__xludf.DUMMYFUNCTION("""COMPUTED_VALUE"""),42174.99861111111)</f>
        <v>42174.99861</v>
      </c>
      <c r="B1855" s="1">
        <f>IFERROR(__xludf.DUMMYFUNCTION("""COMPUTED_VALUE"""),3557.8961)</f>
        <v>3557.8961</v>
      </c>
    </row>
    <row r="1856">
      <c r="A1856" s="3">
        <f>IFERROR(__xludf.DUMMYFUNCTION("""COMPUTED_VALUE"""),42177.99861111111)</f>
        <v>42177.99861</v>
      </c>
      <c r="B1856" s="1">
        <f>IFERROR(__xludf.DUMMYFUNCTION("""COMPUTED_VALUE"""),3556.68876)</f>
        <v>3556.68876</v>
      </c>
    </row>
    <row r="1857">
      <c r="A1857" s="3">
        <f>IFERROR(__xludf.DUMMYFUNCTION("""COMPUTED_VALUE"""),42178.99861111111)</f>
        <v>42178.99861</v>
      </c>
      <c r="B1857" s="1">
        <f>IFERROR(__xludf.DUMMYFUNCTION("""COMPUTED_VALUE"""),3536.69)</f>
        <v>3536.69</v>
      </c>
    </row>
    <row r="1858">
      <c r="A1858" s="3">
        <f>IFERROR(__xludf.DUMMYFUNCTION("""COMPUTED_VALUE"""),42179.99861111111)</f>
        <v>42179.99861</v>
      </c>
      <c r="B1858" s="1">
        <f>IFERROR(__xludf.DUMMYFUNCTION("""COMPUTED_VALUE"""),3539.2599)</f>
        <v>3539.2599</v>
      </c>
    </row>
    <row r="1859">
      <c r="A1859" s="3">
        <f>IFERROR(__xludf.DUMMYFUNCTION("""COMPUTED_VALUE"""),42180.99861111111)</f>
        <v>42180.99861</v>
      </c>
      <c r="B1859" s="1">
        <f>IFERROR(__xludf.DUMMYFUNCTION("""COMPUTED_VALUE"""),3536.86861)</f>
        <v>3536.86861</v>
      </c>
    </row>
    <row r="1860">
      <c r="A1860" s="3">
        <f>IFERROR(__xludf.DUMMYFUNCTION("""COMPUTED_VALUE"""),42181.99861111111)</f>
        <v>42181.99861</v>
      </c>
      <c r="B1860" s="1">
        <f>IFERROR(__xludf.DUMMYFUNCTION("""COMPUTED_VALUE"""),3509.94734)</f>
        <v>3509.94734</v>
      </c>
    </row>
    <row r="1861">
      <c r="A1861" s="3">
        <f>IFERROR(__xludf.DUMMYFUNCTION("""COMPUTED_VALUE"""),42184.99861111111)</f>
        <v>42184.99861</v>
      </c>
      <c r="B1861" s="1">
        <f>IFERROR(__xludf.DUMMYFUNCTION("""COMPUTED_VALUE"""),3531.39576)</f>
        <v>3531.39576</v>
      </c>
    </row>
    <row r="1862">
      <c r="A1862" s="3">
        <f>IFERROR(__xludf.DUMMYFUNCTION("""COMPUTED_VALUE"""),42185.99861111111)</f>
        <v>42185.99861</v>
      </c>
      <c r="B1862" s="1">
        <f>IFERROR(__xludf.DUMMYFUNCTION("""COMPUTED_VALUE"""),3553.6417)</f>
        <v>3553.6417</v>
      </c>
    </row>
    <row r="1863">
      <c r="A1863" s="3">
        <f>IFERROR(__xludf.DUMMYFUNCTION("""COMPUTED_VALUE"""),42186.99861111111)</f>
        <v>42186.99861</v>
      </c>
      <c r="B1863" s="1">
        <f>IFERROR(__xludf.DUMMYFUNCTION("""COMPUTED_VALUE"""),3533.53176)</f>
        <v>3533.53176</v>
      </c>
    </row>
    <row r="1864">
      <c r="A1864" s="3">
        <f>IFERROR(__xludf.DUMMYFUNCTION("""COMPUTED_VALUE"""),42187.99861111111)</f>
        <v>42187.99861</v>
      </c>
      <c r="B1864" s="1">
        <f>IFERROR(__xludf.DUMMYFUNCTION("""COMPUTED_VALUE"""),3526.6296)</f>
        <v>3526.6296</v>
      </c>
    </row>
    <row r="1865">
      <c r="A1865" s="3">
        <f>IFERROR(__xludf.DUMMYFUNCTION("""COMPUTED_VALUE"""),42188.99861111111)</f>
        <v>42188.99861</v>
      </c>
      <c r="B1865" s="1">
        <f>IFERROR(__xludf.DUMMYFUNCTION("""COMPUTED_VALUE"""),3533.766)</f>
        <v>3533.766</v>
      </c>
    </row>
    <row r="1866">
      <c r="A1866" s="3">
        <f>IFERROR(__xludf.DUMMYFUNCTION("""COMPUTED_VALUE"""),42191.99861111111)</f>
        <v>42191.99861</v>
      </c>
      <c r="B1866" s="1">
        <f>IFERROR(__xludf.DUMMYFUNCTION("""COMPUTED_VALUE"""),3474.8032)</f>
        <v>3474.8032</v>
      </c>
    </row>
    <row r="1867">
      <c r="A1867" s="3">
        <f>IFERROR(__xludf.DUMMYFUNCTION("""COMPUTED_VALUE"""),42192.99861111111)</f>
        <v>42192.99861</v>
      </c>
      <c r="B1867" s="1">
        <f>IFERROR(__xludf.DUMMYFUNCTION("""COMPUTED_VALUE"""),3480.2235)</f>
        <v>3480.2235</v>
      </c>
    </row>
    <row r="1868">
      <c r="A1868" s="3">
        <f>IFERROR(__xludf.DUMMYFUNCTION("""COMPUTED_VALUE"""),42193.99861111111)</f>
        <v>42193.99861</v>
      </c>
      <c r="B1868" s="1">
        <f>IFERROR(__xludf.DUMMYFUNCTION("""COMPUTED_VALUE"""),3509.2386)</f>
        <v>3509.2386</v>
      </c>
    </row>
    <row r="1869">
      <c r="A1869" s="3">
        <f>IFERROR(__xludf.DUMMYFUNCTION("""COMPUTED_VALUE"""),42194.99861111111)</f>
        <v>42194.99861</v>
      </c>
      <c r="B1869" s="1">
        <f>IFERROR(__xludf.DUMMYFUNCTION("""COMPUTED_VALUE"""),3510.52867)</f>
        <v>3510.52867</v>
      </c>
    </row>
    <row r="1870">
      <c r="A1870" s="3">
        <f>IFERROR(__xludf.DUMMYFUNCTION("""COMPUTED_VALUE"""),42195.99861111111)</f>
        <v>42195.99861</v>
      </c>
      <c r="B1870" s="1">
        <f>IFERROR(__xludf.DUMMYFUNCTION("""COMPUTED_VALUE"""),3498.753)</f>
        <v>3498.753</v>
      </c>
    </row>
    <row r="1871">
      <c r="A1871" s="3">
        <f>IFERROR(__xludf.DUMMYFUNCTION("""COMPUTED_VALUE"""),42198.99861111111)</f>
        <v>42198.99861</v>
      </c>
      <c r="B1871" s="1">
        <f>IFERROR(__xludf.DUMMYFUNCTION("""COMPUTED_VALUE"""),3483.344)</f>
        <v>3483.344</v>
      </c>
    </row>
    <row r="1872">
      <c r="A1872" s="3">
        <f>IFERROR(__xludf.DUMMYFUNCTION("""COMPUTED_VALUE"""),42199.99861111111)</f>
        <v>42199.99861</v>
      </c>
      <c r="B1872" s="1">
        <f>IFERROR(__xludf.DUMMYFUNCTION("""COMPUTED_VALUE"""),3494.02605)</f>
        <v>3494.02605</v>
      </c>
    </row>
    <row r="1873">
      <c r="A1873" s="3">
        <f>IFERROR(__xludf.DUMMYFUNCTION("""COMPUTED_VALUE"""),42200.99861111111)</f>
        <v>42200.99861</v>
      </c>
      <c r="B1873" s="1">
        <f>IFERROR(__xludf.DUMMYFUNCTION("""COMPUTED_VALUE"""),3490.15446)</f>
        <v>3490.15446</v>
      </c>
    </row>
    <row r="1874">
      <c r="A1874" s="3">
        <f>IFERROR(__xludf.DUMMYFUNCTION("""COMPUTED_VALUE"""),42201.99861111111)</f>
        <v>42201.99861</v>
      </c>
      <c r="B1874" s="1">
        <f>IFERROR(__xludf.DUMMYFUNCTION("""COMPUTED_VALUE"""),3500.85391)</f>
        <v>3500.85391</v>
      </c>
    </row>
    <row r="1875">
      <c r="A1875" s="3">
        <f>IFERROR(__xludf.DUMMYFUNCTION("""COMPUTED_VALUE"""),42202.99861111111)</f>
        <v>42202.99861</v>
      </c>
      <c r="B1875" s="1">
        <f>IFERROR(__xludf.DUMMYFUNCTION("""COMPUTED_VALUE"""),3506.244)</f>
        <v>3506.244</v>
      </c>
    </row>
    <row r="1876">
      <c r="A1876" s="3">
        <f>IFERROR(__xludf.DUMMYFUNCTION("""COMPUTED_VALUE"""),42205.99861111111)</f>
        <v>42205.99861</v>
      </c>
      <c r="B1876" s="1">
        <f>IFERROR(__xludf.DUMMYFUNCTION("""COMPUTED_VALUE"""),3493.4792)</f>
        <v>3493.4792</v>
      </c>
    </row>
    <row r="1877">
      <c r="A1877" s="3">
        <f>IFERROR(__xludf.DUMMYFUNCTION("""COMPUTED_VALUE"""),42206.99861111111)</f>
        <v>42206.99861</v>
      </c>
      <c r="B1877" s="1">
        <f>IFERROR(__xludf.DUMMYFUNCTION("""COMPUTED_VALUE"""),3523.107)</f>
        <v>3523.107</v>
      </c>
    </row>
    <row r="1878">
      <c r="A1878" s="3">
        <f>IFERROR(__xludf.DUMMYFUNCTION("""COMPUTED_VALUE"""),42207.99861111111)</f>
        <v>42207.99861</v>
      </c>
      <c r="B1878" s="1">
        <f>IFERROR(__xludf.DUMMYFUNCTION("""COMPUTED_VALUE"""),3516.294)</f>
        <v>3516.294</v>
      </c>
    </row>
    <row r="1879">
      <c r="A1879" s="3">
        <f>IFERROR(__xludf.DUMMYFUNCTION("""COMPUTED_VALUE"""),42208.99861111111)</f>
        <v>42208.99861</v>
      </c>
      <c r="B1879" s="1">
        <f>IFERROR(__xludf.DUMMYFUNCTION("""COMPUTED_VALUE"""),3507.916)</f>
        <v>3507.916</v>
      </c>
    </row>
    <row r="1880">
      <c r="A1880" s="3">
        <f>IFERROR(__xludf.DUMMYFUNCTION("""COMPUTED_VALUE"""),42209.99861111111)</f>
        <v>42209.99861</v>
      </c>
      <c r="B1880" s="1">
        <f>IFERROR(__xludf.DUMMYFUNCTION("""COMPUTED_VALUE"""),3508.8561)</f>
        <v>3508.8561</v>
      </c>
    </row>
    <row r="1881">
      <c r="A1881" s="3">
        <f>IFERROR(__xludf.DUMMYFUNCTION("""COMPUTED_VALUE"""),42212.99861111111)</f>
        <v>42212.99861</v>
      </c>
      <c r="B1881" s="1">
        <f>IFERROR(__xludf.DUMMYFUNCTION("""COMPUTED_VALUE"""),3516.5194)</f>
        <v>3516.5194</v>
      </c>
    </row>
    <row r="1882">
      <c r="A1882" s="3">
        <f>IFERROR(__xludf.DUMMYFUNCTION("""COMPUTED_VALUE"""),42213.99861111111)</f>
        <v>42213.99861</v>
      </c>
      <c r="B1882" s="1">
        <f>IFERROR(__xludf.DUMMYFUNCTION("""COMPUTED_VALUE"""),3490.6185)</f>
        <v>3490.6185</v>
      </c>
    </row>
    <row r="1883">
      <c r="A1883" s="3">
        <f>IFERROR(__xludf.DUMMYFUNCTION("""COMPUTED_VALUE"""),42214.99861111111)</f>
        <v>42214.99861</v>
      </c>
      <c r="B1883" s="1">
        <f>IFERROR(__xludf.DUMMYFUNCTION("""COMPUTED_VALUE"""),3509.2912)</f>
        <v>3509.2912</v>
      </c>
    </row>
    <row r="1884">
      <c r="A1884" s="3">
        <f>IFERROR(__xludf.DUMMYFUNCTION("""COMPUTED_VALUE"""),42215.99861111111)</f>
        <v>42215.99861</v>
      </c>
      <c r="B1884" s="1">
        <f>IFERROR(__xludf.DUMMYFUNCTION("""COMPUTED_VALUE"""),3514.93584)</f>
        <v>3514.93584</v>
      </c>
    </row>
    <row r="1885">
      <c r="A1885" s="3">
        <f>IFERROR(__xludf.DUMMYFUNCTION("""COMPUTED_VALUE"""),42216.99861111111)</f>
        <v>42216.99861</v>
      </c>
      <c r="B1885" s="1">
        <f>IFERROR(__xludf.DUMMYFUNCTION("""COMPUTED_VALUE"""),3497.88375)</f>
        <v>3497.88375</v>
      </c>
    </row>
    <row r="1886">
      <c r="A1886" s="3">
        <f>IFERROR(__xludf.DUMMYFUNCTION("""COMPUTED_VALUE"""),42219.99861111111)</f>
        <v>42219.99861</v>
      </c>
      <c r="B1886" s="1">
        <f>IFERROR(__xludf.DUMMYFUNCTION("""COMPUTED_VALUE"""),3477.0624)</f>
        <v>3477.0624</v>
      </c>
    </row>
    <row r="1887">
      <c r="A1887" s="3">
        <f>IFERROR(__xludf.DUMMYFUNCTION("""COMPUTED_VALUE"""),42220.99861111111)</f>
        <v>42220.99861</v>
      </c>
      <c r="B1887" s="1">
        <f>IFERROR(__xludf.DUMMYFUNCTION("""COMPUTED_VALUE"""),3477.7815)</f>
        <v>3477.7815</v>
      </c>
    </row>
    <row r="1888">
      <c r="A1888" s="3">
        <f>IFERROR(__xludf.DUMMYFUNCTION("""COMPUTED_VALUE"""),42221.99861111111)</f>
        <v>42221.99861</v>
      </c>
      <c r="B1888" s="1">
        <f>IFERROR(__xludf.DUMMYFUNCTION("""COMPUTED_VALUE"""),3456.97275)</f>
        <v>3456.97275</v>
      </c>
    </row>
    <row r="1889">
      <c r="A1889" s="3">
        <f>IFERROR(__xludf.DUMMYFUNCTION("""COMPUTED_VALUE"""),42222.99861111111)</f>
        <v>42222.99861</v>
      </c>
      <c r="B1889" s="1">
        <f>IFERROR(__xludf.DUMMYFUNCTION("""COMPUTED_VALUE"""),3446.36675)</f>
        <v>3446.36675</v>
      </c>
    </row>
    <row r="1890">
      <c r="A1890" s="3">
        <f>IFERROR(__xludf.DUMMYFUNCTION("""COMPUTED_VALUE"""),42223.99861111111)</f>
        <v>42223.99861</v>
      </c>
      <c r="B1890" s="1">
        <f>IFERROR(__xludf.DUMMYFUNCTION("""COMPUTED_VALUE"""),3436.41221)</f>
        <v>3436.41221</v>
      </c>
    </row>
    <row r="1891">
      <c r="A1891" s="3">
        <f>IFERROR(__xludf.DUMMYFUNCTION("""COMPUTED_VALUE"""),42226.99861111111)</f>
        <v>42226.99861</v>
      </c>
      <c r="B1891" s="1">
        <f>IFERROR(__xludf.DUMMYFUNCTION("""COMPUTED_VALUE"""),3402.43755)</f>
        <v>3402.43755</v>
      </c>
    </row>
    <row r="1892">
      <c r="A1892" s="3">
        <f>IFERROR(__xludf.DUMMYFUNCTION("""COMPUTED_VALUE"""),42227.99861111111)</f>
        <v>42227.99861</v>
      </c>
      <c r="B1892" s="1">
        <f>IFERROR(__xludf.DUMMYFUNCTION("""COMPUTED_VALUE"""),3391.86255)</f>
        <v>3391.86255</v>
      </c>
    </row>
    <row r="1893">
      <c r="A1893" s="3">
        <f>IFERROR(__xludf.DUMMYFUNCTION("""COMPUTED_VALUE"""),42228.99861111111)</f>
        <v>42228.99861</v>
      </c>
      <c r="B1893" s="1">
        <f>IFERROR(__xludf.DUMMYFUNCTION("""COMPUTED_VALUE"""),3422.505)</f>
        <v>3422.505</v>
      </c>
    </row>
    <row r="1894">
      <c r="A1894" s="3">
        <f>IFERROR(__xludf.DUMMYFUNCTION("""COMPUTED_VALUE"""),42229.99861111111)</f>
        <v>42229.99861</v>
      </c>
      <c r="B1894" s="1">
        <f>IFERROR(__xludf.DUMMYFUNCTION("""COMPUTED_VALUE"""),3393.3145)</f>
        <v>3393.3145</v>
      </c>
    </row>
    <row r="1895">
      <c r="A1895" s="3">
        <f>IFERROR(__xludf.DUMMYFUNCTION("""COMPUTED_VALUE"""),42230.99861111111)</f>
        <v>42230.99861</v>
      </c>
      <c r="B1895" s="1">
        <f>IFERROR(__xludf.DUMMYFUNCTION("""COMPUTED_VALUE"""),3358.2549)</f>
        <v>3358.2549</v>
      </c>
    </row>
    <row r="1896">
      <c r="A1896" s="3">
        <f>IFERROR(__xludf.DUMMYFUNCTION("""COMPUTED_VALUE"""),42233.99861111111)</f>
        <v>42233.99861</v>
      </c>
      <c r="B1896" s="1">
        <f>IFERROR(__xludf.DUMMYFUNCTION("""COMPUTED_VALUE"""),3371.4774)</f>
        <v>3371.4774</v>
      </c>
    </row>
    <row r="1897">
      <c r="A1897" s="3">
        <f>IFERROR(__xludf.DUMMYFUNCTION("""COMPUTED_VALUE"""),42234.99861111111)</f>
        <v>42234.99861</v>
      </c>
      <c r="B1897" s="1">
        <f>IFERROR(__xludf.DUMMYFUNCTION("""COMPUTED_VALUE"""),3384.26472)</f>
        <v>3384.26472</v>
      </c>
    </row>
    <row r="1898">
      <c r="A1898" s="3">
        <f>IFERROR(__xludf.DUMMYFUNCTION("""COMPUTED_VALUE"""),42235.99861111111)</f>
        <v>42235.99861</v>
      </c>
      <c r="B1898" s="1">
        <f>IFERROR(__xludf.DUMMYFUNCTION("""COMPUTED_VALUE"""),3334.43992)</f>
        <v>3334.43992</v>
      </c>
    </row>
    <row r="1899">
      <c r="A1899" s="3">
        <f>IFERROR(__xludf.DUMMYFUNCTION("""COMPUTED_VALUE"""),42236.99861111111)</f>
        <v>42236.99861</v>
      </c>
      <c r="B1899" s="1">
        <f>IFERROR(__xludf.DUMMYFUNCTION("""COMPUTED_VALUE"""),3366.8348)</f>
        <v>3366.8348</v>
      </c>
    </row>
    <row r="1900">
      <c r="A1900" s="3">
        <f>IFERROR(__xludf.DUMMYFUNCTION("""COMPUTED_VALUE"""),42237.99861111111)</f>
        <v>42237.99861</v>
      </c>
      <c r="B1900" s="1">
        <f>IFERROR(__xludf.DUMMYFUNCTION("""COMPUTED_VALUE"""),3281.0625)</f>
        <v>3281.0625</v>
      </c>
    </row>
    <row r="1901">
      <c r="A1901" s="3">
        <f>IFERROR(__xludf.DUMMYFUNCTION("""COMPUTED_VALUE"""),42240.99861111111)</f>
        <v>42240.99861</v>
      </c>
      <c r="B1901" s="1">
        <f>IFERROR(__xludf.DUMMYFUNCTION("""COMPUTED_VALUE"""),3250.40485)</f>
        <v>3250.40485</v>
      </c>
    </row>
    <row r="1902">
      <c r="A1902" s="3">
        <f>IFERROR(__xludf.DUMMYFUNCTION("""COMPUTED_VALUE"""),42241.99861111111)</f>
        <v>42241.99861</v>
      </c>
      <c r="B1902" s="1">
        <f>IFERROR(__xludf.DUMMYFUNCTION("""COMPUTED_VALUE"""),3258.18)</f>
        <v>3258.18</v>
      </c>
    </row>
    <row r="1903">
      <c r="A1903" s="3">
        <f>IFERROR(__xludf.DUMMYFUNCTION("""COMPUTED_VALUE"""),42242.99861111111)</f>
        <v>42242.99861</v>
      </c>
      <c r="B1903" s="1">
        <f>IFERROR(__xludf.DUMMYFUNCTION("""COMPUTED_VALUE"""),3298.3292)</f>
        <v>3298.3292</v>
      </c>
    </row>
    <row r="1904">
      <c r="A1904" s="3">
        <f>IFERROR(__xludf.DUMMYFUNCTION("""COMPUTED_VALUE"""),42243.99861111111)</f>
        <v>42243.99861</v>
      </c>
      <c r="B1904" s="1">
        <f>IFERROR(__xludf.DUMMYFUNCTION("""COMPUTED_VALUE"""),3262.7934)</f>
        <v>3262.7934</v>
      </c>
    </row>
    <row r="1905">
      <c r="A1905" s="3">
        <f>IFERROR(__xludf.DUMMYFUNCTION("""COMPUTED_VALUE"""),42244.99861111111)</f>
        <v>42244.99861</v>
      </c>
      <c r="B1905" s="1">
        <f>IFERROR(__xludf.DUMMYFUNCTION("""COMPUTED_VALUE"""),3322.1253)</f>
        <v>3322.1253</v>
      </c>
    </row>
    <row r="1906">
      <c r="A1906" s="3">
        <f>IFERROR(__xludf.DUMMYFUNCTION("""COMPUTED_VALUE"""),42247.99861111111)</f>
        <v>42247.99861</v>
      </c>
      <c r="B1906" s="1">
        <f>IFERROR(__xludf.DUMMYFUNCTION("""COMPUTED_VALUE"""),3323.88)</f>
        <v>3323.88</v>
      </c>
    </row>
    <row r="1907">
      <c r="A1907" s="3">
        <f>IFERROR(__xludf.DUMMYFUNCTION("""COMPUTED_VALUE"""),42248.99861111111)</f>
        <v>42248.99861</v>
      </c>
      <c r="B1907" s="1">
        <f>IFERROR(__xludf.DUMMYFUNCTION("""COMPUTED_VALUE"""),3327.32556)</f>
        <v>3327.32556</v>
      </c>
    </row>
    <row r="1908">
      <c r="A1908" s="3">
        <f>IFERROR(__xludf.DUMMYFUNCTION("""COMPUTED_VALUE"""),42249.99861111111)</f>
        <v>42249.99861</v>
      </c>
      <c r="B1908" s="1">
        <f>IFERROR(__xludf.DUMMYFUNCTION("""COMPUTED_VALUE"""),3317.6265)</f>
        <v>3317.6265</v>
      </c>
    </row>
    <row r="1909">
      <c r="A1909" s="3">
        <f>IFERROR(__xludf.DUMMYFUNCTION("""COMPUTED_VALUE"""),42250.99861111111)</f>
        <v>42250.99861</v>
      </c>
      <c r="B1909" s="1">
        <f>IFERROR(__xludf.DUMMYFUNCTION("""COMPUTED_VALUE"""),3305.97825)</f>
        <v>3305.97825</v>
      </c>
    </row>
    <row r="1910">
      <c r="A1910" s="3">
        <f>IFERROR(__xludf.DUMMYFUNCTION("""COMPUTED_VALUE"""),42251.99861111111)</f>
        <v>42251.99861</v>
      </c>
      <c r="B1910" s="1">
        <f>IFERROR(__xludf.DUMMYFUNCTION("""COMPUTED_VALUE"""),3274.0587)</f>
        <v>3274.0587</v>
      </c>
    </row>
    <row r="1911">
      <c r="A1911" s="3">
        <f>IFERROR(__xludf.DUMMYFUNCTION("""COMPUTED_VALUE"""),42254.99861111111)</f>
        <v>42254.99861</v>
      </c>
      <c r="B1911" s="1">
        <f>IFERROR(__xludf.DUMMYFUNCTION("""COMPUTED_VALUE"""),3289.10275)</f>
        <v>3289.10275</v>
      </c>
    </row>
    <row r="1912">
      <c r="A1912" s="3">
        <f>IFERROR(__xludf.DUMMYFUNCTION("""COMPUTED_VALUE"""),42255.99861111111)</f>
        <v>42255.99861</v>
      </c>
      <c r="B1912" s="1">
        <f>IFERROR(__xludf.DUMMYFUNCTION("""COMPUTED_VALUE"""),3276.624)</f>
        <v>3276.624</v>
      </c>
    </row>
    <row r="1913">
      <c r="A1913" s="3">
        <f>IFERROR(__xludf.DUMMYFUNCTION("""COMPUTED_VALUE"""),42256.99861111111)</f>
        <v>42256.99861</v>
      </c>
      <c r="B1913" s="1">
        <f>IFERROR(__xludf.DUMMYFUNCTION("""COMPUTED_VALUE"""),3278.4975)</f>
        <v>3278.4975</v>
      </c>
    </row>
    <row r="1914">
      <c r="A1914" s="3">
        <f>IFERROR(__xludf.DUMMYFUNCTION("""COMPUTED_VALUE"""),42257.99861111111)</f>
        <v>42257.99861</v>
      </c>
      <c r="B1914" s="1">
        <f>IFERROR(__xludf.DUMMYFUNCTION("""COMPUTED_VALUE"""),3305.79405)</f>
        <v>3305.79405</v>
      </c>
    </row>
    <row r="1915">
      <c r="A1915" s="3">
        <f>IFERROR(__xludf.DUMMYFUNCTION("""COMPUTED_VALUE"""),42258.99861111111)</f>
        <v>42258.99861</v>
      </c>
      <c r="B1915" s="1">
        <f>IFERROR(__xludf.DUMMYFUNCTION("""COMPUTED_VALUE"""),3304.3612)</f>
        <v>3304.3612</v>
      </c>
    </row>
    <row r="1916">
      <c r="A1916" s="3">
        <f>IFERROR(__xludf.DUMMYFUNCTION("""COMPUTED_VALUE"""),42261.99861111111)</f>
        <v>42261.99861</v>
      </c>
      <c r="B1916" s="1">
        <f>IFERROR(__xludf.DUMMYFUNCTION("""COMPUTED_VALUE"""),3309.0444)</f>
        <v>3309.0444</v>
      </c>
    </row>
    <row r="1917">
      <c r="A1917" s="3">
        <f>IFERROR(__xludf.DUMMYFUNCTION("""COMPUTED_VALUE"""),42262.99861111111)</f>
        <v>42262.99861</v>
      </c>
      <c r="B1917" s="1">
        <f>IFERROR(__xludf.DUMMYFUNCTION("""COMPUTED_VALUE"""),3369.6)</f>
        <v>3369.6</v>
      </c>
    </row>
    <row r="1918">
      <c r="A1918" s="3">
        <f>IFERROR(__xludf.DUMMYFUNCTION("""COMPUTED_VALUE"""),42263.99861111111)</f>
        <v>42263.99861</v>
      </c>
      <c r="B1918" s="1">
        <f>IFERROR(__xludf.DUMMYFUNCTION("""COMPUTED_VALUE"""),3408.93047)</f>
        <v>3408.93047</v>
      </c>
    </row>
    <row r="1919">
      <c r="A1919" s="3">
        <f>IFERROR(__xludf.DUMMYFUNCTION("""COMPUTED_VALUE"""),42264.99861111111)</f>
        <v>42264.99861</v>
      </c>
      <c r="B1919" s="1">
        <f>IFERROR(__xludf.DUMMYFUNCTION("""COMPUTED_VALUE"""),3362.5055)</f>
        <v>3362.5055</v>
      </c>
    </row>
    <row r="1920">
      <c r="A1920" s="3">
        <f>IFERROR(__xludf.DUMMYFUNCTION("""COMPUTED_VALUE"""),42265.99861111111)</f>
        <v>42265.99861</v>
      </c>
      <c r="B1920" s="1">
        <f>IFERROR(__xludf.DUMMYFUNCTION("""COMPUTED_VALUE"""),3393.77889)</f>
        <v>3393.77889</v>
      </c>
    </row>
    <row r="1921">
      <c r="A1921" s="3">
        <f>IFERROR(__xludf.DUMMYFUNCTION("""COMPUTED_VALUE"""),42268.99861111111)</f>
        <v>42268.99861</v>
      </c>
      <c r="B1921" s="1">
        <f>IFERROR(__xludf.DUMMYFUNCTION("""COMPUTED_VALUE"""),3368.616)</f>
        <v>3368.616</v>
      </c>
    </row>
    <row r="1922">
      <c r="A1922" s="3">
        <f>IFERROR(__xludf.DUMMYFUNCTION("""COMPUTED_VALUE"""),42269.99861111111)</f>
        <v>42269.99861</v>
      </c>
      <c r="B1922" s="1">
        <f>IFERROR(__xludf.DUMMYFUNCTION("""COMPUTED_VALUE"""),3382.39125)</f>
        <v>3382.39125</v>
      </c>
    </row>
    <row r="1923">
      <c r="A1923" s="3">
        <f>IFERROR(__xludf.DUMMYFUNCTION("""COMPUTED_VALUE"""),42270.99861111111)</f>
        <v>42270.99861</v>
      </c>
      <c r="B1923" s="1">
        <f>IFERROR(__xludf.DUMMYFUNCTION("""COMPUTED_VALUE"""),3339.384)</f>
        <v>3339.384</v>
      </c>
    </row>
    <row r="1924">
      <c r="A1924" s="3">
        <f>IFERROR(__xludf.DUMMYFUNCTION("""COMPUTED_VALUE"""),42271.99861111111)</f>
        <v>42271.99861</v>
      </c>
      <c r="B1924" s="1">
        <f>IFERROR(__xludf.DUMMYFUNCTION("""COMPUTED_VALUE"""),3336.3981)</f>
        <v>3336.3981</v>
      </c>
    </row>
    <row r="1925">
      <c r="A1925" s="3">
        <f>IFERROR(__xludf.DUMMYFUNCTION("""COMPUTED_VALUE"""),42272.99861111111)</f>
        <v>42272.99861</v>
      </c>
      <c r="B1925" s="1">
        <f>IFERROR(__xludf.DUMMYFUNCTION("""COMPUTED_VALUE"""),3316.15879)</f>
        <v>3316.15879</v>
      </c>
    </row>
    <row r="1926">
      <c r="A1926" s="3">
        <f>IFERROR(__xludf.DUMMYFUNCTION("""COMPUTED_VALUE"""),42275.99861111111)</f>
        <v>42275.99861</v>
      </c>
      <c r="B1926" s="1">
        <f>IFERROR(__xludf.DUMMYFUNCTION("""COMPUTED_VALUE"""),3288.45375)</f>
        <v>3288.45375</v>
      </c>
    </row>
    <row r="1927">
      <c r="A1927" s="3">
        <f>IFERROR(__xludf.DUMMYFUNCTION("""COMPUTED_VALUE"""),42276.99861111111)</f>
        <v>42276.99861</v>
      </c>
      <c r="B1927" s="1">
        <f>IFERROR(__xludf.DUMMYFUNCTION("""COMPUTED_VALUE"""),3290.6688)</f>
        <v>3290.6688</v>
      </c>
    </row>
    <row r="1928">
      <c r="A1928" s="3">
        <f>IFERROR(__xludf.DUMMYFUNCTION("""COMPUTED_VALUE"""),42277.99861111111)</f>
        <v>42277.99861</v>
      </c>
      <c r="B1928" s="1">
        <f>IFERROR(__xludf.DUMMYFUNCTION("""COMPUTED_VALUE"""),3315.96424)</f>
        <v>3315.96424</v>
      </c>
    </row>
    <row r="1929">
      <c r="A1929" s="3">
        <f>IFERROR(__xludf.DUMMYFUNCTION("""COMPUTED_VALUE"""),42278.99861111111)</f>
        <v>42278.99861</v>
      </c>
      <c r="B1929" s="1">
        <f>IFERROR(__xludf.DUMMYFUNCTION("""COMPUTED_VALUE"""),3306.22425)</f>
        <v>3306.22425</v>
      </c>
    </row>
    <row r="1930">
      <c r="A1930" s="3">
        <f>IFERROR(__xludf.DUMMYFUNCTION("""COMPUTED_VALUE"""),42279.99861111111)</f>
        <v>42279.99861</v>
      </c>
      <c r="B1930" s="1">
        <f>IFERROR(__xludf.DUMMYFUNCTION("""COMPUTED_VALUE"""),3269.1832)</f>
        <v>3269.1832</v>
      </c>
    </row>
    <row r="1931">
      <c r="A1931" s="3">
        <f>IFERROR(__xludf.DUMMYFUNCTION("""COMPUTED_VALUE"""),42282.99861111111)</f>
        <v>42282.99861</v>
      </c>
      <c r="B1931" s="1">
        <f>IFERROR(__xludf.DUMMYFUNCTION("""COMPUTED_VALUE"""),3315.98175)</f>
        <v>3315.98175</v>
      </c>
    </row>
    <row r="1932">
      <c r="A1932" s="3">
        <f>IFERROR(__xludf.DUMMYFUNCTION("""COMPUTED_VALUE"""),42283.99861111111)</f>
        <v>42283.99861</v>
      </c>
      <c r="B1932" s="1">
        <f>IFERROR(__xludf.DUMMYFUNCTION("""COMPUTED_VALUE"""),3252.3592)</f>
        <v>3252.3592</v>
      </c>
    </row>
    <row r="1933">
      <c r="A1933" s="3">
        <f>IFERROR(__xludf.DUMMYFUNCTION("""COMPUTED_VALUE"""),42284.99861111111)</f>
        <v>42284.99861</v>
      </c>
      <c r="B1933" s="1">
        <f>IFERROR(__xludf.DUMMYFUNCTION("""COMPUTED_VALUE"""),3285.58905)</f>
        <v>3285.58905</v>
      </c>
    </row>
    <row r="1934">
      <c r="A1934" s="3">
        <f>IFERROR(__xludf.DUMMYFUNCTION("""COMPUTED_VALUE"""),42285.99861111111)</f>
        <v>42285.99861</v>
      </c>
      <c r="B1934" s="1">
        <f>IFERROR(__xludf.DUMMYFUNCTION("""COMPUTED_VALUE"""),3224.7027)</f>
        <v>3224.7027</v>
      </c>
    </row>
    <row r="1935">
      <c r="A1935" s="3">
        <f>IFERROR(__xludf.DUMMYFUNCTION("""COMPUTED_VALUE"""),42286.99861111111)</f>
        <v>42286.99861</v>
      </c>
      <c r="B1935" s="1">
        <f>IFERROR(__xludf.DUMMYFUNCTION("""COMPUTED_VALUE"""),3203.8596)</f>
        <v>3203.8596</v>
      </c>
    </row>
    <row r="1936">
      <c r="A1936" s="3">
        <f>IFERROR(__xludf.DUMMYFUNCTION("""COMPUTED_VALUE"""),42289.99861111111)</f>
        <v>42289.99861</v>
      </c>
      <c r="B1936" s="1">
        <f>IFERROR(__xludf.DUMMYFUNCTION("""COMPUTED_VALUE"""),3247.231)</f>
        <v>3247.231</v>
      </c>
    </row>
    <row r="1937">
      <c r="A1937" s="3">
        <f>IFERROR(__xludf.DUMMYFUNCTION("""COMPUTED_VALUE"""),42290.99861111111)</f>
        <v>42290.99861</v>
      </c>
      <c r="B1937" s="1">
        <f>IFERROR(__xludf.DUMMYFUNCTION("""COMPUTED_VALUE"""),3211.026)</f>
        <v>3211.026</v>
      </c>
    </row>
    <row r="1938">
      <c r="A1938" s="3">
        <f>IFERROR(__xludf.DUMMYFUNCTION("""COMPUTED_VALUE"""),42291.99861111111)</f>
        <v>42291.99861</v>
      </c>
      <c r="B1938" s="1">
        <f>IFERROR(__xludf.DUMMYFUNCTION("""COMPUTED_VALUE"""),3176.0352)</f>
        <v>3176.0352</v>
      </c>
    </row>
    <row r="1939">
      <c r="A1939" s="3">
        <f>IFERROR(__xludf.DUMMYFUNCTION("""COMPUTED_VALUE"""),42292.99861111111)</f>
        <v>42292.99861</v>
      </c>
      <c r="B1939" s="1">
        <f>IFERROR(__xludf.DUMMYFUNCTION("""COMPUTED_VALUE"""),3254.458)</f>
        <v>3254.458</v>
      </c>
    </row>
    <row r="1940">
      <c r="A1940" s="3">
        <f>IFERROR(__xludf.DUMMYFUNCTION("""COMPUTED_VALUE"""),42293.99861111111)</f>
        <v>42293.99861</v>
      </c>
      <c r="B1940" s="1">
        <f>IFERROR(__xludf.DUMMYFUNCTION("""COMPUTED_VALUE"""),3214.8655)</f>
        <v>3214.8655</v>
      </c>
    </row>
    <row r="1941">
      <c r="A1941" s="3">
        <f>IFERROR(__xludf.DUMMYFUNCTION("""COMPUTED_VALUE"""),42296.99861111111)</f>
        <v>42296.99861</v>
      </c>
      <c r="B1941" s="1">
        <f>IFERROR(__xludf.DUMMYFUNCTION("""COMPUTED_VALUE"""),3175.9455)</f>
        <v>3175.9455</v>
      </c>
    </row>
    <row r="1942">
      <c r="A1942" s="3">
        <f>IFERROR(__xludf.DUMMYFUNCTION("""COMPUTED_VALUE"""),42297.99861111111)</f>
        <v>42297.99861</v>
      </c>
      <c r="B1942" s="1">
        <f>IFERROR(__xludf.DUMMYFUNCTION("""COMPUTED_VALUE"""),3177.40421)</f>
        <v>3177.40421</v>
      </c>
    </row>
    <row r="1943">
      <c r="A1943" s="3">
        <f>IFERROR(__xludf.DUMMYFUNCTION("""COMPUTED_VALUE"""),42298.99861111111)</f>
        <v>42298.99861</v>
      </c>
      <c r="B1943" s="1">
        <f>IFERROR(__xludf.DUMMYFUNCTION("""COMPUTED_VALUE"""),3182.373)</f>
        <v>3182.373</v>
      </c>
    </row>
    <row r="1944">
      <c r="A1944" s="3">
        <f>IFERROR(__xludf.DUMMYFUNCTION("""COMPUTED_VALUE"""),42299.99861111111)</f>
        <v>42299.99861</v>
      </c>
      <c r="B1944" s="1">
        <f>IFERROR(__xludf.DUMMYFUNCTION("""COMPUTED_VALUE"""),3144.95652)</f>
        <v>3144.95652</v>
      </c>
    </row>
    <row r="1945">
      <c r="A1945" s="3">
        <f>IFERROR(__xludf.DUMMYFUNCTION("""COMPUTED_VALUE"""),42300.99861111111)</f>
        <v>42300.99861</v>
      </c>
      <c r="B1945" s="1">
        <f>IFERROR(__xludf.DUMMYFUNCTION("""COMPUTED_VALUE"""),3175.5776)</f>
        <v>3175.5776</v>
      </c>
    </row>
    <row r="1946">
      <c r="A1946" s="3">
        <f>IFERROR(__xludf.DUMMYFUNCTION("""COMPUTED_VALUE"""),42303.99861111111)</f>
        <v>42303.99861</v>
      </c>
      <c r="B1946" s="1">
        <f>IFERROR(__xludf.DUMMYFUNCTION("""COMPUTED_VALUE"""),3187.7342)</f>
        <v>3187.7342</v>
      </c>
    </row>
    <row r="1947">
      <c r="A1947" s="3">
        <f>IFERROR(__xludf.DUMMYFUNCTION("""COMPUTED_VALUE"""),42304.99861111111)</f>
        <v>42304.99861</v>
      </c>
      <c r="B1947" s="1">
        <f>IFERROR(__xludf.DUMMYFUNCTION("""COMPUTED_VALUE"""),3168.5745)</f>
        <v>3168.5745</v>
      </c>
    </row>
    <row r="1948">
      <c r="A1948" s="3">
        <f>IFERROR(__xludf.DUMMYFUNCTION("""COMPUTED_VALUE"""),42305.99861111111)</f>
        <v>42305.99861</v>
      </c>
      <c r="B1948" s="1">
        <f>IFERROR(__xludf.DUMMYFUNCTION("""COMPUTED_VALUE"""),3147.91086)</f>
        <v>3147.91086</v>
      </c>
    </row>
    <row r="1949">
      <c r="A1949" s="3">
        <f>IFERROR(__xludf.DUMMYFUNCTION("""COMPUTED_VALUE"""),42306.99861111111)</f>
        <v>42306.99861</v>
      </c>
      <c r="B1949" s="1">
        <f>IFERROR(__xludf.DUMMYFUNCTION("""COMPUTED_VALUE"""),3134.44488)</f>
        <v>3134.44488</v>
      </c>
    </row>
    <row r="1950">
      <c r="A1950" s="3">
        <f>IFERROR(__xludf.DUMMYFUNCTION("""COMPUTED_VALUE"""),42307.99861111111)</f>
        <v>42307.99861</v>
      </c>
      <c r="B1950" s="1">
        <f>IFERROR(__xludf.DUMMYFUNCTION("""COMPUTED_VALUE"""),3165.2949)</f>
        <v>3165.2949</v>
      </c>
    </row>
    <row r="1951">
      <c r="A1951" s="3">
        <f>IFERROR(__xludf.DUMMYFUNCTION("""COMPUTED_VALUE"""),42308.99861111111)</f>
        <v>42308.99861</v>
      </c>
      <c r="B1951" s="1">
        <f>IFERROR(__xludf.DUMMYFUNCTION("""COMPUTED_VALUE"""),3203.171613)</f>
        <v>3203.171613</v>
      </c>
    </row>
    <row r="1952">
      <c r="A1952" s="3">
        <f>IFERROR(__xludf.DUMMYFUNCTION("""COMPUTED_VALUE"""),42310.99861111111)</f>
        <v>42310.99861</v>
      </c>
      <c r="B1952" s="1">
        <f>IFERROR(__xludf.DUMMYFUNCTION("""COMPUTED_VALUE"""),3154.9056)</f>
        <v>3154.9056</v>
      </c>
    </row>
    <row r="1953">
      <c r="A1953" s="3">
        <f>IFERROR(__xludf.DUMMYFUNCTION("""COMPUTED_VALUE"""),42311.99861111111)</f>
        <v>42311.99861</v>
      </c>
      <c r="B1953" s="1">
        <f>IFERROR(__xludf.DUMMYFUNCTION("""COMPUTED_VALUE"""),3154.7904)</f>
        <v>3154.7904</v>
      </c>
    </row>
    <row r="1954">
      <c r="A1954" s="3">
        <f>IFERROR(__xludf.DUMMYFUNCTION("""COMPUTED_VALUE"""),42312.99861111111)</f>
        <v>42312.99861</v>
      </c>
      <c r="B1954" s="1">
        <f>IFERROR(__xludf.DUMMYFUNCTION("""COMPUTED_VALUE"""),3119.6763)</f>
        <v>3119.6763</v>
      </c>
    </row>
    <row r="1955">
      <c r="A1955" s="3">
        <f>IFERROR(__xludf.DUMMYFUNCTION("""COMPUTED_VALUE"""),42313.99861111111)</f>
        <v>42313.99861</v>
      </c>
      <c r="B1955" s="1">
        <f>IFERROR(__xludf.DUMMYFUNCTION("""COMPUTED_VALUE"""),3147.13225)</f>
        <v>3147.13225</v>
      </c>
    </row>
    <row r="1956">
      <c r="A1956" s="3">
        <f>IFERROR(__xludf.DUMMYFUNCTION("""COMPUTED_VALUE"""),42314.99861111111)</f>
        <v>42314.99861</v>
      </c>
      <c r="B1956" s="1">
        <f>IFERROR(__xludf.DUMMYFUNCTION("""COMPUTED_VALUE"""),3121.5896)</f>
        <v>3121.5896</v>
      </c>
    </row>
    <row r="1957">
      <c r="A1957" s="3">
        <f>IFERROR(__xludf.DUMMYFUNCTION("""COMPUTED_VALUE"""),42315.99861111111)</f>
        <v>42315.99861</v>
      </c>
      <c r="B1957" s="1">
        <f>IFERROR(__xludf.DUMMYFUNCTION("""COMPUTED_VALUE"""),3146.227451)</f>
        <v>3146.227451</v>
      </c>
    </row>
    <row r="1958">
      <c r="A1958" s="3">
        <f>IFERROR(__xludf.DUMMYFUNCTION("""COMPUTED_VALUE"""),42317.99861111111)</f>
        <v>42317.99861</v>
      </c>
      <c r="B1958" s="1">
        <f>IFERROR(__xludf.DUMMYFUNCTION("""COMPUTED_VALUE"""),3106.83005)</f>
        <v>3106.83005</v>
      </c>
    </row>
    <row r="1959">
      <c r="A1959" s="3">
        <f>IFERROR(__xludf.DUMMYFUNCTION("""COMPUTED_VALUE"""),42318.99861111111)</f>
        <v>42318.99861</v>
      </c>
      <c r="B1959" s="1">
        <f>IFERROR(__xludf.DUMMYFUNCTION("""COMPUTED_VALUE"""),3091.9512)</f>
        <v>3091.9512</v>
      </c>
    </row>
    <row r="1960">
      <c r="A1960" s="3">
        <f>IFERROR(__xludf.DUMMYFUNCTION("""COMPUTED_VALUE"""),42319.99861111111)</f>
        <v>42319.99861</v>
      </c>
      <c r="B1960" s="1">
        <f>IFERROR(__xludf.DUMMYFUNCTION("""COMPUTED_VALUE"""),3093.1675)</f>
        <v>3093.1675</v>
      </c>
    </row>
    <row r="1961">
      <c r="A1961" s="3">
        <f>IFERROR(__xludf.DUMMYFUNCTION("""COMPUTED_VALUE"""),42320.99861111111)</f>
        <v>42320.99861</v>
      </c>
      <c r="B1961" s="1">
        <f>IFERROR(__xludf.DUMMYFUNCTION("""COMPUTED_VALUE"""),3101.3107)</f>
        <v>3101.3107</v>
      </c>
    </row>
    <row r="1962">
      <c r="A1962" s="3">
        <f>IFERROR(__xludf.DUMMYFUNCTION("""COMPUTED_VALUE"""),42321.99861111111)</f>
        <v>42321.99861</v>
      </c>
      <c r="B1962" s="1">
        <f>IFERROR(__xludf.DUMMYFUNCTION("""COMPUTED_VALUE"""),3115.26324)</f>
        <v>3115.26324</v>
      </c>
    </row>
    <row r="1963">
      <c r="A1963" s="3">
        <f>IFERROR(__xludf.DUMMYFUNCTION("""COMPUTED_VALUE"""),42322.99861111111)</f>
        <v>42322.99861</v>
      </c>
      <c r="B1963" s="1">
        <f>IFERROR(__xludf.DUMMYFUNCTION("""COMPUTED_VALUE"""),3088.281519)</f>
        <v>3088.281519</v>
      </c>
    </row>
    <row r="1964">
      <c r="A1964" s="3">
        <f>IFERROR(__xludf.DUMMYFUNCTION("""COMPUTED_VALUE"""),42324.99861111111)</f>
        <v>42324.99861</v>
      </c>
      <c r="B1964" s="1">
        <f>IFERROR(__xludf.DUMMYFUNCTION("""COMPUTED_VALUE"""),3122.13408)</f>
        <v>3122.13408</v>
      </c>
    </row>
    <row r="1965">
      <c r="A1965" s="3">
        <f>IFERROR(__xludf.DUMMYFUNCTION("""COMPUTED_VALUE"""),42325.99861111111)</f>
        <v>42325.99861</v>
      </c>
      <c r="B1965" s="1">
        <f>IFERROR(__xludf.DUMMYFUNCTION("""COMPUTED_VALUE"""),3115.9492)</f>
        <v>3115.9492</v>
      </c>
    </row>
    <row r="1966">
      <c r="A1966" s="3">
        <f>IFERROR(__xludf.DUMMYFUNCTION("""COMPUTED_VALUE"""),42326.99861111111)</f>
        <v>42326.99861</v>
      </c>
      <c r="B1966" s="1">
        <f>IFERROR(__xludf.DUMMYFUNCTION("""COMPUTED_VALUE"""),3140.50075)</f>
        <v>3140.50075</v>
      </c>
    </row>
    <row r="1967">
      <c r="A1967" s="3">
        <f>IFERROR(__xludf.DUMMYFUNCTION("""COMPUTED_VALUE"""),42327.99861111111)</f>
        <v>42327.99861</v>
      </c>
      <c r="B1967" s="1">
        <f>IFERROR(__xludf.DUMMYFUNCTION("""COMPUTED_VALUE"""),3185.57495)</f>
        <v>3185.57495</v>
      </c>
    </row>
    <row r="1968">
      <c r="A1968" s="3">
        <f>IFERROR(__xludf.DUMMYFUNCTION("""COMPUTED_VALUE"""),42328.99861111111)</f>
        <v>42328.99861</v>
      </c>
      <c r="B1968" s="1">
        <f>IFERROR(__xludf.DUMMYFUNCTION("""COMPUTED_VALUE"""),3153.6014)</f>
        <v>3153.6014</v>
      </c>
    </row>
    <row r="1969">
      <c r="A1969" s="3">
        <f>IFERROR(__xludf.DUMMYFUNCTION("""COMPUTED_VALUE"""),42330.99861111111)</f>
        <v>42330.99861</v>
      </c>
      <c r="B1969" s="1">
        <f>IFERROR(__xludf.DUMMYFUNCTION("""COMPUTED_VALUE"""),3199.312316)</f>
        <v>3199.312316</v>
      </c>
    </row>
    <row r="1970">
      <c r="A1970" s="3">
        <f>IFERROR(__xludf.DUMMYFUNCTION("""COMPUTED_VALUE"""),42331.99861111111)</f>
        <v>42331.99861</v>
      </c>
      <c r="B1970" s="1">
        <f>IFERROR(__xludf.DUMMYFUNCTION("""COMPUTED_VALUE"""),3183.3984)</f>
        <v>3183.3984</v>
      </c>
    </row>
    <row r="1971">
      <c r="A1971" s="3">
        <f>IFERROR(__xludf.DUMMYFUNCTION("""COMPUTED_VALUE"""),42332.99861111111)</f>
        <v>42332.99861</v>
      </c>
      <c r="B1971" s="1">
        <f>IFERROR(__xludf.DUMMYFUNCTION("""COMPUTED_VALUE"""),3227.5314)</f>
        <v>3227.5314</v>
      </c>
    </row>
    <row r="1972">
      <c r="A1972" s="3">
        <f>IFERROR(__xludf.DUMMYFUNCTION("""COMPUTED_VALUE"""),42333.99861111111)</f>
        <v>42333.99861</v>
      </c>
      <c r="B1972" s="1">
        <f>IFERROR(__xludf.DUMMYFUNCTION("""COMPUTED_VALUE"""),3213.8991)</f>
        <v>3213.8991</v>
      </c>
    </row>
    <row r="1973">
      <c r="A1973" s="3">
        <f>IFERROR(__xludf.DUMMYFUNCTION("""COMPUTED_VALUE"""),42334.99861111111)</f>
        <v>42334.99861</v>
      </c>
      <c r="B1973" s="1">
        <f>IFERROR(__xludf.DUMMYFUNCTION("""COMPUTED_VALUE"""),3245.8552)</f>
        <v>3245.8552</v>
      </c>
    </row>
    <row r="1974">
      <c r="A1974" s="3">
        <f>IFERROR(__xludf.DUMMYFUNCTION("""COMPUTED_VALUE"""),42335.99861111111)</f>
        <v>42335.99861</v>
      </c>
      <c r="B1974" s="1">
        <f>IFERROR(__xludf.DUMMYFUNCTION("""COMPUTED_VALUE"""),3188.70078)</f>
        <v>3188.70078</v>
      </c>
    </row>
    <row r="1975">
      <c r="A1975" s="3">
        <f>IFERROR(__xludf.DUMMYFUNCTION("""COMPUTED_VALUE"""),42336.99861111111)</f>
        <v>42336.99861</v>
      </c>
      <c r="B1975" s="1">
        <f>IFERROR(__xludf.DUMMYFUNCTION("""COMPUTED_VALUE"""),3270.068998)</f>
        <v>3270.068998</v>
      </c>
    </row>
    <row r="1976">
      <c r="A1976" s="3">
        <f>IFERROR(__xludf.DUMMYFUNCTION("""COMPUTED_VALUE"""),42338.99861111111)</f>
        <v>42338.99861</v>
      </c>
      <c r="B1976" s="1">
        <f>IFERROR(__xludf.DUMMYFUNCTION("""COMPUTED_VALUE"""),3256.67414)</f>
        <v>3256.67414</v>
      </c>
    </row>
    <row r="1977">
      <c r="A1977" s="3">
        <f>IFERROR(__xludf.DUMMYFUNCTION("""COMPUTED_VALUE"""),42339.99861111111)</f>
        <v>42339.99861</v>
      </c>
      <c r="B1977" s="1">
        <f>IFERROR(__xludf.DUMMYFUNCTION("""COMPUTED_VALUE"""),3266.357)</f>
        <v>3266.357</v>
      </c>
    </row>
    <row r="1978">
      <c r="A1978" s="3">
        <f>IFERROR(__xludf.DUMMYFUNCTION("""COMPUTED_VALUE"""),42340.99861111111)</f>
        <v>42340.99861</v>
      </c>
      <c r="B1978" s="1">
        <f>IFERROR(__xludf.DUMMYFUNCTION("""COMPUTED_VALUE"""),3241.8836)</f>
        <v>3241.8836</v>
      </c>
    </row>
    <row r="1979">
      <c r="A1979" s="3">
        <f>IFERROR(__xludf.DUMMYFUNCTION("""COMPUTED_VALUE"""),42341.99861111111)</f>
        <v>42341.99861</v>
      </c>
      <c r="B1979" s="1">
        <f>IFERROR(__xludf.DUMMYFUNCTION("""COMPUTED_VALUE"""),3253.3842)</f>
        <v>3253.3842</v>
      </c>
    </row>
    <row r="1980">
      <c r="A1980" s="3">
        <f>IFERROR(__xludf.DUMMYFUNCTION("""COMPUTED_VALUE"""),42342.99861111111)</f>
        <v>42342.99861</v>
      </c>
      <c r="B1980" s="1">
        <f>IFERROR(__xludf.DUMMYFUNCTION("""COMPUTED_VALUE"""),3278.11866)</f>
        <v>3278.11866</v>
      </c>
    </row>
    <row r="1981">
      <c r="A1981" s="3">
        <f>IFERROR(__xludf.DUMMYFUNCTION("""COMPUTED_VALUE"""),42343.99861111111)</f>
        <v>42343.99861</v>
      </c>
      <c r="B1981" s="1">
        <f>IFERROR(__xludf.DUMMYFUNCTION("""COMPUTED_VALUE"""),3300.13719)</f>
        <v>3300.13719</v>
      </c>
    </row>
    <row r="1982">
      <c r="A1982" s="3">
        <f>IFERROR(__xludf.DUMMYFUNCTION("""COMPUTED_VALUE"""),42345.99861111111)</f>
        <v>42345.99861</v>
      </c>
      <c r="B1982" s="1">
        <f>IFERROR(__xludf.DUMMYFUNCTION("""COMPUTED_VALUE"""),3236.8419)</f>
        <v>3236.8419</v>
      </c>
    </row>
    <row r="1983">
      <c r="A1983" s="3">
        <f>IFERROR(__xludf.DUMMYFUNCTION("""COMPUTED_VALUE"""),42346.99861111111)</f>
        <v>42346.99861</v>
      </c>
      <c r="B1983" s="1">
        <f>IFERROR(__xludf.DUMMYFUNCTION("""COMPUTED_VALUE"""),3267.45146)</f>
        <v>3267.45146</v>
      </c>
    </row>
    <row r="1984">
      <c r="A1984" s="3">
        <f>IFERROR(__xludf.DUMMYFUNCTION("""COMPUTED_VALUE"""),42347.99861111111)</f>
        <v>42347.99861</v>
      </c>
      <c r="B1984" s="1">
        <f>IFERROR(__xludf.DUMMYFUNCTION("""COMPUTED_VALUE"""),3246.7008)</f>
        <v>3246.7008</v>
      </c>
    </row>
    <row r="1985">
      <c r="A1985" s="3">
        <f>IFERROR(__xludf.DUMMYFUNCTION("""COMPUTED_VALUE"""),42348.99861111111)</f>
        <v>42348.99861</v>
      </c>
      <c r="B1985" s="1">
        <f>IFERROR(__xludf.DUMMYFUNCTION("""COMPUTED_VALUE"""),3246.61375)</f>
        <v>3246.61375</v>
      </c>
    </row>
    <row r="1986">
      <c r="A1986" s="3">
        <f>IFERROR(__xludf.DUMMYFUNCTION("""COMPUTED_VALUE"""),42349.99861111111)</f>
        <v>42349.99861</v>
      </c>
      <c r="B1986" s="1">
        <f>IFERROR(__xludf.DUMMYFUNCTION("""COMPUTED_VALUE"""),3244.9545)</f>
        <v>3244.9545</v>
      </c>
    </row>
    <row r="1987">
      <c r="A1987" s="3">
        <f>IFERROR(__xludf.DUMMYFUNCTION("""COMPUTED_VALUE"""),42350.99861111111)</f>
        <v>42350.99861</v>
      </c>
      <c r="B1987" s="1">
        <f>IFERROR(__xludf.DUMMYFUNCTION("""COMPUTED_VALUE"""),3262.072611)</f>
        <v>3262.072611</v>
      </c>
    </row>
    <row r="1988">
      <c r="A1988" s="3">
        <f>IFERROR(__xludf.DUMMYFUNCTION("""COMPUTED_VALUE"""),42352.99861111111)</f>
        <v>42352.99861</v>
      </c>
      <c r="B1988" s="1">
        <f>IFERROR(__xludf.DUMMYFUNCTION("""COMPUTED_VALUE"""),3214.69099)</f>
        <v>3214.69099</v>
      </c>
    </row>
    <row r="1989">
      <c r="A1989" s="3">
        <f>IFERROR(__xludf.DUMMYFUNCTION("""COMPUTED_VALUE"""),42353.99861111111)</f>
        <v>42353.99861</v>
      </c>
      <c r="B1989" s="1">
        <f>IFERROR(__xludf.DUMMYFUNCTION("""COMPUTED_VALUE"""),3230.0037)</f>
        <v>3230.0037</v>
      </c>
    </row>
    <row r="1990">
      <c r="A1990" s="3">
        <f>IFERROR(__xludf.DUMMYFUNCTION("""COMPUTED_VALUE"""),42354.99861111111)</f>
        <v>42354.99861</v>
      </c>
      <c r="B1990" s="1">
        <f>IFERROR(__xludf.DUMMYFUNCTION("""COMPUTED_VALUE"""),3192.1824)</f>
        <v>3192.1824</v>
      </c>
    </row>
    <row r="1991">
      <c r="A1991" s="3">
        <f>IFERROR(__xludf.DUMMYFUNCTION("""COMPUTED_VALUE"""),42355.99861111111)</f>
        <v>42355.99861</v>
      </c>
      <c r="B1991" s="1">
        <f>IFERROR(__xludf.DUMMYFUNCTION("""COMPUTED_VALUE"""),3232.5914)</f>
        <v>3232.5914</v>
      </c>
    </row>
    <row r="1992">
      <c r="A1992" s="3">
        <f>IFERROR(__xludf.DUMMYFUNCTION("""COMPUTED_VALUE"""),42356.99861111111)</f>
        <v>42356.99861</v>
      </c>
      <c r="B1992" s="1">
        <f>IFERROR(__xludf.DUMMYFUNCTION("""COMPUTED_VALUE"""),3221.81005)</f>
        <v>3221.81005</v>
      </c>
    </row>
    <row r="1993">
      <c r="A1993" s="3">
        <f>IFERROR(__xludf.DUMMYFUNCTION("""COMPUTED_VALUE"""),42357.99861111111)</f>
        <v>42357.99861</v>
      </c>
      <c r="B1993" s="1">
        <f>IFERROR(__xludf.DUMMYFUNCTION("""COMPUTED_VALUE"""),3240.86439)</f>
        <v>3240.86439</v>
      </c>
    </row>
    <row r="1994">
      <c r="A1994" s="3">
        <f>IFERROR(__xludf.DUMMYFUNCTION("""COMPUTED_VALUE"""),42359.99861111111)</f>
        <v>42359.99861</v>
      </c>
      <c r="B1994" s="1">
        <f>IFERROR(__xludf.DUMMYFUNCTION("""COMPUTED_VALUE"""),3203.7408)</f>
        <v>3203.7408</v>
      </c>
    </row>
    <row r="1995">
      <c r="A1995" s="3">
        <f>IFERROR(__xludf.DUMMYFUNCTION("""COMPUTED_VALUE"""),42360.99861111111)</f>
        <v>42360.99861</v>
      </c>
      <c r="B1995" s="1">
        <f>IFERROR(__xludf.DUMMYFUNCTION("""COMPUTED_VALUE"""),3173.96345)</f>
        <v>3173.96345</v>
      </c>
    </row>
    <row r="1996">
      <c r="A1996" s="3">
        <f>IFERROR(__xludf.DUMMYFUNCTION("""COMPUTED_VALUE"""),42361.99861111111)</f>
        <v>42361.99861</v>
      </c>
      <c r="B1996" s="1">
        <f>IFERROR(__xludf.DUMMYFUNCTION("""COMPUTED_VALUE"""),3171.49125)</f>
        <v>3171.49125</v>
      </c>
    </row>
    <row r="1997">
      <c r="A1997" s="3">
        <f>IFERROR(__xludf.DUMMYFUNCTION("""COMPUTED_VALUE"""),42362.99861111111)</f>
        <v>42362.99861</v>
      </c>
      <c r="B1997" s="1">
        <f>IFERROR(__xludf.DUMMYFUNCTION("""COMPUTED_VALUE"""),3172.6551)</f>
        <v>3172.6551</v>
      </c>
    </row>
    <row r="1998">
      <c r="A1998" s="3">
        <f>IFERROR(__xludf.DUMMYFUNCTION("""COMPUTED_VALUE"""),42363.99861111111)</f>
        <v>42363.99861</v>
      </c>
      <c r="B1998" s="1">
        <f>IFERROR(__xludf.DUMMYFUNCTION("""COMPUTED_VALUE"""),3172.6551)</f>
        <v>3172.6551</v>
      </c>
    </row>
    <row r="1999">
      <c r="A1999" s="3">
        <f>IFERROR(__xludf.DUMMYFUNCTION("""COMPUTED_VALUE"""),42364.99861111111)</f>
        <v>42364.99861</v>
      </c>
      <c r="B1999" s="1">
        <f>IFERROR(__xludf.DUMMYFUNCTION("""COMPUTED_VALUE"""),3179.917524)</f>
        <v>3179.917524</v>
      </c>
    </row>
    <row r="2000">
      <c r="A2000" s="3">
        <f>IFERROR(__xludf.DUMMYFUNCTION("""COMPUTED_VALUE"""),42366.99861111111)</f>
        <v>42366.99861</v>
      </c>
      <c r="B2000" s="1">
        <f>IFERROR(__xludf.DUMMYFUNCTION("""COMPUTED_VALUE"""),3141.0962)</f>
        <v>3141.0962</v>
      </c>
    </row>
    <row r="2001">
      <c r="A2001" s="3">
        <f>IFERROR(__xludf.DUMMYFUNCTION("""COMPUTED_VALUE"""),42367.99861111111)</f>
        <v>42367.99861</v>
      </c>
      <c r="B2001" s="1">
        <f>IFERROR(__xludf.DUMMYFUNCTION("""COMPUTED_VALUE"""),3193.78926)</f>
        <v>3193.78926</v>
      </c>
    </row>
    <row r="2002">
      <c r="A2002" s="3">
        <f>IFERROR(__xludf.DUMMYFUNCTION("""COMPUTED_VALUE"""),42368.99861111111)</f>
        <v>42368.99861</v>
      </c>
      <c r="B2002" s="1">
        <f>IFERROR(__xludf.DUMMYFUNCTION("""COMPUTED_VALUE"""),3213.7014)</f>
        <v>3213.7014</v>
      </c>
    </row>
    <row r="2003">
      <c r="A2003" s="3">
        <f>IFERROR(__xludf.DUMMYFUNCTION("""COMPUTED_VALUE"""),42369.99861111111)</f>
        <v>42369.99861</v>
      </c>
      <c r="B2003" s="1">
        <f>IFERROR(__xludf.DUMMYFUNCTION("""COMPUTED_VALUE"""),3194.56025)</f>
        <v>3194.56025</v>
      </c>
    </row>
    <row r="2004">
      <c r="A2004" s="3">
        <f>IFERROR(__xludf.DUMMYFUNCTION("""COMPUTED_VALUE"""),42370.99861111111)</f>
        <v>42370.99861</v>
      </c>
      <c r="B2004" s="1">
        <f>IFERROR(__xludf.DUMMYFUNCTION("""COMPUTED_VALUE"""),3194.56025)</f>
        <v>3194.56025</v>
      </c>
    </row>
    <row r="2005">
      <c r="A2005" s="3">
        <f>IFERROR(__xludf.DUMMYFUNCTION("""COMPUTED_VALUE"""),42371.99861111111)</f>
        <v>42371.99861</v>
      </c>
      <c r="B2005" s="1">
        <f>IFERROR(__xludf.DUMMYFUNCTION("""COMPUTED_VALUE"""),3203.175706)</f>
        <v>3203.175706</v>
      </c>
    </row>
    <row r="2006">
      <c r="A2006" s="3">
        <f>IFERROR(__xludf.DUMMYFUNCTION("""COMPUTED_VALUE"""),42372.99861111111)</f>
        <v>42372.99861</v>
      </c>
      <c r="B2006" s="1">
        <f>IFERROR(__xludf.DUMMYFUNCTION("""COMPUTED_VALUE"""),3203.175706)</f>
        <v>3203.175706</v>
      </c>
    </row>
    <row r="2007">
      <c r="A2007" s="3">
        <f>IFERROR(__xludf.DUMMYFUNCTION("""COMPUTED_VALUE"""),42373.99861111111)</f>
        <v>42373.99861</v>
      </c>
      <c r="B2007" s="1">
        <f>IFERROR(__xludf.DUMMYFUNCTION("""COMPUTED_VALUE"""),3192.66375)</f>
        <v>3192.66375</v>
      </c>
    </row>
    <row r="2008">
      <c r="A2008" s="3">
        <f>IFERROR(__xludf.DUMMYFUNCTION("""COMPUTED_VALUE"""),42374.99861111111)</f>
        <v>42374.99861</v>
      </c>
      <c r="B2008" s="1">
        <f>IFERROR(__xludf.DUMMYFUNCTION("""COMPUTED_VALUE"""),3160.7928)</f>
        <v>3160.7928</v>
      </c>
    </row>
    <row r="2009">
      <c r="A2009" s="3">
        <f>IFERROR(__xludf.DUMMYFUNCTION("""COMPUTED_VALUE"""),42375.99861111111)</f>
        <v>42375.99861</v>
      </c>
      <c r="B2009" s="1">
        <f>IFERROR(__xludf.DUMMYFUNCTION("""COMPUTED_VALUE"""),3141.00045)</f>
        <v>3141.00045</v>
      </c>
    </row>
    <row r="2010">
      <c r="A2010" s="3">
        <f>IFERROR(__xludf.DUMMYFUNCTION("""COMPUTED_VALUE"""),42376.99861111111)</f>
        <v>42376.99861</v>
      </c>
      <c r="B2010" s="1">
        <f>IFERROR(__xludf.DUMMYFUNCTION("""COMPUTED_VALUE"""),3160.8563)</f>
        <v>3160.8563</v>
      </c>
    </row>
    <row r="2011">
      <c r="A2011" s="3">
        <f>IFERROR(__xludf.DUMMYFUNCTION("""COMPUTED_VALUE"""),42377.99861111111)</f>
        <v>42377.99861</v>
      </c>
      <c r="B2011" s="1">
        <f>IFERROR(__xludf.DUMMYFUNCTION("""COMPUTED_VALUE"""),3129.8337)</f>
        <v>3129.8337</v>
      </c>
    </row>
    <row r="2012">
      <c r="A2012" s="3">
        <f>IFERROR(__xludf.DUMMYFUNCTION("""COMPUTED_VALUE"""),42378.99861111111)</f>
        <v>42378.99861</v>
      </c>
      <c r="B2012" s="1">
        <f>IFERROR(__xludf.DUMMYFUNCTION("""COMPUTED_VALUE"""),3169.196597)</f>
        <v>3169.196597</v>
      </c>
    </row>
    <row r="2013">
      <c r="A2013" s="3">
        <f>IFERROR(__xludf.DUMMYFUNCTION("""COMPUTED_VALUE"""),42379.99861111111)</f>
        <v>42379.99861</v>
      </c>
      <c r="B2013" s="1">
        <f>IFERROR(__xludf.DUMMYFUNCTION("""COMPUTED_VALUE"""),3164.74633)</f>
        <v>3164.74633</v>
      </c>
    </row>
    <row r="2014">
      <c r="A2014" s="3">
        <f>IFERROR(__xludf.DUMMYFUNCTION("""COMPUTED_VALUE"""),42380.99861111111)</f>
        <v>42380.99861</v>
      </c>
      <c r="B2014" s="1">
        <f>IFERROR(__xludf.DUMMYFUNCTION("""COMPUTED_VALUE"""),3122.55295)</f>
        <v>3122.55295</v>
      </c>
    </row>
    <row r="2015">
      <c r="A2015" s="3">
        <f>IFERROR(__xludf.DUMMYFUNCTION("""COMPUTED_VALUE"""),42381.99861111111)</f>
        <v>42381.99861</v>
      </c>
      <c r="B2015" s="1">
        <f>IFERROR(__xludf.DUMMYFUNCTION("""COMPUTED_VALUE"""),3135.3276)</f>
        <v>3135.3276</v>
      </c>
    </row>
    <row r="2016">
      <c r="A2016" s="3">
        <f>IFERROR(__xludf.DUMMYFUNCTION("""COMPUTED_VALUE"""),42382.99861111111)</f>
        <v>42382.99861</v>
      </c>
      <c r="B2016" s="1">
        <f>IFERROR(__xludf.DUMMYFUNCTION("""COMPUTED_VALUE"""),3141.74583)</f>
        <v>3141.74583</v>
      </c>
    </row>
    <row r="2017">
      <c r="A2017" s="3">
        <f>IFERROR(__xludf.DUMMYFUNCTION("""COMPUTED_VALUE"""),42383.99861111111)</f>
        <v>42383.99861</v>
      </c>
      <c r="B2017" s="1">
        <f>IFERROR(__xludf.DUMMYFUNCTION("""COMPUTED_VALUE"""),3153.89725)</f>
        <v>3153.89725</v>
      </c>
    </row>
    <row r="2018">
      <c r="A2018" s="3">
        <f>IFERROR(__xludf.DUMMYFUNCTION("""COMPUTED_VALUE"""),42384.99861111111)</f>
        <v>42384.99861</v>
      </c>
      <c r="B2018" s="1">
        <f>IFERROR(__xludf.DUMMYFUNCTION("""COMPUTED_VALUE"""),3154.54448)</f>
        <v>3154.54448</v>
      </c>
    </row>
    <row r="2019">
      <c r="A2019" s="3">
        <f>IFERROR(__xludf.DUMMYFUNCTION("""COMPUTED_VALUE"""),42385.99861111111)</f>
        <v>42385.99861</v>
      </c>
      <c r="B2019" s="1">
        <f>IFERROR(__xludf.DUMMYFUNCTION("""COMPUTED_VALUE"""),3157.481617)</f>
        <v>3157.481617</v>
      </c>
    </row>
    <row r="2020">
      <c r="A2020" s="3">
        <f>IFERROR(__xludf.DUMMYFUNCTION("""COMPUTED_VALUE"""),42386.99861111111)</f>
        <v>42386.99861</v>
      </c>
      <c r="B2020" s="1">
        <f>IFERROR(__xludf.DUMMYFUNCTION("""COMPUTED_VALUE"""),3157.481617)</f>
        <v>3157.481617</v>
      </c>
    </row>
    <row r="2021">
      <c r="A2021" s="3">
        <f>IFERROR(__xludf.DUMMYFUNCTION("""COMPUTED_VALUE"""),42387.99861111111)</f>
        <v>42387.99861</v>
      </c>
      <c r="B2021" s="1">
        <f>IFERROR(__xludf.DUMMYFUNCTION("""COMPUTED_VALUE"""),3161.94975)</f>
        <v>3161.94975</v>
      </c>
    </row>
    <row r="2022">
      <c r="A2022" s="3">
        <f>IFERROR(__xludf.DUMMYFUNCTION("""COMPUTED_VALUE"""),42388.99861111111)</f>
        <v>42388.99861</v>
      </c>
      <c r="B2022" s="1">
        <f>IFERROR(__xludf.DUMMYFUNCTION("""COMPUTED_VALUE"""),3156.9741)</f>
        <v>3156.9741</v>
      </c>
    </row>
    <row r="2023">
      <c r="A2023" s="3">
        <f>IFERROR(__xludf.DUMMYFUNCTION("""COMPUTED_VALUE"""),42389.99861111111)</f>
        <v>42389.99861</v>
      </c>
      <c r="B2023" s="1">
        <f>IFERROR(__xludf.DUMMYFUNCTION("""COMPUTED_VALUE"""),3152.1)</f>
        <v>3152.1</v>
      </c>
    </row>
    <row r="2024">
      <c r="A2024" s="3">
        <f>IFERROR(__xludf.DUMMYFUNCTION("""COMPUTED_VALUE"""),42390.99861111111)</f>
        <v>42390.99861</v>
      </c>
      <c r="B2024" s="1">
        <f>IFERROR(__xludf.DUMMYFUNCTION("""COMPUTED_VALUE"""),3154.75328)</f>
        <v>3154.75328</v>
      </c>
    </row>
    <row r="2025">
      <c r="A2025" s="3">
        <f>IFERROR(__xludf.DUMMYFUNCTION("""COMPUTED_VALUE"""),42391.99861111111)</f>
        <v>42391.99861</v>
      </c>
      <c r="B2025" s="1">
        <f>IFERROR(__xludf.DUMMYFUNCTION("""COMPUTED_VALUE"""),3207.72498)</f>
        <v>3207.72498</v>
      </c>
    </row>
    <row r="2026">
      <c r="A2026" s="3">
        <f>IFERROR(__xludf.DUMMYFUNCTION("""COMPUTED_VALUE"""),42392.99861111111)</f>
        <v>42392.99861</v>
      </c>
      <c r="B2026" s="1">
        <f>IFERROR(__xludf.DUMMYFUNCTION("""COMPUTED_VALUE"""),3231.854669)</f>
        <v>3231.854669</v>
      </c>
    </row>
    <row r="2027">
      <c r="A2027" s="3">
        <f>IFERROR(__xludf.DUMMYFUNCTION("""COMPUTED_VALUE"""),42393.99861111111)</f>
        <v>42393.99861</v>
      </c>
      <c r="B2027" s="1">
        <f>IFERROR(__xludf.DUMMYFUNCTION("""COMPUTED_VALUE"""),3231.854669)</f>
        <v>3231.854669</v>
      </c>
    </row>
    <row r="2028">
      <c r="A2028" s="3">
        <f>IFERROR(__xludf.DUMMYFUNCTION("""COMPUTED_VALUE"""),42394.99861111111)</f>
        <v>42394.99861</v>
      </c>
      <c r="B2028" s="1">
        <f>IFERROR(__xludf.DUMMYFUNCTION("""COMPUTED_VALUE"""),3222.39)</f>
        <v>3222.39</v>
      </c>
    </row>
    <row r="2029">
      <c r="A2029" s="3">
        <f>IFERROR(__xludf.DUMMYFUNCTION("""COMPUTED_VALUE"""),42395.99861111111)</f>
        <v>42395.99861</v>
      </c>
      <c r="B2029" s="1">
        <f>IFERROR(__xludf.DUMMYFUNCTION("""COMPUTED_VALUE"""),3252.6392)</f>
        <v>3252.6392</v>
      </c>
    </row>
    <row r="2030">
      <c r="A2030" s="3">
        <f>IFERROR(__xludf.DUMMYFUNCTION("""COMPUTED_VALUE"""),42396.99861111111)</f>
        <v>42396.99861</v>
      </c>
      <c r="B2030" s="1">
        <f>IFERROR(__xludf.DUMMYFUNCTION("""COMPUTED_VALUE"""),3232.4284)</f>
        <v>3232.4284</v>
      </c>
    </row>
    <row r="2031">
      <c r="A2031" s="3">
        <f>IFERROR(__xludf.DUMMYFUNCTION("""COMPUTED_VALUE"""),42397.99861111111)</f>
        <v>42397.99861</v>
      </c>
      <c r="B2031" s="1">
        <f>IFERROR(__xludf.DUMMYFUNCTION("""COMPUTED_VALUE"""),3304.9765)</f>
        <v>3304.9765</v>
      </c>
    </row>
    <row r="2032">
      <c r="A2032" s="3">
        <f>IFERROR(__xludf.DUMMYFUNCTION("""COMPUTED_VALUE"""),42398.99861111111)</f>
        <v>42398.99861</v>
      </c>
      <c r="B2032" s="1">
        <f>IFERROR(__xludf.DUMMYFUNCTION("""COMPUTED_VALUE"""),3291.98275)</f>
        <v>3291.98275</v>
      </c>
    </row>
    <row r="2033">
      <c r="A2033" s="3">
        <f>IFERROR(__xludf.DUMMYFUNCTION("""COMPUTED_VALUE"""),42399.99861111111)</f>
        <v>42399.99861</v>
      </c>
      <c r="B2033" s="1">
        <f>IFERROR(__xludf.DUMMYFUNCTION("""COMPUTED_VALUE"""),3390.561685)</f>
        <v>3390.561685</v>
      </c>
    </row>
    <row r="2034">
      <c r="A2034" s="3">
        <f>IFERROR(__xludf.DUMMYFUNCTION("""COMPUTED_VALUE"""),42400.99861111111)</f>
        <v>42400.99861</v>
      </c>
      <c r="B2034" s="1">
        <f>IFERROR(__xludf.DUMMYFUNCTION("""COMPUTED_VALUE"""),3395.34499)</f>
        <v>3395.34499</v>
      </c>
    </row>
    <row r="2035">
      <c r="A2035" s="3">
        <f>IFERROR(__xludf.DUMMYFUNCTION("""COMPUTED_VALUE"""),42401.99861111111)</f>
        <v>42401.99861</v>
      </c>
      <c r="B2035" s="1">
        <f>IFERROR(__xludf.DUMMYFUNCTION("""COMPUTED_VALUE"""),3267.7925)</f>
        <v>3267.7925</v>
      </c>
    </row>
    <row r="2036">
      <c r="A2036" s="3">
        <f>IFERROR(__xludf.DUMMYFUNCTION("""COMPUTED_VALUE"""),42402.99861111111)</f>
        <v>42402.99861</v>
      </c>
      <c r="B2036" s="1">
        <f>IFERROR(__xludf.DUMMYFUNCTION("""COMPUTED_VALUE"""),3236.2983)</f>
        <v>3236.2983</v>
      </c>
    </row>
    <row r="2037">
      <c r="A2037" s="3">
        <f>IFERROR(__xludf.DUMMYFUNCTION("""COMPUTED_VALUE"""),42403.99861111111)</f>
        <v>42403.99861</v>
      </c>
      <c r="B2037" s="1">
        <f>IFERROR(__xludf.DUMMYFUNCTION("""COMPUTED_VALUE"""),3256.2845)</f>
        <v>3256.2845</v>
      </c>
    </row>
    <row r="2038">
      <c r="A2038" s="3">
        <f>IFERROR(__xludf.DUMMYFUNCTION("""COMPUTED_VALUE"""),42404.99861111111)</f>
        <v>42404.99861</v>
      </c>
      <c r="B2038" s="1">
        <f>IFERROR(__xludf.DUMMYFUNCTION("""COMPUTED_VALUE"""),3312.75244)</f>
        <v>3312.75244</v>
      </c>
    </row>
    <row r="2039">
      <c r="A2039" s="3">
        <f>IFERROR(__xludf.DUMMYFUNCTION("""COMPUTED_VALUE"""),42405.99861111111)</f>
        <v>42405.99861</v>
      </c>
      <c r="B2039" s="1">
        <f>IFERROR(__xludf.DUMMYFUNCTION("""COMPUTED_VALUE"""),3259.72075)</f>
        <v>3259.72075</v>
      </c>
    </row>
    <row r="2040">
      <c r="A2040" s="3">
        <f>IFERROR(__xludf.DUMMYFUNCTION("""COMPUTED_VALUE"""),42406.99861111111)</f>
        <v>42406.99861</v>
      </c>
      <c r="B2040" s="1">
        <f>IFERROR(__xludf.DUMMYFUNCTION("""COMPUTED_VALUE"""),3264.625328)</f>
        <v>3264.625328</v>
      </c>
    </row>
    <row r="2041">
      <c r="A2041" s="3">
        <f>IFERROR(__xludf.DUMMYFUNCTION("""COMPUTED_VALUE"""),42407.99861111111)</f>
        <v>42407.99861</v>
      </c>
      <c r="B2041" s="1">
        <f>IFERROR(__xludf.DUMMYFUNCTION("""COMPUTED_VALUE"""),3269.071601)</f>
        <v>3269.071601</v>
      </c>
    </row>
    <row r="2042">
      <c r="A2042" s="3">
        <f>IFERROR(__xludf.DUMMYFUNCTION("""COMPUTED_VALUE"""),42408.99861111111)</f>
        <v>42408.99861</v>
      </c>
      <c r="B2042" s="1">
        <f>IFERROR(__xludf.DUMMYFUNCTION("""COMPUTED_VALUE"""),3251.87928)</f>
        <v>3251.87928</v>
      </c>
    </row>
    <row r="2043">
      <c r="A2043" s="3">
        <f>IFERROR(__xludf.DUMMYFUNCTION("""COMPUTED_VALUE"""),42409.99861111111)</f>
        <v>42409.99861</v>
      </c>
      <c r="B2043" s="1">
        <f>IFERROR(__xludf.DUMMYFUNCTION("""COMPUTED_VALUE"""),3238.3992)</f>
        <v>3238.3992</v>
      </c>
    </row>
    <row r="2044">
      <c r="A2044" s="3">
        <f>IFERROR(__xludf.DUMMYFUNCTION("""COMPUTED_VALUE"""),42410.99861111111)</f>
        <v>42410.99861</v>
      </c>
      <c r="B2044" s="1">
        <f>IFERROR(__xludf.DUMMYFUNCTION("""COMPUTED_VALUE"""),3244.5387)</f>
        <v>3244.5387</v>
      </c>
    </row>
    <row r="2045">
      <c r="A2045" s="3">
        <f>IFERROR(__xludf.DUMMYFUNCTION("""COMPUTED_VALUE"""),42411.99861111111)</f>
        <v>42411.99861</v>
      </c>
      <c r="B2045" s="1">
        <f>IFERROR(__xludf.DUMMYFUNCTION("""COMPUTED_VALUE"""),3243.8272)</f>
        <v>3243.8272</v>
      </c>
    </row>
    <row r="2046">
      <c r="A2046" s="3">
        <f>IFERROR(__xludf.DUMMYFUNCTION("""COMPUTED_VALUE"""),42412.99861111111)</f>
        <v>42412.99861</v>
      </c>
      <c r="B2046" s="1">
        <f>IFERROR(__xludf.DUMMYFUNCTION("""COMPUTED_VALUE"""),3239.54435)</f>
        <v>3239.54435</v>
      </c>
    </row>
    <row r="2047">
      <c r="A2047" s="3">
        <f>IFERROR(__xludf.DUMMYFUNCTION("""COMPUTED_VALUE"""),42413.99861111111)</f>
        <v>42413.99861</v>
      </c>
      <c r="B2047" s="1">
        <f>IFERROR(__xludf.DUMMYFUNCTION("""COMPUTED_VALUE"""),3260.025776)</f>
        <v>3260.025776</v>
      </c>
    </row>
    <row r="2048">
      <c r="A2048" s="3">
        <f>IFERROR(__xludf.DUMMYFUNCTION("""COMPUTED_VALUE"""),42414.99861111111)</f>
        <v>42414.99861</v>
      </c>
      <c r="B2048" s="1">
        <f>IFERROR(__xludf.DUMMYFUNCTION("""COMPUTED_VALUE"""),3260.025776)</f>
        <v>3260.025776</v>
      </c>
    </row>
    <row r="2049">
      <c r="A2049" s="3">
        <f>IFERROR(__xludf.DUMMYFUNCTION("""COMPUTED_VALUE"""),42415.99861111111)</f>
        <v>42415.99861</v>
      </c>
      <c r="B2049" s="1">
        <f>IFERROR(__xludf.DUMMYFUNCTION("""COMPUTED_VALUE"""),3194.89425)</f>
        <v>3194.89425</v>
      </c>
    </row>
    <row r="2050">
      <c r="A2050" s="3">
        <f>IFERROR(__xludf.DUMMYFUNCTION("""COMPUTED_VALUE"""),42416.99861111111)</f>
        <v>42416.99861</v>
      </c>
      <c r="B2050" s="1">
        <f>IFERROR(__xludf.DUMMYFUNCTION("""COMPUTED_VALUE"""),3173.61533)</f>
        <v>3173.61533</v>
      </c>
    </row>
    <row r="2051">
      <c r="A2051" s="3">
        <f>IFERROR(__xludf.DUMMYFUNCTION("""COMPUTED_VALUE"""),42417.99861111111)</f>
        <v>42417.99861</v>
      </c>
      <c r="B2051" s="1">
        <f>IFERROR(__xludf.DUMMYFUNCTION("""COMPUTED_VALUE"""),3239.73)</f>
        <v>3239.73</v>
      </c>
    </row>
    <row r="2052">
      <c r="A2052" s="3">
        <f>IFERROR(__xludf.DUMMYFUNCTION("""COMPUTED_VALUE"""),42418.99861111111)</f>
        <v>42418.99861</v>
      </c>
      <c r="B2052" s="1">
        <f>IFERROR(__xludf.DUMMYFUNCTION("""COMPUTED_VALUE"""),3195.58715)</f>
        <v>3195.58715</v>
      </c>
    </row>
    <row r="2053">
      <c r="A2053" s="3">
        <f>IFERROR(__xludf.DUMMYFUNCTION("""COMPUTED_VALUE"""),42419.99861111111)</f>
        <v>42419.99861</v>
      </c>
      <c r="B2053" s="1">
        <f>IFERROR(__xludf.DUMMYFUNCTION("""COMPUTED_VALUE"""),3184.8844)</f>
        <v>3184.8844</v>
      </c>
    </row>
    <row r="2054">
      <c r="A2054" s="3">
        <f>IFERROR(__xludf.DUMMYFUNCTION("""COMPUTED_VALUE"""),42420.99861111111)</f>
        <v>42420.99861</v>
      </c>
      <c r="B2054" s="1">
        <f>IFERROR(__xludf.DUMMYFUNCTION("""COMPUTED_VALUE"""),3209.740588)</f>
        <v>3209.740588</v>
      </c>
    </row>
    <row r="2055">
      <c r="A2055" s="3">
        <f>IFERROR(__xludf.DUMMYFUNCTION("""COMPUTED_VALUE"""),42421.99861111111)</f>
        <v>42421.99861</v>
      </c>
      <c r="B2055" s="1">
        <f>IFERROR(__xludf.DUMMYFUNCTION("""COMPUTED_VALUE"""),3209.740588)</f>
        <v>3209.740588</v>
      </c>
    </row>
    <row r="2056">
      <c r="A2056" s="3">
        <f>IFERROR(__xludf.DUMMYFUNCTION("""COMPUTED_VALUE"""),42422.99861111111)</f>
        <v>42422.99861</v>
      </c>
      <c r="B2056" s="1">
        <f>IFERROR(__xludf.DUMMYFUNCTION("""COMPUTED_VALUE"""),3191.7871)</f>
        <v>3191.7871</v>
      </c>
    </row>
    <row r="2057">
      <c r="A2057" s="3">
        <f>IFERROR(__xludf.DUMMYFUNCTION("""COMPUTED_VALUE"""),42423.99861111111)</f>
        <v>42423.99861</v>
      </c>
      <c r="B2057" s="1">
        <f>IFERROR(__xludf.DUMMYFUNCTION("""COMPUTED_VALUE"""),3167.5761)</f>
        <v>3167.5761</v>
      </c>
    </row>
    <row r="2058">
      <c r="A2058" s="3">
        <f>IFERROR(__xludf.DUMMYFUNCTION("""COMPUTED_VALUE"""),42424.99861111111)</f>
        <v>42424.99861</v>
      </c>
      <c r="B2058" s="1">
        <f>IFERROR(__xludf.DUMMYFUNCTION("""COMPUTED_VALUE"""),3171.4419)</f>
        <v>3171.4419</v>
      </c>
    </row>
    <row r="2059">
      <c r="A2059" s="3">
        <f>IFERROR(__xludf.DUMMYFUNCTION("""COMPUTED_VALUE"""),42425.99861111111)</f>
        <v>42425.99861</v>
      </c>
      <c r="B2059" s="1">
        <f>IFERROR(__xludf.DUMMYFUNCTION("""COMPUTED_VALUE"""),3192.0424)</f>
        <v>3192.0424</v>
      </c>
    </row>
    <row r="2060">
      <c r="A2060" s="3">
        <f>IFERROR(__xludf.DUMMYFUNCTION("""COMPUTED_VALUE"""),42426.99861111111)</f>
        <v>42426.99861</v>
      </c>
      <c r="B2060" s="1">
        <f>IFERROR(__xludf.DUMMYFUNCTION("""COMPUTED_VALUE"""),3171.11925)</f>
        <v>3171.11925</v>
      </c>
    </row>
    <row r="2061">
      <c r="A2061" s="3">
        <f>IFERROR(__xludf.DUMMYFUNCTION("""COMPUTED_VALUE"""),42427.99861111111)</f>
        <v>42427.99861</v>
      </c>
      <c r="B2061" s="1">
        <f>IFERROR(__xludf.DUMMYFUNCTION("""COMPUTED_VALUE"""),3174.86554)</f>
        <v>3174.86554</v>
      </c>
    </row>
    <row r="2062">
      <c r="A2062" s="3">
        <f>IFERROR(__xludf.DUMMYFUNCTION("""COMPUTED_VALUE"""),42428.99861111111)</f>
        <v>42428.99861</v>
      </c>
      <c r="B2062" s="1">
        <f>IFERROR(__xludf.DUMMYFUNCTION("""COMPUTED_VALUE"""),3174.86554)</f>
        <v>3174.86554</v>
      </c>
    </row>
    <row r="2063">
      <c r="A2063" s="3">
        <f>IFERROR(__xludf.DUMMYFUNCTION("""COMPUTED_VALUE"""),42429.99861111111)</f>
        <v>42429.99861</v>
      </c>
      <c r="B2063" s="1">
        <f>IFERROR(__xludf.DUMMYFUNCTION("""COMPUTED_VALUE"""),3185.01315)</f>
        <v>3185.01315</v>
      </c>
    </row>
    <row r="2064">
      <c r="A2064" s="3">
        <f>IFERROR(__xludf.DUMMYFUNCTION("""COMPUTED_VALUE"""),42430.99861111111)</f>
        <v>42430.99861</v>
      </c>
      <c r="B2064" s="1">
        <f>IFERROR(__xludf.DUMMYFUNCTION("""COMPUTED_VALUE"""),3188.44466)</f>
        <v>3188.44466</v>
      </c>
    </row>
    <row r="2065">
      <c r="A2065" s="3">
        <f>IFERROR(__xludf.DUMMYFUNCTION("""COMPUTED_VALUE"""),42431.99861111111)</f>
        <v>42431.99861</v>
      </c>
      <c r="B2065" s="1">
        <f>IFERROR(__xludf.DUMMYFUNCTION("""COMPUTED_VALUE"""),3176.44775)</f>
        <v>3176.44775</v>
      </c>
    </row>
    <row r="2066">
      <c r="A2066" s="3">
        <f>IFERROR(__xludf.DUMMYFUNCTION("""COMPUTED_VALUE"""),42432.99861111111)</f>
        <v>42432.99861</v>
      </c>
      <c r="B2066" s="1">
        <f>IFERROR(__xludf.DUMMYFUNCTION("""COMPUTED_VALUE"""),3173.1786)</f>
        <v>3173.1786</v>
      </c>
    </row>
    <row r="2067">
      <c r="A2067" s="3">
        <f>IFERROR(__xludf.DUMMYFUNCTION("""COMPUTED_VALUE"""),42433.99861111111)</f>
        <v>42433.99861</v>
      </c>
      <c r="B2067" s="1">
        <f>IFERROR(__xludf.DUMMYFUNCTION("""COMPUTED_VALUE"""),3201.37044)</f>
        <v>3201.37044</v>
      </c>
    </row>
    <row r="2068">
      <c r="A2068" s="3">
        <f>IFERROR(__xludf.DUMMYFUNCTION("""COMPUTED_VALUE"""),42434.99861111111)</f>
        <v>42434.99861</v>
      </c>
      <c r="B2068" s="1">
        <f>IFERROR(__xludf.DUMMYFUNCTION("""COMPUTED_VALUE"""),3272.035016)</f>
        <v>3272.035016</v>
      </c>
    </row>
    <row r="2069">
      <c r="A2069" s="3">
        <f>IFERROR(__xludf.DUMMYFUNCTION("""COMPUTED_VALUE"""),42435.99861111111)</f>
        <v>42435.99861</v>
      </c>
      <c r="B2069" s="1">
        <f>IFERROR(__xludf.DUMMYFUNCTION("""COMPUTED_VALUE"""),3276.39918)</f>
        <v>3276.39918</v>
      </c>
    </row>
    <row r="2070">
      <c r="A2070" s="3">
        <f>IFERROR(__xludf.DUMMYFUNCTION("""COMPUTED_VALUE"""),42436.99861111111)</f>
        <v>42436.99861</v>
      </c>
      <c r="B2070" s="1">
        <f>IFERROR(__xludf.DUMMYFUNCTION("""COMPUTED_VALUE"""),3168.75)</f>
        <v>3168.75</v>
      </c>
    </row>
    <row r="2071">
      <c r="A2071" s="3">
        <f>IFERROR(__xludf.DUMMYFUNCTION("""COMPUTED_VALUE"""),42437.99861111111)</f>
        <v>42437.99861</v>
      </c>
      <c r="B2071" s="1">
        <f>IFERROR(__xludf.DUMMYFUNCTION("""COMPUTED_VALUE"""),3180.31168)</f>
        <v>3180.31168</v>
      </c>
    </row>
    <row r="2072">
      <c r="A2072" s="3">
        <f>IFERROR(__xludf.DUMMYFUNCTION("""COMPUTED_VALUE"""),42438.99861111111)</f>
        <v>42438.99861</v>
      </c>
      <c r="B2072" s="1">
        <f>IFERROR(__xludf.DUMMYFUNCTION("""COMPUTED_VALUE"""),3191.291)</f>
        <v>3191.291</v>
      </c>
    </row>
    <row r="2073">
      <c r="A2073" s="3">
        <f>IFERROR(__xludf.DUMMYFUNCTION("""COMPUTED_VALUE"""),42439.99861111111)</f>
        <v>42439.99861</v>
      </c>
      <c r="B2073" s="1">
        <f>IFERROR(__xludf.DUMMYFUNCTION("""COMPUTED_VALUE"""),3176.147)</f>
        <v>3176.147</v>
      </c>
    </row>
    <row r="2074">
      <c r="A2074" s="3">
        <f>IFERROR(__xludf.DUMMYFUNCTION("""COMPUTED_VALUE"""),42440.99861111111)</f>
        <v>42440.99861</v>
      </c>
      <c r="B2074" s="1">
        <f>IFERROR(__xludf.DUMMYFUNCTION("""COMPUTED_VALUE"""),3172.45873)</f>
        <v>3172.45873</v>
      </c>
    </row>
    <row r="2075">
      <c r="A2075" s="3">
        <f>IFERROR(__xludf.DUMMYFUNCTION("""COMPUTED_VALUE"""),42441.99861111111)</f>
        <v>42441.99861</v>
      </c>
      <c r="B2075" s="1">
        <f>IFERROR(__xludf.DUMMYFUNCTION("""COMPUTED_VALUE"""),3195.695158)</f>
        <v>3195.695158</v>
      </c>
    </row>
    <row r="2076">
      <c r="A2076" s="3">
        <f>IFERROR(__xludf.DUMMYFUNCTION("""COMPUTED_VALUE"""),42442.99861111111)</f>
        <v>42442.99861</v>
      </c>
      <c r="B2076" s="1">
        <f>IFERROR(__xludf.DUMMYFUNCTION("""COMPUTED_VALUE"""),3195.695158)</f>
        <v>3195.695158</v>
      </c>
    </row>
    <row r="2077">
      <c r="A2077" s="3">
        <f>IFERROR(__xludf.DUMMYFUNCTION("""COMPUTED_VALUE"""),42443.99861111111)</f>
        <v>42443.99861</v>
      </c>
      <c r="B2077" s="1">
        <f>IFERROR(__xludf.DUMMYFUNCTION("""COMPUTED_VALUE"""),3147.7798)</f>
        <v>3147.7798</v>
      </c>
    </row>
    <row r="2078">
      <c r="A2078" s="3">
        <f>IFERROR(__xludf.DUMMYFUNCTION("""COMPUTED_VALUE"""),42444.99861111111)</f>
        <v>42444.99861</v>
      </c>
      <c r="B2078" s="1">
        <f>IFERROR(__xludf.DUMMYFUNCTION("""COMPUTED_VALUE"""),3155.16289)</f>
        <v>3155.16289</v>
      </c>
    </row>
    <row r="2079">
      <c r="A2079" s="3">
        <f>IFERROR(__xludf.DUMMYFUNCTION("""COMPUTED_VALUE"""),42445.99861111111)</f>
        <v>42445.99861</v>
      </c>
      <c r="B2079" s="1">
        <f>IFERROR(__xludf.DUMMYFUNCTION("""COMPUTED_VALUE"""),3082.678)</f>
        <v>3082.678</v>
      </c>
    </row>
    <row r="2080">
      <c r="A2080" s="3">
        <f>IFERROR(__xludf.DUMMYFUNCTION("""COMPUTED_VALUE"""),42446.99861111111)</f>
        <v>42446.99861</v>
      </c>
      <c r="B2080" s="1">
        <f>IFERROR(__xludf.DUMMYFUNCTION("""COMPUTED_VALUE"""),3202.9647)</f>
        <v>3202.9647</v>
      </c>
    </row>
    <row r="2081">
      <c r="A2081" s="3">
        <f>IFERROR(__xludf.DUMMYFUNCTION("""COMPUTED_VALUE"""),42447.99861111111)</f>
        <v>42447.99861</v>
      </c>
      <c r="B2081" s="1">
        <f>IFERROR(__xludf.DUMMYFUNCTION("""COMPUTED_VALUE"""),3212.5632)</f>
        <v>3212.5632</v>
      </c>
    </row>
    <row r="2082">
      <c r="A2082" s="3">
        <f>IFERROR(__xludf.DUMMYFUNCTION("""COMPUTED_VALUE"""),42448.99861111111)</f>
        <v>42448.99861</v>
      </c>
      <c r="B2082" s="1">
        <f>IFERROR(__xludf.DUMMYFUNCTION("""COMPUTED_VALUE"""),3237.84384)</f>
        <v>3237.84384</v>
      </c>
    </row>
    <row r="2083">
      <c r="A2083" s="3">
        <f>IFERROR(__xludf.DUMMYFUNCTION("""COMPUTED_VALUE"""),42449.99861111111)</f>
        <v>42449.99861</v>
      </c>
      <c r="B2083" s="1">
        <f>IFERROR(__xludf.DUMMYFUNCTION("""COMPUTED_VALUE"""),3237.84384)</f>
        <v>3237.84384</v>
      </c>
    </row>
    <row r="2084">
      <c r="A2084" s="3">
        <f>IFERROR(__xludf.DUMMYFUNCTION("""COMPUTED_VALUE"""),42450.99861111111)</f>
        <v>42450.99861</v>
      </c>
      <c r="B2084" s="1">
        <f>IFERROR(__xludf.DUMMYFUNCTION("""COMPUTED_VALUE"""),3257.5193)</f>
        <v>3257.5193</v>
      </c>
    </row>
    <row r="2085">
      <c r="A2085" s="3">
        <f>IFERROR(__xludf.DUMMYFUNCTION("""COMPUTED_VALUE"""),42451.99861111111)</f>
        <v>42451.99861</v>
      </c>
      <c r="B2085" s="1">
        <f>IFERROR(__xludf.DUMMYFUNCTION("""COMPUTED_VALUE"""),3273.80889)</f>
        <v>3273.80889</v>
      </c>
    </row>
    <row r="2086">
      <c r="A2086" s="3">
        <f>IFERROR(__xludf.DUMMYFUNCTION("""COMPUTED_VALUE"""),42452.99861111111)</f>
        <v>42452.99861</v>
      </c>
      <c r="B2086" s="1">
        <f>IFERROR(__xludf.DUMMYFUNCTION("""COMPUTED_VALUE"""),3278.77365)</f>
        <v>3278.77365</v>
      </c>
    </row>
    <row r="2087">
      <c r="A2087" s="3">
        <f>IFERROR(__xludf.DUMMYFUNCTION("""COMPUTED_VALUE"""),42453.99861111111)</f>
        <v>42453.99861</v>
      </c>
      <c r="B2087" s="1">
        <f>IFERROR(__xludf.DUMMYFUNCTION("""COMPUTED_VALUE"""),3288.13584)</f>
        <v>3288.13584</v>
      </c>
    </row>
    <row r="2088">
      <c r="A2088" s="3">
        <f>IFERROR(__xludf.DUMMYFUNCTION("""COMPUTED_VALUE"""),42454.99861111111)</f>
        <v>42454.99861</v>
      </c>
      <c r="B2088" s="1">
        <f>IFERROR(__xludf.DUMMYFUNCTION("""COMPUTED_VALUE"""),3256.2825)</f>
        <v>3256.2825</v>
      </c>
    </row>
    <row r="2089">
      <c r="A2089" s="3">
        <f>IFERROR(__xludf.DUMMYFUNCTION("""COMPUTED_VALUE"""),42455.99861111111)</f>
        <v>42455.99861</v>
      </c>
      <c r="B2089" s="1">
        <f>IFERROR(__xludf.DUMMYFUNCTION("""COMPUTED_VALUE"""),3283.531922)</f>
        <v>3283.531922</v>
      </c>
    </row>
    <row r="2090">
      <c r="A2090" s="3">
        <f>IFERROR(__xludf.DUMMYFUNCTION("""COMPUTED_VALUE"""),42456.99861111111)</f>
        <v>42456.99861</v>
      </c>
      <c r="B2090" s="1">
        <f>IFERROR(__xludf.DUMMYFUNCTION("""COMPUTED_VALUE"""),3283.531922)</f>
        <v>3283.531922</v>
      </c>
    </row>
    <row r="2091">
      <c r="A2091" s="3">
        <f>IFERROR(__xludf.DUMMYFUNCTION("""COMPUTED_VALUE"""),42457.99861111111)</f>
        <v>42457.99861</v>
      </c>
      <c r="B2091" s="1">
        <f>IFERROR(__xludf.DUMMYFUNCTION("""COMPUTED_VALUE"""),3303.83196)</f>
        <v>3303.83196</v>
      </c>
    </row>
    <row r="2092">
      <c r="A2092" s="3">
        <f>IFERROR(__xludf.DUMMYFUNCTION("""COMPUTED_VALUE"""),42458.99861111111)</f>
        <v>42458.99861</v>
      </c>
      <c r="B2092" s="1">
        <f>IFERROR(__xludf.DUMMYFUNCTION("""COMPUTED_VALUE"""),3323.7324)</f>
        <v>3323.7324</v>
      </c>
    </row>
    <row r="2093">
      <c r="A2093" s="3">
        <f>IFERROR(__xludf.DUMMYFUNCTION("""COMPUTED_VALUE"""),42459.99861111111)</f>
        <v>42459.99861</v>
      </c>
      <c r="B2093" s="1">
        <f>IFERROR(__xludf.DUMMYFUNCTION("""COMPUTED_VALUE"""),3372.7576)</f>
        <v>3372.7576</v>
      </c>
    </row>
    <row r="2094">
      <c r="A2094" s="3">
        <f>IFERROR(__xludf.DUMMYFUNCTION("""COMPUTED_VALUE"""),42460.99861111111)</f>
        <v>42460.99861</v>
      </c>
      <c r="B2094" s="1">
        <f>IFERROR(__xludf.DUMMYFUNCTION("""COMPUTED_VALUE"""),3384.63234)</f>
        <v>3384.63234</v>
      </c>
    </row>
    <row r="2095">
      <c r="A2095" s="3">
        <f>IFERROR(__xludf.DUMMYFUNCTION("""COMPUTED_VALUE"""),42461.99861111111)</f>
        <v>42461.99861</v>
      </c>
      <c r="B2095" s="1">
        <f>IFERROR(__xludf.DUMMYFUNCTION("""COMPUTED_VALUE"""),3365.50026)</f>
        <v>3365.50026</v>
      </c>
    </row>
    <row r="2096">
      <c r="A2096" s="3">
        <f>IFERROR(__xludf.DUMMYFUNCTION("""COMPUTED_VALUE"""),42462.99861111111)</f>
        <v>42462.99861</v>
      </c>
      <c r="B2096" s="1">
        <f>IFERROR(__xludf.DUMMYFUNCTION("""COMPUTED_VALUE"""),3368.987028)</f>
        <v>3368.987028</v>
      </c>
    </row>
    <row r="2097">
      <c r="A2097" s="3">
        <f>IFERROR(__xludf.DUMMYFUNCTION("""COMPUTED_VALUE"""),42463.99861111111)</f>
        <v>42463.99861</v>
      </c>
      <c r="B2097" s="1">
        <f>IFERROR(__xludf.DUMMYFUNCTION("""COMPUTED_VALUE"""),3368.987028)</f>
        <v>3368.987028</v>
      </c>
    </row>
    <row r="2098">
      <c r="A2098" s="3">
        <f>IFERROR(__xludf.DUMMYFUNCTION("""COMPUTED_VALUE"""),42464.99861111111)</f>
        <v>42464.99861</v>
      </c>
      <c r="B2098" s="1">
        <f>IFERROR(__xludf.DUMMYFUNCTION("""COMPUTED_VALUE"""),3360.8178)</f>
        <v>3360.8178</v>
      </c>
    </row>
    <row r="2099">
      <c r="A2099" s="3">
        <f>IFERROR(__xludf.DUMMYFUNCTION("""COMPUTED_VALUE"""),42465.99861111111)</f>
        <v>42465.99861</v>
      </c>
      <c r="B2099" s="1">
        <f>IFERROR(__xludf.DUMMYFUNCTION("""COMPUTED_VALUE"""),3355.0758)</f>
        <v>3355.0758</v>
      </c>
    </row>
    <row r="2100">
      <c r="A2100" s="3">
        <f>IFERROR(__xludf.DUMMYFUNCTION("""COMPUTED_VALUE"""),42466.99861111111)</f>
        <v>42466.99861</v>
      </c>
      <c r="B2100" s="1">
        <f>IFERROR(__xludf.DUMMYFUNCTION("""COMPUTED_VALUE"""),3366.23632)</f>
        <v>3366.23632</v>
      </c>
    </row>
    <row r="2101">
      <c r="A2101" s="3">
        <f>IFERROR(__xludf.DUMMYFUNCTION("""COMPUTED_VALUE"""),42467.99861111111)</f>
        <v>42467.99861</v>
      </c>
      <c r="B2101" s="1">
        <f>IFERROR(__xludf.DUMMYFUNCTION("""COMPUTED_VALUE"""),3333.43804)</f>
        <v>3333.43804</v>
      </c>
    </row>
    <row r="2102">
      <c r="A2102" s="3">
        <f>IFERROR(__xludf.DUMMYFUNCTION("""COMPUTED_VALUE"""),42468.99861111111)</f>
        <v>42468.99861</v>
      </c>
      <c r="B2102" s="1">
        <f>IFERROR(__xludf.DUMMYFUNCTION("""COMPUTED_VALUE"""),3343.0135)</f>
        <v>3343.0135</v>
      </c>
    </row>
    <row r="2103">
      <c r="A2103" s="3">
        <f>IFERROR(__xludf.DUMMYFUNCTION("""COMPUTED_VALUE"""),42469.99861111111)</f>
        <v>42469.99861</v>
      </c>
      <c r="B2103" s="1">
        <f>IFERROR(__xludf.DUMMYFUNCTION("""COMPUTED_VALUE"""),3349.53894)</f>
        <v>3349.53894</v>
      </c>
    </row>
    <row r="2104">
      <c r="A2104" s="3">
        <f>IFERROR(__xludf.DUMMYFUNCTION("""COMPUTED_VALUE"""),42470.99861111111)</f>
        <v>42470.99861</v>
      </c>
      <c r="B2104" s="1">
        <f>IFERROR(__xludf.DUMMYFUNCTION("""COMPUTED_VALUE"""),3349.53894)</f>
        <v>3349.53894</v>
      </c>
    </row>
    <row r="2105">
      <c r="A2105" s="3">
        <f>IFERROR(__xludf.DUMMYFUNCTION("""COMPUTED_VALUE"""),42471.99861111111)</f>
        <v>42471.99861</v>
      </c>
      <c r="B2105" s="1">
        <f>IFERROR(__xludf.DUMMYFUNCTION("""COMPUTED_VALUE"""),3351.66525)</f>
        <v>3351.66525</v>
      </c>
    </row>
    <row r="2106">
      <c r="A2106" s="3">
        <f>IFERROR(__xludf.DUMMYFUNCTION("""COMPUTED_VALUE"""),42472.99861111111)</f>
        <v>42472.99861</v>
      </c>
      <c r="B2106" s="1">
        <f>IFERROR(__xludf.DUMMYFUNCTION("""COMPUTED_VALUE"""),3390.74401)</f>
        <v>3390.74401</v>
      </c>
    </row>
    <row r="2107">
      <c r="A2107" s="3">
        <f>IFERROR(__xludf.DUMMYFUNCTION("""COMPUTED_VALUE"""),42473.99861111111)</f>
        <v>42473.99861</v>
      </c>
      <c r="B2107" s="1">
        <f>IFERROR(__xludf.DUMMYFUNCTION("""COMPUTED_VALUE"""),3398.11395)</f>
        <v>3398.11395</v>
      </c>
    </row>
    <row r="2108">
      <c r="A2108" s="3">
        <f>IFERROR(__xludf.DUMMYFUNCTION("""COMPUTED_VALUE"""),42474.99861111111)</f>
        <v>42474.99861</v>
      </c>
      <c r="B2108" s="1">
        <f>IFERROR(__xludf.DUMMYFUNCTION("""COMPUTED_VALUE"""),3363.07504)</f>
        <v>3363.07504</v>
      </c>
    </row>
    <row r="2109">
      <c r="A2109" s="3">
        <f>IFERROR(__xludf.DUMMYFUNCTION("""COMPUTED_VALUE"""),42475.99861111111)</f>
        <v>42475.99861</v>
      </c>
      <c r="B2109" s="1">
        <f>IFERROR(__xludf.DUMMYFUNCTION("""COMPUTED_VALUE"""),3364.0373)</f>
        <v>3364.0373</v>
      </c>
    </row>
    <row r="2110">
      <c r="A2110" s="3">
        <f>IFERROR(__xludf.DUMMYFUNCTION("""COMPUTED_VALUE"""),42476.99861111111)</f>
        <v>42476.99861</v>
      </c>
      <c r="B2110" s="1">
        <f>IFERROR(__xludf.DUMMYFUNCTION("""COMPUTED_VALUE"""),3389.020337)</f>
        <v>3389.020337</v>
      </c>
    </row>
    <row r="2111">
      <c r="A2111" s="3">
        <f>IFERROR(__xludf.DUMMYFUNCTION("""COMPUTED_VALUE"""),42477.99861111111)</f>
        <v>42477.99861</v>
      </c>
      <c r="B2111" s="1">
        <f>IFERROR(__xludf.DUMMYFUNCTION("""COMPUTED_VALUE"""),3389.020337)</f>
        <v>3389.020337</v>
      </c>
    </row>
    <row r="2112">
      <c r="A2112" s="3">
        <f>IFERROR(__xludf.DUMMYFUNCTION("""COMPUTED_VALUE"""),42478.99861111111)</f>
        <v>42478.99861</v>
      </c>
      <c r="B2112" s="1">
        <f>IFERROR(__xludf.DUMMYFUNCTION("""COMPUTED_VALUE"""),3363.01056)</f>
        <v>3363.01056</v>
      </c>
    </row>
    <row r="2113">
      <c r="A2113" s="3">
        <f>IFERROR(__xludf.DUMMYFUNCTION("""COMPUTED_VALUE"""),42479.99861111111)</f>
        <v>42479.99861</v>
      </c>
      <c r="B2113" s="1">
        <f>IFERROR(__xludf.DUMMYFUNCTION("""COMPUTED_VALUE"""),3403.0143)</f>
        <v>3403.0143</v>
      </c>
    </row>
    <row r="2114">
      <c r="A2114" s="3">
        <f>IFERROR(__xludf.DUMMYFUNCTION("""COMPUTED_VALUE"""),42480.99861111111)</f>
        <v>42480.99861</v>
      </c>
      <c r="B2114" s="1">
        <f>IFERROR(__xludf.DUMMYFUNCTION("""COMPUTED_VALUE"""),3393.79982)</f>
        <v>3393.79982</v>
      </c>
    </row>
    <row r="2115">
      <c r="A2115" s="3">
        <f>IFERROR(__xludf.DUMMYFUNCTION("""COMPUTED_VALUE"""),42481.99861111111)</f>
        <v>42481.99861</v>
      </c>
      <c r="B2115" s="1">
        <f>IFERROR(__xludf.DUMMYFUNCTION("""COMPUTED_VALUE"""),3340.81436)</f>
        <v>3340.81436</v>
      </c>
    </row>
    <row r="2116">
      <c r="A2116" s="3">
        <f>IFERROR(__xludf.DUMMYFUNCTION("""COMPUTED_VALUE"""),42482.99861111111)</f>
        <v>42482.99861</v>
      </c>
      <c r="B2116" s="1">
        <f>IFERROR(__xludf.DUMMYFUNCTION("""COMPUTED_VALUE"""),3375.67685)</f>
        <v>3375.67685</v>
      </c>
    </row>
    <row r="2117">
      <c r="A2117" s="3">
        <f>IFERROR(__xludf.DUMMYFUNCTION("""COMPUTED_VALUE"""),42483.99861111111)</f>
        <v>42483.99861</v>
      </c>
      <c r="B2117" s="1">
        <f>IFERROR(__xludf.DUMMYFUNCTION("""COMPUTED_VALUE"""),3383.993883)</f>
        <v>3383.993883</v>
      </c>
    </row>
    <row r="2118">
      <c r="A2118" s="3">
        <f>IFERROR(__xludf.DUMMYFUNCTION("""COMPUTED_VALUE"""),42484.99861111111)</f>
        <v>42484.99861</v>
      </c>
      <c r="B2118" s="1">
        <f>IFERROR(__xludf.DUMMYFUNCTION("""COMPUTED_VALUE"""),3379.521974)</f>
        <v>3379.521974</v>
      </c>
    </row>
    <row r="2119">
      <c r="A2119" s="3">
        <f>IFERROR(__xludf.DUMMYFUNCTION("""COMPUTED_VALUE"""),42485.99861111111)</f>
        <v>42485.99861</v>
      </c>
      <c r="B2119" s="1">
        <f>IFERROR(__xludf.DUMMYFUNCTION("""COMPUTED_VALUE"""),3370.5726)</f>
        <v>3370.5726</v>
      </c>
    </row>
    <row r="2120">
      <c r="A2120" s="3">
        <f>IFERROR(__xludf.DUMMYFUNCTION("""COMPUTED_VALUE"""),42486.99861111111)</f>
        <v>42486.99861</v>
      </c>
      <c r="B2120" s="1">
        <f>IFERROR(__xludf.DUMMYFUNCTION("""COMPUTED_VALUE"""),3349.22)</f>
        <v>3349.22</v>
      </c>
    </row>
    <row r="2121">
      <c r="A2121" s="3">
        <f>IFERROR(__xludf.DUMMYFUNCTION("""COMPUTED_VALUE"""),42487.99861111111)</f>
        <v>42487.99861</v>
      </c>
      <c r="B2121" s="1">
        <f>IFERROR(__xludf.DUMMYFUNCTION("""COMPUTED_VALUE"""),3369.65325)</f>
        <v>3369.65325</v>
      </c>
    </row>
    <row r="2122">
      <c r="A2122" s="3">
        <f>IFERROR(__xludf.DUMMYFUNCTION("""COMPUTED_VALUE"""),42488.99861111111)</f>
        <v>42488.99861</v>
      </c>
      <c r="B2122" s="1">
        <f>IFERROR(__xludf.DUMMYFUNCTION("""COMPUTED_VALUE"""),3385.6119)</f>
        <v>3385.6119</v>
      </c>
    </row>
    <row r="2123">
      <c r="A2123" s="3">
        <f>IFERROR(__xludf.DUMMYFUNCTION("""COMPUTED_VALUE"""),42489.99861111111)</f>
        <v>42489.99861</v>
      </c>
      <c r="B2123" s="1">
        <f>IFERROR(__xludf.DUMMYFUNCTION("""COMPUTED_VALUE"""),3360.152)</f>
        <v>3360.152</v>
      </c>
    </row>
    <row r="2124">
      <c r="A2124" s="3">
        <f>IFERROR(__xludf.DUMMYFUNCTION("""COMPUTED_VALUE"""),42490.99861111111)</f>
        <v>42490.99861</v>
      </c>
      <c r="B2124" s="1">
        <f>IFERROR(__xludf.DUMMYFUNCTION("""COMPUTED_VALUE"""),3369.086051)</f>
        <v>3369.086051</v>
      </c>
    </row>
    <row r="2125">
      <c r="A2125" s="3">
        <f>IFERROR(__xludf.DUMMYFUNCTION("""COMPUTED_VALUE"""),42491.99861111111)</f>
        <v>42491.99861</v>
      </c>
      <c r="B2125" s="1">
        <f>IFERROR(__xludf.DUMMYFUNCTION("""COMPUTED_VALUE"""),3369.086051)</f>
        <v>3369.086051</v>
      </c>
    </row>
    <row r="2126">
      <c r="A2126" s="3">
        <f>IFERROR(__xludf.DUMMYFUNCTION("""COMPUTED_VALUE"""),42492.99861111111)</f>
        <v>42492.99861</v>
      </c>
      <c r="B2126" s="1">
        <f>IFERROR(__xludf.DUMMYFUNCTION("""COMPUTED_VALUE"""),3340.66545)</f>
        <v>3340.66545</v>
      </c>
    </row>
    <row r="2127">
      <c r="A2127" s="3">
        <f>IFERROR(__xludf.DUMMYFUNCTION("""COMPUTED_VALUE"""),42493.99861111111)</f>
        <v>42493.99861</v>
      </c>
      <c r="B2127" s="1">
        <f>IFERROR(__xludf.DUMMYFUNCTION("""COMPUTED_VALUE"""),3300.7329)</f>
        <v>3300.7329</v>
      </c>
    </row>
    <row r="2128">
      <c r="A2128" s="3">
        <f>IFERROR(__xludf.DUMMYFUNCTION("""COMPUTED_VALUE"""),42494.99861111111)</f>
        <v>42494.99861</v>
      </c>
      <c r="B2128" s="1">
        <f>IFERROR(__xludf.DUMMYFUNCTION("""COMPUTED_VALUE"""),3310.3995)</f>
        <v>3310.3995</v>
      </c>
    </row>
    <row r="2129">
      <c r="A2129" s="3">
        <f>IFERROR(__xludf.DUMMYFUNCTION("""COMPUTED_VALUE"""),42495.99861111111)</f>
        <v>42495.99861</v>
      </c>
      <c r="B2129" s="1">
        <f>IFERROR(__xludf.DUMMYFUNCTION("""COMPUTED_VALUE"""),3323.83915)</f>
        <v>3323.83915</v>
      </c>
    </row>
    <row r="2130">
      <c r="A2130" s="3">
        <f>IFERROR(__xludf.DUMMYFUNCTION("""COMPUTED_VALUE"""),42496.99861111111)</f>
        <v>42496.99861</v>
      </c>
      <c r="B2130" s="1">
        <f>IFERROR(__xludf.DUMMYFUNCTION("""COMPUTED_VALUE"""),3325.9028)</f>
        <v>3325.9028</v>
      </c>
    </row>
    <row r="2131">
      <c r="A2131" s="3">
        <f>IFERROR(__xludf.DUMMYFUNCTION("""COMPUTED_VALUE"""),42497.99861111111)</f>
        <v>42497.99861</v>
      </c>
      <c r="B2131" s="1">
        <f>IFERROR(__xludf.DUMMYFUNCTION("""COMPUTED_VALUE"""),3349.596421)</f>
        <v>3349.596421</v>
      </c>
    </row>
    <row r="2132">
      <c r="A2132" s="3">
        <f>IFERROR(__xludf.DUMMYFUNCTION("""COMPUTED_VALUE"""),42498.99861111111)</f>
        <v>42498.99861</v>
      </c>
      <c r="B2132" s="1">
        <f>IFERROR(__xludf.DUMMYFUNCTION("""COMPUTED_VALUE"""),3349.596421)</f>
        <v>3349.596421</v>
      </c>
    </row>
    <row r="2133">
      <c r="A2133" s="3">
        <f>IFERROR(__xludf.DUMMYFUNCTION("""COMPUTED_VALUE"""),42499.99861111111)</f>
        <v>42499.99861</v>
      </c>
      <c r="B2133" s="1">
        <f>IFERROR(__xludf.DUMMYFUNCTION("""COMPUTED_VALUE"""),3298.50066)</f>
        <v>3298.50066</v>
      </c>
    </row>
    <row r="2134">
      <c r="A2134" s="3">
        <f>IFERROR(__xludf.DUMMYFUNCTION("""COMPUTED_VALUE"""),42500.99861111111)</f>
        <v>42500.99861</v>
      </c>
      <c r="B2134" s="1">
        <f>IFERROR(__xludf.DUMMYFUNCTION("""COMPUTED_VALUE"""),3290.32414)</f>
        <v>3290.32414</v>
      </c>
    </row>
    <row r="2135">
      <c r="A2135" s="3">
        <f>IFERROR(__xludf.DUMMYFUNCTION("""COMPUTED_VALUE"""),42501.99861111111)</f>
        <v>42501.99861</v>
      </c>
      <c r="B2135" s="1">
        <f>IFERROR(__xludf.DUMMYFUNCTION("""COMPUTED_VALUE"""),3295.45619)</f>
        <v>3295.45619</v>
      </c>
    </row>
    <row r="2136">
      <c r="A2136" s="3">
        <f>IFERROR(__xludf.DUMMYFUNCTION("""COMPUTED_VALUE"""),42502.99861111111)</f>
        <v>42502.99861</v>
      </c>
      <c r="B2136" s="1">
        <f>IFERROR(__xludf.DUMMYFUNCTION("""COMPUTED_VALUE"""),3291.87925)</f>
        <v>3291.87925</v>
      </c>
    </row>
    <row r="2137">
      <c r="A2137" s="3">
        <f>IFERROR(__xludf.DUMMYFUNCTION("""COMPUTED_VALUE"""),42503.99861111111)</f>
        <v>42503.99861</v>
      </c>
      <c r="B2137" s="1">
        <f>IFERROR(__xludf.DUMMYFUNCTION("""COMPUTED_VALUE"""),3296.07036)</f>
        <v>3296.07036</v>
      </c>
    </row>
    <row r="2138">
      <c r="A2138" s="3">
        <f>IFERROR(__xludf.DUMMYFUNCTION("""COMPUTED_VALUE"""),42504.99861111111)</f>
        <v>42504.99861</v>
      </c>
      <c r="B2138" s="1">
        <f>IFERROR(__xludf.DUMMYFUNCTION("""COMPUTED_VALUE"""),3296.399175)</f>
        <v>3296.399175</v>
      </c>
    </row>
    <row r="2139">
      <c r="A2139" s="3">
        <f>IFERROR(__xludf.DUMMYFUNCTION("""COMPUTED_VALUE"""),42505.99861111111)</f>
        <v>42505.99861</v>
      </c>
      <c r="B2139" s="1">
        <f>IFERROR(__xludf.DUMMYFUNCTION("""COMPUTED_VALUE"""),3292.008371)</f>
        <v>3292.008371</v>
      </c>
    </row>
    <row r="2140">
      <c r="A2140" s="3">
        <f>IFERROR(__xludf.DUMMYFUNCTION("""COMPUTED_VALUE"""),42506.99861111111)</f>
        <v>42506.99861</v>
      </c>
      <c r="B2140" s="1">
        <f>IFERROR(__xludf.DUMMYFUNCTION("""COMPUTED_VALUE"""),3309.4872)</f>
        <v>3309.4872</v>
      </c>
    </row>
    <row r="2141">
      <c r="A2141" s="3">
        <f>IFERROR(__xludf.DUMMYFUNCTION("""COMPUTED_VALUE"""),42507.99861111111)</f>
        <v>42507.99861</v>
      </c>
      <c r="B2141" s="1">
        <f>IFERROR(__xludf.DUMMYFUNCTION("""COMPUTED_VALUE"""),3311.25434)</f>
        <v>3311.25434</v>
      </c>
    </row>
    <row r="2142">
      <c r="A2142" s="3">
        <f>IFERROR(__xludf.DUMMYFUNCTION("""COMPUTED_VALUE"""),42508.99861111111)</f>
        <v>42508.99861</v>
      </c>
      <c r="B2142" s="1">
        <f>IFERROR(__xludf.DUMMYFUNCTION("""COMPUTED_VALUE"""),3298.5612)</f>
        <v>3298.5612</v>
      </c>
    </row>
    <row r="2143">
      <c r="A2143" s="3">
        <f>IFERROR(__xludf.DUMMYFUNCTION("""COMPUTED_VALUE"""),42509.99861111111)</f>
        <v>42509.99861</v>
      </c>
      <c r="B2143" s="1">
        <f>IFERROR(__xludf.DUMMYFUNCTION("""COMPUTED_VALUE"""),3314.1891)</f>
        <v>3314.1891</v>
      </c>
    </row>
    <row r="2144">
      <c r="A2144" s="3">
        <f>IFERROR(__xludf.DUMMYFUNCTION("""COMPUTED_VALUE"""),42510.99861111111)</f>
        <v>42510.99861</v>
      </c>
      <c r="B2144" s="1">
        <f>IFERROR(__xludf.DUMMYFUNCTION("""COMPUTED_VALUE"""),3326.55855)</f>
        <v>3326.55855</v>
      </c>
    </row>
    <row r="2145">
      <c r="A2145" s="3">
        <f>IFERROR(__xludf.DUMMYFUNCTION("""COMPUTED_VALUE"""),42511.99861111111)</f>
        <v>42511.99861</v>
      </c>
      <c r="B2145" s="1">
        <f>IFERROR(__xludf.DUMMYFUNCTION("""COMPUTED_VALUE"""),3331.196904)</f>
        <v>3331.196904</v>
      </c>
    </row>
    <row r="2146">
      <c r="A2146" s="3">
        <f>IFERROR(__xludf.DUMMYFUNCTION("""COMPUTED_VALUE"""),42512.99861111111)</f>
        <v>42512.99861</v>
      </c>
      <c r="B2146" s="1">
        <f>IFERROR(__xludf.DUMMYFUNCTION("""COMPUTED_VALUE"""),3331.196904)</f>
        <v>3331.196904</v>
      </c>
    </row>
    <row r="2147">
      <c r="A2147" s="3">
        <f>IFERROR(__xludf.DUMMYFUNCTION("""COMPUTED_VALUE"""),42513.99861111111)</f>
        <v>42513.99861</v>
      </c>
      <c r="B2147" s="1">
        <f>IFERROR(__xludf.DUMMYFUNCTION("""COMPUTED_VALUE"""),3306.468)</f>
        <v>3306.468</v>
      </c>
    </row>
    <row r="2148">
      <c r="A2148" s="3">
        <f>IFERROR(__xludf.DUMMYFUNCTION("""COMPUTED_VALUE"""),42514.99861111111)</f>
        <v>42514.99861</v>
      </c>
      <c r="B2148" s="1">
        <f>IFERROR(__xludf.DUMMYFUNCTION("""COMPUTED_VALUE"""),3281.3617)</f>
        <v>3281.3617</v>
      </c>
    </row>
    <row r="2149">
      <c r="A2149" s="3">
        <f>IFERROR(__xludf.DUMMYFUNCTION("""COMPUTED_VALUE"""),42515.99861111111)</f>
        <v>42515.99861</v>
      </c>
      <c r="B2149" s="1">
        <f>IFERROR(__xludf.DUMMYFUNCTION("""COMPUTED_VALUE"""),3324.02616)</f>
        <v>3324.02616</v>
      </c>
    </row>
    <row r="2150">
      <c r="A2150" s="3">
        <f>IFERROR(__xludf.DUMMYFUNCTION("""COMPUTED_VALUE"""),42516.99861111111)</f>
        <v>42516.99861</v>
      </c>
      <c r="B2150" s="1">
        <f>IFERROR(__xludf.DUMMYFUNCTION("""COMPUTED_VALUE"""),3331.02165)</f>
        <v>3331.02165</v>
      </c>
    </row>
    <row r="2151">
      <c r="A2151" s="3">
        <f>IFERROR(__xludf.DUMMYFUNCTION("""COMPUTED_VALUE"""),42517.99861111111)</f>
        <v>42517.99861</v>
      </c>
      <c r="B2151" s="1">
        <f>IFERROR(__xludf.DUMMYFUNCTION("""COMPUTED_VALUE"""),3313.7928)</f>
        <v>3313.7928</v>
      </c>
    </row>
    <row r="2152">
      <c r="A2152" s="3">
        <f>IFERROR(__xludf.DUMMYFUNCTION("""COMPUTED_VALUE"""),42518.99861111111)</f>
        <v>42518.99861</v>
      </c>
      <c r="B2152" s="1">
        <f>IFERROR(__xludf.DUMMYFUNCTION("""COMPUTED_VALUE"""),3356.867218)</f>
        <v>3356.867218</v>
      </c>
    </row>
    <row r="2153">
      <c r="A2153" s="3">
        <f>IFERROR(__xludf.DUMMYFUNCTION("""COMPUTED_VALUE"""),42519.99861111111)</f>
        <v>42519.99861</v>
      </c>
      <c r="B2153" s="1">
        <f>IFERROR(__xludf.DUMMYFUNCTION("""COMPUTED_VALUE"""),3356.867218)</f>
        <v>3356.867218</v>
      </c>
    </row>
    <row r="2154">
      <c r="A2154" s="3">
        <f>IFERROR(__xludf.DUMMYFUNCTION("""COMPUTED_VALUE"""),42520.99861111111)</f>
        <v>42520.99861</v>
      </c>
      <c r="B2154" s="1">
        <f>IFERROR(__xludf.DUMMYFUNCTION("""COMPUTED_VALUE"""),3310.9699)</f>
        <v>3310.9699</v>
      </c>
    </row>
    <row r="2155">
      <c r="A2155" s="3">
        <f>IFERROR(__xludf.DUMMYFUNCTION("""COMPUTED_VALUE"""),42521.99861111111)</f>
        <v>42521.99861</v>
      </c>
      <c r="B2155" s="1">
        <f>IFERROR(__xludf.DUMMYFUNCTION("""COMPUTED_VALUE"""),3311.83825)</f>
        <v>3311.83825</v>
      </c>
    </row>
    <row r="2156">
      <c r="A2156" s="3">
        <f>IFERROR(__xludf.DUMMYFUNCTION("""COMPUTED_VALUE"""),42522.99861111111)</f>
        <v>42522.99861</v>
      </c>
      <c r="B2156" s="1">
        <f>IFERROR(__xludf.DUMMYFUNCTION("""COMPUTED_VALUE"""),3266.5361)</f>
        <v>3266.5361</v>
      </c>
    </row>
    <row r="2157">
      <c r="A2157" s="3">
        <f>IFERROR(__xludf.DUMMYFUNCTION("""COMPUTED_VALUE"""),42523.99861111111)</f>
        <v>42523.99861</v>
      </c>
      <c r="B2157" s="1">
        <f>IFERROR(__xludf.DUMMYFUNCTION("""COMPUTED_VALUE"""),3275.5187)</f>
        <v>3275.5187</v>
      </c>
    </row>
    <row r="2158">
      <c r="A2158" s="3">
        <f>IFERROR(__xludf.DUMMYFUNCTION("""COMPUTED_VALUE"""),42524.99861111111)</f>
        <v>42524.99861</v>
      </c>
      <c r="B2158" s="1">
        <f>IFERROR(__xludf.DUMMYFUNCTION("""COMPUTED_VALUE"""),3281.50608)</f>
        <v>3281.50608</v>
      </c>
    </row>
    <row r="2159">
      <c r="A2159" s="3">
        <f>IFERROR(__xludf.DUMMYFUNCTION("""COMPUTED_VALUE"""),42525.99861111111)</f>
        <v>42525.99861</v>
      </c>
      <c r="B2159" s="1">
        <f>IFERROR(__xludf.DUMMYFUNCTION("""COMPUTED_VALUE"""),3291.520812)</f>
        <v>3291.520812</v>
      </c>
    </row>
    <row r="2160">
      <c r="A2160" s="3">
        <f>IFERROR(__xludf.DUMMYFUNCTION("""COMPUTED_VALUE"""),42526.99861111111)</f>
        <v>42526.99861</v>
      </c>
      <c r="B2160" s="1">
        <f>IFERROR(__xludf.DUMMYFUNCTION("""COMPUTED_VALUE"""),3295.954684)</f>
        <v>3295.954684</v>
      </c>
    </row>
    <row r="2161">
      <c r="A2161" s="3">
        <f>IFERROR(__xludf.DUMMYFUNCTION("""COMPUTED_VALUE"""),42527.99861111111)</f>
        <v>42527.99861</v>
      </c>
      <c r="B2161" s="1">
        <f>IFERROR(__xludf.DUMMYFUNCTION("""COMPUTED_VALUE"""),3285.76446)</f>
        <v>3285.76446</v>
      </c>
    </row>
    <row r="2162">
      <c r="A2162" s="3">
        <f>IFERROR(__xludf.DUMMYFUNCTION("""COMPUTED_VALUE"""),42528.99861111111)</f>
        <v>42528.99861</v>
      </c>
      <c r="B2162" s="1">
        <f>IFERROR(__xludf.DUMMYFUNCTION("""COMPUTED_VALUE"""),3259.1328)</f>
        <v>3259.1328</v>
      </c>
    </row>
    <row r="2163">
      <c r="A2163" s="3">
        <f>IFERROR(__xludf.DUMMYFUNCTION("""COMPUTED_VALUE"""),42529.99861111111)</f>
        <v>42529.99861</v>
      </c>
      <c r="B2163" s="1">
        <f>IFERROR(__xludf.DUMMYFUNCTION("""COMPUTED_VALUE"""),3281.31045)</f>
        <v>3281.31045</v>
      </c>
    </row>
    <row r="2164">
      <c r="A2164" s="3">
        <f>IFERROR(__xludf.DUMMYFUNCTION("""COMPUTED_VALUE"""),42530.99861111111)</f>
        <v>42530.99861</v>
      </c>
      <c r="B2164" s="1">
        <f>IFERROR(__xludf.DUMMYFUNCTION("""COMPUTED_VALUE"""),3269.9675)</f>
        <v>3269.9675</v>
      </c>
    </row>
    <row r="2165">
      <c r="A2165" s="3">
        <f>IFERROR(__xludf.DUMMYFUNCTION("""COMPUTED_VALUE"""),42531.99861111111)</f>
        <v>42531.99861</v>
      </c>
      <c r="B2165" s="1">
        <f>IFERROR(__xludf.DUMMYFUNCTION("""COMPUTED_VALUE"""),3260.60568)</f>
        <v>3260.60568</v>
      </c>
    </row>
    <row r="2166">
      <c r="A2166" s="3">
        <f>IFERROR(__xludf.DUMMYFUNCTION("""COMPUTED_VALUE"""),42532.99861111111)</f>
        <v>42532.99861</v>
      </c>
      <c r="B2166" s="1">
        <f>IFERROR(__xludf.DUMMYFUNCTION("""COMPUTED_VALUE"""),3266.754488)</f>
        <v>3266.754488</v>
      </c>
    </row>
    <row r="2167">
      <c r="A2167" s="3">
        <f>IFERROR(__xludf.DUMMYFUNCTION("""COMPUTED_VALUE"""),42533.99861111111)</f>
        <v>42533.99861</v>
      </c>
      <c r="B2167" s="1">
        <f>IFERROR(__xludf.DUMMYFUNCTION("""COMPUTED_VALUE"""),3271.122026)</f>
        <v>3271.122026</v>
      </c>
    </row>
    <row r="2168">
      <c r="A2168" s="3">
        <f>IFERROR(__xludf.DUMMYFUNCTION("""COMPUTED_VALUE"""),42534.99861111111)</f>
        <v>42534.99861</v>
      </c>
      <c r="B2168" s="1">
        <f>IFERROR(__xludf.DUMMYFUNCTION("""COMPUTED_VALUE"""),3257.38413)</f>
        <v>3257.38413</v>
      </c>
    </row>
    <row r="2169">
      <c r="A2169" s="3">
        <f>IFERROR(__xludf.DUMMYFUNCTION("""COMPUTED_VALUE"""),42535.99861111111)</f>
        <v>42535.99861</v>
      </c>
      <c r="B2169" s="1">
        <f>IFERROR(__xludf.DUMMYFUNCTION("""COMPUTED_VALUE"""),3252.1935)</f>
        <v>3252.1935</v>
      </c>
    </row>
    <row r="2170">
      <c r="A2170" s="3">
        <f>IFERROR(__xludf.DUMMYFUNCTION("""COMPUTED_VALUE"""),42536.99861111111)</f>
        <v>42536.99861</v>
      </c>
      <c r="B2170" s="1">
        <f>IFERROR(__xludf.DUMMYFUNCTION("""COMPUTED_VALUE"""),3229.7004)</f>
        <v>3229.7004</v>
      </c>
    </row>
    <row r="2171">
      <c r="A2171" s="3">
        <f>IFERROR(__xludf.DUMMYFUNCTION("""COMPUTED_VALUE"""),42537.99861111111)</f>
        <v>42537.99861</v>
      </c>
      <c r="B2171" s="1">
        <f>IFERROR(__xludf.DUMMYFUNCTION("""COMPUTED_VALUE"""),3251.59326)</f>
        <v>3251.59326</v>
      </c>
    </row>
    <row r="2172">
      <c r="A2172" s="3">
        <f>IFERROR(__xludf.DUMMYFUNCTION("""COMPUTED_VALUE"""),42538.99861111111)</f>
        <v>42538.99861</v>
      </c>
      <c r="B2172" s="1">
        <f>IFERROR(__xludf.DUMMYFUNCTION("""COMPUTED_VALUE"""),3262.87368)</f>
        <v>3262.87368</v>
      </c>
    </row>
    <row r="2173">
      <c r="A2173" s="3">
        <f>IFERROR(__xludf.DUMMYFUNCTION("""COMPUTED_VALUE"""),42539.99861111111)</f>
        <v>42539.99861</v>
      </c>
      <c r="B2173" s="1">
        <f>IFERROR(__xludf.DUMMYFUNCTION("""COMPUTED_VALUE"""),3263.199184)</f>
        <v>3263.199184</v>
      </c>
    </row>
    <row r="2174">
      <c r="A2174" s="3">
        <f>IFERROR(__xludf.DUMMYFUNCTION("""COMPUTED_VALUE"""),42540.99861111111)</f>
        <v>42540.99861</v>
      </c>
      <c r="B2174" s="1">
        <f>IFERROR(__xludf.DUMMYFUNCTION("""COMPUTED_VALUE"""),3263.199184)</f>
        <v>3263.199184</v>
      </c>
    </row>
    <row r="2175">
      <c r="A2175" s="3">
        <f>IFERROR(__xludf.DUMMYFUNCTION("""COMPUTED_VALUE"""),42541.99861111111)</f>
        <v>42541.99861</v>
      </c>
      <c r="B2175" s="1">
        <f>IFERROR(__xludf.DUMMYFUNCTION("""COMPUTED_VALUE"""),3259.5)</f>
        <v>3259.5</v>
      </c>
    </row>
    <row r="2176">
      <c r="A2176" s="3">
        <f>IFERROR(__xludf.DUMMYFUNCTION("""COMPUTED_VALUE"""),42542.99861111111)</f>
        <v>42542.99861</v>
      </c>
      <c r="B2176" s="1">
        <f>IFERROR(__xludf.DUMMYFUNCTION("""COMPUTED_VALUE"""),3287.5051)</f>
        <v>3287.5051</v>
      </c>
    </row>
    <row r="2177">
      <c r="A2177" s="3">
        <f>IFERROR(__xludf.DUMMYFUNCTION("""COMPUTED_VALUE"""),42543.99861111111)</f>
        <v>42543.99861</v>
      </c>
      <c r="B2177" s="1">
        <f>IFERROR(__xludf.DUMMYFUNCTION("""COMPUTED_VALUE"""),3273.01975)</f>
        <v>3273.01975</v>
      </c>
    </row>
    <row r="2178">
      <c r="A2178" s="3">
        <f>IFERROR(__xludf.DUMMYFUNCTION("""COMPUTED_VALUE"""),42544.99861111111)</f>
        <v>42544.99861</v>
      </c>
      <c r="B2178" s="1">
        <f>IFERROR(__xludf.DUMMYFUNCTION("""COMPUTED_VALUE"""),3344.035)</f>
        <v>3344.035</v>
      </c>
    </row>
    <row r="2179">
      <c r="A2179" s="3">
        <f>IFERROR(__xludf.DUMMYFUNCTION("""COMPUTED_VALUE"""),42545.99861111111)</f>
        <v>42545.99861</v>
      </c>
      <c r="B2179" s="1">
        <f>IFERROR(__xludf.DUMMYFUNCTION("""COMPUTED_VALUE"""),3263.5)</f>
        <v>3263.5</v>
      </c>
    </row>
    <row r="2180">
      <c r="A2180" s="3">
        <f>IFERROR(__xludf.DUMMYFUNCTION("""COMPUTED_VALUE"""),42546.99861111111)</f>
        <v>42546.99861</v>
      </c>
      <c r="B2180" s="1">
        <f>IFERROR(__xludf.DUMMYFUNCTION("""COMPUTED_VALUE"""),3288.40752)</f>
        <v>3288.40752</v>
      </c>
    </row>
    <row r="2181">
      <c r="A2181" s="3">
        <f>IFERROR(__xludf.DUMMYFUNCTION("""COMPUTED_VALUE"""),42547.99861111111)</f>
        <v>42547.99861</v>
      </c>
      <c r="B2181" s="1">
        <f>IFERROR(__xludf.DUMMYFUNCTION("""COMPUTED_VALUE"""),3319.72736)</f>
        <v>3319.72736</v>
      </c>
    </row>
    <row r="2182">
      <c r="A2182" s="3">
        <f>IFERROR(__xludf.DUMMYFUNCTION("""COMPUTED_VALUE"""),42548.99861111111)</f>
        <v>42548.99861</v>
      </c>
      <c r="B2182" s="1">
        <f>IFERROR(__xludf.DUMMYFUNCTION("""COMPUTED_VALUE"""),3233.5483)</f>
        <v>3233.5483</v>
      </c>
    </row>
    <row r="2183">
      <c r="A2183" s="3">
        <f>IFERROR(__xludf.DUMMYFUNCTION("""COMPUTED_VALUE"""),42549.99861111111)</f>
        <v>42549.99861</v>
      </c>
      <c r="B2183" s="1">
        <f>IFERROR(__xludf.DUMMYFUNCTION("""COMPUTED_VALUE"""),3243.4136)</f>
        <v>3243.4136</v>
      </c>
    </row>
    <row r="2184">
      <c r="A2184" s="3">
        <f>IFERROR(__xludf.DUMMYFUNCTION("""COMPUTED_VALUE"""),42550.99861111111)</f>
        <v>42550.99861</v>
      </c>
      <c r="B2184" s="1">
        <f>IFERROR(__xludf.DUMMYFUNCTION("""COMPUTED_VALUE"""),3260.31146)</f>
        <v>3260.31146</v>
      </c>
    </row>
    <row r="2185">
      <c r="A2185" s="3">
        <f>IFERROR(__xludf.DUMMYFUNCTION("""COMPUTED_VALUE"""),42551.99861111111)</f>
        <v>42551.99861</v>
      </c>
      <c r="B2185" s="1">
        <f>IFERROR(__xludf.DUMMYFUNCTION("""COMPUTED_VALUE"""),3296.75363)</f>
        <v>3296.75363</v>
      </c>
    </row>
    <row r="2186">
      <c r="A2186" s="3">
        <f>IFERROR(__xludf.DUMMYFUNCTION("""COMPUTED_VALUE"""),42552.99861111111)</f>
        <v>42552.99861</v>
      </c>
      <c r="B2186" s="1">
        <f>IFERROR(__xludf.DUMMYFUNCTION("""COMPUTED_VALUE"""),3280.8484)</f>
        <v>3280.8484</v>
      </c>
    </row>
    <row r="2187">
      <c r="A2187" s="3">
        <f>IFERROR(__xludf.DUMMYFUNCTION("""COMPUTED_VALUE"""),42553.99861111111)</f>
        <v>42553.99861</v>
      </c>
      <c r="B2187" s="1">
        <f>IFERROR(__xludf.DUMMYFUNCTION("""COMPUTED_VALUE"""),3282.937236)</f>
        <v>3282.937236</v>
      </c>
    </row>
    <row r="2188">
      <c r="A2188" s="3">
        <f>IFERROR(__xludf.DUMMYFUNCTION("""COMPUTED_VALUE"""),42554.99861111111)</f>
        <v>42554.99861</v>
      </c>
      <c r="B2188" s="1">
        <f>IFERROR(__xludf.DUMMYFUNCTION("""COMPUTED_VALUE"""),3282.937236)</f>
        <v>3282.937236</v>
      </c>
    </row>
    <row r="2189">
      <c r="A2189" s="3">
        <f>IFERROR(__xludf.DUMMYFUNCTION("""COMPUTED_VALUE"""),42555.99861111111)</f>
        <v>42555.99861</v>
      </c>
      <c r="B2189" s="1">
        <f>IFERROR(__xludf.DUMMYFUNCTION("""COMPUTED_VALUE"""),3259.9066)</f>
        <v>3259.9066</v>
      </c>
    </row>
    <row r="2190">
      <c r="A2190" s="3">
        <f>IFERROR(__xludf.DUMMYFUNCTION("""COMPUTED_VALUE"""),42556.99861111111)</f>
        <v>42556.99861</v>
      </c>
      <c r="B2190" s="1">
        <f>IFERROR(__xludf.DUMMYFUNCTION("""COMPUTED_VALUE"""),3258.416)</f>
        <v>3258.416</v>
      </c>
    </row>
    <row r="2191">
      <c r="A2191" s="3">
        <f>IFERROR(__xludf.DUMMYFUNCTION("""COMPUTED_VALUE"""),42557.99861111111)</f>
        <v>42557.99861</v>
      </c>
      <c r="B2191" s="1">
        <f>IFERROR(__xludf.DUMMYFUNCTION("""COMPUTED_VALUE"""),3257.15436)</f>
        <v>3257.15436</v>
      </c>
    </row>
    <row r="2192">
      <c r="A2192" s="3">
        <f>IFERROR(__xludf.DUMMYFUNCTION("""COMPUTED_VALUE"""),42558.99861111111)</f>
        <v>42558.99861</v>
      </c>
      <c r="B2192" s="1">
        <f>IFERROR(__xludf.DUMMYFUNCTION("""COMPUTED_VALUE"""),3240.547)</f>
        <v>3240.547</v>
      </c>
    </row>
    <row r="2193">
      <c r="A2193" s="3">
        <f>IFERROR(__xludf.DUMMYFUNCTION("""COMPUTED_VALUE"""),42559.99861111111)</f>
        <v>42559.99861</v>
      </c>
      <c r="B2193" s="1">
        <f>IFERROR(__xludf.DUMMYFUNCTION("""COMPUTED_VALUE"""),3272.18745)</f>
        <v>3272.18745</v>
      </c>
    </row>
    <row r="2194">
      <c r="A2194" s="3">
        <f>IFERROR(__xludf.DUMMYFUNCTION("""COMPUTED_VALUE"""),42560.99861111111)</f>
        <v>42560.99861</v>
      </c>
      <c r="B2194" s="1">
        <f>IFERROR(__xludf.DUMMYFUNCTION("""COMPUTED_VALUE"""),3281.076414)</f>
        <v>3281.076414</v>
      </c>
    </row>
    <row r="2195">
      <c r="A2195" s="3">
        <f>IFERROR(__xludf.DUMMYFUNCTION("""COMPUTED_VALUE"""),42561.99861111111)</f>
        <v>42561.99861</v>
      </c>
      <c r="B2195" s="1">
        <f>IFERROR(__xludf.DUMMYFUNCTION("""COMPUTED_VALUE"""),3281.076414)</f>
        <v>3281.076414</v>
      </c>
    </row>
    <row r="2196">
      <c r="A2196" s="3">
        <f>IFERROR(__xludf.DUMMYFUNCTION("""COMPUTED_VALUE"""),42562.99861111111)</f>
        <v>42562.99861</v>
      </c>
      <c r="B2196" s="1">
        <f>IFERROR(__xludf.DUMMYFUNCTION("""COMPUTED_VALUE"""),3275.5392)</f>
        <v>3275.5392</v>
      </c>
    </row>
    <row r="2197">
      <c r="A2197" s="3">
        <f>IFERROR(__xludf.DUMMYFUNCTION("""COMPUTED_VALUE"""),42563.99861111111)</f>
        <v>42563.99861</v>
      </c>
      <c r="B2197" s="1">
        <f>IFERROR(__xludf.DUMMYFUNCTION("""COMPUTED_VALUE"""),3300.52225)</f>
        <v>3300.52225</v>
      </c>
    </row>
    <row r="2198">
      <c r="A2198" s="3">
        <f>IFERROR(__xludf.DUMMYFUNCTION("""COMPUTED_VALUE"""),42564.99861111111)</f>
        <v>42564.99861</v>
      </c>
      <c r="B2198" s="1">
        <f>IFERROR(__xludf.DUMMYFUNCTION("""COMPUTED_VALUE"""),3259.08615)</f>
        <v>3259.08615</v>
      </c>
    </row>
    <row r="2199">
      <c r="A2199" s="3">
        <f>IFERROR(__xludf.DUMMYFUNCTION("""COMPUTED_VALUE"""),42565.99861111111)</f>
        <v>42565.99861</v>
      </c>
      <c r="B2199" s="1">
        <f>IFERROR(__xludf.DUMMYFUNCTION("""COMPUTED_VALUE"""),3308.9028)</f>
        <v>3308.9028</v>
      </c>
    </row>
    <row r="2200">
      <c r="A2200" s="3">
        <f>IFERROR(__xludf.DUMMYFUNCTION("""COMPUTED_VALUE"""),42566.99861111111)</f>
        <v>42566.99861</v>
      </c>
      <c r="B2200" s="1">
        <f>IFERROR(__xludf.DUMMYFUNCTION("""COMPUTED_VALUE"""),3260.66706)</f>
        <v>3260.66706</v>
      </c>
    </row>
    <row r="2201">
      <c r="A2201" s="3">
        <f>IFERROR(__xludf.DUMMYFUNCTION("""COMPUTED_VALUE"""),42567.99861111111)</f>
        <v>42567.99861</v>
      </c>
      <c r="B2201" s="1">
        <f>IFERROR(__xludf.DUMMYFUNCTION("""COMPUTED_VALUE"""),3284.60408)</f>
        <v>3284.60408</v>
      </c>
    </row>
    <row r="2202">
      <c r="A2202" s="3">
        <f>IFERROR(__xludf.DUMMYFUNCTION("""COMPUTED_VALUE"""),42568.99861111111)</f>
        <v>42568.99861</v>
      </c>
      <c r="B2202" s="1">
        <f>IFERROR(__xludf.DUMMYFUNCTION("""COMPUTED_VALUE"""),3284.60408)</f>
        <v>3284.60408</v>
      </c>
    </row>
    <row r="2203">
      <c r="A2203" s="3">
        <f>IFERROR(__xludf.DUMMYFUNCTION("""COMPUTED_VALUE"""),42569.99861111111)</f>
        <v>42569.99861</v>
      </c>
      <c r="B2203" s="1">
        <f>IFERROR(__xludf.DUMMYFUNCTION("""COMPUTED_VALUE"""),3282.578)</f>
        <v>3282.578</v>
      </c>
    </row>
    <row r="2204">
      <c r="A2204" s="3">
        <f>IFERROR(__xludf.DUMMYFUNCTION("""COMPUTED_VALUE"""),42570.99861111111)</f>
        <v>42570.99861</v>
      </c>
      <c r="B2204" s="1">
        <f>IFERROR(__xludf.DUMMYFUNCTION("""COMPUTED_VALUE"""),3259.10956)</f>
        <v>3259.10956</v>
      </c>
    </row>
    <row r="2205">
      <c r="A2205" s="3">
        <f>IFERROR(__xludf.DUMMYFUNCTION("""COMPUTED_VALUE"""),42571.99861111111)</f>
        <v>42571.99861</v>
      </c>
      <c r="B2205" s="1">
        <f>IFERROR(__xludf.DUMMYFUNCTION("""COMPUTED_VALUE"""),3239.2939)</f>
        <v>3239.2939</v>
      </c>
    </row>
    <row r="2206">
      <c r="A2206" s="3">
        <f>IFERROR(__xludf.DUMMYFUNCTION("""COMPUTED_VALUE"""),42572.99861111111)</f>
        <v>42572.99861</v>
      </c>
      <c r="B2206" s="1">
        <f>IFERROR(__xludf.DUMMYFUNCTION("""COMPUTED_VALUE"""),3225.56822)</f>
        <v>3225.56822</v>
      </c>
    </row>
    <row r="2207">
      <c r="A2207" s="3">
        <f>IFERROR(__xludf.DUMMYFUNCTION("""COMPUTED_VALUE"""),42573.99861111111)</f>
        <v>42573.99861</v>
      </c>
      <c r="B2207" s="1">
        <f>IFERROR(__xludf.DUMMYFUNCTION("""COMPUTED_VALUE"""),3210.71805)</f>
        <v>3210.71805</v>
      </c>
    </row>
    <row r="2208">
      <c r="A2208" s="3">
        <f>IFERROR(__xludf.DUMMYFUNCTION("""COMPUTED_VALUE"""),42574.99861111111)</f>
        <v>42574.99861</v>
      </c>
      <c r="B2208" s="1">
        <f>IFERROR(__xludf.DUMMYFUNCTION("""COMPUTED_VALUE"""),3213.252247)</f>
        <v>3213.252247</v>
      </c>
    </row>
    <row r="2209">
      <c r="A2209" s="3">
        <f>IFERROR(__xludf.DUMMYFUNCTION("""COMPUTED_VALUE"""),42575.99861111111)</f>
        <v>42575.99861</v>
      </c>
      <c r="B2209" s="1">
        <f>IFERROR(__xludf.DUMMYFUNCTION("""COMPUTED_VALUE"""),3213.252247)</f>
        <v>3213.252247</v>
      </c>
    </row>
    <row r="2210">
      <c r="A2210" s="3">
        <f>IFERROR(__xludf.DUMMYFUNCTION("""COMPUTED_VALUE"""),42576.99861111111)</f>
        <v>42576.99861</v>
      </c>
      <c r="B2210" s="1">
        <f>IFERROR(__xludf.DUMMYFUNCTION("""COMPUTED_VALUE"""),3183.78735)</f>
        <v>3183.78735</v>
      </c>
    </row>
    <row r="2211">
      <c r="A2211" s="3">
        <f>IFERROR(__xludf.DUMMYFUNCTION("""COMPUTED_VALUE"""),42577.99861111111)</f>
        <v>42577.99861</v>
      </c>
      <c r="B2211" s="1">
        <f>IFERROR(__xludf.DUMMYFUNCTION("""COMPUTED_VALUE"""),3213.5023)</f>
        <v>3213.5023</v>
      </c>
    </row>
    <row r="2212">
      <c r="A2212" s="3">
        <f>IFERROR(__xludf.DUMMYFUNCTION("""COMPUTED_VALUE"""),42578.99861111111)</f>
        <v>42578.99861</v>
      </c>
      <c r="B2212" s="1">
        <f>IFERROR(__xludf.DUMMYFUNCTION("""COMPUTED_VALUE"""),3208.74804)</f>
        <v>3208.74804</v>
      </c>
    </row>
    <row r="2213">
      <c r="A2213" s="3">
        <f>IFERROR(__xludf.DUMMYFUNCTION("""COMPUTED_VALUE"""),42579.99861111111)</f>
        <v>42579.99861</v>
      </c>
      <c r="B2213" s="1">
        <f>IFERROR(__xludf.DUMMYFUNCTION("""COMPUTED_VALUE"""),3200.64638)</f>
        <v>3200.64638</v>
      </c>
    </row>
    <row r="2214">
      <c r="A2214" s="3">
        <f>IFERROR(__xludf.DUMMYFUNCTION("""COMPUTED_VALUE"""),42580.99861111111)</f>
        <v>42580.99861</v>
      </c>
      <c r="B2214" s="1">
        <f>IFERROR(__xludf.DUMMYFUNCTION("""COMPUTED_VALUE"""),3230.1318)</f>
        <v>3230.1318</v>
      </c>
    </row>
    <row r="2215">
      <c r="A2215" s="3">
        <f>IFERROR(__xludf.DUMMYFUNCTION("""COMPUTED_VALUE"""),42581.99861111111)</f>
        <v>42581.99861</v>
      </c>
      <c r="B2215" s="1">
        <f>IFERROR(__xludf.DUMMYFUNCTION("""COMPUTED_VALUE"""),3255.771901)</f>
        <v>3255.771901</v>
      </c>
    </row>
    <row r="2216">
      <c r="A2216" s="3">
        <f>IFERROR(__xludf.DUMMYFUNCTION("""COMPUTED_VALUE"""),42582.99861111111)</f>
        <v>42582.99861</v>
      </c>
      <c r="B2216" s="1">
        <f>IFERROR(__xludf.DUMMYFUNCTION("""COMPUTED_VALUE"""),3255.771901)</f>
        <v>3255.771901</v>
      </c>
    </row>
    <row r="2217">
      <c r="A2217" s="3">
        <f>IFERROR(__xludf.DUMMYFUNCTION("""COMPUTED_VALUE"""),42583.99861111111)</f>
        <v>42583.99861</v>
      </c>
      <c r="B2217" s="1">
        <f>IFERROR(__xludf.DUMMYFUNCTION("""COMPUTED_VALUE"""),3208.3961)</f>
        <v>3208.3961</v>
      </c>
    </row>
    <row r="2218">
      <c r="A2218" s="3">
        <f>IFERROR(__xludf.DUMMYFUNCTION("""COMPUTED_VALUE"""),42584.99861111111)</f>
        <v>42584.99861</v>
      </c>
      <c r="B2218" s="1">
        <f>IFERROR(__xludf.DUMMYFUNCTION("""COMPUTED_VALUE"""),3208.06368)</f>
        <v>3208.06368</v>
      </c>
    </row>
    <row r="2219">
      <c r="A2219" s="3">
        <f>IFERROR(__xludf.DUMMYFUNCTION("""COMPUTED_VALUE"""),42585.99861111111)</f>
        <v>42585.99861</v>
      </c>
      <c r="B2219" s="1">
        <f>IFERROR(__xludf.DUMMYFUNCTION("""COMPUTED_VALUE"""),3249.2592)</f>
        <v>3249.2592</v>
      </c>
    </row>
    <row r="2220">
      <c r="A2220" s="3">
        <f>IFERROR(__xludf.DUMMYFUNCTION("""COMPUTED_VALUE"""),42586.99861111111)</f>
        <v>42586.99861</v>
      </c>
      <c r="B2220" s="1">
        <f>IFERROR(__xludf.DUMMYFUNCTION("""COMPUTED_VALUE"""),3226.08963)</f>
        <v>3226.08963</v>
      </c>
    </row>
    <row r="2221">
      <c r="A2221" s="3">
        <f>IFERROR(__xludf.DUMMYFUNCTION("""COMPUTED_VALUE"""),42587.99861111111)</f>
        <v>42587.99861</v>
      </c>
      <c r="B2221" s="1">
        <f>IFERROR(__xludf.DUMMYFUNCTION("""COMPUTED_VALUE"""),3252.02526)</f>
        <v>3252.02526</v>
      </c>
    </row>
    <row r="2222">
      <c r="A2222" s="3">
        <f>IFERROR(__xludf.DUMMYFUNCTION("""COMPUTED_VALUE"""),42588.99861111111)</f>
        <v>42588.99861</v>
      </c>
      <c r="B2222" s="1">
        <f>IFERROR(__xludf.DUMMYFUNCTION("""COMPUTED_VALUE"""),3256.634898)</f>
        <v>3256.634898</v>
      </c>
    </row>
    <row r="2223">
      <c r="A2223" s="3">
        <f>IFERROR(__xludf.DUMMYFUNCTION("""COMPUTED_VALUE"""),42589.99861111111)</f>
        <v>42589.99861</v>
      </c>
      <c r="B2223" s="1">
        <f>IFERROR(__xludf.DUMMYFUNCTION("""COMPUTED_VALUE"""),3256.634898)</f>
        <v>3256.634898</v>
      </c>
    </row>
    <row r="2224">
      <c r="A2224" s="3">
        <f>IFERROR(__xludf.DUMMYFUNCTION("""COMPUTED_VALUE"""),42590.99861111111)</f>
        <v>42590.99861</v>
      </c>
      <c r="B2224" s="1">
        <f>IFERROR(__xludf.DUMMYFUNCTION("""COMPUTED_VALUE"""),3243.7496)</f>
        <v>3243.7496</v>
      </c>
    </row>
    <row r="2225">
      <c r="A2225" s="3">
        <f>IFERROR(__xludf.DUMMYFUNCTION("""COMPUTED_VALUE"""),42591.99861111111)</f>
        <v>42591.99861</v>
      </c>
      <c r="B2225" s="1">
        <f>IFERROR(__xludf.DUMMYFUNCTION("""COMPUTED_VALUE"""),3248.91699)</f>
        <v>3248.91699</v>
      </c>
    </row>
    <row r="2226">
      <c r="A2226" s="3">
        <f>IFERROR(__xludf.DUMMYFUNCTION("""COMPUTED_VALUE"""),42592.99861111111)</f>
        <v>42592.99861</v>
      </c>
      <c r="B2226" s="1">
        <f>IFERROR(__xludf.DUMMYFUNCTION("""COMPUTED_VALUE"""),3261.19941)</f>
        <v>3261.19941</v>
      </c>
    </row>
    <row r="2227">
      <c r="A2227" s="3">
        <f>IFERROR(__xludf.DUMMYFUNCTION("""COMPUTED_VALUE"""),42593.99861111111)</f>
        <v>42593.99861</v>
      </c>
      <c r="B2227" s="1">
        <f>IFERROR(__xludf.DUMMYFUNCTION("""COMPUTED_VALUE"""),3284.71644)</f>
        <v>3284.71644</v>
      </c>
    </row>
    <row r="2228">
      <c r="A2228" s="3">
        <f>IFERROR(__xludf.DUMMYFUNCTION("""COMPUTED_VALUE"""),42594.99861111111)</f>
        <v>42594.99861</v>
      </c>
      <c r="B2228" s="1">
        <f>IFERROR(__xludf.DUMMYFUNCTION("""COMPUTED_VALUE"""),3249.29913)</f>
        <v>3249.29913</v>
      </c>
    </row>
    <row r="2229">
      <c r="A2229" s="3">
        <f>IFERROR(__xludf.DUMMYFUNCTION("""COMPUTED_VALUE"""),42595.99861111111)</f>
        <v>42595.99861</v>
      </c>
      <c r="B2229" s="1">
        <f>IFERROR(__xludf.DUMMYFUNCTION("""COMPUTED_VALUE"""),3252.35983)</f>
        <v>3252.35983</v>
      </c>
    </row>
    <row r="2230">
      <c r="A2230" s="3">
        <f>IFERROR(__xludf.DUMMYFUNCTION("""COMPUTED_VALUE"""),42596.99861111111)</f>
        <v>42596.99861</v>
      </c>
      <c r="B2230" s="1">
        <f>IFERROR(__xludf.DUMMYFUNCTION("""COMPUTED_VALUE"""),3256.57888)</f>
        <v>3256.57888</v>
      </c>
    </row>
    <row r="2231">
      <c r="A2231" s="3">
        <f>IFERROR(__xludf.DUMMYFUNCTION("""COMPUTED_VALUE"""),42597.99861111111)</f>
        <v>42597.99861</v>
      </c>
      <c r="B2231" s="1">
        <f>IFERROR(__xludf.DUMMYFUNCTION("""COMPUTED_VALUE"""),3269.81046)</f>
        <v>3269.81046</v>
      </c>
    </row>
    <row r="2232">
      <c r="A2232" s="3">
        <f>IFERROR(__xludf.DUMMYFUNCTION("""COMPUTED_VALUE"""),42598.99861111111)</f>
        <v>42598.99861</v>
      </c>
      <c r="B2232" s="1">
        <f>IFERROR(__xludf.DUMMYFUNCTION("""COMPUTED_VALUE"""),3288.63213)</f>
        <v>3288.63213</v>
      </c>
    </row>
    <row r="2233">
      <c r="A2233" s="3">
        <f>IFERROR(__xludf.DUMMYFUNCTION("""COMPUTED_VALUE"""),42599.99861111111)</f>
        <v>42599.99861</v>
      </c>
      <c r="B2233" s="1">
        <f>IFERROR(__xludf.DUMMYFUNCTION("""COMPUTED_VALUE"""),3280.19265)</f>
        <v>3280.19265</v>
      </c>
    </row>
    <row r="2234">
      <c r="A2234" s="3">
        <f>IFERROR(__xludf.DUMMYFUNCTION("""COMPUTED_VALUE"""),42600.99861111111)</f>
        <v>42600.99861</v>
      </c>
      <c r="B2234" s="1">
        <f>IFERROR(__xludf.DUMMYFUNCTION("""COMPUTED_VALUE"""),3289.83464)</f>
        <v>3289.83464</v>
      </c>
    </row>
    <row r="2235">
      <c r="A2235" s="3">
        <f>IFERROR(__xludf.DUMMYFUNCTION("""COMPUTED_VALUE"""),42601.99861111111)</f>
        <v>42601.99861</v>
      </c>
      <c r="B2235" s="1">
        <f>IFERROR(__xludf.DUMMYFUNCTION("""COMPUTED_VALUE"""),3271.86)</f>
        <v>3271.86</v>
      </c>
    </row>
    <row r="2236">
      <c r="A2236" s="3">
        <f>IFERROR(__xludf.DUMMYFUNCTION("""COMPUTED_VALUE"""),42602.99861111111)</f>
        <v>42602.99861</v>
      </c>
      <c r="B2236" s="1">
        <f>IFERROR(__xludf.DUMMYFUNCTION("""COMPUTED_VALUE"""),3280.63227)</f>
        <v>3280.63227</v>
      </c>
    </row>
    <row r="2237">
      <c r="A2237" s="3">
        <f>IFERROR(__xludf.DUMMYFUNCTION("""COMPUTED_VALUE"""),42603.99861111111)</f>
        <v>42603.99861</v>
      </c>
      <c r="B2237" s="1">
        <f>IFERROR(__xludf.DUMMYFUNCTION("""COMPUTED_VALUE"""),3281.96637)</f>
        <v>3281.96637</v>
      </c>
    </row>
    <row r="2238">
      <c r="A2238" s="3">
        <f>IFERROR(__xludf.DUMMYFUNCTION("""COMPUTED_VALUE"""),42604.99861111111)</f>
        <v>42604.99861</v>
      </c>
      <c r="B2238" s="1">
        <f>IFERROR(__xludf.DUMMYFUNCTION("""COMPUTED_VALUE"""),3262.22673)</f>
        <v>3262.22673</v>
      </c>
    </row>
    <row r="2239">
      <c r="A2239" s="3">
        <f>IFERROR(__xludf.DUMMYFUNCTION("""COMPUTED_VALUE"""),42605.99861111111)</f>
        <v>42605.99861</v>
      </c>
      <c r="B2239" s="1">
        <f>IFERROR(__xludf.DUMMYFUNCTION("""COMPUTED_VALUE"""),3273.56224)</f>
        <v>3273.56224</v>
      </c>
    </row>
    <row r="2240">
      <c r="A2240" s="3">
        <f>IFERROR(__xludf.DUMMYFUNCTION("""COMPUTED_VALUE"""),42606.99861111111)</f>
        <v>42606.99861</v>
      </c>
      <c r="B2240" s="1">
        <f>IFERROR(__xludf.DUMMYFUNCTION("""COMPUTED_VALUE"""),3265.57798)</f>
        <v>3265.57798</v>
      </c>
    </row>
    <row r="2241">
      <c r="A2241" s="3">
        <f>IFERROR(__xludf.DUMMYFUNCTION("""COMPUTED_VALUE"""),42607.99861111111)</f>
        <v>42607.99861</v>
      </c>
      <c r="B2241" s="1">
        <f>IFERROR(__xludf.DUMMYFUNCTION("""COMPUTED_VALUE"""),3291.76346)</f>
        <v>3291.76346</v>
      </c>
    </row>
    <row r="2242">
      <c r="A2242" s="3">
        <f>IFERROR(__xludf.DUMMYFUNCTION("""COMPUTED_VALUE"""),42608.99861111111)</f>
        <v>42608.99861</v>
      </c>
      <c r="B2242" s="1">
        <f>IFERROR(__xludf.DUMMYFUNCTION("""COMPUTED_VALUE"""),3288.9356)</f>
        <v>3288.9356</v>
      </c>
    </row>
    <row r="2243">
      <c r="A2243" s="3">
        <f>IFERROR(__xludf.DUMMYFUNCTION("""COMPUTED_VALUE"""),42609.99861111111)</f>
        <v>42609.99861</v>
      </c>
      <c r="B2243" s="1">
        <f>IFERROR(__xludf.DUMMYFUNCTION("""COMPUTED_VALUE"""),3294.272018)</f>
        <v>3294.272018</v>
      </c>
    </row>
    <row r="2244">
      <c r="A2244" s="3">
        <f>IFERROR(__xludf.DUMMYFUNCTION("""COMPUTED_VALUE"""),42610.99861111111)</f>
        <v>42610.99861</v>
      </c>
      <c r="B2244" s="1">
        <f>IFERROR(__xludf.DUMMYFUNCTION("""COMPUTED_VALUE"""),3292.4947)</f>
        <v>3292.4947</v>
      </c>
    </row>
    <row r="2245">
      <c r="A2245" s="3">
        <f>IFERROR(__xludf.DUMMYFUNCTION("""COMPUTED_VALUE"""),42611.99861111111)</f>
        <v>42611.99861</v>
      </c>
      <c r="B2245" s="1">
        <f>IFERROR(__xludf.DUMMYFUNCTION("""COMPUTED_VALUE"""),3277.5552)</f>
        <v>3277.5552</v>
      </c>
    </row>
    <row r="2246">
      <c r="A2246" s="3">
        <f>IFERROR(__xludf.DUMMYFUNCTION("""COMPUTED_VALUE"""),42612.99861111111)</f>
        <v>42612.99861</v>
      </c>
      <c r="B2246" s="1">
        <f>IFERROR(__xludf.DUMMYFUNCTION("""COMPUTED_VALUE"""),3264.03159)</f>
        <v>3264.03159</v>
      </c>
    </row>
    <row r="2247">
      <c r="A2247" s="3">
        <f>IFERROR(__xludf.DUMMYFUNCTION("""COMPUTED_VALUE"""),42613.99861111111)</f>
        <v>42613.99861</v>
      </c>
      <c r="B2247" s="1">
        <f>IFERROR(__xludf.DUMMYFUNCTION("""COMPUTED_VALUE"""),3240.1872)</f>
        <v>3240.1872</v>
      </c>
    </row>
    <row r="2248">
      <c r="A2248" s="3">
        <f>IFERROR(__xludf.DUMMYFUNCTION("""COMPUTED_VALUE"""),42614.99861111111)</f>
        <v>42614.99861</v>
      </c>
      <c r="B2248" s="1">
        <f>IFERROR(__xludf.DUMMYFUNCTION("""COMPUTED_VALUE"""),3246.04488)</f>
        <v>3246.04488</v>
      </c>
    </row>
    <row r="2249">
      <c r="A2249" s="3">
        <f>IFERROR(__xludf.DUMMYFUNCTION("""COMPUTED_VALUE"""),42615.99861111111)</f>
        <v>42615.99861</v>
      </c>
      <c r="B2249" s="1">
        <f>IFERROR(__xludf.DUMMYFUNCTION("""COMPUTED_VALUE"""),3227.36505)</f>
        <v>3227.36505</v>
      </c>
    </row>
    <row r="2250">
      <c r="A2250" s="3">
        <f>IFERROR(__xludf.DUMMYFUNCTION("""COMPUTED_VALUE"""),42616.99861111111)</f>
        <v>42616.99861</v>
      </c>
      <c r="B2250" s="1">
        <f>IFERROR(__xludf.DUMMYFUNCTION("""COMPUTED_VALUE"""),3225.51775)</f>
        <v>3225.51775</v>
      </c>
    </row>
    <row r="2251">
      <c r="A2251" s="3">
        <f>IFERROR(__xludf.DUMMYFUNCTION("""COMPUTED_VALUE"""),42617.99861111111)</f>
        <v>42617.99861</v>
      </c>
      <c r="B2251" s="1">
        <f>IFERROR(__xludf.DUMMYFUNCTION("""COMPUTED_VALUE"""),3225.51775)</f>
        <v>3225.51775</v>
      </c>
    </row>
    <row r="2252">
      <c r="A2252" s="3">
        <f>IFERROR(__xludf.DUMMYFUNCTION("""COMPUTED_VALUE"""),42618.99861111111)</f>
        <v>42618.99861</v>
      </c>
      <c r="B2252" s="1">
        <f>IFERROR(__xludf.DUMMYFUNCTION("""COMPUTED_VALUE"""),3220.0875)</f>
        <v>3220.0875</v>
      </c>
    </row>
    <row r="2253">
      <c r="A2253" s="3">
        <f>IFERROR(__xludf.DUMMYFUNCTION("""COMPUTED_VALUE"""),42619.99861111111)</f>
        <v>42619.99861</v>
      </c>
      <c r="B2253" s="1">
        <f>IFERROR(__xludf.DUMMYFUNCTION("""COMPUTED_VALUE"""),3221.4086)</f>
        <v>3221.4086</v>
      </c>
    </row>
    <row r="2254">
      <c r="A2254" s="3">
        <f>IFERROR(__xludf.DUMMYFUNCTION("""COMPUTED_VALUE"""),42620.99861111111)</f>
        <v>42620.99861</v>
      </c>
      <c r="B2254" s="1">
        <f>IFERROR(__xludf.DUMMYFUNCTION("""COMPUTED_VALUE"""),3226.3295)</f>
        <v>3226.3295</v>
      </c>
    </row>
    <row r="2255">
      <c r="A2255" s="3">
        <f>IFERROR(__xludf.DUMMYFUNCTION("""COMPUTED_VALUE"""),42621.99861111111)</f>
        <v>42621.99861</v>
      </c>
      <c r="B2255" s="1">
        <f>IFERROR(__xludf.DUMMYFUNCTION("""COMPUTED_VALUE"""),3204.61707)</f>
        <v>3204.61707</v>
      </c>
    </row>
    <row r="2256">
      <c r="A2256" s="3">
        <f>IFERROR(__xludf.DUMMYFUNCTION("""COMPUTED_VALUE"""),42622.99861111111)</f>
        <v>42622.99861</v>
      </c>
      <c r="B2256" s="1">
        <f>IFERROR(__xludf.DUMMYFUNCTION("""COMPUTED_VALUE"""),3209.39012)</f>
        <v>3209.39012</v>
      </c>
    </row>
    <row r="2257">
      <c r="A2257" s="3">
        <f>IFERROR(__xludf.DUMMYFUNCTION("""COMPUTED_VALUE"""),42623.99861111111)</f>
        <v>42623.99861</v>
      </c>
      <c r="B2257" s="1">
        <f>IFERROR(__xludf.DUMMYFUNCTION("""COMPUTED_VALUE"""),3206.55951)</f>
        <v>3206.55951</v>
      </c>
    </row>
    <row r="2258">
      <c r="A2258" s="3">
        <f>IFERROR(__xludf.DUMMYFUNCTION("""COMPUTED_VALUE"""),42624.99861111111)</f>
        <v>42624.99861</v>
      </c>
      <c r="B2258" s="1">
        <f>IFERROR(__xludf.DUMMYFUNCTION("""COMPUTED_VALUE"""),3208.75128)</f>
        <v>3208.75128</v>
      </c>
    </row>
    <row r="2259">
      <c r="A2259" s="3">
        <f>IFERROR(__xludf.DUMMYFUNCTION("""COMPUTED_VALUE"""),42625.99861111111)</f>
        <v>42625.99861</v>
      </c>
      <c r="B2259" s="1">
        <f>IFERROR(__xludf.DUMMYFUNCTION("""COMPUTED_VALUE"""),3216.20724)</f>
        <v>3216.20724</v>
      </c>
    </row>
    <row r="2260">
      <c r="A2260" s="3">
        <f>IFERROR(__xludf.DUMMYFUNCTION("""COMPUTED_VALUE"""),42626.99861111111)</f>
        <v>42626.99861</v>
      </c>
      <c r="B2260" s="1">
        <f>IFERROR(__xludf.DUMMYFUNCTION("""COMPUTED_VALUE"""),3204.45441)</f>
        <v>3204.45441</v>
      </c>
    </row>
    <row r="2261">
      <c r="A2261" s="3">
        <f>IFERROR(__xludf.DUMMYFUNCTION("""COMPUTED_VALUE"""),42627.99861111111)</f>
        <v>42627.99861</v>
      </c>
      <c r="B2261" s="1">
        <f>IFERROR(__xludf.DUMMYFUNCTION("""COMPUTED_VALUE"""),3192.35391)</f>
        <v>3192.35391</v>
      </c>
    </row>
    <row r="2262">
      <c r="A2262" s="3">
        <f>IFERROR(__xludf.DUMMYFUNCTION("""COMPUTED_VALUE"""),42628.99861111111)</f>
        <v>42628.99861</v>
      </c>
      <c r="B2262" s="1">
        <f>IFERROR(__xludf.DUMMYFUNCTION("""COMPUTED_VALUE"""),3176.2476)</f>
        <v>3176.2476</v>
      </c>
    </row>
    <row r="2263">
      <c r="A2263" s="3">
        <f>IFERROR(__xludf.DUMMYFUNCTION("""COMPUTED_VALUE"""),42629.99861111111)</f>
        <v>42629.99861</v>
      </c>
      <c r="B2263" s="1">
        <f>IFERROR(__xludf.DUMMYFUNCTION("""COMPUTED_VALUE"""),3181.36547)</f>
        <v>3181.36547</v>
      </c>
    </row>
    <row r="2264">
      <c r="A2264" s="3">
        <f>IFERROR(__xludf.DUMMYFUNCTION("""COMPUTED_VALUE"""),42630.99861111111)</f>
        <v>42630.99861</v>
      </c>
      <c r="B2264" s="1">
        <f>IFERROR(__xludf.DUMMYFUNCTION("""COMPUTED_VALUE"""),3184.321338)</f>
        <v>3184.321338</v>
      </c>
    </row>
    <row r="2265">
      <c r="A2265" s="3">
        <f>IFERROR(__xludf.DUMMYFUNCTION("""COMPUTED_VALUE"""),42631.99861111111)</f>
        <v>42631.99861</v>
      </c>
      <c r="B2265" s="1">
        <f>IFERROR(__xludf.DUMMYFUNCTION("""COMPUTED_VALUE"""),3180.97058)</f>
        <v>3180.97058</v>
      </c>
    </row>
    <row r="2266">
      <c r="A2266" s="3">
        <f>IFERROR(__xludf.DUMMYFUNCTION("""COMPUTED_VALUE"""),42632.99861111111)</f>
        <v>42632.99861</v>
      </c>
      <c r="B2266" s="1">
        <f>IFERROR(__xludf.DUMMYFUNCTION("""COMPUTED_VALUE"""),3175.56491)</f>
        <v>3175.56491</v>
      </c>
    </row>
    <row r="2267">
      <c r="A2267" s="3">
        <f>IFERROR(__xludf.DUMMYFUNCTION("""COMPUTED_VALUE"""),42633.99861111111)</f>
        <v>42633.99861</v>
      </c>
      <c r="B2267" s="1">
        <f>IFERROR(__xludf.DUMMYFUNCTION("""COMPUTED_VALUE"""),3178.9728)</f>
        <v>3178.9728</v>
      </c>
    </row>
    <row r="2268">
      <c r="A2268" s="3">
        <f>IFERROR(__xludf.DUMMYFUNCTION("""COMPUTED_VALUE"""),42634.99861111111)</f>
        <v>42634.99861</v>
      </c>
      <c r="B2268" s="1">
        <f>IFERROR(__xludf.DUMMYFUNCTION("""COMPUTED_VALUE"""),3181.97344)</f>
        <v>3181.97344</v>
      </c>
    </row>
    <row r="2269">
      <c r="A2269" s="3">
        <f>IFERROR(__xludf.DUMMYFUNCTION("""COMPUTED_VALUE"""),42635.99861111111)</f>
        <v>42635.99861</v>
      </c>
      <c r="B2269" s="1">
        <f>IFERROR(__xludf.DUMMYFUNCTION("""COMPUTED_VALUE"""),3176.93964)</f>
        <v>3176.93964</v>
      </c>
    </row>
    <row r="2270">
      <c r="A2270" s="3">
        <f>IFERROR(__xludf.DUMMYFUNCTION("""COMPUTED_VALUE"""),42636.99861111111)</f>
        <v>42636.99861</v>
      </c>
      <c r="B2270" s="1">
        <f>IFERROR(__xludf.DUMMYFUNCTION("""COMPUTED_VALUE"""),3161.15446)</f>
        <v>3161.15446</v>
      </c>
    </row>
    <row r="2271">
      <c r="A2271" s="3">
        <f>IFERROR(__xludf.DUMMYFUNCTION("""COMPUTED_VALUE"""),42637.99861111111)</f>
        <v>42637.99861</v>
      </c>
      <c r="B2271" s="1">
        <f>IFERROR(__xludf.DUMMYFUNCTION("""COMPUTED_VALUE"""),3172.7228)</f>
        <v>3172.7228</v>
      </c>
    </row>
    <row r="2272">
      <c r="A2272" s="3">
        <f>IFERROR(__xludf.DUMMYFUNCTION("""COMPUTED_VALUE"""),42638.99861111111)</f>
        <v>42638.99861</v>
      </c>
      <c r="B2272" s="1">
        <f>IFERROR(__xludf.DUMMYFUNCTION("""COMPUTED_VALUE"""),3166.6578)</f>
        <v>3166.6578</v>
      </c>
    </row>
    <row r="2273">
      <c r="A2273" s="3">
        <f>IFERROR(__xludf.DUMMYFUNCTION("""COMPUTED_VALUE"""),42639.99861111111)</f>
        <v>42639.99861</v>
      </c>
      <c r="B2273" s="1">
        <f>IFERROR(__xludf.DUMMYFUNCTION("""COMPUTED_VALUE"""),3150.61357)</f>
        <v>3150.61357</v>
      </c>
    </row>
    <row r="2274">
      <c r="A2274" s="3">
        <f>IFERROR(__xludf.DUMMYFUNCTION("""COMPUTED_VALUE"""),42640.99861111111)</f>
        <v>42640.99861</v>
      </c>
      <c r="B2274" s="1">
        <f>IFERROR(__xludf.DUMMYFUNCTION("""COMPUTED_VALUE"""),3123.07226)</f>
        <v>3123.07226</v>
      </c>
    </row>
    <row r="2275">
      <c r="A2275" s="3">
        <f>IFERROR(__xludf.DUMMYFUNCTION("""COMPUTED_VALUE"""),42641.99861111111)</f>
        <v>42641.99861</v>
      </c>
      <c r="B2275" s="1">
        <f>IFERROR(__xludf.DUMMYFUNCTION("""COMPUTED_VALUE"""),3144.71298)</f>
        <v>3144.71298</v>
      </c>
    </row>
    <row r="2276">
      <c r="A2276" s="3">
        <f>IFERROR(__xludf.DUMMYFUNCTION("""COMPUTED_VALUE"""),42642.99861111111)</f>
        <v>42642.99861</v>
      </c>
      <c r="B2276" s="1">
        <f>IFERROR(__xludf.DUMMYFUNCTION("""COMPUTED_VALUE"""),3143.99537)</f>
        <v>3143.99537</v>
      </c>
    </row>
    <row r="2277">
      <c r="A2277" s="3">
        <f>IFERROR(__xludf.DUMMYFUNCTION("""COMPUTED_VALUE"""),42643.99861111111)</f>
        <v>42643.99861</v>
      </c>
      <c r="B2277" s="1">
        <f>IFERROR(__xludf.DUMMYFUNCTION("""COMPUTED_VALUE"""),3151.73052)</f>
        <v>3151.73052</v>
      </c>
    </row>
    <row r="2278">
      <c r="A2278" s="3">
        <f>IFERROR(__xludf.DUMMYFUNCTION("""COMPUTED_VALUE"""),42644.99861111111)</f>
        <v>42644.99861</v>
      </c>
      <c r="B2278" s="1">
        <f>IFERROR(__xludf.DUMMYFUNCTION("""COMPUTED_VALUE"""),3150.33532)</f>
        <v>3150.33532</v>
      </c>
    </row>
    <row r="2279">
      <c r="A2279" s="3">
        <f>IFERROR(__xludf.DUMMYFUNCTION("""COMPUTED_VALUE"""),42645.99861111111)</f>
        <v>42645.99861</v>
      </c>
      <c r="B2279" s="1">
        <f>IFERROR(__xludf.DUMMYFUNCTION("""COMPUTED_VALUE"""),3139.19826)</f>
        <v>3139.19826</v>
      </c>
    </row>
    <row r="2280">
      <c r="A2280" s="3">
        <f>IFERROR(__xludf.DUMMYFUNCTION("""COMPUTED_VALUE"""),42646.99861111111)</f>
        <v>42646.99861</v>
      </c>
      <c r="B2280" s="1">
        <f>IFERROR(__xludf.DUMMYFUNCTION("""COMPUTED_VALUE"""),3153.0065)</f>
        <v>3153.0065</v>
      </c>
    </row>
    <row r="2281">
      <c r="A2281" s="3">
        <f>IFERROR(__xludf.DUMMYFUNCTION("""COMPUTED_VALUE"""),42647.99861111111)</f>
        <v>42647.99861</v>
      </c>
      <c r="B2281" s="1">
        <f>IFERROR(__xludf.DUMMYFUNCTION("""COMPUTED_VALUE"""),3139.03759)</f>
        <v>3139.03759</v>
      </c>
    </row>
    <row r="2282">
      <c r="A2282" s="3">
        <f>IFERROR(__xludf.DUMMYFUNCTION("""COMPUTED_VALUE"""),42648.99861111111)</f>
        <v>42648.99861</v>
      </c>
      <c r="B2282" s="1">
        <f>IFERROR(__xludf.DUMMYFUNCTION("""COMPUTED_VALUE"""),3140.53848)</f>
        <v>3140.53848</v>
      </c>
    </row>
    <row r="2283">
      <c r="A2283" s="3">
        <f>IFERROR(__xludf.DUMMYFUNCTION("""COMPUTED_VALUE"""),42649.99861111111)</f>
        <v>42649.99861</v>
      </c>
      <c r="B2283" s="1">
        <f>IFERROR(__xludf.DUMMYFUNCTION("""COMPUTED_VALUE"""),3127.7025)</f>
        <v>3127.7025</v>
      </c>
    </row>
    <row r="2284">
      <c r="A2284" s="3">
        <f>IFERROR(__xludf.DUMMYFUNCTION("""COMPUTED_VALUE"""),42650.99861111111)</f>
        <v>42650.99861</v>
      </c>
      <c r="B2284" s="1">
        <f>IFERROR(__xludf.DUMMYFUNCTION("""COMPUTED_VALUE"""),3123.4168)</f>
        <v>3123.4168</v>
      </c>
    </row>
    <row r="2285">
      <c r="A2285" s="3">
        <f>IFERROR(__xludf.DUMMYFUNCTION("""COMPUTED_VALUE"""),42651.99861111111)</f>
        <v>42651.99861</v>
      </c>
      <c r="B2285" s="1">
        <f>IFERROR(__xludf.DUMMYFUNCTION("""COMPUTED_VALUE"""),3123.214528)</f>
        <v>3123.214528</v>
      </c>
    </row>
    <row r="2286">
      <c r="A2286" s="3">
        <f>IFERROR(__xludf.DUMMYFUNCTION("""COMPUTED_VALUE"""),42652.99861111111)</f>
        <v>42652.99861</v>
      </c>
      <c r="B2286" s="1">
        <f>IFERROR(__xludf.DUMMYFUNCTION("""COMPUTED_VALUE"""),3119.34152)</f>
        <v>3119.34152</v>
      </c>
    </row>
    <row r="2287">
      <c r="A2287" s="3">
        <f>IFERROR(__xludf.DUMMYFUNCTION("""COMPUTED_VALUE"""),42653.99861111111)</f>
        <v>42653.99861</v>
      </c>
      <c r="B2287" s="1">
        <f>IFERROR(__xludf.DUMMYFUNCTION("""COMPUTED_VALUE"""),3127.96274)</f>
        <v>3127.96274</v>
      </c>
    </row>
    <row r="2288">
      <c r="A2288" s="3">
        <f>IFERROR(__xludf.DUMMYFUNCTION("""COMPUTED_VALUE"""),42654.99861111111)</f>
        <v>42654.99861</v>
      </c>
      <c r="B2288" s="1">
        <f>IFERROR(__xludf.DUMMYFUNCTION("""COMPUTED_VALUE"""),3113.05896)</f>
        <v>3113.05896</v>
      </c>
    </row>
    <row r="2289">
      <c r="A2289" s="3">
        <f>IFERROR(__xludf.DUMMYFUNCTION("""COMPUTED_VALUE"""),42655.99861111111)</f>
        <v>42655.99861</v>
      </c>
      <c r="B2289" s="1">
        <f>IFERROR(__xludf.DUMMYFUNCTION("""COMPUTED_VALUE"""),3099.43333)</f>
        <v>3099.43333</v>
      </c>
    </row>
    <row r="2290">
      <c r="A2290" s="3">
        <f>IFERROR(__xludf.DUMMYFUNCTION("""COMPUTED_VALUE"""),42656.99861111111)</f>
        <v>42656.99861</v>
      </c>
      <c r="B2290" s="1">
        <f>IFERROR(__xludf.DUMMYFUNCTION("""COMPUTED_VALUE"""),3104.472)</f>
        <v>3104.472</v>
      </c>
    </row>
    <row r="2291">
      <c r="A2291" s="3">
        <f>IFERROR(__xludf.DUMMYFUNCTION("""COMPUTED_VALUE"""),42657.99861111111)</f>
        <v>42657.99861</v>
      </c>
      <c r="B2291" s="1">
        <f>IFERROR(__xludf.DUMMYFUNCTION("""COMPUTED_VALUE"""),3102.97267)</f>
        <v>3102.97267</v>
      </c>
    </row>
    <row r="2292">
      <c r="A2292" s="3">
        <f>IFERROR(__xludf.DUMMYFUNCTION("""COMPUTED_VALUE"""),42658.99861111111)</f>
        <v>42658.99861</v>
      </c>
      <c r="B2292" s="1">
        <f>IFERROR(__xludf.DUMMYFUNCTION("""COMPUTED_VALUE"""),3106.025)</f>
        <v>3106.025</v>
      </c>
    </row>
    <row r="2293">
      <c r="A2293" s="3">
        <f>IFERROR(__xludf.DUMMYFUNCTION("""COMPUTED_VALUE"""),42659.99861111111)</f>
        <v>42659.99861</v>
      </c>
      <c r="B2293" s="1">
        <f>IFERROR(__xludf.DUMMYFUNCTION("""COMPUTED_VALUE"""),3109.35)</f>
        <v>3109.35</v>
      </c>
    </row>
    <row r="2294">
      <c r="A2294" s="3">
        <f>IFERROR(__xludf.DUMMYFUNCTION("""COMPUTED_VALUE"""),42660.99861111111)</f>
        <v>42660.99861</v>
      </c>
      <c r="B2294" s="1">
        <f>IFERROR(__xludf.DUMMYFUNCTION("""COMPUTED_VALUE"""),3094.65312)</f>
        <v>3094.65312</v>
      </c>
    </row>
    <row r="2295">
      <c r="A2295" s="3">
        <f>IFERROR(__xludf.DUMMYFUNCTION("""COMPUTED_VALUE"""),42661.99861111111)</f>
        <v>42661.99861</v>
      </c>
      <c r="B2295" s="1">
        <f>IFERROR(__xludf.DUMMYFUNCTION("""COMPUTED_VALUE"""),3101.2338)</f>
        <v>3101.2338</v>
      </c>
    </row>
    <row r="2296">
      <c r="A2296" s="3">
        <f>IFERROR(__xludf.DUMMYFUNCTION("""COMPUTED_VALUE"""),42662.99861111111)</f>
        <v>42662.99861</v>
      </c>
      <c r="B2296" s="1">
        <f>IFERROR(__xludf.DUMMYFUNCTION("""COMPUTED_VALUE"""),3109.64784)</f>
        <v>3109.64784</v>
      </c>
    </row>
    <row r="2297">
      <c r="A2297" s="3">
        <f>IFERROR(__xludf.DUMMYFUNCTION("""COMPUTED_VALUE"""),42663.99861111111)</f>
        <v>42663.99861</v>
      </c>
      <c r="B2297" s="1">
        <f>IFERROR(__xludf.DUMMYFUNCTION("""COMPUTED_VALUE"""),3109.88565)</f>
        <v>3109.88565</v>
      </c>
    </row>
    <row r="2298">
      <c r="A2298" s="3">
        <f>IFERROR(__xludf.DUMMYFUNCTION("""COMPUTED_VALUE"""),42664.99861111111)</f>
        <v>42664.99861</v>
      </c>
      <c r="B2298" s="1">
        <f>IFERROR(__xludf.DUMMYFUNCTION("""COMPUTED_VALUE"""),3111.32493)</f>
        <v>3111.32493</v>
      </c>
    </row>
    <row r="2299">
      <c r="A2299" s="3">
        <f>IFERROR(__xludf.DUMMYFUNCTION("""COMPUTED_VALUE"""),42665.99861111111)</f>
        <v>42665.99861</v>
      </c>
      <c r="B2299" s="1">
        <f>IFERROR(__xludf.DUMMYFUNCTION("""COMPUTED_VALUE"""),3116.29802)</f>
        <v>3116.29802</v>
      </c>
    </row>
    <row r="2300">
      <c r="A2300" s="3">
        <f>IFERROR(__xludf.DUMMYFUNCTION("""COMPUTED_VALUE"""),42666.99861111111)</f>
        <v>42666.99861</v>
      </c>
      <c r="B2300" s="1">
        <f>IFERROR(__xludf.DUMMYFUNCTION("""COMPUTED_VALUE"""),3117.2535)</f>
        <v>3117.2535</v>
      </c>
    </row>
    <row r="2301">
      <c r="A2301" s="3">
        <f>IFERROR(__xludf.DUMMYFUNCTION("""COMPUTED_VALUE"""),42667.99861111111)</f>
        <v>42667.99861</v>
      </c>
      <c r="B2301" s="1">
        <f>IFERROR(__xludf.DUMMYFUNCTION("""COMPUTED_VALUE"""),3117.80532)</f>
        <v>3117.80532</v>
      </c>
    </row>
    <row r="2302">
      <c r="A2302" s="3">
        <f>IFERROR(__xludf.DUMMYFUNCTION("""COMPUTED_VALUE"""),42668.99861111111)</f>
        <v>42668.99861</v>
      </c>
      <c r="B2302" s="1">
        <f>IFERROR(__xludf.DUMMYFUNCTION("""COMPUTED_VALUE"""),3122.15536)</f>
        <v>3122.15536</v>
      </c>
    </row>
    <row r="2303">
      <c r="A2303" s="3">
        <f>IFERROR(__xludf.DUMMYFUNCTION("""COMPUTED_VALUE"""),42669.99861111111)</f>
        <v>42669.99861</v>
      </c>
      <c r="B2303" s="1">
        <f>IFERROR(__xludf.DUMMYFUNCTION("""COMPUTED_VALUE"""),3127.58336)</f>
        <v>3127.58336</v>
      </c>
    </row>
    <row r="2304">
      <c r="A2304" s="3">
        <f>IFERROR(__xludf.DUMMYFUNCTION("""COMPUTED_VALUE"""),42670.99861111111)</f>
        <v>42670.99861</v>
      </c>
      <c r="B2304" s="1">
        <f>IFERROR(__xludf.DUMMYFUNCTION("""COMPUTED_VALUE"""),3106.87506)</f>
        <v>3106.87506</v>
      </c>
    </row>
    <row r="2305">
      <c r="A2305" s="3">
        <f>IFERROR(__xludf.DUMMYFUNCTION("""COMPUTED_VALUE"""),42671.99861111111)</f>
        <v>42671.99861</v>
      </c>
      <c r="B2305" s="1">
        <f>IFERROR(__xludf.DUMMYFUNCTION("""COMPUTED_VALUE"""),3107.81833)</f>
        <v>3107.81833</v>
      </c>
    </row>
    <row r="2306">
      <c r="A2306" s="3">
        <f>IFERROR(__xludf.DUMMYFUNCTION("""COMPUTED_VALUE"""),42672.99861111111)</f>
        <v>42672.99861</v>
      </c>
      <c r="B2306" s="1">
        <f>IFERROR(__xludf.DUMMYFUNCTION("""COMPUTED_VALUE"""),3106.77329)</f>
        <v>3106.77329</v>
      </c>
    </row>
    <row r="2307">
      <c r="A2307" s="3">
        <f>IFERROR(__xludf.DUMMYFUNCTION("""COMPUTED_VALUE"""),42673.99861111111)</f>
        <v>42673.99861</v>
      </c>
      <c r="B2307" s="1">
        <f>IFERROR(__xludf.DUMMYFUNCTION("""COMPUTED_VALUE"""),3106.77329)</f>
        <v>3106.77329</v>
      </c>
    </row>
    <row r="2308">
      <c r="A2308" s="3">
        <f>IFERROR(__xludf.DUMMYFUNCTION("""COMPUTED_VALUE"""),42674.99861111111)</f>
        <v>42674.99861</v>
      </c>
      <c r="B2308" s="1">
        <f>IFERROR(__xludf.DUMMYFUNCTION("""COMPUTED_VALUE"""),3095.7927)</f>
        <v>3095.7927</v>
      </c>
    </row>
    <row r="2309">
      <c r="A2309" s="3">
        <f>IFERROR(__xludf.DUMMYFUNCTION("""COMPUTED_VALUE"""),42675.99861111111)</f>
        <v>42675.99861</v>
      </c>
      <c r="B2309" s="1">
        <f>IFERROR(__xludf.DUMMYFUNCTION("""COMPUTED_VALUE"""),3105.91236)</f>
        <v>3105.91236</v>
      </c>
    </row>
    <row r="2310">
      <c r="A2310" s="3">
        <f>IFERROR(__xludf.DUMMYFUNCTION("""COMPUTED_VALUE"""),42676.99861111111)</f>
        <v>42676.99861</v>
      </c>
      <c r="B2310" s="1">
        <f>IFERROR(__xludf.DUMMYFUNCTION("""COMPUTED_VALUE"""),3117.21124)</f>
        <v>3117.21124</v>
      </c>
    </row>
    <row r="2311">
      <c r="A2311" s="3">
        <f>IFERROR(__xludf.DUMMYFUNCTION("""COMPUTED_VALUE"""),42677.99861111111)</f>
        <v>42677.99861</v>
      </c>
      <c r="B2311" s="1">
        <f>IFERROR(__xludf.DUMMYFUNCTION("""COMPUTED_VALUE"""),3106.00224)</f>
        <v>3106.00224</v>
      </c>
    </row>
    <row r="2312">
      <c r="A2312" s="3">
        <f>IFERROR(__xludf.DUMMYFUNCTION("""COMPUTED_VALUE"""),42678.99861111111)</f>
        <v>42678.99861</v>
      </c>
      <c r="B2312" s="1">
        <f>IFERROR(__xludf.DUMMYFUNCTION("""COMPUTED_VALUE"""),3112.76394)</f>
        <v>3112.76394</v>
      </c>
    </row>
    <row r="2313">
      <c r="A2313" s="3">
        <f>IFERROR(__xludf.DUMMYFUNCTION("""COMPUTED_VALUE"""),42679.99861111111)</f>
        <v>42679.99861</v>
      </c>
      <c r="B2313" s="1">
        <f>IFERROR(__xludf.DUMMYFUNCTION("""COMPUTED_VALUE"""),3112.76394)</f>
        <v>3112.76394</v>
      </c>
    </row>
    <row r="2314">
      <c r="A2314" s="3">
        <f>IFERROR(__xludf.DUMMYFUNCTION("""COMPUTED_VALUE"""),42680.99861111111)</f>
        <v>42680.99861</v>
      </c>
      <c r="B2314" s="1">
        <f>IFERROR(__xludf.DUMMYFUNCTION("""COMPUTED_VALUE"""),3113.2387)</f>
        <v>3113.2387</v>
      </c>
    </row>
    <row r="2315">
      <c r="A2315" s="3">
        <f>IFERROR(__xludf.DUMMYFUNCTION("""COMPUTED_VALUE"""),42681.99861111111)</f>
        <v>42681.99861</v>
      </c>
      <c r="B2315" s="1">
        <f>IFERROR(__xludf.DUMMYFUNCTION("""COMPUTED_VALUE"""),3105.5451)</f>
        <v>3105.5451</v>
      </c>
    </row>
    <row r="2316">
      <c r="A2316" s="3">
        <f>IFERROR(__xludf.DUMMYFUNCTION("""COMPUTED_VALUE"""),42682.99861111111)</f>
        <v>42682.99861</v>
      </c>
      <c r="B2316" s="1">
        <f>IFERROR(__xludf.DUMMYFUNCTION("""COMPUTED_VALUE"""),3117.71187)</f>
        <v>3117.71187</v>
      </c>
    </row>
    <row r="2317">
      <c r="A2317" s="3">
        <f>IFERROR(__xludf.DUMMYFUNCTION("""COMPUTED_VALUE"""),42683.99861111111)</f>
        <v>42683.99861</v>
      </c>
      <c r="B2317" s="1">
        <f>IFERROR(__xludf.DUMMYFUNCTION("""COMPUTED_VALUE"""),3087.72048)</f>
        <v>3087.72048</v>
      </c>
    </row>
    <row r="2318">
      <c r="A2318" s="3">
        <f>IFERROR(__xludf.DUMMYFUNCTION("""COMPUTED_VALUE"""),42684.99861111111)</f>
        <v>42684.99861</v>
      </c>
      <c r="B2318" s="1">
        <f>IFERROR(__xludf.DUMMYFUNCTION("""COMPUTED_VALUE"""),3116.81544)</f>
        <v>3116.81544</v>
      </c>
    </row>
    <row r="2319">
      <c r="A2319" s="3">
        <f>IFERROR(__xludf.DUMMYFUNCTION("""COMPUTED_VALUE"""),42685.99861111111)</f>
        <v>42685.99861</v>
      </c>
      <c r="B2319" s="1">
        <f>IFERROR(__xludf.DUMMYFUNCTION("""COMPUTED_VALUE"""),3021.31244)</f>
        <v>3021.31244</v>
      </c>
    </row>
    <row r="2320">
      <c r="A2320" s="3">
        <f>IFERROR(__xludf.DUMMYFUNCTION("""COMPUTED_VALUE"""),42686.99861111111)</f>
        <v>42686.99861</v>
      </c>
      <c r="B2320" s="1">
        <f>IFERROR(__xludf.DUMMYFUNCTION("""COMPUTED_VALUE"""),3056.485691)</f>
        <v>3056.485691</v>
      </c>
    </row>
    <row r="2321">
      <c r="A2321" s="3">
        <f>IFERROR(__xludf.DUMMYFUNCTION("""COMPUTED_VALUE"""),42687.99861111111)</f>
        <v>42687.99861</v>
      </c>
      <c r="B2321" s="1">
        <f>IFERROR(__xludf.DUMMYFUNCTION("""COMPUTED_VALUE"""),3017.69356)</f>
        <v>3017.69356</v>
      </c>
    </row>
    <row r="2322">
      <c r="A2322" s="3">
        <f>IFERROR(__xludf.DUMMYFUNCTION("""COMPUTED_VALUE"""),42688.99861111111)</f>
        <v>42688.99861</v>
      </c>
      <c r="B2322" s="1">
        <f>IFERROR(__xludf.DUMMYFUNCTION("""COMPUTED_VALUE"""),3096.64672)</f>
        <v>3096.64672</v>
      </c>
    </row>
    <row r="2323">
      <c r="A2323" s="3">
        <f>IFERROR(__xludf.DUMMYFUNCTION("""COMPUTED_VALUE"""),42689.99861111111)</f>
        <v>42689.99861</v>
      </c>
      <c r="B2323" s="1">
        <f>IFERROR(__xludf.DUMMYFUNCTION("""COMPUTED_VALUE"""),3071.57536)</f>
        <v>3071.57536</v>
      </c>
    </row>
    <row r="2324">
      <c r="A2324" s="3">
        <f>IFERROR(__xludf.DUMMYFUNCTION("""COMPUTED_VALUE"""),42690.99861111111)</f>
        <v>42690.99861</v>
      </c>
      <c r="B2324" s="1">
        <f>IFERROR(__xludf.DUMMYFUNCTION("""COMPUTED_VALUE"""),3030.39192)</f>
        <v>3030.39192</v>
      </c>
    </row>
    <row r="2325">
      <c r="A2325" s="3">
        <f>IFERROR(__xludf.DUMMYFUNCTION("""COMPUTED_VALUE"""),42691.99861111111)</f>
        <v>42691.99861</v>
      </c>
      <c r="B2325" s="1">
        <f>IFERROR(__xludf.DUMMYFUNCTION("""COMPUTED_VALUE"""),3050.33195)</f>
        <v>3050.33195</v>
      </c>
    </row>
    <row r="2326">
      <c r="A2326" s="3">
        <f>IFERROR(__xludf.DUMMYFUNCTION("""COMPUTED_VALUE"""),42692.99861111111)</f>
        <v>42692.99861</v>
      </c>
      <c r="B2326" s="1">
        <f>IFERROR(__xludf.DUMMYFUNCTION("""COMPUTED_VALUE"""),3024.0469)</f>
        <v>3024.0469</v>
      </c>
    </row>
    <row r="2327">
      <c r="A2327" s="3">
        <f>IFERROR(__xludf.DUMMYFUNCTION("""COMPUTED_VALUE"""),42693.99861111111)</f>
        <v>42693.99861</v>
      </c>
      <c r="B2327" s="1">
        <f>IFERROR(__xludf.DUMMYFUNCTION("""COMPUTED_VALUE"""),3025.400174)</f>
        <v>3025.400174</v>
      </c>
    </row>
    <row r="2328">
      <c r="A2328" s="3">
        <f>IFERROR(__xludf.DUMMYFUNCTION("""COMPUTED_VALUE"""),42694.99861111111)</f>
        <v>42694.99861</v>
      </c>
      <c r="B2328" s="1">
        <f>IFERROR(__xludf.DUMMYFUNCTION("""COMPUTED_VALUE"""),3050.2977)</f>
        <v>3050.2977</v>
      </c>
    </row>
    <row r="2329">
      <c r="A2329" s="3">
        <f>IFERROR(__xludf.DUMMYFUNCTION("""COMPUTED_VALUE"""),42695.99861111111)</f>
        <v>42695.99861</v>
      </c>
      <c r="B2329" s="1">
        <f>IFERROR(__xludf.DUMMYFUNCTION("""COMPUTED_VALUE"""),3035.1356)</f>
        <v>3035.1356</v>
      </c>
    </row>
    <row r="2330">
      <c r="A2330" s="3">
        <f>IFERROR(__xludf.DUMMYFUNCTION("""COMPUTED_VALUE"""),42696.99861111111)</f>
        <v>42696.99861</v>
      </c>
      <c r="B2330" s="1">
        <f>IFERROR(__xludf.DUMMYFUNCTION("""COMPUTED_VALUE"""),3037.24384)</f>
        <v>3037.24384</v>
      </c>
    </row>
    <row r="2331">
      <c r="A2331" s="3">
        <f>IFERROR(__xludf.DUMMYFUNCTION("""COMPUTED_VALUE"""),42697.99861111111)</f>
        <v>42697.99861</v>
      </c>
      <c r="B2331" s="1">
        <f>IFERROR(__xludf.DUMMYFUNCTION("""COMPUTED_VALUE"""),3090.69398)</f>
        <v>3090.69398</v>
      </c>
    </row>
    <row r="2332">
      <c r="A2332" s="3">
        <f>IFERROR(__xludf.DUMMYFUNCTION("""COMPUTED_VALUE"""),42698.99861111111)</f>
        <v>42698.99861</v>
      </c>
      <c r="B2332" s="1">
        <f>IFERROR(__xludf.DUMMYFUNCTION("""COMPUTED_VALUE"""),3050.14326)</f>
        <v>3050.14326</v>
      </c>
    </row>
    <row r="2333">
      <c r="A2333" s="3">
        <f>IFERROR(__xludf.DUMMYFUNCTION("""COMPUTED_VALUE"""),42699.99861111111)</f>
        <v>42699.99861</v>
      </c>
      <c r="B2333" s="1">
        <f>IFERROR(__xludf.DUMMYFUNCTION("""COMPUTED_VALUE"""),3043.1219)</f>
        <v>3043.1219</v>
      </c>
    </row>
    <row r="2334">
      <c r="A2334" s="3">
        <f>IFERROR(__xludf.DUMMYFUNCTION("""COMPUTED_VALUE"""),42700.99861111111)</f>
        <v>42700.99861</v>
      </c>
      <c r="B2334" s="1">
        <f>IFERROR(__xludf.DUMMYFUNCTION("""COMPUTED_VALUE"""),3037.751537)</f>
        <v>3037.751537</v>
      </c>
    </row>
    <row r="2335">
      <c r="A2335" s="3">
        <f>IFERROR(__xludf.DUMMYFUNCTION("""COMPUTED_VALUE"""),42701.99861111111)</f>
        <v>42701.99861</v>
      </c>
      <c r="B2335" s="1">
        <f>IFERROR(__xludf.DUMMYFUNCTION("""COMPUTED_VALUE"""),3031.652)</f>
        <v>3031.652</v>
      </c>
    </row>
    <row r="2336">
      <c r="A2336" s="3">
        <f>IFERROR(__xludf.DUMMYFUNCTION("""COMPUTED_VALUE"""),42702.99861111111)</f>
        <v>42702.99861</v>
      </c>
      <c r="B2336" s="1">
        <f>IFERROR(__xludf.DUMMYFUNCTION("""COMPUTED_VALUE"""),3019.43079)</f>
        <v>3019.43079</v>
      </c>
    </row>
    <row r="2337">
      <c r="A2337" s="3">
        <f>IFERROR(__xludf.DUMMYFUNCTION("""COMPUTED_VALUE"""),42703.99861111111)</f>
        <v>42703.99861</v>
      </c>
      <c r="B2337" s="1">
        <f>IFERROR(__xludf.DUMMYFUNCTION("""COMPUTED_VALUE"""),3024.04294)</f>
        <v>3024.04294</v>
      </c>
    </row>
    <row r="2338">
      <c r="A2338" s="3">
        <f>IFERROR(__xludf.DUMMYFUNCTION("""COMPUTED_VALUE"""),42704.99861111111)</f>
        <v>42704.99861</v>
      </c>
      <c r="B2338" s="1">
        <f>IFERROR(__xludf.DUMMYFUNCTION("""COMPUTED_VALUE"""),3034.56348)</f>
        <v>3034.56348</v>
      </c>
    </row>
    <row r="2339">
      <c r="A2339" s="3">
        <f>IFERROR(__xludf.DUMMYFUNCTION("""COMPUTED_VALUE"""),42705.99861111111)</f>
        <v>42705.99861</v>
      </c>
      <c r="B2339" s="1">
        <f>IFERROR(__xludf.DUMMYFUNCTION("""COMPUTED_VALUE"""),3027.49128)</f>
        <v>3027.49128</v>
      </c>
    </row>
    <row r="2340">
      <c r="A2340" s="3">
        <f>IFERROR(__xludf.DUMMYFUNCTION("""COMPUTED_VALUE"""),42706.99861111111)</f>
        <v>42706.99861</v>
      </c>
      <c r="B2340" s="1">
        <f>IFERROR(__xludf.DUMMYFUNCTION("""COMPUTED_VALUE"""),3014.6362)</f>
        <v>3014.6362</v>
      </c>
    </row>
    <row r="2341">
      <c r="A2341" s="3">
        <f>IFERROR(__xludf.DUMMYFUNCTION("""COMPUTED_VALUE"""),42707.99861111111)</f>
        <v>42707.99861</v>
      </c>
      <c r="B2341" s="1">
        <f>IFERROR(__xludf.DUMMYFUNCTION("""COMPUTED_VALUE"""),3018.461607)</f>
        <v>3018.461607</v>
      </c>
    </row>
    <row r="2342">
      <c r="A2342" s="3">
        <f>IFERROR(__xludf.DUMMYFUNCTION("""COMPUTED_VALUE"""),42708.99861111111)</f>
        <v>42708.99861</v>
      </c>
      <c r="B2342" s="1">
        <f>IFERROR(__xludf.DUMMYFUNCTION("""COMPUTED_VALUE"""),3068.5908)</f>
        <v>3068.5908</v>
      </c>
    </row>
    <row r="2343">
      <c r="A2343" s="3">
        <f>IFERROR(__xludf.DUMMYFUNCTION("""COMPUTED_VALUE"""),42709.99861111111)</f>
        <v>42709.99861</v>
      </c>
      <c r="B2343" s="1">
        <f>IFERROR(__xludf.DUMMYFUNCTION("""COMPUTED_VALUE"""),3018.66612)</f>
        <v>3018.66612</v>
      </c>
    </row>
    <row r="2344">
      <c r="A2344" s="3">
        <f>IFERROR(__xludf.DUMMYFUNCTION("""COMPUTED_VALUE"""),42710.99861111111)</f>
        <v>42710.99861</v>
      </c>
      <c r="B2344" s="1">
        <f>IFERROR(__xludf.DUMMYFUNCTION("""COMPUTED_VALUE"""),3007.82112)</f>
        <v>3007.82112</v>
      </c>
    </row>
    <row r="2345">
      <c r="A2345" s="3">
        <f>IFERROR(__xludf.DUMMYFUNCTION("""COMPUTED_VALUE"""),42711.99861111111)</f>
        <v>42711.99861</v>
      </c>
      <c r="B2345" s="1">
        <f>IFERROR(__xludf.DUMMYFUNCTION("""COMPUTED_VALUE"""),3003.12463)</f>
        <v>3003.12463</v>
      </c>
    </row>
    <row r="2346">
      <c r="A2346" s="3">
        <f>IFERROR(__xludf.DUMMYFUNCTION("""COMPUTED_VALUE"""),42712.99861111111)</f>
        <v>42712.99861</v>
      </c>
      <c r="B2346" s="1">
        <f>IFERROR(__xludf.DUMMYFUNCTION("""COMPUTED_VALUE"""),3006.35764)</f>
        <v>3006.35764</v>
      </c>
    </row>
    <row r="2347">
      <c r="A2347" s="3">
        <f>IFERROR(__xludf.DUMMYFUNCTION("""COMPUTED_VALUE"""),42713.99861111111)</f>
        <v>42713.99861</v>
      </c>
      <c r="B2347" s="1">
        <f>IFERROR(__xludf.DUMMYFUNCTION("""COMPUTED_VALUE"""),3015.1693)</f>
        <v>3015.1693</v>
      </c>
    </row>
    <row r="2348">
      <c r="A2348" s="3">
        <f>IFERROR(__xludf.DUMMYFUNCTION("""COMPUTED_VALUE"""),42714.99861111111)</f>
        <v>42714.99861</v>
      </c>
      <c r="B2348" s="1">
        <f>IFERROR(__xludf.DUMMYFUNCTION("""COMPUTED_VALUE"""),3016.554312)</f>
        <v>3016.554312</v>
      </c>
    </row>
    <row r="2349">
      <c r="A2349" s="3">
        <f>IFERROR(__xludf.DUMMYFUNCTION("""COMPUTED_VALUE"""),42715.99861111111)</f>
        <v>42715.99861</v>
      </c>
      <c r="B2349" s="1">
        <f>IFERROR(__xludf.DUMMYFUNCTION("""COMPUTED_VALUE"""),3017.88058)</f>
        <v>3017.88058</v>
      </c>
    </row>
    <row r="2350">
      <c r="A2350" s="3">
        <f>IFERROR(__xludf.DUMMYFUNCTION("""COMPUTED_VALUE"""),42716.99861111111)</f>
        <v>42716.99861</v>
      </c>
      <c r="B2350" s="1">
        <f>IFERROR(__xludf.DUMMYFUNCTION("""COMPUTED_VALUE"""),3006.1392)</f>
        <v>3006.1392</v>
      </c>
    </row>
    <row r="2351">
      <c r="A2351" s="3">
        <f>IFERROR(__xludf.DUMMYFUNCTION("""COMPUTED_VALUE"""),42717.99861111111)</f>
        <v>42717.99861</v>
      </c>
      <c r="B2351" s="1">
        <f>IFERROR(__xludf.DUMMYFUNCTION("""COMPUTED_VALUE"""),2995.7024)</f>
        <v>2995.7024</v>
      </c>
    </row>
    <row r="2352">
      <c r="A2352" s="3">
        <f>IFERROR(__xludf.DUMMYFUNCTION("""COMPUTED_VALUE"""),42718.99861111111)</f>
        <v>42718.99861</v>
      </c>
      <c r="B2352" s="1">
        <f>IFERROR(__xludf.DUMMYFUNCTION("""COMPUTED_VALUE"""),3016.23222)</f>
        <v>3016.23222</v>
      </c>
    </row>
    <row r="2353">
      <c r="A2353" s="3">
        <f>IFERROR(__xludf.DUMMYFUNCTION("""COMPUTED_VALUE"""),42719.99861111111)</f>
        <v>42719.99861</v>
      </c>
      <c r="B2353" s="1">
        <f>IFERROR(__xludf.DUMMYFUNCTION("""COMPUTED_VALUE"""),3002.18646)</f>
        <v>3002.18646</v>
      </c>
    </row>
    <row r="2354">
      <c r="A2354" s="3">
        <f>IFERROR(__xludf.DUMMYFUNCTION("""COMPUTED_VALUE"""),42720.99861111111)</f>
        <v>42720.99861</v>
      </c>
      <c r="B2354" s="1">
        <f>IFERROR(__xludf.DUMMYFUNCTION("""COMPUTED_VALUE"""),2994.09561)</f>
        <v>2994.09561</v>
      </c>
    </row>
    <row r="2355">
      <c r="A2355" s="3">
        <f>IFERROR(__xludf.DUMMYFUNCTION("""COMPUTED_VALUE"""),42721.99861111111)</f>
        <v>42721.99861</v>
      </c>
      <c r="B2355" s="1">
        <f>IFERROR(__xludf.DUMMYFUNCTION("""COMPUTED_VALUE"""),2994.09561)</f>
        <v>2994.09561</v>
      </c>
    </row>
    <row r="2356">
      <c r="A2356" s="3">
        <f>IFERROR(__xludf.DUMMYFUNCTION("""COMPUTED_VALUE"""),42722.99861111111)</f>
        <v>42722.99861</v>
      </c>
      <c r="B2356" s="1">
        <f>IFERROR(__xludf.DUMMYFUNCTION("""COMPUTED_VALUE"""),2988.29007)</f>
        <v>2988.29007</v>
      </c>
    </row>
    <row r="2357">
      <c r="A2357" s="3">
        <f>IFERROR(__xludf.DUMMYFUNCTION("""COMPUTED_VALUE"""),42723.99861111111)</f>
        <v>42723.99861</v>
      </c>
      <c r="B2357" s="1">
        <f>IFERROR(__xludf.DUMMYFUNCTION("""COMPUTED_VALUE"""),2984.0503)</f>
        <v>2984.0503</v>
      </c>
    </row>
    <row r="2358">
      <c r="A2358" s="3">
        <f>IFERROR(__xludf.DUMMYFUNCTION("""COMPUTED_VALUE"""),42724.99861111111)</f>
        <v>42724.99861</v>
      </c>
      <c r="B2358" s="1">
        <f>IFERROR(__xludf.DUMMYFUNCTION("""COMPUTED_VALUE"""),2994.35931)</f>
        <v>2994.35931</v>
      </c>
    </row>
    <row r="2359">
      <c r="A2359" s="3">
        <f>IFERROR(__xludf.DUMMYFUNCTION("""COMPUTED_VALUE"""),42725.99861111111)</f>
        <v>42725.99861</v>
      </c>
      <c r="B2359" s="1">
        <f>IFERROR(__xludf.DUMMYFUNCTION("""COMPUTED_VALUE"""),2998.37529)</f>
        <v>2998.37529</v>
      </c>
    </row>
    <row r="2360">
      <c r="A2360" s="3">
        <f>IFERROR(__xludf.DUMMYFUNCTION("""COMPUTED_VALUE"""),42726.99861111111)</f>
        <v>42726.99861</v>
      </c>
      <c r="B2360" s="1">
        <f>IFERROR(__xludf.DUMMYFUNCTION("""COMPUTED_VALUE"""),2998.72353)</f>
        <v>2998.72353</v>
      </c>
    </row>
    <row r="2361">
      <c r="A2361" s="3">
        <f>IFERROR(__xludf.DUMMYFUNCTION("""COMPUTED_VALUE"""),42727.99861111111)</f>
        <v>42727.99861</v>
      </c>
      <c r="B2361" s="1">
        <f>IFERROR(__xludf.DUMMYFUNCTION("""COMPUTED_VALUE"""),3000.79787)</f>
        <v>3000.79787</v>
      </c>
    </row>
    <row r="2362">
      <c r="A2362" s="3">
        <f>IFERROR(__xludf.DUMMYFUNCTION("""COMPUTED_VALUE"""),42728.99861111111)</f>
        <v>42728.99861</v>
      </c>
      <c r="B2362" s="1">
        <f>IFERROR(__xludf.DUMMYFUNCTION("""COMPUTED_VALUE"""),3000.79787)</f>
        <v>3000.79787</v>
      </c>
    </row>
    <row r="2363">
      <c r="A2363" s="3">
        <f>IFERROR(__xludf.DUMMYFUNCTION("""COMPUTED_VALUE"""),42729.99861111111)</f>
        <v>42729.99861</v>
      </c>
      <c r="B2363" s="1">
        <f>IFERROR(__xludf.DUMMYFUNCTION("""COMPUTED_VALUE"""),3002.80838)</f>
        <v>3002.80838</v>
      </c>
    </row>
    <row r="2364">
      <c r="A2364" s="3">
        <f>IFERROR(__xludf.DUMMYFUNCTION("""COMPUTED_VALUE"""),42730.99861111111)</f>
        <v>42730.99861</v>
      </c>
      <c r="B2364" s="1">
        <f>IFERROR(__xludf.DUMMYFUNCTION("""COMPUTED_VALUE"""),3002.80838)</f>
        <v>3002.80838</v>
      </c>
    </row>
    <row r="2365">
      <c r="A2365" s="3">
        <f>IFERROR(__xludf.DUMMYFUNCTION("""COMPUTED_VALUE"""),42731.99861111111)</f>
        <v>42731.99861</v>
      </c>
      <c r="B2365" s="1">
        <f>IFERROR(__xludf.DUMMYFUNCTION("""COMPUTED_VALUE"""),2996.81564)</f>
        <v>2996.81564</v>
      </c>
    </row>
    <row r="2366">
      <c r="A2366" s="3">
        <f>IFERROR(__xludf.DUMMYFUNCTION("""COMPUTED_VALUE"""),42732.99861111111)</f>
        <v>42732.99861</v>
      </c>
      <c r="B2366" s="1">
        <f>IFERROR(__xludf.DUMMYFUNCTION("""COMPUTED_VALUE"""),3008.1351)</f>
        <v>3008.1351</v>
      </c>
    </row>
    <row r="2367">
      <c r="A2367" s="3">
        <f>IFERROR(__xludf.DUMMYFUNCTION("""COMPUTED_VALUE"""),42733.99861111111)</f>
        <v>42733.99861</v>
      </c>
      <c r="B2367" s="1">
        <f>IFERROR(__xludf.DUMMYFUNCTION("""COMPUTED_VALUE"""),3000.76344)</f>
        <v>3000.76344</v>
      </c>
    </row>
    <row r="2368">
      <c r="A2368" s="3">
        <f>IFERROR(__xludf.DUMMYFUNCTION("""COMPUTED_VALUE"""),42734.99861111111)</f>
        <v>42734.99861</v>
      </c>
      <c r="B2368" s="1">
        <f>IFERROR(__xludf.DUMMYFUNCTION("""COMPUTED_VALUE"""),3011.67522)</f>
        <v>3011.67522</v>
      </c>
    </row>
    <row r="2369">
      <c r="A2369" s="3">
        <f>IFERROR(__xludf.DUMMYFUNCTION("""COMPUTED_VALUE"""),42735.99861111111)</f>
        <v>42735.99861</v>
      </c>
      <c r="B2369" s="1">
        <f>IFERROR(__xludf.DUMMYFUNCTION("""COMPUTED_VALUE"""),3011.67522)</f>
        <v>3011.67522</v>
      </c>
    </row>
    <row r="2370">
      <c r="A2370" s="3">
        <f>IFERROR(__xludf.DUMMYFUNCTION("""COMPUTED_VALUE"""),42736.99861111111)</f>
        <v>42736.99861</v>
      </c>
      <c r="B2370" s="1">
        <f>IFERROR(__xludf.DUMMYFUNCTION("""COMPUTED_VALUE"""),3010.33848)</f>
        <v>3010.33848</v>
      </c>
    </row>
    <row r="2371">
      <c r="A2371" s="3">
        <f>IFERROR(__xludf.DUMMYFUNCTION("""COMPUTED_VALUE"""),42737.99861111111)</f>
        <v>42737.99861</v>
      </c>
      <c r="B2371" s="1">
        <f>IFERROR(__xludf.DUMMYFUNCTION("""COMPUTED_VALUE"""),3009.00174)</f>
        <v>3009.00174</v>
      </c>
    </row>
    <row r="2372">
      <c r="A2372" s="3">
        <f>IFERROR(__xludf.DUMMYFUNCTION("""COMPUTED_VALUE"""),42738.99861111111)</f>
        <v>42738.99861</v>
      </c>
      <c r="B2372" s="1">
        <f>IFERROR(__xludf.DUMMYFUNCTION("""COMPUTED_VALUE"""),2990.66421)</f>
        <v>2990.66421</v>
      </c>
    </row>
    <row r="2373">
      <c r="A2373" s="3">
        <f>IFERROR(__xludf.DUMMYFUNCTION("""COMPUTED_VALUE"""),42739.99861111111)</f>
        <v>42739.99861</v>
      </c>
      <c r="B2373" s="1">
        <f>IFERROR(__xludf.DUMMYFUNCTION("""COMPUTED_VALUE"""),2966.19256)</f>
        <v>2966.19256</v>
      </c>
    </row>
    <row r="2374">
      <c r="A2374" s="3">
        <f>IFERROR(__xludf.DUMMYFUNCTION("""COMPUTED_VALUE"""),42740.99861111111)</f>
        <v>42740.99861</v>
      </c>
      <c r="B2374" s="1">
        <f>IFERROR(__xludf.DUMMYFUNCTION("""COMPUTED_VALUE"""),2975.59779)</f>
        <v>2975.59779</v>
      </c>
    </row>
    <row r="2375">
      <c r="A2375" s="3">
        <f>IFERROR(__xludf.DUMMYFUNCTION("""COMPUTED_VALUE"""),42741.99861111111)</f>
        <v>42741.99861</v>
      </c>
      <c r="B2375" s="1">
        <f>IFERROR(__xludf.DUMMYFUNCTION("""COMPUTED_VALUE"""),2981.13648)</f>
        <v>2981.13648</v>
      </c>
    </row>
    <row r="2376">
      <c r="A2376" s="3">
        <f>IFERROR(__xludf.DUMMYFUNCTION("""COMPUTED_VALUE"""),42742.99861111111)</f>
        <v>42742.99861</v>
      </c>
      <c r="B2376" s="1">
        <f>IFERROR(__xludf.DUMMYFUNCTION("""COMPUTED_VALUE"""),2981.13648)</f>
        <v>2981.13648</v>
      </c>
    </row>
    <row r="2377">
      <c r="A2377" s="3">
        <f>IFERROR(__xludf.DUMMYFUNCTION("""COMPUTED_VALUE"""),42743.99861111111)</f>
        <v>42743.99861</v>
      </c>
      <c r="B2377" s="1">
        <f>IFERROR(__xludf.DUMMYFUNCTION("""COMPUTED_VALUE"""),2983.14744)</f>
        <v>2983.14744</v>
      </c>
    </row>
    <row r="2378">
      <c r="A2378" s="3">
        <f>IFERROR(__xludf.DUMMYFUNCTION("""COMPUTED_VALUE"""),42744.99861111111)</f>
        <v>42744.99861</v>
      </c>
      <c r="B2378" s="1">
        <f>IFERROR(__xludf.DUMMYFUNCTION("""COMPUTED_VALUE"""),2972.21736)</f>
        <v>2972.21736</v>
      </c>
    </row>
    <row r="2379">
      <c r="A2379" s="3">
        <f>IFERROR(__xludf.DUMMYFUNCTION("""COMPUTED_VALUE"""),42745.99861111111)</f>
        <v>42745.99861</v>
      </c>
      <c r="B2379" s="1">
        <f>IFERROR(__xludf.DUMMYFUNCTION("""COMPUTED_VALUE"""),2968.67776)</f>
        <v>2968.67776</v>
      </c>
    </row>
    <row r="2380">
      <c r="A2380" s="3">
        <f>IFERROR(__xludf.DUMMYFUNCTION("""COMPUTED_VALUE"""),42746.99861111111)</f>
        <v>42746.99861</v>
      </c>
      <c r="B2380" s="1">
        <f>IFERROR(__xludf.DUMMYFUNCTION("""COMPUTED_VALUE"""),2959.49591)</f>
        <v>2959.49591</v>
      </c>
    </row>
    <row r="2381">
      <c r="A2381" s="3">
        <f>IFERROR(__xludf.DUMMYFUNCTION("""COMPUTED_VALUE"""),42747.99861111111)</f>
        <v>42747.99861</v>
      </c>
      <c r="B2381" s="1">
        <f>IFERROR(__xludf.DUMMYFUNCTION("""COMPUTED_VALUE"""),2991.13738)</f>
        <v>2991.13738</v>
      </c>
    </row>
    <row r="2382">
      <c r="A2382" s="3">
        <f>IFERROR(__xludf.DUMMYFUNCTION("""COMPUTED_VALUE"""),42748.99861111111)</f>
        <v>42748.99861</v>
      </c>
      <c r="B2382" s="1">
        <f>IFERROR(__xludf.DUMMYFUNCTION("""COMPUTED_VALUE"""),2981.57948)</f>
        <v>2981.57948</v>
      </c>
    </row>
    <row r="2383">
      <c r="A2383" s="3">
        <f>IFERROR(__xludf.DUMMYFUNCTION("""COMPUTED_VALUE"""),42749.99861111111)</f>
        <v>42749.99861</v>
      </c>
      <c r="B2383" s="1">
        <f>IFERROR(__xludf.DUMMYFUNCTION("""COMPUTED_VALUE"""),2981.57948)</f>
        <v>2981.57948</v>
      </c>
    </row>
    <row r="2384">
      <c r="A2384" s="3">
        <f>IFERROR(__xludf.DUMMYFUNCTION("""COMPUTED_VALUE"""),42750.99861111111)</f>
        <v>42750.99861</v>
      </c>
      <c r="B2384" s="1">
        <f>IFERROR(__xludf.DUMMYFUNCTION("""COMPUTED_VALUE"""),2981.57948)</f>
        <v>2981.57948</v>
      </c>
    </row>
    <row r="2385">
      <c r="A2385" s="3">
        <f>IFERROR(__xludf.DUMMYFUNCTION("""COMPUTED_VALUE"""),42751.99861111111)</f>
        <v>42751.99861</v>
      </c>
      <c r="B2385" s="1">
        <f>IFERROR(__xludf.DUMMYFUNCTION("""COMPUTED_VALUE"""),2986.03781)</f>
        <v>2986.03781</v>
      </c>
    </row>
    <row r="2386">
      <c r="A2386" s="3">
        <f>IFERROR(__xludf.DUMMYFUNCTION("""COMPUTED_VALUE"""),42752.99861111111)</f>
        <v>42752.99861</v>
      </c>
      <c r="B2386" s="1">
        <f>IFERROR(__xludf.DUMMYFUNCTION("""COMPUTED_VALUE"""),2977.77216)</f>
        <v>2977.77216</v>
      </c>
    </row>
    <row r="2387">
      <c r="A2387" s="3">
        <f>IFERROR(__xludf.DUMMYFUNCTION("""COMPUTED_VALUE"""),42753.99861111111)</f>
        <v>42753.99861</v>
      </c>
      <c r="B2387" s="1">
        <f>IFERROR(__xludf.DUMMYFUNCTION("""COMPUTED_VALUE"""),2989.3983)</f>
        <v>2989.3983</v>
      </c>
    </row>
    <row r="2388">
      <c r="A2388" s="3">
        <f>IFERROR(__xludf.DUMMYFUNCTION("""COMPUTED_VALUE"""),42754.99861111111)</f>
        <v>42754.99861</v>
      </c>
      <c r="B2388" s="1">
        <f>IFERROR(__xludf.DUMMYFUNCTION("""COMPUTED_VALUE"""),3004.56502)</f>
        <v>3004.56502</v>
      </c>
    </row>
    <row r="2389">
      <c r="A2389" s="3">
        <f>IFERROR(__xludf.DUMMYFUNCTION("""COMPUTED_VALUE"""),42755.99861111111)</f>
        <v>42755.99861</v>
      </c>
      <c r="B2389" s="1">
        <f>IFERROR(__xludf.DUMMYFUNCTION("""COMPUTED_VALUE"""),3009.94282)</f>
        <v>3009.94282</v>
      </c>
    </row>
    <row r="2390">
      <c r="A2390" s="3">
        <f>IFERROR(__xludf.DUMMYFUNCTION("""COMPUTED_VALUE"""),42756.99861111111)</f>
        <v>42756.99861</v>
      </c>
      <c r="B2390" s="1">
        <f>IFERROR(__xludf.DUMMYFUNCTION("""COMPUTED_VALUE"""),3009.94282)</f>
        <v>3009.94282</v>
      </c>
    </row>
    <row r="2391">
      <c r="A2391" s="3">
        <f>IFERROR(__xludf.DUMMYFUNCTION("""COMPUTED_VALUE"""),42757.99861111111)</f>
        <v>42757.99861</v>
      </c>
      <c r="B2391" s="1">
        <f>IFERROR(__xludf.DUMMYFUNCTION("""COMPUTED_VALUE"""),3012.86444)</f>
        <v>3012.86444</v>
      </c>
    </row>
    <row r="2392">
      <c r="A2392" s="3">
        <f>IFERROR(__xludf.DUMMYFUNCTION("""COMPUTED_VALUE"""),42758.99861111111)</f>
        <v>42758.99861</v>
      </c>
      <c r="B2392" s="1">
        <f>IFERROR(__xludf.DUMMYFUNCTION("""COMPUTED_VALUE"""),3005.294)</f>
        <v>3005.294</v>
      </c>
    </row>
    <row r="2393">
      <c r="A2393" s="3">
        <f>IFERROR(__xludf.DUMMYFUNCTION("""COMPUTED_VALUE"""),42759.99861111111)</f>
        <v>42759.99861</v>
      </c>
      <c r="B2393" s="1">
        <f>IFERROR(__xludf.DUMMYFUNCTION("""COMPUTED_VALUE"""),3006.35286)</f>
        <v>3006.35286</v>
      </c>
    </row>
    <row r="2394">
      <c r="A2394" s="3">
        <f>IFERROR(__xludf.DUMMYFUNCTION("""COMPUTED_VALUE"""),42760.99861111111)</f>
        <v>42760.99861</v>
      </c>
      <c r="B2394" s="1">
        <f>IFERROR(__xludf.DUMMYFUNCTION("""COMPUTED_VALUE"""),3010.0818)</f>
        <v>3010.0818</v>
      </c>
    </row>
    <row r="2395">
      <c r="A2395" s="3">
        <f>IFERROR(__xludf.DUMMYFUNCTION("""COMPUTED_VALUE"""),42761.99861111111)</f>
        <v>42761.99861</v>
      </c>
      <c r="B2395" s="1">
        <f>IFERROR(__xludf.DUMMYFUNCTION("""COMPUTED_VALUE"""),3020.24107)</f>
        <v>3020.24107</v>
      </c>
    </row>
    <row r="2396">
      <c r="A2396" s="3">
        <f>IFERROR(__xludf.DUMMYFUNCTION("""COMPUTED_VALUE"""),42762.99861111111)</f>
        <v>42762.99861</v>
      </c>
      <c r="B2396" s="1">
        <f>IFERROR(__xludf.DUMMYFUNCTION("""COMPUTED_VALUE"""),3011.60279)</f>
        <v>3011.60279</v>
      </c>
    </row>
    <row r="2397">
      <c r="A2397" s="3">
        <f>IFERROR(__xludf.DUMMYFUNCTION("""COMPUTED_VALUE"""),42763.99861111111)</f>
        <v>42763.99861</v>
      </c>
      <c r="B2397" s="1">
        <f>IFERROR(__xludf.DUMMYFUNCTION("""COMPUTED_VALUE"""),3014.30392)</f>
        <v>3014.30392</v>
      </c>
    </row>
    <row r="2398">
      <c r="A2398" s="3">
        <f>IFERROR(__xludf.DUMMYFUNCTION("""COMPUTED_VALUE"""),42764.99861111111)</f>
        <v>42764.99861</v>
      </c>
      <c r="B2398" s="1">
        <f>IFERROR(__xludf.DUMMYFUNCTION("""COMPUTED_VALUE"""),3002.61432)</f>
        <v>3002.61432</v>
      </c>
    </row>
    <row r="2399">
      <c r="A2399" s="3">
        <f>IFERROR(__xludf.DUMMYFUNCTION("""COMPUTED_VALUE"""),42765.99861111111)</f>
        <v>42765.99861</v>
      </c>
      <c r="B2399" s="1">
        <f>IFERROR(__xludf.DUMMYFUNCTION("""COMPUTED_VALUE"""),3006.65196)</f>
        <v>3006.65196</v>
      </c>
    </row>
    <row r="2400">
      <c r="A2400" s="3">
        <f>IFERROR(__xludf.DUMMYFUNCTION("""COMPUTED_VALUE"""),42766.99861111111)</f>
        <v>42766.99861</v>
      </c>
      <c r="B2400" s="1">
        <f>IFERROR(__xludf.DUMMYFUNCTION("""COMPUTED_VALUE"""),3010.8989)</f>
        <v>3010.8989</v>
      </c>
    </row>
    <row r="2401">
      <c r="A2401" s="3">
        <f>IFERROR(__xludf.DUMMYFUNCTION("""COMPUTED_VALUE"""),42767.99861111111)</f>
        <v>42767.99861</v>
      </c>
      <c r="B2401" s="1">
        <f>IFERROR(__xludf.DUMMYFUNCTION("""COMPUTED_VALUE"""),3014.016)</f>
        <v>3014.016</v>
      </c>
    </row>
    <row r="2402">
      <c r="A2402" s="3">
        <f>IFERROR(__xludf.DUMMYFUNCTION("""COMPUTED_VALUE"""),42768.99861111111)</f>
        <v>42768.99861</v>
      </c>
      <c r="B2402" s="1">
        <f>IFERROR(__xludf.DUMMYFUNCTION("""COMPUTED_VALUE"""),3014.72794)</f>
        <v>3014.72794</v>
      </c>
    </row>
    <row r="2403">
      <c r="A2403" s="3">
        <f>IFERROR(__xludf.DUMMYFUNCTION("""COMPUTED_VALUE"""),42769.99861111111)</f>
        <v>42769.99861</v>
      </c>
      <c r="B2403" s="1">
        <f>IFERROR(__xludf.DUMMYFUNCTION("""COMPUTED_VALUE"""),3006.00578)</f>
        <v>3006.00578</v>
      </c>
    </row>
    <row r="2404">
      <c r="A2404" s="3">
        <f>IFERROR(__xludf.DUMMYFUNCTION("""COMPUTED_VALUE"""),42770.99861111111)</f>
        <v>42770.99861</v>
      </c>
      <c r="B2404" s="1">
        <f>IFERROR(__xludf.DUMMYFUNCTION("""COMPUTED_VALUE"""),3009.465914)</f>
        <v>3009.465914</v>
      </c>
    </row>
    <row r="2405">
      <c r="A2405" s="3">
        <f>IFERROR(__xludf.DUMMYFUNCTION("""COMPUTED_VALUE"""),42771.99861111111)</f>
        <v>42771.99861</v>
      </c>
      <c r="B2405" s="1">
        <f>IFERROR(__xludf.DUMMYFUNCTION("""COMPUTED_VALUE"""),3010.51998)</f>
        <v>3010.51998</v>
      </c>
    </row>
    <row r="2406">
      <c r="A2406" s="3">
        <f>IFERROR(__xludf.DUMMYFUNCTION("""COMPUTED_VALUE"""),42772.99861111111)</f>
        <v>42772.99861</v>
      </c>
      <c r="B2406" s="1">
        <f>IFERROR(__xludf.DUMMYFUNCTION("""COMPUTED_VALUE"""),3006.47886)</f>
        <v>3006.47886</v>
      </c>
    </row>
    <row r="2407">
      <c r="A2407" s="3">
        <f>IFERROR(__xludf.DUMMYFUNCTION("""COMPUTED_VALUE"""),42773.99861111111)</f>
        <v>42773.99861</v>
      </c>
      <c r="B2407" s="1">
        <f>IFERROR(__xludf.DUMMYFUNCTION("""COMPUTED_VALUE"""),2998.0775)</f>
        <v>2998.0775</v>
      </c>
    </row>
    <row r="2408">
      <c r="A2408" s="3">
        <f>IFERROR(__xludf.DUMMYFUNCTION("""COMPUTED_VALUE"""),42774.99861111111)</f>
        <v>42774.99861</v>
      </c>
      <c r="B2408" s="1">
        <f>IFERROR(__xludf.DUMMYFUNCTION("""COMPUTED_VALUE"""),2994.2802)</f>
        <v>2994.2802</v>
      </c>
    </row>
    <row r="2409">
      <c r="A2409" s="3">
        <f>IFERROR(__xludf.DUMMYFUNCTION("""COMPUTED_VALUE"""),42775.99861111111)</f>
        <v>42775.99861</v>
      </c>
      <c r="B2409" s="1">
        <f>IFERROR(__xludf.DUMMYFUNCTION("""COMPUTED_VALUE"""),2991.39456)</f>
        <v>2991.39456</v>
      </c>
    </row>
    <row r="2410">
      <c r="A2410" s="3">
        <f>IFERROR(__xludf.DUMMYFUNCTION("""COMPUTED_VALUE"""),42776.99861111111)</f>
        <v>42776.99861</v>
      </c>
      <c r="B2410" s="1">
        <f>IFERROR(__xludf.DUMMYFUNCTION("""COMPUTED_VALUE"""),2997.55508)</f>
        <v>2997.55508</v>
      </c>
    </row>
    <row r="2411">
      <c r="A2411" s="3">
        <f>IFERROR(__xludf.DUMMYFUNCTION("""COMPUTED_VALUE"""),42777.99861111111)</f>
        <v>42777.99861</v>
      </c>
      <c r="B2411" s="1">
        <f>IFERROR(__xludf.DUMMYFUNCTION("""COMPUTED_VALUE"""),3002.132582)</f>
        <v>3002.132582</v>
      </c>
    </row>
    <row r="2412">
      <c r="A2412" s="3">
        <f>IFERROR(__xludf.DUMMYFUNCTION("""COMPUTED_VALUE"""),42778.99861111111)</f>
        <v>42778.99861</v>
      </c>
      <c r="B2412" s="1">
        <f>IFERROR(__xludf.DUMMYFUNCTION("""COMPUTED_VALUE"""),3002.5086)</f>
        <v>3002.5086</v>
      </c>
    </row>
    <row r="2413">
      <c r="A2413" s="3">
        <f>IFERROR(__xludf.DUMMYFUNCTION("""COMPUTED_VALUE"""),42779.99861111111)</f>
        <v>42779.99861</v>
      </c>
      <c r="B2413" s="1">
        <f>IFERROR(__xludf.DUMMYFUNCTION("""COMPUTED_VALUE"""),2990.74704)</f>
        <v>2990.74704</v>
      </c>
    </row>
    <row r="2414">
      <c r="A2414" s="3">
        <f>IFERROR(__xludf.DUMMYFUNCTION("""COMPUTED_VALUE"""),42780.99861111111)</f>
        <v>42780.99861</v>
      </c>
      <c r="B2414" s="1">
        <f>IFERROR(__xludf.DUMMYFUNCTION("""COMPUTED_VALUE"""),2991.76339)</f>
        <v>2991.76339</v>
      </c>
    </row>
    <row r="2415">
      <c r="A2415" s="3">
        <f>IFERROR(__xludf.DUMMYFUNCTION("""COMPUTED_VALUE"""),42781.99861111111)</f>
        <v>42781.99861</v>
      </c>
      <c r="B2415" s="1">
        <f>IFERROR(__xludf.DUMMYFUNCTION("""COMPUTED_VALUE"""),2991.30624)</f>
        <v>2991.30624</v>
      </c>
    </row>
    <row r="2416">
      <c r="A2416" s="3">
        <f>IFERROR(__xludf.DUMMYFUNCTION("""COMPUTED_VALUE"""),42782.99861111111)</f>
        <v>42782.99861</v>
      </c>
      <c r="B2416" s="1">
        <f>IFERROR(__xludf.DUMMYFUNCTION("""COMPUTED_VALUE"""),2989.76524)</f>
        <v>2989.76524</v>
      </c>
    </row>
    <row r="2417">
      <c r="A2417" s="3">
        <f>IFERROR(__xludf.DUMMYFUNCTION("""COMPUTED_VALUE"""),42783.99861111111)</f>
        <v>42783.99861</v>
      </c>
      <c r="B2417" s="1">
        <f>IFERROR(__xludf.DUMMYFUNCTION("""COMPUTED_VALUE"""),2993.31396)</f>
        <v>2993.31396</v>
      </c>
    </row>
    <row r="2418">
      <c r="A2418" s="3">
        <f>IFERROR(__xludf.DUMMYFUNCTION("""COMPUTED_VALUE"""),42784.99861111111)</f>
        <v>42784.99861</v>
      </c>
      <c r="B2418" s="1">
        <f>IFERROR(__xludf.DUMMYFUNCTION("""COMPUTED_VALUE"""),2996.260594)</f>
        <v>2996.260594</v>
      </c>
    </row>
    <row r="2419">
      <c r="A2419" s="3">
        <f>IFERROR(__xludf.DUMMYFUNCTION("""COMPUTED_VALUE"""),42785.99861111111)</f>
        <v>42785.99861</v>
      </c>
      <c r="B2419" s="1">
        <f>IFERROR(__xludf.DUMMYFUNCTION("""COMPUTED_VALUE"""),2996.007)</f>
        <v>2996.007</v>
      </c>
    </row>
    <row r="2420">
      <c r="A2420" s="3">
        <f>IFERROR(__xludf.DUMMYFUNCTION("""COMPUTED_VALUE"""),42786.99861111111)</f>
        <v>42786.99861</v>
      </c>
      <c r="B2420" s="1">
        <f>IFERROR(__xludf.DUMMYFUNCTION("""COMPUTED_VALUE"""),2992.26393)</f>
        <v>2992.26393</v>
      </c>
    </row>
    <row r="2421">
      <c r="A2421" s="3">
        <f>IFERROR(__xludf.DUMMYFUNCTION("""COMPUTED_VALUE"""),42787.99861111111)</f>
        <v>42787.99861</v>
      </c>
      <c r="B2421" s="1">
        <f>IFERROR(__xludf.DUMMYFUNCTION("""COMPUTED_VALUE"""),2995.13076)</f>
        <v>2995.13076</v>
      </c>
    </row>
    <row r="2422">
      <c r="A2422" s="3">
        <f>IFERROR(__xludf.DUMMYFUNCTION("""COMPUTED_VALUE"""),42788.99861111111)</f>
        <v>42788.99861</v>
      </c>
      <c r="B2422" s="1">
        <f>IFERROR(__xludf.DUMMYFUNCTION("""COMPUTED_VALUE"""),2993.0472)</f>
        <v>2993.0472</v>
      </c>
    </row>
    <row r="2423">
      <c r="A2423" s="3">
        <f>IFERROR(__xludf.DUMMYFUNCTION("""COMPUTED_VALUE"""),42789.99861111111)</f>
        <v>42789.99861</v>
      </c>
      <c r="B2423" s="1">
        <f>IFERROR(__xludf.DUMMYFUNCTION("""COMPUTED_VALUE"""),2996.12625)</f>
        <v>2996.12625</v>
      </c>
    </row>
    <row r="2424">
      <c r="A2424" s="3">
        <f>IFERROR(__xludf.DUMMYFUNCTION("""COMPUTED_VALUE"""),42790.99861111111)</f>
        <v>42790.99861</v>
      </c>
      <c r="B2424" s="1">
        <f>IFERROR(__xludf.DUMMYFUNCTION("""COMPUTED_VALUE"""),2999.0073)</f>
        <v>2999.0073</v>
      </c>
    </row>
    <row r="2425">
      <c r="A2425" s="3">
        <f>IFERROR(__xludf.DUMMYFUNCTION("""COMPUTED_VALUE"""),42791.99861111111)</f>
        <v>42791.99861</v>
      </c>
      <c r="B2425" s="1">
        <f>IFERROR(__xludf.DUMMYFUNCTION("""COMPUTED_VALUE"""),2999.0073)</f>
        <v>2999.0073</v>
      </c>
    </row>
    <row r="2426">
      <c r="A2426" s="3">
        <f>IFERROR(__xludf.DUMMYFUNCTION("""COMPUTED_VALUE"""),42792.99861111111)</f>
        <v>42792.99861</v>
      </c>
      <c r="B2426" s="1">
        <f>IFERROR(__xludf.DUMMYFUNCTION("""COMPUTED_VALUE"""),2998.83268)</f>
        <v>2998.83268</v>
      </c>
    </row>
    <row r="2427">
      <c r="A2427" s="3">
        <f>IFERROR(__xludf.DUMMYFUNCTION("""COMPUTED_VALUE"""),42793.99861111111)</f>
        <v>42793.99861</v>
      </c>
      <c r="B2427" s="1">
        <f>IFERROR(__xludf.DUMMYFUNCTION("""COMPUTED_VALUE"""),3002.6089)</f>
        <v>3002.6089</v>
      </c>
    </row>
    <row r="2428">
      <c r="A2428" s="3">
        <f>IFERROR(__xludf.DUMMYFUNCTION("""COMPUTED_VALUE"""),42794.99861111111)</f>
        <v>42794.99861</v>
      </c>
      <c r="B2428" s="1">
        <f>IFERROR(__xludf.DUMMYFUNCTION("""COMPUTED_VALUE"""),3014.3141)</f>
        <v>3014.3141</v>
      </c>
    </row>
    <row r="2429">
      <c r="A2429" s="3">
        <f>IFERROR(__xludf.DUMMYFUNCTION("""COMPUTED_VALUE"""),42795.99861111111)</f>
        <v>42795.99861</v>
      </c>
      <c r="B2429" s="1">
        <f>IFERROR(__xludf.DUMMYFUNCTION("""COMPUTED_VALUE"""),3008.78064)</f>
        <v>3008.78064</v>
      </c>
    </row>
    <row r="2430">
      <c r="A2430" s="3">
        <f>IFERROR(__xludf.DUMMYFUNCTION("""COMPUTED_VALUE"""),42796.99861111111)</f>
        <v>42796.99861</v>
      </c>
      <c r="B2430" s="1">
        <f>IFERROR(__xludf.DUMMYFUNCTION("""COMPUTED_VALUE"""),3005.44802)</f>
        <v>3005.44802</v>
      </c>
    </row>
    <row r="2431">
      <c r="A2431" s="3">
        <f>IFERROR(__xludf.DUMMYFUNCTION("""COMPUTED_VALUE"""),42797.99861111111)</f>
        <v>42797.99861</v>
      </c>
      <c r="B2431" s="1">
        <f>IFERROR(__xludf.DUMMYFUNCTION("""COMPUTED_VALUE"""),2987.71092)</f>
        <v>2987.71092</v>
      </c>
    </row>
    <row r="2432">
      <c r="A2432" s="3">
        <f>IFERROR(__xludf.DUMMYFUNCTION("""COMPUTED_VALUE"""),42798.99861111111)</f>
        <v>42798.99861</v>
      </c>
      <c r="B2432" s="1">
        <f>IFERROR(__xludf.DUMMYFUNCTION("""COMPUTED_VALUE"""),2991.599252)</f>
        <v>2991.599252</v>
      </c>
    </row>
    <row r="2433">
      <c r="A2433" s="3">
        <f>IFERROR(__xludf.DUMMYFUNCTION("""COMPUTED_VALUE"""),42799.99861111111)</f>
        <v>42799.99861</v>
      </c>
      <c r="B2433" s="1">
        <f>IFERROR(__xludf.DUMMYFUNCTION("""COMPUTED_VALUE"""),2980.51266)</f>
        <v>2980.51266</v>
      </c>
    </row>
    <row r="2434">
      <c r="A2434" s="3">
        <f>IFERROR(__xludf.DUMMYFUNCTION("""COMPUTED_VALUE"""),42800.99861111111)</f>
        <v>42800.99861</v>
      </c>
      <c r="B2434" s="1">
        <f>IFERROR(__xludf.DUMMYFUNCTION("""COMPUTED_VALUE"""),2995.14558)</f>
        <v>2995.14558</v>
      </c>
    </row>
    <row r="2435">
      <c r="A2435" s="3">
        <f>IFERROR(__xludf.DUMMYFUNCTION("""COMPUTED_VALUE"""),42801.99861111111)</f>
        <v>42801.99861</v>
      </c>
      <c r="B2435" s="1">
        <f>IFERROR(__xludf.DUMMYFUNCTION("""COMPUTED_VALUE"""),2997.13264)</f>
        <v>2997.13264</v>
      </c>
    </row>
    <row r="2436">
      <c r="A2436" s="3">
        <f>IFERROR(__xludf.DUMMYFUNCTION("""COMPUTED_VALUE"""),42802.99861111111)</f>
        <v>42802.99861</v>
      </c>
      <c r="B2436" s="1">
        <f>IFERROR(__xludf.DUMMYFUNCTION("""COMPUTED_VALUE"""),2999.37816)</f>
        <v>2999.37816</v>
      </c>
    </row>
    <row r="2437">
      <c r="A2437" s="3">
        <f>IFERROR(__xludf.DUMMYFUNCTION("""COMPUTED_VALUE"""),42803.99861111111)</f>
        <v>42803.99861</v>
      </c>
      <c r="B2437" s="1">
        <f>IFERROR(__xludf.DUMMYFUNCTION("""COMPUTED_VALUE"""),3001.73588)</f>
        <v>3001.73588</v>
      </c>
    </row>
    <row r="2438">
      <c r="A2438" s="3">
        <f>IFERROR(__xludf.DUMMYFUNCTION("""COMPUTED_VALUE"""),42804.99861111111)</f>
        <v>42804.99861</v>
      </c>
      <c r="B2438" s="1">
        <f>IFERROR(__xludf.DUMMYFUNCTION("""COMPUTED_VALUE"""),2996.04956)</f>
        <v>2996.04956</v>
      </c>
    </row>
    <row r="2439">
      <c r="A2439" s="3">
        <f>IFERROR(__xludf.DUMMYFUNCTION("""COMPUTED_VALUE"""),42806.99861111111)</f>
        <v>42806.99861</v>
      </c>
      <c r="B2439" s="1">
        <f>IFERROR(__xludf.DUMMYFUNCTION("""COMPUTED_VALUE"""),2995.37624)</f>
        <v>2995.37624</v>
      </c>
    </row>
    <row r="2440">
      <c r="A2440" s="3">
        <f>IFERROR(__xludf.DUMMYFUNCTION("""COMPUTED_VALUE"""),42807.99861111111)</f>
        <v>42807.99861</v>
      </c>
      <c r="B2440" s="1">
        <f>IFERROR(__xludf.DUMMYFUNCTION("""COMPUTED_VALUE"""),3004.95584)</f>
        <v>3004.95584</v>
      </c>
    </row>
    <row r="2441">
      <c r="A2441" s="3">
        <f>IFERROR(__xludf.DUMMYFUNCTION("""COMPUTED_VALUE"""),42808.99861111111)</f>
        <v>42808.99861</v>
      </c>
      <c r="B2441" s="1">
        <f>IFERROR(__xludf.DUMMYFUNCTION("""COMPUTED_VALUE"""),3007.2601)</f>
        <v>3007.2601</v>
      </c>
    </row>
    <row r="2442">
      <c r="A2442" s="3">
        <f>IFERROR(__xludf.DUMMYFUNCTION("""COMPUTED_VALUE"""),42809.99861111111)</f>
        <v>42809.99861</v>
      </c>
      <c r="B2442" s="1">
        <f>IFERROR(__xludf.DUMMYFUNCTION("""COMPUTED_VALUE"""),2972.76764)</f>
        <v>2972.76764</v>
      </c>
    </row>
    <row r="2443">
      <c r="A2443" s="3">
        <f>IFERROR(__xludf.DUMMYFUNCTION("""COMPUTED_VALUE"""),42810.99861111111)</f>
        <v>42810.99861</v>
      </c>
      <c r="B2443" s="1">
        <f>IFERROR(__xludf.DUMMYFUNCTION("""COMPUTED_VALUE"""),2990.26896)</f>
        <v>2990.26896</v>
      </c>
    </row>
    <row r="2444">
      <c r="A2444" s="3">
        <f>IFERROR(__xludf.DUMMYFUNCTION("""COMPUTED_VALUE"""),42811.99861111111)</f>
        <v>42811.99861</v>
      </c>
      <c r="B2444" s="1">
        <f>IFERROR(__xludf.DUMMYFUNCTION("""COMPUTED_VALUE"""),3004.5682)</f>
        <v>3004.5682</v>
      </c>
    </row>
    <row r="2445">
      <c r="A2445" s="3">
        <f>IFERROR(__xludf.DUMMYFUNCTION("""COMPUTED_VALUE"""),42812.99861111111)</f>
        <v>42812.99861</v>
      </c>
      <c r="B2445" s="1">
        <f>IFERROR(__xludf.DUMMYFUNCTION("""COMPUTED_VALUE"""),3004.5682)</f>
        <v>3004.5682</v>
      </c>
    </row>
    <row r="2446">
      <c r="A2446" s="3">
        <f>IFERROR(__xludf.DUMMYFUNCTION("""COMPUTED_VALUE"""),42813.99861111111)</f>
        <v>42813.99861</v>
      </c>
      <c r="B2446" s="1">
        <f>IFERROR(__xludf.DUMMYFUNCTION("""COMPUTED_VALUE"""),3002.3159)</f>
        <v>3002.3159</v>
      </c>
    </row>
    <row r="2447">
      <c r="A2447" s="3">
        <f>IFERROR(__xludf.DUMMYFUNCTION("""COMPUTED_VALUE"""),42814.99861111111)</f>
        <v>42814.99861</v>
      </c>
      <c r="B2447" s="1">
        <f>IFERROR(__xludf.DUMMYFUNCTION("""COMPUTED_VALUE"""),3009.43236)</f>
        <v>3009.43236</v>
      </c>
    </row>
    <row r="2448">
      <c r="A2448" s="3">
        <f>IFERROR(__xludf.DUMMYFUNCTION("""COMPUTED_VALUE"""),42815.99861111111)</f>
        <v>42815.99861</v>
      </c>
      <c r="B2448" s="1">
        <f>IFERROR(__xludf.DUMMYFUNCTION("""COMPUTED_VALUE"""),3005.47872)</f>
        <v>3005.47872</v>
      </c>
    </row>
    <row r="2449">
      <c r="A2449" s="3">
        <f>IFERROR(__xludf.DUMMYFUNCTION("""COMPUTED_VALUE"""),42816.99861111111)</f>
        <v>42816.99861</v>
      </c>
      <c r="B2449" s="1">
        <f>IFERROR(__xludf.DUMMYFUNCTION("""COMPUTED_VALUE"""),3008.70352)</f>
        <v>3008.70352</v>
      </c>
    </row>
    <row r="2450">
      <c r="A2450" s="3">
        <f>IFERROR(__xludf.DUMMYFUNCTION("""COMPUTED_VALUE"""),42817.99861111111)</f>
        <v>42817.99861</v>
      </c>
      <c r="B2450" s="1">
        <f>IFERROR(__xludf.DUMMYFUNCTION("""COMPUTED_VALUE"""),3005.33988)</f>
        <v>3005.33988</v>
      </c>
    </row>
    <row r="2451">
      <c r="A2451" s="3">
        <f>IFERROR(__xludf.DUMMYFUNCTION("""COMPUTED_VALUE"""),42818.99861111111)</f>
        <v>42818.99861</v>
      </c>
      <c r="B2451" s="1">
        <f>IFERROR(__xludf.DUMMYFUNCTION("""COMPUTED_VALUE"""),3002.09112)</f>
        <v>3002.09112</v>
      </c>
    </row>
    <row r="2452">
      <c r="A2452" s="3">
        <f>IFERROR(__xludf.DUMMYFUNCTION("""COMPUTED_VALUE"""),42819.99861111111)</f>
        <v>42819.99861</v>
      </c>
      <c r="B2452" s="1">
        <f>IFERROR(__xludf.DUMMYFUNCTION("""COMPUTED_VALUE"""),3002.09112)</f>
        <v>3002.09112</v>
      </c>
    </row>
    <row r="2453">
      <c r="A2453" s="3">
        <f>IFERROR(__xludf.DUMMYFUNCTION("""COMPUTED_VALUE"""),42820.99861111111)</f>
        <v>42820.99861</v>
      </c>
      <c r="B2453" s="1">
        <f>IFERROR(__xludf.DUMMYFUNCTION("""COMPUTED_VALUE"""),3009.5208)</f>
        <v>3009.5208</v>
      </c>
    </row>
    <row r="2454">
      <c r="A2454" s="3">
        <f>IFERROR(__xludf.DUMMYFUNCTION("""COMPUTED_VALUE"""),42821.99861111111)</f>
        <v>42821.99861</v>
      </c>
      <c r="B2454" s="1">
        <f>IFERROR(__xludf.DUMMYFUNCTION("""COMPUTED_VALUE"""),3014.66124)</f>
        <v>3014.66124</v>
      </c>
    </row>
    <row r="2455">
      <c r="A2455" s="3">
        <f>IFERROR(__xludf.DUMMYFUNCTION("""COMPUTED_VALUE"""),42822.99861111111)</f>
        <v>42822.99861</v>
      </c>
      <c r="B2455" s="1">
        <f>IFERROR(__xludf.DUMMYFUNCTION("""COMPUTED_VALUE"""),3014.4885)</f>
        <v>3014.4885</v>
      </c>
    </row>
    <row r="2456">
      <c r="A2456" s="3">
        <f>IFERROR(__xludf.DUMMYFUNCTION("""COMPUTED_VALUE"""),42823.99861111111)</f>
        <v>42823.99861</v>
      </c>
      <c r="B2456" s="1">
        <f>IFERROR(__xludf.DUMMYFUNCTION("""COMPUTED_VALUE"""),3008.07436)</f>
        <v>3008.07436</v>
      </c>
    </row>
    <row r="2457">
      <c r="A2457" s="3">
        <f>IFERROR(__xludf.DUMMYFUNCTION("""COMPUTED_VALUE"""),42824.99861111111)</f>
        <v>42824.99861</v>
      </c>
      <c r="B2457" s="1">
        <f>IFERROR(__xludf.DUMMYFUNCTION("""COMPUTED_VALUE"""),3006.10596)</f>
        <v>3006.10596</v>
      </c>
    </row>
    <row r="2458">
      <c r="A2458" s="3">
        <f>IFERROR(__xludf.DUMMYFUNCTION("""COMPUTED_VALUE"""),42825.99861111111)</f>
        <v>42825.99861</v>
      </c>
      <c r="B2458" s="1">
        <f>IFERROR(__xludf.DUMMYFUNCTION("""COMPUTED_VALUE"""),3008.41464)</f>
        <v>3008.41464</v>
      </c>
    </row>
    <row r="2459">
      <c r="A2459" s="3">
        <f>IFERROR(__xludf.DUMMYFUNCTION("""COMPUTED_VALUE"""),42826.99861111111)</f>
        <v>42826.99861</v>
      </c>
      <c r="B2459" s="1">
        <f>IFERROR(__xludf.DUMMYFUNCTION("""COMPUTED_VALUE"""),3064.314556)</f>
        <v>3064.314556</v>
      </c>
    </row>
    <row r="2460">
      <c r="A2460" s="3">
        <f>IFERROR(__xludf.DUMMYFUNCTION("""COMPUTED_VALUE"""),42827.99861111111)</f>
        <v>42827.99861</v>
      </c>
      <c r="B2460" s="1">
        <f>IFERROR(__xludf.DUMMYFUNCTION("""COMPUTED_VALUE"""),3011.5764)</f>
        <v>3011.5764</v>
      </c>
    </row>
    <row r="2461">
      <c r="A2461" s="3">
        <f>IFERROR(__xludf.DUMMYFUNCTION("""COMPUTED_VALUE"""),42828.99861111111)</f>
        <v>42828.99861</v>
      </c>
      <c r="B2461" s="1">
        <f>IFERROR(__xludf.DUMMYFUNCTION("""COMPUTED_VALUE"""),3005.55436)</f>
        <v>3005.55436</v>
      </c>
    </row>
    <row r="2462">
      <c r="A2462" s="3">
        <f>IFERROR(__xludf.DUMMYFUNCTION("""COMPUTED_VALUE"""),42829.99861111111)</f>
        <v>42829.99861</v>
      </c>
      <c r="B2462" s="1">
        <f>IFERROR(__xludf.DUMMYFUNCTION("""COMPUTED_VALUE"""),3006.76596)</f>
        <v>3006.76596</v>
      </c>
    </row>
    <row r="2463">
      <c r="A2463" s="3">
        <f>IFERROR(__xludf.DUMMYFUNCTION("""COMPUTED_VALUE"""),42830.99861111111)</f>
        <v>42830.99861</v>
      </c>
      <c r="B2463" s="1">
        <f>IFERROR(__xludf.DUMMYFUNCTION("""COMPUTED_VALUE"""),3004.07004)</f>
        <v>3004.07004</v>
      </c>
    </row>
    <row r="2464">
      <c r="A2464" s="3">
        <f>IFERROR(__xludf.DUMMYFUNCTION("""COMPUTED_VALUE"""),42831.99861111111)</f>
        <v>42831.99861</v>
      </c>
      <c r="B2464" s="1">
        <f>IFERROR(__xludf.DUMMYFUNCTION("""COMPUTED_VALUE"""),3008.16384)</f>
        <v>3008.16384</v>
      </c>
    </row>
    <row r="2465">
      <c r="A2465" s="3">
        <f>IFERROR(__xludf.DUMMYFUNCTION("""COMPUTED_VALUE"""),42832.99861111111)</f>
        <v>42832.99861</v>
      </c>
      <c r="B2465" s="1">
        <f>IFERROR(__xludf.DUMMYFUNCTION("""COMPUTED_VALUE"""),3004.1088)</f>
        <v>3004.1088</v>
      </c>
    </row>
    <row r="2466">
      <c r="A2466" s="3">
        <f>IFERROR(__xludf.DUMMYFUNCTION("""COMPUTED_VALUE"""),42833.99861111111)</f>
        <v>42833.99861</v>
      </c>
      <c r="B2466" s="1">
        <f>IFERROR(__xludf.DUMMYFUNCTION("""COMPUTED_VALUE"""),3007.742566)</f>
        <v>3007.742566</v>
      </c>
    </row>
    <row r="2467">
      <c r="A2467" s="3">
        <f>IFERROR(__xludf.DUMMYFUNCTION("""COMPUTED_VALUE"""),42834.99861111111)</f>
        <v>42834.99861</v>
      </c>
      <c r="B2467" s="1">
        <f>IFERROR(__xludf.DUMMYFUNCTION("""COMPUTED_VALUE"""),3013.60555)</f>
        <v>3013.60555</v>
      </c>
    </row>
    <row r="2468">
      <c r="A2468" s="3">
        <f>IFERROR(__xludf.DUMMYFUNCTION("""COMPUTED_VALUE"""),42835.99861111111)</f>
        <v>42835.99861</v>
      </c>
      <c r="B2468" s="1">
        <f>IFERROR(__xludf.DUMMYFUNCTION("""COMPUTED_VALUE"""),2990.61985)</f>
        <v>2990.61985</v>
      </c>
    </row>
    <row r="2469">
      <c r="A2469" s="3">
        <f>IFERROR(__xludf.DUMMYFUNCTION("""COMPUTED_VALUE"""),42836.99861111111)</f>
        <v>42836.99861</v>
      </c>
      <c r="B2469" s="1">
        <f>IFERROR(__xludf.DUMMYFUNCTION("""COMPUTED_VALUE"""),2996.19013)</f>
        <v>2996.19013</v>
      </c>
    </row>
    <row r="2470">
      <c r="A2470" s="3">
        <f>IFERROR(__xludf.DUMMYFUNCTION("""COMPUTED_VALUE"""),42837.99861111111)</f>
        <v>42837.99861</v>
      </c>
      <c r="B2470" s="1">
        <f>IFERROR(__xludf.DUMMYFUNCTION("""COMPUTED_VALUE"""),2997.01721)</f>
        <v>2997.01721</v>
      </c>
    </row>
    <row r="2471">
      <c r="A2471" s="3">
        <f>IFERROR(__xludf.DUMMYFUNCTION("""COMPUTED_VALUE"""),42838.99861111111)</f>
        <v>42838.99861</v>
      </c>
      <c r="B2471" s="1">
        <f>IFERROR(__xludf.DUMMYFUNCTION("""COMPUTED_VALUE"""),3007.014)</f>
        <v>3007.014</v>
      </c>
    </row>
    <row r="2472">
      <c r="A2472" s="3">
        <f>IFERROR(__xludf.DUMMYFUNCTION("""COMPUTED_VALUE"""),42839.99861111111)</f>
        <v>42839.99861</v>
      </c>
      <c r="B2472" s="1">
        <f>IFERROR(__xludf.DUMMYFUNCTION("""COMPUTED_VALUE"""),3013.32609)</f>
        <v>3013.32609</v>
      </c>
    </row>
    <row r="2473">
      <c r="A2473" s="3">
        <f>IFERROR(__xludf.DUMMYFUNCTION("""COMPUTED_VALUE"""),42840.99861111111)</f>
        <v>42840.99861</v>
      </c>
      <c r="B2473" s="1">
        <f>IFERROR(__xludf.DUMMYFUNCTION("""COMPUTED_VALUE"""),3011.82632)</f>
        <v>3011.82632</v>
      </c>
    </row>
    <row r="2474">
      <c r="A2474" s="3">
        <f>IFERROR(__xludf.DUMMYFUNCTION("""COMPUTED_VALUE"""),42841.99861111111)</f>
        <v>42841.99861</v>
      </c>
      <c r="B2474" s="1">
        <f>IFERROR(__xludf.DUMMYFUNCTION("""COMPUTED_VALUE"""),3012.96012)</f>
        <v>3012.96012</v>
      </c>
    </row>
    <row r="2475">
      <c r="A2475" s="3">
        <f>IFERROR(__xludf.DUMMYFUNCTION("""COMPUTED_VALUE"""),42842.99861111111)</f>
        <v>42842.99861</v>
      </c>
      <c r="B2475" s="1">
        <f>IFERROR(__xludf.DUMMYFUNCTION("""COMPUTED_VALUE"""),3012.87231)</f>
        <v>3012.87231</v>
      </c>
    </row>
    <row r="2476">
      <c r="A2476" s="3">
        <f>IFERROR(__xludf.DUMMYFUNCTION("""COMPUTED_VALUE"""),42843.99861111111)</f>
        <v>42843.99861</v>
      </c>
      <c r="B2476" s="1">
        <f>IFERROR(__xludf.DUMMYFUNCTION("""COMPUTED_VALUE"""),3012.2088)</f>
        <v>3012.2088</v>
      </c>
    </row>
    <row r="2477">
      <c r="A2477" s="3">
        <f>IFERROR(__xludf.DUMMYFUNCTION("""COMPUTED_VALUE"""),42844.99861111111)</f>
        <v>42844.99861</v>
      </c>
      <c r="B2477" s="1">
        <f>IFERROR(__xludf.DUMMYFUNCTION("""COMPUTED_VALUE"""),3029.79501)</f>
        <v>3029.79501</v>
      </c>
    </row>
    <row r="2478">
      <c r="A2478" s="3">
        <f>IFERROR(__xludf.DUMMYFUNCTION("""COMPUTED_VALUE"""),42845.99861111111)</f>
        <v>42845.99861</v>
      </c>
      <c r="B2478" s="1">
        <f>IFERROR(__xludf.DUMMYFUNCTION("""COMPUTED_VALUE"""),3025.88874)</f>
        <v>3025.88874</v>
      </c>
    </row>
    <row r="2479">
      <c r="A2479" s="3">
        <f>IFERROR(__xludf.DUMMYFUNCTION("""COMPUTED_VALUE"""),42846.99861111111)</f>
        <v>42846.99861</v>
      </c>
      <c r="B2479" s="1">
        <f>IFERROR(__xludf.DUMMYFUNCTION("""COMPUTED_VALUE"""),3019.54364)</f>
        <v>3019.54364</v>
      </c>
    </row>
    <row r="2480">
      <c r="A2480" s="3">
        <f>IFERROR(__xludf.DUMMYFUNCTION("""COMPUTED_VALUE"""),42847.99861111111)</f>
        <v>42847.99861</v>
      </c>
      <c r="B2480" s="1">
        <f>IFERROR(__xludf.DUMMYFUNCTION("""COMPUTED_VALUE"""),3020.877127)</f>
        <v>3020.877127</v>
      </c>
    </row>
    <row r="2481">
      <c r="A2481" s="3">
        <f>IFERROR(__xludf.DUMMYFUNCTION("""COMPUTED_VALUE"""),42848.99861111111)</f>
        <v>42848.99861</v>
      </c>
      <c r="B2481" s="1">
        <f>IFERROR(__xludf.DUMMYFUNCTION("""COMPUTED_VALUE"""),2977.456)</f>
        <v>2977.456</v>
      </c>
    </row>
    <row r="2482">
      <c r="A2482" s="3">
        <f>IFERROR(__xludf.DUMMYFUNCTION("""COMPUTED_VALUE"""),42849.99861111111)</f>
        <v>42849.99861</v>
      </c>
      <c r="B2482" s="1">
        <f>IFERROR(__xludf.DUMMYFUNCTION("""COMPUTED_VALUE"""),2980.72288)</f>
        <v>2980.72288</v>
      </c>
    </row>
    <row r="2483">
      <c r="A2483" s="3">
        <f>IFERROR(__xludf.DUMMYFUNCTION("""COMPUTED_VALUE"""),42850.99861111111)</f>
        <v>42850.99861</v>
      </c>
      <c r="B2483" s="1">
        <f>IFERROR(__xludf.DUMMYFUNCTION("""COMPUTED_VALUE"""),3041.33186)</f>
        <v>3041.33186</v>
      </c>
    </row>
    <row r="2484">
      <c r="A2484" s="3">
        <f>IFERROR(__xludf.DUMMYFUNCTION("""COMPUTED_VALUE"""),42851.99861111111)</f>
        <v>42851.99861</v>
      </c>
      <c r="B2484" s="1">
        <f>IFERROR(__xludf.DUMMYFUNCTION("""COMPUTED_VALUE"""),3048.57129)</f>
        <v>3048.57129</v>
      </c>
    </row>
    <row r="2485">
      <c r="A2485" s="3">
        <f>IFERROR(__xludf.DUMMYFUNCTION("""COMPUTED_VALUE"""),42852.99861111111)</f>
        <v>42852.99861</v>
      </c>
      <c r="B2485" s="1">
        <f>IFERROR(__xludf.DUMMYFUNCTION("""COMPUTED_VALUE"""),3069.26139)</f>
        <v>3069.26139</v>
      </c>
    </row>
    <row r="2486">
      <c r="A2486" s="3">
        <f>IFERROR(__xludf.DUMMYFUNCTION("""COMPUTED_VALUE"""),42853.99861111111)</f>
        <v>42853.99861</v>
      </c>
      <c r="B2486" s="1">
        <f>IFERROR(__xludf.DUMMYFUNCTION("""COMPUTED_VALUE"""),3071.52192)</f>
        <v>3071.52192</v>
      </c>
    </row>
    <row r="2487">
      <c r="A2487" s="3">
        <f>IFERROR(__xludf.DUMMYFUNCTION("""COMPUTED_VALUE"""),42854.99861111111)</f>
        <v>42854.99861</v>
      </c>
      <c r="B2487" s="1">
        <f>IFERROR(__xludf.DUMMYFUNCTION("""COMPUTED_VALUE"""),3073.163103)</f>
        <v>3073.163103</v>
      </c>
    </row>
    <row r="2488">
      <c r="A2488" s="3">
        <f>IFERROR(__xludf.DUMMYFUNCTION("""COMPUTED_VALUE"""),42855.99861111111)</f>
        <v>42855.99861</v>
      </c>
      <c r="B2488" s="1">
        <f>IFERROR(__xludf.DUMMYFUNCTION("""COMPUTED_VALUE"""),3066.45796)</f>
        <v>3066.45796</v>
      </c>
    </row>
    <row r="2489">
      <c r="A2489" s="3">
        <f>IFERROR(__xludf.DUMMYFUNCTION("""COMPUTED_VALUE"""),42856.99861111111)</f>
        <v>42856.99861</v>
      </c>
      <c r="B2489" s="1">
        <f>IFERROR(__xludf.DUMMYFUNCTION("""COMPUTED_VALUE"""),3066.74875)</f>
        <v>3066.74875</v>
      </c>
    </row>
    <row r="2490">
      <c r="A2490" s="3">
        <f>IFERROR(__xludf.DUMMYFUNCTION("""COMPUTED_VALUE"""),42857.99861111111)</f>
        <v>42857.99861</v>
      </c>
      <c r="B2490" s="1">
        <f>IFERROR(__xludf.DUMMYFUNCTION("""COMPUTED_VALUE"""),3070.0814)</f>
        <v>3070.0814</v>
      </c>
    </row>
    <row r="2491">
      <c r="A2491" s="3">
        <f>IFERROR(__xludf.DUMMYFUNCTION("""COMPUTED_VALUE"""),42858.99861111111)</f>
        <v>42858.99861</v>
      </c>
      <c r="B2491" s="1">
        <f>IFERROR(__xludf.DUMMYFUNCTION("""COMPUTED_VALUE"""),3077.8804)</f>
        <v>3077.8804</v>
      </c>
    </row>
    <row r="2492">
      <c r="A2492" s="3">
        <f>IFERROR(__xludf.DUMMYFUNCTION("""COMPUTED_VALUE"""),42859.99861111111)</f>
        <v>42859.99861</v>
      </c>
      <c r="B2492" s="1">
        <f>IFERROR(__xludf.DUMMYFUNCTION("""COMPUTED_VALUE"""),3079.8058)</f>
        <v>3079.8058</v>
      </c>
    </row>
    <row r="2493">
      <c r="A2493" s="3">
        <f>IFERROR(__xludf.DUMMYFUNCTION("""COMPUTED_VALUE"""),42860.99861111111)</f>
        <v>42860.99861</v>
      </c>
      <c r="B2493" s="1">
        <f>IFERROR(__xludf.DUMMYFUNCTION("""COMPUTED_VALUE"""),3067.90915)</f>
        <v>3067.90915</v>
      </c>
    </row>
    <row r="2494">
      <c r="A2494" s="3">
        <f>IFERROR(__xludf.DUMMYFUNCTION("""COMPUTED_VALUE"""),42861.99861111111)</f>
        <v>42861.99861</v>
      </c>
      <c r="B2494" s="1">
        <f>IFERROR(__xludf.DUMMYFUNCTION("""COMPUTED_VALUE"""),3072.132565)</f>
        <v>3072.132565</v>
      </c>
    </row>
    <row r="2495">
      <c r="A2495" s="3">
        <f>IFERROR(__xludf.DUMMYFUNCTION("""COMPUTED_VALUE"""),42862.99861111111)</f>
        <v>42862.99861</v>
      </c>
      <c r="B2495" s="1">
        <f>IFERROR(__xludf.DUMMYFUNCTION("""COMPUTED_VALUE"""),3072.132565)</f>
        <v>3072.132565</v>
      </c>
    </row>
    <row r="2496">
      <c r="A2496" s="3">
        <f>IFERROR(__xludf.DUMMYFUNCTION("""COMPUTED_VALUE"""),42863.99861111111)</f>
        <v>42863.99861</v>
      </c>
      <c r="B2496" s="1">
        <f>IFERROR(__xludf.DUMMYFUNCTION("""COMPUTED_VALUE"""),3069.98284)</f>
        <v>3069.98284</v>
      </c>
    </row>
    <row r="2497">
      <c r="A2497" s="3">
        <f>IFERROR(__xludf.DUMMYFUNCTION("""COMPUTED_VALUE"""),42864.99861111111)</f>
        <v>42864.99861</v>
      </c>
      <c r="B2497" s="1">
        <f>IFERROR(__xludf.DUMMYFUNCTION("""COMPUTED_VALUE"""),3071.76846)</f>
        <v>3071.76846</v>
      </c>
    </row>
    <row r="2498">
      <c r="A2498" s="3">
        <f>IFERROR(__xludf.DUMMYFUNCTION("""COMPUTED_VALUE"""),42865.99861111111)</f>
        <v>42865.99861</v>
      </c>
      <c r="B2498" s="1">
        <f>IFERROR(__xludf.DUMMYFUNCTION("""COMPUTED_VALUE"""),3073.19295)</f>
        <v>3073.19295</v>
      </c>
    </row>
    <row r="2499">
      <c r="A2499" s="3">
        <f>IFERROR(__xludf.DUMMYFUNCTION("""COMPUTED_VALUE"""),42866.99861111111)</f>
        <v>42866.99861</v>
      </c>
      <c r="B2499" s="1">
        <f>IFERROR(__xludf.DUMMYFUNCTION("""COMPUTED_VALUE"""),3059.49696)</f>
        <v>3059.49696</v>
      </c>
    </row>
    <row r="2500">
      <c r="A2500" s="3">
        <f>IFERROR(__xludf.DUMMYFUNCTION("""COMPUTED_VALUE"""),42867.99861111111)</f>
        <v>42867.99861</v>
      </c>
      <c r="B2500" s="1">
        <f>IFERROR(__xludf.DUMMYFUNCTION("""COMPUTED_VALUE"""),3061.6511)</f>
        <v>3061.6511</v>
      </c>
    </row>
    <row r="2501">
      <c r="A2501" s="3">
        <f>IFERROR(__xludf.DUMMYFUNCTION("""COMPUTED_VALUE"""),42868.99861111111)</f>
        <v>42868.99861</v>
      </c>
      <c r="B2501" s="1">
        <f>IFERROR(__xludf.DUMMYFUNCTION("""COMPUTED_VALUE"""),3065.8659)</f>
        <v>3065.8659</v>
      </c>
    </row>
    <row r="2502">
      <c r="A2502" s="3">
        <f>IFERROR(__xludf.DUMMYFUNCTION("""COMPUTED_VALUE"""),42869.99861111111)</f>
        <v>42869.99861</v>
      </c>
      <c r="B2502" s="1">
        <f>IFERROR(__xludf.DUMMYFUNCTION("""COMPUTED_VALUE"""),3068.15367)</f>
        <v>3068.15367</v>
      </c>
    </row>
    <row r="2503">
      <c r="A2503" s="3">
        <f>IFERROR(__xludf.DUMMYFUNCTION("""COMPUTED_VALUE"""),42870.99861111111)</f>
        <v>42870.99861</v>
      </c>
      <c r="B2503" s="1">
        <f>IFERROR(__xludf.DUMMYFUNCTION("""COMPUTED_VALUE"""),3070.9606)</f>
        <v>3070.9606</v>
      </c>
    </row>
    <row r="2504">
      <c r="A2504" s="3">
        <f>IFERROR(__xludf.DUMMYFUNCTION("""COMPUTED_VALUE"""),42871.99861111111)</f>
        <v>42871.99861</v>
      </c>
      <c r="B2504" s="1">
        <f>IFERROR(__xludf.DUMMYFUNCTION("""COMPUTED_VALUE"""),3072.66552)</f>
        <v>3072.66552</v>
      </c>
    </row>
    <row r="2505">
      <c r="A2505" s="3">
        <f>IFERROR(__xludf.DUMMYFUNCTION("""COMPUTED_VALUE"""),42872.99861111111)</f>
        <v>42872.99861</v>
      </c>
      <c r="B2505" s="1">
        <f>IFERROR(__xludf.DUMMYFUNCTION("""COMPUTED_VALUE"""),3078.98842)</f>
        <v>3078.98842</v>
      </c>
    </row>
    <row r="2506">
      <c r="A2506" s="3">
        <f>IFERROR(__xludf.DUMMYFUNCTION("""COMPUTED_VALUE"""),42873.99861111111)</f>
        <v>42873.99861</v>
      </c>
      <c r="B2506" s="1">
        <f>IFERROR(__xludf.DUMMYFUNCTION("""COMPUTED_VALUE"""),3094.09708)</f>
        <v>3094.09708</v>
      </c>
    </row>
    <row r="2507">
      <c r="A2507" s="3">
        <f>IFERROR(__xludf.DUMMYFUNCTION("""COMPUTED_VALUE"""),42874.99861111111)</f>
        <v>42874.99861</v>
      </c>
      <c r="B2507" s="1">
        <f>IFERROR(__xludf.DUMMYFUNCTION("""COMPUTED_VALUE"""),3080.17962)</f>
        <v>3080.17962</v>
      </c>
    </row>
    <row r="2508">
      <c r="A2508" s="3">
        <f>IFERROR(__xludf.DUMMYFUNCTION("""COMPUTED_VALUE"""),42875.99861111111)</f>
        <v>42875.99861</v>
      </c>
      <c r="B2508" s="1">
        <f>IFERROR(__xludf.DUMMYFUNCTION("""COMPUTED_VALUE"""),3082.799229)</f>
        <v>3082.799229</v>
      </c>
    </row>
    <row r="2509">
      <c r="A2509" s="3">
        <f>IFERROR(__xludf.DUMMYFUNCTION("""COMPUTED_VALUE"""),42876.99861111111)</f>
        <v>42876.99861</v>
      </c>
      <c r="B2509" s="1">
        <f>IFERROR(__xludf.DUMMYFUNCTION("""COMPUTED_VALUE"""),3081.56688)</f>
        <v>3081.56688</v>
      </c>
    </row>
    <row r="2510">
      <c r="A2510" s="3">
        <f>IFERROR(__xludf.DUMMYFUNCTION("""COMPUTED_VALUE"""),42877.99861111111)</f>
        <v>42877.99861</v>
      </c>
      <c r="B2510" s="1">
        <f>IFERROR(__xludf.DUMMYFUNCTION("""COMPUTED_VALUE"""),3087.06528)</f>
        <v>3087.06528</v>
      </c>
    </row>
    <row r="2511">
      <c r="A2511" s="3">
        <f>IFERROR(__xludf.DUMMYFUNCTION("""COMPUTED_VALUE"""),42878.99861111111)</f>
        <v>42878.99861</v>
      </c>
      <c r="B2511" s="1">
        <f>IFERROR(__xludf.DUMMYFUNCTION("""COMPUTED_VALUE"""),3094.90992)</f>
        <v>3094.90992</v>
      </c>
    </row>
    <row r="2512">
      <c r="A2512" s="3">
        <f>IFERROR(__xludf.DUMMYFUNCTION("""COMPUTED_VALUE"""),42879.99861111111)</f>
        <v>42879.99861</v>
      </c>
      <c r="B2512" s="1">
        <f>IFERROR(__xludf.DUMMYFUNCTION("""COMPUTED_VALUE"""),3092.715)</f>
        <v>3092.715</v>
      </c>
    </row>
    <row r="2513">
      <c r="A2513" s="3">
        <f>IFERROR(__xludf.DUMMYFUNCTION("""COMPUTED_VALUE"""),42880.99861111111)</f>
        <v>42880.99861</v>
      </c>
      <c r="B2513" s="1">
        <f>IFERROR(__xludf.DUMMYFUNCTION("""COMPUTED_VALUE"""),3107.21418)</f>
        <v>3107.21418</v>
      </c>
    </row>
    <row r="2514">
      <c r="A2514" s="3">
        <f>IFERROR(__xludf.DUMMYFUNCTION("""COMPUTED_VALUE"""),42881.99861111111)</f>
        <v>42881.99861</v>
      </c>
      <c r="B2514" s="1">
        <f>IFERROR(__xludf.DUMMYFUNCTION("""COMPUTED_VALUE"""),3113.55605)</f>
        <v>3113.55605</v>
      </c>
    </row>
    <row r="2515">
      <c r="A2515" s="3">
        <f>IFERROR(__xludf.DUMMYFUNCTION("""COMPUTED_VALUE"""),42882.99861111111)</f>
        <v>42882.99861</v>
      </c>
      <c r="B2515" s="1">
        <f>IFERROR(__xludf.DUMMYFUNCTION("""COMPUTED_VALUE"""),3111.25232)</f>
        <v>3111.25232</v>
      </c>
    </row>
    <row r="2516">
      <c r="A2516" s="3">
        <f>IFERROR(__xludf.DUMMYFUNCTION("""COMPUTED_VALUE"""),42883.99861111111)</f>
        <v>42883.99861</v>
      </c>
      <c r="B2516" s="1">
        <f>IFERROR(__xludf.DUMMYFUNCTION("""COMPUTED_VALUE"""),3111.25232)</f>
        <v>3111.25232</v>
      </c>
    </row>
    <row r="2517">
      <c r="A2517" s="3">
        <f>IFERROR(__xludf.DUMMYFUNCTION("""COMPUTED_VALUE"""),42884.99861111111)</f>
        <v>42884.99861</v>
      </c>
      <c r="B2517" s="1">
        <f>IFERROR(__xludf.DUMMYFUNCTION("""COMPUTED_VALUE"""),3112.11495)</f>
        <v>3112.11495</v>
      </c>
    </row>
    <row r="2518">
      <c r="A2518" s="3">
        <f>IFERROR(__xludf.DUMMYFUNCTION("""COMPUTED_VALUE"""),42885.99861111111)</f>
        <v>42885.99861</v>
      </c>
      <c r="B2518" s="1">
        <f>IFERROR(__xludf.DUMMYFUNCTION("""COMPUTED_VALUE"""),3107.58908)</f>
        <v>3107.58908</v>
      </c>
    </row>
    <row r="2519">
      <c r="A2519" s="3">
        <f>IFERROR(__xludf.DUMMYFUNCTION("""COMPUTED_VALUE"""),42886.99861111111)</f>
        <v>42886.99861</v>
      </c>
      <c r="B2519" s="1">
        <f>IFERROR(__xludf.DUMMYFUNCTION("""COMPUTED_VALUE"""),3096.43848)</f>
        <v>3096.43848</v>
      </c>
    </row>
    <row r="2520">
      <c r="A2520" s="3">
        <f>IFERROR(__xludf.DUMMYFUNCTION("""COMPUTED_VALUE"""),42887.99861111111)</f>
        <v>42887.99861</v>
      </c>
      <c r="B2520" s="1">
        <f>IFERROR(__xludf.DUMMYFUNCTION("""COMPUTED_VALUE"""),3097.03416)</f>
        <v>3097.03416</v>
      </c>
    </row>
    <row r="2521">
      <c r="A2521" s="3">
        <f>IFERROR(__xludf.DUMMYFUNCTION("""COMPUTED_VALUE"""),42888.99861111111)</f>
        <v>42888.99861</v>
      </c>
      <c r="B2521" s="1">
        <f>IFERROR(__xludf.DUMMYFUNCTION("""COMPUTED_VALUE"""),3102.41386)</f>
        <v>3102.41386</v>
      </c>
    </row>
    <row r="2522">
      <c r="A2522" s="3">
        <f>IFERROR(__xludf.DUMMYFUNCTION("""COMPUTED_VALUE"""),42889.99861111111)</f>
        <v>42889.99861</v>
      </c>
      <c r="B2522" s="1">
        <f>IFERROR(__xludf.DUMMYFUNCTION("""COMPUTED_VALUE"""),3106.61704)</f>
        <v>3106.61704</v>
      </c>
    </row>
    <row r="2523">
      <c r="A2523" s="3">
        <f>IFERROR(__xludf.DUMMYFUNCTION("""COMPUTED_VALUE"""),42890.99861111111)</f>
        <v>42890.99861</v>
      </c>
      <c r="B2523" s="1">
        <f>IFERROR(__xludf.DUMMYFUNCTION("""COMPUTED_VALUE"""),3106.61704)</f>
        <v>3106.61704</v>
      </c>
    </row>
    <row r="2524">
      <c r="A2524" s="3">
        <f>IFERROR(__xludf.DUMMYFUNCTION("""COMPUTED_VALUE"""),42891.99861111111)</f>
        <v>42891.99861</v>
      </c>
      <c r="B2524" s="1">
        <f>IFERROR(__xludf.DUMMYFUNCTION("""COMPUTED_VALUE"""),3113.66803)</f>
        <v>3113.66803</v>
      </c>
    </row>
    <row r="2525">
      <c r="A2525" s="3">
        <f>IFERROR(__xludf.DUMMYFUNCTION("""COMPUTED_VALUE"""),42892.99861111111)</f>
        <v>42892.99861</v>
      </c>
      <c r="B2525" s="1">
        <f>IFERROR(__xludf.DUMMYFUNCTION("""COMPUTED_VALUE"""),3101.54528)</f>
        <v>3101.54528</v>
      </c>
    </row>
    <row r="2526">
      <c r="A2526" s="3">
        <f>IFERROR(__xludf.DUMMYFUNCTION("""COMPUTED_VALUE"""),42893.99861111111)</f>
        <v>42893.99861</v>
      </c>
      <c r="B2526" s="1">
        <f>IFERROR(__xludf.DUMMYFUNCTION("""COMPUTED_VALUE"""),3122.16476)</f>
        <v>3122.16476</v>
      </c>
    </row>
    <row r="2527">
      <c r="A2527" s="3">
        <f>IFERROR(__xludf.DUMMYFUNCTION("""COMPUTED_VALUE"""),42894.99861111111)</f>
        <v>42894.99861</v>
      </c>
      <c r="B2527" s="1">
        <f>IFERROR(__xludf.DUMMYFUNCTION("""COMPUTED_VALUE"""),3116.80971)</f>
        <v>3116.80971</v>
      </c>
    </row>
    <row r="2528">
      <c r="A2528" s="3">
        <f>IFERROR(__xludf.DUMMYFUNCTION("""COMPUTED_VALUE"""),42895.99861111111)</f>
        <v>42895.99861</v>
      </c>
      <c r="B2528" s="1">
        <f>IFERROR(__xludf.DUMMYFUNCTION("""COMPUTED_VALUE"""),3114.01137)</f>
        <v>3114.01137</v>
      </c>
    </row>
    <row r="2529">
      <c r="A2529" s="3">
        <f>IFERROR(__xludf.DUMMYFUNCTION("""COMPUTED_VALUE"""),42896.99861111111)</f>
        <v>42896.99861</v>
      </c>
      <c r="B2529" s="1">
        <f>IFERROR(__xludf.DUMMYFUNCTION("""COMPUTED_VALUE"""),3112.13673)</f>
        <v>3112.13673</v>
      </c>
    </row>
    <row r="2530">
      <c r="A2530" s="3">
        <f>IFERROR(__xludf.DUMMYFUNCTION("""COMPUTED_VALUE"""),42897.99861111111)</f>
        <v>42897.99861</v>
      </c>
      <c r="B2530" s="1">
        <f>IFERROR(__xludf.DUMMYFUNCTION("""COMPUTED_VALUE"""),3115.41735)</f>
        <v>3115.41735</v>
      </c>
    </row>
    <row r="2531">
      <c r="A2531" s="3">
        <f>IFERROR(__xludf.DUMMYFUNCTION("""COMPUTED_VALUE"""),42898.99861111111)</f>
        <v>42898.99861</v>
      </c>
      <c r="B2531" s="1">
        <f>IFERROR(__xludf.DUMMYFUNCTION("""COMPUTED_VALUE"""),3119.86962)</f>
        <v>3119.86962</v>
      </c>
    </row>
    <row r="2532">
      <c r="A2532" s="3">
        <f>IFERROR(__xludf.DUMMYFUNCTION("""COMPUTED_VALUE"""),42899.99861111111)</f>
        <v>42899.99861</v>
      </c>
      <c r="B2532" s="1">
        <f>IFERROR(__xludf.DUMMYFUNCTION("""COMPUTED_VALUE"""),3113.03516)</f>
        <v>3113.03516</v>
      </c>
    </row>
    <row r="2533">
      <c r="A2533" s="3">
        <f>IFERROR(__xludf.DUMMYFUNCTION("""COMPUTED_VALUE"""),42900.99861111111)</f>
        <v>42900.99861</v>
      </c>
      <c r="B2533" s="1">
        <f>IFERROR(__xludf.DUMMYFUNCTION("""COMPUTED_VALUE"""),3118.35706)</f>
        <v>3118.35706</v>
      </c>
    </row>
    <row r="2534">
      <c r="A2534" s="3">
        <f>IFERROR(__xludf.DUMMYFUNCTION("""COMPUTED_VALUE"""),42901.99861111111)</f>
        <v>42901.99861</v>
      </c>
      <c r="B2534" s="1">
        <f>IFERROR(__xludf.DUMMYFUNCTION("""COMPUTED_VALUE"""),3113.32186)</f>
        <v>3113.32186</v>
      </c>
    </row>
    <row r="2535">
      <c r="A2535" s="3">
        <f>IFERROR(__xludf.DUMMYFUNCTION("""COMPUTED_VALUE"""),42902.99861111111)</f>
        <v>42902.99861</v>
      </c>
      <c r="B2535" s="1">
        <f>IFERROR(__xludf.DUMMYFUNCTION("""COMPUTED_VALUE"""),3105.873)</f>
        <v>3105.873</v>
      </c>
    </row>
    <row r="2536">
      <c r="A2536" s="3">
        <f>IFERROR(__xludf.DUMMYFUNCTION("""COMPUTED_VALUE"""),42903.99861111111)</f>
        <v>42903.99861</v>
      </c>
      <c r="B2536" s="1">
        <f>IFERROR(__xludf.DUMMYFUNCTION("""COMPUTED_VALUE"""),3105.4056)</f>
        <v>3105.4056</v>
      </c>
    </row>
    <row r="2537">
      <c r="A2537" s="3">
        <f>IFERROR(__xludf.DUMMYFUNCTION("""COMPUTED_VALUE"""),42904.99861111111)</f>
        <v>42904.99861</v>
      </c>
      <c r="B2537" s="1">
        <f>IFERROR(__xludf.DUMMYFUNCTION("""COMPUTED_VALUE"""),3102.8349)</f>
        <v>3102.8349</v>
      </c>
    </row>
    <row r="2538">
      <c r="A2538" s="3">
        <f>IFERROR(__xludf.DUMMYFUNCTION("""COMPUTED_VALUE"""),42905.99861111111)</f>
        <v>42905.99861</v>
      </c>
      <c r="B2538" s="1">
        <f>IFERROR(__xludf.DUMMYFUNCTION("""COMPUTED_VALUE"""),3104.14104)</f>
        <v>3104.14104</v>
      </c>
    </row>
    <row r="2539">
      <c r="A2539" s="3">
        <f>IFERROR(__xludf.DUMMYFUNCTION("""COMPUTED_VALUE"""),42906.99861111111)</f>
        <v>42906.99861</v>
      </c>
      <c r="B2539" s="1">
        <f>IFERROR(__xludf.DUMMYFUNCTION("""COMPUTED_VALUE"""),3100.65739)</f>
        <v>3100.65739</v>
      </c>
    </row>
    <row r="2540">
      <c r="A2540" s="3">
        <f>IFERROR(__xludf.DUMMYFUNCTION("""COMPUTED_VALUE"""),42907.99861111111)</f>
        <v>42907.99861</v>
      </c>
      <c r="B2540" s="1">
        <f>IFERROR(__xludf.DUMMYFUNCTION("""COMPUTED_VALUE"""),3100.86213)</f>
        <v>3100.86213</v>
      </c>
    </row>
    <row r="2541">
      <c r="A2541" s="3">
        <f>IFERROR(__xludf.DUMMYFUNCTION("""COMPUTED_VALUE"""),42908.99861111111)</f>
        <v>42908.99861</v>
      </c>
      <c r="B2541" s="1">
        <f>IFERROR(__xludf.DUMMYFUNCTION("""COMPUTED_VALUE"""),3110.18733)</f>
        <v>3110.18733</v>
      </c>
    </row>
    <row r="2542">
      <c r="A2542" s="3">
        <f>IFERROR(__xludf.DUMMYFUNCTION("""COMPUTED_VALUE"""),42909.99861111111)</f>
        <v>42909.99861</v>
      </c>
      <c r="B2542" s="1">
        <f>IFERROR(__xludf.DUMMYFUNCTION("""COMPUTED_VALUE"""),3101.52936)</f>
        <v>3101.52936</v>
      </c>
    </row>
    <row r="2543">
      <c r="A2543" s="3">
        <f>IFERROR(__xludf.DUMMYFUNCTION("""COMPUTED_VALUE"""),42910.99861111111)</f>
        <v>42910.99861</v>
      </c>
      <c r="B2543" s="1">
        <f>IFERROR(__xludf.DUMMYFUNCTION("""COMPUTED_VALUE"""),3103.060432)</f>
        <v>3103.060432</v>
      </c>
    </row>
    <row r="2544">
      <c r="A2544" s="3">
        <f>IFERROR(__xludf.DUMMYFUNCTION("""COMPUTED_VALUE"""),42911.99861111111)</f>
        <v>42911.99861</v>
      </c>
      <c r="B2544" s="1">
        <f>IFERROR(__xludf.DUMMYFUNCTION("""COMPUTED_VALUE"""),3095.8362)</f>
        <v>3095.8362</v>
      </c>
    </row>
    <row r="2545">
      <c r="A2545" s="3">
        <f>IFERROR(__xludf.DUMMYFUNCTION("""COMPUTED_VALUE"""),42912.99861111111)</f>
        <v>42912.99861</v>
      </c>
      <c r="B2545" s="1">
        <f>IFERROR(__xludf.DUMMYFUNCTION("""COMPUTED_VALUE"""),3104.02626)</f>
        <v>3104.02626</v>
      </c>
    </row>
    <row r="2546">
      <c r="A2546" s="3">
        <f>IFERROR(__xludf.DUMMYFUNCTION("""COMPUTED_VALUE"""),42913.99861111111)</f>
        <v>42913.99861</v>
      </c>
      <c r="B2546" s="1">
        <f>IFERROR(__xludf.DUMMYFUNCTION("""COMPUTED_VALUE"""),3101.4294)</f>
        <v>3101.4294</v>
      </c>
    </row>
    <row r="2547">
      <c r="A2547" s="3">
        <f>IFERROR(__xludf.DUMMYFUNCTION("""COMPUTED_VALUE"""),42914.99861111111)</f>
        <v>42914.99861</v>
      </c>
      <c r="B2547" s="1">
        <f>IFERROR(__xludf.DUMMYFUNCTION("""COMPUTED_VALUE"""),3093.18144)</f>
        <v>3093.18144</v>
      </c>
    </row>
    <row r="2548">
      <c r="A2548" s="3">
        <f>IFERROR(__xludf.DUMMYFUNCTION("""COMPUTED_VALUE"""),42915.99861111111)</f>
        <v>42915.99861</v>
      </c>
      <c r="B2548" s="1">
        <f>IFERROR(__xludf.DUMMYFUNCTION("""COMPUTED_VALUE"""),3090.05616)</f>
        <v>3090.05616</v>
      </c>
    </row>
    <row r="2549">
      <c r="A2549" s="3">
        <f>IFERROR(__xludf.DUMMYFUNCTION("""COMPUTED_VALUE"""),42916.99861111111)</f>
        <v>42916.99861</v>
      </c>
      <c r="B2549" s="1">
        <f>IFERROR(__xludf.DUMMYFUNCTION("""COMPUTED_VALUE"""),3098.86701)</f>
        <v>3098.86701</v>
      </c>
    </row>
    <row r="2550">
      <c r="A2550" s="3">
        <f>IFERROR(__xludf.DUMMYFUNCTION("""COMPUTED_VALUE"""),42917.99861111111)</f>
        <v>42917.99861</v>
      </c>
      <c r="B2550" s="1">
        <f>IFERROR(__xludf.DUMMYFUNCTION("""COMPUTED_VALUE"""),3094.67715)</f>
        <v>3094.67715</v>
      </c>
    </row>
    <row r="2551">
      <c r="A2551" s="3">
        <f>IFERROR(__xludf.DUMMYFUNCTION("""COMPUTED_VALUE"""),42918.99861111111)</f>
        <v>42918.99861</v>
      </c>
      <c r="B2551" s="1">
        <f>IFERROR(__xludf.DUMMYFUNCTION("""COMPUTED_VALUE"""),3095.37546)</f>
        <v>3095.37546</v>
      </c>
    </row>
    <row r="2552">
      <c r="A2552" s="3">
        <f>IFERROR(__xludf.DUMMYFUNCTION("""COMPUTED_VALUE"""),42919.99861111111)</f>
        <v>42919.99861</v>
      </c>
      <c r="B2552" s="1">
        <f>IFERROR(__xludf.DUMMYFUNCTION("""COMPUTED_VALUE"""),3107.53092)</f>
        <v>3107.53092</v>
      </c>
    </row>
    <row r="2553">
      <c r="A2553" s="3">
        <f>IFERROR(__xludf.DUMMYFUNCTION("""COMPUTED_VALUE"""),42920.99861111111)</f>
        <v>42920.99861</v>
      </c>
      <c r="B2553" s="1">
        <f>IFERROR(__xludf.DUMMYFUNCTION("""COMPUTED_VALUE"""),3104.90856)</f>
        <v>3104.90856</v>
      </c>
    </row>
    <row r="2554">
      <c r="A2554" s="3">
        <f>IFERROR(__xludf.DUMMYFUNCTION("""COMPUTED_VALUE"""),42921.99861111111)</f>
        <v>42921.99861</v>
      </c>
      <c r="B2554" s="1">
        <f>IFERROR(__xludf.DUMMYFUNCTION("""COMPUTED_VALUE"""),3107.69928)</f>
        <v>3107.69928</v>
      </c>
    </row>
    <row r="2555">
      <c r="A2555" s="3">
        <f>IFERROR(__xludf.DUMMYFUNCTION("""COMPUTED_VALUE"""),42922.99861111111)</f>
        <v>42922.99861</v>
      </c>
      <c r="B2555" s="1">
        <f>IFERROR(__xludf.DUMMYFUNCTION("""COMPUTED_VALUE"""),3111.94899)</f>
        <v>3111.94899</v>
      </c>
    </row>
    <row r="2556">
      <c r="A2556" s="3">
        <f>IFERROR(__xludf.DUMMYFUNCTION("""COMPUTED_VALUE"""),42923.99861111111)</f>
        <v>42923.99861</v>
      </c>
      <c r="B2556" s="1">
        <f>IFERROR(__xludf.DUMMYFUNCTION("""COMPUTED_VALUE"""),3116.3944)</f>
        <v>3116.3944</v>
      </c>
    </row>
    <row r="2557">
      <c r="A2557" s="3">
        <f>IFERROR(__xludf.DUMMYFUNCTION("""COMPUTED_VALUE"""),42924.99861111111)</f>
        <v>42924.99861</v>
      </c>
      <c r="B2557" s="1">
        <f>IFERROR(__xludf.DUMMYFUNCTION("""COMPUTED_VALUE"""),3120.534868)</f>
        <v>3120.534868</v>
      </c>
    </row>
    <row r="2558">
      <c r="A2558" s="3">
        <f>IFERROR(__xludf.DUMMYFUNCTION("""COMPUTED_VALUE"""),42925.99861111111)</f>
        <v>42925.99861</v>
      </c>
      <c r="B2558" s="1">
        <f>IFERROR(__xludf.DUMMYFUNCTION("""COMPUTED_VALUE"""),3117.09184)</f>
        <v>3117.09184</v>
      </c>
    </row>
    <row r="2559">
      <c r="A2559" s="3">
        <f>IFERROR(__xludf.DUMMYFUNCTION("""COMPUTED_VALUE"""),42926.99861111111)</f>
        <v>42926.99861</v>
      </c>
      <c r="B2559" s="1">
        <f>IFERROR(__xludf.DUMMYFUNCTION("""COMPUTED_VALUE"""),3113.51328)</f>
        <v>3113.51328</v>
      </c>
    </row>
    <row r="2560">
      <c r="A2560" s="3">
        <f>IFERROR(__xludf.DUMMYFUNCTION("""COMPUTED_VALUE"""),42927.99861111111)</f>
        <v>42927.99861</v>
      </c>
      <c r="B2560" s="1">
        <f>IFERROR(__xludf.DUMMYFUNCTION("""COMPUTED_VALUE"""),3104.44344)</f>
        <v>3104.44344</v>
      </c>
    </row>
    <row r="2561">
      <c r="A2561" s="3">
        <f>IFERROR(__xludf.DUMMYFUNCTION("""COMPUTED_VALUE"""),42928.99861111111)</f>
        <v>42928.99861</v>
      </c>
      <c r="B2561" s="1">
        <f>IFERROR(__xludf.DUMMYFUNCTION("""COMPUTED_VALUE"""),3111.30729)</f>
        <v>3111.30729</v>
      </c>
    </row>
    <row r="2562">
      <c r="A2562" s="3">
        <f>IFERROR(__xludf.DUMMYFUNCTION("""COMPUTED_VALUE"""),42929.99861111111)</f>
        <v>42929.99861</v>
      </c>
      <c r="B2562" s="1">
        <f>IFERROR(__xludf.DUMMYFUNCTION("""COMPUTED_VALUE"""),3106.18503)</f>
        <v>3106.18503</v>
      </c>
    </row>
    <row r="2563">
      <c r="A2563" s="3">
        <f>IFERROR(__xludf.DUMMYFUNCTION("""COMPUTED_VALUE"""),42930.99861111111)</f>
        <v>42930.99861</v>
      </c>
      <c r="B2563" s="1">
        <f>IFERROR(__xludf.DUMMYFUNCTION("""COMPUTED_VALUE"""),3095.47485)</f>
        <v>3095.47485</v>
      </c>
    </row>
    <row r="2564">
      <c r="A2564" s="3">
        <f>IFERROR(__xludf.DUMMYFUNCTION("""COMPUTED_VALUE"""),42931.99861111111)</f>
        <v>42931.99861</v>
      </c>
      <c r="B2564" s="1">
        <f>IFERROR(__xludf.DUMMYFUNCTION("""COMPUTED_VALUE"""),3096.143072)</f>
        <v>3096.143072</v>
      </c>
    </row>
    <row r="2565">
      <c r="A2565" s="3">
        <f>IFERROR(__xludf.DUMMYFUNCTION("""COMPUTED_VALUE"""),42932.99861111111)</f>
        <v>42932.99861</v>
      </c>
      <c r="B2565" s="1">
        <f>IFERROR(__xludf.DUMMYFUNCTION("""COMPUTED_VALUE"""),3104.08956)</f>
        <v>3104.08956</v>
      </c>
    </row>
    <row r="2566">
      <c r="A2566" s="3">
        <f>IFERROR(__xludf.DUMMYFUNCTION("""COMPUTED_VALUE"""),42933.99861111111)</f>
        <v>42933.99861</v>
      </c>
      <c r="B2566" s="1">
        <f>IFERROR(__xludf.DUMMYFUNCTION("""COMPUTED_VALUE"""),3104.85868)</f>
        <v>3104.85868</v>
      </c>
    </row>
    <row r="2567">
      <c r="A2567" s="3">
        <f>IFERROR(__xludf.DUMMYFUNCTION("""COMPUTED_VALUE"""),42934.99861111111)</f>
        <v>42934.99861</v>
      </c>
      <c r="B2567" s="1">
        <f>IFERROR(__xludf.DUMMYFUNCTION("""COMPUTED_VALUE"""),3101.3613)</f>
        <v>3101.3613</v>
      </c>
    </row>
    <row r="2568">
      <c r="A2568" s="3">
        <f>IFERROR(__xludf.DUMMYFUNCTION("""COMPUTED_VALUE"""),42935.99861111111)</f>
        <v>42935.99861</v>
      </c>
      <c r="B2568" s="1">
        <f>IFERROR(__xludf.DUMMYFUNCTION("""COMPUTED_VALUE"""),3102.99335)</f>
        <v>3102.99335</v>
      </c>
    </row>
    <row r="2569">
      <c r="A2569" s="3">
        <f>IFERROR(__xludf.DUMMYFUNCTION("""COMPUTED_VALUE"""),42936.99861111111)</f>
        <v>42936.99861</v>
      </c>
      <c r="B2569" s="1">
        <f>IFERROR(__xludf.DUMMYFUNCTION("""COMPUTED_VALUE"""),3098.00264)</f>
        <v>3098.00264</v>
      </c>
    </row>
    <row r="2570">
      <c r="A2570" s="3">
        <f>IFERROR(__xludf.DUMMYFUNCTION("""COMPUTED_VALUE"""),42937.99861111111)</f>
        <v>42937.99861</v>
      </c>
      <c r="B2570" s="1">
        <f>IFERROR(__xludf.DUMMYFUNCTION("""COMPUTED_VALUE"""),3106.99004)</f>
        <v>3106.99004</v>
      </c>
    </row>
    <row r="2571">
      <c r="A2571" s="3">
        <f>IFERROR(__xludf.DUMMYFUNCTION("""COMPUTED_VALUE"""),42938.99861111111)</f>
        <v>42938.99861</v>
      </c>
      <c r="B2571" s="1">
        <f>IFERROR(__xludf.DUMMYFUNCTION("""COMPUTED_VALUE"""),3107.22328)</f>
        <v>3107.22328</v>
      </c>
    </row>
    <row r="2572">
      <c r="A2572" s="3">
        <f>IFERROR(__xludf.DUMMYFUNCTION("""COMPUTED_VALUE"""),42939.99861111111)</f>
        <v>42939.99861</v>
      </c>
      <c r="B2572" s="1">
        <f>IFERROR(__xludf.DUMMYFUNCTION("""COMPUTED_VALUE"""),3093.9286)</f>
        <v>3093.9286</v>
      </c>
    </row>
    <row r="2573">
      <c r="A2573" s="3">
        <f>IFERROR(__xludf.DUMMYFUNCTION("""COMPUTED_VALUE"""),42940.99861111111)</f>
        <v>42940.99861</v>
      </c>
      <c r="B2573" s="1">
        <f>IFERROR(__xludf.DUMMYFUNCTION("""COMPUTED_VALUE"""),3111.15024)</f>
        <v>3111.15024</v>
      </c>
    </row>
    <row r="2574">
      <c r="A2574" s="3">
        <f>IFERROR(__xludf.DUMMYFUNCTION("""COMPUTED_VALUE"""),42941.99861111111)</f>
        <v>42941.99861</v>
      </c>
      <c r="B2574" s="1">
        <f>IFERROR(__xludf.DUMMYFUNCTION("""COMPUTED_VALUE"""),3110.7552)</f>
        <v>3110.7552</v>
      </c>
    </row>
    <row r="2575">
      <c r="A2575" s="3">
        <f>IFERROR(__xludf.DUMMYFUNCTION("""COMPUTED_VALUE"""),42942.99861111111)</f>
        <v>42942.99861</v>
      </c>
      <c r="B2575" s="1">
        <f>IFERROR(__xludf.DUMMYFUNCTION("""COMPUTED_VALUE"""),3109.12254)</f>
        <v>3109.12254</v>
      </c>
    </row>
    <row r="2576">
      <c r="A2576" s="3">
        <f>IFERROR(__xludf.DUMMYFUNCTION("""COMPUTED_VALUE"""),42943.99861111111)</f>
        <v>42943.99861</v>
      </c>
      <c r="B2576" s="1">
        <f>IFERROR(__xludf.DUMMYFUNCTION("""COMPUTED_VALUE"""),3109.98204)</f>
        <v>3109.98204</v>
      </c>
    </row>
    <row r="2577">
      <c r="A2577" s="3">
        <f>IFERROR(__xludf.DUMMYFUNCTION("""COMPUTED_VALUE"""),42944.99861111111)</f>
        <v>42944.99861</v>
      </c>
      <c r="B2577" s="1">
        <f>IFERROR(__xludf.DUMMYFUNCTION("""COMPUTED_VALUE"""),3112.78905)</f>
        <v>3112.78905</v>
      </c>
    </row>
    <row r="2578">
      <c r="A2578" s="3">
        <f>IFERROR(__xludf.DUMMYFUNCTION("""COMPUTED_VALUE"""),42945.99861111111)</f>
        <v>42945.99861</v>
      </c>
      <c r="B2578" s="1">
        <f>IFERROR(__xludf.DUMMYFUNCTION("""COMPUTED_VALUE"""),3109.2876)</f>
        <v>3109.2876</v>
      </c>
    </row>
    <row r="2579">
      <c r="A2579" s="3">
        <f>IFERROR(__xludf.DUMMYFUNCTION("""COMPUTED_VALUE"""),42946.99861111111)</f>
        <v>42946.99861</v>
      </c>
      <c r="B2579" s="1">
        <f>IFERROR(__xludf.DUMMYFUNCTION("""COMPUTED_VALUE"""),3109.2876)</f>
        <v>3109.2876</v>
      </c>
    </row>
    <row r="2580">
      <c r="A2580" s="3">
        <f>IFERROR(__xludf.DUMMYFUNCTION("""COMPUTED_VALUE"""),42947.99861111111)</f>
        <v>42947.99861</v>
      </c>
      <c r="B2580" s="1">
        <f>IFERROR(__xludf.DUMMYFUNCTION("""COMPUTED_VALUE"""),3109.48664)</f>
        <v>3109.48664</v>
      </c>
    </row>
    <row r="2581">
      <c r="A2581" s="3">
        <f>IFERROR(__xludf.DUMMYFUNCTION("""COMPUTED_VALUE"""),42948.99861111111)</f>
        <v>42948.99861</v>
      </c>
      <c r="B2581" s="1">
        <f>IFERROR(__xludf.DUMMYFUNCTION("""COMPUTED_VALUE"""),3104.85855)</f>
        <v>3104.85855</v>
      </c>
    </row>
    <row r="2582">
      <c r="A2582" s="3">
        <f>IFERROR(__xludf.DUMMYFUNCTION("""COMPUTED_VALUE"""),42949.99861111111)</f>
        <v>42949.99861</v>
      </c>
      <c r="B2582" s="1">
        <f>IFERROR(__xludf.DUMMYFUNCTION("""COMPUTED_VALUE"""),3104.1927)</f>
        <v>3104.1927</v>
      </c>
    </row>
    <row r="2583">
      <c r="A2583" s="3">
        <f>IFERROR(__xludf.DUMMYFUNCTION("""COMPUTED_VALUE"""),42950.99861111111)</f>
        <v>42950.99861</v>
      </c>
      <c r="B2583" s="1">
        <f>IFERROR(__xludf.DUMMYFUNCTION("""COMPUTED_VALUE"""),3110.11969)</f>
        <v>3110.11969</v>
      </c>
    </row>
    <row r="2584">
      <c r="A2584" s="3">
        <f>IFERROR(__xludf.DUMMYFUNCTION("""COMPUTED_VALUE"""),42951.99861111111)</f>
        <v>42951.99861</v>
      </c>
      <c r="B2584" s="1">
        <f>IFERROR(__xludf.DUMMYFUNCTION("""COMPUTED_VALUE"""),3108.88448)</f>
        <v>3108.88448</v>
      </c>
    </row>
    <row r="2585">
      <c r="A2585" s="3">
        <f>IFERROR(__xludf.DUMMYFUNCTION("""COMPUTED_VALUE"""),42952.99861111111)</f>
        <v>42952.99861</v>
      </c>
      <c r="B2585" s="1">
        <f>IFERROR(__xludf.DUMMYFUNCTION("""COMPUTED_VALUE"""),3113.865888)</f>
        <v>3113.865888</v>
      </c>
    </row>
    <row r="2586">
      <c r="A2586" s="3">
        <f>IFERROR(__xludf.DUMMYFUNCTION("""COMPUTED_VALUE"""),42953.99861111111)</f>
        <v>42953.99861</v>
      </c>
      <c r="B2586" s="1">
        <f>IFERROR(__xludf.DUMMYFUNCTION("""COMPUTED_VALUE"""),3108.18386)</f>
        <v>3108.18386</v>
      </c>
    </row>
    <row r="2587">
      <c r="A2587" s="3">
        <f>IFERROR(__xludf.DUMMYFUNCTION("""COMPUTED_VALUE"""),42954.99861111111)</f>
        <v>42954.99861</v>
      </c>
      <c r="B2587" s="1">
        <f>IFERROR(__xludf.DUMMYFUNCTION("""COMPUTED_VALUE"""),3107.721)</f>
        <v>3107.721</v>
      </c>
    </row>
    <row r="2588">
      <c r="A2588" s="3">
        <f>IFERROR(__xludf.DUMMYFUNCTION("""COMPUTED_VALUE"""),42955.99861111111)</f>
        <v>42955.99861</v>
      </c>
      <c r="B2588" s="1">
        <f>IFERROR(__xludf.DUMMYFUNCTION("""COMPUTED_VALUE"""),3103.09226)</f>
        <v>3103.09226</v>
      </c>
    </row>
    <row r="2589">
      <c r="A2589" s="3">
        <f>IFERROR(__xludf.DUMMYFUNCTION("""COMPUTED_VALUE"""),42956.99861111111)</f>
        <v>42956.99861</v>
      </c>
      <c r="B2589" s="1">
        <f>IFERROR(__xludf.DUMMYFUNCTION("""COMPUTED_VALUE"""),3105.22452)</f>
        <v>3105.22452</v>
      </c>
    </row>
    <row r="2590">
      <c r="A2590" s="3">
        <f>IFERROR(__xludf.DUMMYFUNCTION("""COMPUTED_VALUE"""),42957.99861111111)</f>
        <v>42957.99861</v>
      </c>
      <c r="B2590" s="1">
        <f>IFERROR(__xludf.DUMMYFUNCTION("""COMPUTED_VALUE"""),3103.59176)</f>
        <v>3103.59176</v>
      </c>
    </row>
    <row r="2591">
      <c r="A2591" s="3">
        <f>IFERROR(__xludf.DUMMYFUNCTION("""COMPUTED_VALUE"""),42958.99861111111)</f>
        <v>42958.99861</v>
      </c>
      <c r="B2591" s="1">
        <f>IFERROR(__xludf.DUMMYFUNCTION("""COMPUTED_VALUE"""),3106.17881)</f>
        <v>3106.17881</v>
      </c>
    </row>
    <row r="2592">
      <c r="A2592" s="3">
        <f>IFERROR(__xludf.DUMMYFUNCTION("""COMPUTED_VALUE"""),42959.99861111111)</f>
        <v>42959.99861</v>
      </c>
      <c r="B2592" s="1">
        <f>IFERROR(__xludf.DUMMYFUNCTION("""COMPUTED_VALUE"""),3106.64419)</f>
        <v>3106.64419</v>
      </c>
    </row>
    <row r="2593">
      <c r="A2593" s="3">
        <f>IFERROR(__xludf.DUMMYFUNCTION("""COMPUTED_VALUE"""),42960.99861111111)</f>
        <v>42960.99861</v>
      </c>
      <c r="B2593" s="1">
        <f>IFERROR(__xludf.DUMMYFUNCTION("""COMPUTED_VALUE"""),3106.64419)</f>
        <v>3106.64419</v>
      </c>
    </row>
    <row r="2594">
      <c r="A2594" s="3">
        <f>IFERROR(__xludf.DUMMYFUNCTION("""COMPUTED_VALUE"""),42961.99861111111)</f>
        <v>42961.99861</v>
      </c>
      <c r="B2594" s="1">
        <f>IFERROR(__xludf.DUMMYFUNCTION("""COMPUTED_VALUE"""),3105.61734)</f>
        <v>3105.61734</v>
      </c>
    </row>
    <row r="2595">
      <c r="A2595" s="3">
        <f>IFERROR(__xludf.DUMMYFUNCTION("""COMPUTED_VALUE"""),42962.99861111111)</f>
        <v>42962.99861</v>
      </c>
      <c r="B2595" s="1">
        <f>IFERROR(__xludf.DUMMYFUNCTION("""COMPUTED_VALUE"""),3106.67456)</f>
        <v>3106.67456</v>
      </c>
    </row>
    <row r="2596">
      <c r="A2596" s="3">
        <f>IFERROR(__xludf.DUMMYFUNCTION("""COMPUTED_VALUE"""),42963.99861111111)</f>
        <v>42963.99861</v>
      </c>
      <c r="B2596" s="1">
        <f>IFERROR(__xludf.DUMMYFUNCTION("""COMPUTED_VALUE"""),3106.4115)</f>
        <v>3106.4115</v>
      </c>
    </row>
    <row r="2597">
      <c r="A2597" s="3">
        <f>IFERROR(__xludf.DUMMYFUNCTION("""COMPUTED_VALUE"""),42964.99861111111)</f>
        <v>42964.99861</v>
      </c>
      <c r="B2597" s="1">
        <f>IFERROR(__xludf.DUMMYFUNCTION("""COMPUTED_VALUE"""),3111.26324)</f>
        <v>3111.26324</v>
      </c>
    </row>
    <row r="2598">
      <c r="A2598" s="3">
        <f>IFERROR(__xludf.DUMMYFUNCTION("""COMPUTED_VALUE"""),42965.99861111111)</f>
        <v>42965.99861</v>
      </c>
      <c r="B2598" s="1">
        <f>IFERROR(__xludf.DUMMYFUNCTION("""COMPUTED_VALUE"""),3112.28042)</f>
        <v>3112.28042</v>
      </c>
    </row>
    <row r="2599">
      <c r="A2599" s="3">
        <f>IFERROR(__xludf.DUMMYFUNCTION("""COMPUTED_VALUE"""),42966.99861111111)</f>
        <v>42966.99861</v>
      </c>
      <c r="B2599" s="1">
        <f>IFERROR(__xludf.DUMMYFUNCTION("""COMPUTED_VALUE"""),3111.58145)</f>
        <v>3111.58145</v>
      </c>
    </row>
    <row r="2600">
      <c r="A2600" s="3">
        <f>IFERROR(__xludf.DUMMYFUNCTION("""COMPUTED_VALUE"""),42967.99861111111)</f>
        <v>42967.99861</v>
      </c>
      <c r="B2600" s="1">
        <f>IFERROR(__xludf.DUMMYFUNCTION("""COMPUTED_VALUE"""),3111.58145)</f>
        <v>3111.58145</v>
      </c>
    </row>
    <row r="2601">
      <c r="A2601" s="3">
        <f>IFERROR(__xludf.DUMMYFUNCTION("""COMPUTED_VALUE"""),42968.99861111111)</f>
        <v>42968.99861</v>
      </c>
      <c r="B2601" s="1">
        <f>IFERROR(__xludf.DUMMYFUNCTION("""COMPUTED_VALUE"""),3110.88672)</f>
        <v>3110.88672</v>
      </c>
    </row>
    <row r="2602">
      <c r="A2602" s="3">
        <f>IFERROR(__xludf.DUMMYFUNCTION("""COMPUTED_VALUE"""),42969.99861111111)</f>
        <v>42969.99861</v>
      </c>
      <c r="B2602" s="1">
        <f>IFERROR(__xludf.DUMMYFUNCTION("""COMPUTED_VALUE"""),3110.72125)</f>
        <v>3110.72125</v>
      </c>
    </row>
    <row r="2603">
      <c r="A2603" s="3">
        <f>IFERROR(__xludf.DUMMYFUNCTION("""COMPUTED_VALUE"""),42970.99861111111)</f>
        <v>42970.99861</v>
      </c>
      <c r="B2603" s="1">
        <f>IFERROR(__xludf.DUMMYFUNCTION("""COMPUTED_VALUE"""),3117.59201)</f>
        <v>3117.59201</v>
      </c>
    </row>
    <row r="2604">
      <c r="A2604" s="3">
        <f>IFERROR(__xludf.DUMMYFUNCTION("""COMPUTED_VALUE"""),42971.99861111111)</f>
        <v>42971.99861</v>
      </c>
      <c r="B2604" s="1">
        <f>IFERROR(__xludf.DUMMYFUNCTION("""COMPUTED_VALUE"""),3118.32204)</f>
        <v>3118.32204</v>
      </c>
    </row>
    <row r="2605">
      <c r="A2605" s="3">
        <f>IFERROR(__xludf.DUMMYFUNCTION("""COMPUTED_VALUE"""),42972.99861111111)</f>
        <v>42972.99861</v>
      </c>
      <c r="B2605" s="1">
        <f>IFERROR(__xludf.DUMMYFUNCTION("""COMPUTED_VALUE"""),3120.72672)</f>
        <v>3120.72672</v>
      </c>
    </row>
    <row r="2606">
      <c r="A2606" s="3">
        <f>IFERROR(__xludf.DUMMYFUNCTION("""COMPUTED_VALUE"""),42973.99861111111)</f>
        <v>42973.99861</v>
      </c>
      <c r="B2606" s="1">
        <f>IFERROR(__xludf.DUMMYFUNCTION("""COMPUTED_VALUE"""),3120.72672)</f>
        <v>3120.72672</v>
      </c>
    </row>
    <row r="2607">
      <c r="A2607" s="3">
        <f>IFERROR(__xludf.DUMMYFUNCTION("""COMPUTED_VALUE"""),42974.99861111111)</f>
        <v>42974.99861</v>
      </c>
      <c r="B2607" s="1">
        <f>IFERROR(__xludf.DUMMYFUNCTION("""COMPUTED_VALUE"""),3120.25888)</f>
        <v>3120.25888</v>
      </c>
    </row>
    <row r="2608">
      <c r="A2608" s="3">
        <f>IFERROR(__xludf.DUMMYFUNCTION("""COMPUTED_VALUE"""),42975.99861111111)</f>
        <v>42975.99861</v>
      </c>
      <c r="B2608" s="1">
        <f>IFERROR(__xludf.DUMMYFUNCTION("""COMPUTED_VALUE"""),3115.03048)</f>
        <v>3115.03048</v>
      </c>
    </row>
    <row r="2609">
      <c r="A2609" s="3">
        <f>IFERROR(__xludf.DUMMYFUNCTION("""COMPUTED_VALUE"""),42976.99861111111)</f>
        <v>42976.99861</v>
      </c>
      <c r="B2609" s="1">
        <f>IFERROR(__xludf.DUMMYFUNCTION("""COMPUTED_VALUE"""),3122.45527)</f>
        <v>3122.45527</v>
      </c>
    </row>
    <row r="2610">
      <c r="A2610" s="3">
        <f>IFERROR(__xludf.DUMMYFUNCTION("""COMPUTED_VALUE"""),42977.99861111111)</f>
        <v>42977.99861</v>
      </c>
      <c r="B2610" s="1">
        <f>IFERROR(__xludf.DUMMYFUNCTION("""COMPUTED_VALUE"""),3119.75598)</f>
        <v>3119.75598</v>
      </c>
    </row>
    <row r="2611">
      <c r="A2611" s="3">
        <f>IFERROR(__xludf.DUMMYFUNCTION("""COMPUTED_VALUE"""),42978.99861111111)</f>
        <v>42978.99861</v>
      </c>
      <c r="B2611" s="1">
        <f>IFERROR(__xludf.DUMMYFUNCTION("""COMPUTED_VALUE"""),3117.51363)</f>
        <v>3117.51363</v>
      </c>
    </row>
    <row r="2612">
      <c r="A2612" s="3">
        <f>IFERROR(__xludf.DUMMYFUNCTION("""COMPUTED_VALUE"""),42979.99861111111)</f>
        <v>42979.99861</v>
      </c>
      <c r="B2612" s="1">
        <f>IFERROR(__xludf.DUMMYFUNCTION("""COMPUTED_VALUE"""),3120.32199)</f>
        <v>3120.32199</v>
      </c>
    </row>
    <row r="2613">
      <c r="A2613" s="3">
        <f>IFERROR(__xludf.DUMMYFUNCTION("""COMPUTED_VALUE"""),42980.99861111111)</f>
        <v>42980.99861</v>
      </c>
      <c r="B2613" s="1">
        <f>IFERROR(__xludf.DUMMYFUNCTION("""COMPUTED_VALUE"""),3120.79005)</f>
        <v>3120.79005</v>
      </c>
    </row>
    <row r="2614">
      <c r="A2614" s="3">
        <f>IFERROR(__xludf.DUMMYFUNCTION("""COMPUTED_VALUE"""),42981.99861111111)</f>
        <v>42981.99861</v>
      </c>
      <c r="B2614" s="1">
        <f>IFERROR(__xludf.DUMMYFUNCTION("""COMPUTED_VALUE"""),3119.85393)</f>
        <v>3119.85393</v>
      </c>
    </row>
    <row r="2615">
      <c r="A2615" s="3">
        <f>IFERROR(__xludf.DUMMYFUNCTION("""COMPUTED_VALUE"""),42982.99861111111)</f>
        <v>42982.99861</v>
      </c>
      <c r="B2615" s="1">
        <f>IFERROR(__xludf.DUMMYFUNCTION("""COMPUTED_VALUE"""),3125.00259)</f>
        <v>3125.00259</v>
      </c>
    </row>
    <row r="2616">
      <c r="A2616" s="3">
        <f>IFERROR(__xludf.DUMMYFUNCTION("""COMPUTED_VALUE"""),42983.99861111111)</f>
        <v>42983.99861</v>
      </c>
      <c r="B2616" s="1">
        <f>IFERROR(__xludf.DUMMYFUNCTION("""COMPUTED_VALUE"""),3130.18841)</f>
        <v>3130.18841</v>
      </c>
    </row>
    <row r="2617">
      <c r="A2617" s="3">
        <f>IFERROR(__xludf.DUMMYFUNCTION("""COMPUTED_VALUE"""),42984.99861111111)</f>
        <v>42984.99861</v>
      </c>
      <c r="B2617" s="1">
        <f>IFERROR(__xludf.DUMMYFUNCTION("""COMPUTED_VALUE"""),3145.20281)</f>
        <v>3145.20281</v>
      </c>
    </row>
    <row r="2618">
      <c r="A2618" s="3">
        <f>IFERROR(__xludf.DUMMYFUNCTION("""COMPUTED_VALUE"""),42985.99861111111)</f>
        <v>42985.99861</v>
      </c>
      <c r="B2618" s="1">
        <f>IFERROR(__xludf.DUMMYFUNCTION("""COMPUTED_VALUE"""),3155.07438)</f>
        <v>3155.07438</v>
      </c>
    </row>
    <row r="2619">
      <c r="A2619" s="3">
        <f>IFERROR(__xludf.DUMMYFUNCTION("""COMPUTED_VALUE"""),42986.99861111111)</f>
        <v>42986.99861</v>
      </c>
      <c r="B2619" s="1">
        <f>IFERROR(__xludf.DUMMYFUNCTION("""COMPUTED_VALUE"""),3144.05328)</f>
        <v>3144.05328</v>
      </c>
    </row>
    <row r="2620">
      <c r="A2620" s="3">
        <f>IFERROR(__xludf.DUMMYFUNCTION("""COMPUTED_VALUE"""),42987.99861111111)</f>
        <v>42987.99861</v>
      </c>
      <c r="B2620" s="1">
        <f>IFERROR(__xludf.DUMMYFUNCTION("""COMPUTED_VALUE"""),3139.75025)</f>
        <v>3139.75025</v>
      </c>
    </row>
    <row r="2621">
      <c r="A2621" s="3">
        <f>IFERROR(__xludf.DUMMYFUNCTION("""COMPUTED_VALUE"""),42988.99861111111)</f>
        <v>42988.99861</v>
      </c>
      <c r="B2621" s="1">
        <f>IFERROR(__xludf.DUMMYFUNCTION("""COMPUTED_VALUE"""),3140.22615)</f>
        <v>3140.22615</v>
      </c>
    </row>
    <row r="2622">
      <c r="A2622" s="3">
        <f>IFERROR(__xludf.DUMMYFUNCTION("""COMPUTED_VALUE"""),42989.99861111111)</f>
        <v>42989.99861</v>
      </c>
      <c r="B2622" s="1">
        <f>IFERROR(__xludf.DUMMYFUNCTION("""COMPUTED_VALUE"""),3137.2056)</f>
        <v>3137.2056</v>
      </c>
    </row>
    <row r="2623">
      <c r="A2623" s="3">
        <f>IFERROR(__xludf.DUMMYFUNCTION("""COMPUTED_VALUE"""),42990.99861111111)</f>
        <v>42990.99861</v>
      </c>
      <c r="B2623" s="1">
        <f>IFERROR(__xludf.DUMMYFUNCTION("""COMPUTED_VALUE"""),3137.69248)</f>
        <v>3137.69248</v>
      </c>
    </row>
    <row r="2624">
      <c r="A2624" s="3">
        <f>IFERROR(__xludf.DUMMYFUNCTION("""COMPUTED_VALUE"""),42991.99861111111)</f>
        <v>42991.99861</v>
      </c>
      <c r="B2624" s="1">
        <f>IFERROR(__xludf.DUMMYFUNCTION("""COMPUTED_VALUE"""),3153.97956)</f>
        <v>3153.97956</v>
      </c>
    </row>
    <row r="2625">
      <c r="A2625" s="3">
        <f>IFERROR(__xludf.DUMMYFUNCTION("""COMPUTED_VALUE"""),42992.99861111111)</f>
        <v>42992.99861</v>
      </c>
      <c r="B2625" s="1">
        <f>IFERROR(__xludf.DUMMYFUNCTION("""COMPUTED_VALUE"""),3150.91858)</f>
        <v>3150.91858</v>
      </c>
    </row>
    <row r="2626">
      <c r="A2626" s="3">
        <f>IFERROR(__xludf.DUMMYFUNCTION("""COMPUTED_VALUE"""),42993.99861111111)</f>
        <v>42993.99861</v>
      </c>
      <c r="B2626" s="1">
        <f>IFERROR(__xludf.DUMMYFUNCTION("""COMPUTED_VALUE"""),3159.43592)</f>
        <v>3159.43592</v>
      </c>
    </row>
    <row r="2627">
      <c r="A2627" s="3">
        <f>IFERROR(__xludf.DUMMYFUNCTION("""COMPUTED_VALUE"""),42994.99861111111)</f>
        <v>42994.99861</v>
      </c>
      <c r="B2627" s="1">
        <f>IFERROR(__xludf.DUMMYFUNCTION("""COMPUTED_VALUE"""),3163.392966)</f>
        <v>3163.392966</v>
      </c>
    </row>
    <row r="2628">
      <c r="A2628" s="3">
        <f>IFERROR(__xludf.DUMMYFUNCTION("""COMPUTED_VALUE"""),42995.99861111111)</f>
        <v>42995.99861</v>
      </c>
      <c r="B2628" s="1">
        <f>IFERROR(__xludf.DUMMYFUNCTION("""COMPUTED_VALUE"""),3160.86704)</f>
        <v>3160.86704</v>
      </c>
    </row>
    <row r="2629">
      <c r="A2629" s="3">
        <f>IFERROR(__xludf.DUMMYFUNCTION("""COMPUTED_VALUE"""),42996.99861111111)</f>
        <v>42996.99861</v>
      </c>
      <c r="B2629" s="1">
        <f>IFERROR(__xludf.DUMMYFUNCTION("""COMPUTED_VALUE"""),3165.0814)</f>
        <v>3165.0814</v>
      </c>
    </row>
    <row r="2630">
      <c r="A2630" s="3">
        <f>IFERROR(__xludf.DUMMYFUNCTION("""COMPUTED_VALUE"""),42997.99861111111)</f>
        <v>42997.99861</v>
      </c>
      <c r="B2630" s="1">
        <f>IFERROR(__xludf.DUMMYFUNCTION("""COMPUTED_VALUE"""),3159.96528)</f>
        <v>3159.96528</v>
      </c>
    </row>
    <row r="2631">
      <c r="A2631" s="3">
        <f>IFERROR(__xludf.DUMMYFUNCTION("""COMPUTED_VALUE"""),42998.99861111111)</f>
        <v>42998.99861</v>
      </c>
      <c r="B2631" s="1">
        <f>IFERROR(__xludf.DUMMYFUNCTION("""COMPUTED_VALUE"""),3166.27415)</f>
        <v>3166.27415</v>
      </c>
    </row>
    <row r="2632">
      <c r="A2632" s="3">
        <f>IFERROR(__xludf.DUMMYFUNCTION("""COMPUTED_VALUE"""),42999.99861111111)</f>
        <v>42999.99861</v>
      </c>
      <c r="B2632" s="1">
        <f>IFERROR(__xludf.DUMMYFUNCTION("""COMPUTED_VALUE"""),3159.50492)</f>
        <v>3159.50492</v>
      </c>
    </row>
    <row r="2633">
      <c r="A2633" s="3">
        <f>IFERROR(__xludf.DUMMYFUNCTION("""COMPUTED_VALUE"""),43000.99861111111)</f>
        <v>43000.99861</v>
      </c>
      <c r="B2633" s="1">
        <f>IFERROR(__xludf.DUMMYFUNCTION("""COMPUTED_VALUE"""),3164.349)</f>
        <v>3164.349</v>
      </c>
    </row>
    <row r="2634">
      <c r="A2634" s="3">
        <f>IFERROR(__xludf.DUMMYFUNCTION("""COMPUTED_VALUE"""),43001.99861111111)</f>
        <v>43001.99861</v>
      </c>
      <c r="B2634" s="1">
        <f>IFERROR(__xludf.DUMMYFUNCTION("""COMPUTED_VALUE"""),3166.222847)</f>
        <v>3166.222847</v>
      </c>
    </row>
    <row r="2635">
      <c r="A2635" s="3">
        <f>IFERROR(__xludf.DUMMYFUNCTION("""COMPUTED_VALUE"""),43002.99861111111)</f>
        <v>43002.99861</v>
      </c>
      <c r="B2635" s="1">
        <f>IFERROR(__xludf.DUMMYFUNCTION("""COMPUTED_VALUE"""),3168.1586)</f>
        <v>3168.1586</v>
      </c>
    </row>
    <row r="2636">
      <c r="A2636" s="3">
        <f>IFERROR(__xludf.DUMMYFUNCTION("""COMPUTED_VALUE"""),43003.99861111111)</f>
        <v>43003.99861</v>
      </c>
      <c r="B2636" s="1">
        <f>IFERROR(__xludf.DUMMYFUNCTION("""COMPUTED_VALUE"""),3167.39139)</f>
        <v>3167.39139</v>
      </c>
    </row>
    <row r="2637">
      <c r="A2637" s="3">
        <f>IFERROR(__xludf.DUMMYFUNCTION("""COMPUTED_VALUE"""),43004.99861111111)</f>
        <v>43004.99861</v>
      </c>
      <c r="B2637" s="1">
        <f>IFERROR(__xludf.DUMMYFUNCTION("""COMPUTED_VALUE"""),3177.76625)</f>
        <v>3177.76625</v>
      </c>
    </row>
    <row r="2638">
      <c r="A2638" s="3">
        <f>IFERROR(__xludf.DUMMYFUNCTION("""COMPUTED_VALUE"""),43005.99861111111)</f>
        <v>43005.99861</v>
      </c>
      <c r="B2638" s="1">
        <f>IFERROR(__xludf.DUMMYFUNCTION("""COMPUTED_VALUE"""),3180.12842)</f>
        <v>3180.12842</v>
      </c>
    </row>
    <row r="2639">
      <c r="A2639" s="3">
        <f>IFERROR(__xludf.DUMMYFUNCTION("""COMPUTED_VALUE"""),43006.99861111111)</f>
        <v>43006.99861</v>
      </c>
      <c r="B2639" s="1">
        <f>IFERROR(__xludf.DUMMYFUNCTION("""COMPUTED_VALUE"""),3193.42628)</f>
        <v>3193.42628</v>
      </c>
    </row>
    <row r="2640">
      <c r="A2640" s="3">
        <f>IFERROR(__xludf.DUMMYFUNCTION("""COMPUTED_VALUE"""),43007.99861111111)</f>
        <v>43007.99861</v>
      </c>
      <c r="B2640" s="1">
        <f>IFERROR(__xludf.DUMMYFUNCTION("""COMPUTED_VALUE"""),3185.8474)</f>
        <v>3185.8474</v>
      </c>
    </row>
    <row r="2641">
      <c r="A2641" s="3">
        <f>IFERROR(__xludf.DUMMYFUNCTION("""COMPUTED_VALUE"""),43008.99861111111)</f>
        <v>43008.99861</v>
      </c>
      <c r="B2641" s="1">
        <f>IFERROR(__xludf.DUMMYFUNCTION("""COMPUTED_VALUE"""),3189.890065)</f>
        <v>3189.890065</v>
      </c>
    </row>
    <row r="2642">
      <c r="A2642" s="3">
        <f>IFERROR(__xludf.DUMMYFUNCTION("""COMPUTED_VALUE"""),43009.99861111111)</f>
        <v>43009.99861</v>
      </c>
      <c r="B2642" s="1">
        <f>IFERROR(__xludf.DUMMYFUNCTION("""COMPUTED_VALUE"""),3187.03085)</f>
        <v>3187.03085</v>
      </c>
    </row>
    <row r="2643">
      <c r="A2643" s="3">
        <f>IFERROR(__xludf.DUMMYFUNCTION("""COMPUTED_VALUE"""),43010.99861111111)</f>
        <v>43010.99861</v>
      </c>
      <c r="B2643" s="1">
        <f>IFERROR(__xludf.DUMMYFUNCTION("""COMPUTED_VALUE"""),3194.26317)</f>
        <v>3194.26317</v>
      </c>
    </row>
    <row r="2644">
      <c r="A2644" s="3">
        <f>IFERROR(__xludf.DUMMYFUNCTION("""COMPUTED_VALUE"""),43011.99861111111)</f>
        <v>43011.99861</v>
      </c>
      <c r="B2644" s="1">
        <f>IFERROR(__xludf.DUMMYFUNCTION("""COMPUTED_VALUE"""),3193.1424)</f>
        <v>3193.1424</v>
      </c>
    </row>
    <row r="2645">
      <c r="A2645" s="3">
        <f>IFERROR(__xludf.DUMMYFUNCTION("""COMPUTED_VALUE"""),43012.99861111111)</f>
        <v>43012.99861</v>
      </c>
      <c r="B2645" s="1">
        <f>IFERROR(__xludf.DUMMYFUNCTION("""COMPUTED_VALUE"""),3184.0386)</f>
        <v>3184.0386</v>
      </c>
    </row>
    <row r="2646">
      <c r="A2646" s="3">
        <f>IFERROR(__xludf.DUMMYFUNCTION("""COMPUTED_VALUE"""),43013.99861111111)</f>
        <v>43013.99861</v>
      </c>
      <c r="B2646" s="1">
        <f>IFERROR(__xludf.DUMMYFUNCTION("""COMPUTED_VALUE"""),3178.33679)</f>
        <v>3178.33679</v>
      </c>
    </row>
    <row r="2647">
      <c r="A2647" s="3">
        <f>IFERROR(__xludf.DUMMYFUNCTION("""COMPUTED_VALUE"""),43014.99861111111)</f>
        <v>43014.99861</v>
      </c>
      <c r="B2647" s="1">
        <f>IFERROR(__xludf.DUMMYFUNCTION("""COMPUTED_VALUE"""),3184.4467)</f>
        <v>3184.4467</v>
      </c>
    </row>
    <row r="2648">
      <c r="A2648" s="3">
        <f>IFERROR(__xludf.DUMMYFUNCTION("""COMPUTED_VALUE"""),43015.99861111111)</f>
        <v>43015.99861</v>
      </c>
      <c r="B2648" s="1">
        <f>IFERROR(__xludf.DUMMYFUNCTION("""COMPUTED_VALUE"""),3183.26745)</f>
        <v>3183.26745</v>
      </c>
    </row>
    <row r="2649">
      <c r="A2649" s="3">
        <f>IFERROR(__xludf.DUMMYFUNCTION("""COMPUTED_VALUE"""),43016.99861111111)</f>
        <v>43016.99861</v>
      </c>
      <c r="B2649" s="1">
        <f>IFERROR(__xludf.DUMMYFUNCTION("""COMPUTED_VALUE"""),3183.26745)</f>
        <v>3183.26745</v>
      </c>
    </row>
    <row r="2650">
      <c r="A2650" s="3">
        <f>IFERROR(__xludf.DUMMYFUNCTION("""COMPUTED_VALUE"""),43017.99861111111)</f>
        <v>43017.99861</v>
      </c>
      <c r="B2650" s="1">
        <f>IFERROR(__xludf.DUMMYFUNCTION("""COMPUTED_VALUE"""),3190.5216)</f>
        <v>3190.5216</v>
      </c>
    </row>
    <row r="2651">
      <c r="A2651" s="3">
        <f>IFERROR(__xludf.DUMMYFUNCTION("""COMPUTED_VALUE"""),43018.99861111111)</f>
        <v>43018.99861</v>
      </c>
      <c r="B2651" s="1">
        <f>IFERROR(__xludf.DUMMYFUNCTION("""COMPUTED_VALUE"""),3199.8435)</f>
        <v>3199.8435</v>
      </c>
    </row>
    <row r="2652">
      <c r="A2652" s="3">
        <f>IFERROR(__xludf.DUMMYFUNCTION("""COMPUTED_VALUE"""),43019.99861111111)</f>
        <v>43019.99861</v>
      </c>
      <c r="B2652" s="1">
        <f>IFERROR(__xludf.DUMMYFUNCTION("""COMPUTED_VALUE"""),3201.4647)</f>
        <v>3201.4647</v>
      </c>
    </row>
    <row r="2653">
      <c r="A2653" s="3">
        <f>IFERROR(__xludf.DUMMYFUNCTION("""COMPUTED_VALUE"""),43020.99861111111)</f>
        <v>43020.99861</v>
      </c>
      <c r="B2653" s="1">
        <f>IFERROR(__xludf.DUMMYFUNCTION("""COMPUTED_VALUE"""),3195.11158)</f>
        <v>3195.11158</v>
      </c>
    </row>
    <row r="2654">
      <c r="A2654" s="3">
        <f>IFERROR(__xludf.DUMMYFUNCTION("""COMPUTED_VALUE"""),43021.99861111111)</f>
        <v>43021.99861</v>
      </c>
      <c r="B2654" s="1">
        <f>IFERROR(__xludf.DUMMYFUNCTION("""COMPUTED_VALUE"""),3179.4182)</f>
        <v>3179.4182</v>
      </c>
    </row>
    <row r="2655">
      <c r="A2655" s="3">
        <f>IFERROR(__xludf.DUMMYFUNCTION("""COMPUTED_VALUE"""),43022.99861111111)</f>
        <v>43022.99861</v>
      </c>
      <c r="B2655" s="1">
        <f>IFERROR(__xludf.DUMMYFUNCTION("""COMPUTED_VALUE"""),3198.68336)</f>
        <v>3198.68336</v>
      </c>
    </row>
    <row r="2656">
      <c r="A2656" s="3">
        <f>IFERROR(__xludf.DUMMYFUNCTION("""COMPUTED_VALUE"""),43023.99861111111)</f>
        <v>43023.99861</v>
      </c>
      <c r="B2656" s="1">
        <f>IFERROR(__xludf.DUMMYFUNCTION("""COMPUTED_VALUE"""),3198.68336)</f>
        <v>3198.68336</v>
      </c>
    </row>
    <row r="2657">
      <c r="A2657" s="3">
        <f>IFERROR(__xludf.DUMMYFUNCTION("""COMPUTED_VALUE"""),43024.99861111111)</f>
        <v>43024.99861</v>
      </c>
      <c r="B2657" s="1">
        <f>IFERROR(__xludf.DUMMYFUNCTION("""COMPUTED_VALUE"""),3194.08152)</f>
        <v>3194.08152</v>
      </c>
    </row>
    <row r="2658">
      <c r="A2658" s="3">
        <f>IFERROR(__xludf.DUMMYFUNCTION("""COMPUTED_VALUE"""),43025.99861111111)</f>
        <v>43025.99861</v>
      </c>
      <c r="B2658" s="1">
        <f>IFERROR(__xludf.DUMMYFUNCTION("""COMPUTED_VALUE"""),3193.7267)</f>
        <v>3193.7267</v>
      </c>
    </row>
    <row r="2659">
      <c r="A2659" s="3">
        <f>IFERROR(__xludf.DUMMYFUNCTION("""COMPUTED_VALUE"""),43026.99861111111)</f>
        <v>43026.99861</v>
      </c>
      <c r="B2659" s="1">
        <f>IFERROR(__xludf.DUMMYFUNCTION("""COMPUTED_VALUE"""),3197.2766)</f>
        <v>3197.2766</v>
      </c>
    </row>
    <row r="2660">
      <c r="A2660" s="3">
        <f>IFERROR(__xludf.DUMMYFUNCTION("""COMPUTED_VALUE"""),43027.99861111111)</f>
        <v>43027.99861</v>
      </c>
      <c r="B2660" s="1">
        <f>IFERROR(__xludf.DUMMYFUNCTION("""COMPUTED_VALUE"""),3192.5434)</f>
        <v>3192.5434</v>
      </c>
    </row>
    <row r="2661">
      <c r="A2661" s="3">
        <f>IFERROR(__xludf.DUMMYFUNCTION("""COMPUTED_VALUE"""),43028.99861111111)</f>
        <v>43028.99861</v>
      </c>
      <c r="B2661" s="1">
        <f>IFERROR(__xludf.DUMMYFUNCTION("""COMPUTED_VALUE"""),3197.2098)</f>
        <v>3197.2098</v>
      </c>
    </row>
    <row r="2662">
      <c r="A2662" s="3">
        <f>IFERROR(__xludf.DUMMYFUNCTION("""COMPUTED_VALUE"""),43029.99861111111)</f>
        <v>43029.99861</v>
      </c>
      <c r="B2662" s="1">
        <f>IFERROR(__xludf.DUMMYFUNCTION("""COMPUTED_VALUE"""),3197.2098)</f>
        <v>3197.2098</v>
      </c>
    </row>
    <row r="2663">
      <c r="A2663" s="3">
        <f>IFERROR(__xludf.DUMMYFUNCTION("""COMPUTED_VALUE"""),43030.99861111111)</f>
        <v>43030.99861</v>
      </c>
      <c r="B2663" s="1">
        <f>IFERROR(__xludf.DUMMYFUNCTION("""COMPUTED_VALUE"""),3197.2098)</f>
        <v>3197.2098</v>
      </c>
    </row>
    <row r="2664">
      <c r="A2664" s="3">
        <f>IFERROR(__xludf.DUMMYFUNCTION("""COMPUTED_VALUE"""),43031.99861111111)</f>
        <v>43031.99861</v>
      </c>
      <c r="B2664" s="1">
        <f>IFERROR(__xludf.DUMMYFUNCTION("""COMPUTED_VALUE"""),3191.41765)</f>
        <v>3191.41765</v>
      </c>
    </row>
    <row r="2665">
      <c r="A2665" s="3">
        <f>IFERROR(__xludf.DUMMYFUNCTION("""COMPUTED_VALUE"""),43032.99861111111)</f>
        <v>43032.99861</v>
      </c>
      <c r="B2665" s="1">
        <f>IFERROR(__xludf.DUMMYFUNCTION("""COMPUTED_VALUE"""),3192.84675)</f>
        <v>3192.84675</v>
      </c>
    </row>
    <row r="2666">
      <c r="A2666" s="3">
        <f>IFERROR(__xludf.DUMMYFUNCTION("""COMPUTED_VALUE"""),43033.99861111111)</f>
        <v>43033.99861</v>
      </c>
      <c r="B2666" s="1">
        <f>IFERROR(__xludf.DUMMYFUNCTION("""COMPUTED_VALUE"""),3203.53488)</f>
        <v>3203.53488</v>
      </c>
    </row>
    <row r="2667">
      <c r="A2667" s="3">
        <f>IFERROR(__xludf.DUMMYFUNCTION("""COMPUTED_VALUE"""),43034.99861111111)</f>
        <v>43034.99861</v>
      </c>
      <c r="B2667" s="1">
        <f>IFERROR(__xludf.DUMMYFUNCTION("""COMPUTED_VALUE"""),3220.29372)</f>
        <v>3220.29372</v>
      </c>
    </row>
    <row r="2668">
      <c r="A2668" s="3">
        <f>IFERROR(__xludf.DUMMYFUNCTION("""COMPUTED_VALUE"""),43035.99861111111)</f>
        <v>43035.99861</v>
      </c>
      <c r="B2668" s="1">
        <f>IFERROR(__xludf.DUMMYFUNCTION("""COMPUTED_VALUE"""),3203.12688)</f>
        <v>3203.12688</v>
      </c>
    </row>
    <row r="2669">
      <c r="A2669" s="3">
        <f>IFERROR(__xludf.DUMMYFUNCTION("""COMPUTED_VALUE"""),43036.99861111111)</f>
        <v>43036.99861</v>
      </c>
      <c r="B2669" s="1">
        <f>IFERROR(__xludf.DUMMYFUNCTION("""COMPUTED_VALUE"""),3206.530099)</f>
        <v>3206.530099</v>
      </c>
    </row>
    <row r="2670">
      <c r="A2670" s="3">
        <f>IFERROR(__xludf.DUMMYFUNCTION("""COMPUTED_VALUE"""),43037.99861111111)</f>
        <v>43037.99861</v>
      </c>
      <c r="B2670" s="1">
        <f>IFERROR(__xludf.DUMMYFUNCTION("""COMPUTED_VALUE"""),3204.7298)</f>
        <v>3204.7298</v>
      </c>
    </row>
    <row r="2671">
      <c r="A2671" s="3">
        <f>IFERROR(__xludf.DUMMYFUNCTION("""COMPUTED_VALUE"""),43038.99861111111)</f>
        <v>43038.99861</v>
      </c>
      <c r="B2671" s="1">
        <f>IFERROR(__xludf.DUMMYFUNCTION("""COMPUTED_VALUE"""),3203.73548)</f>
        <v>3203.73548</v>
      </c>
    </row>
    <row r="2672">
      <c r="A2672" s="3">
        <f>IFERROR(__xludf.DUMMYFUNCTION("""COMPUTED_VALUE"""),43039.99861111111)</f>
        <v>43039.99861</v>
      </c>
      <c r="B2672" s="1">
        <f>IFERROR(__xludf.DUMMYFUNCTION("""COMPUTED_VALUE"""),3201.18372)</f>
        <v>3201.18372</v>
      </c>
    </row>
    <row r="2673">
      <c r="A2673" s="3">
        <f>IFERROR(__xludf.DUMMYFUNCTION("""COMPUTED_VALUE"""),43040.99861111111)</f>
        <v>43040.99861</v>
      </c>
      <c r="B2673" s="1">
        <f>IFERROR(__xludf.DUMMYFUNCTION("""COMPUTED_VALUE"""),3200.94754)</f>
        <v>3200.94754</v>
      </c>
    </row>
    <row r="2674">
      <c r="A2674" s="3">
        <f>IFERROR(__xludf.DUMMYFUNCTION("""COMPUTED_VALUE"""),43041.99861111111)</f>
        <v>43041.99861</v>
      </c>
      <c r="B2674" s="1">
        <f>IFERROR(__xludf.DUMMYFUNCTION("""COMPUTED_VALUE"""),3196.41886)</f>
        <v>3196.41886</v>
      </c>
    </row>
    <row r="2675">
      <c r="A2675" s="3">
        <f>IFERROR(__xludf.DUMMYFUNCTION("""COMPUTED_VALUE"""),43042.99861111111)</f>
        <v>43042.99861</v>
      </c>
      <c r="B2675" s="1">
        <f>IFERROR(__xludf.DUMMYFUNCTION("""COMPUTED_VALUE"""),3180.3364)</f>
        <v>3180.3364</v>
      </c>
    </row>
    <row r="2676">
      <c r="A2676" s="3">
        <f>IFERROR(__xludf.DUMMYFUNCTION("""COMPUTED_VALUE"""),43043.99861111111)</f>
        <v>43043.99861</v>
      </c>
      <c r="B2676" s="1">
        <f>IFERROR(__xludf.DUMMYFUNCTION("""COMPUTED_VALUE"""),3180.3364)</f>
        <v>3180.3364</v>
      </c>
    </row>
    <row r="2677">
      <c r="A2677" s="3">
        <f>IFERROR(__xludf.DUMMYFUNCTION("""COMPUTED_VALUE"""),43044.99861111111)</f>
        <v>43044.99861</v>
      </c>
      <c r="B2677" s="1">
        <f>IFERROR(__xludf.DUMMYFUNCTION("""COMPUTED_VALUE"""),3180.3364)</f>
        <v>3180.3364</v>
      </c>
    </row>
    <row r="2678">
      <c r="A2678" s="3">
        <f>IFERROR(__xludf.DUMMYFUNCTION("""COMPUTED_VALUE"""),43045.99861111111)</f>
        <v>43045.99861</v>
      </c>
      <c r="B2678" s="1">
        <f>IFERROR(__xludf.DUMMYFUNCTION("""COMPUTED_VALUE"""),3185.89807)</f>
        <v>3185.89807</v>
      </c>
    </row>
    <row r="2679">
      <c r="A2679" s="3">
        <f>IFERROR(__xludf.DUMMYFUNCTION("""COMPUTED_VALUE"""),43046.99861111111)</f>
        <v>43046.99861</v>
      </c>
      <c r="B2679" s="1">
        <f>IFERROR(__xludf.DUMMYFUNCTION("""COMPUTED_VALUE"""),3193.62848)</f>
        <v>3193.62848</v>
      </c>
    </row>
    <row r="2680">
      <c r="A2680" s="3">
        <f>IFERROR(__xludf.DUMMYFUNCTION("""COMPUTED_VALUE"""),43047.99861111111)</f>
        <v>43047.99861</v>
      </c>
      <c r="B2680" s="1">
        <f>IFERROR(__xludf.DUMMYFUNCTION("""COMPUTED_VALUE"""),3191.97417)</f>
        <v>3191.97417</v>
      </c>
    </row>
    <row r="2681">
      <c r="A2681" s="3">
        <f>IFERROR(__xludf.DUMMYFUNCTION("""COMPUTED_VALUE"""),43048.99861111111)</f>
        <v>43048.99861</v>
      </c>
      <c r="B2681" s="1">
        <f>IFERROR(__xludf.DUMMYFUNCTION("""COMPUTED_VALUE"""),3213.87993)</f>
        <v>3213.87993</v>
      </c>
    </row>
    <row r="2682">
      <c r="A2682" s="3">
        <f>IFERROR(__xludf.DUMMYFUNCTION("""COMPUTED_VALUE"""),43049.99861111111)</f>
        <v>43049.99861</v>
      </c>
      <c r="B2682" s="1">
        <f>IFERROR(__xludf.DUMMYFUNCTION("""COMPUTED_VALUE"""),3229.22532)</f>
        <v>3229.22532</v>
      </c>
    </row>
    <row r="2683">
      <c r="A2683" s="3">
        <f>IFERROR(__xludf.DUMMYFUNCTION("""COMPUTED_VALUE"""),43050.99861111111)</f>
        <v>43050.99861</v>
      </c>
      <c r="B2683" s="1">
        <f>IFERROR(__xludf.DUMMYFUNCTION("""COMPUTED_VALUE"""),3231.163999)</f>
        <v>3231.163999</v>
      </c>
    </row>
    <row r="2684">
      <c r="A2684" s="3">
        <f>IFERROR(__xludf.DUMMYFUNCTION("""COMPUTED_VALUE"""),43051.99861111111)</f>
        <v>43051.99861</v>
      </c>
      <c r="B2684" s="1">
        <f>IFERROR(__xludf.DUMMYFUNCTION("""COMPUTED_VALUE"""),3223.2876)</f>
        <v>3223.2876</v>
      </c>
    </row>
    <row r="2685">
      <c r="A2685" s="3">
        <f>IFERROR(__xludf.DUMMYFUNCTION("""COMPUTED_VALUE"""),43052.99861111111)</f>
        <v>43052.99861</v>
      </c>
      <c r="B2685" s="1">
        <f>IFERROR(__xludf.DUMMYFUNCTION("""COMPUTED_VALUE"""),3231.57732)</f>
        <v>3231.57732</v>
      </c>
    </row>
    <row r="2686">
      <c r="A2686" s="3">
        <f>IFERROR(__xludf.DUMMYFUNCTION("""COMPUTED_VALUE"""),43053.99861111111)</f>
        <v>43053.99861</v>
      </c>
      <c r="B2686" s="1">
        <f>IFERROR(__xludf.DUMMYFUNCTION("""COMPUTED_VALUE"""),3229.80525)</f>
        <v>3229.80525</v>
      </c>
    </row>
    <row r="2687">
      <c r="A2687" s="3">
        <f>IFERROR(__xludf.DUMMYFUNCTION("""COMPUTED_VALUE"""),43054.99861111111)</f>
        <v>43054.99861</v>
      </c>
      <c r="B2687" s="1">
        <f>IFERROR(__xludf.DUMMYFUNCTION("""COMPUTED_VALUE"""),3237.97805)</f>
        <v>3237.97805</v>
      </c>
    </row>
    <row r="2688">
      <c r="A2688" s="3">
        <f>IFERROR(__xludf.DUMMYFUNCTION("""COMPUTED_VALUE"""),43055.99861111111)</f>
        <v>43055.99861</v>
      </c>
      <c r="B2688" s="1">
        <f>IFERROR(__xludf.DUMMYFUNCTION("""COMPUTED_VALUE"""),3237.54898)</f>
        <v>3237.54898</v>
      </c>
    </row>
    <row r="2689">
      <c r="A2689" s="3">
        <f>IFERROR(__xludf.DUMMYFUNCTION("""COMPUTED_VALUE"""),43056.99861111111)</f>
        <v>43056.99861</v>
      </c>
      <c r="B2689" s="1">
        <f>IFERROR(__xludf.DUMMYFUNCTION("""COMPUTED_VALUE"""),3248.674)</f>
        <v>3248.674</v>
      </c>
    </row>
    <row r="2690">
      <c r="A2690" s="3">
        <f>IFERROR(__xludf.DUMMYFUNCTION("""COMPUTED_VALUE"""),43057.99861111111)</f>
        <v>43057.99861</v>
      </c>
      <c r="B2690" s="1">
        <f>IFERROR(__xludf.DUMMYFUNCTION("""COMPUTED_VALUE"""),3249.999155)</f>
        <v>3249.999155</v>
      </c>
    </row>
    <row r="2691">
      <c r="A2691" s="3">
        <f>IFERROR(__xludf.DUMMYFUNCTION("""COMPUTED_VALUE"""),43058.99861111111)</f>
        <v>43058.99861</v>
      </c>
      <c r="B2691" s="1">
        <f>IFERROR(__xludf.DUMMYFUNCTION("""COMPUTED_VALUE"""),3248.674)</f>
        <v>3248.674</v>
      </c>
    </row>
    <row r="2692">
      <c r="A2692" s="3">
        <f>IFERROR(__xludf.DUMMYFUNCTION("""COMPUTED_VALUE"""),43059.99861111111)</f>
        <v>43059.99861</v>
      </c>
      <c r="B2692" s="1">
        <f>IFERROR(__xludf.DUMMYFUNCTION("""COMPUTED_VALUE"""),3264.52925)</f>
        <v>3264.52925</v>
      </c>
    </row>
    <row r="2693">
      <c r="A2693" s="3">
        <f>IFERROR(__xludf.DUMMYFUNCTION("""COMPUTED_VALUE"""),43060.99861111111)</f>
        <v>43060.99861</v>
      </c>
      <c r="B2693" s="1">
        <f>IFERROR(__xludf.DUMMYFUNCTION("""COMPUTED_VALUE"""),3264.43293)</f>
        <v>3264.43293</v>
      </c>
    </row>
    <row r="2694">
      <c r="A2694" s="3">
        <f>IFERROR(__xludf.DUMMYFUNCTION("""COMPUTED_VALUE"""),43061.99861111111)</f>
        <v>43061.99861</v>
      </c>
      <c r="B2694" s="1">
        <f>IFERROR(__xludf.DUMMYFUNCTION("""COMPUTED_VALUE"""),3279.25737)</f>
        <v>3279.25737</v>
      </c>
    </row>
    <row r="2695">
      <c r="A2695" s="3">
        <f>IFERROR(__xludf.DUMMYFUNCTION("""COMPUTED_VALUE"""),43062.99861111111)</f>
        <v>43062.99861</v>
      </c>
      <c r="B2695" s="1">
        <f>IFERROR(__xludf.DUMMYFUNCTION("""COMPUTED_VALUE"""),3281.46903)</f>
        <v>3281.46903</v>
      </c>
    </row>
    <row r="2696">
      <c r="A2696" s="3">
        <f>IFERROR(__xludf.DUMMYFUNCTION("""COMPUTED_VALUE"""),43063.99861111111)</f>
        <v>43063.99861</v>
      </c>
      <c r="B2696" s="1">
        <f>IFERROR(__xludf.DUMMYFUNCTION("""COMPUTED_VALUE"""),3279.20412)</f>
        <v>3279.20412</v>
      </c>
    </row>
    <row r="2697">
      <c r="A2697" s="3">
        <f>IFERROR(__xludf.DUMMYFUNCTION("""COMPUTED_VALUE"""),43064.99861111111)</f>
        <v>43064.99861</v>
      </c>
      <c r="B2697" s="1">
        <f>IFERROR(__xludf.DUMMYFUNCTION("""COMPUTED_VALUE"""),3279.20412)</f>
        <v>3279.20412</v>
      </c>
    </row>
    <row r="2698">
      <c r="A2698" s="3">
        <f>IFERROR(__xludf.DUMMYFUNCTION("""COMPUTED_VALUE"""),43065.99861111111)</f>
        <v>43065.99861</v>
      </c>
      <c r="B2698" s="1">
        <f>IFERROR(__xludf.DUMMYFUNCTION("""COMPUTED_VALUE"""),3279.20412)</f>
        <v>3279.20412</v>
      </c>
    </row>
    <row r="2699">
      <c r="A2699" s="3">
        <f>IFERROR(__xludf.DUMMYFUNCTION("""COMPUTED_VALUE"""),43066.99861111111)</f>
        <v>43066.99861</v>
      </c>
      <c r="B2699" s="1">
        <f>IFERROR(__xludf.DUMMYFUNCTION("""COMPUTED_VALUE"""),3286.01031)</f>
        <v>3286.01031</v>
      </c>
    </row>
    <row r="2700">
      <c r="A2700" s="3">
        <f>IFERROR(__xludf.DUMMYFUNCTION("""COMPUTED_VALUE"""),43067.99861111111)</f>
        <v>43067.99861</v>
      </c>
      <c r="B2700" s="1">
        <f>IFERROR(__xludf.DUMMYFUNCTION("""COMPUTED_VALUE"""),3289.41)</f>
        <v>3289.41</v>
      </c>
    </row>
    <row r="2701">
      <c r="A2701" s="3">
        <f>IFERROR(__xludf.DUMMYFUNCTION("""COMPUTED_VALUE"""),43068.99861111111)</f>
        <v>43068.99861</v>
      </c>
      <c r="B2701" s="1">
        <f>IFERROR(__xludf.DUMMYFUNCTION("""COMPUTED_VALUE"""),3299.0272)</f>
        <v>3299.0272</v>
      </c>
    </row>
    <row r="2702">
      <c r="A2702" s="3">
        <f>IFERROR(__xludf.DUMMYFUNCTION("""COMPUTED_VALUE"""),43069.99861111111)</f>
        <v>43069.99861</v>
      </c>
      <c r="B2702" s="1">
        <f>IFERROR(__xludf.DUMMYFUNCTION("""COMPUTED_VALUE"""),3309.14958)</f>
        <v>3309.14958</v>
      </c>
    </row>
    <row r="2703">
      <c r="A2703" s="3">
        <f>IFERROR(__xludf.DUMMYFUNCTION("""COMPUTED_VALUE"""),43070.99861111111)</f>
        <v>43070.99861</v>
      </c>
      <c r="B2703" s="1">
        <f>IFERROR(__xludf.DUMMYFUNCTION("""COMPUTED_VALUE"""),3305.0781)</f>
        <v>3305.0781</v>
      </c>
    </row>
    <row r="2704">
      <c r="A2704" s="3">
        <f>IFERROR(__xludf.DUMMYFUNCTION("""COMPUTED_VALUE"""),43071.99861111111)</f>
        <v>43071.99861</v>
      </c>
      <c r="B2704" s="1">
        <f>IFERROR(__xludf.DUMMYFUNCTION("""COMPUTED_VALUE"""),3306.492886)</f>
        <v>3306.492886</v>
      </c>
    </row>
    <row r="2705">
      <c r="A2705" s="3">
        <f>IFERROR(__xludf.DUMMYFUNCTION("""COMPUTED_VALUE"""),43072.99861111111)</f>
        <v>43072.99861</v>
      </c>
      <c r="B2705" s="1">
        <f>IFERROR(__xludf.DUMMYFUNCTION("""COMPUTED_VALUE"""),3314.6064)</f>
        <v>3314.6064</v>
      </c>
    </row>
    <row r="2706">
      <c r="A2706" s="3">
        <f>IFERROR(__xludf.DUMMYFUNCTION("""COMPUTED_VALUE"""),43073.99861111111)</f>
        <v>43073.99861</v>
      </c>
      <c r="B2706" s="1">
        <f>IFERROR(__xludf.DUMMYFUNCTION("""COMPUTED_VALUE"""),3319.25412)</f>
        <v>3319.25412</v>
      </c>
    </row>
    <row r="2707">
      <c r="A2707" s="3">
        <f>IFERROR(__xludf.DUMMYFUNCTION("""COMPUTED_VALUE"""),43074.99861111111)</f>
        <v>43074.99861</v>
      </c>
      <c r="B2707" s="1">
        <f>IFERROR(__xludf.DUMMYFUNCTION("""COMPUTED_VALUE"""),3323.52235)</f>
        <v>3323.52235</v>
      </c>
    </row>
    <row r="2708">
      <c r="A2708" s="3">
        <f>IFERROR(__xludf.DUMMYFUNCTION("""COMPUTED_VALUE"""),43075.99861111111)</f>
        <v>43075.99861</v>
      </c>
      <c r="B2708" s="1">
        <f>IFERROR(__xludf.DUMMYFUNCTION("""COMPUTED_VALUE"""),3318.80748)</f>
        <v>3318.80748</v>
      </c>
    </row>
    <row r="2709">
      <c r="A2709" s="3">
        <f>IFERROR(__xludf.DUMMYFUNCTION("""COMPUTED_VALUE"""),43076.99861111111)</f>
        <v>43076.99861</v>
      </c>
      <c r="B2709" s="1">
        <f>IFERROR(__xludf.DUMMYFUNCTION("""COMPUTED_VALUE"""),3324.27984)</f>
        <v>3324.27984</v>
      </c>
    </row>
    <row r="2710">
      <c r="A2710" s="3">
        <f>IFERROR(__xludf.DUMMYFUNCTION("""COMPUTED_VALUE"""),43077.99861111111)</f>
        <v>43077.99861</v>
      </c>
      <c r="B2710" s="1">
        <f>IFERROR(__xludf.DUMMYFUNCTION("""COMPUTED_VALUE"""),3315.18544)</f>
        <v>3315.18544</v>
      </c>
    </row>
    <row r="2711">
      <c r="A2711" s="3">
        <f>IFERROR(__xludf.DUMMYFUNCTION("""COMPUTED_VALUE"""),43078.99861111111)</f>
        <v>43078.99861</v>
      </c>
      <c r="B2711" s="1">
        <f>IFERROR(__xludf.DUMMYFUNCTION("""COMPUTED_VALUE"""),3315.18544)</f>
        <v>3315.18544</v>
      </c>
    </row>
    <row r="2712">
      <c r="A2712" s="3">
        <f>IFERROR(__xludf.DUMMYFUNCTION("""COMPUTED_VALUE"""),43079.99861111111)</f>
        <v>43079.99861</v>
      </c>
      <c r="B2712" s="1">
        <f>IFERROR(__xludf.DUMMYFUNCTION("""COMPUTED_VALUE"""),3307.59416)</f>
        <v>3307.59416</v>
      </c>
    </row>
    <row r="2713">
      <c r="A2713" s="3">
        <f>IFERROR(__xludf.DUMMYFUNCTION("""COMPUTED_VALUE"""),43080.99861111111)</f>
        <v>43080.99861</v>
      </c>
      <c r="B2713" s="1">
        <f>IFERROR(__xludf.DUMMYFUNCTION("""COMPUTED_VALUE"""),3322.00176)</f>
        <v>3322.00176</v>
      </c>
    </row>
    <row r="2714">
      <c r="A2714" s="3">
        <f>IFERROR(__xludf.DUMMYFUNCTION("""COMPUTED_VALUE"""),43081.99861111111)</f>
        <v>43081.99861</v>
      </c>
      <c r="B2714" s="1">
        <f>IFERROR(__xludf.DUMMYFUNCTION("""COMPUTED_VALUE"""),3319.72398)</f>
        <v>3319.72398</v>
      </c>
    </row>
    <row r="2715">
      <c r="A2715" s="3">
        <f>IFERROR(__xludf.DUMMYFUNCTION("""COMPUTED_VALUE"""),43082.99861111111)</f>
        <v>43082.99861</v>
      </c>
      <c r="B2715" s="1">
        <f>IFERROR(__xludf.DUMMYFUNCTION("""COMPUTED_VALUE"""),3310.3946)</f>
        <v>3310.3946</v>
      </c>
    </row>
    <row r="2716">
      <c r="A2716" s="3">
        <f>IFERROR(__xludf.DUMMYFUNCTION("""COMPUTED_VALUE"""),43083.99861111111)</f>
        <v>43083.99861</v>
      </c>
      <c r="B2716" s="1">
        <f>IFERROR(__xludf.DUMMYFUNCTION("""COMPUTED_VALUE"""),3316.39272)</f>
        <v>3316.39272</v>
      </c>
    </row>
    <row r="2717">
      <c r="A2717" s="3">
        <f>IFERROR(__xludf.DUMMYFUNCTION("""COMPUTED_VALUE"""),43084.99861111111)</f>
        <v>43084.99861</v>
      </c>
      <c r="B2717" s="1">
        <f>IFERROR(__xludf.DUMMYFUNCTION("""COMPUTED_VALUE"""),3324.70272)</f>
        <v>3324.70272</v>
      </c>
    </row>
    <row r="2718">
      <c r="A2718" s="3">
        <f>IFERROR(__xludf.DUMMYFUNCTION("""COMPUTED_VALUE"""),43085.99861111111)</f>
        <v>43085.99861</v>
      </c>
      <c r="B2718" s="1">
        <f>IFERROR(__xludf.DUMMYFUNCTION("""COMPUTED_VALUE"""),3329.346228)</f>
        <v>3329.346228</v>
      </c>
    </row>
    <row r="2719">
      <c r="A2719" s="3">
        <f>IFERROR(__xludf.DUMMYFUNCTION("""COMPUTED_VALUE"""),43086.99861111111)</f>
        <v>43086.99861</v>
      </c>
      <c r="B2719" s="1">
        <f>IFERROR(__xludf.DUMMYFUNCTION("""COMPUTED_VALUE"""),3323.88864)</f>
        <v>3323.88864</v>
      </c>
    </row>
    <row r="2720">
      <c r="A2720" s="3">
        <f>IFERROR(__xludf.DUMMYFUNCTION("""COMPUTED_VALUE"""),43087.99861111111)</f>
        <v>43087.99861</v>
      </c>
      <c r="B2720" s="1">
        <f>IFERROR(__xludf.DUMMYFUNCTION("""COMPUTED_VALUE"""),3325.1988)</f>
        <v>3325.1988</v>
      </c>
    </row>
    <row r="2721">
      <c r="A2721" s="3">
        <f>IFERROR(__xludf.DUMMYFUNCTION("""COMPUTED_VALUE"""),43088.99861111111)</f>
        <v>43088.99861</v>
      </c>
      <c r="B2721" s="1">
        <f>IFERROR(__xludf.DUMMYFUNCTION("""COMPUTED_VALUE"""),3324.38175)</f>
        <v>3324.38175</v>
      </c>
    </row>
    <row r="2722">
      <c r="A2722" s="3">
        <f>IFERROR(__xludf.DUMMYFUNCTION("""COMPUTED_VALUE"""),43089.99861111111)</f>
        <v>43089.99861</v>
      </c>
      <c r="B2722" s="1">
        <f>IFERROR(__xludf.DUMMYFUNCTION("""COMPUTED_VALUE"""),3329.59263)</f>
        <v>3329.59263</v>
      </c>
    </row>
    <row r="2723">
      <c r="A2723" s="3">
        <f>IFERROR(__xludf.DUMMYFUNCTION("""COMPUTED_VALUE"""),43090.99861111111)</f>
        <v>43090.99861</v>
      </c>
      <c r="B2723" s="1">
        <f>IFERROR(__xludf.DUMMYFUNCTION("""COMPUTED_VALUE"""),3323.63934)</f>
        <v>3323.63934</v>
      </c>
    </row>
    <row r="2724">
      <c r="A2724" s="3">
        <f>IFERROR(__xludf.DUMMYFUNCTION("""COMPUTED_VALUE"""),43091.99861111111)</f>
        <v>43091.99861</v>
      </c>
      <c r="B2724" s="1">
        <f>IFERROR(__xludf.DUMMYFUNCTION("""COMPUTED_VALUE"""),3319.55688)</f>
        <v>3319.55688</v>
      </c>
    </row>
    <row r="2725">
      <c r="A2725" s="3">
        <f>IFERROR(__xludf.DUMMYFUNCTION("""COMPUTED_VALUE"""),43092.99861111111)</f>
        <v>43092.99861</v>
      </c>
      <c r="B2725" s="1">
        <f>IFERROR(__xludf.DUMMYFUNCTION("""COMPUTED_VALUE"""),3319.55688)</f>
        <v>3319.55688</v>
      </c>
    </row>
    <row r="2726">
      <c r="A2726" s="3">
        <f>IFERROR(__xludf.DUMMYFUNCTION("""COMPUTED_VALUE"""),43093.99861111111)</f>
        <v>43093.99861</v>
      </c>
      <c r="B2726" s="1">
        <f>IFERROR(__xludf.DUMMYFUNCTION("""COMPUTED_VALUE"""),3320.53704)</f>
        <v>3320.53704</v>
      </c>
    </row>
    <row r="2727">
      <c r="A2727" s="3">
        <f>IFERROR(__xludf.DUMMYFUNCTION("""COMPUTED_VALUE"""),43094.99861111111)</f>
        <v>43094.99861</v>
      </c>
      <c r="B2727" s="1">
        <f>IFERROR(__xludf.DUMMYFUNCTION("""COMPUTED_VALUE"""),3311.55104)</f>
        <v>3311.55104</v>
      </c>
    </row>
    <row r="2728">
      <c r="A2728" s="3">
        <f>IFERROR(__xludf.DUMMYFUNCTION("""COMPUTED_VALUE"""),43095.99861111111)</f>
        <v>43095.99861</v>
      </c>
      <c r="B2728" s="1">
        <f>IFERROR(__xludf.DUMMYFUNCTION("""COMPUTED_VALUE"""),3315.4968)</f>
        <v>3315.4968</v>
      </c>
    </row>
    <row r="2729">
      <c r="A2729" s="3">
        <f>IFERROR(__xludf.DUMMYFUNCTION("""COMPUTED_VALUE"""),43096.99861111111)</f>
        <v>43096.99861</v>
      </c>
      <c r="B2729" s="1">
        <f>IFERROR(__xludf.DUMMYFUNCTION("""COMPUTED_VALUE"""),3318.59166)</f>
        <v>3318.59166</v>
      </c>
    </row>
    <row r="2730">
      <c r="A2730" s="3">
        <f>IFERROR(__xludf.DUMMYFUNCTION("""COMPUTED_VALUE"""),43097.99861111111)</f>
        <v>43097.99861</v>
      </c>
      <c r="B2730" s="1">
        <f>IFERROR(__xludf.DUMMYFUNCTION("""COMPUTED_VALUE"""),3333.09872)</f>
        <v>3333.09872</v>
      </c>
    </row>
    <row r="2731">
      <c r="A2731" s="3">
        <f>IFERROR(__xludf.DUMMYFUNCTION("""COMPUTED_VALUE"""),43098.99861111111)</f>
        <v>43098.99861</v>
      </c>
      <c r="B2731" s="1">
        <f>IFERROR(__xludf.DUMMYFUNCTION("""COMPUTED_VALUE"""),3321.945)</f>
        <v>3321.945</v>
      </c>
    </row>
    <row r="2732">
      <c r="A2732" s="3">
        <f>IFERROR(__xludf.DUMMYFUNCTION("""COMPUTED_VALUE"""),43099.99861111111)</f>
        <v>43099.99861</v>
      </c>
      <c r="B2732" s="1">
        <f>IFERROR(__xludf.DUMMYFUNCTION("""COMPUTED_VALUE"""),3316.28539)</f>
        <v>3316.28539</v>
      </c>
    </row>
    <row r="2733">
      <c r="A2733" s="3">
        <f>IFERROR(__xludf.DUMMYFUNCTION("""COMPUTED_VALUE"""),43100.99861111111)</f>
        <v>43100.99861</v>
      </c>
      <c r="B2733" s="1">
        <f>IFERROR(__xludf.DUMMYFUNCTION("""COMPUTED_VALUE"""),3332.27994)</f>
        <v>3332.27994</v>
      </c>
    </row>
    <row r="2734">
      <c r="A2734" s="3">
        <f>IFERROR(__xludf.DUMMYFUNCTION("""COMPUTED_VALUE"""),43101.99861111111)</f>
        <v>43101.99861</v>
      </c>
      <c r="B2734" s="1">
        <f>IFERROR(__xludf.DUMMYFUNCTION("""COMPUTED_VALUE"""),3334.2485)</f>
        <v>3334.2485</v>
      </c>
    </row>
    <row r="2735">
      <c r="A2735" s="3">
        <f>IFERROR(__xludf.DUMMYFUNCTION("""COMPUTED_VALUE"""),43102.99861111111)</f>
        <v>43102.99861</v>
      </c>
      <c r="B2735" s="1">
        <f>IFERROR(__xludf.DUMMYFUNCTION("""COMPUTED_VALUE"""),3355.51048)</f>
        <v>3355.51048</v>
      </c>
    </row>
    <row r="2736">
      <c r="A2736" s="3">
        <f>IFERROR(__xludf.DUMMYFUNCTION("""COMPUTED_VALUE"""),43103.99861111111)</f>
        <v>43103.99861</v>
      </c>
      <c r="B2736" s="1">
        <f>IFERROR(__xludf.DUMMYFUNCTION("""COMPUTED_VALUE"""),3347.87544)</f>
        <v>3347.87544</v>
      </c>
    </row>
    <row r="2737">
      <c r="A2737" s="3">
        <f>IFERROR(__xludf.DUMMYFUNCTION("""COMPUTED_VALUE"""),43104.99861111111)</f>
        <v>43104.99861</v>
      </c>
      <c r="B2737" s="1">
        <f>IFERROR(__xludf.DUMMYFUNCTION("""COMPUTED_VALUE"""),3348.6523)</f>
        <v>3348.6523</v>
      </c>
    </row>
    <row r="2738">
      <c r="A2738" s="3">
        <f>IFERROR(__xludf.DUMMYFUNCTION("""COMPUTED_VALUE"""),43105.99861111111)</f>
        <v>43105.99861</v>
      </c>
      <c r="B2738" s="1">
        <f>IFERROR(__xludf.DUMMYFUNCTION("""COMPUTED_VALUE"""),3352.75)</f>
        <v>3352.75</v>
      </c>
    </row>
    <row r="2739">
      <c r="A2739" s="3">
        <f>IFERROR(__xludf.DUMMYFUNCTION("""COMPUTED_VALUE"""),43106.99861111111)</f>
        <v>43106.99861</v>
      </c>
      <c r="B2739" s="1">
        <f>IFERROR(__xludf.DUMMYFUNCTION("""COMPUTED_VALUE"""),3355.7025)</f>
        <v>3355.7025</v>
      </c>
    </row>
    <row r="2740">
      <c r="A2740" s="3">
        <f>IFERROR(__xludf.DUMMYFUNCTION("""COMPUTED_VALUE"""),43107.99861111111)</f>
        <v>43107.99861</v>
      </c>
      <c r="B2740" s="1">
        <f>IFERROR(__xludf.DUMMYFUNCTION("""COMPUTED_VALUE"""),3356.75)</f>
        <v>3356.75</v>
      </c>
    </row>
    <row r="2741">
      <c r="A2741" s="3">
        <f>IFERROR(__xludf.DUMMYFUNCTION("""COMPUTED_VALUE"""),43108.99861111111)</f>
        <v>43108.99861</v>
      </c>
      <c r="B2741" s="1">
        <f>IFERROR(__xludf.DUMMYFUNCTION("""COMPUTED_VALUE"""),3357.15281)</f>
        <v>3357.15281</v>
      </c>
    </row>
    <row r="2742">
      <c r="A2742" s="3">
        <f>IFERROR(__xludf.DUMMYFUNCTION("""COMPUTED_VALUE"""),43109.99861111111)</f>
        <v>43109.99861</v>
      </c>
      <c r="B2742" s="1">
        <f>IFERROR(__xludf.DUMMYFUNCTION("""COMPUTED_VALUE"""),3347.8304)</f>
        <v>3347.8304</v>
      </c>
    </row>
    <row r="2743">
      <c r="A2743" s="3">
        <f>IFERROR(__xludf.DUMMYFUNCTION("""COMPUTED_VALUE"""),43110.99861111111)</f>
        <v>43110.99861</v>
      </c>
      <c r="B2743" s="1">
        <f>IFERROR(__xludf.DUMMYFUNCTION("""COMPUTED_VALUE"""),3356.08329)</f>
        <v>3356.08329</v>
      </c>
    </row>
    <row r="2744">
      <c r="A2744" s="3">
        <f>IFERROR(__xludf.DUMMYFUNCTION("""COMPUTED_VALUE"""),43111.99861111111)</f>
        <v>43111.99861</v>
      </c>
      <c r="B2744" s="1">
        <f>IFERROR(__xludf.DUMMYFUNCTION("""COMPUTED_VALUE"""),3364.18767)</f>
        <v>3364.18767</v>
      </c>
    </row>
    <row r="2745">
      <c r="A2745" s="3">
        <f>IFERROR(__xludf.DUMMYFUNCTION("""COMPUTED_VALUE"""),43112.99861111111)</f>
        <v>43112.99861</v>
      </c>
      <c r="B2745" s="1">
        <f>IFERROR(__xludf.DUMMYFUNCTION("""COMPUTED_VALUE"""),3352.644)</f>
        <v>3352.644</v>
      </c>
    </row>
    <row r="2746">
      <c r="A2746" s="3">
        <f>IFERROR(__xludf.DUMMYFUNCTION("""COMPUTED_VALUE"""),43113.99861111111)</f>
        <v>43113.99861</v>
      </c>
      <c r="B2746" s="1">
        <f>IFERROR(__xludf.DUMMYFUNCTION("""COMPUTED_VALUE"""),3340.5017)</f>
        <v>3340.5017</v>
      </c>
    </row>
    <row r="2747">
      <c r="A2747" s="3">
        <f>IFERROR(__xludf.DUMMYFUNCTION("""COMPUTED_VALUE"""),43114.99861111111)</f>
        <v>43114.99861</v>
      </c>
      <c r="B2747" s="1">
        <f>IFERROR(__xludf.DUMMYFUNCTION("""COMPUTED_VALUE"""),3340.5017)</f>
        <v>3340.5017</v>
      </c>
    </row>
    <row r="2748">
      <c r="A2748" s="3">
        <f>IFERROR(__xludf.DUMMYFUNCTION("""COMPUTED_VALUE"""),43115.99861111111)</f>
        <v>43115.99861</v>
      </c>
      <c r="B2748" s="1">
        <f>IFERROR(__xludf.DUMMYFUNCTION("""COMPUTED_VALUE"""),3369.6243)</f>
        <v>3369.6243</v>
      </c>
    </row>
    <row r="2749">
      <c r="A2749" s="3">
        <f>IFERROR(__xludf.DUMMYFUNCTION("""COMPUTED_VALUE"""),43116.99861111111)</f>
        <v>43116.99861</v>
      </c>
      <c r="B2749" s="1">
        <f>IFERROR(__xludf.DUMMYFUNCTION("""COMPUTED_VALUE"""),3356.70462)</f>
        <v>3356.70462</v>
      </c>
    </row>
    <row r="2750">
      <c r="A2750" s="3">
        <f>IFERROR(__xludf.DUMMYFUNCTION("""COMPUTED_VALUE"""),43117.99861111111)</f>
        <v>43117.99861</v>
      </c>
      <c r="B2750" s="1">
        <f>IFERROR(__xludf.DUMMYFUNCTION("""COMPUTED_VALUE"""),3366.0064)</f>
        <v>3366.0064</v>
      </c>
    </row>
    <row r="2751">
      <c r="A2751" s="3">
        <f>IFERROR(__xludf.DUMMYFUNCTION("""COMPUTED_VALUE"""),43118.99861111111)</f>
        <v>43118.99861</v>
      </c>
      <c r="B2751" s="1">
        <f>IFERROR(__xludf.DUMMYFUNCTION("""COMPUTED_VALUE"""),3370.30184)</f>
        <v>3370.30184</v>
      </c>
    </row>
    <row r="2752">
      <c r="A2752" s="3">
        <f>IFERROR(__xludf.DUMMYFUNCTION("""COMPUTED_VALUE"""),43119.99861111111)</f>
        <v>43119.99861</v>
      </c>
      <c r="B2752" s="1">
        <f>IFERROR(__xludf.DUMMYFUNCTION("""COMPUTED_VALUE"""),3378.5481)</f>
        <v>3378.5481</v>
      </c>
    </row>
    <row r="2753">
      <c r="A2753" s="3">
        <f>IFERROR(__xludf.DUMMYFUNCTION("""COMPUTED_VALUE"""),43120.99861111111)</f>
        <v>43120.99861</v>
      </c>
      <c r="B2753" s="1">
        <f>IFERROR(__xludf.DUMMYFUNCTION("""COMPUTED_VALUE"""),3383.199154)</f>
        <v>3383.199154</v>
      </c>
    </row>
    <row r="2754">
      <c r="A2754" s="3">
        <f>IFERROR(__xludf.DUMMYFUNCTION("""COMPUTED_VALUE"""),43121.99861111111)</f>
        <v>43121.99861</v>
      </c>
      <c r="B2754" s="1">
        <f>IFERROR(__xludf.DUMMYFUNCTION("""COMPUTED_VALUE"""),3381.0855)</f>
        <v>3381.0855</v>
      </c>
    </row>
    <row r="2755">
      <c r="A2755" s="3">
        <f>IFERROR(__xludf.DUMMYFUNCTION("""COMPUTED_VALUE"""),43122.99861111111)</f>
        <v>43122.99861</v>
      </c>
      <c r="B2755" s="1">
        <f>IFERROR(__xludf.DUMMYFUNCTION("""COMPUTED_VALUE"""),3388.46774)</f>
        <v>3388.46774</v>
      </c>
    </row>
    <row r="2756">
      <c r="A2756" s="3">
        <f>IFERROR(__xludf.DUMMYFUNCTION("""COMPUTED_VALUE"""),43123.99861111111)</f>
        <v>43123.99861</v>
      </c>
      <c r="B2756" s="1">
        <f>IFERROR(__xludf.DUMMYFUNCTION("""COMPUTED_VALUE"""),3393.87864)</f>
        <v>3393.87864</v>
      </c>
    </row>
    <row r="2757">
      <c r="A2757" s="3">
        <f>IFERROR(__xludf.DUMMYFUNCTION("""COMPUTED_VALUE"""),43124.99861111111)</f>
        <v>43124.99861</v>
      </c>
      <c r="B2757" s="1">
        <f>IFERROR(__xludf.DUMMYFUNCTION("""COMPUTED_VALUE"""),3396.70814)</f>
        <v>3396.70814</v>
      </c>
    </row>
    <row r="2758">
      <c r="A2758" s="3">
        <f>IFERROR(__xludf.DUMMYFUNCTION("""COMPUTED_VALUE"""),43125.99861111111)</f>
        <v>43125.99861</v>
      </c>
      <c r="B2758" s="1">
        <f>IFERROR(__xludf.DUMMYFUNCTION("""COMPUTED_VALUE"""),3420.5028)</f>
        <v>3420.5028</v>
      </c>
    </row>
    <row r="2759">
      <c r="A2759" s="3">
        <f>IFERROR(__xludf.DUMMYFUNCTION("""COMPUTED_VALUE"""),43126.99861111111)</f>
        <v>43126.99861</v>
      </c>
      <c r="B2759" s="1">
        <f>IFERROR(__xludf.DUMMYFUNCTION("""COMPUTED_VALUE"""),3430.72693)</f>
        <v>3430.72693</v>
      </c>
    </row>
    <row r="2760">
      <c r="A2760" s="3">
        <f>IFERROR(__xludf.DUMMYFUNCTION("""COMPUTED_VALUE"""),43127.99861111111)</f>
        <v>43127.99861</v>
      </c>
      <c r="B2760" s="1">
        <f>IFERROR(__xludf.DUMMYFUNCTION("""COMPUTED_VALUE"""),3434.48497)</f>
        <v>3434.48497</v>
      </c>
    </row>
    <row r="2761">
      <c r="A2761" s="3">
        <f>IFERROR(__xludf.DUMMYFUNCTION("""COMPUTED_VALUE"""),43128.99861111111)</f>
        <v>43128.99861</v>
      </c>
      <c r="B2761" s="1">
        <f>IFERROR(__xludf.DUMMYFUNCTION("""COMPUTED_VALUE"""),3429.43728)</f>
        <v>3429.43728</v>
      </c>
    </row>
    <row r="2762">
      <c r="A2762" s="3">
        <f>IFERROR(__xludf.DUMMYFUNCTION("""COMPUTED_VALUE"""),43129.99861111111)</f>
        <v>43129.99861</v>
      </c>
      <c r="B2762" s="1">
        <f>IFERROR(__xludf.DUMMYFUNCTION("""COMPUTED_VALUE"""),3441.60149)</f>
        <v>3441.60149</v>
      </c>
    </row>
    <row r="2763">
      <c r="A2763" s="3">
        <f>IFERROR(__xludf.DUMMYFUNCTION("""COMPUTED_VALUE"""),43130.99861111111)</f>
        <v>43130.99861</v>
      </c>
      <c r="B2763" s="1">
        <f>IFERROR(__xludf.DUMMYFUNCTION("""COMPUTED_VALUE"""),3438.19178)</f>
        <v>3438.19178</v>
      </c>
    </row>
    <row r="2764">
      <c r="A2764" s="3">
        <f>IFERROR(__xludf.DUMMYFUNCTION("""COMPUTED_VALUE"""),43131.99861111111)</f>
        <v>43131.99861</v>
      </c>
      <c r="B2764" s="1">
        <f>IFERROR(__xludf.DUMMYFUNCTION("""COMPUTED_VALUE"""),3428.45694)</f>
        <v>3428.45694</v>
      </c>
    </row>
    <row r="2765">
      <c r="A2765" s="3">
        <f>IFERROR(__xludf.DUMMYFUNCTION("""COMPUTED_VALUE"""),43132.99861111111)</f>
        <v>43132.99861</v>
      </c>
      <c r="B2765" s="1">
        <f>IFERROR(__xludf.DUMMYFUNCTION("""COMPUTED_VALUE"""),3429.22548)</f>
        <v>3429.22548</v>
      </c>
    </row>
    <row r="2766">
      <c r="A2766" s="3">
        <f>IFERROR(__xludf.DUMMYFUNCTION("""COMPUTED_VALUE"""),43133.99861111111)</f>
        <v>43133.99861</v>
      </c>
      <c r="B2766" s="1">
        <f>IFERROR(__xludf.DUMMYFUNCTION("""COMPUTED_VALUE"""),3447.56577)</f>
        <v>3447.56577</v>
      </c>
    </row>
    <row r="2767">
      <c r="A2767" s="3">
        <f>IFERROR(__xludf.DUMMYFUNCTION("""COMPUTED_VALUE"""),43134.99861111111)</f>
        <v>43134.99861</v>
      </c>
      <c r="B2767" s="1">
        <f>IFERROR(__xludf.DUMMYFUNCTION("""COMPUTED_VALUE"""),3447.56577)</f>
        <v>3447.56577</v>
      </c>
    </row>
    <row r="2768">
      <c r="A2768" s="3">
        <f>IFERROR(__xludf.DUMMYFUNCTION("""COMPUTED_VALUE"""),43135.99861111111)</f>
        <v>43135.99861</v>
      </c>
      <c r="B2768" s="1">
        <f>IFERROR(__xludf.DUMMYFUNCTION("""COMPUTED_VALUE"""),3443.54247)</f>
        <v>3443.54247</v>
      </c>
    </row>
    <row r="2769">
      <c r="A2769" s="3">
        <f>IFERROR(__xludf.DUMMYFUNCTION("""COMPUTED_VALUE"""),43136.99861111111)</f>
        <v>43136.99861</v>
      </c>
      <c r="B2769" s="1">
        <f>IFERROR(__xludf.DUMMYFUNCTION("""COMPUTED_VALUE"""),3475.775)</f>
        <v>3475.775</v>
      </c>
    </row>
    <row r="2770">
      <c r="A2770" s="3">
        <f>IFERROR(__xludf.DUMMYFUNCTION("""COMPUTED_VALUE"""),43137.99861111111)</f>
        <v>43137.99861</v>
      </c>
      <c r="B2770" s="1">
        <f>IFERROR(__xludf.DUMMYFUNCTION("""COMPUTED_VALUE"""),3457.24144)</f>
        <v>3457.24144</v>
      </c>
    </row>
    <row r="2771">
      <c r="A2771" s="3">
        <f>IFERROR(__xludf.DUMMYFUNCTION("""COMPUTED_VALUE"""),43138.99861111111)</f>
        <v>43138.99861</v>
      </c>
      <c r="B2771" s="1">
        <f>IFERROR(__xludf.DUMMYFUNCTION("""COMPUTED_VALUE"""),3487.45806)</f>
        <v>3487.45806</v>
      </c>
    </row>
    <row r="2772">
      <c r="A2772" s="3">
        <f>IFERROR(__xludf.DUMMYFUNCTION("""COMPUTED_VALUE"""),43139.99861111111)</f>
        <v>43139.99861</v>
      </c>
      <c r="B2772" s="1">
        <f>IFERROR(__xludf.DUMMYFUNCTION("""COMPUTED_VALUE"""),3461.3709)</f>
        <v>3461.3709</v>
      </c>
    </row>
    <row r="2773">
      <c r="A2773" s="3">
        <f>IFERROR(__xludf.DUMMYFUNCTION("""COMPUTED_VALUE"""),43140.99861111111)</f>
        <v>43140.99861</v>
      </c>
      <c r="B2773" s="1">
        <f>IFERROR(__xludf.DUMMYFUNCTION("""COMPUTED_VALUE"""),3436.46742)</f>
        <v>3436.46742</v>
      </c>
    </row>
    <row r="2774">
      <c r="A2774" s="3">
        <f>IFERROR(__xludf.DUMMYFUNCTION("""COMPUTED_VALUE"""),43141.99861111111)</f>
        <v>43141.99861</v>
      </c>
      <c r="B2774" s="1">
        <f>IFERROR(__xludf.DUMMYFUNCTION("""COMPUTED_VALUE"""),3436.46742)</f>
        <v>3436.46742</v>
      </c>
    </row>
    <row r="2775">
      <c r="A2775" s="3">
        <f>IFERROR(__xludf.DUMMYFUNCTION("""COMPUTED_VALUE"""),43142.99861111111)</f>
        <v>43142.99861</v>
      </c>
      <c r="B2775" s="1">
        <f>IFERROR(__xludf.DUMMYFUNCTION("""COMPUTED_VALUE"""),3437.4777)</f>
        <v>3437.4777</v>
      </c>
    </row>
    <row r="2776">
      <c r="A2776" s="3">
        <f>IFERROR(__xludf.DUMMYFUNCTION("""COMPUTED_VALUE"""),43143.99861111111)</f>
        <v>43143.99861</v>
      </c>
      <c r="B2776" s="1">
        <f>IFERROR(__xludf.DUMMYFUNCTION("""COMPUTED_VALUE"""),3461.36553)</f>
        <v>3461.36553</v>
      </c>
    </row>
    <row r="2777">
      <c r="A2777" s="3">
        <f>IFERROR(__xludf.DUMMYFUNCTION("""COMPUTED_VALUE"""),43144.99861111111)</f>
        <v>43144.99861</v>
      </c>
      <c r="B2777" s="1">
        <f>IFERROR(__xludf.DUMMYFUNCTION("""COMPUTED_VALUE"""),3460.6044)</f>
        <v>3460.6044</v>
      </c>
    </row>
    <row r="2778">
      <c r="A2778" s="3">
        <f>IFERROR(__xludf.DUMMYFUNCTION("""COMPUTED_VALUE"""),43145.99861111111)</f>
        <v>43145.99861</v>
      </c>
      <c r="B2778" s="1">
        <f>IFERROR(__xludf.DUMMYFUNCTION("""COMPUTED_VALUE"""),3487.9131)</f>
        <v>3487.9131</v>
      </c>
    </row>
    <row r="2779">
      <c r="A2779" s="3">
        <f>IFERROR(__xludf.DUMMYFUNCTION("""COMPUTED_VALUE"""),43146.99861111111)</f>
        <v>43146.99861</v>
      </c>
      <c r="B2779" s="1">
        <f>IFERROR(__xludf.DUMMYFUNCTION("""COMPUTED_VALUE"""),3478.66288)</f>
        <v>3478.66288</v>
      </c>
    </row>
    <row r="2780">
      <c r="A2780" s="3">
        <f>IFERROR(__xludf.DUMMYFUNCTION("""COMPUTED_VALUE"""),43147.99861111111)</f>
        <v>43147.99861</v>
      </c>
      <c r="B2780" s="1">
        <f>IFERROR(__xludf.DUMMYFUNCTION("""COMPUTED_VALUE"""),3477.98528)</f>
        <v>3477.98528</v>
      </c>
    </row>
    <row r="2781">
      <c r="A2781" s="3">
        <f>IFERROR(__xludf.DUMMYFUNCTION("""COMPUTED_VALUE"""),43148.99861111111)</f>
        <v>43148.99861</v>
      </c>
      <c r="B2781" s="1">
        <f>IFERROR(__xludf.DUMMYFUNCTION("""COMPUTED_VALUE"""),3477.98528)</f>
        <v>3477.98528</v>
      </c>
    </row>
    <row r="2782">
      <c r="A2782" s="3">
        <f>IFERROR(__xludf.DUMMYFUNCTION("""COMPUTED_VALUE"""),43149.99861111111)</f>
        <v>43149.99861</v>
      </c>
      <c r="B2782" s="1">
        <f>IFERROR(__xludf.DUMMYFUNCTION("""COMPUTED_VALUE"""),3477.98528)</f>
        <v>3477.98528</v>
      </c>
    </row>
    <row r="2783">
      <c r="A2783" s="3">
        <f>IFERROR(__xludf.DUMMYFUNCTION("""COMPUTED_VALUE"""),43150.99861111111)</f>
        <v>43150.99861</v>
      </c>
      <c r="B2783" s="1">
        <f>IFERROR(__xludf.DUMMYFUNCTION("""COMPUTED_VALUE"""),3479.44734)</f>
        <v>3479.44734</v>
      </c>
    </row>
    <row r="2784">
      <c r="A2784" s="3">
        <f>IFERROR(__xludf.DUMMYFUNCTION("""COMPUTED_VALUE"""),43151.99861111111)</f>
        <v>43151.99861</v>
      </c>
      <c r="B2784" s="1">
        <f>IFERROR(__xludf.DUMMYFUNCTION("""COMPUTED_VALUE"""),3482.9676)</f>
        <v>3482.9676</v>
      </c>
    </row>
    <row r="2785">
      <c r="A2785" s="3">
        <f>IFERROR(__xludf.DUMMYFUNCTION("""COMPUTED_VALUE"""),43152.99861111111)</f>
        <v>43152.99861</v>
      </c>
      <c r="B2785" s="1">
        <f>IFERROR(__xludf.DUMMYFUNCTION("""COMPUTED_VALUE"""),3485.3526)</f>
        <v>3485.3526</v>
      </c>
    </row>
    <row r="2786">
      <c r="A2786" s="3">
        <f>IFERROR(__xludf.DUMMYFUNCTION("""COMPUTED_VALUE"""),43153.99861111111)</f>
        <v>43153.99861</v>
      </c>
      <c r="B2786" s="1">
        <f>IFERROR(__xludf.DUMMYFUNCTION("""COMPUTED_VALUE"""),3488.7476)</f>
        <v>3488.7476</v>
      </c>
    </row>
    <row r="2787">
      <c r="A2787" s="3">
        <f>IFERROR(__xludf.DUMMYFUNCTION("""COMPUTED_VALUE"""),43154.99861111111)</f>
        <v>43154.99861</v>
      </c>
      <c r="B2787" s="1">
        <f>IFERROR(__xludf.DUMMYFUNCTION("""COMPUTED_VALUE"""),3481.80608)</f>
        <v>3481.80608</v>
      </c>
    </row>
    <row r="2788">
      <c r="A2788" s="3">
        <f>IFERROR(__xludf.DUMMYFUNCTION("""COMPUTED_VALUE"""),43155.99861111111)</f>
        <v>43155.99861</v>
      </c>
      <c r="B2788" s="1">
        <f>IFERROR(__xludf.DUMMYFUNCTION("""COMPUTED_VALUE"""),3481.80608)</f>
        <v>3481.80608</v>
      </c>
    </row>
    <row r="2789">
      <c r="A2789" s="3">
        <f>IFERROR(__xludf.DUMMYFUNCTION("""COMPUTED_VALUE"""),43156.99861111111)</f>
        <v>43156.99861</v>
      </c>
      <c r="B2789" s="1">
        <f>IFERROR(__xludf.DUMMYFUNCTION("""COMPUTED_VALUE"""),3484.152448)</f>
        <v>3484.152448</v>
      </c>
    </row>
    <row r="2790">
      <c r="A2790" s="3">
        <f>IFERROR(__xludf.DUMMYFUNCTION("""COMPUTED_VALUE"""),43157.99861111111)</f>
        <v>43157.99861</v>
      </c>
      <c r="B2790" s="1">
        <f>IFERROR(__xludf.DUMMYFUNCTION("""COMPUTED_VALUE"""),3495.74808)</f>
        <v>3495.74808</v>
      </c>
    </row>
    <row r="2791">
      <c r="A2791" s="3">
        <f>IFERROR(__xludf.DUMMYFUNCTION("""COMPUTED_VALUE"""),43158.99861111111)</f>
        <v>43158.99861</v>
      </c>
      <c r="B2791" s="1">
        <f>IFERROR(__xludf.DUMMYFUNCTION("""COMPUTED_VALUE"""),3487.99874)</f>
        <v>3487.99874</v>
      </c>
    </row>
    <row r="2792">
      <c r="A2792" s="3">
        <f>IFERROR(__xludf.DUMMYFUNCTION("""COMPUTED_VALUE"""),43159.99861111111)</f>
        <v>43159.99861</v>
      </c>
      <c r="B2792" s="1">
        <f>IFERROR(__xludf.DUMMYFUNCTION("""COMPUTED_VALUE"""),3509.1556)</f>
        <v>3509.1556</v>
      </c>
    </row>
    <row r="2793">
      <c r="A2793" s="3">
        <f>IFERROR(__xludf.DUMMYFUNCTION("""COMPUTED_VALUE"""),43160.99861111111)</f>
        <v>43160.99861</v>
      </c>
      <c r="B2793" s="1">
        <f>IFERROR(__xludf.DUMMYFUNCTION("""COMPUTED_VALUE"""),3496.39745)</f>
        <v>3496.39745</v>
      </c>
    </row>
    <row r="2794">
      <c r="A2794" s="3">
        <f>IFERROR(__xludf.DUMMYFUNCTION("""COMPUTED_VALUE"""),43161.99861111111)</f>
        <v>43161.99861</v>
      </c>
      <c r="B2794" s="1">
        <f>IFERROR(__xludf.DUMMYFUNCTION("""COMPUTED_VALUE"""),3496.46677)</f>
        <v>3496.46677</v>
      </c>
    </row>
    <row r="2795">
      <c r="A2795" s="3">
        <f>IFERROR(__xludf.DUMMYFUNCTION("""COMPUTED_VALUE"""),43162.99861111111)</f>
        <v>43162.99861</v>
      </c>
      <c r="B2795" s="1">
        <f>IFERROR(__xludf.DUMMYFUNCTION("""COMPUTED_VALUE"""),3496.46677)</f>
        <v>3496.46677</v>
      </c>
    </row>
    <row r="2796">
      <c r="A2796" s="3">
        <f>IFERROR(__xludf.DUMMYFUNCTION("""COMPUTED_VALUE"""),43163.99861111111)</f>
        <v>43163.99861</v>
      </c>
      <c r="B2796" s="1">
        <f>IFERROR(__xludf.DUMMYFUNCTION("""COMPUTED_VALUE"""),3496.46677)</f>
        <v>3496.46677</v>
      </c>
    </row>
    <row r="2797">
      <c r="A2797" s="3">
        <f>IFERROR(__xludf.DUMMYFUNCTION("""COMPUTED_VALUE"""),43164.99861111111)</f>
        <v>43164.99861</v>
      </c>
      <c r="B2797" s="1">
        <f>IFERROR(__xludf.DUMMYFUNCTION("""COMPUTED_VALUE"""),3514.61145)</f>
        <v>3514.61145</v>
      </c>
    </row>
    <row r="2798">
      <c r="A2798" s="3">
        <f>IFERROR(__xludf.DUMMYFUNCTION("""COMPUTED_VALUE"""),43165.99861111111)</f>
        <v>43165.99861</v>
      </c>
      <c r="B2798" s="1">
        <f>IFERROR(__xludf.DUMMYFUNCTION("""COMPUTED_VALUE"""),3530.83458)</f>
        <v>3530.83458</v>
      </c>
    </row>
    <row r="2799">
      <c r="A2799" s="3">
        <f>IFERROR(__xludf.DUMMYFUNCTION("""COMPUTED_VALUE"""),43166.99861111111)</f>
        <v>43166.99861</v>
      </c>
      <c r="B2799" s="1">
        <f>IFERROR(__xludf.DUMMYFUNCTION("""COMPUTED_VALUE"""),3518.03275)</f>
        <v>3518.03275</v>
      </c>
    </row>
    <row r="2800">
      <c r="A2800" s="3">
        <f>IFERROR(__xludf.DUMMYFUNCTION("""COMPUTED_VALUE"""),43167.99861111111)</f>
        <v>43167.99861</v>
      </c>
      <c r="B2800" s="1">
        <f>IFERROR(__xludf.DUMMYFUNCTION("""COMPUTED_VALUE"""),3525.35592)</f>
        <v>3525.35592</v>
      </c>
    </row>
    <row r="2801">
      <c r="A2801" s="3">
        <f>IFERROR(__xludf.DUMMYFUNCTION("""COMPUTED_VALUE"""),43168.99861111111)</f>
        <v>43168.99861</v>
      </c>
      <c r="B2801" s="1">
        <f>IFERROR(__xludf.DUMMYFUNCTION("""COMPUTED_VALUE"""),3517.2711)</f>
        <v>3517.2711</v>
      </c>
    </row>
    <row r="2802">
      <c r="A2802" s="3">
        <f>IFERROR(__xludf.DUMMYFUNCTION("""COMPUTED_VALUE"""),43169.99861111111)</f>
        <v>43169.99861</v>
      </c>
      <c r="B2802" s="1">
        <f>IFERROR(__xludf.DUMMYFUNCTION("""COMPUTED_VALUE"""),3523.171533)</f>
        <v>3523.171533</v>
      </c>
    </row>
    <row r="2803">
      <c r="A2803" s="3">
        <f>IFERROR(__xludf.DUMMYFUNCTION("""COMPUTED_VALUE"""),43170.99861111111)</f>
        <v>43170.99861</v>
      </c>
      <c r="B2803" s="1">
        <f>IFERROR(__xludf.DUMMYFUNCTION("""COMPUTED_VALUE"""),3517.78196)</f>
        <v>3517.78196</v>
      </c>
    </row>
    <row r="2804">
      <c r="A2804" s="3">
        <f>IFERROR(__xludf.DUMMYFUNCTION("""COMPUTED_VALUE"""),43171.99861111111)</f>
        <v>43171.99861</v>
      </c>
      <c r="B2804" s="1">
        <f>IFERROR(__xludf.DUMMYFUNCTION("""COMPUTED_VALUE"""),3520.59225)</f>
        <v>3520.59225</v>
      </c>
    </row>
    <row r="2805">
      <c r="A2805" s="3">
        <f>IFERROR(__xludf.DUMMYFUNCTION("""COMPUTED_VALUE"""),43172.99861111111)</f>
        <v>43172.99861</v>
      </c>
      <c r="B2805" s="1">
        <f>IFERROR(__xludf.DUMMYFUNCTION("""COMPUTED_VALUE"""),3519.9132)</f>
        <v>3519.9132</v>
      </c>
    </row>
    <row r="2806">
      <c r="A2806" s="3">
        <f>IFERROR(__xludf.DUMMYFUNCTION("""COMPUTED_VALUE"""),43173.99861111111)</f>
        <v>43173.99861</v>
      </c>
      <c r="B2806" s="1">
        <f>IFERROR(__xludf.DUMMYFUNCTION("""COMPUTED_VALUE"""),3511.1295)</f>
        <v>3511.1295</v>
      </c>
    </row>
    <row r="2807">
      <c r="A2807" s="3">
        <f>IFERROR(__xludf.DUMMYFUNCTION("""COMPUTED_VALUE"""),43174.99861111111)</f>
        <v>43174.99861</v>
      </c>
      <c r="B2807" s="1">
        <f>IFERROR(__xludf.DUMMYFUNCTION("""COMPUTED_VALUE"""),3525.4875)</f>
        <v>3525.4875</v>
      </c>
    </row>
    <row r="2808">
      <c r="A2808" s="3">
        <f>IFERROR(__xludf.DUMMYFUNCTION("""COMPUTED_VALUE"""),43175.99861111111)</f>
        <v>43175.99861</v>
      </c>
      <c r="B2808" s="1">
        <f>IFERROR(__xludf.DUMMYFUNCTION("""COMPUTED_VALUE"""),3513.79104)</f>
        <v>3513.79104</v>
      </c>
    </row>
    <row r="2809">
      <c r="A2809" s="3">
        <f>IFERROR(__xludf.DUMMYFUNCTION("""COMPUTED_VALUE"""),43176.99861111111)</f>
        <v>43176.99861</v>
      </c>
      <c r="B2809" s="1">
        <f>IFERROR(__xludf.DUMMYFUNCTION("""COMPUTED_VALUE"""),3516.641649)</f>
        <v>3516.641649</v>
      </c>
    </row>
    <row r="2810">
      <c r="A2810" s="3">
        <f>IFERROR(__xludf.DUMMYFUNCTION("""COMPUTED_VALUE"""),43177.99861111111)</f>
        <v>43177.99861</v>
      </c>
      <c r="B2810" s="1">
        <f>IFERROR(__xludf.DUMMYFUNCTION("""COMPUTED_VALUE"""),3514.26376)</f>
        <v>3514.26376</v>
      </c>
    </row>
    <row r="2811">
      <c r="A2811" s="3">
        <f>IFERROR(__xludf.DUMMYFUNCTION("""COMPUTED_VALUE"""),43178.99861111111)</f>
        <v>43178.99861</v>
      </c>
      <c r="B2811" s="1">
        <f>IFERROR(__xludf.DUMMYFUNCTION("""COMPUTED_VALUE"""),3512.9821)</f>
        <v>3512.9821</v>
      </c>
    </row>
    <row r="2812">
      <c r="A2812" s="3">
        <f>IFERROR(__xludf.DUMMYFUNCTION("""COMPUTED_VALUE"""),43179.99861111111)</f>
        <v>43179.99861</v>
      </c>
      <c r="B2812" s="1">
        <f>IFERROR(__xludf.DUMMYFUNCTION("""COMPUTED_VALUE"""),3505.8393)</f>
        <v>3505.8393</v>
      </c>
    </row>
    <row r="2813">
      <c r="A2813" s="3">
        <f>IFERROR(__xludf.DUMMYFUNCTION("""COMPUTED_VALUE"""),43180.99861111111)</f>
        <v>43180.99861</v>
      </c>
      <c r="B2813" s="1">
        <f>IFERROR(__xludf.DUMMYFUNCTION("""COMPUTED_VALUE"""),3491.7599)</f>
        <v>3491.7599</v>
      </c>
    </row>
    <row r="2814">
      <c r="A2814" s="3">
        <f>IFERROR(__xludf.DUMMYFUNCTION("""COMPUTED_VALUE"""),43181.99861111111)</f>
        <v>43181.99861</v>
      </c>
      <c r="B2814" s="1">
        <f>IFERROR(__xludf.DUMMYFUNCTION("""COMPUTED_VALUE"""),3511.94636)</f>
        <v>3511.94636</v>
      </c>
    </row>
    <row r="2815">
      <c r="A2815" s="3">
        <f>IFERROR(__xludf.DUMMYFUNCTION("""COMPUTED_VALUE"""),43182.99861111111)</f>
        <v>43182.99861</v>
      </c>
      <c r="B2815" s="1">
        <f>IFERROR(__xludf.DUMMYFUNCTION("""COMPUTED_VALUE"""),3514.5127)</f>
        <v>3514.5127</v>
      </c>
    </row>
    <row r="2816">
      <c r="A2816" s="3">
        <f>IFERROR(__xludf.DUMMYFUNCTION("""COMPUTED_VALUE"""),43183.99861111111)</f>
        <v>43183.99861</v>
      </c>
      <c r="B2816" s="1">
        <f>IFERROR(__xludf.DUMMYFUNCTION("""COMPUTED_VALUE"""),3514.5127)</f>
        <v>3514.5127</v>
      </c>
    </row>
    <row r="2817">
      <c r="A2817" s="3">
        <f>IFERROR(__xludf.DUMMYFUNCTION("""COMPUTED_VALUE"""),43184.99861111111)</f>
        <v>43184.99861</v>
      </c>
      <c r="B2817" s="1">
        <f>IFERROR(__xludf.DUMMYFUNCTION("""COMPUTED_VALUE"""),3516.05338)</f>
        <v>3516.05338</v>
      </c>
    </row>
    <row r="2818">
      <c r="A2818" s="3">
        <f>IFERROR(__xludf.DUMMYFUNCTION("""COMPUTED_VALUE"""),43185.99861111111)</f>
        <v>43185.99861</v>
      </c>
      <c r="B2818" s="1">
        <f>IFERROR(__xludf.DUMMYFUNCTION("""COMPUTED_VALUE"""),3522.0965)</f>
        <v>3522.0965</v>
      </c>
    </row>
    <row r="2819">
      <c r="A2819" s="3">
        <f>IFERROR(__xludf.DUMMYFUNCTION("""COMPUTED_VALUE"""),43186.99861111111)</f>
        <v>43186.99861</v>
      </c>
      <c r="B2819" s="1">
        <f>IFERROR(__xludf.DUMMYFUNCTION("""COMPUTED_VALUE"""),3541.7598)</f>
        <v>3541.7598</v>
      </c>
    </row>
    <row r="2820">
      <c r="A2820" s="3">
        <f>IFERROR(__xludf.DUMMYFUNCTION("""COMPUTED_VALUE"""),43187.99861111111)</f>
        <v>43187.99861</v>
      </c>
      <c r="B2820" s="1">
        <f>IFERROR(__xludf.DUMMYFUNCTION("""COMPUTED_VALUE"""),3564.1796)</f>
        <v>3564.1796</v>
      </c>
    </row>
    <row r="2821">
      <c r="A2821" s="3">
        <f>IFERROR(__xludf.DUMMYFUNCTION("""COMPUTED_VALUE"""),43188.99861111111)</f>
        <v>43188.99861</v>
      </c>
      <c r="B2821" s="1">
        <f>IFERROR(__xludf.DUMMYFUNCTION("""COMPUTED_VALUE"""),3554.8088)</f>
        <v>3554.8088</v>
      </c>
    </row>
    <row r="2822">
      <c r="A2822" s="3">
        <f>IFERROR(__xludf.DUMMYFUNCTION("""COMPUTED_VALUE"""),43189.99861111111)</f>
        <v>43189.99861</v>
      </c>
      <c r="B2822" s="1">
        <f>IFERROR(__xludf.DUMMYFUNCTION("""COMPUTED_VALUE"""),3553.91528)</f>
        <v>3553.91528</v>
      </c>
    </row>
    <row r="2823">
      <c r="A2823" s="3">
        <f>IFERROR(__xludf.DUMMYFUNCTION("""COMPUTED_VALUE"""),43190.99861111111)</f>
        <v>43190.99861</v>
      </c>
      <c r="B2823" s="1">
        <f>IFERROR(__xludf.DUMMYFUNCTION("""COMPUTED_VALUE"""),3557.02004)</f>
        <v>3557.02004</v>
      </c>
    </row>
    <row r="2824">
      <c r="A2824" s="3">
        <f>IFERROR(__xludf.DUMMYFUNCTION("""COMPUTED_VALUE"""),43191.99861111111)</f>
        <v>43191.99861</v>
      </c>
      <c r="B2824" s="1">
        <f>IFERROR(__xludf.DUMMYFUNCTION("""COMPUTED_VALUE"""),3561.36856)</f>
        <v>3561.36856</v>
      </c>
    </row>
    <row r="2825">
      <c r="A2825" s="3">
        <f>IFERROR(__xludf.DUMMYFUNCTION("""COMPUTED_VALUE"""),43192.99861111111)</f>
        <v>43192.99861</v>
      </c>
      <c r="B2825" s="1">
        <f>IFERROR(__xludf.DUMMYFUNCTION("""COMPUTED_VALUE"""),3557.56996)</f>
        <v>3557.56996</v>
      </c>
    </row>
    <row r="2826">
      <c r="A2826" s="3">
        <f>IFERROR(__xludf.DUMMYFUNCTION("""COMPUTED_VALUE"""),43193.99861111111)</f>
        <v>43193.99861</v>
      </c>
      <c r="B2826" s="1">
        <f>IFERROR(__xludf.DUMMYFUNCTION("""COMPUTED_VALUE"""),3544.49095)</f>
        <v>3544.49095</v>
      </c>
    </row>
    <row r="2827">
      <c r="A2827" s="3">
        <f>IFERROR(__xludf.DUMMYFUNCTION("""COMPUTED_VALUE"""),43194.99861111111)</f>
        <v>43194.99861</v>
      </c>
      <c r="B2827" s="1">
        <f>IFERROR(__xludf.DUMMYFUNCTION("""COMPUTED_VALUE"""),3545.69535)</f>
        <v>3545.69535</v>
      </c>
    </row>
    <row r="2828">
      <c r="A2828" s="3">
        <f>IFERROR(__xludf.DUMMYFUNCTION("""COMPUTED_VALUE"""),43195.99861111111)</f>
        <v>43195.99861</v>
      </c>
      <c r="B2828" s="1">
        <f>IFERROR(__xludf.DUMMYFUNCTION("""COMPUTED_VALUE"""),3556.4096)</f>
        <v>3556.4096</v>
      </c>
    </row>
    <row r="2829">
      <c r="A2829" s="3">
        <f>IFERROR(__xludf.DUMMYFUNCTION("""COMPUTED_VALUE"""),43196.99861111111)</f>
        <v>43196.99861</v>
      </c>
      <c r="B2829" s="1">
        <f>IFERROR(__xludf.DUMMYFUNCTION("""COMPUTED_VALUE"""),3554.01949)</f>
        <v>3554.01949</v>
      </c>
    </row>
    <row r="2830">
      <c r="A2830" s="3">
        <f>IFERROR(__xludf.DUMMYFUNCTION("""COMPUTED_VALUE"""),43197.99861111111)</f>
        <v>43197.99861</v>
      </c>
      <c r="B2830" s="1">
        <f>IFERROR(__xludf.DUMMYFUNCTION("""COMPUTED_VALUE"""),3554.01949)</f>
        <v>3554.01949</v>
      </c>
    </row>
    <row r="2831">
      <c r="A2831" s="3">
        <f>IFERROR(__xludf.DUMMYFUNCTION("""COMPUTED_VALUE"""),43198.99861111111)</f>
        <v>43198.99861</v>
      </c>
      <c r="B2831" s="1">
        <f>IFERROR(__xludf.DUMMYFUNCTION("""COMPUTED_VALUE"""),3555.39579)</f>
        <v>3555.39579</v>
      </c>
    </row>
    <row r="2832">
      <c r="A2832" s="3">
        <f>IFERROR(__xludf.DUMMYFUNCTION("""COMPUTED_VALUE"""),43199.99861111111)</f>
        <v>43199.99861</v>
      </c>
      <c r="B2832" s="1">
        <f>IFERROR(__xludf.DUMMYFUNCTION("""COMPUTED_VALUE"""),3553.93384)</f>
        <v>3553.93384</v>
      </c>
    </row>
    <row r="2833">
      <c r="A2833" s="3">
        <f>IFERROR(__xludf.DUMMYFUNCTION("""COMPUTED_VALUE"""),43200.99861111111)</f>
        <v>43200.99861</v>
      </c>
      <c r="B2833" s="1">
        <f>IFERROR(__xludf.DUMMYFUNCTION("""COMPUTED_VALUE"""),3553.70706)</f>
        <v>3553.70706</v>
      </c>
    </row>
    <row r="2834">
      <c r="A2834" s="3">
        <f>IFERROR(__xludf.DUMMYFUNCTION("""COMPUTED_VALUE"""),43201.99861111111)</f>
        <v>43201.99861</v>
      </c>
      <c r="B2834" s="1">
        <f>IFERROR(__xludf.DUMMYFUNCTION("""COMPUTED_VALUE"""),3547.440255)</f>
        <v>3547.440255</v>
      </c>
    </row>
    <row r="2835">
      <c r="A2835" s="3">
        <f>IFERROR(__xludf.DUMMYFUNCTION("""COMPUTED_VALUE"""),43202.99861111111)</f>
        <v>43202.99861</v>
      </c>
      <c r="B2835" s="1">
        <f>IFERROR(__xludf.DUMMYFUNCTION("""COMPUTED_VALUE"""),3549.27027)</f>
        <v>3549.27027</v>
      </c>
    </row>
    <row r="2836">
      <c r="A2836" s="3">
        <f>IFERROR(__xludf.DUMMYFUNCTION("""COMPUTED_VALUE"""),43203.99861111111)</f>
        <v>43203.99861</v>
      </c>
      <c r="B2836" s="1">
        <f>IFERROR(__xludf.DUMMYFUNCTION("""COMPUTED_VALUE"""),3546.48133)</f>
        <v>3546.48133</v>
      </c>
    </row>
    <row r="2837">
      <c r="A2837" s="3">
        <f>IFERROR(__xludf.DUMMYFUNCTION("""COMPUTED_VALUE"""),43204.99861111111)</f>
        <v>43204.99861</v>
      </c>
      <c r="B2837" s="1">
        <f>IFERROR(__xludf.DUMMYFUNCTION("""COMPUTED_VALUE"""),3538.048488)</f>
        <v>3538.048488</v>
      </c>
    </row>
    <row r="2838">
      <c r="A2838" s="3">
        <f>IFERROR(__xludf.DUMMYFUNCTION("""COMPUTED_VALUE"""),43205.99861111111)</f>
        <v>43205.99861</v>
      </c>
      <c r="B2838" s="1">
        <f>IFERROR(__xludf.DUMMYFUNCTION("""COMPUTED_VALUE"""),3538.58211)</f>
        <v>3538.58211</v>
      </c>
    </row>
    <row r="2839">
      <c r="A2839" s="3">
        <f>IFERROR(__xludf.DUMMYFUNCTION("""COMPUTED_VALUE"""),43206.99861111111)</f>
        <v>43206.99861</v>
      </c>
      <c r="B2839" s="1">
        <f>IFERROR(__xludf.DUMMYFUNCTION("""COMPUTED_VALUE"""),3540.6152)</f>
        <v>3540.6152</v>
      </c>
    </row>
    <row r="2840">
      <c r="A2840" s="3">
        <f>IFERROR(__xludf.DUMMYFUNCTION("""COMPUTED_VALUE"""),43207.99861111111)</f>
        <v>43207.99861</v>
      </c>
      <c r="B2840" s="1">
        <f>IFERROR(__xludf.DUMMYFUNCTION("""COMPUTED_VALUE"""),3533.76059)</f>
        <v>3533.76059</v>
      </c>
    </row>
    <row r="2841">
      <c r="A2841" s="3">
        <f>IFERROR(__xludf.DUMMYFUNCTION("""COMPUTED_VALUE"""),43208.99861111111)</f>
        <v>43208.99861</v>
      </c>
      <c r="B2841" s="1">
        <f>IFERROR(__xludf.DUMMYFUNCTION("""COMPUTED_VALUE"""),3541.3868)</f>
        <v>3541.3868</v>
      </c>
    </row>
    <row r="2842">
      <c r="A2842" s="3">
        <f>IFERROR(__xludf.DUMMYFUNCTION("""COMPUTED_VALUE"""),43209.99861111111)</f>
        <v>43209.99861</v>
      </c>
      <c r="B2842" s="1">
        <f>IFERROR(__xludf.DUMMYFUNCTION("""COMPUTED_VALUE"""),3545.22)</f>
        <v>3545.22</v>
      </c>
    </row>
    <row r="2843">
      <c r="A2843" s="3">
        <f>IFERROR(__xludf.DUMMYFUNCTION("""COMPUTED_VALUE"""),43210.99861111111)</f>
        <v>43210.99861</v>
      </c>
      <c r="B2843" s="1">
        <f>IFERROR(__xludf.DUMMYFUNCTION("""COMPUTED_VALUE"""),3548.51462)</f>
        <v>3548.51462</v>
      </c>
    </row>
    <row r="2844">
      <c r="A2844" s="3">
        <f>IFERROR(__xludf.DUMMYFUNCTION("""COMPUTED_VALUE"""),43211.99861111111)</f>
        <v>43211.99861</v>
      </c>
      <c r="B2844" s="1">
        <f>IFERROR(__xludf.DUMMYFUNCTION("""COMPUTED_VALUE"""),3550.414099)</f>
        <v>3550.414099</v>
      </c>
    </row>
    <row r="2845">
      <c r="A2845" s="3">
        <f>IFERROR(__xludf.DUMMYFUNCTION("""COMPUTED_VALUE"""),43212.99861111111)</f>
        <v>43212.99861</v>
      </c>
      <c r="B2845" s="1">
        <f>IFERROR(__xludf.DUMMYFUNCTION("""COMPUTED_VALUE"""),3566.62239)</f>
        <v>3566.62239</v>
      </c>
    </row>
    <row r="2846">
      <c r="A2846" s="3">
        <f>IFERROR(__xludf.DUMMYFUNCTION("""COMPUTED_VALUE"""),43213.99861111111)</f>
        <v>43213.99861</v>
      </c>
      <c r="B2846" s="1">
        <f>IFERROR(__xludf.DUMMYFUNCTION("""COMPUTED_VALUE"""),3578.34391)</f>
        <v>3578.34391</v>
      </c>
    </row>
    <row r="2847">
      <c r="A2847" s="3">
        <f>IFERROR(__xludf.DUMMYFUNCTION("""COMPUTED_VALUE"""),43214.99861111111)</f>
        <v>43214.99861</v>
      </c>
      <c r="B2847" s="1">
        <f>IFERROR(__xludf.DUMMYFUNCTION("""COMPUTED_VALUE"""),3549.70608)</f>
        <v>3549.70608</v>
      </c>
    </row>
    <row r="2848">
      <c r="A2848" s="3">
        <f>IFERROR(__xludf.DUMMYFUNCTION("""COMPUTED_VALUE"""),43215.99861111111)</f>
        <v>43215.99861</v>
      </c>
      <c r="B2848" s="1">
        <f>IFERROR(__xludf.DUMMYFUNCTION("""COMPUTED_VALUE"""),3555.74774)</f>
        <v>3555.74774</v>
      </c>
    </row>
    <row r="2849">
      <c r="A2849" s="3">
        <f>IFERROR(__xludf.DUMMYFUNCTION("""COMPUTED_VALUE"""),43216.99861111111)</f>
        <v>43216.99861</v>
      </c>
      <c r="B2849" s="1">
        <f>IFERROR(__xludf.DUMMYFUNCTION("""COMPUTED_VALUE"""),3539.70016)</f>
        <v>3539.70016</v>
      </c>
    </row>
    <row r="2850">
      <c r="A2850" s="3">
        <f>IFERROR(__xludf.DUMMYFUNCTION("""COMPUTED_VALUE"""),43217.99861111111)</f>
        <v>43217.99861</v>
      </c>
      <c r="B2850" s="1">
        <f>IFERROR(__xludf.DUMMYFUNCTION("""COMPUTED_VALUE"""),3528.69)</f>
        <v>3528.69</v>
      </c>
    </row>
    <row r="2851">
      <c r="A2851" s="3">
        <f>IFERROR(__xludf.DUMMYFUNCTION("""COMPUTED_VALUE"""),43218.99861111111)</f>
        <v>43218.99861</v>
      </c>
      <c r="B2851" s="1">
        <f>IFERROR(__xludf.DUMMYFUNCTION("""COMPUTED_VALUE"""),3531.85455)</f>
        <v>3531.85455</v>
      </c>
    </row>
    <row r="2852">
      <c r="A2852" s="3">
        <f>IFERROR(__xludf.DUMMYFUNCTION("""COMPUTED_VALUE"""),43219.99861111111)</f>
        <v>43219.99861</v>
      </c>
      <c r="B2852" s="1">
        <f>IFERROR(__xludf.DUMMYFUNCTION("""COMPUTED_VALUE"""),3536.85)</f>
        <v>3536.85</v>
      </c>
    </row>
    <row r="2853">
      <c r="A2853" s="3">
        <f>IFERROR(__xludf.DUMMYFUNCTION("""COMPUTED_VALUE"""),43220.99861111111)</f>
        <v>43220.99861</v>
      </c>
      <c r="B2853" s="1">
        <f>IFERROR(__xludf.DUMMYFUNCTION("""COMPUTED_VALUE"""),3542.11381)</f>
        <v>3542.11381</v>
      </c>
    </row>
    <row r="2854">
      <c r="A2854" s="3">
        <f>IFERROR(__xludf.DUMMYFUNCTION("""COMPUTED_VALUE"""),43221.99861111111)</f>
        <v>43221.99861</v>
      </c>
      <c r="B2854" s="1">
        <f>IFERROR(__xludf.DUMMYFUNCTION("""COMPUTED_VALUE"""),3563.249332)</f>
        <v>3563.249332</v>
      </c>
    </row>
    <row r="2855">
      <c r="A2855" s="3">
        <f>IFERROR(__xludf.DUMMYFUNCTION("""COMPUTED_VALUE"""),43222.99861111111)</f>
        <v>43222.99861</v>
      </c>
      <c r="B2855" s="1">
        <f>IFERROR(__xludf.DUMMYFUNCTION("""COMPUTED_VALUE"""),3557.004269)</f>
        <v>3557.004269</v>
      </c>
    </row>
    <row r="2856">
      <c r="A2856" s="3">
        <f>IFERROR(__xludf.DUMMYFUNCTION("""COMPUTED_VALUE"""),43223.99861111111)</f>
        <v>43223.99861</v>
      </c>
      <c r="B2856" s="1">
        <f>IFERROR(__xludf.DUMMYFUNCTION("""COMPUTED_VALUE"""),3529.55816)</f>
        <v>3529.55816</v>
      </c>
    </row>
    <row r="2857">
      <c r="A2857" s="3">
        <f>IFERROR(__xludf.DUMMYFUNCTION("""COMPUTED_VALUE"""),43224.99861111111)</f>
        <v>43224.99861</v>
      </c>
      <c r="B2857" s="1">
        <f>IFERROR(__xludf.DUMMYFUNCTION("""COMPUTED_VALUE"""),3532.609773)</f>
        <v>3532.609773</v>
      </c>
    </row>
    <row r="2858">
      <c r="A2858" s="3">
        <f>IFERROR(__xludf.DUMMYFUNCTION("""COMPUTED_VALUE"""),43225.99861111111)</f>
        <v>43225.99861</v>
      </c>
      <c r="B2858" s="1">
        <f>IFERROR(__xludf.DUMMYFUNCTION("""COMPUTED_VALUE"""),3532.171027)</f>
        <v>3532.171027</v>
      </c>
    </row>
    <row r="2859">
      <c r="A2859" s="3">
        <f>IFERROR(__xludf.DUMMYFUNCTION("""COMPUTED_VALUE"""),43226.99861111111)</f>
        <v>43226.99861</v>
      </c>
      <c r="B2859" s="1">
        <f>IFERROR(__xludf.DUMMYFUNCTION("""COMPUTED_VALUE"""),3533.54813)</f>
        <v>3533.54813</v>
      </c>
    </row>
    <row r="2860">
      <c r="A2860" s="3">
        <f>IFERROR(__xludf.DUMMYFUNCTION("""COMPUTED_VALUE"""),43227.99861111111)</f>
        <v>43227.99861</v>
      </c>
      <c r="B2860" s="1">
        <f>IFERROR(__xludf.DUMMYFUNCTION("""COMPUTED_VALUE"""),3615.495215)</f>
        <v>3615.495215</v>
      </c>
    </row>
    <row r="2861">
      <c r="A2861" s="3">
        <f>IFERROR(__xludf.DUMMYFUNCTION("""COMPUTED_VALUE"""),43228.99861111111)</f>
        <v>43228.99861</v>
      </c>
      <c r="B2861" s="1">
        <f>IFERROR(__xludf.DUMMYFUNCTION("""COMPUTED_VALUE"""),3571.873281)</f>
        <v>3571.873281</v>
      </c>
    </row>
    <row r="2862">
      <c r="A2862" s="3">
        <f>IFERROR(__xludf.DUMMYFUNCTION("""COMPUTED_VALUE"""),43229.99861111111)</f>
        <v>43229.99861</v>
      </c>
      <c r="B2862" s="1">
        <f>IFERROR(__xludf.DUMMYFUNCTION("""COMPUTED_VALUE"""),3476.17173)</f>
        <v>3476.17173</v>
      </c>
    </row>
    <row r="2863">
      <c r="A2863" s="3">
        <f>IFERROR(__xludf.DUMMYFUNCTION("""COMPUTED_VALUE"""),43230.99861111111)</f>
        <v>43230.99861</v>
      </c>
      <c r="B2863" s="1">
        <f>IFERROR(__xludf.DUMMYFUNCTION("""COMPUTED_VALUE"""),3560.04681)</f>
        <v>3560.04681</v>
      </c>
    </row>
    <row r="2864">
      <c r="A2864" s="3">
        <f>IFERROR(__xludf.DUMMYFUNCTION("""COMPUTED_VALUE"""),43231.99861111111)</f>
        <v>43231.99861</v>
      </c>
      <c r="B2864" s="1">
        <f>IFERROR(__xludf.DUMMYFUNCTION("""COMPUTED_VALUE"""),3525.9836)</f>
        <v>3525.9836</v>
      </c>
    </row>
    <row r="2865">
      <c r="A2865" s="3">
        <f>IFERROR(__xludf.DUMMYFUNCTION("""COMPUTED_VALUE"""),43232.99861111111)</f>
        <v>43232.99861</v>
      </c>
      <c r="B2865" s="1">
        <f>IFERROR(__xludf.DUMMYFUNCTION("""COMPUTED_VALUE"""),3527.16071)</f>
        <v>3527.16071</v>
      </c>
    </row>
    <row r="2866">
      <c r="A2866" s="3">
        <f>IFERROR(__xludf.DUMMYFUNCTION("""COMPUTED_VALUE"""),43233.99861111111)</f>
        <v>43233.99861</v>
      </c>
      <c r="B2866" s="1">
        <f>IFERROR(__xludf.DUMMYFUNCTION("""COMPUTED_VALUE"""),3528.13672)</f>
        <v>3528.13672</v>
      </c>
    </row>
    <row r="2867">
      <c r="A2867" s="3">
        <f>IFERROR(__xludf.DUMMYFUNCTION("""COMPUTED_VALUE"""),43234.99861111111)</f>
        <v>43234.99861</v>
      </c>
      <c r="B2867" s="1">
        <f>IFERROR(__xludf.DUMMYFUNCTION("""COMPUTED_VALUE"""),3532.22011)</f>
        <v>3532.22011</v>
      </c>
    </row>
    <row r="2868">
      <c r="A2868" s="3">
        <f>IFERROR(__xludf.DUMMYFUNCTION("""COMPUTED_VALUE"""),43235.99861111111)</f>
        <v>43235.99861</v>
      </c>
      <c r="B2868" s="1">
        <f>IFERROR(__xludf.DUMMYFUNCTION("""COMPUTED_VALUE"""),3544.2586)</f>
        <v>3544.2586</v>
      </c>
    </row>
    <row r="2869">
      <c r="A2869" s="3">
        <f>IFERROR(__xludf.DUMMYFUNCTION("""COMPUTED_VALUE"""),43236.99861111111)</f>
        <v>43236.99861</v>
      </c>
      <c r="B2869" s="1">
        <f>IFERROR(__xludf.DUMMYFUNCTION("""COMPUTED_VALUE"""),3564.041988)</f>
        <v>3564.041988</v>
      </c>
    </row>
    <row r="2870">
      <c r="A2870" s="3">
        <f>IFERROR(__xludf.DUMMYFUNCTION("""COMPUTED_VALUE"""),43237.99861111111)</f>
        <v>43237.99861</v>
      </c>
      <c r="B2870" s="1">
        <f>IFERROR(__xludf.DUMMYFUNCTION("""COMPUTED_VALUE"""),3561.0206)</f>
        <v>3561.0206</v>
      </c>
    </row>
    <row r="2871">
      <c r="A2871" s="3">
        <f>IFERROR(__xludf.DUMMYFUNCTION("""COMPUTED_VALUE"""),43238.99861111111)</f>
        <v>43238.99861</v>
      </c>
      <c r="B2871" s="1">
        <f>IFERROR(__xludf.DUMMYFUNCTION("""COMPUTED_VALUE"""),3556.1144)</f>
        <v>3556.1144</v>
      </c>
    </row>
    <row r="2872">
      <c r="A2872" s="3">
        <f>IFERROR(__xludf.DUMMYFUNCTION("""COMPUTED_VALUE"""),43239.99861111111)</f>
        <v>43239.99861</v>
      </c>
      <c r="B2872" s="1">
        <f>IFERROR(__xludf.DUMMYFUNCTION("""COMPUTED_VALUE"""),3556.1144)</f>
        <v>3556.1144</v>
      </c>
    </row>
    <row r="2873">
      <c r="A2873" s="3">
        <f>IFERROR(__xludf.DUMMYFUNCTION("""COMPUTED_VALUE"""),43240.99861111111)</f>
        <v>43240.99861</v>
      </c>
      <c r="B2873" s="1">
        <f>IFERROR(__xludf.DUMMYFUNCTION("""COMPUTED_VALUE"""),3562.98591)</f>
        <v>3562.98591</v>
      </c>
    </row>
    <row r="2874">
      <c r="A2874" s="3">
        <f>IFERROR(__xludf.DUMMYFUNCTION("""COMPUTED_VALUE"""),43241.99861111111)</f>
        <v>43241.99861</v>
      </c>
      <c r="B2874" s="1">
        <f>IFERROR(__xludf.DUMMYFUNCTION("""COMPUTED_VALUE"""),3570.642)</f>
        <v>3570.642</v>
      </c>
    </row>
    <row r="2875">
      <c r="A2875" s="3">
        <f>IFERROR(__xludf.DUMMYFUNCTION("""COMPUTED_VALUE"""),43242.99861111111)</f>
        <v>43242.99861</v>
      </c>
      <c r="B2875" s="1">
        <f>IFERROR(__xludf.DUMMYFUNCTION("""COMPUTED_VALUE"""),3577.465536)</f>
        <v>3577.465536</v>
      </c>
    </row>
    <row r="2876">
      <c r="A2876" s="3">
        <f>IFERROR(__xludf.DUMMYFUNCTION("""COMPUTED_VALUE"""),43243.99861111111)</f>
        <v>43243.99861</v>
      </c>
      <c r="B2876" s="1">
        <f>IFERROR(__xludf.DUMMYFUNCTION("""COMPUTED_VALUE"""),3559.11111)</f>
        <v>3559.11111</v>
      </c>
    </row>
    <row r="2877">
      <c r="A2877" s="3">
        <f>IFERROR(__xludf.DUMMYFUNCTION("""COMPUTED_VALUE"""),43244.99861111111)</f>
        <v>43244.99861</v>
      </c>
      <c r="B2877" s="1">
        <f>IFERROR(__xludf.DUMMYFUNCTION("""COMPUTED_VALUE"""),3546.96012)</f>
        <v>3546.96012</v>
      </c>
    </row>
    <row r="2878">
      <c r="A2878" s="3">
        <f>IFERROR(__xludf.DUMMYFUNCTION("""COMPUTED_VALUE"""),43245.99861111111)</f>
        <v>43245.99861</v>
      </c>
      <c r="B2878" s="1">
        <f>IFERROR(__xludf.DUMMYFUNCTION("""COMPUTED_VALUE"""),3542.1744)</f>
        <v>3542.1744</v>
      </c>
    </row>
    <row r="2879">
      <c r="A2879" s="3">
        <f>IFERROR(__xludf.DUMMYFUNCTION("""COMPUTED_VALUE"""),43246.99861111111)</f>
        <v>43246.99861</v>
      </c>
      <c r="B2879" s="1">
        <f>IFERROR(__xludf.DUMMYFUNCTION("""COMPUTED_VALUE"""),3526.10784)</f>
        <v>3526.10784</v>
      </c>
    </row>
    <row r="2880">
      <c r="A2880" s="3">
        <f>IFERROR(__xludf.DUMMYFUNCTION("""COMPUTED_VALUE"""),43247.99861111111)</f>
        <v>43247.99861</v>
      </c>
      <c r="B2880" s="1">
        <f>IFERROR(__xludf.DUMMYFUNCTION("""COMPUTED_VALUE"""),3534.14112)</f>
        <v>3534.14112</v>
      </c>
    </row>
    <row r="2881">
      <c r="A2881" s="3">
        <f>IFERROR(__xludf.DUMMYFUNCTION("""COMPUTED_VALUE"""),43248.99861111111)</f>
        <v>43248.99861</v>
      </c>
      <c r="B2881" s="1">
        <f>IFERROR(__xludf.DUMMYFUNCTION("""COMPUTED_VALUE"""),3515.6694)</f>
        <v>3515.6694</v>
      </c>
    </row>
    <row r="2882">
      <c r="A2882" s="3">
        <f>IFERROR(__xludf.DUMMYFUNCTION("""COMPUTED_VALUE"""),43249.99861111111)</f>
        <v>43249.99861</v>
      </c>
      <c r="B2882" s="1">
        <f>IFERROR(__xludf.DUMMYFUNCTION("""COMPUTED_VALUE"""),3519.59552)</f>
        <v>3519.59552</v>
      </c>
    </row>
    <row r="2883">
      <c r="A2883" s="3">
        <f>IFERROR(__xludf.DUMMYFUNCTION("""COMPUTED_VALUE"""),43250.99861111111)</f>
        <v>43250.99861</v>
      </c>
      <c r="B2883" s="1">
        <f>IFERROR(__xludf.DUMMYFUNCTION("""COMPUTED_VALUE"""),3503.05551)</f>
        <v>3503.05551</v>
      </c>
    </row>
    <row r="2884">
      <c r="A2884" s="3">
        <f>IFERROR(__xludf.DUMMYFUNCTION("""COMPUTED_VALUE"""),43251.99861111111)</f>
        <v>43251.99861</v>
      </c>
      <c r="B2884" s="1">
        <f>IFERROR(__xludf.DUMMYFUNCTION("""COMPUTED_VALUE"""),3485.6844)</f>
        <v>3485.6844</v>
      </c>
    </row>
    <row r="2885">
      <c r="A2885" s="3">
        <f>IFERROR(__xludf.DUMMYFUNCTION("""COMPUTED_VALUE"""),43252.99861111111)</f>
        <v>43252.99861</v>
      </c>
      <c r="B2885" s="1">
        <f>IFERROR(__xludf.DUMMYFUNCTION("""COMPUTED_VALUE"""),3472.36284)</f>
        <v>3472.36284</v>
      </c>
    </row>
    <row r="2886">
      <c r="A2886" s="3">
        <f>IFERROR(__xludf.DUMMYFUNCTION("""COMPUTED_VALUE"""),43253.99861111111)</f>
        <v>43253.99861</v>
      </c>
      <c r="B2886" s="1">
        <f>IFERROR(__xludf.DUMMYFUNCTION("""COMPUTED_VALUE"""),3474.686625)</f>
        <v>3474.686625</v>
      </c>
    </row>
    <row r="2887">
      <c r="A2887" s="3">
        <f>IFERROR(__xludf.DUMMYFUNCTION("""COMPUTED_VALUE"""),43254.99861111111)</f>
        <v>43254.99861</v>
      </c>
      <c r="B2887" s="1">
        <f>IFERROR(__xludf.DUMMYFUNCTION("""COMPUTED_VALUE"""),3501.08622)</f>
        <v>3501.08622</v>
      </c>
    </row>
    <row r="2888">
      <c r="A2888" s="3">
        <f>IFERROR(__xludf.DUMMYFUNCTION("""COMPUTED_VALUE"""),43255.99861111111)</f>
        <v>43255.99861</v>
      </c>
      <c r="B2888" s="1">
        <f>IFERROR(__xludf.DUMMYFUNCTION("""COMPUTED_VALUE"""),3486.7602)</f>
        <v>3486.7602</v>
      </c>
    </row>
    <row r="2889">
      <c r="A2889" s="3">
        <f>IFERROR(__xludf.DUMMYFUNCTION("""COMPUTED_VALUE"""),43256.99861111111)</f>
        <v>43256.99861</v>
      </c>
      <c r="B2889" s="1">
        <f>IFERROR(__xludf.DUMMYFUNCTION("""COMPUTED_VALUE"""),3488.4437)</f>
        <v>3488.4437</v>
      </c>
    </row>
    <row r="2890">
      <c r="A2890" s="3">
        <f>IFERROR(__xludf.DUMMYFUNCTION("""COMPUTED_VALUE"""),43257.99861111111)</f>
        <v>43257.99861</v>
      </c>
      <c r="B2890" s="1">
        <f>IFERROR(__xludf.DUMMYFUNCTION("""COMPUTED_VALUE"""),3477.20054)</f>
        <v>3477.20054</v>
      </c>
    </row>
    <row r="2891">
      <c r="A2891" s="3">
        <f>IFERROR(__xludf.DUMMYFUNCTION("""COMPUTED_VALUE"""),43258.99861111111)</f>
        <v>43258.99861</v>
      </c>
      <c r="B2891" s="1">
        <f>IFERROR(__xludf.DUMMYFUNCTION("""COMPUTED_VALUE"""),3478.78122)</f>
        <v>3478.78122</v>
      </c>
    </row>
    <row r="2892">
      <c r="A2892" s="3">
        <f>IFERROR(__xludf.DUMMYFUNCTION("""COMPUTED_VALUE"""),43259.99861111111)</f>
        <v>43259.99861</v>
      </c>
      <c r="B2892" s="1">
        <f>IFERROR(__xludf.DUMMYFUNCTION("""COMPUTED_VALUE"""),3491.05248)</f>
        <v>3491.05248</v>
      </c>
    </row>
    <row r="2893">
      <c r="A2893" s="3">
        <f>IFERROR(__xludf.DUMMYFUNCTION("""COMPUTED_VALUE"""),43260.99861111111)</f>
        <v>43260.99861</v>
      </c>
      <c r="B2893" s="1">
        <f>IFERROR(__xludf.DUMMYFUNCTION("""COMPUTED_VALUE"""),3494.56032)</f>
        <v>3494.56032</v>
      </c>
    </row>
    <row r="2894">
      <c r="A2894" s="3">
        <f>IFERROR(__xludf.DUMMYFUNCTION("""COMPUTED_VALUE"""),43261.99861111111)</f>
        <v>43261.99861</v>
      </c>
      <c r="B2894" s="1">
        <f>IFERROR(__xludf.DUMMYFUNCTION("""COMPUTED_VALUE"""),3474.26496)</f>
        <v>3474.26496</v>
      </c>
    </row>
    <row r="2895">
      <c r="A2895" s="3">
        <f>IFERROR(__xludf.DUMMYFUNCTION("""COMPUTED_VALUE"""),43262.99861111111)</f>
        <v>43262.99861</v>
      </c>
      <c r="B2895" s="1">
        <f>IFERROR(__xludf.DUMMYFUNCTION("""COMPUTED_VALUE"""),3492.30609)</f>
        <v>3492.30609</v>
      </c>
    </row>
    <row r="2896">
      <c r="A2896" s="3">
        <f>IFERROR(__xludf.DUMMYFUNCTION("""COMPUTED_VALUE"""),43263.99861111111)</f>
        <v>43263.99861</v>
      </c>
      <c r="B2896" s="1">
        <f>IFERROR(__xludf.DUMMYFUNCTION("""COMPUTED_VALUE"""),3487.7115)</f>
        <v>3487.7115</v>
      </c>
    </row>
    <row r="2897">
      <c r="A2897" s="3">
        <f>IFERROR(__xludf.DUMMYFUNCTION("""COMPUTED_VALUE"""),43264.99861111111)</f>
        <v>43264.99861</v>
      </c>
      <c r="B2897" s="1">
        <f>IFERROR(__xludf.DUMMYFUNCTION("""COMPUTED_VALUE"""),3490.63533)</f>
        <v>3490.63533</v>
      </c>
    </row>
    <row r="2898">
      <c r="A2898" s="3">
        <f>IFERROR(__xludf.DUMMYFUNCTION("""COMPUTED_VALUE"""),43265.99861111111)</f>
        <v>43265.99861</v>
      </c>
      <c r="B2898" s="1">
        <f>IFERROR(__xludf.DUMMYFUNCTION("""COMPUTED_VALUE"""),3540.94105)</f>
        <v>3540.94105</v>
      </c>
    </row>
    <row r="2899">
      <c r="A2899" s="3">
        <f>IFERROR(__xludf.DUMMYFUNCTION("""COMPUTED_VALUE"""),43266.99861111111)</f>
        <v>43266.99861</v>
      </c>
      <c r="B2899" s="1">
        <f>IFERROR(__xludf.DUMMYFUNCTION("""COMPUTED_VALUE"""),3518.012792)</f>
        <v>3518.012792</v>
      </c>
    </row>
    <row r="2900">
      <c r="A2900" s="3">
        <f>IFERROR(__xludf.DUMMYFUNCTION("""COMPUTED_VALUE"""),43267.99861111111)</f>
        <v>43267.99861</v>
      </c>
      <c r="B2900" s="1">
        <f>IFERROR(__xludf.DUMMYFUNCTION("""COMPUTED_VALUE"""),3477.606328)</f>
        <v>3477.606328</v>
      </c>
    </row>
    <row r="2901">
      <c r="A2901" s="3">
        <f>IFERROR(__xludf.DUMMYFUNCTION("""COMPUTED_VALUE"""),43268.99861111111)</f>
        <v>43268.99861</v>
      </c>
      <c r="B2901" s="1">
        <f>IFERROR(__xludf.DUMMYFUNCTION("""COMPUTED_VALUE"""),3481.30692)</f>
        <v>3481.30692</v>
      </c>
    </row>
    <row r="2902">
      <c r="A2902" s="3">
        <f>IFERROR(__xludf.DUMMYFUNCTION("""COMPUTED_VALUE"""),43269.99861111111)</f>
        <v>43269.99861</v>
      </c>
      <c r="B2902" s="1">
        <f>IFERROR(__xludf.DUMMYFUNCTION("""COMPUTED_VALUE"""),3480.88923)</f>
        <v>3480.88923</v>
      </c>
    </row>
    <row r="2903">
      <c r="A2903" s="3">
        <f>IFERROR(__xludf.DUMMYFUNCTION("""COMPUTED_VALUE"""),43270.99861111111)</f>
        <v>43270.99861</v>
      </c>
      <c r="B2903" s="1">
        <f>IFERROR(__xludf.DUMMYFUNCTION("""COMPUTED_VALUE"""),3476.71233)</f>
        <v>3476.71233</v>
      </c>
    </row>
    <row r="2904">
      <c r="A2904" s="3">
        <f>IFERROR(__xludf.DUMMYFUNCTION("""COMPUTED_VALUE"""),43271.99861111111)</f>
        <v>43271.99861</v>
      </c>
      <c r="B2904" s="1">
        <f>IFERROR(__xludf.DUMMYFUNCTION("""COMPUTED_VALUE"""),3474.20619)</f>
        <v>3474.20619</v>
      </c>
    </row>
    <row r="2905">
      <c r="A2905" s="3">
        <f>IFERROR(__xludf.DUMMYFUNCTION("""COMPUTED_VALUE"""),43272.99861111111)</f>
        <v>43272.99861</v>
      </c>
      <c r="B2905" s="1">
        <f>IFERROR(__xludf.DUMMYFUNCTION("""COMPUTED_VALUE"""),3506.64408)</f>
        <v>3506.64408</v>
      </c>
    </row>
    <row r="2906">
      <c r="A2906" s="3">
        <f>IFERROR(__xludf.DUMMYFUNCTION("""COMPUTED_VALUE"""),43273.99861111111)</f>
        <v>43273.99861</v>
      </c>
      <c r="B2906" s="1">
        <f>IFERROR(__xludf.DUMMYFUNCTION("""COMPUTED_VALUE"""),3518.005416)</f>
        <v>3518.005416</v>
      </c>
    </row>
    <row r="2907">
      <c r="A2907" s="3">
        <f>IFERROR(__xludf.DUMMYFUNCTION("""COMPUTED_VALUE"""),43274.99861111111)</f>
        <v>43274.99861</v>
      </c>
      <c r="B2907" s="1">
        <f>IFERROR(__xludf.DUMMYFUNCTION("""COMPUTED_VALUE"""),3512.234386)</f>
        <v>3512.234386</v>
      </c>
    </row>
    <row r="2908">
      <c r="A2908" s="3">
        <f>IFERROR(__xludf.DUMMYFUNCTION("""COMPUTED_VALUE"""),43275.99861111111)</f>
        <v>43275.99861</v>
      </c>
      <c r="B2908" s="1">
        <f>IFERROR(__xludf.DUMMYFUNCTION("""COMPUTED_VALUE"""),3518.25)</f>
        <v>3518.25</v>
      </c>
    </row>
    <row r="2909">
      <c r="A2909" s="3">
        <f>IFERROR(__xludf.DUMMYFUNCTION("""COMPUTED_VALUE"""),43276.99861111111)</f>
        <v>43276.99861</v>
      </c>
      <c r="B2909" s="1">
        <f>IFERROR(__xludf.DUMMYFUNCTION("""COMPUTED_VALUE"""),3521.01276)</f>
        <v>3521.01276</v>
      </c>
    </row>
    <row r="2910">
      <c r="A2910" s="3">
        <f>IFERROR(__xludf.DUMMYFUNCTION("""COMPUTED_VALUE"""),43277.99861111111)</f>
        <v>43277.99861</v>
      </c>
      <c r="B2910" s="1">
        <f>IFERROR(__xludf.DUMMYFUNCTION("""COMPUTED_VALUE"""),3525.0086)</f>
        <v>3525.0086</v>
      </c>
    </row>
    <row r="2911">
      <c r="A2911" s="3">
        <f>IFERROR(__xludf.DUMMYFUNCTION("""COMPUTED_VALUE"""),43278.99861111111)</f>
        <v>43278.99861</v>
      </c>
      <c r="B2911" s="1">
        <f>IFERROR(__xludf.DUMMYFUNCTION("""COMPUTED_VALUE"""),3530.13765)</f>
        <v>3530.13765</v>
      </c>
    </row>
    <row r="2912">
      <c r="A2912" s="3">
        <f>IFERROR(__xludf.DUMMYFUNCTION("""COMPUTED_VALUE"""),43279.99861111111)</f>
        <v>43279.99861</v>
      </c>
      <c r="B2912" s="1">
        <f>IFERROR(__xludf.DUMMYFUNCTION("""COMPUTED_VALUE"""),3547.1765)</f>
        <v>3547.1765</v>
      </c>
    </row>
    <row r="2913">
      <c r="A2913" s="3">
        <f>IFERROR(__xludf.DUMMYFUNCTION("""COMPUTED_VALUE"""),43280.99861111111)</f>
        <v>43280.99861</v>
      </c>
      <c r="B2913" s="1">
        <f>IFERROR(__xludf.DUMMYFUNCTION("""COMPUTED_VALUE"""),3538.13397)</f>
        <v>3538.13397</v>
      </c>
    </row>
    <row r="2914">
      <c r="A2914" s="3">
        <f>IFERROR(__xludf.DUMMYFUNCTION("""COMPUTED_VALUE"""),43281.99861111111)</f>
        <v>43281.99861</v>
      </c>
      <c r="B2914" s="1">
        <f>IFERROR(__xludf.DUMMYFUNCTION("""COMPUTED_VALUE"""),3538.13397)</f>
        <v>3538.13397</v>
      </c>
    </row>
    <row r="2915">
      <c r="A2915" s="3">
        <f>IFERROR(__xludf.DUMMYFUNCTION("""COMPUTED_VALUE"""),43282.99861111111)</f>
        <v>43282.99861</v>
      </c>
      <c r="B2915" s="1">
        <f>IFERROR(__xludf.DUMMYFUNCTION("""COMPUTED_VALUE"""),3549.04113)</f>
        <v>3549.04113</v>
      </c>
    </row>
    <row r="2916">
      <c r="A2916" s="3">
        <f>IFERROR(__xludf.DUMMYFUNCTION("""COMPUTED_VALUE"""),43283.99861111111)</f>
        <v>43283.99861</v>
      </c>
      <c r="B2916" s="1">
        <f>IFERROR(__xludf.DUMMYFUNCTION("""COMPUTED_VALUE"""),3548.58698)</f>
        <v>3548.58698</v>
      </c>
    </row>
    <row r="2917">
      <c r="A2917" s="3">
        <f>IFERROR(__xludf.DUMMYFUNCTION("""COMPUTED_VALUE"""),43284.99861111111)</f>
        <v>43284.99861</v>
      </c>
      <c r="B2917" s="1">
        <f>IFERROR(__xludf.DUMMYFUNCTION("""COMPUTED_VALUE"""),3548.77925)</f>
        <v>3548.77925</v>
      </c>
    </row>
    <row r="2918">
      <c r="A2918" s="3">
        <f>IFERROR(__xludf.DUMMYFUNCTION("""COMPUTED_VALUE"""),43285.99861111111)</f>
        <v>43285.99861</v>
      </c>
      <c r="B2918" s="1">
        <f>IFERROR(__xludf.DUMMYFUNCTION("""COMPUTED_VALUE"""),3546.864)</f>
        <v>3546.864</v>
      </c>
    </row>
    <row r="2919">
      <c r="A2919" s="3">
        <f>IFERROR(__xludf.DUMMYFUNCTION("""COMPUTED_VALUE"""),43286.99861111111)</f>
        <v>43286.99861</v>
      </c>
      <c r="B2919" s="1">
        <f>IFERROR(__xludf.DUMMYFUNCTION("""COMPUTED_VALUE"""),3553.576632)</f>
        <v>3553.576632</v>
      </c>
    </row>
    <row r="2920">
      <c r="A2920" s="3">
        <f>IFERROR(__xludf.DUMMYFUNCTION("""COMPUTED_VALUE"""),43287.99861111111)</f>
        <v>43287.99861</v>
      </c>
      <c r="B2920" s="1">
        <f>IFERROR(__xludf.DUMMYFUNCTION("""COMPUTED_VALUE"""),3546.54369)</f>
        <v>3546.54369</v>
      </c>
    </row>
    <row r="2921">
      <c r="A2921" s="3">
        <f>IFERROR(__xludf.DUMMYFUNCTION("""COMPUTED_VALUE"""),43288.99861111111)</f>
        <v>43288.99861</v>
      </c>
      <c r="B2921" s="1">
        <f>IFERROR(__xludf.DUMMYFUNCTION("""COMPUTED_VALUE"""),3546.54369)</f>
        <v>3546.54369</v>
      </c>
    </row>
    <row r="2922">
      <c r="A2922" s="3">
        <f>IFERROR(__xludf.DUMMYFUNCTION("""COMPUTED_VALUE"""),43289.99861111111)</f>
        <v>43289.99861</v>
      </c>
      <c r="B2922" s="1">
        <f>IFERROR(__xludf.DUMMYFUNCTION("""COMPUTED_VALUE"""),3541.26864)</f>
        <v>3541.26864</v>
      </c>
    </row>
    <row r="2923">
      <c r="A2923" s="3">
        <f>IFERROR(__xludf.DUMMYFUNCTION("""COMPUTED_VALUE"""),43290.99861111111)</f>
        <v>43290.99861</v>
      </c>
      <c r="B2923" s="1">
        <f>IFERROR(__xludf.DUMMYFUNCTION("""COMPUTED_VALUE"""),3551.13154)</f>
        <v>3551.13154</v>
      </c>
    </row>
    <row r="2924">
      <c r="A2924" s="3">
        <f>IFERROR(__xludf.DUMMYFUNCTION("""COMPUTED_VALUE"""),43291.99861111111)</f>
        <v>43291.99861</v>
      </c>
      <c r="B2924" s="1">
        <f>IFERROR(__xludf.DUMMYFUNCTION("""COMPUTED_VALUE"""),3567.0125)</f>
        <v>3567.0125</v>
      </c>
    </row>
    <row r="2925">
      <c r="A2925" s="3">
        <f>IFERROR(__xludf.DUMMYFUNCTION("""COMPUTED_VALUE"""),43292.99861111111)</f>
        <v>43292.99861</v>
      </c>
      <c r="B2925" s="1">
        <f>IFERROR(__xludf.DUMMYFUNCTION("""COMPUTED_VALUE"""),3557.97988)</f>
        <v>3557.97988</v>
      </c>
    </row>
    <row r="2926">
      <c r="A2926" s="3">
        <f>IFERROR(__xludf.DUMMYFUNCTION("""COMPUTED_VALUE"""),43293.99861111111)</f>
        <v>43293.99861</v>
      </c>
      <c r="B2926" s="1">
        <f>IFERROR(__xludf.DUMMYFUNCTION("""COMPUTED_VALUE"""),3557.55435)</f>
        <v>3557.55435</v>
      </c>
    </row>
    <row r="2927">
      <c r="A2927" s="3">
        <f>IFERROR(__xludf.DUMMYFUNCTION("""COMPUTED_VALUE"""),43294.99861111111)</f>
        <v>43294.99861</v>
      </c>
      <c r="B2927" s="1">
        <f>IFERROR(__xludf.DUMMYFUNCTION("""COMPUTED_VALUE"""),3545.313909)</f>
        <v>3545.313909</v>
      </c>
    </row>
    <row r="2928">
      <c r="A2928" s="3">
        <f>IFERROR(__xludf.DUMMYFUNCTION("""COMPUTED_VALUE"""),43295.99861111111)</f>
        <v>43295.99861</v>
      </c>
      <c r="B2928" s="1">
        <f>IFERROR(__xludf.DUMMYFUNCTION("""COMPUTED_VALUE"""),3545.38791)</f>
        <v>3545.38791</v>
      </c>
    </row>
    <row r="2929">
      <c r="A2929" s="3">
        <f>IFERROR(__xludf.DUMMYFUNCTION("""COMPUTED_VALUE"""),43296.99861111111)</f>
        <v>43296.99861</v>
      </c>
      <c r="B2929" s="1">
        <f>IFERROR(__xludf.DUMMYFUNCTION("""COMPUTED_VALUE"""),3545.38791)</f>
        <v>3545.38791</v>
      </c>
    </row>
    <row r="2930">
      <c r="A2930" s="3">
        <f>IFERROR(__xludf.DUMMYFUNCTION("""COMPUTED_VALUE"""),43297.99861111111)</f>
        <v>43297.99861</v>
      </c>
      <c r="B2930" s="1">
        <f>IFERROR(__xludf.DUMMYFUNCTION("""COMPUTED_VALUE"""),3560.776485)</f>
        <v>3560.776485</v>
      </c>
    </row>
    <row r="2931">
      <c r="A2931" s="3">
        <f>IFERROR(__xludf.DUMMYFUNCTION("""COMPUTED_VALUE"""),43298.99861111111)</f>
        <v>43298.99861</v>
      </c>
      <c r="B2931" s="1">
        <f>IFERROR(__xludf.DUMMYFUNCTION("""COMPUTED_VALUE"""),3552.26916)</f>
        <v>3552.26916</v>
      </c>
    </row>
    <row r="2932">
      <c r="A2932" s="3">
        <f>IFERROR(__xludf.DUMMYFUNCTION("""COMPUTED_VALUE"""),43299.99861111111)</f>
        <v>43299.99861</v>
      </c>
      <c r="B2932" s="1">
        <f>IFERROR(__xludf.DUMMYFUNCTION("""COMPUTED_VALUE"""),3553.35246)</f>
        <v>3553.35246</v>
      </c>
    </row>
    <row r="2933">
      <c r="A2933" s="3">
        <f>IFERROR(__xludf.DUMMYFUNCTION("""COMPUTED_VALUE"""),43300.99861111111)</f>
        <v>43300.99861</v>
      </c>
      <c r="B2933" s="1">
        <f>IFERROR(__xludf.DUMMYFUNCTION("""COMPUTED_VALUE"""),3559.128)</f>
        <v>3559.128</v>
      </c>
    </row>
    <row r="2934">
      <c r="A2934" s="3">
        <f>IFERROR(__xludf.DUMMYFUNCTION("""COMPUTED_VALUE"""),43301.99861111111)</f>
        <v>43301.99861</v>
      </c>
      <c r="B2934" s="1">
        <f>IFERROR(__xludf.DUMMYFUNCTION("""COMPUTED_VALUE"""),3563.2362)</f>
        <v>3563.2362</v>
      </c>
    </row>
    <row r="2935">
      <c r="A2935" s="3">
        <f>IFERROR(__xludf.DUMMYFUNCTION("""COMPUTED_VALUE"""),43302.99861111111)</f>
        <v>43302.99861</v>
      </c>
      <c r="B2935" s="1">
        <f>IFERROR(__xludf.DUMMYFUNCTION("""COMPUTED_VALUE"""),3566.35302)</f>
        <v>3566.35302</v>
      </c>
    </row>
    <row r="2936">
      <c r="A2936" s="3">
        <f>IFERROR(__xludf.DUMMYFUNCTION("""COMPUTED_VALUE"""),43303.99861111111)</f>
        <v>43303.99861</v>
      </c>
      <c r="B2936" s="1">
        <f>IFERROR(__xludf.DUMMYFUNCTION("""COMPUTED_VALUE"""),3557.75286)</f>
        <v>3557.75286</v>
      </c>
    </row>
    <row r="2937">
      <c r="A2937" s="3">
        <f>IFERROR(__xludf.DUMMYFUNCTION("""COMPUTED_VALUE"""),43304.99861111111)</f>
        <v>43304.99861</v>
      </c>
      <c r="B2937" s="1">
        <f>IFERROR(__xludf.DUMMYFUNCTION("""COMPUTED_VALUE"""),3580.98285)</f>
        <v>3580.98285</v>
      </c>
    </row>
    <row r="2938">
      <c r="A2938" s="3">
        <f>IFERROR(__xludf.DUMMYFUNCTION("""COMPUTED_VALUE"""),43305.99861111111)</f>
        <v>43305.99861</v>
      </c>
      <c r="B2938" s="1">
        <f>IFERROR(__xludf.DUMMYFUNCTION("""COMPUTED_VALUE"""),3580.705893)</f>
        <v>3580.705893</v>
      </c>
    </row>
    <row r="2939">
      <c r="A2939" s="3">
        <f>IFERROR(__xludf.DUMMYFUNCTION("""COMPUTED_VALUE"""),43306.99861111111)</f>
        <v>43306.99861</v>
      </c>
      <c r="B2939" s="1">
        <f>IFERROR(__xludf.DUMMYFUNCTION("""COMPUTED_VALUE"""),3574.3015)</f>
        <v>3574.3015</v>
      </c>
    </row>
    <row r="2940">
      <c r="A2940" s="3">
        <f>IFERROR(__xludf.DUMMYFUNCTION("""COMPUTED_VALUE"""),43307.99861111111)</f>
        <v>43307.99861</v>
      </c>
      <c r="B2940" s="1">
        <f>IFERROR(__xludf.DUMMYFUNCTION("""COMPUTED_VALUE"""),3570.68075)</f>
        <v>3570.68075</v>
      </c>
    </row>
    <row r="2941">
      <c r="A2941" s="3">
        <f>IFERROR(__xludf.DUMMYFUNCTION("""COMPUTED_VALUE"""),43308.99861111111)</f>
        <v>43308.99861</v>
      </c>
      <c r="B2941" s="1">
        <f>IFERROR(__xludf.DUMMYFUNCTION("""COMPUTED_VALUE"""),3537.203136)</f>
        <v>3537.203136</v>
      </c>
    </row>
    <row r="2942">
      <c r="A2942" s="3">
        <f>IFERROR(__xludf.DUMMYFUNCTION("""COMPUTED_VALUE"""),43309.99861111111)</f>
        <v>43309.99861</v>
      </c>
      <c r="B2942" s="1">
        <f>IFERROR(__xludf.DUMMYFUNCTION("""COMPUTED_VALUE"""),3538.578723)</f>
        <v>3538.578723</v>
      </c>
    </row>
    <row r="2943">
      <c r="A2943" s="3">
        <f>IFERROR(__xludf.DUMMYFUNCTION("""COMPUTED_VALUE"""),43310.99861111111)</f>
        <v>43310.99861</v>
      </c>
      <c r="B2943" s="1">
        <f>IFERROR(__xludf.DUMMYFUNCTION("""COMPUTED_VALUE"""),3546.25888)</f>
        <v>3546.25888</v>
      </c>
    </row>
    <row r="2944">
      <c r="A2944" s="3">
        <f>IFERROR(__xludf.DUMMYFUNCTION("""COMPUTED_VALUE"""),43311.99861111111)</f>
        <v>43311.99861</v>
      </c>
      <c r="B2944" s="1">
        <f>IFERROR(__xludf.DUMMYFUNCTION("""COMPUTED_VALUE"""),3547.17084)</f>
        <v>3547.17084</v>
      </c>
    </row>
    <row r="2945">
      <c r="A2945" s="3">
        <f>IFERROR(__xludf.DUMMYFUNCTION("""COMPUTED_VALUE"""),43312.99861111111)</f>
        <v>43312.99861</v>
      </c>
      <c r="B2945" s="1">
        <f>IFERROR(__xludf.DUMMYFUNCTION("""COMPUTED_VALUE"""),3560.369228)</f>
        <v>3560.369228</v>
      </c>
    </row>
    <row r="2946">
      <c r="A2946" s="3">
        <f>IFERROR(__xludf.DUMMYFUNCTION("""COMPUTED_VALUE"""),43313.99861111111)</f>
        <v>43313.99861</v>
      </c>
      <c r="B2946" s="1">
        <f>IFERROR(__xludf.DUMMYFUNCTION("""COMPUTED_VALUE"""),3560.81664)</f>
        <v>3560.81664</v>
      </c>
    </row>
    <row r="2947">
      <c r="A2947" s="3">
        <f>IFERROR(__xludf.DUMMYFUNCTION("""COMPUTED_VALUE"""),43314.99861111111)</f>
        <v>43314.99861</v>
      </c>
      <c r="B2947" s="1">
        <f>IFERROR(__xludf.DUMMYFUNCTION("""COMPUTED_VALUE"""),3565.34113)</f>
        <v>3565.34113</v>
      </c>
    </row>
    <row r="2948">
      <c r="A2948" s="3">
        <f>IFERROR(__xludf.DUMMYFUNCTION("""COMPUTED_VALUE"""),43315.99861111111)</f>
        <v>43315.99861</v>
      </c>
      <c r="B2948" s="1">
        <f>IFERROR(__xludf.DUMMYFUNCTION("""COMPUTED_VALUE"""),3543.13728)</f>
        <v>3543.13728</v>
      </c>
    </row>
    <row r="2949">
      <c r="A2949" s="3">
        <f>IFERROR(__xludf.DUMMYFUNCTION("""COMPUTED_VALUE"""),43316.99861111111)</f>
        <v>43316.99861</v>
      </c>
      <c r="B2949" s="1">
        <f>IFERROR(__xludf.DUMMYFUNCTION("""COMPUTED_VALUE"""),3551.58288)</f>
        <v>3551.58288</v>
      </c>
    </row>
    <row r="2950">
      <c r="A2950" s="3">
        <f>IFERROR(__xludf.DUMMYFUNCTION("""COMPUTED_VALUE"""),43317.99861111111)</f>
        <v>43317.99861</v>
      </c>
      <c r="B2950" s="1">
        <f>IFERROR(__xludf.DUMMYFUNCTION("""COMPUTED_VALUE"""),3546.1728)</f>
        <v>3546.1728</v>
      </c>
    </row>
    <row r="2951">
      <c r="A2951" s="3">
        <f>IFERROR(__xludf.DUMMYFUNCTION("""COMPUTED_VALUE"""),43318.99861111111)</f>
        <v>43318.99861</v>
      </c>
      <c r="B2951" s="1">
        <f>IFERROR(__xludf.DUMMYFUNCTION("""COMPUTED_VALUE"""),3563.253933)</f>
        <v>3563.253933</v>
      </c>
    </row>
    <row r="2952">
      <c r="A2952" s="3">
        <f>IFERROR(__xludf.DUMMYFUNCTION("""COMPUTED_VALUE"""),43319.99861111111)</f>
        <v>43319.99861</v>
      </c>
      <c r="B2952" s="1">
        <f>IFERROR(__xludf.DUMMYFUNCTION("""COMPUTED_VALUE"""),3536.13018)</f>
        <v>3536.13018</v>
      </c>
    </row>
    <row r="2953">
      <c r="A2953" s="3">
        <f>IFERROR(__xludf.DUMMYFUNCTION("""COMPUTED_VALUE"""),43320.99861111111)</f>
        <v>43320.99861</v>
      </c>
      <c r="B2953" s="1">
        <f>IFERROR(__xludf.DUMMYFUNCTION("""COMPUTED_VALUE"""),3531.1095)</f>
        <v>3531.1095</v>
      </c>
    </row>
    <row r="2954">
      <c r="A2954" s="3">
        <f>IFERROR(__xludf.DUMMYFUNCTION("""COMPUTED_VALUE"""),43321.99861111111)</f>
        <v>43321.99861</v>
      </c>
      <c r="B2954" s="1">
        <f>IFERROR(__xludf.DUMMYFUNCTION("""COMPUTED_VALUE"""),3549.258)</f>
        <v>3549.258</v>
      </c>
    </row>
    <row r="2955">
      <c r="A2955" s="3">
        <f>IFERROR(__xludf.DUMMYFUNCTION("""COMPUTED_VALUE"""),43322.99861111111)</f>
        <v>43322.99861</v>
      </c>
      <c r="B2955" s="1">
        <f>IFERROR(__xludf.DUMMYFUNCTION("""COMPUTED_VALUE"""),3542.0427)</f>
        <v>3542.0427</v>
      </c>
    </row>
    <row r="2956">
      <c r="A2956" s="3">
        <f>IFERROR(__xludf.DUMMYFUNCTION("""COMPUTED_VALUE"""),43323.99861111111)</f>
        <v>43323.99861</v>
      </c>
      <c r="B2956" s="1">
        <f>IFERROR(__xludf.DUMMYFUNCTION("""COMPUTED_VALUE"""),3545.445781)</f>
        <v>3545.445781</v>
      </c>
    </row>
    <row r="2957">
      <c r="A2957" s="3">
        <f>IFERROR(__xludf.DUMMYFUNCTION("""COMPUTED_VALUE"""),43324.99861111111)</f>
        <v>43324.99861</v>
      </c>
      <c r="B2957" s="1">
        <f>IFERROR(__xludf.DUMMYFUNCTION("""COMPUTED_VALUE"""),3538.6485)</f>
        <v>3538.6485</v>
      </c>
    </row>
    <row r="2958">
      <c r="A2958" s="3">
        <f>IFERROR(__xludf.DUMMYFUNCTION("""COMPUTED_VALUE"""),43325.99861111111)</f>
        <v>43325.99861</v>
      </c>
      <c r="B2958" s="1">
        <f>IFERROR(__xludf.DUMMYFUNCTION("""COMPUTED_VALUE"""),3558.16314)</f>
        <v>3558.16314</v>
      </c>
    </row>
    <row r="2959">
      <c r="A2959" s="3">
        <f>IFERROR(__xludf.DUMMYFUNCTION("""COMPUTED_VALUE"""),43326.99861111111)</f>
        <v>43326.99861</v>
      </c>
      <c r="B2959" s="1">
        <f>IFERROR(__xludf.DUMMYFUNCTION("""COMPUTED_VALUE"""),3570.30528)</f>
        <v>3570.30528</v>
      </c>
    </row>
    <row r="2960">
      <c r="A2960" s="3">
        <f>IFERROR(__xludf.DUMMYFUNCTION("""COMPUTED_VALUE"""),43327.99861111111)</f>
        <v>43327.99861</v>
      </c>
      <c r="B2960" s="1">
        <f>IFERROR(__xludf.DUMMYFUNCTION("""COMPUTED_VALUE"""),3545.06509)</f>
        <v>3545.06509</v>
      </c>
    </row>
    <row r="2961">
      <c r="A2961" s="3">
        <f>IFERROR(__xludf.DUMMYFUNCTION("""COMPUTED_VALUE"""),43328.99861111111)</f>
        <v>43328.99861</v>
      </c>
      <c r="B2961" s="1">
        <f>IFERROR(__xludf.DUMMYFUNCTION("""COMPUTED_VALUE"""),3553.737198)</f>
        <v>3553.737198</v>
      </c>
    </row>
    <row r="2962">
      <c r="A2962" s="3">
        <f>IFERROR(__xludf.DUMMYFUNCTION("""COMPUTED_VALUE"""),43329.99861111111)</f>
        <v>43329.99861</v>
      </c>
      <c r="B2962" s="1">
        <f>IFERROR(__xludf.DUMMYFUNCTION("""COMPUTED_VALUE"""),3551.34658)</f>
        <v>3551.34658</v>
      </c>
    </row>
    <row r="2963">
      <c r="A2963" s="3">
        <f>IFERROR(__xludf.DUMMYFUNCTION("""COMPUTED_VALUE"""),43330.99861111111)</f>
        <v>43330.99861</v>
      </c>
      <c r="B2963" s="1">
        <f>IFERROR(__xludf.DUMMYFUNCTION("""COMPUTED_VALUE"""),3551.733919)</f>
        <v>3551.733919</v>
      </c>
    </row>
    <row r="2964">
      <c r="A2964" s="3">
        <f>IFERROR(__xludf.DUMMYFUNCTION("""COMPUTED_VALUE"""),43331.99861111111)</f>
        <v>43331.99861</v>
      </c>
      <c r="B2964" s="1">
        <f>IFERROR(__xludf.DUMMYFUNCTION("""COMPUTED_VALUE"""),3549.88492)</f>
        <v>3549.88492</v>
      </c>
    </row>
    <row r="2965">
      <c r="A2965" s="3">
        <f>IFERROR(__xludf.DUMMYFUNCTION("""COMPUTED_VALUE"""),43332.99861111111)</f>
        <v>43332.99861</v>
      </c>
      <c r="B2965" s="1">
        <f>IFERROR(__xludf.DUMMYFUNCTION("""COMPUTED_VALUE"""),3550.65246)</f>
        <v>3550.65246</v>
      </c>
    </row>
    <row r="2966">
      <c r="A2966" s="3">
        <f>IFERROR(__xludf.DUMMYFUNCTION("""COMPUTED_VALUE"""),43333.99861111111)</f>
        <v>43333.99861</v>
      </c>
      <c r="B2966" s="1">
        <f>IFERROR(__xludf.DUMMYFUNCTION("""COMPUTED_VALUE"""),3553.623)</f>
        <v>3553.623</v>
      </c>
    </row>
    <row r="2967">
      <c r="A2967" s="3">
        <f>IFERROR(__xludf.DUMMYFUNCTION("""COMPUTED_VALUE"""),43334.99861111111)</f>
        <v>43334.99861</v>
      </c>
      <c r="B2967" s="1">
        <f>IFERROR(__xludf.DUMMYFUNCTION("""COMPUTED_VALUE"""),3556.73376)</f>
        <v>3556.73376</v>
      </c>
    </row>
    <row r="2968">
      <c r="A2968" s="3">
        <f>IFERROR(__xludf.DUMMYFUNCTION("""COMPUTED_VALUE"""),43335.99861111111)</f>
        <v>43335.99861</v>
      </c>
      <c r="B2968" s="1">
        <f>IFERROR(__xludf.DUMMYFUNCTION("""COMPUTED_VALUE"""),3570.53736)</f>
        <v>3570.53736</v>
      </c>
    </row>
    <row r="2969">
      <c r="A2969" s="3">
        <f>IFERROR(__xludf.DUMMYFUNCTION("""COMPUTED_VALUE"""),43336.99861111111)</f>
        <v>43336.99861</v>
      </c>
      <c r="B2969" s="1">
        <f>IFERROR(__xludf.DUMMYFUNCTION("""COMPUTED_VALUE"""),3559.60098)</f>
        <v>3559.60098</v>
      </c>
    </row>
    <row r="2970">
      <c r="A2970" s="3">
        <f>IFERROR(__xludf.DUMMYFUNCTION("""COMPUTED_VALUE"""),43337.99861111111)</f>
        <v>43337.99861</v>
      </c>
      <c r="B2970" s="1">
        <f>IFERROR(__xludf.DUMMYFUNCTION("""COMPUTED_VALUE"""),3563.03039)</f>
        <v>3563.03039</v>
      </c>
    </row>
    <row r="2971">
      <c r="A2971" s="3">
        <f>IFERROR(__xludf.DUMMYFUNCTION("""COMPUTED_VALUE"""),43338.99861111111)</f>
        <v>43338.99861</v>
      </c>
      <c r="B2971" s="1">
        <f>IFERROR(__xludf.DUMMYFUNCTION("""COMPUTED_VALUE"""),3556.18134)</f>
        <v>3556.18134</v>
      </c>
    </row>
    <row r="2972">
      <c r="A2972" s="3">
        <f>IFERROR(__xludf.DUMMYFUNCTION("""COMPUTED_VALUE"""),43339.99861111111)</f>
        <v>43339.99861</v>
      </c>
      <c r="B2972" s="1">
        <f>IFERROR(__xludf.DUMMYFUNCTION("""COMPUTED_VALUE"""),3548.9889)</f>
        <v>3548.9889</v>
      </c>
    </row>
    <row r="2973">
      <c r="A2973" s="3">
        <f>IFERROR(__xludf.DUMMYFUNCTION("""COMPUTED_VALUE"""),43340.99861111111)</f>
        <v>43340.99861</v>
      </c>
      <c r="B2973" s="1">
        <f>IFERROR(__xludf.DUMMYFUNCTION("""COMPUTED_VALUE"""),3566.97979)</f>
        <v>3566.97979</v>
      </c>
    </row>
    <row r="2974">
      <c r="A2974" s="3">
        <f>IFERROR(__xludf.DUMMYFUNCTION("""COMPUTED_VALUE"""),43341.99861111111)</f>
        <v>43341.99861</v>
      </c>
      <c r="B2974" s="1">
        <f>IFERROR(__xludf.DUMMYFUNCTION("""COMPUTED_VALUE"""),3540.18724)</f>
        <v>3540.18724</v>
      </c>
    </row>
    <row r="2975">
      <c r="A2975" s="3">
        <f>IFERROR(__xludf.DUMMYFUNCTION("""COMPUTED_VALUE"""),43342.99861111111)</f>
        <v>43342.99861</v>
      </c>
      <c r="B2975" s="1">
        <f>IFERROR(__xludf.DUMMYFUNCTION("""COMPUTED_VALUE"""),3581.69031)</f>
        <v>3581.69031</v>
      </c>
    </row>
    <row r="2976">
      <c r="A2976" s="3">
        <f>IFERROR(__xludf.DUMMYFUNCTION("""COMPUTED_VALUE"""),43343.99861111111)</f>
        <v>43343.99861</v>
      </c>
      <c r="B2976" s="1">
        <f>IFERROR(__xludf.DUMMYFUNCTION("""COMPUTED_VALUE"""),3574.49375)</f>
        <v>3574.49375</v>
      </c>
    </row>
    <row r="2977">
      <c r="A2977" s="3">
        <f>IFERROR(__xludf.DUMMYFUNCTION("""COMPUTED_VALUE"""),43344.99861111111)</f>
        <v>43344.99861</v>
      </c>
      <c r="B2977" s="1">
        <f>IFERROR(__xludf.DUMMYFUNCTION("""COMPUTED_VALUE"""),3574.00825)</f>
        <v>3574.00825</v>
      </c>
    </row>
    <row r="2978">
      <c r="A2978" s="3">
        <f>IFERROR(__xludf.DUMMYFUNCTION("""COMPUTED_VALUE"""),43345.99861111111)</f>
        <v>43345.99861</v>
      </c>
      <c r="B2978" s="1">
        <f>IFERROR(__xludf.DUMMYFUNCTION("""COMPUTED_VALUE"""),3574.00825)</f>
        <v>3574.00825</v>
      </c>
    </row>
    <row r="2979">
      <c r="A2979" s="3">
        <f>IFERROR(__xludf.DUMMYFUNCTION("""COMPUTED_VALUE"""),43346.99861111111)</f>
        <v>43346.99861</v>
      </c>
      <c r="B2979" s="1">
        <f>IFERROR(__xludf.DUMMYFUNCTION("""COMPUTED_VALUE"""),3589.93728)</f>
        <v>3589.93728</v>
      </c>
    </row>
    <row r="2980">
      <c r="A2980" s="3">
        <f>IFERROR(__xludf.DUMMYFUNCTION("""COMPUTED_VALUE"""),43347.99861111111)</f>
        <v>43347.99861</v>
      </c>
      <c r="B2980" s="1">
        <f>IFERROR(__xludf.DUMMYFUNCTION("""COMPUTED_VALUE"""),3605.8936)</f>
        <v>3605.8936</v>
      </c>
    </row>
    <row r="2981">
      <c r="A2981" s="3">
        <f>IFERROR(__xludf.DUMMYFUNCTION("""COMPUTED_VALUE"""),43348.99861111111)</f>
        <v>43348.99861</v>
      </c>
      <c r="B2981" s="1">
        <f>IFERROR(__xludf.DUMMYFUNCTION("""COMPUTED_VALUE"""),3604.763136)</f>
        <v>3604.763136</v>
      </c>
    </row>
    <row r="2982">
      <c r="A2982" s="3">
        <f>IFERROR(__xludf.DUMMYFUNCTION("""COMPUTED_VALUE"""),43349.99861111111)</f>
        <v>43349.99861</v>
      </c>
      <c r="B2982" s="1">
        <f>IFERROR(__xludf.DUMMYFUNCTION("""COMPUTED_VALUE"""),3595.31913)</f>
        <v>3595.31913</v>
      </c>
    </row>
    <row r="2983">
      <c r="A2983" s="3">
        <f>IFERROR(__xludf.DUMMYFUNCTION("""COMPUTED_VALUE"""),43350.99861111111)</f>
        <v>43350.99861</v>
      </c>
      <c r="B2983" s="1">
        <f>IFERROR(__xludf.DUMMYFUNCTION("""COMPUTED_VALUE"""),3604.511895)</f>
        <v>3604.511895</v>
      </c>
    </row>
    <row r="2984">
      <c r="A2984" s="3">
        <f>IFERROR(__xludf.DUMMYFUNCTION("""COMPUTED_VALUE"""),43351.99861111111)</f>
        <v>43351.99861</v>
      </c>
      <c r="B2984" s="1">
        <f>IFERROR(__xludf.DUMMYFUNCTION("""COMPUTED_VALUE"""),3565.63723)</f>
        <v>3565.63723</v>
      </c>
    </row>
    <row r="2985">
      <c r="A2985" s="3">
        <f>IFERROR(__xludf.DUMMYFUNCTION("""COMPUTED_VALUE"""),43352.99861111111)</f>
        <v>43352.99861</v>
      </c>
      <c r="B2985" s="1">
        <f>IFERROR(__xludf.DUMMYFUNCTION("""COMPUTED_VALUE"""),3571.56243)</f>
        <v>3571.56243</v>
      </c>
    </row>
    <row r="2986">
      <c r="A2986" s="3">
        <f>IFERROR(__xludf.DUMMYFUNCTION("""COMPUTED_VALUE"""),43353.99861111111)</f>
        <v>43353.99861</v>
      </c>
      <c r="B2986" s="1">
        <f>IFERROR(__xludf.DUMMYFUNCTION("""COMPUTED_VALUE"""),3575.44627)</f>
        <v>3575.44627</v>
      </c>
    </row>
    <row r="2987">
      <c r="A2987" s="3">
        <f>IFERROR(__xludf.DUMMYFUNCTION("""COMPUTED_VALUE"""),43354.99861111111)</f>
        <v>43354.99861</v>
      </c>
      <c r="B2987" s="1">
        <f>IFERROR(__xludf.DUMMYFUNCTION("""COMPUTED_VALUE"""),3577.49744)</f>
        <v>3577.49744</v>
      </c>
    </row>
    <row r="2988">
      <c r="A2988" s="3">
        <f>IFERROR(__xludf.DUMMYFUNCTION("""COMPUTED_VALUE"""),43355.99861111111)</f>
        <v>43355.99861</v>
      </c>
      <c r="B2988" s="1">
        <f>IFERROR(__xludf.DUMMYFUNCTION("""COMPUTED_VALUE"""),3571.00419)</f>
        <v>3571.00419</v>
      </c>
    </row>
    <row r="2989">
      <c r="A2989" s="3">
        <f>IFERROR(__xludf.DUMMYFUNCTION("""COMPUTED_VALUE"""),43356.99861111111)</f>
        <v>43356.99861</v>
      </c>
      <c r="B2989" s="1">
        <f>IFERROR(__xludf.DUMMYFUNCTION("""COMPUTED_VALUE"""),3553.5192)</f>
        <v>3553.5192</v>
      </c>
    </row>
    <row r="2990">
      <c r="A2990" s="3">
        <f>IFERROR(__xludf.DUMMYFUNCTION("""COMPUTED_VALUE"""),43357.99861111111)</f>
        <v>43357.99861</v>
      </c>
      <c r="B2990" s="1">
        <f>IFERROR(__xludf.DUMMYFUNCTION("""COMPUTED_VALUE"""),3574.29349)</f>
        <v>3574.29349</v>
      </c>
    </row>
    <row r="2991">
      <c r="A2991" s="3">
        <f>IFERROR(__xludf.DUMMYFUNCTION("""COMPUTED_VALUE"""),43358.99861111111)</f>
        <v>43358.99861</v>
      </c>
      <c r="B2991" s="1">
        <f>IFERROR(__xludf.DUMMYFUNCTION("""COMPUTED_VALUE"""),3575.880079)</f>
        <v>3575.880079</v>
      </c>
    </row>
    <row r="2992">
      <c r="A2992" s="3">
        <f>IFERROR(__xludf.DUMMYFUNCTION("""COMPUTED_VALUE"""),43359.99861111111)</f>
        <v>43359.99861</v>
      </c>
      <c r="B2992" s="1">
        <f>IFERROR(__xludf.DUMMYFUNCTION("""COMPUTED_VALUE"""),3575.74243)</f>
        <v>3575.74243</v>
      </c>
    </row>
    <row r="2993">
      <c r="A2993" s="3">
        <f>IFERROR(__xludf.DUMMYFUNCTION("""COMPUTED_VALUE"""),43360.99861111111)</f>
        <v>43360.99861</v>
      </c>
      <c r="B2993" s="1">
        <f>IFERROR(__xludf.DUMMYFUNCTION("""COMPUTED_VALUE"""),3599.915579)</f>
        <v>3599.915579</v>
      </c>
    </row>
    <row r="2994">
      <c r="A2994" s="3">
        <f>IFERROR(__xludf.DUMMYFUNCTION("""COMPUTED_VALUE"""),43361.99861111111)</f>
        <v>43361.99861</v>
      </c>
      <c r="B2994" s="1">
        <f>IFERROR(__xludf.DUMMYFUNCTION("""COMPUTED_VALUE"""),3586.66375)</f>
        <v>3586.66375</v>
      </c>
    </row>
    <row r="2995">
      <c r="A2995" s="3">
        <f>IFERROR(__xludf.DUMMYFUNCTION("""COMPUTED_VALUE"""),43362.99861111111)</f>
        <v>43362.99861</v>
      </c>
      <c r="B2995" s="1">
        <f>IFERROR(__xludf.DUMMYFUNCTION("""COMPUTED_VALUE"""),3595.752)</f>
        <v>3595.752</v>
      </c>
    </row>
    <row r="2996">
      <c r="A2996" s="3">
        <f>IFERROR(__xludf.DUMMYFUNCTION("""COMPUTED_VALUE"""),43363.99861111111)</f>
        <v>43363.99861</v>
      </c>
      <c r="B2996" s="1">
        <f>IFERROR(__xludf.DUMMYFUNCTION("""COMPUTED_VALUE"""),3581.63136)</f>
        <v>3581.63136</v>
      </c>
    </row>
    <row r="2997">
      <c r="A2997" s="3">
        <f>IFERROR(__xludf.DUMMYFUNCTION("""COMPUTED_VALUE"""),43364.99861111111)</f>
        <v>43364.99861</v>
      </c>
      <c r="B2997" s="1">
        <f>IFERROR(__xludf.DUMMYFUNCTION("""COMPUTED_VALUE"""),3591.79045)</f>
        <v>3591.79045</v>
      </c>
    </row>
    <row r="2998">
      <c r="A2998" s="3">
        <f>IFERROR(__xludf.DUMMYFUNCTION("""COMPUTED_VALUE"""),43365.99861111111)</f>
        <v>43365.99861</v>
      </c>
      <c r="B2998" s="1">
        <f>IFERROR(__xludf.DUMMYFUNCTION("""COMPUTED_VALUE"""),3581.39348)</f>
        <v>3581.39348</v>
      </c>
    </row>
    <row r="2999">
      <c r="A2999" s="3">
        <f>IFERROR(__xludf.DUMMYFUNCTION("""COMPUTED_VALUE"""),43366.99861111111)</f>
        <v>43366.99861</v>
      </c>
      <c r="B2999" s="1">
        <f>IFERROR(__xludf.DUMMYFUNCTION("""COMPUTED_VALUE"""),3584.20776)</f>
        <v>3584.20776</v>
      </c>
    </row>
    <row r="3000">
      <c r="A3000" s="3">
        <f>IFERROR(__xludf.DUMMYFUNCTION("""COMPUTED_VALUE"""),43367.99861111111)</f>
        <v>43367.99861</v>
      </c>
      <c r="B3000" s="1">
        <f>IFERROR(__xludf.DUMMYFUNCTION("""COMPUTED_VALUE"""),3596.06478)</f>
        <v>3596.06478</v>
      </c>
    </row>
    <row r="3001">
      <c r="A3001" s="3">
        <f>IFERROR(__xludf.DUMMYFUNCTION("""COMPUTED_VALUE"""),43368.99861111111)</f>
        <v>43368.99861</v>
      </c>
      <c r="B3001" s="1">
        <f>IFERROR(__xludf.DUMMYFUNCTION("""COMPUTED_VALUE"""),3628.89397)</f>
        <v>3628.89397</v>
      </c>
    </row>
    <row r="3002">
      <c r="A3002" s="3">
        <f>IFERROR(__xludf.DUMMYFUNCTION("""COMPUTED_VALUE"""),43369.99861111111)</f>
        <v>43369.99861</v>
      </c>
      <c r="B3002" s="1">
        <f>IFERROR(__xludf.DUMMYFUNCTION("""COMPUTED_VALUE"""),3616.92945)</f>
        <v>3616.92945</v>
      </c>
    </row>
    <row r="3003">
      <c r="A3003" s="3">
        <f>IFERROR(__xludf.DUMMYFUNCTION("""COMPUTED_VALUE"""),43370.99861111111)</f>
        <v>43370.99861</v>
      </c>
      <c r="B3003" s="1">
        <f>IFERROR(__xludf.DUMMYFUNCTION("""COMPUTED_VALUE"""),3600.055628)</f>
        <v>3600.055628</v>
      </c>
    </row>
    <row r="3004">
      <c r="A3004" s="3">
        <f>IFERROR(__xludf.DUMMYFUNCTION("""COMPUTED_VALUE"""),43371.99861111111)</f>
        <v>43371.99861</v>
      </c>
      <c r="B3004" s="1">
        <f>IFERROR(__xludf.DUMMYFUNCTION("""COMPUTED_VALUE"""),3595.7861)</f>
        <v>3595.7861</v>
      </c>
    </row>
    <row r="3005">
      <c r="A3005" s="3">
        <f>IFERROR(__xludf.DUMMYFUNCTION("""COMPUTED_VALUE"""),43372.99861111111)</f>
        <v>43372.99861</v>
      </c>
      <c r="B3005" s="1">
        <f>IFERROR(__xludf.DUMMYFUNCTION("""COMPUTED_VALUE"""),3599.169374)</f>
        <v>3599.169374</v>
      </c>
    </row>
    <row r="3006">
      <c r="A3006" s="3">
        <f>IFERROR(__xludf.DUMMYFUNCTION("""COMPUTED_VALUE"""),43373.99861111111)</f>
        <v>43373.99861</v>
      </c>
      <c r="B3006" s="1">
        <f>IFERROR(__xludf.DUMMYFUNCTION("""COMPUTED_VALUE"""),3601.21732)</f>
        <v>3601.21732</v>
      </c>
    </row>
    <row r="3007">
      <c r="A3007" s="3">
        <f>IFERROR(__xludf.DUMMYFUNCTION("""COMPUTED_VALUE"""),43374.99861111111)</f>
        <v>43374.99861</v>
      </c>
      <c r="B3007" s="1">
        <f>IFERROR(__xludf.DUMMYFUNCTION("""COMPUTED_VALUE"""),3633.86662)</f>
        <v>3633.86662</v>
      </c>
    </row>
    <row r="3008">
      <c r="A3008" s="3">
        <f>IFERROR(__xludf.DUMMYFUNCTION("""COMPUTED_VALUE"""),43375.99861111111)</f>
        <v>43375.99861</v>
      </c>
      <c r="B3008" s="1">
        <f>IFERROR(__xludf.DUMMYFUNCTION("""COMPUTED_VALUE"""),3628.81978)</f>
        <v>3628.81978</v>
      </c>
    </row>
    <row r="3009">
      <c r="A3009" s="3">
        <f>IFERROR(__xludf.DUMMYFUNCTION("""COMPUTED_VALUE"""),43376.99861111111)</f>
        <v>43376.99861</v>
      </c>
      <c r="B3009" s="1">
        <f>IFERROR(__xludf.DUMMYFUNCTION("""COMPUTED_VALUE"""),3653.84592)</f>
        <v>3653.84592</v>
      </c>
    </row>
    <row r="3010">
      <c r="A3010" s="3">
        <f>IFERROR(__xludf.DUMMYFUNCTION("""COMPUTED_VALUE"""),43377.99861111111)</f>
        <v>43377.99861</v>
      </c>
      <c r="B3010" s="1">
        <f>IFERROR(__xludf.DUMMYFUNCTION("""COMPUTED_VALUE"""),3712.928544)</f>
        <v>3712.928544</v>
      </c>
    </row>
    <row r="3011">
      <c r="A3011" s="3">
        <f>IFERROR(__xludf.DUMMYFUNCTION("""COMPUTED_VALUE"""),43378.99861111111)</f>
        <v>43378.99861</v>
      </c>
      <c r="B3011" s="1">
        <f>IFERROR(__xludf.DUMMYFUNCTION("""COMPUTED_VALUE"""),3640.756425)</f>
        <v>3640.756425</v>
      </c>
    </row>
    <row r="3012">
      <c r="A3012" s="3">
        <f>IFERROR(__xludf.DUMMYFUNCTION("""COMPUTED_VALUE"""),43379.99861111111)</f>
        <v>43379.99861</v>
      </c>
      <c r="B3012" s="1">
        <f>IFERROR(__xludf.DUMMYFUNCTION("""COMPUTED_VALUE"""),3662.459984)</f>
        <v>3662.459984</v>
      </c>
    </row>
    <row r="3013">
      <c r="A3013" s="3">
        <f>IFERROR(__xludf.DUMMYFUNCTION("""COMPUTED_VALUE"""),43380.99861111111)</f>
        <v>43380.99861</v>
      </c>
      <c r="B3013" s="1">
        <f>IFERROR(__xludf.DUMMYFUNCTION("""COMPUTED_VALUE"""),3657.90684)</f>
        <v>3657.90684</v>
      </c>
    </row>
    <row r="3014">
      <c r="A3014" s="3">
        <f>IFERROR(__xludf.DUMMYFUNCTION("""COMPUTED_VALUE"""),43381.99861111111)</f>
        <v>43381.99861</v>
      </c>
      <c r="B3014" s="1">
        <f>IFERROR(__xludf.DUMMYFUNCTION("""COMPUTED_VALUE"""),3698.002)</f>
        <v>3698.002</v>
      </c>
    </row>
    <row r="3015">
      <c r="A3015" s="3">
        <f>IFERROR(__xludf.DUMMYFUNCTION("""COMPUTED_VALUE"""),43382.99861111111)</f>
        <v>43382.99861</v>
      </c>
      <c r="B3015" s="1">
        <f>IFERROR(__xludf.DUMMYFUNCTION("""COMPUTED_VALUE"""),3661.1315)</f>
        <v>3661.1315</v>
      </c>
    </row>
    <row r="3016">
      <c r="A3016" s="3">
        <f>IFERROR(__xludf.DUMMYFUNCTION("""COMPUTED_VALUE"""),43383.99861111111)</f>
        <v>43383.99861</v>
      </c>
      <c r="B3016" s="1">
        <f>IFERROR(__xludf.DUMMYFUNCTION("""COMPUTED_VALUE"""),3656.76544)</f>
        <v>3656.76544</v>
      </c>
    </row>
    <row r="3017">
      <c r="A3017" s="3">
        <f>IFERROR(__xludf.DUMMYFUNCTION("""COMPUTED_VALUE"""),43384.99861111111)</f>
        <v>43384.99861</v>
      </c>
      <c r="B3017" s="1">
        <f>IFERROR(__xludf.DUMMYFUNCTION("""COMPUTED_VALUE"""),3677.009728)</f>
        <v>3677.009728</v>
      </c>
    </row>
    <row r="3018">
      <c r="A3018" s="3">
        <f>IFERROR(__xludf.DUMMYFUNCTION("""COMPUTED_VALUE"""),43385.99861111111)</f>
        <v>43385.99861</v>
      </c>
      <c r="B3018" s="1">
        <f>IFERROR(__xludf.DUMMYFUNCTION("""COMPUTED_VALUE"""),3652.54276)</f>
        <v>3652.54276</v>
      </c>
    </row>
    <row r="3019">
      <c r="A3019" s="3">
        <f>IFERROR(__xludf.DUMMYFUNCTION("""COMPUTED_VALUE"""),43386.99861111111)</f>
        <v>43386.99861</v>
      </c>
      <c r="B3019" s="1">
        <f>IFERROR(__xludf.DUMMYFUNCTION("""COMPUTED_VALUE"""),3654.702988)</f>
        <v>3654.702988</v>
      </c>
    </row>
    <row r="3020">
      <c r="A3020" s="3">
        <f>IFERROR(__xludf.DUMMYFUNCTION("""COMPUTED_VALUE"""),43387.99861111111)</f>
        <v>43387.99861</v>
      </c>
      <c r="B3020" s="1">
        <f>IFERROR(__xludf.DUMMYFUNCTION("""COMPUTED_VALUE"""),3656.03088)</f>
        <v>3656.03088</v>
      </c>
    </row>
    <row r="3021">
      <c r="A3021" s="3">
        <f>IFERROR(__xludf.DUMMYFUNCTION("""COMPUTED_VALUE"""),43388.99861111111)</f>
        <v>43388.99861</v>
      </c>
      <c r="B3021" s="1">
        <f>IFERROR(__xludf.DUMMYFUNCTION("""COMPUTED_VALUE"""),3653.653086)</f>
        <v>3653.653086</v>
      </c>
    </row>
    <row r="3022">
      <c r="A3022" s="3">
        <f>IFERROR(__xludf.DUMMYFUNCTION("""COMPUTED_VALUE"""),43389.99861111111)</f>
        <v>43389.99861</v>
      </c>
      <c r="B3022" s="1">
        <f>IFERROR(__xludf.DUMMYFUNCTION("""COMPUTED_VALUE"""),3655.73966)</f>
        <v>3655.73966</v>
      </c>
    </row>
    <row r="3023">
      <c r="A3023" s="3">
        <f>IFERROR(__xludf.DUMMYFUNCTION("""COMPUTED_VALUE"""),43390.99861111111)</f>
        <v>43390.99861</v>
      </c>
      <c r="B3023" s="1">
        <f>IFERROR(__xludf.DUMMYFUNCTION("""COMPUTED_VALUE"""),3668.621862)</f>
        <v>3668.621862</v>
      </c>
    </row>
    <row r="3024">
      <c r="A3024" s="3">
        <f>IFERROR(__xludf.DUMMYFUNCTION("""COMPUTED_VALUE"""),43391.99861111111)</f>
        <v>43391.99861</v>
      </c>
      <c r="B3024" s="1">
        <f>IFERROR(__xludf.DUMMYFUNCTION("""COMPUTED_VALUE"""),3677.00058)</f>
        <v>3677.00058</v>
      </c>
    </row>
    <row r="3025">
      <c r="A3025" s="3">
        <f>IFERROR(__xludf.DUMMYFUNCTION("""COMPUTED_VALUE"""),43392.99861111111)</f>
        <v>43392.99861</v>
      </c>
      <c r="B3025" s="1">
        <f>IFERROR(__xludf.DUMMYFUNCTION("""COMPUTED_VALUE"""),3646.62174)</f>
        <v>3646.62174</v>
      </c>
    </row>
    <row r="3026">
      <c r="A3026" s="3">
        <f>IFERROR(__xludf.DUMMYFUNCTION("""COMPUTED_VALUE"""),43393.99861111111)</f>
        <v>43393.99861</v>
      </c>
      <c r="B3026" s="1">
        <f>IFERROR(__xludf.DUMMYFUNCTION("""COMPUTED_VALUE"""),3643.362458)</f>
        <v>3643.362458</v>
      </c>
    </row>
    <row r="3027">
      <c r="A3027" s="3">
        <f>IFERROR(__xludf.DUMMYFUNCTION("""COMPUTED_VALUE"""),43394.99861111111)</f>
        <v>43394.99861</v>
      </c>
      <c r="B3027" s="1">
        <f>IFERROR(__xludf.DUMMYFUNCTION("""COMPUTED_VALUE"""),3647.9943)</f>
        <v>3647.9943</v>
      </c>
    </row>
    <row r="3028">
      <c r="A3028" s="3">
        <f>IFERROR(__xludf.DUMMYFUNCTION("""COMPUTED_VALUE"""),43395.99861111111)</f>
        <v>43395.99861</v>
      </c>
      <c r="B3028" s="1">
        <f>IFERROR(__xludf.DUMMYFUNCTION("""COMPUTED_VALUE"""),3667.649469)</f>
        <v>3667.649469</v>
      </c>
    </row>
    <row r="3029">
      <c r="A3029" s="3">
        <f>IFERROR(__xludf.DUMMYFUNCTION("""COMPUTED_VALUE"""),43396.99861111111)</f>
        <v>43396.99861</v>
      </c>
      <c r="B3029" s="1">
        <f>IFERROR(__xludf.DUMMYFUNCTION("""COMPUTED_VALUE"""),3644.67915)</f>
        <v>3644.67915</v>
      </c>
    </row>
    <row r="3030">
      <c r="A3030" s="3">
        <f>IFERROR(__xludf.DUMMYFUNCTION("""COMPUTED_VALUE"""),43397.99861111111)</f>
        <v>43397.99861</v>
      </c>
      <c r="B3030" s="1">
        <f>IFERROR(__xludf.DUMMYFUNCTION("""COMPUTED_VALUE"""),3662.23688)</f>
        <v>3662.23688</v>
      </c>
    </row>
    <row r="3031">
      <c r="A3031" s="3">
        <f>IFERROR(__xludf.DUMMYFUNCTION("""COMPUTED_VALUE"""),43398.99861111111)</f>
        <v>43398.99861</v>
      </c>
      <c r="B3031" s="1">
        <f>IFERROR(__xludf.DUMMYFUNCTION("""COMPUTED_VALUE"""),3657.17481)</f>
        <v>3657.17481</v>
      </c>
    </row>
    <row r="3032">
      <c r="A3032" s="3">
        <f>IFERROR(__xludf.DUMMYFUNCTION("""COMPUTED_VALUE"""),43399.99861111111)</f>
        <v>43399.99861</v>
      </c>
      <c r="B3032" s="1">
        <f>IFERROR(__xludf.DUMMYFUNCTION("""COMPUTED_VALUE"""),3636.325828)</f>
        <v>3636.325828</v>
      </c>
    </row>
    <row r="3033">
      <c r="A3033" s="3">
        <f>IFERROR(__xludf.DUMMYFUNCTION("""COMPUTED_VALUE"""),43400.99861111111)</f>
        <v>43400.99861</v>
      </c>
      <c r="B3033" s="1">
        <f>IFERROR(__xludf.DUMMYFUNCTION("""COMPUTED_VALUE"""),3640.9698)</f>
        <v>3640.9698</v>
      </c>
    </row>
    <row r="3034">
      <c r="A3034" s="3">
        <f>IFERROR(__xludf.DUMMYFUNCTION("""COMPUTED_VALUE"""),43401.99861111111)</f>
        <v>43401.99861</v>
      </c>
      <c r="B3034" s="1">
        <f>IFERROR(__xludf.DUMMYFUNCTION("""COMPUTED_VALUE"""),3640.5135)</f>
        <v>3640.5135</v>
      </c>
    </row>
    <row r="3035">
      <c r="A3035" s="3">
        <f>IFERROR(__xludf.DUMMYFUNCTION("""COMPUTED_VALUE"""),43402.99861111111)</f>
        <v>43402.99861</v>
      </c>
      <c r="B3035" s="1">
        <f>IFERROR(__xludf.DUMMYFUNCTION("""COMPUTED_VALUE"""),3658.009936)</f>
        <v>3658.009936</v>
      </c>
    </row>
    <row r="3036">
      <c r="A3036" s="3">
        <f>IFERROR(__xludf.DUMMYFUNCTION("""COMPUTED_VALUE"""),43403.99861111111)</f>
        <v>43403.99861</v>
      </c>
      <c r="B3036" s="1">
        <f>IFERROR(__xludf.DUMMYFUNCTION("""COMPUTED_VALUE"""),3649.507245)</f>
        <v>3649.507245</v>
      </c>
    </row>
    <row r="3037">
      <c r="A3037" s="3">
        <f>IFERROR(__xludf.DUMMYFUNCTION("""COMPUTED_VALUE"""),43404.99861111111)</f>
        <v>43404.99861</v>
      </c>
      <c r="B3037" s="1">
        <f>IFERROR(__xludf.DUMMYFUNCTION("""COMPUTED_VALUE"""),3629.26068)</f>
        <v>3629.26068</v>
      </c>
    </row>
    <row r="3038">
      <c r="A3038" s="3">
        <f>IFERROR(__xludf.DUMMYFUNCTION("""COMPUTED_VALUE"""),43405.99861111111)</f>
        <v>43405.99861</v>
      </c>
      <c r="B3038" s="1">
        <f>IFERROR(__xludf.DUMMYFUNCTION("""COMPUTED_VALUE"""),3603.679605)</f>
        <v>3603.679605</v>
      </c>
    </row>
    <row r="3039">
      <c r="A3039" s="3">
        <f>IFERROR(__xludf.DUMMYFUNCTION("""COMPUTED_VALUE"""),43406.99861111111)</f>
        <v>43406.99861</v>
      </c>
      <c r="B3039" s="1">
        <f>IFERROR(__xludf.DUMMYFUNCTION("""COMPUTED_VALUE"""),3588.5346)</f>
        <v>3588.5346</v>
      </c>
    </row>
    <row r="3040">
      <c r="A3040" s="3">
        <f>IFERROR(__xludf.DUMMYFUNCTION("""COMPUTED_VALUE"""),43407.99861111111)</f>
        <v>43407.99861</v>
      </c>
      <c r="B3040" s="1">
        <f>IFERROR(__xludf.DUMMYFUNCTION("""COMPUTED_VALUE"""),3592.481844)</f>
        <v>3592.481844</v>
      </c>
    </row>
    <row r="3041">
      <c r="A3041" s="3">
        <f>IFERROR(__xludf.DUMMYFUNCTION("""COMPUTED_VALUE"""),43408.99861111111)</f>
        <v>43408.99861</v>
      </c>
      <c r="B3041" s="1">
        <f>IFERROR(__xludf.DUMMYFUNCTION("""COMPUTED_VALUE"""),3588.5346)</f>
        <v>3588.5346</v>
      </c>
    </row>
    <row r="3042">
      <c r="A3042" s="3">
        <f>IFERROR(__xludf.DUMMYFUNCTION("""COMPUTED_VALUE"""),43409.99861111111)</f>
        <v>43409.99861</v>
      </c>
      <c r="B3042" s="1">
        <f>IFERROR(__xludf.DUMMYFUNCTION("""COMPUTED_VALUE"""),3571.48496)</f>
        <v>3571.48496</v>
      </c>
    </row>
    <row r="3043">
      <c r="A3043" s="3">
        <f>IFERROR(__xludf.DUMMYFUNCTION("""COMPUTED_VALUE"""),43410.99861111111)</f>
        <v>43410.99861</v>
      </c>
      <c r="B3043" s="1">
        <f>IFERROR(__xludf.DUMMYFUNCTION("""COMPUTED_VALUE"""),3557.5687)</f>
        <v>3557.5687</v>
      </c>
    </row>
    <row r="3044">
      <c r="A3044" s="3">
        <f>IFERROR(__xludf.DUMMYFUNCTION("""COMPUTED_VALUE"""),43411.99861111111)</f>
        <v>43411.99861</v>
      </c>
      <c r="B3044" s="1">
        <f>IFERROR(__xludf.DUMMYFUNCTION("""COMPUTED_VALUE"""),3514.393197)</f>
        <v>3514.393197</v>
      </c>
    </row>
    <row r="3045">
      <c r="A3045" s="3">
        <f>IFERROR(__xludf.DUMMYFUNCTION("""COMPUTED_VALUE"""),43412.99861111111)</f>
        <v>43412.99861</v>
      </c>
      <c r="B3045" s="1">
        <f>IFERROR(__xludf.DUMMYFUNCTION("""COMPUTED_VALUE"""),3532.5056)</f>
        <v>3532.5056</v>
      </c>
    </row>
    <row r="3046">
      <c r="A3046" s="3">
        <f>IFERROR(__xludf.DUMMYFUNCTION("""COMPUTED_VALUE"""),43413.99861111111)</f>
        <v>43413.99861</v>
      </c>
      <c r="B3046" s="1">
        <f>IFERROR(__xludf.DUMMYFUNCTION("""COMPUTED_VALUE"""),3505.98708)</f>
        <v>3505.98708</v>
      </c>
    </row>
    <row r="3047">
      <c r="A3047" s="3">
        <f>IFERROR(__xludf.DUMMYFUNCTION("""COMPUTED_VALUE"""),43414.99861111111)</f>
        <v>43414.99861</v>
      </c>
      <c r="B3047" s="1">
        <f>IFERROR(__xludf.DUMMYFUNCTION("""COMPUTED_VALUE"""),3505.98708)</f>
        <v>3505.98708</v>
      </c>
    </row>
    <row r="3048">
      <c r="A3048" s="3">
        <f>IFERROR(__xludf.DUMMYFUNCTION("""COMPUTED_VALUE"""),43415.99861111111)</f>
        <v>43415.99861</v>
      </c>
      <c r="B3048" s="1">
        <f>IFERROR(__xludf.DUMMYFUNCTION("""COMPUTED_VALUE"""),3510.68404)</f>
        <v>3510.68404</v>
      </c>
    </row>
    <row r="3049">
      <c r="A3049" s="3">
        <f>IFERROR(__xludf.DUMMYFUNCTION("""COMPUTED_VALUE"""),43416.99861111111)</f>
        <v>43416.99861</v>
      </c>
      <c r="B3049" s="1">
        <f>IFERROR(__xludf.DUMMYFUNCTION("""COMPUTED_VALUE"""),3537.03888)</f>
        <v>3537.03888</v>
      </c>
    </row>
    <row r="3050">
      <c r="A3050" s="3">
        <f>IFERROR(__xludf.DUMMYFUNCTION("""COMPUTED_VALUE"""),43417.99861111111)</f>
        <v>43417.99861</v>
      </c>
      <c r="B3050" s="1">
        <f>IFERROR(__xludf.DUMMYFUNCTION("""COMPUTED_VALUE"""),3525.333747)</f>
        <v>3525.333747</v>
      </c>
    </row>
    <row r="3051">
      <c r="A3051" s="3">
        <f>IFERROR(__xludf.DUMMYFUNCTION("""COMPUTED_VALUE"""),43418.99861111111)</f>
        <v>43418.99861</v>
      </c>
      <c r="B3051" s="1">
        <f>IFERROR(__xludf.DUMMYFUNCTION("""COMPUTED_VALUE"""),3527.787395)</f>
        <v>3527.787395</v>
      </c>
    </row>
    <row r="3052">
      <c r="A3052" s="3">
        <f>IFERROR(__xludf.DUMMYFUNCTION("""COMPUTED_VALUE"""),43419.99861111111)</f>
        <v>43419.99861</v>
      </c>
      <c r="B3052" s="1">
        <f>IFERROR(__xludf.DUMMYFUNCTION("""COMPUTED_VALUE"""),3471.774102)</f>
        <v>3471.774102</v>
      </c>
    </row>
    <row r="3053">
      <c r="A3053" s="3">
        <f>IFERROR(__xludf.DUMMYFUNCTION("""COMPUTED_VALUE"""),43420.99861111111)</f>
        <v>43420.99861</v>
      </c>
      <c r="B3053" s="1">
        <f>IFERROR(__xludf.DUMMYFUNCTION("""COMPUTED_VALUE"""),3485.48325)</f>
        <v>3485.48325</v>
      </c>
    </row>
    <row r="3054">
      <c r="A3054" s="3">
        <f>IFERROR(__xludf.DUMMYFUNCTION("""COMPUTED_VALUE"""),43421.99861111111)</f>
        <v>43421.99861</v>
      </c>
      <c r="B3054" s="1">
        <f>IFERROR(__xludf.DUMMYFUNCTION("""COMPUTED_VALUE"""),3485.48325)</f>
        <v>3485.48325</v>
      </c>
    </row>
    <row r="3055">
      <c r="A3055" s="3">
        <f>IFERROR(__xludf.DUMMYFUNCTION("""COMPUTED_VALUE"""),43422.99861111111)</f>
        <v>43422.99861</v>
      </c>
      <c r="B3055" s="1">
        <f>IFERROR(__xludf.DUMMYFUNCTION("""COMPUTED_VALUE"""),3481.5399)</f>
        <v>3481.5399</v>
      </c>
    </row>
    <row r="3056">
      <c r="A3056" s="3">
        <f>IFERROR(__xludf.DUMMYFUNCTION("""COMPUTED_VALUE"""),43423.99861111111)</f>
        <v>43423.99861</v>
      </c>
      <c r="B3056" s="1">
        <f>IFERROR(__xludf.DUMMYFUNCTION("""COMPUTED_VALUE"""),3495.401585)</f>
        <v>3495.401585</v>
      </c>
    </row>
    <row r="3057">
      <c r="A3057" s="3">
        <f>IFERROR(__xludf.DUMMYFUNCTION("""COMPUTED_VALUE"""),43424.99861111111)</f>
        <v>43424.99861</v>
      </c>
      <c r="B3057" s="1">
        <f>IFERROR(__xludf.DUMMYFUNCTION("""COMPUTED_VALUE"""),3496.848978)</f>
        <v>3496.848978</v>
      </c>
    </row>
    <row r="3058">
      <c r="A3058" s="3">
        <f>IFERROR(__xludf.DUMMYFUNCTION("""COMPUTED_VALUE"""),43425.99861111111)</f>
        <v>43425.99861</v>
      </c>
      <c r="B3058" s="1">
        <f>IFERROR(__xludf.DUMMYFUNCTION("""COMPUTED_VALUE"""),3499.9349)</f>
        <v>3499.9349</v>
      </c>
    </row>
    <row r="3059">
      <c r="A3059" s="3">
        <f>IFERROR(__xludf.DUMMYFUNCTION("""COMPUTED_VALUE"""),43426.99861111111)</f>
        <v>43426.99861</v>
      </c>
      <c r="B3059" s="1">
        <f>IFERROR(__xludf.DUMMYFUNCTION("""COMPUTED_VALUE"""),3477.428)</f>
        <v>3477.428</v>
      </c>
    </row>
    <row r="3060">
      <c r="A3060" s="3">
        <f>IFERROR(__xludf.DUMMYFUNCTION("""COMPUTED_VALUE"""),43427.99861111111)</f>
        <v>43427.99861</v>
      </c>
      <c r="B3060" s="1">
        <f>IFERROR(__xludf.DUMMYFUNCTION("""COMPUTED_VALUE"""),3460.3073)</f>
        <v>3460.3073</v>
      </c>
    </row>
    <row r="3061">
      <c r="A3061" s="3">
        <f>IFERROR(__xludf.DUMMYFUNCTION("""COMPUTED_VALUE"""),43428.99861111111)</f>
        <v>43428.99861</v>
      </c>
      <c r="B3061" s="1">
        <f>IFERROR(__xludf.DUMMYFUNCTION("""COMPUTED_VALUE"""),3463.624033)</f>
        <v>3463.624033</v>
      </c>
    </row>
    <row r="3062">
      <c r="A3062" s="3">
        <f>IFERROR(__xludf.DUMMYFUNCTION("""COMPUTED_VALUE"""),43429.99861111111)</f>
        <v>43429.99861</v>
      </c>
      <c r="B3062" s="1">
        <f>IFERROR(__xludf.DUMMYFUNCTION("""COMPUTED_VALUE"""),3463.06857)</f>
        <v>3463.06857</v>
      </c>
    </row>
    <row r="3063">
      <c r="A3063" s="3">
        <f>IFERROR(__xludf.DUMMYFUNCTION("""COMPUTED_VALUE"""),43430.99861111111)</f>
        <v>43430.99861</v>
      </c>
      <c r="B3063" s="1">
        <f>IFERROR(__xludf.DUMMYFUNCTION("""COMPUTED_VALUE"""),3466.699416)</f>
        <v>3466.699416</v>
      </c>
    </row>
    <row r="3064">
      <c r="A3064" s="3">
        <f>IFERROR(__xludf.DUMMYFUNCTION("""COMPUTED_VALUE"""),43431.99861111111)</f>
        <v>43431.99861</v>
      </c>
      <c r="B3064" s="1">
        <f>IFERROR(__xludf.DUMMYFUNCTION("""COMPUTED_VALUE"""),3476.110995)</f>
        <v>3476.110995</v>
      </c>
    </row>
    <row r="3065">
      <c r="A3065" s="3">
        <f>IFERROR(__xludf.DUMMYFUNCTION("""COMPUTED_VALUE"""),43432.99861111111)</f>
        <v>43432.99861</v>
      </c>
      <c r="B3065" s="1">
        <f>IFERROR(__xludf.DUMMYFUNCTION("""COMPUTED_VALUE"""),3440.70941)</f>
        <v>3440.70941</v>
      </c>
    </row>
    <row r="3066">
      <c r="A3066" s="3">
        <f>IFERROR(__xludf.DUMMYFUNCTION("""COMPUTED_VALUE"""),43433.99861111111)</f>
        <v>43433.99861</v>
      </c>
      <c r="B3066" s="1">
        <f>IFERROR(__xludf.DUMMYFUNCTION("""COMPUTED_VALUE"""),3428.9306)</f>
        <v>3428.9306</v>
      </c>
    </row>
    <row r="3067">
      <c r="A3067" s="3">
        <f>IFERROR(__xludf.DUMMYFUNCTION("""COMPUTED_VALUE"""),43434.99861111111)</f>
        <v>43434.99861</v>
      </c>
      <c r="B3067" s="1">
        <f>IFERROR(__xludf.DUMMYFUNCTION("""COMPUTED_VALUE"""),3424.03155)</f>
        <v>3424.03155</v>
      </c>
    </row>
    <row r="3068">
      <c r="A3068" s="3">
        <f>IFERROR(__xludf.DUMMYFUNCTION("""COMPUTED_VALUE"""),43435.99861111111)</f>
        <v>43435.99861</v>
      </c>
      <c r="B3068" s="1">
        <f>IFERROR(__xludf.DUMMYFUNCTION("""COMPUTED_VALUE"""),3441.227622)</f>
        <v>3441.227622</v>
      </c>
    </row>
    <row r="3069">
      <c r="A3069" s="3">
        <f>IFERROR(__xludf.DUMMYFUNCTION("""COMPUTED_VALUE"""),43436.99861111111)</f>
        <v>43436.99861</v>
      </c>
      <c r="B3069" s="1">
        <f>IFERROR(__xludf.DUMMYFUNCTION("""COMPUTED_VALUE"""),3416.0292)</f>
        <v>3416.0292</v>
      </c>
    </row>
    <row r="3070">
      <c r="A3070" s="3">
        <f>IFERROR(__xludf.DUMMYFUNCTION("""COMPUTED_VALUE"""),43437.99861111111)</f>
        <v>43437.99861</v>
      </c>
      <c r="B3070" s="1">
        <f>IFERROR(__xludf.DUMMYFUNCTION("""COMPUTED_VALUE"""),3416.55)</f>
        <v>3416.55</v>
      </c>
    </row>
    <row r="3071">
      <c r="A3071" s="3">
        <f>IFERROR(__xludf.DUMMYFUNCTION("""COMPUTED_VALUE"""),43438.99861111111)</f>
        <v>43438.99861</v>
      </c>
      <c r="B3071" s="1">
        <f>IFERROR(__xludf.DUMMYFUNCTION("""COMPUTED_VALUE"""),3474.35)</f>
        <v>3474.35</v>
      </c>
    </row>
    <row r="3072">
      <c r="A3072" s="3">
        <f>IFERROR(__xludf.DUMMYFUNCTION("""COMPUTED_VALUE"""),43439.99861111111)</f>
        <v>43439.99861</v>
      </c>
      <c r="B3072" s="1">
        <f>IFERROR(__xludf.DUMMYFUNCTION("""COMPUTED_VALUE"""),3428.1)</f>
        <v>3428.1</v>
      </c>
    </row>
    <row r="3073">
      <c r="A3073" s="3">
        <f>IFERROR(__xludf.DUMMYFUNCTION("""COMPUTED_VALUE"""),43440.99861111111)</f>
        <v>43440.99861</v>
      </c>
      <c r="B3073" s="1">
        <f>IFERROR(__xludf.DUMMYFUNCTION("""COMPUTED_VALUE"""),3486.65)</f>
        <v>3486.65</v>
      </c>
    </row>
    <row r="3074">
      <c r="A3074" s="3">
        <f>IFERROR(__xludf.DUMMYFUNCTION("""COMPUTED_VALUE"""),43441.99861111111)</f>
        <v>43441.99861</v>
      </c>
      <c r="B3074" s="1">
        <f>IFERROR(__xludf.DUMMYFUNCTION("""COMPUTED_VALUE"""),3476.75)</f>
        <v>3476.75</v>
      </c>
    </row>
    <row r="3075">
      <c r="A3075" s="3">
        <f>IFERROR(__xludf.DUMMYFUNCTION("""COMPUTED_VALUE"""),43442.99861111111)</f>
        <v>43442.99861</v>
      </c>
      <c r="B3075" s="1">
        <f>IFERROR(__xludf.DUMMYFUNCTION("""COMPUTED_VALUE"""),3476.75)</f>
        <v>3476.75</v>
      </c>
    </row>
    <row r="3076">
      <c r="A3076" s="3">
        <f>IFERROR(__xludf.DUMMYFUNCTION("""COMPUTED_VALUE"""),43443.99861111111)</f>
        <v>43443.99861</v>
      </c>
      <c r="B3076" s="1">
        <f>IFERROR(__xludf.DUMMYFUNCTION("""COMPUTED_VALUE"""),3476.75)</f>
        <v>3476.75</v>
      </c>
    </row>
    <row r="3077">
      <c r="A3077" s="3">
        <f>IFERROR(__xludf.DUMMYFUNCTION("""COMPUTED_VALUE"""),43444.99861111111)</f>
        <v>43444.99861</v>
      </c>
      <c r="B3077" s="1">
        <f>IFERROR(__xludf.DUMMYFUNCTION("""COMPUTED_VALUE"""),3485.05)</f>
        <v>3485.05</v>
      </c>
    </row>
    <row r="3078">
      <c r="A3078" s="3">
        <f>IFERROR(__xludf.DUMMYFUNCTION("""COMPUTED_VALUE"""),43445.99861111111)</f>
        <v>43445.99861</v>
      </c>
      <c r="B3078" s="1">
        <f>IFERROR(__xludf.DUMMYFUNCTION("""COMPUTED_VALUE"""),3487.15)</f>
        <v>3487.15</v>
      </c>
    </row>
    <row r="3079">
      <c r="A3079" s="3">
        <f>IFERROR(__xludf.DUMMYFUNCTION("""COMPUTED_VALUE"""),43446.99861111111)</f>
        <v>43446.99861</v>
      </c>
      <c r="B3079" s="1">
        <f>IFERROR(__xludf.DUMMYFUNCTION("""COMPUTED_VALUE"""),3482.25)</f>
        <v>3482.25</v>
      </c>
    </row>
    <row r="3080">
      <c r="A3080" s="3">
        <f>IFERROR(__xludf.DUMMYFUNCTION("""COMPUTED_VALUE"""),43447.99861111111)</f>
        <v>43447.99861</v>
      </c>
      <c r="B3080" s="1">
        <f>IFERROR(__xludf.DUMMYFUNCTION("""COMPUTED_VALUE"""),3490.25)</f>
        <v>3490.25</v>
      </c>
    </row>
    <row r="3081">
      <c r="A3081" s="3">
        <f>IFERROR(__xludf.DUMMYFUNCTION("""COMPUTED_VALUE"""),43448.99861111111)</f>
        <v>43448.99861</v>
      </c>
      <c r="B3081" s="1">
        <f>IFERROR(__xludf.DUMMYFUNCTION("""COMPUTED_VALUE"""),3481.55)</f>
        <v>3481.55</v>
      </c>
    </row>
    <row r="3082">
      <c r="A3082" s="3">
        <f>IFERROR(__xludf.DUMMYFUNCTION("""COMPUTED_VALUE"""),43449.99861111111)</f>
        <v>43449.99861</v>
      </c>
      <c r="B3082" s="1">
        <f>IFERROR(__xludf.DUMMYFUNCTION("""COMPUTED_VALUE"""),3481.55)</f>
        <v>3481.55</v>
      </c>
    </row>
    <row r="3083">
      <c r="A3083" s="3">
        <f>IFERROR(__xludf.DUMMYFUNCTION("""COMPUTED_VALUE"""),43450.99861111111)</f>
        <v>43450.99861</v>
      </c>
      <c r="B3083" s="1">
        <f>IFERROR(__xludf.DUMMYFUNCTION("""COMPUTED_VALUE"""),3481.55)</f>
        <v>3481.55</v>
      </c>
    </row>
    <row r="3084">
      <c r="A3084" s="3">
        <f>IFERROR(__xludf.DUMMYFUNCTION("""COMPUTED_VALUE"""),43451.99861111111)</f>
        <v>43451.99861</v>
      </c>
      <c r="B3084" s="1">
        <f>IFERROR(__xludf.DUMMYFUNCTION("""COMPUTED_VALUE"""),3499.55)</f>
        <v>3499.55</v>
      </c>
    </row>
    <row r="3085">
      <c r="A3085" s="3">
        <f>IFERROR(__xludf.DUMMYFUNCTION("""COMPUTED_VALUE"""),43452.99861111111)</f>
        <v>43452.99861</v>
      </c>
      <c r="B3085" s="1">
        <f>IFERROR(__xludf.DUMMYFUNCTION("""COMPUTED_VALUE"""),3457.0)</f>
        <v>3457</v>
      </c>
    </row>
    <row r="3086">
      <c r="A3086" s="3">
        <f>IFERROR(__xludf.DUMMYFUNCTION("""COMPUTED_VALUE"""),43453.99861111111)</f>
        <v>43453.99861</v>
      </c>
      <c r="B3086" s="1">
        <f>IFERROR(__xludf.DUMMYFUNCTION("""COMPUTED_VALUE"""),3455.35)</f>
        <v>3455.35</v>
      </c>
    </row>
    <row r="3087">
      <c r="A3087" s="3">
        <f>IFERROR(__xludf.DUMMYFUNCTION("""COMPUTED_VALUE"""),43454.99861111111)</f>
        <v>43454.99861</v>
      </c>
      <c r="B3087" s="1">
        <f>IFERROR(__xludf.DUMMYFUNCTION("""COMPUTED_VALUE"""),3447.45)</f>
        <v>3447.45</v>
      </c>
    </row>
    <row r="3088">
      <c r="A3088" s="3">
        <f>IFERROR(__xludf.DUMMYFUNCTION("""COMPUTED_VALUE"""),43455.99861111111)</f>
        <v>43455.99861</v>
      </c>
      <c r="B3088" s="1">
        <f>IFERROR(__xludf.DUMMYFUNCTION("""COMPUTED_VALUE"""),3480.95)</f>
        <v>3480.95</v>
      </c>
    </row>
    <row r="3089">
      <c r="A3089" s="3">
        <f>IFERROR(__xludf.DUMMYFUNCTION("""COMPUTED_VALUE"""),43456.99861111111)</f>
        <v>43456.99861</v>
      </c>
      <c r="B3089" s="1">
        <f>IFERROR(__xludf.DUMMYFUNCTION("""COMPUTED_VALUE"""),3480.95)</f>
        <v>3480.95</v>
      </c>
    </row>
    <row r="3090">
      <c r="A3090" s="3">
        <f>IFERROR(__xludf.DUMMYFUNCTION("""COMPUTED_VALUE"""),43457.99861111111)</f>
        <v>43457.99861</v>
      </c>
      <c r="B3090" s="1">
        <f>IFERROR(__xludf.DUMMYFUNCTION("""COMPUTED_VALUE"""),3480.95)</f>
        <v>3480.95</v>
      </c>
    </row>
    <row r="3091">
      <c r="A3091" s="3">
        <f>IFERROR(__xludf.DUMMYFUNCTION("""COMPUTED_VALUE"""),43458.99861111111)</f>
        <v>43458.99861</v>
      </c>
      <c r="B3091" s="1">
        <f>IFERROR(__xludf.DUMMYFUNCTION("""COMPUTED_VALUE"""),3479.85)</f>
        <v>3479.85</v>
      </c>
    </row>
    <row r="3092">
      <c r="A3092" s="3">
        <f>IFERROR(__xludf.DUMMYFUNCTION("""COMPUTED_VALUE"""),43459.99861111111)</f>
        <v>43459.99861</v>
      </c>
      <c r="B3092" s="1">
        <f>IFERROR(__xludf.DUMMYFUNCTION("""COMPUTED_VALUE"""),3483.25)</f>
        <v>3483.25</v>
      </c>
    </row>
    <row r="3093">
      <c r="A3093" s="3">
        <f>IFERROR(__xludf.DUMMYFUNCTION("""COMPUTED_VALUE"""),43460.99861111111)</f>
        <v>43460.99861</v>
      </c>
      <c r="B3093" s="1">
        <f>IFERROR(__xludf.DUMMYFUNCTION("""COMPUTED_VALUE"""),3470.1)</f>
        <v>3470.1</v>
      </c>
    </row>
    <row r="3094">
      <c r="A3094" s="3">
        <f>IFERROR(__xludf.DUMMYFUNCTION("""COMPUTED_VALUE"""),43461.99861111111)</f>
        <v>43461.99861</v>
      </c>
      <c r="B3094" s="1">
        <f>IFERROR(__xludf.DUMMYFUNCTION("""COMPUTED_VALUE"""),3502.15)</f>
        <v>3502.15</v>
      </c>
    </row>
    <row r="3095">
      <c r="A3095" s="3">
        <f>IFERROR(__xludf.DUMMYFUNCTION("""COMPUTED_VALUE"""),43462.99861111111)</f>
        <v>43462.99861</v>
      </c>
      <c r="B3095" s="1">
        <f>IFERROR(__xludf.DUMMYFUNCTION("""COMPUTED_VALUE"""),3503.25)</f>
        <v>3503.25</v>
      </c>
    </row>
    <row r="3096">
      <c r="A3096" s="3">
        <f>IFERROR(__xludf.DUMMYFUNCTION("""COMPUTED_VALUE"""),43463.99861111111)</f>
        <v>43463.99861</v>
      </c>
      <c r="B3096" s="1">
        <f>IFERROR(__xludf.DUMMYFUNCTION("""COMPUTED_VALUE"""),3503.25)</f>
        <v>3503.25</v>
      </c>
    </row>
    <row r="3097">
      <c r="A3097" s="3">
        <f>IFERROR(__xludf.DUMMYFUNCTION("""COMPUTED_VALUE"""),43464.99861111111)</f>
        <v>43464.99861</v>
      </c>
      <c r="B3097" s="1">
        <f>IFERROR(__xludf.DUMMYFUNCTION("""COMPUTED_VALUE"""),3503.25)</f>
        <v>3503.25</v>
      </c>
    </row>
    <row r="3098">
      <c r="A3098" s="3">
        <f>IFERROR(__xludf.DUMMYFUNCTION("""COMPUTED_VALUE"""),43465.99861111111)</f>
        <v>43465.99861</v>
      </c>
      <c r="B3098" s="1">
        <f>IFERROR(__xludf.DUMMYFUNCTION("""COMPUTED_VALUE"""),3498.3)</f>
        <v>3498.3</v>
      </c>
    </row>
    <row r="3099">
      <c r="A3099" s="3">
        <f>IFERROR(__xludf.DUMMYFUNCTION("""COMPUTED_VALUE"""),43466.99861111111)</f>
        <v>43466.99861</v>
      </c>
      <c r="B3099" s="1">
        <f>IFERROR(__xludf.DUMMYFUNCTION("""COMPUTED_VALUE"""),3448.45)</f>
        <v>3448.45</v>
      </c>
    </row>
    <row r="3100">
      <c r="A3100" s="3">
        <f>IFERROR(__xludf.DUMMYFUNCTION("""COMPUTED_VALUE"""),43467.99861111111)</f>
        <v>43467.99861</v>
      </c>
      <c r="B3100" s="1">
        <f>IFERROR(__xludf.DUMMYFUNCTION("""COMPUTED_VALUE"""),3479.75)</f>
        <v>3479.75</v>
      </c>
    </row>
    <row r="3101">
      <c r="A3101" s="3">
        <f>IFERROR(__xludf.DUMMYFUNCTION("""COMPUTED_VALUE"""),43468.99861111111)</f>
        <v>43468.99861</v>
      </c>
      <c r="B3101" s="1">
        <f>IFERROR(__xludf.DUMMYFUNCTION("""COMPUTED_VALUE"""),3475.15)</f>
        <v>3475.15</v>
      </c>
    </row>
    <row r="3102">
      <c r="A3102" s="3">
        <f>IFERROR(__xludf.DUMMYFUNCTION("""COMPUTED_VALUE"""),43469.99861111111)</f>
        <v>43469.99861</v>
      </c>
      <c r="B3102" s="1">
        <f>IFERROR(__xludf.DUMMYFUNCTION("""COMPUTED_VALUE"""),3475.4)</f>
        <v>3475.4</v>
      </c>
    </row>
    <row r="3103">
      <c r="A3103" s="3">
        <f>IFERROR(__xludf.DUMMYFUNCTION("""COMPUTED_VALUE"""),43470.99861111111)</f>
        <v>43470.99861</v>
      </c>
      <c r="B3103" s="1">
        <f>IFERROR(__xludf.DUMMYFUNCTION("""COMPUTED_VALUE"""),3475.4)</f>
        <v>3475.4</v>
      </c>
    </row>
    <row r="3104">
      <c r="A3104" s="3">
        <f>IFERROR(__xludf.DUMMYFUNCTION("""COMPUTED_VALUE"""),43471.99861111111)</f>
        <v>43471.99861</v>
      </c>
      <c r="B3104" s="1">
        <f>IFERROR(__xludf.DUMMYFUNCTION("""COMPUTED_VALUE"""),3475.4)</f>
        <v>3475.4</v>
      </c>
    </row>
    <row r="3105">
      <c r="A3105" s="3">
        <f>IFERROR(__xludf.DUMMYFUNCTION("""COMPUTED_VALUE"""),43472.99861111111)</f>
        <v>43472.99861</v>
      </c>
      <c r="B3105" s="1">
        <f>IFERROR(__xludf.DUMMYFUNCTION("""COMPUTED_VALUE"""),3423.75)</f>
        <v>3423.75</v>
      </c>
    </row>
    <row r="3106">
      <c r="A3106" s="3">
        <f>IFERROR(__xludf.DUMMYFUNCTION("""COMPUTED_VALUE"""),43473.99861111111)</f>
        <v>43473.99861</v>
      </c>
      <c r="B3106" s="1">
        <f>IFERROR(__xludf.DUMMYFUNCTION("""COMPUTED_VALUE"""),3441.95)</f>
        <v>3441.95</v>
      </c>
    </row>
    <row r="3107">
      <c r="A3107" s="3">
        <f>IFERROR(__xludf.DUMMYFUNCTION("""COMPUTED_VALUE"""),43474.99861111111)</f>
        <v>43474.99861</v>
      </c>
      <c r="B3107" s="1">
        <f>IFERROR(__xludf.DUMMYFUNCTION("""COMPUTED_VALUE"""),3424.0)</f>
        <v>3424</v>
      </c>
    </row>
    <row r="3108">
      <c r="A3108" s="3">
        <f>IFERROR(__xludf.DUMMYFUNCTION("""COMPUTED_VALUE"""),43475.99861111111)</f>
        <v>43475.99861</v>
      </c>
      <c r="B3108" s="1">
        <f>IFERROR(__xludf.DUMMYFUNCTION("""COMPUTED_VALUE"""),3435.75)</f>
        <v>3435.75</v>
      </c>
    </row>
    <row r="3109">
      <c r="A3109" s="3">
        <f>IFERROR(__xludf.DUMMYFUNCTION("""COMPUTED_VALUE"""),43476.99861111111)</f>
        <v>43476.99861</v>
      </c>
      <c r="B3109" s="1">
        <f>IFERROR(__xludf.DUMMYFUNCTION("""COMPUTED_VALUE"""),3444.15)</f>
        <v>3444.15</v>
      </c>
    </row>
    <row r="3110">
      <c r="A3110" s="3">
        <f>IFERROR(__xludf.DUMMYFUNCTION("""COMPUTED_VALUE"""),43477.99861111111)</f>
        <v>43477.99861</v>
      </c>
      <c r="B3110" s="1">
        <f>IFERROR(__xludf.DUMMYFUNCTION("""COMPUTED_VALUE"""),3444.15)</f>
        <v>3444.15</v>
      </c>
    </row>
    <row r="3111">
      <c r="A3111" s="3">
        <f>IFERROR(__xludf.DUMMYFUNCTION("""COMPUTED_VALUE"""),43478.99861111111)</f>
        <v>43478.99861</v>
      </c>
      <c r="B3111" s="1">
        <f>IFERROR(__xludf.DUMMYFUNCTION("""COMPUTED_VALUE"""),3444.15)</f>
        <v>3444.15</v>
      </c>
    </row>
    <row r="3112">
      <c r="A3112" s="3">
        <f>IFERROR(__xludf.DUMMYFUNCTION("""COMPUTED_VALUE"""),43479.99861111111)</f>
        <v>43479.99861</v>
      </c>
      <c r="B3112" s="1">
        <f>IFERROR(__xludf.DUMMYFUNCTION("""COMPUTED_VALUE"""),3445.75)</f>
        <v>3445.75</v>
      </c>
    </row>
    <row r="3113">
      <c r="A3113" s="3">
        <f>IFERROR(__xludf.DUMMYFUNCTION("""COMPUTED_VALUE"""),43480.99861111111)</f>
        <v>43480.99861</v>
      </c>
      <c r="B3113" s="1">
        <f>IFERROR(__xludf.DUMMYFUNCTION("""COMPUTED_VALUE"""),3437.95)</f>
        <v>3437.95</v>
      </c>
    </row>
    <row r="3114">
      <c r="A3114" s="3">
        <f>IFERROR(__xludf.DUMMYFUNCTION("""COMPUTED_VALUE"""),43481.99861111111)</f>
        <v>43481.99861</v>
      </c>
      <c r="B3114" s="1">
        <f>IFERROR(__xludf.DUMMYFUNCTION("""COMPUTED_VALUE"""),3437.55)</f>
        <v>3437.55</v>
      </c>
    </row>
    <row r="3115">
      <c r="A3115" s="3">
        <f>IFERROR(__xludf.DUMMYFUNCTION("""COMPUTED_VALUE"""),43482.99861111111)</f>
        <v>43482.99861</v>
      </c>
      <c r="B3115" s="1">
        <f>IFERROR(__xludf.DUMMYFUNCTION("""COMPUTED_VALUE"""),3448.65)</f>
        <v>3448.65</v>
      </c>
    </row>
    <row r="3116">
      <c r="A3116" s="3">
        <f>IFERROR(__xludf.DUMMYFUNCTION("""COMPUTED_VALUE"""),43483.99861111111)</f>
        <v>43483.99861</v>
      </c>
      <c r="B3116" s="1">
        <f>IFERROR(__xludf.DUMMYFUNCTION("""COMPUTED_VALUE"""),3438.5)</f>
        <v>3438.5</v>
      </c>
    </row>
    <row r="3117">
      <c r="A3117" s="3">
        <f>IFERROR(__xludf.DUMMYFUNCTION("""COMPUTED_VALUE"""),43484.99861111111)</f>
        <v>43484.99861</v>
      </c>
      <c r="B3117" s="1">
        <f>IFERROR(__xludf.DUMMYFUNCTION("""COMPUTED_VALUE"""),3438.5)</f>
        <v>3438.5</v>
      </c>
    </row>
    <row r="3118">
      <c r="A3118" s="3">
        <f>IFERROR(__xludf.DUMMYFUNCTION("""COMPUTED_VALUE"""),43485.99861111111)</f>
        <v>43485.99861</v>
      </c>
      <c r="B3118" s="1">
        <f>IFERROR(__xludf.DUMMYFUNCTION("""COMPUTED_VALUE"""),3438.5)</f>
        <v>3438.5</v>
      </c>
    </row>
    <row r="3119">
      <c r="A3119" s="3">
        <f>IFERROR(__xludf.DUMMYFUNCTION("""COMPUTED_VALUE"""),43486.99861111111)</f>
        <v>43486.99861</v>
      </c>
      <c r="B3119" s="1">
        <f>IFERROR(__xludf.DUMMYFUNCTION("""COMPUTED_VALUE"""),3448.35)</f>
        <v>3448.35</v>
      </c>
    </row>
    <row r="3120">
      <c r="A3120" s="3">
        <f>IFERROR(__xludf.DUMMYFUNCTION("""COMPUTED_VALUE"""),43487.99861111111)</f>
        <v>43487.99861</v>
      </c>
      <c r="B3120" s="1">
        <f>IFERROR(__xludf.DUMMYFUNCTION("""COMPUTED_VALUE"""),3440.35)</f>
        <v>3440.35</v>
      </c>
    </row>
    <row r="3121">
      <c r="A3121" s="3">
        <f>IFERROR(__xludf.DUMMYFUNCTION("""COMPUTED_VALUE"""),43488.99861111111)</f>
        <v>43488.99861</v>
      </c>
      <c r="B3121" s="1">
        <f>IFERROR(__xludf.DUMMYFUNCTION("""COMPUTED_VALUE"""),3428.95)</f>
        <v>3428.95</v>
      </c>
    </row>
    <row r="3122">
      <c r="A3122" s="3">
        <f>IFERROR(__xludf.DUMMYFUNCTION("""COMPUTED_VALUE"""),43489.99861111111)</f>
        <v>43489.99861</v>
      </c>
      <c r="B3122" s="1">
        <f>IFERROR(__xludf.DUMMYFUNCTION("""COMPUTED_VALUE"""),3417.15)</f>
        <v>3417.15</v>
      </c>
    </row>
    <row r="3123">
      <c r="A3123" s="3">
        <f>IFERROR(__xludf.DUMMYFUNCTION("""COMPUTED_VALUE"""),43490.99861111111)</f>
        <v>43490.99861</v>
      </c>
      <c r="B3123" s="1">
        <f>IFERROR(__xludf.DUMMYFUNCTION("""COMPUTED_VALUE"""),3411.95)</f>
        <v>3411.95</v>
      </c>
    </row>
    <row r="3124">
      <c r="A3124" s="3">
        <f>IFERROR(__xludf.DUMMYFUNCTION("""COMPUTED_VALUE"""),43491.99861111111)</f>
        <v>43491.99861</v>
      </c>
      <c r="B3124" s="1">
        <f>IFERROR(__xludf.DUMMYFUNCTION("""COMPUTED_VALUE"""),3414.55)</f>
        <v>3414.55</v>
      </c>
    </row>
    <row r="3125">
      <c r="A3125" s="3">
        <f>IFERROR(__xludf.DUMMYFUNCTION("""COMPUTED_VALUE"""),43492.99861111111)</f>
        <v>43492.99861</v>
      </c>
      <c r="B3125" s="1">
        <f>IFERROR(__xludf.DUMMYFUNCTION("""COMPUTED_VALUE"""),3414.55)</f>
        <v>3414.55</v>
      </c>
    </row>
    <row r="3126">
      <c r="A3126" s="3">
        <f>IFERROR(__xludf.DUMMYFUNCTION("""COMPUTED_VALUE"""),43493.99861111111)</f>
        <v>43493.99861</v>
      </c>
      <c r="B3126" s="1">
        <f>IFERROR(__xludf.DUMMYFUNCTION("""COMPUTED_VALUE"""),3422.1)</f>
        <v>3422.1</v>
      </c>
    </row>
    <row r="3127">
      <c r="A3127" s="3">
        <f>IFERROR(__xludf.DUMMYFUNCTION("""COMPUTED_VALUE"""),43494.99861111111)</f>
        <v>43494.99861</v>
      </c>
      <c r="B3127" s="1">
        <f>IFERROR(__xludf.DUMMYFUNCTION("""COMPUTED_VALUE"""),3434.5)</f>
        <v>3434.5</v>
      </c>
    </row>
    <row r="3128">
      <c r="A3128" s="3">
        <f>IFERROR(__xludf.DUMMYFUNCTION("""COMPUTED_VALUE"""),43495.99861111111)</f>
        <v>43495.99861</v>
      </c>
      <c r="B3128" s="1">
        <f>IFERROR(__xludf.DUMMYFUNCTION("""COMPUTED_VALUE"""),3458.6)</f>
        <v>3458.6</v>
      </c>
    </row>
    <row r="3129">
      <c r="A3129" s="3">
        <f>IFERROR(__xludf.DUMMYFUNCTION("""COMPUTED_VALUE"""),43496.99861111111)</f>
        <v>43496.99861</v>
      </c>
      <c r="B3129" s="1">
        <f>IFERROR(__xludf.DUMMYFUNCTION("""COMPUTED_VALUE"""),3411.25)</f>
        <v>3411.25</v>
      </c>
    </row>
    <row r="3130">
      <c r="A3130" s="3">
        <f>IFERROR(__xludf.DUMMYFUNCTION("""COMPUTED_VALUE"""),43497.99861111111)</f>
        <v>43497.99861</v>
      </c>
      <c r="B3130" s="1">
        <f>IFERROR(__xludf.DUMMYFUNCTION("""COMPUTED_VALUE"""),3402.8)</f>
        <v>3402.8</v>
      </c>
    </row>
    <row r="3131">
      <c r="A3131" s="3">
        <f>IFERROR(__xludf.DUMMYFUNCTION("""COMPUTED_VALUE"""),43498.99861111111)</f>
        <v>43498.99861</v>
      </c>
      <c r="B3131" s="1">
        <f>IFERROR(__xludf.DUMMYFUNCTION("""COMPUTED_VALUE"""),3402.8)</f>
        <v>3402.8</v>
      </c>
    </row>
    <row r="3132">
      <c r="A3132" s="3">
        <f>IFERROR(__xludf.DUMMYFUNCTION("""COMPUTED_VALUE"""),43499.99861111111)</f>
        <v>43499.99861</v>
      </c>
      <c r="B3132" s="1">
        <f>IFERROR(__xludf.DUMMYFUNCTION("""COMPUTED_VALUE"""),3402.8)</f>
        <v>3402.8</v>
      </c>
    </row>
    <row r="3133">
      <c r="A3133" s="3">
        <f>IFERROR(__xludf.DUMMYFUNCTION("""COMPUTED_VALUE"""),43500.99861111111)</f>
        <v>43500.99861</v>
      </c>
      <c r="B3133" s="1">
        <f>IFERROR(__xludf.DUMMYFUNCTION("""COMPUTED_VALUE"""),3412.35)</f>
        <v>3412.35</v>
      </c>
    </row>
    <row r="3134">
      <c r="A3134" s="3">
        <f>IFERROR(__xludf.DUMMYFUNCTION("""COMPUTED_VALUE"""),43501.99861111111)</f>
        <v>43501.99861</v>
      </c>
      <c r="B3134" s="1">
        <f>IFERROR(__xludf.DUMMYFUNCTION("""COMPUTED_VALUE"""),3409.0)</f>
        <v>3409</v>
      </c>
    </row>
    <row r="3135">
      <c r="A3135" s="3">
        <f>IFERROR(__xludf.DUMMYFUNCTION("""COMPUTED_VALUE"""),43502.99861111111)</f>
        <v>43502.99861</v>
      </c>
      <c r="B3135" s="1">
        <f>IFERROR(__xludf.DUMMYFUNCTION("""COMPUTED_VALUE"""),3401.7)</f>
        <v>3401.7</v>
      </c>
    </row>
    <row r="3136">
      <c r="A3136" s="3">
        <f>IFERROR(__xludf.DUMMYFUNCTION("""COMPUTED_VALUE"""),43503.99861111111)</f>
        <v>43503.99861</v>
      </c>
      <c r="B3136" s="1">
        <f>IFERROR(__xludf.DUMMYFUNCTION("""COMPUTED_VALUE"""),3427.4)</f>
        <v>3427.4</v>
      </c>
    </row>
    <row r="3137">
      <c r="A3137" s="3">
        <f>IFERROR(__xludf.DUMMYFUNCTION("""COMPUTED_VALUE"""),43504.99861111111)</f>
        <v>43504.99861</v>
      </c>
      <c r="B3137" s="1">
        <f>IFERROR(__xludf.DUMMYFUNCTION("""COMPUTED_VALUE"""),3430.65)</f>
        <v>3430.65</v>
      </c>
    </row>
    <row r="3138">
      <c r="A3138" s="3">
        <f>IFERROR(__xludf.DUMMYFUNCTION("""COMPUTED_VALUE"""),43505.99861111111)</f>
        <v>43505.99861</v>
      </c>
      <c r="B3138" s="1">
        <f>IFERROR(__xludf.DUMMYFUNCTION("""COMPUTED_VALUE"""),3431.65)</f>
        <v>3431.65</v>
      </c>
    </row>
    <row r="3139">
      <c r="A3139" s="3">
        <f>IFERROR(__xludf.DUMMYFUNCTION("""COMPUTED_VALUE"""),43506.99861111111)</f>
        <v>43506.99861</v>
      </c>
      <c r="B3139" s="1">
        <f>IFERROR(__xludf.DUMMYFUNCTION("""COMPUTED_VALUE"""),3431.65)</f>
        <v>3431.65</v>
      </c>
    </row>
    <row r="3140">
      <c r="A3140" s="3">
        <f>IFERROR(__xludf.DUMMYFUNCTION("""COMPUTED_VALUE"""),43507.99861111111)</f>
        <v>43507.99861</v>
      </c>
      <c r="B3140" s="1">
        <f>IFERROR(__xludf.DUMMYFUNCTION("""COMPUTED_VALUE"""),3445.5)</f>
        <v>3445.5</v>
      </c>
    </row>
    <row r="3141">
      <c r="A3141" s="3">
        <f>IFERROR(__xludf.DUMMYFUNCTION("""COMPUTED_VALUE"""),43508.99861111111)</f>
        <v>43508.99861</v>
      </c>
      <c r="B3141" s="1">
        <f>IFERROR(__xludf.DUMMYFUNCTION("""COMPUTED_VALUE"""),3455.85)</f>
        <v>3455.85</v>
      </c>
    </row>
    <row r="3142">
      <c r="A3142" s="3">
        <f>IFERROR(__xludf.DUMMYFUNCTION("""COMPUTED_VALUE"""),43509.99861111111)</f>
        <v>43509.99861</v>
      </c>
      <c r="B3142" s="1">
        <f>IFERROR(__xludf.DUMMYFUNCTION("""COMPUTED_VALUE"""),3452.1)</f>
        <v>3452.1</v>
      </c>
    </row>
    <row r="3143">
      <c r="A3143" s="3">
        <f>IFERROR(__xludf.DUMMYFUNCTION("""COMPUTED_VALUE"""),43510.99861111111)</f>
        <v>43510.99861</v>
      </c>
      <c r="B3143" s="1">
        <f>IFERROR(__xludf.DUMMYFUNCTION("""COMPUTED_VALUE"""),3458.65)</f>
        <v>3458.65</v>
      </c>
    </row>
    <row r="3144">
      <c r="A3144" s="3">
        <f>IFERROR(__xludf.DUMMYFUNCTION("""COMPUTED_VALUE"""),43511.99861111111)</f>
        <v>43511.99861</v>
      </c>
      <c r="B3144" s="1">
        <f>IFERROR(__xludf.DUMMYFUNCTION("""COMPUTED_VALUE"""),3465.05)</f>
        <v>3465.05</v>
      </c>
    </row>
    <row r="3145">
      <c r="A3145" s="3">
        <f>IFERROR(__xludf.DUMMYFUNCTION("""COMPUTED_VALUE"""),43512.99861111111)</f>
        <v>43512.99861</v>
      </c>
      <c r="B3145" s="1">
        <f>IFERROR(__xludf.DUMMYFUNCTION("""COMPUTED_VALUE"""),3465.05)</f>
        <v>3465.05</v>
      </c>
    </row>
    <row r="3146">
      <c r="A3146" s="3">
        <f>IFERROR(__xludf.DUMMYFUNCTION("""COMPUTED_VALUE"""),43513.99861111111)</f>
        <v>43513.99861</v>
      </c>
      <c r="B3146" s="1">
        <f>IFERROR(__xludf.DUMMYFUNCTION("""COMPUTED_VALUE"""),3465.05)</f>
        <v>3465.05</v>
      </c>
    </row>
    <row r="3147">
      <c r="A3147" s="3">
        <f>IFERROR(__xludf.DUMMYFUNCTION("""COMPUTED_VALUE"""),43514.99861111111)</f>
        <v>43514.99861</v>
      </c>
      <c r="B3147" s="1">
        <f>IFERROR(__xludf.DUMMYFUNCTION("""COMPUTED_VALUE"""),3464.65)</f>
        <v>3464.65</v>
      </c>
    </row>
    <row r="3148">
      <c r="A3148" s="3">
        <f>IFERROR(__xludf.DUMMYFUNCTION("""COMPUTED_VALUE"""),43515.99861111111)</f>
        <v>43515.99861</v>
      </c>
      <c r="B3148" s="1">
        <f>IFERROR(__xludf.DUMMYFUNCTION("""COMPUTED_VALUE"""),3464.6)</f>
        <v>3464.6</v>
      </c>
    </row>
    <row r="3149">
      <c r="A3149" s="3">
        <f>IFERROR(__xludf.DUMMYFUNCTION("""COMPUTED_VALUE"""),43516.99861111111)</f>
        <v>43516.99861</v>
      </c>
      <c r="B3149" s="1">
        <f>IFERROR(__xludf.DUMMYFUNCTION("""COMPUTED_VALUE"""),3452.3)</f>
        <v>3452.3</v>
      </c>
    </row>
    <row r="3150">
      <c r="A3150" s="3">
        <f>IFERROR(__xludf.DUMMYFUNCTION("""COMPUTED_VALUE"""),43517.99861111111)</f>
        <v>43517.99861</v>
      </c>
      <c r="B3150" s="1">
        <f>IFERROR(__xludf.DUMMYFUNCTION("""COMPUTED_VALUE"""),3446.2)</f>
        <v>3446.2</v>
      </c>
    </row>
    <row r="3151">
      <c r="A3151" s="3">
        <f>IFERROR(__xludf.DUMMYFUNCTION("""COMPUTED_VALUE"""),43518.99861111111)</f>
        <v>43518.99861</v>
      </c>
      <c r="B3151" s="1">
        <f>IFERROR(__xludf.DUMMYFUNCTION("""COMPUTED_VALUE"""),3445.55)</f>
        <v>3445.55</v>
      </c>
    </row>
    <row r="3152">
      <c r="A3152" s="3">
        <f>IFERROR(__xludf.DUMMYFUNCTION("""COMPUTED_VALUE"""),43519.99861111111)</f>
        <v>43519.99861</v>
      </c>
      <c r="B3152" s="1">
        <f>IFERROR(__xludf.DUMMYFUNCTION("""COMPUTED_VALUE"""),3446.75)</f>
        <v>3446.75</v>
      </c>
    </row>
    <row r="3153">
      <c r="A3153" s="3">
        <f>IFERROR(__xludf.DUMMYFUNCTION("""COMPUTED_VALUE"""),43520.99861111111)</f>
        <v>43520.99861</v>
      </c>
      <c r="B3153" s="1">
        <f>IFERROR(__xludf.DUMMYFUNCTION("""COMPUTED_VALUE"""),3446.75)</f>
        <v>3446.75</v>
      </c>
    </row>
    <row r="3154">
      <c r="A3154" s="3">
        <f>IFERROR(__xludf.DUMMYFUNCTION("""COMPUTED_VALUE"""),43521.99861111111)</f>
        <v>43521.99861</v>
      </c>
      <c r="B3154" s="1">
        <f>IFERROR(__xludf.DUMMYFUNCTION("""COMPUTED_VALUE"""),3452.4)</f>
        <v>3452.4</v>
      </c>
    </row>
    <row r="3155">
      <c r="A3155" s="3">
        <f>IFERROR(__xludf.DUMMYFUNCTION("""COMPUTED_VALUE"""),43522.99861111111)</f>
        <v>43522.99861</v>
      </c>
      <c r="B3155" s="1">
        <f>IFERROR(__xludf.DUMMYFUNCTION("""COMPUTED_VALUE"""),3443.0)</f>
        <v>3443</v>
      </c>
    </row>
    <row r="3156">
      <c r="A3156" s="3">
        <f>IFERROR(__xludf.DUMMYFUNCTION("""COMPUTED_VALUE"""),43523.99861111111)</f>
        <v>43523.99861</v>
      </c>
      <c r="B3156" s="1">
        <f>IFERROR(__xludf.DUMMYFUNCTION("""COMPUTED_VALUE"""),3451.15)</f>
        <v>3451.15</v>
      </c>
    </row>
    <row r="3157">
      <c r="A3157" s="3">
        <f>IFERROR(__xludf.DUMMYFUNCTION("""COMPUTED_VALUE"""),43524.99861111111)</f>
        <v>43524.99861</v>
      </c>
      <c r="B3157" s="1">
        <f>IFERROR(__xludf.DUMMYFUNCTION("""COMPUTED_VALUE"""),3460.25)</f>
        <v>3460.25</v>
      </c>
    </row>
    <row r="3158">
      <c r="A3158" s="3">
        <f>IFERROR(__xludf.DUMMYFUNCTION("""COMPUTED_VALUE"""),43525.99861111111)</f>
        <v>43525.99861</v>
      </c>
      <c r="B3158" s="1">
        <f>IFERROR(__xludf.DUMMYFUNCTION("""COMPUTED_VALUE"""),3455.65)</f>
        <v>3455.65</v>
      </c>
    </row>
    <row r="3159">
      <c r="A3159" s="3">
        <f>IFERROR(__xludf.DUMMYFUNCTION("""COMPUTED_VALUE"""),43526.99861111111)</f>
        <v>43526.99861</v>
      </c>
      <c r="B3159" s="1">
        <f>IFERROR(__xludf.DUMMYFUNCTION("""COMPUTED_VALUE"""),3455.65)</f>
        <v>3455.65</v>
      </c>
    </row>
    <row r="3160">
      <c r="A3160" s="3">
        <f>IFERROR(__xludf.DUMMYFUNCTION("""COMPUTED_VALUE"""),43527.99861111111)</f>
        <v>43527.99861</v>
      </c>
      <c r="B3160" s="1">
        <f>IFERROR(__xludf.DUMMYFUNCTION("""COMPUTED_VALUE"""),3455.65)</f>
        <v>3455.65</v>
      </c>
    </row>
    <row r="3161">
      <c r="A3161" s="3">
        <f>IFERROR(__xludf.DUMMYFUNCTION("""COMPUTED_VALUE"""),43528.99861111111)</f>
        <v>43528.99861</v>
      </c>
      <c r="B3161" s="1">
        <f>IFERROR(__xludf.DUMMYFUNCTION("""COMPUTED_VALUE"""),3466.2)</f>
        <v>3466.2</v>
      </c>
    </row>
    <row r="3162">
      <c r="A3162" s="3">
        <f>IFERROR(__xludf.DUMMYFUNCTION("""COMPUTED_VALUE"""),43529.99861111111)</f>
        <v>43529.99861</v>
      </c>
      <c r="B3162" s="1">
        <f>IFERROR(__xludf.DUMMYFUNCTION("""COMPUTED_VALUE"""),3471.8)</f>
        <v>3471.8</v>
      </c>
    </row>
    <row r="3163">
      <c r="A3163" s="3">
        <f>IFERROR(__xludf.DUMMYFUNCTION("""COMPUTED_VALUE"""),43530.99861111111)</f>
        <v>43530.99861</v>
      </c>
      <c r="B3163" s="1">
        <f>IFERROR(__xludf.DUMMYFUNCTION("""COMPUTED_VALUE"""),3457.7)</f>
        <v>3457.7</v>
      </c>
    </row>
    <row r="3164">
      <c r="A3164" s="3">
        <f>IFERROR(__xludf.DUMMYFUNCTION("""COMPUTED_VALUE"""),43531.99861111111)</f>
        <v>43531.99861</v>
      </c>
      <c r="B3164" s="1">
        <f>IFERROR(__xludf.DUMMYFUNCTION("""COMPUTED_VALUE"""),3446.4)</f>
        <v>3446.4</v>
      </c>
    </row>
    <row r="3165">
      <c r="A3165" s="3">
        <f>IFERROR(__xludf.DUMMYFUNCTION("""COMPUTED_VALUE"""),43532.99861111111)</f>
        <v>43532.99861</v>
      </c>
      <c r="B3165" s="1">
        <f>IFERROR(__xludf.DUMMYFUNCTION("""COMPUTED_VALUE"""),3439.85)</f>
        <v>3439.85</v>
      </c>
    </row>
    <row r="3166">
      <c r="A3166" s="3">
        <f>IFERROR(__xludf.DUMMYFUNCTION("""COMPUTED_VALUE"""),43533.99861111111)</f>
        <v>43533.99861</v>
      </c>
      <c r="B3166" s="1">
        <f>IFERROR(__xludf.DUMMYFUNCTION("""COMPUTED_VALUE"""),3439.85)</f>
        <v>3439.85</v>
      </c>
    </row>
    <row r="3167">
      <c r="A3167" s="3">
        <f>IFERROR(__xludf.DUMMYFUNCTION("""COMPUTED_VALUE"""),43534.99861111111)</f>
        <v>43534.99861</v>
      </c>
      <c r="B3167" s="1">
        <f>IFERROR(__xludf.DUMMYFUNCTION("""COMPUTED_VALUE"""),3497.95)</f>
        <v>3497.95</v>
      </c>
    </row>
    <row r="3168">
      <c r="A3168" s="3">
        <f>IFERROR(__xludf.DUMMYFUNCTION("""COMPUTED_VALUE"""),43535.99861111111)</f>
        <v>43535.99861</v>
      </c>
      <c r="B3168" s="1">
        <f>IFERROR(__xludf.DUMMYFUNCTION("""COMPUTED_VALUE"""),3491.4)</f>
        <v>3491.4</v>
      </c>
    </row>
    <row r="3169">
      <c r="A3169" s="3">
        <f>IFERROR(__xludf.DUMMYFUNCTION("""COMPUTED_VALUE"""),43536.99861111111)</f>
        <v>43536.99861</v>
      </c>
      <c r="B3169" s="1">
        <f>IFERROR(__xludf.DUMMYFUNCTION("""COMPUTED_VALUE"""),3490.8)</f>
        <v>3490.8</v>
      </c>
    </row>
    <row r="3170">
      <c r="A3170" s="3">
        <f>IFERROR(__xludf.DUMMYFUNCTION("""COMPUTED_VALUE"""),43537.99861111111)</f>
        <v>43537.99861</v>
      </c>
      <c r="B3170" s="1">
        <f>IFERROR(__xludf.DUMMYFUNCTION("""COMPUTED_VALUE"""),3489.0)</f>
        <v>3489</v>
      </c>
    </row>
    <row r="3171">
      <c r="A3171" s="3">
        <f>IFERROR(__xludf.DUMMYFUNCTION("""COMPUTED_VALUE"""),43538.99861111111)</f>
        <v>43538.99861</v>
      </c>
      <c r="B3171" s="1">
        <f>IFERROR(__xludf.DUMMYFUNCTION("""COMPUTED_VALUE"""),3486.45)</f>
        <v>3486.45</v>
      </c>
    </row>
    <row r="3172">
      <c r="A3172" s="3">
        <f>IFERROR(__xludf.DUMMYFUNCTION("""COMPUTED_VALUE"""),43539.99861111111)</f>
        <v>43539.99861</v>
      </c>
      <c r="B3172" s="1">
        <f>IFERROR(__xludf.DUMMYFUNCTION("""COMPUTED_VALUE"""),3491.65)</f>
        <v>3491.65</v>
      </c>
    </row>
    <row r="3173">
      <c r="A3173" s="3">
        <f>IFERROR(__xludf.DUMMYFUNCTION("""COMPUTED_VALUE"""),43540.99861111111)</f>
        <v>43540.99861</v>
      </c>
      <c r="B3173" s="1">
        <f>IFERROR(__xludf.DUMMYFUNCTION("""COMPUTED_VALUE"""),3491.65)</f>
        <v>3491.65</v>
      </c>
    </row>
    <row r="3174">
      <c r="A3174" s="3">
        <f>IFERROR(__xludf.DUMMYFUNCTION("""COMPUTED_VALUE"""),43541.99861111111)</f>
        <v>43541.99861</v>
      </c>
      <c r="B3174" s="1">
        <f>IFERROR(__xludf.DUMMYFUNCTION("""COMPUTED_VALUE"""),3491.65)</f>
        <v>3491.65</v>
      </c>
    </row>
    <row r="3175">
      <c r="A3175" s="3">
        <f>IFERROR(__xludf.DUMMYFUNCTION("""COMPUTED_VALUE"""),43542.99861111111)</f>
        <v>43542.99861</v>
      </c>
      <c r="B3175" s="1">
        <f>IFERROR(__xludf.DUMMYFUNCTION("""COMPUTED_VALUE"""),3491.35)</f>
        <v>3491.35</v>
      </c>
    </row>
    <row r="3176">
      <c r="A3176" s="3">
        <f>IFERROR(__xludf.DUMMYFUNCTION("""COMPUTED_VALUE"""),43543.99861111111)</f>
        <v>43543.99861</v>
      </c>
      <c r="B3176" s="1">
        <f>IFERROR(__xludf.DUMMYFUNCTION("""COMPUTED_VALUE"""),3491.7)</f>
        <v>3491.7</v>
      </c>
    </row>
    <row r="3177">
      <c r="A3177" s="3">
        <f>IFERROR(__xludf.DUMMYFUNCTION("""COMPUTED_VALUE"""),43544.99861111111)</f>
        <v>43544.99861</v>
      </c>
      <c r="B3177" s="1">
        <f>IFERROR(__xludf.DUMMYFUNCTION("""COMPUTED_VALUE"""),3506.75)</f>
        <v>3506.75</v>
      </c>
    </row>
    <row r="3178">
      <c r="A3178" s="3">
        <f>IFERROR(__xludf.DUMMYFUNCTION("""COMPUTED_VALUE"""),43545.99861111111)</f>
        <v>43545.99861</v>
      </c>
      <c r="B3178" s="1">
        <f>IFERROR(__xludf.DUMMYFUNCTION("""COMPUTED_VALUE"""),3491.3)</f>
        <v>3491.3</v>
      </c>
    </row>
    <row r="3179">
      <c r="A3179" s="3">
        <f>IFERROR(__xludf.DUMMYFUNCTION("""COMPUTED_VALUE"""),43546.99861111111)</f>
        <v>43546.99861</v>
      </c>
      <c r="B3179" s="1">
        <f>IFERROR(__xludf.DUMMYFUNCTION("""COMPUTED_VALUE"""),3482.65)</f>
        <v>3482.65</v>
      </c>
    </row>
    <row r="3180">
      <c r="A3180" s="3">
        <f>IFERROR(__xludf.DUMMYFUNCTION("""COMPUTED_VALUE"""),43547.99861111111)</f>
        <v>43547.99861</v>
      </c>
      <c r="B3180" s="1">
        <f>IFERROR(__xludf.DUMMYFUNCTION("""COMPUTED_VALUE"""),3485.05)</f>
        <v>3485.05</v>
      </c>
    </row>
    <row r="3181">
      <c r="A3181" s="3">
        <f>IFERROR(__xludf.DUMMYFUNCTION("""COMPUTED_VALUE"""),43548.99861111111)</f>
        <v>43548.99861</v>
      </c>
      <c r="B3181" s="1">
        <f>IFERROR(__xludf.DUMMYFUNCTION("""COMPUTED_VALUE"""),3485.05)</f>
        <v>3485.05</v>
      </c>
    </row>
    <row r="3182">
      <c r="A3182" s="3">
        <f>IFERROR(__xludf.DUMMYFUNCTION("""COMPUTED_VALUE"""),43549.99861111111)</f>
        <v>43549.99861</v>
      </c>
      <c r="B3182" s="1">
        <f>IFERROR(__xludf.DUMMYFUNCTION("""COMPUTED_VALUE"""),3487.0)</f>
        <v>3487</v>
      </c>
    </row>
    <row r="3183">
      <c r="A3183" s="3">
        <f>IFERROR(__xludf.DUMMYFUNCTION("""COMPUTED_VALUE"""),43550.99861111111)</f>
        <v>43550.99861</v>
      </c>
      <c r="B3183" s="1">
        <f>IFERROR(__xludf.DUMMYFUNCTION("""COMPUTED_VALUE"""),3475.4)</f>
        <v>3475.4</v>
      </c>
    </row>
    <row r="3184">
      <c r="A3184" s="3">
        <f>IFERROR(__xludf.DUMMYFUNCTION("""COMPUTED_VALUE"""),43551.99861111111)</f>
        <v>43551.99861</v>
      </c>
      <c r="B3184" s="1">
        <f>IFERROR(__xludf.DUMMYFUNCTION("""COMPUTED_VALUE"""),3482.8)</f>
        <v>3482.8</v>
      </c>
    </row>
    <row r="3185">
      <c r="A3185" s="3">
        <f>IFERROR(__xludf.DUMMYFUNCTION("""COMPUTED_VALUE"""),43552.99861111111)</f>
        <v>43552.99861</v>
      </c>
      <c r="B3185" s="1">
        <f>IFERROR(__xludf.DUMMYFUNCTION("""COMPUTED_VALUE"""),3489.9)</f>
        <v>3489.9</v>
      </c>
    </row>
    <row r="3186">
      <c r="A3186" s="3">
        <f>IFERROR(__xludf.DUMMYFUNCTION("""COMPUTED_VALUE"""),43553.99861111111)</f>
        <v>43553.99861</v>
      </c>
      <c r="B3186" s="1">
        <f>IFERROR(__xludf.DUMMYFUNCTION("""COMPUTED_VALUE"""),3486.25)</f>
        <v>3486.25</v>
      </c>
    </row>
    <row r="3187">
      <c r="A3187" s="3">
        <f>IFERROR(__xludf.DUMMYFUNCTION("""COMPUTED_VALUE"""),43554.99861111111)</f>
        <v>43554.99861</v>
      </c>
      <c r="B3187" s="1">
        <f>IFERROR(__xludf.DUMMYFUNCTION("""COMPUTED_VALUE"""),3486.25)</f>
        <v>3486.25</v>
      </c>
    </row>
    <row r="3188">
      <c r="A3188" s="3">
        <f>IFERROR(__xludf.DUMMYFUNCTION("""COMPUTED_VALUE"""),43555.99861111111)</f>
        <v>43555.99861</v>
      </c>
      <c r="B3188" s="1">
        <f>IFERROR(__xludf.DUMMYFUNCTION("""COMPUTED_VALUE"""),3486.25)</f>
        <v>3486.25</v>
      </c>
    </row>
    <row r="3189">
      <c r="A3189" s="3">
        <f>IFERROR(__xludf.DUMMYFUNCTION("""COMPUTED_VALUE"""),43556.99861111111)</f>
        <v>43556.99861</v>
      </c>
      <c r="B3189" s="1">
        <f>IFERROR(__xludf.DUMMYFUNCTION("""COMPUTED_VALUE"""),3486.5)</f>
        <v>3486.5</v>
      </c>
    </row>
    <row r="3190">
      <c r="A3190" s="3">
        <f>IFERROR(__xludf.DUMMYFUNCTION("""COMPUTED_VALUE"""),43557.99861111111)</f>
        <v>43557.99861</v>
      </c>
      <c r="B3190" s="1">
        <f>IFERROR(__xludf.DUMMYFUNCTION("""COMPUTED_VALUE"""),3480.75)</f>
        <v>3480.75</v>
      </c>
    </row>
    <row r="3191">
      <c r="A3191" s="3">
        <f>IFERROR(__xludf.DUMMYFUNCTION("""COMPUTED_VALUE"""),43558.99861111111)</f>
        <v>43558.99861</v>
      </c>
      <c r="B3191" s="1">
        <f>IFERROR(__xludf.DUMMYFUNCTION("""COMPUTED_VALUE"""),3481.2)</f>
        <v>3481.2</v>
      </c>
    </row>
    <row r="3192">
      <c r="A3192" s="3">
        <f>IFERROR(__xludf.DUMMYFUNCTION("""COMPUTED_VALUE"""),43559.99861111111)</f>
        <v>43559.99861</v>
      </c>
      <c r="B3192" s="1">
        <f>IFERROR(__xludf.DUMMYFUNCTION("""COMPUTED_VALUE"""),3474.9)</f>
        <v>3474.9</v>
      </c>
    </row>
    <row r="3193">
      <c r="A3193" s="3">
        <f>IFERROR(__xludf.DUMMYFUNCTION("""COMPUTED_VALUE"""),43560.99861111111)</f>
        <v>43560.99861</v>
      </c>
      <c r="B3193" s="1">
        <f>IFERROR(__xludf.DUMMYFUNCTION("""COMPUTED_VALUE"""),3452.6)</f>
        <v>3452.6</v>
      </c>
    </row>
    <row r="3194">
      <c r="A3194" s="3">
        <f>IFERROR(__xludf.DUMMYFUNCTION("""COMPUTED_VALUE"""),43561.99861111111)</f>
        <v>43561.99861</v>
      </c>
      <c r="B3194" s="1">
        <f>IFERROR(__xludf.DUMMYFUNCTION("""COMPUTED_VALUE"""),3452.6)</f>
        <v>3452.6</v>
      </c>
    </row>
    <row r="3195">
      <c r="A3195" s="3">
        <f>IFERROR(__xludf.DUMMYFUNCTION("""COMPUTED_VALUE"""),43562.99861111111)</f>
        <v>43562.99861</v>
      </c>
      <c r="B3195" s="1">
        <f>IFERROR(__xludf.DUMMYFUNCTION("""COMPUTED_VALUE"""),3452.6)</f>
        <v>3452.6</v>
      </c>
    </row>
    <row r="3196">
      <c r="A3196" s="3">
        <f>IFERROR(__xludf.DUMMYFUNCTION("""COMPUTED_VALUE"""),43563.99861111111)</f>
        <v>43563.99861</v>
      </c>
      <c r="B3196" s="1">
        <f>IFERROR(__xludf.DUMMYFUNCTION("""COMPUTED_VALUE"""),3452.4)</f>
        <v>3452.4</v>
      </c>
    </row>
    <row r="3197">
      <c r="A3197" s="3">
        <f>IFERROR(__xludf.DUMMYFUNCTION("""COMPUTED_VALUE"""),43564.99861111111)</f>
        <v>43564.99861</v>
      </c>
      <c r="B3197" s="1">
        <f>IFERROR(__xludf.DUMMYFUNCTION("""COMPUTED_VALUE"""),3445.25)</f>
        <v>3445.25</v>
      </c>
    </row>
    <row r="3198">
      <c r="A3198" s="3">
        <f>IFERROR(__xludf.DUMMYFUNCTION("""COMPUTED_VALUE"""),43565.99861111111)</f>
        <v>43565.99861</v>
      </c>
      <c r="B3198" s="1">
        <f>IFERROR(__xludf.DUMMYFUNCTION("""COMPUTED_VALUE"""),3439.85)</f>
        <v>3439.85</v>
      </c>
    </row>
    <row r="3199">
      <c r="A3199" s="3">
        <f>IFERROR(__xludf.DUMMYFUNCTION("""COMPUTED_VALUE"""),43566.99861111111)</f>
        <v>43566.99861</v>
      </c>
      <c r="B3199" s="1">
        <f>IFERROR(__xludf.DUMMYFUNCTION("""COMPUTED_VALUE"""),3435.85)</f>
        <v>3435.85</v>
      </c>
    </row>
    <row r="3200">
      <c r="A3200" s="3">
        <f>IFERROR(__xludf.DUMMYFUNCTION("""COMPUTED_VALUE"""),43567.99861111111)</f>
        <v>43567.99861</v>
      </c>
      <c r="B3200" s="1">
        <f>IFERROR(__xludf.DUMMYFUNCTION("""COMPUTED_VALUE"""),3424.0)</f>
        <v>3424</v>
      </c>
    </row>
    <row r="3201">
      <c r="A3201" s="3">
        <f>IFERROR(__xludf.DUMMYFUNCTION("""COMPUTED_VALUE"""),43568.99861111111)</f>
        <v>43568.99861</v>
      </c>
      <c r="B3201" s="1">
        <f>IFERROR(__xludf.DUMMYFUNCTION("""COMPUTED_VALUE"""),3425.1)</f>
        <v>3425.1</v>
      </c>
    </row>
    <row r="3202">
      <c r="A3202" s="3">
        <f>IFERROR(__xludf.DUMMYFUNCTION("""COMPUTED_VALUE"""),43569.99861111111)</f>
        <v>43569.99861</v>
      </c>
      <c r="B3202" s="1">
        <f>IFERROR(__xludf.DUMMYFUNCTION("""COMPUTED_VALUE"""),3425.1)</f>
        <v>3425.1</v>
      </c>
    </row>
    <row r="3203">
      <c r="A3203" s="3">
        <f>IFERROR(__xludf.DUMMYFUNCTION("""COMPUTED_VALUE"""),43570.99861111111)</f>
        <v>43570.99861</v>
      </c>
      <c r="B3203" s="1">
        <f>IFERROR(__xludf.DUMMYFUNCTION("""COMPUTED_VALUE"""),3416.1)</f>
        <v>3416.1</v>
      </c>
    </row>
    <row r="3204">
      <c r="A3204" s="3">
        <f>IFERROR(__xludf.DUMMYFUNCTION("""COMPUTED_VALUE"""),43571.99861111111)</f>
        <v>43571.99861</v>
      </c>
      <c r="B3204" s="1">
        <f>IFERROR(__xludf.DUMMYFUNCTION("""COMPUTED_VALUE"""),3409.25)</f>
        <v>3409.25</v>
      </c>
    </row>
    <row r="3205">
      <c r="A3205" s="3">
        <f>IFERROR(__xludf.DUMMYFUNCTION("""COMPUTED_VALUE"""),43572.99861111111)</f>
        <v>43572.99861</v>
      </c>
      <c r="B3205" s="1">
        <f>IFERROR(__xludf.DUMMYFUNCTION("""COMPUTED_VALUE"""),3404.35)</f>
        <v>3404.35</v>
      </c>
    </row>
    <row r="3206">
      <c r="A3206" s="3">
        <f>IFERROR(__xludf.DUMMYFUNCTION("""COMPUTED_VALUE"""),43573.99861111111)</f>
        <v>43573.99861</v>
      </c>
      <c r="B3206" s="1">
        <f>IFERROR(__xludf.DUMMYFUNCTION("""COMPUTED_VALUE"""),3379.0)</f>
        <v>3379</v>
      </c>
    </row>
    <row r="3207">
      <c r="A3207" s="3">
        <f>IFERROR(__xludf.DUMMYFUNCTION("""COMPUTED_VALUE"""),43574.99861111111)</f>
        <v>43574.99861</v>
      </c>
      <c r="B3207" s="1">
        <f>IFERROR(__xludf.DUMMYFUNCTION("""COMPUTED_VALUE"""),3392.3)</f>
        <v>3392.3</v>
      </c>
    </row>
    <row r="3208">
      <c r="A3208" s="3">
        <f>IFERROR(__xludf.DUMMYFUNCTION("""COMPUTED_VALUE"""),43575.99861111111)</f>
        <v>43575.99861</v>
      </c>
      <c r="B3208" s="1">
        <f>IFERROR(__xludf.DUMMYFUNCTION("""COMPUTED_VALUE"""),3392.3)</f>
        <v>3392.3</v>
      </c>
    </row>
    <row r="3209">
      <c r="A3209" s="3">
        <f>IFERROR(__xludf.DUMMYFUNCTION("""COMPUTED_VALUE"""),43576.99861111111)</f>
        <v>43576.99861</v>
      </c>
      <c r="B3209" s="1">
        <f>IFERROR(__xludf.DUMMYFUNCTION("""COMPUTED_VALUE"""),3392.3)</f>
        <v>3392.3</v>
      </c>
    </row>
    <row r="3210">
      <c r="A3210" s="3">
        <f>IFERROR(__xludf.DUMMYFUNCTION("""COMPUTED_VALUE"""),43577.99861111111)</f>
        <v>43577.99861</v>
      </c>
      <c r="B3210" s="1">
        <f>IFERROR(__xludf.DUMMYFUNCTION("""COMPUTED_VALUE"""),3404.65)</f>
        <v>3404.65</v>
      </c>
    </row>
    <row r="3211">
      <c r="A3211" s="3">
        <f>IFERROR(__xludf.DUMMYFUNCTION("""COMPUTED_VALUE"""),43578.99861111111)</f>
        <v>43578.99861</v>
      </c>
      <c r="B3211" s="1">
        <f>IFERROR(__xludf.DUMMYFUNCTION("""COMPUTED_VALUE"""),3409.0)</f>
        <v>3409</v>
      </c>
    </row>
    <row r="3212">
      <c r="A3212" s="3">
        <f>IFERROR(__xludf.DUMMYFUNCTION("""COMPUTED_VALUE"""),43579.99861111111)</f>
        <v>43579.99861</v>
      </c>
      <c r="B3212" s="1">
        <f>IFERROR(__xludf.DUMMYFUNCTION("""COMPUTED_VALUE"""),3413.4)</f>
        <v>3413.4</v>
      </c>
    </row>
    <row r="3213">
      <c r="A3213" s="3">
        <f>IFERROR(__xludf.DUMMYFUNCTION("""COMPUTED_VALUE"""),43580.99861111111)</f>
        <v>43580.99861</v>
      </c>
      <c r="B3213" s="1">
        <f>IFERROR(__xludf.DUMMYFUNCTION("""COMPUTED_VALUE"""),3403.9)</f>
        <v>3403.9</v>
      </c>
    </row>
    <row r="3214">
      <c r="A3214" s="3">
        <f>IFERROR(__xludf.DUMMYFUNCTION("""COMPUTED_VALUE"""),43581.99861111111)</f>
        <v>43581.99861</v>
      </c>
      <c r="B3214" s="1">
        <f>IFERROR(__xludf.DUMMYFUNCTION("""COMPUTED_VALUE"""),3752.0)</f>
        <v>3752</v>
      </c>
    </row>
    <row r="3215">
      <c r="A3215" s="3">
        <f>IFERROR(__xludf.DUMMYFUNCTION("""COMPUTED_VALUE"""),43582.99861111111)</f>
        <v>43582.99861</v>
      </c>
      <c r="B3215" s="1">
        <f>IFERROR(__xludf.DUMMYFUNCTION("""COMPUTED_VALUE"""),3433.15)</f>
        <v>3433.15</v>
      </c>
    </row>
    <row r="3216">
      <c r="A3216" s="3">
        <f>IFERROR(__xludf.DUMMYFUNCTION("""COMPUTED_VALUE"""),43583.99861111111)</f>
        <v>43583.99861</v>
      </c>
      <c r="B3216" s="1">
        <f>IFERROR(__xludf.DUMMYFUNCTION("""COMPUTED_VALUE"""),3433.15)</f>
        <v>3433.15</v>
      </c>
    </row>
    <row r="3217">
      <c r="A3217" s="3">
        <f>IFERROR(__xludf.DUMMYFUNCTION("""COMPUTED_VALUE"""),43584.99861111111)</f>
        <v>43584.99861</v>
      </c>
      <c r="B3217" s="1">
        <f>IFERROR(__xludf.DUMMYFUNCTION("""COMPUTED_VALUE"""),3752.3)</f>
        <v>3752.3</v>
      </c>
    </row>
    <row r="3218">
      <c r="A3218" s="3">
        <f>IFERROR(__xludf.DUMMYFUNCTION("""COMPUTED_VALUE"""),43585.99861111111)</f>
        <v>43585.99861</v>
      </c>
      <c r="B3218" s="1">
        <f>IFERROR(__xludf.DUMMYFUNCTION("""COMPUTED_VALUE"""),3443.55)</f>
        <v>3443.55</v>
      </c>
    </row>
    <row r="3219">
      <c r="A3219" s="3">
        <f>IFERROR(__xludf.DUMMYFUNCTION("""COMPUTED_VALUE"""),43586.99861111111)</f>
        <v>43586.99861</v>
      </c>
      <c r="B3219" s="1">
        <f>IFERROR(__xludf.DUMMYFUNCTION("""COMPUTED_VALUE"""),3438.9)</f>
        <v>3438.9</v>
      </c>
    </row>
    <row r="3220">
      <c r="A3220" s="3">
        <f>IFERROR(__xludf.DUMMYFUNCTION("""COMPUTED_VALUE"""),43587.99861111111)</f>
        <v>43587.99861</v>
      </c>
      <c r="B3220" s="1">
        <f>IFERROR(__xludf.DUMMYFUNCTION("""COMPUTED_VALUE"""),3444.5)</f>
        <v>3444.5</v>
      </c>
    </row>
    <row r="3221">
      <c r="A3221" s="3">
        <f>IFERROR(__xludf.DUMMYFUNCTION("""COMPUTED_VALUE"""),43588.99861111111)</f>
        <v>43588.99861</v>
      </c>
      <c r="B3221" s="1">
        <f>IFERROR(__xludf.DUMMYFUNCTION("""COMPUTED_VALUE"""),3438.75)</f>
        <v>3438.75</v>
      </c>
    </row>
    <row r="3222">
      <c r="A3222" s="3">
        <f>IFERROR(__xludf.DUMMYFUNCTION("""COMPUTED_VALUE"""),43589.99861111111)</f>
        <v>43589.99861</v>
      </c>
      <c r="B3222" s="1">
        <f>IFERROR(__xludf.DUMMYFUNCTION("""COMPUTED_VALUE"""),3438.75)</f>
        <v>3438.75</v>
      </c>
    </row>
    <row r="3223">
      <c r="A3223" s="3">
        <f>IFERROR(__xludf.DUMMYFUNCTION("""COMPUTED_VALUE"""),43590.99861111111)</f>
        <v>43590.99861</v>
      </c>
      <c r="B3223" s="1">
        <f>IFERROR(__xludf.DUMMYFUNCTION("""COMPUTED_VALUE"""),3438.75)</f>
        <v>3438.75</v>
      </c>
    </row>
    <row r="3224">
      <c r="A3224" s="3">
        <f>IFERROR(__xludf.DUMMYFUNCTION("""COMPUTED_VALUE"""),43591.99861111111)</f>
        <v>43591.99861</v>
      </c>
      <c r="B3224" s="1">
        <f>IFERROR(__xludf.DUMMYFUNCTION("""COMPUTED_VALUE"""),3446.8)</f>
        <v>3446.8</v>
      </c>
    </row>
    <row r="3225">
      <c r="A3225" s="3">
        <f>IFERROR(__xludf.DUMMYFUNCTION("""COMPUTED_VALUE"""),43592.99861111111)</f>
        <v>43592.99861</v>
      </c>
      <c r="B3225" s="1">
        <f>IFERROR(__xludf.DUMMYFUNCTION("""COMPUTED_VALUE"""),3440.7)</f>
        <v>3440.7</v>
      </c>
    </row>
    <row r="3226">
      <c r="A3226" s="3">
        <f>IFERROR(__xludf.DUMMYFUNCTION("""COMPUTED_VALUE"""),43593.99861111111)</f>
        <v>43593.99861</v>
      </c>
      <c r="B3226" s="1">
        <f>IFERROR(__xludf.DUMMYFUNCTION("""COMPUTED_VALUE"""),3444.3)</f>
        <v>3444.3</v>
      </c>
    </row>
    <row r="3227">
      <c r="A3227" s="3">
        <f>IFERROR(__xludf.DUMMYFUNCTION("""COMPUTED_VALUE"""),43594.99861111111)</f>
        <v>43594.99861</v>
      </c>
      <c r="B3227" s="1">
        <f>IFERROR(__xludf.DUMMYFUNCTION("""COMPUTED_VALUE"""),3446.45)</f>
        <v>3446.45</v>
      </c>
    </row>
    <row r="3228">
      <c r="A3228" s="3">
        <f>IFERROR(__xludf.DUMMYFUNCTION("""COMPUTED_VALUE"""),43595.99861111111)</f>
        <v>43595.99861</v>
      </c>
      <c r="B3228" s="1">
        <f>IFERROR(__xludf.DUMMYFUNCTION("""COMPUTED_VALUE"""),3441.65)</f>
        <v>3441.65</v>
      </c>
    </row>
    <row r="3229">
      <c r="A3229" s="3">
        <f>IFERROR(__xludf.DUMMYFUNCTION("""COMPUTED_VALUE"""),43596.99861111111)</f>
        <v>43596.99861</v>
      </c>
      <c r="B3229" s="1">
        <f>IFERROR(__xludf.DUMMYFUNCTION("""COMPUTED_VALUE"""),3441.65)</f>
        <v>3441.65</v>
      </c>
    </row>
    <row r="3230">
      <c r="A3230" s="3">
        <f>IFERROR(__xludf.DUMMYFUNCTION("""COMPUTED_VALUE"""),43597.99861111111)</f>
        <v>43597.99861</v>
      </c>
      <c r="B3230" s="1">
        <f>IFERROR(__xludf.DUMMYFUNCTION("""COMPUTED_VALUE"""),3441.65)</f>
        <v>3441.65</v>
      </c>
    </row>
    <row r="3231">
      <c r="A3231" s="3">
        <f>IFERROR(__xludf.DUMMYFUNCTION("""COMPUTED_VALUE"""),43598.99861111111)</f>
        <v>43598.99861</v>
      </c>
      <c r="B3231" s="1">
        <f>IFERROR(__xludf.DUMMYFUNCTION("""COMPUTED_VALUE"""),3437.65)</f>
        <v>3437.65</v>
      </c>
    </row>
    <row r="3232">
      <c r="A3232" s="3">
        <f>IFERROR(__xludf.DUMMYFUNCTION("""COMPUTED_VALUE"""),43599.99861111111)</f>
        <v>43599.99861</v>
      </c>
      <c r="B3232" s="1">
        <f>IFERROR(__xludf.DUMMYFUNCTION("""COMPUTED_VALUE"""),3461.0)</f>
        <v>3461</v>
      </c>
    </row>
    <row r="3233">
      <c r="A3233" s="3">
        <f>IFERROR(__xludf.DUMMYFUNCTION("""COMPUTED_VALUE"""),43600.99861111111)</f>
        <v>43600.99861</v>
      </c>
      <c r="B3233" s="1">
        <f>IFERROR(__xludf.DUMMYFUNCTION("""COMPUTED_VALUE"""),3464.8)</f>
        <v>3464.8</v>
      </c>
    </row>
    <row r="3234">
      <c r="A3234" s="3">
        <f>IFERROR(__xludf.DUMMYFUNCTION("""COMPUTED_VALUE"""),43601.99861111111)</f>
        <v>43601.99861</v>
      </c>
      <c r="B3234" s="1">
        <f>IFERROR(__xludf.DUMMYFUNCTION("""COMPUTED_VALUE"""),3472.35)</f>
        <v>3472.35</v>
      </c>
    </row>
    <row r="3235">
      <c r="A3235" s="3">
        <f>IFERROR(__xludf.DUMMYFUNCTION("""COMPUTED_VALUE"""),43602.99861111111)</f>
        <v>43602.99861</v>
      </c>
      <c r="B3235" s="1">
        <f>IFERROR(__xludf.DUMMYFUNCTION("""COMPUTED_VALUE"""),3459.1)</f>
        <v>3459.1</v>
      </c>
    </row>
    <row r="3236">
      <c r="A3236" s="3">
        <f>IFERROR(__xludf.DUMMYFUNCTION("""COMPUTED_VALUE"""),43603.99861111111)</f>
        <v>43603.99861</v>
      </c>
      <c r="B3236" s="1">
        <f>IFERROR(__xludf.DUMMYFUNCTION("""COMPUTED_VALUE"""),3459.1)</f>
        <v>3459.1</v>
      </c>
    </row>
    <row r="3237">
      <c r="A3237" s="3">
        <f>IFERROR(__xludf.DUMMYFUNCTION("""COMPUTED_VALUE"""),43604.99861111111)</f>
        <v>43604.99861</v>
      </c>
      <c r="B3237" s="1">
        <f>IFERROR(__xludf.DUMMYFUNCTION("""COMPUTED_VALUE"""),3459.1)</f>
        <v>3459.1</v>
      </c>
    </row>
    <row r="3238">
      <c r="A3238" s="3">
        <f>IFERROR(__xludf.DUMMYFUNCTION("""COMPUTED_VALUE"""),43605.99861111111)</f>
        <v>43605.99861</v>
      </c>
      <c r="B3238" s="1">
        <f>IFERROR(__xludf.DUMMYFUNCTION("""COMPUTED_VALUE"""),3461.05)</f>
        <v>3461.05</v>
      </c>
    </row>
    <row r="3239">
      <c r="A3239" s="3">
        <f>IFERROR(__xludf.DUMMYFUNCTION("""COMPUTED_VALUE"""),43606.99861111111)</f>
        <v>43606.99861</v>
      </c>
      <c r="B3239" s="1">
        <f>IFERROR(__xludf.DUMMYFUNCTION("""COMPUTED_VALUE"""),3455.1)</f>
        <v>3455.1</v>
      </c>
    </row>
    <row r="3240">
      <c r="A3240" s="3">
        <f>IFERROR(__xludf.DUMMYFUNCTION("""COMPUTED_VALUE"""),43607.99861111111)</f>
        <v>43607.99861</v>
      </c>
      <c r="B3240" s="1">
        <f>IFERROR(__xludf.DUMMYFUNCTION("""COMPUTED_VALUE"""),3469.9)</f>
        <v>3469.9</v>
      </c>
    </row>
    <row r="3241">
      <c r="A3241" s="3">
        <f>IFERROR(__xludf.DUMMYFUNCTION("""COMPUTED_VALUE"""),43608.99861111111)</f>
        <v>43608.99861</v>
      </c>
      <c r="B3241" s="1">
        <f>IFERROR(__xludf.DUMMYFUNCTION("""COMPUTED_VALUE"""),3446.15)</f>
        <v>3446.15</v>
      </c>
    </row>
    <row r="3242">
      <c r="A3242" s="3">
        <f>IFERROR(__xludf.DUMMYFUNCTION("""COMPUTED_VALUE"""),43609.99861111111)</f>
        <v>43609.99861</v>
      </c>
      <c r="B3242" s="1">
        <f>IFERROR(__xludf.DUMMYFUNCTION("""COMPUTED_VALUE"""),3436.0)</f>
        <v>3436</v>
      </c>
    </row>
    <row r="3243">
      <c r="A3243" s="3">
        <f>IFERROR(__xludf.DUMMYFUNCTION("""COMPUTED_VALUE"""),43610.99861111111)</f>
        <v>43610.99861</v>
      </c>
      <c r="B3243" s="1">
        <f>IFERROR(__xludf.DUMMYFUNCTION("""COMPUTED_VALUE"""),3436.2)</f>
        <v>3436.2</v>
      </c>
    </row>
    <row r="3244">
      <c r="A3244" s="3">
        <f>IFERROR(__xludf.DUMMYFUNCTION("""COMPUTED_VALUE"""),43611.99861111111)</f>
        <v>43611.99861</v>
      </c>
      <c r="B3244" s="1">
        <f>IFERROR(__xludf.DUMMYFUNCTION("""COMPUTED_VALUE"""),3436.2)</f>
        <v>3436.2</v>
      </c>
    </row>
    <row r="3245">
      <c r="A3245" s="3">
        <f>IFERROR(__xludf.DUMMYFUNCTION("""COMPUTED_VALUE"""),43612.99861111111)</f>
        <v>43612.99861</v>
      </c>
      <c r="B3245" s="1">
        <f>IFERROR(__xludf.DUMMYFUNCTION("""COMPUTED_VALUE"""),3435.15)</f>
        <v>3435.15</v>
      </c>
    </row>
    <row r="3246">
      <c r="A3246" s="3">
        <f>IFERROR(__xludf.DUMMYFUNCTION("""COMPUTED_VALUE"""),43613.99861111111)</f>
        <v>43613.99861</v>
      </c>
      <c r="B3246" s="1">
        <f>IFERROR(__xludf.DUMMYFUNCTION("""COMPUTED_VALUE"""),3432.05)</f>
        <v>3432.05</v>
      </c>
    </row>
    <row r="3247">
      <c r="A3247" s="3">
        <f>IFERROR(__xludf.DUMMYFUNCTION("""COMPUTED_VALUE"""),43614.99861111111)</f>
        <v>43614.99861</v>
      </c>
      <c r="B3247" s="1">
        <f>IFERROR(__xludf.DUMMYFUNCTION("""COMPUTED_VALUE"""),3426.55)</f>
        <v>3426.55</v>
      </c>
    </row>
    <row r="3248">
      <c r="A3248" s="3">
        <f>IFERROR(__xludf.DUMMYFUNCTION("""COMPUTED_VALUE"""),43615.99861111111)</f>
        <v>43615.99861</v>
      </c>
      <c r="B3248" s="1">
        <f>IFERROR(__xludf.DUMMYFUNCTION("""COMPUTED_VALUE"""),3439.35)</f>
        <v>3439.35</v>
      </c>
    </row>
    <row r="3249">
      <c r="A3249" s="3">
        <f>IFERROR(__xludf.DUMMYFUNCTION("""COMPUTED_VALUE"""),43616.99861111111)</f>
        <v>43616.99861</v>
      </c>
      <c r="B3249" s="1">
        <f>IFERROR(__xludf.DUMMYFUNCTION("""COMPUTED_VALUE"""),3436.85)</f>
        <v>3436.85</v>
      </c>
    </row>
    <row r="3250">
      <c r="A3250" s="3">
        <f>IFERROR(__xludf.DUMMYFUNCTION("""COMPUTED_VALUE"""),43617.99861111111)</f>
        <v>43617.99861</v>
      </c>
      <c r="B3250" s="1">
        <f>IFERROR(__xludf.DUMMYFUNCTION("""COMPUTED_VALUE"""),3436.85)</f>
        <v>3436.85</v>
      </c>
    </row>
    <row r="3251">
      <c r="A3251" s="3">
        <f>IFERROR(__xludf.DUMMYFUNCTION("""COMPUTED_VALUE"""),43618.99861111111)</f>
        <v>43618.99861</v>
      </c>
      <c r="B3251" s="1">
        <f>IFERROR(__xludf.DUMMYFUNCTION("""COMPUTED_VALUE"""),3406.45)</f>
        <v>3406.45</v>
      </c>
    </row>
    <row r="3252">
      <c r="A3252" s="3">
        <f>IFERROR(__xludf.DUMMYFUNCTION("""COMPUTED_VALUE"""),43619.99861111111)</f>
        <v>43619.99861</v>
      </c>
      <c r="B3252" s="1">
        <f>IFERROR(__xludf.DUMMYFUNCTION("""COMPUTED_VALUE"""),3428.85)</f>
        <v>3428.85</v>
      </c>
    </row>
    <row r="3253">
      <c r="A3253" s="3">
        <f>IFERROR(__xludf.DUMMYFUNCTION("""COMPUTED_VALUE"""),43620.99861111111)</f>
        <v>43620.99861</v>
      </c>
      <c r="B3253" s="1">
        <f>IFERROR(__xludf.DUMMYFUNCTION("""COMPUTED_VALUE"""),3428.45)</f>
        <v>3428.45</v>
      </c>
    </row>
    <row r="3254">
      <c r="A3254" s="3">
        <f>IFERROR(__xludf.DUMMYFUNCTION("""COMPUTED_VALUE"""),43621.99861111111)</f>
        <v>43621.99861</v>
      </c>
      <c r="B3254" s="1">
        <f>IFERROR(__xludf.DUMMYFUNCTION("""COMPUTED_VALUE"""),3426.55)</f>
        <v>3426.55</v>
      </c>
    </row>
    <row r="3255">
      <c r="A3255" s="3">
        <f>IFERROR(__xludf.DUMMYFUNCTION("""COMPUTED_VALUE"""),43622.99861111111)</f>
        <v>43622.99861</v>
      </c>
      <c r="B3255" s="1">
        <f>IFERROR(__xludf.DUMMYFUNCTION("""COMPUTED_VALUE"""),3440.45)</f>
        <v>3440.45</v>
      </c>
    </row>
    <row r="3256">
      <c r="A3256" s="3">
        <f>IFERROR(__xludf.DUMMYFUNCTION("""COMPUTED_VALUE"""),43623.99861111111)</f>
        <v>43623.99861</v>
      </c>
      <c r="B3256" s="1">
        <f>IFERROR(__xludf.DUMMYFUNCTION("""COMPUTED_VALUE"""),3437.65)</f>
        <v>3437.65</v>
      </c>
    </row>
    <row r="3257">
      <c r="A3257" s="3">
        <f>IFERROR(__xludf.DUMMYFUNCTION("""COMPUTED_VALUE"""),43624.99861111111)</f>
        <v>43624.99861</v>
      </c>
      <c r="B3257" s="1">
        <f>IFERROR(__xludf.DUMMYFUNCTION("""COMPUTED_VALUE"""),3437.65)</f>
        <v>3437.65</v>
      </c>
    </row>
    <row r="3258">
      <c r="A3258" s="3">
        <f>IFERROR(__xludf.DUMMYFUNCTION("""COMPUTED_VALUE"""),43625.99861111111)</f>
        <v>43625.99861</v>
      </c>
      <c r="B3258" s="1">
        <f>IFERROR(__xludf.DUMMYFUNCTION("""COMPUTED_VALUE"""),3437.65)</f>
        <v>3437.65</v>
      </c>
    </row>
    <row r="3259">
      <c r="A3259" s="3">
        <f>IFERROR(__xludf.DUMMYFUNCTION("""COMPUTED_VALUE"""),43626.99861111111)</f>
        <v>43626.99861</v>
      </c>
      <c r="B3259" s="1">
        <f>IFERROR(__xludf.DUMMYFUNCTION("""COMPUTED_VALUE"""),3424.45)</f>
        <v>3424.45</v>
      </c>
    </row>
    <row r="3260">
      <c r="A3260" s="3">
        <f>IFERROR(__xludf.DUMMYFUNCTION("""COMPUTED_VALUE"""),43627.99861111111)</f>
        <v>43627.99861</v>
      </c>
      <c r="B3260" s="1">
        <f>IFERROR(__xludf.DUMMYFUNCTION("""COMPUTED_VALUE"""),3426.8)</f>
        <v>3426.8</v>
      </c>
    </row>
    <row r="3261">
      <c r="A3261" s="3">
        <f>IFERROR(__xludf.DUMMYFUNCTION("""COMPUTED_VALUE"""),43628.99861111111)</f>
        <v>43628.99861</v>
      </c>
      <c r="B3261" s="1">
        <f>IFERROR(__xludf.DUMMYFUNCTION("""COMPUTED_VALUE"""),3421.85)</f>
        <v>3421.85</v>
      </c>
    </row>
    <row r="3262">
      <c r="A3262" s="3">
        <f>IFERROR(__xludf.DUMMYFUNCTION("""COMPUTED_VALUE"""),43629.99861111111)</f>
        <v>43629.99861</v>
      </c>
      <c r="B3262" s="1">
        <f>IFERROR(__xludf.DUMMYFUNCTION("""COMPUTED_VALUE"""),3423.05)</f>
        <v>3423.05</v>
      </c>
    </row>
    <row r="3263">
      <c r="A3263" s="3">
        <f>IFERROR(__xludf.DUMMYFUNCTION("""COMPUTED_VALUE"""),43630.99861111111)</f>
        <v>43630.99861</v>
      </c>
      <c r="B3263" s="1">
        <f>IFERROR(__xludf.DUMMYFUNCTION("""COMPUTED_VALUE"""),3441.05)</f>
        <v>3441.05</v>
      </c>
    </row>
    <row r="3264">
      <c r="A3264" s="3">
        <f>IFERROR(__xludf.DUMMYFUNCTION("""COMPUTED_VALUE"""),43631.99861111111)</f>
        <v>43631.99861</v>
      </c>
      <c r="B3264" s="1">
        <f>IFERROR(__xludf.DUMMYFUNCTION("""COMPUTED_VALUE"""),3437.7)</f>
        <v>3437.7</v>
      </c>
    </row>
    <row r="3265">
      <c r="A3265" s="3">
        <f>IFERROR(__xludf.DUMMYFUNCTION("""COMPUTED_VALUE"""),43632.99861111111)</f>
        <v>43632.99861</v>
      </c>
      <c r="B3265" s="1">
        <f>IFERROR(__xludf.DUMMYFUNCTION("""COMPUTED_VALUE"""),3437.7)</f>
        <v>3437.7</v>
      </c>
    </row>
    <row r="3266">
      <c r="A3266" s="3">
        <f>IFERROR(__xludf.DUMMYFUNCTION("""COMPUTED_VALUE"""),43633.99861111111)</f>
        <v>43633.99861</v>
      </c>
      <c r="B3266" s="1">
        <f>IFERROR(__xludf.DUMMYFUNCTION("""COMPUTED_VALUE"""),3430.6)</f>
        <v>3430.6</v>
      </c>
    </row>
    <row r="3267">
      <c r="A3267" s="3">
        <f>IFERROR(__xludf.DUMMYFUNCTION("""COMPUTED_VALUE"""),43634.99861111111)</f>
        <v>43634.99861</v>
      </c>
      <c r="B3267" s="1">
        <f>IFERROR(__xludf.DUMMYFUNCTION("""COMPUTED_VALUE"""),3445.7)</f>
        <v>3445.7</v>
      </c>
    </row>
    <row r="3268">
      <c r="A3268" s="3">
        <f>IFERROR(__xludf.DUMMYFUNCTION("""COMPUTED_VALUE"""),43635.99861111111)</f>
        <v>43635.99861</v>
      </c>
      <c r="B3268" s="1">
        <f>IFERROR(__xludf.DUMMYFUNCTION("""COMPUTED_VALUE"""),3424.0)</f>
        <v>3424</v>
      </c>
    </row>
    <row r="3269">
      <c r="A3269" s="3">
        <f>IFERROR(__xludf.DUMMYFUNCTION("""COMPUTED_VALUE"""),43636.99861111111)</f>
        <v>43636.99861</v>
      </c>
      <c r="B3269" s="1">
        <f>IFERROR(__xludf.DUMMYFUNCTION("""COMPUTED_VALUE"""),3416.85)</f>
        <v>3416.85</v>
      </c>
    </row>
    <row r="3270">
      <c r="A3270" s="3">
        <f>IFERROR(__xludf.DUMMYFUNCTION("""COMPUTED_VALUE"""),43637.99861111111)</f>
        <v>43637.99861</v>
      </c>
      <c r="B3270" s="1">
        <f>IFERROR(__xludf.DUMMYFUNCTION("""COMPUTED_VALUE"""),3750.0)</f>
        <v>3750</v>
      </c>
    </row>
    <row r="3271">
      <c r="A3271" s="3">
        <f>IFERROR(__xludf.DUMMYFUNCTION("""COMPUTED_VALUE"""),43638.99861111111)</f>
        <v>43638.99861</v>
      </c>
      <c r="B3271" s="1">
        <f>IFERROR(__xludf.DUMMYFUNCTION("""COMPUTED_VALUE"""),3750.0)</f>
        <v>3750</v>
      </c>
    </row>
    <row r="3272">
      <c r="A3272" s="3">
        <f>IFERROR(__xludf.DUMMYFUNCTION("""COMPUTED_VALUE"""),43639.99861111111)</f>
        <v>43639.99861</v>
      </c>
      <c r="B3272" s="1">
        <f>IFERROR(__xludf.DUMMYFUNCTION("""COMPUTED_VALUE"""),3750.0)</f>
        <v>3750</v>
      </c>
    </row>
    <row r="3273">
      <c r="A3273" s="3">
        <f>IFERROR(__xludf.DUMMYFUNCTION("""COMPUTED_VALUE"""),43640.99861111111)</f>
        <v>43640.99861</v>
      </c>
      <c r="B3273" s="1">
        <f>IFERROR(__xludf.DUMMYFUNCTION("""COMPUTED_VALUE"""),3730.3)</f>
        <v>3730.3</v>
      </c>
    </row>
    <row r="3274">
      <c r="A3274" s="3">
        <f>IFERROR(__xludf.DUMMYFUNCTION("""COMPUTED_VALUE"""),43641.99861111111)</f>
        <v>43641.99861</v>
      </c>
      <c r="B3274" s="1">
        <f>IFERROR(__xludf.DUMMYFUNCTION("""COMPUTED_VALUE"""),3424.55)</f>
        <v>3424.55</v>
      </c>
    </row>
    <row r="3275">
      <c r="A3275" s="3">
        <f>IFERROR(__xludf.DUMMYFUNCTION("""COMPUTED_VALUE"""),43642.99861111111)</f>
        <v>43642.99861</v>
      </c>
      <c r="B3275" s="1">
        <f>IFERROR(__xludf.DUMMYFUNCTION("""COMPUTED_VALUE"""),3420.85)</f>
        <v>3420.85</v>
      </c>
    </row>
    <row r="3276">
      <c r="A3276" s="3">
        <f>IFERROR(__xludf.DUMMYFUNCTION("""COMPUTED_VALUE"""),43643.99861111111)</f>
        <v>43643.99861</v>
      </c>
      <c r="B3276" s="1">
        <f>IFERROR(__xludf.DUMMYFUNCTION("""COMPUTED_VALUE"""),3410.65)</f>
        <v>3410.65</v>
      </c>
    </row>
    <row r="3277">
      <c r="A3277" s="3">
        <f>IFERROR(__xludf.DUMMYFUNCTION("""COMPUTED_VALUE"""),43644.99861111111)</f>
        <v>43644.99861</v>
      </c>
      <c r="B3277" s="1">
        <f>IFERROR(__xludf.DUMMYFUNCTION("""COMPUTED_VALUE"""),3415.8)</f>
        <v>3415.8</v>
      </c>
    </row>
    <row r="3278">
      <c r="A3278" s="3">
        <f>IFERROR(__xludf.DUMMYFUNCTION("""COMPUTED_VALUE"""),43645.99861111111)</f>
        <v>43645.99861</v>
      </c>
      <c r="B3278" s="1">
        <f>IFERROR(__xludf.DUMMYFUNCTION("""COMPUTED_VALUE"""),3415.8)</f>
        <v>3415.8</v>
      </c>
    </row>
    <row r="3279">
      <c r="A3279" s="3">
        <f>IFERROR(__xludf.DUMMYFUNCTION("""COMPUTED_VALUE"""),43646.99861111111)</f>
        <v>43646.99861</v>
      </c>
      <c r="B3279" s="1">
        <f>IFERROR(__xludf.DUMMYFUNCTION("""COMPUTED_VALUE"""),3415.8)</f>
        <v>3415.8</v>
      </c>
    </row>
    <row r="3280">
      <c r="A3280" s="3">
        <f>IFERROR(__xludf.DUMMYFUNCTION("""COMPUTED_VALUE"""),43647.99861111111)</f>
        <v>43647.99861</v>
      </c>
      <c r="B3280" s="1">
        <f>IFERROR(__xludf.DUMMYFUNCTION("""COMPUTED_VALUE"""),3415.2)</f>
        <v>3415.2</v>
      </c>
    </row>
    <row r="3281">
      <c r="A3281" s="3">
        <f>IFERROR(__xludf.DUMMYFUNCTION("""COMPUTED_VALUE"""),43648.99861111111)</f>
        <v>43648.99861</v>
      </c>
      <c r="B3281" s="1">
        <f>IFERROR(__xludf.DUMMYFUNCTION("""COMPUTED_VALUE"""),3416.05)</f>
        <v>3416.05</v>
      </c>
    </row>
    <row r="3282">
      <c r="A3282" s="3">
        <f>IFERROR(__xludf.DUMMYFUNCTION("""COMPUTED_VALUE"""),43649.99861111111)</f>
        <v>43649.99861</v>
      </c>
      <c r="B3282" s="1">
        <f>IFERROR(__xludf.DUMMYFUNCTION("""COMPUTED_VALUE"""),3411.2)</f>
        <v>3411.2</v>
      </c>
    </row>
    <row r="3283">
      <c r="A3283" s="3">
        <f>IFERROR(__xludf.DUMMYFUNCTION("""COMPUTED_VALUE"""),43650.99861111111)</f>
        <v>43650.99861</v>
      </c>
      <c r="B3283" s="1">
        <f>IFERROR(__xludf.DUMMYFUNCTION("""COMPUTED_VALUE"""),3424.65)</f>
        <v>3424.65</v>
      </c>
    </row>
    <row r="3284">
      <c r="A3284" s="3">
        <f>IFERROR(__xludf.DUMMYFUNCTION("""COMPUTED_VALUE"""),43651.99861111111)</f>
        <v>43651.99861</v>
      </c>
      <c r="B3284" s="1">
        <f>IFERROR(__xludf.DUMMYFUNCTION("""COMPUTED_VALUE"""),3401.8)</f>
        <v>3401.8</v>
      </c>
    </row>
    <row r="3285">
      <c r="A3285" s="3">
        <f>IFERROR(__xludf.DUMMYFUNCTION("""COMPUTED_VALUE"""),43652.99861111111)</f>
        <v>43652.99861</v>
      </c>
      <c r="B3285" s="1">
        <f>IFERROR(__xludf.DUMMYFUNCTION("""COMPUTED_VALUE"""),3401.8)</f>
        <v>3401.8</v>
      </c>
    </row>
    <row r="3286">
      <c r="A3286" s="3">
        <f>IFERROR(__xludf.DUMMYFUNCTION("""COMPUTED_VALUE"""),43653.99861111111)</f>
        <v>43653.99861</v>
      </c>
      <c r="B3286" s="1">
        <f>IFERROR(__xludf.DUMMYFUNCTION("""COMPUTED_VALUE"""),3401.8)</f>
        <v>3401.8</v>
      </c>
    </row>
    <row r="3287">
      <c r="A3287" s="3">
        <f>IFERROR(__xludf.DUMMYFUNCTION("""COMPUTED_VALUE"""),43654.99861111111)</f>
        <v>43654.99861</v>
      </c>
      <c r="B3287" s="1">
        <f>IFERROR(__xludf.DUMMYFUNCTION("""COMPUTED_VALUE"""),3724.95)</f>
        <v>3724.95</v>
      </c>
    </row>
    <row r="3288">
      <c r="A3288" s="3">
        <f>IFERROR(__xludf.DUMMYFUNCTION("""COMPUTED_VALUE"""),43655.99861111111)</f>
        <v>43655.99861</v>
      </c>
      <c r="B3288" s="1">
        <f>IFERROR(__xludf.DUMMYFUNCTION("""COMPUTED_VALUE"""),3726.9)</f>
        <v>3726.9</v>
      </c>
    </row>
    <row r="3289">
      <c r="A3289" s="3">
        <f>IFERROR(__xludf.DUMMYFUNCTION("""COMPUTED_VALUE"""),43656.99861111111)</f>
        <v>43656.99861</v>
      </c>
      <c r="B3289" s="1">
        <f>IFERROR(__xludf.DUMMYFUNCTION("""COMPUTED_VALUE"""),3419.5)</f>
        <v>3419.5</v>
      </c>
    </row>
    <row r="3290">
      <c r="A3290" s="3">
        <f>IFERROR(__xludf.DUMMYFUNCTION("""COMPUTED_VALUE"""),43657.99861111111)</f>
        <v>43657.99861</v>
      </c>
      <c r="B3290" s="1">
        <f>IFERROR(__xludf.DUMMYFUNCTION("""COMPUTED_VALUE"""),3419.5)</f>
        <v>3419.5</v>
      </c>
    </row>
    <row r="3291">
      <c r="A3291" s="3">
        <f>IFERROR(__xludf.DUMMYFUNCTION("""COMPUTED_VALUE"""),43658.99861111111)</f>
        <v>43658.99861</v>
      </c>
      <c r="B3291" s="1">
        <f>IFERROR(__xludf.DUMMYFUNCTION("""COMPUTED_VALUE"""),3395.4)</f>
        <v>3395.4</v>
      </c>
    </row>
    <row r="3292">
      <c r="A3292" s="3">
        <f>IFERROR(__xludf.DUMMYFUNCTION("""COMPUTED_VALUE"""),43659.99861111111)</f>
        <v>43659.99861</v>
      </c>
      <c r="B3292" s="1">
        <f>IFERROR(__xludf.DUMMYFUNCTION("""COMPUTED_VALUE"""),3395.4)</f>
        <v>3395.4</v>
      </c>
    </row>
    <row r="3293">
      <c r="A3293" s="3">
        <f>IFERROR(__xludf.DUMMYFUNCTION("""COMPUTED_VALUE"""),43660.99861111111)</f>
        <v>43660.99861</v>
      </c>
      <c r="B3293" s="1">
        <f>IFERROR(__xludf.DUMMYFUNCTION("""COMPUTED_VALUE"""),3395.4)</f>
        <v>3395.4</v>
      </c>
    </row>
    <row r="3294">
      <c r="A3294" s="3">
        <f>IFERROR(__xludf.DUMMYFUNCTION("""COMPUTED_VALUE"""),43661.99861111111)</f>
        <v>43661.99861</v>
      </c>
      <c r="B3294" s="1">
        <f>IFERROR(__xludf.DUMMYFUNCTION("""COMPUTED_VALUE"""),3390.9)</f>
        <v>3390.9</v>
      </c>
    </row>
    <row r="3295">
      <c r="A3295" s="3">
        <f>IFERROR(__xludf.DUMMYFUNCTION("""COMPUTED_VALUE"""),43662.99861111111)</f>
        <v>43662.99861</v>
      </c>
      <c r="B3295" s="1">
        <f>IFERROR(__xludf.DUMMYFUNCTION("""COMPUTED_VALUE"""),3394.5)</f>
        <v>3394.5</v>
      </c>
    </row>
    <row r="3296">
      <c r="A3296" s="3">
        <f>IFERROR(__xludf.DUMMYFUNCTION("""COMPUTED_VALUE"""),43663.99861111111)</f>
        <v>43663.99861</v>
      </c>
      <c r="B3296" s="1">
        <f>IFERROR(__xludf.DUMMYFUNCTION("""COMPUTED_VALUE"""),3395.4)</f>
        <v>3395.4</v>
      </c>
    </row>
    <row r="3297">
      <c r="A3297" s="3">
        <f>IFERROR(__xludf.DUMMYFUNCTION("""COMPUTED_VALUE"""),43664.99861111111)</f>
        <v>43664.99861</v>
      </c>
      <c r="B3297" s="1">
        <f>IFERROR(__xludf.DUMMYFUNCTION("""COMPUTED_VALUE"""),3394.0)</f>
        <v>3394</v>
      </c>
    </row>
    <row r="3298">
      <c r="A3298" s="3">
        <f>IFERROR(__xludf.DUMMYFUNCTION("""COMPUTED_VALUE"""),43665.99861111111)</f>
        <v>43665.99861</v>
      </c>
      <c r="B3298" s="1">
        <f>IFERROR(__xludf.DUMMYFUNCTION("""COMPUTED_VALUE"""),3388.5)</f>
        <v>3388.5</v>
      </c>
    </row>
    <row r="3299">
      <c r="A3299" s="3">
        <f>IFERROR(__xludf.DUMMYFUNCTION("""COMPUTED_VALUE"""),43666.99861111111)</f>
        <v>43666.99861</v>
      </c>
      <c r="B3299" s="1">
        <f>IFERROR(__xludf.DUMMYFUNCTION("""COMPUTED_VALUE"""),3387.65)</f>
        <v>3387.65</v>
      </c>
    </row>
    <row r="3300">
      <c r="A3300" s="3">
        <f>IFERROR(__xludf.DUMMYFUNCTION("""COMPUTED_VALUE"""),43667.99861111111)</f>
        <v>43667.99861</v>
      </c>
      <c r="B3300" s="1">
        <f>IFERROR(__xludf.DUMMYFUNCTION("""COMPUTED_VALUE"""),3387.65)</f>
        <v>3387.65</v>
      </c>
    </row>
    <row r="3301">
      <c r="A3301" s="3">
        <f>IFERROR(__xludf.DUMMYFUNCTION("""COMPUTED_VALUE"""),43668.99861111111)</f>
        <v>43668.99861</v>
      </c>
      <c r="B3301" s="1">
        <f>IFERROR(__xludf.DUMMYFUNCTION("""COMPUTED_VALUE"""),3386.65)</f>
        <v>3386.65</v>
      </c>
    </row>
    <row r="3302">
      <c r="A3302" s="3">
        <f>IFERROR(__xludf.DUMMYFUNCTION("""COMPUTED_VALUE"""),43669.99861111111)</f>
        <v>43669.99861</v>
      </c>
      <c r="B3302" s="1">
        <f>IFERROR(__xludf.DUMMYFUNCTION("""COMPUTED_VALUE"""),3406.4)</f>
        <v>3406.4</v>
      </c>
    </row>
    <row r="3303">
      <c r="A3303" s="3">
        <f>IFERROR(__xludf.DUMMYFUNCTION("""COMPUTED_VALUE"""),43670.99861111111)</f>
        <v>43670.99861</v>
      </c>
      <c r="B3303" s="1">
        <f>IFERROR(__xludf.DUMMYFUNCTION("""COMPUTED_VALUE"""),3400.5)</f>
        <v>3400.5</v>
      </c>
    </row>
    <row r="3304">
      <c r="A3304" s="3">
        <f>IFERROR(__xludf.DUMMYFUNCTION("""COMPUTED_VALUE"""),43671.99861111111)</f>
        <v>43671.99861</v>
      </c>
      <c r="B3304" s="1">
        <f>IFERROR(__xludf.DUMMYFUNCTION("""COMPUTED_VALUE"""),3397.0)</f>
        <v>3397</v>
      </c>
    </row>
    <row r="3305">
      <c r="A3305" s="3">
        <f>IFERROR(__xludf.DUMMYFUNCTION("""COMPUTED_VALUE"""),43672.99861111111)</f>
        <v>43672.99861</v>
      </c>
      <c r="B3305" s="1">
        <f>IFERROR(__xludf.DUMMYFUNCTION("""COMPUTED_VALUE"""),3393.6)</f>
        <v>3393.6</v>
      </c>
    </row>
    <row r="3306">
      <c r="A3306" s="3">
        <f>IFERROR(__xludf.DUMMYFUNCTION("""COMPUTED_VALUE"""),43673.99861111111)</f>
        <v>43673.99861</v>
      </c>
      <c r="B3306" s="1">
        <f>IFERROR(__xludf.DUMMYFUNCTION("""COMPUTED_VALUE"""),3393.6)</f>
        <v>3393.6</v>
      </c>
    </row>
    <row r="3307">
      <c r="A3307" s="3">
        <f>IFERROR(__xludf.DUMMYFUNCTION("""COMPUTED_VALUE"""),43674.99861111111)</f>
        <v>43674.99861</v>
      </c>
      <c r="B3307" s="1">
        <f>IFERROR(__xludf.DUMMYFUNCTION("""COMPUTED_VALUE"""),3393.6)</f>
        <v>3393.6</v>
      </c>
    </row>
    <row r="3308">
      <c r="A3308" s="3">
        <f>IFERROR(__xludf.DUMMYFUNCTION("""COMPUTED_VALUE"""),43675.99861111111)</f>
        <v>43675.99861</v>
      </c>
      <c r="B3308" s="1">
        <f>IFERROR(__xludf.DUMMYFUNCTION("""COMPUTED_VALUE"""),3510.8)</f>
        <v>3510.8</v>
      </c>
    </row>
    <row r="3309">
      <c r="A3309" s="3">
        <f>IFERROR(__xludf.DUMMYFUNCTION("""COMPUTED_VALUE"""),43676.99861111111)</f>
        <v>43676.99861</v>
      </c>
      <c r="B3309" s="1">
        <f>IFERROR(__xludf.DUMMYFUNCTION("""COMPUTED_VALUE"""),3399.4)</f>
        <v>3399.4</v>
      </c>
    </row>
    <row r="3310">
      <c r="A3310" s="3">
        <f>IFERROR(__xludf.DUMMYFUNCTION("""COMPUTED_VALUE"""),43677.99861111111)</f>
        <v>43677.99861</v>
      </c>
      <c r="B3310" s="1">
        <f>IFERROR(__xludf.DUMMYFUNCTION("""COMPUTED_VALUE"""),3403.35)</f>
        <v>3403.35</v>
      </c>
    </row>
    <row r="3311">
      <c r="A3311" s="3">
        <f>IFERROR(__xludf.DUMMYFUNCTION("""COMPUTED_VALUE"""),43678.99861111111)</f>
        <v>43678.99861</v>
      </c>
      <c r="B3311" s="1">
        <f>IFERROR(__xludf.DUMMYFUNCTION("""COMPUTED_VALUE"""),3409.2)</f>
        <v>3409.2</v>
      </c>
    </row>
    <row r="3312">
      <c r="A3312" s="3">
        <f>IFERROR(__xludf.DUMMYFUNCTION("""COMPUTED_VALUE"""),43679.99861111111)</f>
        <v>43679.99861</v>
      </c>
      <c r="B3312" s="1">
        <f>IFERROR(__xludf.DUMMYFUNCTION("""COMPUTED_VALUE"""),3388.5)</f>
        <v>3388.5</v>
      </c>
    </row>
    <row r="3313">
      <c r="A3313" s="3">
        <f>IFERROR(__xludf.DUMMYFUNCTION("""COMPUTED_VALUE"""),43680.99861111111)</f>
        <v>43680.99861</v>
      </c>
      <c r="B3313" s="1">
        <f>IFERROR(__xludf.DUMMYFUNCTION("""COMPUTED_VALUE"""),3388.5)</f>
        <v>3388.5</v>
      </c>
    </row>
    <row r="3314">
      <c r="A3314" s="3">
        <f>IFERROR(__xludf.DUMMYFUNCTION("""COMPUTED_VALUE"""),43681.99861111111)</f>
        <v>43681.99861</v>
      </c>
      <c r="B3314" s="1">
        <f>IFERROR(__xludf.DUMMYFUNCTION("""COMPUTED_VALUE"""),3388.5)</f>
        <v>3388.5</v>
      </c>
    </row>
    <row r="3315">
      <c r="A3315" s="3">
        <f>IFERROR(__xludf.DUMMYFUNCTION("""COMPUTED_VALUE"""),43682.99861111111)</f>
        <v>43682.99861</v>
      </c>
      <c r="B3315" s="1">
        <f>IFERROR(__xludf.DUMMYFUNCTION("""COMPUTED_VALUE"""),3387.25)</f>
        <v>3387.25</v>
      </c>
    </row>
    <row r="3316">
      <c r="A3316" s="3">
        <f>IFERROR(__xludf.DUMMYFUNCTION("""COMPUTED_VALUE"""),43683.99861111111)</f>
        <v>43683.99861</v>
      </c>
      <c r="B3316" s="1">
        <f>IFERROR(__xludf.DUMMYFUNCTION("""COMPUTED_VALUE"""),3394.0)</f>
        <v>3394</v>
      </c>
    </row>
    <row r="3317">
      <c r="A3317" s="3">
        <f>IFERROR(__xludf.DUMMYFUNCTION("""COMPUTED_VALUE"""),43684.99861111111)</f>
        <v>43684.99861</v>
      </c>
      <c r="B3317" s="1">
        <f>IFERROR(__xludf.DUMMYFUNCTION("""COMPUTED_VALUE"""),3381.35)</f>
        <v>3381.35</v>
      </c>
    </row>
    <row r="3318">
      <c r="A3318" s="3">
        <f>IFERROR(__xludf.DUMMYFUNCTION("""COMPUTED_VALUE"""),43685.99861111111)</f>
        <v>43685.99861</v>
      </c>
      <c r="B3318" s="1">
        <f>IFERROR(__xludf.DUMMYFUNCTION("""COMPUTED_VALUE"""),3396.05)</f>
        <v>3396.05</v>
      </c>
    </row>
    <row r="3319">
      <c r="A3319" s="3">
        <f>IFERROR(__xludf.DUMMYFUNCTION("""COMPUTED_VALUE"""),43686.99861111111)</f>
        <v>43686.99861</v>
      </c>
      <c r="B3319" s="1">
        <f>IFERROR(__xludf.DUMMYFUNCTION("""COMPUTED_VALUE"""),3389.0)</f>
        <v>3389</v>
      </c>
    </row>
    <row r="3320">
      <c r="A3320" s="3">
        <f>IFERROR(__xludf.DUMMYFUNCTION("""COMPUTED_VALUE"""),43687.99861111111)</f>
        <v>43687.99861</v>
      </c>
      <c r="B3320" s="1">
        <f>IFERROR(__xludf.DUMMYFUNCTION("""COMPUTED_VALUE"""),3389.0)</f>
        <v>3389</v>
      </c>
    </row>
    <row r="3321">
      <c r="A3321" s="3">
        <f>IFERROR(__xludf.DUMMYFUNCTION("""COMPUTED_VALUE"""),43688.99861111111)</f>
        <v>43688.99861</v>
      </c>
      <c r="B3321" s="1">
        <f>IFERROR(__xludf.DUMMYFUNCTION("""COMPUTED_VALUE"""),3389.0)</f>
        <v>3389</v>
      </c>
    </row>
    <row r="3322">
      <c r="A3322" s="3">
        <f>IFERROR(__xludf.DUMMYFUNCTION("""COMPUTED_VALUE"""),43689.99861111111)</f>
        <v>43689.99861</v>
      </c>
      <c r="B3322" s="1">
        <f>IFERROR(__xludf.DUMMYFUNCTION("""COMPUTED_VALUE"""),3385.9)</f>
        <v>3385.9</v>
      </c>
    </row>
    <row r="3323">
      <c r="A3323" s="3">
        <f>IFERROR(__xludf.DUMMYFUNCTION("""COMPUTED_VALUE"""),43690.99861111111)</f>
        <v>43690.99861</v>
      </c>
      <c r="B3323" s="1">
        <f>IFERROR(__xludf.DUMMYFUNCTION("""COMPUTED_VALUE"""),3421.9)</f>
        <v>3421.9</v>
      </c>
    </row>
    <row r="3324">
      <c r="A3324" s="3">
        <f>IFERROR(__xludf.DUMMYFUNCTION("""COMPUTED_VALUE"""),43691.99861111111)</f>
        <v>43691.99861</v>
      </c>
      <c r="B3324" s="1">
        <f>IFERROR(__xludf.DUMMYFUNCTION("""COMPUTED_VALUE"""),3406.8)</f>
        <v>3406.8</v>
      </c>
    </row>
    <row r="3325">
      <c r="A3325" s="3">
        <f>IFERROR(__xludf.DUMMYFUNCTION("""COMPUTED_VALUE"""),43692.99861111111)</f>
        <v>43692.99861</v>
      </c>
      <c r="B3325" s="1">
        <f>IFERROR(__xludf.DUMMYFUNCTION("""COMPUTED_VALUE"""),3419.95)</f>
        <v>3419.95</v>
      </c>
    </row>
    <row r="3326">
      <c r="A3326" s="3">
        <f>IFERROR(__xludf.DUMMYFUNCTION("""COMPUTED_VALUE"""),43693.99861111111)</f>
        <v>43693.99861</v>
      </c>
      <c r="B3326" s="1">
        <f>IFERROR(__xludf.DUMMYFUNCTION("""COMPUTED_VALUE"""),3403.45)</f>
        <v>3403.45</v>
      </c>
    </row>
    <row r="3327">
      <c r="A3327" s="3">
        <f>IFERROR(__xludf.DUMMYFUNCTION("""COMPUTED_VALUE"""),43694.99861111111)</f>
        <v>43694.99861</v>
      </c>
      <c r="B3327" s="1">
        <f>IFERROR(__xludf.DUMMYFUNCTION("""COMPUTED_VALUE"""),3403.45)</f>
        <v>3403.45</v>
      </c>
    </row>
    <row r="3328">
      <c r="A3328" s="3">
        <f>IFERROR(__xludf.DUMMYFUNCTION("""COMPUTED_VALUE"""),43695.99861111111)</f>
        <v>43695.99861</v>
      </c>
      <c r="B3328" s="1">
        <f>IFERROR(__xludf.DUMMYFUNCTION("""COMPUTED_VALUE"""),3403.45)</f>
        <v>3403.45</v>
      </c>
    </row>
    <row r="3329">
      <c r="A3329" s="3">
        <f>IFERROR(__xludf.DUMMYFUNCTION("""COMPUTED_VALUE"""),43696.99861111111)</f>
        <v>43696.99861</v>
      </c>
      <c r="B3329" s="1">
        <f>IFERROR(__xludf.DUMMYFUNCTION("""COMPUTED_VALUE"""),3414.45)</f>
        <v>3414.45</v>
      </c>
    </row>
    <row r="3330">
      <c r="A3330" s="3">
        <f>IFERROR(__xludf.DUMMYFUNCTION("""COMPUTED_VALUE"""),43697.99861111111)</f>
        <v>43697.99861</v>
      </c>
      <c r="B3330" s="1">
        <f>IFERROR(__xludf.DUMMYFUNCTION("""COMPUTED_VALUE"""),3406.0)</f>
        <v>3406</v>
      </c>
    </row>
    <row r="3331">
      <c r="A3331" s="3">
        <f>IFERROR(__xludf.DUMMYFUNCTION("""COMPUTED_VALUE"""),43698.99861111111)</f>
        <v>43698.99861</v>
      </c>
      <c r="B3331" s="1">
        <f>IFERROR(__xludf.DUMMYFUNCTION("""COMPUTED_VALUE"""),3410.5)</f>
        <v>3410.5</v>
      </c>
    </row>
    <row r="3332">
      <c r="A3332" s="3">
        <f>IFERROR(__xludf.DUMMYFUNCTION("""COMPUTED_VALUE"""),43699.99861111111)</f>
        <v>43699.99861</v>
      </c>
      <c r="B3332" s="1">
        <f>IFERROR(__xludf.DUMMYFUNCTION("""COMPUTED_VALUE"""),3396.15)</f>
        <v>3396.15</v>
      </c>
    </row>
    <row r="3333">
      <c r="A3333" s="3">
        <f>IFERROR(__xludf.DUMMYFUNCTION("""COMPUTED_VALUE"""),43700.99861111111)</f>
        <v>43700.99861</v>
      </c>
      <c r="B3333" s="1">
        <f>IFERROR(__xludf.DUMMYFUNCTION("""COMPUTED_VALUE"""),3365.75)</f>
        <v>3365.75</v>
      </c>
    </row>
    <row r="3334">
      <c r="A3334" s="3">
        <f>IFERROR(__xludf.DUMMYFUNCTION("""COMPUTED_VALUE"""),43701.99861111111)</f>
        <v>43701.99861</v>
      </c>
      <c r="B3334" s="1">
        <f>IFERROR(__xludf.DUMMYFUNCTION("""COMPUTED_VALUE"""),3390.85)</f>
        <v>3390.85</v>
      </c>
    </row>
    <row r="3335">
      <c r="A3335" s="3">
        <f>IFERROR(__xludf.DUMMYFUNCTION("""COMPUTED_VALUE"""),43702.99861111111)</f>
        <v>43702.99861</v>
      </c>
      <c r="B3335" s="1">
        <f>IFERROR(__xludf.DUMMYFUNCTION("""COMPUTED_VALUE"""),3390.85)</f>
        <v>3390.85</v>
      </c>
    </row>
    <row r="3336">
      <c r="A3336" s="3">
        <f>IFERROR(__xludf.DUMMYFUNCTION("""COMPUTED_VALUE"""),43703.99861111111)</f>
        <v>43703.99861</v>
      </c>
      <c r="B3336" s="1">
        <f>IFERROR(__xludf.DUMMYFUNCTION("""COMPUTED_VALUE"""),3386.55)</f>
        <v>3386.55</v>
      </c>
    </row>
    <row r="3337">
      <c r="A3337" s="3">
        <f>IFERROR(__xludf.DUMMYFUNCTION("""COMPUTED_VALUE"""),43704.99861111111)</f>
        <v>43704.99861</v>
      </c>
      <c r="B3337" s="1">
        <f>IFERROR(__xludf.DUMMYFUNCTION("""COMPUTED_VALUE"""),3390.75)</f>
        <v>3390.75</v>
      </c>
    </row>
    <row r="3338">
      <c r="A3338" s="3">
        <f>IFERROR(__xludf.DUMMYFUNCTION("""COMPUTED_VALUE"""),43705.99861111111)</f>
        <v>43705.99861</v>
      </c>
      <c r="B3338" s="1">
        <f>IFERROR(__xludf.DUMMYFUNCTION("""COMPUTED_VALUE"""),3381.05)</f>
        <v>3381.05</v>
      </c>
    </row>
    <row r="3339">
      <c r="A3339" s="3">
        <f>IFERROR(__xludf.DUMMYFUNCTION("""COMPUTED_VALUE"""),43706.99861111111)</f>
        <v>43706.99861</v>
      </c>
      <c r="B3339" s="1">
        <f>IFERROR(__xludf.DUMMYFUNCTION("""COMPUTED_VALUE"""),3379.85)</f>
        <v>3379.85</v>
      </c>
    </row>
    <row r="3340">
      <c r="A3340" s="3">
        <f>IFERROR(__xludf.DUMMYFUNCTION("""COMPUTED_VALUE"""),43707.99861111111)</f>
        <v>43707.99861</v>
      </c>
      <c r="B3340" s="1">
        <f>IFERROR(__xludf.DUMMYFUNCTION("""COMPUTED_VALUE"""),3381.45)</f>
        <v>3381.45</v>
      </c>
    </row>
    <row r="3341">
      <c r="A3341" s="3">
        <f>IFERROR(__xludf.DUMMYFUNCTION("""COMPUTED_VALUE"""),43708.99861111111)</f>
        <v>43708.99861</v>
      </c>
      <c r="B3341" s="1">
        <f>IFERROR(__xludf.DUMMYFUNCTION("""COMPUTED_VALUE"""),3381.45)</f>
        <v>3381.45</v>
      </c>
    </row>
    <row r="3342">
      <c r="A3342" s="3">
        <f>IFERROR(__xludf.DUMMYFUNCTION("""COMPUTED_VALUE"""),43709.99861111111)</f>
        <v>43709.99861</v>
      </c>
      <c r="B3342" s="1">
        <f>IFERROR(__xludf.DUMMYFUNCTION("""COMPUTED_VALUE"""),3381.45)</f>
        <v>3381.45</v>
      </c>
    </row>
    <row r="3343">
      <c r="A3343" s="3">
        <f>IFERROR(__xludf.DUMMYFUNCTION("""COMPUTED_VALUE"""),43710.99861111111)</f>
        <v>43710.99861</v>
      </c>
      <c r="B3343" s="1">
        <f>IFERROR(__xludf.DUMMYFUNCTION("""COMPUTED_VALUE"""),3360.35)</f>
        <v>3360.35</v>
      </c>
    </row>
    <row r="3344">
      <c r="A3344" s="3">
        <f>IFERROR(__xludf.DUMMYFUNCTION("""COMPUTED_VALUE"""),43711.99861111111)</f>
        <v>43711.99861</v>
      </c>
      <c r="B3344" s="1">
        <f>IFERROR(__xludf.DUMMYFUNCTION("""COMPUTED_VALUE"""),3378.5)</f>
        <v>3378.5</v>
      </c>
    </row>
    <row r="3345">
      <c r="A3345" s="3">
        <f>IFERROR(__xludf.DUMMYFUNCTION("""COMPUTED_VALUE"""),43712.99861111111)</f>
        <v>43712.99861</v>
      </c>
      <c r="B3345" s="1">
        <f>IFERROR(__xludf.DUMMYFUNCTION("""COMPUTED_VALUE"""),3376.6)</f>
        <v>3376.6</v>
      </c>
    </row>
    <row r="3346">
      <c r="A3346" s="3">
        <f>IFERROR(__xludf.DUMMYFUNCTION("""COMPUTED_VALUE"""),43713.99861111111)</f>
        <v>43713.99861</v>
      </c>
      <c r="B3346" s="1">
        <f>IFERROR(__xludf.DUMMYFUNCTION("""COMPUTED_VALUE"""),3373.9)</f>
        <v>3373.9</v>
      </c>
    </row>
    <row r="3347">
      <c r="A3347" s="3">
        <f>IFERROR(__xludf.DUMMYFUNCTION("""COMPUTED_VALUE"""),43714.99861111111)</f>
        <v>43714.99861</v>
      </c>
      <c r="B3347" s="1">
        <f>IFERROR(__xludf.DUMMYFUNCTION("""COMPUTED_VALUE"""),3371.55)</f>
        <v>3371.55</v>
      </c>
    </row>
    <row r="3348">
      <c r="A3348" s="3">
        <f>IFERROR(__xludf.DUMMYFUNCTION("""COMPUTED_VALUE"""),43715.99861111111)</f>
        <v>43715.99861</v>
      </c>
      <c r="B3348" s="1">
        <f>IFERROR(__xludf.DUMMYFUNCTION("""COMPUTED_VALUE"""),3371.65)</f>
        <v>3371.65</v>
      </c>
    </row>
    <row r="3349">
      <c r="A3349" s="3">
        <f>IFERROR(__xludf.DUMMYFUNCTION("""COMPUTED_VALUE"""),43716.99861111111)</f>
        <v>43716.99861</v>
      </c>
      <c r="B3349" s="1">
        <f>IFERROR(__xludf.DUMMYFUNCTION("""COMPUTED_VALUE"""),3371.65)</f>
        <v>3371.65</v>
      </c>
    </row>
    <row r="3350">
      <c r="A3350" s="3">
        <f>IFERROR(__xludf.DUMMYFUNCTION("""COMPUTED_VALUE"""),43717.99861111111)</f>
        <v>43717.99861</v>
      </c>
      <c r="B3350" s="1">
        <f>IFERROR(__xludf.DUMMYFUNCTION("""COMPUTED_VALUE"""),3361.7)</f>
        <v>3361.7</v>
      </c>
    </row>
    <row r="3351">
      <c r="A3351" s="3">
        <f>IFERROR(__xludf.DUMMYFUNCTION("""COMPUTED_VALUE"""),43718.99861111111)</f>
        <v>43718.99861</v>
      </c>
      <c r="B3351" s="1">
        <f>IFERROR(__xludf.DUMMYFUNCTION("""COMPUTED_VALUE"""),3373.1)</f>
        <v>3373.1</v>
      </c>
    </row>
    <row r="3352">
      <c r="A3352" s="3">
        <f>IFERROR(__xludf.DUMMYFUNCTION("""COMPUTED_VALUE"""),43719.99861111111)</f>
        <v>43719.99861</v>
      </c>
      <c r="B3352" s="1">
        <f>IFERROR(__xludf.DUMMYFUNCTION("""COMPUTED_VALUE"""),3364.7)</f>
        <v>3364.7</v>
      </c>
    </row>
    <row r="3353">
      <c r="A3353" s="3">
        <f>IFERROR(__xludf.DUMMYFUNCTION("""COMPUTED_VALUE"""),43720.99861111111)</f>
        <v>43720.99861</v>
      </c>
      <c r="B3353" s="1">
        <f>IFERROR(__xludf.DUMMYFUNCTION("""COMPUTED_VALUE"""),3345.2)</f>
        <v>3345.2</v>
      </c>
    </row>
    <row r="3354">
      <c r="A3354" s="3">
        <f>IFERROR(__xludf.DUMMYFUNCTION("""COMPUTED_VALUE"""),43721.99861111111)</f>
        <v>43721.99861</v>
      </c>
      <c r="B3354" s="1">
        <f>IFERROR(__xludf.DUMMYFUNCTION("""COMPUTED_VALUE"""),3348.65)</f>
        <v>3348.65</v>
      </c>
    </row>
    <row r="3355">
      <c r="A3355" s="3">
        <f>IFERROR(__xludf.DUMMYFUNCTION("""COMPUTED_VALUE"""),43722.99861111111)</f>
        <v>43722.99861</v>
      </c>
      <c r="B3355" s="1">
        <f>IFERROR(__xludf.DUMMYFUNCTION("""COMPUTED_VALUE"""),3348.65)</f>
        <v>3348.65</v>
      </c>
    </row>
    <row r="3356">
      <c r="A3356" s="3">
        <f>IFERROR(__xludf.DUMMYFUNCTION("""COMPUTED_VALUE"""),43723.99861111111)</f>
        <v>43723.99861</v>
      </c>
      <c r="B3356" s="1">
        <f>IFERROR(__xludf.DUMMYFUNCTION("""COMPUTED_VALUE"""),3348.65)</f>
        <v>3348.65</v>
      </c>
    </row>
    <row r="3357">
      <c r="A3357" s="3">
        <f>IFERROR(__xludf.DUMMYFUNCTION("""COMPUTED_VALUE"""),43724.99861111111)</f>
        <v>43724.99861</v>
      </c>
      <c r="B3357" s="1">
        <f>IFERROR(__xludf.DUMMYFUNCTION("""COMPUTED_VALUE"""),3362.65)</f>
        <v>3362.65</v>
      </c>
    </row>
    <row r="3358">
      <c r="A3358" s="3">
        <f>IFERROR(__xludf.DUMMYFUNCTION("""COMPUTED_VALUE"""),43725.99861111111)</f>
        <v>43725.99861</v>
      </c>
      <c r="B3358" s="1">
        <f>IFERROR(__xludf.DUMMYFUNCTION("""COMPUTED_VALUE"""),3332.2)</f>
        <v>3332.2</v>
      </c>
    </row>
    <row r="3359">
      <c r="A3359" s="3">
        <f>IFERROR(__xludf.DUMMYFUNCTION("""COMPUTED_VALUE"""),43726.99861111111)</f>
        <v>43726.99861</v>
      </c>
      <c r="B3359" s="1">
        <f>IFERROR(__xludf.DUMMYFUNCTION("""COMPUTED_VALUE"""),3371.75)</f>
        <v>3371.75</v>
      </c>
    </row>
    <row r="3360">
      <c r="A3360" s="3">
        <f>IFERROR(__xludf.DUMMYFUNCTION("""COMPUTED_VALUE"""),43727.99861111111)</f>
        <v>43727.99861</v>
      </c>
      <c r="B3360" s="1">
        <f>IFERROR(__xludf.DUMMYFUNCTION("""COMPUTED_VALUE"""),3370.9)</f>
        <v>3370.9</v>
      </c>
    </row>
    <row r="3361">
      <c r="A3361" s="3">
        <f>IFERROR(__xludf.DUMMYFUNCTION("""COMPUTED_VALUE"""),43728.99861111111)</f>
        <v>43728.99861</v>
      </c>
      <c r="B3361" s="1">
        <f>IFERROR(__xludf.DUMMYFUNCTION("""COMPUTED_VALUE"""),3366.25)</f>
        <v>3366.25</v>
      </c>
    </row>
    <row r="3362">
      <c r="A3362" s="3">
        <f>IFERROR(__xludf.DUMMYFUNCTION("""COMPUTED_VALUE"""),43729.99861111111)</f>
        <v>43729.99861</v>
      </c>
      <c r="B3362" s="1">
        <f>IFERROR(__xludf.DUMMYFUNCTION("""COMPUTED_VALUE"""),3366.25)</f>
        <v>3366.25</v>
      </c>
    </row>
    <row r="3363">
      <c r="A3363" s="3">
        <f>IFERROR(__xludf.DUMMYFUNCTION("""COMPUTED_VALUE"""),43730.99861111111)</f>
        <v>43730.99861</v>
      </c>
      <c r="B3363" s="1">
        <f>IFERROR(__xludf.DUMMYFUNCTION("""COMPUTED_VALUE"""),3366.25)</f>
        <v>3366.25</v>
      </c>
    </row>
    <row r="3364">
      <c r="A3364" s="3">
        <f>IFERROR(__xludf.DUMMYFUNCTION("""COMPUTED_VALUE"""),43731.99861111111)</f>
        <v>43731.99861</v>
      </c>
      <c r="B3364" s="1">
        <f>IFERROR(__xludf.DUMMYFUNCTION("""COMPUTED_VALUE"""),3367.65)</f>
        <v>3367.65</v>
      </c>
    </row>
    <row r="3365">
      <c r="A3365" s="3">
        <f>IFERROR(__xludf.DUMMYFUNCTION("""COMPUTED_VALUE"""),43732.99861111111)</f>
        <v>43732.99861</v>
      </c>
      <c r="B3365" s="1">
        <f>IFERROR(__xludf.DUMMYFUNCTION("""COMPUTED_VALUE"""),3376.25)</f>
        <v>3376.25</v>
      </c>
    </row>
    <row r="3366">
      <c r="A3366" s="3">
        <f>IFERROR(__xludf.DUMMYFUNCTION("""COMPUTED_VALUE"""),43733.99861111111)</f>
        <v>43733.99861</v>
      </c>
      <c r="B3366" s="1">
        <f>IFERROR(__xludf.DUMMYFUNCTION("""COMPUTED_VALUE"""),3376.3)</f>
        <v>3376.3</v>
      </c>
    </row>
    <row r="3367">
      <c r="A3367" s="3">
        <f>IFERROR(__xludf.DUMMYFUNCTION("""COMPUTED_VALUE"""),43734.99861111111)</f>
        <v>43734.99861</v>
      </c>
      <c r="B3367" s="1">
        <f>IFERROR(__xludf.DUMMYFUNCTION("""COMPUTED_VALUE"""),3389.6)</f>
        <v>3389.6</v>
      </c>
    </row>
    <row r="3368">
      <c r="A3368" s="3">
        <f>IFERROR(__xludf.DUMMYFUNCTION("""COMPUTED_VALUE"""),43735.99861111111)</f>
        <v>43735.99861</v>
      </c>
      <c r="B3368" s="1">
        <f>IFERROR(__xludf.DUMMYFUNCTION("""COMPUTED_VALUE"""),3376.2)</f>
        <v>3376.2</v>
      </c>
    </row>
    <row r="3369">
      <c r="A3369" s="3">
        <f>IFERROR(__xludf.DUMMYFUNCTION("""COMPUTED_VALUE"""),43736.99861111111)</f>
        <v>43736.99861</v>
      </c>
      <c r="B3369" s="1">
        <f>IFERROR(__xludf.DUMMYFUNCTION("""COMPUTED_VALUE"""),3382.3)</f>
        <v>3382.3</v>
      </c>
    </row>
    <row r="3370">
      <c r="A3370" s="3">
        <f>IFERROR(__xludf.DUMMYFUNCTION("""COMPUTED_VALUE"""),43737.99861111111)</f>
        <v>43737.99861</v>
      </c>
      <c r="B3370" s="1">
        <f>IFERROR(__xludf.DUMMYFUNCTION("""COMPUTED_VALUE"""),3382.3)</f>
        <v>3382.3</v>
      </c>
    </row>
    <row r="3371">
      <c r="A3371" s="3">
        <f>IFERROR(__xludf.DUMMYFUNCTION("""COMPUTED_VALUE"""),43738.99861111111)</f>
        <v>43738.99861</v>
      </c>
      <c r="B3371" s="1">
        <f>IFERROR(__xludf.DUMMYFUNCTION("""COMPUTED_VALUE"""),3390.3)</f>
        <v>3390.3</v>
      </c>
    </row>
    <row r="3372">
      <c r="A3372" s="3">
        <f>IFERROR(__xludf.DUMMYFUNCTION("""COMPUTED_VALUE"""),43739.99861111111)</f>
        <v>43739.99861</v>
      </c>
      <c r="B3372" s="1">
        <f>IFERROR(__xludf.DUMMYFUNCTION("""COMPUTED_VALUE"""),3388.3)</f>
        <v>3388.3</v>
      </c>
    </row>
    <row r="3373">
      <c r="A3373" s="3">
        <f>IFERROR(__xludf.DUMMYFUNCTION("""COMPUTED_VALUE"""),43740.99861111111)</f>
        <v>43740.99861</v>
      </c>
      <c r="B3373" s="1">
        <f>IFERROR(__xludf.DUMMYFUNCTION("""COMPUTED_VALUE"""),3384.2)</f>
        <v>3384.2</v>
      </c>
    </row>
    <row r="3374">
      <c r="A3374" s="3">
        <f>IFERROR(__xludf.DUMMYFUNCTION("""COMPUTED_VALUE"""),43741.99861111111)</f>
        <v>43741.99861</v>
      </c>
      <c r="B3374" s="1">
        <f>IFERROR(__xludf.DUMMYFUNCTION("""COMPUTED_VALUE"""),3392.5)</f>
        <v>3392.5</v>
      </c>
    </row>
    <row r="3375">
      <c r="A3375" s="3">
        <f>IFERROR(__xludf.DUMMYFUNCTION("""COMPUTED_VALUE"""),43742.99861111111)</f>
        <v>43742.99861</v>
      </c>
      <c r="B3375" s="1">
        <f>IFERROR(__xludf.DUMMYFUNCTION("""COMPUTED_VALUE"""),3371.1)</f>
        <v>3371.1</v>
      </c>
    </row>
    <row r="3376">
      <c r="A3376" s="3">
        <f>IFERROR(__xludf.DUMMYFUNCTION("""COMPUTED_VALUE"""),43743.99861111111)</f>
        <v>43743.99861</v>
      </c>
      <c r="B3376" s="1">
        <f>IFERROR(__xludf.DUMMYFUNCTION("""COMPUTED_VALUE"""),3377.2)</f>
        <v>3377.2</v>
      </c>
    </row>
    <row r="3377">
      <c r="A3377" s="3">
        <f>IFERROR(__xludf.DUMMYFUNCTION("""COMPUTED_VALUE"""),43744.99861111111)</f>
        <v>43744.99861</v>
      </c>
      <c r="B3377" s="1">
        <f>IFERROR(__xludf.DUMMYFUNCTION("""COMPUTED_VALUE"""),3377.2)</f>
        <v>3377.2</v>
      </c>
    </row>
    <row r="3378">
      <c r="A3378" s="3">
        <f>IFERROR(__xludf.DUMMYFUNCTION("""COMPUTED_VALUE"""),43745.99861111111)</f>
        <v>43745.99861</v>
      </c>
      <c r="B3378" s="1">
        <f>IFERROR(__xludf.DUMMYFUNCTION("""COMPUTED_VALUE"""),3375.25)</f>
        <v>3375.25</v>
      </c>
    </row>
    <row r="3379">
      <c r="A3379" s="3">
        <f>IFERROR(__xludf.DUMMYFUNCTION("""COMPUTED_VALUE"""),43746.99861111111)</f>
        <v>43746.99861</v>
      </c>
      <c r="B3379" s="1">
        <f>IFERROR(__xludf.DUMMYFUNCTION("""COMPUTED_VALUE"""),3371.8)</f>
        <v>3371.8</v>
      </c>
    </row>
    <row r="3380">
      <c r="A3380" s="3">
        <f>IFERROR(__xludf.DUMMYFUNCTION("""COMPUTED_VALUE"""),43747.99861111111)</f>
        <v>43747.99861</v>
      </c>
      <c r="B3380" s="1">
        <f>IFERROR(__xludf.DUMMYFUNCTION("""COMPUTED_VALUE"""),3372.8)</f>
        <v>3372.8</v>
      </c>
    </row>
    <row r="3381">
      <c r="A3381" s="3">
        <f>IFERROR(__xludf.DUMMYFUNCTION("""COMPUTED_VALUE"""),43748.99861111111)</f>
        <v>43748.99861</v>
      </c>
      <c r="B3381" s="1">
        <f>IFERROR(__xludf.DUMMYFUNCTION("""COMPUTED_VALUE"""),3375.25)</f>
        <v>3375.25</v>
      </c>
    </row>
    <row r="3382">
      <c r="A3382" s="3">
        <f>IFERROR(__xludf.DUMMYFUNCTION("""COMPUTED_VALUE"""),43749.99861111111)</f>
        <v>43749.99861</v>
      </c>
      <c r="B3382" s="1">
        <f>IFERROR(__xludf.DUMMYFUNCTION("""COMPUTED_VALUE"""),3375.8)</f>
        <v>3375.8</v>
      </c>
    </row>
    <row r="3383">
      <c r="A3383" s="3">
        <f>IFERROR(__xludf.DUMMYFUNCTION("""COMPUTED_VALUE"""),43750.99861111111)</f>
        <v>43750.99861</v>
      </c>
      <c r="B3383" s="1">
        <f>IFERROR(__xludf.DUMMYFUNCTION("""COMPUTED_VALUE"""),3375.769)</f>
        <v>3375.769</v>
      </c>
    </row>
    <row r="3384">
      <c r="A3384" s="3">
        <f>IFERROR(__xludf.DUMMYFUNCTION("""COMPUTED_VALUE"""),43751.99861111111)</f>
        <v>43751.99861</v>
      </c>
      <c r="B3384" s="1">
        <f>IFERROR(__xludf.DUMMYFUNCTION("""COMPUTED_VALUE"""),3375.45)</f>
        <v>3375.45</v>
      </c>
    </row>
    <row r="3385">
      <c r="A3385" s="3">
        <f>IFERROR(__xludf.DUMMYFUNCTION("""COMPUTED_VALUE"""),43752.99861111111)</f>
        <v>43752.99861</v>
      </c>
      <c r="B3385" s="1">
        <f>IFERROR(__xludf.DUMMYFUNCTION("""COMPUTED_VALUE"""),3376.108)</f>
        <v>3376.108</v>
      </c>
    </row>
    <row r="3386">
      <c r="A3386" s="3">
        <f>IFERROR(__xludf.DUMMYFUNCTION("""COMPUTED_VALUE"""),43753.99861111111)</f>
        <v>43753.99861</v>
      </c>
      <c r="B3386" s="1">
        <f>IFERROR(__xludf.DUMMYFUNCTION("""COMPUTED_VALUE"""),3385.828)</f>
        <v>3385.828</v>
      </c>
    </row>
    <row r="3387">
      <c r="A3387" s="3">
        <f>IFERROR(__xludf.DUMMYFUNCTION("""COMPUTED_VALUE"""),43754.99861111111)</f>
        <v>43754.99861</v>
      </c>
      <c r="B3387" s="1">
        <f>IFERROR(__xludf.DUMMYFUNCTION("""COMPUTED_VALUE"""),3379.386)</f>
        <v>3379.386</v>
      </c>
    </row>
    <row r="3388">
      <c r="A3388" s="3">
        <f>IFERROR(__xludf.DUMMYFUNCTION("""COMPUTED_VALUE"""),43755.99861111111)</f>
        <v>43755.99861</v>
      </c>
      <c r="B3388" s="1">
        <f>IFERROR(__xludf.DUMMYFUNCTION("""COMPUTED_VALUE"""),3387.434)</f>
        <v>3387.434</v>
      </c>
    </row>
    <row r="3389">
      <c r="A3389" s="3">
        <f>IFERROR(__xludf.DUMMYFUNCTION("""COMPUTED_VALUE"""),43756.99861111111)</f>
        <v>43756.99861</v>
      </c>
      <c r="B3389" s="1">
        <f>IFERROR(__xludf.DUMMYFUNCTION("""COMPUTED_VALUE"""),3386.976)</f>
        <v>3386.976</v>
      </c>
    </row>
    <row r="3390">
      <c r="A3390" s="3">
        <f>IFERROR(__xludf.DUMMYFUNCTION("""COMPUTED_VALUE"""),43757.99861111111)</f>
        <v>43757.99861</v>
      </c>
      <c r="B3390" s="1">
        <f>IFERROR(__xludf.DUMMYFUNCTION("""COMPUTED_VALUE"""),3386.976)</f>
        <v>3386.976</v>
      </c>
    </row>
    <row r="3391">
      <c r="A3391" s="3">
        <f>IFERROR(__xludf.DUMMYFUNCTION("""COMPUTED_VALUE"""),43758.99861111111)</f>
        <v>43758.99861</v>
      </c>
      <c r="B3391" s="1">
        <f>IFERROR(__xludf.DUMMYFUNCTION("""COMPUTED_VALUE"""),3386.976)</f>
        <v>3386.976</v>
      </c>
    </row>
    <row r="3392">
      <c r="A3392" s="3">
        <f>IFERROR(__xludf.DUMMYFUNCTION("""COMPUTED_VALUE"""),43759.99861111111)</f>
        <v>43759.99861</v>
      </c>
      <c r="B3392" s="1">
        <f>IFERROR(__xludf.DUMMYFUNCTION("""COMPUTED_VALUE"""),3361.038)</f>
        <v>3361.038</v>
      </c>
    </row>
    <row r="3393">
      <c r="A3393" s="3">
        <f>IFERROR(__xludf.DUMMYFUNCTION("""COMPUTED_VALUE"""),43760.99861111111)</f>
        <v>43760.99861</v>
      </c>
      <c r="B3393" s="1">
        <f>IFERROR(__xludf.DUMMYFUNCTION("""COMPUTED_VALUE"""),3361.903)</f>
        <v>3361.903</v>
      </c>
    </row>
    <row r="3394">
      <c r="A3394" s="3">
        <f>IFERROR(__xludf.DUMMYFUNCTION("""COMPUTED_VALUE"""),43761.99861111111)</f>
        <v>43761.99861</v>
      </c>
      <c r="B3394" s="1">
        <f>IFERROR(__xludf.DUMMYFUNCTION("""COMPUTED_VALUE"""),3350.181)</f>
        <v>3350.181</v>
      </c>
    </row>
    <row r="3395">
      <c r="A3395" s="3">
        <f>IFERROR(__xludf.DUMMYFUNCTION("""COMPUTED_VALUE"""),43762.99861111111)</f>
        <v>43762.99861</v>
      </c>
      <c r="B3395" s="1">
        <f>IFERROR(__xludf.DUMMYFUNCTION("""COMPUTED_VALUE"""),3352.444)</f>
        <v>3352.444</v>
      </c>
    </row>
    <row r="3396">
      <c r="A3396" s="3">
        <f>IFERROR(__xludf.DUMMYFUNCTION("""COMPUTED_VALUE"""),43763.99861111111)</f>
        <v>43763.99861</v>
      </c>
      <c r="B3396" s="1">
        <f>IFERROR(__xludf.DUMMYFUNCTION("""COMPUTED_VALUE"""),3341.788)</f>
        <v>3341.788</v>
      </c>
    </row>
    <row r="3397">
      <c r="A3397" s="3">
        <f>IFERROR(__xludf.DUMMYFUNCTION("""COMPUTED_VALUE"""),43764.99861111111)</f>
        <v>43764.99861</v>
      </c>
      <c r="B3397" s="1">
        <f>IFERROR(__xludf.DUMMYFUNCTION("""COMPUTED_VALUE"""),3341.788)</f>
        <v>3341.788</v>
      </c>
    </row>
    <row r="3398">
      <c r="A3398" s="3">
        <f>IFERROR(__xludf.DUMMYFUNCTION("""COMPUTED_VALUE"""),43765.99861111111)</f>
        <v>43765.99861</v>
      </c>
      <c r="B3398" s="1">
        <f>IFERROR(__xludf.DUMMYFUNCTION("""COMPUTED_VALUE"""),3341.788)</f>
        <v>3341.788</v>
      </c>
    </row>
    <row r="3399">
      <c r="A3399" s="3">
        <f>IFERROR(__xludf.DUMMYFUNCTION("""COMPUTED_VALUE"""),43766.99861111111)</f>
        <v>43766.99861</v>
      </c>
      <c r="B3399" s="1">
        <f>IFERROR(__xludf.DUMMYFUNCTION("""COMPUTED_VALUE"""),3350.843)</f>
        <v>3350.843</v>
      </c>
    </row>
    <row r="3400">
      <c r="A3400" s="3">
        <f>IFERROR(__xludf.DUMMYFUNCTION("""COMPUTED_VALUE"""),43767.99861111111)</f>
        <v>43767.99861</v>
      </c>
      <c r="B3400" s="1">
        <f>IFERROR(__xludf.DUMMYFUNCTION("""COMPUTED_VALUE"""),3358.214)</f>
        <v>3358.214</v>
      </c>
    </row>
    <row r="3401">
      <c r="A3401" s="3">
        <f>IFERROR(__xludf.DUMMYFUNCTION("""COMPUTED_VALUE"""),43768.99861111111)</f>
        <v>43768.99861</v>
      </c>
      <c r="B3401" s="1">
        <f>IFERROR(__xludf.DUMMYFUNCTION("""COMPUTED_VALUE"""),3358.447)</f>
        <v>3358.447</v>
      </c>
    </row>
    <row r="3402">
      <c r="A3402" s="3">
        <f>IFERROR(__xludf.DUMMYFUNCTION("""COMPUTED_VALUE"""),43769.99861111111)</f>
        <v>43769.99861</v>
      </c>
      <c r="B3402" s="1">
        <f>IFERROR(__xludf.DUMMYFUNCTION("""COMPUTED_VALUE"""),3357.584)</f>
        <v>3357.584</v>
      </c>
    </row>
    <row r="3403">
      <c r="A3403" s="3">
        <f>IFERROR(__xludf.DUMMYFUNCTION("""COMPUTED_VALUE"""),43770.99861111111)</f>
        <v>43770.99861</v>
      </c>
      <c r="B3403" s="1">
        <f>IFERROR(__xludf.DUMMYFUNCTION("""COMPUTED_VALUE"""),3369.36)</f>
        <v>3369.36</v>
      </c>
    </row>
    <row r="3404">
      <c r="A3404" s="3">
        <f>IFERROR(__xludf.DUMMYFUNCTION("""COMPUTED_VALUE"""),43771.99861111111)</f>
        <v>43771.99861</v>
      </c>
      <c r="B3404" s="1">
        <f>IFERROR(__xludf.DUMMYFUNCTION("""COMPUTED_VALUE"""),3369.36)</f>
        <v>3369.36</v>
      </c>
    </row>
    <row r="3405">
      <c r="A3405" s="3">
        <f>IFERROR(__xludf.DUMMYFUNCTION("""COMPUTED_VALUE"""),43772.99861111111)</f>
        <v>43772.99861</v>
      </c>
      <c r="B3405" s="1">
        <f>IFERROR(__xludf.DUMMYFUNCTION("""COMPUTED_VALUE"""),3369.36)</f>
        <v>3369.36</v>
      </c>
    </row>
    <row r="3406">
      <c r="A3406" s="3">
        <f>IFERROR(__xludf.DUMMYFUNCTION("""COMPUTED_VALUE"""),43773.99861111111)</f>
        <v>43773.99861</v>
      </c>
      <c r="B3406" s="1">
        <f>IFERROR(__xludf.DUMMYFUNCTION("""COMPUTED_VALUE"""),3376.696)</f>
        <v>3376.696</v>
      </c>
    </row>
    <row r="3407">
      <c r="A3407" s="3">
        <f>IFERROR(__xludf.DUMMYFUNCTION("""COMPUTED_VALUE"""),43774.99861111111)</f>
        <v>43774.99861</v>
      </c>
      <c r="B3407" s="1">
        <f>IFERROR(__xludf.DUMMYFUNCTION("""COMPUTED_VALUE"""),3387.778)</f>
        <v>3387.778</v>
      </c>
    </row>
    <row r="3408">
      <c r="A3408" s="3">
        <f>IFERROR(__xludf.DUMMYFUNCTION("""COMPUTED_VALUE"""),43775.99861111111)</f>
        <v>43775.99861</v>
      </c>
      <c r="B3408" s="1">
        <f>IFERROR(__xludf.DUMMYFUNCTION("""COMPUTED_VALUE"""),3383.87)</f>
        <v>3383.87</v>
      </c>
    </row>
    <row r="3409">
      <c r="A3409" s="3">
        <f>IFERROR(__xludf.DUMMYFUNCTION("""COMPUTED_VALUE"""),43776.99861111111)</f>
        <v>43776.99861</v>
      </c>
      <c r="B3409" s="1">
        <f>IFERROR(__xludf.DUMMYFUNCTION("""COMPUTED_VALUE"""),3381.336)</f>
        <v>3381.336</v>
      </c>
    </row>
    <row r="3410">
      <c r="A3410" s="3">
        <f>IFERROR(__xludf.DUMMYFUNCTION("""COMPUTED_VALUE"""),43777.99861111111)</f>
        <v>43777.99861</v>
      </c>
      <c r="B3410" s="1">
        <f>IFERROR(__xludf.DUMMYFUNCTION("""COMPUTED_VALUE"""),3388.392)</f>
        <v>3388.392</v>
      </c>
    </row>
    <row r="3411">
      <c r="A3411" s="3">
        <f>IFERROR(__xludf.DUMMYFUNCTION("""COMPUTED_VALUE"""),43778.99861111111)</f>
        <v>43778.99861</v>
      </c>
      <c r="B3411" s="1">
        <f>IFERROR(__xludf.DUMMYFUNCTION("""COMPUTED_VALUE"""),3388.392)</f>
        <v>3388.392</v>
      </c>
    </row>
    <row r="3412">
      <c r="A3412" s="3">
        <f>IFERROR(__xludf.DUMMYFUNCTION("""COMPUTED_VALUE"""),43779.99861111111)</f>
        <v>43779.99861</v>
      </c>
      <c r="B3412" s="1">
        <f>IFERROR(__xludf.DUMMYFUNCTION("""COMPUTED_VALUE"""),3388.392)</f>
        <v>3388.392</v>
      </c>
    </row>
    <row r="3413">
      <c r="A3413" s="3">
        <f>IFERROR(__xludf.DUMMYFUNCTION("""COMPUTED_VALUE"""),43780.99861111111)</f>
        <v>43780.99861</v>
      </c>
      <c r="B3413" s="1">
        <f>IFERROR(__xludf.DUMMYFUNCTION("""COMPUTED_VALUE"""),3381.632)</f>
        <v>3381.632</v>
      </c>
    </row>
    <row r="3414">
      <c r="A3414" s="3">
        <f>IFERROR(__xludf.DUMMYFUNCTION("""COMPUTED_VALUE"""),43781.99861111111)</f>
        <v>43781.99861</v>
      </c>
      <c r="B3414" s="1">
        <f>IFERROR(__xludf.DUMMYFUNCTION("""COMPUTED_VALUE"""),3392.881)</f>
        <v>3392.881</v>
      </c>
    </row>
    <row r="3415">
      <c r="A3415" s="3">
        <f>IFERROR(__xludf.DUMMYFUNCTION("""COMPUTED_VALUE"""),43782.99861111111)</f>
        <v>43782.99861</v>
      </c>
      <c r="B3415" s="1">
        <f>IFERROR(__xludf.DUMMYFUNCTION("""COMPUTED_VALUE"""),3390.175)</f>
        <v>3390.175</v>
      </c>
    </row>
    <row r="3416">
      <c r="A3416" s="3">
        <f>IFERROR(__xludf.DUMMYFUNCTION("""COMPUTED_VALUE"""),43783.99861111111)</f>
        <v>43783.99861</v>
      </c>
      <c r="B3416" s="1">
        <f>IFERROR(__xludf.DUMMYFUNCTION("""COMPUTED_VALUE"""),3395.925)</f>
        <v>3395.925</v>
      </c>
    </row>
    <row r="3417">
      <c r="A3417" s="3">
        <f>IFERROR(__xludf.DUMMYFUNCTION("""COMPUTED_VALUE"""),43784.99861111111)</f>
        <v>43784.99861</v>
      </c>
      <c r="B3417" s="1">
        <f>IFERROR(__xludf.DUMMYFUNCTION("""COMPUTED_VALUE"""),3394.666)</f>
        <v>3394.666</v>
      </c>
    </row>
    <row r="3418">
      <c r="A3418" s="3">
        <f>IFERROR(__xludf.DUMMYFUNCTION("""COMPUTED_VALUE"""),43785.99861111111)</f>
        <v>43785.99861</v>
      </c>
      <c r="B3418" s="1">
        <f>IFERROR(__xludf.DUMMYFUNCTION("""COMPUTED_VALUE"""),3388.627)</f>
        <v>3388.627</v>
      </c>
    </row>
    <row r="3419">
      <c r="A3419" s="3">
        <f>IFERROR(__xludf.DUMMYFUNCTION("""COMPUTED_VALUE"""),43786.99861111111)</f>
        <v>43786.99861</v>
      </c>
      <c r="B3419" s="1">
        <f>IFERROR(__xludf.DUMMYFUNCTION("""COMPUTED_VALUE"""),3388.627)</f>
        <v>3388.627</v>
      </c>
    </row>
    <row r="3420">
      <c r="A3420" s="3">
        <f>IFERROR(__xludf.DUMMYFUNCTION("""COMPUTED_VALUE"""),43787.99861111111)</f>
        <v>43787.99861</v>
      </c>
      <c r="B3420" s="1">
        <f>IFERROR(__xludf.DUMMYFUNCTION("""COMPUTED_VALUE"""),3387.407)</f>
        <v>3387.407</v>
      </c>
    </row>
    <row r="3421">
      <c r="A3421" s="3">
        <f>IFERROR(__xludf.DUMMYFUNCTION("""COMPUTED_VALUE"""),43788.99861111111)</f>
        <v>43788.99861</v>
      </c>
      <c r="B3421" s="1">
        <f>IFERROR(__xludf.DUMMYFUNCTION("""COMPUTED_VALUE"""),3389.08)</f>
        <v>3389.08</v>
      </c>
    </row>
    <row r="3422">
      <c r="A3422" s="3">
        <f>IFERROR(__xludf.DUMMYFUNCTION("""COMPUTED_VALUE"""),43789.99861111111)</f>
        <v>43789.99861</v>
      </c>
      <c r="B3422" s="1">
        <f>IFERROR(__xludf.DUMMYFUNCTION("""COMPUTED_VALUE"""),3376.976)</f>
        <v>3376.976</v>
      </c>
    </row>
    <row r="3423">
      <c r="A3423" s="3">
        <f>IFERROR(__xludf.DUMMYFUNCTION("""COMPUTED_VALUE"""),43790.99861111111)</f>
        <v>43790.99861</v>
      </c>
      <c r="B3423" s="1">
        <f>IFERROR(__xludf.DUMMYFUNCTION("""COMPUTED_VALUE"""),3370.186)</f>
        <v>3370.186</v>
      </c>
    </row>
    <row r="3424">
      <c r="A3424" s="3">
        <f>IFERROR(__xludf.DUMMYFUNCTION("""COMPUTED_VALUE"""),43791.99861111111)</f>
        <v>43791.99861</v>
      </c>
      <c r="B3424" s="1">
        <f>IFERROR(__xludf.DUMMYFUNCTION("""COMPUTED_VALUE"""),3363.369)</f>
        <v>3363.369</v>
      </c>
    </row>
    <row r="3425">
      <c r="A3425" s="3">
        <f>IFERROR(__xludf.DUMMYFUNCTION("""COMPUTED_VALUE"""),43792.99861111111)</f>
        <v>43792.99861</v>
      </c>
      <c r="B3425" s="1">
        <f>IFERROR(__xludf.DUMMYFUNCTION("""COMPUTED_VALUE"""),3363.369)</f>
        <v>3363.369</v>
      </c>
    </row>
    <row r="3426">
      <c r="A3426" s="3">
        <f>IFERROR(__xludf.DUMMYFUNCTION("""COMPUTED_VALUE"""),43793.99861111111)</f>
        <v>43793.99861</v>
      </c>
      <c r="B3426" s="1">
        <f>IFERROR(__xludf.DUMMYFUNCTION("""COMPUTED_VALUE"""),3363.369)</f>
        <v>3363.369</v>
      </c>
    </row>
    <row r="3427">
      <c r="A3427" s="3">
        <f>IFERROR(__xludf.DUMMYFUNCTION("""COMPUTED_VALUE"""),43794.99861111111)</f>
        <v>43794.99861</v>
      </c>
      <c r="B3427" s="1">
        <f>IFERROR(__xludf.DUMMYFUNCTION("""COMPUTED_VALUE"""),3365.416)</f>
        <v>3365.416</v>
      </c>
    </row>
    <row r="3428">
      <c r="A3428" s="3">
        <f>IFERROR(__xludf.DUMMYFUNCTION("""COMPUTED_VALUE"""),43795.99861111111)</f>
        <v>43795.99861</v>
      </c>
      <c r="B3428" s="1">
        <f>IFERROR(__xludf.DUMMYFUNCTION("""COMPUTED_VALUE"""),3367.69)</f>
        <v>3367.69</v>
      </c>
    </row>
    <row r="3429">
      <c r="A3429" s="3">
        <f>IFERROR(__xludf.DUMMYFUNCTION("""COMPUTED_VALUE"""),43796.99861111111)</f>
        <v>43796.99861</v>
      </c>
      <c r="B3429" s="1">
        <f>IFERROR(__xludf.DUMMYFUNCTION("""COMPUTED_VALUE"""),3377.025)</f>
        <v>3377.025</v>
      </c>
    </row>
    <row r="3430">
      <c r="A3430" s="3">
        <f>IFERROR(__xludf.DUMMYFUNCTION("""COMPUTED_VALUE"""),43797.99861111111)</f>
        <v>43797.99861</v>
      </c>
      <c r="B3430" s="1">
        <f>IFERROR(__xludf.DUMMYFUNCTION("""COMPUTED_VALUE"""),3376.086)</f>
        <v>3376.086</v>
      </c>
    </row>
    <row r="3431">
      <c r="A3431" s="3">
        <f>IFERROR(__xludf.DUMMYFUNCTION("""COMPUTED_VALUE"""),43798.99861111111)</f>
        <v>43798.99861</v>
      </c>
      <c r="B3431" s="1">
        <f>IFERROR(__xludf.DUMMYFUNCTION("""COMPUTED_VALUE"""),3379.349)</f>
        <v>3379.349</v>
      </c>
    </row>
    <row r="3432">
      <c r="A3432" s="3">
        <f>IFERROR(__xludf.DUMMYFUNCTION("""COMPUTED_VALUE"""),43799.99861111111)</f>
        <v>43799.99861</v>
      </c>
      <c r="B3432" s="1">
        <f>IFERROR(__xludf.DUMMYFUNCTION("""COMPUTED_VALUE"""),3377.248)</f>
        <v>3377.248</v>
      </c>
    </row>
    <row r="3433">
      <c r="A3433" s="3">
        <f>IFERROR(__xludf.DUMMYFUNCTION("""COMPUTED_VALUE"""),43800.99861111111)</f>
        <v>43800.99861</v>
      </c>
      <c r="B3433" s="1">
        <f>IFERROR(__xludf.DUMMYFUNCTION("""COMPUTED_VALUE"""),3377.248)</f>
        <v>3377.248</v>
      </c>
    </row>
    <row r="3434">
      <c r="A3434" s="3">
        <f>IFERROR(__xludf.DUMMYFUNCTION("""COMPUTED_VALUE"""),43801.99861111111)</f>
        <v>43801.99861</v>
      </c>
      <c r="B3434" s="1">
        <f>IFERROR(__xludf.DUMMYFUNCTION("""COMPUTED_VALUE"""),3400.921)</f>
        <v>3400.921</v>
      </c>
    </row>
    <row r="3435">
      <c r="A3435" s="3">
        <f>IFERROR(__xludf.DUMMYFUNCTION("""COMPUTED_VALUE"""),43802.99861111111)</f>
        <v>43802.99861</v>
      </c>
      <c r="B3435" s="1">
        <f>IFERROR(__xludf.DUMMYFUNCTION("""COMPUTED_VALUE"""),3380.343)</f>
        <v>3380.343</v>
      </c>
    </row>
    <row r="3436">
      <c r="A3436" s="3">
        <f>IFERROR(__xludf.DUMMYFUNCTION("""COMPUTED_VALUE"""),43803.99861111111)</f>
        <v>43803.99861</v>
      </c>
      <c r="B3436" s="1">
        <f>IFERROR(__xludf.DUMMYFUNCTION("""COMPUTED_VALUE"""),3356.118)</f>
        <v>3356.118</v>
      </c>
    </row>
    <row r="3437">
      <c r="A3437" s="3">
        <f>IFERROR(__xludf.DUMMYFUNCTION("""COMPUTED_VALUE"""),43804.99861111111)</f>
        <v>43804.99861</v>
      </c>
      <c r="B3437" s="1">
        <f>IFERROR(__xludf.DUMMYFUNCTION("""COMPUTED_VALUE"""),3355.175)</f>
        <v>3355.175</v>
      </c>
    </row>
    <row r="3438">
      <c r="A3438" s="3">
        <f>IFERROR(__xludf.DUMMYFUNCTION("""COMPUTED_VALUE"""),43805.99861111111)</f>
        <v>43805.99861</v>
      </c>
      <c r="B3438" s="1">
        <f>IFERROR(__xludf.DUMMYFUNCTION("""COMPUTED_VALUE"""),3361.723)</f>
        <v>3361.723</v>
      </c>
    </row>
    <row r="3439">
      <c r="A3439" s="3">
        <f>IFERROR(__xludf.DUMMYFUNCTION("""COMPUTED_VALUE"""),43806.99861111111)</f>
        <v>43806.99861</v>
      </c>
      <c r="B3439" s="1">
        <f>IFERROR(__xludf.DUMMYFUNCTION("""COMPUTED_VALUE"""),3361.723)</f>
        <v>3361.723</v>
      </c>
    </row>
    <row r="3440">
      <c r="A3440" s="3">
        <f>IFERROR(__xludf.DUMMYFUNCTION("""COMPUTED_VALUE"""),43807.99861111111)</f>
        <v>43807.99861</v>
      </c>
      <c r="B3440" s="1">
        <f>IFERROR(__xludf.DUMMYFUNCTION("""COMPUTED_VALUE"""),3361.723)</f>
        <v>3361.723</v>
      </c>
    </row>
    <row r="3441">
      <c r="A3441" s="3">
        <f>IFERROR(__xludf.DUMMYFUNCTION("""COMPUTED_VALUE"""),43808.99861111111)</f>
        <v>43808.99861</v>
      </c>
      <c r="B3441" s="1">
        <f>IFERROR(__xludf.DUMMYFUNCTION("""COMPUTED_VALUE"""),3364.007)</f>
        <v>3364.007</v>
      </c>
    </row>
    <row r="3442">
      <c r="A3442" s="3">
        <f>IFERROR(__xludf.DUMMYFUNCTION("""COMPUTED_VALUE"""),43809.99861111111)</f>
        <v>43809.99861</v>
      </c>
      <c r="B3442" s="1">
        <f>IFERROR(__xludf.DUMMYFUNCTION("""COMPUTED_VALUE"""),3366.984)</f>
        <v>3366.984</v>
      </c>
    </row>
    <row r="3443">
      <c r="A3443" s="3">
        <f>IFERROR(__xludf.DUMMYFUNCTION("""COMPUTED_VALUE"""),43810.99861111111)</f>
        <v>43810.99861</v>
      </c>
      <c r="B3443" s="1">
        <f>IFERROR(__xludf.DUMMYFUNCTION("""COMPUTED_VALUE"""),3372.625)</f>
        <v>3372.625</v>
      </c>
    </row>
    <row r="3444">
      <c r="A3444" s="3">
        <f>IFERROR(__xludf.DUMMYFUNCTION("""COMPUTED_VALUE"""),43811.99861111111)</f>
        <v>43811.99861</v>
      </c>
      <c r="B3444" s="1">
        <f>IFERROR(__xludf.DUMMYFUNCTION("""COMPUTED_VALUE"""),3365.727)</f>
        <v>3365.727</v>
      </c>
    </row>
    <row r="3445">
      <c r="A3445" s="3">
        <f>IFERROR(__xludf.DUMMYFUNCTION("""COMPUTED_VALUE"""),43812.99861111111)</f>
        <v>43812.99861</v>
      </c>
      <c r="B3445" s="1">
        <f>IFERROR(__xludf.DUMMYFUNCTION("""COMPUTED_VALUE"""),3362.84)</f>
        <v>3362.84</v>
      </c>
    </row>
    <row r="3446">
      <c r="A3446" s="3">
        <f>IFERROR(__xludf.DUMMYFUNCTION("""COMPUTED_VALUE"""),43813.99861111111)</f>
        <v>43813.99861</v>
      </c>
      <c r="B3446" s="1">
        <f>IFERROR(__xludf.DUMMYFUNCTION("""COMPUTED_VALUE"""),3362.84)</f>
        <v>3362.84</v>
      </c>
    </row>
    <row r="3447">
      <c r="A3447" s="3">
        <f>IFERROR(__xludf.DUMMYFUNCTION("""COMPUTED_VALUE"""),43814.99861111111)</f>
        <v>43814.99861</v>
      </c>
      <c r="B3447" s="1">
        <f>IFERROR(__xludf.DUMMYFUNCTION("""COMPUTED_VALUE"""),3362.84)</f>
        <v>3362.84</v>
      </c>
    </row>
    <row r="3448">
      <c r="A3448" s="3">
        <f>IFERROR(__xludf.DUMMYFUNCTION("""COMPUTED_VALUE"""),43815.99861111111)</f>
        <v>43815.99861</v>
      </c>
      <c r="B3448" s="1">
        <f>IFERROR(__xludf.DUMMYFUNCTION("""COMPUTED_VALUE"""),3380.993)</f>
        <v>3380.993</v>
      </c>
    </row>
    <row r="3449">
      <c r="A3449" s="3">
        <f>IFERROR(__xludf.DUMMYFUNCTION("""COMPUTED_VALUE"""),43816.99861111111)</f>
        <v>43816.99861</v>
      </c>
      <c r="B3449" s="1">
        <f>IFERROR(__xludf.DUMMYFUNCTION("""COMPUTED_VALUE"""),3373.059)</f>
        <v>3373.059</v>
      </c>
    </row>
    <row r="3450">
      <c r="A3450" s="3">
        <f>IFERROR(__xludf.DUMMYFUNCTION("""COMPUTED_VALUE"""),43817.99861111111)</f>
        <v>43817.99861</v>
      </c>
      <c r="B3450" s="1">
        <f>IFERROR(__xludf.DUMMYFUNCTION("""COMPUTED_VALUE"""),3372.202)</f>
        <v>3372.202</v>
      </c>
    </row>
    <row r="3451">
      <c r="A3451" s="3">
        <f>IFERROR(__xludf.DUMMYFUNCTION("""COMPUTED_VALUE"""),43818.99861111111)</f>
        <v>43818.99861</v>
      </c>
      <c r="B3451" s="1">
        <f>IFERROR(__xludf.DUMMYFUNCTION("""COMPUTED_VALUE"""),3375.065)</f>
        <v>3375.065</v>
      </c>
    </row>
    <row r="3452">
      <c r="A3452" s="3">
        <f>IFERROR(__xludf.DUMMYFUNCTION("""COMPUTED_VALUE"""),43819.99861111111)</f>
        <v>43819.99861</v>
      </c>
      <c r="B3452" s="1">
        <f>IFERROR(__xludf.DUMMYFUNCTION("""COMPUTED_VALUE"""),3367.216)</f>
        <v>3367.216</v>
      </c>
    </row>
    <row r="3453">
      <c r="A3453" s="3">
        <f>IFERROR(__xludf.DUMMYFUNCTION("""COMPUTED_VALUE"""),43820.99861111111)</f>
        <v>43820.99861</v>
      </c>
      <c r="B3453" s="1">
        <f>IFERROR(__xludf.DUMMYFUNCTION("""COMPUTED_VALUE"""),3367.216)</f>
        <v>3367.216</v>
      </c>
    </row>
    <row r="3454">
      <c r="A3454" s="3">
        <f>IFERROR(__xludf.DUMMYFUNCTION("""COMPUTED_VALUE"""),43821.99861111111)</f>
        <v>43821.99861</v>
      </c>
      <c r="B3454" s="1">
        <f>IFERROR(__xludf.DUMMYFUNCTION("""COMPUTED_VALUE"""),3367.216)</f>
        <v>3367.216</v>
      </c>
    </row>
    <row r="3455">
      <c r="A3455" s="3">
        <f>IFERROR(__xludf.DUMMYFUNCTION("""COMPUTED_VALUE"""),43822.99861111111)</f>
        <v>43822.99861</v>
      </c>
      <c r="B3455" s="1">
        <f>IFERROR(__xludf.DUMMYFUNCTION("""COMPUTED_VALUE"""),3373.418)</f>
        <v>3373.418</v>
      </c>
    </row>
    <row r="3456">
      <c r="A3456" s="3">
        <f>IFERROR(__xludf.DUMMYFUNCTION("""COMPUTED_VALUE"""),43823.99861111111)</f>
        <v>43823.99861</v>
      </c>
      <c r="B3456" s="1">
        <f>IFERROR(__xludf.DUMMYFUNCTION("""COMPUTED_VALUE"""),3379.47)</f>
        <v>3379.47</v>
      </c>
    </row>
    <row r="3457">
      <c r="A3457" s="3">
        <f>IFERROR(__xludf.DUMMYFUNCTION("""COMPUTED_VALUE"""),43824.99861111111)</f>
        <v>43824.99861</v>
      </c>
      <c r="B3457" s="1">
        <f>IFERROR(__xludf.DUMMYFUNCTION("""COMPUTED_VALUE"""),3376.674)</f>
        <v>3376.674</v>
      </c>
    </row>
    <row r="3458">
      <c r="A3458" s="3">
        <f>IFERROR(__xludf.DUMMYFUNCTION("""COMPUTED_VALUE"""),43825.99861111111)</f>
        <v>43825.99861</v>
      </c>
      <c r="B3458" s="1">
        <f>IFERROR(__xludf.DUMMYFUNCTION("""COMPUTED_VALUE"""),3382.308)</f>
        <v>3382.308</v>
      </c>
    </row>
    <row r="3459">
      <c r="A3459" s="3">
        <f>IFERROR(__xludf.DUMMYFUNCTION("""COMPUTED_VALUE"""),43826.99861111111)</f>
        <v>43826.99861</v>
      </c>
      <c r="B3459" s="1">
        <f>IFERROR(__xludf.DUMMYFUNCTION("""COMPUTED_VALUE"""),3389.985)</f>
        <v>3389.985</v>
      </c>
    </row>
    <row r="3460">
      <c r="A3460" s="3">
        <f>IFERROR(__xludf.DUMMYFUNCTION("""COMPUTED_VALUE"""),43827.99861111111)</f>
        <v>43827.99861</v>
      </c>
      <c r="B3460" s="1">
        <f>IFERROR(__xludf.DUMMYFUNCTION("""COMPUTED_VALUE"""),3389.985)</f>
        <v>3389.985</v>
      </c>
    </row>
    <row r="3461">
      <c r="A3461" s="3">
        <f>IFERROR(__xludf.DUMMYFUNCTION("""COMPUTED_VALUE"""),43828.99861111111)</f>
        <v>43828.99861</v>
      </c>
      <c r="B3461" s="1">
        <f>IFERROR(__xludf.DUMMYFUNCTION("""COMPUTED_VALUE"""),3389.985)</f>
        <v>3389.985</v>
      </c>
    </row>
    <row r="3462">
      <c r="A3462" s="3">
        <f>IFERROR(__xludf.DUMMYFUNCTION("""COMPUTED_VALUE"""),43829.99861111111)</f>
        <v>43829.99861</v>
      </c>
      <c r="B3462" s="1">
        <f>IFERROR(__xludf.DUMMYFUNCTION("""COMPUTED_VALUE"""),3394.33)</f>
        <v>3394.33</v>
      </c>
    </row>
    <row r="3463">
      <c r="A3463" s="3">
        <f>IFERROR(__xludf.DUMMYFUNCTION("""COMPUTED_VALUE"""),43830.99861111111)</f>
        <v>43830.99861</v>
      </c>
      <c r="B3463" s="1">
        <f>IFERROR(__xludf.DUMMYFUNCTION("""COMPUTED_VALUE"""),3393.804)</f>
        <v>3393.804</v>
      </c>
    </row>
    <row r="3464">
      <c r="A3464" s="3">
        <f>IFERROR(__xludf.DUMMYFUNCTION("""COMPUTED_VALUE"""),43831.99861111111)</f>
        <v>43831.99861</v>
      </c>
      <c r="B3464" s="1">
        <f>IFERROR(__xludf.DUMMYFUNCTION("""COMPUTED_VALUE"""),3393.804)</f>
        <v>3393.804</v>
      </c>
    </row>
    <row r="3465">
      <c r="A3465" s="3">
        <f>IFERROR(__xludf.DUMMYFUNCTION("""COMPUTED_VALUE"""),43832.99861111111)</f>
        <v>43832.99861</v>
      </c>
      <c r="B3465" s="1">
        <f>IFERROR(__xludf.DUMMYFUNCTION("""COMPUTED_VALUE"""),3393.63)</f>
        <v>3393.63</v>
      </c>
    </row>
    <row r="3466">
      <c r="A3466" s="3">
        <f>IFERROR(__xludf.DUMMYFUNCTION("""COMPUTED_VALUE"""),43833.99861111111)</f>
        <v>43833.99861</v>
      </c>
      <c r="B3466" s="1">
        <f>IFERROR(__xludf.DUMMYFUNCTION("""COMPUTED_VALUE"""),3407.075)</f>
        <v>3407.075</v>
      </c>
    </row>
    <row r="3467">
      <c r="A3467" s="3">
        <f>IFERROR(__xludf.DUMMYFUNCTION("""COMPUTED_VALUE"""),43834.99861111111)</f>
        <v>43834.99861</v>
      </c>
      <c r="B3467" s="1">
        <f>IFERROR(__xludf.DUMMYFUNCTION("""COMPUTED_VALUE"""),3407.075)</f>
        <v>3407.075</v>
      </c>
    </row>
    <row r="3468">
      <c r="A3468" s="3">
        <f>IFERROR(__xludf.DUMMYFUNCTION("""COMPUTED_VALUE"""),43835.99861111111)</f>
        <v>43835.99861</v>
      </c>
      <c r="B3468" s="1">
        <f>IFERROR(__xludf.DUMMYFUNCTION("""COMPUTED_VALUE"""),3407.075)</f>
        <v>3407.075</v>
      </c>
    </row>
    <row r="3469">
      <c r="A3469" s="3">
        <f>IFERROR(__xludf.DUMMYFUNCTION("""COMPUTED_VALUE"""),43836.99861111111)</f>
        <v>43836.99861</v>
      </c>
      <c r="B3469" s="1">
        <f>IFERROR(__xludf.DUMMYFUNCTION("""COMPUTED_VALUE"""),3383.14)</f>
        <v>3383.14</v>
      </c>
    </row>
    <row r="3470">
      <c r="A3470" s="3">
        <f>IFERROR(__xludf.DUMMYFUNCTION("""COMPUTED_VALUE"""),43837.99861111111)</f>
        <v>43837.99861</v>
      </c>
      <c r="B3470" s="1">
        <f>IFERROR(__xludf.DUMMYFUNCTION("""COMPUTED_VALUE"""),3379.072)</f>
        <v>3379.072</v>
      </c>
    </row>
    <row r="3471">
      <c r="A3471" s="3">
        <f>IFERROR(__xludf.DUMMYFUNCTION("""COMPUTED_VALUE"""),43838.99861111111)</f>
        <v>43838.99861</v>
      </c>
      <c r="B3471" s="1">
        <f>IFERROR(__xludf.DUMMYFUNCTION("""COMPUTED_VALUE"""),3385.482)</f>
        <v>3385.482</v>
      </c>
    </row>
    <row r="3472">
      <c r="A3472" s="3">
        <f>IFERROR(__xludf.DUMMYFUNCTION("""COMPUTED_VALUE"""),43839.99861111111)</f>
        <v>43839.99861</v>
      </c>
      <c r="B3472" s="1">
        <f>IFERROR(__xludf.DUMMYFUNCTION("""COMPUTED_VALUE"""),3382.573)</f>
        <v>3382.573</v>
      </c>
    </row>
    <row r="3473">
      <c r="A3473" s="3">
        <f>IFERROR(__xludf.DUMMYFUNCTION("""COMPUTED_VALUE"""),43840.99861111111)</f>
        <v>43840.99861</v>
      </c>
      <c r="B3473" s="1">
        <f>IFERROR(__xludf.DUMMYFUNCTION("""COMPUTED_VALUE"""),3383.384)</f>
        <v>3383.384</v>
      </c>
    </row>
    <row r="3474">
      <c r="A3474" s="3">
        <f>IFERROR(__xludf.DUMMYFUNCTION("""COMPUTED_VALUE"""),43841.99861111111)</f>
        <v>43841.99861</v>
      </c>
      <c r="B3474" s="1">
        <f>IFERROR(__xludf.DUMMYFUNCTION("""COMPUTED_VALUE"""),3376.075)</f>
        <v>3376.075</v>
      </c>
    </row>
    <row r="3475">
      <c r="A3475" s="3">
        <f>IFERROR(__xludf.DUMMYFUNCTION("""COMPUTED_VALUE"""),43842.99861111111)</f>
        <v>43842.99861</v>
      </c>
      <c r="B3475" s="1">
        <f>IFERROR(__xludf.DUMMYFUNCTION("""COMPUTED_VALUE"""),3376.075)</f>
        <v>3376.075</v>
      </c>
    </row>
    <row r="3476">
      <c r="A3476" s="3">
        <f>IFERROR(__xludf.DUMMYFUNCTION("""COMPUTED_VALUE"""),43843.99861111111)</f>
        <v>43843.99861</v>
      </c>
      <c r="B3476" s="1">
        <f>IFERROR(__xludf.DUMMYFUNCTION("""COMPUTED_VALUE"""),3369.414)</f>
        <v>3369.414</v>
      </c>
    </row>
    <row r="3477">
      <c r="A3477" s="3">
        <f>IFERROR(__xludf.DUMMYFUNCTION("""COMPUTED_VALUE"""),43844.99861111111)</f>
        <v>43844.99861</v>
      </c>
      <c r="B3477" s="1">
        <f>IFERROR(__xludf.DUMMYFUNCTION("""COMPUTED_VALUE"""),3354.722)</f>
        <v>3354.722</v>
      </c>
    </row>
    <row r="3478">
      <c r="A3478" s="3">
        <f>IFERROR(__xludf.DUMMYFUNCTION("""COMPUTED_VALUE"""),43845.99861111111)</f>
        <v>43845.99861</v>
      </c>
      <c r="B3478" s="1">
        <f>IFERROR(__xludf.DUMMYFUNCTION("""COMPUTED_VALUE"""),3355.196)</f>
        <v>3355.196</v>
      </c>
    </row>
    <row r="3479">
      <c r="A3479" s="3">
        <f>IFERROR(__xludf.DUMMYFUNCTION("""COMPUTED_VALUE"""),43846.99861111111)</f>
        <v>43846.99861</v>
      </c>
      <c r="B3479" s="1">
        <f>IFERROR(__xludf.DUMMYFUNCTION("""COMPUTED_VALUE"""),3345.977)</f>
        <v>3345.977</v>
      </c>
    </row>
    <row r="3480">
      <c r="A3480" s="3">
        <f>IFERROR(__xludf.DUMMYFUNCTION("""COMPUTED_VALUE"""),43847.99861111111)</f>
        <v>43847.99861</v>
      </c>
      <c r="B3480" s="1">
        <f>IFERROR(__xludf.DUMMYFUNCTION("""COMPUTED_VALUE"""),3363.938)</f>
        <v>3363.938</v>
      </c>
    </row>
    <row r="3481">
      <c r="A3481" s="3">
        <f>IFERROR(__xludf.DUMMYFUNCTION("""COMPUTED_VALUE"""),43848.99861111111)</f>
        <v>43848.99861</v>
      </c>
      <c r="B3481" s="1">
        <f>IFERROR(__xludf.DUMMYFUNCTION("""COMPUTED_VALUE"""),3363.938)</f>
        <v>3363.938</v>
      </c>
    </row>
    <row r="3482">
      <c r="A3482" s="3">
        <f>IFERROR(__xludf.DUMMYFUNCTION("""COMPUTED_VALUE"""),43849.99861111111)</f>
        <v>43849.99861</v>
      </c>
      <c r="B3482" s="1">
        <f>IFERROR(__xludf.DUMMYFUNCTION("""COMPUTED_VALUE"""),3363.938)</f>
        <v>3363.938</v>
      </c>
    </row>
    <row r="3483">
      <c r="A3483" s="3">
        <f>IFERROR(__xludf.DUMMYFUNCTION("""COMPUTED_VALUE"""),43850.99861111111)</f>
        <v>43850.99861</v>
      </c>
      <c r="B3483" s="1">
        <f>IFERROR(__xludf.DUMMYFUNCTION("""COMPUTED_VALUE"""),3357.337)</f>
        <v>3357.337</v>
      </c>
    </row>
    <row r="3484">
      <c r="A3484" s="3">
        <f>IFERROR(__xludf.DUMMYFUNCTION("""COMPUTED_VALUE"""),43851.99861111111)</f>
        <v>43851.99861</v>
      </c>
      <c r="B3484" s="1">
        <f>IFERROR(__xludf.DUMMYFUNCTION("""COMPUTED_VALUE"""),3349.036)</f>
        <v>3349.036</v>
      </c>
    </row>
    <row r="3485">
      <c r="A3485" s="3">
        <f>IFERROR(__xludf.DUMMYFUNCTION("""COMPUTED_VALUE"""),43852.99861111111)</f>
        <v>43852.99861</v>
      </c>
      <c r="B3485" s="1">
        <f>IFERROR(__xludf.DUMMYFUNCTION("""COMPUTED_VALUE"""),3358.055)</f>
        <v>3358.055</v>
      </c>
    </row>
    <row r="3486">
      <c r="A3486" s="3">
        <f>IFERROR(__xludf.DUMMYFUNCTION("""COMPUTED_VALUE"""),43853.99861111111)</f>
        <v>43853.99861</v>
      </c>
      <c r="B3486" s="1">
        <f>IFERROR(__xludf.DUMMYFUNCTION("""COMPUTED_VALUE"""),3335.032)</f>
        <v>3335.032</v>
      </c>
    </row>
    <row r="3487">
      <c r="A3487" s="3">
        <f>IFERROR(__xludf.DUMMYFUNCTION("""COMPUTED_VALUE"""),43854.99861111111)</f>
        <v>43854.99861</v>
      </c>
      <c r="B3487" s="1">
        <f>IFERROR(__xludf.DUMMYFUNCTION("""COMPUTED_VALUE"""),3373.636)</f>
        <v>3373.636</v>
      </c>
    </row>
    <row r="3488">
      <c r="A3488" s="3">
        <f>IFERROR(__xludf.DUMMYFUNCTION("""COMPUTED_VALUE"""),43855.99861111111)</f>
        <v>43855.99861</v>
      </c>
      <c r="B3488" s="1">
        <f>IFERROR(__xludf.DUMMYFUNCTION("""COMPUTED_VALUE"""),3373.636)</f>
        <v>3373.636</v>
      </c>
    </row>
    <row r="3489">
      <c r="A3489" s="3">
        <f>IFERROR(__xludf.DUMMYFUNCTION("""COMPUTED_VALUE"""),43856.99861111111)</f>
        <v>43856.99861</v>
      </c>
      <c r="B3489" s="1">
        <f>IFERROR(__xludf.DUMMYFUNCTION("""COMPUTED_VALUE"""),3373.636)</f>
        <v>3373.636</v>
      </c>
    </row>
    <row r="3490">
      <c r="A3490" s="3">
        <f>IFERROR(__xludf.DUMMYFUNCTION("""COMPUTED_VALUE"""),43857.99861111111)</f>
        <v>43857.99861</v>
      </c>
      <c r="B3490" s="1">
        <f>IFERROR(__xludf.DUMMYFUNCTION("""COMPUTED_VALUE"""),3249.593)</f>
        <v>3249.593</v>
      </c>
    </row>
    <row r="3491">
      <c r="A3491" s="3">
        <f>IFERROR(__xludf.DUMMYFUNCTION("""COMPUTED_VALUE"""),43858.99861111111)</f>
        <v>43858.99861</v>
      </c>
      <c r="B3491" s="1">
        <f>IFERROR(__xludf.DUMMYFUNCTION("""COMPUTED_VALUE"""),3333.704)</f>
        <v>3333.704</v>
      </c>
    </row>
    <row r="3492">
      <c r="A3492" s="3">
        <f>IFERROR(__xludf.DUMMYFUNCTION("""COMPUTED_VALUE"""),43859.99861111111)</f>
        <v>43859.99861</v>
      </c>
      <c r="B3492" s="1">
        <f>IFERROR(__xludf.DUMMYFUNCTION("""COMPUTED_VALUE"""),3341.502)</f>
        <v>3341.502</v>
      </c>
    </row>
    <row r="3493">
      <c r="A3493" s="3">
        <f>IFERROR(__xludf.DUMMYFUNCTION("""COMPUTED_VALUE"""),43860.99861111111)</f>
        <v>43860.99861</v>
      </c>
      <c r="B3493" s="1">
        <f>IFERROR(__xludf.DUMMYFUNCTION("""COMPUTED_VALUE"""),3340.73)</f>
        <v>3340.73</v>
      </c>
    </row>
    <row r="3494">
      <c r="A3494" s="3">
        <f>IFERROR(__xludf.DUMMYFUNCTION("""COMPUTED_VALUE"""),43861.99861111111)</f>
        <v>43861.99861</v>
      </c>
      <c r="B3494" s="1">
        <f>IFERROR(__xludf.DUMMYFUNCTION("""COMPUTED_VALUE"""),3345.051)</f>
        <v>3345.051</v>
      </c>
    </row>
    <row r="3495">
      <c r="A3495" s="3">
        <f>IFERROR(__xludf.DUMMYFUNCTION("""COMPUTED_VALUE"""),43862.99861111111)</f>
        <v>43862.99861</v>
      </c>
      <c r="B3495" s="1">
        <f>IFERROR(__xludf.DUMMYFUNCTION("""COMPUTED_VALUE"""),3345.051)</f>
        <v>3345.051</v>
      </c>
    </row>
    <row r="3496">
      <c r="A3496" s="3">
        <f>IFERROR(__xludf.DUMMYFUNCTION("""COMPUTED_VALUE"""),43863.99861111111)</f>
        <v>43863.99861</v>
      </c>
      <c r="B3496" s="1">
        <f>IFERROR(__xludf.DUMMYFUNCTION("""COMPUTED_VALUE"""),3345.051)</f>
        <v>3345.051</v>
      </c>
    </row>
    <row r="3497">
      <c r="A3497" s="3">
        <f>IFERROR(__xludf.DUMMYFUNCTION("""COMPUTED_VALUE"""),43864.99861111111)</f>
        <v>43864.99861</v>
      </c>
      <c r="B3497" s="1">
        <f>IFERROR(__xludf.DUMMYFUNCTION("""COMPUTED_VALUE"""),3339.992)</f>
        <v>3339.992</v>
      </c>
    </row>
    <row r="3498">
      <c r="A3498" s="3">
        <f>IFERROR(__xludf.DUMMYFUNCTION("""COMPUTED_VALUE"""),43865.99861111111)</f>
        <v>43865.99861</v>
      </c>
      <c r="B3498" s="1">
        <f>IFERROR(__xludf.DUMMYFUNCTION("""COMPUTED_VALUE"""),3331.353)</f>
        <v>3331.353</v>
      </c>
    </row>
    <row r="3499">
      <c r="A3499" s="3">
        <f>IFERROR(__xludf.DUMMYFUNCTION("""COMPUTED_VALUE"""),43866.99861111111)</f>
        <v>43866.99861</v>
      </c>
      <c r="B3499" s="1">
        <f>IFERROR(__xludf.DUMMYFUNCTION("""COMPUTED_VALUE"""),3314.454)</f>
        <v>3314.454</v>
      </c>
    </row>
    <row r="3500">
      <c r="A3500" s="3">
        <f>IFERROR(__xludf.DUMMYFUNCTION("""COMPUTED_VALUE"""),43867.99861111111)</f>
        <v>43867.99861</v>
      </c>
      <c r="B3500" s="1">
        <f>IFERROR(__xludf.DUMMYFUNCTION("""COMPUTED_VALUE"""),3303.816)</f>
        <v>3303.816</v>
      </c>
    </row>
    <row r="3501">
      <c r="A3501" s="3">
        <f>IFERROR(__xludf.DUMMYFUNCTION("""COMPUTED_VALUE"""),43868.99861111111)</f>
        <v>43868.99861</v>
      </c>
      <c r="B3501" s="1">
        <f>IFERROR(__xludf.DUMMYFUNCTION("""COMPUTED_VALUE"""),3303.552)</f>
        <v>3303.552</v>
      </c>
    </row>
    <row r="3502">
      <c r="A3502" s="3">
        <f>IFERROR(__xludf.DUMMYFUNCTION("""COMPUTED_VALUE"""),43869.99861111111)</f>
        <v>43869.99861</v>
      </c>
      <c r="B3502" s="1">
        <f>IFERROR(__xludf.DUMMYFUNCTION("""COMPUTED_VALUE"""),3303.552)</f>
        <v>3303.552</v>
      </c>
    </row>
    <row r="3503">
      <c r="A3503" s="3">
        <f>IFERROR(__xludf.DUMMYFUNCTION("""COMPUTED_VALUE"""),43870.99861111111)</f>
        <v>43870.99861</v>
      </c>
      <c r="B3503" s="1">
        <f>IFERROR(__xludf.DUMMYFUNCTION("""COMPUTED_VALUE"""),3303.552)</f>
        <v>3303.552</v>
      </c>
    </row>
    <row r="3504">
      <c r="A3504" s="3">
        <f>IFERROR(__xludf.DUMMYFUNCTION("""COMPUTED_VALUE"""),43871.99861111111)</f>
        <v>43871.99861</v>
      </c>
      <c r="B3504" s="1">
        <f>IFERROR(__xludf.DUMMYFUNCTION("""COMPUTED_VALUE"""),3293.472)</f>
        <v>3293.472</v>
      </c>
    </row>
    <row r="3505">
      <c r="A3505" s="3">
        <f>IFERROR(__xludf.DUMMYFUNCTION("""COMPUTED_VALUE"""),43872.99861111111)</f>
        <v>43872.99861</v>
      </c>
      <c r="B3505" s="1">
        <f>IFERROR(__xludf.DUMMYFUNCTION("""COMPUTED_VALUE"""),3306.586)</f>
        <v>3306.586</v>
      </c>
    </row>
    <row r="3506">
      <c r="A3506" s="3">
        <f>IFERROR(__xludf.DUMMYFUNCTION("""COMPUTED_VALUE"""),43873.99861111111)</f>
        <v>43873.99861</v>
      </c>
      <c r="B3506" s="1">
        <f>IFERROR(__xludf.DUMMYFUNCTION("""COMPUTED_VALUE"""),3303.091)</f>
        <v>3303.091</v>
      </c>
    </row>
    <row r="3507">
      <c r="A3507" s="3">
        <f>IFERROR(__xludf.DUMMYFUNCTION("""COMPUTED_VALUE"""),43874.99861111111)</f>
        <v>43874.99861</v>
      </c>
      <c r="B3507" s="1">
        <f>IFERROR(__xludf.DUMMYFUNCTION("""COMPUTED_VALUE"""),3298.424)</f>
        <v>3298.424</v>
      </c>
    </row>
    <row r="3508">
      <c r="A3508" s="3">
        <f>IFERROR(__xludf.DUMMYFUNCTION("""COMPUTED_VALUE"""),43875.99861111111)</f>
        <v>43875.99861</v>
      </c>
      <c r="B3508" s="1">
        <f>IFERROR(__xludf.DUMMYFUNCTION("""COMPUTED_VALUE"""),3303.838)</f>
        <v>3303.838</v>
      </c>
    </row>
    <row r="3509">
      <c r="A3509" s="3">
        <f>IFERROR(__xludf.DUMMYFUNCTION("""COMPUTED_VALUE"""),43876.99861111111)</f>
        <v>43876.99861</v>
      </c>
      <c r="B3509" s="1">
        <f>IFERROR(__xludf.DUMMYFUNCTION("""COMPUTED_VALUE"""),3303.838)</f>
        <v>3303.838</v>
      </c>
    </row>
    <row r="3510">
      <c r="A3510" s="3">
        <f>IFERROR(__xludf.DUMMYFUNCTION("""COMPUTED_VALUE"""),43877.99861111111)</f>
        <v>43877.99861</v>
      </c>
      <c r="B3510" s="1">
        <f>IFERROR(__xludf.DUMMYFUNCTION("""COMPUTED_VALUE"""),3303.838)</f>
        <v>3303.838</v>
      </c>
    </row>
    <row r="3511">
      <c r="A3511" s="3">
        <f>IFERROR(__xludf.DUMMYFUNCTION("""COMPUTED_VALUE"""),43878.99861111111)</f>
        <v>43878.99861</v>
      </c>
      <c r="B3511" s="1">
        <f>IFERROR(__xludf.DUMMYFUNCTION("""COMPUTED_VALUE"""),3293.269)</f>
        <v>3293.269</v>
      </c>
    </row>
    <row r="3512">
      <c r="A3512" s="3">
        <f>IFERROR(__xludf.DUMMYFUNCTION("""COMPUTED_VALUE"""),43879.99861111111)</f>
        <v>43879.99861</v>
      </c>
      <c r="B3512" s="1">
        <f>IFERROR(__xludf.DUMMYFUNCTION("""COMPUTED_VALUE"""),3280.249)</f>
        <v>3280.249</v>
      </c>
    </row>
    <row r="3513">
      <c r="A3513" s="3">
        <f>IFERROR(__xludf.DUMMYFUNCTION("""COMPUTED_VALUE"""),43880.99861111111)</f>
        <v>43880.99861</v>
      </c>
      <c r="B3513" s="1">
        <f>IFERROR(__xludf.DUMMYFUNCTION("""COMPUTED_VALUE"""),3288.147)</f>
        <v>3288.147</v>
      </c>
    </row>
    <row r="3514">
      <c r="A3514" s="3">
        <f>IFERROR(__xludf.DUMMYFUNCTION("""COMPUTED_VALUE"""),43881.99861111111)</f>
        <v>43881.99861</v>
      </c>
      <c r="B3514" s="1">
        <f>IFERROR(__xludf.DUMMYFUNCTION("""COMPUTED_VALUE"""),3274.221)</f>
        <v>3274.221</v>
      </c>
    </row>
    <row r="3515">
      <c r="A3515" s="3">
        <f>IFERROR(__xludf.DUMMYFUNCTION("""COMPUTED_VALUE"""),43882.99861111111)</f>
        <v>43882.99861</v>
      </c>
      <c r="B3515" s="1">
        <f>IFERROR(__xludf.DUMMYFUNCTION("""COMPUTED_VALUE"""),3297.948)</f>
        <v>3297.948</v>
      </c>
    </row>
    <row r="3516">
      <c r="A3516" s="3">
        <f>IFERROR(__xludf.DUMMYFUNCTION("""COMPUTED_VALUE"""),43883.99861111111)</f>
        <v>43883.99861</v>
      </c>
      <c r="B3516" s="1">
        <f>IFERROR(__xludf.DUMMYFUNCTION("""COMPUTED_VALUE"""),3297.948)</f>
        <v>3297.948</v>
      </c>
    </row>
    <row r="3517">
      <c r="A3517" s="3">
        <f>IFERROR(__xludf.DUMMYFUNCTION("""COMPUTED_VALUE"""),43884.99861111111)</f>
        <v>43884.99861</v>
      </c>
      <c r="B3517" s="1">
        <f>IFERROR(__xludf.DUMMYFUNCTION("""COMPUTED_VALUE"""),3297.948)</f>
        <v>3297.948</v>
      </c>
    </row>
    <row r="3518">
      <c r="A3518" s="3">
        <f>IFERROR(__xludf.DUMMYFUNCTION("""COMPUTED_VALUE"""),43885.99861111111)</f>
        <v>43885.99861</v>
      </c>
      <c r="B3518" s="1">
        <f>IFERROR(__xludf.DUMMYFUNCTION("""COMPUTED_VALUE"""),3294.053)</f>
        <v>3294.053</v>
      </c>
    </row>
    <row r="3519">
      <c r="A3519" s="3">
        <f>IFERROR(__xludf.DUMMYFUNCTION("""COMPUTED_VALUE"""),43886.99861111111)</f>
        <v>43886.99861</v>
      </c>
      <c r="B3519" s="1">
        <f>IFERROR(__xludf.DUMMYFUNCTION("""COMPUTED_VALUE"""),3285.901)</f>
        <v>3285.901</v>
      </c>
    </row>
    <row r="3520">
      <c r="A3520" s="3">
        <f>IFERROR(__xludf.DUMMYFUNCTION("""COMPUTED_VALUE"""),43887.99861111111)</f>
        <v>43887.99861</v>
      </c>
      <c r="B3520" s="1">
        <f>IFERROR(__xludf.DUMMYFUNCTION("""COMPUTED_VALUE"""),3298.4)</f>
        <v>3298.4</v>
      </c>
    </row>
    <row r="3521">
      <c r="A3521" s="3">
        <f>IFERROR(__xludf.DUMMYFUNCTION("""COMPUTED_VALUE"""),43888.99861111111)</f>
        <v>43888.99861</v>
      </c>
      <c r="B3521" s="1">
        <f>IFERROR(__xludf.DUMMYFUNCTION("""COMPUTED_VALUE"""),3344.037)</f>
        <v>3344.037</v>
      </c>
    </row>
    <row r="3522">
      <c r="A3522" s="3">
        <f>IFERROR(__xludf.DUMMYFUNCTION("""COMPUTED_VALUE"""),43889.99861111111)</f>
        <v>43889.99861</v>
      </c>
      <c r="B3522" s="1">
        <f>IFERROR(__xludf.DUMMYFUNCTION("""COMPUTED_VALUE"""),3324.992)</f>
        <v>3324.992</v>
      </c>
    </row>
    <row r="3523">
      <c r="A3523" s="3">
        <f>IFERROR(__xludf.DUMMYFUNCTION("""COMPUTED_VALUE"""),43890.99861111111)</f>
        <v>43890.99861</v>
      </c>
      <c r="B3523" s="1">
        <f>IFERROR(__xludf.DUMMYFUNCTION("""COMPUTED_VALUE"""),3324.992)</f>
        <v>3324.992</v>
      </c>
    </row>
    <row r="3524">
      <c r="A3524" s="3">
        <f>IFERROR(__xludf.DUMMYFUNCTION("""COMPUTED_VALUE"""),43891.99861111111)</f>
        <v>43891.99861</v>
      </c>
      <c r="B3524" s="1">
        <f>IFERROR(__xludf.DUMMYFUNCTION("""COMPUTED_VALUE"""),3324.992)</f>
        <v>3324.992</v>
      </c>
    </row>
    <row r="3525">
      <c r="A3525" s="3">
        <f>IFERROR(__xludf.DUMMYFUNCTION("""COMPUTED_VALUE"""),43892.99861111111)</f>
        <v>43892.99861</v>
      </c>
      <c r="B3525" s="1">
        <f>IFERROR(__xludf.DUMMYFUNCTION("""COMPUTED_VALUE"""),3392.793)</f>
        <v>3392.793</v>
      </c>
    </row>
    <row r="3526">
      <c r="A3526" s="3">
        <f>IFERROR(__xludf.DUMMYFUNCTION("""COMPUTED_VALUE"""),43893.99861111111)</f>
        <v>43893.99861</v>
      </c>
      <c r="B3526" s="1">
        <f>IFERROR(__xludf.DUMMYFUNCTION("""COMPUTED_VALUE"""),3395.102)</f>
        <v>3395.102</v>
      </c>
    </row>
    <row r="3527">
      <c r="A3527" s="3">
        <f>IFERROR(__xludf.DUMMYFUNCTION("""COMPUTED_VALUE"""),43894.99861111111)</f>
        <v>43894.99861</v>
      </c>
      <c r="B3527" s="1">
        <f>IFERROR(__xludf.DUMMYFUNCTION("""COMPUTED_VALUE"""),3422.46)</f>
        <v>3422.46</v>
      </c>
    </row>
    <row r="3528">
      <c r="A3528" s="3">
        <f>IFERROR(__xludf.DUMMYFUNCTION("""COMPUTED_VALUE"""),43895.99861111111)</f>
        <v>43895.99861</v>
      </c>
      <c r="B3528" s="1">
        <f>IFERROR(__xludf.DUMMYFUNCTION("""COMPUTED_VALUE"""),3422.46)</f>
        <v>3422.46</v>
      </c>
    </row>
    <row r="3529">
      <c r="A3529" s="3">
        <f>IFERROR(__xludf.DUMMYFUNCTION("""COMPUTED_VALUE"""),43896.99861111111)</f>
        <v>43896.99861</v>
      </c>
      <c r="B3529" s="1">
        <f>IFERROR(__xludf.DUMMYFUNCTION("""COMPUTED_VALUE"""),3422.46)</f>
        <v>3422.46</v>
      </c>
    </row>
    <row r="3530">
      <c r="A3530" s="3">
        <f>IFERROR(__xludf.DUMMYFUNCTION("""COMPUTED_VALUE"""),43897.99861111111)</f>
        <v>43897.99861</v>
      </c>
      <c r="B3530" s="1">
        <f>IFERROR(__xludf.DUMMYFUNCTION("""COMPUTED_VALUE"""),3422.46)</f>
        <v>3422.46</v>
      </c>
    </row>
    <row r="3531">
      <c r="A3531" s="3">
        <f>IFERROR(__xludf.DUMMYFUNCTION("""COMPUTED_VALUE"""),43898.99861111111)</f>
        <v>43898.99861</v>
      </c>
      <c r="B3531" s="1">
        <f>IFERROR(__xludf.DUMMYFUNCTION("""COMPUTED_VALUE"""),3422.46)</f>
        <v>3422.46</v>
      </c>
    </row>
    <row r="3532">
      <c r="A3532" s="3">
        <f>IFERROR(__xludf.DUMMYFUNCTION("""COMPUTED_VALUE"""),43899.99861111111)</f>
        <v>43899.99861</v>
      </c>
      <c r="B3532" s="1">
        <f>IFERROR(__xludf.DUMMYFUNCTION("""COMPUTED_VALUE"""),3422.46)</f>
        <v>3422.46</v>
      </c>
    </row>
    <row r="3533">
      <c r="A3533" s="3">
        <f>IFERROR(__xludf.DUMMYFUNCTION("""COMPUTED_VALUE"""),43900.99861111111)</f>
        <v>43900.99861</v>
      </c>
      <c r="B3533" s="1">
        <f>IFERROR(__xludf.DUMMYFUNCTION("""COMPUTED_VALUE"""),3422.46)</f>
        <v>3422.46</v>
      </c>
    </row>
    <row r="3534">
      <c r="A3534" s="3">
        <f>IFERROR(__xludf.DUMMYFUNCTION("""COMPUTED_VALUE"""),43901.99861111111)</f>
        <v>43901.99861</v>
      </c>
      <c r="B3534" s="1">
        <f>IFERROR(__xludf.DUMMYFUNCTION("""COMPUTED_VALUE"""),3422.46)</f>
        <v>3422.46</v>
      </c>
    </row>
    <row r="3535">
      <c r="A3535" s="3">
        <f>IFERROR(__xludf.DUMMYFUNCTION("""COMPUTED_VALUE"""),43902.99861111111)</f>
        <v>43902.99861</v>
      </c>
      <c r="B3535" s="1">
        <f>IFERROR(__xludf.DUMMYFUNCTION("""COMPUTED_VALUE"""),3422.46)</f>
        <v>3422.46</v>
      </c>
    </row>
    <row r="3536">
      <c r="A3536" s="3">
        <f>IFERROR(__xludf.DUMMYFUNCTION("""COMPUTED_VALUE"""),43903.99861111111)</f>
        <v>43903.99861</v>
      </c>
      <c r="B3536" s="1">
        <f>IFERROR(__xludf.DUMMYFUNCTION("""COMPUTED_VALUE"""),3422.46)</f>
        <v>3422.46</v>
      </c>
    </row>
    <row r="3537">
      <c r="A3537" s="3">
        <f>IFERROR(__xludf.DUMMYFUNCTION("""COMPUTED_VALUE"""),43904.99861111111)</f>
        <v>43904.99861</v>
      </c>
      <c r="B3537" s="1">
        <f>IFERROR(__xludf.DUMMYFUNCTION("""COMPUTED_VALUE"""),3422.46)</f>
        <v>3422.46</v>
      </c>
    </row>
    <row r="3538">
      <c r="A3538" s="3">
        <f>IFERROR(__xludf.DUMMYFUNCTION("""COMPUTED_VALUE"""),43905.99861111111)</f>
        <v>43905.99861</v>
      </c>
      <c r="B3538" s="1">
        <f>IFERROR(__xludf.DUMMYFUNCTION("""COMPUTED_VALUE"""),3422.46)</f>
        <v>3422.46</v>
      </c>
    </row>
    <row r="3539">
      <c r="A3539" s="3">
        <f>IFERROR(__xludf.DUMMYFUNCTION("""COMPUTED_VALUE"""),43906.99861111111)</f>
        <v>43906.99861</v>
      </c>
      <c r="B3539" s="1">
        <f>IFERROR(__xludf.DUMMYFUNCTION("""COMPUTED_VALUE"""),3422.46)</f>
        <v>3422.46</v>
      </c>
    </row>
    <row r="3540">
      <c r="A3540" s="3">
        <f>IFERROR(__xludf.DUMMYFUNCTION("""COMPUTED_VALUE"""),43907.99861111111)</f>
        <v>43907.99861</v>
      </c>
      <c r="B3540" s="1">
        <f>IFERROR(__xludf.DUMMYFUNCTION("""COMPUTED_VALUE"""),3422.46)</f>
        <v>3422.46</v>
      </c>
    </row>
    <row r="3541">
      <c r="A3541" s="3">
        <f>IFERROR(__xludf.DUMMYFUNCTION("""COMPUTED_VALUE"""),43908.99861111111)</f>
        <v>43908.99861</v>
      </c>
      <c r="B3541" s="1">
        <f>IFERROR(__xludf.DUMMYFUNCTION("""COMPUTED_VALUE"""),3422.46)</f>
        <v>3422.46</v>
      </c>
    </row>
    <row r="3542">
      <c r="A3542" s="3">
        <f>IFERROR(__xludf.DUMMYFUNCTION("""COMPUTED_VALUE"""),43909.99861111111)</f>
        <v>43909.99861</v>
      </c>
      <c r="B3542" s="1">
        <f>IFERROR(__xludf.DUMMYFUNCTION("""COMPUTED_VALUE"""),3422.46)</f>
        <v>3422.46</v>
      </c>
    </row>
    <row r="3543">
      <c r="A3543" s="3">
        <f>IFERROR(__xludf.DUMMYFUNCTION("""COMPUTED_VALUE"""),43910.99861111111)</f>
        <v>43910.99861</v>
      </c>
      <c r="B3543" s="1">
        <f>IFERROR(__xludf.DUMMYFUNCTION("""COMPUTED_VALUE"""),3422.46)</f>
        <v>3422.46</v>
      </c>
    </row>
    <row r="3544">
      <c r="A3544" s="3">
        <f>IFERROR(__xludf.DUMMYFUNCTION("""COMPUTED_VALUE"""),43911.99861111111)</f>
        <v>43911.99861</v>
      </c>
      <c r="B3544" s="1">
        <f>IFERROR(__xludf.DUMMYFUNCTION("""COMPUTED_VALUE"""),3422.46)</f>
        <v>3422.46</v>
      </c>
    </row>
    <row r="3545">
      <c r="A3545" s="3">
        <f>IFERROR(__xludf.DUMMYFUNCTION("""COMPUTED_VALUE"""),43912.99861111111)</f>
        <v>43912.99861</v>
      </c>
      <c r="B3545" s="1">
        <f>IFERROR(__xludf.DUMMYFUNCTION("""COMPUTED_VALUE"""),3422.46)</f>
        <v>3422.46</v>
      </c>
    </row>
    <row r="3546">
      <c r="A3546" s="3">
        <f>IFERROR(__xludf.DUMMYFUNCTION("""COMPUTED_VALUE"""),43913.99861111111)</f>
        <v>43913.99861</v>
      </c>
      <c r="B3546" s="1">
        <f>IFERROR(__xludf.DUMMYFUNCTION("""COMPUTED_VALUE"""),3422.46)</f>
        <v>3422.46</v>
      </c>
    </row>
    <row r="3547">
      <c r="A3547" s="3">
        <f>IFERROR(__xludf.DUMMYFUNCTION("""COMPUTED_VALUE"""),43914.99861111111)</f>
        <v>43914.99861</v>
      </c>
      <c r="B3547" s="1">
        <f>IFERROR(__xludf.DUMMYFUNCTION("""COMPUTED_VALUE"""),3422.46)</f>
        <v>3422.46</v>
      </c>
    </row>
    <row r="3548">
      <c r="A3548" s="3">
        <f>IFERROR(__xludf.DUMMYFUNCTION("""COMPUTED_VALUE"""),43915.99861111111)</f>
        <v>43915.99861</v>
      </c>
      <c r="B3548" s="1">
        <f>IFERROR(__xludf.DUMMYFUNCTION("""COMPUTED_VALUE"""),3422.46)</f>
        <v>3422.46</v>
      </c>
    </row>
    <row r="3549">
      <c r="A3549" s="3">
        <f>IFERROR(__xludf.DUMMYFUNCTION("""COMPUTED_VALUE"""),43916.99861111111)</f>
        <v>43916.99861</v>
      </c>
      <c r="B3549" s="1">
        <f>IFERROR(__xludf.DUMMYFUNCTION("""COMPUTED_VALUE"""),3422.46)</f>
        <v>3422.46</v>
      </c>
    </row>
    <row r="3550">
      <c r="A3550" s="3">
        <f>IFERROR(__xludf.DUMMYFUNCTION("""COMPUTED_VALUE"""),43917.99861111111)</f>
        <v>43917.99861</v>
      </c>
      <c r="B3550" s="1">
        <f>IFERROR(__xludf.DUMMYFUNCTION("""COMPUTED_VALUE"""),3422.46)</f>
        <v>3422.46</v>
      </c>
    </row>
    <row r="3551">
      <c r="A3551" s="3">
        <f>IFERROR(__xludf.DUMMYFUNCTION("""COMPUTED_VALUE"""),43918.99861111111)</f>
        <v>43918.99861</v>
      </c>
      <c r="B3551" s="1">
        <f>IFERROR(__xludf.DUMMYFUNCTION("""COMPUTED_VALUE"""),3422.46)</f>
        <v>3422.46</v>
      </c>
    </row>
    <row r="3552">
      <c r="A3552" s="3">
        <f>IFERROR(__xludf.DUMMYFUNCTION("""COMPUTED_VALUE"""),43919.99861111111)</f>
        <v>43919.99861</v>
      </c>
      <c r="B3552" s="1">
        <f>IFERROR(__xludf.DUMMYFUNCTION("""COMPUTED_VALUE"""),3422.46)</f>
        <v>3422.46</v>
      </c>
    </row>
    <row r="3553">
      <c r="A3553" s="3">
        <f>IFERROR(__xludf.DUMMYFUNCTION("""COMPUTED_VALUE"""),43920.99861111111)</f>
        <v>43920.99861</v>
      </c>
      <c r="B3553" s="1">
        <f>IFERROR(__xludf.DUMMYFUNCTION("""COMPUTED_VALUE"""),3422.46)</f>
        <v>3422.46</v>
      </c>
    </row>
    <row r="3554">
      <c r="A3554" s="3">
        <f>IFERROR(__xludf.DUMMYFUNCTION("""COMPUTED_VALUE"""),43921.99861111111)</f>
        <v>43921.99861</v>
      </c>
      <c r="B3554" s="1">
        <f>IFERROR(__xludf.DUMMYFUNCTION("""COMPUTED_VALUE"""),3422.46)</f>
        <v>3422.46</v>
      </c>
    </row>
    <row r="3555">
      <c r="A3555" s="3">
        <f>IFERROR(__xludf.DUMMYFUNCTION("""COMPUTED_VALUE"""),43922.99861111111)</f>
        <v>43922.99861</v>
      </c>
      <c r="B3555" s="1">
        <f>IFERROR(__xludf.DUMMYFUNCTION("""COMPUTED_VALUE"""),3422.46)</f>
        <v>3422.46</v>
      </c>
    </row>
    <row r="3556">
      <c r="A3556" s="3">
        <f>IFERROR(__xludf.DUMMYFUNCTION("""COMPUTED_VALUE"""),43923.99861111111)</f>
        <v>43923.99861</v>
      </c>
      <c r="B3556" s="1">
        <f>IFERROR(__xludf.DUMMYFUNCTION("""COMPUTED_VALUE"""),3422.46)</f>
        <v>3422.46</v>
      </c>
    </row>
    <row r="3557">
      <c r="A3557" s="3">
        <f>IFERROR(__xludf.DUMMYFUNCTION("""COMPUTED_VALUE"""),43924.99861111111)</f>
        <v>43924.99861</v>
      </c>
      <c r="B3557" s="1">
        <f>IFERROR(__xludf.DUMMYFUNCTION("""COMPUTED_VALUE"""),3422.46)</f>
        <v>3422.46</v>
      </c>
    </row>
    <row r="3558">
      <c r="A3558" s="3">
        <f>IFERROR(__xludf.DUMMYFUNCTION("""COMPUTED_VALUE"""),43925.99861111111)</f>
        <v>43925.99861</v>
      </c>
      <c r="B3558" s="1">
        <f>IFERROR(__xludf.DUMMYFUNCTION("""COMPUTED_VALUE"""),3422.46)</f>
        <v>3422.46</v>
      </c>
    </row>
    <row r="3559">
      <c r="A3559" s="3">
        <f>IFERROR(__xludf.DUMMYFUNCTION("""COMPUTED_VALUE"""),43926.99861111111)</f>
        <v>43926.99861</v>
      </c>
      <c r="B3559" s="1">
        <f>IFERROR(__xludf.DUMMYFUNCTION("""COMPUTED_VALUE"""),3422.46)</f>
        <v>3422.46</v>
      </c>
    </row>
    <row r="3560">
      <c r="A3560" s="3">
        <f>IFERROR(__xludf.DUMMYFUNCTION("""COMPUTED_VALUE"""),43927.99861111111)</f>
        <v>43927.99861</v>
      </c>
      <c r="B3560" s="1">
        <f>IFERROR(__xludf.DUMMYFUNCTION("""COMPUTED_VALUE"""),3422.46)</f>
        <v>3422.46</v>
      </c>
    </row>
    <row r="3561">
      <c r="A3561" s="3">
        <f>IFERROR(__xludf.DUMMYFUNCTION("""COMPUTED_VALUE"""),43928.99861111111)</f>
        <v>43928.99861</v>
      </c>
      <c r="B3561" s="1">
        <f>IFERROR(__xludf.DUMMYFUNCTION("""COMPUTED_VALUE"""),3422.46)</f>
        <v>3422.46</v>
      </c>
    </row>
    <row r="3562">
      <c r="A3562" s="3">
        <f>IFERROR(__xludf.DUMMYFUNCTION("""COMPUTED_VALUE"""),43929.99861111111)</f>
        <v>43929.99861</v>
      </c>
      <c r="B3562" s="1">
        <f>IFERROR(__xludf.DUMMYFUNCTION("""COMPUTED_VALUE"""),3422.46)</f>
        <v>3422.46</v>
      </c>
    </row>
    <row r="3563">
      <c r="A3563" s="3">
        <f>IFERROR(__xludf.DUMMYFUNCTION("""COMPUTED_VALUE"""),43930.99861111111)</f>
        <v>43930.99861</v>
      </c>
      <c r="B3563" s="1">
        <f>IFERROR(__xludf.DUMMYFUNCTION("""COMPUTED_VALUE"""),3422.46)</f>
        <v>3422.46</v>
      </c>
    </row>
    <row r="3564">
      <c r="A3564" s="3">
        <f>IFERROR(__xludf.DUMMYFUNCTION("""COMPUTED_VALUE"""),43931.99861111111)</f>
        <v>43931.99861</v>
      </c>
      <c r="B3564" s="1">
        <f>IFERROR(__xludf.DUMMYFUNCTION("""COMPUTED_VALUE"""),3422.46)</f>
        <v>3422.46</v>
      </c>
    </row>
    <row r="3565">
      <c r="A3565" s="3">
        <f>IFERROR(__xludf.DUMMYFUNCTION("""COMPUTED_VALUE"""),43932.99861111111)</f>
        <v>43932.99861</v>
      </c>
      <c r="B3565" s="1">
        <f>IFERROR(__xludf.DUMMYFUNCTION("""COMPUTED_VALUE"""),3422.46)</f>
        <v>3422.46</v>
      </c>
    </row>
    <row r="3566">
      <c r="A3566" s="3">
        <f>IFERROR(__xludf.DUMMYFUNCTION("""COMPUTED_VALUE"""),43933.99861111111)</f>
        <v>43933.99861</v>
      </c>
      <c r="B3566" s="1">
        <f>IFERROR(__xludf.DUMMYFUNCTION("""COMPUTED_VALUE"""),3422.46)</f>
        <v>3422.46</v>
      </c>
    </row>
    <row r="3567">
      <c r="A3567" s="3">
        <f>IFERROR(__xludf.DUMMYFUNCTION("""COMPUTED_VALUE"""),43934.99861111111)</f>
        <v>43934.99861</v>
      </c>
      <c r="B3567" s="1">
        <f>IFERROR(__xludf.DUMMYFUNCTION("""COMPUTED_VALUE"""),3422.46)</f>
        <v>3422.46</v>
      </c>
    </row>
    <row r="3568">
      <c r="A3568" s="3">
        <f>IFERROR(__xludf.DUMMYFUNCTION("""COMPUTED_VALUE"""),43935.99861111111)</f>
        <v>43935.99861</v>
      </c>
      <c r="B3568" s="1">
        <f>IFERROR(__xludf.DUMMYFUNCTION("""COMPUTED_VALUE"""),3422.46)</f>
        <v>3422.46</v>
      </c>
    </row>
    <row r="3569">
      <c r="A3569" s="3">
        <f>IFERROR(__xludf.DUMMYFUNCTION("""COMPUTED_VALUE"""),43936.99861111111)</f>
        <v>43936.99861</v>
      </c>
      <c r="B3569" s="1">
        <f>IFERROR(__xludf.DUMMYFUNCTION("""COMPUTED_VALUE"""),3422.46)</f>
        <v>3422.46</v>
      </c>
    </row>
    <row r="3570">
      <c r="A3570" s="3">
        <f>IFERROR(__xludf.DUMMYFUNCTION("""COMPUTED_VALUE"""),43937.99861111111)</f>
        <v>43937.99861</v>
      </c>
      <c r="B3570" s="1">
        <f>IFERROR(__xludf.DUMMYFUNCTION("""COMPUTED_VALUE"""),3422.46)</f>
        <v>3422.46</v>
      </c>
    </row>
    <row r="3571">
      <c r="A3571" s="3">
        <f>IFERROR(__xludf.DUMMYFUNCTION("""COMPUTED_VALUE"""),43938.99861111111)</f>
        <v>43938.99861</v>
      </c>
      <c r="B3571" s="1">
        <f>IFERROR(__xludf.DUMMYFUNCTION("""COMPUTED_VALUE"""),3422.46)</f>
        <v>3422.46</v>
      </c>
    </row>
    <row r="3572">
      <c r="A3572" s="3">
        <f>IFERROR(__xludf.DUMMYFUNCTION("""COMPUTED_VALUE"""),43939.99861111111)</f>
        <v>43939.99861</v>
      </c>
      <c r="B3572" s="1">
        <f>IFERROR(__xludf.DUMMYFUNCTION("""COMPUTED_VALUE"""),3422.46)</f>
        <v>3422.46</v>
      </c>
    </row>
    <row r="3573">
      <c r="A3573" s="3">
        <f>IFERROR(__xludf.DUMMYFUNCTION("""COMPUTED_VALUE"""),43940.99861111111)</f>
        <v>43940.99861</v>
      </c>
      <c r="B3573" s="1">
        <f>IFERROR(__xludf.DUMMYFUNCTION("""COMPUTED_VALUE"""),3422.46)</f>
        <v>3422.46</v>
      </c>
    </row>
    <row r="3574">
      <c r="A3574" s="3">
        <f>IFERROR(__xludf.DUMMYFUNCTION("""COMPUTED_VALUE"""),43941.99861111111)</f>
        <v>43941.99861</v>
      </c>
      <c r="B3574" s="1">
        <f>IFERROR(__xludf.DUMMYFUNCTION("""COMPUTED_VALUE"""),3422.46)</f>
        <v>3422.46</v>
      </c>
    </row>
    <row r="3575">
      <c r="A3575" s="3">
        <f>IFERROR(__xludf.DUMMYFUNCTION("""COMPUTED_VALUE"""),43942.99861111111)</f>
        <v>43942.99861</v>
      </c>
      <c r="B3575" s="1">
        <f>IFERROR(__xludf.DUMMYFUNCTION("""COMPUTED_VALUE"""),3422.46)</f>
        <v>3422.46</v>
      </c>
    </row>
    <row r="3576">
      <c r="A3576" s="3">
        <f>IFERROR(__xludf.DUMMYFUNCTION("""COMPUTED_VALUE"""),43943.99861111111)</f>
        <v>43943.99861</v>
      </c>
      <c r="B3576" s="1">
        <f>IFERROR(__xludf.DUMMYFUNCTION("""COMPUTED_VALUE"""),3422.46)</f>
        <v>3422.46</v>
      </c>
    </row>
    <row r="3577">
      <c r="A3577" s="3">
        <f>IFERROR(__xludf.DUMMYFUNCTION("""COMPUTED_VALUE"""),43944.99861111111)</f>
        <v>43944.99861</v>
      </c>
      <c r="B3577" s="1">
        <f>IFERROR(__xludf.DUMMYFUNCTION("""COMPUTED_VALUE"""),3422.46)</f>
        <v>3422.46</v>
      </c>
    </row>
    <row r="3578">
      <c r="A3578" s="3">
        <f>IFERROR(__xludf.DUMMYFUNCTION("""COMPUTED_VALUE"""),43945.99861111111)</f>
        <v>43945.99861</v>
      </c>
      <c r="B3578" s="1">
        <f>IFERROR(__xludf.DUMMYFUNCTION("""COMPUTED_VALUE"""),3422.46)</f>
        <v>3422.46</v>
      </c>
    </row>
    <row r="3579">
      <c r="A3579" s="3">
        <f>IFERROR(__xludf.DUMMYFUNCTION("""COMPUTED_VALUE"""),43946.99861111111)</f>
        <v>43946.99861</v>
      </c>
      <c r="B3579" s="1">
        <f>IFERROR(__xludf.DUMMYFUNCTION("""COMPUTED_VALUE"""),3422.46)</f>
        <v>3422.46</v>
      </c>
    </row>
    <row r="3580">
      <c r="A3580" s="3">
        <f>IFERROR(__xludf.DUMMYFUNCTION("""COMPUTED_VALUE"""),43947.99861111111)</f>
        <v>43947.99861</v>
      </c>
      <c r="B3580" s="1">
        <f>IFERROR(__xludf.DUMMYFUNCTION("""COMPUTED_VALUE"""),3422.46)</f>
        <v>3422.46</v>
      </c>
    </row>
    <row r="3581">
      <c r="A3581" s="3">
        <f>IFERROR(__xludf.DUMMYFUNCTION("""COMPUTED_VALUE"""),43948.99861111111)</f>
        <v>43948.99861</v>
      </c>
      <c r="B3581" s="1">
        <f>IFERROR(__xludf.DUMMYFUNCTION("""COMPUTED_VALUE"""),3422.46)</f>
        <v>3422.46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IFERROR(__xludf.DUMMYFUNCTION("googlefinance(""Currency:THBIDR"",""price"",""01/01/2010"",""28/04/2020"", ""DAILY"")
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IFERROR(__xludf.DUMMYFUNCTION("""COMPUTED_VALUE"""),276.8752)</f>
        <v>276.8752</v>
      </c>
    </row>
    <row r="3">
      <c r="A3" s="3">
        <f>IFERROR(__xludf.DUMMYFUNCTION("""COMPUTED_VALUE"""),40182.99861111111)</f>
        <v>40182.99861</v>
      </c>
      <c r="B3" s="1">
        <f>IFERROR(__xludf.DUMMYFUNCTION("""COMPUTED_VALUE"""),277.929456)</f>
        <v>277.929456</v>
      </c>
    </row>
    <row r="4">
      <c r="A4" s="3">
        <f>IFERROR(__xludf.DUMMYFUNCTION("""COMPUTED_VALUE"""),40183.99861111111)</f>
        <v>40183.99861</v>
      </c>
      <c r="B4" s="1">
        <f>IFERROR(__xludf.DUMMYFUNCTION("""COMPUTED_VALUE"""),279.528208)</f>
        <v>279.528208</v>
      </c>
    </row>
    <row r="5">
      <c r="A5" s="3">
        <f>IFERROR(__xludf.DUMMYFUNCTION("""COMPUTED_VALUE"""),40184.99861111111)</f>
        <v>40184.99861</v>
      </c>
      <c r="B5" s="1">
        <f>IFERROR(__xludf.DUMMYFUNCTION("""COMPUTED_VALUE"""),276.543)</f>
        <v>276.543</v>
      </c>
    </row>
    <row r="6">
      <c r="A6" s="3">
        <f>IFERROR(__xludf.DUMMYFUNCTION("""COMPUTED_VALUE"""),40185.99861111111)</f>
        <v>40185.99861</v>
      </c>
      <c r="B6" s="1">
        <f>IFERROR(__xludf.DUMMYFUNCTION("""COMPUTED_VALUE"""),278.175)</f>
        <v>278.175</v>
      </c>
    </row>
    <row r="7">
      <c r="A7" s="3">
        <f>IFERROR(__xludf.DUMMYFUNCTION("""COMPUTED_VALUE"""),40186.99861111111)</f>
        <v>40186.99861</v>
      </c>
      <c r="B7" s="1">
        <f>IFERROR(__xludf.DUMMYFUNCTION("""COMPUTED_VALUE"""),277.30227)</f>
        <v>277.30227</v>
      </c>
    </row>
    <row r="8">
      <c r="A8" s="3">
        <f>IFERROR(__xludf.DUMMYFUNCTION("""COMPUTED_VALUE"""),40189.99861111111)</f>
        <v>40189.99861</v>
      </c>
      <c r="B8" s="1">
        <f>IFERROR(__xludf.DUMMYFUNCTION("""COMPUTED_VALUE"""),275.083367)</f>
        <v>275.083367</v>
      </c>
    </row>
    <row r="9">
      <c r="A9" s="3">
        <f>IFERROR(__xludf.DUMMYFUNCTION("""COMPUTED_VALUE"""),40190.99861111111)</f>
        <v>40190.99861</v>
      </c>
      <c r="B9" s="1">
        <f>IFERROR(__xludf.DUMMYFUNCTION("""COMPUTED_VALUE"""),275.13)</f>
        <v>275.13</v>
      </c>
    </row>
    <row r="10">
      <c r="A10" s="3">
        <f>IFERROR(__xludf.DUMMYFUNCTION("""COMPUTED_VALUE"""),40191.99861111111)</f>
        <v>40191.99861</v>
      </c>
      <c r="B10" s="1">
        <f>IFERROR(__xludf.DUMMYFUNCTION("""COMPUTED_VALUE"""),275.87538)</f>
        <v>275.87538</v>
      </c>
    </row>
    <row r="11">
      <c r="A11" s="3">
        <f>IFERROR(__xludf.DUMMYFUNCTION("""COMPUTED_VALUE"""),40192.99861111111)</f>
        <v>40192.99861</v>
      </c>
      <c r="B11" s="1">
        <f>IFERROR(__xludf.DUMMYFUNCTION("""COMPUTED_VALUE"""),277.329182)</f>
        <v>277.329182</v>
      </c>
    </row>
    <row r="12">
      <c r="A12" s="3">
        <f>IFERROR(__xludf.DUMMYFUNCTION("""COMPUTED_VALUE"""),40193.99861111111)</f>
        <v>40193.99861</v>
      </c>
      <c r="B12" s="1">
        <f>IFERROR(__xludf.DUMMYFUNCTION("""COMPUTED_VALUE"""),279.181786)</f>
        <v>279.181786</v>
      </c>
    </row>
    <row r="13">
      <c r="A13" s="3">
        <f>IFERROR(__xludf.DUMMYFUNCTION("""COMPUTED_VALUE"""),40196.99861111111)</f>
        <v>40196.99861</v>
      </c>
      <c r="B13" s="1">
        <f>IFERROR(__xludf.DUMMYFUNCTION("""COMPUTED_VALUE"""),276.5477)</f>
        <v>276.5477</v>
      </c>
    </row>
    <row r="14">
      <c r="A14" s="3">
        <f>IFERROR(__xludf.DUMMYFUNCTION("""COMPUTED_VALUE"""),40197.99861111111)</f>
        <v>40197.99861</v>
      </c>
      <c r="B14" s="1">
        <f>IFERROR(__xludf.DUMMYFUNCTION("""COMPUTED_VALUE"""),279.298287)</f>
        <v>279.298287</v>
      </c>
    </row>
    <row r="15">
      <c r="A15" s="3">
        <f>IFERROR(__xludf.DUMMYFUNCTION("""COMPUTED_VALUE"""),40198.99861111111)</f>
        <v>40198.99861</v>
      </c>
      <c r="B15" s="1">
        <f>IFERROR(__xludf.DUMMYFUNCTION("""COMPUTED_VALUE"""),280.4286415)</f>
        <v>280.4286415</v>
      </c>
    </row>
    <row r="16">
      <c r="A16" s="3">
        <f>IFERROR(__xludf.DUMMYFUNCTION("""COMPUTED_VALUE"""),40199.99861111111)</f>
        <v>40199.99861</v>
      </c>
      <c r="B16" s="1">
        <f>IFERROR(__xludf.DUMMYFUNCTION("""COMPUTED_VALUE"""),276.68379)</f>
        <v>276.68379</v>
      </c>
    </row>
    <row r="17">
      <c r="A17" s="3">
        <f>IFERROR(__xludf.DUMMYFUNCTION("""COMPUTED_VALUE"""),40200.99861111111)</f>
        <v>40200.99861</v>
      </c>
      <c r="B17" s="1">
        <f>IFERROR(__xludf.DUMMYFUNCTION("""COMPUTED_VALUE"""),277.7544)</f>
        <v>277.7544</v>
      </c>
    </row>
    <row r="18">
      <c r="A18" s="3">
        <f>IFERROR(__xludf.DUMMYFUNCTION("""COMPUTED_VALUE"""),40203.99861111111)</f>
        <v>40203.99861</v>
      </c>
      <c r="B18" s="1">
        <f>IFERROR(__xludf.DUMMYFUNCTION("""COMPUTED_VALUE"""),277.4549115)</f>
        <v>277.4549115</v>
      </c>
    </row>
    <row r="19">
      <c r="A19" s="3">
        <f>IFERROR(__xludf.DUMMYFUNCTION("""COMPUTED_VALUE"""),40204.99861111111)</f>
        <v>40204.99861</v>
      </c>
      <c r="B19" s="1">
        <f>IFERROR(__xludf.DUMMYFUNCTION("""COMPUTED_VALUE"""),281.961297)</f>
        <v>281.961297</v>
      </c>
    </row>
    <row r="20">
      <c r="A20" s="3">
        <f>IFERROR(__xludf.DUMMYFUNCTION("""COMPUTED_VALUE"""),40205.99861111111)</f>
        <v>40205.99861</v>
      </c>
      <c r="B20" s="1">
        <f>IFERROR(__xludf.DUMMYFUNCTION("""COMPUTED_VALUE"""),282.4684975)</f>
        <v>282.4684975</v>
      </c>
    </row>
    <row r="21">
      <c r="A21" s="3">
        <f>IFERROR(__xludf.DUMMYFUNCTION("""COMPUTED_VALUE"""),40206.99861111111)</f>
        <v>40206.99861</v>
      </c>
      <c r="B21" s="1">
        <f>IFERROR(__xludf.DUMMYFUNCTION("""COMPUTED_VALUE"""),279.7485)</f>
        <v>279.7485</v>
      </c>
    </row>
    <row r="22">
      <c r="A22" s="3">
        <f>IFERROR(__xludf.DUMMYFUNCTION("""COMPUTED_VALUE"""),40207.99861111111)</f>
        <v>40207.99861</v>
      </c>
      <c r="B22" s="1">
        <f>IFERROR(__xludf.DUMMYFUNCTION("""COMPUTED_VALUE"""),276.8525)</f>
        <v>276.8525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IFERROR(__xludf.DUMMYFUNCTION("""COMPUTED_VALUE"""),277.692)</f>
        <v>277.692</v>
      </c>
    </row>
    <row r="24">
      <c r="A24" s="3">
        <f>IFERROR(__xludf.DUMMYFUNCTION("""COMPUTED_VALUE"""),40211.99861111111)</f>
        <v>40211.99861</v>
      </c>
      <c r="B24" s="1">
        <f>IFERROR(__xludf.DUMMYFUNCTION("""COMPUTED_VALUE"""),279.969822)</f>
        <v>279.969822</v>
      </c>
    </row>
    <row r="25">
      <c r="A25" s="3">
        <f>IFERROR(__xludf.DUMMYFUNCTION("""COMPUTED_VALUE"""),40212.99861111111)</f>
        <v>40212.99861</v>
      </c>
      <c r="B25" s="1">
        <f>IFERROR(__xludf.DUMMYFUNCTION("""COMPUTED_VALUE"""),281.312584)</f>
        <v>281.312584</v>
      </c>
    </row>
    <row r="26">
      <c r="A26" s="3">
        <f>IFERROR(__xludf.DUMMYFUNCTION("""COMPUTED_VALUE"""),40213.99861111111)</f>
        <v>40213.99861</v>
      </c>
      <c r="B26" s="1">
        <f>IFERROR(__xludf.DUMMYFUNCTION("""COMPUTED_VALUE"""),281.231524)</f>
        <v>281.231524</v>
      </c>
    </row>
    <row r="27">
      <c r="A27" s="3">
        <f>IFERROR(__xludf.DUMMYFUNCTION("""COMPUTED_VALUE"""),40214.99861111111)</f>
        <v>40214.99861</v>
      </c>
      <c r="B27" s="1">
        <f>IFERROR(__xludf.DUMMYFUNCTION("""COMPUTED_VALUE"""),284.800448)</f>
        <v>284.800448</v>
      </c>
    </row>
    <row r="28">
      <c r="A28" s="3">
        <f>IFERROR(__xludf.DUMMYFUNCTION("""COMPUTED_VALUE"""),40217.99861111111)</f>
        <v>40217.99861</v>
      </c>
      <c r="B28" s="1">
        <f>IFERROR(__xludf.DUMMYFUNCTION("""COMPUTED_VALUE"""),283.20717)</f>
        <v>283.20717</v>
      </c>
    </row>
    <row r="29">
      <c r="A29" s="3">
        <f>IFERROR(__xludf.DUMMYFUNCTION("""COMPUTED_VALUE"""),40218.99861111111)</f>
        <v>40218.99861</v>
      </c>
      <c r="B29" s="1">
        <f>IFERROR(__xludf.DUMMYFUNCTION("""COMPUTED_VALUE"""),279.431856)</f>
        <v>279.431856</v>
      </c>
    </row>
    <row r="30">
      <c r="A30" s="3">
        <f>IFERROR(__xludf.DUMMYFUNCTION("""COMPUTED_VALUE"""),40219.99861111111)</f>
        <v>40219.99861</v>
      </c>
      <c r="B30" s="1">
        <f>IFERROR(__xludf.DUMMYFUNCTION("""COMPUTED_VALUE"""),279.711432)</f>
        <v>279.711432</v>
      </c>
    </row>
    <row r="31">
      <c r="A31" s="3">
        <f>IFERROR(__xludf.DUMMYFUNCTION("""COMPUTED_VALUE"""),40220.99861111111)</f>
        <v>40220.99861</v>
      </c>
      <c r="B31" s="1">
        <f>IFERROR(__xludf.DUMMYFUNCTION("""COMPUTED_VALUE"""),280.462806)</f>
        <v>280.462806</v>
      </c>
    </row>
    <row r="32">
      <c r="A32" s="3">
        <f>IFERROR(__xludf.DUMMYFUNCTION("""COMPUTED_VALUE"""),40221.99861111111)</f>
        <v>40221.99861</v>
      </c>
      <c r="B32" s="1">
        <f>IFERROR(__xludf.DUMMYFUNCTION("""COMPUTED_VALUE"""),279.524526)</f>
        <v>279.524526</v>
      </c>
    </row>
    <row r="33">
      <c r="A33" s="3">
        <f>IFERROR(__xludf.DUMMYFUNCTION("""COMPUTED_VALUE"""),40224.99861111111)</f>
        <v>40224.99861</v>
      </c>
      <c r="B33" s="1">
        <f>IFERROR(__xludf.DUMMYFUNCTION("""COMPUTED_VALUE"""),279.783312)</f>
        <v>279.783312</v>
      </c>
    </row>
    <row r="34">
      <c r="A34" s="3">
        <f>IFERROR(__xludf.DUMMYFUNCTION("""COMPUTED_VALUE"""),40225.99861111111)</f>
        <v>40225.99861</v>
      </c>
      <c r="B34" s="1">
        <f>IFERROR(__xludf.DUMMYFUNCTION("""COMPUTED_VALUE"""),279.065787)</f>
        <v>279.065787</v>
      </c>
    </row>
    <row r="35">
      <c r="A35" s="3">
        <f>IFERROR(__xludf.DUMMYFUNCTION("""COMPUTED_VALUE"""),40226.99861111111)</f>
        <v>40226.99861</v>
      </c>
      <c r="B35" s="1">
        <f>IFERROR(__xludf.DUMMYFUNCTION("""COMPUTED_VALUE"""),281.359958)</f>
        <v>281.359958</v>
      </c>
    </row>
    <row r="36">
      <c r="A36" s="3">
        <f>IFERROR(__xludf.DUMMYFUNCTION("""COMPUTED_VALUE"""),40227.99861111111)</f>
        <v>40227.99861</v>
      </c>
      <c r="B36" s="1">
        <f>IFERROR(__xludf.DUMMYFUNCTION("""COMPUTED_VALUE"""),282.334056)</f>
        <v>282.334056</v>
      </c>
    </row>
    <row r="37">
      <c r="A37" s="3">
        <f>IFERROR(__xludf.DUMMYFUNCTION("""COMPUTED_VALUE"""),40228.99861111111)</f>
        <v>40228.99861</v>
      </c>
      <c r="B37" s="1">
        <f>IFERROR(__xludf.DUMMYFUNCTION("""COMPUTED_VALUE"""),280.066908)</f>
        <v>280.066908</v>
      </c>
    </row>
    <row r="38">
      <c r="A38" s="3">
        <f>IFERROR(__xludf.DUMMYFUNCTION("""COMPUTED_VALUE"""),40231.99861111111)</f>
        <v>40231.99861</v>
      </c>
      <c r="B38" s="1">
        <f>IFERROR(__xludf.DUMMYFUNCTION("""COMPUTED_VALUE"""),278.729451)</f>
        <v>278.729451</v>
      </c>
    </row>
    <row r="39">
      <c r="A39" s="3">
        <f>IFERROR(__xludf.DUMMYFUNCTION("""COMPUTED_VALUE"""),40232.99861111111)</f>
        <v>40232.99861</v>
      </c>
      <c r="B39" s="1">
        <f>IFERROR(__xludf.DUMMYFUNCTION("""COMPUTED_VALUE"""),280.440836)</f>
        <v>280.440836</v>
      </c>
    </row>
    <row r="40">
      <c r="A40" s="3">
        <f>IFERROR(__xludf.DUMMYFUNCTION("""COMPUTED_VALUE"""),40233.99861111111)</f>
        <v>40233.99861</v>
      </c>
      <c r="B40" s="1">
        <f>IFERROR(__xludf.DUMMYFUNCTION("""COMPUTED_VALUE"""),280.662523)</f>
        <v>280.662523</v>
      </c>
    </row>
    <row r="41">
      <c r="A41" s="3">
        <f>IFERROR(__xludf.DUMMYFUNCTION("""COMPUTED_VALUE"""),40234.99861111111)</f>
        <v>40234.99861</v>
      </c>
      <c r="B41" s="1">
        <f>IFERROR(__xludf.DUMMYFUNCTION("""COMPUTED_VALUE"""),281.736336)</f>
        <v>281.736336</v>
      </c>
    </row>
    <row r="42">
      <c r="A42" s="3">
        <f>IFERROR(__xludf.DUMMYFUNCTION("""COMPUTED_VALUE"""),40235.99861111111)</f>
        <v>40235.99861</v>
      </c>
      <c r="B42" s="1">
        <f>IFERROR(__xludf.DUMMYFUNCTION("""COMPUTED_VALUE"""),280.5736)</f>
        <v>280.5736</v>
      </c>
    </row>
    <row r="43">
      <c r="A43" s="3">
        <f>IFERROR(__xludf.DUMMYFUNCTION("""COMPUTED_VALUE"""),40238.99861111111)</f>
        <v>40238.99861</v>
      </c>
      <c r="B43" s="1">
        <f>IFERROR(__xludf.DUMMYFUNCTION("""COMPUTED_VALUE"""),285.213189)</f>
        <v>285.213189</v>
      </c>
    </row>
    <row r="44">
      <c r="A44" s="3">
        <f>IFERROR(__xludf.DUMMYFUNCTION("""COMPUTED_VALUE"""),40239.99861111111)</f>
        <v>40239.99861</v>
      </c>
      <c r="B44" s="1">
        <f>IFERROR(__xludf.DUMMYFUNCTION("""COMPUTED_VALUE"""),280.032356)</f>
        <v>280.032356</v>
      </c>
    </row>
    <row r="45">
      <c r="A45" s="3">
        <f>IFERROR(__xludf.DUMMYFUNCTION("""COMPUTED_VALUE"""),40240.99861111111)</f>
        <v>40240.99861</v>
      </c>
      <c r="B45" s="1">
        <f>IFERROR(__xludf.DUMMYFUNCTION("""COMPUTED_VALUE"""),277.955734)</f>
        <v>277.955734</v>
      </c>
    </row>
    <row r="46">
      <c r="A46" s="3">
        <f>IFERROR(__xludf.DUMMYFUNCTION("""COMPUTED_VALUE"""),40241.99861111111)</f>
        <v>40241.99861</v>
      </c>
      <c r="B46" s="1">
        <f>IFERROR(__xludf.DUMMYFUNCTION("""COMPUTED_VALUE"""),284.53145)</f>
        <v>284.53145</v>
      </c>
    </row>
    <row r="47">
      <c r="A47" s="3">
        <f>IFERROR(__xludf.DUMMYFUNCTION("""COMPUTED_VALUE"""),40242.99861111111)</f>
        <v>40242.99861</v>
      </c>
      <c r="B47" s="1">
        <f>IFERROR(__xludf.DUMMYFUNCTION("""COMPUTED_VALUE"""),280.367232)</f>
        <v>280.367232</v>
      </c>
    </row>
    <row r="48">
      <c r="A48" s="3">
        <f>IFERROR(__xludf.DUMMYFUNCTION("""COMPUTED_VALUE"""),40245.99861111111)</f>
        <v>40245.99861</v>
      </c>
      <c r="B48" s="1">
        <f>IFERROR(__xludf.DUMMYFUNCTION("""COMPUTED_VALUE"""),279.1638)</f>
        <v>279.1638</v>
      </c>
    </row>
    <row r="49">
      <c r="A49" s="3">
        <f>IFERROR(__xludf.DUMMYFUNCTION("""COMPUTED_VALUE"""),40246.99861111111)</f>
        <v>40246.99861</v>
      </c>
      <c r="B49" s="1">
        <f>IFERROR(__xludf.DUMMYFUNCTION("""COMPUTED_VALUE"""),279.229164)</f>
        <v>279.229164</v>
      </c>
    </row>
    <row r="50">
      <c r="A50" s="3">
        <f>IFERROR(__xludf.DUMMYFUNCTION("""COMPUTED_VALUE"""),40247.99861111111)</f>
        <v>40247.99861</v>
      </c>
      <c r="B50" s="1">
        <f>IFERROR(__xludf.DUMMYFUNCTION("""COMPUTED_VALUE"""),278.856659)</f>
        <v>278.856659</v>
      </c>
    </row>
    <row r="51">
      <c r="A51" s="3">
        <f>IFERROR(__xludf.DUMMYFUNCTION("""COMPUTED_VALUE"""),40248.99861111111)</f>
        <v>40248.99861</v>
      </c>
      <c r="B51" s="1">
        <f>IFERROR(__xludf.DUMMYFUNCTION("""COMPUTED_VALUE"""),278.705805)</f>
        <v>278.705805</v>
      </c>
    </row>
    <row r="52">
      <c r="A52" s="3">
        <f>IFERROR(__xludf.DUMMYFUNCTION("""COMPUTED_VALUE"""),40249.99861111111)</f>
        <v>40249.99861</v>
      </c>
      <c r="B52" s="1">
        <f>IFERROR(__xludf.DUMMYFUNCTION("""COMPUTED_VALUE"""),279.279138)</f>
        <v>279.279138</v>
      </c>
    </row>
    <row r="53">
      <c r="A53" s="3">
        <f>IFERROR(__xludf.DUMMYFUNCTION("""COMPUTED_VALUE"""),40252.99861111111)</f>
        <v>40252.99861</v>
      </c>
      <c r="B53" s="1">
        <f>IFERROR(__xludf.DUMMYFUNCTION("""COMPUTED_VALUE"""),281.70054)</f>
        <v>281.70054</v>
      </c>
    </row>
    <row r="54">
      <c r="A54" s="3">
        <f>IFERROR(__xludf.DUMMYFUNCTION("""COMPUTED_VALUE"""),40253.99861111111)</f>
        <v>40253.99861</v>
      </c>
      <c r="B54" s="1">
        <f>IFERROR(__xludf.DUMMYFUNCTION("""COMPUTED_VALUE"""),281.966958)</f>
        <v>281.966958</v>
      </c>
    </row>
    <row r="55">
      <c r="A55" s="3">
        <f>IFERROR(__xludf.DUMMYFUNCTION("""COMPUTED_VALUE"""),40254.99861111111)</f>
        <v>40254.99861</v>
      </c>
      <c r="B55" s="1">
        <f>IFERROR(__xludf.DUMMYFUNCTION("""COMPUTED_VALUE"""),279.445645)</f>
        <v>279.445645</v>
      </c>
    </row>
    <row r="56">
      <c r="A56" s="3">
        <f>IFERROR(__xludf.DUMMYFUNCTION("""COMPUTED_VALUE"""),40255.99861111111)</f>
        <v>40255.99861</v>
      </c>
      <c r="B56" s="1">
        <f>IFERROR(__xludf.DUMMYFUNCTION("""COMPUTED_VALUE"""),280.814037)</f>
        <v>280.814037</v>
      </c>
    </row>
    <row r="57">
      <c r="A57" s="3">
        <f>IFERROR(__xludf.DUMMYFUNCTION("""COMPUTED_VALUE"""),40256.99861111111)</f>
        <v>40256.99861</v>
      </c>
      <c r="B57" s="1">
        <f>IFERROR(__xludf.DUMMYFUNCTION("""COMPUTED_VALUE"""),280.235904)</f>
        <v>280.235904</v>
      </c>
    </row>
    <row r="58">
      <c r="A58" s="3">
        <f>IFERROR(__xludf.DUMMYFUNCTION("""COMPUTED_VALUE"""),40259.99861111111)</f>
        <v>40259.99861</v>
      </c>
      <c r="B58" s="1">
        <f>IFERROR(__xludf.DUMMYFUNCTION("""COMPUTED_VALUE"""),280.207396)</f>
        <v>280.207396</v>
      </c>
    </row>
    <row r="59">
      <c r="A59" s="3">
        <f>IFERROR(__xludf.DUMMYFUNCTION("""COMPUTED_VALUE"""),40260.99861111111)</f>
        <v>40260.99861</v>
      </c>
      <c r="B59" s="1">
        <f>IFERROR(__xludf.DUMMYFUNCTION("""COMPUTED_VALUE"""),280.007652)</f>
        <v>280.007652</v>
      </c>
    </row>
    <row r="60">
      <c r="A60" s="3">
        <f>IFERROR(__xludf.DUMMYFUNCTION("""COMPUTED_VALUE"""),40261.99861111111)</f>
        <v>40261.99861</v>
      </c>
      <c r="B60" s="1">
        <f>IFERROR(__xludf.DUMMYFUNCTION("""COMPUTED_VALUE"""),279.183261)</f>
        <v>279.183261</v>
      </c>
    </row>
    <row r="61">
      <c r="A61" s="3">
        <f>IFERROR(__xludf.DUMMYFUNCTION("""COMPUTED_VALUE"""),40262.99861111111)</f>
        <v>40262.99861</v>
      </c>
      <c r="B61" s="1">
        <f>IFERROR(__xludf.DUMMYFUNCTION("""COMPUTED_VALUE"""),279.183582)</f>
        <v>279.183582</v>
      </c>
    </row>
    <row r="62">
      <c r="A62" s="3">
        <f>IFERROR(__xludf.DUMMYFUNCTION("""COMPUTED_VALUE"""),40263.99861111111)</f>
        <v>40263.99861</v>
      </c>
      <c r="B62" s="1">
        <f>IFERROR(__xludf.DUMMYFUNCTION("""COMPUTED_VALUE"""),279.948288)</f>
        <v>279.948288</v>
      </c>
    </row>
    <row r="63">
      <c r="A63" s="3">
        <f>IFERROR(__xludf.DUMMYFUNCTION("""COMPUTED_VALUE"""),40266.99861111111)</f>
        <v>40266.99861</v>
      </c>
      <c r="B63" s="1">
        <f>IFERROR(__xludf.DUMMYFUNCTION("""COMPUTED_VALUE"""),279.08548)</f>
        <v>279.08548</v>
      </c>
    </row>
    <row r="64">
      <c r="A64" s="3">
        <f>IFERROR(__xludf.DUMMYFUNCTION("""COMPUTED_VALUE"""),40267.99861111111)</f>
        <v>40267.99861</v>
      </c>
      <c r="B64" s="1">
        <f>IFERROR(__xludf.DUMMYFUNCTION("""COMPUTED_VALUE"""),279.06855)</f>
        <v>279.06855</v>
      </c>
    </row>
    <row r="65">
      <c r="A65" s="3">
        <f>IFERROR(__xludf.DUMMYFUNCTION("""COMPUTED_VALUE"""),40268.99861111111)</f>
        <v>40268.99861</v>
      </c>
      <c r="B65" s="1">
        <f>IFERROR(__xludf.DUMMYFUNCTION("""COMPUTED_VALUE"""),279.18901)</f>
        <v>279.18901</v>
      </c>
    </row>
    <row r="66">
      <c r="A66" s="3">
        <f>IFERROR(__xludf.DUMMYFUNCTION("""COMPUTED_VALUE"""),40269.99861111111)</f>
        <v>40269.99861</v>
      </c>
      <c r="B66" s="1">
        <f>IFERROR(__xludf.DUMMYFUNCTION("""COMPUTED_VALUE"""),278.02305)</f>
        <v>278.02305</v>
      </c>
    </row>
    <row r="67">
      <c r="A67" s="3">
        <f>IFERROR(__xludf.DUMMYFUNCTION("""COMPUTED_VALUE"""),40270.99861111111)</f>
        <v>40270.99861</v>
      </c>
      <c r="B67" s="1">
        <f>IFERROR(__xludf.DUMMYFUNCTION("""COMPUTED_VALUE"""),276.212113)</f>
        <v>276.212113</v>
      </c>
    </row>
    <row r="68">
      <c r="A68" s="3">
        <f>IFERROR(__xludf.DUMMYFUNCTION("""COMPUTED_VALUE"""),40273.99861111111)</f>
        <v>40273.99861</v>
      </c>
      <c r="B68" s="1">
        <f>IFERROR(__xludf.DUMMYFUNCTION("""COMPUTED_VALUE"""),274.571424)</f>
        <v>274.571424</v>
      </c>
    </row>
    <row r="69">
      <c r="A69" s="3">
        <f>IFERROR(__xludf.DUMMYFUNCTION("""COMPUTED_VALUE"""),40274.99861111111)</f>
        <v>40274.99861</v>
      </c>
      <c r="B69" s="1">
        <f>IFERROR(__xludf.DUMMYFUNCTION("""COMPUTED_VALUE"""),277.535483)</f>
        <v>277.535483</v>
      </c>
    </row>
    <row r="70">
      <c r="A70" s="3">
        <f>IFERROR(__xludf.DUMMYFUNCTION("""COMPUTED_VALUE"""),40275.99861111111)</f>
        <v>40275.99861</v>
      </c>
      <c r="B70" s="1">
        <f>IFERROR(__xludf.DUMMYFUNCTION("""COMPUTED_VALUE"""),277.701515)</f>
        <v>277.701515</v>
      </c>
    </row>
    <row r="71">
      <c r="A71" s="3">
        <f>IFERROR(__xludf.DUMMYFUNCTION("""COMPUTED_VALUE"""),40276.99861111111)</f>
        <v>40276.99861</v>
      </c>
      <c r="B71" s="1">
        <f>IFERROR(__xludf.DUMMYFUNCTION("""COMPUTED_VALUE"""),278.886583)</f>
        <v>278.886583</v>
      </c>
    </row>
    <row r="72">
      <c r="A72" s="3">
        <f>IFERROR(__xludf.DUMMYFUNCTION("""COMPUTED_VALUE"""),40277.99861111111)</f>
        <v>40277.99861</v>
      </c>
      <c r="B72" s="1">
        <f>IFERROR(__xludf.DUMMYFUNCTION("""COMPUTED_VALUE"""),277.88061)</f>
        <v>277.88061</v>
      </c>
    </row>
    <row r="73">
      <c r="A73" s="3">
        <f>IFERROR(__xludf.DUMMYFUNCTION("""COMPUTED_VALUE"""),40280.99861111111)</f>
        <v>40280.99861</v>
      </c>
      <c r="B73" s="1">
        <f>IFERROR(__xludf.DUMMYFUNCTION("""COMPUTED_VALUE"""),276.6377)</f>
        <v>276.6377</v>
      </c>
    </row>
    <row r="74">
      <c r="A74" s="3">
        <f>IFERROR(__xludf.DUMMYFUNCTION("""COMPUTED_VALUE"""),40281.99861111111)</f>
        <v>40281.99861</v>
      </c>
      <c r="B74" s="1">
        <f>IFERROR(__xludf.DUMMYFUNCTION("""COMPUTED_VALUE"""),277.042125)</f>
        <v>277.042125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IFERROR(__xludf.DUMMYFUNCTION("""COMPUTED_VALUE"""),277.461006)</f>
        <v>277.461006</v>
      </c>
    </row>
    <row r="76">
      <c r="A76" s="3">
        <f>IFERROR(__xludf.DUMMYFUNCTION("""COMPUTED_VALUE"""),40283.99861111111)</f>
        <v>40283.99861</v>
      </c>
      <c r="B76" s="1">
        <f>IFERROR(__xludf.DUMMYFUNCTION("""COMPUTED_VALUE"""),278.13399)</f>
        <v>278.13399</v>
      </c>
    </row>
    <row r="77">
      <c r="A77" s="3">
        <f>IFERROR(__xludf.DUMMYFUNCTION("""COMPUTED_VALUE"""),40284.99861111111)</f>
        <v>40284.99861</v>
      </c>
      <c r="B77" s="1">
        <f>IFERROR(__xludf.DUMMYFUNCTION("""COMPUTED_VALUE"""),278.108368)</f>
        <v>278.108368</v>
      </c>
    </row>
    <row r="78">
      <c r="A78" s="3">
        <f>IFERROR(__xludf.DUMMYFUNCTION("""COMPUTED_VALUE"""),40287.99861111111)</f>
        <v>40287.99861</v>
      </c>
      <c r="B78" s="1">
        <f>IFERROR(__xludf.DUMMYFUNCTION("""COMPUTED_VALUE"""),278.426432)</f>
        <v>278.426432</v>
      </c>
    </row>
    <row r="79">
      <c r="A79" s="3">
        <f>IFERROR(__xludf.DUMMYFUNCTION("""COMPUTED_VALUE"""),40288.99861111111)</f>
        <v>40288.99861</v>
      </c>
      <c r="B79" s="1">
        <f>IFERROR(__xludf.DUMMYFUNCTION("""COMPUTED_VALUE"""),278.379486)</f>
        <v>278.379486</v>
      </c>
    </row>
    <row r="80">
      <c r="A80" s="3">
        <f>IFERROR(__xludf.DUMMYFUNCTION("""COMPUTED_VALUE"""),40289.99861111111)</f>
        <v>40289.99861</v>
      </c>
      <c r="B80" s="1">
        <f>IFERROR(__xludf.DUMMYFUNCTION("""COMPUTED_VALUE"""),278.729737)</f>
        <v>278.729737</v>
      </c>
    </row>
    <row r="81">
      <c r="A81" s="3">
        <f>IFERROR(__xludf.DUMMYFUNCTION("""COMPUTED_VALUE"""),40290.99861111111)</f>
        <v>40290.99861</v>
      </c>
      <c r="B81" s="1">
        <f>IFERROR(__xludf.DUMMYFUNCTION("""COMPUTED_VALUE"""),279.775139)</f>
        <v>279.775139</v>
      </c>
    </row>
    <row r="82">
      <c r="A82" s="3">
        <f>IFERROR(__xludf.DUMMYFUNCTION("""COMPUTED_VALUE"""),40291.99861111111)</f>
        <v>40291.99861</v>
      </c>
      <c r="B82" s="1">
        <f>IFERROR(__xludf.DUMMYFUNCTION("""COMPUTED_VALUE"""),279.5742)</f>
        <v>279.5742</v>
      </c>
    </row>
    <row r="83">
      <c r="A83" s="3">
        <f>IFERROR(__xludf.DUMMYFUNCTION("""COMPUTED_VALUE"""),40294.99861111111)</f>
        <v>40294.99861</v>
      </c>
      <c r="B83" s="1">
        <f>IFERROR(__xludf.DUMMYFUNCTION("""COMPUTED_VALUE"""),277.908519)</f>
        <v>277.908519</v>
      </c>
    </row>
    <row r="84">
      <c r="A84" s="3">
        <f>IFERROR(__xludf.DUMMYFUNCTION("""COMPUTED_VALUE"""),40295.99861111111)</f>
        <v>40295.99861</v>
      </c>
      <c r="B84" s="1">
        <f>IFERROR(__xludf.DUMMYFUNCTION("""COMPUTED_VALUE"""),278.613543)</f>
        <v>278.613543</v>
      </c>
    </row>
    <row r="85">
      <c r="A85" s="3">
        <f>IFERROR(__xludf.DUMMYFUNCTION("""COMPUTED_VALUE"""),40296.99861111111)</f>
        <v>40296.99861</v>
      </c>
      <c r="B85" s="1">
        <f>IFERROR(__xludf.DUMMYFUNCTION("""COMPUTED_VALUE"""),278.882384)</f>
        <v>278.882384</v>
      </c>
    </row>
    <row r="86">
      <c r="A86" s="3">
        <f>IFERROR(__xludf.DUMMYFUNCTION("""COMPUTED_VALUE"""),40297.99861111111)</f>
        <v>40297.99861</v>
      </c>
      <c r="B86" s="1">
        <f>IFERROR(__xludf.DUMMYFUNCTION("""COMPUTED_VALUE"""),277.727125)</f>
        <v>277.727125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IFERROR(__xludf.DUMMYFUNCTION("""COMPUTED_VALUE"""),277.18109)</f>
        <v>277.18109</v>
      </c>
    </row>
    <row r="88">
      <c r="A88" s="3">
        <f>IFERROR(__xludf.DUMMYFUNCTION("""COMPUTED_VALUE"""),40301.99861111111)</f>
        <v>40301.99861</v>
      </c>
      <c r="B88" s="1">
        <f>IFERROR(__xludf.DUMMYFUNCTION("""COMPUTED_VALUE"""),277.398825)</f>
        <v>277.398825</v>
      </c>
    </row>
    <row r="89">
      <c r="A89" s="3">
        <f>IFERROR(__xludf.DUMMYFUNCTION("""COMPUTED_VALUE"""),40302.99861111111)</f>
        <v>40302.99861</v>
      </c>
      <c r="B89" s="1">
        <f>IFERROR(__xludf.DUMMYFUNCTION("""COMPUTED_VALUE"""),277.53282)</f>
        <v>277.53282</v>
      </c>
    </row>
    <row r="90">
      <c r="A90" s="3">
        <f>IFERROR(__xludf.DUMMYFUNCTION("""COMPUTED_VALUE"""),40303.99861111111)</f>
        <v>40303.99861</v>
      </c>
      <c r="B90" s="1">
        <f>IFERROR(__xludf.DUMMYFUNCTION("""COMPUTED_VALUE"""),278.326745)</f>
        <v>278.326745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IFERROR(__xludf.DUMMYFUNCTION("""COMPUTED_VALUE"""),285.064316)</f>
        <v>285.064316</v>
      </c>
    </row>
    <row r="92">
      <c r="A92" s="3">
        <f>IFERROR(__xludf.DUMMYFUNCTION("""COMPUTED_VALUE"""),40305.99861111111)</f>
        <v>40305.99861</v>
      </c>
      <c r="B92" s="1">
        <f>IFERROR(__xludf.DUMMYFUNCTION("""COMPUTED_VALUE"""),284.630661)</f>
        <v>284.630661</v>
      </c>
    </row>
    <row r="93">
      <c r="A93" s="3">
        <f>IFERROR(__xludf.DUMMYFUNCTION("""COMPUTED_VALUE"""),40308.99861111111)</f>
        <v>40308.99861</v>
      </c>
      <c r="B93" s="1">
        <f>IFERROR(__xludf.DUMMYFUNCTION("""COMPUTED_VALUE"""),281.341824)</f>
        <v>281.341824</v>
      </c>
    </row>
    <row r="94">
      <c r="A94" s="3">
        <f>IFERROR(__xludf.DUMMYFUNCTION("""COMPUTED_VALUE"""),40309.99861111111)</f>
        <v>40309.99861</v>
      </c>
      <c r="B94" s="1">
        <f>IFERROR(__xludf.DUMMYFUNCTION("""COMPUTED_VALUE"""),280.469951)</f>
        <v>280.469951</v>
      </c>
    </row>
    <row r="95">
      <c r="A95" s="3">
        <f>IFERROR(__xludf.DUMMYFUNCTION("""COMPUTED_VALUE"""),40310.99861111111)</f>
        <v>40310.99861</v>
      </c>
      <c r="B95" s="1">
        <f>IFERROR(__xludf.DUMMYFUNCTION("""COMPUTED_VALUE"""),282.34604)</f>
        <v>282.34604</v>
      </c>
    </row>
    <row r="96">
      <c r="A96" s="3">
        <f>IFERROR(__xludf.DUMMYFUNCTION("""COMPUTED_VALUE"""),40311.99861111111)</f>
        <v>40311.99861</v>
      </c>
      <c r="B96" s="1">
        <f>IFERROR(__xludf.DUMMYFUNCTION("""COMPUTED_VALUE"""),280.211886)</f>
        <v>280.211886</v>
      </c>
    </row>
    <row r="97">
      <c r="A97" s="3">
        <f>IFERROR(__xludf.DUMMYFUNCTION("""COMPUTED_VALUE"""),40312.99861111111)</f>
        <v>40312.99861</v>
      </c>
      <c r="B97" s="1">
        <f>IFERROR(__xludf.DUMMYFUNCTION("""COMPUTED_VALUE"""),278.58852)</f>
        <v>278.58852</v>
      </c>
    </row>
    <row r="98">
      <c r="A98" s="3">
        <f>IFERROR(__xludf.DUMMYFUNCTION("""COMPUTED_VALUE"""),40315.99861111111)</f>
        <v>40315.99861</v>
      </c>
      <c r="B98" s="1">
        <f>IFERROR(__xludf.DUMMYFUNCTION("""COMPUTED_VALUE"""),275.99552)</f>
        <v>275.99552</v>
      </c>
    </row>
    <row r="99">
      <c r="A99" s="3">
        <f>IFERROR(__xludf.DUMMYFUNCTION("""COMPUTED_VALUE"""),40316.99861111111)</f>
        <v>40316.99861</v>
      </c>
      <c r="B99" s="1">
        <f>IFERROR(__xludf.DUMMYFUNCTION("""COMPUTED_VALUE"""),282.58974)</f>
        <v>282.58974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IFERROR(__xludf.DUMMYFUNCTION("""COMPUTED_VALUE"""),281.198598)</f>
        <v>281.198598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IFERROR(__xludf.DUMMYFUNCTION("""COMPUTED_VALUE"""),283.483788)</f>
        <v>283.483788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IFERROR(__xludf.DUMMYFUNCTION("""COMPUTED_VALUE"""),284.022602)</f>
        <v>284.022602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IFERROR(__xludf.DUMMYFUNCTION("""COMPUTED_VALUE"""),284.412736)</f>
        <v>284.412736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IFERROR(__xludf.DUMMYFUNCTION("""COMPUTED_VALUE"""),284.551535)</f>
        <v>284.551535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IFERROR(__xludf.DUMMYFUNCTION("""COMPUTED_VALUE"""),285.224004)</f>
        <v>285.224004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IFERROR(__xludf.DUMMYFUNCTION("""COMPUTED_VALUE"""),280.78105)</f>
        <v>280.78105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IFERROR(__xludf.DUMMYFUNCTION("""COMPUTED_VALUE"""),281.284856)</f>
        <v>281.284856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IFERROR(__xludf.DUMMYFUNCTION("""COMPUTED_VALUE"""),285.222912)</f>
        <v>285.222912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IFERROR(__xludf.DUMMYFUNCTION("""COMPUTED_VALUE"""),280.958589)</f>
        <v>280.958589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IFERROR(__xludf.DUMMYFUNCTION("""COMPUTED_VALUE"""),282.253734)</f>
        <v>282.253734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IFERROR(__xludf.DUMMYFUNCTION("""COMPUTED_VALUE"""),281.097125)</f>
        <v>281.097125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IFERROR(__xludf.DUMMYFUNCTION("""COMPUTED_VALUE"""),281.637118)</f>
        <v>281.637118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IFERROR(__xludf.DUMMYFUNCTION("""COMPUTED_VALUE"""),282.524792)</f>
        <v>282.524792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IFERROR(__xludf.DUMMYFUNCTION("""COMPUTED_VALUE"""),280.114658)</f>
        <v>280.114658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IFERROR(__xludf.DUMMYFUNCTION("""COMPUTED_VALUE"""),281.313172)</f>
        <v>281.313172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IFERROR(__xludf.DUMMYFUNCTION("""COMPUTED_VALUE"""),280.85837)</f>
        <v>280.85837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IFERROR(__xludf.DUMMYFUNCTION("""COMPUTED_VALUE"""),282.243654)</f>
        <v>282.243654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IFERROR(__xludf.DUMMYFUNCTION("""COMPUTED_VALUE"""),280.666548)</f>
        <v>280.666548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IFERROR(__xludf.DUMMYFUNCTION("""COMPUTED_VALUE"""),279.98883)</f>
        <v>279.98883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IFERROR(__xludf.DUMMYFUNCTION("""COMPUTED_VALUE"""),280.39698)</f>
        <v>280.39698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IFERROR(__xludf.DUMMYFUNCTION("""COMPUTED_VALUE"""),280.595601)</f>
        <v>280.595601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IFERROR(__xludf.DUMMYFUNCTION("""COMPUTED_VALUE"""),278.67648)</f>
        <v>278.67648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IFERROR(__xludf.DUMMYFUNCTION("""COMPUTED_VALUE"""),275.33574)</f>
        <v>275.33574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IFERROR(__xludf.DUMMYFUNCTION("""COMPUTED_VALUE"""),276.30792)</f>
        <v>276.30792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IFERROR(__xludf.DUMMYFUNCTION("""COMPUTED_VALUE"""),277.28696)</f>
        <v>277.28696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IFERROR(__xludf.DUMMYFUNCTION("""COMPUTED_VALUE"""),277.313645)</f>
        <v>277.313645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IFERROR(__xludf.DUMMYFUNCTION("""COMPUTED_VALUE"""),278.7672)</f>
        <v>278.7672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IFERROR(__xludf.DUMMYFUNCTION("""COMPUTED_VALUE"""),276.755505)</f>
        <v>276.755505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IFERROR(__xludf.DUMMYFUNCTION("""COMPUTED_VALUE"""),278.031573)</f>
        <v>278.031573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IFERROR(__xludf.DUMMYFUNCTION("""COMPUTED_VALUE"""),275.595056)</f>
        <v>275.595056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IFERROR(__xludf.DUMMYFUNCTION("""COMPUTED_VALUE"""),278.209203)</f>
        <v>278.209203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IFERROR(__xludf.DUMMYFUNCTION("""COMPUTED_VALUE"""),277.681128)</f>
        <v>277.681128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IFERROR(__xludf.DUMMYFUNCTION("""COMPUTED_VALUE"""),278.367464)</f>
        <v>278.367464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IFERROR(__xludf.DUMMYFUNCTION("""COMPUTED_VALUE"""),275.941688)</f>
        <v>275.941688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IFERROR(__xludf.DUMMYFUNCTION("""COMPUTED_VALUE"""),278.241813)</f>
        <v>278.241813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IFERROR(__xludf.DUMMYFUNCTION("""COMPUTED_VALUE"""),277.768879)</f>
        <v>277.768879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IFERROR(__xludf.DUMMYFUNCTION("""COMPUTED_VALUE"""),277.527552)</f>
        <v>277.527552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IFERROR(__xludf.DUMMYFUNCTION("""COMPUTED_VALUE"""),278.876354)</f>
        <v>278.876354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IFERROR(__xludf.DUMMYFUNCTION("""COMPUTED_VALUE"""),275.441972)</f>
        <v>275.441972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IFERROR(__xludf.DUMMYFUNCTION("""COMPUTED_VALUE"""),274.17152)</f>
        <v>274.17152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IFERROR(__xludf.DUMMYFUNCTION("""COMPUTED_VALUE"""),279.25566)</f>
        <v>279.25566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IFERROR(__xludf.DUMMYFUNCTION("""COMPUTED_VALUE"""),278.6989)</f>
        <v>278.6989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IFERROR(__xludf.DUMMYFUNCTION("""COMPUTED_VALUE"""),278.649855)</f>
        <v>278.649855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IFERROR(__xludf.DUMMYFUNCTION("""COMPUTED_VALUE"""),277.638144)</f>
        <v>277.638144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IFERROR(__xludf.DUMMYFUNCTION("""COMPUTED_VALUE"""),278.445078)</f>
        <v>278.445078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IFERROR(__xludf.DUMMYFUNCTION("""COMPUTED_VALUE"""),276.971445)</f>
        <v>276.971445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IFERROR(__xludf.DUMMYFUNCTION("""COMPUTED_VALUE"""),277.674075)</f>
        <v>277.674075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IFERROR(__xludf.DUMMYFUNCTION("""COMPUTED_VALUE"""),275.360048)</f>
        <v>275.360048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IFERROR(__xludf.DUMMYFUNCTION("""COMPUTED_VALUE"""),275.597491)</f>
        <v>275.597491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IFERROR(__xludf.DUMMYFUNCTION("""COMPUTED_VALUE"""),277.87975)</f>
        <v>277.87975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IFERROR(__xludf.DUMMYFUNCTION("""COMPUTED_VALUE"""),276.653304)</f>
        <v>276.653304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IFERROR(__xludf.DUMMYFUNCTION("""COMPUTED_VALUE"""),274.222228)</f>
        <v>274.222228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IFERROR(__xludf.DUMMYFUNCTION("""COMPUTED_VALUE"""),272.372712)</f>
        <v>272.372712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IFERROR(__xludf.DUMMYFUNCTION("""COMPUTED_VALUE"""),271.427555)</f>
        <v>271.427555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IFERROR(__xludf.DUMMYFUNCTION("""COMPUTED_VALUE"""),276.3387)</f>
        <v>276.3387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IFERROR(__xludf.DUMMYFUNCTION("""COMPUTED_VALUE"""),277.19577)</f>
        <v>277.19577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IFERROR(__xludf.DUMMYFUNCTION("""COMPUTED_VALUE"""),275.08095)</f>
        <v>275.08095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IFERROR(__xludf.DUMMYFUNCTION("""COMPUTED_VALUE"""),277.561478)</f>
        <v>277.561478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IFERROR(__xludf.DUMMYFUNCTION("""COMPUTED_VALUE"""),277.895877)</f>
        <v>277.895877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IFERROR(__xludf.DUMMYFUNCTION("""COMPUTED_VALUE"""),278.838144)</f>
        <v>278.838144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IFERROR(__xludf.DUMMYFUNCTION("""COMPUTED_VALUE"""),280.070574)</f>
        <v>280.070574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IFERROR(__xludf.DUMMYFUNCTION("""COMPUTED_VALUE"""),278.991369)</f>
        <v>278.991369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IFERROR(__xludf.DUMMYFUNCTION("""COMPUTED_VALUE"""),278.330203)</f>
        <v>278.330203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IFERROR(__xludf.DUMMYFUNCTION("""COMPUTED_VALUE"""),277.538784)</f>
        <v>277.538784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IFERROR(__xludf.DUMMYFUNCTION("""COMPUTED_VALUE"""),279.022464)</f>
        <v>279.022464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IFERROR(__xludf.DUMMYFUNCTION("""COMPUTED_VALUE"""),280.536612)</f>
        <v>280.536612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IFERROR(__xludf.DUMMYFUNCTION("""COMPUTED_VALUE"""),284.076331)</f>
        <v>284.076331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IFERROR(__xludf.DUMMYFUNCTION("""COMPUTED_VALUE"""),279.22183)</f>
        <v>279.22183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IFERROR(__xludf.DUMMYFUNCTION("""COMPUTED_VALUE"""),281.9817045)</f>
        <v>281.9817045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IFERROR(__xludf.DUMMYFUNCTION("""COMPUTED_VALUE"""),280.27846)</f>
        <v>280.27846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IFERROR(__xludf.DUMMYFUNCTION("""COMPUTED_VALUE"""),284.4527925)</f>
        <v>284.4527925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IFERROR(__xludf.DUMMYFUNCTION("""COMPUTED_VALUE"""),285.1428685)</f>
        <v>285.1428685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IFERROR(__xludf.DUMMYFUNCTION("""COMPUTED_VALUE"""),282.43306)</f>
        <v>282.43306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IFERROR(__xludf.DUMMYFUNCTION("""COMPUTED_VALUE"""),285.659998)</f>
        <v>285.659998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IFERROR(__xludf.DUMMYFUNCTION("""COMPUTED_VALUE"""),286.776512)</f>
        <v>286.776512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IFERROR(__xludf.DUMMYFUNCTION("""COMPUTED_VALUE"""),286.703856)</f>
        <v>286.703856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IFERROR(__xludf.DUMMYFUNCTION("""COMPUTED_VALUE"""),286.580519)</f>
        <v>286.580519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IFERROR(__xludf.DUMMYFUNCTION("""COMPUTED_VALUE"""),286.595855)</f>
        <v>286.595855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IFERROR(__xludf.DUMMYFUNCTION("""COMPUTED_VALUE"""),286.846792)</f>
        <v>286.846792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IFERROR(__xludf.DUMMYFUNCTION("""COMPUTED_VALUE"""),288.234045)</f>
        <v>288.234045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IFERROR(__xludf.DUMMYFUNCTION("""COMPUTED_VALUE"""),290.766)</f>
        <v>290.766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IFERROR(__xludf.DUMMYFUNCTION("""COMPUTED_VALUE"""),290.663064)</f>
        <v>290.663064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IFERROR(__xludf.DUMMYFUNCTION("""COMPUTED_VALUE"""),290.359006)</f>
        <v>290.359006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IFERROR(__xludf.DUMMYFUNCTION("""COMPUTED_VALUE"""),289.750552)</f>
        <v>289.750552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IFERROR(__xludf.DUMMYFUNCTION("""COMPUTED_VALUE"""),289.104076)</f>
        <v>289.104076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IFERROR(__xludf.DUMMYFUNCTION("""COMPUTED_VALUE"""),288.2604)</f>
        <v>288.2604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IFERROR(__xludf.DUMMYFUNCTION("""COMPUTED_VALUE"""),289.828582)</f>
        <v>289.828582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IFERROR(__xludf.DUMMYFUNCTION("""COMPUTED_VALUE"""),289.945416)</f>
        <v>289.945416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IFERROR(__xludf.DUMMYFUNCTION("""COMPUTED_VALUE"""),288.950464)</f>
        <v>288.950464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IFERROR(__xludf.DUMMYFUNCTION("""COMPUTED_VALUE"""),289.223712)</f>
        <v>289.223712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IFERROR(__xludf.DUMMYFUNCTION("""COMPUTED_VALUE"""),289.464444)</f>
        <v>289.464444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IFERROR(__xludf.DUMMYFUNCTION("""COMPUTED_VALUE"""),286.94942)</f>
        <v>286.94942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IFERROR(__xludf.DUMMYFUNCTION("""COMPUTED_VALUE"""),290.522105)</f>
        <v>290.522105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IFERROR(__xludf.DUMMYFUNCTION("""COMPUTED_VALUE"""),290.715488)</f>
        <v>290.715488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IFERROR(__xludf.DUMMYFUNCTION("""COMPUTED_VALUE"""),291.355316)</f>
        <v>291.355316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IFERROR(__xludf.DUMMYFUNCTION("""COMPUTED_VALUE"""),292.912246)</f>
        <v>292.912246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IFERROR(__xludf.DUMMYFUNCTION("""COMPUTED_VALUE"""),294.115479)</f>
        <v>294.115479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IFERROR(__xludf.DUMMYFUNCTION("""COMPUTED_VALUE"""),294.16369)</f>
        <v>294.16369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IFERROR(__xludf.DUMMYFUNCTION("""COMPUTED_VALUE"""),291.448591)</f>
        <v>291.448591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IFERROR(__xludf.DUMMYFUNCTION("""COMPUTED_VALUE"""),294.57696)</f>
        <v>294.57696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IFERROR(__xludf.DUMMYFUNCTION("""COMPUTED_VALUE"""),295.726704)</f>
        <v>295.726704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IFERROR(__xludf.DUMMYFUNCTION("""COMPUTED_VALUE"""),295.806743)</f>
        <v>295.806743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IFERROR(__xludf.DUMMYFUNCTION("""COMPUTED_VALUE"""),292.707062)</f>
        <v>292.707062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IFERROR(__xludf.DUMMYFUNCTION("""COMPUTED_VALUE"""),296.802093)</f>
        <v>296.802093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IFERROR(__xludf.DUMMYFUNCTION("""COMPUTED_VALUE"""),295.571923)</f>
        <v>295.571923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IFERROR(__xludf.DUMMYFUNCTION("""COMPUTED_VALUE"""),297.044112)</f>
        <v>297.044112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IFERROR(__xludf.DUMMYFUNCTION("""COMPUTED_VALUE"""),297.261996)</f>
        <v>297.261996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IFERROR(__xludf.DUMMYFUNCTION("""COMPUTED_VALUE"""),296.851506)</f>
        <v>296.851506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IFERROR(__xludf.DUMMYFUNCTION("""COMPUTED_VALUE"""),295.229852)</f>
        <v>295.229852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IFERROR(__xludf.DUMMYFUNCTION("""COMPUTED_VALUE"""),293.371533)</f>
        <v>293.371533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IFERROR(__xludf.DUMMYFUNCTION("""COMPUTED_VALUE"""),293.537915)</f>
        <v>293.537915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IFERROR(__xludf.DUMMYFUNCTION("""COMPUTED_VALUE"""),296.365078)</f>
        <v>296.365078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IFERROR(__xludf.DUMMYFUNCTION("""COMPUTED_VALUE"""),296.55494)</f>
        <v>296.55494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IFERROR(__xludf.DUMMYFUNCTION("""COMPUTED_VALUE"""),296.057187)</f>
        <v>296.057187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IFERROR(__xludf.DUMMYFUNCTION("""COMPUTED_VALUE"""),295.40426)</f>
        <v>295.40426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IFERROR(__xludf.DUMMYFUNCTION("""COMPUTED_VALUE"""),292.899768)</f>
        <v>292.899768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IFERROR(__xludf.DUMMYFUNCTION("""COMPUTED_VALUE"""),297.16764)</f>
        <v>297.16764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IFERROR(__xludf.DUMMYFUNCTION("""COMPUTED_VALUE"""),297.167544)</f>
        <v>297.167544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IFERROR(__xludf.DUMMYFUNCTION("""COMPUTED_VALUE"""),294.09898)</f>
        <v>294.09898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IFERROR(__xludf.DUMMYFUNCTION("""COMPUTED_VALUE"""),294.72912)</f>
        <v>294.72912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IFERROR(__xludf.DUMMYFUNCTION("""COMPUTED_VALUE"""),298.661524)</f>
        <v>298.661524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IFERROR(__xludf.DUMMYFUNCTION("""COMPUTED_VALUE"""),297.972)</f>
        <v>297.972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IFERROR(__xludf.DUMMYFUNCTION("""COMPUTED_VALUE"""),297.3195855)</f>
        <v>297.3195855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IFERROR(__xludf.DUMMYFUNCTION("""COMPUTED_VALUE"""),294.17505)</f>
        <v>294.17505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IFERROR(__xludf.DUMMYFUNCTION("""COMPUTED_VALUE"""),295.609132)</f>
        <v>295.609132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IFERROR(__xludf.DUMMYFUNCTION("""COMPUTED_VALUE"""),292.62148)</f>
        <v>292.62148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IFERROR(__xludf.DUMMYFUNCTION("""COMPUTED_VALUE"""),297.005696)</f>
        <v>297.005696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IFERROR(__xludf.DUMMYFUNCTION("""COMPUTED_VALUE"""),297.001944)</f>
        <v>297.001944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IFERROR(__xludf.DUMMYFUNCTION("""COMPUTED_VALUE"""),293.39928)</f>
        <v>293.39928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IFERROR(__xludf.DUMMYFUNCTION("""COMPUTED_VALUE"""),292.53722)</f>
        <v>292.53722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IFERROR(__xludf.DUMMYFUNCTION("""COMPUTED_VALUE"""),294.02975)</f>
        <v>294.02975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IFERROR(__xludf.DUMMYFUNCTION("""COMPUTED_VALUE"""),296.702769)</f>
        <v>296.702769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IFERROR(__xludf.DUMMYFUNCTION("""COMPUTED_VALUE"""),295.2969115)</f>
        <v>295.2969115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IFERROR(__xludf.DUMMYFUNCTION("""COMPUTED_VALUE"""),296.336215)</f>
        <v>296.336215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IFERROR(__xludf.DUMMYFUNCTION("""COMPUTED_VALUE"""),296.5674705)</f>
        <v>296.5674705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IFERROR(__xludf.DUMMYFUNCTION("""COMPUTED_VALUE"""),298.1677125)</f>
        <v>298.1677125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IFERROR(__xludf.DUMMYFUNCTION("""COMPUTED_VALUE"""),292.21032)</f>
        <v>292.21032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IFERROR(__xludf.DUMMYFUNCTION("""COMPUTED_VALUE"""),296.6984595)</f>
        <v>296.6984595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IFERROR(__xludf.DUMMYFUNCTION("""COMPUTED_VALUE"""),296.2232205)</f>
        <v>296.2232205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IFERROR(__xludf.DUMMYFUNCTION("""COMPUTED_VALUE"""),297.60885)</f>
        <v>297.60885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IFERROR(__xludf.DUMMYFUNCTION("""COMPUTED_VALUE"""),294.94128)</f>
        <v>294.94128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IFERROR(__xludf.DUMMYFUNCTION("""COMPUTED_VALUE"""),298.03245)</f>
        <v>298.03245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IFERROR(__xludf.DUMMYFUNCTION("""COMPUTED_VALUE"""),298.409544)</f>
        <v>298.409544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IFERROR(__xludf.DUMMYFUNCTION("""COMPUTED_VALUE"""),295.6811)</f>
        <v>295.6811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IFERROR(__xludf.DUMMYFUNCTION("""COMPUTED_VALUE"""),297.4796)</f>
        <v>297.4796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IFERROR(__xludf.DUMMYFUNCTION("""COMPUTED_VALUE"""),298.76634)</f>
        <v>298.76634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IFERROR(__xludf.DUMMYFUNCTION("""COMPUTED_VALUE"""),297.495)</f>
        <v>297.495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IFERROR(__xludf.DUMMYFUNCTION("""COMPUTED_VALUE"""),298.3965)</f>
        <v>298.3965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IFERROR(__xludf.DUMMYFUNCTION("""COMPUTED_VALUE"""),297.672228)</f>
        <v>297.672228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IFERROR(__xludf.DUMMYFUNCTION("""COMPUTED_VALUE"""),295.93636)</f>
        <v>295.93636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IFERROR(__xludf.DUMMYFUNCTION("""COMPUTED_VALUE"""),295.22214)</f>
        <v>295.22214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IFERROR(__xludf.DUMMYFUNCTION("""COMPUTED_VALUE"""),298.0465055)</f>
        <v>298.0465055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IFERROR(__xludf.DUMMYFUNCTION("""COMPUTED_VALUE"""),294.31413)</f>
        <v>294.31413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IFERROR(__xludf.DUMMYFUNCTION("""COMPUTED_VALUE"""),296.937638)</f>
        <v>296.937638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IFERROR(__xludf.DUMMYFUNCTION("""COMPUTED_VALUE"""),298.101552)</f>
        <v>298.101552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IFERROR(__xludf.DUMMYFUNCTION("""COMPUTED_VALUE"""),298.012533)</f>
        <v>298.012533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IFERROR(__xludf.DUMMYFUNCTION("""COMPUTED_VALUE"""),293.35936)</f>
        <v>293.35936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IFERROR(__xludf.DUMMYFUNCTION("""COMPUTED_VALUE"""),294.987)</f>
        <v>294.987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IFERROR(__xludf.DUMMYFUNCTION("""COMPUTED_VALUE"""),295.952709)</f>
        <v>295.952709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IFERROR(__xludf.DUMMYFUNCTION("""COMPUTED_VALUE"""),297.3178935)</f>
        <v>297.3178935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IFERROR(__xludf.DUMMYFUNCTION("""COMPUTED_VALUE"""),293.41572)</f>
        <v>293.41572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IFERROR(__xludf.DUMMYFUNCTION("""COMPUTED_VALUE"""),294.084768)</f>
        <v>294.084768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IFERROR(__xludf.DUMMYFUNCTION("""COMPUTED_VALUE"""),296.3986515)</f>
        <v>296.3986515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IFERROR(__xludf.DUMMYFUNCTION("""COMPUTED_VALUE"""),293.50458)</f>
        <v>293.50458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IFERROR(__xludf.DUMMYFUNCTION("""COMPUTED_VALUE"""),295.032918)</f>
        <v>295.032918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IFERROR(__xludf.DUMMYFUNCTION("""COMPUTED_VALUE"""),294.636344)</f>
        <v>294.636344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IFERROR(__xludf.DUMMYFUNCTION("""COMPUTED_VALUE"""),290.72448)</f>
        <v>290.72448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IFERROR(__xludf.DUMMYFUNCTION("""COMPUTED_VALUE"""),293.431799)</f>
        <v>293.431799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IFERROR(__xludf.DUMMYFUNCTION("""COMPUTED_VALUE"""),287.282755)</f>
        <v>287.282755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IFERROR(__xludf.DUMMYFUNCTION("""COMPUTED_VALUE"""),297.0544)</f>
        <v>297.0544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IFERROR(__xludf.DUMMYFUNCTION("""COMPUTED_VALUE"""),295.4808675)</f>
        <v>295.4808675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IFERROR(__xludf.DUMMYFUNCTION("""COMPUTED_VALUE"""),295.817726)</f>
        <v>295.817726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IFERROR(__xludf.DUMMYFUNCTION("""COMPUTED_VALUE"""),294.1782)</f>
        <v>294.1782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IFERROR(__xludf.DUMMYFUNCTION("""COMPUTED_VALUE"""),294.7060725)</f>
        <v>294.7060725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IFERROR(__xludf.DUMMYFUNCTION("""COMPUTED_VALUE"""),290.63104)</f>
        <v>290.63104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IFERROR(__xludf.DUMMYFUNCTION("""COMPUTED_VALUE"""),285.60396)</f>
        <v>285.60396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IFERROR(__xludf.DUMMYFUNCTION("""COMPUTED_VALUE"""),284.2455)</f>
        <v>284.2455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IFERROR(__xludf.DUMMYFUNCTION("""COMPUTED_VALUE"""),290.143)</f>
        <v>290.143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IFERROR(__xludf.DUMMYFUNCTION("""COMPUTED_VALUE"""),290.8833255)</f>
        <v>290.8833255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IFERROR(__xludf.DUMMYFUNCTION("""COMPUTED_VALUE"""),284.745552)</f>
        <v>284.745552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IFERROR(__xludf.DUMMYFUNCTION("""COMPUTED_VALUE"""),290.7580595)</f>
        <v>290.7580595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IFERROR(__xludf.DUMMYFUNCTION("""COMPUTED_VALUE"""),289.1652385)</f>
        <v>289.1652385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IFERROR(__xludf.DUMMYFUNCTION("""COMPUTED_VALUE"""),288.17886)</f>
        <v>288.17886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IFERROR(__xludf.DUMMYFUNCTION("""COMPUTED_VALUE"""),290.34)</f>
        <v>290.34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IFERROR(__xludf.DUMMYFUNCTION("""COMPUTED_VALUE"""),291.015847)</f>
        <v>291.015847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IFERROR(__xludf.DUMMYFUNCTION("""COMPUTED_VALUE"""),286.00726)</f>
        <v>286.00726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IFERROR(__xludf.DUMMYFUNCTION("""COMPUTED_VALUE"""),290.1863615)</f>
        <v>290.1863615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IFERROR(__xludf.DUMMYFUNCTION("""COMPUTED_VALUE"""),282.619908)</f>
        <v>282.619908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IFERROR(__xludf.DUMMYFUNCTION("""COMPUTED_VALUE"""),287.025)</f>
        <v>287.025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IFERROR(__xludf.DUMMYFUNCTION("""COMPUTED_VALUE"""),289.5982785)</f>
        <v>289.5982785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IFERROR(__xludf.DUMMYFUNCTION("""COMPUTED_VALUE"""),287.47425)</f>
        <v>287.47425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IFERROR(__xludf.DUMMYFUNCTION("""COMPUTED_VALUE"""),288.770328)</f>
        <v>288.770328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IFERROR(__xludf.DUMMYFUNCTION("""COMPUTED_VALUE"""),288.293313)</f>
        <v>288.293313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IFERROR(__xludf.DUMMYFUNCTION("""COMPUTED_VALUE"""),285.0771)</f>
        <v>285.0771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IFERROR(__xludf.DUMMYFUNCTION("""COMPUTED_VALUE"""),289.1748245)</f>
        <v>289.1748245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IFERROR(__xludf.DUMMYFUNCTION("""COMPUTED_VALUE"""),285.1744)</f>
        <v>285.1744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IFERROR(__xludf.DUMMYFUNCTION("""COMPUTED_VALUE"""),288.221423)</f>
        <v>288.221423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IFERROR(__xludf.DUMMYFUNCTION("""COMPUTED_VALUE"""),284.8125)</f>
        <v>284.8125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IFERROR(__xludf.DUMMYFUNCTION("""COMPUTED_VALUE"""),288.484625)</f>
        <v>288.484625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IFERROR(__xludf.DUMMYFUNCTION("""COMPUTED_VALUE"""),288.16256)</f>
        <v>288.16256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IFERROR(__xludf.DUMMYFUNCTION("""COMPUTED_VALUE"""),289.97415)</f>
        <v>289.97415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IFERROR(__xludf.DUMMYFUNCTION("""COMPUTED_VALUE"""),288.054441)</f>
        <v>288.054441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IFERROR(__xludf.DUMMYFUNCTION("""COMPUTED_VALUE"""),288.5496295)</f>
        <v>288.5496295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IFERROR(__xludf.DUMMYFUNCTION("""COMPUTED_VALUE"""),287.16672)</f>
        <v>287.16672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IFERROR(__xludf.DUMMYFUNCTION("""COMPUTED_VALUE"""),288.167115)</f>
        <v>288.167115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IFERROR(__xludf.DUMMYFUNCTION("""COMPUTED_VALUE"""),289.170978)</f>
        <v>289.170978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IFERROR(__xludf.DUMMYFUNCTION("""COMPUTED_VALUE"""),287.510749)</f>
        <v>287.510749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IFERROR(__xludf.DUMMYFUNCTION("""COMPUTED_VALUE"""),288.4427385)</f>
        <v>288.4427385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IFERROR(__xludf.DUMMYFUNCTION("""COMPUTED_VALUE"""),289.0594)</f>
        <v>289.0594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IFERROR(__xludf.DUMMYFUNCTION("""COMPUTED_VALUE"""),288.642)</f>
        <v>288.642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IFERROR(__xludf.DUMMYFUNCTION("""COMPUTED_VALUE"""),288.3606635)</f>
        <v>288.3606635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IFERROR(__xludf.DUMMYFUNCTION("""COMPUTED_VALUE"""),289.5515805)</f>
        <v>289.5515805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IFERROR(__xludf.DUMMYFUNCTION("""COMPUTED_VALUE"""),288.635103)</f>
        <v>288.635103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IFERROR(__xludf.DUMMYFUNCTION("""COMPUTED_VALUE"""),288.3465)</f>
        <v>288.3465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IFERROR(__xludf.DUMMYFUNCTION("""COMPUTED_VALUE"""),286.731165)</f>
        <v>286.731165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IFERROR(__xludf.DUMMYFUNCTION("""COMPUTED_VALUE"""),289.5854)</f>
        <v>289.5854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IFERROR(__xludf.DUMMYFUNCTION("""COMPUTED_VALUE"""),288.9348)</f>
        <v>288.9348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IFERROR(__xludf.DUMMYFUNCTION("""COMPUTED_VALUE"""),287.76)</f>
        <v>287.76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IFERROR(__xludf.DUMMYFUNCTION("""COMPUTED_VALUE"""),287.35695)</f>
        <v>287.35695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IFERROR(__xludf.DUMMYFUNCTION("""COMPUTED_VALUE"""),287.110134)</f>
        <v>287.110134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IFERROR(__xludf.DUMMYFUNCTION("""COMPUTED_VALUE"""),287.2558)</f>
        <v>287.2558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IFERROR(__xludf.DUMMYFUNCTION("""COMPUTED_VALUE"""),287.619808)</f>
        <v>287.619808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IFERROR(__xludf.DUMMYFUNCTION("""COMPUTED_VALUE"""),286.741598)</f>
        <v>286.741598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IFERROR(__xludf.DUMMYFUNCTION("""COMPUTED_VALUE"""),286.386144)</f>
        <v>286.386144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IFERROR(__xludf.DUMMYFUNCTION("""COMPUTED_VALUE"""),286.916106)</f>
        <v>286.916106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IFERROR(__xludf.DUMMYFUNCTION("""COMPUTED_VALUE"""),287.129842)</f>
        <v>287.129842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IFERROR(__xludf.DUMMYFUNCTION("""COMPUTED_VALUE"""),286.195041)</f>
        <v>286.195041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IFERROR(__xludf.DUMMYFUNCTION("""COMPUTED_VALUE"""),286.199088)</f>
        <v>286.199088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IFERROR(__xludf.DUMMYFUNCTION("""COMPUTED_VALUE"""),286.3742)</f>
        <v>286.3742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IFERROR(__xludf.DUMMYFUNCTION("""COMPUTED_VALUE"""),285.919913)</f>
        <v>285.919913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IFERROR(__xludf.DUMMYFUNCTION("""COMPUTED_VALUE"""),285.991565)</f>
        <v>285.991565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IFERROR(__xludf.DUMMYFUNCTION("""COMPUTED_VALUE"""),286.147123)</f>
        <v>286.147123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IFERROR(__xludf.DUMMYFUNCTION("""COMPUTED_VALUE"""),287.210213)</f>
        <v>287.210213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IFERROR(__xludf.DUMMYFUNCTION("""COMPUTED_VALUE"""),287.202912)</f>
        <v>287.202912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IFERROR(__xludf.DUMMYFUNCTION("""COMPUTED_VALUE"""),287.096994)</f>
        <v>287.096994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IFERROR(__xludf.DUMMYFUNCTION("""COMPUTED_VALUE"""),287.10178)</f>
        <v>287.10178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IFERROR(__xludf.DUMMYFUNCTION("""COMPUTED_VALUE"""),286.929825)</f>
        <v>286.929825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IFERROR(__xludf.DUMMYFUNCTION("""COMPUTED_VALUE"""),285.981635)</f>
        <v>285.981635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IFERROR(__xludf.DUMMYFUNCTION("""COMPUTED_VALUE"""),286.493925)</f>
        <v>286.493925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IFERROR(__xludf.DUMMYFUNCTION("""COMPUTED_VALUE"""),286.711308)</f>
        <v>286.711308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IFERROR(__xludf.DUMMYFUNCTION("""COMPUTED_VALUE"""),286.95714)</f>
        <v>286.95714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IFERROR(__xludf.DUMMYFUNCTION("""COMPUTED_VALUE"""),286.95714)</f>
        <v>286.95714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IFERROR(__xludf.DUMMYFUNCTION("""COMPUTED_VALUE"""),285.851274)</f>
        <v>285.851274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IFERROR(__xludf.DUMMYFUNCTION("""COMPUTED_VALUE"""),287.315873)</f>
        <v>287.315873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IFERROR(__xludf.DUMMYFUNCTION("""COMPUTED_VALUE"""),288.364398)</f>
        <v>288.364398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IFERROR(__xludf.DUMMYFUNCTION("""COMPUTED_VALUE"""),288.016896)</f>
        <v>288.016896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IFERROR(__xludf.DUMMYFUNCTION("""COMPUTED_VALUE"""),287.981199)</f>
        <v>287.981199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IFERROR(__xludf.DUMMYFUNCTION("""COMPUTED_VALUE"""),288.00393)</f>
        <v>288.00393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IFERROR(__xludf.DUMMYFUNCTION("""COMPUTED_VALUE"""),288.00393)</f>
        <v>288.00393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IFERROR(__xludf.DUMMYFUNCTION("""COMPUTED_VALUE"""),287.573715)</f>
        <v>287.573715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IFERROR(__xludf.DUMMYFUNCTION("""COMPUTED_VALUE"""),287.928648)</f>
        <v>287.928648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IFERROR(__xludf.DUMMYFUNCTION("""COMPUTED_VALUE"""),288.23196)</f>
        <v>288.23196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IFERROR(__xludf.DUMMYFUNCTION("""COMPUTED_VALUE"""),287.792402)</f>
        <v>287.792402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IFERROR(__xludf.DUMMYFUNCTION("""COMPUTED_VALUE"""),286.443319)</f>
        <v>286.443319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IFERROR(__xludf.DUMMYFUNCTION("""COMPUTED_VALUE"""),286.142283)</f>
        <v>286.142283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IFERROR(__xludf.DUMMYFUNCTION("""COMPUTED_VALUE"""),286.081125)</f>
        <v>286.081125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IFERROR(__xludf.DUMMYFUNCTION("""COMPUTED_VALUE"""),286.013192)</f>
        <v>286.013192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IFERROR(__xludf.DUMMYFUNCTION("""COMPUTED_VALUE"""),285.52269)</f>
        <v>285.52269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IFERROR(__xludf.DUMMYFUNCTION("""COMPUTED_VALUE"""),284.1754)</f>
        <v>284.1754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IFERROR(__xludf.DUMMYFUNCTION("""COMPUTED_VALUE"""),283.112584)</f>
        <v>283.112584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IFERROR(__xludf.DUMMYFUNCTION("""COMPUTED_VALUE"""),282.925461)</f>
        <v>282.925461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IFERROR(__xludf.DUMMYFUNCTION("""COMPUTED_VALUE"""),284.26437)</f>
        <v>284.26437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IFERROR(__xludf.DUMMYFUNCTION("""COMPUTED_VALUE"""),279.50815)</f>
        <v>279.50815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IFERROR(__xludf.DUMMYFUNCTION("""COMPUTED_VALUE"""),282.594057)</f>
        <v>282.594057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IFERROR(__xludf.DUMMYFUNCTION("""COMPUTED_VALUE"""),283.10084)</f>
        <v>283.10084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IFERROR(__xludf.DUMMYFUNCTION("""COMPUTED_VALUE"""),283.306804)</f>
        <v>283.306804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IFERROR(__xludf.DUMMYFUNCTION("""COMPUTED_VALUE"""),283.3578)</f>
        <v>283.3578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IFERROR(__xludf.DUMMYFUNCTION("""COMPUTED_VALUE"""),281.8935)</f>
        <v>281.8935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IFERROR(__xludf.DUMMYFUNCTION("""COMPUTED_VALUE"""),283.577585)</f>
        <v>283.577585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IFERROR(__xludf.DUMMYFUNCTION("""COMPUTED_VALUE"""),283.557815)</f>
        <v>283.557815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IFERROR(__xludf.DUMMYFUNCTION("""COMPUTED_VALUE"""),281.13711)</f>
        <v>281.13711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IFERROR(__xludf.DUMMYFUNCTION("""COMPUTED_VALUE"""),282.002568)</f>
        <v>282.002568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IFERROR(__xludf.DUMMYFUNCTION("""COMPUTED_VALUE"""),272.533087)</f>
        <v>272.533087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IFERROR(__xludf.DUMMYFUNCTION("""COMPUTED_VALUE"""),281.672601)</f>
        <v>281.672601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IFERROR(__xludf.DUMMYFUNCTION("""COMPUTED_VALUE"""),283.32776)</f>
        <v>283.32776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IFERROR(__xludf.DUMMYFUNCTION("""COMPUTED_VALUE"""),281.72936)</f>
        <v>281.72936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IFERROR(__xludf.DUMMYFUNCTION("""COMPUTED_VALUE"""),277.67511)</f>
        <v>277.67511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IFERROR(__xludf.DUMMYFUNCTION("""COMPUTED_VALUE"""),280.9931232)</f>
        <v>280.9931232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IFERROR(__xludf.DUMMYFUNCTION("""COMPUTED_VALUE"""),282.854)</f>
        <v>282.854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IFERROR(__xludf.DUMMYFUNCTION("""COMPUTED_VALUE"""),275.878356)</f>
        <v>275.878356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IFERROR(__xludf.DUMMYFUNCTION("""COMPUTED_VALUE"""),281.472282)</f>
        <v>281.472282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IFERROR(__xludf.DUMMYFUNCTION("""COMPUTED_VALUE"""),282.1175)</f>
        <v>282.1175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IFERROR(__xludf.DUMMYFUNCTION("""COMPUTED_VALUE"""),282.3927505)</f>
        <v>282.3927505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IFERROR(__xludf.DUMMYFUNCTION("""COMPUTED_VALUE"""),275.391576)</f>
        <v>275.391576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IFERROR(__xludf.DUMMYFUNCTION("""COMPUTED_VALUE"""),282.2215515)</f>
        <v>282.2215515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IFERROR(__xludf.DUMMYFUNCTION("""COMPUTED_VALUE"""),281.96685)</f>
        <v>281.96685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IFERROR(__xludf.DUMMYFUNCTION("""COMPUTED_VALUE"""),282.092216)</f>
        <v>282.092216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IFERROR(__xludf.DUMMYFUNCTION("""COMPUTED_VALUE"""),280.2828)</f>
        <v>280.2828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IFERROR(__xludf.DUMMYFUNCTION("""COMPUTED_VALUE"""),282.250305)</f>
        <v>282.250305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IFERROR(__xludf.DUMMYFUNCTION("""COMPUTED_VALUE"""),281.4304635)</f>
        <v>281.4304635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IFERROR(__xludf.DUMMYFUNCTION("""COMPUTED_VALUE"""),281.3458076)</f>
        <v>281.3458076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IFERROR(__xludf.DUMMYFUNCTION("""COMPUTED_VALUE"""),282.026895)</f>
        <v>282.026895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IFERROR(__xludf.DUMMYFUNCTION("""COMPUTED_VALUE"""),279.48)</f>
        <v>279.48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IFERROR(__xludf.DUMMYFUNCTION("""COMPUTED_VALUE"""),280.839541)</f>
        <v>280.839541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IFERROR(__xludf.DUMMYFUNCTION("""COMPUTED_VALUE"""),279.086022)</f>
        <v>279.086022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IFERROR(__xludf.DUMMYFUNCTION("""COMPUTED_VALUE"""),279.3708)</f>
        <v>279.3708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IFERROR(__xludf.DUMMYFUNCTION("""COMPUTED_VALUE"""),279.492053)</f>
        <v>279.492053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IFERROR(__xludf.DUMMYFUNCTION("""COMPUTED_VALUE"""),272.80656)</f>
        <v>272.80656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IFERROR(__xludf.DUMMYFUNCTION("""COMPUTED_VALUE"""),272.8139235)</f>
        <v>272.8139235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IFERROR(__xludf.DUMMYFUNCTION("""COMPUTED_VALUE"""),280.947905)</f>
        <v>280.947905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IFERROR(__xludf.DUMMYFUNCTION("""COMPUTED_VALUE"""),279.401523)</f>
        <v>279.401523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IFERROR(__xludf.DUMMYFUNCTION("""COMPUTED_VALUE"""),277.974592)</f>
        <v>277.974592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IFERROR(__xludf.DUMMYFUNCTION("""COMPUTED_VALUE"""),281.7192)</f>
        <v>281.7192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IFERROR(__xludf.DUMMYFUNCTION("""COMPUTED_VALUE"""),280.2228)</f>
        <v>280.2228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IFERROR(__xludf.DUMMYFUNCTION("""COMPUTED_VALUE"""),274.6677)</f>
        <v>274.6677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IFERROR(__xludf.DUMMYFUNCTION("""COMPUTED_VALUE"""),281.1531521)</f>
        <v>281.1531521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IFERROR(__xludf.DUMMYFUNCTION("""COMPUTED_VALUE"""),281.506666)</f>
        <v>281.506666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IFERROR(__xludf.DUMMYFUNCTION("""COMPUTED_VALUE"""),281.22)</f>
        <v>281.22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IFERROR(__xludf.DUMMYFUNCTION("""COMPUTED_VALUE"""),279.8796)</f>
        <v>279.8796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IFERROR(__xludf.DUMMYFUNCTION("""COMPUTED_VALUE"""),282.766356)</f>
        <v>282.766356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IFERROR(__xludf.DUMMYFUNCTION("""COMPUTED_VALUE"""),274.057)</f>
        <v>274.057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IFERROR(__xludf.DUMMYFUNCTION("""COMPUTED_VALUE"""),274.800428)</f>
        <v>274.800428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IFERROR(__xludf.DUMMYFUNCTION("""COMPUTED_VALUE"""),279.4123755)</f>
        <v>279.4123755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IFERROR(__xludf.DUMMYFUNCTION("""COMPUTED_VALUE"""),276.1725)</f>
        <v>276.1725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IFERROR(__xludf.DUMMYFUNCTION("""COMPUTED_VALUE"""),277.8226)</f>
        <v>277.8226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IFERROR(__xludf.DUMMYFUNCTION("""COMPUTED_VALUE"""),280.395553)</f>
        <v>280.395553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IFERROR(__xludf.DUMMYFUNCTION("""COMPUTED_VALUE"""),274.26168)</f>
        <v>274.26168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IFERROR(__xludf.DUMMYFUNCTION("""COMPUTED_VALUE"""),277.41168)</f>
        <v>277.41168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IFERROR(__xludf.DUMMYFUNCTION("""COMPUTED_VALUE"""),271.933003)</f>
        <v>271.933003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IFERROR(__xludf.DUMMYFUNCTION("""COMPUTED_VALUE"""),277.9834885)</f>
        <v>277.9834885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IFERROR(__xludf.DUMMYFUNCTION("""COMPUTED_VALUE"""),279.9624825)</f>
        <v>279.9624825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IFERROR(__xludf.DUMMYFUNCTION("""COMPUTED_VALUE"""),278.833117)</f>
        <v>278.833117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IFERROR(__xludf.DUMMYFUNCTION("""COMPUTED_VALUE"""),279.616428)</f>
        <v>279.616428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IFERROR(__xludf.DUMMYFUNCTION("""COMPUTED_VALUE"""),281.5185155)</f>
        <v>281.5185155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IFERROR(__xludf.DUMMYFUNCTION("""COMPUTED_VALUE"""),281.1662235)</f>
        <v>281.1662235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IFERROR(__xludf.DUMMYFUNCTION("""COMPUTED_VALUE"""),282.1519853)</f>
        <v>282.1519853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IFERROR(__xludf.DUMMYFUNCTION("""COMPUTED_VALUE"""),280.3149785)</f>
        <v>280.3149785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IFERROR(__xludf.DUMMYFUNCTION("""COMPUTED_VALUE"""),280.9300525)</f>
        <v>280.9300525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IFERROR(__xludf.DUMMYFUNCTION("""COMPUTED_VALUE"""),280.824621)</f>
        <v>280.824621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IFERROR(__xludf.DUMMYFUNCTION("""COMPUTED_VALUE"""),284.9715)</f>
        <v>284.9715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IFERROR(__xludf.DUMMYFUNCTION("""COMPUTED_VALUE"""),282.6635035)</f>
        <v>282.6635035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IFERROR(__xludf.DUMMYFUNCTION("""COMPUTED_VALUE"""),283.497819)</f>
        <v>283.497819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IFERROR(__xludf.DUMMYFUNCTION("""COMPUTED_VALUE"""),277.921842)</f>
        <v>277.921842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IFERROR(__xludf.DUMMYFUNCTION("""COMPUTED_VALUE"""),284.5493235)</f>
        <v>284.5493235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IFERROR(__xludf.DUMMYFUNCTION("""COMPUTED_VALUE"""),285.938604)</f>
        <v>285.938604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IFERROR(__xludf.DUMMYFUNCTION("""COMPUTED_VALUE"""),285.236)</f>
        <v>285.236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IFERROR(__xludf.DUMMYFUNCTION("""COMPUTED_VALUE"""),286.608)</f>
        <v>286.608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IFERROR(__xludf.DUMMYFUNCTION("""COMPUTED_VALUE"""),286.07487)</f>
        <v>286.07487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IFERROR(__xludf.DUMMYFUNCTION("""COMPUTED_VALUE"""),285.67275)</f>
        <v>285.67275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IFERROR(__xludf.DUMMYFUNCTION("""COMPUTED_VALUE"""),286.2510456)</f>
        <v>286.2510456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IFERROR(__xludf.DUMMYFUNCTION("""COMPUTED_VALUE"""),280.366116)</f>
        <v>280.366116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IFERROR(__xludf.DUMMYFUNCTION("""COMPUTED_VALUE"""),286.37112)</f>
        <v>286.37112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IFERROR(__xludf.DUMMYFUNCTION("""COMPUTED_VALUE"""),285.94)</f>
        <v>285.94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IFERROR(__xludf.DUMMYFUNCTION("""COMPUTED_VALUE"""),284.5711)</f>
        <v>284.5711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IFERROR(__xludf.DUMMYFUNCTION("""COMPUTED_VALUE"""),285.9417)</f>
        <v>285.9417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IFERROR(__xludf.DUMMYFUNCTION("""COMPUTED_VALUE"""),285.26)</f>
        <v>285.26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IFERROR(__xludf.DUMMYFUNCTION("""COMPUTED_VALUE"""),277.08814)</f>
        <v>277.08814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IFERROR(__xludf.DUMMYFUNCTION("""COMPUTED_VALUE"""),284.748325)</f>
        <v>284.748325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IFERROR(__xludf.DUMMYFUNCTION("""COMPUTED_VALUE"""),284.21232)</f>
        <v>284.21232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IFERROR(__xludf.DUMMYFUNCTION("""COMPUTED_VALUE"""),283.0668535)</f>
        <v>283.0668535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IFERROR(__xludf.DUMMYFUNCTION("""COMPUTED_VALUE"""),280.059728)</f>
        <v>280.059728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IFERROR(__xludf.DUMMYFUNCTION("""COMPUTED_VALUE"""),281.7073)</f>
        <v>281.7073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IFERROR(__xludf.DUMMYFUNCTION("""COMPUTED_VALUE"""),287.124114)</f>
        <v>287.124114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IFERROR(__xludf.DUMMYFUNCTION("""COMPUTED_VALUE"""),279.531615)</f>
        <v>279.531615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IFERROR(__xludf.DUMMYFUNCTION("""COMPUTED_VALUE"""),287.8904595)</f>
        <v>287.8904595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IFERROR(__xludf.DUMMYFUNCTION("""COMPUTED_VALUE"""),281.47956)</f>
        <v>281.47956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IFERROR(__xludf.DUMMYFUNCTION("""COMPUTED_VALUE"""),286.532064)</f>
        <v>286.532064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IFERROR(__xludf.DUMMYFUNCTION("""COMPUTED_VALUE"""),282.549972)</f>
        <v>282.549972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IFERROR(__xludf.DUMMYFUNCTION("""COMPUTED_VALUE"""),283.35969)</f>
        <v>283.35969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IFERROR(__xludf.DUMMYFUNCTION("""COMPUTED_VALUE"""),274.985932)</f>
        <v>274.985932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IFERROR(__xludf.DUMMYFUNCTION("""COMPUTED_VALUE"""),279.514928)</f>
        <v>279.514928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IFERROR(__xludf.DUMMYFUNCTION("""COMPUTED_VALUE"""),280.200732)</f>
        <v>280.200732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IFERROR(__xludf.DUMMYFUNCTION("""COMPUTED_VALUE"""),285.9896)</f>
        <v>285.9896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IFERROR(__xludf.DUMMYFUNCTION("""COMPUTED_VALUE"""),285.564224)</f>
        <v>285.564224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IFERROR(__xludf.DUMMYFUNCTION("""COMPUTED_VALUE"""),279.449943)</f>
        <v>279.449943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IFERROR(__xludf.DUMMYFUNCTION("""COMPUTED_VALUE"""),286.6209151)</f>
        <v>286.6209151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IFERROR(__xludf.DUMMYFUNCTION("""COMPUTED_VALUE"""),285.56265)</f>
        <v>285.56265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IFERROR(__xludf.DUMMYFUNCTION("""COMPUTED_VALUE"""),286.01964)</f>
        <v>286.01964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IFERROR(__xludf.DUMMYFUNCTION("""COMPUTED_VALUE"""),285.399)</f>
        <v>285.399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IFERROR(__xludf.DUMMYFUNCTION("""COMPUTED_VALUE"""),285.95)</f>
        <v>285.95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IFERROR(__xludf.DUMMYFUNCTION("""COMPUTED_VALUE"""),285.28416)</f>
        <v>285.28416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IFERROR(__xludf.DUMMYFUNCTION("""COMPUTED_VALUE"""),278.444952)</f>
        <v>278.444952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IFERROR(__xludf.DUMMYFUNCTION("""COMPUTED_VALUE"""),284.829871)</f>
        <v>284.829871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IFERROR(__xludf.DUMMYFUNCTION("""COMPUTED_VALUE"""),283.8864)</f>
        <v>283.8864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IFERROR(__xludf.DUMMYFUNCTION("""COMPUTED_VALUE"""),284.0619055)</f>
        <v>284.0619055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IFERROR(__xludf.DUMMYFUNCTION("""COMPUTED_VALUE"""),283.805917)</f>
        <v>283.805917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IFERROR(__xludf.DUMMYFUNCTION("""COMPUTED_VALUE"""),282.4623)</f>
        <v>282.4623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IFERROR(__xludf.DUMMYFUNCTION("""COMPUTED_VALUE"""),283.73)</f>
        <v>283.73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IFERROR(__xludf.DUMMYFUNCTION("""COMPUTED_VALUE"""),280.71082)</f>
        <v>280.71082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IFERROR(__xludf.DUMMYFUNCTION("""COMPUTED_VALUE"""),285.9227139)</f>
        <v>285.9227139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IFERROR(__xludf.DUMMYFUNCTION("""COMPUTED_VALUE"""),279.03735)</f>
        <v>279.03735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IFERROR(__xludf.DUMMYFUNCTION("""COMPUTED_VALUE"""),285.0698235)</f>
        <v>285.0698235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IFERROR(__xludf.DUMMYFUNCTION("""COMPUTED_VALUE"""),284.5569)</f>
        <v>284.5569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IFERROR(__xludf.DUMMYFUNCTION("""COMPUTED_VALUE"""),283.941863)</f>
        <v>283.941863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IFERROR(__xludf.DUMMYFUNCTION("""COMPUTED_VALUE"""),284.52234)</f>
        <v>284.52234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IFERROR(__xludf.DUMMYFUNCTION("""COMPUTED_VALUE"""),284.978508)</f>
        <v>284.978508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IFERROR(__xludf.DUMMYFUNCTION("""COMPUTED_VALUE"""),280.565768)</f>
        <v>280.565768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IFERROR(__xludf.DUMMYFUNCTION("""COMPUTED_VALUE"""),284.171745)</f>
        <v>284.171745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IFERROR(__xludf.DUMMYFUNCTION("""COMPUTED_VALUE"""),285.51348)</f>
        <v>285.51348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IFERROR(__xludf.DUMMYFUNCTION("""COMPUTED_VALUE"""),288.107148)</f>
        <v>288.107148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IFERROR(__xludf.DUMMYFUNCTION("""COMPUTED_VALUE"""),290.16846)</f>
        <v>290.16846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IFERROR(__xludf.DUMMYFUNCTION("""COMPUTED_VALUE"""),288.717453)</f>
        <v>288.717453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IFERROR(__xludf.DUMMYFUNCTION("""COMPUTED_VALUE"""),289.9559245)</f>
        <v>289.9559245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IFERROR(__xludf.DUMMYFUNCTION("""COMPUTED_VALUE"""),286.7015145)</f>
        <v>286.7015145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IFERROR(__xludf.DUMMYFUNCTION("""COMPUTED_VALUE"""),287.698464)</f>
        <v>287.698464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IFERROR(__xludf.DUMMYFUNCTION("""COMPUTED_VALUE"""),289.232814)</f>
        <v>289.232814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IFERROR(__xludf.DUMMYFUNCTION("""COMPUTED_VALUE"""),285.649479)</f>
        <v>285.649479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IFERROR(__xludf.DUMMYFUNCTION("""COMPUTED_VALUE"""),284.620616)</f>
        <v>284.620616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IFERROR(__xludf.DUMMYFUNCTION("""COMPUTED_VALUE"""),282.183824)</f>
        <v>282.183824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IFERROR(__xludf.DUMMYFUNCTION("""COMPUTED_VALUE"""),276.964551)</f>
        <v>276.964551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IFERROR(__xludf.DUMMYFUNCTION("""COMPUTED_VALUE"""),284.3825805)</f>
        <v>284.3825805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IFERROR(__xludf.DUMMYFUNCTION("""COMPUTED_VALUE"""),291.1956)</f>
        <v>291.1956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IFERROR(__xludf.DUMMYFUNCTION("""COMPUTED_VALUE"""),287.3627365)</f>
        <v>287.3627365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IFERROR(__xludf.DUMMYFUNCTION("""COMPUTED_VALUE"""),284.122802)</f>
        <v>284.122802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IFERROR(__xludf.DUMMYFUNCTION("""COMPUTED_VALUE"""),285.498414)</f>
        <v>285.498414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IFERROR(__xludf.DUMMYFUNCTION("""COMPUTED_VALUE"""),280.3115055)</f>
        <v>280.3115055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IFERROR(__xludf.DUMMYFUNCTION("""COMPUTED_VALUE"""),288.9492749)</f>
        <v>288.9492749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IFERROR(__xludf.DUMMYFUNCTION("""COMPUTED_VALUE"""),279.696209)</f>
        <v>279.696209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IFERROR(__xludf.DUMMYFUNCTION("""COMPUTED_VALUE"""),283.3837825)</f>
        <v>283.3837825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IFERROR(__xludf.DUMMYFUNCTION("""COMPUTED_VALUE"""),274.35204)</f>
        <v>274.35204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IFERROR(__xludf.DUMMYFUNCTION("""COMPUTED_VALUE"""),286.959852)</f>
        <v>286.959852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IFERROR(__xludf.DUMMYFUNCTION("""COMPUTED_VALUE"""),286.8803)</f>
        <v>286.8803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IFERROR(__xludf.DUMMYFUNCTION("""COMPUTED_VALUE"""),284.4514765)</f>
        <v>284.4514765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IFERROR(__xludf.DUMMYFUNCTION("""COMPUTED_VALUE"""),290.117856)</f>
        <v>290.117856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IFERROR(__xludf.DUMMYFUNCTION("""COMPUTED_VALUE"""),284.8073745)</f>
        <v>284.8073745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IFERROR(__xludf.DUMMYFUNCTION("""COMPUTED_VALUE"""),286.9593615)</f>
        <v>286.9593615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IFERROR(__xludf.DUMMYFUNCTION("""COMPUTED_VALUE"""),281.29759)</f>
        <v>281.29759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IFERROR(__xludf.DUMMYFUNCTION("""COMPUTED_VALUE"""),286.54336)</f>
        <v>286.54336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IFERROR(__xludf.DUMMYFUNCTION("""COMPUTED_VALUE"""),286.854183)</f>
        <v>286.854183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IFERROR(__xludf.DUMMYFUNCTION("""COMPUTED_VALUE"""),287.333524)</f>
        <v>287.333524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IFERROR(__xludf.DUMMYFUNCTION("""COMPUTED_VALUE"""),276.748704)</f>
        <v>276.748704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IFERROR(__xludf.DUMMYFUNCTION("""COMPUTED_VALUE"""),285.155527)</f>
        <v>285.155527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IFERROR(__xludf.DUMMYFUNCTION("""COMPUTED_VALUE"""),289.05051)</f>
        <v>289.05051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IFERROR(__xludf.DUMMYFUNCTION("""COMPUTED_VALUE"""),289.1328)</f>
        <v>289.1328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IFERROR(__xludf.DUMMYFUNCTION("""COMPUTED_VALUE"""),286.972368)</f>
        <v>286.972368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IFERROR(__xludf.DUMMYFUNCTION("""COMPUTED_VALUE"""),286.457877)</f>
        <v>286.457877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IFERROR(__xludf.DUMMYFUNCTION("""COMPUTED_VALUE"""),285.9435)</f>
        <v>285.9435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IFERROR(__xludf.DUMMYFUNCTION("""COMPUTED_VALUE"""),276.260324)</f>
        <v>276.260324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IFERROR(__xludf.DUMMYFUNCTION("""COMPUTED_VALUE"""),285.5561885)</f>
        <v>285.5561885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IFERROR(__xludf.DUMMYFUNCTION("""COMPUTED_VALUE"""),285.883983)</f>
        <v>285.883983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IFERROR(__xludf.DUMMYFUNCTION("""COMPUTED_VALUE"""),286.561381)</f>
        <v>286.561381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IFERROR(__xludf.DUMMYFUNCTION("""COMPUTED_VALUE"""),288.903252)</f>
        <v>288.903252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IFERROR(__xludf.DUMMYFUNCTION("""COMPUTED_VALUE"""),289.811058)</f>
        <v>289.811058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IFERROR(__xludf.DUMMYFUNCTION("""COMPUTED_VALUE"""),288.103138)</f>
        <v>288.103138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IFERROR(__xludf.DUMMYFUNCTION("""COMPUTED_VALUE"""),288.4479668)</f>
        <v>288.4479668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IFERROR(__xludf.DUMMYFUNCTION("""COMPUTED_VALUE"""),288.8790712)</f>
        <v>288.8790712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IFERROR(__xludf.DUMMYFUNCTION("""COMPUTED_VALUE"""),285.331648)</f>
        <v>285.331648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IFERROR(__xludf.DUMMYFUNCTION("""COMPUTED_VALUE"""),286.03329)</f>
        <v>286.03329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IFERROR(__xludf.DUMMYFUNCTION("""COMPUTED_VALUE"""),287.848638)</f>
        <v>287.848638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IFERROR(__xludf.DUMMYFUNCTION("""COMPUTED_VALUE"""),291.650796)</f>
        <v>291.650796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IFERROR(__xludf.DUMMYFUNCTION("""COMPUTED_VALUE"""),291.87535)</f>
        <v>291.87535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IFERROR(__xludf.DUMMYFUNCTION("""COMPUTED_VALUE"""),287.536456)</f>
        <v>287.536456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IFERROR(__xludf.DUMMYFUNCTION("""COMPUTED_VALUE"""),291.947369)</f>
        <v>291.947369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IFERROR(__xludf.DUMMYFUNCTION("""COMPUTED_VALUE"""),291.6627215)</f>
        <v>291.6627215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IFERROR(__xludf.DUMMYFUNCTION("""COMPUTED_VALUE"""),290.89645)</f>
        <v>290.89645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IFERROR(__xludf.DUMMYFUNCTION("""COMPUTED_VALUE"""),287.323184)</f>
        <v>287.323184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IFERROR(__xludf.DUMMYFUNCTION("""COMPUTED_VALUE"""),290.7160795)</f>
        <v>290.7160795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IFERROR(__xludf.DUMMYFUNCTION("""COMPUTED_VALUE"""),289.956424)</f>
        <v>289.956424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IFERROR(__xludf.DUMMYFUNCTION("""COMPUTED_VALUE"""),290.7705938)</f>
        <v>290.7705938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IFERROR(__xludf.DUMMYFUNCTION("""COMPUTED_VALUE"""),291.1893365)</f>
        <v>291.1893365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IFERROR(__xludf.DUMMYFUNCTION("""COMPUTED_VALUE"""),290.822978)</f>
        <v>290.822978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IFERROR(__xludf.DUMMYFUNCTION("""COMPUTED_VALUE"""),291.256481)</f>
        <v>291.256481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IFERROR(__xludf.DUMMYFUNCTION("""COMPUTED_VALUE"""),289.8588935)</f>
        <v>289.8588935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IFERROR(__xludf.DUMMYFUNCTION("""COMPUTED_VALUE"""),288.472305)</f>
        <v>288.472305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IFERROR(__xludf.DUMMYFUNCTION("""COMPUTED_VALUE"""),289.5263)</f>
        <v>289.5263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IFERROR(__xludf.DUMMYFUNCTION("""COMPUTED_VALUE"""),280.35945)</f>
        <v>280.35945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IFERROR(__xludf.DUMMYFUNCTION("""COMPUTED_VALUE"""),284.2186245)</f>
        <v>284.2186245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IFERROR(__xludf.DUMMYFUNCTION("""COMPUTED_VALUE"""),287.534907)</f>
        <v>287.534907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IFERROR(__xludf.DUMMYFUNCTION("""COMPUTED_VALUE"""),289.800198)</f>
        <v>289.800198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IFERROR(__xludf.DUMMYFUNCTION("""COMPUTED_VALUE"""),286.73742)</f>
        <v>286.73742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IFERROR(__xludf.DUMMYFUNCTION("""COMPUTED_VALUE"""),285.721312)</f>
        <v>285.721312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IFERROR(__xludf.DUMMYFUNCTION("""COMPUTED_VALUE"""),286.775082)</f>
        <v>286.775082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IFERROR(__xludf.DUMMYFUNCTION("""COMPUTED_VALUE"""),282.296875)</f>
        <v>282.296875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IFERROR(__xludf.DUMMYFUNCTION("""COMPUTED_VALUE"""),289.3056525)</f>
        <v>289.3056525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IFERROR(__xludf.DUMMYFUNCTION("""COMPUTED_VALUE"""),284.4775895)</f>
        <v>284.4775895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IFERROR(__xludf.DUMMYFUNCTION("""COMPUTED_VALUE"""),290.852745)</f>
        <v>290.852745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IFERROR(__xludf.DUMMYFUNCTION("""COMPUTED_VALUE"""),293.086643)</f>
        <v>293.086643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IFERROR(__xludf.DUMMYFUNCTION("""COMPUTED_VALUE"""),290.896683)</f>
        <v>290.896683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IFERROR(__xludf.DUMMYFUNCTION("""COMPUTED_VALUE"""),292.17615)</f>
        <v>292.17615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IFERROR(__xludf.DUMMYFUNCTION("""COMPUTED_VALUE"""),281.823808)</f>
        <v>281.823808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IFERROR(__xludf.DUMMYFUNCTION("""COMPUTED_VALUE"""),285.5034665)</f>
        <v>285.5034665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IFERROR(__xludf.DUMMYFUNCTION("""COMPUTED_VALUE"""),290.78535)</f>
        <v>290.78535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IFERROR(__xludf.DUMMYFUNCTION("""COMPUTED_VALUE"""),292.551681)</f>
        <v>292.551681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IFERROR(__xludf.DUMMYFUNCTION("""COMPUTED_VALUE"""),293.3905)</f>
        <v>293.3905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IFERROR(__xludf.DUMMYFUNCTION("""COMPUTED_VALUE"""),292.155976)</f>
        <v>292.155976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IFERROR(__xludf.DUMMYFUNCTION("""COMPUTED_VALUE"""),292.5865)</f>
        <v>292.5865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IFERROR(__xludf.DUMMYFUNCTION("""COMPUTED_VALUE"""),281.589238)</f>
        <v>281.589238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IFERROR(__xludf.DUMMYFUNCTION("""COMPUTED_VALUE"""),287.807095)</f>
        <v>287.807095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IFERROR(__xludf.DUMMYFUNCTION("""COMPUTED_VALUE"""),283.625433)</f>
        <v>283.625433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IFERROR(__xludf.DUMMYFUNCTION("""COMPUTED_VALUE"""),290.129264)</f>
        <v>290.129264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IFERROR(__xludf.DUMMYFUNCTION("""COMPUTED_VALUE"""),290.017)</f>
        <v>290.017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IFERROR(__xludf.DUMMYFUNCTION("""COMPUTED_VALUE"""),288.9695105)</f>
        <v>288.9695105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IFERROR(__xludf.DUMMYFUNCTION("""COMPUTED_VALUE"""),289.681732)</f>
        <v>289.681732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IFERROR(__xludf.DUMMYFUNCTION("""COMPUTED_VALUE"""),289.7459113)</f>
        <v>289.7459113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IFERROR(__xludf.DUMMYFUNCTION("""COMPUTED_VALUE"""),287.716515)</f>
        <v>287.716515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IFERROR(__xludf.DUMMYFUNCTION("""COMPUTED_VALUE"""),290.472741)</f>
        <v>290.472741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IFERROR(__xludf.DUMMYFUNCTION("""COMPUTED_VALUE"""),289.251772)</f>
        <v>289.251772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IFERROR(__xludf.DUMMYFUNCTION("""COMPUTED_VALUE"""),288.578085)</f>
        <v>288.578085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IFERROR(__xludf.DUMMYFUNCTION("""COMPUTED_VALUE"""),292.093905)</f>
        <v>292.093905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IFERROR(__xludf.DUMMYFUNCTION("""COMPUTED_VALUE"""),288.4664)</f>
        <v>288.4664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IFERROR(__xludf.DUMMYFUNCTION("""COMPUTED_VALUE"""),288.686496)</f>
        <v>288.686496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IFERROR(__xludf.DUMMYFUNCTION("""COMPUTED_VALUE"""),290.6278411)</f>
        <v>290.6278411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IFERROR(__xludf.DUMMYFUNCTION("""COMPUTED_VALUE"""),290.6363607)</f>
        <v>290.6363607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IFERROR(__xludf.DUMMYFUNCTION("""COMPUTED_VALUE"""),287.53726)</f>
        <v>287.53726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IFERROR(__xludf.DUMMYFUNCTION("""COMPUTED_VALUE"""),285.80304)</f>
        <v>285.80304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IFERROR(__xludf.DUMMYFUNCTION("""COMPUTED_VALUE"""),278.394912)</f>
        <v>278.394912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IFERROR(__xludf.DUMMYFUNCTION("""COMPUTED_VALUE"""),286.2054)</f>
        <v>286.2054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IFERROR(__xludf.DUMMYFUNCTION("""COMPUTED_VALUE"""),286.40965)</f>
        <v>286.40965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IFERROR(__xludf.DUMMYFUNCTION("""COMPUTED_VALUE"""),288.0692128)</f>
        <v>288.0692128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IFERROR(__xludf.DUMMYFUNCTION("""COMPUTED_VALUE"""),281.983346)</f>
        <v>281.983346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IFERROR(__xludf.DUMMYFUNCTION("""COMPUTED_VALUE"""),290.0393)</f>
        <v>290.0393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IFERROR(__xludf.DUMMYFUNCTION("""COMPUTED_VALUE"""),288.788544)</f>
        <v>288.788544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IFERROR(__xludf.DUMMYFUNCTION("""COMPUTED_VALUE"""),287.5116)</f>
        <v>287.5116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IFERROR(__xludf.DUMMYFUNCTION("""COMPUTED_VALUE"""),285.8805)</f>
        <v>285.8805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IFERROR(__xludf.DUMMYFUNCTION("""COMPUTED_VALUE"""),285.3396)</f>
        <v>285.3396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IFERROR(__xludf.DUMMYFUNCTION("""COMPUTED_VALUE"""),286.1440203)</f>
        <v>286.1440203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IFERROR(__xludf.DUMMYFUNCTION("""COMPUTED_VALUE"""),287.82462)</f>
        <v>287.82462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IFERROR(__xludf.DUMMYFUNCTION("""COMPUTED_VALUE"""),288.2504)</f>
        <v>288.2504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IFERROR(__xludf.DUMMYFUNCTION("""COMPUTED_VALUE"""),289.5769)</f>
        <v>289.5769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IFERROR(__xludf.DUMMYFUNCTION("""COMPUTED_VALUE"""),287.7675)</f>
        <v>287.7675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IFERROR(__xludf.DUMMYFUNCTION("""COMPUTED_VALUE"""),285.0492)</f>
        <v>285.0492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IFERROR(__xludf.DUMMYFUNCTION("""COMPUTED_VALUE"""),284.26106)</f>
        <v>284.26106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IFERROR(__xludf.DUMMYFUNCTION("""COMPUTED_VALUE"""),285.5059164)</f>
        <v>285.5059164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IFERROR(__xludf.DUMMYFUNCTION("""COMPUTED_VALUE"""),284.644872)</f>
        <v>284.644872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IFERROR(__xludf.DUMMYFUNCTION("""COMPUTED_VALUE"""),284.9794)</f>
        <v>284.9794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IFERROR(__xludf.DUMMYFUNCTION("""COMPUTED_VALUE"""),284.115474)</f>
        <v>284.115474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IFERROR(__xludf.DUMMYFUNCTION("""COMPUTED_VALUE"""),278.5473)</f>
        <v>278.5473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IFERROR(__xludf.DUMMYFUNCTION("""COMPUTED_VALUE"""),282.83546)</f>
        <v>282.83546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IFERROR(__xludf.DUMMYFUNCTION("""COMPUTED_VALUE"""),278.1256)</f>
        <v>278.1256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IFERROR(__xludf.DUMMYFUNCTION("""COMPUTED_VALUE"""),278.3856233)</f>
        <v>278.3856233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IFERROR(__xludf.DUMMYFUNCTION("""COMPUTED_VALUE"""),283.656)</f>
        <v>283.656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IFERROR(__xludf.DUMMYFUNCTION("""COMPUTED_VALUE"""),284.68524)</f>
        <v>284.68524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IFERROR(__xludf.DUMMYFUNCTION("""COMPUTED_VALUE"""),288.895152)</f>
        <v>288.895152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IFERROR(__xludf.DUMMYFUNCTION("""COMPUTED_VALUE"""),285.549498)</f>
        <v>285.549498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IFERROR(__xludf.DUMMYFUNCTION("""COMPUTED_VALUE"""),289.158833)</f>
        <v>289.158833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IFERROR(__xludf.DUMMYFUNCTION("""COMPUTED_VALUE"""),283.42032)</f>
        <v>283.42032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IFERROR(__xludf.DUMMYFUNCTION("""COMPUTED_VALUE"""),285.418539)</f>
        <v>285.418539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IFERROR(__xludf.DUMMYFUNCTION("""COMPUTED_VALUE"""),282.34884)</f>
        <v>282.34884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IFERROR(__xludf.DUMMYFUNCTION("""COMPUTED_VALUE"""),290.025551)</f>
        <v>290.025551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IFERROR(__xludf.DUMMYFUNCTION("""COMPUTED_VALUE"""),288.5274)</f>
        <v>288.5274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IFERROR(__xludf.DUMMYFUNCTION("""COMPUTED_VALUE"""),288.742124)</f>
        <v>288.742124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IFERROR(__xludf.DUMMYFUNCTION("""COMPUTED_VALUE"""),290.561836)</f>
        <v>290.561836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IFERROR(__xludf.DUMMYFUNCTION("""COMPUTED_VALUE"""),288.556192)</f>
        <v>288.556192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IFERROR(__xludf.DUMMYFUNCTION("""COMPUTED_VALUE"""),290.3138733)</f>
        <v>290.3138733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IFERROR(__xludf.DUMMYFUNCTION("""COMPUTED_VALUE"""),290.00352)</f>
        <v>290.00352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IFERROR(__xludf.DUMMYFUNCTION("""COMPUTED_VALUE"""),288.8855)</f>
        <v>288.8855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IFERROR(__xludf.DUMMYFUNCTION("""COMPUTED_VALUE"""),288.02781)</f>
        <v>288.02781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IFERROR(__xludf.DUMMYFUNCTION("""COMPUTED_VALUE"""),289.5432)</f>
        <v>289.5432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IFERROR(__xludf.DUMMYFUNCTION("""COMPUTED_VALUE"""),289.9281)</f>
        <v>289.9281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IFERROR(__xludf.DUMMYFUNCTION("""COMPUTED_VALUE"""),289.83845)</f>
        <v>289.83845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IFERROR(__xludf.DUMMYFUNCTION("""COMPUTED_VALUE"""),284.5491)</f>
        <v>284.5491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IFERROR(__xludf.DUMMYFUNCTION("""COMPUTED_VALUE"""),291.03546)</f>
        <v>291.03546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IFERROR(__xludf.DUMMYFUNCTION("""COMPUTED_VALUE"""),291.71516)</f>
        <v>291.71516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IFERROR(__xludf.DUMMYFUNCTION("""COMPUTED_VALUE"""),289.5999)</f>
        <v>289.5999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IFERROR(__xludf.DUMMYFUNCTION("""COMPUTED_VALUE"""),291.0418)</f>
        <v>291.0418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IFERROR(__xludf.DUMMYFUNCTION("""COMPUTED_VALUE"""),291.78723)</f>
        <v>291.78723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IFERROR(__xludf.DUMMYFUNCTION("""COMPUTED_VALUE"""),291.325176)</f>
        <v>291.325176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IFERROR(__xludf.DUMMYFUNCTION("""COMPUTED_VALUE"""),288.181056)</f>
        <v>288.181056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IFERROR(__xludf.DUMMYFUNCTION("""COMPUTED_VALUE"""),291.487284)</f>
        <v>291.487284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IFERROR(__xludf.DUMMYFUNCTION("""COMPUTED_VALUE"""),293.8362)</f>
        <v>293.8362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IFERROR(__xludf.DUMMYFUNCTION("""COMPUTED_VALUE"""),295.8792)</f>
        <v>295.8792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IFERROR(__xludf.DUMMYFUNCTION("""COMPUTED_VALUE"""),298.32)</f>
        <v>298.32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IFERROR(__xludf.DUMMYFUNCTION("""COMPUTED_VALUE"""),297.7776)</f>
        <v>297.7776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IFERROR(__xludf.DUMMYFUNCTION("""COMPUTED_VALUE"""),297.148446)</f>
        <v>297.148446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IFERROR(__xludf.DUMMYFUNCTION("""COMPUTED_VALUE"""),299.0027153)</f>
        <v>299.0027153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IFERROR(__xludf.DUMMYFUNCTION("""COMPUTED_VALUE"""),299.1903)</f>
        <v>299.1903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IFERROR(__xludf.DUMMYFUNCTION("""COMPUTED_VALUE"""),296.8048)</f>
        <v>296.8048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IFERROR(__xludf.DUMMYFUNCTION("""COMPUTED_VALUE"""),295.528)</f>
        <v>295.528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IFERROR(__xludf.DUMMYFUNCTION("""COMPUTED_VALUE"""),296.55125)</f>
        <v>296.55125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IFERROR(__xludf.DUMMYFUNCTION("""COMPUTED_VALUE"""),296.0985)</f>
        <v>296.0985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IFERROR(__xludf.DUMMYFUNCTION("""COMPUTED_VALUE"""),290.57495)</f>
        <v>290.57495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IFERROR(__xludf.DUMMYFUNCTION("""COMPUTED_VALUE"""),295.9174)</f>
        <v>295.9174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IFERROR(__xludf.DUMMYFUNCTION("""COMPUTED_VALUE"""),296.90154)</f>
        <v>296.90154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IFERROR(__xludf.DUMMYFUNCTION("""COMPUTED_VALUE"""),295.78175)</f>
        <v>295.78175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IFERROR(__xludf.DUMMYFUNCTION("""COMPUTED_VALUE"""),295.4442)</f>
        <v>295.4442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IFERROR(__xludf.DUMMYFUNCTION("""COMPUTED_VALUE"""),297.64245)</f>
        <v>297.64245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IFERROR(__xludf.DUMMYFUNCTION("""COMPUTED_VALUE"""),297.7335)</f>
        <v>297.7335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IFERROR(__xludf.DUMMYFUNCTION("""COMPUTED_VALUE"""),299.176551)</f>
        <v>299.176551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IFERROR(__xludf.DUMMYFUNCTION("""COMPUTED_VALUE"""),298.631115)</f>
        <v>298.631115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IFERROR(__xludf.DUMMYFUNCTION("""COMPUTED_VALUE"""),298.19245)</f>
        <v>298.19245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IFERROR(__xludf.DUMMYFUNCTION("""COMPUTED_VALUE"""),297.82713)</f>
        <v>297.82713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IFERROR(__xludf.DUMMYFUNCTION("""COMPUTED_VALUE"""),297.15609)</f>
        <v>297.15609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IFERROR(__xludf.DUMMYFUNCTION("""COMPUTED_VALUE"""),297.70587)</f>
        <v>297.70587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IFERROR(__xludf.DUMMYFUNCTION("""COMPUTED_VALUE"""),296.023)</f>
        <v>296.023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IFERROR(__xludf.DUMMYFUNCTION("""COMPUTED_VALUE"""),295.570833)</f>
        <v>295.570833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IFERROR(__xludf.DUMMYFUNCTION("""COMPUTED_VALUE"""),296.7648)</f>
        <v>296.7648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IFERROR(__xludf.DUMMYFUNCTION("""COMPUTED_VALUE"""),296.5305)</f>
        <v>296.5305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IFERROR(__xludf.DUMMYFUNCTION("""COMPUTED_VALUE"""),296.6638)</f>
        <v>296.6638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IFERROR(__xludf.DUMMYFUNCTION("""COMPUTED_VALUE"""),297.12105)</f>
        <v>297.12105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IFERROR(__xludf.DUMMYFUNCTION("""COMPUTED_VALUE"""),299.2812)</f>
        <v>299.2812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IFERROR(__xludf.DUMMYFUNCTION("""COMPUTED_VALUE"""),297.12105)</f>
        <v>297.12105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IFERROR(__xludf.DUMMYFUNCTION("""COMPUTED_VALUE"""),286.128225)</f>
        <v>286.128225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IFERROR(__xludf.DUMMYFUNCTION("""COMPUTED_VALUE"""),292.5255)</f>
        <v>292.5255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IFERROR(__xludf.DUMMYFUNCTION("""COMPUTED_VALUE"""),298.1985)</f>
        <v>298.1985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IFERROR(__xludf.DUMMYFUNCTION("""COMPUTED_VALUE"""),297.6495)</f>
        <v>297.6495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IFERROR(__xludf.DUMMYFUNCTION("""COMPUTED_VALUE"""),296.7345)</f>
        <v>296.7345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IFERROR(__xludf.DUMMYFUNCTION("""COMPUTED_VALUE"""),296.1855)</f>
        <v>296.1855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IFERROR(__xludf.DUMMYFUNCTION("""COMPUTED_VALUE"""),295.3968)</f>
        <v>295.3968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IFERROR(__xludf.DUMMYFUNCTION("""COMPUTED_VALUE"""),295.2288)</f>
        <v>295.2288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IFERROR(__xludf.DUMMYFUNCTION("""COMPUTED_VALUE"""),297.7084969)</f>
        <v>297.7084969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IFERROR(__xludf.DUMMYFUNCTION("""COMPUTED_VALUE"""),296.06146)</f>
        <v>296.06146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IFERROR(__xludf.DUMMYFUNCTION("""COMPUTED_VALUE"""),295.5496)</f>
        <v>295.5496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IFERROR(__xludf.DUMMYFUNCTION("""COMPUTED_VALUE"""),294.26526)</f>
        <v>294.26526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IFERROR(__xludf.DUMMYFUNCTION("""COMPUTED_VALUE"""),292.80955)</f>
        <v>292.80955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IFERROR(__xludf.DUMMYFUNCTION("""COMPUTED_VALUE"""),297.255231)</f>
        <v>297.255231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IFERROR(__xludf.DUMMYFUNCTION("""COMPUTED_VALUE"""),287.261376)</f>
        <v>287.261376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IFERROR(__xludf.DUMMYFUNCTION("""COMPUTED_VALUE"""),287.72195)</f>
        <v>287.72195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IFERROR(__xludf.DUMMYFUNCTION("""COMPUTED_VALUE"""),290.377095)</f>
        <v>290.377095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IFERROR(__xludf.DUMMYFUNCTION("""COMPUTED_VALUE"""),295.42121)</f>
        <v>295.42121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IFERROR(__xludf.DUMMYFUNCTION("""COMPUTED_VALUE"""),296.33611)</f>
        <v>296.33611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IFERROR(__xludf.DUMMYFUNCTION("""COMPUTED_VALUE"""),297.43399)</f>
        <v>297.43399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IFERROR(__xludf.DUMMYFUNCTION("""COMPUTED_VALUE"""),295.8729)</f>
        <v>295.8729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IFERROR(__xludf.DUMMYFUNCTION("""COMPUTED_VALUE"""),286.223973)</f>
        <v>286.223973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IFERROR(__xludf.DUMMYFUNCTION("""COMPUTED_VALUE"""),289.553616)</f>
        <v>289.553616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IFERROR(__xludf.DUMMYFUNCTION("""COMPUTED_VALUE"""),297.26285)</f>
        <v>297.26285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IFERROR(__xludf.DUMMYFUNCTION("""COMPUTED_VALUE"""),297.07975)</f>
        <v>297.07975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IFERROR(__xludf.DUMMYFUNCTION("""COMPUTED_VALUE"""),296.34735)</f>
        <v>296.34735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IFERROR(__xludf.DUMMYFUNCTION("""COMPUTED_VALUE"""),296.1319)</f>
        <v>296.1319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IFERROR(__xludf.DUMMYFUNCTION("""COMPUTED_VALUE"""),295.85728)</f>
        <v>295.85728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IFERROR(__xludf.DUMMYFUNCTION("""COMPUTED_VALUE"""),297.3321062)</f>
        <v>297.3321062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IFERROR(__xludf.DUMMYFUNCTION("""COMPUTED_VALUE"""),295.158636)</f>
        <v>295.158636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IFERROR(__xludf.DUMMYFUNCTION("""COMPUTED_VALUE"""),295.59838)</f>
        <v>295.59838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IFERROR(__xludf.DUMMYFUNCTION("""COMPUTED_VALUE"""),296.14816)</f>
        <v>296.14816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IFERROR(__xludf.DUMMYFUNCTION("""COMPUTED_VALUE"""),295.78164)</f>
        <v>295.78164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IFERROR(__xludf.DUMMYFUNCTION("""COMPUTED_VALUE"""),296.402379)</f>
        <v>296.402379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IFERROR(__xludf.DUMMYFUNCTION("""COMPUTED_VALUE"""),298.5489855)</f>
        <v>298.5489855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IFERROR(__xludf.DUMMYFUNCTION("""COMPUTED_VALUE"""),298.0698376)</f>
        <v>298.0698376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IFERROR(__xludf.DUMMYFUNCTION("""COMPUTED_VALUE"""),298.273317)</f>
        <v>298.273317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IFERROR(__xludf.DUMMYFUNCTION("""COMPUTED_VALUE"""),298.484063)</f>
        <v>298.484063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IFERROR(__xludf.DUMMYFUNCTION("""COMPUTED_VALUE"""),296.946)</f>
        <v>296.946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IFERROR(__xludf.DUMMYFUNCTION("""COMPUTED_VALUE"""),296.12115)</f>
        <v>296.12115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IFERROR(__xludf.DUMMYFUNCTION("""COMPUTED_VALUE"""),296.9272845)</f>
        <v>296.9272845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IFERROR(__xludf.DUMMYFUNCTION("""COMPUTED_VALUE"""),285.686401)</f>
        <v>285.686401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IFERROR(__xludf.DUMMYFUNCTION("""COMPUTED_VALUE"""),283.461308)</f>
        <v>283.461308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IFERROR(__xludf.DUMMYFUNCTION("""COMPUTED_VALUE"""),295.5491)</f>
        <v>295.5491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IFERROR(__xludf.DUMMYFUNCTION("""COMPUTED_VALUE"""),295.23686)</f>
        <v>295.23686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IFERROR(__xludf.DUMMYFUNCTION("""COMPUTED_VALUE"""),295.64517)</f>
        <v>295.64517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IFERROR(__xludf.DUMMYFUNCTION("""COMPUTED_VALUE"""),294.1736)</f>
        <v>294.1736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IFERROR(__xludf.DUMMYFUNCTION("""COMPUTED_VALUE"""),293.94783)</f>
        <v>293.94783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IFERROR(__xludf.DUMMYFUNCTION("""COMPUTED_VALUE"""),293.835795)</f>
        <v>293.835795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IFERROR(__xludf.DUMMYFUNCTION("""COMPUTED_VALUE"""),287.2311)</f>
        <v>287.2311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IFERROR(__xludf.DUMMYFUNCTION("""COMPUTED_VALUE"""),294.41506)</f>
        <v>294.41506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IFERROR(__xludf.DUMMYFUNCTION("""COMPUTED_VALUE"""),294.2303)</f>
        <v>294.2303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IFERROR(__xludf.DUMMYFUNCTION("""COMPUTED_VALUE"""),294.13792)</f>
        <v>294.13792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IFERROR(__xludf.DUMMYFUNCTION("""COMPUTED_VALUE"""),293.37711)</f>
        <v>293.37711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IFERROR(__xludf.DUMMYFUNCTION("""COMPUTED_VALUE"""),292.73172)</f>
        <v>292.73172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IFERROR(__xludf.DUMMYFUNCTION("""COMPUTED_VALUE"""),286.04736)</f>
        <v>286.04736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IFERROR(__xludf.DUMMYFUNCTION("""COMPUTED_VALUE"""),294.6196391)</f>
        <v>294.6196391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IFERROR(__xludf.DUMMYFUNCTION("""COMPUTED_VALUE"""),294.94413)</f>
        <v>294.94413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IFERROR(__xludf.DUMMYFUNCTION("""COMPUTED_VALUE"""),292.878)</f>
        <v>292.878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IFERROR(__xludf.DUMMYFUNCTION("""COMPUTED_VALUE"""),293.47605)</f>
        <v>293.47605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IFERROR(__xludf.DUMMYFUNCTION("""COMPUTED_VALUE"""),292.55055)</f>
        <v>292.55055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IFERROR(__xludf.DUMMYFUNCTION("""COMPUTED_VALUE"""),292.2181)</f>
        <v>292.2181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IFERROR(__xludf.DUMMYFUNCTION("""COMPUTED_VALUE"""),293.6684984)</f>
        <v>293.6684984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IFERROR(__xludf.DUMMYFUNCTION("""COMPUTED_VALUE"""),287.4465775)</f>
        <v>287.4465775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IFERROR(__xludf.DUMMYFUNCTION("""COMPUTED_VALUE"""),292.86665)</f>
        <v>292.86665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IFERROR(__xludf.DUMMYFUNCTION("""COMPUTED_VALUE"""),294.8739)</f>
        <v>294.8739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IFERROR(__xludf.DUMMYFUNCTION("""COMPUTED_VALUE"""),294.6271)</f>
        <v>294.6271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IFERROR(__xludf.DUMMYFUNCTION("""COMPUTED_VALUE"""),294.375)</f>
        <v>294.375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IFERROR(__xludf.DUMMYFUNCTION("""COMPUTED_VALUE"""),296.0625)</f>
        <v>296.0625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IFERROR(__xludf.DUMMYFUNCTION("""COMPUTED_VALUE"""),297.4552092)</f>
        <v>297.4552092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IFERROR(__xludf.DUMMYFUNCTION("""COMPUTED_VALUE"""),290.635452)</f>
        <v>290.635452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IFERROR(__xludf.DUMMYFUNCTION("""COMPUTED_VALUE"""),297.9375)</f>
        <v>297.9375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IFERROR(__xludf.DUMMYFUNCTION("""COMPUTED_VALUE"""),296.3448)</f>
        <v>296.3448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IFERROR(__xludf.DUMMYFUNCTION("""COMPUTED_VALUE"""),294.3885)</f>
        <v>294.3885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IFERROR(__xludf.DUMMYFUNCTION("""COMPUTED_VALUE"""),295.52445)</f>
        <v>295.52445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IFERROR(__xludf.DUMMYFUNCTION("""COMPUTED_VALUE"""),295.1208)</f>
        <v>295.1208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IFERROR(__xludf.DUMMYFUNCTION("""COMPUTED_VALUE"""),284.864937)</f>
        <v>284.864937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IFERROR(__xludf.DUMMYFUNCTION("""COMPUTED_VALUE"""),294.9689785)</f>
        <v>294.9689785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IFERROR(__xludf.DUMMYFUNCTION("""COMPUTED_VALUE"""),295.7514)</f>
        <v>295.7514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IFERROR(__xludf.DUMMYFUNCTION("""COMPUTED_VALUE"""),297.9504)</f>
        <v>297.9504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IFERROR(__xludf.DUMMYFUNCTION("""COMPUTED_VALUE"""),297.4457)</f>
        <v>297.4457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IFERROR(__xludf.DUMMYFUNCTION("""COMPUTED_VALUE"""),298.0094)</f>
        <v>298.0094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IFERROR(__xludf.DUMMYFUNCTION("""COMPUTED_VALUE"""),296.77685)</f>
        <v>296.77685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IFERROR(__xludf.DUMMYFUNCTION("""COMPUTED_VALUE"""),290.12746)</f>
        <v>290.12746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IFERROR(__xludf.DUMMYFUNCTION("""COMPUTED_VALUE"""),301.3409942)</f>
        <v>301.3409942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IFERROR(__xludf.DUMMYFUNCTION("""COMPUTED_VALUE"""),297.000702)</f>
        <v>297.000702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IFERROR(__xludf.DUMMYFUNCTION("""COMPUTED_VALUE"""),298.337956)</f>
        <v>298.337956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IFERROR(__xludf.DUMMYFUNCTION("""COMPUTED_VALUE"""),297.390801)</f>
        <v>297.390801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IFERROR(__xludf.DUMMYFUNCTION("""COMPUTED_VALUE"""),295.250859)</f>
        <v>295.250859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IFERROR(__xludf.DUMMYFUNCTION("""COMPUTED_VALUE"""),295.47407)</f>
        <v>295.47407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IFERROR(__xludf.DUMMYFUNCTION("""COMPUTED_VALUE"""),288.17393)</f>
        <v>288.17393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IFERROR(__xludf.DUMMYFUNCTION("""COMPUTED_VALUE"""),295.4865595)</f>
        <v>295.4865595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IFERROR(__xludf.DUMMYFUNCTION("""COMPUTED_VALUE"""),295.4897)</f>
        <v>295.4897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IFERROR(__xludf.DUMMYFUNCTION("""COMPUTED_VALUE"""),295.668484)</f>
        <v>295.668484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IFERROR(__xludf.DUMMYFUNCTION("""COMPUTED_VALUE"""),295.251264)</f>
        <v>295.251264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IFERROR(__xludf.DUMMYFUNCTION("""COMPUTED_VALUE"""),295.14771)</f>
        <v>295.14771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IFERROR(__xludf.DUMMYFUNCTION("""COMPUTED_VALUE"""),296.21616)</f>
        <v>296.21616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IFERROR(__xludf.DUMMYFUNCTION("""COMPUTED_VALUE"""),291.3448)</f>
        <v>291.3448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IFERROR(__xludf.DUMMYFUNCTION("""COMPUTED_VALUE"""),292.7495025)</f>
        <v>292.7495025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IFERROR(__xludf.DUMMYFUNCTION("""COMPUTED_VALUE"""),296.9545425)</f>
        <v>296.9545425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IFERROR(__xludf.DUMMYFUNCTION("""COMPUTED_VALUE"""),296.252892)</f>
        <v>296.252892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IFERROR(__xludf.DUMMYFUNCTION("""COMPUTED_VALUE"""),296.014212)</f>
        <v>296.014212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IFERROR(__xludf.DUMMYFUNCTION("""COMPUTED_VALUE"""),296.126386)</f>
        <v>296.126386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IFERROR(__xludf.DUMMYFUNCTION("""COMPUTED_VALUE"""),297.48303)</f>
        <v>297.48303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IFERROR(__xludf.DUMMYFUNCTION("""COMPUTED_VALUE"""),285.932656)</f>
        <v>285.932656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IFERROR(__xludf.DUMMYFUNCTION("""COMPUTED_VALUE"""),289.9622845)</f>
        <v>289.9622845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IFERROR(__xludf.DUMMYFUNCTION("""COMPUTED_VALUE"""),295.632384)</f>
        <v>295.632384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IFERROR(__xludf.DUMMYFUNCTION("""COMPUTED_VALUE"""),296.0559)</f>
        <v>296.0559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IFERROR(__xludf.DUMMYFUNCTION("""COMPUTED_VALUE"""),295.59915)</f>
        <v>295.59915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IFERROR(__xludf.DUMMYFUNCTION("""COMPUTED_VALUE"""),295.706304)</f>
        <v>295.706304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IFERROR(__xludf.DUMMYFUNCTION("""COMPUTED_VALUE"""),297.20142)</f>
        <v>297.20142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IFERROR(__xludf.DUMMYFUNCTION("""COMPUTED_VALUE"""),297.20142)</f>
        <v>297.20142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IFERROR(__xludf.DUMMYFUNCTION("""COMPUTED_VALUE"""),298.9583027)</f>
        <v>298.9583027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IFERROR(__xludf.DUMMYFUNCTION("""COMPUTED_VALUE"""),297.869886)</f>
        <v>297.869886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IFERROR(__xludf.DUMMYFUNCTION("""COMPUTED_VALUE"""),297.726072)</f>
        <v>297.726072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IFERROR(__xludf.DUMMYFUNCTION("""COMPUTED_VALUE"""),296.88688)</f>
        <v>296.88688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IFERROR(__xludf.DUMMYFUNCTION("""COMPUTED_VALUE"""),297.382544)</f>
        <v>297.382544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IFERROR(__xludf.DUMMYFUNCTION("""COMPUTED_VALUE"""),297.17025)</f>
        <v>297.17025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IFERROR(__xludf.DUMMYFUNCTION("""COMPUTED_VALUE"""),289.913)</f>
        <v>289.913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IFERROR(__xludf.DUMMYFUNCTION("""COMPUTED_VALUE"""),290.6160835)</f>
        <v>290.6160835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IFERROR(__xludf.DUMMYFUNCTION("""COMPUTED_VALUE"""),297.3272)</f>
        <v>297.3272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IFERROR(__xludf.DUMMYFUNCTION("""COMPUTED_VALUE"""),296.548336)</f>
        <v>296.548336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IFERROR(__xludf.DUMMYFUNCTION("""COMPUTED_VALUE"""),298.446995)</f>
        <v>298.446995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IFERROR(__xludf.DUMMYFUNCTION("""COMPUTED_VALUE"""),298.795958)</f>
        <v>298.795958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IFERROR(__xludf.DUMMYFUNCTION("""COMPUTED_VALUE"""),299.1196)</f>
        <v>299.1196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IFERROR(__xludf.DUMMYFUNCTION("""COMPUTED_VALUE"""),300.5686891)</f>
        <v>300.5686891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IFERROR(__xludf.DUMMYFUNCTION("""COMPUTED_VALUE"""),293.0844)</f>
        <v>293.0844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IFERROR(__xludf.DUMMYFUNCTION("""COMPUTED_VALUE"""),298.17536)</f>
        <v>298.17536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IFERROR(__xludf.DUMMYFUNCTION("""COMPUTED_VALUE"""),298.718912)</f>
        <v>298.718912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IFERROR(__xludf.DUMMYFUNCTION("""COMPUTED_VALUE"""),297.814664)</f>
        <v>297.814664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IFERROR(__xludf.DUMMYFUNCTION("""COMPUTED_VALUE"""),298.16496)</f>
        <v>298.16496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IFERROR(__xludf.DUMMYFUNCTION("""COMPUTED_VALUE"""),298.87095)</f>
        <v>298.87095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IFERROR(__xludf.DUMMYFUNCTION("""COMPUTED_VALUE"""),295.18717)</f>
        <v>295.18717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IFERROR(__xludf.DUMMYFUNCTION("""COMPUTED_VALUE"""),297.1536991)</f>
        <v>297.1536991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IFERROR(__xludf.DUMMYFUNCTION("""COMPUTED_VALUE"""),299.63972)</f>
        <v>299.63972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IFERROR(__xludf.DUMMYFUNCTION("""COMPUTED_VALUE"""),300.3884)</f>
        <v>300.3884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IFERROR(__xludf.DUMMYFUNCTION("""COMPUTED_VALUE"""),299.528027)</f>
        <v>299.528027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IFERROR(__xludf.DUMMYFUNCTION("""COMPUTED_VALUE"""),299.559757)</f>
        <v>299.559757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IFERROR(__xludf.DUMMYFUNCTION("""COMPUTED_VALUE"""),300.266974)</f>
        <v>300.266974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IFERROR(__xludf.DUMMYFUNCTION("""COMPUTED_VALUE"""),294.55548)</f>
        <v>294.55548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IFERROR(__xludf.DUMMYFUNCTION("""COMPUTED_VALUE"""),295.2225675)</f>
        <v>295.2225675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IFERROR(__xludf.DUMMYFUNCTION("""COMPUTED_VALUE"""),300.271744)</f>
        <v>300.271744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IFERROR(__xludf.DUMMYFUNCTION("""COMPUTED_VALUE"""),300.009654)</f>
        <v>300.009654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IFERROR(__xludf.DUMMYFUNCTION("""COMPUTED_VALUE"""),300.312272)</f>
        <v>300.312272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IFERROR(__xludf.DUMMYFUNCTION("""COMPUTED_VALUE"""),300.137243)</f>
        <v>300.137243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IFERROR(__xludf.DUMMYFUNCTION("""COMPUTED_VALUE"""),300.0405)</f>
        <v>300.0405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IFERROR(__xludf.DUMMYFUNCTION("""COMPUTED_VALUE"""),300.0405)</f>
        <v>300.0405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IFERROR(__xludf.DUMMYFUNCTION("""COMPUTED_VALUE"""),294.568048)</f>
        <v>294.568048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IFERROR(__xludf.DUMMYFUNCTION("""COMPUTED_VALUE"""),299.86298)</f>
        <v>299.86298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IFERROR(__xludf.DUMMYFUNCTION("""COMPUTED_VALUE"""),303.35325)</f>
        <v>303.35325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IFERROR(__xludf.DUMMYFUNCTION("""COMPUTED_VALUE"""),303.317995)</f>
        <v>303.317995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IFERROR(__xludf.DUMMYFUNCTION("""COMPUTED_VALUE"""),303.4548)</f>
        <v>303.4548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IFERROR(__xludf.DUMMYFUNCTION("""COMPUTED_VALUE"""),297.198)</f>
        <v>297.198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IFERROR(__xludf.DUMMYFUNCTION("""COMPUTED_VALUE"""),298.9513676)</f>
        <v>298.9513676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IFERROR(__xludf.DUMMYFUNCTION("""COMPUTED_VALUE"""),302.85605)</f>
        <v>302.85605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IFERROR(__xludf.DUMMYFUNCTION("""COMPUTED_VALUE"""),303.681555)</f>
        <v>303.681555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IFERROR(__xludf.DUMMYFUNCTION("""COMPUTED_VALUE"""),303.395584)</f>
        <v>303.395584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IFERROR(__xludf.DUMMYFUNCTION("""COMPUTED_VALUE"""),302.849718)</f>
        <v>302.849718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IFERROR(__xludf.DUMMYFUNCTION("""COMPUTED_VALUE"""),303.2739)</f>
        <v>303.2739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IFERROR(__xludf.DUMMYFUNCTION("""COMPUTED_VALUE"""),297.0924)</f>
        <v>297.0924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IFERROR(__xludf.DUMMYFUNCTION("""COMPUTED_VALUE"""),297.9671875)</f>
        <v>297.9671875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IFERROR(__xludf.DUMMYFUNCTION("""COMPUTED_VALUE"""),304.271055)</f>
        <v>304.271055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IFERROR(__xludf.DUMMYFUNCTION("""COMPUTED_VALUE"""),305.690436)</f>
        <v>305.690436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IFERROR(__xludf.DUMMYFUNCTION("""COMPUTED_VALUE"""),304.917576)</f>
        <v>304.917576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IFERROR(__xludf.DUMMYFUNCTION("""COMPUTED_VALUE"""),305.498196)</f>
        <v>305.498196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IFERROR(__xludf.DUMMYFUNCTION("""COMPUTED_VALUE"""),307.06265)</f>
        <v>307.06265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IFERROR(__xludf.DUMMYFUNCTION("""COMPUTED_VALUE"""),302.669068)</f>
        <v>302.669068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IFERROR(__xludf.DUMMYFUNCTION("""COMPUTED_VALUE"""),304.6153651)</f>
        <v>304.6153651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IFERROR(__xludf.DUMMYFUNCTION("""COMPUTED_VALUE"""),306.786879)</f>
        <v>306.786879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IFERROR(__xludf.DUMMYFUNCTION("""COMPUTED_VALUE"""),307.346901)</f>
        <v>307.346901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IFERROR(__xludf.DUMMYFUNCTION("""COMPUTED_VALUE"""),307.317582)</f>
        <v>307.317582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IFERROR(__xludf.DUMMYFUNCTION("""COMPUTED_VALUE"""),308.906915)</f>
        <v>308.906915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IFERROR(__xludf.DUMMYFUNCTION("""COMPUTED_VALUE"""),307.626)</f>
        <v>307.626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IFERROR(__xludf.DUMMYFUNCTION("""COMPUTED_VALUE"""),297.554381)</f>
        <v>297.554381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IFERROR(__xludf.DUMMYFUNCTION("""COMPUTED_VALUE"""),308.8974572)</f>
        <v>308.8974572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IFERROR(__xludf.DUMMYFUNCTION("""COMPUTED_VALUE"""),305.739735)</f>
        <v>305.739735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IFERROR(__xludf.DUMMYFUNCTION("""COMPUTED_VALUE"""),307.127628)</f>
        <v>307.127628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IFERROR(__xludf.DUMMYFUNCTION("""COMPUTED_VALUE"""),308.367141)</f>
        <v>308.367141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IFERROR(__xludf.DUMMYFUNCTION("""COMPUTED_VALUE"""),307.975894)</f>
        <v>307.975894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IFERROR(__xludf.DUMMYFUNCTION("""COMPUTED_VALUE"""),308.6384)</f>
        <v>308.6384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IFERROR(__xludf.DUMMYFUNCTION("""COMPUTED_VALUE"""),302.26)</f>
        <v>302.26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IFERROR(__xludf.DUMMYFUNCTION("""COMPUTED_VALUE"""),303.8314156)</f>
        <v>303.8314156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IFERROR(__xludf.DUMMYFUNCTION("""COMPUTED_VALUE"""),308.119488)</f>
        <v>308.119488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IFERROR(__xludf.DUMMYFUNCTION("""COMPUTED_VALUE"""),308.34226)</f>
        <v>308.34226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IFERROR(__xludf.DUMMYFUNCTION("""COMPUTED_VALUE"""),307.69032)</f>
        <v>307.69032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IFERROR(__xludf.DUMMYFUNCTION("""COMPUTED_VALUE"""),309.118908)</f>
        <v>309.118908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IFERROR(__xludf.DUMMYFUNCTION("""COMPUTED_VALUE"""),309.258)</f>
        <v>309.258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IFERROR(__xludf.DUMMYFUNCTION("""COMPUTED_VALUE"""),302.1947)</f>
        <v>302.1947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IFERROR(__xludf.DUMMYFUNCTION("""COMPUTED_VALUE"""),302.601819)</f>
        <v>302.601819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IFERROR(__xludf.DUMMYFUNCTION("""COMPUTED_VALUE"""),310.104735)</f>
        <v>310.104735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IFERROR(__xludf.DUMMYFUNCTION("""COMPUTED_VALUE"""),310.78954)</f>
        <v>310.78954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IFERROR(__xludf.DUMMYFUNCTION("""COMPUTED_VALUE"""),311.617899)</f>
        <v>311.617899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IFERROR(__xludf.DUMMYFUNCTION("""COMPUTED_VALUE"""),312.463284)</f>
        <v>312.463284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IFERROR(__xludf.DUMMYFUNCTION("""COMPUTED_VALUE"""),312.64716)</f>
        <v>312.64716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IFERROR(__xludf.DUMMYFUNCTION("""COMPUTED_VALUE"""),314.4230568)</f>
        <v>314.4230568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IFERROR(__xludf.DUMMYFUNCTION("""COMPUTED_VALUE"""),301.97112)</f>
        <v>301.97112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IFERROR(__xludf.DUMMYFUNCTION("""COMPUTED_VALUE"""),311.790732)</f>
        <v>311.790732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IFERROR(__xludf.DUMMYFUNCTION("""COMPUTED_VALUE"""),311.394072)</f>
        <v>311.394072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IFERROR(__xludf.DUMMYFUNCTION("""COMPUTED_VALUE"""),310.880126)</f>
        <v>310.880126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IFERROR(__xludf.DUMMYFUNCTION("""COMPUTED_VALUE"""),310.890414)</f>
        <v>310.890414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IFERROR(__xludf.DUMMYFUNCTION("""COMPUTED_VALUE"""),311.4278)</f>
        <v>311.4278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IFERROR(__xludf.DUMMYFUNCTION("""COMPUTED_VALUE"""),305.12282)</f>
        <v>305.12282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IFERROR(__xludf.DUMMYFUNCTION("""COMPUTED_VALUE"""),305.712204)</f>
        <v>305.712204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IFERROR(__xludf.DUMMYFUNCTION("""COMPUTED_VALUE"""),311.19753)</f>
        <v>311.19753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IFERROR(__xludf.DUMMYFUNCTION("""COMPUTED_VALUE"""),311.608116)</f>
        <v>311.608116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IFERROR(__xludf.DUMMYFUNCTION("""COMPUTED_VALUE"""),311.39289)</f>
        <v>311.39289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IFERROR(__xludf.DUMMYFUNCTION("""COMPUTED_VALUE"""),311.349658)</f>
        <v>311.349658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IFERROR(__xludf.DUMMYFUNCTION("""COMPUTED_VALUE"""),311.53408)</f>
        <v>311.53408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IFERROR(__xludf.DUMMYFUNCTION("""COMPUTED_VALUE"""),304.60703)</f>
        <v>304.60703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IFERROR(__xludf.DUMMYFUNCTION("""COMPUTED_VALUE"""),305.615457)</f>
        <v>305.615457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IFERROR(__xludf.DUMMYFUNCTION("""COMPUTED_VALUE"""),311.50728)</f>
        <v>311.50728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IFERROR(__xludf.DUMMYFUNCTION("""COMPUTED_VALUE"""),310.90188)</f>
        <v>310.90188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IFERROR(__xludf.DUMMYFUNCTION("""COMPUTED_VALUE"""),311.363)</f>
        <v>311.363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IFERROR(__xludf.DUMMYFUNCTION("""COMPUTED_VALUE"""),311.596532)</f>
        <v>311.596532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IFERROR(__xludf.DUMMYFUNCTION("""COMPUTED_VALUE"""),311.7332)</f>
        <v>311.7332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IFERROR(__xludf.DUMMYFUNCTION("""COMPUTED_VALUE"""),306.6558)</f>
        <v>306.6558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IFERROR(__xludf.DUMMYFUNCTION("""COMPUTED_VALUE"""),306.974202)</f>
        <v>306.974202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IFERROR(__xludf.DUMMYFUNCTION("""COMPUTED_VALUE"""),311.207)</f>
        <v>311.207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IFERROR(__xludf.DUMMYFUNCTION("""COMPUTED_VALUE"""),311.637609)</f>
        <v>311.637609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IFERROR(__xludf.DUMMYFUNCTION("""COMPUTED_VALUE"""),311.98608)</f>
        <v>311.98608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IFERROR(__xludf.DUMMYFUNCTION("""COMPUTED_VALUE"""),312.011495)</f>
        <v>312.011495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IFERROR(__xludf.DUMMYFUNCTION("""COMPUTED_VALUE"""),311.03974)</f>
        <v>311.03974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IFERROR(__xludf.DUMMYFUNCTION("""COMPUTED_VALUE"""),304.7702)</f>
        <v>304.7702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IFERROR(__xludf.DUMMYFUNCTION("""COMPUTED_VALUE"""),303.917792)</f>
        <v>303.917792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IFERROR(__xludf.DUMMYFUNCTION("""COMPUTED_VALUE"""),311.049102)</f>
        <v>311.049102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IFERROR(__xludf.DUMMYFUNCTION("""COMPUTED_VALUE"""),311.502688)</f>
        <v>311.502688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IFERROR(__xludf.DUMMYFUNCTION("""COMPUTED_VALUE"""),311.497521)</f>
        <v>311.497521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IFERROR(__xludf.DUMMYFUNCTION("""COMPUTED_VALUE"""),312.634608)</f>
        <v>312.634608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IFERROR(__xludf.DUMMYFUNCTION("""COMPUTED_VALUE"""),312.765771)</f>
        <v>312.765771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IFERROR(__xludf.DUMMYFUNCTION("""COMPUTED_VALUE"""),306.56025)</f>
        <v>306.56025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IFERROR(__xludf.DUMMYFUNCTION("""COMPUTED_VALUE"""),308.498764)</f>
        <v>308.498764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IFERROR(__xludf.DUMMYFUNCTION("""COMPUTED_VALUE"""),312.733161)</f>
        <v>312.733161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IFERROR(__xludf.DUMMYFUNCTION("""COMPUTED_VALUE"""),312.618132)</f>
        <v>312.618132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IFERROR(__xludf.DUMMYFUNCTION("""COMPUTED_VALUE"""),312.231062)</f>
        <v>312.231062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IFERROR(__xludf.DUMMYFUNCTION("""COMPUTED_VALUE"""),312.23757)</f>
        <v>312.23757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IFERROR(__xludf.DUMMYFUNCTION("""COMPUTED_VALUE"""),311.91225)</f>
        <v>311.91225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IFERROR(__xludf.DUMMYFUNCTION("""COMPUTED_VALUE"""),306.24)</f>
        <v>306.24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IFERROR(__xludf.DUMMYFUNCTION("""COMPUTED_VALUE"""),307.420903)</f>
        <v>307.420903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IFERROR(__xludf.DUMMYFUNCTION("""COMPUTED_VALUE"""),312.777774)</f>
        <v>312.777774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IFERROR(__xludf.DUMMYFUNCTION("""COMPUTED_VALUE"""),312.606945)</f>
        <v>312.606945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IFERROR(__xludf.DUMMYFUNCTION("""COMPUTED_VALUE"""),312.659025)</f>
        <v>312.659025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IFERROR(__xludf.DUMMYFUNCTION("""COMPUTED_VALUE"""),312.22294)</f>
        <v>312.22294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IFERROR(__xludf.DUMMYFUNCTION("""COMPUTED_VALUE"""),311.640653)</f>
        <v>311.640653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IFERROR(__xludf.DUMMYFUNCTION("""COMPUTED_VALUE"""),307.67748)</f>
        <v>307.67748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IFERROR(__xludf.DUMMYFUNCTION("""COMPUTED_VALUE"""),308.559645)</f>
        <v>308.559645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IFERROR(__xludf.DUMMYFUNCTION("""COMPUTED_VALUE"""),311.730727)</f>
        <v>311.730727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IFERROR(__xludf.DUMMYFUNCTION("""COMPUTED_VALUE"""),311.654552)</f>
        <v>311.654552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IFERROR(__xludf.DUMMYFUNCTION("""COMPUTED_VALUE"""),311.45661)</f>
        <v>311.45661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IFERROR(__xludf.DUMMYFUNCTION("""COMPUTED_VALUE"""),311.453356)</f>
        <v>311.453356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IFERROR(__xludf.DUMMYFUNCTION("""COMPUTED_VALUE"""),311.52534)</f>
        <v>311.52534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IFERROR(__xludf.DUMMYFUNCTION("""COMPUTED_VALUE"""),305.34679)</f>
        <v>305.34679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IFERROR(__xludf.DUMMYFUNCTION("""COMPUTED_VALUE"""),307.0192111)</f>
        <v>307.0192111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IFERROR(__xludf.DUMMYFUNCTION("""COMPUTED_VALUE"""),312.029872)</f>
        <v>312.029872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IFERROR(__xludf.DUMMYFUNCTION("""COMPUTED_VALUE"""),311.812152)</f>
        <v>311.812152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IFERROR(__xludf.DUMMYFUNCTION("""COMPUTED_VALUE"""),311.720956)</f>
        <v>311.720956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IFERROR(__xludf.DUMMYFUNCTION("""COMPUTED_VALUE"""),312.049913)</f>
        <v>312.049913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IFERROR(__xludf.DUMMYFUNCTION("""COMPUTED_VALUE"""),312.325288)</f>
        <v>312.325288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IFERROR(__xludf.DUMMYFUNCTION("""COMPUTED_VALUE"""),306.6562)</f>
        <v>306.6562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IFERROR(__xludf.DUMMYFUNCTION("""COMPUTED_VALUE"""),306.5410305)</f>
        <v>306.5410305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IFERROR(__xludf.DUMMYFUNCTION("""COMPUTED_VALUE"""),313.082088)</f>
        <v>313.082088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IFERROR(__xludf.DUMMYFUNCTION("""COMPUTED_VALUE"""),313.526784)</f>
        <v>313.526784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IFERROR(__xludf.DUMMYFUNCTION("""COMPUTED_VALUE"""),313.306734)</f>
        <v>313.306734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IFERROR(__xludf.DUMMYFUNCTION("""COMPUTED_VALUE"""),313.254921)</f>
        <v>313.254921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IFERROR(__xludf.DUMMYFUNCTION("""COMPUTED_VALUE"""),313.63776)</f>
        <v>313.63776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IFERROR(__xludf.DUMMYFUNCTION("""COMPUTED_VALUE"""),313.631232)</f>
        <v>313.631232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IFERROR(__xludf.DUMMYFUNCTION("""COMPUTED_VALUE"""),313.942617)</f>
        <v>313.942617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IFERROR(__xludf.DUMMYFUNCTION("""COMPUTED_VALUE"""),314.113624)</f>
        <v>314.113624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IFERROR(__xludf.DUMMYFUNCTION("""COMPUTED_VALUE"""),313.952605)</f>
        <v>313.952605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IFERROR(__xludf.DUMMYFUNCTION("""COMPUTED_VALUE"""),314.168095)</f>
        <v>314.168095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IFERROR(__xludf.DUMMYFUNCTION("""COMPUTED_VALUE"""),313.93488)</f>
        <v>313.93488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IFERROR(__xludf.DUMMYFUNCTION("""COMPUTED_VALUE"""),314.40149)</f>
        <v>314.40149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IFERROR(__xludf.DUMMYFUNCTION("""COMPUTED_VALUE"""),313.8626)</f>
        <v>313.8626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IFERROR(__xludf.DUMMYFUNCTION("""COMPUTED_VALUE"""),316.3759533)</f>
        <v>316.3759533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IFERROR(__xludf.DUMMYFUNCTION("""COMPUTED_VALUE"""),314.414592)</f>
        <v>314.414592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IFERROR(__xludf.DUMMYFUNCTION("""COMPUTED_VALUE"""),314.243215)</f>
        <v>314.243215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IFERROR(__xludf.DUMMYFUNCTION("""COMPUTED_VALUE"""),314.09798)</f>
        <v>314.09798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IFERROR(__xludf.DUMMYFUNCTION("""COMPUTED_VALUE"""),314.354157)</f>
        <v>314.354157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IFERROR(__xludf.DUMMYFUNCTION("""COMPUTED_VALUE"""),314.5158)</f>
        <v>314.5158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IFERROR(__xludf.DUMMYFUNCTION("""COMPUTED_VALUE"""),308.852838)</f>
        <v>308.852838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IFERROR(__xludf.DUMMYFUNCTION("""COMPUTED_VALUE"""),309.136392)</f>
        <v>309.136392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IFERROR(__xludf.DUMMYFUNCTION("""COMPUTED_VALUE"""),313.82994)</f>
        <v>313.82994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IFERROR(__xludf.DUMMYFUNCTION("""COMPUTED_VALUE"""),313.92603)</f>
        <v>313.92603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IFERROR(__xludf.DUMMYFUNCTION("""COMPUTED_VALUE"""),316.868925)</f>
        <v>316.868925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IFERROR(__xludf.DUMMYFUNCTION("""COMPUTED_VALUE"""),316.223955)</f>
        <v>316.223955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IFERROR(__xludf.DUMMYFUNCTION("""COMPUTED_VALUE"""),315.825466)</f>
        <v>315.825466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IFERROR(__xludf.DUMMYFUNCTION("""COMPUTED_VALUE"""),315.3756)</f>
        <v>315.3756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IFERROR(__xludf.DUMMYFUNCTION("""COMPUTED_VALUE"""),315.9490931)</f>
        <v>315.9490931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IFERROR(__xludf.DUMMYFUNCTION("""COMPUTED_VALUE"""),316.451653)</f>
        <v>316.451653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IFERROR(__xludf.DUMMYFUNCTION("""COMPUTED_VALUE"""),316.424184)</f>
        <v>316.424184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IFERROR(__xludf.DUMMYFUNCTION("""COMPUTED_VALUE"""),316.607127)</f>
        <v>316.607127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IFERROR(__xludf.DUMMYFUNCTION("""COMPUTED_VALUE"""),318.04864)</f>
        <v>318.04864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IFERROR(__xludf.DUMMYFUNCTION("""COMPUTED_VALUE"""),316.9782)</f>
        <v>316.9782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IFERROR(__xludf.DUMMYFUNCTION("""COMPUTED_VALUE"""),313.196223)</f>
        <v>313.196223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IFERROR(__xludf.DUMMYFUNCTION("""COMPUTED_VALUE"""),313.8464925)</f>
        <v>313.8464925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IFERROR(__xludf.DUMMYFUNCTION("""COMPUTED_VALUE"""),317.50474)</f>
        <v>317.50474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IFERROR(__xludf.DUMMYFUNCTION("""COMPUTED_VALUE"""),321.169008)</f>
        <v>321.169008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IFERROR(__xludf.DUMMYFUNCTION("""COMPUTED_VALUE"""),322.573962)</f>
        <v>322.573962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IFERROR(__xludf.DUMMYFUNCTION("""COMPUTED_VALUE"""),322.907608)</f>
        <v>322.907608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IFERROR(__xludf.DUMMYFUNCTION("""COMPUTED_VALUE"""),322.074558)</f>
        <v>322.074558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IFERROR(__xludf.DUMMYFUNCTION("""COMPUTED_VALUE"""),315.737422)</f>
        <v>315.737422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IFERROR(__xludf.DUMMYFUNCTION("""COMPUTED_VALUE"""),318.34416)</f>
        <v>318.34416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IFERROR(__xludf.DUMMYFUNCTION("""COMPUTED_VALUE"""),322.012052)</f>
        <v>322.012052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IFERROR(__xludf.DUMMYFUNCTION("""COMPUTED_VALUE"""),322.373676)</f>
        <v>322.373676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IFERROR(__xludf.DUMMYFUNCTION("""COMPUTED_VALUE"""),321.880026)</f>
        <v>321.880026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IFERROR(__xludf.DUMMYFUNCTION("""COMPUTED_VALUE"""),321.51625)</f>
        <v>321.51625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IFERROR(__xludf.DUMMYFUNCTION("""COMPUTED_VALUE"""),321.291936)</f>
        <v>321.291936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IFERROR(__xludf.DUMMYFUNCTION("""COMPUTED_VALUE"""),314.78184)</f>
        <v>314.78184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IFERROR(__xludf.DUMMYFUNCTION("""COMPUTED_VALUE"""),315.7689825)</f>
        <v>315.7689825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IFERROR(__xludf.DUMMYFUNCTION("""COMPUTED_VALUE"""),322.30332)</f>
        <v>322.30332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IFERROR(__xludf.DUMMYFUNCTION("""COMPUTED_VALUE"""),323.7575)</f>
        <v>323.7575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IFERROR(__xludf.DUMMYFUNCTION("""COMPUTED_VALUE"""),324.276129)</f>
        <v>324.276129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IFERROR(__xludf.DUMMYFUNCTION("""COMPUTED_VALUE"""),323.554854)</f>
        <v>323.554854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IFERROR(__xludf.DUMMYFUNCTION("""COMPUTED_VALUE"""),325.216925)</f>
        <v>325.216925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IFERROR(__xludf.DUMMYFUNCTION("""COMPUTED_VALUE"""),326.9980274)</f>
        <v>326.9980274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IFERROR(__xludf.DUMMYFUNCTION("""COMPUTED_VALUE"""),316.7302275)</f>
        <v>316.7302275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IFERROR(__xludf.DUMMYFUNCTION("""COMPUTED_VALUE"""),323.705439)</f>
        <v>323.705439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IFERROR(__xludf.DUMMYFUNCTION("""COMPUTED_VALUE"""),323.687045)</f>
        <v>323.687045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IFERROR(__xludf.DUMMYFUNCTION("""COMPUTED_VALUE"""),324.834455)</f>
        <v>324.834455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IFERROR(__xludf.DUMMYFUNCTION("""COMPUTED_VALUE"""),324.00432)</f>
        <v>324.00432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IFERROR(__xludf.DUMMYFUNCTION("""COMPUTED_VALUE"""),323.225847)</f>
        <v>323.225847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IFERROR(__xludf.DUMMYFUNCTION("""COMPUTED_VALUE"""),316.219499)</f>
        <v>316.219499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IFERROR(__xludf.DUMMYFUNCTION("""COMPUTED_VALUE"""),315.480609)</f>
        <v>315.480609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IFERROR(__xludf.DUMMYFUNCTION("""COMPUTED_VALUE"""),320.985126)</f>
        <v>320.985126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IFERROR(__xludf.DUMMYFUNCTION("""COMPUTED_VALUE"""),322.385304)</f>
        <v>322.385304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IFERROR(__xludf.DUMMYFUNCTION("""COMPUTED_VALUE"""),322.02738)</f>
        <v>322.02738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IFERROR(__xludf.DUMMYFUNCTION("""COMPUTED_VALUE"""),322.465968)</f>
        <v>322.465968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IFERROR(__xludf.DUMMYFUNCTION("""COMPUTED_VALUE"""),322.205026)</f>
        <v>322.205026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IFERROR(__xludf.DUMMYFUNCTION("""COMPUTED_VALUE"""),317.5134)</f>
        <v>317.5134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IFERROR(__xludf.DUMMYFUNCTION("""COMPUTED_VALUE"""),318.8166812)</f>
        <v>318.8166812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IFERROR(__xludf.DUMMYFUNCTION("""COMPUTED_VALUE"""),322.623312)</f>
        <v>322.623312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IFERROR(__xludf.DUMMYFUNCTION("""COMPUTED_VALUE"""),323.625405)</f>
        <v>323.625405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IFERROR(__xludf.DUMMYFUNCTION("""COMPUTED_VALUE"""),323.07303)</f>
        <v>323.07303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IFERROR(__xludf.DUMMYFUNCTION("""COMPUTED_VALUE"""),323.999005)</f>
        <v>323.999005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IFERROR(__xludf.DUMMYFUNCTION("""COMPUTED_VALUE"""),324.32276)</f>
        <v>324.32276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IFERROR(__xludf.DUMMYFUNCTION("""COMPUTED_VALUE"""),318.70044)</f>
        <v>318.70044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IFERROR(__xludf.DUMMYFUNCTION("""COMPUTED_VALUE"""),320.6426371)</f>
        <v>320.6426371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IFERROR(__xludf.DUMMYFUNCTION("""COMPUTED_VALUE"""),323.578816)</f>
        <v>323.578816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IFERROR(__xludf.DUMMYFUNCTION("""COMPUTED_VALUE"""),324.22975)</f>
        <v>324.22975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IFERROR(__xludf.DUMMYFUNCTION("""COMPUTED_VALUE"""),323.51955)</f>
        <v>323.51955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IFERROR(__xludf.DUMMYFUNCTION("""COMPUTED_VALUE"""),323.117652)</f>
        <v>323.117652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IFERROR(__xludf.DUMMYFUNCTION("""COMPUTED_VALUE"""),323.969766)</f>
        <v>323.969766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IFERROR(__xludf.DUMMYFUNCTION("""COMPUTED_VALUE"""),323.85815)</f>
        <v>323.85815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IFERROR(__xludf.DUMMYFUNCTION("""COMPUTED_VALUE"""),322.786071)</f>
        <v>322.786071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IFERROR(__xludf.DUMMYFUNCTION("""COMPUTED_VALUE"""),324.099475)</f>
        <v>324.099475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IFERROR(__xludf.DUMMYFUNCTION("""COMPUTED_VALUE"""),324.317128)</f>
        <v>324.317128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IFERROR(__xludf.DUMMYFUNCTION("""COMPUTED_VALUE"""),323.762976)</f>
        <v>323.762976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IFERROR(__xludf.DUMMYFUNCTION("""COMPUTED_VALUE"""),324.900318)</f>
        <v>324.900318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IFERROR(__xludf.DUMMYFUNCTION("""COMPUTED_VALUE"""),324.463258)</f>
        <v>324.463258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IFERROR(__xludf.DUMMYFUNCTION("""COMPUTED_VALUE"""),316.137276)</f>
        <v>316.137276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IFERROR(__xludf.DUMMYFUNCTION("""COMPUTED_VALUE"""),314.519364)</f>
        <v>314.519364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IFERROR(__xludf.DUMMYFUNCTION("""COMPUTED_VALUE"""),324.961646)</f>
        <v>324.961646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IFERROR(__xludf.DUMMYFUNCTION("""COMPUTED_VALUE"""),326.68172)</f>
        <v>326.68172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IFERROR(__xludf.DUMMYFUNCTION("""COMPUTED_VALUE"""),325.699278)</f>
        <v>325.699278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IFERROR(__xludf.DUMMYFUNCTION("""COMPUTED_VALUE"""),326.283782)</f>
        <v>326.283782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IFERROR(__xludf.DUMMYFUNCTION("""COMPUTED_VALUE"""),327.320106)</f>
        <v>327.320106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IFERROR(__xludf.DUMMYFUNCTION("""COMPUTED_VALUE"""),321.333318)</f>
        <v>321.333318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IFERROR(__xludf.DUMMYFUNCTION("""COMPUTED_VALUE"""),319.0847014)</f>
        <v>319.0847014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IFERROR(__xludf.DUMMYFUNCTION("""COMPUTED_VALUE"""),327.83252)</f>
        <v>327.83252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IFERROR(__xludf.DUMMYFUNCTION("""COMPUTED_VALUE"""),330.761032)</f>
        <v>330.761032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IFERROR(__xludf.DUMMYFUNCTION("""COMPUTED_VALUE"""),332.54536)</f>
        <v>332.54536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IFERROR(__xludf.DUMMYFUNCTION("""COMPUTED_VALUE"""),332.140536)</f>
        <v>332.140536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IFERROR(__xludf.DUMMYFUNCTION("""COMPUTED_VALUE"""),331.330896)</f>
        <v>331.330896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IFERROR(__xludf.DUMMYFUNCTION("""COMPUTED_VALUE"""),326.0389)</f>
        <v>326.0389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IFERROR(__xludf.DUMMYFUNCTION("""COMPUTED_VALUE"""),323.6511915)</f>
        <v>323.6511915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IFERROR(__xludf.DUMMYFUNCTION("""COMPUTED_VALUE"""),331.03755)</f>
        <v>331.03755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IFERROR(__xludf.DUMMYFUNCTION("""COMPUTED_VALUE"""),330.574396)</f>
        <v>330.574396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IFERROR(__xludf.DUMMYFUNCTION("""COMPUTED_VALUE"""),330.59268)</f>
        <v>330.59268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IFERROR(__xludf.DUMMYFUNCTION("""COMPUTED_VALUE"""),330.187488)</f>
        <v>330.187488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IFERROR(__xludf.DUMMYFUNCTION("""COMPUTED_VALUE"""),330.1903)</f>
        <v>330.1903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IFERROR(__xludf.DUMMYFUNCTION("""COMPUTED_VALUE"""),324.42471)</f>
        <v>324.42471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IFERROR(__xludf.DUMMYFUNCTION("""COMPUTED_VALUE"""),321.248079)</f>
        <v>321.248079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IFERROR(__xludf.DUMMYFUNCTION("""COMPUTED_VALUE"""),325.74395)</f>
        <v>325.74395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IFERROR(__xludf.DUMMYFUNCTION("""COMPUTED_VALUE"""),329.603575)</f>
        <v>329.603575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IFERROR(__xludf.DUMMYFUNCTION("""COMPUTED_VALUE"""),330.887685)</f>
        <v>330.887685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IFERROR(__xludf.DUMMYFUNCTION("""COMPUTED_VALUE"""),331.24056)</f>
        <v>331.24056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IFERROR(__xludf.DUMMYFUNCTION("""COMPUTED_VALUE"""),332.041185)</f>
        <v>332.041185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IFERROR(__xludf.DUMMYFUNCTION("""COMPUTED_VALUE"""),334.15352)</f>
        <v>334.15352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IFERROR(__xludf.DUMMYFUNCTION("""COMPUTED_VALUE"""),327.065446)</f>
        <v>327.065446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IFERROR(__xludf.DUMMYFUNCTION("""COMPUTED_VALUE"""),332.226182)</f>
        <v>332.226182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IFERROR(__xludf.DUMMYFUNCTION("""COMPUTED_VALUE"""),334.55058)</f>
        <v>334.55058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IFERROR(__xludf.DUMMYFUNCTION("""COMPUTED_VALUE"""),332.169246)</f>
        <v>332.169246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IFERROR(__xludf.DUMMYFUNCTION("""COMPUTED_VALUE"""),332.81656)</f>
        <v>332.81656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IFERROR(__xludf.DUMMYFUNCTION("""COMPUTED_VALUE"""),332.9703)</f>
        <v>332.9703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IFERROR(__xludf.DUMMYFUNCTION("""COMPUTED_VALUE"""),328.4232)</f>
        <v>328.4232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IFERROR(__xludf.DUMMYFUNCTION("""COMPUTED_VALUE"""),332.72506)</f>
        <v>332.72506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IFERROR(__xludf.DUMMYFUNCTION("""COMPUTED_VALUE"""),332.216868)</f>
        <v>332.216868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IFERROR(__xludf.DUMMYFUNCTION("""COMPUTED_VALUE"""),334.509156)</f>
        <v>334.509156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IFERROR(__xludf.DUMMYFUNCTION("""COMPUTED_VALUE"""),335.315364)</f>
        <v>335.315364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IFERROR(__xludf.DUMMYFUNCTION("""COMPUTED_VALUE"""),326.865375)</f>
        <v>326.865375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IFERROR(__xludf.DUMMYFUNCTION("""COMPUTED_VALUE"""),338.256072)</f>
        <v>338.256072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IFERROR(__xludf.DUMMYFUNCTION("""COMPUTED_VALUE"""),340.3508529)</f>
        <v>340.3508529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IFERROR(__xludf.DUMMYFUNCTION("""COMPUTED_VALUE"""),330.8452)</f>
        <v>330.8452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IFERROR(__xludf.DUMMYFUNCTION("""COMPUTED_VALUE"""),337.291495)</f>
        <v>337.291495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IFERROR(__xludf.DUMMYFUNCTION("""COMPUTED_VALUE"""),336.212196)</f>
        <v>336.212196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IFERROR(__xludf.DUMMYFUNCTION("""COMPUTED_VALUE"""),334.457376)</f>
        <v>334.457376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IFERROR(__xludf.DUMMYFUNCTION("""COMPUTED_VALUE"""),331.775328)</f>
        <v>331.775328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IFERROR(__xludf.DUMMYFUNCTION("""COMPUTED_VALUE"""),331.31232)</f>
        <v>331.31232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IFERROR(__xludf.DUMMYFUNCTION("""COMPUTED_VALUE"""),324.301012)</f>
        <v>324.301012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IFERROR(__xludf.DUMMYFUNCTION("""COMPUTED_VALUE"""),322.017075)</f>
        <v>322.017075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IFERROR(__xludf.DUMMYFUNCTION("""COMPUTED_VALUE"""),330.96131)</f>
        <v>330.96131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IFERROR(__xludf.DUMMYFUNCTION("""COMPUTED_VALUE"""),330.465051)</f>
        <v>330.465051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IFERROR(__xludf.DUMMYFUNCTION("""COMPUTED_VALUE"""),330.167422)</f>
        <v>330.167422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IFERROR(__xludf.DUMMYFUNCTION("""COMPUTED_VALUE"""),329.14866)</f>
        <v>329.14866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IFERROR(__xludf.DUMMYFUNCTION("""COMPUTED_VALUE"""),326.352246)</f>
        <v>326.352246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IFERROR(__xludf.DUMMYFUNCTION("""COMPUTED_VALUE"""),321.5952)</f>
        <v>321.5952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IFERROR(__xludf.DUMMYFUNCTION("""COMPUTED_VALUE"""),318.2682195)</f>
        <v>318.2682195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IFERROR(__xludf.DUMMYFUNCTION("""COMPUTED_VALUE"""),327.754735)</f>
        <v>327.754735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IFERROR(__xludf.DUMMYFUNCTION("""COMPUTED_VALUE"""),327.698192)</f>
        <v>327.698192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IFERROR(__xludf.DUMMYFUNCTION("""COMPUTED_VALUE"""),324.63225)</f>
        <v>324.63225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IFERROR(__xludf.DUMMYFUNCTION("""COMPUTED_VALUE"""),328.666492)</f>
        <v>328.666492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IFERROR(__xludf.DUMMYFUNCTION("""COMPUTED_VALUE"""),325.73695)</f>
        <v>325.73695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IFERROR(__xludf.DUMMYFUNCTION("""COMPUTED_VALUE"""),319.81446)</f>
        <v>319.81446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IFERROR(__xludf.DUMMYFUNCTION("""COMPUTED_VALUE"""),320.6829083)</f>
        <v>320.6829083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IFERROR(__xludf.DUMMYFUNCTION("""COMPUTED_VALUE"""),326.895296)</f>
        <v>326.895296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IFERROR(__xludf.DUMMYFUNCTION("""COMPUTED_VALUE"""),326.951968)</f>
        <v>326.951968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IFERROR(__xludf.DUMMYFUNCTION("""COMPUTED_VALUE"""),326.239974)</f>
        <v>326.239974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IFERROR(__xludf.DUMMYFUNCTION("""COMPUTED_VALUE"""),326.726171)</f>
        <v>326.726171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IFERROR(__xludf.DUMMYFUNCTION("""COMPUTED_VALUE"""),325.79388)</f>
        <v>325.79388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IFERROR(__xludf.DUMMYFUNCTION("""COMPUTED_VALUE"""),325.79388)</f>
        <v>325.79388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IFERROR(__xludf.DUMMYFUNCTION("""COMPUTED_VALUE"""),325.79388)</f>
        <v>325.79388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IFERROR(__xludf.DUMMYFUNCTION("""COMPUTED_VALUE"""),325.92485)</f>
        <v>325.92485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IFERROR(__xludf.DUMMYFUNCTION("""COMPUTED_VALUE"""),326.579055)</f>
        <v>326.579055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IFERROR(__xludf.DUMMYFUNCTION("""COMPUTED_VALUE"""),325.289783)</f>
        <v>325.289783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IFERROR(__xludf.DUMMYFUNCTION("""COMPUTED_VALUE"""),325.40284)</f>
        <v>325.40284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IFERROR(__xludf.DUMMYFUNCTION("""COMPUTED_VALUE"""),324.90084)</f>
        <v>324.90084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IFERROR(__xludf.DUMMYFUNCTION("""COMPUTED_VALUE"""),318.43392)</f>
        <v>318.43392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IFERROR(__xludf.DUMMYFUNCTION("""COMPUTED_VALUE"""),320.6862559)</f>
        <v>320.6862559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IFERROR(__xludf.DUMMYFUNCTION("""COMPUTED_VALUE"""),326.397808)</f>
        <v>326.397808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IFERROR(__xludf.DUMMYFUNCTION("""COMPUTED_VALUE"""),324.542064)</f>
        <v>324.542064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IFERROR(__xludf.DUMMYFUNCTION("""COMPUTED_VALUE"""),323.675136)</f>
        <v>323.675136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IFERROR(__xludf.DUMMYFUNCTION("""COMPUTED_VALUE"""),324.182108)</f>
        <v>324.182108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IFERROR(__xludf.DUMMYFUNCTION("""COMPUTED_VALUE"""),321.1399)</f>
        <v>321.1399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IFERROR(__xludf.DUMMYFUNCTION("""COMPUTED_VALUE"""),322.8879923)</f>
        <v>322.8879923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IFERROR(__xludf.DUMMYFUNCTION("""COMPUTED_VALUE"""),310.9627575)</f>
        <v>310.9627575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IFERROR(__xludf.DUMMYFUNCTION("""COMPUTED_VALUE"""),321.343694)</f>
        <v>321.343694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IFERROR(__xludf.DUMMYFUNCTION("""COMPUTED_VALUE"""),320.576667)</f>
        <v>320.576667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IFERROR(__xludf.DUMMYFUNCTION("""COMPUTED_VALUE"""),319.27953)</f>
        <v>319.27953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IFERROR(__xludf.DUMMYFUNCTION("""COMPUTED_VALUE"""),319.181891)</f>
        <v>319.181891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IFERROR(__xludf.DUMMYFUNCTION("""COMPUTED_VALUE"""),318.9258)</f>
        <v>318.9258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IFERROR(__xludf.DUMMYFUNCTION("""COMPUTED_VALUE"""),313.869572)</f>
        <v>313.869572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IFERROR(__xludf.DUMMYFUNCTION("""COMPUTED_VALUE"""),312.2754)</f>
        <v>312.2754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IFERROR(__xludf.DUMMYFUNCTION("""COMPUTED_VALUE"""),317.49729)</f>
        <v>317.49729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IFERROR(__xludf.DUMMYFUNCTION("""COMPUTED_VALUE"""),316.158871)</f>
        <v>316.158871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IFERROR(__xludf.DUMMYFUNCTION("""COMPUTED_VALUE"""),317.157738)</f>
        <v>317.157738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IFERROR(__xludf.DUMMYFUNCTION("""COMPUTED_VALUE"""),320.46834)</f>
        <v>320.46834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IFERROR(__xludf.DUMMYFUNCTION("""COMPUTED_VALUE"""),321.83264)</f>
        <v>321.83264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IFERROR(__xludf.DUMMYFUNCTION("""COMPUTED_VALUE"""),313.400354)</f>
        <v>313.400354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IFERROR(__xludf.DUMMYFUNCTION("""COMPUTED_VALUE"""),308.944143)</f>
        <v>308.944143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IFERROR(__xludf.DUMMYFUNCTION("""COMPUTED_VALUE"""),321.143457)</f>
        <v>321.143457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IFERROR(__xludf.DUMMYFUNCTION("""COMPUTED_VALUE"""),319.52742)</f>
        <v>319.52742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IFERROR(__xludf.DUMMYFUNCTION("""COMPUTED_VALUE"""),318.241242)</f>
        <v>318.241242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IFERROR(__xludf.DUMMYFUNCTION("""COMPUTED_VALUE"""),317.21167)</f>
        <v>317.21167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IFERROR(__xludf.DUMMYFUNCTION("""COMPUTED_VALUE"""),318.2336)</f>
        <v>318.2336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IFERROR(__xludf.DUMMYFUNCTION("""COMPUTED_VALUE"""),310.027284)</f>
        <v>310.027284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IFERROR(__xludf.DUMMYFUNCTION("""COMPUTED_VALUE"""),307.982898)</f>
        <v>307.982898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IFERROR(__xludf.DUMMYFUNCTION("""COMPUTED_VALUE"""),318.540906)</f>
        <v>318.540906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IFERROR(__xludf.DUMMYFUNCTION("""COMPUTED_VALUE"""),318.5224)</f>
        <v>318.5224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IFERROR(__xludf.DUMMYFUNCTION("""COMPUTED_VALUE"""),317.853096)</f>
        <v>317.853096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IFERROR(__xludf.DUMMYFUNCTION("""COMPUTED_VALUE"""),317.601148)</f>
        <v>317.601148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IFERROR(__xludf.DUMMYFUNCTION("""COMPUTED_VALUE"""),318.384)</f>
        <v>318.384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IFERROR(__xludf.DUMMYFUNCTION("""COMPUTED_VALUE"""),311.652)</f>
        <v>311.652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IFERROR(__xludf.DUMMYFUNCTION("""COMPUTED_VALUE"""),302.6960505)</f>
        <v>302.6960505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IFERROR(__xludf.DUMMYFUNCTION("""COMPUTED_VALUE"""),319.71186)</f>
        <v>319.71186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IFERROR(__xludf.DUMMYFUNCTION("""COMPUTED_VALUE"""),319.298512)</f>
        <v>319.298512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IFERROR(__xludf.DUMMYFUNCTION("""COMPUTED_VALUE"""),318.926326)</f>
        <v>318.926326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IFERROR(__xludf.DUMMYFUNCTION("""COMPUTED_VALUE"""),318.73776)</f>
        <v>318.73776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IFERROR(__xludf.DUMMYFUNCTION("""COMPUTED_VALUE"""),316.58256)</f>
        <v>316.58256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IFERROR(__xludf.DUMMYFUNCTION("""COMPUTED_VALUE"""),316.68174)</f>
        <v>316.68174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IFERROR(__xludf.DUMMYFUNCTION("""COMPUTED_VALUE"""),311.12766)</f>
        <v>311.12766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IFERROR(__xludf.DUMMYFUNCTION("""COMPUTED_VALUE"""),315.67224)</f>
        <v>315.67224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IFERROR(__xludf.DUMMYFUNCTION("""COMPUTED_VALUE"""),317.423736)</f>
        <v>317.423736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IFERROR(__xludf.DUMMYFUNCTION("""COMPUTED_VALUE"""),318.439065)</f>
        <v>318.439065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IFERROR(__xludf.DUMMYFUNCTION("""COMPUTED_VALUE"""),319.11252)</f>
        <v>319.11252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IFERROR(__xludf.DUMMYFUNCTION("""COMPUTED_VALUE"""),319.67376)</f>
        <v>319.67376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IFERROR(__xludf.DUMMYFUNCTION("""COMPUTED_VALUE"""),318.320406)</f>
        <v>318.320406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IFERROR(__xludf.DUMMYFUNCTION("""COMPUTED_VALUE"""),302.792175)</f>
        <v>302.792175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IFERROR(__xludf.DUMMYFUNCTION("""COMPUTED_VALUE"""),320.65332)</f>
        <v>320.65332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IFERROR(__xludf.DUMMYFUNCTION("""COMPUTED_VALUE"""),322.12533)</f>
        <v>322.12533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IFERROR(__xludf.DUMMYFUNCTION("""COMPUTED_VALUE"""),323.04825)</f>
        <v>323.04825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IFERROR(__xludf.DUMMYFUNCTION("""COMPUTED_VALUE"""),323.13072)</f>
        <v>323.13072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IFERROR(__xludf.DUMMYFUNCTION("""COMPUTED_VALUE"""),324.4752)</f>
        <v>324.4752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IFERROR(__xludf.DUMMYFUNCTION("""COMPUTED_VALUE"""),318.17745)</f>
        <v>318.17745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IFERROR(__xludf.DUMMYFUNCTION("""COMPUTED_VALUE"""),318.17745)</f>
        <v>318.17745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IFERROR(__xludf.DUMMYFUNCTION("""COMPUTED_VALUE"""),324.1951)</f>
        <v>324.1951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IFERROR(__xludf.DUMMYFUNCTION("""COMPUTED_VALUE"""),328.5556)</f>
        <v>328.5556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IFERROR(__xludf.DUMMYFUNCTION("""COMPUTED_VALUE"""),329.54051)</f>
        <v>329.54051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IFERROR(__xludf.DUMMYFUNCTION("""COMPUTED_VALUE"""),329.90058)</f>
        <v>329.90058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IFERROR(__xludf.DUMMYFUNCTION("""COMPUTED_VALUE"""),328.27464)</f>
        <v>328.27464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IFERROR(__xludf.DUMMYFUNCTION("""COMPUTED_VALUE"""),322.9696)</f>
        <v>322.9696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IFERROR(__xludf.DUMMYFUNCTION("""COMPUTED_VALUE"""),323.98695)</f>
        <v>323.98695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IFERROR(__xludf.DUMMYFUNCTION("""COMPUTED_VALUE"""),328.3202)</f>
        <v>328.3202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IFERROR(__xludf.DUMMYFUNCTION("""COMPUTED_VALUE"""),327.2958)</f>
        <v>327.2958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IFERROR(__xludf.DUMMYFUNCTION("""COMPUTED_VALUE"""),327.6925)</f>
        <v>327.6925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IFERROR(__xludf.DUMMYFUNCTION("""COMPUTED_VALUE"""),327.14132)</f>
        <v>327.14132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IFERROR(__xludf.DUMMYFUNCTION("""COMPUTED_VALUE"""),328.2292)</f>
        <v>328.2292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IFERROR(__xludf.DUMMYFUNCTION("""COMPUTED_VALUE"""),328.0122)</f>
        <v>328.0122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IFERROR(__xludf.DUMMYFUNCTION("""COMPUTED_VALUE"""),321.39518)</f>
        <v>321.39518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IFERROR(__xludf.DUMMYFUNCTION("""COMPUTED_VALUE"""),326.55104)</f>
        <v>326.55104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IFERROR(__xludf.DUMMYFUNCTION("""COMPUTED_VALUE"""),326.48031)</f>
        <v>326.48031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IFERROR(__xludf.DUMMYFUNCTION("""COMPUTED_VALUE"""),326.51214)</f>
        <v>326.51214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IFERROR(__xludf.DUMMYFUNCTION("""COMPUTED_VALUE"""),328.53171)</f>
        <v>328.53171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IFERROR(__xludf.DUMMYFUNCTION("""COMPUTED_VALUE"""),328.1148)</f>
        <v>328.1148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IFERROR(__xludf.DUMMYFUNCTION("""COMPUTED_VALUE"""),328.4346)</f>
        <v>328.4346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IFERROR(__xludf.DUMMYFUNCTION("""COMPUTED_VALUE"""),328.19724)</f>
        <v>328.19724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IFERROR(__xludf.DUMMYFUNCTION("""COMPUTED_VALUE"""),328.17876)</f>
        <v>328.17876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IFERROR(__xludf.DUMMYFUNCTION("""COMPUTED_VALUE"""),329.31584)</f>
        <v>329.31584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IFERROR(__xludf.DUMMYFUNCTION("""COMPUTED_VALUE"""),329.15604)</f>
        <v>329.15604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IFERROR(__xludf.DUMMYFUNCTION("""COMPUTED_VALUE"""),329.92308)</f>
        <v>329.92308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IFERROR(__xludf.DUMMYFUNCTION("""COMPUTED_VALUE"""),330.7948)</f>
        <v>330.7948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IFERROR(__xludf.DUMMYFUNCTION("""COMPUTED_VALUE"""),324.6606)</f>
        <v>324.6606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IFERROR(__xludf.DUMMYFUNCTION("""COMPUTED_VALUE"""),324.93312)</f>
        <v>324.93312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IFERROR(__xludf.DUMMYFUNCTION("""COMPUTED_VALUE"""),332.86902)</f>
        <v>332.86902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IFERROR(__xludf.DUMMYFUNCTION("""COMPUTED_VALUE"""),336.54806)</f>
        <v>336.54806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IFERROR(__xludf.DUMMYFUNCTION("""COMPUTED_VALUE"""),336.51988)</f>
        <v>336.51988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IFERROR(__xludf.DUMMYFUNCTION("""COMPUTED_VALUE"""),343.75712)</f>
        <v>343.75712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IFERROR(__xludf.DUMMYFUNCTION("""COMPUTED_VALUE"""),337.4425)</f>
        <v>337.4425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IFERROR(__xludf.DUMMYFUNCTION("""COMPUTED_VALUE"""),331.315)</f>
        <v>331.315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IFERROR(__xludf.DUMMYFUNCTION("""COMPUTED_VALUE"""),339.06405)</f>
        <v>339.06405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IFERROR(__xludf.DUMMYFUNCTION("""COMPUTED_VALUE"""),346.66688)</f>
        <v>346.66688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IFERROR(__xludf.DUMMYFUNCTION("""COMPUTED_VALUE"""),338.67876)</f>
        <v>338.67876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IFERROR(__xludf.DUMMYFUNCTION("""COMPUTED_VALUE"""),338.427)</f>
        <v>338.427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IFERROR(__xludf.DUMMYFUNCTION("""COMPUTED_VALUE"""),339.42584)</f>
        <v>339.42584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IFERROR(__xludf.DUMMYFUNCTION("""COMPUTED_VALUE"""),338.36796)</f>
        <v>338.36796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IFERROR(__xludf.DUMMYFUNCTION("""COMPUTED_VALUE"""),332.18855)</f>
        <v>332.18855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IFERROR(__xludf.DUMMYFUNCTION("""COMPUTED_VALUE"""),331.75275)</f>
        <v>331.75275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IFERROR(__xludf.DUMMYFUNCTION("""COMPUTED_VALUE"""),341.24916)</f>
        <v>341.24916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IFERROR(__xludf.DUMMYFUNCTION("""COMPUTED_VALUE"""),342.80922)</f>
        <v>342.80922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IFERROR(__xludf.DUMMYFUNCTION("""COMPUTED_VALUE"""),344.45088)</f>
        <v>344.45088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IFERROR(__xludf.DUMMYFUNCTION("""COMPUTED_VALUE"""),343.00827)</f>
        <v>343.00827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IFERROR(__xludf.DUMMYFUNCTION("""COMPUTED_VALUE"""),345.33406)</f>
        <v>345.33406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IFERROR(__xludf.DUMMYFUNCTION("""COMPUTED_VALUE"""),340.075)</f>
        <v>340.075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IFERROR(__xludf.DUMMYFUNCTION("""COMPUTED_VALUE"""),339.7405)</f>
        <v>339.7405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IFERROR(__xludf.DUMMYFUNCTION("""COMPUTED_VALUE"""),346.42784)</f>
        <v>346.42784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IFERROR(__xludf.DUMMYFUNCTION("""COMPUTED_VALUE"""),348.7431)</f>
        <v>348.7431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IFERROR(__xludf.DUMMYFUNCTION("""COMPUTED_VALUE"""),354.1908)</f>
        <v>354.1908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IFERROR(__xludf.DUMMYFUNCTION("""COMPUTED_VALUE"""),356.98266)</f>
        <v>356.98266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IFERROR(__xludf.DUMMYFUNCTION("""COMPUTED_VALUE"""),356.90816)</f>
        <v>356.90816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IFERROR(__xludf.DUMMYFUNCTION("""COMPUTED_VALUE"""),351.10385)</f>
        <v>351.10385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IFERROR(__xludf.DUMMYFUNCTION("""COMPUTED_VALUE"""),359.07055)</f>
        <v>359.07055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IFERROR(__xludf.DUMMYFUNCTION("""COMPUTED_VALUE"""),357.15303)</f>
        <v>357.15303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IFERROR(__xludf.DUMMYFUNCTION("""COMPUTED_VALUE"""),359.6355)</f>
        <v>359.6355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IFERROR(__xludf.DUMMYFUNCTION("""COMPUTED_VALUE"""),365.64912)</f>
        <v>365.64912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IFERROR(__xludf.DUMMYFUNCTION("""COMPUTED_VALUE"""),361.9608)</f>
        <v>361.9608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IFERROR(__xludf.DUMMYFUNCTION("""COMPUTED_VALUE"""),363.77586)</f>
        <v>363.77586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IFERROR(__xludf.DUMMYFUNCTION("""COMPUTED_VALUE"""),363.759)</f>
        <v>363.759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IFERROR(__xludf.DUMMYFUNCTION("""COMPUTED_VALUE"""),364.6755)</f>
        <v>364.6755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IFERROR(__xludf.DUMMYFUNCTION("""COMPUTED_VALUE"""),365.91485)</f>
        <v>365.91485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IFERROR(__xludf.DUMMYFUNCTION("""COMPUTED_VALUE"""),365.0955)</f>
        <v>365.0955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IFERROR(__xludf.DUMMYFUNCTION("""COMPUTED_VALUE"""),365.85394)</f>
        <v>365.85394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IFERROR(__xludf.DUMMYFUNCTION("""COMPUTED_VALUE"""),365.5314)</f>
        <v>365.5314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IFERROR(__xludf.DUMMYFUNCTION("""COMPUTED_VALUE"""),367.1371)</f>
        <v>367.1371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IFERROR(__xludf.DUMMYFUNCTION("""COMPUTED_VALUE"""),368.786011)</f>
        <v>368.786011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IFERROR(__xludf.DUMMYFUNCTION("""COMPUTED_VALUE"""),360.80715)</f>
        <v>360.80715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IFERROR(__xludf.DUMMYFUNCTION("""COMPUTED_VALUE"""),369.0864)</f>
        <v>369.0864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IFERROR(__xludf.DUMMYFUNCTION("""COMPUTED_VALUE"""),367.37877)</f>
        <v>367.37877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IFERROR(__xludf.DUMMYFUNCTION("""COMPUTED_VALUE"""),367.83396)</f>
        <v>367.83396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IFERROR(__xludf.DUMMYFUNCTION("""COMPUTED_VALUE"""),367.40582)</f>
        <v>367.40582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IFERROR(__xludf.DUMMYFUNCTION("""COMPUTED_VALUE"""),367.13745)</f>
        <v>367.13745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IFERROR(__xludf.DUMMYFUNCTION("""COMPUTED_VALUE"""),367.47608)</f>
        <v>367.47608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IFERROR(__xludf.DUMMYFUNCTION("""COMPUTED_VALUE"""),359.637)</f>
        <v>359.637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IFERROR(__xludf.DUMMYFUNCTION("""COMPUTED_VALUE"""),366.17945)</f>
        <v>366.17945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IFERROR(__xludf.DUMMYFUNCTION("""COMPUTED_VALUE"""),366.35232)</f>
        <v>366.35232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IFERROR(__xludf.DUMMYFUNCTION("""COMPUTED_VALUE"""),365.3988)</f>
        <v>365.3988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IFERROR(__xludf.DUMMYFUNCTION("""COMPUTED_VALUE"""),364.86729)</f>
        <v>364.86729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IFERROR(__xludf.DUMMYFUNCTION("""COMPUTED_VALUE"""),362.0862)</f>
        <v>362.0862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IFERROR(__xludf.DUMMYFUNCTION("""COMPUTED_VALUE"""),362.0862)</f>
        <v>362.0862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IFERROR(__xludf.DUMMYFUNCTION("""COMPUTED_VALUE"""),362.5398)</f>
        <v>362.5398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IFERROR(__xludf.DUMMYFUNCTION("""COMPUTED_VALUE"""),362.21715)</f>
        <v>362.21715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IFERROR(__xludf.DUMMYFUNCTION("""COMPUTED_VALUE"""),361.99041)</f>
        <v>361.99041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IFERROR(__xludf.DUMMYFUNCTION("""COMPUTED_VALUE"""),362.752)</f>
        <v>362.752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IFERROR(__xludf.DUMMYFUNCTION("""COMPUTED_VALUE"""),364.15044)</f>
        <v>364.15044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IFERROR(__xludf.DUMMYFUNCTION("""COMPUTED_VALUE"""),363.90858)</f>
        <v>363.90858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IFERROR(__xludf.DUMMYFUNCTION("""COMPUTED_VALUE"""),363.7956)</f>
        <v>363.7956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IFERROR(__xludf.DUMMYFUNCTION("""COMPUTED_VALUE"""),356.90382)</f>
        <v>356.90382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IFERROR(__xludf.DUMMYFUNCTION("""COMPUTED_VALUE"""),362.87372)</f>
        <v>362.87372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IFERROR(__xludf.DUMMYFUNCTION("""COMPUTED_VALUE"""),362.81344)</f>
        <v>362.81344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IFERROR(__xludf.DUMMYFUNCTION("""COMPUTED_VALUE"""),360.48264)</f>
        <v>360.48264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IFERROR(__xludf.DUMMYFUNCTION("""COMPUTED_VALUE"""),356.98624)</f>
        <v>356.98624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IFERROR(__xludf.DUMMYFUNCTION("""COMPUTED_VALUE"""),354.0978)</f>
        <v>354.0978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IFERROR(__xludf.DUMMYFUNCTION("""COMPUTED_VALUE"""),347.284)</f>
        <v>347.284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IFERROR(__xludf.DUMMYFUNCTION("""COMPUTED_VALUE"""),347.284)</f>
        <v>347.284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IFERROR(__xludf.DUMMYFUNCTION("""COMPUTED_VALUE"""),354.7845)</f>
        <v>354.7845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IFERROR(__xludf.DUMMYFUNCTION("""COMPUTED_VALUE"""),356.172)</f>
        <v>356.172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IFERROR(__xludf.DUMMYFUNCTION("""COMPUTED_VALUE"""),358.26458)</f>
        <v>358.26458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IFERROR(__xludf.DUMMYFUNCTION("""COMPUTED_VALUE"""),360.5147)</f>
        <v>360.5147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IFERROR(__xludf.DUMMYFUNCTION("""COMPUTED_VALUE"""),362.4214)</f>
        <v>362.4214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IFERROR(__xludf.DUMMYFUNCTION("""COMPUTED_VALUE"""),355.18428)</f>
        <v>355.18428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IFERROR(__xludf.DUMMYFUNCTION("""COMPUTED_VALUE"""),357.0452546)</f>
        <v>357.0452546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IFERROR(__xludf.DUMMYFUNCTION("""COMPUTED_VALUE"""),362.12419)</f>
        <v>362.12419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IFERROR(__xludf.DUMMYFUNCTION("""COMPUTED_VALUE"""),361.9935)</f>
        <v>361.9935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IFERROR(__xludf.DUMMYFUNCTION("""COMPUTED_VALUE"""),363.8186)</f>
        <v>363.8186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IFERROR(__xludf.DUMMYFUNCTION("""COMPUTED_VALUE"""),362.10694)</f>
        <v>362.10694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IFERROR(__xludf.DUMMYFUNCTION("""COMPUTED_VALUE"""),361.15086)</f>
        <v>361.15086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IFERROR(__xludf.DUMMYFUNCTION("""COMPUTED_VALUE"""),363.0432372)</f>
        <v>363.0432372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IFERROR(__xludf.DUMMYFUNCTION("""COMPUTED_VALUE"""),354.00069)</f>
        <v>354.00069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IFERROR(__xludf.DUMMYFUNCTION("""COMPUTED_VALUE"""),364.4112)</f>
        <v>364.4112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IFERROR(__xludf.DUMMYFUNCTION("""COMPUTED_VALUE"""),365.33835)</f>
        <v>365.33835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IFERROR(__xludf.DUMMYFUNCTION("""COMPUTED_VALUE"""),367.33821)</f>
        <v>367.33821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IFERROR(__xludf.DUMMYFUNCTION("""COMPUTED_VALUE"""),364.07268)</f>
        <v>364.07268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IFERROR(__xludf.DUMMYFUNCTION("""COMPUTED_VALUE"""),366.6339)</f>
        <v>366.6339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IFERROR(__xludf.DUMMYFUNCTION("""COMPUTED_VALUE"""),368.1023328)</f>
        <v>368.1023328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IFERROR(__xludf.DUMMYFUNCTION("""COMPUTED_VALUE"""),360.8364)</f>
        <v>360.8364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IFERROR(__xludf.DUMMYFUNCTION("""COMPUTED_VALUE"""),367.1822)</f>
        <v>367.1822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IFERROR(__xludf.DUMMYFUNCTION("""COMPUTED_VALUE"""),365.7277)</f>
        <v>365.7277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IFERROR(__xludf.DUMMYFUNCTION("""COMPUTED_VALUE"""),366.42979)</f>
        <v>366.42979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IFERROR(__xludf.DUMMYFUNCTION("""COMPUTED_VALUE"""),366.44686)</f>
        <v>366.44686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IFERROR(__xludf.DUMMYFUNCTION("""COMPUTED_VALUE"""),366.46047)</f>
        <v>366.46047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IFERROR(__xludf.DUMMYFUNCTION("""COMPUTED_VALUE"""),366.46047)</f>
        <v>366.46047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IFERROR(__xludf.DUMMYFUNCTION("""COMPUTED_VALUE"""),365.87712)</f>
        <v>365.87712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IFERROR(__xludf.DUMMYFUNCTION("""COMPUTED_VALUE"""),365.39842)</f>
        <v>365.39842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IFERROR(__xludf.DUMMYFUNCTION("""COMPUTED_VALUE"""),366.0125)</f>
        <v>366.0125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IFERROR(__xludf.DUMMYFUNCTION("""COMPUTED_VALUE"""),369.7056)</f>
        <v>369.7056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IFERROR(__xludf.DUMMYFUNCTION("""COMPUTED_VALUE"""),369.5868)</f>
        <v>369.5868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IFERROR(__xludf.DUMMYFUNCTION("""COMPUTED_VALUE"""),369.73244)</f>
        <v>369.73244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IFERROR(__xludf.DUMMYFUNCTION("""COMPUTED_VALUE"""),362.4675)</f>
        <v>362.4675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IFERROR(__xludf.DUMMYFUNCTION("""COMPUTED_VALUE"""),362.235)</f>
        <v>362.235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IFERROR(__xludf.DUMMYFUNCTION("""COMPUTED_VALUE"""),368.9104)</f>
        <v>368.9104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IFERROR(__xludf.DUMMYFUNCTION("""COMPUTED_VALUE"""),369.1481)</f>
        <v>369.1481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IFERROR(__xludf.DUMMYFUNCTION("""COMPUTED_VALUE"""),371.37144)</f>
        <v>371.37144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IFERROR(__xludf.DUMMYFUNCTION("""COMPUTED_VALUE"""),371.10525)</f>
        <v>371.10525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IFERROR(__xludf.DUMMYFUNCTION("""COMPUTED_VALUE"""),370.689)</f>
        <v>370.689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IFERROR(__xludf.DUMMYFUNCTION("""COMPUTED_VALUE"""),362.13478)</f>
        <v>362.13478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IFERROR(__xludf.DUMMYFUNCTION("""COMPUTED_VALUE"""),355.94544)</f>
        <v>355.94544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IFERROR(__xludf.DUMMYFUNCTION("""COMPUTED_VALUE"""),367.14804)</f>
        <v>367.14804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IFERROR(__xludf.DUMMYFUNCTION("""COMPUTED_VALUE"""),368.86578)</f>
        <v>368.86578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IFERROR(__xludf.DUMMYFUNCTION("""COMPUTED_VALUE"""),370.11848)</f>
        <v>370.11848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IFERROR(__xludf.DUMMYFUNCTION("""COMPUTED_VALUE"""),373.1689)</f>
        <v>373.1689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IFERROR(__xludf.DUMMYFUNCTION("""COMPUTED_VALUE"""),374.63223)</f>
        <v>374.63223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IFERROR(__xludf.DUMMYFUNCTION("""COMPUTED_VALUE"""),368.6297841)</f>
        <v>368.6297841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IFERROR(__xludf.DUMMYFUNCTION("""COMPUTED_VALUE"""),373.54608)</f>
        <v>373.54608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IFERROR(__xludf.DUMMYFUNCTION("""COMPUTED_VALUE"""),373.39644)</f>
        <v>373.39644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IFERROR(__xludf.DUMMYFUNCTION("""COMPUTED_VALUE"""),372.58256)</f>
        <v>372.58256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IFERROR(__xludf.DUMMYFUNCTION("""COMPUTED_VALUE"""),371.05068)</f>
        <v>371.05068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IFERROR(__xludf.DUMMYFUNCTION("""COMPUTED_VALUE"""),372.74968)</f>
        <v>372.74968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IFERROR(__xludf.DUMMYFUNCTION("""COMPUTED_VALUE"""),372.36792)</f>
        <v>372.36792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IFERROR(__xludf.DUMMYFUNCTION("""COMPUTED_VALUE"""),372.2962224)</f>
        <v>372.2962224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IFERROR(__xludf.DUMMYFUNCTION("""COMPUTED_VALUE"""),367.0206)</f>
        <v>367.0206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IFERROR(__xludf.DUMMYFUNCTION("""COMPUTED_VALUE"""),371.21232)</f>
        <v>371.21232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IFERROR(__xludf.DUMMYFUNCTION("""COMPUTED_VALUE"""),371.60732)</f>
        <v>371.60732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IFERROR(__xludf.DUMMYFUNCTION("""COMPUTED_VALUE"""),371.24288)</f>
        <v>371.24288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IFERROR(__xludf.DUMMYFUNCTION("""COMPUTED_VALUE"""),371.97176)</f>
        <v>371.97176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IFERROR(__xludf.DUMMYFUNCTION("""COMPUTED_VALUE"""),369.7239)</f>
        <v>369.7239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IFERROR(__xludf.DUMMYFUNCTION("""COMPUTED_VALUE"""),369.8660904)</f>
        <v>369.8660904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IFERROR(__xludf.DUMMYFUNCTION("""COMPUTED_VALUE"""),369.84532)</f>
        <v>369.84532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IFERROR(__xludf.DUMMYFUNCTION("""COMPUTED_VALUE"""),371.48944)</f>
        <v>371.48944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IFERROR(__xludf.DUMMYFUNCTION("""COMPUTED_VALUE"""),371.30532)</f>
        <v>371.30532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IFERROR(__xludf.DUMMYFUNCTION("""COMPUTED_VALUE"""),371.79164)</f>
        <v>371.79164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IFERROR(__xludf.DUMMYFUNCTION("""COMPUTED_VALUE"""),366.81162)</f>
        <v>366.81162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IFERROR(__xludf.DUMMYFUNCTION("""COMPUTED_VALUE"""),366.63024)</f>
        <v>366.63024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IFERROR(__xludf.DUMMYFUNCTION("""COMPUTED_VALUE"""),366.4646631)</f>
        <v>366.4646631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IFERROR(__xludf.DUMMYFUNCTION("""COMPUTED_VALUE"""),366.87248)</f>
        <v>366.87248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IFERROR(__xludf.DUMMYFUNCTION("""COMPUTED_VALUE"""),366.65926)</f>
        <v>366.65926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IFERROR(__xludf.DUMMYFUNCTION("""COMPUTED_VALUE"""),364.48365)</f>
        <v>364.48365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IFERROR(__xludf.DUMMYFUNCTION("""COMPUTED_VALUE"""),365.08771)</f>
        <v>365.08771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IFERROR(__xludf.DUMMYFUNCTION("""COMPUTED_VALUE"""),363.968)</f>
        <v>363.968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IFERROR(__xludf.DUMMYFUNCTION("""COMPUTED_VALUE"""),358.14896)</f>
        <v>358.14896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IFERROR(__xludf.DUMMYFUNCTION("""COMPUTED_VALUE"""),358.0377957)</f>
        <v>358.0377957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IFERROR(__xludf.DUMMYFUNCTION("""COMPUTED_VALUE"""),363.99493)</f>
        <v>363.99493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IFERROR(__xludf.DUMMYFUNCTION("""COMPUTED_VALUE"""),357.9036)</f>
        <v>357.9036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IFERROR(__xludf.DUMMYFUNCTION("""COMPUTED_VALUE"""),359.22244)</f>
        <v>359.22244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IFERROR(__xludf.DUMMYFUNCTION("""COMPUTED_VALUE"""),359.45292)</f>
        <v>359.45292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IFERROR(__xludf.DUMMYFUNCTION("""COMPUTED_VALUE"""),362.16022)</f>
        <v>362.16022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IFERROR(__xludf.DUMMYFUNCTION("""COMPUTED_VALUE"""),361.0761)</f>
        <v>361.0761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IFERROR(__xludf.DUMMYFUNCTION("""COMPUTED_VALUE"""),361.2097755)</f>
        <v>361.2097755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IFERROR(__xludf.DUMMYFUNCTION("""COMPUTED_VALUE"""),352.7755)</f>
        <v>352.7755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IFERROR(__xludf.DUMMYFUNCTION("""COMPUTED_VALUE"""),362.02571)</f>
        <v>362.02571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IFERROR(__xludf.DUMMYFUNCTION("""COMPUTED_VALUE"""),366.56418)</f>
        <v>366.56418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IFERROR(__xludf.DUMMYFUNCTION("""COMPUTED_VALUE"""),365.65768)</f>
        <v>365.65768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IFERROR(__xludf.DUMMYFUNCTION("""COMPUTED_VALUE"""),367.38534)</f>
        <v>367.38534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IFERROR(__xludf.DUMMYFUNCTION("""COMPUTED_VALUE"""),368.90334)</f>
        <v>368.90334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IFERROR(__xludf.DUMMYFUNCTION("""COMPUTED_VALUE"""),369.1746864)</f>
        <v>369.1746864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IFERROR(__xludf.DUMMYFUNCTION("""COMPUTED_VALUE"""),361.74841)</f>
        <v>361.74841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IFERROR(__xludf.DUMMYFUNCTION("""COMPUTED_VALUE"""),370.54486)</f>
        <v>370.54486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IFERROR(__xludf.DUMMYFUNCTION("""COMPUTED_VALUE"""),367.50627)</f>
        <v>367.50627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IFERROR(__xludf.DUMMYFUNCTION("""COMPUTED_VALUE"""),366.2361)</f>
        <v>366.2361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IFERROR(__xludf.DUMMYFUNCTION("""COMPUTED_VALUE"""),367.44718)</f>
        <v>367.44718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IFERROR(__xludf.DUMMYFUNCTION("""COMPUTED_VALUE"""),367.5375)</f>
        <v>367.5375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IFERROR(__xludf.DUMMYFUNCTION("""COMPUTED_VALUE"""),361.2665116)</f>
        <v>361.2665116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IFERROR(__xludf.DUMMYFUNCTION("""COMPUTED_VALUE"""),367.5375)</f>
        <v>367.5375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IFERROR(__xludf.DUMMYFUNCTION("""COMPUTED_VALUE"""),366.90162)</f>
        <v>366.90162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IFERROR(__xludf.DUMMYFUNCTION("""COMPUTED_VALUE"""),365.54031)</f>
        <v>365.54031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IFERROR(__xludf.DUMMYFUNCTION("""COMPUTED_VALUE"""),366.61)</f>
        <v>366.61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IFERROR(__xludf.DUMMYFUNCTION("""COMPUTED_VALUE"""),363.573)</f>
        <v>363.573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IFERROR(__xludf.DUMMYFUNCTION("""COMPUTED_VALUE"""),365.67047)</f>
        <v>365.67047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IFERROR(__xludf.DUMMYFUNCTION("""COMPUTED_VALUE"""),361.8990153)</f>
        <v>361.8990153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IFERROR(__xludf.DUMMYFUNCTION("""COMPUTED_VALUE"""),360.99008)</f>
        <v>360.99008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IFERROR(__xludf.DUMMYFUNCTION("""COMPUTED_VALUE"""),366.07144)</f>
        <v>366.07144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IFERROR(__xludf.DUMMYFUNCTION("""COMPUTED_VALUE"""),365.9348)</f>
        <v>365.9348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IFERROR(__xludf.DUMMYFUNCTION("""COMPUTED_VALUE"""),366.40101)</f>
        <v>366.40101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IFERROR(__xludf.DUMMYFUNCTION("""COMPUTED_VALUE"""),364.5932)</f>
        <v>364.5932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IFERROR(__xludf.DUMMYFUNCTION("""COMPUTED_VALUE"""),358.74146)</f>
        <v>358.74146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IFERROR(__xludf.DUMMYFUNCTION("""COMPUTED_VALUE"""),359.30211)</f>
        <v>359.30211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IFERROR(__xludf.DUMMYFUNCTION("""COMPUTED_VALUE"""),361.21426)</f>
        <v>361.21426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IFERROR(__xludf.DUMMYFUNCTION("""COMPUTED_VALUE"""),360.32838)</f>
        <v>360.32838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IFERROR(__xludf.DUMMYFUNCTION("""COMPUTED_VALUE"""),364.1984)</f>
        <v>364.1984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IFERROR(__xludf.DUMMYFUNCTION("""COMPUTED_VALUE"""),357.48273)</f>
        <v>357.48273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IFERROR(__xludf.DUMMYFUNCTION("""COMPUTED_VALUE"""),360.82748)</f>
        <v>360.82748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IFERROR(__xludf.DUMMYFUNCTION("""COMPUTED_VALUE"""),358.6067)</f>
        <v>358.6067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IFERROR(__xludf.DUMMYFUNCTION("""COMPUTED_VALUE"""),359.181089)</f>
        <v>359.181089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IFERROR(__xludf.DUMMYFUNCTION("""COMPUTED_VALUE"""),353.23344)</f>
        <v>353.23344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IFERROR(__xludf.DUMMYFUNCTION("""COMPUTED_VALUE"""),355.61472)</f>
        <v>355.61472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IFERROR(__xludf.DUMMYFUNCTION("""COMPUTED_VALUE"""),356.6178)</f>
        <v>356.6178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IFERROR(__xludf.DUMMYFUNCTION("""COMPUTED_VALUE"""),357.91288)</f>
        <v>357.91288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IFERROR(__xludf.DUMMYFUNCTION("""COMPUTED_VALUE"""),355.91868)</f>
        <v>355.91868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IFERROR(__xludf.DUMMYFUNCTION("""COMPUTED_VALUE"""),354.82123)</f>
        <v>354.82123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IFERROR(__xludf.DUMMYFUNCTION("""COMPUTED_VALUE"""),355.3880116)</f>
        <v>355.3880116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IFERROR(__xludf.DUMMYFUNCTION("""COMPUTED_VALUE"""),347.87983)</f>
        <v>347.87983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IFERROR(__xludf.DUMMYFUNCTION("""COMPUTED_VALUE"""),358.18888)</f>
        <v>358.18888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IFERROR(__xludf.DUMMYFUNCTION("""COMPUTED_VALUE"""),357.50506)</f>
        <v>357.50506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IFERROR(__xludf.DUMMYFUNCTION("""COMPUTED_VALUE"""),358.00674)</f>
        <v>358.00674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IFERROR(__xludf.DUMMYFUNCTION("""COMPUTED_VALUE"""),353.8241)</f>
        <v>353.8241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IFERROR(__xludf.DUMMYFUNCTION("""COMPUTED_VALUE"""),352.3967)</f>
        <v>352.3967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IFERROR(__xludf.DUMMYFUNCTION("""COMPUTED_VALUE"""),352.907375)</f>
        <v>352.907375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IFERROR(__xludf.DUMMYFUNCTION("""COMPUTED_VALUE"""),346.36212)</f>
        <v>346.36212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IFERROR(__xludf.DUMMYFUNCTION("""COMPUTED_VALUE"""),352.7298)</f>
        <v>352.7298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IFERROR(__xludf.DUMMYFUNCTION("""COMPUTED_VALUE"""),354.6568)</f>
        <v>354.6568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IFERROR(__xludf.DUMMYFUNCTION("""COMPUTED_VALUE"""),352.6554)</f>
        <v>352.6554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IFERROR(__xludf.DUMMYFUNCTION("""COMPUTED_VALUE"""),352.9089)</f>
        <v>352.9089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IFERROR(__xludf.DUMMYFUNCTION("""COMPUTED_VALUE"""),349.6112)</f>
        <v>349.6112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IFERROR(__xludf.DUMMYFUNCTION("""COMPUTED_VALUE"""),350.2260216)</f>
        <v>350.2260216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IFERROR(__xludf.DUMMYFUNCTION("""COMPUTED_VALUE"""),344.30208)</f>
        <v>344.30208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IFERROR(__xludf.DUMMYFUNCTION("""COMPUTED_VALUE"""),350.09172)</f>
        <v>350.09172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IFERROR(__xludf.DUMMYFUNCTION("""COMPUTED_VALUE"""),352.434)</f>
        <v>352.434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IFERROR(__xludf.DUMMYFUNCTION("""COMPUTED_VALUE"""),349.479)</f>
        <v>349.479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IFERROR(__xludf.DUMMYFUNCTION("""COMPUTED_VALUE"""),353.1128)</f>
        <v>353.1128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IFERROR(__xludf.DUMMYFUNCTION("""COMPUTED_VALUE"""),351.83486)</f>
        <v>351.83486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IFERROR(__xludf.DUMMYFUNCTION("""COMPUTED_VALUE"""),352.3971024)</f>
        <v>352.3971024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IFERROR(__xludf.DUMMYFUNCTION("""COMPUTED_VALUE"""),351.83486)</f>
        <v>351.83486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IFERROR(__xludf.DUMMYFUNCTION("""COMPUTED_VALUE"""),349.80519)</f>
        <v>349.80519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IFERROR(__xludf.DUMMYFUNCTION("""COMPUTED_VALUE"""),349.28289)</f>
        <v>349.28289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IFERROR(__xludf.DUMMYFUNCTION("""COMPUTED_VALUE"""),350.94015)</f>
        <v>350.94015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IFERROR(__xludf.DUMMYFUNCTION("""COMPUTED_VALUE"""),349.73813)</f>
        <v>349.73813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IFERROR(__xludf.DUMMYFUNCTION("""COMPUTED_VALUE"""),347.62875)</f>
        <v>347.62875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IFERROR(__xludf.DUMMYFUNCTION("""COMPUTED_VALUE"""),342.8083554)</f>
        <v>342.8083554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IFERROR(__xludf.DUMMYFUNCTION("""COMPUTED_VALUE"""),342.0893)</f>
        <v>342.0893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IFERROR(__xludf.DUMMYFUNCTION("""COMPUTED_VALUE"""),347.1042)</f>
        <v>347.1042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IFERROR(__xludf.DUMMYFUNCTION("""COMPUTED_VALUE"""),347.8722)</f>
        <v>347.8722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IFERROR(__xludf.DUMMYFUNCTION("""COMPUTED_VALUE"""),347.4955)</f>
        <v>347.4955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IFERROR(__xludf.DUMMYFUNCTION("""COMPUTED_VALUE"""),348.55125)</f>
        <v>348.55125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IFERROR(__xludf.DUMMYFUNCTION("""COMPUTED_VALUE"""),348.2349)</f>
        <v>348.2349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IFERROR(__xludf.DUMMYFUNCTION("""COMPUTED_VALUE"""),341.9023538)</f>
        <v>341.9023538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IFERROR(__xludf.DUMMYFUNCTION("""COMPUTED_VALUE"""),341.3358)</f>
        <v>341.3358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IFERROR(__xludf.DUMMYFUNCTION("""COMPUTED_VALUE"""),347.6601)</f>
        <v>347.6601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IFERROR(__xludf.DUMMYFUNCTION("""COMPUTED_VALUE"""),348.6096)</f>
        <v>348.6096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IFERROR(__xludf.DUMMYFUNCTION("""COMPUTED_VALUE"""),349.7081)</f>
        <v>349.7081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IFERROR(__xludf.DUMMYFUNCTION("""COMPUTED_VALUE"""),351.12775)</f>
        <v>351.12775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IFERROR(__xludf.DUMMYFUNCTION("""COMPUTED_VALUE"""),352.67525)</f>
        <v>352.67525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IFERROR(__xludf.DUMMYFUNCTION("""COMPUTED_VALUE"""),347.602584)</f>
        <v>347.602584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IFERROR(__xludf.DUMMYFUNCTION("""COMPUTED_VALUE"""),351.6497)</f>
        <v>351.6497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IFERROR(__xludf.DUMMYFUNCTION("""COMPUTED_VALUE"""),353.82984)</f>
        <v>353.82984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IFERROR(__xludf.DUMMYFUNCTION("""COMPUTED_VALUE"""),354.3775)</f>
        <v>354.3775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IFERROR(__xludf.DUMMYFUNCTION("""COMPUTED_VALUE"""),353.44095)</f>
        <v>353.44095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IFERROR(__xludf.DUMMYFUNCTION("""COMPUTED_VALUE"""),355.0239)</f>
        <v>355.0239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IFERROR(__xludf.DUMMYFUNCTION("""COMPUTED_VALUE"""),355.13835)</f>
        <v>355.13835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IFERROR(__xludf.DUMMYFUNCTION("""COMPUTED_VALUE"""),355.8483164)</f>
        <v>355.8483164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IFERROR(__xludf.DUMMYFUNCTION("""COMPUTED_VALUE"""),348.8436)</f>
        <v>348.8436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IFERROR(__xludf.DUMMYFUNCTION("""COMPUTED_VALUE"""),354.2563)</f>
        <v>354.2563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IFERROR(__xludf.DUMMYFUNCTION("""COMPUTED_VALUE"""),356.9322)</f>
        <v>356.9322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IFERROR(__xludf.DUMMYFUNCTION("""COMPUTED_VALUE"""),359.058)</f>
        <v>359.058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IFERROR(__xludf.DUMMYFUNCTION("""COMPUTED_VALUE"""),357.8217)</f>
        <v>357.8217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IFERROR(__xludf.DUMMYFUNCTION("""COMPUTED_VALUE"""),358.16805)</f>
        <v>358.16805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IFERROR(__xludf.DUMMYFUNCTION("""COMPUTED_VALUE"""),358.0345693)</f>
        <v>358.0345693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IFERROR(__xludf.DUMMYFUNCTION("""COMPUTED_VALUE"""),358.39935)</f>
        <v>358.39935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IFERROR(__xludf.DUMMYFUNCTION("""COMPUTED_VALUE"""),358.9033)</f>
        <v>358.9033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IFERROR(__xludf.DUMMYFUNCTION("""COMPUTED_VALUE"""),357.77955)</f>
        <v>357.77955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IFERROR(__xludf.DUMMYFUNCTION("""COMPUTED_VALUE"""),356.5096)</f>
        <v>356.5096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IFERROR(__xludf.DUMMYFUNCTION("""COMPUTED_VALUE"""),356.62505)</f>
        <v>356.62505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IFERROR(__xludf.DUMMYFUNCTION("""COMPUTED_VALUE"""),355.3529)</f>
        <v>355.3529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IFERROR(__xludf.DUMMYFUNCTION("""COMPUTED_VALUE"""),355.9398572)</f>
        <v>355.9398572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IFERROR(__xludf.DUMMYFUNCTION("""COMPUTED_VALUE"""),355.3529)</f>
        <v>355.3529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IFERROR(__xludf.DUMMYFUNCTION("""COMPUTED_VALUE"""),355.38945)</f>
        <v>355.38945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IFERROR(__xludf.DUMMYFUNCTION("""COMPUTED_VALUE"""),355.5439)</f>
        <v>355.5439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IFERROR(__xludf.DUMMYFUNCTION("""COMPUTED_VALUE"""),356.8188)</f>
        <v>356.8188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IFERROR(__xludf.DUMMYFUNCTION("""COMPUTED_VALUE"""),354.509)</f>
        <v>354.509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IFERROR(__xludf.DUMMYFUNCTION("""COMPUTED_VALUE"""),353.31705)</f>
        <v>353.31705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IFERROR(__xludf.DUMMYFUNCTION("""COMPUTED_VALUE"""),354.1039347)</f>
        <v>354.1039347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IFERROR(__xludf.DUMMYFUNCTION("""COMPUTED_VALUE"""),351.17295)</f>
        <v>351.17295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IFERROR(__xludf.DUMMYFUNCTION("""COMPUTED_VALUE"""),353.088)</f>
        <v>353.088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IFERROR(__xludf.DUMMYFUNCTION("""COMPUTED_VALUE"""),351.78555)</f>
        <v>351.78555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IFERROR(__xludf.DUMMYFUNCTION("""COMPUTED_VALUE"""),351.5021)</f>
        <v>351.5021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IFERROR(__xludf.DUMMYFUNCTION("""COMPUTED_VALUE"""),349.86105)</f>
        <v>349.86105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IFERROR(__xludf.DUMMYFUNCTION("""COMPUTED_VALUE"""),347.9768)</f>
        <v>347.9768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IFERROR(__xludf.DUMMYFUNCTION("""COMPUTED_VALUE"""),343.2460752)</f>
        <v>343.2460752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IFERROR(__xludf.DUMMYFUNCTION("""COMPUTED_VALUE"""),344.4336)</f>
        <v>344.4336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IFERROR(__xludf.DUMMYFUNCTION("""COMPUTED_VALUE"""),350.9366)</f>
        <v>350.9366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IFERROR(__xludf.DUMMYFUNCTION("""COMPUTED_VALUE"""),351.9366)</f>
        <v>351.9366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IFERROR(__xludf.DUMMYFUNCTION("""COMPUTED_VALUE"""),353.8161)</f>
        <v>353.8161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IFERROR(__xludf.DUMMYFUNCTION("""COMPUTED_VALUE"""),353.357)</f>
        <v>353.357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IFERROR(__xludf.DUMMYFUNCTION("""COMPUTED_VALUE"""),356.08245)</f>
        <v>356.08245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IFERROR(__xludf.DUMMYFUNCTION("""COMPUTED_VALUE"""),355.0287899)</f>
        <v>355.0287899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IFERROR(__xludf.DUMMYFUNCTION("""COMPUTED_VALUE"""),355.9665)</f>
        <v>355.9665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IFERROR(__xludf.DUMMYFUNCTION("""COMPUTED_VALUE"""),354.5452)</f>
        <v>354.5452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IFERROR(__xludf.DUMMYFUNCTION("""COMPUTED_VALUE"""),354.1984)</f>
        <v>354.1984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IFERROR(__xludf.DUMMYFUNCTION("""COMPUTED_VALUE"""),355.5291)</f>
        <v>355.5291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IFERROR(__xludf.DUMMYFUNCTION("""COMPUTED_VALUE"""),353.29965)</f>
        <v>353.29965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IFERROR(__xludf.DUMMYFUNCTION("""COMPUTED_VALUE"""),354.5806)</f>
        <v>354.5806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IFERROR(__xludf.DUMMYFUNCTION("""COMPUTED_VALUE"""),355.672319)</f>
        <v>355.672319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IFERROR(__xludf.DUMMYFUNCTION("""COMPUTED_VALUE"""),355.672319)</f>
        <v>355.672319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IFERROR(__xludf.DUMMYFUNCTION("""COMPUTED_VALUE"""),357.7392)</f>
        <v>357.7392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IFERROR(__xludf.DUMMYFUNCTION("""COMPUTED_VALUE"""),360.7505)</f>
        <v>360.7505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IFERROR(__xludf.DUMMYFUNCTION("""COMPUTED_VALUE"""),363.1375)</f>
        <v>363.1375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IFERROR(__xludf.DUMMYFUNCTION("""COMPUTED_VALUE"""),362.6939)</f>
        <v>362.6939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IFERROR(__xludf.DUMMYFUNCTION("""COMPUTED_VALUE"""),363.31125)</f>
        <v>363.31125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IFERROR(__xludf.DUMMYFUNCTION("""COMPUTED_VALUE"""),363.9050325)</f>
        <v>363.9050325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IFERROR(__xludf.DUMMYFUNCTION("""COMPUTED_VALUE"""),363.9050325)</f>
        <v>363.9050325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IFERROR(__xludf.DUMMYFUNCTION("""COMPUTED_VALUE"""),362.9055)</f>
        <v>362.9055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IFERROR(__xludf.DUMMYFUNCTION("""COMPUTED_VALUE"""),363.78385)</f>
        <v>363.78385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IFERROR(__xludf.DUMMYFUNCTION("""COMPUTED_VALUE"""),363.23985)</f>
        <v>363.23985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IFERROR(__xludf.DUMMYFUNCTION("""COMPUTED_VALUE"""),362.7062)</f>
        <v>362.7062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IFERROR(__xludf.DUMMYFUNCTION("""COMPUTED_VALUE"""),363.56725)</f>
        <v>363.56725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IFERROR(__xludf.DUMMYFUNCTION("""COMPUTED_VALUE"""),364.3445782)</f>
        <v>364.3445782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IFERROR(__xludf.DUMMYFUNCTION("""COMPUTED_VALUE"""),364.1084508)</f>
        <v>364.1084508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IFERROR(__xludf.DUMMYFUNCTION("""COMPUTED_VALUE"""),364.8472)</f>
        <v>364.8472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IFERROR(__xludf.DUMMYFUNCTION("""COMPUTED_VALUE"""),365.46375)</f>
        <v>365.46375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IFERROR(__xludf.DUMMYFUNCTION("""COMPUTED_VALUE"""),370.11415)</f>
        <v>370.11415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IFERROR(__xludf.DUMMYFUNCTION("""COMPUTED_VALUE"""),366.62455)</f>
        <v>366.62455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IFERROR(__xludf.DUMMYFUNCTION("""COMPUTED_VALUE"""),367.7015)</f>
        <v>367.7015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IFERROR(__xludf.DUMMYFUNCTION("""COMPUTED_VALUE"""),368.6225112)</f>
        <v>368.6225112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IFERROR(__xludf.DUMMYFUNCTION("""COMPUTED_VALUE"""),368.5027508)</f>
        <v>368.5027508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IFERROR(__xludf.DUMMYFUNCTION("""COMPUTED_VALUE"""),369.35028)</f>
        <v>369.35028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IFERROR(__xludf.DUMMYFUNCTION("""COMPUTED_VALUE"""),369.446)</f>
        <v>369.446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IFERROR(__xludf.DUMMYFUNCTION("""COMPUTED_VALUE"""),372.2511)</f>
        <v>372.2511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IFERROR(__xludf.DUMMYFUNCTION("""COMPUTED_VALUE"""),371.8884)</f>
        <v>371.8884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IFERROR(__xludf.DUMMYFUNCTION("""COMPUTED_VALUE"""),370.0958)</f>
        <v>370.0958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IFERROR(__xludf.DUMMYFUNCTION("""COMPUTED_VALUE"""),370.0720917)</f>
        <v>370.0720917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IFERROR(__xludf.DUMMYFUNCTION("""COMPUTED_VALUE"""),370.0720917)</f>
        <v>370.0720917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IFERROR(__xludf.DUMMYFUNCTION("""COMPUTED_VALUE"""),366.17685)</f>
        <v>366.17685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IFERROR(__xludf.DUMMYFUNCTION("""COMPUTED_VALUE"""),367.234)</f>
        <v>367.234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IFERROR(__xludf.DUMMYFUNCTION("""COMPUTED_VALUE"""),367.353)</f>
        <v>367.353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IFERROR(__xludf.DUMMYFUNCTION("""COMPUTED_VALUE"""),367.1502)</f>
        <v>367.1502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IFERROR(__xludf.DUMMYFUNCTION("""COMPUTED_VALUE"""),365.9996)</f>
        <v>365.9996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IFERROR(__xludf.DUMMYFUNCTION("""COMPUTED_VALUE"""),366.6269376)</f>
        <v>366.6269376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IFERROR(__xludf.DUMMYFUNCTION("""COMPUTED_VALUE"""),366.389408)</f>
        <v>366.389408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IFERROR(__xludf.DUMMYFUNCTION("""COMPUTED_VALUE"""),361.48175)</f>
        <v>361.48175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IFERROR(__xludf.DUMMYFUNCTION("""COMPUTED_VALUE"""),359.9819)</f>
        <v>359.9819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IFERROR(__xludf.DUMMYFUNCTION("""COMPUTED_VALUE"""),360.41345)</f>
        <v>360.41345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IFERROR(__xludf.DUMMYFUNCTION("""COMPUTED_VALUE"""),359.2485)</f>
        <v>359.2485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IFERROR(__xludf.DUMMYFUNCTION("""COMPUTED_VALUE"""),360.6834)</f>
        <v>360.6834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IFERROR(__xludf.DUMMYFUNCTION("""COMPUTED_VALUE"""),361.8159552)</f>
        <v>361.8159552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IFERROR(__xludf.DUMMYFUNCTION("""COMPUTED_VALUE"""),361.6995408)</f>
        <v>361.6995408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IFERROR(__xludf.DUMMYFUNCTION("""COMPUTED_VALUE"""),362.626)</f>
        <v>362.626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IFERROR(__xludf.DUMMYFUNCTION("""COMPUTED_VALUE"""),364.492)</f>
        <v>364.492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IFERROR(__xludf.DUMMYFUNCTION("""COMPUTED_VALUE"""),362.18262)</f>
        <v>362.18262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IFERROR(__xludf.DUMMYFUNCTION("""COMPUTED_VALUE"""),361.8098)</f>
        <v>361.8098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IFERROR(__xludf.DUMMYFUNCTION("""COMPUTED_VALUE"""),361.2265)</f>
        <v>361.2265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IFERROR(__xludf.DUMMYFUNCTION("""COMPUTED_VALUE"""),361.9323696)</f>
        <v>361.9323696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IFERROR(__xludf.DUMMYFUNCTION("""COMPUTED_VALUE"""),362.1651984)</f>
        <v>362.1651984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IFERROR(__xludf.DUMMYFUNCTION("""COMPUTED_VALUE"""),362.0592)</f>
        <v>362.0592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IFERROR(__xludf.DUMMYFUNCTION("""COMPUTED_VALUE"""),364.191)</f>
        <v>364.191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IFERROR(__xludf.DUMMYFUNCTION("""COMPUTED_VALUE"""),360.97355)</f>
        <v>360.97355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IFERROR(__xludf.DUMMYFUNCTION("""COMPUTED_VALUE"""),362.38624)</f>
        <v>362.38624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IFERROR(__xludf.DUMMYFUNCTION("""COMPUTED_VALUE"""),362.66857)</f>
        <v>362.66857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IFERROR(__xludf.DUMMYFUNCTION("""COMPUTED_VALUE"""),363.4992476)</f>
        <v>363.4992476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IFERROR(__xludf.DUMMYFUNCTION("""COMPUTED_VALUE"""),363.6151224)</f>
        <v>363.6151224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IFERROR(__xludf.DUMMYFUNCTION("""COMPUTED_VALUE"""),363.0154)</f>
        <v>363.0154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IFERROR(__xludf.DUMMYFUNCTION("""COMPUTED_VALUE"""),362.78418)</f>
        <v>362.78418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IFERROR(__xludf.DUMMYFUNCTION("""COMPUTED_VALUE"""),361.62808)</f>
        <v>361.62808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IFERROR(__xludf.DUMMYFUNCTION("""COMPUTED_VALUE"""),365.17905)</f>
        <v>365.17905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IFERROR(__xludf.DUMMYFUNCTION("""COMPUTED_VALUE"""),368.99571)</f>
        <v>368.99571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IFERROR(__xludf.DUMMYFUNCTION("""COMPUTED_VALUE"""),367.2961707)</f>
        <v>367.2961707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IFERROR(__xludf.DUMMYFUNCTION("""COMPUTED_VALUE"""),369.2397632)</f>
        <v>369.2397632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IFERROR(__xludf.DUMMYFUNCTION("""COMPUTED_VALUE"""),365.3454)</f>
        <v>365.3454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IFERROR(__xludf.DUMMYFUNCTION("""COMPUTED_VALUE"""),362.1585)</f>
        <v>362.1585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IFERROR(__xludf.DUMMYFUNCTION("""COMPUTED_VALUE"""),365.20348)</f>
        <v>365.20348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IFERROR(__xludf.DUMMYFUNCTION("""COMPUTED_VALUE"""),366.017)</f>
        <v>366.017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IFERROR(__xludf.DUMMYFUNCTION("""COMPUTED_VALUE"""),365.2695)</f>
        <v>365.2695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IFERROR(__xludf.DUMMYFUNCTION("""COMPUTED_VALUE"""),367.178107)</f>
        <v>367.178107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IFERROR(__xludf.DUMMYFUNCTION("""COMPUTED_VALUE"""),367.4940597)</f>
        <v>367.4940597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IFERROR(__xludf.DUMMYFUNCTION("""COMPUTED_VALUE"""),364.338)</f>
        <v>364.338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IFERROR(__xludf.DUMMYFUNCTION("""COMPUTED_VALUE"""),363.832)</f>
        <v>363.832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IFERROR(__xludf.DUMMYFUNCTION("""COMPUTED_VALUE"""),365.44424)</f>
        <v>365.44424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IFERROR(__xludf.DUMMYFUNCTION("""COMPUTED_VALUE"""),366.0879)</f>
        <v>366.0879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IFERROR(__xludf.DUMMYFUNCTION("""COMPUTED_VALUE"""),365.64378)</f>
        <v>365.64378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IFERROR(__xludf.DUMMYFUNCTION("""COMPUTED_VALUE"""),366.1214016)</f>
        <v>366.1214016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IFERROR(__xludf.DUMMYFUNCTION("""COMPUTED_VALUE"""),365.8877568)</f>
        <v>365.8877568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IFERROR(__xludf.DUMMYFUNCTION("""COMPUTED_VALUE"""),366.4016)</f>
        <v>366.4016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IFERROR(__xludf.DUMMYFUNCTION("""COMPUTED_VALUE"""),365.28516)</f>
        <v>365.28516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IFERROR(__xludf.DUMMYFUNCTION("""COMPUTED_VALUE"""),365.274)</f>
        <v>365.274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IFERROR(__xludf.DUMMYFUNCTION("""COMPUTED_VALUE"""),365.25)</f>
        <v>365.25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IFERROR(__xludf.DUMMYFUNCTION("""COMPUTED_VALUE"""),364.7248)</f>
        <v>364.7248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IFERROR(__xludf.DUMMYFUNCTION("""COMPUTED_VALUE"""),365.5372896)</f>
        <v>365.5372896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IFERROR(__xludf.DUMMYFUNCTION("""COMPUTED_VALUE"""),363.901776)</f>
        <v>363.901776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IFERROR(__xludf.DUMMYFUNCTION("""COMPUTED_VALUE"""),365.67948)</f>
        <v>365.67948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IFERROR(__xludf.DUMMYFUNCTION("""COMPUTED_VALUE"""),366.1474)</f>
        <v>366.1474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IFERROR(__xludf.DUMMYFUNCTION("""COMPUTED_VALUE"""),365.3478)</f>
        <v>365.3478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IFERROR(__xludf.DUMMYFUNCTION("""COMPUTED_VALUE"""),366.4452)</f>
        <v>366.4452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IFERROR(__xludf.DUMMYFUNCTION("""COMPUTED_VALUE"""),357.8364)</f>
        <v>357.8364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IFERROR(__xludf.DUMMYFUNCTION("""COMPUTED_VALUE"""),358.31376)</f>
        <v>358.31376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IFERROR(__xludf.DUMMYFUNCTION("""COMPUTED_VALUE"""),366.042096)</f>
        <v>366.042096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IFERROR(__xludf.DUMMYFUNCTION("""COMPUTED_VALUE"""),365.875)</f>
        <v>365.875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IFERROR(__xludf.DUMMYFUNCTION("""COMPUTED_VALUE"""),365.32473)</f>
        <v>365.32473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IFERROR(__xludf.DUMMYFUNCTION("""COMPUTED_VALUE"""),367.24807)</f>
        <v>367.24807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IFERROR(__xludf.DUMMYFUNCTION("""COMPUTED_VALUE"""),365.49733)</f>
        <v>365.49733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IFERROR(__xludf.DUMMYFUNCTION("""COMPUTED_VALUE"""),358.45876)</f>
        <v>358.45876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IFERROR(__xludf.DUMMYFUNCTION("""COMPUTED_VALUE"""),358.9199064)</f>
        <v>358.9199064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IFERROR(__xludf.DUMMYFUNCTION("""COMPUTED_VALUE"""),358.9199064)</f>
        <v>358.9199064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IFERROR(__xludf.DUMMYFUNCTION("""COMPUTED_VALUE"""),365.21134)</f>
        <v>365.21134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IFERROR(__xludf.DUMMYFUNCTION("""COMPUTED_VALUE"""),367.86834)</f>
        <v>367.86834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IFERROR(__xludf.DUMMYFUNCTION("""COMPUTED_VALUE"""),366.85575)</f>
        <v>366.85575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IFERROR(__xludf.DUMMYFUNCTION("""COMPUTED_VALUE"""),367.2032)</f>
        <v>367.2032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IFERROR(__xludf.DUMMYFUNCTION("""COMPUTED_VALUE"""),363.08675)</f>
        <v>363.08675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IFERROR(__xludf.DUMMYFUNCTION("""COMPUTED_VALUE"""),363.3332752)</f>
        <v>363.3332752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IFERROR(__xludf.DUMMYFUNCTION("""COMPUTED_VALUE"""),363.8094656)</f>
        <v>363.8094656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IFERROR(__xludf.DUMMYFUNCTION("""COMPUTED_VALUE"""),369.5076)</f>
        <v>369.5076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IFERROR(__xludf.DUMMYFUNCTION("""COMPUTED_VALUE"""),371.535)</f>
        <v>371.535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IFERROR(__xludf.DUMMYFUNCTION("""COMPUTED_VALUE"""),369.74542)</f>
        <v>369.74542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IFERROR(__xludf.DUMMYFUNCTION("""COMPUTED_VALUE"""),370.91931)</f>
        <v>370.91931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IFERROR(__xludf.DUMMYFUNCTION("""COMPUTED_VALUE"""),364.04354)</f>
        <v>364.04354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IFERROR(__xludf.DUMMYFUNCTION("""COMPUTED_VALUE"""),364.705824)</f>
        <v>364.705824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IFERROR(__xludf.DUMMYFUNCTION("""COMPUTED_VALUE"""),364.94592)</f>
        <v>364.94592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IFERROR(__xludf.DUMMYFUNCTION("""COMPUTED_VALUE"""),371.38824)</f>
        <v>371.38824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IFERROR(__xludf.DUMMYFUNCTION("""COMPUTED_VALUE"""),371.07)</f>
        <v>371.07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IFERROR(__xludf.DUMMYFUNCTION("""COMPUTED_VALUE"""),370.35243)</f>
        <v>370.35243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IFERROR(__xludf.DUMMYFUNCTION("""COMPUTED_VALUE"""),370.59932)</f>
        <v>370.59932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IFERROR(__xludf.DUMMYFUNCTION("""COMPUTED_VALUE"""),372.104)</f>
        <v>372.104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IFERROR(__xludf.DUMMYFUNCTION("""COMPUTED_VALUE"""),364.7766528)</f>
        <v>364.7766528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IFERROR(__xludf.DUMMYFUNCTION("""COMPUTED_VALUE"""),364.4147712)</f>
        <v>364.4147712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IFERROR(__xludf.DUMMYFUNCTION("""COMPUTED_VALUE"""),374.5807)</f>
        <v>374.5807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IFERROR(__xludf.DUMMYFUNCTION("""COMPUTED_VALUE"""),375.2335)</f>
        <v>375.2335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IFERROR(__xludf.DUMMYFUNCTION("""COMPUTED_VALUE"""),373.7253)</f>
        <v>373.7253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IFERROR(__xludf.DUMMYFUNCTION("""COMPUTED_VALUE"""),373.0496)</f>
        <v>373.0496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IFERROR(__xludf.DUMMYFUNCTION("""COMPUTED_VALUE"""),364.45552)</f>
        <v>364.45552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IFERROR(__xludf.DUMMYFUNCTION("""COMPUTED_VALUE"""),373.2926232)</f>
        <v>373.2926232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IFERROR(__xludf.DUMMYFUNCTION("""COMPUTED_VALUE"""),373.170672)</f>
        <v>373.170672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IFERROR(__xludf.DUMMYFUNCTION("""COMPUTED_VALUE"""),372.54849)</f>
        <v>372.54849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IFERROR(__xludf.DUMMYFUNCTION("""COMPUTED_VALUE"""),374.72606)</f>
        <v>374.72606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IFERROR(__xludf.DUMMYFUNCTION("""COMPUTED_VALUE"""),374.9691)</f>
        <v>374.9691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IFERROR(__xludf.DUMMYFUNCTION("""COMPUTED_VALUE"""),375.5136)</f>
        <v>375.5136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IFERROR(__xludf.DUMMYFUNCTION("""COMPUTED_VALUE"""),367.7652)</f>
        <v>367.7652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IFERROR(__xludf.DUMMYFUNCTION("""COMPUTED_VALUE"""),368.2148916)</f>
        <v>368.2148916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IFERROR(__xludf.DUMMYFUNCTION("""COMPUTED_VALUE"""),368.7038888)</f>
        <v>368.7038888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IFERROR(__xludf.DUMMYFUNCTION("""COMPUTED_VALUE"""),376.126)</f>
        <v>376.126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IFERROR(__xludf.DUMMYFUNCTION("""COMPUTED_VALUE"""),375.0885)</f>
        <v>375.0885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IFERROR(__xludf.DUMMYFUNCTION("""COMPUTED_VALUE"""),376.95841)</f>
        <v>376.95841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IFERROR(__xludf.DUMMYFUNCTION("""COMPUTED_VALUE"""),376.5564)</f>
        <v>376.5564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IFERROR(__xludf.DUMMYFUNCTION("""COMPUTED_VALUE"""),373.22568)</f>
        <v>373.22568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IFERROR(__xludf.DUMMYFUNCTION("""COMPUTED_VALUE"""),373.8181164)</f>
        <v>373.8181164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IFERROR(__xludf.DUMMYFUNCTION("""COMPUTED_VALUE"""),373.333268)</f>
        <v>373.333268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IFERROR(__xludf.DUMMYFUNCTION("""COMPUTED_VALUE"""),372.31764)</f>
        <v>372.31764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IFERROR(__xludf.DUMMYFUNCTION("""COMPUTED_VALUE"""),371.11752)</f>
        <v>371.11752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IFERROR(__xludf.DUMMYFUNCTION("""COMPUTED_VALUE"""),370.4216)</f>
        <v>370.4216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IFERROR(__xludf.DUMMYFUNCTION("""COMPUTED_VALUE"""),372.37895)</f>
        <v>372.37895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IFERROR(__xludf.DUMMYFUNCTION("""COMPUTED_VALUE"""),372.03075)</f>
        <v>372.03075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IFERROR(__xludf.DUMMYFUNCTION("""COMPUTED_VALUE"""),366.5051859)</f>
        <v>366.5051859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IFERROR(__xludf.DUMMYFUNCTION("""COMPUTED_VALUE"""),366.6261048)</f>
        <v>366.6261048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IFERROR(__xludf.DUMMYFUNCTION("""COMPUTED_VALUE"""),372.801)</f>
        <v>372.801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IFERROR(__xludf.DUMMYFUNCTION("""COMPUTED_VALUE"""),373.94097)</f>
        <v>373.94097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IFERROR(__xludf.DUMMYFUNCTION("""COMPUTED_VALUE"""),371.34532)</f>
        <v>371.34532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IFERROR(__xludf.DUMMYFUNCTION("""COMPUTED_VALUE"""),373.248)</f>
        <v>373.248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IFERROR(__xludf.DUMMYFUNCTION("""COMPUTED_VALUE"""),361.6172)</f>
        <v>361.6172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IFERROR(__xludf.DUMMYFUNCTION("""COMPUTED_VALUE"""),362.2730244)</f>
        <v>362.2730244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IFERROR(__xludf.DUMMYFUNCTION("""COMPUTED_VALUE"""),361.547511)</f>
        <v>361.547511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IFERROR(__xludf.DUMMYFUNCTION("""COMPUTED_VALUE"""),369.98992)</f>
        <v>369.98992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IFERROR(__xludf.DUMMYFUNCTION("""COMPUTED_VALUE"""),370.0816)</f>
        <v>370.0816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IFERROR(__xludf.DUMMYFUNCTION("""COMPUTED_VALUE"""),370.97225)</f>
        <v>370.97225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IFERROR(__xludf.DUMMYFUNCTION("""COMPUTED_VALUE"""),369.603)</f>
        <v>369.603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IFERROR(__xludf.DUMMYFUNCTION("""COMPUTED_VALUE"""),365.0065)</f>
        <v>365.0065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IFERROR(__xludf.DUMMYFUNCTION("""COMPUTED_VALUE"""),365.6096976)</f>
        <v>365.6096976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IFERROR(__xludf.DUMMYFUNCTION("""COMPUTED_VALUE"""),365.8536)</f>
        <v>365.8536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IFERROR(__xludf.DUMMYFUNCTION("""COMPUTED_VALUE"""),369.87665)</f>
        <v>369.87665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IFERROR(__xludf.DUMMYFUNCTION("""COMPUTED_VALUE"""),368.32736)</f>
        <v>368.32736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IFERROR(__xludf.DUMMYFUNCTION("""COMPUTED_VALUE"""),370.4848)</f>
        <v>370.4848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IFERROR(__xludf.DUMMYFUNCTION("""COMPUTED_VALUE"""),371.33789)</f>
        <v>371.33789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IFERROR(__xludf.DUMMYFUNCTION("""COMPUTED_VALUE"""),366.488)</f>
        <v>366.488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IFERROR(__xludf.DUMMYFUNCTION("""COMPUTED_VALUE"""),367.1146479)</f>
        <v>367.1146479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IFERROR(__xludf.DUMMYFUNCTION("""COMPUTED_VALUE"""),372.0046199)</f>
        <v>372.0046199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IFERROR(__xludf.DUMMYFUNCTION("""COMPUTED_VALUE"""),371.58165)</f>
        <v>371.58165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IFERROR(__xludf.DUMMYFUNCTION("""COMPUTED_VALUE"""),369.8125)</f>
        <v>369.8125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IFERROR(__xludf.DUMMYFUNCTION("""COMPUTED_VALUE"""),368.38488)</f>
        <v>368.38488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IFERROR(__xludf.DUMMYFUNCTION("""COMPUTED_VALUE"""),369.44985)</f>
        <v>369.44985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IFERROR(__xludf.DUMMYFUNCTION("""COMPUTED_VALUE"""),369.81384)</f>
        <v>369.81384</v>
      </c>
    </row>
    <row r="1653">
      <c r="A1653" s="3">
        <f>IFERROR(__xludf.DUMMYFUNCTION("""COMPUTED_VALUE"""),41965.99861111111)</f>
        <v>41965.99861</v>
      </c>
      <c r="B1653" s="1">
        <f>IFERROR(__xludf.DUMMYFUNCTION("""COMPUTED_VALUE"""),373.529352)</f>
        <v>373.529352</v>
      </c>
    </row>
    <row r="1654">
      <c r="A1654" s="3">
        <f>IFERROR(__xludf.DUMMYFUNCTION("""COMPUTED_VALUE"""),41966.99861111111)</f>
        <v>41966.99861</v>
      </c>
      <c r="B1654" s="1">
        <f>IFERROR(__xludf.DUMMYFUNCTION("""COMPUTED_VALUE"""),369.8660904)</f>
        <v>369.8660904</v>
      </c>
    </row>
    <row r="1655">
      <c r="A1655" s="3">
        <f>IFERROR(__xludf.DUMMYFUNCTION("""COMPUTED_VALUE"""),41967.99861111111)</f>
        <v>41967.99861</v>
      </c>
      <c r="B1655" s="1">
        <f>IFERROR(__xludf.DUMMYFUNCTION("""COMPUTED_VALUE"""),369.20719)</f>
        <v>369.20719</v>
      </c>
    </row>
    <row r="1656">
      <c r="A1656" s="3">
        <f>IFERROR(__xludf.DUMMYFUNCTION("""COMPUTED_VALUE"""),41968.99861111111)</f>
        <v>41968.99861</v>
      </c>
      <c r="B1656" s="1">
        <f>IFERROR(__xludf.DUMMYFUNCTION("""COMPUTED_VALUE"""),369.69251)</f>
        <v>369.69251</v>
      </c>
    </row>
    <row r="1657">
      <c r="A1657" s="3">
        <f>IFERROR(__xludf.DUMMYFUNCTION("""COMPUTED_VALUE"""),41969.99861111111)</f>
        <v>41969.99861</v>
      </c>
      <c r="B1657" s="1">
        <f>IFERROR(__xludf.DUMMYFUNCTION("""COMPUTED_VALUE"""),371.094)</f>
        <v>371.094</v>
      </c>
    </row>
    <row r="1658">
      <c r="A1658" s="3">
        <f>IFERROR(__xludf.DUMMYFUNCTION("""COMPUTED_VALUE"""),41970.99861111111)</f>
        <v>41970.99861</v>
      </c>
      <c r="B1658" s="1">
        <f>IFERROR(__xludf.DUMMYFUNCTION("""COMPUTED_VALUE"""),370.97225)</f>
        <v>370.97225</v>
      </c>
    </row>
    <row r="1659">
      <c r="A1659" s="3">
        <f>IFERROR(__xludf.DUMMYFUNCTION("""COMPUTED_VALUE"""),41971.99861111111)</f>
        <v>41971.99861</v>
      </c>
      <c r="B1659" s="1">
        <f>IFERROR(__xludf.DUMMYFUNCTION("""COMPUTED_VALUE"""),362.93675)</f>
        <v>362.93675</v>
      </c>
    </row>
    <row r="1660">
      <c r="A1660" s="3">
        <f>IFERROR(__xludf.DUMMYFUNCTION("""COMPUTED_VALUE"""),41972.99861111111)</f>
        <v>41972.99861</v>
      </c>
      <c r="B1660" s="1">
        <f>IFERROR(__xludf.DUMMYFUNCTION("""COMPUTED_VALUE"""),363.5365272)</f>
        <v>363.5365272</v>
      </c>
    </row>
    <row r="1661">
      <c r="A1661" s="3">
        <f>IFERROR(__xludf.DUMMYFUNCTION("""COMPUTED_VALUE"""),41973.99861111111)</f>
        <v>41973.99861</v>
      </c>
      <c r="B1661" s="1">
        <f>IFERROR(__xludf.DUMMYFUNCTION("""COMPUTED_VALUE"""),363.0487224)</f>
        <v>363.0487224</v>
      </c>
    </row>
    <row r="1662">
      <c r="A1662" s="3">
        <f>IFERROR(__xludf.DUMMYFUNCTION("""COMPUTED_VALUE"""),41974.99861111111)</f>
        <v>41974.99861</v>
      </c>
      <c r="B1662" s="1">
        <f>IFERROR(__xludf.DUMMYFUNCTION("""COMPUTED_VALUE"""),374.2011)</f>
        <v>374.2011</v>
      </c>
    </row>
    <row r="1663">
      <c r="A1663" s="3">
        <f>IFERROR(__xludf.DUMMYFUNCTION("""COMPUTED_VALUE"""),41975.99861111111)</f>
        <v>41975.99861</v>
      </c>
      <c r="B1663" s="1">
        <f>IFERROR(__xludf.DUMMYFUNCTION("""COMPUTED_VALUE"""),373.58685)</f>
        <v>373.58685</v>
      </c>
    </row>
    <row r="1664">
      <c r="A1664" s="3">
        <f>IFERROR(__xludf.DUMMYFUNCTION("""COMPUTED_VALUE"""),41976.99861111111)</f>
        <v>41976.99861</v>
      </c>
      <c r="B1664" s="1">
        <f>IFERROR(__xludf.DUMMYFUNCTION("""COMPUTED_VALUE"""),373.34115)</f>
        <v>373.34115</v>
      </c>
    </row>
    <row r="1665">
      <c r="A1665" s="3">
        <f>IFERROR(__xludf.DUMMYFUNCTION("""COMPUTED_VALUE"""),41977.99861111111)</f>
        <v>41977.99861</v>
      </c>
      <c r="B1665" s="1">
        <f>IFERROR(__xludf.DUMMYFUNCTION("""COMPUTED_VALUE"""),373.34115)</f>
        <v>373.34115</v>
      </c>
    </row>
    <row r="1666">
      <c r="A1666" s="3">
        <f>IFERROR(__xludf.DUMMYFUNCTION("""COMPUTED_VALUE"""),41978.99861111111)</f>
        <v>41978.99861</v>
      </c>
      <c r="B1666" s="1">
        <f>IFERROR(__xludf.DUMMYFUNCTION("""COMPUTED_VALUE"""),371.62125)</f>
        <v>371.62125</v>
      </c>
    </row>
    <row r="1667">
      <c r="A1667" s="3">
        <f>IFERROR(__xludf.DUMMYFUNCTION("""COMPUTED_VALUE"""),41979.99861111111)</f>
        <v>41979.99861</v>
      </c>
      <c r="B1667" s="1">
        <f>IFERROR(__xludf.DUMMYFUNCTION("""COMPUTED_VALUE"""),375.309935)</f>
        <v>375.309935</v>
      </c>
    </row>
    <row r="1668">
      <c r="A1668" s="3">
        <f>IFERROR(__xludf.DUMMYFUNCTION("""COMPUTED_VALUE"""),41980.99861111111)</f>
        <v>41980.99861</v>
      </c>
      <c r="B1668" s="1">
        <f>IFERROR(__xludf.DUMMYFUNCTION("""COMPUTED_VALUE"""),372.4476336)</f>
        <v>372.4476336</v>
      </c>
    </row>
    <row r="1669">
      <c r="A1669" s="3">
        <f>IFERROR(__xludf.DUMMYFUNCTION("""COMPUTED_VALUE"""),41981.99861111111)</f>
        <v>41981.99861</v>
      </c>
      <c r="B1669" s="1">
        <f>IFERROR(__xludf.DUMMYFUNCTION("""COMPUTED_VALUE"""),371.62125)</f>
        <v>371.62125</v>
      </c>
    </row>
    <row r="1670">
      <c r="A1670" s="3">
        <f>IFERROR(__xludf.DUMMYFUNCTION("""COMPUTED_VALUE"""),41982.99861111111)</f>
        <v>41982.99861</v>
      </c>
      <c r="B1670" s="1">
        <f>IFERROR(__xludf.DUMMYFUNCTION("""COMPUTED_VALUE"""),373.34115)</f>
        <v>373.34115</v>
      </c>
    </row>
    <row r="1671">
      <c r="A1671" s="3">
        <f>IFERROR(__xludf.DUMMYFUNCTION("""COMPUTED_VALUE"""),41983.99861111111)</f>
        <v>41983.99861</v>
      </c>
      <c r="B1671" s="1">
        <f>IFERROR(__xludf.DUMMYFUNCTION("""COMPUTED_VALUE"""),374.07825)</f>
        <v>374.07825</v>
      </c>
    </row>
    <row r="1672">
      <c r="A1672" s="3">
        <f>IFERROR(__xludf.DUMMYFUNCTION("""COMPUTED_VALUE"""),41984.99861111111)</f>
        <v>41984.99861</v>
      </c>
      <c r="B1672" s="1">
        <f>IFERROR(__xludf.DUMMYFUNCTION("""COMPUTED_VALUE"""),379.24909)</f>
        <v>379.24909</v>
      </c>
    </row>
    <row r="1673">
      <c r="A1673" s="3">
        <f>IFERROR(__xludf.DUMMYFUNCTION("""COMPUTED_VALUE"""),41985.99861111111)</f>
        <v>41985.99861</v>
      </c>
      <c r="B1673" s="1">
        <f>IFERROR(__xludf.DUMMYFUNCTION("""COMPUTED_VALUE"""),383.90928)</f>
        <v>383.90928</v>
      </c>
    </row>
    <row r="1674">
      <c r="A1674" s="3">
        <f>IFERROR(__xludf.DUMMYFUNCTION("""COMPUTED_VALUE"""),41986.99861111111)</f>
        <v>41986.99861</v>
      </c>
      <c r="B1674" s="1">
        <f>IFERROR(__xludf.DUMMYFUNCTION("""COMPUTED_VALUE"""),384.469617)</f>
        <v>384.469617</v>
      </c>
    </row>
    <row r="1675">
      <c r="A1675" s="3">
        <f>IFERROR(__xludf.DUMMYFUNCTION("""COMPUTED_VALUE"""),41987.99861111111)</f>
        <v>41987.99861</v>
      </c>
      <c r="B1675" s="1">
        <f>IFERROR(__xludf.DUMMYFUNCTION("""COMPUTED_VALUE"""),384.3433544)</f>
        <v>384.3433544</v>
      </c>
    </row>
    <row r="1676">
      <c r="A1676" s="3">
        <f>IFERROR(__xludf.DUMMYFUNCTION("""COMPUTED_VALUE"""),41988.99861111111)</f>
        <v>41988.99861</v>
      </c>
      <c r="B1676" s="1">
        <f>IFERROR(__xludf.DUMMYFUNCTION("""COMPUTED_VALUE"""),389.4835)</f>
        <v>389.4835</v>
      </c>
    </row>
    <row r="1677">
      <c r="A1677" s="3">
        <f>IFERROR(__xludf.DUMMYFUNCTION("""COMPUTED_VALUE"""),41989.99861111111)</f>
        <v>41989.99861</v>
      </c>
      <c r="B1677" s="1">
        <f>IFERROR(__xludf.DUMMYFUNCTION("""COMPUTED_VALUE"""),385.08855)</f>
        <v>385.08855</v>
      </c>
    </row>
    <row r="1678">
      <c r="A1678" s="3">
        <f>IFERROR(__xludf.DUMMYFUNCTION("""COMPUTED_VALUE"""),41990.99861111111)</f>
        <v>41990.99861</v>
      </c>
      <c r="B1678" s="1">
        <f>IFERROR(__xludf.DUMMYFUNCTION("""COMPUTED_VALUE"""),384.11863)</f>
        <v>384.11863</v>
      </c>
    </row>
    <row r="1679">
      <c r="A1679" s="3">
        <f>IFERROR(__xludf.DUMMYFUNCTION("""COMPUTED_VALUE"""),41991.99861111111)</f>
        <v>41991.99861</v>
      </c>
      <c r="B1679" s="1">
        <f>IFERROR(__xludf.DUMMYFUNCTION("""COMPUTED_VALUE"""),379.2672)</f>
        <v>379.2672</v>
      </c>
    </row>
    <row r="1680">
      <c r="A1680" s="3">
        <f>IFERROR(__xludf.DUMMYFUNCTION("""COMPUTED_VALUE"""),41992.99861111111)</f>
        <v>41992.99861</v>
      </c>
      <c r="B1680" s="1">
        <f>IFERROR(__xludf.DUMMYFUNCTION("""COMPUTED_VALUE"""),375.83313)</f>
        <v>375.83313</v>
      </c>
    </row>
    <row r="1681">
      <c r="A1681" s="3">
        <f>IFERROR(__xludf.DUMMYFUNCTION("""COMPUTED_VALUE"""),41993.99861111111)</f>
        <v>41993.99861</v>
      </c>
      <c r="B1681" s="1">
        <f>IFERROR(__xludf.DUMMYFUNCTION("""COMPUTED_VALUE"""),377.5155204)</f>
        <v>377.5155204</v>
      </c>
    </row>
    <row r="1682">
      <c r="A1682" s="3">
        <f>IFERROR(__xludf.DUMMYFUNCTION("""COMPUTED_VALUE"""),41994.99861111111)</f>
        <v>41994.99861</v>
      </c>
      <c r="B1682" s="1">
        <f>IFERROR(__xludf.DUMMYFUNCTION("""COMPUTED_VALUE"""),377.3912968)</f>
        <v>377.3912968</v>
      </c>
    </row>
    <row r="1683">
      <c r="A1683" s="3">
        <f>IFERROR(__xludf.DUMMYFUNCTION("""COMPUTED_VALUE"""),41995.99861111111)</f>
        <v>41995.99861</v>
      </c>
      <c r="B1683" s="1">
        <f>IFERROR(__xludf.DUMMYFUNCTION("""COMPUTED_VALUE"""),378.4102)</f>
        <v>378.4102</v>
      </c>
    </row>
    <row r="1684">
      <c r="A1684" s="3">
        <f>IFERROR(__xludf.DUMMYFUNCTION("""COMPUTED_VALUE"""),41996.99861111111)</f>
        <v>41996.99861</v>
      </c>
      <c r="B1684" s="1">
        <f>IFERROR(__xludf.DUMMYFUNCTION("""COMPUTED_VALUE"""),377.1677)</f>
        <v>377.1677</v>
      </c>
    </row>
    <row r="1685">
      <c r="A1685" s="3">
        <f>IFERROR(__xludf.DUMMYFUNCTION("""COMPUTED_VALUE"""),41997.99861111111)</f>
        <v>41997.99861</v>
      </c>
      <c r="B1685" s="1">
        <f>IFERROR(__xludf.DUMMYFUNCTION("""COMPUTED_VALUE"""),378.8386)</f>
        <v>378.8386</v>
      </c>
    </row>
    <row r="1686">
      <c r="A1686" s="3">
        <f>IFERROR(__xludf.DUMMYFUNCTION("""COMPUTED_VALUE"""),41998.99861111111)</f>
        <v>41998.99861</v>
      </c>
      <c r="B1686" s="1">
        <f>IFERROR(__xludf.DUMMYFUNCTION("""COMPUTED_VALUE"""),379.088)</f>
        <v>379.088</v>
      </c>
    </row>
    <row r="1687">
      <c r="A1687" s="3">
        <f>IFERROR(__xludf.DUMMYFUNCTION("""COMPUTED_VALUE"""),41999.99861111111)</f>
        <v>41999.99861</v>
      </c>
      <c r="B1687" s="1">
        <f>IFERROR(__xludf.DUMMYFUNCTION("""COMPUTED_VALUE"""),377.0158)</f>
        <v>377.0158</v>
      </c>
    </row>
    <row r="1688">
      <c r="A1688" s="3">
        <f>IFERROR(__xludf.DUMMYFUNCTION("""COMPUTED_VALUE"""),42000.99861111111)</f>
        <v>42000.99861</v>
      </c>
      <c r="B1688" s="1">
        <f>IFERROR(__xludf.DUMMYFUNCTION("""COMPUTED_VALUE"""),376.8639)</f>
        <v>376.8639</v>
      </c>
    </row>
    <row r="1689">
      <c r="A1689" s="3">
        <f>IFERROR(__xludf.DUMMYFUNCTION("""COMPUTED_VALUE"""),42001.99861111111)</f>
        <v>42001.99861</v>
      </c>
      <c r="B1689" s="1">
        <f>IFERROR(__xludf.DUMMYFUNCTION("""COMPUTED_VALUE"""),377.459523)</f>
        <v>377.459523</v>
      </c>
    </row>
    <row r="1690">
      <c r="A1690" s="3">
        <f>IFERROR(__xludf.DUMMYFUNCTION("""COMPUTED_VALUE"""),42002.99861111111)</f>
        <v>42002.99861</v>
      </c>
      <c r="B1690" s="1">
        <f>IFERROR(__xludf.DUMMYFUNCTION("""COMPUTED_VALUE"""),376.1471)</f>
        <v>376.1471</v>
      </c>
    </row>
    <row r="1691">
      <c r="A1691" s="3">
        <f>IFERROR(__xludf.DUMMYFUNCTION("""COMPUTED_VALUE"""),42003.99861111111)</f>
        <v>42003.99861</v>
      </c>
      <c r="B1691" s="1">
        <f>IFERROR(__xludf.DUMMYFUNCTION("""COMPUTED_VALUE"""),377.4438)</f>
        <v>377.4438</v>
      </c>
    </row>
    <row r="1692">
      <c r="A1692" s="3">
        <f>IFERROR(__xludf.DUMMYFUNCTION("""COMPUTED_VALUE"""),42004.99861111111)</f>
        <v>42004.99861</v>
      </c>
      <c r="B1692" s="1">
        <f>IFERROR(__xludf.DUMMYFUNCTION("""COMPUTED_VALUE"""),376.4082)</f>
        <v>376.4082</v>
      </c>
    </row>
    <row r="1693">
      <c r="A1693" s="3">
        <f>IFERROR(__xludf.DUMMYFUNCTION("""COMPUTED_VALUE"""),42005.99861111111)</f>
        <v>42005.99861</v>
      </c>
      <c r="B1693" s="1">
        <f>IFERROR(__xludf.DUMMYFUNCTION("""COMPUTED_VALUE"""),376.0365)</f>
        <v>376.0365</v>
      </c>
    </row>
    <row r="1694">
      <c r="A1694" s="3">
        <f>IFERROR(__xludf.DUMMYFUNCTION("""COMPUTED_VALUE"""),42006.99861111111)</f>
        <v>42006.99861</v>
      </c>
      <c r="B1694" s="1">
        <f>IFERROR(__xludf.DUMMYFUNCTION("""COMPUTED_VALUE"""),377.8944)</f>
        <v>377.8944</v>
      </c>
    </row>
    <row r="1695">
      <c r="A1695" s="3">
        <f>IFERROR(__xludf.DUMMYFUNCTION("""COMPUTED_VALUE"""),42007.99861111111)</f>
        <v>42007.99861</v>
      </c>
      <c r="B1695" s="1">
        <f>IFERROR(__xludf.DUMMYFUNCTION("""COMPUTED_VALUE"""),379.924674)</f>
        <v>379.924674</v>
      </c>
    </row>
    <row r="1696">
      <c r="A1696" s="3">
        <f>IFERROR(__xludf.DUMMYFUNCTION("""COMPUTED_VALUE"""),42008.99861111111)</f>
        <v>42008.99861</v>
      </c>
      <c r="B1696" s="1">
        <f>IFERROR(__xludf.DUMMYFUNCTION("""COMPUTED_VALUE"""),379.924674)</f>
        <v>379.924674</v>
      </c>
    </row>
    <row r="1697">
      <c r="A1697" s="3">
        <f>IFERROR(__xludf.DUMMYFUNCTION("""COMPUTED_VALUE"""),42009.99861111111)</f>
        <v>42009.99861</v>
      </c>
      <c r="B1697" s="1">
        <f>IFERROR(__xludf.DUMMYFUNCTION("""COMPUTED_VALUE"""),382.79)</f>
        <v>382.79</v>
      </c>
    </row>
    <row r="1698">
      <c r="A1698" s="3">
        <f>IFERROR(__xludf.DUMMYFUNCTION("""COMPUTED_VALUE"""),42010.99861111111)</f>
        <v>42010.99861</v>
      </c>
      <c r="B1698" s="1">
        <f>IFERROR(__xludf.DUMMYFUNCTION("""COMPUTED_VALUE"""),384.104)</f>
        <v>384.104</v>
      </c>
    </row>
    <row r="1699">
      <c r="A1699" s="3">
        <f>IFERROR(__xludf.DUMMYFUNCTION("""COMPUTED_VALUE"""),42011.99861111111)</f>
        <v>42011.99861</v>
      </c>
      <c r="B1699" s="1">
        <f>IFERROR(__xludf.DUMMYFUNCTION("""COMPUTED_VALUE"""),386.688)</f>
        <v>386.688</v>
      </c>
    </row>
    <row r="1700">
      <c r="A1700" s="3">
        <f>IFERROR(__xludf.DUMMYFUNCTION("""COMPUTED_VALUE"""),42012.99861111111)</f>
        <v>42012.99861</v>
      </c>
      <c r="B1700" s="1">
        <f>IFERROR(__xludf.DUMMYFUNCTION("""COMPUTED_VALUE"""),383.344)</f>
        <v>383.344</v>
      </c>
    </row>
    <row r="1701">
      <c r="A1701" s="3">
        <f>IFERROR(__xludf.DUMMYFUNCTION("""COMPUTED_VALUE"""),42013.99861111111)</f>
        <v>42013.99861</v>
      </c>
      <c r="B1701" s="1">
        <f>IFERROR(__xludf.DUMMYFUNCTION("""COMPUTED_VALUE"""),382.4786)</f>
        <v>382.4786</v>
      </c>
    </row>
    <row r="1702">
      <c r="A1702" s="3">
        <f>IFERROR(__xludf.DUMMYFUNCTION("""COMPUTED_VALUE"""),42014.99861111111)</f>
        <v>42014.99861</v>
      </c>
      <c r="B1702" s="1">
        <f>IFERROR(__xludf.DUMMYFUNCTION("""COMPUTED_VALUE"""),389.7564996)</f>
        <v>389.7564996</v>
      </c>
    </row>
    <row r="1703">
      <c r="A1703" s="3">
        <f>IFERROR(__xludf.DUMMYFUNCTION("""COMPUTED_VALUE"""),42015.99861111111)</f>
        <v>42015.99861</v>
      </c>
      <c r="B1703" s="1">
        <f>IFERROR(__xludf.DUMMYFUNCTION("""COMPUTED_VALUE"""),390.02546)</f>
        <v>390.02546</v>
      </c>
    </row>
    <row r="1704">
      <c r="A1704" s="3">
        <f>IFERROR(__xludf.DUMMYFUNCTION("""COMPUTED_VALUE"""),42016.99861111111)</f>
        <v>42016.99861</v>
      </c>
      <c r="B1704" s="1">
        <f>IFERROR(__xludf.DUMMYFUNCTION("""COMPUTED_VALUE"""),381.7632)</f>
        <v>381.7632</v>
      </c>
    </row>
    <row r="1705">
      <c r="A1705" s="3">
        <f>IFERROR(__xludf.DUMMYFUNCTION("""COMPUTED_VALUE"""),42017.99861111111)</f>
        <v>42017.99861</v>
      </c>
      <c r="B1705" s="1">
        <f>IFERROR(__xludf.DUMMYFUNCTION("""COMPUTED_VALUE"""),383.14828)</f>
        <v>383.14828</v>
      </c>
    </row>
    <row r="1706">
      <c r="A1706" s="3">
        <f>IFERROR(__xludf.DUMMYFUNCTION("""COMPUTED_VALUE"""),42018.99861111111)</f>
        <v>42018.99861</v>
      </c>
      <c r="B1706" s="1">
        <f>IFERROR(__xludf.DUMMYFUNCTION("""COMPUTED_VALUE"""),382.9275)</f>
        <v>382.9275</v>
      </c>
    </row>
    <row r="1707">
      <c r="A1707" s="3">
        <f>IFERROR(__xludf.DUMMYFUNCTION("""COMPUTED_VALUE"""),42019.99861111111)</f>
        <v>42019.99861</v>
      </c>
      <c r="B1707" s="1">
        <f>IFERROR(__xludf.DUMMYFUNCTION("""COMPUTED_VALUE"""),380.42919)</f>
        <v>380.42919</v>
      </c>
    </row>
    <row r="1708">
      <c r="A1708" s="3">
        <f>IFERROR(__xludf.DUMMYFUNCTION("""COMPUTED_VALUE"""),42020.99861111111)</f>
        <v>42020.99861</v>
      </c>
      <c r="B1708" s="1">
        <f>IFERROR(__xludf.DUMMYFUNCTION("""COMPUTED_VALUE"""),385.8286)</f>
        <v>385.8286</v>
      </c>
    </row>
    <row r="1709">
      <c r="A1709" s="3">
        <f>IFERROR(__xludf.DUMMYFUNCTION("""COMPUTED_VALUE"""),42021.99861111111)</f>
        <v>42021.99861</v>
      </c>
      <c r="B1709" s="1">
        <f>IFERROR(__xludf.DUMMYFUNCTION("""COMPUTED_VALUE"""),393.2050417)</f>
        <v>393.2050417</v>
      </c>
    </row>
    <row r="1710">
      <c r="A1710" s="3">
        <f>IFERROR(__xludf.DUMMYFUNCTION("""COMPUTED_VALUE"""),42022.99861111111)</f>
        <v>42022.99861</v>
      </c>
      <c r="B1710" s="1">
        <f>IFERROR(__xludf.DUMMYFUNCTION("""COMPUTED_VALUE"""),392.9575221)</f>
        <v>392.9575221</v>
      </c>
    </row>
    <row r="1711">
      <c r="A1711" s="3">
        <f>IFERROR(__xludf.DUMMYFUNCTION("""COMPUTED_VALUE"""),42023.99861111111)</f>
        <v>42023.99861</v>
      </c>
      <c r="B1711" s="1">
        <f>IFERROR(__xludf.DUMMYFUNCTION("""COMPUTED_VALUE"""),387.2358)</f>
        <v>387.2358</v>
      </c>
    </row>
    <row r="1712">
      <c r="A1712" s="3">
        <f>IFERROR(__xludf.DUMMYFUNCTION("""COMPUTED_VALUE"""),42024.99861111111)</f>
        <v>42024.99861</v>
      </c>
      <c r="B1712" s="1">
        <f>IFERROR(__xludf.DUMMYFUNCTION("""COMPUTED_VALUE"""),383.64348)</f>
        <v>383.64348</v>
      </c>
    </row>
    <row r="1713">
      <c r="A1713" s="3">
        <f>IFERROR(__xludf.DUMMYFUNCTION("""COMPUTED_VALUE"""),42025.99861111111)</f>
        <v>42025.99861</v>
      </c>
      <c r="B1713" s="1">
        <f>IFERROR(__xludf.DUMMYFUNCTION("""COMPUTED_VALUE"""),382.1769)</f>
        <v>382.1769</v>
      </c>
    </row>
    <row r="1714">
      <c r="A1714" s="3">
        <f>IFERROR(__xludf.DUMMYFUNCTION("""COMPUTED_VALUE"""),42026.99861111111)</f>
        <v>42026.99861</v>
      </c>
      <c r="B1714" s="1">
        <f>IFERROR(__xludf.DUMMYFUNCTION("""COMPUTED_VALUE"""),380.5854)</f>
        <v>380.5854</v>
      </c>
    </row>
    <row r="1715">
      <c r="A1715" s="3">
        <f>IFERROR(__xludf.DUMMYFUNCTION("""COMPUTED_VALUE"""),42027.99861111111)</f>
        <v>42027.99861</v>
      </c>
      <c r="B1715" s="1">
        <f>IFERROR(__xludf.DUMMYFUNCTION("""COMPUTED_VALUE"""),381.13764)</f>
        <v>381.13764</v>
      </c>
    </row>
    <row r="1716">
      <c r="A1716" s="3">
        <f>IFERROR(__xludf.DUMMYFUNCTION("""COMPUTED_VALUE"""),42028.99861111111)</f>
        <v>42028.99861</v>
      </c>
      <c r="B1716" s="1">
        <f>IFERROR(__xludf.DUMMYFUNCTION("""COMPUTED_VALUE"""),383.9798352)</f>
        <v>383.9798352</v>
      </c>
    </row>
    <row r="1717">
      <c r="A1717" s="3">
        <f>IFERROR(__xludf.DUMMYFUNCTION("""COMPUTED_VALUE"""),42029.99861111111)</f>
        <v>42029.99861</v>
      </c>
      <c r="B1717" s="1">
        <f>IFERROR(__xludf.DUMMYFUNCTION("""COMPUTED_VALUE"""),381.2263944)</f>
        <v>381.2263944</v>
      </c>
    </row>
    <row r="1718">
      <c r="A1718" s="3">
        <f>IFERROR(__xludf.DUMMYFUNCTION("""COMPUTED_VALUE"""),42030.99861111111)</f>
        <v>42030.99861</v>
      </c>
      <c r="B1718" s="1">
        <f>IFERROR(__xludf.DUMMYFUNCTION("""COMPUTED_VALUE"""),383.22603)</f>
        <v>383.22603</v>
      </c>
    </row>
    <row r="1719">
      <c r="A1719" s="3">
        <f>IFERROR(__xludf.DUMMYFUNCTION("""COMPUTED_VALUE"""),42031.99861111111)</f>
        <v>42031.99861</v>
      </c>
      <c r="B1719" s="1">
        <f>IFERROR(__xludf.DUMMYFUNCTION("""COMPUTED_VALUE"""),382.464)</f>
        <v>382.464</v>
      </c>
    </row>
    <row r="1720">
      <c r="A1720" s="3">
        <f>IFERROR(__xludf.DUMMYFUNCTION("""COMPUTED_VALUE"""),42032.99861111111)</f>
        <v>42032.99861</v>
      </c>
      <c r="B1720" s="1">
        <f>IFERROR(__xludf.DUMMYFUNCTION("""COMPUTED_VALUE"""),382.3685)</f>
        <v>382.3685</v>
      </c>
    </row>
    <row r="1721">
      <c r="A1721" s="3">
        <f>IFERROR(__xludf.DUMMYFUNCTION("""COMPUTED_VALUE"""),42033.99861111111)</f>
        <v>42033.99861</v>
      </c>
      <c r="B1721" s="1">
        <f>IFERROR(__xludf.DUMMYFUNCTION("""COMPUTED_VALUE"""),383.2593)</f>
        <v>383.2593</v>
      </c>
    </row>
    <row r="1722">
      <c r="A1722" s="3">
        <f>IFERROR(__xludf.DUMMYFUNCTION("""COMPUTED_VALUE"""),42034.99861111111)</f>
        <v>42034.99861</v>
      </c>
      <c r="B1722" s="1">
        <f>IFERROR(__xludf.DUMMYFUNCTION("""COMPUTED_VALUE"""),388.0104)</f>
        <v>388.0104</v>
      </c>
    </row>
    <row r="1723">
      <c r="A1723" s="3">
        <f>IFERROR(__xludf.DUMMYFUNCTION("""COMPUTED_VALUE"""),42035.99861111111)</f>
        <v>42035.99861</v>
      </c>
      <c r="B1723" s="1">
        <f>IFERROR(__xludf.DUMMYFUNCTION("""COMPUTED_VALUE"""),389.8975828)</f>
        <v>389.8975828</v>
      </c>
    </row>
    <row r="1724">
      <c r="A1724" s="3">
        <f>IFERROR(__xludf.DUMMYFUNCTION("""COMPUTED_VALUE"""),42036.99861111111)</f>
        <v>42036.99861</v>
      </c>
      <c r="B1724" s="1">
        <f>IFERROR(__xludf.DUMMYFUNCTION("""COMPUTED_VALUE"""),390.5369688)</f>
        <v>390.5369688</v>
      </c>
    </row>
    <row r="1725">
      <c r="A1725" s="3">
        <f>IFERROR(__xludf.DUMMYFUNCTION("""COMPUTED_VALUE"""),42037.99861111111)</f>
        <v>42037.99861</v>
      </c>
      <c r="B1725" s="1">
        <f>IFERROR(__xludf.DUMMYFUNCTION("""COMPUTED_VALUE"""),387.6957)</f>
        <v>387.6957</v>
      </c>
    </row>
    <row r="1726">
      <c r="A1726" s="3">
        <f>IFERROR(__xludf.DUMMYFUNCTION("""COMPUTED_VALUE"""),42038.99861111111)</f>
        <v>42038.99861</v>
      </c>
      <c r="B1726" s="1">
        <f>IFERROR(__xludf.DUMMYFUNCTION("""COMPUTED_VALUE"""),385.5495)</f>
        <v>385.5495</v>
      </c>
    </row>
    <row r="1727">
      <c r="A1727" s="3">
        <f>IFERROR(__xludf.DUMMYFUNCTION("""COMPUTED_VALUE"""),42039.99861111111)</f>
        <v>42039.99861</v>
      </c>
      <c r="B1727" s="1">
        <f>IFERROR(__xludf.DUMMYFUNCTION("""COMPUTED_VALUE"""),387.0825)</f>
        <v>387.0825</v>
      </c>
    </row>
    <row r="1728">
      <c r="A1728" s="3">
        <f>IFERROR(__xludf.DUMMYFUNCTION("""COMPUTED_VALUE"""),42040.99861111111)</f>
        <v>42040.99861</v>
      </c>
      <c r="B1728" s="1">
        <f>IFERROR(__xludf.DUMMYFUNCTION("""COMPUTED_VALUE"""),385.66568)</f>
        <v>385.66568</v>
      </c>
    </row>
    <row r="1729">
      <c r="A1729" s="3">
        <f>IFERROR(__xludf.DUMMYFUNCTION("""COMPUTED_VALUE"""),42041.99861111111)</f>
        <v>42041.99861</v>
      </c>
      <c r="B1729" s="1">
        <f>IFERROR(__xludf.DUMMYFUNCTION("""COMPUTED_VALUE"""),386.82246)</f>
        <v>386.82246</v>
      </c>
    </row>
    <row r="1730">
      <c r="A1730" s="3">
        <f>IFERROR(__xludf.DUMMYFUNCTION("""COMPUTED_VALUE"""),42042.99861111111)</f>
        <v>42042.99861</v>
      </c>
      <c r="B1730" s="1">
        <f>IFERROR(__xludf.DUMMYFUNCTION("""COMPUTED_VALUE"""),396.6318832)</f>
        <v>396.6318832</v>
      </c>
    </row>
    <row r="1731">
      <c r="A1731" s="3">
        <f>IFERROR(__xludf.DUMMYFUNCTION("""COMPUTED_VALUE"""),42043.99861111111)</f>
        <v>42043.99861</v>
      </c>
      <c r="B1731" s="1">
        <f>IFERROR(__xludf.DUMMYFUNCTION("""COMPUTED_VALUE"""),396.5023496)</f>
        <v>396.5023496</v>
      </c>
    </row>
    <row r="1732">
      <c r="A1732" s="3">
        <f>IFERROR(__xludf.DUMMYFUNCTION("""COMPUTED_VALUE"""),42044.99861111111)</f>
        <v>42044.99861</v>
      </c>
      <c r="B1732" s="1">
        <f>IFERROR(__xludf.DUMMYFUNCTION("""COMPUTED_VALUE"""),387.92895)</f>
        <v>387.92895</v>
      </c>
    </row>
    <row r="1733">
      <c r="A1733" s="3">
        <f>IFERROR(__xludf.DUMMYFUNCTION("""COMPUTED_VALUE"""),42045.99861111111)</f>
        <v>42045.99861</v>
      </c>
      <c r="B1733" s="1">
        <f>IFERROR(__xludf.DUMMYFUNCTION("""COMPUTED_VALUE"""),389.70074)</f>
        <v>389.70074</v>
      </c>
    </row>
    <row r="1734">
      <c r="A1734" s="3">
        <f>IFERROR(__xludf.DUMMYFUNCTION("""COMPUTED_VALUE"""),42046.99861111111)</f>
        <v>42046.99861</v>
      </c>
      <c r="B1734" s="1">
        <f>IFERROR(__xludf.DUMMYFUNCTION("""COMPUTED_VALUE"""),391.44885)</f>
        <v>391.44885</v>
      </c>
    </row>
    <row r="1735">
      <c r="A1735" s="3">
        <f>IFERROR(__xludf.DUMMYFUNCTION("""COMPUTED_VALUE"""),42047.99861111111)</f>
        <v>42047.99861</v>
      </c>
      <c r="B1735" s="1">
        <f>IFERROR(__xludf.DUMMYFUNCTION("""COMPUTED_VALUE"""),390.6343)</f>
        <v>390.6343</v>
      </c>
    </row>
    <row r="1736">
      <c r="A1736" s="3">
        <f>IFERROR(__xludf.DUMMYFUNCTION("""COMPUTED_VALUE"""),42048.99861111111)</f>
        <v>42048.99861</v>
      </c>
      <c r="B1736" s="1">
        <f>IFERROR(__xludf.DUMMYFUNCTION("""COMPUTED_VALUE"""),388.04297)</f>
        <v>388.04297</v>
      </c>
    </row>
    <row r="1737">
      <c r="A1737" s="3">
        <f>IFERROR(__xludf.DUMMYFUNCTION("""COMPUTED_VALUE"""),42049.99861111111)</f>
        <v>42049.99861</v>
      </c>
      <c r="B1737" s="1">
        <f>IFERROR(__xludf.DUMMYFUNCTION("""COMPUTED_VALUE"""),391.9331949)</f>
        <v>391.9331949</v>
      </c>
    </row>
    <row r="1738">
      <c r="A1738" s="3">
        <f>IFERROR(__xludf.DUMMYFUNCTION("""COMPUTED_VALUE"""),42050.99861111111)</f>
        <v>42050.99861</v>
      </c>
      <c r="B1738" s="1">
        <f>IFERROR(__xludf.DUMMYFUNCTION("""COMPUTED_VALUE"""),392.0714952)</f>
        <v>392.0714952</v>
      </c>
    </row>
    <row r="1739">
      <c r="A1739" s="3">
        <f>IFERROR(__xludf.DUMMYFUNCTION("""COMPUTED_VALUE"""),42051.99861111111)</f>
        <v>42051.99861</v>
      </c>
      <c r="B1739" s="1">
        <f>IFERROR(__xludf.DUMMYFUNCTION("""COMPUTED_VALUE"""),386.39745)</f>
        <v>386.39745</v>
      </c>
    </row>
    <row r="1740">
      <c r="A1740" s="3">
        <f>IFERROR(__xludf.DUMMYFUNCTION("""COMPUTED_VALUE"""),42052.99861111111)</f>
        <v>42052.99861</v>
      </c>
      <c r="B1740" s="1">
        <f>IFERROR(__xludf.DUMMYFUNCTION("""COMPUTED_VALUE"""),391.71724)</f>
        <v>391.71724</v>
      </c>
    </row>
    <row r="1741">
      <c r="A1741" s="3">
        <f>IFERROR(__xludf.DUMMYFUNCTION("""COMPUTED_VALUE"""),42053.99861111111)</f>
        <v>42053.99861</v>
      </c>
      <c r="B1741" s="1">
        <f>IFERROR(__xludf.DUMMYFUNCTION("""COMPUTED_VALUE"""),392.7546)</f>
        <v>392.7546</v>
      </c>
    </row>
    <row r="1742">
      <c r="A1742" s="3">
        <f>IFERROR(__xludf.DUMMYFUNCTION("""COMPUTED_VALUE"""),42054.99861111111)</f>
        <v>42054.99861</v>
      </c>
      <c r="B1742" s="1">
        <f>IFERROR(__xludf.DUMMYFUNCTION("""COMPUTED_VALUE"""),395.5695)</f>
        <v>395.5695</v>
      </c>
    </row>
    <row r="1743">
      <c r="A1743" s="3">
        <f>IFERROR(__xludf.DUMMYFUNCTION("""COMPUTED_VALUE"""),42055.99861111111)</f>
        <v>42055.99861</v>
      </c>
      <c r="B1743" s="1">
        <f>IFERROR(__xludf.DUMMYFUNCTION("""COMPUTED_VALUE"""),393.23097)</f>
        <v>393.23097</v>
      </c>
    </row>
    <row r="1744">
      <c r="A1744" s="3">
        <f>IFERROR(__xludf.DUMMYFUNCTION("""COMPUTED_VALUE"""),42056.99861111111)</f>
        <v>42056.99861</v>
      </c>
      <c r="B1744" s="1">
        <f>IFERROR(__xludf.DUMMYFUNCTION("""COMPUTED_VALUE"""),394.9806069)</f>
        <v>394.9806069</v>
      </c>
    </row>
    <row r="1745">
      <c r="A1745" s="3">
        <f>IFERROR(__xludf.DUMMYFUNCTION("""COMPUTED_VALUE"""),42057.99861111111)</f>
        <v>42057.99861</v>
      </c>
      <c r="B1745" s="1">
        <f>IFERROR(__xludf.DUMMYFUNCTION("""COMPUTED_VALUE"""),394.9806069)</f>
        <v>394.9806069</v>
      </c>
    </row>
    <row r="1746">
      <c r="A1746" s="3">
        <f>IFERROR(__xludf.DUMMYFUNCTION("""COMPUTED_VALUE"""),42058.99861111111)</f>
        <v>42058.99861</v>
      </c>
      <c r="B1746" s="1">
        <f>IFERROR(__xludf.DUMMYFUNCTION("""COMPUTED_VALUE"""),394.4162)</f>
        <v>394.4162</v>
      </c>
    </row>
    <row r="1747">
      <c r="A1747" s="3">
        <f>IFERROR(__xludf.DUMMYFUNCTION("""COMPUTED_VALUE"""),42059.99861111111)</f>
        <v>42059.99861</v>
      </c>
      <c r="B1747" s="1">
        <f>IFERROR(__xludf.DUMMYFUNCTION("""COMPUTED_VALUE"""),392.61196)</f>
        <v>392.61196</v>
      </c>
    </row>
    <row r="1748">
      <c r="A1748" s="3">
        <f>IFERROR(__xludf.DUMMYFUNCTION("""COMPUTED_VALUE"""),42060.99861111111)</f>
        <v>42060.99861</v>
      </c>
      <c r="B1748" s="1">
        <f>IFERROR(__xludf.DUMMYFUNCTION("""COMPUTED_VALUE"""),395.1627)</f>
        <v>395.1627</v>
      </c>
    </row>
    <row r="1749">
      <c r="A1749" s="3">
        <f>IFERROR(__xludf.DUMMYFUNCTION("""COMPUTED_VALUE"""),42061.99861111111)</f>
        <v>42061.99861</v>
      </c>
      <c r="B1749" s="1">
        <f>IFERROR(__xludf.DUMMYFUNCTION("""COMPUTED_VALUE"""),396.76702)</f>
        <v>396.76702</v>
      </c>
    </row>
    <row r="1750">
      <c r="A1750" s="3">
        <f>IFERROR(__xludf.DUMMYFUNCTION("""COMPUTED_VALUE"""),42062.99861111111)</f>
        <v>42062.99861</v>
      </c>
      <c r="B1750" s="1">
        <f>IFERROR(__xludf.DUMMYFUNCTION("""COMPUTED_VALUE"""),400.50108)</f>
        <v>400.50108</v>
      </c>
    </row>
    <row r="1751">
      <c r="A1751" s="3">
        <f>IFERROR(__xludf.DUMMYFUNCTION("""COMPUTED_VALUE"""),42063.99861111111)</f>
        <v>42063.99861</v>
      </c>
      <c r="B1751" s="1">
        <f>IFERROR(__xludf.DUMMYFUNCTION("""COMPUTED_VALUE"""),401.300354)</f>
        <v>401.300354</v>
      </c>
    </row>
    <row r="1752">
      <c r="A1752" s="3">
        <f>IFERROR(__xludf.DUMMYFUNCTION("""COMPUTED_VALUE"""),42064.99861111111)</f>
        <v>42064.99861</v>
      </c>
      <c r="B1752" s="1">
        <f>IFERROR(__xludf.DUMMYFUNCTION("""COMPUTED_VALUE"""),400.130003)</f>
        <v>400.130003</v>
      </c>
    </row>
    <row r="1753">
      <c r="A1753" s="3">
        <f>IFERROR(__xludf.DUMMYFUNCTION("""COMPUTED_VALUE"""),42065.99861111111)</f>
        <v>42065.99861</v>
      </c>
      <c r="B1753" s="1">
        <f>IFERROR(__xludf.DUMMYFUNCTION("""COMPUTED_VALUE"""),401.41555)</f>
        <v>401.41555</v>
      </c>
    </row>
    <row r="1754">
      <c r="A1754" s="3">
        <f>IFERROR(__xludf.DUMMYFUNCTION("""COMPUTED_VALUE"""),42066.99861111111)</f>
        <v>42066.99861</v>
      </c>
      <c r="B1754" s="1">
        <f>IFERROR(__xludf.DUMMYFUNCTION("""COMPUTED_VALUE"""),400.6433)</f>
        <v>400.6433</v>
      </c>
    </row>
    <row r="1755">
      <c r="A1755" s="3">
        <f>IFERROR(__xludf.DUMMYFUNCTION("""COMPUTED_VALUE"""),42067.99861111111)</f>
        <v>42067.99861</v>
      </c>
      <c r="B1755" s="1">
        <f>IFERROR(__xludf.DUMMYFUNCTION("""COMPUTED_VALUE"""),401.51275)</f>
        <v>401.51275</v>
      </c>
    </row>
    <row r="1756">
      <c r="A1756" s="3">
        <f>IFERROR(__xludf.DUMMYFUNCTION("""COMPUTED_VALUE"""),42068.99861111111)</f>
        <v>42068.99861</v>
      </c>
      <c r="B1756" s="1">
        <f>IFERROR(__xludf.DUMMYFUNCTION("""COMPUTED_VALUE"""),397.191)</f>
        <v>397.191</v>
      </c>
    </row>
    <row r="1757">
      <c r="A1757" s="3">
        <f>IFERROR(__xludf.DUMMYFUNCTION("""COMPUTED_VALUE"""),42069.99861111111)</f>
        <v>42069.99861</v>
      </c>
      <c r="B1757" s="1">
        <f>IFERROR(__xludf.DUMMYFUNCTION("""COMPUTED_VALUE"""),399.4998)</f>
        <v>399.4998</v>
      </c>
    </row>
    <row r="1758">
      <c r="A1758" s="3">
        <f>IFERROR(__xludf.DUMMYFUNCTION("""COMPUTED_VALUE"""),42070.99861111111)</f>
        <v>42070.99861</v>
      </c>
      <c r="B1758" s="1">
        <f>IFERROR(__xludf.DUMMYFUNCTION("""COMPUTED_VALUE"""),405.5554566)</f>
        <v>405.5554566</v>
      </c>
    </row>
    <row r="1759">
      <c r="A1759" s="3">
        <f>IFERROR(__xludf.DUMMYFUNCTION("""COMPUTED_VALUE"""),42071.99861111111)</f>
        <v>42071.99861</v>
      </c>
      <c r="B1759" s="1">
        <f>IFERROR(__xludf.DUMMYFUNCTION("""COMPUTED_VALUE"""),405.5554566)</f>
        <v>405.5554566</v>
      </c>
    </row>
    <row r="1760">
      <c r="A1760" s="3">
        <f>IFERROR(__xludf.DUMMYFUNCTION("""COMPUTED_VALUE"""),42072.99861111111)</f>
        <v>42072.99861</v>
      </c>
      <c r="B1760" s="1">
        <f>IFERROR(__xludf.DUMMYFUNCTION("""COMPUTED_VALUE"""),400.68745)</f>
        <v>400.68745</v>
      </c>
    </row>
    <row r="1761">
      <c r="A1761" s="3">
        <f>IFERROR(__xludf.DUMMYFUNCTION("""COMPUTED_VALUE"""),42073.99861111111)</f>
        <v>42073.99861</v>
      </c>
      <c r="B1761" s="1">
        <f>IFERROR(__xludf.DUMMYFUNCTION("""COMPUTED_VALUE"""),399.1578)</f>
        <v>399.1578</v>
      </c>
    </row>
    <row r="1762">
      <c r="A1762" s="3">
        <f>IFERROR(__xludf.DUMMYFUNCTION("""COMPUTED_VALUE"""),42074.99861111111)</f>
        <v>42074.99861</v>
      </c>
      <c r="B1762" s="1">
        <f>IFERROR(__xludf.DUMMYFUNCTION("""COMPUTED_VALUE"""),399.993)</f>
        <v>399.993</v>
      </c>
    </row>
    <row r="1763">
      <c r="A1763" s="3">
        <f>IFERROR(__xludf.DUMMYFUNCTION("""COMPUTED_VALUE"""),42075.99861111111)</f>
        <v>42075.99861</v>
      </c>
      <c r="B1763" s="1">
        <f>IFERROR(__xludf.DUMMYFUNCTION("""COMPUTED_VALUE"""),400.6314)</f>
        <v>400.6314</v>
      </c>
    </row>
    <row r="1764">
      <c r="A1764" s="3">
        <f>IFERROR(__xludf.DUMMYFUNCTION("""COMPUTED_VALUE"""),42076.99861111111)</f>
        <v>42076.99861</v>
      </c>
      <c r="B1764" s="1">
        <f>IFERROR(__xludf.DUMMYFUNCTION("""COMPUTED_VALUE"""),400.0329)</f>
        <v>400.0329</v>
      </c>
    </row>
    <row r="1765">
      <c r="A1765" s="3">
        <f>IFERROR(__xludf.DUMMYFUNCTION("""COMPUTED_VALUE"""),42077.99861111111)</f>
        <v>42077.99861</v>
      </c>
      <c r="B1765" s="1">
        <f>IFERROR(__xludf.DUMMYFUNCTION("""COMPUTED_VALUE"""),402.9215714)</f>
        <v>402.9215714</v>
      </c>
    </row>
    <row r="1766">
      <c r="A1766" s="3">
        <f>IFERROR(__xludf.DUMMYFUNCTION("""COMPUTED_VALUE"""),42078.99861111111)</f>
        <v>42078.99861</v>
      </c>
      <c r="B1766" s="1">
        <f>IFERROR(__xludf.DUMMYFUNCTION("""COMPUTED_VALUE"""),402.390363)</f>
        <v>402.390363</v>
      </c>
    </row>
    <row r="1767">
      <c r="A1767" s="3">
        <f>IFERROR(__xludf.DUMMYFUNCTION("""COMPUTED_VALUE"""),42079.99861111111)</f>
        <v>42079.99861</v>
      </c>
      <c r="B1767" s="1">
        <f>IFERROR(__xludf.DUMMYFUNCTION("""COMPUTED_VALUE"""),400.20435)</f>
        <v>400.20435</v>
      </c>
    </row>
    <row r="1768">
      <c r="A1768" s="3">
        <f>IFERROR(__xludf.DUMMYFUNCTION("""COMPUTED_VALUE"""),42080.99861111111)</f>
        <v>42080.99861</v>
      </c>
      <c r="B1768" s="1">
        <f>IFERROR(__xludf.DUMMYFUNCTION("""COMPUTED_VALUE"""),398.3232)</f>
        <v>398.3232</v>
      </c>
    </row>
    <row r="1769">
      <c r="A1769" s="3">
        <f>IFERROR(__xludf.DUMMYFUNCTION("""COMPUTED_VALUE"""),42081.99861111111)</f>
        <v>42081.99861</v>
      </c>
      <c r="B1769" s="1">
        <f>IFERROR(__xludf.DUMMYFUNCTION("""COMPUTED_VALUE"""),393.3552)</f>
        <v>393.3552</v>
      </c>
    </row>
    <row r="1770">
      <c r="A1770" s="3">
        <f>IFERROR(__xludf.DUMMYFUNCTION("""COMPUTED_VALUE"""),42082.99861111111)</f>
        <v>42082.99861</v>
      </c>
      <c r="B1770" s="1">
        <f>IFERROR(__xludf.DUMMYFUNCTION("""COMPUTED_VALUE"""),398.53016)</f>
        <v>398.53016</v>
      </c>
    </row>
    <row r="1771">
      <c r="A1771" s="3">
        <f>IFERROR(__xludf.DUMMYFUNCTION("""COMPUTED_VALUE"""),42083.99861111111)</f>
        <v>42083.99861</v>
      </c>
      <c r="B1771" s="1">
        <f>IFERROR(__xludf.DUMMYFUNCTION("""COMPUTED_VALUE"""),399.3465)</f>
        <v>399.3465</v>
      </c>
    </row>
    <row r="1772">
      <c r="A1772" s="3">
        <f>IFERROR(__xludf.DUMMYFUNCTION("""COMPUTED_VALUE"""),42084.99861111111)</f>
        <v>42084.99861</v>
      </c>
      <c r="B1772" s="1">
        <f>IFERROR(__xludf.DUMMYFUNCTION("""COMPUTED_VALUE"""),399.738948)</f>
        <v>399.738948</v>
      </c>
    </row>
    <row r="1773">
      <c r="A1773" s="3">
        <f>IFERROR(__xludf.DUMMYFUNCTION("""COMPUTED_VALUE"""),42085.99861111111)</f>
        <v>42085.99861</v>
      </c>
      <c r="B1773" s="1">
        <f>IFERROR(__xludf.DUMMYFUNCTION("""COMPUTED_VALUE"""),399.869326)</f>
        <v>399.869326</v>
      </c>
    </row>
    <row r="1774">
      <c r="A1774" s="3">
        <f>IFERROR(__xludf.DUMMYFUNCTION("""COMPUTED_VALUE"""),42086.99861111111)</f>
        <v>42086.99861</v>
      </c>
      <c r="B1774" s="1">
        <f>IFERROR(__xludf.DUMMYFUNCTION("""COMPUTED_VALUE"""),398.12668)</f>
        <v>398.12668</v>
      </c>
    </row>
    <row r="1775">
      <c r="A1775" s="3">
        <f>IFERROR(__xludf.DUMMYFUNCTION("""COMPUTED_VALUE"""),42087.99861111111)</f>
        <v>42087.99861</v>
      </c>
      <c r="B1775" s="1">
        <f>IFERROR(__xludf.DUMMYFUNCTION("""COMPUTED_VALUE"""),396.6997)</f>
        <v>396.6997</v>
      </c>
    </row>
    <row r="1776">
      <c r="A1776" s="3">
        <f>IFERROR(__xludf.DUMMYFUNCTION("""COMPUTED_VALUE"""),42088.99861111111)</f>
        <v>42088.99861</v>
      </c>
      <c r="B1776" s="1">
        <f>IFERROR(__xludf.DUMMYFUNCTION("""COMPUTED_VALUE"""),396.6924)</f>
        <v>396.6924</v>
      </c>
    </row>
    <row r="1777">
      <c r="A1777" s="3">
        <f>IFERROR(__xludf.DUMMYFUNCTION("""COMPUTED_VALUE"""),42089.99861111111)</f>
        <v>42089.99861</v>
      </c>
      <c r="B1777" s="1">
        <f>IFERROR(__xludf.DUMMYFUNCTION("""COMPUTED_VALUE"""),398.8866)</f>
        <v>398.8866</v>
      </c>
    </row>
    <row r="1778">
      <c r="A1778" s="3">
        <f>IFERROR(__xludf.DUMMYFUNCTION("""COMPUTED_VALUE"""),42090.99861111111)</f>
        <v>42090.99861</v>
      </c>
      <c r="B1778" s="1">
        <f>IFERROR(__xludf.DUMMYFUNCTION("""COMPUTED_VALUE"""),399.9138)</f>
        <v>399.9138</v>
      </c>
    </row>
    <row r="1779">
      <c r="A1779" s="3">
        <f>IFERROR(__xludf.DUMMYFUNCTION("""COMPUTED_VALUE"""),42091.99861111111)</f>
        <v>42091.99861</v>
      </c>
      <c r="B1779" s="1">
        <f>IFERROR(__xludf.DUMMYFUNCTION("""COMPUTED_VALUE"""),403.153608)</f>
        <v>403.153608</v>
      </c>
    </row>
    <row r="1780">
      <c r="A1780" s="3">
        <f>IFERROR(__xludf.DUMMYFUNCTION("""COMPUTED_VALUE"""),42092.99861111111)</f>
        <v>42092.99861</v>
      </c>
      <c r="B1780" s="1">
        <f>IFERROR(__xludf.DUMMYFUNCTION("""COMPUTED_VALUE"""),402.890796)</f>
        <v>402.890796</v>
      </c>
    </row>
    <row r="1781">
      <c r="A1781" s="3">
        <f>IFERROR(__xludf.DUMMYFUNCTION("""COMPUTED_VALUE"""),42093.99861111111)</f>
        <v>42093.99861</v>
      </c>
      <c r="B1781" s="1">
        <f>IFERROR(__xludf.DUMMYFUNCTION("""COMPUTED_VALUE"""),401.7709)</f>
        <v>401.7709</v>
      </c>
    </row>
    <row r="1782">
      <c r="A1782" s="3">
        <f>IFERROR(__xludf.DUMMYFUNCTION("""COMPUTED_VALUE"""),42094.99861111111)</f>
        <v>42094.99861</v>
      </c>
      <c r="B1782" s="1">
        <f>IFERROR(__xludf.DUMMYFUNCTION("""COMPUTED_VALUE"""),400.942)</f>
        <v>400.942</v>
      </c>
    </row>
    <row r="1783">
      <c r="A1783" s="3">
        <f>IFERROR(__xludf.DUMMYFUNCTION("""COMPUTED_VALUE"""),42095.99861111111)</f>
        <v>42095.99861</v>
      </c>
      <c r="B1783" s="1">
        <f>IFERROR(__xludf.DUMMYFUNCTION("""COMPUTED_VALUE"""),398.58808)</f>
        <v>398.58808</v>
      </c>
    </row>
    <row r="1784">
      <c r="A1784" s="3">
        <f>IFERROR(__xludf.DUMMYFUNCTION("""COMPUTED_VALUE"""),42096.99861111111)</f>
        <v>42096.99861</v>
      </c>
      <c r="B1784" s="1">
        <f>IFERROR(__xludf.DUMMYFUNCTION("""COMPUTED_VALUE"""),399.1589)</f>
        <v>399.1589</v>
      </c>
    </row>
    <row r="1785">
      <c r="A1785" s="3">
        <f>IFERROR(__xludf.DUMMYFUNCTION("""COMPUTED_VALUE"""),42097.99861111111)</f>
        <v>42097.99861</v>
      </c>
      <c r="B1785" s="1">
        <f>IFERROR(__xludf.DUMMYFUNCTION("""COMPUTED_VALUE"""),402.30395)</f>
        <v>402.30395</v>
      </c>
    </row>
    <row r="1786">
      <c r="A1786" s="3">
        <f>IFERROR(__xludf.DUMMYFUNCTION("""COMPUTED_VALUE"""),42098.99861111111)</f>
        <v>42098.99861</v>
      </c>
      <c r="B1786" s="1">
        <f>IFERROR(__xludf.DUMMYFUNCTION("""COMPUTED_VALUE"""),403.511017)</f>
        <v>403.511017</v>
      </c>
    </row>
    <row r="1787">
      <c r="A1787" s="3">
        <f>IFERROR(__xludf.DUMMYFUNCTION("""COMPUTED_VALUE"""),42099.99861111111)</f>
        <v>42099.99861</v>
      </c>
      <c r="B1787" s="1">
        <f>IFERROR(__xludf.DUMMYFUNCTION("""COMPUTED_VALUE"""),403.5016776)</f>
        <v>403.5016776</v>
      </c>
    </row>
    <row r="1788">
      <c r="A1788" s="3">
        <f>IFERROR(__xludf.DUMMYFUNCTION("""COMPUTED_VALUE"""),42100.99861111111)</f>
        <v>42100.99861</v>
      </c>
      <c r="B1788" s="1">
        <f>IFERROR(__xludf.DUMMYFUNCTION("""COMPUTED_VALUE"""),400.2594)</f>
        <v>400.2594</v>
      </c>
    </row>
    <row r="1789">
      <c r="A1789" s="3">
        <f>IFERROR(__xludf.DUMMYFUNCTION("""COMPUTED_VALUE"""),42101.99861111111)</f>
        <v>42101.99861</v>
      </c>
      <c r="B1789" s="1">
        <f>IFERROR(__xludf.DUMMYFUNCTION("""COMPUTED_VALUE"""),398.4267)</f>
        <v>398.4267</v>
      </c>
    </row>
    <row r="1790">
      <c r="A1790" s="3">
        <f>IFERROR(__xludf.DUMMYFUNCTION("""COMPUTED_VALUE"""),42102.99861111111)</f>
        <v>42102.99861</v>
      </c>
      <c r="B1790" s="1">
        <f>IFERROR(__xludf.DUMMYFUNCTION("""COMPUTED_VALUE"""),396.66825)</f>
        <v>396.66825</v>
      </c>
    </row>
    <row r="1791">
      <c r="A1791" s="3">
        <f>IFERROR(__xludf.DUMMYFUNCTION("""COMPUTED_VALUE"""),42103.99861111111)</f>
        <v>42103.99861</v>
      </c>
      <c r="B1791" s="1">
        <f>IFERROR(__xludf.DUMMYFUNCTION("""COMPUTED_VALUE"""),396.8458)</f>
        <v>396.8458</v>
      </c>
    </row>
    <row r="1792">
      <c r="A1792" s="3">
        <f>IFERROR(__xludf.DUMMYFUNCTION("""COMPUTED_VALUE"""),42104.99861111111)</f>
        <v>42104.99861</v>
      </c>
      <c r="B1792" s="1">
        <f>IFERROR(__xludf.DUMMYFUNCTION("""COMPUTED_VALUE"""),395.3363)</f>
        <v>395.3363</v>
      </c>
    </row>
    <row r="1793">
      <c r="A1793" s="3">
        <f>IFERROR(__xludf.DUMMYFUNCTION("""COMPUTED_VALUE"""),42105.99861111111)</f>
        <v>42105.99861</v>
      </c>
      <c r="B1793" s="1">
        <f>IFERROR(__xludf.DUMMYFUNCTION("""COMPUTED_VALUE"""),397.0245609)</f>
        <v>397.0245609</v>
      </c>
    </row>
    <row r="1794">
      <c r="A1794" s="3">
        <f>IFERROR(__xludf.DUMMYFUNCTION("""COMPUTED_VALUE"""),42106.99861111111)</f>
        <v>42106.99861</v>
      </c>
      <c r="B1794" s="1">
        <f>IFERROR(__xludf.DUMMYFUNCTION("""COMPUTED_VALUE"""),397.0245609)</f>
        <v>397.0245609</v>
      </c>
    </row>
    <row r="1795">
      <c r="A1795" s="3">
        <f>IFERROR(__xludf.DUMMYFUNCTION("""COMPUTED_VALUE"""),42107.99861111111)</f>
        <v>42107.99861</v>
      </c>
      <c r="B1795" s="1">
        <f>IFERROR(__xludf.DUMMYFUNCTION("""COMPUTED_VALUE"""),400.2206)</f>
        <v>400.2206</v>
      </c>
    </row>
    <row r="1796">
      <c r="A1796" s="3">
        <f>IFERROR(__xludf.DUMMYFUNCTION("""COMPUTED_VALUE"""),42108.99861111111)</f>
        <v>42108.99861</v>
      </c>
      <c r="B1796" s="1">
        <f>IFERROR(__xludf.DUMMYFUNCTION("""COMPUTED_VALUE"""),399.24075)</f>
        <v>399.24075</v>
      </c>
    </row>
    <row r="1797">
      <c r="A1797" s="3">
        <f>IFERROR(__xludf.DUMMYFUNCTION("""COMPUTED_VALUE"""),42109.99861111111)</f>
        <v>42109.99861</v>
      </c>
      <c r="B1797" s="1">
        <f>IFERROR(__xludf.DUMMYFUNCTION("""COMPUTED_VALUE"""),396.96966)</f>
        <v>396.96966</v>
      </c>
    </row>
    <row r="1798">
      <c r="A1798" s="3">
        <f>IFERROR(__xludf.DUMMYFUNCTION("""COMPUTED_VALUE"""),42110.99861111111)</f>
        <v>42110.99861</v>
      </c>
      <c r="B1798" s="1">
        <f>IFERROR(__xludf.DUMMYFUNCTION("""COMPUTED_VALUE"""),395.2406)</f>
        <v>395.2406</v>
      </c>
    </row>
    <row r="1799">
      <c r="A1799" s="3">
        <f>IFERROR(__xludf.DUMMYFUNCTION("""COMPUTED_VALUE"""),42111.99861111111)</f>
        <v>42111.99861</v>
      </c>
      <c r="B1799" s="1">
        <f>IFERROR(__xludf.DUMMYFUNCTION("""COMPUTED_VALUE"""),395.264)</f>
        <v>395.264</v>
      </c>
    </row>
    <row r="1800">
      <c r="A1800" s="3">
        <f>IFERROR(__xludf.DUMMYFUNCTION("""COMPUTED_VALUE"""),42112.99861111111)</f>
        <v>42112.99861</v>
      </c>
      <c r="B1800" s="1">
        <f>IFERROR(__xludf.DUMMYFUNCTION("""COMPUTED_VALUE"""),396.4056336)</f>
        <v>396.4056336</v>
      </c>
    </row>
    <row r="1801">
      <c r="A1801" s="3">
        <f>IFERROR(__xludf.DUMMYFUNCTION("""COMPUTED_VALUE"""),42113.99861111111)</f>
        <v>42113.99861</v>
      </c>
      <c r="B1801" s="1">
        <f>IFERROR(__xludf.DUMMYFUNCTION("""COMPUTED_VALUE"""),398.0667651)</f>
        <v>398.0667651</v>
      </c>
    </row>
    <row r="1802">
      <c r="A1802" s="3">
        <f>IFERROR(__xludf.DUMMYFUNCTION("""COMPUTED_VALUE"""),42114.99861111111)</f>
        <v>42114.99861</v>
      </c>
      <c r="B1802" s="1">
        <f>IFERROR(__xludf.DUMMYFUNCTION("""COMPUTED_VALUE"""),399.9948)</f>
        <v>399.9948</v>
      </c>
    </row>
    <row r="1803">
      <c r="A1803" s="3">
        <f>IFERROR(__xludf.DUMMYFUNCTION("""COMPUTED_VALUE"""),42115.99861111111)</f>
        <v>42115.99861</v>
      </c>
      <c r="B1803" s="1">
        <f>IFERROR(__xludf.DUMMYFUNCTION("""COMPUTED_VALUE"""),398.8655)</f>
        <v>398.8655</v>
      </c>
    </row>
    <row r="1804">
      <c r="A1804" s="3">
        <f>IFERROR(__xludf.DUMMYFUNCTION("""COMPUTED_VALUE"""),42116.99861111111)</f>
        <v>42116.99861</v>
      </c>
      <c r="B1804" s="1">
        <f>IFERROR(__xludf.DUMMYFUNCTION("""COMPUTED_VALUE"""),397.836)</f>
        <v>397.836</v>
      </c>
    </row>
    <row r="1805">
      <c r="A1805" s="3">
        <f>IFERROR(__xludf.DUMMYFUNCTION("""COMPUTED_VALUE"""),42117.99861111111)</f>
        <v>42117.99861</v>
      </c>
      <c r="B1805" s="1">
        <f>IFERROR(__xludf.DUMMYFUNCTION("""COMPUTED_VALUE"""),398.244)</f>
        <v>398.244</v>
      </c>
    </row>
    <row r="1806">
      <c r="A1806" s="3">
        <f>IFERROR(__xludf.DUMMYFUNCTION("""COMPUTED_VALUE"""),42118.99861111111)</f>
        <v>42118.99861</v>
      </c>
      <c r="B1806" s="1">
        <f>IFERROR(__xludf.DUMMYFUNCTION("""COMPUTED_VALUE"""),396.80172)</f>
        <v>396.80172</v>
      </c>
    </row>
    <row r="1807">
      <c r="A1807" s="3">
        <f>IFERROR(__xludf.DUMMYFUNCTION("""COMPUTED_VALUE"""),42119.99861111111)</f>
        <v>42119.99861</v>
      </c>
      <c r="B1807" s="1">
        <f>IFERROR(__xludf.DUMMYFUNCTION("""COMPUTED_VALUE"""),397.6651056)</f>
        <v>397.6651056</v>
      </c>
    </row>
    <row r="1808">
      <c r="A1808" s="3">
        <f>IFERROR(__xludf.DUMMYFUNCTION("""COMPUTED_VALUE"""),42120.99861111111)</f>
        <v>42120.99861</v>
      </c>
      <c r="B1808" s="1">
        <f>IFERROR(__xludf.DUMMYFUNCTION("""COMPUTED_VALUE"""),397.535404)</f>
        <v>397.535404</v>
      </c>
    </row>
    <row r="1809">
      <c r="A1809" s="3">
        <f>IFERROR(__xludf.DUMMYFUNCTION("""COMPUTED_VALUE"""),42121.99861111111)</f>
        <v>42121.99861</v>
      </c>
      <c r="B1809" s="1">
        <f>IFERROR(__xludf.DUMMYFUNCTION("""COMPUTED_VALUE"""),396.08328)</f>
        <v>396.08328</v>
      </c>
    </row>
    <row r="1810">
      <c r="A1810" s="3">
        <f>IFERROR(__xludf.DUMMYFUNCTION("""COMPUTED_VALUE"""),42122.99861111111)</f>
        <v>42122.99861</v>
      </c>
      <c r="B1810" s="1">
        <f>IFERROR(__xludf.DUMMYFUNCTION("""COMPUTED_VALUE"""),396.45775)</f>
        <v>396.45775</v>
      </c>
    </row>
    <row r="1811">
      <c r="A1811" s="3">
        <f>IFERROR(__xludf.DUMMYFUNCTION("""COMPUTED_VALUE"""),42123.99861111111)</f>
        <v>42123.99861</v>
      </c>
      <c r="B1811" s="1">
        <f>IFERROR(__xludf.DUMMYFUNCTION("""COMPUTED_VALUE"""),392.616)</f>
        <v>392.616</v>
      </c>
    </row>
    <row r="1812">
      <c r="A1812" s="3">
        <f>IFERROR(__xludf.DUMMYFUNCTION("""COMPUTED_VALUE"""),42124.99861111111)</f>
        <v>42124.99861</v>
      </c>
      <c r="B1812" s="1">
        <f>IFERROR(__xludf.DUMMYFUNCTION("""COMPUTED_VALUE"""),391.81968)</f>
        <v>391.81968</v>
      </c>
    </row>
    <row r="1813">
      <c r="A1813" s="3">
        <f>IFERROR(__xludf.DUMMYFUNCTION("""COMPUTED_VALUE"""),42125.99861111111)</f>
        <v>42125.99861</v>
      </c>
      <c r="B1813" s="1">
        <f>IFERROR(__xludf.DUMMYFUNCTION("""COMPUTED_VALUE"""),391.71525)</f>
        <v>391.71525</v>
      </c>
    </row>
    <row r="1814">
      <c r="A1814" s="3">
        <f>IFERROR(__xludf.DUMMYFUNCTION("""COMPUTED_VALUE"""),42126.99861111111)</f>
        <v>42126.99861</v>
      </c>
      <c r="B1814" s="1">
        <f>IFERROR(__xludf.DUMMYFUNCTION("""COMPUTED_VALUE"""),394.6403591)</f>
        <v>394.6403591</v>
      </c>
    </row>
    <row r="1815">
      <c r="A1815" s="3">
        <f>IFERROR(__xludf.DUMMYFUNCTION("""COMPUTED_VALUE"""),42127.99861111111)</f>
        <v>42127.99861</v>
      </c>
      <c r="B1815" s="1">
        <f>IFERROR(__xludf.DUMMYFUNCTION("""COMPUTED_VALUE"""),392.177024)</f>
        <v>392.177024</v>
      </c>
    </row>
    <row r="1816">
      <c r="A1816" s="3">
        <f>IFERROR(__xludf.DUMMYFUNCTION("""COMPUTED_VALUE"""),42128.99861111111)</f>
        <v>42128.99861</v>
      </c>
      <c r="B1816" s="1">
        <f>IFERROR(__xludf.DUMMYFUNCTION("""COMPUTED_VALUE"""),385.6714)</f>
        <v>385.6714</v>
      </c>
    </row>
    <row r="1817">
      <c r="A1817" s="3">
        <f>IFERROR(__xludf.DUMMYFUNCTION("""COMPUTED_VALUE"""),42129.99861111111)</f>
        <v>42129.99861</v>
      </c>
      <c r="B1817" s="1">
        <f>IFERROR(__xludf.DUMMYFUNCTION("""COMPUTED_VALUE"""),390.01995)</f>
        <v>390.01995</v>
      </c>
    </row>
    <row r="1818">
      <c r="A1818" s="3">
        <f>IFERROR(__xludf.DUMMYFUNCTION("""COMPUTED_VALUE"""),42130.99861111111)</f>
        <v>42130.99861</v>
      </c>
      <c r="B1818" s="1">
        <f>IFERROR(__xludf.DUMMYFUNCTION("""COMPUTED_VALUE"""),390.12)</f>
        <v>390.12</v>
      </c>
    </row>
    <row r="1819">
      <c r="A1819" s="3">
        <f>IFERROR(__xludf.DUMMYFUNCTION("""COMPUTED_VALUE"""),42131.99861111111)</f>
        <v>42131.99861</v>
      </c>
      <c r="B1819" s="1">
        <f>IFERROR(__xludf.DUMMYFUNCTION("""COMPUTED_VALUE"""),390.231)</f>
        <v>390.231</v>
      </c>
    </row>
    <row r="1820">
      <c r="A1820" s="3">
        <f>IFERROR(__xludf.DUMMYFUNCTION("""COMPUTED_VALUE"""),42132.99861111111)</f>
        <v>42132.99861</v>
      </c>
      <c r="B1820" s="1">
        <f>IFERROR(__xludf.DUMMYFUNCTION("""COMPUTED_VALUE"""),388.14825)</f>
        <v>388.14825</v>
      </c>
    </row>
    <row r="1821">
      <c r="A1821" s="3">
        <f>IFERROR(__xludf.DUMMYFUNCTION("""COMPUTED_VALUE"""),42133.99861111111)</f>
        <v>42133.99861</v>
      </c>
      <c r="B1821" s="1">
        <f>IFERROR(__xludf.DUMMYFUNCTION("""COMPUTED_VALUE"""),391.4472275)</f>
        <v>391.4472275</v>
      </c>
    </row>
    <row r="1822">
      <c r="A1822" s="3">
        <f>IFERROR(__xludf.DUMMYFUNCTION("""COMPUTED_VALUE"""),42134.99861111111)</f>
        <v>42134.99861</v>
      </c>
      <c r="B1822" s="1">
        <f>IFERROR(__xludf.DUMMYFUNCTION("""COMPUTED_VALUE"""),391.3156486)</f>
        <v>391.3156486</v>
      </c>
    </row>
    <row r="1823">
      <c r="A1823" s="3">
        <f>IFERROR(__xludf.DUMMYFUNCTION("""COMPUTED_VALUE"""),42135.99861111111)</f>
        <v>42135.99861</v>
      </c>
      <c r="B1823" s="1">
        <f>IFERROR(__xludf.DUMMYFUNCTION("""COMPUTED_VALUE"""),390.0954)</f>
        <v>390.0954</v>
      </c>
    </row>
    <row r="1824">
      <c r="A1824" s="3">
        <f>IFERROR(__xludf.DUMMYFUNCTION("""COMPUTED_VALUE"""),42136.99861111111)</f>
        <v>42136.99861</v>
      </c>
      <c r="B1824" s="1">
        <f>IFERROR(__xludf.DUMMYFUNCTION("""COMPUTED_VALUE"""),389.48635)</f>
        <v>389.48635</v>
      </c>
    </row>
    <row r="1825">
      <c r="A1825" s="3">
        <f>IFERROR(__xludf.DUMMYFUNCTION("""COMPUTED_VALUE"""),42137.99861111111)</f>
        <v>42137.99861</v>
      </c>
      <c r="B1825" s="1">
        <f>IFERROR(__xludf.DUMMYFUNCTION("""COMPUTED_VALUE"""),390.30858)</f>
        <v>390.30858</v>
      </c>
    </row>
    <row r="1826">
      <c r="A1826" s="3">
        <f>IFERROR(__xludf.DUMMYFUNCTION("""COMPUTED_VALUE"""),42138.99861111111)</f>
        <v>42138.99861</v>
      </c>
      <c r="B1826" s="1">
        <f>IFERROR(__xludf.DUMMYFUNCTION("""COMPUTED_VALUE"""),388.17779)</f>
        <v>388.17779</v>
      </c>
    </row>
    <row r="1827">
      <c r="A1827" s="3">
        <f>IFERROR(__xludf.DUMMYFUNCTION("""COMPUTED_VALUE"""),42139.99861111111)</f>
        <v>42139.99861</v>
      </c>
      <c r="B1827" s="1">
        <f>IFERROR(__xludf.DUMMYFUNCTION("""COMPUTED_VALUE"""),389.19201)</f>
        <v>389.19201</v>
      </c>
    </row>
    <row r="1828">
      <c r="A1828" s="3">
        <f>IFERROR(__xludf.DUMMYFUNCTION("""COMPUTED_VALUE"""),42140.99861111111)</f>
        <v>42140.99861</v>
      </c>
      <c r="B1828" s="1">
        <f>IFERROR(__xludf.DUMMYFUNCTION("""COMPUTED_VALUE"""),389.9344787)</f>
        <v>389.9344787</v>
      </c>
    </row>
    <row r="1829">
      <c r="A1829" s="3">
        <f>IFERROR(__xludf.DUMMYFUNCTION("""COMPUTED_VALUE"""),42141.99861111111)</f>
        <v>42141.99861</v>
      </c>
      <c r="B1829" s="1">
        <f>IFERROR(__xludf.DUMMYFUNCTION("""COMPUTED_VALUE"""),389.2808842)</f>
        <v>389.2808842</v>
      </c>
    </row>
    <row r="1830">
      <c r="A1830" s="3">
        <f>IFERROR(__xludf.DUMMYFUNCTION("""COMPUTED_VALUE"""),42142.99861111111)</f>
        <v>42142.99861</v>
      </c>
      <c r="B1830" s="1">
        <f>IFERROR(__xludf.DUMMYFUNCTION("""COMPUTED_VALUE"""),393.67542)</f>
        <v>393.67542</v>
      </c>
    </row>
    <row r="1831">
      <c r="A1831" s="3">
        <f>IFERROR(__xludf.DUMMYFUNCTION("""COMPUTED_VALUE"""),42143.99861111111)</f>
        <v>42143.99861</v>
      </c>
      <c r="B1831" s="1">
        <f>IFERROR(__xludf.DUMMYFUNCTION("""COMPUTED_VALUE"""),392.4064)</f>
        <v>392.4064</v>
      </c>
    </row>
    <row r="1832">
      <c r="A1832" s="3">
        <f>IFERROR(__xludf.DUMMYFUNCTION("""COMPUTED_VALUE"""),42144.99861111111)</f>
        <v>42144.99861</v>
      </c>
      <c r="B1832" s="1">
        <f>IFERROR(__xludf.DUMMYFUNCTION("""COMPUTED_VALUE"""),386.8058)</f>
        <v>386.8058</v>
      </c>
    </row>
    <row r="1833">
      <c r="A1833" s="3">
        <f>IFERROR(__xludf.DUMMYFUNCTION("""COMPUTED_VALUE"""),42145.99861111111)</f>
        <v>42145.99861</v>
      </c>
      <c r="B1833" s="1">
        <f>IFERROR(__xludf.DUMMYFUNCTION("""COMPUTED_VALUE"""),391.9292)</f>
        <v>391.9292</v>
      </c>
    </row>
    <row r="1834">
      <c r="A1834" s="3">
        <f>IFERROR(__xludf.DUMMYFUNCTION("""COMPUTED_VALUE"""),42146.99861111111)</f>
        <v>42146.99861</v>
      </c>
      <c r="B1834" s="1">
        <f>IFERROR(__xludf.DUMMYFUNCTION("""COMPUTED_VALUE"""),391.9662)</f>
        <v>391.9662</v>
      </c>
    </row>
    <row r="1835">
      <c r="A1835" s="3">
        <f>IFERROR(__xludf.DUMMYFUNCTION("""COMPUTED_VALUE"""),42147.99861111111)</f>
        <v>42147.99861</v>
      </c>
      <c r="B1835" s="1">
        <f>IFERROR(__xludf.DUMMYFUNCTION("""COMPUTED_VALUE"""),393.0171109)</f>
        <v>393.0171109</v>
      </c>
    </row>
    <row r="1836">
      <c r="A1836" s="3">
        <f>IFERROR(__xludf.DUMMYFUNCTION("""COMPUTED_VALUE"""),42149.99861111111)</f>
        <v>42149.99861</v>
      </c>
      <c r="B1836" s="1">
        <f>IFERROR(__xludf.DUMMYFUNCTION("""COMPUTED_VALUE"""),391.63329)</f>
        <v>391.63329</v>
      </c>
    </row>
    <row r="1837">
      <c r="A1837" s="3">
        <f>IFERROR(__xludf.DUMMYFUNCTION("""COMPUTED_VALUE"""),42150.99861111111)</f>
        <v>42150.99861</v>
      </c>
      <c r="B1837" s="1">
        <f>IFERROR(__xludf.DUMMYFUNCTION("""COMPUTED_VALUE"""),391.35537)</f>
        <v>391.35537</v>
      </c>
    </row>
    <row r="1838">
      <c r="A1838" s="3">
        <f>IFERROR(__xludf.DUMMYFUNCTION("""COMPUTED_VALUE"""),42151.99861111111)</f>
        <v>42151.99861</v>
      </c>
      <c r="B1838" s="1">
        <f>IFERROR(__xludf.DUMMYFUNCTION("""COMPUTED_VALUE"""),389.5686)</f>
        <v>389.5686</v>
      </c>
    </row>
    <row r="1839">
      <c r="A1839" s="3">
        <f>IFERROR(__xludf.DUMMYFUNCTION("""COMPUTED_VALUE"""),42152.99861111111)</f>
        <v>42152.99861</v>
      </c>
      <c r="B1839" s="1">
        <f>IFERROR(__xludf.DUMMYFUNCTION("""COMPUTED_VALUE"""),389.81565)</f>
        <v>389.81565</v>
      </c>
    </row>
    <row r="1840">
      <c r="A1840" s="3">
        <f>IFERROR(__xludf.DUMMYFUNCTION("""COMPUTED_VALUE"""),42153.99861111111)</f>
        <v>42153.99861</v>
      </c>
      <c r="B1840" s="1">
        <f>IFERROR(__xludf.DUMMYFUNCTION("""COMPUTED_VALUE"""),391.38)</f>
        <v>391.38</v>
      </c>
    </row>
    <row r="1841">
      <c r="A1841" s="3">
        <f>IFERROR(__xludf.DUMMYFUNCTION("""COMPUTED_VALUE"""),42156.99861111111)</f>
        <v>42156.99861</v>
      </c>
      <c r="B1841" s="1">
        <f>IFERROR(__xludf.DUMMYFUNCTION("""COMPUTED_VALUE"""),391.0242)</f>
        <v>391.0242</v>
      </c>
    </row>
    <row r="1842">
      <c r="A1842" s="3">
        <f>IFERROR(__xludf.DUMMYFUNCTION("""COMPUTED_VALUE"""),42157.99861111111)</f>
        <v>42157.99861</v>
      </c>
      <c r="B1842" s="1">
        <f>IFERROR(__xludf.DUMMYFUNCTION("""COMPUTED_VALUE"""),389.503)</f>
        <v>389.503</v>
      </c>
    </row>
    <row r="1843">
      <c r="A1843" s="3">
        <f>IFERROR(__xludf.DUMMYFUNCTION("""COMPUTED_VALUE"""),42158.99861111111)</f>
        <v>42158.99861</v>
      </c>
      <c r="B1843" s="1">
        <f>IFERROR(__xludf.DUMMYFUNCTION("""COMPUTED_VALUE"""),392.2695)</f>
        <v>392.2695</v>
      </c>
    </row>
    <row r="1844">
      <c r="A1844" s="3">
        <f>IFERROR(__xludf.DUMMYFUNCTION("""COMPUTED_VALUE"""),42159.99861111111)</f>
        <v>42159.99861</v>
      </c>
      <c r="B1844" s="1">
        <f>IFERROR(__xludf.DUMMYFUNCTION("""COMPUTED_VALUE"""),393.07275)</f>
        <v>393.07275</v>
      </c>
    </row>
    <row r="1845">
      <c r="A1845" s="3">
        <f>IFERROR(__xludf.DUMMYFUNCTION("""COMPUTED_VALUE"""),42160.99861111111)</f>
        <v>42160.99861</v>
      </c>
      <c r="B1845" s="1">
        <f>IFERROR(__xludf.DUMMYFUNCTION("""COMPUTED_VALUE"""),394.41048)</f>
        <v>394.41048</v>
      </c>
    </row>
    <row r="1846">
      <c r="A1846" s="3">
        <f>IFERROR(__xludf.DUMMYFUNCTION("""COMPUTED_VALUE"""),42163.99861111111)</f>
        <v>42163.99861</v>
      </c>
      <c r="B1846" s="1">
        <f>IFERROR(__xludf.DUMMYFUNCTION("""COMPUTED_VALUE"""),393.7098)</f>
        <v>393.7098</v>
      </c>
    </row>
    <row r="1847">
      <c r="A1847" s="3">
        <f>IFERROR(__xludf.DUMMYFUNCTION("""COMPUTED_VALUE"""),42164.99861111111)</f>
        <v>42164.99861</v>
      </c>
      <c r="B1847" s="1">
        <f>IFERROR(__xludf.DUMMYFUNCTION("""COMPUTED_VALUE"""),395.67925)</f>
        <v>395.67925</v>
      </c>
    </row>
    <row r="1848">
      <c r="A1848" s="3">
        <f>IFERROR(__xludf.DUMMYFUNCTION("""COMPUTED_VALUE"""),42165.99861111111)</f>
        <v>42165.99861</v>
      </c>
      <c r="B1848" s="1">
        <f>IFERROR(__xludf.DUMMYFUNCTION("""COMPUTED_VALUE"""),392.32055)</f>
        <v>392.32055</v>
      </c>
    </row>
    <row r="1849">
      <c r="A1849" s="3">
        <f>IFERROR(__xludf.DUMMYFUNCTION("""COMPUTED_VALUE"""),42166.99861111111)</f>
        <v>42166.99861</v>
      </c>
      <c r="B1849" s="1">
        <f>IFERROR(__xludf.DUMMYFUNCTION("""COMPUTED_VALUE"""),392.1372)</f>
        <v>392.1372</v>
      </c>
    </row>
    <row r="1850">
      <c r="A1850" s="3">
        <f>IFERROR(__xludf.DUMMYFUNCTION("""COMPUTED_VALUE"""),42167.99861111111)</f>
        <v>42167.99861</v>
      </c>
      <c r="B1850" s="1">
        <f>IFERROR(__xludf.DUMMYFUNCTION("""COMPUTED_VALUE"""),394.9229)</f>
        <v>394.9229</v>
      </c>
    </row>
    <row r="1851">
      <c r="A1851" s="3">
        <f>IFERROR(__xludf.DUMMYFUNCTION("""COMPUTED_VALUE"""),42170.99861111111)</f>
        <v>42170.99861</v>
      </c>
      <c r="B1851" s="1">
        <f>IFERROR(__xludf.DUMMYFUNCTION("""COMPUTED_VALUE"""),394.8048)</f>
        <v>394.8048</v>
      </c>
    </row>
    <row r="1852">
      <c r="A1852" s="3">
        <f>IFERROR(__xludf.DUMMYFUNCTION("""COMPUTED_VALUE"""),42171.99861111111)</f>
        <v>42171.99861</v>
      </c>
      <c r="B1852" s="1">
        <f>IFERROR(__xludf.DUMMYFUNCTION("""COMPUTED_VALUE"""),395.531)</f>
        <v>395.531</v>
      </c>
    </row>
    <row r="1853">
      <c r="A1853" s="3">
        <f>IFERROR(__xludf.DUMMYFUNCTION("""COMPUTED_VALUE"""),42172.99861111111)</f>
        <v>42172.99861</v>
      </c>
      <c r="B1853" s="1">
        <f>IFERROR(__xludf.DUMMYFUNCTION("""COMPUTED_VALUE"""),396.1676)</f>
        <v>396.1676</v>
      </c>
    </row>
    <row r="1854">
      <c r="A1854" s="3">
        <f>IFERROR(__xludf.DUMMYFUNCTION("""COMPUTED_VALUE"""),42173.99861111111)</f>
        <v>42173.99861</v>
      </c>
      <c r="B1854" s="1">
        <f>IFERROR(__xludf.DUMMYFUNCTION("""COMPUTED_VALUE"""),394.9788)</f>
        <v>394.9788</v>
      </c>
    </row>
    <row r="1855">
      <c r="A1855" s="3">
        <f>IFERROR(__xludf.DUMMYFUNCTION("""COMPUTED_VALUE"""),42174.99861111111)</f>
        <v>42174.99861</v>
      </c>
      <c r="B1855" s="1">
        <f>IFERROR(__xludf.DUMMYFUNCTION("""COMPUTED_VALUE"""),395.4401)</f>
        <v>395.4401</v>
      </c>
    </row>
    <row r="1856">
      <c r="A1856" s="3">
        <f>IFERROR(__xludf.DUMMYFUNCTION("""COMPUTED_VALUE"""),42177.99861111111)</f>
        <v>42177.99861</v>
      </c>
      <c r="B1856" s="1">
        <f>IFERROR(__xludf.DUMMYFUNCTION("""COMPUTED_VALUE"""),394.67034)</f>
        <v>394.67034</v>
      </c>
    </row>
    <row r="1857">
      <c r="A1857" s="3">
        <f>IFERROR(__xludf.DUMMYFUNCTION("""COMPUTED_VALUE"""),42178.99861111111)</f>
        <v>42178.99861</v>
      </c>
      <c r="B1857" s="1">
        <f>IFERROR(__xludf.DUMMYFUNCTION("""COMPUTED_VALUE"""),392.0675)</f>
        <v>392.0675</v>
      </c>
    </row>
    <row r="1858">
      <c r="A1858" s="3">
        <f>IFERROR(__xludf.DUMMYFUNCTION("""COMPUTED_VALUE"""),42179.99861111111)</f>
        <v>42179.99861</v>
      </c>
      <c r="B1858" s="1">
        <f>IFERROR(__xludf.DUMMYFUNCTION("""COMPUTED_VALUE"""),392.9853)</f>
        <v>392.9853</v>
      </c>
    </row>
    <row r="1859">
      <c r="A1859" s="3">
        <f>IFERROR(__xludf.DUMMYFUNCTION("""COMPUTED_VALUE"""),42180.99861111111)</f>
        <v>42180.99861</v>
      </c>
      <c r="B1859" s="1">
        <f>IFERROR(__xludf.DUMMYFUNCTION("""COMPUTED_VALUE"""),393.63577)</f>
        <v>393.63577</v>
      </c>
    </row>
    <row r="1860">
      <c r="A1860" s="3">
        <f>IFERROR(__xludf.DUMMYFUNCTION("""COMPUTED_VALUE"""),42181.99861111111)</f>
        <v>42181.99861</v>
      </c>
      <c r="B1860" s="1">
        <f>IFERROR(__xludf.DUMMYFUNCTION("""COMPUTED_VALUE"""),393.93154)</f>
        <v>393.93154</v>
      </c>
    </row>
    <row r="1861">
      <c r="A1861" s="3">
        <f>IFERROR(__xludf.DUMMYFUNCTION("""COMPUTED_VALUE"""),42184.99861111111)</f>
        <v>42184.99861</v>
      </c>
      <c r="B1861" s="1">
        <f>IFERROR(__xludf.DUMMYFUNCTION("""COMPUTED_VALUE"""),394.3312)</f>
        <v>394.3312</v>
      </c>
    </row>
    <row r="1862">
      <c r="A1862" s="3">
        <f>IFERROR(__xludf.DUMMYFUNCTION("""COMPUTED_VALUE"""),42185.99861111111)</f>
        <v>42185.99861</v>
      </c>
      <c r="B1862" s="1">
        <f>IFERROR(__xludf.DUMMYFUNCTION("""COMPUTED_VALUE"""),393.85584)</f>
        <v>393.85584</v>
      </c>
    </row>
    <row r="1863">
      <c r="A1863" s="3">
        <f>IFERROR(__xludf.DUMMYFUNCTION("""COMPUTED_VALUE"""),42186.99861111111)</f>
        <v>42186.99861</v>
      </c>
      <c r="B1863" s="1">
        <f>IFERROR(__xludf.DUMMYFUNCTION("""COMPUTED_VALUE"""),393.01418)</f>
        <v>393.01418</v>
      </c>
    </row>
    <row r="1864">
      <c r="A1864" s="3">
        <f>IFERROR(__xludf.DUMMYFUNCTION("""COMPUTED_VALUE"""),42187.99861111111)</f>
        <v>42187.99861</v>
      </c>
      <c r="B1864" s="1">
        <f>IFERROR(__xludf.DUMMYFUNCTION("""COMPUTED_VALUE"""),392.0982)</f>
        <v>392.0982</v>
      </c>
    </row>
    <row r="1865">
      <c r="A1865" s="3">
        <f>IFERROR(__xludf.DUMMYFUNCTION("""COMPUTED_VALUE"""),42188.99861111111)</f>
        <v>42188.99861</v>
      </c>
      <c r="B1865" s="1">
        <f>IFERROR(__xludf.DUMMYFUNCTION("""COMPUTED_VALUE"""),394.9974)</f>
        <v>394.9974</v>
      </c>
    </row>
    <row r="1866">
      <c r="A1866" s="3">
        <f>IFERROR(__xludf.DUMMYFUNCTION("""COMPUTED_VALUE"""),42191.99861111111)</f>
        <v>42191.99861</v>
      </c>
      <c r="B1866" s="1">
        <f>IFERROR(__xludf.DUMMYFUNCTION("""COMPUTED_VALUE"""),393.6634)</f>
        <v>393.6634</v>
      </c>
    </row>
    <row r="1867">
      <c r="A1867" s="3">
        <f>IFERROR(__xludf.DUMMYFUNCTION("""COMPUTED_VALUE"""),42192.99861111111)</f>
        <v>42192.99861</v>
      </c>
      <c r="B1867" s="1">
        <f>IFERROR(__xludf.DUMMYFUNCTION("""COMPUTED_VALUE"""),392.0215)</f>
        <v>392.0215</v>
      </c>
    </row>
    <row r="1868">
      <c r="A1868" s="3">
        <f>IFERROR(__xludf.DUMMYFUNCTION("""COMPUTED_VALUE"""),42193.99861111111)</f>
        <v>42193.99861</v>
      </c>
      <c r="B1868" s="1">
        <f>IFERROR(__xludf.DUMMYFUNCTION("""COMPUTED_VALUE"""),392.18235)</f>
        <v>392.18235</v>
      </c>
    </row>
    <row r="1869">
      <c r="A1869" s="3">
        <f>IFERROR(__xludf.DUMMYFUNCTION("""COMPUTED_VALUE"""),42194.99861111111)</f>
        <v>42194.99861</v>
      </c>
      <c r="B1869" s="1">
        <f>IFERROR(__xludf.DUMMYFUNCTION("""COMPUTED_VALUE"""),391.50729)</f>
        <v>391.50729</v>
      </c>
    </row>
    <row r="1870">
      <c r="A1870" s="3">
        <f>IFERROR(__xludf.DUMMYFUNCTION("""COMPUTED_VALUE"""),42195.99861111111)</f>
        <v>42195.99861</v>
      </c>
      <c r="B1870" s="1">
        <f>IFERROR(__xludf.DUMMYFUNCTION("""COMPUTED_VALUE"""),390.90432)</f>
        <v>390.90432</v>
      </c>
    </row>
    <row r="1871">
      <c r="A1871" s="3">
        <f>IFERROR(__xludf.DUMMYFUNCTION("""COMPUTED_VALUE"""),42198.99861111111)</f>
        <v>42198.99861</v>
      </c>
      <c r="B1871" s="1">
        <f>IFERROR(__xludf.DUMMYFUNCTION("""COMPUTED_VALUE"""),389.5024)</f>
        <v>389.5024</v>
      </c>
    </row>
    <row r="1872">
      <c r="A1872" s="3">
        <f>IFERROR(__xludf.DUMMYFUNCTION("""COMPUTED_VALUE"""),42199.99861111111)</f>
        <v>42199.99861</v>
      </c>
      <c r="B1872" s="1">
        <f>IFERROR(__xludf.DUMMYFUNCTION("""COMPUTED_VALUE"""),390.6348)</f>
        <v>390.6348</v>
      </c>
    </row>
    <row r="1873">
      <c r="A1873" s="3">
        <f>IFERROR(__xludf.DUMMYFUNCTION("""COMPUTED_VALUE"""),42200.99861111111)</f>
        <v>42200.99861</v>
      </c>
      <c r="B1873" s="1">
        <f>IFERROR(__xludf.DUMMYFUNCTION("""COMPUTED_VALUE"""),389.60298)</f>
        <v>389.60298</v>
      </c>
    </row>
    <row r="1874">
      <c r="A1874" s="3">
        <f>IFERROR(__xludf.DUMMYFUNCTION("""COMPUTED_VALUE"""),42201.99861111111)</f>
        <v>42201.99861</v>
      </c>
      <c r="B1874" s="1">
        <f>IFERROR(__xludf.DUMMYFUNCTION("""COMPUTED_VALUE"""),389.66513)</f>
        <v>389.66513</v>
      </c>
    </row>
    <row r="1875">
      <c r="A1875" s="3">
        <f>IFERROR(__xludf.DUMMYFUNCTION("""COMPUTED_VALUE"""),42202.99861111111)</f>
        <v>42202.99861</v>
      </c>
      <c r="B1875" s="1">
        <f>IFERROR(__xludf.DUMMYFUNCTION("""COMPUTED_VALUE"""),389.553)</f>
        <v>389.553</v>
      </c>
    </row>
    <row r="1876">
      <c r="A1876" s="3">
        <f>IFERROR(__xludf.DUMMYFUNCTION("""COMPUTED_VALUE"""),42205.99861111111)</f>
        <v>42205.99861</v>
      </c>
      <c r="B1876" s="1">
        <f>IFERROR(__xludf.DUMMYFUNCTION("""COMPUTED_VALUE"""),386.7266)</f>
        <v>386.7266</v>
      </c>
    </row>
    <row r="1877">
      <c r="A1877" s="3">
        <f>IFERROR(__xludf.DUMMYFUNCTION("""COMPUTED_VALUE"""),42206.99861111111)</f>
        <v>42206.99861</v>
      </c>
      <c r="B1877" s="1">
        <f>IFERROR(__xludf.DUMMYFUNCTION("""COMPUTED_VALUE"""),386.715)</f>
        <v>386.715</v>
      </c>
    </row>
    <row r="1878">
      <c r="A1878" s="3">
        <f>IFERROR(__xludf.DUMMYFUNCTION("""COMPUTED_VALUE"""),42207.99861111111)</f>
        <v>42207.99861</v>
      </c>
      <c r="B1878" s="1">
        <f>IFERROR(__xludf.DUMMYFUNCTION("""COMPUTED_VALUE"""),385.786)</f>
        <v>385.786</v>
      </c>
    </row>
    <row r="1879">
      <c r="A1879" s="3">
        <f>IFERROR(__xludf.DUMMYFUNCTION("""COMPUTED_VALUE"""),42208.99861111111)</f>
        <v>42208.99861</v>
      </c>
      <c r="B1879" s="1">
        <f>IFERROR(__xludf.DUMMYFUNCTION("""COMPUTED_VALUE"""),385.5753)</f>
        <v>385.5753</v>
      </c>
    </row>
    <row r="1880">
      <c r="A1880" s="3">
        <f>IFERROR(__xludf.DUMMYFUNCTION("""COMPUTED_VALUE"""),42209.99861111111)</f>
        <v>42209.99861</v>
      </c>
      <c r="B1880" s="1">
        <f>IFERROR(__xludf.DUMMYFUNCTION("""COMPUTED_VALUE"""),384.2323)</f>
        <v>384.2323</v>
      </c>
    </row>
    <row r="1881">
      <c r="A1881" s="3">
        <f>IFERROR(__xludf.DUMMYFUNCTION("""COMPUTED_VALUE"""),42212.99861111111)</f>
        <v>42212.99861</v>
      </c>
      <c r="B1881" s="1">
        <f>IFERROR(__xludf.DUMMYFUNCTION("""COMPUTED_VALUE"""),386.04155)</f>
        <v>386.04155</v>
      </c>
    </row>
    <row r="1882">
      <c r="A1882" s="3">
        <f>IFERROR(__xludf.DUMMYFUNCTION("""COMPUTED_VALUE"""),42213.99861111111)</f>
        <v>42213.99861</v>
      </c>
      <c r="B1882" s="1">
        <f>IFERROR(__xludf.DUMMYFUNCTION("""COMPUTED_VALUE"""),381.1572)</f>
        <v>381.1572</v>
      </c>
    </row>
    <row r="1883">
      <c r="A1883" s="3">
        <f>IFERROR(__xludf.DUMMYFUNCTION("""COMPUTED_VALUE"""),42214.99861111111)</f>
        <v>42214.99861</v>
      </c>
      <c r="B1883" s="1">
        <f>IFERROR(__xludf.DUMMYFUNCTION("""COMPUTED_VALUE"""),384.4176)</f>
        <v>384.4176</v>
      </c>
    </row>
    <row r="1884">
      <c r="A1884" s="3">
        <f>IFERROR(__xludf.DUMMYFUNCTION("""COMPUTED_VALUE"""),42215.99861111111)</f>
        <v>42215.99861</v>
      </c>
      <c r="B1884" s="1">
        <f>IFERROR(__xludf.DUMMYFUNCTION("""COMPUTED_VALUE"""),383.71248)</f>
        <v>383.71248</v>
      </c>
    </row>
    <row r="1885">
      <c r="A1885" s="3">
        <f>IFERROR(__xludf.DUMMYFUNCTION("""COMPUTED_VALUE"""),42216.99861111111)</f>
        <v>42216.99861</v>
      </c>
      <c r="B1885" s="1">
        <f>IFERROR(__xludf.DUMMYFUNCTION("""COMPUTED_VALUE"""),383.418)</f>
        <v>383.418</v>
      </c>
    </row>
    <row r="1886">
      <c r="A1886" s="3">
        <f>IFERROR(__xludf.DUMMYFUNCTION("""COMPUTED_VALUE"""),42219.99861111111)</f>
        <v>42219.99861</v>
      </c>
      <c r="B1886" s="1">
        <f>IFERROR(__xludf.DUMMYFUNCTION("""COMPUTED_VALUE"""),383.04)</f>
        <v>383.04</v>
      </c>
    </row>
    <row r="1887">
      <c r="A1887" s="3">
        <f>IFERROR(__xludf.DUMMYFUNCTION("""COMPUTED_VALUE"""),42220.99861111111)</f>
        <v>42220.99861</v>
      </c>
      <c r="B1887" s="1">
        <f>IFERROR(__xludf.DUMMYFUNCTION("""COMPUTED_VALUE"""),384.18765)</f>
        <v>384.18765</v>
      </c>
    </row>
    <row r="1888">
      <c r="A1888" s="3">
        <f>IFERROR(__xludf.DUMMYFUNCTION("""COMPUTED_VALUE"""),42221.99861111111)</f>
        <v>42221.99861</v>
      </c>
      <c r="B1888" s="1">
        <f>IFERROR(__xludf.DUMMYFUNCTION("""COMPUTED_VALUE"""),384.01797)</f>
        <v>384.01797</v>
      </c>
    </row>
    <row r="1889">
      <c r="A1889" s="3">
        <f>IFERROR(__xludf.DUMMYFUNCTION("""COMPUTED_VALUE"""),42222.99861111111)</f>
        <v>42222.99861</v>
      </c>
      <c r="B1889" s="1">
        <f>IFERROR(__xludf.DUMMYFUNCTION("""COMPUTED_VALUE"""),382.9446)</f>
        <v>382.9446</v>
      </c>
    </row>
    <row r="1890">
      <c r="A1890" s="3">
        <f>IFERROR(__xludf.DUMMYFUNCTION("""COMPUTED_VALUE"""),42223.99861111111)</f>
        <v>42223.99861</v>
      </c>
      <c r="B1890" s="1">
        <f>IFERROR(__xludf.DUMMYFUNCTION("""COMPUTED_VALUE"""),383.32169)</f>
        <v>383.32169</v>
      </c>
    </row>
    <row r="1891">
      <c r="A1891" s="3">
        <f>IFERROR(__xludf.DUMMYFUNCTION("""COMPUTED_VALUE"""),42226.99861111111)</f>
        <v>42226.99861</v>
      </c>
      <c r="B1891" s="1">
        <f>IFERROR(__xludf.DUMMYFUNCTION("""COMPUTED_VALUE"""),383.13615)</f>
        <v>383.13615</v>
      </c>
    </row>
    <row r="1892">
      <c r="A1892" s="3">
        <f>IFERROR(__xludf.DUMMYFUNCTION("""COMPUTED_VALUE"""),42227.99861111111)</f>
        <v>42227.99861</v>
      </c>
      <c r="B1892" s="1">
        <f>IFERROR(__xludf.DUMMYFUNCTION("""COMPUTED_VALUE"""),384.34125)</f>
        <v>384.34125</v>
      </c>
    </row>
    <row r="1893">
      <c r="A1893" s="3">
        <f>IFERROR(__xludf.DUMMYFUNCTION("""COMPUTED_VALUE"""),42228.99861111111)</f>
        <v>42228.99861</v>
      </c>
      <c r="B1893" s="1">
        <f>IFERROR(__xludf.DUMMYFUNCTION("""COMPUTED_VALUE"""),389.67075)</f>
        <v>389.67075</v>
      </c>
    </row>
    <row r="1894">
      <c r="A1894" s="3">
        <f>IFERROR(__xludf.DUMMYFUNCTION("""COMPUTED_VALUE"""),42229.99861111111)</f>
        <v>42229.99861</v>
      </c>
      <c r="B1894" s="1">
        <f>IFERROR(__xludf.DUMMYFUNCTION("""COMPUTED_VALUE"""),388.6435)</f>
        <v>388.6435</v>
      </c>
    </row>
    <row r="1895">
      <c r="A1895" s="3">
        <f>IFERROR(__xludf.DUMMYFUNCTION("""COMPUTED_VALUE"""),42230.99861111111)</f>
        <v>42230.99861</v>
      </c>
      <c r="B1895" s="1">
        <f>IFERROR(__xludf.DUMMYFUNCTION("""COMPUTED_VALUE"""),388.54595)</f>
        <v>388.54595</v>
      </c>
    </row>
    <row r="1896">
      <c r="A1896" s="3">
        <f>IFERROR(__xludf.DUMMYFUNCTION("""COMPUTED_VALUE"""),42233.99861111111)</f>
        <v>42233.99861</v>
      </c>
      <c r="B1896" s="1">
        <f>IFERROR(__xludf.DUMMYFUNCTION("""COMPUTED_VALUE"""),388.8996)</f>
        <v>388.8996</v>
      </c>
    </row>
    <row r="1897">
      <c r="A1897" s="3">
        <f>IFERROR(__xludf.DUMMYFUNCTION("""COMPUTED_VALUE"""),42234.99861111111)</f>
        <v>42234.99861</v>
      </c>
      <c r="B1897" s="1">
        <f>IFERROR(__xludf.DUMMYFUNCTION("""COMPUTED_VALUE"""),388.42852)</f>
        <v>388.42852</v>
      </c>
    </row>
    <row r="1898">
      <c r="A1898" s="3">
        <f>IFERROR(__xludf.DUMMYFUNCTION("""COMPUTED_VALUE"""),42235.99861111111)</f>
        <v>42235.99861</v>
      </c>
      <c r="B1898" s="1">
        <f>IFERROR(__xludf.DUMMYFUNCTION("""COMPUTED_VALUE"""),385.76888)</f>
        <v>385.76888</v>
      </c>
    </row>
    <row r="1899">
      <c r="A1899" s="3">
        <f>IFERROR(__xludf.DUMMYFUNCTION("""COMPUTED_VALUE"""),42236.99861111111)</f>
        <v>42236.99861</v>
      </c>
      <c r="B1899" s="1">
        <f>IFERROR(__xludf.DUMMYFUNCTION("""COMPUTED_VALUE"""),389.8908)</f>
        <v>389.8908</v>
      </c>
    </row>
    <row r="1900">
      <c r="A1900" s="3">
        <f>IFERROR(__xludf.DUMMYFUNCTION("""COMPUTED_VALUE"""),42237.99861111111)</f>
        <v>42237.99861</v>
      </c>
      <c r="B1900" s="1">
        <f>IFERROR(__xludf.DUMMYFUNCTION("""COMPUTED_VALUE"""),386.68185)</f>
        <v>386.68185</v>
      </c>
    </row>
    <row r="1901">
      <c r="A1901" s="3">
        <f>IFERROR(__xludf.DUMMYFUNCTION("""COMPUTED_VALUE"""),42240.99861111111)</f>
        <v>42240.99861</v>
      </c>
      <c r="B1901" s="1">
        <f>IFERROR(__xludf.DUMMYFUNCTION("""COMPUTED_VALUE"""),389.48085)</f>
        <v>389.48085</v>
      </c>
    </row>
    <row r="1902">
      <c r="A1902" s="3">
        <f>IFERROR(__xludf.DUMMYFUNCTION("""COMPUTED_VALUE"""),42241.99861111111)</f>
        <v>42241.99861</v>
      </c>
      <c r="B1902" s="1">
        <f>IFERROR(__xludf.DUMMYFUNCTION("""COMPUTED_VALUE"""),387.642)</f>
        <v>387.642</v>
      </c>
    </row>
    <row r="1903">
      <c r="A1903" s="3">
        <f>IFERROR(__xludf.DUMMYFUNCTION("""COMPUTED_VALUE"""),42242.99861111111)</f>
        <v>42242.99861</v>
      </c>
      <c r="B1903" s="1">
        <f>IFERROR(__xludf.DUMMYFUNCTION("""COMPUTED_VALUE"""),391.4384)</f>
        <v>391.4384</v>
      </c>
    </row>
    <row r="1904">
      <c r="A1904" s="3">
        <f>IFERROR(__xludf.DUMMYFUNCTION("""COMPUTED_VALUE"""),42243.99861111111)</f>
        <v>42243.99861</v>
      </c>
      <c r="B1904" s="1">
        <f>IFERROR(__xludf.DUMMYFUNCTION("""COMPUTED_VALUE"""),386.5359)</f>
        <v>386.5359</v>
      </c>
    </row>
    <row r="1905">
      <c r="A1905" s="3">
        <f>IFERROR(__xludf.DUMMYFUNCTION("""COMPUTED_VALUE"""),42244.99861111111)</f>
        <v>42244.99861</v>
      </c>
      <c r="B1905" s="1">
        <f>IFERROR(__xludf.DUMMYFUNCTION("""COMPUTED_VALUE"""),387.5326)</f>
        <v>387.5326</v>
      </c>
    </row>
    <row r="1906">
      <c r="A1906" s="3">
        <f>IFERROR(__xludf.DUMMYFUNCTION("""COMPUTED_VALUE"""),42247.99861111111)</f>
        <v>42247.99861</v>
      </c>
      <c r="B1906" s="1">
        <f>IFERROR(__xludf.DUMMYFUNCTION("""COMPUTED_VALUE"""),390.32)</f>
        <v>390.32</v>
      </c>
    </row>
    <row r="1907">
      <c r="A1907" s="3">
        <f>IFERROR(__xludf.DUMMYFUNCTION("""COMPUTED_VALUE"""),42248.99861111111)</f>
        <v>42248.99861</v>
      </c>
      <c r="B1907" s="1">
        <f>IFERROR(__xludf.DUMMYFUNCTION("""COMPUTED_VALUE"""),390.9646)</f>
        <v>390.9646</v>
      </c>
    </row>
    <row r="1908">
      <c r="A1908" s="3">
        <f>IFERROR(__xludf.DUMMYFUNCTION("""COMPUTED_VALUE"""),42249.99861111111)</f>
        <v>42249.99861</v>
      </c>
      <c r="B1908" s="1">
        <f>IFERROR(__xludf.DUMMYFUNCTION("""COMPUTED_VALUE"""),392.6975)</f>
        <v>392.6975</v>
      </c>
    </row>
    <row r="1909">
      <c r="A1909" s="3">
        <f>IFERROR(__xludf.DUMMYFUNCTION("""COMPUTED_VALUE"""),42250.99861111111)</f>
        <v>42250.99861</v>
      </c>
      <c r="B1909" s="1">
        <f>IFERROR(__xludf.DUMMYFUNCTION("""COMPUTED_VALUE"""),391.42895)</f>
        <v>391.42895</v>
      </c>
    </row>
    <row r="1910">
      <c r="A1910" s="3">
        <f>IFERROR(__xludf.DUMMYFUNCTION("""COMPUTED_VALUE"""),42251.99861111111)</f>
        <v>42251.99861</v>
      </c>
      <c r="B1910" s="1">
        <f>IFERROR(__xludf.DUMMYFUNCTION("""COMPUTED_VALUE"""),394.0563)</f>
        <v>394.0563</v>
      </c>
    </row>
    <row r="1911">
      <c r="A1911" s="3">
        <f>IFERROR(__xludf.DUMMYFUNCTION("""COMPUTED_VALUE"""),42254.99861111111)</f>
        <v>42254.99861</v>
      </c>
      <c r="B1911" s="1">
        <f>IFERROR(__xludf.DUMMYFUNCTION("""COMPUTED_VALUE"""),394.70375)</f>
        <v>394.70375</v>
      </c>
    </row>
    <row r="1912">
      <c r="A1912" s="3">
        <f>IFERROR(__xludf.DUMMYFUNCTION("""COMPUTED_VALUE"""),42255.99861111111)</f>
        <v>42255.99861</v>
      </c>
      <c r="B1912" s="1">
        <f>IFERROR(__xludf.DUMMYFUNCTION("""COMPUTED_VALUE"""),392.3736)</f>
        <v>392.3736</v>
      </c>
    </row>
    <row r="1913">
      <c r="A1913" s="3">
        <f>IFERROR(__xludf.DUMMYFUNCTION("""COMPUTED_VALUE"""),42256.99861111111)</f>
        <v>42256.99861</v>
      </c>
      <c r="B1913" s="1">
        <f>IFERROR(__xludf.DUMMYFUNCTION("""COMPUTED_VALUE"""),393.7275)</f>
        <v>393.7275</v>
      </c>
    </row>
    <row r="1914">
      <c r="A1914" s="3">
        <f>IFERROR(__xludf.DUMMYFUNCTION("""COMPUTED_VALUE"""),42257.99861111111)</f>
        <v>42257.99861</v>
      </c>
      <c r="B1914" s="1">
        <f>IFERROR(__xludf.DUMMYFUNCTION("""COMPUTED_VALUE"""),394.45185)</f>
        <v>394.45185</v>
      </c>
    </row>
    <row r="1915">
      <c r="A1915" s="3">
        <f>IFERROR(__xludf.DUMMYFUNCTION("""COMPUTED_VALUE"""),42258.99861111111)</f>
        <v>42258.99861</v>
      </c>
      <c r="B1915" s="1">
        <f>IFERROR(__xludf.DUMMYFUNCTION("""COMPUTED_VALUE"""),395.7071)</f>
        <v>395.7071</v>
      </c>
    </row>
    <row r="1916">
      <c r="A1916" s="3">
        <f>IFERROR(__xludf.DUMMYFUNCTION("""COMPUTED_VALUE"""),42261.99861111111)</f>
        <v>42261.99861</v>
      </c>
      <c r="B1916" s="1">
        <f>IFERROR(__xludf.DUMMYFUNCTION("""COMPUTED_VALUE"""),396.6732)</f>
        <v>396.6732</v>
      </c>
    </row>
    <row r="1917">
      <c r="A1917" s="3">
        <f>IFERROR(__xludf.DUMMYFUNCTION("""COMPUTED_VALUE"""),42262.99861111111)</f>
        <v>42262.99861</v>
      </c>
      <c r="B1917" s="1">
        <f>IFERROR(__xludf.DUMMYFUNCTION("""COMPUTED_VALUE"""),400.032)</f>
        <v>400.032</v>
      </c>
    </row>
    <row r="1918">
      <c r="A1918" s="3">
        <f>IFERROR(__xludf.DUMMYFUNCTION("""COMPUTED_VALUE"""),42263.99861111111)</f>
        <v>42263.99861</v>
      </c>
      <c r="B1918" s="1">
        <f>IFERROR(__xludf.DUMMYFUNCTION("""COMPUTED_VALUE"""),400.39945)</f>
        <v>400.39945</v>
      </c>
    </row>
    <row r="1919">
      <c r="A1919" s="3">
        <f>IFERROR(__xludf.DUMMYFUNCTION("""COMPUTED_VALUE"""),42264.99861111111)</f>
        <v>42264.99861</v>
      </c>
      <c r="B1919" s="1">
        <f>IFERROR(__xludf.DUMMYFUNCTION("""COMPUTED_VALUE"""),397.162)</f>
        <v>397.162</v>
      </c>
    </row>
    <row r="1920">
      <c r="A1920" s="3">
        <f>IFERROR(__xludf.DUMMYFUNCTION("""COMPUTED_VALUE"""),42265.99861111111)</f>
        <v>42265.99861</v>
      </c>
      <c r="B1920" s="1">
        <f>IFERROR(__xludf.DUMMYFUNCTION("""COMPUTED_VALUE"""),403.57206)</f>
        <v>403.57206</v>
      </c>
    </row>
    <row r="1921">
      <c r="A1921" s="3">
        <f>IFERROR(__xludf.DUMMYFUNCTION("""COMPUTED_VALUE"""),42268.99861111111)</f>
        <v>42268.99861</v>
      </c>
      <c r="B1921" s="1">
        <f>IFERROR(__xludf.DUMMYFUNCTION("""COMPUTED_VALUE"""),403.713)</f>
        <v>403.713</v>
      </c>
    </row>
    <row r="1922">
      <c r="A1922" s="3">
        <f>IFERROR(__xludf.DUMMYFUNCTION("""COMPUTED_VALUE"""),42269.99861111111)</f>
        <v>42269.99861</v>
      </c>
      <c r="B1922" s="1">
        <f>IFERROR(__xludf.DUMMYFUNCTION("""COMPUTED_VALUE"""),404.42745)</f>
        <v>404.42745</v>
      </c>
    </row>
    <row r="1923">
      <c r="A1923" s="3">
        <f>IFERROR(__xludf.DUMMYFUNCTION("""COMPUTED_VALUE"""),42270.99861111111)</f>
        <v>42270.99861</v>
      </c>
      <c r="B1923" s="1">
        <f>IFERROR(__xludf.DUMMYFUNCTION("""COMPUTED_VALUE"""),404.2104)</f>
        <v>404.2104</v>
      </c>
    </row>
    <row r="1924">
      <c r="A1924" s="3">
        <f>IFERROR(__xludf.DUMMYFUNCTION("""COMPUTED_VALUE"""),42271.99861111111)</f>
        <v>42271.99861</v>
      </c>
      <c r="B1924" s="1">
        <f>IFERROR(__xludf.DUMMYFUNCTION("""COMPUTED_VALUE"""),404.1585)</f>
        <v>404.1585</v>
      </c>
    </row>
    <row r="1925">
      <c r="A1925" s="3">
        <f>IFERROR(__xludf.DUMMYFUNCTION("""COMPUTED_VALUE"""),42272.99861111111)</f>
        <v>42272.99861</v>
      </c>
      <c r="B1925" s="1">
        <f>IFERROR(__xludf.DUMMYFUNCTION("""COMPUTED_VALUE"""),403.86771)</f>
        <v>403.86771</v>
      </c>
    </row>
    <row r="1926">
      <c r="A1926" s="3">
        <f>IFERROR(__xludf.DUMMYFUNCTION("""COMPUTED_VALUE"""),42275.99861111111)</f>
        <v>42275.99861</v>
      </c>
      <c r="B1926" s="1">
        <f>IFERROR(__xludf.DUMMYFUNCTION("""COMPUTED_VALUE"""),403.28568)</f>
        <v>403.28568</v>
      </c>
    </row>
    <row r="1927">
      <c r="A1927" s="3">
        <f>IFERROR(__xludf.DUMMYFUNCTION("""COMPUTED_VALUE"""),42276.99861111111)</f>
        <v>42276.99861</v>
      </c>
      <c r="B1927" s="1">
        <f>IFERROR(__xludf.DUMMYFUNCTION("""COMPUTED_VALUE"""),402.5256)</f>
        <v>402.5256</v>
      </c>
    </row>
    <row r="1928">
      <c r="A1928" s="3">
        <f>IFERROR(__xludf.DUMMYFUNCTION("""COMPUTED_VALUE"""),42277.99861111111)</f>
        <v>42277.99861</v>
      </c>
      <c r="B1928" s="1">
        <f>IFERROR(__xludf.DUMMYFUNCTION("""COMPUTED_VALUE"""),399.88896)</f>
        <v>399.88896</v>
      </c>
    </row>
    <row r="1929">
      <c r="A1929" s="3">
        <f>IFERROR(__xludf.DUMMYFUNCTION("""COMPUTED_VALUE"""),42278.99861111111)</f>
        <v>42278.99861</v>
      </c>
      <c r="B1929" s="1">
        <f>IFERROR(__xludf.DUMMYFUNCTION("""COMPUTED_VALUE"""),401.38105)</f>
        <v>401.38105</v>
      </c>
    </row>
    <row r="1930">
      <c r="A1930" s="3">
        <f>IFERROR(__xludf.DUMMYFUNCTION("""COMPUTED_VALUE"""),42279.99861111111)</f>
        <v>42279.99861</v>
      </c>
      <c r="B1930" s="1">
        <f>IFERROR(__xludf.DUMMYFUNCTION("""COMPUTED_VALUE"""),400.61515)</f>
        <v>400.61515</v>
      </c>
    </row>
    <row r="1931">
      <c r="A1931" s="3">
        <f>IFERROR(__xludf.DUMMYFUNCTION("""COMPUTED_VALUE"""),42282.99861111111)</f>
        <v>42282.99861</v>
      </c>
      <c r="B1931" s="1">
        <f>IFERROR(__xludf.DUMMYFUNCTION("""COMPUTED_VALUE"""),397.48482)</f>
        <v>397.48482</v>
      </c>
    </row>
    <row r="1932">
      <c r="A1932" s="3">
        <f>IFERROR(__xludf.DUMMYFUNCTION("""COMPUTED_VALUE"""),42283.99861111111)</f>
        <v>42283.99861</v>
      </c>
      <c r="B1932" s="1">
        <f>IFERROR(__xludf.DUMMYFUNCTION("""COMPUTED_VALUE"""),387.0718)</f>
        <v>387.0718</v>
      </c>
    </row>
    <row r="1933">
      <c r="A1933" s="3">
        <f>IFERROR(__xludf.DUMMYFUNCTION("""COMPUTED_VALUE"""),42284.99861111111)</f>
        <v>42284.99861</v>
      </c>
      <c r="B1933" s="1">
        <f>IFERROR(__xludf.DUMMYFUNCTION("""COMPUTED_VALUE"""),385.86295)</f>
        <v>385.86295</v>
      </c>
    </row>
    <row r="1934">
      <c r="A1934" s="3">
        <f>IFERROR(__xludf.DUMMYFUNCTION("""COMPUTED_VALUE"""),42285.99861111111)</f>
        <v>42285.99861</v>
      </c>
      <c r="B1934" s="1">
        <f>IFERROR(__xludf.DUMMYFUNCTION("""COMPUTED_VALUE"""),374.2731)</f>
        <v>374.2731</v>
      </c>
    </row>
    <row r="1935">
      <c r="A1935" s="3">
        <f>IFERROR(__xludf.DUMMYFUNCTION("""COMPUTED_VALUE"""),42286.99861111111)</f>
        <v>42286.99861</v>
      </c>
      <c r="B1935" s="1">
        <f>IFERROR(__xludf.DUMMYFUNCTION("""COMPUTED_VALUE"""),374.4252)</f>
        <v>374.4252</v>
      </c>
    </row>
    <row r="1936">
      <c r="A1936" s="3">
        <f>IFERROR(__xludf.DUMMYFUNCTION("""COMPUTED_VALUE"""),42289.99861111111)</f>
        <v>42289.99861</v>
      </c>
      <c r="B1936" s="1">
        <f>IFERROR(__xludf.DUMMYFUNCTION("""COMPUTED_VALUE"""),380.62138)</f>
        <v>380.62138</v>
      </c>
    </row>
    <row r="1937">
      <c r="A1937" s="3">
        <f>IFERROR(__xludf.DUMMYFUNCTION("""COMPUTED_VALUE"""),42290.99861111111)</f>
        <v>42290.99861</v>
      </c>
      <c r="B1937" s="1">
        <f>IFERROR(__xludf.DUMMYFUNCTION("""COMPUTED_VALUE"""),382.3365)</f>
        <v>382.3365</v>
      </c>
    </row>
    <row r="1938">
      <c r="A1938" s="3">
        <f>IFERROR(__xludf.DUMMYFUNCTION("""COMPUTED_VALUE"""),42291.99861111111)</f>
        <v>42291.99861</v>
      </c>
      <c r="B1938" s="1">
        <f>IFERROR(__xludf.DUMMYFUNCTION("""COMPUTED_VALUE"""),374.4624)</f>
        <v>374.4624</v>
      </c>
    </row>
    <row r="1939">
      <c r="A1939" s="3">
        <f>IFERROR(__xludf.DUMMYFUNCTION("""COMPUTED_VALUE"""),42292.99861111111)</f>
        <v>42292.99861</v>
      </c>
      <c r="B1939" s="1">
        <f>IFERROR(__xludf.DUMMYFUNCTION("""COMPUTED_VALUE"""),380.292)</f>
        <v>380.292</v>
      </c>
    </row>
    <row r="1940">
      <c r="A1940" s="3">
        <f>IFERROR(__xludf.DUMMYFUNCTION("""COMPUTED_VALUE"""),42293.99861111111)</f>
        <v>42293.99861</v>
      </c>
      <c r="B1940" s="1">
        <f>IFERROR(__xludf.DUMMYFUNCTION("""COMPUTED_VALUE"""),381.612)</f>
        <v>381.612</v>
      </c>
    </row>
    <row r="1941">
      <c r="A1941" s="3">
        <f>IFERROR(__xludf.DUMMYFUNCTION("""COMPUTED_VALUE"""),42296.99861111111)</f>
        <v>42296.99861</v>
      </c>
      <c r="B1941" s="1">
        <f>IFERROR(__xludf.DUMMYFUNCTION("""COMPUTED_VALUE"""),384.384)</f>
        <v>384.384</v>
      </c>
    </row>
    <row r="1942">
      <c r="A1942" s="3">
        <f>IFERROR(__xludf.DUMMYFUNCTION("""COMPUTED_VALUE"""),42297.99861111111)</f>
        <v>42297.99861</v>
      </c>
      <c r="B1942" s="1">
        <f>IFERROR(__xludf.DUMMYFUNCTION("""COMPUTED_VALUE"""),387.40793)</f>
        <v>387.40793</v>
      </c>
    </row>
    <row r="1943">
      <c r="A1943" s="3">
        <f>IFERROR(__xludf.DUMMYFUNCTION("""COMPUTED_VALUE"""),42298.99861111111)</f>
        <v>42298.99861</v>
      </c>
      <c r="B1943" s="1">
        <f>IFERROR(__xludf.DUMMYFUNCTION("""COMPUTED_VALUE"""),384.148)</f>
        <v>384.148</v>
      </c>
    </row>
    <row r="1944">
      <c r="A1944" s="3">
        <f>IFERROR(__xludf.DUMMYFUNCTION("""COMPUTED_VALUE"""),42299.99861111111)</f>
        <v>42299.99861</v>
      </c>
      <c r="B1944" s="1">
        <f>IFERROR(__xludf.DUMMYFUNCTION("""COMPUTED_VALUE"""),378.32746)</f>
        <v>378.32746</v>
      </c>
    </row>
    <row r="1945">
      <c r="A1945" s="3">
        <f>IFERROR(__xludf.DUMMYFUNCTION("""COMPUTED_VALUE"""),42300.99861111111)</f>
        <v>42300.99861</v>
      </c>
      <c r="B1945" s="1">
        <f>IFERROR(__xludf.DUMMYFUNCTION("""COMPUTED_VALUE"""),380.0472)</f>
        <v>380.0472</v>
      </c>
    </row>
    <row r="1946">
      <c r="A1946" s="3">
        <f>IFERROR(__xludf.DUMMYFUNCTION("""COMPUTED_VALUE"""),42303.99861111111)</f>
        <v>42303.99861</v>
      </c>
      <c r="B1946" s="1">
        <f>IFERROR(__xludf.DUMMYFUNCTION("""COMPUTED_VALUE"""),383.2576)</f>
        <v>383.2576</v>
      </c>
    </row>
    <row r="1947">
      <c r="A1947" s="3">
        <f>IFERROR(__xludf.DUMMYFUNCTION("""COMPUTED_VALUE"""),42304.99861111111)</f>
        <v>42304.99861</v>
      </c>
      <c r="B1947" s="1">
        <f>IFERROR(__xludf.DUMMYFUNCTION("""COMPUTED_VALUE"""),383.9745)</f>
        <v>383.9745</v>
      </c>
    </row>
    <row r="1948">
      <c r="A1948" s="3">
        <f>IFERROR(__xludf.DUMMYFUNCTION("""COMPUTED_VALUE"""),42305.99861111111)</f>
        <v>42305.99861</v>
      </c>
      <c r="B1948" s="1">
        <f>IFERROR(__xludf.DUMMYFUNCTION("""COMPUTED_VALUE"""),383.84844)</f>
        <v>383.84844</v>
      </c>
    </row>
    <row r="1949">
      <c r="A1949" s="3">
        <f>IFERROR(__xludf.DUMMYFUNCTION("""COMPUTED_VALUE"""),42306.99861111111)</f>
        <v>42306.99861</v>
      </c>
      <c r="B1949" s="1">
        <f>IFERROR(__xludf.DUMMYFUNCTION("""COMPUTED_VALUE"""),381.40008)</f>
        <v>381.40008</v>
      </c>
    </row>
    <row r="1950">
      <c r="A1950" s="3">
        <f>IFERROR(__xludf.DUMMYFUNCTION("""COMPUTED_VALUE"""),42307.99861111111)</f>
        <v>42307.99861</v>
      </c>
      <c r="B1950" s="1">
        <f>IFERROR(__xludf.DUMMYFUNCTION("""COMPUTED_VALUE"""),382.0489)</f>
        <v>382.0489</v>
      </c>
    </row>
    <row r="1951">
      <c r="A1951" s="3">
        <f>IFERROR(__xludf.DUMMYFUNCTION("""COMPUTED_VALUE"""),42308.99861111111)</f>
        <v>42308.99861</v>
      </c>
      <c r="B1951" s="1">
        <f>IFERROR(__xludf.DUMMYFUNCTION("""COMPUTED_VALUE"""),386.620593)</f>
        <v>386.620593</v>
      </c>
    </row>
    <row r="1952">
      <c r="A1952" s="3">
        <f>IFERROR(__xludf.DUMMYFUNCTION("""COMPUTED_VALUE"""),42310.99861111111)</f>
        <v>42310.99861</v>
      </c>
      <c r="B1952" s="1">
        <f>IFERROR(__xludf.DUMMYFUNCTION("""COMPUTED_VALUE"""),381.3264)</f>
        <v>381.3264</v>
      </c>
    </row>
    <row r="1953">
      <c r="A1953" s="3">
        <f>IFERROR(__xludf.DUMMYFUNCTION("""COMPUTED_VALUE"""),42311.99861111111)</f>
        <v>42311.99861</v>
      </c>
      <c r="B1953" s="1">
        <f>IFERROR(__xludf.DUMMYFUNCTION("""COMPUTED_VALUE"""),376.1316)</f>
        <v>376.1316</v>
      </c>
    </row>
    <row r="1954">
      <c r="A1954" s="3">
        <f>IFERROR(__xludf.DUMMYFUNCTION("""COMPUTED_VALUE"""),42312.99861111111)</f>
        <v>42312.99861</v>
      </c>
      <c r="B1954" s="1">
        <f>IFERROR(__xludf.DUMMYFUNCTION("""COMPUTED_VALUE"""),378.48915)</f>
        <v>378.48915</v>
      </c>
    </row>
    <row r="1955">
      <c r="A1955" s="3">
        <f>IFERROR(__xludf.DUMMYFUNCTION("""COMPUTED_VALUE"""),42313.99861111111)</f>
        <v>42313.99861</v>
      </c>
      <c r="B1955" s="1">
        <f>IFERROR(__xludf.DUMMYFUNCTION("""COMPUTED_VALUE"""),379.91725)</f>
        <v>379.91725</v>
      </c>
    </row>
    <row r="1956">
      <c r="A1956" s="3">
        <f>IFERROR(__xludf.DUMMYFUNCTION("""COMPUTED_VALUE"""),42314.99861111111)</f>
        <v>42314.99861</v>
      </c>
      <c r="B1956" s="1">
        <f>IFERROR(__xludf.DUMMYFUNCTION("""COMPUTED_VALUE"""),379.4468)</f>
        <v>379.4468</v>
      </c>
    </row>
    <row r="1957">
      <c r="A1957" s="3">
        <f>IFERROR(__xludf.DUMMYFUNCTION("""COMPUTED_VALUE"""),42315.99861111111)</f>
        <v>42315.99861</v>
      </c>
      <c r="B1957" s="1">
        <f>IFERROR(__xludf.DUMMYFUNCTION("""COMPUTED_VALUE"""),382.4416696)</f>
        <v>382.4416696</v>
      </c>
    </row>
    <row r="1958">
      <c r="A1958" s="3">
        <f>IFERROR(__xludf.DUMMYFUNCTION("""COMPUTED_VALUE"""),42317.99861111111)</f>
        <v>42317.99861</v>
      </c>
      <c r="B1958" s="1">
        <f>IFERROR(__xludf.DUMMYFUNCTION("""COMPUTED_VALUE"""),379.6039)</f>
        <v>379.6039</v>
      </c>
    </row>
    <row r="1959">
      <c r="A1959" s="3">
        <f>IFERROR(__xludf.DUMMYFUNCTION("""COMPUTED_VALUE"""),42318.99861111111)</f>
        <v>42318.99861</v>
      </c>
      <c r="B1959" s="1">
        <f>IFERROR(__xludf.DUMMYFUNCTION("""COMPUTED_VALUE"""),377.9172)</f>
        <v>377.9172</v>
      </c>
    </row>
    <row r="1960">
      <c r="A1960" s="3">
        <f>IFERROR(__xludf.DUMMYFUNCTION("""COMPUTED_VALUE"""),42319.99861111111)</f>
        <v>42319.99861</v>
      </c>
      <c r="B1960" s="1">
        <f>IFERROR(__xludf.DUMMYFUNCTION("""COMPUTED_VALUE"""),377.077)</f>
        <v>377.077</v>
      </c>
    </row>
    <row r="1961">
      <c r="A1961" s="3">
        <f>IFERROR(__xludf.DUMMYFUNCTION("""COMPUTED_VALUE"""),42320.99861111111)</f>
        <v>42320.99861</v>
      </c>
      <c r="B1961" s="1">
        <f>IFERROR(__xludf.DUMMYFUNCTION("""COMPUTED_VALUE"""),379.3107)</f>
        <v>379.3107</v>
      </c>
    </row>
    <row r="1962">
      <c r="A1962" s="3">
        <f>IFERROR(__xludf.DUMMYFUNCTION("""COMPUTED_VALUE"""),42321.99861111111)</f>
        <v>42321.99861</v>
      </c>
      <c r="B1962" s="1">
        <f>IFERROR(__xludf.DUMMYFUNCTION("""COMPUTED_VALUE"""),382.19283)</f>
        <v>382.19283</v>
      </c>
    </row>
    <row r="1963">
      <c r="A1963" s="3">
        <f>IFERROR(__xludf.DUMMYFUNCTION("""COMPUTED_VALUE"""),42322.99861111111)</f>
        <v>42322.99861</v>
      </c>
      <c r="B1963" s="1">
        <f>IFERROR(__xludf.DUMMYFUNCTION("""COMPUTED_VALUE"""),378.8826057)</f>
        <v>378.8826057</v>
      </c>
    </row>
    <row r="1964">
      <c r="A1964" s="3">
        <f>IFERROR(__xludf.DUMMYFUNCTION("""COMPUTED_VALUE"""),42324.99861111111)</f>
        <v>42324.99861</v>
      </c>
      <c r="B1964" s="1">
        <f>IFERROR(__xludf.DUMMYFUNCTION("""COMPUTED_VALUE"""),380.67116)</f>
        <v>380.67116</v>
      </c>
    </row>
    <row r="1965">
      <c r="A1965" s="3">
        <f>IFERROR(__xludf.DUMMYFUNCTION("""COMPUTED_VALUE"""),42325.99861111111)</f>
        <v>42325.99861</v>
      </c>
      <c r="B1965" s="1">
        <f>IFERROR(__xludf.DUMMYFUNCTION("""COMPUTED_VALUE"""),381.1416)</f>
        <v>381.1416</v>
      </c>
    </row>
    <row r="1966">
      <c r="A1966" s="3">
        <f>IFERROR(__xludf.DUMMYFUNCTION("""COMPUTED_VALUE"""),42326.99861111111)</f>
        <v>42326.99861</v>
      </c>
      <c r="B1966" s="1">
        <f>IFERROR(__xludf.DUMMYFUNCTION("""COMPUTED_VALUE"""),380.999)</f>
        <v>380.999</v>
      </c>
    </row>
    <row r="1967">
      <c r="A1967" s="3">
        <f>IFERROR(__xludf.DUMMYFUNCTION("""COMPUTED_VALUE"""),42327.99861111111)</f>
        <v>42327.99861</v>
      </c>
      <c r="B1967" s="1">
        <f>IFERROR(__xludf.DUMMYFUNCTION("""COMPUTED_VALUE"""),381.5207)</f>
        <v>381.5207</v>
      </c>
    </row>
    <row r="1968">
      <c r="A1968" s="3">
        <f>IFERROR(__xludf.DUMMYFUNCTION("""COMPUTED_VALUE"""),42328.99861111111)</f>
        <v>42328.99861</v>
      </c>
      <c r="B1968" s="1">
        <f>IFERROR(__xludf.DUMMYFUNCTION("""COMPUTED_VALUE"""),369.7774)</f>
        <v>369.7774</v>
      </c>
    </row>
    <row r="1969">
      <c r="A1969" s="3">
        <f>IFERROR(__xludf.DUMMYFUNCTION("""COMPUTED_VALUE"""),42330.99861111111)</f>
        <v>42330.99861</v>
      </c>
      <c r="B1969" s="1">
        <f>IFERROR(__xludf.DUMMYFUNCTION("""COMPUTED_VALUE"""),375.1372606)</f>
        <v>375.1372606</v>
      </c>
    </row>
    <row r="1970">
      <c r="A1970" s="3">
        <f>IFERROR(__xludf.DUMMYFUNCTION("""COMPUTED_VALUE"""),42331.99861111111)</f>
        <v>42331.99861</v>
      </c>
      <c r="B1970" s="1">
        <f>IFERROR(__xludf.DUMMYFUNCTION("""COMPUTED_VALUE"""),380.84355)</f>
        <v>380.84355</v>
      </c>
    </row>
    <row r="1971">
      <c r="A1971" s="3">
        <f>IFERROR(__xludf.DUMMYFUNCTION("""COMPUTED_VALUE"""),42332.99861111111)</f>
        <v>42332.99861</v>
      </c>
      <c r="B1971" s="1">
        <f>IFERROR(__xludf.DUMMYFUNCTION("""COMPUTED_VALUE"""),380.679)</f>
        <v>380.679</v>
      </c>
    </row>
    <row r="1972">
      <c r="A1972" s="3">
        <f>IFERROR(__xludf.DUMMYFUNCTION("""COMPUTED_VALUE"""),42333.99861111111)</f>
        <v>42333.99861</v>
      </c>
      <c r="B1972" s="1">
        <f>IFERROR(__xludf.DUMMYFUNCTION("""COMPUTED_VALUE"""),380.6559)</f>
        <v>380.6559</v>
      </c>
    </row>
    <row r="1973">
      <c r="A1973" s="3">
        <f>IFERROR(__xludf.DUMMYFUNCTION("""COMPUTED_VALUE"""),42334.99861111111)</f>
        <v>42334.99861</v>
      </c>
      <c r="B1973" s="1">
        <f>IFERROR(__xludf.DUMMYFUNCTION("""COMPUTED_VALUE"""),383.61855)</f>
        <v>383.61855</v>
      </c>
    </row>
    <row r="1974">
      <c r="A1974" s="3">
        <f>IFERROR(__xludf.DUMMYFUNCTION("""COMPUTED_VALUE"""),42335.99861111111)</f>
        <v>42335.99861</v>
      </c>
      <c r="B1974" s="1">
        <f>IFERROR(__xludf.DUMMYFUNCTION("""COMPUTED_VALUE"""),372.86292)</f>
        <v>372.86292</v>
      </c>
    </row>
    <row r="1975">
      <c r="A1975" s="3">
        <f>IFERROR(__xludf.DUMMYFUNCTION("""COMPUTED_VALUE"""),42336.99861111111)</f>
        <v>42336.99861</v>
      </c>
      <c r="B1975" s="1">
        <f>IFERROR(__xludf.DUMMYFUNCTION("""COMPUTED_VALUE"""),382.3775134)</f>
        <v>382.3775134</v>
      </c>
    </row>
    <row r="1976">
      <c r="A1976" s="3">
        <f>IFERROR(__xludf.DUMMYFUNCTION("""COMPUTED_VALUE"""),42338.99861111111)</f>
        <v>42338.99861</v>
      </c>
      <c r="B1976" s="1">
        <f>IFERROR(__xludf.DUMMYFUNCTION("""COMPUTED_VALUE"""),387.19687)</f>
        <v>387.19687</v>
      </c>
    </row>
    <row r="1977">
      <c r="A1977" s="3">
        <f>IFERROR(__xludf.DUMMYFUNCTION("""COMPUTED_VALUE"""),42339.99861111111)</f>
        <v>42339.99861</v>
      </c>
      <c r="B1977" s="1">
        <f>IFERROR(__xludf.DUMMYFUNCTION("""COMPUTED_VALUE"""),385.8544)</f>
        <v>385.8544</v>
      </c>
    </row>
    <row r="1978">
      <c r="A1978" s="3">
        <f>IFERROR(__xludf.DUMMYFUNCTION("""COMPUTED_VALUE"""),42340.99861111111)</f>
        <v>42340.99861</v>
      </c>
      <c r="B1978" s="1">
        <f>IFERROR(__xludf.DUMMYFUNCTION("""COMPUTED_VALUE"""),384.80109)</f>
        <v>384.80109</v>
      </c>
    </row>
    <row r="1979">
      <c r="A1979" s="3">
        <f>IFERROR(__xludf.DUMMYFUNCTION("""COMPUTED_VALUE"""),42341.99861111111)</f>
        <v>42341.99861</v>
      </c>
      <c r="B1979" s="1">
        <f>IFERROR(__xludf.DUMMYFUNCTION("""COMPUTED_VALUE"""),381.8166)</f>
        <v>381.8166</v>
      </c>
    </row>
    <row r="1980">
      <c r="A1980" s="3">
        <f>IFERROR(__xludf.DUMMYFUNCTION("""COMPUTED_VALUE"""),42342.99861111111)</f>
        <v>42342.99861</v>
      </c>
      <c r="B1980" s="1">
        <f>IFERROR(__xludf.DUMMYFUNCTION("""COMPUTED_VALUE"""),375.5934)</f>
        <v>375.5934</v>
      </c>
    </row>
    <row r="1981">
      <c r="A1981" s="3">
        <f>IFERROR(__xludf.DUMMYFUNCTION("""COMPUTED_VALUE"""),42343.99861111111)</f>
        <v>42343.99861</v>
      </c>
      <c r="B1981" s="1">
        <f>IFERROR(__xludf.DUMMYFUNCTION("""COMPUTED_VALUE"""),378.116193)</f>
        <v>378.116193</v>
      </c>
    </row>
    <row r="1982">
      <c r="A1982" s="3">
        <f>IFERROR(__xludf.DUMMYFUNCTION("""COMPUTED_VALUE"""),42345.99861111111)</f>
        <v>42345.99861</v>
      </c>
      <c r="B1982" s="1">
        <f>IFERROR(__xludf.DUMMYFUNCTION("""COMPUTED_VALUE"""),386.4182)</f>
        <v>386.4182</v>
      </c>
    </row>
    <row r="1983">
      <c r="A1983" s="3">
        <f>IFERROR(__xludf.DUMMYFUNCTION("""COMPUTED_VALUE"""),42346.99861111111)</f>
        <v>42346.99861</v>
      </c>
      <c r="B1983" s="1">
        <f>IFERROR(__xludf.DUMMYFUNCTION("""COMPUTED_VALUE"""),388.33662)</f>
        <v>388.33662</v>
      </c>
    </row>
    <row r="1984">
      <c r="A1984" s="3">
        <f>IFERROR(__xludf.DUMMYFUNCTION("""COMPUTED_VALUE"""),42347.99861111111)</f>
        <v>42347.99861</v>
      </c>
      <c r="B1984" s="1">
        <f>IFERROR(__xludf.DUMMYFUNCTION("""COMPUTED_VALUE"""),386.5584)</f>
        <v>386.5584</v>
      </c>
    </row>
    <row r="1985">
      <c r="A1985" s="3">
        <f>IFERROR(__xludf.DUMMYFUNCTION("""COMPUTED_VALUE"""),42348.99861111111)</f>
        <v>42348.99861</v>
      </c>
      <c r="B1985" s="1">
        <f>IFERROR(__xludf.DUMMYFUNCTION("""COMPUTED_VALUE"""),386.41875)</f>
        <v>386.41875</v>
      </c>
    </row>
    <row r="1986">
      <c r="A1986" s="3">
        <f>IFERROR(__xludf.DUMMYFUNCTION("""COMPUTED_VALUE"""),42349.99861111111)</f>
        <v>42349.99861</v>
      </c>
      <c r="B1986" s="1">
        <f>IFERROR(__xludf.DUMMYFUNCTION("""COMPUTED_VALUE"""),384.7599)</f>
        <v>384.7599</v>
      </c>
    </row>
    <row r="1987">
      <c r="A1987" s="3">
        <f>IFERROR(__xludf.DUMMYFUNCTION("""COMPUTED_VALUE"""),42350.99861111111)</f>
        <v>42350.99861</v>
      </c>
      <c r="B1987" s="1">
        <f>IFERROR(__xludf.DUMMYFUNCTION("""COMPUTED_VALUE"""),386.7896242)</f>
        <v>386.7896242</v>
      </c>
    </row>
    <row r="1988">
      <c r="A1988" s="3">
        <f>IFERROR(__xludf.DUMMYFUNCTION("""COMPUTED_VALUE"""),42352.99861111111)</f>
        <v>42352.99861</v>
      </c>
      <c r="B1988" s="1">
        <f>IFERROR(__xludf.DUMMYFUNCTION("""COMPUTED_VALUE"""),387.01705)</f>
        <v>387.01705</v>
      </c>
    </row>
    <row r="1989">
      <c r="A1989" s="3">
        <f>IFERROR(__xludf.DUMMYFUNCTION("""COMPUTED_VALUE"""),42353.99861111111)</f>
        <v>42353.99861</v>
      </c>
      <c r="B1989" s="1">
        <f>IFERROR(__xludf.DUMMYFUNCTION("""COMPUTED_VALUE"""),387.9469)</f>
        <v>387.9469</v>
      </c>
    </row>
    <row r="1990">
      <c r="A1990" s="3">
        <f>IFERROR(__xludf.DUMMYFUNCTION("""COMPUTED_VALUE"""),42354.99861111111)</f>
        <v>42354.99861</v>
      </c>
      <c r="B1990" s="1">
        <f>IFERROR(__xludf.DUMMYFUNCTION("""COMPUTED_VALUE"""),382.2528)</f>
        <v>382.2528</v>
      </c>
    </row>
    <row r="1991">
      <c r="A1991" s="3">
        <f>IFERROR(__xludf.DUMMYFUNCTION("""COMPUTED_VALUE"""),42355.99861111111)</f>
        <v>42355.99861</v>
      </c>
      <c r="B1991" s="1">
        <f>IFERROR(__xludf.DUMMYFUNCTION("""COMPUTED_VALUE"""),387.7932)</f>
        <v>387.7932</v>
      </c>
    </row>
    <row r="1992">
      <c r="A1992" s="3">
        <f>IFERROR(__xludf.DUMMYFUNCTION("""COMPUTED_VALUE"""),42356.99861111111)</f>
        <v>42356.99861</v>
      </c>
      <c r="B1992" s="1">
        <f>IFERROR(__xludf.DUMMYFUNCTION("""COMPUTED_VALUE"""),383.36725)</f>
        <v>383.36725</v>
      </c>
    </row>
    <row r="1993">
      <c r="A1993" s="3">
        <f>IFERROR(__xludf.DUMMYFUNCTION("""COMPUTED_VALUE"""),42357.99861111111)</f>
        <v>42357.99861</v>
      </c>
      <c r="B1993" s="1">
        <f>IFERROR(__xludf.DUMMYFUNCTION("""COMPUTED_VALUE"""),385.63455)</f>
        <v>385.63455</v>
      </c>
    </row>
    <row r="1994">
      <c r="A1994" s="3">
        <f>IFERROR(__xludf.DUMMYFUNCTION("""COMPUTED_VALUE"""),42359.99861111111)</f>
        <v>42359.99861</v>
      </c>
      <c r="B1994" s="1">
        <f>IFERROR(__xludf.DUMMYFUNCTION("""COMPUTED_VALUE"""),380.464)</f>
        <v>380.464</v>
      </c>
    </row>
    <row r="1995">
      <c r="A1995" s="3">
        <f>IFERROR(__xludf.DUMMYFUNCTION("""COMPUTED_VALUE"""),42360.99861111111)</f>
        <v>42360.99861</v>
      </c>
      <c r="B1995" s="1">
        <f>IFERROR(__xludf.DUMMYFUNCTION("""COMPUTED_VALUE"""),377.83005)</f>
        <v>377.83005</v>
      </c>
    </row>
    <row r="1996">
      <c r="A1996" s="3">
        <f>IFERROR(__xludf.DUMMYFUNCTION("""COMPUTED_VALUE"""),42361.99861111111)</f>
        <v>42361.99861</v>
      </c>
      <c r="B1996" s="1">
        <f>IFERROR(__xludf.DUMMYFUNCTION("""COMPUTED_VALUE"""),377.4125)</f>
        <v>377.4125</v>
      </c>
    </row>
    <row r="1997">
      <c r="A1997" s="3">
        <f>IFERROR(__xludf.DUMMYFUNCTION("""COMPUTED_VALUE"""),42362.99861111111)</f>
        <v>42362.99861</v>
      </c>
      <c r="B1997" s="1">
        <f>IFERROR(__xludf.DUMMYFUNCTION("""COMPUTED_VALUE"""),371.2812)</f>
        <v>371.2812</v>
      </c>
    </row>
    <row r="1998">
      <c r="A1998" s="3">
        <f>IFERROR(__xludf.DUMMYFUNCTION("""COMPUTED_VALUE"""),42363.99861111111)</f>
        <v>42363.99861</v>
      </c>
      <c r="B1998" s="1">
        <f>IFERROR(__xludf.DUMMYFUNCTION("""COMPUTED_VALUE"""),371.6901)</f>
        <v>371.6901</v>
      </c>
    </row>
    <row r="1999">
      <c r="A1999" s="3">
        <f>IFERROR(__xludf.DUMMYFUNCTION("""COMPUTED_VALUE"""),42364.99861111111)</f>
        <v>42364.99861</v>
      </c>
      <c r="B1999" s="1">
        <f>IFERROR(__xludf.DUMMYFUNCTION("""COMPUTED_VALUE"""),372.540924)</f>
        <v>372.540924</v>
      </c>
    </row>
    <row r="2000">
      <c r="A2000" s="3">
        <f>IFERROR(__xludf.DUMMYFUNCTION("""COMPUTED_VALUE"""),42366.99861111111)</f>
        <v>42366.99861</v>
      </c>
      <c r="B2000" s="1">
        <f>IFERROR(__xludf.DUMMYFUNCTION("""COMPUTED_VALUE"""),373.5416)</f>
        <v>373.5416</v>
      </c>
    </row>
    <row r="2001">
      <c r="A2001" s="3">
        <f>IFERROR(__xludf.DUMMYFUNCTION("""COMPUTED_VALUE"""),42367.99861111111)</f>
        <v>42367.99861</v>
      </c>
      <c r="B2001" s="1">
        <f>IFERROR(__xludf.DUMMYFUNCTION("""COMPUTED_VALUE"""),378.85458)</f>
        <v>378.85458</v>
      </c>
    </row>
    <row r="2002">
      <c r="A2002" s="3">
        <f>IFERROR(__xludf.DUMMYFUNCTION("""COMPUTED_VALUE"""),42368.99861111111)</f>
        <v>42368.99861</v>
      </c>
      <c r="B2002" s="1">
        <f>IFERROR(__xludf.DUMMYFUNCTION("""COMPUTED_VALUE"""),383.92185)</f>
        <v>383.92185</v>
      </c>
    </row>
    <row r="2003">
      <c r="A2003" s="3">
        <f>IFERROR(__xludf.DUMMYFUNCTION("""COMPUTED_VALUE"""),42369.99861111111)</f>
        <v>42369.99861</v>
      </c>
      <c r="B2003" s="1">
        <f>IFERROR(__xludf.DUMMYFUNCTION("""COMPUTED_VALUE"""),373.44025)</f>
        <v>373.44025</v>
      </c>
    </row>
    <row r="2004">
      <c r="A2004" s="3">
        <f>IFERROR(__xludf.DUMMYFUNCTION("""COMPUTED_VALUE"""),42370.99861111111)</f>
        <v>42370.99861</v>
      </c>
      <c r="B2004" s="1">
        <f>IFERROR(__xludf.DUMMYFUNCTION("""COMPUTED_VALUE"""),373.578)</f>
        <v>373.578</v>
      </c>
    </row>
    <row r="2005">
      <c r="A2005" s="3">
        <f>IFERROR(__xludf.DUMMYFUNCTION("""COMPUTED_VALUE"""),42371.99861111111)</f>
        <v>42371.99861</v>
      </c>
      <c r="B2005" s="1">
        <f>IFERROR(__xludf.DUMMYFUNCTION("""COMPUTED_VALUE"""),374.585508)</f>
        <v>374.585508</v>
      </c>
    </row>
    <row r="2006">
      <c r="A2006" s="3">
        <f>IFERROR(__xludf.DUMMYFUNCTION("""COMPUTED_VALUE"""),42372.99861111111)</f>
        <v>42372.99861</v>
      </c>
      <c r="B2006" s="1">
        <f>IFERROR(__xludf.DUMMYFUNCTION("""COMPUTED_VALUE"""),374.309265)</f>
        <v>374.309265</v>
      </c>
    </row>
    <row r="2007">
      <c r="A2007" s="3">
        <f>IFERROR(__xludf.DUMMYFUNCTION("""COMPUTED_VALUE"""),42373.99861111111)</f>
        <v>42373.99861</v>
      </c>
      <c r="B2007" s="1">
        <f>IFERROR(__xludf.DUMMYFUNCTION("""COMPUTED_VALUE"""),385.63191)</f>
        <v>385.63191</v>
      </c>
    </row>
    <row r="2008">
      <c r="A2008" s="3">
        <f>IFERROR(__xludf.DUMMYFUNCTION("""COMPUTED_VALUE"""),42374.99861111111)</f>
        <v>42374.99861</v>
      </c>
      <c r="B2008" s="1">
        <f>IFERROR(__xludf.DUMMYFUNCTION("""COMPUTED_VALUE"""),381.5702)</f>
        <v>381.5702</v>
      </c>
    </row>
    <row r="2009">
      <c r="A2009" s="3">
        <f>IFERROR(__xludf.DUMMYFUNCTION("""COMPUTED_VALUE"""),42375.99861111111)</f>
        <v>42375.99861</v>
      </c>
      <c r="B2009" s="1">
        <f>IFERROR(__xludf.DUMMYFUNCTION("""COMPUTED_VALUE"""),383.36085)</f>
        <v>383.36085</v>
      </c>
    </row>
    <row r="2010">
      <c r="A2010" s="3">
        <f>IFERROR(__xludf.DUMMYFUNCTION("""COMPUTED_VALUE"""),42376.99861111111)</f>
        <v>42376.99861</v>
      </c>
      <c r="B2010" s="1">
        <f>IFERROR(__xludf.DUMMYFUNCTION("""COMPUTED_VALUE"""),383.7715)</f>
        <v>383.7715</v>
      </c>
    </row>
    <row r="2011">
      <c r="A2011" s="3">
        <f>IFERROR(__xludf.DUMMYFUNCTION("""COMPUTED_VALUE"""),42377.99861111111)</f>
        <v>42377.99861</v>
      </c>
      <c r="B2011" s="1">
        <f>IFERROR(__xludf.DUMMYFUNCTION("""COMPUTED_VALUE"""),377.2524)</f>
        <v>377.2524</v>
      </c>
    </row>
    <row r="2012">
      <c r="A2012" s="3">
        <f>IFERROR(__xludf.DUMMYFUNCTION("""COMPUTED_VALUE"""),42378.99861111111)</f>
        <v>42378.99861</v>
      </c>
      <c r="B2012" s="1">
        <f>IFERROR(__xludf.DUMMYFUNCTION("""COMPUTED_VALUE"""),381.9969804)</f>
        <v>381.9969804</v>
      </c>
    </row>
    <row r="2013">
      <c r="A2013" s="3">
        <f>IFERROR(__xludf.DUMMYFUNCTION("""COMPUTED_VALUE"""),42379.99861111111)</f>
        <v>42379.99861</v>
      </c>
      <c r="B2013" s="1">
        <f>IFERROR(__xludf.DUMMYFUNCTION("""COMPUTED_VALUE"""),382.022368)</f>
        <v>382.022368</v>
      </c>
    </row>
    <row r="2014">
      <c r="A2014" s="3">
        <f>IFERROR(__xludf.DUMMYFUNCTION("""COMPUTED_VALUE"""),42380.99861111111)</f>
        <v>42380.99861</v>
      </c>
      <c r="B2014" s="1">
        <f>IFERROR(__xludf.DUMMYFUNCTION("""COMPUTED_VALUE"""),380.32775)</f>
        <v>380.32775</v>
      </c>
    </row>
    <row r="2015">
      <c r="A2015" s="3">
        <f>IFERROR(__xludf.DUMMYFUNCTION("""COMPUTED_VALUE"""),42381.99861111111)</f>
        <v>42381.99861</v>
      </c>
      <c r="B2015" s="1">
        <f>IFERROR(__xludf.DUMMYFUNCTION("""COMPUTED_VALUE"""),378.94865)</f>
        <v>378.94865</v>
      </c>
    </row>
    <row r="2016">
      <c r="A2016" s="3">
        <f>IFERROR(__xludf.DUMMYFUNCTION("""COMPUTED_VALUE"""),42382.99861111111)</f>
        <v>42382.99861</v>
      </c>
      <c r="B2016" s="1">
        <f>IFERROR(__xludf.DUMMYFUNCTION("""COMPUTED_VALUE"""),381.20791)</f>
        <v>381.20791</v>
      </c>
    </row>
    <row r="2017">
      <c r="A2017" s="3">
        <f>IFERROR(__xludf.DUMMYFUNCTION("""COMPUTED_VALUE"""),42383.99861111111)</f>
        <v>42383.99861</v>
      </c>
      <c r="B2017" s="1">
        <f>IFERROR(__xludf.DUMMYFUNCTION("""COMPUTED_VALUE"""),380.1875)</f>
        <v>380.1875</v>
      </c>
    </row>
    <row r="2018">
      <c r="A2018" s="3">
        <f>IFERROR(__xludf.DUMMYFUNCTION("""COMPUTED_VALUE"""),42384.99861111111)</f>
        <v>42384.99861</v>
      </c>
      <c r="B2018" s="1">
        <f>IFERROR(__xludf.DUMMYFUNCTION("""COMPUTED_VALUE"""),376.99154)</f>
        <v>376.99154</v>
      </c>
    </row>
    <row r="2019">
      <c r="A2019" s="3">
        <f>IFERROR(__xludf.DUMMYFUNCTION("""COMPUTED_VALUE"""),42385.99861111111)</f>
        <v>42385.99861</v>
      </c>
      <c r="B2019" s="1">
        <f>IFERROR(__xludf.DUMMYFUNCTION("""COMPUTED_VALUE"""),377.3425498)</f>
        <v>377.3425498</v>
      </c>
    </row>
    <row r="2020">
      <c r="A2020" s="3">
        <f>IFERROR(__xludf.DUMMYFUNCTION("""COMPUTED_VALUE"""),42386.99861111111)</f>
        <v>42386.99861</v>
      </c>
      <c r="B2020" s="1">
        <f>IFERROR(__xludf.DUMMYFUNCTION("""COMPUTED_VALUE"""),377.4824099)</f>
        <v>377.4824099</v>
      </c>
    </row>
    <row r="2021">
      <c r="A2021" s="3">
        <f>IFERROR(__xludf.DUMMYFUNCTION("""COMPUTED_VALUE"""),42387.99861111111)</f>
        <v>42387.99861</v>
      </c>
      <c r="B2021" s="1">
        <f>IFERROR(__xludf.DUMMYFUNCTION("""COMPUTED_VALUE"""),383.216)</f>
        <v>383.216</v>
      </c>
    </row>
    <row r="2022">
      <c r="A2022" s="3">
        <f>IFERROR(__xludf.DUMMYFUNCTION("""COMPUTED_VALUE"""),42388.99861111111)</f>
        <v>42388.99861</v>
      </c>
      <c r="B2022" s="1">
        <f>IFERROR(__xludf.DUMMYFUNCTION("""COMPUTED_VALUE"""),380.7399)</f>
        <v>380.7399</v>
      </c>
    </row>
    <row r="2023">
      <c r="A2023" s="3">
        <f>IFERROR(__xludf.DUMMYFUNCTION("""COMPUTED_VALUE"""),42389.99861111111)</f>
        <v>42389.99861</v>
      </c>
      <c r="B2023" s="1">
        <f>IFERROR(__xludf.DUMMYFUNCTION("""COMPUTED_VALUE"""),380.87875)</f>
        <v>380.87875</v>
      </c>
    </row>
    <row r="2024">
      <c r="A2024" s="3">
        <f>IFERROR(__xludf.DUMMYFUNCTION("""COMPUTED_VALUE"""),42390.99861111111)</f>
        <v>42390.99861</v>
      </c>
      <c r="B2024" s="1">
        <f>IFERROR(__xludf.DUMMYFUNCTION("""COMPUTED_VALUE"""),379.61133)</f>
        <v>379.61133</v>
      </c>
    </row>
    <row r="2025">
      <c r="A2025" s="3">
        <f>IFERROR(__xludf.DUMMYFUNCTION("""COMPUTED_VALUE"""),42391.99861111111)</f>
        <v>42391.99861</v>
      </c>
      <c r="B2025" s="1">
        <f>IFERROR(__xludf.DUMMYFUNCTION("""COMPUTED_VALUE"""),372.68117)</f>
        <v>372.68117</v>
      </c>
    </row>
    <row r="2026">
      <c r="A2026" s="3">
        <f>IFERROR(__xludf.DUMMYFUNCTION("""COMPUTED_VALUE"""),42392.99861111111)</f>
        <v>42392.99861</v>
      </c>
      <c r="B2026" s="1">
        <f>IFERROR(__xludf.DUMMYFUNCTION("""COMPUTED_VALUE"""),384.2103734)</f>
        <v>384.2103734</v>
      </c>
    </row>
    <row r="2027">
      <c r="A2027" s="3">
        <f>IFERROR(__xludf.DUMMYFUNCTION("""COMPUTED_VALUE"""),42393.99861111111)</f>
        <v>42393.99861</v>
      </c>
      <c r="B2027" s="1">
        <f>IFERROR(__xludf.DUMMYFUNCTION("""COMPUTED_VALUE"""),384.2103734)</f>
        <v>384.2103734</v>
      </c>
    </row>
    <row r="2028">
      <c r="A2028" s="3">
        <f>IFERROR(__xludf.DUMMYFUNCTION("""COMPUTED_VALUE"""),42394.99861111111)</f>
        <v>42394.99861</v>
      </c>
      <c r="B2028" s="1">
        <f>IFERROR(__xludf.DUMMYFUNCTION("""COMPUTED_VALUE"""),384.0591)</f>
        <v>384.0591</v>
      </c>
    </row>
    <row r="2029">
      <c r="A2029" s="3">
        <f>IFERROR(__xludf.DUMMYFUNCTION("""COMPUTED_VALUE"""),42395.99861111111)</f>
        <v>42395.99861</v>
      </c>
      <c r="B2029" s="1">
        <f>IFERROR(__xludf.DUMMYFUNCTION("""COMPUTED_VALUE"""),386.9744)</f>
        <v>386.9744</v>
      </c>
    </row>
    <row r="2030">
      <c r="A2030" s="3">
        <f>IFERROR(__xludf.DUMMYFUNCTION("""COMPUTED_VALUE"""),42396.99861111111)</f>
        <v>42396.99861</v>
      </c>
      <c r="B2030" s="1">
        <f>IFERROR(__xludf.DUMMYFUNCTION("""COMPUTED_VALUE"""),384.93778)</f>
        <v>384.93778</v>
      </c>
    </row>
    <row r="2031">
      <c r="A2031" s="3">
        <f>IFERROR(__xludf.DUMMYFUNCTION("""COMPUTED_VALUE"""),42397.99861111111)</f>
        <v>42397.99861</v>
      </c>
      <c r="B2031" s="1">
        <f>IFERROR(__xludf.DUMMYFUNCTION("""COMPUTED_VALUE"""),383.7682)</f>
        <v>383.7682</v>
      </c>
    </row>
    <row r="2032">
      <c r="A2032" s="3">
        <f>IFERROR(__xludf.DUMMYFUNCTION("""COMPUTED_VALUE"""),42398.99861111111)</f>
        <v>42398.99861</v>
      </c>
      <c r="B2032" s="1">
        <f>IFERROR(__xludf.DUMMYFUNCTION("""COMPUTED_VALUE"""),372.64375)</f>
        <v>372.64375</v>
      </c>
    </row>
    <row r="2033">
      <c r="A2033" s="3">
        <f>IFERROR(__xludf.DUMMYFUNCTION("""COMPUTED_VALUE"""),42399.99861111111)</f>
        <v>42399.99861</v>
      </c>
      <c r="B2033" s="1">
        <f>IFERROR(__xludf.DUMMYFUNCTION("""COMPUTED_VALUE"""),383.802625)</f>
        <v>383.802625</v>
      </c>
    </row>
    <row r="2034">
      <c r="A2034" s="3">
        <f>IFERROR(__xludf.DUMMYFUNCTION("""COMPUTED_VALUE"""),42400.99861111111)</f>
        <v>42400.99861</v>
      </c>
      <c r="B2034" s="1">
        <f>IFERROR(__xludf.DUMMYFUNCTION("""COMPUTED_VALUE"""),384.2030388)</f>
        <v>384.2030388</v>
      </c>
    </row>
    <row r="2035">
      <c r="A2035" s="3">
        <f>IFERROR(__xludf.DUMMYFUNCTION("""COMPUTED_VALUE"""),42401.99861111111)</f>
        <v>42401.99861</v>
      </c>
      <c r="B2035" s="1">
        <f>IFERROR(__xludf.DUMMYFUNCTION("""COMPUTED_VALUE"""),382.8667)</f>
        <v>382.8667</v>
      </c>
    </row>
    <row r="2036">
      <c r="A2036" s="3">
        <f>IFERROR(__xludf.DUMMYFUNCTION("""COMPUTED_VALUE"""),42402.99861111111)</f>
        <v>42402.99861</v>
      </c>
      <c r="B2036" s="1">
        <f>IFERROR(__xludf.DUMMYFUNCTION("""COMPUTED_VALUE"""),383.2043)</f>
        <v>383.2043</v>
      </c>
    </row>
    <row r="2037">
      <c r="A2037" s="3">
        <f>IFERROR(__xludf.DUMMYFUNCTION("""COMPUTED_VALUE"""),42403.99861111111)</f>
        <v>42403.99861</v>
      </c>
      <c r="B2037" s="1">
        <f>IFERROR(__xludf.DUMMYFUNCTION("""COMPUTED_VALUE"""),380.16018)</f>
        <v>380.16018</v>
      </c>
    </row>
    <row r="2038">
      <c r="A2038" s="3">
        <f>IFERROR(__xludf.DUMMYFUNCTION("""COMPUTED_VALUE"""),42404.99861111111)</f>
        <v>42404.99861</v>
      </c>
      <c r="B2038" s="1">
        <f>IFERROR(__xludf.DUMMYFUNCTION("""COMPUTED_VALUE"""),381.8166)</f>
        <v>381.8166</v>
      </c>
    </row>
    <row r="2039">
      <c r="A2039" s="3">
        <f>IFERROR(__xludf.DUMMYFUNCTION("""COMPUTED_VALUE"""),42405.99861111111)</f>
        <v>42405.99861</v>
      </c>
      <c r="B2039" s="1">
        <f>IFERROR(__xludf.DUMMYFUNCTION("""COMPUTED_VALUE"""),381.33095)</f>
        <v>381.33095</v>
      </c>
    </row>
    <row r="2040">
      <c r="A2040" s="3">
        <f>IFERROR(__xludf.DUMMYFUNCTION("""COMPUTED_VALUE"""),42406.99861111111)</f>
        <v>42406.99861</v>
      </c>
      <c r="B2040" s="1">
        <f>IFERROR(__xludf.DUMMYFUNCTION("""COMPUTED_VALUE"""),381.9047008)</f>
        <v>381.9047008</v>
      </c>
    </row>
    <row r="2041">
      <c r="A2041" s="3">
        <f>IFERROR(__xludf.DUMMYFUNCTION("""COMPUTED_VALUE"""),42407.99861111111)</f>
        <v>42407.99861</v>
      </c>
      <c r="B2041" s="1">
        <f>IFERROR(__xludf.DUMMYFUNCTION("""COMPUTED_VALUE"""),382.0161188)</f>
        <v>382.0161188</v>
      </c>
    </row>
    <row r="2042">
      <c r="A2042" s="3">
        <f>IFERROR(__xludf.DUMMYFUNCTION("""COMPUTED_VALUE"""),42408.99861111111)</f>
        <v>42408.99861</v>
      </c>
      <c r="B2042" s="1">
        <f>IFERROR(__xludf.DUMMYFUNCTION("""COMPUTED_VALUE"""),384.84264)</f>
        <v>384.84264</v>
      </c>
    </row>
    <row r="2043">
      <c r="A2043" s="3">
        <f>IFERROR(__xludf.DUMMYFUNCTION("""COMPUTED_VALUE"""),42409.99861111111)</f>
        <v>42409.99861</v>
      </c>
      <c r="B2043" s="1">
        <f>IFERROR(__xludf.DUMMYFUNCTION("""COMPUTED_VALUE"""),382.7988)</f>
        <v>382.7988</v>
      </c>
    </row>
    <row r="2044">
      <c r="A2044" s="3">
        <f>IFERROR(__xludf.DUMMYFUNCTION("""COMPUTED_VALUE"""),42410.99861111111)</f>
        <v>42410.99861</v>
      </c>
      <c r="B2044" s="1">
        <f>IFERROR(__xludf.DUMMYFUNCTION("""COMPUTED_VALUE"""),380.91105)</f>
        <v>380.91105</v>
      </c>
    </row>
    <row r="2045">
      <c r="A2045" s="3">
        <f>IFERROR(__xludf.DUMMYFUNCTION("""COMPUTED_VALUE"""),42411.99861111111)</f>
        <v>42411.99861</v>
      </c>
      <c r="B2045" s="1">
        <f>IFERROR(__xludf.DUMMYFUNCTION("""COMPUTED_VALUE"""),382.158)</f>
        <v>382.158</v>
      </c>
    </row>
    <row r="2046">
      <c r="A2046" s="3">
        <f>IFERROR(__xludf.DUMMYFUNCTION("""COMPUTED_VALUE"""),42412.99861111111)</f>
        <v>42412.99861</v>
      </c>
      <c r="B2046" s="1">
        <f>IFERROR(__xludf.DUMMYFUNCTION("""COMPUTED_VALUE"""),370.69145)</f>
        <v>370.69145</v>
      </c>
    </row>
    <row r="2047">
      <c r="A2047" s="3">
        <f>IFERROR(__xludf.DUMMYFUNCTION("""COMPUTED_VALUE"""),42413.99861111111)</f>
        <v>42413.99861</v>
      </c>
      <c r="B2047" s="1">
        <f>IFERROR(__xludf.DUMMYFUNCTION("""COMPUTED_VALUE"""),373.0350789)</f>
        <v>373.0350789</v>
      </c>
    </row>
    <row r="2048">
      <c r="A2048" s="3">
        <f>IFERROR(__xludf.DUMMYFUNCTION("""COMPUTED_VALUE"""),42414.99861111111)</f>
        <v>42414.99861</v>
      </c>
      <c r="B2048" s="1">
        <f>IFERROR(__xludf.DUMMYFUNCTION("""COMPUTED_VALUE"""),371.9510685)</f>
        <v>371.9510685</v>
      </c>
    </row>
    <row r="2049">
      <c r="A2049" s="3">
        <f>IFERROR(__xludf.DUMMYFUNCTION("""COMPUTED_VALUE"""),42415.99861111111)</f>
        <v>42415.99861</v>
      </c>
      <c r="B2049" s="1">
        <f>IFERROR(__xludf.DUMMYFUNCTION("""COMPUTED_VALUE"""),372.36375)</f>
        <v>372.36375</v>
      </c>
    </row>
    <row r="2050">
      <c r="A2050" s="3">
        <f>IFERROR(__xludf.DUMMYFUNCTION("""COMPUTED_VALUE"""),42416.99861111111)</f>
        <v>42416.99861</v>
      </c>
      <c r="B2050" s="1">
        <f>IFERROR(__xludf.DUMMYFUNCTION("""COMPUTED_VALUE"""),375.51791)</f>
        <v>375.51791</v>
      </c>
    </row>
    <row r="2051">
      <c r="A2051" s="3">
        <f>IFERROR(__xludf.DUMMYFUNCTION("""COMPUTED_VALUE"""),42417.99861111111)</f>
        <v>42417.99861</v>
      </c>
      <c r="B2051" s="1">
        <f>IFERROR(__xludf.DUMMYFUNCTION("""COMPUTED_VALUE"""),378.675)</f>
        <v>378.675</v>
      </c>
    </row>
    <row r="2052">
      <c r="A2052" s="3">
        <f>IFERROR(__xludf.DUMMYFUNCTION("""COMPUTED_VALUE"""),42418.99861111111)</f>
        <v>42418.99861</v>
      </c>
      <c r="B2052" s="1">
        <f>IFERROR(__xludf.DUMMYFUNCTION("""COMPUTED_VALUE"""),376.82735)</f>
        <v>376.82735</v>
      </c>
    </row>
    <row r="2053">
      <c r="A2053" s="3">
        <f>IFERROR(__xludf.DUMMYFUNCTION("""COMPUTED_VALUE"""),42419.99861111111)</f>
        <v>42419.99861</v>
      </c>
      <c r="B2053" s="1">
        <f>IFERROR(__xludf.DUMMYFUNCTION("""COMPUTED_VALUE"""),369.10823)</f>
        <v>369.10823</v>
      </c>
    </row>
    <row r="2054">
      <c r="A2054" s="3">
        <f>IFERROR(__xludf.DUMMYFUNCTION("""COMPUTED_VALUE"""),42420.99861111111)</f>
        <v>42420.99861</v>
      </c>
      <c r="B2054" s="1">
        <f>IFERROR(__xludf.DUMMYFUNCTION("""COMPUTED_VALUE"""),371.9889071)</f>
        <v>371.9889071</v>
      </c>
    </row>
    <row r="2055">
      <c r="A2055" s="3">
        <f>IFERROR(__xludf.DUMMYFUNCTION("""COMPUTED_VALUE"""),42421.99861111111)</f>
        <v>42421.99861</v>
      </c>
      <c r="B2055" s="1">
        <f>IFERROR(__xludf.DUMMYFUNCTION("""COMPUTED_VALUE"""),371.7182713)</f>
        <v>371.7182713</v>
      </c>
    </row>
    <row r="2056">
      <c r="A2056" s="3">
        <f>IFERROR(__xludf.DUMMYFUNCTION("""COMPUTED_VALUE"""),42422.99861111111)</f>
        <v>42422.99861</v>
      </c>
      <c r="B2056" s="1">
        <f>IFERROR(__xludf.DUMMYFUNCTION("""COMPUTED_VALUE"""),374.11075)</f>
        <v>374.11075</v>
      </c>
    </row>
    <row r="2057">
      <c r="A2057" s="3">
        <f>IFERROR(__xludf.DUMMYFUNCTION("""COMPUTED_VALUE"""),42423.99861111111)</f>
        <v>42423.99861</v>
      </c>
      <c r="B2057" s="1">
        <f>IFERROR(__xludf.DUMMYFUNCTION("""COMPUTED_VALUE"""),374.9436)</f>
        <v>374.9436</v>
      </c>
    </row>
    <row r="2058">
      <c r="A2058" s="3">
        <f>IFERROR(__xludf.DUMMYFUNCTION("""COMPUTED_VALUE"""),42424.99861111111)</f>
        <v>42424.99861</v>
      </c>
      <c r="B2058" s="1">
        <f>IFERROR(__xludf.DUMMYFUNCTION("""COMPUTED_VALUE"""),374.78)</f>
        <v>374.78</v>
      </c>
    </row>
    <row r="2059">
      <c r="A2059" s="3">
        <f>IFERROR(__xludf.DUMMYFUNCTION("""COMPUTED_VALUE"""),42425.99861111111)</f>
        <v>42425.99861</v>
      </c>
      <c r="B2059" s="1">
        <f>IFERROR(__xludf.DUMMYFUNCTION("""COMPUTED_VALUE"""),376.1743)</f>
        <v>376.1743</v>
      </c>
    </row>
    <row r="2060">
      <c r="A2060" s="3">
        <f>IFERROR(__xludf.DUMMYFUNCTION("""COMPUTED_VALUE"""),42426.99861111111)</f>
        <v>42426.99861</v>
      </c>
      <c r="B2060" s="1">
        <f>IFERROR(__xludf.DUMMYFUNCTION("""COMPUTED_VALUE"""),366.09975)</f>
        <v>366.09975</v>
      </c>
    </row>
    <row r="2061">
      <c r="A2061" s="3">
        <f>IFERROR(__xludf.DUMMYFUNCTION("""COMPUTED_VALUE"""),42427.99861111111)</f>
        <v>42427.99861</v>
      </c>
      <c r="B2061" s="1">
        <f>IFERROR(__xludf.DUMMYFUNCTION("""COMPUTED_VALUE"""),366.5322522)</f>
        <v>366.5322522</v>
      </c>
    </row>
    <row r="2062">
      <c r="A2062" s="3">
        <f>IFERROR(__xludf.DUMMYFUNCTION("""COMPUTED_VALUE"""),42428.99861111111)</f>
        <v>42428.99861</v>
      </c>
      <c r="B2062" s="1">
        <f>IFERROR(__xludf.DUMMYFUNCTION("""COMPUTED_VALUE"""),366.3978436)</f>
        <v>366.3978436</v>
      </c>
    </row>
    <row r="2063">
      <c r="A2063" s="3">
        <f>IFERROR(__xludf.DUMMYFUNCTION("""COMPUTED_VALUE"""),42429.99861111111)</f>
        <v>42429.99861</v>
      </c>
      <c r="B2063" s="1">
        <f>IFERROR(__xludf.DUMMYFUNCTION("""COMPUTED_VALUE"""),374.62095)</f>
        <v>374.62095</v>
      </c>
    </row>
    <row r="2064">
      <c r="A2064" s="3">
        <f>IFERROR(__xludf.DUMMYFUNCTION("""COMPUTED_VALUE"""),42430.99861111111)</f>
        <v>42430.99861</v>
      </c>
      <c r="B2064" s="1">
        <f>IFERROR(__xludf.DUMMYFUNCTION("""COMPUTED_VALUE"""),371.94768)</f>
        <v>371.94768</v>
      </c>
    </row>
    <row r="2065">
      <c r="A2065" s="3">
        <f>IFERROR(__xludf.DUMMYFUNCTION("""COMPUTED_VALUE"""),42431.99861111111)</f>
        <v>42431.99861</v>
      </c>
      <c r="B2065" s="1">
        <f>IFERROR(__xludf.DUMMYFUNCTION("""COMPUTED_VALUE"""),372.42939)</f>
        <v>372.42939</v>
      </c>
    </row>
    <row r="2066">
      <c r="A2066" s="3">
        <f>IFERROR(__xludf.DUMMYFUNCTION("""COMPUTED_VALUE"""),42432.99861111111)</f>
        <v>42432.99861</v>
      </c>
      <c r="B2066" s="1">
        <f>IFERROR(__xludf.DUMMYFUNCTION("""COMPUTED_VALUE"""),370.548)</f>
        <v>370.548</v>
      </c>
    </row>
    <row r="2067">
      <c r="A2067" s="3">
        <f>IFERROR(__xludf.DUMMYFUNCTION("""COMPUTED_VALUE"""),42433.99861111111)</f>
        <v>42433.99861</v>
      </c>
      <c r="B2067" s="1">
        <f>IFERROR(__xludf.DUMMYFUNCTION("""COMPUTED_VALUE"""),361.39672)</f>
        <v>361.39672</v>
      </c>
    </row>
    <row r="2068">
      <c r="A2068" s="3">
        <f>IFERROR(__xludf.DUMMYFUNCTION("""COMPUTED_VALUE"""),42434.99861111111)</f>
        <v>42434.99861</v>
      </c>
      <c r="B2068" s="1">
        <f>IFERROR(__xludf.DUMMYFUNCTION("""COMPUTED_VALUE"""),369.3739118)</f>
        <v>369.3739118</v>
      </c>
    </row>
    <row r="2069">
      <c r="A2069" s="3">
        <f>IFERROR(__xludf.DUMMYFUNCTION("""COMPUTED_VALUE"""),42435.99861111111)</f>
        <v>42435.99861</v>
      </c>
      <c r="B2069" s="1">
        <f>IFERROR(__xludf.DUMMYFUNCTION("""COMPUTED_VALUE"""),369.333241)</f>
        <v>369.333241</v>
      </c>
    </row>
    <row r="2070">
      <c r="A2070" s="3">
        <f>IFERROR(__xludf.DUMMYFUNCTION("""COMPUTED_VALUE"""),42436.99861111111)</f>
        <v>42436.99861</v>
      </c>
      <c r="B2070" s="1">
        <f>IFERROR(__xludf.DUMMYFUNCTION("""COMPUTED_VALUE"""),366.73)</f>
        <v>366.73</v>
      </c>
    </row>
    <row r="2071">
      <c r="A2071" s="3">
        <f>IFERROR(__xludf.DUMMYFUNCTION("""COMPUTED_VALUE"""),42437.99861111111)</f>
        <v>42437.99861</v>
      </c>
      <c r="B2071" s="1">
        <f>IFERROR(__xludf.DUMMYFUNCTION("""COMPUTED_VALUE"""),372.49506)</f>
        <v>372.49506</v>
      </c>
    </row>
    <row r="2072">
      <c r="A2072" s="3">
        <f>IFERROR(__xludf.DUMMYFUNCTION("""COMPUTED_VALUE"""),42438.99861111111)</f>
        <v>42438.99861</v>
      </c>
      <c r="B2072" s="1">
        <f>IFERROR(__xludf.DUMMYFUNCTION("""COMPUTED_VALUE"""),371.123)</f>
        <v>371.123</v>
      </c>
    </row>
    <row r="2073">
      <c r="A2073" s="3">
        <f>IFERROR(__xludf.DUMMYFUNCTION("""COMPUTED_VALUE"""),42439.99861111111)</f>
        <v>42439.99861</v>
      </c>
      <c r="B2073" s="1">
        <f>IFERROR(__xludf.DUMMYFUNCTION("""COMPUTED_VALUE"""),372.3668)</f>
        <v>372.3668</v>
      </c>
    </row>
    <row r="2074">
      <c r="A2074" s="3">
        <f>IFERROR(__xludf.DUMMYFUNCTION("""COMPUTED_VALUE"""),42440.99861111111)</f>
        <v>42440.99861</v>
      </c>
      <c r="B2074" s="1">
        <f>IFERROR(__xludf.DUMMYFUNCTION("""COMPUTED_VALUE"""),362.53343)</f>
        <v>362.53343</v>
      </c>
    </row>
    <row r="2075">
      <c r="A2075" s="3">
        <f>IFERROR(__xludf.DUMMYFUNCTION("""COMPUTED_VALUE"""),42441.99861111111)</f>
        <v>42441.99861</v>
      </c>
      <c r="B2075" s="1">
        <f>IFERROR(__xludf.DUMMYFUNCTION("""COMPUTED_VALUE"""),365.188778)</f>
        <v>365.188778</v>
      </c>
    </row>
    <row r="2076">
      <c r="A2076" s="3">
        <f>IFERROR(__xludf.DUMMYFUNCTION("""COMPUTED_VALUE"""),42442.99861111111)</f>
        <v>42442.99861</v>
      </c>
      <c r="B2076" s="1">
        <f>IFERROR(__xludf.DUMMYFUNCTION("""COMPUTED_VALUE"""),365.971046)</f>
        <v>365.971046</v>
      </c>
    </row>
    <row r="2077">
      <c r="A2077" s="3">
        <f>IFERROR(__xludf.DUMMYFUNCTION("""COMPUTED_VALUE"""),42443.99861111111)</f>
        <v>42443.99861</v>
      </c>
      <c r="B2077" s="1">
        <f>IFERROR(__xludf.DUMMYFUNCTION("""COMPUTED_VALUE"""),369.5406)</f>
        <v>369.5406</v>
      </c>
    </row>
    <row r="2078">
      <c r="A2078" s="3">
        <f>IFERROR(__xludf.DUMMYFUNCTION("""COMPUTED_VALUE"""),42444.99861111111)</f>
        <v>42444.99861</v>
      </c>
      <c r="B2078" s="1">
        <f>IFERROR(__xludf.DUMMYFUNCTION("""COMPUTED_VALUE"""),373.48058)</f>
        <v>373.48058</v>
      </c>
    </row>
    <row r="2079">
      <c r="A2079" s="3">
        <f>IFERROR(__xludf.DUMMYFUNCTION("""COMPUTED_VALUE"""),42445.99861111111)</f>
        <v>42445.99861</v>
      </c>
      <c r="B2079" s="1">
        <f>IFERROR(__xludf.DUMMYFUNCTION("""COMPUTED_VALUE"""),364.4558)</f>
        <v>364.4558</v>
      </c>
    </row>
    <row r="2080">
      <c r="A2080" s="3">
        <f>IFERROR(__xludf.DUMMYFUNCTION("""COMPUTED_VALUE"""),42446.99861111111)</f>
        <v>42446.99861</v>
      </c>
      <c r="B2080" s="1">
        <f>IFERROR(__xludf.DUMMYFUNCTION("""COMPUTED_VALUE"""),371.7519)</f>
        <v>371.7519</v>
      </c>
    </row>
    <row r="2081">
      <c r="A2081" s="3">
        <f>IFERROR(__xludf.DUMMYFUNCTION("""COMPUTED_VALUE"""),42447.99861111111)</f>
        <v>42447.99861</v>
      </c>
      <c r="B2081" s="1">
        <f>IFERROR(__xludf.DUMMYFUNCTION("""COMPUTED_VALUE"""),373.40832)</f>
        <v>373.40832</v>
      </c>
    </row>
    <row r="2082">
      <c r="A2082" s="3">
        <f>IFERROR(__xludf.DUMMYFUNCTION("""COMPUTED_VALUE"""),42448.99861111111)</f>
        <v>42448.99861</v>
      </c>
      <c r="B2082" s="1">
        <f>IFERROR(__xludf.DUMMYFUNCTION("""COMPUTED_VALUE"""),376.346784)</f>
        <v>376.346784</v>
      </c>
    </row>
    <row r="2083">
      <c r="A2083" s="3">
        <f>IFERROR(__xludf.DUMMYFUNCTION("""COMPUTED_VALUE"""),42449.99861111111)</f>
        <v>42449.99861</v>
      </c>
      <c r="B2083" s="1">
        <f>IFERROR(__xludf.DUMMYFUNCTION("""COMPUTED_VALUE"""),376.47819)</f>
        <v>376.47819</v>
      </c>
    </row>
    <row r="2084">
      <c r="A2084" s="3">
        <f>IFERROR(__xludf.DUMMYFUNCTION("""COMPUTED_VALUE"""),42450.99861111111)</f>
        <v>42450.99861</v>
      </c>
      <c r="B2084" s="1">
        <f>IFERROR(__xludf.DUMMYFUNCTION("""COMPUTED_VALUE"""),377.16563)</f>
        <v>377.16563</v>
      </c>
    </row>
    <row r="2085">
      <c r="A2085" s="3">
        <f>IFERROR(__xludf.DUMMYFUNCTION("""COMPUTED_VALUE"""),42451.99861111111)</f>
        <v>42451.99861</v>
      </c>
      <c r="B2085" s="1">
        <f>IFERROR(__xludf.DUMMYFUNCTION("""COMPUTED_VALUE"""),374.42658)</f>
        <v>374.42658</v>
      </c>
    </row>
    <row r="2086">
      <c r="A2086" s="3">
        <f>IFERROR(__xludf.DUMMYFUNCTION("""COMPUTED_VALUE"""),42452.99861111111)</f>
        <v>42452.99861</v>
      </c>
      <c r="B2086" s="1">
        <f>IFERROR(__xludf.DUMMYFUNCTION("""COMPUTED_VALUE"""),374.7774)</f>
        <v>374.7774</v>
      </c>
    </row>
    <row r="2087">
      <c r="A2087" s="3">
        <f>IFERROR(__xludf.DUMMYFUNCTION("""COMPUTED_VALUE"""),42453.99861111111)</f>
        <v>42453.99861</v>
      </c>
      <c r="B2087" s="1">
        <f>IFERROR(__xludf.DUMMYFUNCTION("""COMPUTED_VALUE"""),373.69992)</f>
        <v>373.69992</v>
      </c>
    </row>
    <row r="2088">
      <c r="A2088" s="3">
        <f>IFERROR(__xludf.DUMMYFUNCTION("""COMPUTED_VALUE"""),42454.99861111111)</f>
        <v>42454.99861</v>
      </c>
      <c r="B2088" s="1">
        <f>IFERROR(__xludf.DUMMYFUNCTION("""COMPUTED_VALUE"""),372.0525)</f>
        <v>372.0525</v>
      </c>
    </row>
    <row r="2089">
      <c r="A2089" s="3">
        <f>IFERROR(__xludf.DUMMYFUNCTION("""COMPUTED_VALUE"""),42455.99861111111)</f>
        <v>42455.99861</v>
      </c>
      <c r="B2089" s="1">
        <f>IFERROR(__xludf.DUMMYFUNCTION("""COMPUTED_VALUE"""),375.1659325)</f>
        <v>375.1659325</v>
      </c>
    </row>
    <row r="2090">
      <c r="A2090" s="3">
        <f>IFERROR(__xludf.DUMMYFUNCTION("""COMPUTED_VALUE"""),42456.99861111111)</f>
        <v>42456.99861</v>
      </c>
      <c r="B2090" s="1">
        <f>IFERROR(__xludf.DUMMYFUNCTION("""COMPUTED_VALUE"""),374.9003283)</f>
        <v>374.9003283</v>
      </c>
    </row>
    <row r="2091">
      <c r="A2091" s="3">
        <f>IFERROR(__xludf.DUMMYFUNCTION("""COMPUTED_VALUE"""),42457.99861111111)</f>
        <v>42457.99861</v>
      </c>
      <c r="B2091" s="1">
        <f>IFERROR(__xludf.DUMMYFUNCTION("""COMPUTED_VALUE"""),375.50184)</f>
        <v>375.50184</v>
      </c>
    </row>
    <row r="2092">
      <c r="A2092" s="3">
        <f>IFERROR(__xludf.DUMMYFUNCTION("""COMPUTED_VALUE"""),42458.99861111111)</f>
        <v>42458.99861</v>
      </c>
      <c r="B2092" s="1">
        <f>IFERROR(__xludf.DUMMYFUNCTION("""COMPUTED_VALUE"""),372.7304)</f>
        <v>372.7304</v>
      </c>
    </row>
    <row r="2093">
      <c r="A2093" s="3">
        <f>IFERROR(__xludf.DUMMYFUNCTION("""COMPUTED_VALUE"""),42459.99861111111)</f>
        <v>42459.99861</v>
      </c>
      <c r="B2093" s="1">
        <f>IFERROR(__xludf.DUMMYFUNCTION("""COMPUTED_VALUE"""),375.354)</f>
        <v>375.354</v>
      </c>
    </row>
    <row r="2094">
      <c r="A2094" s="3">
        <f>IFERROR(__xludf.DUMMYFUNCTION("""COMPUTED_VALUE"""),42460.99861111111)</f>
        <v>42460.99861</v>
      </c>
      <c r="B2094" s="1">
        <f>IFERROR(__xludf.DUMMYFUNCTION("""COMPUTED_VALUE"""),374.3451)</f>
        <v>374.3451</v>
      </c>
    </row>
    <row r="2095">
      <c r="A2095" s="3">
        <f>IFERROR(__xludf.DUMMYFUNCTION("""COMPUTED_VALUE"""),42461.99861111111)</f>
        <v>42461.99861</v>
      </c>
      <c r="B2095" s="1">
        <f>IFERROR(__xludf.DUMMYFUNCTION("""COMPUTED_VALUE"""),372.8068)</f>
        <v>372.8068</v>
      </c>
    </row>
    <row r="2096">
      <c r="A2096" s="3">
        <f>IFERROR(__xludf.DUMMYFUNCTION("""COMPUTED_VALUE"""),42462.99861111111)</f>
        <v>42462.99861</v>
      </c>
      <c r="B2096" s="1">
        <f>IFERROR(__xludf.DUMMYFUNCTION("""COMPUTED_VALUE"""),373.19304)</f>
        <v>373.19304</v>
      </c>
    </row>
    <row r="2097">
      <c r="A2097" s="3">
        <f>IFERROR(__xludf.DUMMYFUNCTION("""COMPUTED_VALUE"""),42463.99861111111)</f>
        <v>42463.99861</v>
      </c>
      <c r="B2097" s="1">
        <f>IFERROR(__xludf.DUMMYFUNCTION("""COMPUTED_VALUE"""),373.19304)</f>
        <v>373.19304</v>
      </c>
    </row>
    <row r="2098">
      <c r="A2098" s="3">
        <f>IFERROR(__xludf.DUMMYFUNCTION("""COMPUTED_VALUE"""),42464.99861111111)</f>
        <v>42464.99861</v>
      </c>
      <c r="B2098" s="1">
        <f>IFERROR(__xludf.DUMMYFUNCTION("""COMPUTED_VALUE"""),372.519)</f>
        <v>372.519</v>
      </c>
    </row>
    <row r="2099">
      <c r="A2099" s="3">
        <f>IFERROR(__xludf.DUMMYFUNCTION("""COMPUTED_VALUE"""),42465.99861111111)</f>
        <v>42465.99861</v>
      </c>
      <c r="B2099" s="1">
        <f>IFERROR(__xludf.DUMMYFUNCTION("""COMPUTED_VALUE"""),373.843)</f>
        <v>373.843</v>
      </c>
    </row>
    <row r="2100">
      <c r="A2100" s="3">
        <f>IFERROR(__xludf.DUMMYFUNCTION("""COMPUTED_VALUE"""),42466.99861111111)</f>
        <v>42466.99861</v>
      </c>
      <c r="B2100" s="1">
        <f>IFERROR(__xludf.DUMMYFUNCTION("""COMPUTED_VALUE"""),373.68964)</f>
        <v>373.68964</v>
      </c>
    </row>
    <row r="2101">
      <c r="A2101" s="3">
        <f>IFERROR(__xludf.DUMMYFUNCTION("""COMPUTED_VALUE"""),42467.99861111111)</f>
        <v>42467.99861</v>
      </c>
      <c r="B2101" s="1">
        <f>IFERROR(__xludf.DUMMYFUNCTION("""COMPUTED_VALUE"""),373.95308)</f>
        <v>373.95308</v>
      </c>
    </row>
    <row r="2102">
      <c r="A2102" s="3">
        <f>IFERROR(__xludf.DUMMYFUNCTION("""COMPUTED_VALUE"""),42468.99861111111)</f>
        <v>42468.99861</v>
      </c>
      <c r="B2102" s="1">
        <f>IFERROR(__xludf.DUMMYFUNCTION("""COMPUTED_VALUE"""),373.2529)</f>
        <v>373.2529</v>
      </c>
    </row>
    <row r="2103">
      <c r="A2103" s="3">
        <f>IFERROR(__xludf.DUMMYFUNCTION("""COMPUTED_VALUE"""),42469.99861111111)</f>
        <v>42469.99861</v>
      </c>
      <c r="B2103" s="1">
        <f>IFERROR(__xludf.DUMMYFUNCTION("""COMPUTED_VALUE"""),373.981476)</f>
        <v>373.981476</v>
      </c>
    </row>
    <row r="2104">
      <c r="A2104" s="3">
        <f>IFERROR(__xludf.DUMMYFUNCTION("""COMPUTED_VALUE"""),42470.99861111111)</f>
        <v>42470.99861</v>
      </c>
      <c r="B2104" s="1">
        <f>IFERROR(__xludf.DUMMYFUNCTION("""COMPUTED_VALUE"""),374.112882)</f>
        <v>374.112882</v>
      </c>
    </row>
    <row r="2105">
      <c r="A2105" s="3">
        <f>IFERROR(__xludf.DUMMYFUNCTION("""COMPUTED_VALUE"""),42471.99861111111)</f>
        <v>42471.99861</v>
      </c>
      <c r="B2105" s="1">
        <f>IFERROR(__xludf.DUMMYFUNCTION("""COMPUTED_VALUE"""),373.4694)</f>
        <v>373.4694</v>
      </c>
    </row>
    <row r="2106">
      <c r="A2106" s="3">
        <f>IFERROR(__xludf.DUMMYFUNCTION("""COMPUTED_VALUE"""),42472.99861111111)</f>
        <v>42472.99861</v>
      </c>
      <c r="B2106" s="1">
        <f>IFERROR(__xludf.DUMMYFUNCTION("""COMPUTED_VALUE"""),373.10342)</f>
        <v>373.10342</v>
      </c>
    </row>
    <row r="2107">
      <c r="A2107" s="3">
        <f>IFERROR(__xludf.DUMMYFUNCTION("""COMPUTED_VALUE"""),42473.99861111111)</f>
        <v>42473.99861</v>
      </c>
      <c r="B2107" s="1">
        <f>IFERROR(__xludf.DUMMYFUNCTION("""COMPUTED_VALUE"""),374.76395)</f>
        <v>374.76395</v>
      </c>
    </row>
    <row r="2108">
      <c r="A2108" s="3">
        <f>IFERROR(__xludf.DUMMYFUNCTION("""COMPUTED_VALUE"""),42474.99861111111)</f>
        <v>42474.99861</v>
      </c>
      <c r="B2108" s="1">
        <f>IFERROR(__xludf.DUMMYFUNCTION("""COMPUTED_VALUE"""),375.13856)</f>
        <v>375.13856</v>
      </c>
    </row>
    <row r="2109">
      <c r="A2109" s="3">
        <f>IFERROR(__xludf.DUMMYFUNCTION("""COMPUTED_VALUE"""),42475.99861111111)</f>
        <v>42475.99861</v>
      </c>
      <c r="B2109" s="1">
        <f>IFERROR(__xludf.DUMMYFUNCTION("""COMPUTED_VALUE"""),374.4676)</f>
        <v>374.4676</v>
      </c>
    </row>
    <row r="2110">
      <c r="A2110" s="3">
        <f>IFERROR(__xludf.DUMMYFUNCTION("""COMPUTED_VALUE"""),42476.99861111111)</f>
        <v>42476.99861</v>
      </c>
      <c r="B2110" s="1">
        <f>IFERROR(__xludf.DUMMYFUNCTION("""COMPUTED_VALUE"""),377.2485852)</f>
        <v>377.2485852</v>
      </c>
    </row>
    <row r="2111">
      <c r="A2111" s="3">
        <f>IFERROR(__xludf.DUMMYFUNCTION("""COMPUTED_VALUE"""),42477.99861111111)</f>
        <v>42477.99861</v>
      </c>
      <c r="B2111" s="1">
        <f>IFERROR(__xludf.DUMMYFUNCTION("""COMPUTED_VALUE"""),377.5131354)</f>
        <v>377.5131354</v>
      </c>
    </row>
    <row r="2112">
      <c r="A2112" s="3">
        <f>IFERROR(__xludf.DUMMYFUNCTION("""COMPUTED_VALUE"""),42478.99861111111)</f>
        <v>42478.99861</v>
      </c>
      <c r="B2112" s="1">
        <f>IFERROR(__xludf.DUMMYFUNCTION("""COMPUTED_VALUE"""),374.25024)</f>
        <v>374.25024</v>
      </c>
    </row>
    <row r="2113">
      <c r="A2113" s="3">
        <f>IFERROR(__xludf.DUMMYFUNCTION("""COMPUTED_VALUE"""),42479.99861111111)</f>
        <v>42479.99861</v>
      </c>
      <c r="B2113" s="1">
        <f>IFERROR(__xludf.DUMMYFUNCTION("""COMPUTED_VALUE"""),375.43734)</f>
        <v>375.43734</v>
      </c>
    </row>
    <row r="2114">
      <c r="A2114" s="3">
        <f>IFERROR(__xludf.DUMMYFUNCTION("""COMPUTED_VALUE"""),42480.99861111111)</f>
        <v>42480.99861</v>
      </c>
      <c r="B2114" s="1">
        <f>IFERROR(__xludf.DUMMYFUNCTION("""COMPUTED_VALUE"""),376.94258)</f>
        <v>376.94258</v>
      </c>
    </row>
    <row r="2115">
      <c r="A2115" s="3">
        <f>IFERROR(__xludf.DUMMYFUNCTION("""COMPUTED_VALUE"""),42481.99861111111)</f>
        <v>42481.99861</v>
      </c>
      <c r="B2115" s="1">
        <f>IFERROR(__xludf.DUMMYFUNCTION("""COMPUTED_VALUE"""),375.27028)</f>
        <v>375.27028</v>
      </c>
    </row>
    <row r="2116">
      <c r="A2116" s="3">
        <f>IFERROR(__xludf.DUMMYFUNCTION("""COMPUTED_VALUE"""),42482.99861111111)</f>
        <v>42482.99861</v>
      </c>
      <c r="B2116" s="1">
        <f>IFERROR(__xludf.DUMMYFUNCTION("""COMPUTED_VALUE"""),375.7936)</f>
        <v>375.7936</v>
      </c>
    </row>
    <row r="2117">
      <c r="A2117" s="3">
        <f>IFERROR(__xludf.DUMMYFUNCTION("""COMPUTED_VALUE"""),42483.99861111111)</f>
        <v>42483.99861</v>
      </c>
      <c r="B2117" s="1">
        <f>IFERROR(__xludf.DUMMYFUNCTION("""COMPUTED_VALUE"""),376.5872097)</f>
        <v>376.5872097</v>
      </c>
    </row>
    <row r="2118">
      <c r="A2118" s="3">
        <f>IFERROR(__xludf.DUMMYFUNCTION("""COMPUTED_VALUE"""),42484.99861111111)</f>
        <v>42484.99861</v>
      </c>
      <c r="B2118" s="1">
        <f>IFERROR(__xludf.DUMMYFUNCTION("""COMPUTED_VALUE"""),376.3537547)</f>
        <v>376.3537547</v>
      </c>
    </row>
    <row r="2119">
      <c r="A2119" s="3">
        <f>IFERROR(__xludf.DUMMYFUNCTION("""COMPUTED_VALUE"""),42485.99861111111)</f>
        <v>42485.99861</v>
      </c>
      <c r="B2119" s="1">
        <f>IFERROR(__xludf.DUMMYFUNCTION("""COMPUTED_VALUE"""),375.6512)</f>
        <v>375.6512</v>
      </c>
    </row>
    <row r="2120">
      <c r="A2120" s="3">
        <f>IFERROR(__xludf.DUMMYFUNCTION("""COMPUTED_VALUE"""),42486.99861111111)</f>
        <v>42486.99861</v>
      </c>
      <c r="B2120" s="1">
        <f>IFERROR(__xludf.DUMMYFUNCTION("""COMPUTED_VALUE"""),374.1388)</f>
        <v>374.1388</v>
      </c>
    </row>
    <row r="2121">
      <c r="A2121" s="3">
        <f>IFERROR(__xludf.DUMMYFUNCTION("""COMPUTED_VALUE"""),42487.99861111111)</f>
        <v>42487.99861</v>
      </c>
      <c r="B2121" s="1">
        <f>IFERROR(__xludf.DUMMYFUNCTION("""COMPUTED_VALUE"""),374.25975)</f>
        <v>374.25975</v>
      </c>
    </row>
    <row r="2122">
      <c r="A2122" s="3">
        <f>IFERROR(__xludf.DUMMYFUNCTION("""COMPUTED_VALUE"""),42488.99861111111)</f>
        <v>42488.99861</v>
      </c>
      <c r="B2122" s="1">
        <f>IFERROR(__xludf.DUMMYFUNCTION("""COMPUTED_VALUE"""),376.1352)</f>
        <v>376.1352</v>
      </c>
    </row>
    <row r="2123">
      <c r="A2123" s="3">
        <f>IFERROR(__xludf.DUMMYFUNCTION("""COMPUTED_VALUE"""),42489.99861111111)</f>
        <v>42489.99861</v>
      </c>
      <c r="B2123" s="1">
        <f>IFERROR(__xludf.DUMMYFUNCTION("""COMPUTED_VALUE"""),376.93675)</f>
        <v>376.93675</v>
      </c>
    </row>
    <row r="2124">
      <c r="A2124" s="3">
        <f>IFERROR(__xludf.DUMMYFUNCTION("""COMPUTED_VALUE"""),42490.99861111111)</f>
        <v>42490.99861</v>
      </c>
      <c r="B2124" s="1">
        <f>IFERROR(__xludf.DUMMYFUNCTION("""COMPUTED_VALUE"""),377.9389583)</f>
        <v>377.9389583</v>
      </c>
    </row>
    <row r="2125">
      <c r="A2125" s="3">
        <f>IFERROR(__xludf.DUMMYFUNCTION("""COMPUTED_VALUE"""),42491.99861111111)</f>
        <v>42491.99861</v>
      </c>
      <c r="B2125" s="1">
        <f>IFERROR(__xludf.DUMMYFUNCTION("""COMPUTED_VALUE"""),378.2031589)</f>
        <v>378.2031589</v>
      </c>
    </row>
    <row r="2126">
      <c r="A2126" s="3">
        <f>IFERROR(__xludf.DUMMYFUNCTION("""COMPUTED_VALUE"""),42492.99861111111)</f>
        <v>42492.99861</v>
      </c>
      <c r="B2126" s="1">
        <f>IFERROR(__xludf.DUMMYFUNCTION("""COMPUTED_VALUE"""),375.3027)</f>
        <v>375.3027</v>
      </c>
    </row>
    <row r="2127">
      <c r="A2127" s="3">
        <f>IFERROR(__xludf.DUMMYFUNCTION("""COMPUTED_VALUE"""),42493.99861111111)</f>
        <v>42493.99861</v>
      </c>
      <c r="B2127" s="1">
        <f>IFERROR(__xludf.DUMMYFUNCTION("""COMPUTED_VALUE"""),376.2999)</f>
        <v>376.2999</v>
      </c>
    </row>
    <row r="2128">
      <c r="A2128" s="3">
        <f>IFERROR(__xludf.DUMMYFUNCTION("""COMPUTED_VALUE"""),42494.99861111111)</f>
        <v>42494.99861</v>
      </c>
      <c r="B2128" s="1">
        <f>IFERROR(__xludf.DUMMYFUNCTION("""COMPUTED_VALUE"""),379.8075)</f>
        <v>379.8075</v>
      </c>
    </row>
    <row r="2129">
      <c r="A2129" s="3">
        <f>IFERROR(__xludf.DUMMYFUNCTION("""COMPUTED_VALUE"""),42495.99861111111)</f>
        <v>42495.99861</v>
      </c>
      <c r="B2129" s="1">
        <f>IFERROR(__xludf.DUMMYFUNCTION("""COMPUTED_VALUE"""),379.39835)</f>
        <v>379.39835</v>
      </c>
    </row>
    <row r="2130">
      <c r="A2130" s="3">
        <f>IFERROR(__xludf.DUMMYFUNCTION("""COMPUTED_VALUE"""),42496.99861111111)</f>
        <v>42496.99861</v>
      </c>
      <c r="B2130" s="1">
        <f>IFERROR(__xludf.DUMMYFUNCTION("""COMPUTED_VALUE"""),378.6695)</f>
        <v>378.6695</v>
      </c>
    </row>
    <row r="2131">
      <c r="A2131" s="3">
        <f>IFERROR(__xludf.DUMMYFUNCTION("""COMPUTED_VALUE"""),42497.99861111111)</f>
        <v>42497.99861</v>
      </c>
      <c r="B2131" s="1">
        <f>IFERROR(__xludf.DUMMYFUNCTION("""COMPUTED_VALUE"""),381.367129)</f>
        <v>381.367129</v>
      </c>
    </row>
    <row r="2132">
      <c r="A2132" s="3">
        <f>IFERROR(__xludf.DUMMYFUNCTION("""COMPUTED_VALUE"""),42498.99861111111)</f>
        <v>42498.99861</v>
      </c>
      <c r="B2132" s="1">
        <f>IFERROR(__xludf.DUMMYFUNCTION("""COMPUTED_VALUE"""),381.2330808)</f>
        <v>381.2330808</v>
      </c>
    </row>
    <row r="2133">
      <c r="A2133" s="3">
        <f>IFERROR(__xludf.DUMMYFUNCTION("""COMPUTED_VALUE"""),42499.99861111111)</f>
        <v>42499.99861</v>
      </c>
      <c r="B2133" s="1">
        <f>IFERROR(__xludf.DUMMYFUNCTION("""COMPUTED_VALUE"""),379.37172)</f>
        <v>379.37172</v>
      </c>
    </row>
    <row r="2134">
      <c r="A2134" s="3">
        <f>IFERROR(__xludf.DUMMYFUNCTION("""COMPUTED_VALUE"""),42500.99861111111)</f>
        <v>42500.99861</v>
      </c>
      <c r="B2134" s="1">
        <f>IFERROR(__xludf.DUMMYFUNCTION("""COMPUTED_VALUE"""),377.26426)</f>
        <v>377.26426</v>
      </c>
    </row>
    <row r="2135">
      <c r="A2135" s="3">
        <f>IFERROR(__xludf.DUMMYFUNCTION("""COMPUTED_VALUE"""),42501.99861111111)</f>
        <v>42501.99861</v>
      </c>
      <c r="B2135" s="1">
        <f>IFERROR(__xludf.DUMMYFUNCTION("""COMPUTED_VALUE"""),375.55245)</f>
        <v>375.55245</v>
      </c>
    </row>
    <row r="2136">
      <c r="A2136" s="3">
        <f>IFERROR(__xludf.DUMMYFUNCTION("""COMPUTED_VALUE"""),42502.99861111111)</f>
        <v>42502.99861</v>
      </c>
      <c r="B2136" s="1">
        <f>IFERROR(__xludf.DUMMYFUNCTION("""COMPUTED_VALUE"""),374.98395)</f>
        <v>374.98395</v>
      </c>
    </row>
    <row r="2137">
      <c r="A2137" s="3">
        <f>IFERROR(__xludf.DUMMYFUNCTION("""COMPUTED_VALUE"""),42503.99861111111)</f>
        <v>42503.99861</v>
      </c>
      <c r="B2137" s="1">
        <f>IFERROR(__xludf.DUMMYFUNCTION("""COMPUTED_VALUE"""),375.69576)</f>
        <v>375.69576</v>
      </c>
    </row>
    <row r="2138">
      <c r="A2138" s="3">
        <f>IFERROR(__xludf.DUMMYFUNCTION("""COMPUTED_VALUE"""),42504.99861111111)</f>
        <v>42504.99861</v>
      </c>
      <c r="B2138" s="1">
        <f>IFERROR(__xludf.DUMMYFUNCTION("""COMPUTED_VALUE"""),375.7332394)</f>
        <v>375.7332394</v>
      </c>
    </row>
    <row r="2139">
      <c r="A2139" s="3">
        <f>IFERROR(__xludf.DUMMYFUNCTION("""COMPUTED_VALUE"""),42505.99861111111)</f>
        <v>42505.99861</v>
      </c>
      <c r="B2139" s="1">
        <f>IFERROR(__xludf.DUMMYFUNCTION("""COMPUTED_VALUE"""),375.499074)</f>
        <v>375.499074</v>
      </c>
    </row>
    <row r="2140">
      <c r="A2140" s="3">
        <f>IFERROR(__xludf.DUMMYFUNCTION("""COMPUTED_VALUE"""),42506.99861111111)</f>
        <v>42506.99861</v>
      </c>
      <c r="B2140" s="1">
        <f>IFERROR(__xludf.DUMMYFUNCTION("""COMPUTED_VALUE"""),376.1568)</f>
        <v>376.1568</v>
      </c>
    </row>
    <row r="2141">
      <c r="A2141" s="3">
        <f>IFERROR(__xludf.DUMMYFUNCTION("""COMPUTED_VALUE"""),42507.99861111111)</f>
        <v>42507.99861</v>
      </c>
      <c r="B2141" s="1">
        <f>IFERROR(__xludf.DUMMYFUNCTION("""COMPUTED_VALUE"""),374.63534)</f>
        <v>374.63534</v>
      </c>
    </row>
    <row r="2142">
      <c r="A2142" s="3">
        <f>IFERROR(__xludf.DUMMYFUNCTION("""COMPUTED_VALUE"""),42508.99861111111)</f>
        <v>42508.99861</v>
      </c>
      <c r="B2142" s="1">
        <f>IFERROR(__xludf.DUMMYFUNCTION("""COMPUTED_VALUE"""),375.9113)</f>
        <v>375.9113</v>
      </c>
    </row>
    <row r="2143">
      <c r="A2143" s="3">
        <f>IFERROR(__xludf.DUMMYFUNCTION("""COMPUTED_VALUE"""),42509.99861111111)</f>
        <v>42509.99861</v>
      </c>
      <c r="B2143" s="1">
        <f>IFERROR(__xludf.DUMMYFUNCTION("""COMPUTED_VALUE"""),380.66)</f>
        <v>380.66</v>
      </c>
    </row>
    <row r="2144">
      <c r="A2144" s="3">
        <f>IFERROR(__xludf.DUMMYFUNCTION("""COMPUTED_VALUE"""),42510.99861111111)</f>
        <v>42510.99861</v>
      </c>
      <c r="B2144" s="1">
        <f>IFERROR(__xludf.DUMMYFUNCTION("""COMPUTED_VALUE"""),380.80395)</f>
        <v>380.80395</v>
      </c>
    </row>
    <row r="2145">
      <c r="A2145" s="3">
        <f>IFERROR(__xludf.DUMMYFUNCTION("""COMPUTED_VALUE"""),42511.99861111111)</f>
        <v>42511.99861</v>
      </c>
      <c r="B2145" s="1">
        <f>IFERROR(__xludf.DUMMYFUNCTION("""COMPUTED_VALUE"""),381.3349203)</f>
        <v>381.3349203</v>
      </c>
    </row>
    <row r="2146">
      <c r="A2146" s="3">
        <f>IFERROR(__xludf.DUMMYFUNCTION("""COMPUTED_VALUE"""),42512.99861111111)</f>
        <v>42512.99861</v>
      </c>
      <c r="B2146" s="1">
        <f>IFERROR(__xludf.DUMMYFUNCTION("""COMPUTED_VALUE"""),381.3349203)</f>
        <v>381.3349203</v>
      </c>
    </row>
    <row r="2147">
      <c r="A2147" s="3">
        <f>IFERROR(__xludf.DUMMYFUNCTION("""COMPUTED_VALUE"""),42513.99861111111)</f>
        <v>42513.99861</v>
      </c>
      <c r="B2147" s="1">
        <f>IFERROR(__xludf.DUMMYFUNCTION("""COMPUTED_VALUE"""),379.2554)</f>
        <v>379.2554</v>
      </c>
    </row>
    <row r="2148">
      <c r="A2148" s="3">
        <f>IFERROR(__xludf.DUMMYFUNCTION("""COMPUTED_VALUE"""),42514.99861111111)</f>
        <v>42514.99861</v>
      </c>
      <c r="B2148" s="1">
        <f>IFERROR(__xludf.DUMMYFUNCTION("""COMPUTED_VALUE"""),379.2815)</f>
        <v>379.2815</v>
      </c>
    </row>
    <row r="2149">
      <c r="A2149" s="3">
        <f>IFERROR(__xludf.DUMMYFUNCTION("""COMPUTED_VALUE"""),42515.99861111111)</f>
        <v>42515.99861</v>
      </c>
      <c r="B2149" s="1">
        <f>IFERROR(__xludf.DUMMYFUNCTION("""COMPUTED_VALUE"""),381.43224)</f>
        <v>381.43224</v>
      </c>
    </row>
    <row r="2150">
      <c r="A2150" s="3">
        <f>IFERROR(__xludf.DUMMYFUNCTION("""COMPUTED_VALUE"""),42516.99861111111)</f>
        <v>42516.99861</v>
      </c>
      <c r="B2150" s="1">
        <f>IFERROR(__xludf.DUMMYFUNCTION("""COMPUTED_VALUE"""),380.45592)</f>
        <v>380.45592</v>
      </c>
    </row>
    <row r="2151">
      <c r="A2151" s="3">
        <f>IFERROR(__xludf.DUMMYFUNCTION("""COMPUTED_VALUE"""),42517.99861111111)</f>
        <v>42517.99861</v>
      </c>
      <c r="B2151" s="1">
        <f>IFERROR(__xludf.DUMMYFUNCTION("""COMPUTED_VALUE"""),379.1376)</f>
        <v>379.1376</v>
      </c>
    </row>
    <row r="2152">
      <c r="A2152" s="3">
        <f>IFERROR(__xludf.DUMMYFUNCTION("""COMPUTED_VALUE"""),42518.99861111111)</f>
        <v>42518.99861</v>
      </c>
      <c r="B2152" s="1">
        <f>IFERROR(__xludf.DUMMYFUNCTION("""COMPUTED_VALUE"""),384.0658296)</f>
        <v>384.0658296</v>
      </c>
    </row>
    <row r="2153">
      <c r="A2153" s="3">
        <f>IFERROR(__xludf.DUMMYFUNCTION("""COMPUTED_VALUE"""),42519.99861111111)</f>
        <v>42519.99861</v>
      </c>
      <c r="B2153" s="1">
        <f>IFERROR(__xludf.DUMMYFUNCTION("""COMPUTED_VALUE"""),383.928467)</f>
        <v>383.928467</v>
      </c>
    </row>
    <row r="2154">
      <c r="A2154" s="3">
        <f>IFERROR(__xludf.DUMMYFUNCTION("""COMPUTED_VALUE"""),42520.99861111111)</f>
        <v>42520.99861</v>
      </c>
      <c r="B2154" s="1">
        <f>IFERROR(__xludf.DUMMYFUNCTION("""COMPUTED_VALUE"""),381.12276)</f>
        <v>381.12276</v>
      </c>
    </row>
    <row r="2155">
      <c r="A2155" s="3">
        <f>IFERROR(__xludf.DUMMYFUNCTION("""COMPUTED_VALUE"""),42521.99861111111)</f>
        <v>42521.99861</v>
      </c>
      <c r="B2155" s="1">
        <f>IFERROR(__xludf.DUMMYFUNCTION("""COMPUTED_VALUE"""),381.59471)</f>
        <v>381.59471</v>
      </c>
    </row>
    <row r="2156">
      <c r="A2156" s="3">
        <f>IFERROR(__xludf.DUMMYFUNCTION("""COMPUTED_VALUE"""),42522.99861111111)</f>
        <v>42522.99861</v>
      </c>
      <c r="B2156" s="1">
        <f>IFERROR(__xludf.DUMMYFUNCTION("""COMPUTED_VALUE"""),381.2161)</f>
        <v>381.2161</v>
      </c>
    </row>
    <row r="2157">
      <c r="A2157" s="3">
        <f>IFERROR(__xludf.DUMMYFUNCTION("""COMPUTED_VALUE"""),42523.99861111111)</f>
        <v>42523.99861</v>
      </c>
      <c r="B2157" s="1">
        <f>IFERROR(__xludf.DUMMYFUNCTION("""COMPUTED_VALUE"""),381.7605)</f>
        <v>381.7605</v>
      </c>
    </row>
    <row r="2158">
      <c r="A2158" s="3">
        <f>IFERROR(__xludf.DUMMYFUNCTION("""COMPUTED_VALUE"""),42524.99861111111)</f>
        <v>42524.99861</v>
      </c>
      <c r="B2158" s="1">
        <f>IFERROR(__xludf.DUMMYFUNCTION("""COMPUTED_VALUE"""),378.79014)</f>
        <v>378.79014</v>
      </c>
    </row>
    <row r="2159">
      <c r="A2159" s="3">
        <f>IFERROR(__xludf.DUMMYFUNCTION("""COMPUTED_VALUE"""),42525.99861111111)</f>
        <v>42525.99861</v>
      </c>
      <c r="B2159" s="1">
        <f>IFERROR(__xludf.DUMMYFUNCTION("""COMPUTED_VALUE"""),379.9461585)</f>
        <v>379.9461585</v>
      </c>
    </row>
    <row r="2160">
      <c r="A2160" s="3">
        <f>IFERROR(__xludf.DUMMYFUNCTION("""COMPUTED_VALUE"""),42526.99861111111)</f>
        <v>42526.99861</v>
      </c>
      <c r="B2160" s="1">
        <f>IFERROR(__xludf.DUMMYFUNCTION("""COMPUTED_VALUE"""),379.9188852)</f>
        <v>379.9188852</v>
      </c>
    </row>
    <row r="2161">
      <c r="A2161" s="3">
        <f>IFERROR(__xludf.DUMMYFUNCTION("""COMPUTED_VALUE"""),42527.99861111111)</f>
        <v>42527.99861</v>
      </c>
      <c r="B2161" s="1">
        <f>IFERROR(__xludf.DUMMYFUNCTION("""COMPUTED_VALUE"""),377.85357)</f>
        <v>377.85357</v>
      </c>
    </row>
    <row r="2162">
      <c r="A2162" s="3">
        <f>IFERROR(__xludf.DUMMYFUNCTION("""COMPUTED_VALUE"""),42528.99861111111)</f>
        <v>42528.99861</v>
      </c>
      <c r="B2162" s="1">
        <f>IFERROR(__xludf.DUMMYFUNCTION("""COMPUTED_VALUE"""),375.38226)</f>
        <v>375.38226</v>
      </c>
    </row>
    <row r="2163">
      <c r="A2163" s="3">
        <f>IFERROR(__xludf.DUMMYFUNCTION("""COMPUTED_VALUE"""),42529.99861111111)</f>
        <v>42529.99861</v>
      </c>
      <c r="B2163" s="1">
        <f>IFERROR(__xludf.DUMMYFUNCTION("""COMPUTED_VALUE"""),375.8143)</f>
        <v>375.8143</v>
      </c>
    </row>
    <row r="2164">
      <c r="A2164" s="3">
        <f>IFERROR(__xludf.DUMMYFUNCTION("""COMPUTED_VALUE"""),42530.99861111111)</f>
        <v>42530.99861</v>
      </c>
      <c r="B2164" s="1">
        <f>IFERROR(__xludf.DUMMYFUNCTION("""COMPUTED_VALUE"""),376.565)</f>
        <v>376.565</v>
      </c>
    </row>
    <row r="2165">
      <c r="A2165" s="3">
        <f>IFERROR(__xludf.DUMMYFUNCTION("""COMPUTED_VALUE"""),42531.99861111111)</f>
        <v>42531.99861</v>
      </c>
      <c r="B2165" s="1">
        <f>IFERROR(__xludf.DUMMYFUNCTION("""COMPUTED_VALUE"""),377.52558)</f>
        <v>377.52558</v>
      </c>
    </row>
    <row r="2166">
      <c r="A2166" s="3">
        <f>IFERROR(__xludf.DUMMYFUNCTION("""COMPUTED_VALUE"""),42532.99861111111)</f>
        <v>42532.99861</v>
      </c>
      <c r="B2166" s="1">
        <f>IFERROR(__xludf.DUMMYFUNCTION("""COMPUTED_VALUE"""),378.2375129)</f>
        <v>378.2375129</v>
      </c>
    </row>
    <row r="2167">
      <c r="A2167" s="3">
        <f>IFERROR(__xludf.DUMMYFUNCTION("""COMPUTED_VALUE"""),42533.99861111111)</f>
        <v>42533.99861</v>
      </c>
      <c r="B2167" s="1">
        <f>IFERROR(__xludf.DUMMYFUNCTION("""COMPUTED_VALUE"""),378.342134)</f>
        <v>378.342134</v>
      </c>
    </row>
    <row r="2168">
      <c r="A2168" s="3">
        <f>IFERROR(__xludf.DUMMYFUNCTION("""COMPUTED_VALUE"""),42534.99861111111)</f>
        <v>42534.99861</v>
      </c>
      <c r="B2168" s="1">
        <f>IFERROR(__xludf.DUMMYFUNCTION("""COMPUTED_VALUE"""),378.44961)</f>
        <v>378.44961</v>
      </c>
    </row>
    <row r="2169">
      <c r="A2169" s="3">
        <f>IFERROR(__xludf.DUMMYFUNCTION("""COMPUTED_VALUE"""),42535.99861111111)</f>
        <v>42535.99861</v>
      </c>
      <c r="B2169" s="1">
        <f>IFERROR(__xludf.DUMMYFUNCTION("""COMPUTED_VALUE"""),377.538)</f>
        <v>377.538</v>
      </c>
    </row>
    <row r="2170">
      <c r="A2170" s="3">
        <f>IFERROR(__xludf.DUMMYFUNCTION("""COMPUTED_VALUE"""),42536.99861111111)</f>
        <v>42536.99861</v>
      </c>
      <c r="B2170" s="1">
        <f>IFERROR(__xludf.DUMMYFUNCTION("""COMPUTED_VALUE"""),377.8884)</f>
        <v>377.8884</v>
      </c>
    </row>
    <row r="2171">
      <c r="A2171" s="3">
        <f>IFERROR(__xludf.DUMMYFUNCTION("""COMPUTED_VALUE"""),42537.99861111111)</f>
        <v>42537.99861</v>
      </c>
      <c r="B2171" s="1">
        <f>IFERROR(__xludf.DUMMYFUNCTION("""COMPUTED_VALUE"""),379.4931)</f>
        <v>379.4931</v>
      </c>
    </row>
    <row r="2172">
      <c r="A2172" s="3">
        <f>IFERROR(__xludf.DUMMYFUNCTION("""COMPUTED_VALUE"""),42538.99861111111)</f>
        <v>42538.99861</v>
      </c>
      <c r="B2172" s="1">
        <f>IFERROR(__xludf.DUMMYFUNCTION("""COMPUTED_VALUE"""),378.09552)</f>
        <v>378.09552</v>
      </c>
    </row>
    <row r="2173">
      <c r="A2173" s="3">
        <f>IFERROR(__xludf.DUMMYFUNCTION("""COMPUTED_VALUE"""),42539.99861111111)</f>
        <v>42539.99861</v>
      </c>
      <c r="B2173" s="1">
        <f>IFERROR(__xludf.DUMMYFUNCTION("""COMPUTED_VALUE"""),378.1332388)</f>
        <v>378.1332388</v>
      </c>
    </row>
    <row r="2174">
      <c r="A2174" s="3">
        <f>IFERROR(__xludf.DUMMYFUNCTION("""COMPUTED_VALUE"""),42540.99861111111)</f>
        <v>42540.99861</v>
      </c>
      <c r="B2174" s="1">
        <f>IFERROR(__xludf.DUMMYFUNCTION("""COMPUTED_VALUE"""),373.4665733)</f>
        <v>373.4665733</v>
      </c>
    </row>
    <row r="2175">
      <c r="A2175" s="3">
        <f>IFERROR(__xludf.DUMMYFUNCTION("""COMPUTED_VALUE"""),42541.99861111111)</f>
        <v>42541.99861</v>
      </c>
      <c r="B2175" s="1">
        <f>IFERROR(__xludf.DUMMYFUNCTION("""COMPUTED_VALUE"""),376.3)</f>
        <v>376.3</v>
      </c>
    </row>
    <row r="2176">
      <c r="A2176" s="3">
        <f>IFERROR(__xludf.DUMMYFUNCTION("""COMPUTED_VALUE"""),42542.99861111111)</f>
        <v>42542.99861</v>
      </c>
      <c r="B2176" s="1">
        <f>IFERROR(__xludf.DUMMYFUNCTION("""COMPUTED_VALUE"""),375.9118)</f>
        <v>375.9118</v>
      </c>
    </row>
    <row r="2177">
      <c r="A2177" s="3">
        <f>IFERROR(__xludf.DUMMYFUNCTION("""COMPUTED_VALUE"""),42543.99861111111)</f>
        <v>42543.99861</v>
      </c>
      <c r="B2177" s="1">
        <f>IFERROR(__xludf.DUMMYFUNCTION("""COMPUTED_VALUE"""),374.4741)</f>
        <v>374.4741</v>
      </c>
    </row>
    <row r="2178">
      <c r="A2178" s="3">
        <f>IFERROR(__xludf.DUMMYFUNCTION("""COMPUTED_VALUE"""),42544.99861111111)</f>
        <v>42544.99861</v>
      </c>
      <c r="B2178" s="1">
        <f>IFERROR(__xludf.DUMMYFUNCTION("""COMPUTED_VALUE"""),376.035)</f>
        <v>376.035</v>
      </c>
    </row>
    <row r="2179">
      <c r="A2179" s="3">
        <f>IFERROR(__xludf.DUMMYFUNCTION("""COMPUTED_VALUE"""),42545.99861111111)</f>
        <v>42545.99861</v>
      </c>
      <c r="B2179" s="1">
        <f>IFERROR(__xludf.DUMMYFUNCTION("""COMPUTED_VALUE"""),378.5125)</f>
        <v>378.5125</v>
      </c>
    </row>
    <row r="2180">
      <c r="A2180" s="3">
        <f>IFERROR(__xludf.DUMMYFUNCTION("""COMPUTED_VALUE"""),42546.99861111111)</f>
        <v>42546.99861</v>
      </c>
      <c r="B2180" s="1">
        <f>IFERROR(__xludf.DUMMYFUNCTION("""COMPUTED_VALUE"""),381.401364)</f>
        <v>381.401364</v>
      </c>
    </row>
    <row r="2181">
      <c r="A2181" s="3">
        <f>IFERROR(__xludf.DUMMYFUNCTION("""COMPUTED_VALUE"""),42547.99861111111)</f>
        <v>42547.99861</v>
      </c>
      <c r="B2181" s="1">
        <f>IFERROR(__xludf.DUMMYFUNCTION("""COMPUTED_VALUE"""),381.9047008)</f>
        <v>381.9047008</v>
      </c>
    </row>
    <row r="2182">
      <c r="A2182" s="3">
        <f>IFERROR(__xludf.DUMMYFUNCTION("""COMPUTED_VALUE"""),42548.99861111111)</f>
        <v>42548.99861</v>
      </c>
      <c r="B2182" s="1">
        <f>IFERROR(__xludf.DUMMYFUNCTION("""COMPUTED_VALUE"""),378.66165)</f>
        <v>378.66165</v>
      </c>
    </row>
    <row r="2183">
      <c r="A2183" s="3">
        <f>IFERROR(__xludf.DUMMYFUNCTION("""COMPUTED_VALUE"""),42549.99861111111)</f>
        <v>42549.99861</v>
      </c>
      <c r="B2183" s="1">
        <f>IFERROR(__xludf.DUMMYFUNCTION("""COMPUTED_VALUE"""),373.086)</f>
        <v>373.086</v>
      </c>
    </row>
    <row r="2184">
      <c r="A2184" s="3">
        <f>IFERROR(__xludf.DUMMYFUNCTION("""COMPUTED_VALUE"""),42550.99861111111)</f>
        <v>42550.99861</v>
      </c>
      <c r="B2184" s="1">
        <f>IFERROR(__xludf.DUMMYFUNCTION("""COMPUTED_VALUE"""),373.80455)</f>
        <v>373.80455</v>
      </c>
    </row>
    <row r="2185">
      <c r="A2185" s="3">
        <f>IFERROR(__xludf.DUMMYFUNCTION("""COMPUTED_VALUE"""),42551.99861111111)</f>
        <v>42551.99861</v>
      </c>
      <c r="B2185" s="1">
        <f>IFERROR(__xludf.DUMMYFUNCTION("""COMPUTED_VALUE"""),374.49034)</f>
        <v>374.49034</v>
      </c>
    </row>
    <row r="2186">
      <c r="A2186" s="3">
        <f>IFERROR(__xludf.DUMMYFUNCTION("""COMPUTED_VALUE"""),42552.99861111111)</f>
        <v>42552.99861</v>
      </c>
      <c r="B2186" s="1">
        <f>IFERROR(__xludf.DUMMYFUNCTION("""COMPUTED_VALUE"""),373.38405)</f>
        <v>373.38405</v>
      </c>
    </row>
    <row r="2187">
      <c r="A2187" s="3">
        <f>IFERROR(__xludf.DUMMYFUNCTION("""COMPUTED_VALUE"""),42553.99861111111)</f>
        <v>42553.99861</v>
      </c>
      <c r="B2187" s="1">
        <f>IFERROR(__xludf.DUMMYFUNCTION("""COMPUTED_VALUE"""),367.3225665)</f>
        <v>367.3225665</v>
      </c>
    </row>
    <row r="2188">
      <c r="A2188" s="3">
        <f>IFERROR(__xludf.DUMMYFUNCTION("""COMPUTED_VALUE"""),42554.99861111111)</f>
        <v>42554.99861</v>
      </c>
      <c r="B2188" s="1">
        <f>IFERROR(__xludf.DUMMYFUNCTION("""COMPUTED_VALUE"""),367.191333)</f>
        <v>367.191333</v>
      </c>
    </row>
    <row r="2189">
      <c r="A2189" s="3">
        <f>IFERROR(__xludf.DUMMYFUNCTION("""COMPUTED_VALUE"""),42555.99861111111)</f>
        <v>42555.99861</v>
      </c>
      <c r="B2189" s="1">
        <f>IFERROR(__xludf.DUMMYFUNCTION("""COMPUTED_VALUE"""),372.0794)</f>
        <v>372.0794</v>
      </c>
    </row>
    <row r="2190">
      <c r="A2190" s="3">
        <f>IFERROR(__xludf.DUMMYFUNCTION("""COMPUTED_VALUE"""),42556.99861111111)</f>
        <v>42556.99861</v>
      </c>
      <c r="B2190" s="1">
        <f>IFERROR(__xludf.DUMMYFUNCTION("""COMPUTED_VALUE"""),373.744)</f>
        <v>373.744</v>
      </c>
    </row>
    <row r="2191">
      <c r="A2191" s="3">
        <f>IFERROR(__xludf.DUMMYFUNCTION("""COMPUTED_VALUE"""),42557.99861111111)</f>
        <v>42557.99861</v>
      </c>
      <c r="B2191" s="1">
        <f>IFERROR(__xludf.DUMMYFUNCTION("""COMPUTED_VALUE"""),374.82444)</f>
        <v>374.82444</v>
      </c>
    </row>
    <row r="2192">
      <c r="A2192" s="3">
        <f>IFERROR(__xludf.DUMMYFUNCTION("""COMPUTED_VALUE"""),42558.99861111111)</f>
        <v>42558.99861</v>
      </c>
      <c r="B2192" s="1">
        <f>IFERROR(__xludf.DUMMYFUNCTION("""COMPUTED_VALUE"""),371.647)</f>
        <v>371.647</v>
      </c>
    </row>
    <row r="2193">
      <c r="A2193" s="3">
        <f>IFERROR(__xludf.DUMMYFUNCTION("""COMPUTED_VALUE"""),42559.99861111111)</f>
        <v>42559.99861</v>
      </c>
      <c r="B2193" s="1">
        <f>IFERROR(__xludf.DUMMYFUNCTION("""COMPUTED_VALUE"""),372.182)</f>
        <v>372.182</v>
      </c>
    </row>
    <row r="2194">
      <c r="A2194" s="3">
        <f>IFERROR(__xludf.DUMMYFUNCTION("""COMPUTED_VALUE"""),42560.99861111111)</f>
        <v>42560.99861</v>
      </c>
      <c r="B2194" s="1">
        <f>IFERROR(__xludf.DUMMYFUNCTION("""COMPUTED_VALUE"""),373.19304)</f>
        <v>373.19304</v>
      </c>
    </row>
    <row r="2195">
      <c r="A2195" s="3">
        <f>IFERROR(__xludf.DUMMYFUNCTION("""COMPUTED_VALUE"""),42561.99861111111)</f>
        <v>42561.99861</v>
      </c>
      <c r="B2195" s="1">
        <f>IFERROR(__xludf.DUMMYFUNCTION("""COMPUTED_VALUE"""),372.930228)</f>
        <v>372.930228</v>
      </c>
    </row>
    <row r="2196">
      <c r="A2196" s="3">
        <f>IFERROR(__xludf.DUMMYFUNCTION("""COMPUTED_VALUE"""),42562.99861111111)</f>
        <v>42562.99861</v>
      </c>
      <c r="B2196" s="1">
        <f>IFERROR(__xludf.DUMMYFUNCTION("""COMPUTED_VALUE"""),373.1328)</f>
        <v>373.1328</v>
      </c>
    </row>
    <row r="2197">
      <c r="A2197" s="3">
        <f>IFERROR(__xludf.DUMMYFUNCTION("""COMPUTED_VALUE"""),42563.99861111111)</f>
        <v>42563.99861</v>
      </c>
      <c r="B2197" s="1">
        <f>IFERROR(__xludf.DUMMYFUNCTION("""COMPUTED_VALUE"""),371.19925)</f>
        <v>371.19925</v>
      </c>
    </row>
    <row r="2198">
      <c r="A2198" s="3">
        <f>IFERROR(__xludf.DUMMYFUNCTION("""COMPUTED_VALUE"""),42564.99861111111)</f>
        <v>42564.99861</v>
      </c>
      <c r="B2198" s="1">
        <f>IFERROR(__xludf.DUMMYFUNCTION("""COMPUTED_VALUE"""),369.49585)</f>
        <v>369.49585</v>
      </c>
    </row>
    <row r="2199">
      <c r="A2199" s="3">
        <f>IFERROR(__xludf.DUMMYFUNCTION("""COMPUTED_VALUE"""),42565.99861111111)</f>
        <v>42565.99861</v>
      </c>
      <c r="B2199" s="1">
        <f>IFERROR(__xludf.DUMMYFUNCTION("""COMPUTED_VALUE"""),371.07)</f>
        <v>371.07</v>
      </c>
    </row>
    <row r="2200">
      <c r="A2200" s="3">
        <f>IFERROR(__xludf.DUMMYFUNCTION("""COMPUTED_VALUE"""),42566.99861111111)</f>
        <v>42566.99861</v>
      </c>
      <c r="B2200" s="1">
        <f>IFERROR(__xludf.DUMMYFUNCTION("""COMPUTED_VALUE"""),373.44258)</f>
        <v>373.44258</v>
      </c>
    </row>
    <row r="2201">
      <c r="A2201" s="3">
        <f>IFERROR(__xludf.DUMMYFUNCTION("""COMPUTED_VALUE"""),42567.99861111111)</f>
        <v>42567.99861</v>
      </c>
      <c r="B2201" s="1">
        <f>IFERROR(__xludf.DUMMYFUNCTION("""COMPUTED_VALUE"""),376.1840751)</f>
        <v>376.1840751</v>
      </c>
    </row>
    <row r="2202">
      <c r="A2202" s="3">
        <f>IFERROR(__xludf.DUMMYFUNCTION("""COMPUTED_VALUE"""),42568.99861111111)</f>
        <v>42568.99861</v>
      </c>
      <c r="B2202" s="1">
        <f>IFERROR(__xludf.DUMMYFUNCTION("""COMPUTED_VALUE"""),376.8419696)</f>
        <v>376.8419696</v>
      </c>
    </row>
    <row r="2203">
      <c r="A2203" s="3">
        <f>IFERROR(__xludf.DUMMYFUNCTION("""COMPUTED_VALUE"""),42569.99861111111)</f>
        <v>42569.99861</v>
      </c>
      <c r="B2203" s="1">
        <f>IFERROR(__xludf.DUMMYFUNCTION("""COMPUTED_VALUE"""),373.90002)</f>
        <v>373.90002</v>
      </c>
    </row>
    <row r="2204">
      <c r="A2204" s="3">
        <f>IFERROR(__xludf.DUMMYFUNCTION("""COMPUTED_VALUE"""),42570.99861111111)</f>
        <v>42570.99861</v>
      </c>
      <c r="B2204" s="1">
        <f>IFERROR(__xludf.DUMMYFUNCTION("""COMPUTED_VALUE"""),373.41236)</f>
        <v>373.41236</v>
      </c>
    </row>
    <row r="2205">
      <c r="A2205" s="3">
        <f>IFERROR(__xludf.DUMMYFUNCTION("""COMPUTED_VALUE"""),42571.99861111111)</f>
        <v>42571.99861</v>
      </c>
      <c r="B2205" s="1">
        <f>IFERROR(__xludf.DUMMYFUNCTION("""COMPUTED_VALUE"""),373.62355)</f>
        <v>373.62355</v>
      </c>
    </row>
    <row r="2206">
      <c r="A2206" s="3">
        <f>IFERROR(__xludf.DUMMYFUNCTION("""COMPUTED_VALUE"""),42572.99861111111)</f>
        <v>42572.99861</v>
      </c>
      <c r="B2206" s="1">
        <f>IFERROR(__xludf.DUMMYFUNCTION("""COMPUTED_VALUE"""),374.71238)</f>
        <v>374.71238</v>
      </c>
    </row>
    <row r="2207">
      <c r="A2207" s="3">
        <f>IFERROR(__xludf.DUMMYFUNCTION("""COMPUTED_VALUE"""),42573.99861111111)</f>
        <v>42573.99861</v>
      </c>
      <c r="B2207" s="1">
        <f>IFERROR(__xludf.DUMMYFUNCTION("""COMPUTED_VALUE"""),374.63841)</f>
        <v>374.63841</v>
      </c>
    </row>
    <row r="2208">
      <c r="A2208" s="3">
        <f>IFERROR(__xludf.DUMMYFUNCTION("""COMPUTED_VALUE"""),42574.99861111111)</f>
        <v>42574.99861</v>
      </c>
      <c r="B2208" s="1">
        <f>IFERROR(__xludf.DUMMYFUNCTION("""COMPUTED_VALUE"""),374.9341095)</f>
        <v>374.9341095</v>
      </c>
    </row>
    <row r="2209">
      <c r="A2209" s="3">
        <f>IFERROR(__xludf.DUMMYFUNCTION("""COMPUTED_VALUE"""),42575.99861111111)</f>
        <v>42575.99861</v>
      </c>
      <c r="B2209" s="1">
        <f>IFERROR(__xludf.DUMMYFUNCTION("""COMPUTED_VALUE"""),374.802876)</f>
        <v>374.802876</v>
      </c>
    </row>
    <row r="2210">
      <c r="A2210" s="3">
        <f>IFERROR(__xludf.DUMMYFUNCTION("""COMPUTED_VALUE"""),42576.99861111111)</f>
        <v>42576.99861</v>
      </c>
      <c r="B2210" s="1">
        <f>IFERROR(__xludf.DUMMYFUNCTION("""COMPUTED_VALUE"""),373.4694)</f>
        <v>373.4694</v>
      </c>
    </row>
    <row r="2211">
      <c r="A2211" s="3">
        <f>IFERROR(__xludf.DUMMYFUNCTION("""COMPUTED_VALUE"""),42577.99861111111)</f>
        <v>42577.99861</v>
      </c>
      <c r="B2211" s="1">
        <f>IFERROR(__xludf.DUMMYFUNCTION("""COMPUTED_VALUE"""),376.03834)</f>
        <v>376.03834</v>
      </c>
    </row>
    <row r="2212">
      <c r="A2212" s="3">
        <f>IFERROR(__xludf.DUMMYFUNCTION("""COMPUTED_VALUE"""),42578.99861111111)</f>
        <v>42578.99861</v>
      </c>
      <c r="B2212" s="1">
        <f>IFERROR(__xludf.DUMMYFUNCTION("""COMPUTED_VALUE"""),374.99574)</f>
        <v>374.99574</v>
      </c>
    </row>
    <row r="2213">
      <c r="A2213" s="3">
        <f>IFERROR(__xludf.DUMMYFUNCTION("""COMPUTED_VALUE"""),42579.99861111111)</f>
        <v>42579.99861</v>
      </c>
      <c r="B2213" s="1">
        <f>IFERROR(__xludf.DUMMYFUNCTION("""COMPUTED_VALUE"""),374.37286)</f>
        <v>374.37286</v>
      </c>
    </row>
    <row r="2214">
      <c r="A2214" s="3">
        <f>IFERROR(__xludf.DUMMYFUNCTION("""COMPUTED_VALUE"""),42580.99861111111)</f>
        <v>42580.99861</v>
      </c>
      <c r="B2214" s="1">
        <f>IFERROR(__xludf.DUMMYFUNCTION("""COMPUTED_VALUE"""),373.9344)</f>
        <v>373.9344</v>
      </c>
    </row>
    <row r="2215">
      <c r="A2215" s="3">
        <f>IFERROR(__xludf.DUMMYFUNCTION("""COMPUTED_VALUE"""),42581.99861111111)</f>
        <v>42581.99861</v>
      </c>
      <c r="B2215" s="1">
        <f>IFERROR(__xludf.DUMMYFUNCTION("""COMPUTED_VALUE"""),376.902612)</f>
        <v>376.902612</v>
      </c>
    </row>
    <row r="2216">
      <c r="A2216" s="3">
        <f>IFERROR(__xludf.DUMMYFUNCTION("""COMPUTED_VALUE"""),42582.99861111111)</f>
        <v>42582.99861</v>
      </c>
      <c r="B2216" s="1">
        <f>IFERROR(__xludf.DUMMYFUNCTION("""COMPUTED_VALUE"""),376.640145)</f>
        <v>376.640145</v>
      </c>
    </row>
    <row r="2217">
      <c r="A2217" s="3">
        <f>IFERROR(__xludf.DUMMYFUNCTION("""COMPUTED_VALUE"""),42583.99861111111)</f>
        <v>42583.99861</v>
      </c>
      <c r="B2217" s="1">
        <f>IFERROR(__xludf.DUMMYFUNCTION("""COMPUTED_VALUE"""),373.9074)</f>
        <v>373.9074</v>
      </c>
    </row>
    <row r="2218">
      <c r="A2218" s="3">
        <f>IFERROR(__xludf.DUMMYFUNCTION("""COMPUTED_VALUE"""),42584.99861111111)</f>
        <v>42584.99861</v>
      </c>
      <c r="B2218" s="1">
        <f>IFERROR(__xludf.DUMMYFUNCTION("""COMPUTED_VALUE"""),376.13316)</f>
        <v>376.13316</v>
      </c>
    </row>
    <row r="2219">
      <c r="A2219" s="3">
        <f>IFERROR(__xludf.DUMMYFUNCTION("""COMPUTED_VALUE"""),42585.99861111111)</f>
        <v>42585.99861</v>
      </c>
      <c r="B2219" s="1">
        <f>IFERROR(__xludf.DUMMYFUNCTION("""COMPUTED_VALUE"""),375.0156)</f>
        <v>375.0156</v>
      </c>
    </row>
    <row r="2220">
      <c r="A2220" s="3">
        <f>IFERROR(__xludf.DUMMYFUNCTION("""COMPUTED_VALUE"""),42586.99861111111)</f>
        <v>42586.99861</v>
      </c>
      <c r="B2220" s="1">
        <f>IFERROR(__xludf.DUMMYFUNCTION("""COMPUTED_VALUE"""),375.26992)</f>
        <v>375.26992</v>
      </c>
    </row>
    <row r="2221">
      <c r="A2221" s="3">
        <f>IFERROR(__xludf.DUMMYFUNCTION("""COMPUTED_VALUE"""),42587.99861111111)</f>
        <v>42587.99861</v>
      </c>
      <c r="B2221" s="1">
        <f>IFERROR(__xludf.DUMMYFUNCTION("""COMPUTED_VALUE"""),373.71456)</f>
        <v>373.71456</v>
      </c>
    </row>
    <row r="2222">
      <c r="A2222" s="3">
        <f>IFERROR(__xludf.DUMMYFUNCTION("""COMPUTED_VALUE"""),42588.99861111111)</f>
        <v>42588.99861</v>
      </c>
      <c r="B2222" s="1">
        <f>IFERROR(__xludf.DUMMYFUNCTION("""COMPUTED_VALUE"""),374.244288)</f>
        <v>374.244288</v>
      </c>
    </row>
    <row r="2223">
      <c r="A2223" s="3">
        <f>IFERROR(__xludf.DUMMYFUNCTION("""COMPUTED_VALUE"""),42589.99861111111)</f>
        <v>42589.99861</v>
      </c>
      <c r="B2223" s="1">
        <f>IFERROR(__xludf.DUMMYFUNCTION("""COMPUTED_VALUE"""),374.375694)</f>
        <v>374.375694</v>
      </c>
    </row>
    <row r="2224">
      <c r="A2224" s="3">
        <f>IFERROR(__xludf.DUMMYFUNCTION("""COMPUTED_VALUE"""),42590.99861111111)</f>
        <v>42590.99861</v>
      </c>
      <c r="B2224" s="1">
        <f>IFERROR(__xludf.DUMMYFUNCTION("""COMPUTED_VALUE"""),374.5409)</f>
        <v>374.5409</v>
      </c>
    </row>
    <row r="2225">
      <c r="A2225" s="3">
        <f>IFERROR(__xludf.DUMMYFUNCTION("""COMPUTED_VALUE"""),42591.99861111111)</f>
        <v>42591.99861</v>
      </c>
      <c r="B2225" s="1">
        <f>IFERROR(__xludf.DUMMYFUNCTION("""COMPUTED_VALUE"""),375.47466)</f>
        <v>375.47466</v>
      </c>
    </row>
    <row r="2226">
      <c r="A2226" s="3">
        <f>IFERROR(__xludf.DUMMYFUNCTION("""COMPUTED_VALUE"""),42592.99861111111)</f>
        <v>42592.99861</v>
      </c>
      <c r="B2226" s="1">
        <f>IFERROR(__xludf.DUMMYFUNCTION("""COMPUTED_VALUE"""),376.26708)</f>
        <v>376.26708</v>
      </c>
    </row>
    <row r="2227">
      <c r="A2227" s="3">
        <f>IFERROR(__xludf.DUMMYFUNCTION("""COMPUTED_VALUE"""),42593.99861111111)</f>
        <v>42593.99861</v>
      </c>
      <c r="B2227" s="1">
        <f>IFERROR(__xludf.DUMMYFUNCTION("""COMPUTED_VALUE"""),376.82946)</f>
        <v>376.82946</v>
      </c>
    </row>
    <row r="2228">
      <c r="A2228" s="3">
        <f>IFERROR(__xludf.DUMMYFUNCTION("""COMPUTED_VALUE"""),42594.99861111111)</f>
        <v>42594.99861</v>
      </c>
      <c r="B2228" s="1">
        <f>IFERROR(__xludf.DUMMYFUNCTION("""COMPUTED_VALUE"""),376.81014)</f>
        <v>376.81014</v>
      </c>
    </row>
    <row r="2229">
      <c r="A2229" s="3">
        <f>IFERROR(__xludf.DUMMYFUNCTION("""COMPUTED_VALUE"""),42595.99861111111)</f>
        <v>42595.99861</v>
      </c>
      <c r="B2229" s="1">
        <f>IFERROR(__xludf.DUMMYFUNCTION("""COMPUTED_VALUE"""),377.165079)</f>
        <v>377.165079</v>
      </c>
    </row>
    <row r="2230">
      <c r="A2230" s="3">
        <f>IFERROR(__xludf.DUMMYFUNCTION("""COMPUTED_VALUE"""),42596.99861111111)</f>
        <v>42596.99861</v>
      </c>
      <c r="B2230" s="1">
        <f>IFERROR(__xludf.DUMMYFUNCTION("""COMPUTED_VALUE"""),376.66644)</f>
        <v>376.66644</v>
      </c>
    </row>
    <row r="2231">
      <c r="A2231" s="3">
        <f>IFERROR(__xludf.DUMMYFUNCTION("""COMPUTED_VALUE"""),42597.99861111111)</f>
        <v>42597.99861</v>
      </c>
      <c r="B2231" s="1">
        <f>IFERROR(__xludf.DUMMYFUNCTION("""COMPUTED_VALUE"""),377.36118)</f>
        <v>377.36118</v>
      </c>
    </row>
    <row r="2232">
      <c r="A2232" s="3">
        <f>IFERROR(__xludf.DUMMYFUNCTION("""COMPUTED_VALUE"""),42598.99861111111)</f>
        <v>42598.99861</v>
      </c>
      <c r="B2232" s="1">
        <f>IFERROR(__xludf.DUMMYFUNCTION("""COMPUTED_VALUE"""),378.51457)</f>
        <v>378.51457</v>
      </c>
    </row>
    <row r="2233">
      <c r="A2233" s="3">
        <f>IFERROR(__xludf.DUMMYFUNCTION("""COMPUTED_VALUE"""),42599.99861111111)</f>
        <v>42599.99861</v>
      </c>
      <c r="B2233" s="1">
        <f>IFERROR(__xludf.DUMMYFUNCTION("""COMPUTED_VALUE"""),379.0235)</f>
        <v>379.0235</v>
      </c>
    </row>
    <row r="2234">
      <c r="A2234" s="3">
        <f>IFERROR(__xludf.DUMMYFUNCTION("""COMPUTED_VALUE"""),42600.99861111111)</f>
        <v>42600.99861</v>
      </c>
      <c r="B2234" s="1">
        <f>IFERROR(__xludf.DUMMYFUNCTION("""COMPUTED_VALUE"""),379.24337)</f>
        <v>379.24337</v>
      </c>
    </row>
    <row r="2235">
      <c r="A2235" s="3">
        <f>IFERROR(__xludf.DUMMYFUNCTION("""COMPUTED_VALUE"""),42601.99861111111)</f>
        <v>42601.99861</v>
      </c>
      <c r="B2235" s="1">
        <f>IFERROR(__xludf.DUMMYFUNCTION("""COMPUTED_VALUE"""),378.9576)</f>
        <v>378.9576</v>
      </c>
    </row>
    <row r="2236">
      <c r="A2236" s="3">
        <f>IFERROR(__xludf.DUMMYFUNCTION("""COMPUTED_VALUE"""),42602.99861111111)</f>
        <v>42602.99861</v>
      </c>
      <c r="B2236" s="1">
        <f>IFERROR(__xludf.DUMMYFUNCTION("""COMPUTED_VALUE"""),379.9736332)</f>
        <v>379.9736332</v>
      </c>
    </row>
    <row r="2237">
      <c r="A2237" s="3">
        <f>IFERROR(__xludf.DUMMYFUNCTION("""COMPUTED_VALUE"""),42603.99861111111)</f>
        <v>42603.99861</v>
      </c>
      <c r="B2237" s="1">
        <f>IFERROR(__xludf.DUMMYFUNCTION("""COMPUTED_VALUE"""),380.21415)</f>
        <v>380.21415</v>
      </c>
    </row>
    <row r="2238">
      <c r="A2238" s="3">
        <f>IFERROR(__xludf.DUMMYFUNCTION("""COMPUTED_VALUE"""),42604.99861111111)</f>
        <v>42604.99861</v>
      </c>
      <c r="B2238" s="1">
        <f>IFERROR(__xludf.DUMMYFUNCTION("""COMPUTED_VALUE"""),381.07965)</f>
        <v>381.07965</v>
      </c>
    </row>
    <row r="2239">
      <c r="A2239" s="3">
        <f>IFERROR(__xludf.DUMMYFUNCTION("""COMPUTED_VALUE"""),42605.99861111111)</f>
        <v>42605.99861</v>
      </c>
      <c r="B2239" s="1">
        <f>IFERROR(__xludf.DUMMYFUNCTION("""COMPUTED_VALUE"""),381.93324)</f>
        <v>381.93324</v>
      </c>
    </row>
    <row r="2240">
      <c r="A2240" s="3">
        <f>IFERROR(__xludf.DUMMYFUNCTION("""COMPUTED_VALUE"""),42606.99861111111)</f>
        <v>42606.99861</v>
      </c>
      <c r="B2240" s="1">
        <f>IFERROR(__xludf.DUMMYFUNCTION("""COMPUTED_VALUE"""),382.62588)</f>
        <v>382.62588</v>
      </c>
    </row>
    <row r="2241">
      <c r="A2241" s="3">
        <f>IFERROR(__xludf.DUMMYFUNCTION("""COMPUTED_VALUE"""),42607.99861111111)</f>
        <v>42607.99861</v>
      </c>
      <c r="B2241" s="1">
        <f>IFERROR(__xludf.DUMMYFUNCTION("""COMPUTED_VALUE"""),383.33924)</f>
        <v>383.33924</v>
      </c>
    </row>
    <row r="2242">
      <c r="A2242" s="3">
        <f>IFERROR(__xludf.DUMMYFUNCTION("""COMPUTED_VALUE"""),42608.99861111111)</f>
        <v>42608.99861</v>
      </c>
      <c r="B2242" s="1">
        <f>IFERROR(__xludf.DUMMYFUNCTION("""COMPUTED_VALUE"""),383.13308)</f>
        <v>383.13308</v>
      </c>
    </row>
    <row r="2243">
      <c r="A2243" s="3">
        <f>IFERROR(__xludf.DUMMYFUNCTION("""COMPUTED_VALUE"""),42609.99861111111)</f>
        <v>42609.99861</v>
      </c>
      <c r="B2243" s="1">
        <f>IFERROR(__xludf.DUMMYFUNCTION("""COMPUTED_VALUE"""),383.7547274)</f>
        <v>383.7547274</v>
      </c>
    </row>
    <row r="2244">
      <c r="A2244" s="3">
        <f>IFERROR(__xludf.DUMMYFUNCTION("""COMPUTED_VALUE"""),42610.99861111111)</f>
        <v>42610.99861</v>
      </c>
      <c r="B2244" s="1">
        <f>IFERROR(__xludf.DUMMYFUNCTION("""COMPUTED_VALUE"""),382.5294)</f>
        <v>382.5294</v>
      </c>
    </row>
    <row r="2245">
      <c r="A2245" s="3">
        <f>IFERROR(__xludf.DUMMYFUNCTION("""COMPUTED_VALUE"""),42611.99861111111)</f>
        <v>42611.99861</v>
      </c>
      <c r="B2245" s="1">
        <f>IFERROR(__xludf.DUMMYFUNCTION("""COMPUTED_VALUE"""),383.26464)</f>
        <v>383.26464</v>
      </c>
    </row>
    <row r="2246">
      <c r="A2246" s="3">
        <f>IFERROR(__xludf.DUMMYFUNCTION("""COMPUTED_VALUE"""),42612.99861111111)</f>
        <v>42612.99861</v>
      </c>
      <c r="B2246" s="1">
        <f>IFERROR(__xludf.DUMMYFUNCTION("""COMPUTED_VALUE"""),383.61304)</f>
        <v>383.61304</v>
      </c>
    </row>
    <row r="2247">
      <c r="A2247" s="3">
        <f>IFERROR(__xludf.DUMMYFUNCTION("""COMPUTED_VALUE"""),42613.99861111111)</f>
        <v>42613.99861</v>
      </c>
      <c r="B2247" s="1">
        <f>IFERROR(__xludf.DUMMYFUNCTION("""COMPUTED_VALUE"""),383.5264)</f>
        <v>383.5264</v>
      </c>
    </row>
    <row r="2248">
      <c r="A2248" s="3">
        <f>IFERROR(__xludf.DUMMYFUNCTION("""COMPUTED_VALUE"""),42614.99861111111)</f>
        <v>42614.99861</v>
      </c>
      <c r="B2248" s="1">
        <f>IFERROR(__xludf.DUMMYFUNCTION("""COMPUTED_VALUE"""),383.45697)</f>
        <v>383.45697</v>
      </c>
    </row>
    <row r="2249">
      <c r="A2249" s="3">
        <f>IFERROR(__xludf.DUMMYFUNCTION("""COMPUTED_VALUE"""),42615.99861111111)</f>
        <v>42615.99861</v>
      </c>
      <c r="B2249" s="1">
        <f>IFERROR(__xludf.DUMMYFUNCTION("""COMPUTED_VALUE"""),380.67575)</f>
        <v>380.67575</v>
      </c>
    </row>
    <row r="2250">
      <c r="A2250" s="3">
        <f>IFERROR(__xludf.DUMMYFUNCTION("""COMPUTED_VALUE"""),42616.99861111111)</f>
        <v>42616.99861</v>
      </c>
      <c r="B2250" s="1">
        <f>IFERROR(__xludf.DUMMYFUNCTION("""COMPUTED_VALUE"""),380.67575)</f>
        <v>380.67575</v>
      </c>
    </row>
    <row r="2251">
      <c r="A2251" s="3">
        <f>IFERROR(__xludf.DUMMYFUNCTION("""COMPUTED_VALUE"""),42617.99861111111)</f>
        <v>42617.99861</v>
      </c>
      <c r="B2251" s="1">
        <f>IFERROR(__xludf.DUMMYFUNCTION("""COMPUTED_VALUE"""),381.0716)</f>
        <v>381.0716</v>
      </c>
    </row>
    <row r="2252">
      <c r="A2252" s="3">
        <f>IFERROR(__xludf.DUMMYFUNCTION("""COMPUTED_VALUE"""),42618.99861111111)</f>
        <v>42618.99861</v>
      </c>
      <c r="B2252" s="1">
        <f>IFERROR(__xludf.DUMMYFUNCTION("""COMPUTED_VALUE"""),377.7375)</f>
        <v>377.7375</v>
      </c>
    </row>
    <row r="2253">
      <c r="A2253" s="3">
        <f>IFERROR(__xludf.DUMMYFUNCTION("""COMPUTED_VALUE"""),42619.99861111111)</f>
        <v>42619.99861</v>
      </c>
      <c r="B2253" s="1">
        <f>IFERROR(__xludf.DUMMYFUNCTION("""COMPUTED_VALUE"""),377.3762)</f>
        <v>377.3762</v>
      </c>
    </row>
    <row r="2254">
      <c r="A2254" s="3">
        <f>IFERROR(__xludf.DUMMYFUNCTION("""COMPUTED_VALUE"""),42620.99861111111)</f>
        <v>42620.99861</v>
      </c>
      <c r="B2254" s="1">
        <f>IFERROR(__xludf.DUMMYFUNCTION("""COMPUTED_VALUE"""),377.2002)</f>
        <v>377.2002</v>
      </c>
    </row>
    <row r="2255">
      <c r="A2255" s="3">
        <f>IFERROR(__xludf.DUMMYFUNCTION("""COMPUTED_VALUE"""),42621.99861111111)</f>
        <v>42621.99861</v>
      </c>
      <c r="B2255" s="1">
        <f>IFERROR(__xludf.DUMMYFUNCTION("""COMPUTED_VALUE"""),375.66054)</f>
        <v>375.66054</v>
      </c>
    </row>
    <row r="2256">
      <c r="A2256" s="3">
        <f>IFERROR(__xludf.DUMMYFUNCTION("""COMPUTED_VALUE"""),42622.99861111111)</f>
        <v>42622.99861</v>
      </c>
      <c r="B2256" s="1">
        <f>IFERROR(__xludf.DUMMYFUNCTION("""COMPUTED_VALUE"""),370.2737)</f>
        <v>370.2737</v>
      </c>
    </row>
    <row r="2257">
      <c r="A2257" s="3">
        <f>IFERROR(__xludf.DUMMYFUNCTION("""COMPUTED_VALUE"""),42623.99861111111)</f>
        <v>42623.99861</v>
      </c>
      <c r="B2257" s="1">
        <f>IFERROR(__xludf.DUMMYFUNCTION("""COMPUTED_VALUE"""),369.9927)</f>
        <v>369.9927</v>
      </c>
    </row>
    <row r="2258">
      <c r="A2258" s="3">
        <f>IFERROR(__xludf.DUMMYFUNCTION("""COMPUTED_VALUE"""),42624.99861111111)</f>
        <v>42624.99861</v>
      </c>
      <c r="B2258" s="1">
        <f>IFERROR(__xludf.DUMMYFUNCTION("""COMPUTED_VALUE"""),378.81)</f>
        <v>378.81</v>
      </c>
    </row>
    <row r="2259">
      <c r="A2259" s="3">
        <f>IFERROR(__xludf.DUMMYFUNCTION("""COMPUTED_VALUE"""),42625.99861111111)</f>
        <v>42625.99861</v>
      </c>
      <c r="B2259" s="1">
        <f>IFERROR(__xludf.DUMMYFUNCTION("""COMPUTED_VALUE"""),377.77296)</f>
        <v>377.77296</v>
      </c>
    </row>
    <row r="2260">
      <c r="A2260" s="3">
        <f>IFERROR(__xludf.DUMMYFUNCTION("""COMPUTED_VALUE"""),42626.99861111111)</f>
        <v>42626.99861</v>
      </c>
      <c r="B2260" s="1">
        <f>IFERROR(__xludf.DUMMYFUNCTION("""COMPUTED_VALUE"""),378.6926)</f>
        <v>378.6926</v>
      </c>
    </row>
    <row r="2261">
      <c r="A2261" s="3">
        <f>IFERROR(__xludf.DUMMYFUNCTION("""COMPUTED_VALUE"""),42627.99861111111)</f>
        <v>42627.99861</v>
      </c>
      <c r="B2261" s="1">
        <f>IFERROR(__xludf.DUMMYFUNCTION("""COMPUTED_VALUE"""),377.92215)</f>
        <v>377.92215</v>
      </c>
    </row>
    <row r="2262">
      <c r="A2262" s="3">
        <f>IFERROR(__xludf.DUMMYFUNCTION("""COMPUTED_VALUE"""),42628.99861111111)</f>
        <v>42628.99861</v>
      </c>
      <c r="B2262" s="1">
        <f>IFERROR(__xludf.DUMMYFUNCTION("""COMPUTED_VALUE"""),376.83848)</f>
        <v>376.83848</v>
      </c>
    </row>
    <row r="2263">
      <c r="A2263" s="3">
        <f>IFERROR(__xludf.DUMMYFUNCTION("""COMPUTED_VALUE"""),42629.99861111111)</f>
        <v>42629.99861</v>
      </c>
      <c r="B2263" s="1">
        <f>IFERROR(__xludf.DUMMYFUNCTION("""COMPUTED_VALUE"""),376.72506)</f>
        <v>376.72506</v>
      </c>
    </row>
    <row r="2264">
      <c r="A2264" s="3">
        <f>IFERROR(__xludf.DUMMYFUNCTION("""COMPUTED_VALUE"""),42630.99861111111)</f>
        <v>42630.99861</v>
      </c>
      <c r="B2264" s="1">
        <f>IFERROR(__xludf.DUMMYFUNCTION("""COMPUTED_VALUE"""),377.0750826)</f>
        <v>377.0750826</v>
      </c>
    </row>
    <row r="2265">
      <c r="A2265" s="3">
        <f>IFERROR(__xludf.DUMMYFUNCTION("""COMPUTED_VALUE"""),42631.99861111111)</f>
        <v>42631.99861</v>
      </c>
      <c r="B2265" s="1">
        <f>IFERROR(__xludf.DUMMYFUNCTION("""COMPUTED_VALUE"""),376.85669)</f>
        <v>376.85669</v>
      </c>
    </row>
    <row r="2266">
      <c r="A2266" s="3">
        <f>IFERROR(__xludf.DUMMYFUNCTION("""COMPUTED_VALUE"""),42632.99861111111)</f>
        <v>42632.99861</v>
      </c>
      <c r="B2266" s="1">
        <f>IFERROR(__xludf.DUMMYFUNCTION("""COMPUTED_VALUE"""),377.22069)</f>
        <v>377.22069</v>
      </c>
    </row>
    <row r="2267">
      <c r="A2267" s="3">
        <f>IFERROR(__xludf.DUMMYFUNCTION("""COMPUTED_VALUE"""),42633.99861111111)</f>
        <v>42633.99861</v>
      </c>
      <c r="B2267" s="1">
        <f>IFERROR(__xludf.DUMMYFUNCTION("""COMPUTED_VALUE"""),378.2925)</f>
        <v>378.2925</v>
      </c>
    </row>
    <row r="2268">
      <c r="A2268" s="3">
        <f>IFERROR(__xludf.DUMMYFUNCTION("""COMPUTED_VALUE"""),42634.99861111111)</f>
        <v>42634.99861</v>
      </c>
      <c r="B2268" s="1">
        <f>IFERROR(__xludf.DUMMYFUNCTION("""COMPUTED_VALUE"""),376.59272)</f>
        <v>376.59272</v>
      </c>
    </row>
    <row r="2269">
      <c r="A2269" s="3">
        <f>IFERROR(__xludf.DUMMYFUNCTION("""COMPUTED_VALUE"""),42635.99861111111)</f>
        <v>42635.99861</v>
      </c>
      <c r="B2269" s="1">
        <f>IFERROR(__xludf.DUMMYFUNCTION("""COMPUTED_VALUE"""),377.09994)</f>
        <v>377.09994</v>
      </c>
    </row>
    <row r="2270">
      <c r="A2270" s="3">
        <f>IFERROR(__xludf.DUMMYFUNCTION("""COMPUTED_VALUE"""),42636.99861111111)</f>
        <v>42636.99861</v>
      </c>
      <c r="B2270" s="1">
        <f>IFERROR(__xludf.DUMMYFUNCTION("""COMPUTED_VALUE"""),377.12523)</f>
        <v>377.12523</v>
      </c>
    </row>
    <row r="2271">
      <c r="A2271" s="3">
        <f>IFERROR(__xludf.DUMMYFUNCTION("""COMPUTED_VALUE"""),42637.99861111111)</f>
        <v>42637.99861</v>
      </c>
      <c r="B2271" s="1">
        <f>IFERROR(__xludf.DUMMYFUNCTION("""COMPUTED_VALUE"""),369.71506)</f>
        <v>369.71506</v>
      </c>
    </row>
    <row r="2272">
      <c r="A2272" s="3">
        <f>IFERROR(__xludf.DUMMYFUNCTION("""COMPUTED_VALUE"""),42638.99861111111)</f>
        <v>42638.99861</v>
      </c>
      <c r="B2272" s="1">
        <f>IFERROR(__xludf.DUMMYFUNCTION("""COMPUTED_VALUE"""),369.53043)</f>
        <v>369.53043</v>
      </c>
    </row>
    <row r="2273">
      <c r="A2273" s="3">
        <f>IFERROR(__xludf.DUMMYFUNCTION("""COMPUTED_VALUE"""),42639.99861111111)</f>
        <v>42639.99861</v>
      </c>
      <c r="B2273" s="1">
        <f>IFERROR(__xludf.DUMMYFUNCTION("""COMPUTED_VALUE"""),376.56632)</f>
        <v>376.56632</v>
      </c>
    </row>
    <row r="2274">
      <c r="A2274" s="3">
        <f>IFERROR(__xludf.DUMMYFUNCTION("""COMPUTED_VALUE"""),42640.99861111111)</f>
        <v>42640.99861</v>
      </c>
      <c r="B2274" s="1">
        <f>IFERROR(__xludf.DUMMYFUNCTION("""COMPUTED_VALUE"""),373.3013)</f>
        <v>373.3013</v>
      </c>
    </row>
    <row r="2275">
      <c r="A2275" s="3">
        <f>IFERROR(__xludf.DUMMYFUNCTION("""COMPUTED_VALUE"""),42641.99861111111)</f>
        <v>42641.99861</v>
      </c>
      <c r="B2275" s="1">
        <f>IFERROR(__xludf.DUMMYFUNCTION("""COMPUTED_VALUE"""),373.28769)</f>
        <v>373.28769</v>
      </c>
    </row>
    <row r="2276">
      <c r="A2276" s="3">
        <f>IFERROR(__xludf.DUMMYFUNCTION("""COMPUTED_VALUE"""),42642.99861111111)</f>
        <v>42642.99861</v>
      </c>
      <c r="B2276" s="1">
        <f>IFERROR(__xludf.DUMMYFUNCTION("""COMPUTED_VALUE"""),374.74646)</f>
        <v>374.74646</v>
      </c>
    </row>
    <row r="2277">
      <c r="A2277" s="3">
        <f>IFERROR(__xludf.DUMMYFUNCTION("""COMPUTED_VALUE"""),42643.99861111111)</f>
        <v>42643.99861</v>
      </c>
      <c r="B2277" s="1">
        <f>IFERROR(__xludf.DUMMYFUNCTION("""COMPUTED_VALUE"""),375.97446)</f>
        <v>375.97446</v>
      </c>
    </row>
    <row r="2278">
      <c r="A2278" s="3">
        <f>IFERROR(__xludf.DUMMYFUNCTION("""COMPUTED_VALUE"""),42644.99861111111)</f>
        <v>42644.99861</v>
      </c>
      <c r="B2278" s="1">
        <f>IFERROR(__xludf.DUMMYFUNCTION("""COMPUTED_VALUE"""),375.65644)</f>
        <v>375.65644</v>
      </c>
    </row>
    <row r="2279">
      <c r="A2279" s="3">
        <f>IFERROR(__xludf.DUMMYFUNCTION("""COMPUTED_VALUE"""),42645.99861111111)</f>
        <v>42645.99861</v>
      </c>
      <c r="B2279" s="1">
        <f>IFERROR(__xludf.DUMMYFUNCTION("""COMPUTED_VALUE"""),374.19876)</f>
        <v>374.19876</v>
      </c>
    </row>
    <row r="2280">
      <c r="A2280" s="3">
        <f>IFERROR(__xludf.DUMMYFUNCTION("""COMPUTED_VALUE"""),42646.99861111111)</f>
        <v>42646.99861</v>
      </c>
      <c r="B2280" s="1">
        <f>IFERROR(__xludf.DUMMYFUNCTION("""COMPUTED_VALUE"""),373.69446)</f>
        <v>373.69446</v>
      </c>
    </row>
    <row r="2281">
      <c r="A2281" s="3">
        <f>IFERROR(__xludf.DUMMYFUNCTION("""COMPUTED_VALUE"""),42647.99861111111)</f>
        <v>42647.99861</v>
      </c>
      <c r="B2281" s="1">
        <f>IFERROR(__xludf.DUMMYFUNCTION("""COMPUTED_VALUE"""),374.64125)</f>
        <v>374.64125</v>
      </c>
    </row>
    <row r="2282">
      <c r="A2282" s="3">
        <f>IFERROR(__xludf.DUMMYFUNCTION("""COMPUTED_VALUE"""),42648.99861111111)</f>
        <v>42648.99861</v>
      </c>
      <c r="B2282" s="1">
        <f>IFERROR(__xludf.DUMMYFUNCTION("""COMPUTED_VALUE"""),373.76208)</f>
        <v>373.76208</v>
      </c>
    </row>
    <row r="2283">
      <c r="A2283" s="3">
        <f>IFERROR(__xludf.DUMMYFUNCTION("""COMPUTED_VALUE"""),42649.99861111111)</f>
        <v>42649.99861</v>
      </c>
      <c r="B2283" s="1">
        <f>IFERROR(__xludf.DUMMYFUNCTION("""COMPUTED_VALUE"""),373.11345)</f>
        <v>373.11345</v>
      </c>
    </row>
    <row r="2284">
      <c r="A2284" s="3">
        <f>IFERROR(__xludf.DUMMYFUNCTION("""COMPUTED_VALUE"""),42650.99861111111)</f>
        <v>42650.99861</v>
      </c>
      <c r="B2284" s="1">
        <f>IFERROR(__xludf.DUMMYFUNCTION("""COMPUTED_VALUE"""),371.61915)</f>
        <v>371.61915</v>
      </c>
    </row>
    <row r="2285">
      <c r="A2285" s="3">
        <f>IFERROR(__xludf.DUMMYFUNCTION("""COMPUTED_VALUE"""),42651.99861111111)</f>
        <v>42651.99861</v>
      </c>
      <c r="B2285" s="1">
        <f>IFERROR(__xludf.DUMMYFUNCTION("""COMPUTED_VALUE"""),371.595084)</f>
        <v>371.595084</v>
      </c>
    </row>
    <row r="2286">
      <c r="A2286" s="3">
        <f>IFERROR(__xludf.DUMMYFUNCTION("""COMPUTED_VALUE"""),42652.99861111111)</f>
        <v>42652.99861</v>
      </c>
      <c r="B2286" s="1">
        <f>IFERROR(__xludf.DUMMYFUNCTION("""COMPUTED_VALUE"""),370.72653)</f>
        <v>370.72653</v>
      </c>
    </row>
    <row r="2287">
      <c r="A2287" s="3">
        <f>IFERROR(__xludf.DUMMYFUNCTION("""COMPUTED_VALUE"""),42653.99861111111)</f>
        <v>42653.99861</v>
      </c>
      <c r="B2287" s="1">
        <f>IFERROR(__xludf.DUMMYFUNCTION("""COMPUTED_VALUE"""),367.48618)</f>
        <v>367.48618</v>
      </c>
    </row>
    <row r="2288">
      <c r="A2288" s="3">
        <f>IFERROR(__xludf.DUMMYFUNCTION("""COMPUTED_VALUE"""),42654.99861111111)</f>
        <v>42654.99861</v>
      </c>
      <c r="B2288" s="1">
        <f>IFERROR(__xludf.DUMMYFUNCTION("""COMPUTED_VALUE"""),368.64828)</f>
        <v>368.64828</v>
      </c>
    </row>
    <row r="2289">
      <c r="A2289" s="3">
        <f>IFERROR(__xludf.DUMMYFUNCTION("""COMPUTED_VALUE"""),42655.99861111111)</f>
        <v>42655.99861</v>
      </c>
      <c r="B2289" s="1">
        <f>IFERROR(__xludf.DUMMYFUNCTION("""COMPUTED_VALUE"""),364.79238)</f>
        <v>364.79238</v>
      </c>
    </row>
    <row r="2290">
      <c r="A2290" s="3">
        <f>IFERROR(__xludf.DUMMYFUNCTION("""COMPUTED_VALUE"""),42656.99861111111)</f>
        <v>42656.99861</v>
      </c>
      <c r="B2290" s="1">
        <f>IFERROR(__xludf.DUMMYFUNCTION("""COMPUTED_VALUE"""),368.62344)</f>
        <v>368.62344</v>
      </c>
    </row>
    <row r="2291">
      <c r="A2291" s="3">
        <f>IFERROR(__xludf.DUMMYFUNCTION("""COMPUTED_VALUE"""),42657.99861111111)</f>
        <v>42657.99861</v>
      </c>
      <c r="B2291" s="1">
        <f>IFERROR(__xludf.DUMMYFUNCTION("""COMPUTED_VALUE"""),369.46063)</f>
        <v>369.46063</v>
      </c>
    </row>
    <row r="2292">
      <c r="A2292" s="3">
        <f>IFERROR(__xludf.DUMMYFUNCTION("""COMPUTED_VALUE"""),42658.99861111111)</f>
        <v>42658.99861</v>
      </c>
      <c r="B2292" s="1">
        <f>IFERROR(__xludf.DUMMYFUNCTION("""COMPUTED_VALUE"""),361.99904)</f>
        <v>361.99904</v>
      </c>
    </row>
    <row r="2293">
      <c r="A2293" s="3">
        <f>IFERROR(__xludf.DUMMYFUNCTION("""COMPUTED_VALUE"""),42659.99861111111)</f>
        <v>42659.99861</v>
      </c>
      <c r="B2293" s="1">
        <f>IFERROR(__xludf.DUMMYFUNCTION("""COMPUTED_VALUE"""),362.25564)</f>
        <v>362.25564</v>
      </c>
    </row>
    <row r="2294">
      <c r="A2294" s="3">
        <f>IFERROR(__xludf.DUMMYFUNCTION("""COMPUTED_VALUE"""),42660.99861111111)</f>
        <v>42660.99861</v>
      </c>
      <c r="B2294" s="1">
        <f>IFERROR(__xludf.DUMMYFUNCTION("""COMPUTED_VALUE"""),370.25687)</f>
        <v>370.25687</v>
      </c>
    </row>
    <row r="2295">
      <c r="A2295" s="3">
        <f>IFERROR(__xludf.DUMMYFUNCTION("""COMPUTED_VALUE"""),42661.99861111111)</f>
        <v>42661.99861</v>
      </c>
      <c r="B2295" s="1">
        <f>IFERROR(__xludf.DUMMYFUNCTION("""COMPUTED_VALUE"""),371.2002)</f>
        <v>371.2002</v>
      </c>
    </row>
    <row r="2296">
      <c r="A2296" s="3">
        <f>IFERROR(__xludf.DUMMYFUNCTION("""COMPUTED_VALUE"""),42662.99861111111)</f>
        <v>42662.99861</v>
      </c>
      <c r="B2296" s="1">
        <f>IFERROR(__xludf.DUMMYFUNCTION("""COMPUTED_VALUE"""),371.77752)</f>
        <v>371.77752</v>
      </c>
    </row>
    <row r="2297">
      <c r="A2297" s="3">
        <f>IFERROR(__xludf.DUMMYFUNCTION("""COMPUTED_VALUE"""),42663.99861111111)</f>
        <v>42663.99861</v>
      </c>
      <c r="B2297" s="1">
        <f>IFERROR(__xludf.DUMMYFUNCTION("""COMPUTED_VALUE"""),371.4228)</f>
        <v>371.4228</v>
      </c>
    </row>
    <row r="2298">
      <c r="A2298" s="3">
        <f>IFERROR(__xludf.DUMMYFUNCTION("""COMPUTED_VALUE"""),42664.99861111111)</f>
        <v>42664.99861</v>
      </c>
      <c r="B2298" s="1">
        <f>IFERROR(__xludf.DUMMYFUNCTION("""COMPUTED_VALUE"""),370.50435)</f>
        <v>370.50435</v>
      </c>
    </row>
    <row r="2299">
      <c r="A2299" s="3">
        <f>IFERROR(__xludf.DUMMYFUNCTION("""COMPUTED_VALUE"""),42665.99861111111)</f>
        <v>42665.99861</v>
      </c>
      <c r="B2299" s="1">
        <f>IFERROR(__xludf.DUMMYFUNCTION("""COMPUTED_VALUE"""),371.1587)</f>
        <v>371.1587</v>
      </c>
    </row>
    <row r="2300">
      <c r="A2300" s="3">
        <f>IFERROR(__xludf.DUMMYFUNCTION("""COMPUTED_VALUE"""),42666.99861111111)</f>
        <v>42666.99861</v>
      </c>
      <c r="B2300" s="1">
        <f>IFERROR(__xludf.DUMMYFUNCTION("""COMPUTED_VALUE"""),371.403)</f>
        <v>371.403</v>
      </c>
    </row>
    <row r="2301">
      <c r="A2301" s="3">
        <f>IFERROR(__xludf.DUMMYFUNCTION("""COMPUTED_VALUE"""),42667.99861111111)</f>
        <v>42667.99861</v>
      </c>
      <c r="B2301" s="1">
        <f>IFERROR(__xludf.DUMMYFUNCTION("""COMPUTED_VALUE"""),370.842)</f>
        <v>370.842</v>
      </c>
    </row>
    <row r="2302">
      <c r="A2302" s="3">
        <f>IFERROR(__xludf.DUMMYFUNCTION("""COMPUTED_VALUE"""),42668.99861111111)</f>
        <v>42668.99861</v>
      </c>
      <c r="B2302" s="1">
        <f>IFERROR(__xludf.DUMMYFUNCTION("""COMPUTED_VALUE"""),371.89216)</f>
        <v>371.89216</v>
      </c>
    </row>
    <row r="2303">
      <c r="A2303" s="3">
        <f>IFERROR(__xludf.DUMMYFUNCTION("""COMPUTED_VALUE"""),42669.99861111111)</f>
        <v>42669.99861</v>
      </c>
      <c r="B2303" s="1">
        <f>IFERROR(__xludf.DUMMYFUNCTION("""COMPUTED_VALUE"""),371.70496)</f>
        <v>371.70496</v>
      </c>
    </row>
    <row r="2304">
      <c r="A2304" s="3">
        <f>IFERROR(__xludf.DUMMYFUNCTION("""COMPUTED_VALUE"""),42670.99861111111)</f>
        <v>42670.99861</v>
      </c>
      <c r="B2304" s="1">
        <f>IFERROR(__xludf.DUMMYFUNCTION("""COMPUTED_VALUE"""),371.48838)</f>
        <v>371.48838</v>
      </c>
    </row>
    <row r="2305">
      <c r="A2305" s="3">
        <f>IFERROR(__xludf.DUMMYFUNCTION("""COMPUTED_VALUE"""),42671.99861111111)</f>
        <v>42671.99861</v>
      </c>
      <c r="B2305" s="1">
        <f>IFERROR(__xludf.DUMMYFUNCTION("""COMPUTED_VALUE"""),372.55676)</f>
        <v>372.55676</v>
      </c>
    </row>
    <row r="2306">
      <c r="A2306" s="3">
        <f>IFERROR(__xludf.DUMMYFUNCTION("""COMPUTED_VALUE"""),42672.99861111111)</f>
        <v>42672.99861</v>
      </c>
      <c r="B2306" s="1">
        <f>IFERROR(__xludf.DUMMYFUNCTION("""COMPUTED_VALUE"""),372.55676)</f>
        <v>372.55676</v>
      </c>
    </row>
    <row r="2307">
      <c r="A2307" s="3">
        <f>IFERROR(__xludf.DUMMYFUNCTION("""COMPUTED_VALUE"""),42673.99861111111)</f>
        <v>42673.99861</v>
      </c>
      <c r="B2307" s="1">
        <f>IFERROR(__xludf.DUMMYFUNCTION("""COMPUTED_VALUE"""),372.81802)</f>
        <v>372.81802</v>
      </c>
    </row>
    <row r="2308">
      <c r="A2308" s="3">
        <f>IFERROR(__xludf.DUMMYFUNCTION("""COMPUTED_VALUE"""),42674.99861111111)</f>
        <v>42674.99861</v>
      </c>
      <c r="B2308" s="1">
        <f>IFERROR(__xludf.DUMMYFUNCTION("""COMPUTED_VALUE"""),371.13076)</f>
        <v>371.13076</v>
      </c>
    </row>
    <row r="2309">
      <c r="A2309" s="3">
        <f>IFERROR(__xludf.DUMMYFUNCTION("""COMPUTED_VALUE"""),42675.99861111111)</f>
        <v>42675.99861</v>
      </c>
      <c r="B2309" s="1">
        <f>IFERROR(__xludf.DUMMYFUNCTION("""COMPUTED_VALUE"""),372.10452)</f>
        <v>372.10452</v>
      </c>
    </row>
    <row r="2310">
      <c r="A2310" s="3">
        <f>IFERROR(__xludf.DUMMYFUNCTION("""COMPUTED_VALUE"""),42676.99861111111)</f>
        <v>42676.99861</v>
      </c>
      <c r="B2310" s="1">
        <f>IFERROR(__xludf.DUMMYFUNCTION("""COMPUTED_VALUE"""),373.1156)</f>
        <v>373.1156</v>
      </c>
    </row>
    <row r="2311">
      <c r="A2311" s="3">
        <f>IFERROR(__xludf.DUMMYFUNCTION("""COMPUTED_VALUE"""),42677.99861111111)</f>
        <v>42677.99861</v>
      </c>
      <c r="B2311" s="1">
        <f>IFERROR(__xludf.DUMMYFUNCTION("""COMPUTED_VALUE"""),373.7448)</f>
        <v>373.7448</v>
      </c>
    </row>
    <row r="2312">
      <c r="A2312" s="3">
        <f>IFERROR(__xludf.DUMMYFUNCTION("""COMPUTED_VALUE"""),42678.99861111111)</f>
        <v>42678.99861</v>
      </c>
      <c r="B2312" s="1">
        <f>IFERROR(__xludf.DUMMYFUNCTION("""COMPUTED_VALUE"""),374.11389)</f>
        <v>374.11389</v>
      </c>
    </row>
    <row r="2313">
      <c r="A2313" s="3">
        <f>IFERROR(__xludf.DUMMYFUNCTION("""COMPUTED_VALUE"""),42679.99861111111)</f>
        <v>42679.99861</v>
      </c>
      <c r="B2313" s="1">
        <f>IFERROR(__xludf.DUMMYFUNCTION("""COMPUTED_VALUE"""),374.11389)</f>
        <v>374.11389</v>
      </c>
    </row>
    <row r="2314">
      <c r="A2314" s="3">
        <f>IFERROR(__xludf.DUMMYFUNCTION("""COMPUTED_VALUE"""),42680.99861111111)</f>
        <v>42680.99861</v>
      </c>
      <c r="B2314" s="1">
        <f>IFERROR(__xludf.DUMMYFUNCTION("""COMPUTED_VALUE"""),372.7283)</f>
        <v>372.7283</v>
      </c>
    </row>
    <row r="2315">
      <c r="A2315" s="3">
        <f>IFERROR(__xludf.DUMMYFUNCTION("""COMPUTED_VALUE"""),42681.99861111111)</f>
        <v>42681.99861</v>
      </c>
      <c r="B2315" s="1">
        <f>IFERROR(__xludf.DUMMYFUNCTION("""COMPUTED_VALUE"""),373.63385)</f>
        <v>373.63385</v>
      </c>
    </row>
    <row r="2316">
      <c r="A2316" s="3">
        <f>IFERROR(__xludf.DUMMYFUNCTION("""COMPUTED_VALUE"""),42682.99861111111)</f>
        <v>42682.99861</v>
      </c>
      <c r="B2316" s="1">
        <f>IFERROR(__xludf.DUMMYFUNCTION("""COMPUTED_VALUE"""),372.84219)</f>
        <v>372.84219</v>
      </c>
    </row>
    <row r="2317">
      <c r="A2317" s="3">
        <f>IFERROR(__xludf.DUMMYFUNCTION("""COMPUTED_VALUE"""),42683.99861111111)</f>
        <v>42683.99861</v>
      </c>
      <c r="B2317" s="1">
        <f>IFERROR(__xludf.DUMMYFUNCTION("""COMPUTED_VALUE"""),374.66724)</f>
        <v>374.66724</v>
      </c>
    </row>
    <row r="2318">
      <c r="A2318" s="3">
        <f>IFERROR(__xludf.DUMMYFUNCTION("""COMPUTED_VALUE"""),42684.99861111111)</f>
        <v>42684.99861</v>
      </c>
      <c r="B2318" s="1">
        <f>IFERROR(__xludf.DUMMYFUNCTION("""COMPUTED_VALUE"""),384.5404)</f>
        <v>384.5404</v>
      </c>
    </row>
    <row r="2319">
      <c r="A2319" s="3">
        <f>IFERROR(__xludf.DUMMYFUNCTION("""COMPUTED_VALUE"""),42685.99861111111)</f>
        <v>42685.99861</v>
      </c>
      <c r="B2319" s="1">
        <f>IFERROR(__xludf.DUMMYFUNCTION("""COMPUTED_VALUE"""),376.82918)</f>
        <v>376.82918</v>
      </c>
    </row>
    <row r="2320">
      <c r="A2320" s="3">
        <f>IFERROR(__xludf.DUMMYFUNCTION("""COMPUTED_VALUE"""),42686.99861111111)</f>
        <v>42686.99861</v>
      </c>
      <c r="B2320" s="1">
        <f>IFERROR(__xludf.DUMMYFUNCTION("""COMPUTED_VALUE"""),373.9188217)</f>
        <v>373.9188217</v>
      </c>
    </row>
    <row r="2321">
      <c r="A2321" s="3">
        <f>IFERROR(__xludf.DUMMYFUNCTION("""COMPUTED_VALUE"""),42687.99861111111)</f>
        <v>42687.99861</v>
      </c>
      <c r="B2321" s="1">
        <f>IFERROR(__xludf.DUMMYFUNCTION("""COMPUTED_VALUE"""),368.10578)</f>
        <v>368.10578</v>
      </c>
    </row>
    <row r="2322">
      <c r="A2322" s="3">
        <f>IFERROR(__xludf.DUMMYFUNCTION("""COMPUTED_VALUE"""),42688.99861111111)</f>
        <v>42688.99861</v>
      </c>
      <c r="B2322" s="1">
        <f>IFERROR(__xludf.DUMMYFUNCTION("""COMPUTED_VALUE"""),379.27462)</f>
        <v>379.27462</v>
      </c>
    </row>
    <row r="2323">
      <c r="A2323" s="3">
        <f>IFERROR(__xludf.DUMMYFUNCTION("""COMPUTED_VALUE"""),42689.99861111111)</f>
        <v>42689.99861</v>
      </c>
      <c r="B2323" s="1">
        <f>IFERROR(__xludf.DUMMYFUNCTION("""COMPUTED_VALUE"""),375.29347)</f>
        <v>375.29347</v>
      </c>
    </row>
    <row r="2324">
      <c r="A2324" s="3">
        <f>IFERROR(__xludf.DUMMYFUNCTION("""COMPUTED_VALUE"""),42690.99861111111)</f>
        <v>42690.99861</v>
      </c>
      <c r="B2324" s="1">
        <f>IFERROR(__xludf.DUMMYFUNCTION("""COMPUTED_VALUE"""),376.9776)</f>
        <v>376.9776</v>
      </c>
    </row>
    <row r="2325">
      <c r="A2325" s="3">
        <f>IFERROR(__xludf.DUMMYFUNCTION("""COMPUTED_VALUE"""),42691.99861111111)</f>
        <v>42691.99861</v>
      </c>
      <c r="B2325" s="1">
        <f>IFERROR(__xludf.DUMMYFUNCTION("""COMPUTED_VALUE"""),377.11732)</f>
        <v>377.11732</v>
      </c>
    </row>
    <row r="2326">
      <c r="A2326" s="3">
        <f>IFERROR(__xludf.DUMMYFUNCTION("""COMPUTED_VALUE"""),42692.99861111111)</f>
        <v>42692.99861</v>
      </c>
      <c r="B2326" s="1">
        <f>IFERROR(__xludf.DUMMYFUNCTION("""COMPUTED_VALUE"""),375.23304)</f>
        <v>375.23304</v>
      </c>
    </row>
    <row r="2327">
      <c r="A2327" s="3">
        <f>IFERROR(__xludf.DUMMYFUNCTION("""COMPUTED_VALUE"""),42693.99861111111)</f>
        <v>42693.99861</v>
      </c>
      <c r="B2327" s="1">
        <f>IFERROR(__xludf.DUMMYFUNCTION("""COMPUTED_VALUE"""),375.4009584)</f>
        <v>375.4009584</v>
      </c>
    </row>
    <row r="2328">
      <c r="A2328" s="3">
        <f>IFERROR(__xludf.DUMMYFUNCTION("""COMPUTED_VALUE"""),42694.99861111111)</f>
        <v>42694.99861</v>
      </c>
      <c r="B2328" s="1">
        <f>IFERROR(__xludf.DUMMYFUNCTION("""COMPUTED_VALUE"""),378.62511)</f>
        <v>378.62511</v>
      </c>
    </row>
    <row r="2329">
      <c r="A2329" s="3">
        <f>IFERROR(__xludf.DUMMYFUNCTION("""COMPUTED_VALUE"""),42695.99861111111)</f>
        <v>42695.99861</v>
      </c>
      <c r="B2329" s="1">
        <f>IFERROR(__xludf.DUMMYFUNCTION("""COMPUTED_VALUE"""),377.14544)</f>
        <v>377.14544</v>
      </c>
    </row>
    <row r="2330">
      <c r="A2330" s="3">
        <f>IFERROR(__xludf.DUMMYFUNCTION("""COMPUTED_VALUE"""),42696.99861111111)</f>
        <v>42696.99861</v>
      </c>
      <c r="B2330" s="1">
        <f>IFERROR(__xludf.DUMMYFUNCTION("""COMPUTED_VALUE"""),378.37944)</f>
        <v>378.37944</v>
      </c>
    </row>
    <row r="2331">
      <c r="A2331" s="3">
        <f>IFERROR(__xludf.DUMMYFUNCTION("""COMPUTED_VALUE"""),42697.99861111111)</f>
        <v>42697.99861</v>
      </c>
      <c r="B2331" s="1">
        <f>IFERROR(__xludf.DUMMYFUNCTION("""COMPUTED_VALUE"""),381.13207)</f>
        <v>381.13207</v>
      </c>
    </row>
    <row r="2332">
      <c r="A2332" s="3">
        <f>IFERROR(__xludf.DUMMYFUNCTION("""COMPUTED_VALUE"""),42698.99861111111)</f>
        <v>42698.99861</v>
      </c>
      <c r="B2332" s="1">
        <f>IFERROR(__xludf.DUMMYFUNCTION("""COMPUTED_VALUE"""),379.89516)</f>
        <v>379.89516</v>
      </c>
    </row>
    <row r="2333">
      <c r="A2333" s="3">
        <f>IFERROR(__xludf.DUMMYFUNCTION("""COMPUTED_VALUE"""),42699.99861111111)</f>
        <v>42699.99861</v>
      </c>
      <c r="B2333" s="1">
        <f>IFERROR(__xludf.DUMMYFUNCTION("""COMPUTED_VALUE"""),379.40924)</f>
        <v>379.40924</v>
      </c>
    </row>
    <row r="2334">
      <c r="A2334" s="3">
        <f>IFERROR(__xludf.DUMMYFUNCTION("""COMPUTED_VALUE"""),42700.99861111111)</f>
        <v>42700.99861</v>
      </c>
      <c r="B2334" s="1">
        <f>IFERROR(__xludf.DUMMYFUNCTION("""COMPUTED_VALUE"""),371.9889071)</f>
        <v>371.9889071</v>
      </c>
    </row>
    <row r="2335">
      <c r="A2335" s="3">
        <f>IFERROR(__xludf.DUMMYFUNCTION("""COMPUTED_VALUE"""),42701.99861111111)</f>
        <v>42701.99861</v>
      </c>
      <c r="B2335" s="1">
        <f>IFERROR(__xludf.DUMMYFUNCTION("""COMPUTED_VALUE"""),371.1044)</f>
        <v>371.1044</v>
      </c>
    </row>
    <row r="2336">
      <c r="A2336" s="3">
        <f>IFERROR(__xludf.DUMMYFUNCTION("""COMPUTED_VALUE"""),42702.99861111111)</f>
        <v>42702.99861</v>
      </c>
      <c r="B2336" s="1">
        <f>IFERROR(__xludf.DUMMYFUNCTION("""COMPUTED_VALUE"""),379.02948)</f>
        <v>379.02948</v>
      </c>
    </row>
    <row r="2337">
      <c r="A2337" s="3">
        <f>IFERROR(__xludf.DUMMYFUNCTION("""COMPUTED_VALUE"""),42703.99861111111)</f>
        <v>42703.99861</v>
      </c>
      <c r="B2337" s="1">
        <f>IFERROR(__xludf.DUMMYFUNCTION("""COMPUTED_VALUE"""),378.19102)</f>
        <v>378.19102</v>
      </c>
    </row>
    <row r="2338">
      <c r="A2338" s="3">
        <f>IFERROR(__xludf.DUMMYFUNCTION("""COMPUTED_VALUE"""),42704.99861111111)</f>
        <v>42704.99861</v>
      </c>
      <c r="B2338" s="1">
        <f>IFERROR(__xludf.DUMMYFUNCTION("""COMPUTED_VALUE"""),379.74456)</f>
        <v>379.74456</v>
      </c>
    </row>
    <row r="2339">
      <c r="A2339" s="3">
        <f>IFERROR(__xludf.DUMMYFUNCTION("""COMPUTED_VALUE"""),42705.99861111111)</f>
        <v>42705.99861</v>
      </c>
      <c r="B2339" s="1">
        <f>IFERROR(__xludf.DUMMYFUNCTION("""COMPUTED_VALUE"""),378.36882)</f>
        <v>378.36882</v>
      </c>
    </row>
    <row r="2340">
      <c r="A2340" s="3">
        <f>IFERROR(__xludf.DUMMYFUNCTION("""COMPUTED_VALUE"""),42706.99861111111)</f>
        <v>42706.99861</v>
      </c>
      <c r="B2340" s="1">
        <f>IFERROR(__xludf.DUMMYFUNCTION("""COMPUTED_VALUE"""),377.6876)</f>
        <v>377.6876</v>
      </c>
    </row>
    <row r="2341">
      <c r="A2341" s="3">
        <f>IFERROR(__xludf.DUMMYFUNCTION("""COMPUTED_VALUE"""),42707.99861111111)</f>
        <v>42707.99861</v>
      </c>
      <c r="B2341" s="1">
        <f>IFERROR(__xludf.DUMMYFUNCTION("""COMPUTED_VALUE"""),378.1668648)</f>
        <v>378.1668648</v>
      </c>
    </row>
    <row r="2342">
      <c r="A2342" s="3">
        <f>IFERROR(__xludf.DUMMYFUNCTION("""COMPUTED_VALUE"""),42708.99861111111)</f>
        <v>42708.99861</v>
      </c>
      <c r="B2342" s="1">
        <f>IFERROR(__xludf.DUMMYFUNCTION("""COMPUTED_VALUE"""),382.1928)</f>
        <v>382.1928</v>
      </c>
    </row>
    <row r="2343">
      <c r="A2343" s="3">
        <f>IFERROR(__xludf.DUMMYFUNCTION("""COMPUTED_VALUE"""),42709.99861111111)</f>
        <v>42709.99861</v>
      </c>
      <c r="B2343" s="1">
        <f>IFERROR(__xludf.DUMMYFUNCTION("""COMPUTED_VALUE"""),377.14852)</f>
        <v>377.14852</v>
      </c>
    </row>
    <row r="2344">
      <c r="A2344" s="3">
        <f>IFERROR(__xludf.DUMMYFUNCTION("""COMPUTED_VALUE"""),42710.99861111111)</f>
        <v>42710.99861</v>
      </c>
      <c r="B2344" s="1">
        <f>IFERROR(__xludf.DUMMYFUNCTION("""COMPUTED_VALUE"""),373.21872)</f>
        <v>373.21872</v>
      </c>
    </row>
    <row r="2345">
      <c r="A2345" s="3">
        <f>IFERROR(__xludf.DUMMYFUNCTION("""COMPUTED_VALUE"""),42711.99861111111)</f>
        <v>42711.99861</v>
      </c>
      <c r="B2345" s="1">
        <f>IFERROR(__xludf.DUMMYFUNCTION("""COMPUTED_VALUE"""),372.81816)</f>
        <v>372.81816</v>
      </c>
    </row>
    <row r="2346">
      <c r="A2346" s="3">
        <f>IFERROR(__xludf.DUMMYFUNCTION("""COMPUTED_VALUE"""),42712.99861111111)</f>
        <v>42712.99861</v>
      </c>
      <c r="B2346" s="1">
        <f>IFERROR(__xludf.DUMMYFUNCTION("""COMPUTED_VALUE"""),373.36636)</f>
        <v>373.36636</v>
      </c>
    </row>
    <row r="2347">
      <c r="A2347" s="3">
        <f>IFERROR(__xludf.DUMMYFUNCTION("""COMPUTED_VALUE"""),42713.99861111111)</f>
        <v>42713.99861</v>
      </c>
      <c r="B2347" s="1">
        <f>IFERROR(__xludf.DUMMYFUNCTION("""COMPUTED_VALUE"""),373.66)</f>
        <v>373.66</v>
      </c>
    </row>
    <row r="2348">
      <c r="A2348" s="3">
        <f>IFERROR(__xludf.DUMMYFUNCTION("""COMPUTED_VALUE"""),42714.99861111111)</f>
        <v>42714.99861</v>
      </c>
      <c r="B2348" s="1">
        <f>IFERROR(__xludf.DUMMYFUNCTION("""COMPUTED_VALUE"""),373.83164)</f>
        <v>373.83164</v>
      </c>
    </row>
    <row r="2349">
      <c r="A2349" s="3">
        <f>IFERROR(__xludf.DUMMYFUNCTION("""COMPUTED_VALUE"""),42715.99861111111)</f>
        <v>42715.99861</v>
      </c>
      <c r="B2349" s="1">
        <f>IFERROR(__xludf.DUMMYFUNCTION("""COMPUTED_VALUE"""),373.86243)</f>
        <v>373.86243</v>
      </c>
    </row>
    <row r="2350">
      <c r="A2350" s="3">
        <f>IFERROR(__xludf.DUMMYFUNCTION("""COMPUTED_VALUE"""),42716.99861111111)</f>
        <v>42716.99861</v>
      </c>
      <c r="B2350" s="1">
        <f>IFERROR(__xludf.DUMMYFUNCTION("""COMPUTED_VALUE"""),373.1118)</f>
        <v>373.1118</v>
      </c>
    </row>
    <row r="2351">
      <c r="A2351" s="3">
        <f>IFERROR(__xludf.DUMMYFUNCTION("""COMPUTED_VALUE"""),42717.99861111111)</f>
        <v>42717.99861</v>
      </c>
      <c r="B2351" s="1">
        <f>IFERROR(__xludf.DUMMYFUNCTION("""COMPUTED_VALUE"""),373.0352)</f>
        <v>373.0352</v>
      </c>
    </row>
    <row r="2352">
      <c r="A2352" s="3">
        <f>IFERROR(__xludf.DUMMYFUNCTION("""COMPUTED_VALUE"""),42718.99861111111)</f>
        <v>42718.99861</v>
      </c>
      <c r="B2352" s="1">
        <f>IFERROR(__xludf.DUMMYFUNCTION("""COMPUTED_VALUE"""),375.704)</f>
        <v>375.704</v>
      </c>
    </row>
    <row r="2353">
      <c r="A2353" s="3">
        <f>IFERROR(__xludf.DUMMYFUNCTION("""COMPUTED_VALUE"""),42719.99861111111)</f>
        <v>42719.99861</v>
      </c>
      <c r="B2353" s="1">
        <f>IFERROR(__xludf.DUMMYFUNCTION("""COMPUTED_VALUE"""),374.83745)</f>
        <v>374.83745</v>
      </c>
    </row>
    <row r="2354">
      <c r="A2354" s="3">
        <f>IFERROR(__xludf.DUMMYFUNCTION("""COMPUTED_VALUE"""),42720.99861111111)</f>
        <v>42720.99861</v>
      </c>
      <c r="B2354" s="1">
        <f>IFERROR(__xludf.DUMMYFUNCTION("""COMPUTED_VALUE"""),373.44065)</f>
        <v>373.44065</v>
      </c>
    </row>
    <row r="2355">
      <c r="A2355" s="3">
        <f>IFERROR(__xludf.DUMMYFUNCTION("""COMPUTED_VALUE"""),42721.99861111111)</f>
        <v>42721.99861</v>
      </c>
      <c r="B2355" s="1">
        <f>IFERROR(__xludf.DUMMYFUNCTION("""COMPUTED_VALUE"""),366.87024)</f>
        <v>366.87024</v>
      </c>
    </row>
    <row r="2356">
      <c r="A2356" s="3">
        <f>IFERROR(__xludf.DUMMYFUNCTION("""COMPUTED_VALUE"""),42722.99861111111)</f>
        <v>42722.99861</v>
      </c>
      <c r="B2356" s="1">
        <f>IFERROR(__xludf.DUMMYFUNCTION("""COMPUTED_VALUE"""),365.89122)</f>
        <v>365.89122</v>
      </c>
    </row>
    <row r="2357">
      <c r="A2357" s="3">
        <f>IFERROR(__xludf.DUMMYFUNCTION("""COMPUTED_VALUE"""),42723.99861111111)</f>
        <v>42723.99861</v>
      </c>
      <c r="B2357" s="1">
        <f>IFERROR(__xludf.DUMMYFUNCTION("""COMPUTED_VALUE"""),372.3545)</f>
        <v>372.3545</v>
      </c>
    </row>
    <row r="2358">
      <c r="A2358" s="3">
        <f>IFERROR(__xludf.DUMMYFUNCTION("""COMPUTED_VALUE"""),42724.99861111111)</f>
        <v>42724.99861</v>
      </c>
      <c r="B2358" s="1">
        <f>IFERROR(__xludf.DUMMYFUNCTION("""COMPUTED_VALUE"""),372.83538)</f>
        <v>372.83538</v>
      </c>
    </row>
    <row r="2359">
      <c r="A2359" s="3">
        <f>IFERROR(__xludf.DUMMYFUNCTION("""COMPUTED_VALUE"""),42725.99861111111)</f>
        <v>42725.99861</v>
      </c>
      <c r="B2359" s="1">
        <f>IFERROR(__xludf.DUMMYFUNCTION("""COMPUTED_VALUE"""),373.33542)</f>
        <v>373.33542</v>
      </c>
    </row>
    <row r="2360">
      <c r="A2360" s="3">
        <f>IFERROR(__xludf.DUMMYFUNCTION("""COMPUTED_VALUE"""),42726.99861111111)</f>
        <v>42726.99861</v>
      </c>
      <c r="B2360" s="1">
        <f>IFERROR(__xludf.DUMMYFUNCTION("""COMPUTED_VALUE"""),373.07526)</f>
        <v>373.07526</v>
      </c>
    </row>
    <row r="2361">
      <c r="A2361" s="3">
        <f>IFERROR(__xludf.DUMMYFUNCTION("""COMPUTED_VALUE"""),42727.99861111111)</f>
        <v>42727.99861</v>
      </c>
      <c r="B2361" s="1">
        <f>IFERROR(__xludf.DUMMYFUNCTION("""COMPUTED_VALUE"""),373.03441)</f>
        <v>373.03441</v>
      </c>
    </row>
    <row r="2362">
      <c r="A2362" s="3">
        <f>IFERROR(__xludf.DUMMYFUNCTION("""COMPUTED_VALUE"""),42728.99861111111)</f>
        <v>42728.99861</v>
      </c>
      <c r="B2362" s="1">
        <f>IFERROR(__xludf.DUMMYFUNCTION("""COMPUTED_VALUE"""),373.30307)</f>
        <v>373.30307</v>
      </c>
    </row>
    <row r="2363">
      <c r="A2363" s="3">
        <f>IFERROR(__xludf.DUMMYFUNCTION("""COMPUTED_VALUE"""),42729.99861111111)</f>
        <v>42729.99861</v>
      </c>
      <c r="B2363" s="1">
        <f>IFERROR(__xludf.DUMMYFUNCTION("""COMPUTED_VALUE"""),373.55318)</f>
        <v>373.55318</v>
      </c>
    </row>
    <row r="2364">
      <c r="A2364" s="3">
        <f>IFERROR(__xludf.DUMMYFUNCTION("""COMPUTED_VALUE"""),42730.99861111111)</f>
        <v>42730.99861</v>
      </c>
      <c r="B2364" s="1">
        <f>IFERROR(__xludf.DUMMYFUNCTION("""COMPUTED_VALUE"""),366.02566)</f>
        <v>366.02566</v>
      </c>
    </row>
    <row r="2365">
      <c r="A2365" s="3">
        <f>IFERROR(__xludf.DUMMYFUNCTION("""COMPUTED_VALUE"""),42731.99861111111)</f>
        <v>42731.99861</v>
      </c>
      <c r="B2365" s="1">
        <f>IFERROR(__xludf.DUMMYFUNCTION("""COMPUTED_VALUE"""),372.65475)</f>
        <v>372.65475</v>
      </c>
    </row>
    <row r="2366">
      <c r="A2366" s="3">
        <f>IFERROR(__xludf.DUMMYFUNCTION("""COMPUTED_VALUE"""),42732.99861111111)</f>
        <v>42732.99861</v>
      </c>
      <c r="B2366" s="1">
        <f>IFERROR(__xludf.DUMMYFUNCTION("""COMPUTED_VALUE"""),374.7522)</f>
        <v>374.7522</v>
      </c>
    </row>
    <row r="2367">
      <c r="A2367" s="3">
        <f>IFERROR(__xludf.DUMMYFUNCTION("""COMPUTED_VALUE"""),42733.99861111111)</f>
        <v>42733.99861</v>
      </c>
      <c r="B2367" s="1">
        <f>IFERROR(__xludf.DUMMYFUNCTION("""COMPUTED_VALUE"""),375.16276)</f>
        <v>375.16276</v>
      </c>
    </row>
    <row r="2368">
      <c r="A2368" s="3">
        <f>IFERROR(__xludf.DUMMYFUNCTION("""COMPUTED_VALUE"""),42734.99861111111)</f>
        <v>42734.99861</v>
      </c>
      <c r="B2368" s="1">
        <f>IFERROR(__xludf.DUMMYFUNCTION("""COMPUTED_VALUE"""),377.28738)</f>
        <v>377.28738</v>
      </c>
    </row>
    <row r="2369">
      <c r="A2369" s="3">
        <f>IFERROR(__xludf.DUMMYFUNCTION("""COMPUTED_VALUE"""),42735.99861111111)</f>
        <v>42735.99861</v>
      </c>
      <c r="B2369" s="1">
        <f>IFERROR(__xludf.DUMMYFUNCTION("""COMPUTED_VALUE"""),377.01702)</f>
        <v>377.01702</v>
      </c>
    </row>
    <row r="2370">
      <c r="A2370" s="3">
        <f>IFERROR(__xludf.DUMMYFUNCTION("""COMPUTED_VALUE"""),42736.99861111111)</f>
        <v>42736.99861</v>
      </c>
      <c r="B2370" s="1">
        <f>IFERROR(__xludf.DUMMYFUNCTION("""COMPUTED_VALUE"""),377.39016)</f>
        <v>377.39016</v>
      </c>
    </row>
    <row r="2371">
      <c r="A2371" s="3">
        <f>IFERROR(__xludf.DUMMYFUNCTION("""COMPUTED_VALUE"""),42737.99861111111)</f>
        <v>42737.99861</v>
      </c>
      <c r="B2371" s="1">
        <f>IFERROR(__xludf.DUMMYFUNCTION("""COMPUTED_VALUE"""),376.8174)</f>
        <v>376.8174</v>
      </c>
    </row>
    <row r="2372">
      <c r="A2372" s="3">
        <f>IFERROR(__xludf.DUMMYFUNCTION("""COMPUTED_VALUE"""),42738.99861111111)</f>
        <v>42738.99861</v>
      </c>
      <c r="B2372" s="1">
        <f>IFERROR(__xludf.DUMMYFUNCTION("""COMPUTED_VALUE"""),374.38755)</f>
        <v>374.38755</v>
      </c>
    </row>
    <row r="2373">
      <c r="A2373" s="3">
        <f>IFERROR(__xludf.DUMMYFUNCTION("""COMPUTED_VALUE"""),42739.99861111111)</f>
        <v>42739.99861</v>
      </c>
      <c r="B2373" s="1">
        <f>IFERROR(__xludf.DUMMYFUNCTION("""COMPUTED_VALUE"""),372.80964)</f>
        <v>372.80964</v>
      </c>
    </row>
    <row r="2374">
      <c r="A2374" s="3">
        <f>IFERROR(__xludf.DUMMYFUNCTION("""COMPUTED_VALUE"""),42740.99861111111)</f>
        <v>42740.99861</v>
      </c>
      <c r="B2374" s="1">
        <f>IFERROR(__xludf.DUMMYFUNCTION("""COMPUTED_VALUE"""),373.46476)</f>
        <v>373.46476</v>
      </c>
    </row>
    <row r="2375">
      <c r="A2375" s="3">
        <f>IFERROR(__xludf.DUMMYFUNCTION("""COMPUTED_VALUE"""),42741.99861111111)</f>
        <v>42741.99861</v>
      </c>
      <c r="B2375" s="1">
        <f>IFERROR(__xludf.DUMMYFUNCTION("""COMPUTED_VALUE"""),373.04232)</f>
        <v>373.04232</v>
      </c>
    </row>
    <row r="2376">
      <c r="A2376" s="3">
        <f>IFERROR(__xludf.DUMMYFUNCTION("""COMPUTED_VALUE"""),42742.99861111111)</f>
        <v>42742.99861</v>
      </c>
      <c r="B2376" s="1">
        <f>IFERROR(__xludf.DUMMYFUNCTION("""COMPUTED_VALUE"""),373.04232)</f>
        <v>373.04232</v>
      </c>
    </row>
    <row r="2377">
      <c r="A2377" s="3">
        <f>IFERROR(__xludf.DUMMYFUNCTION("""COMPUTED_VALUE"""),42743.99861111111)</f>
        <v>42743.99861</v>
      </c>
      <c r="B2377" s="1">
        <f>IFERROR(__xludf.DUMMYFUNCTION("""COMPUTED_VALUE"""),373.42747)</f>
        <v>373.42747</v>
      </c>
    </row>
    <row r="2378">
      <c r="A2378" s="3">
        <f>IFERROR(__xludf.DUMMYFUNCTION("""COMPUTED_VALUE"""),42744.99861111111)</f>
        <v>42744.99861</v>
      </c>
      <c r="B2378" s="1">
        <f>IFERROR(__xludf.DUMMYFUNCTION("""COMPUTED_VALUE"""),373.59084)</f>
        <v>373.59084</v>
      </c>
    </row>
    <row r="2379">
      <c r="A2379" s="3">
        <f>IFERROR(__xludf.DUMMYFUNCTION("""COMPUTED_VALUE"""),42745.99861111111)</f>
        <v>42745.99861</v>
      </c>
      <c r="B2379" s="1">
        <f>IFERROR(__xludf.DUMMYFUNCTION("""COMPUTED_VALUE"""),373.4771)</f>
        <v>373.4771</v>
      </c>
    </row>
    <row r="2380">
      <c r="A2380" s="3">
        <f>IFERROR(__xludf.DUMMYFUNCTION("""COMPUTED_VALUE"""),42746.99861111111)</f>
        <v>42746.99861</v>
      </c>
      <c r="B2380" s="1">
        <f>IFERROR(__xludf.DUMMYFUNCTION("""COMPUTED_VALUE"""),373.66102)</f>
        <v>373.66102</v>
      </c>
    </row>
    <row r="2381">
      <c r="A2381" s="3">
        <f>IFERROR(__xludf.DUMMYFUNCTION("""COMPUTED_VALUE"""),42747.99861111111)</f>
        <v>42747.99861</v>
      </c>
      <c r="B2381" s="1">
        <f>IFERROR(__xludf.DUMMYFUNCTION("""COMPUTED_VALUE"""),374.80366)</f>
        <v>374.80366</v>
      </c>
    </row>
    <row r="2382">
      <c r="A2382" s="3">
        <f>IFERROR(__xludf.DUMMYFUNCTION("""COMPUTED_VALUE"""),42748.99861111111)</f>
        <v>42748.99861</v>
      </c>
      <c r="B2382" s="1">
        <f>IFERROR(__xludf.DUMMYFUNCTION("""COMPUTED_VALUE"""),375.69286)</f>
        <v>375.69286</v>
      </c>
    </row>
    <row r="2383">
      <c r="A2383" s="3">
        <f>IFERROR(__xludf.DUMMYFUNCTION("""COMPUTED_VALUE"""),42749.99861111111)</f>
        <v>42749.99861</v>
      </c>
      <c r="B2383" s="1">
        <f>IFERROR(__xludf.DUMMYFUNCTION("""COMPUTED_VALUE"""),375.82599)</f>
        <v>375.82599</v>
      </c>
    </row>
    <row r="2384">
      <c r="A2384" s="3">
        <f>IFERROR(__xludf.DUMMYFUNCTION("""COMPUTED_VALUE"""),42750.99861111111)</f>
        <v>42750.99861</v>
      </c>
      <c r="B2384" s="1">
        <f>IFERROR(__xludf.DUMMYFUNCTION("""COMPUTED_VALUE"""),375.16034)</f>
        <v>375.16034</v>
      </c>
    </row>
    <row r="2385">
      <c r="A2385" s="3">
        <f>IFERROR(__xludf.DUMMYFUNCTION("""COMPUTED_VALUE"""),42751.99861111111)</f>
        <v>42751.99861</v>
      </c>
      <c r="B2385" s="1">
        <f>IFERROR(__xludf.DUMMYFUNCTION("""COMPUTED_VALUE"""),376.70878)</f>
        <v>376.70878</v>
      </c>
    </row>
    <row r="2386">
      <c r="A2386" s="3">
        <f>IFERROR(__xludf.DUMMYFUNCTION("""COMPUTED_VALUE"""),42752.99861111111)</f>
        <v>42752.99861</v>
      </c>
      <c r="B2386" s="1">
        <f>IFERROR(__xludf.DUMMYFUNCTION("""COMPUTED_VALUE"""),376.80864)</f>
        <v>376.80864</v>
      </c>
    </row>
    <row r="2387">
      <c r="A2387" s="3">
        <f>IFERROR(__xludf.DUMMYFUNCTION("""COMPUTED_VALUE"""),42753.99861111111)</f>
        <v>42753.99861</v>
      </c>
      <c r="B2387" s="1">
        <f>IFERROR(__xludf.DUMMYFUNCTION("""COMPUTED_VALUE"""),377.034)</f>
        <v>377.034</v>
      </c>
    </row>
    <row r="2388">
      <c r="A2388" s="3">
        <f>IFERROR(__xludf.DUMMYFUNCTION("""COMPUTED_VALUE"""),42754.99861111111)</f>
        <v>42754.99861</v>
      </c>
      <c r="B2388" s="1">
        <f>IFERROR(__xludf.DUMMYFUNCTION("""COMPUTED_VALUE"""),377.52716)</f>
        <v>377.52716</v>
      </c>
    </row>
    <row r="2389">
      <c r="A2389" s="3">
        <f>IFERROR(__xludf.DUMMYFUNCTION("""COMPUTED_VALUE"""),42755.99861111111)</f>
        <v>42755.99861</v>
      </c>
      <c r="B2389" s="1">
        <f>IFERROR(__xludf.DUMMYFUNCTION("""COMPUTED_VALUE"""),377.81653)</f>
        <v>377.81653</v>
      </c>
    </row>
    <row r="2390">
      <c r="A2390" s="3">
        <f>IFERROR(__xludf.DUMMYFUNCTION("""COMPUTED_VALUE"""),42756.99861111111)</f>
        <v>42756.99861</v>
      </c>
      <c r="B2390" s="1">
        <f>IFERROR(__xludf.DUMMYFUNCTION("""COMPUTED_VALUE"""),378.08439)</f>
        <v>378.08439</v>
      </c>
    </row>
    <row r="2391">
      <c r="A2391" s="3">
        <f>IFERROR(__xludf.DUMMYFUNCTION("""COMPUTED_VALUE"""),42757.99861111111)</f>
        <v>42757.99861</v>
      </c>
      <c r="B2391" s="1">
        <f>IFERROR(__xludf.DUMMYFUNCTION("""COMPUTED_VALUE"""),379.12168)</f>
        <v>379.12168</v>
      </c>
    </row>
    <row r="2392">
      <c r="A2392" s="3">
        <f>IFERROR(__xludf.DUMMYFUNCTION("""COMPUTED_VALUE"""),42758.99861111111)</f>
        <v>42758.99861</v>
      </c>
      <c r="B2392" s="1">
        <f>IFERROR(__xludf.DUMMYFUNCTION("""COMPUTED_VALUE"""),378.33075)</f>
        <v>378.33075</v>
      </c>
    </row>
    <row r="2393">
      <c r="A2393" s="3">
        <f>IFERROR(__xludf.DUMMYFUNCTION("""COMPUTED_VALUE"""),42759.99861111111)</f>
        <v>42759.99861</v>
      </c>
      <c r="B2393" s="1">
        <f>IFERROR(__xludf.DUMMYFUNCTION("""COMPUTED_VALUE"""),378.37912)</f>
        <v>378.37912</v>
      </c>
    </row>
    <row r="2394">
      <c r="A2394" s="3">
        <f>IFERROR(__xludf.DUMMYFUNCTION("""COMPUTED_VALUE"""),42760.99861111111)</f>
        <v>42760.99861</v>
      </c>
      <c r="B2394" s="1">
        <f>IFERROR(__xludf.DUMMYFUNCTION("""COMPUTED_VALUE"""),378.1744)</f>
        <v>378.1744</v>
      </c>
    </row>
    <row r="2395">
      <c r="A2395" s="3">
        <f>IFERROR(__xludf.DUMMYFUNCTION("""COMPUTED_VALUE"""),42761.99861111111)</f>
        <v>42761.99861</v>
      </c>
      <c r="B2395" s="1">
        <f>IFERROR(__xludf.DUMMYFUNCTION("""COMPUTED_VALUE"""),378.98597)</f>
        <v>378.98597</v>
      </c>
    </row>
    <row r="2396">
      <c r="A2396" s="3">
        <f>IFERROR(__xludf.DUMMYFUNCTION("""COMPUTED_VALUE"""),42762.99861111111)</f>
        <v>42762.99861</v>
      </c>
      <c r="B2396" s="1">
        <f>IFERROR(__xludf.DUMMYFUNCTION("""COMPUTED_VALUE"""),378.27024)</f>
        <v>378.27024</v>
      </c>
    </row>
    <row r="2397">
      <c r="A2397" s="3">
        <f>IFERROR(__xludf.DUMMYFUNCTION("""COMPUTED_VALUE"""),42763.99861111111)</f>
        <v>42763.99861</v>
      </c>
      <c r="B2397" s="1">
        <f>IFERROR(__xludf.DUMMYFUNCTION("""COMPUTED_VALUE"""),371.3902644)</f>
        <v>371.3902644</v>
      </c>
    </row>
    <row r="2398">
      <c r="A2398" s="3">
        <f>IFERROR(__xludf.DUMMYFUNCTION("""COMPUTED_VALUE"""),42764.99861111111)</f>
        <v>42764.99861</v>
      </c>
      <c r="B2398" s="1">
        <f>IFERROR(__xludf.DUMMYFUNCTION("""COMPUTED_VALUE"""),376.99254)</f>
        <v>376.99254</v>
      </c>
    </row>
    <row r="2399">
      <c r="A2399" s="3">
        <f>IFERROR(__xludf.DUMMYFUNCTION("""COMPUTED_VALUE"""),42765.99861111111)</f>
        <v>42765.99861</v>
      </c>
      <c r="B2399" s="1">
        <f>IFERROR(__xludf.DUMMYFUNCTION("""COMPUTED_VALUE"""),378.7992)</f>
        <v>378.7992</v>
      </c>
    </row>
    <row r="2400">
      <c r="A2400" s="3">
        <f>IFERROR(__xludf.DUMMYFUNCTION("""COMPUTED_VALUE"""),42766.99861111111)</f>
        <v>42766.99861</v>
      </c>
      <c r="B2400" s="1">
        <f>IFERROR(__xludf.DUMMYFUNCTION("""COMPUTED_VALUE"""),379.93215)</f>
        <v>379.93215</v>
      </c>
    </row>
    <row r="2401">
      <c r="A2401" s="3">
        <f>IFERROR(__xludf.DUMMYFUNCTION("""COMPUTED_VALUE"""),42767.99861111111)</f>
        <v>42767.99861</v>
      </c>
      <c r="B2401" s="1">
        <f>IFERROR(__xludf.DUMMYFUNCTION("""COMPUTED_VALUE"""),380.2256)</f>
        <v>380.2256</v>
      </c>
    </row>
    <row r="2402">
      <c r="A2402" s="3">
        <f>IFERROR(__xludf.DUMMYFUNCTION("""COMPUTED_VALUE"""),42768.99861111111)</f>
        <v>42768.99861</v>
      </c>
      <c r="B2402" s="1">
        <f>IFERROR(__xludf.DUMMYFUNCTION("""COMPUTED_VALUE"""),380.49446)</f>
        <v>380.49446</v>
      </c>
    </row>
    <row r="2403">
      <c r="A2403" s="3">
        <f>IFERROR(__xludf.DUMMYFUNCTION("""COMPUTED_VALUE"""),42769.99861111111)</f>
        <v>42769.99861</v>
      </c>
      <c r="B2403" s="1">
        <f>IFERROR(__xludf.DUMMYFUNCTION("""COMPUTED_VALUE"""),379.82936)</f>
        <v>379.82936</v>
      </c>
    </row>
    <row r="2404">
      <c r="A2404" s="3">
        <f>IFERROR(__xludf.DUMMYFUNCTION("""COMPUTED_VALUE"""),42770.99861111111)</f>
        <v>42770.99861</v>
      </c>
      <c r="B2404" s="1">
        <f>IFERROR(__xludf.DUMMYFUNCTION("""COMPUTED_VALUE"""),374.1332398)</f>
        <v>374.1332398</v>
      </c>
    </row>
    <row r="2405">
      <c r="A2405" s="3">
        <f>IFERROR(__xludf.DUMMYFUNCTION("""COMPUTED_VALUE"""),42771.99861111111)</f>
        <v>42771.99861</v>
      </c>
      <c r="B2405" s="1">
        <f>IFERROR(__xludf.DUMMYFUNCTION("""COMPUTED_VALUE"""),380.39976)</f>
        <v>380.39976</v>
      </c>
    </row>
    <row r="2406">
      <c r="A2406" s="3">
        <f>IFERROR(__xludf.DUMMYFUNCTION("""COMPUTED_VALUE"""),42772.99861111111)</f>
        <v>42772.99861</v>
      </c>
      <c r="B2406" s="1">
        <f>IFERROR(__xludf.DUMMYFUNCTION("""COMPUTED_VALUE"""),380.4573)</f>
        <v>380.4573</v>
      </c>
    </row>
    <row r="2407">
      <c r="A2407" s="3">
        <f>IFERROR(__xludf.DUMMYFUNCTION("""COMPUTED_VALUE"""),42773.99861111111)</f>
        <v>42773.99861</v>
      </c>
      <c r="B2407" s="1">
        <f>IFERROR(__xludf.DUMMYFUNCTION("""COMPUTED_VALUE"""),379.7343)</f>
        <v>379.7343</v>
      </c>
    </row>
    <row r="2408">
      <c r="A2408" s="3">
        <f>IFERROR(__xludf.DUMMYFUNCTION("""COMPUTED_VALUE"""),42774.99861111111)</f>
        <v>42774.99861</v>
      </c>
      <c r="B2408" s="1">
        <f>IFERROR(__xludf.DUMMYFUNCTION("""COMPUTED_VALUE"""),379.90512)</f>
        <v>379.90512</v>
      </c>
    </row>
    <row r="2409">
      <c r="A2409" s="3">
        <f>IFERROR(__xludf.DUMMYFUNCTION("""COMPUTED_VALUE"""),42775.99861111111)</f>
        <v>42775.99861</v>
      </c>
      <c r="B2409" s="1">
        <f>IFERROR(__xludf.DUMMYFUNCTION("""COMPUTED_VALUE"""),378.708)</f>
        <v>378.708</v>
      </c>
    </row>
    <row r="2410">
      <c r="A2410" s="3">
        <f>IFERROR(__xludf.DUMMYFUNCTION("""COMPUTED_VALUE"""),42776.99861111111)</f>
        <v>42776.99861</v>
      </c>
      <c r="B2410" s="1">
        <f>IFERROR(__xludf.DUMMYFUNCTION("""COMPUTED_VALUE"""),379.4205)</f>
        <v>379.4205</v>
      </c>
    </row>
    <row r="2411">
      <c r="A2411" s="3">
        <f>IFERROR(__xludf.DUMMYFUNCTION("""COMPUTED_VALUE"""),42777.99861111111)</f>
        <v>42777.99861</v>
      </c>
      <c r="B2411" s="1">
        <f>IFERROR(__xludf.DUMMYFUNCTION("""COMPUTED_VALUE"""),379.999905)</f>
        <v>379.999905</v>
      </c>
    </row>
    <row r="2412">
      <c r="A2412" s="3">
        <f>IFERROR(__xludf.DUMMYFUNCTION("""COMPUTED_VALUE"""),42778.99861111111)</f>
        <v>42778.99861</v>
      </c>
      <c r="B2412" s="1">
        <f>IFERROR(__xludf.DUMMYFUNCTION("""COMPUTED_VALUE"""),379.91415)</f>
        <v>379.91415</v>
      </c>
    </row>
    <row r="2413">
      <c r="A2413" s="3">
        <f>IFERROR(__xludf.DUMMYFUNCTION("""COMPUTED_VALUE"""),42779.99861111111)</f>
        <v>42779.99861</v>
      </c>
      <c r="B2413" s="1">
        <f>IFERROR(__xludf.DUMMYFUNCTION("""COMPUTED_VALUE"""),379.7055)</f>
        <v>379.7055</v>
      </c>
    </row>
    <row r="2414">
      <c r="A2414" s="3">
        <f>IFERROR(__xludf.DUMMYFUNCTION("""COMPUTED_VALUE"""),42780.99861111111)</f>
        <v>42780.99861</v>
      </c>
      <c r="B2414" s="1">
        <f>IFERROR(__xludf.DUMMYFUNCTION("""COMPUTED_VALUE"""),379.38208)</f>
        <v>379.38208</v>
      </c>
    </row>
    <row r="2415">
      <c r="A2415" s="3">
        <f>IFERROR(__xludf.DUMMYFUNCTION("""COMPUTED_VALUE"""),42781.99861111111)</f>
        <v>42781.99861</v>
      </c>
      <c r="B2415" s="1">
        <f>IFERROR(__xludf.DUMMYFUNCTION("""COMPUTED_VALUE"""),380.1718)</f>
        <v>380.1718</v>
      </c>
    </row>
    <row r="2416">
      <c r="A2416" s="3">
        <f>IFERROR(__xludf.DUMMYFUNCTION("""COMPUTED_VALUE"""),42782.99861111111)</f>
        <v>42782.99861</v>
      </c>
      <c r="B2416" s="1">
        <f>IFERROR(__xludf.DUMMYFUNCTION("""COMPUTED_VALUE"""),380.44776)</f>
        <v>380.44776</v>
      </c>
    </row>
    <row r="2417">
      <c r="A2417" s="3">
        <f>IFERROR(__xludf.DUMMYFUNCTION("""COMPUTED_VALUE"""),42783.99861111111)</f>
        <v>42783.99861</v>
      </c>
      <c r="B2417" s="1">
        <f>IFERROR(__xludf.DUMMYFUNCTION("""COMPUTED_VALUE"""),381.06666)</f>
        <v>381.06666</v>
      </c>
    </row>
    <row r="2418">
      <c r="A2418" s="3">
        <f>IFERROR(__xludf.DUMMYFUNCTION("""COMPUTED_VALUE"""),42784.99861111111)</f>
        <v>42784.99861</v>
      </c>
      <c r="B2418" s="1">
        <f>IFERROR(__xludf.DUMMYFUNCTION("""COMPUTED_VALUE"""),381.4417841)</f>
        <v>381.4417841</v>
      </c>
    </row>
    <row r="2419">
      <c r="A2419" s="3">
        <f>IFERROR(__xludf.DUMMYFUNCTION("""COMPUTED_VALUE"""),42785.99861111111)</f>
        <v>42785.99861</v>
      </c>
      <c r="B2419" s="1">
        <f>IFERROR(__xludf.DUMMYFUNCTION("""COMPUTED_VALUE"""),381.009)</f>
        <v>381.009</v>
      </c>
    </row>
    <row r="2420">
      <c r="A2420" s="3">
        <f>IFERROR(__xludf.DUMMYFUNCTION("""COMPUTED_VALUE"""),42786.99861111111)</f>
        <v>42786.99861</v>
      </c>
      <c r="B2420" s="1">
        <f>IFERROR(__xludf.DUMMYFUNCTION("""COMPUTED_VALUE"""),380.92338)</f>
        <v>380.92338</v>
      </c>
    </row>
    <row r="2421">
      <c r="A2421" s="3">
        <f>IFERROR(__xludf.DUMMYFUNCTION("""COMPUTED_VALUE"""),42787.99861111111)</f>
        <v>42787.99861</v>
      </c>
      <c r="B2421" s="1">
        <f>IFERROR(__xludf.DUMMYFUNCTION("""COMPUTED_VALUE"""),381.10374)</f>
        <v>381.10374</v>
      </c>
    </row>
    <row r="2422">
      <c r="A2422" s="3">
        <f>IFERROR(__xludf.DUMMYFUNCTION("""COMPUTED_VALUE"""),42788.99861111111)</f>
        <v>42788.99861</v>
      </c>
      <c r="B2422" s="1">
        <f>IFERROR(__xludf.DUMMYFUNCTION("""COMPUTED_VALUE"""),380.66652)</f>
        <v>380.66652</v>
      </c>
    </row>
    <row r="2423">
      <c r="A2423" s="3">
        <f>IFERROR(__xludf.DUMMYFUNCTION("""COMPUTED_VALUE"""),42789.99861111111)</f>
        <v>42789.99861</v>
      </c>
      <c r="B2423" s="1">
        <f>IFERROR(__xludf.DUMMYFUNCTION("""COMPUTED_VALUE"""),380.8285)</f>
        <v>380.8285</v>
      </c>
    </row>
    <row r="2424">
      <c r="A2424" s="3">
        <f>IFERROR(__xludf.DUMMYFUNCTION("""COMPUTED_VALUE"""),42790.99861111111)</f>
        <v>42790.99861</v>
      </c>
      <c r="B2424" s="1">
        <f>IFERROR(__xludf.DUMMYFUNCTION("""COMPUTED_VALUE"""),381.30426)</f>
        <v>381.30426</v>
      </c>
    </row>
    <row r="2425">
      <c r="A2425" s="3">
        <f>IFERROR(__xludf.DUMMYFUNCTION("""COMPUTED_VALUE"""),42791.99861111111)</f>
        <v>42791.99861</v>
      </c>
      <c r="B2425" s="1">
        <f>IFERROR(__xludf.DUMMYFUNCTION("""COMPUTED_VALUE"""),372.11139)</f>
        <v>372.11139</v>
      </c>
    </row>
    <row r="2426">
      <c r="A2426" s="3">
        <f>IFERROR(__xludf.DUMMYFUNCTION("""COMPUTED_VALUE"""),42792.99861111111)</f>
        <v>42792.99861</v>
      </c>
      <c r="B2426" s="1">
        <f>IFERROR(__xludf.DUMMYFUNCTION("""COMPUTED_VALUE"""),381.59936)</f>
        <v>381.59936</v>
      </c>
    </row>
    <row r="2427">
      <c r="A2427" s="3">
        <f>IFERROR(__xludf.DUMMYFUNCTION("""COMPUTED_VALUE"""),42793.99861111111)</f>
        <v>42793.99861</v>
      </c>
      <c r="B2427" s="1">
        <f>IFERROR(__xludf.DUMMYFUNCTION("""COMPUTED_VALUE"""),382.69591)</f>
        <v>382.69591</v>
      </c>
    </row>
    <row r="2428">
      <c r="A2428" s="3">
        <f>IFERROR(__xludf.DUMMYFUNCTION("""COMPUTED_VALUE"""),42794.99861111111)</f>
        <v>42794.99861</v>
      </c>
      <c r="B2428" s="1">
        <f>IFERROR(__xludf.DUMMYFUNCTION("""COMPUTED_VALUE"""),382.9826)</f>
        <v>382.9826</v>
      </c>
    </row>
    <row r="2429">
      <c r="A2429" s="3">
        <f>IFERROR(__xludf.DUMMYFUNCTION("""COMPUTED_VALUE"""),42795.99861111111)</f>
        <v>42795.99861</v>
      </c>
      <c r="B2429" s="1">
        <f>IFERROR(__xludf.DUMMYFUNCTION("""COMPUTED_VALUE"""),382.3416)</f>
        <v>382.3416</v>
      </c>
    </row>
    <row r="2430">
      <c r="A2430" s="3">
        <f>IFERROR(__xludf.DUMMYFUNCTION("""COMPUTED_VALUE"""),42796.99861111111)</f>
        <v>42796.99861</v>
      </c>
      <c r="B2430" s="1">
        <f>IFERROR(__xludf.DUMMYFUNCTION("""COMPUTED_VALUE"""),381.53169)</f>
        <v>381.53169</v>
      </c>
    </row>
    <row r="2431">
      <c r="A2431" s="3">
        <f>IFERROR(__xludf.DUMMYFUNCTION("""COMPUTED_VALUE"""),42797.99861111111)</f>
        <v>42797.99861</v>
      </c>
      <c r="B2431" s="1">
        <f>IFERROR(__xludf.DUMMYFUNCTION("""COMPUTED_VALUE"""),379.90548)</f>
        <v>379.90548</v>
      </c>
    </row>
    <row r="2432">
      <c r="A2432" s="3">
        <f>IFERROR(__xludf.DUMMYFUNCTION("""COMPUTED_VALUE"""),42798.99861111111)</f>
        <v>42798.99861</v>
      </c>
      <c r="B2432" s="1">
        <f>IFERROR(__xludf.DUMMYFUNCTION("""COMPUTED_VALUE"""),380.3999049)</f>
        <v>380.3999049</v>
      </c>
    </row>
    <row r="2433">
      <c r="A2433" s="3">
        <f>IFERROR(__xludf.DUMMYFUNCTION("""COMPUTED_VALUE"""),42799.99861111111)</f>
        <v>42799.99861</v>
      </c>
      <c r="B2433" s="1">
        <f>IFERROR(__xludf.DUMMYFUNCTION("""COMPUTED_VALUE"""),378.95412)</f>
        <v>378.95412</v>
      </c>
    </row>
    <row r="2434">
      <c r="A2434" s="3">
        <f>IFERROR(__xludf.DUMMYFUNCTION("""COMPUTED_VALUE"""),42800.99861111111)</f>
        <v>42800.99861</v>
      </c>
      <c r="B2434" s="1">
        <f>IFERROR(__xludf.DUMMYFUNCTION("""COMPUTED_VALUE"""),380.38042)</f>
        <v>380.38042</v>
      </c>
    </row>
    <row r="2435">
      <c r="A2435" s="3">
        <f>IFERROR(__xludf.DUMMYFUNCTION("""COMPUTED_VALUE"""),42801.99861111111)</f>
        <v>42801.99861</v>
      </c>
      <c r="B2435" s="1">
        <f>IFERROR(__xludf.DUMMYFUNCTION("""COMPUTED_VALUE"""),379.67592)</f>
        <v>379.67592</v>
      </c>
    </row>
    <row r="2436">
      <c r="A2436" s="3">
        <f>IFERROR(__xludf.DUMMYFUNCTION("""COMPUTED_VALUE"""),42802.99861111111)</f>
        <v>42802.99861</v>
      </c>
      <c r="B2436" s="1">
        <f>IFERROR(__xludf.DUMMYFUNCTION("""COMPUTED_VALUE"""),378.71544)</f>
        <v>378.71544</v>
      </c>
    </row>
    <row r="2437">
      <c r="A2437" s="3">
        <f>IFERROR(__xludf.DUMMYFUNCTION("""COMPUTED_VALUE"""),42803.99861111111)</f>
        <v>42803.99861</v>
      </c>
      <c r="B2437" s="1">
        <f>IFERROR(__xludf.DUMMYFUNCTION("""COMPUTED_VALUE"""),378.36669)</f>
        <v>378.36669</v>
      </c>
    </row>
    <row r="2438">
      <c r="A2438" s="3">
        <f>IFERROR(__xludf.DUMMYFUNCTION("""COMPUTED_VALUE"""),42804.99861111111)</f>
        <v>42804.99861</v>
      </c>
      <c r="B2438" s="1">
        <f>IFERROR(__xludf.DUMMYFUNCTION("""COMPUTED_VALUE"""),377.37623)</f>
        <v>377.37623</v>
      </c>
    </row>
    <row r="2439">
      <c r="A2439" s="3">
        <f>IFERROR(__xludf.DUMMYFUNCTION("""COMPUTED_VALUE"""),42806.99861111111)</f>
        <v>42806.99861</v>
      </c>
      <c r="B2439" s="1">
        <f>IFERROR(__xludf.DUMMYFUNCTION("""COMPUTED_VALUE"""),377.29142)</f>
        <v>377.29142</v>
      </c>
    </row>
    <row r="2440">
      <c r="A2440" s="3">
        <f>IFERROR(__xludf.DUMMYFUNCTION("""COMPUTED_VALUE"""),42807.99861111111)</f>
        <v>42807.99861</v>
      </c>
      <c r="B2440" s="1">
        <f>IFERROR(__xludf.DUMMYFUNCTION("""COMPUTED_VALUE"""),378.29388)</f>
        <v>378.29388</v>
      </c>
    </row>
    <row r="2441">
      <c r="A2441" s="3">
        <f>IFERROR(__xludf.DUMMYFUNCTION("""COMPUTED_VALUE"""),42808.99861111111)</f>
        <v>42808.99861</v>
      </c>
      <c r="B2441" s="1">
        <f>IFERROR(__xludf.DUMMYFUNCTION("""COMPUTED_VALUE"""),379.2048)</f>
        <v>379.2048</v>
      </c>
    </row>
    <row r="2442">
      <c r="A2442" s="3">
        <f>IFERROR(__xludf.DUMMYFUNCTION("""COMPUTED_VALUE"""),42809.99861111111)</f>
        <v>42809.99861</v>
      </c>
      <c r="B2442" s="1">
        <f>IFERROR(__xludf.DUMMYFUNCTION("""COMPUTED_VALUE"""),376.94884)</f>
        <v>376.94884</v>
      </c>
    </row>
    <row r="2443">
      <c r="A2443" s="3">
        <f>IFERROR(__xludf.DUMMYFUNCTION("""COMPUTED_VALUE"""),42810.99861111111)</f>
        <v>42810.99861</v>
      </c>
      <c r="B2443" s="1">
        <f>IFERROR(__xludf.DUMMYFUNCTION("""COMPUTED_VALUE"""),380.02663)</f>
        <v>380.02663</v>
      </c>
    </row>
    <row r="2444">
      <c r="A2444" s="3">
        <f>IFERROR(__xludf.DUMMYFUNCTION("""COMPUTED_VALUE"""),42811.99861111111)</f>
        <v>42811.99861</v>
      </c>
      <c r="B2444" s="1">
        <f>IFERROR(__xludf.DUMMYFUNCTION("""COMPUTED_VALUE"""),382.4578)</f>
        <v>382.4578</v>
      </c>
    </row>
    <row r="2445">
      <c r="A2445" s="3">
        <f>IFERROR(__xludf.DUMMYFUNCTION("""COMPUTED_VALUE"""),42812.99861111111)</f>
        <v>42812.99861</v>
      </c>
      <c r="B2445" s="1">
        <f>IFERROR(__xludf.DUMMYFUNCTION("""COMPUTED_VALUE"""),382.7246)</f>
        <v>382.7246</v>
      </c>
    </row>
    <row r="2446">
      <c r="A2446" s="3">
        <f>IFERROR(__xludf.DUMMYFUNCTION("""COMPUTED_VALUE"""),42813.99861111111)</f>
        <v>42813.99861</v>
      </c>
      <c r="B2446" s="1">
        <f>IFERROR(__xludf.DUMMYFUNCTION("""COMPUTED_VALUE"""),382.4377)</f>
        <v>382.4377</v>
      </c>
    </row>
    <row r="2447">
      <c r="A2447" s="3">
        <f>IFERROR(__xludf.DUMMYFUNCTION("""COMPUTED_VALUE"""),42814.99861111111)</f>
        <v>42814.99861</v>
      </c>
      <c r="B2447" s="1">
        <f>IFERROR(__xludf.DUMMYFUNCTION("""COMPUTED_VALUE"""),384.22824)</f>
        <v>384.22824</v>
      </c>
    </row>
    <row r="2448">
      <c r="A2448" s="3">
        <f>IFERROR(__xludf.DUMMYFUNCTION("""COMPUTED_VALUE"""),42815.99861111111)</f>
        <v>42815.99861</v>
      </c>
      <c r="B2448" s="1">
        <f>IFERROR(__xludf.DUMMYFUNCTION("""COMPUTED_VALUE"""),382.87116)</f>
        <v>382.87116</v>
      </c>
    </row>
    <row r="2449">
      <c r="A2449" s="3">
        <f>IFERROR(__xludf.DUMMYFUNCTION("""COMPUTED_VALUE"""),42816.99861111111)</f>
        <v>42816.99861</v>
      </c>
      <c r="B2449" s="1">
        <f>IFERROR(__xludf.DUMMYFUNCTION("""COMPUTED_VALUE"""),385.1503)</f>
        <v>385.1503</v>
      </c>
    </row>
    <row r="2450">
      <c r="A2450" s="3">
        <f>IFERROR(__xludf.DUMMYFUNCTION("""COMPUTED_VALUE"""),42817.99861111111)</f>
        <v>42817.99861</v>
      </c>
      <c r="B2450" s="1">
        <f>IFERROR(__xludf.DUMMYFUNCTION("""COMPUTED_VALUE"""),384.75702)</f>
        <v>384.75702</v>
      </c>
    </row>
    <row r="2451">
      <c r="A2451" s="3">
        <f>IFERROR(__xludf.DUMMYFUNCTION("""COMPUTED_VALUE"""),42818.99861111111)</f>
        <v>42818.99861</v>
      </c>
      <c r="B2451" s="1">
        <f>IFERROR(__xludf.DUMMYFUNCTION("""COMPUTED_VALUE"""),384.43356)</f>
        <v>384.43356</v>
      </c>
    </row>
    <row r="2452">
      <c r="A2452" s="3">
        <f>IFERROR(__xludf.DUMMYFUNCTION("""COMPUTED_VALUE"""),42819.99861111111)</f>
        <v>42819.99861</v>
      </c>
      <c r="B2452" s="1">
        <f>IFERROR(__xludf.DUMMYFUNCTION("""COMPUTED_VALUE"""),384.69942)</f>
        <v>384.69942</v>
      </c>
    </row>
    <row r="2453">
      <c r="A2453" s="3">
        <f>IFERROR(__xludf.DUMMYFUNCTION("""COMPUTED_VALUE"""),42820.99861111111)</f>
        <v>42820.99861</v>
      </c>
      <c r="B2453" s="1">
        <f>IFERROR(__xludf.DUMMYFUNCTION("""COMPUTED_VALUE"""),385.2144)</f>
        <v>385.2144</v>
      </c>
    </row>
    <row r="2454">
      <c r="A2454" s="3">
        <f>IFERROR(__xludf.DUMMYFUNCTION("""COMPUTED_VALUE"""),42821.99861111111)</f>
        <v>42821.99861</v>
      </c>
      <c r="B2454" s="1">
        <f>IFERROR(__xludf.DUMMYFUNCTION("""COMPUTED_VALUE"""),386.5974)</f>
        <v>386.5974</v>
      </c>
    </row>
    <row r="2455">
      <c r="A2455" s="3">
        <f>IFERROR(__xludf.DUMMYFUNCTION("""COMPUTED_VALUE"""),42822.99861111111)</f>
        <v>42822.99861</v>
      </c>
      <c r="B2455" s="1">
        <f>IFERROR(__xludf.DUMMYFUNCTION("""COMPUTED_VALUE"""),386.09409)</f>
        <v>386.09409</v>
      </c>
    </row>
    <row r="2456">
      <c r="A2456" s="3">
        <f>IFERROR(__xludf.DUMMYFUNCTION("""COMPUTED_VALUE"""),42823.99861111111)</f>
        <v>42823.99861</v>
      </c>
      <c r="B2456" s="1">
        <f>IFERROR(__xludf.DUMMYFUNCTION("""COMPUTED_VALUE"""),386.45215)</f>
        <v>386.45215</v>
      </c>
    </row>
    <row r="2457">
      <c r="A2457" s="3">
        <f>IFERROR(__xludf.DUMMYFUNCTION("""COMPUTED_VALUE"""),42824.99861111111)</f>
        <v>42824.99861</v>
      </c>
      <c r="B2457" s="1">
        <f>IFERROR(__xludf.DUMMYFUNCTION("""COMPUTED_VALUE"""),385.53801)</f>
        <v>385.53801</v>
      </c>
    </row>
    <row r="2458">
      <c r="A2458" s="3">
        <f>IFERROR(__xludf.DUMMYFUNCTION("""COMPUTED_VALUE"""),42825.99861111111)</f>
        <v>42825.99861</v>
      </c>
      <c r="B2458" s="1">
        <f>IFERROR(__xludf.DUMMYFUNCTION("""COMPUTED_VALUE"""),387.50789)</f>
        <v>387.50789</v>
      </c>
    </row>
    <row r="2459">
      <c r="A2459" s="3">
        <f>IFERROR(__xludf.DUMMYFUNCTION("""COMPUTED_VALUE"""),42826.99861111111)</f>
        <v>42826.99861</v>
      </c>
      <c r="B2459" s="1">
        <f>IFERROR(__xludf.DUMMYFUNCTION("""COMPUTED_VALUE"""),394.7082468)</f>
        <v>394.7082468</v>
      </c>
    </row>
    <row r="2460">
      <c r="A2460" s="3">
        <f>IFERROR(__xludf.DUMMYFUNCTION("""COMPUTED_VALUE"""),42827.99861111111)</f>
        <v>42827.99861</v>
      </c>
      <c r="B2460" s="1">
        <f>IFERROR(__xludf.DUMMYFUNCTION("""COMPUTED_VALUE"""),387.7818)</f>
        <v>387.7818</v>
      </c>
    </row>
    <row r="2461">
      <c r="A2461" s="3">
        <f>IFERROR(__xludf.DUMMYFUNCTION("""COMPUTED_VALUE"""),42828.99861111111)</f>
        <v>42828.99861</v>
      </c>
      <c r="B2461" s="1">
        <f>IFERROR(__xludf.DUMMYFUNCTION("""COMPUTED_VALUE"""),387.36244)</f>
        <v>387.36244</v>
      </c>
    </row>
    <row r="2462">
      <c r="A2462" s="3">
        <f>IFERROR(__xludf.DUMMYFUNCTION("""COMPUTED_VALUE"""),42829.99861111111)</f>
        <v>42829.99861</v>
      </c>
      <c r="B2462" s="1">
        <f>IFERROR(__xludf.DUMMYFUNCTION("""COMPUTED_VALUE"""),386.76132)</f>
        <v>386.76132</v>
      </c>
    </row>
    <row r="2463">
      <c r="A2463" s="3">
        <f>IFERROR(__xludf.DUMMYFUNCTION("""COMPUTED_VALUE"""),42830.99861111111)</f>
        <v>42830.99861</v>
      </c>
      <c r="B2463" s="1">
        <f>IFERROR(__xludf.DUMMYFUNCTION("""COMPUTED_VALUE"""),385.56762)</f>
        <v>385.56762</v>
      </c>
    </row>
    <row r="2464">
      <c r="A2464" s="3">
        <f>IFERROR(__xludf.DUMMYFUNCTION("""COMPUTED_VALUE"""),42831.99861111111)</f>
        <v>42831.99861</v>
      </c>
      <c r="B2464" s="1">
        <f>IFERROR(__xludf.DUMMYFUNCTION("""COMPUTED_VALUE"""),386.03523)</f>
        <v>386.03523</v>
      </c>
    </row>
    <row r="2465">
      <c r="A2465" s="3">
        <f>IFERROR(__xludf.DUMMYFUNCTION("""COMPUTED_VALUE"""),42832.99861111111)</f>
        <v>42832.99861</v>
      </c>
      <c r="B2465" s="1">
        <f>IFERROR(__xludf.DUMMYFUNCTION("""COMPUTED_VALUE"""),384.8481)</f>
        <v>384.8481</v>
      </c>
    </row>
    <row r="2466">
      <c r="A2466" s="3">
        <f>IFERROR(__xludf.DUMMYFUNCTION("""COMPUTED_VALUE"""),42833.99861111111)</f>
        <v>42833.99861</v>
      </c>
      <c r="B2466" s="1">
        <f>IFERROR(__xludf.DUMMYFUNCTION("""COMPUTED_VALUE"""),376.1013321)</f>
        <v>376.1013321</v>
      </c>
    </row>
    <row r="2467">
      <c r="A2467" s="3">
        <f>IFERROR(__xludf.DUMMYFUNCTION("""COMPUTED_VALUE"""),42834.99861111111)</f>
        <v>42834.99861</v>
      </c>
      <c r="B2467" s="1">
        <f>IFERROR(__xludf.DUMMYFUNCTION("""COMPUTED_VALUE"""),385.81105)</f>
        <v>385.81105</v>
      </c>
    </row>
    <row r="2468">
      <c r="A2468" s="3">
        <f>IFERROR(__xludf.DUMMYFUNCTION("""COMPUTED_VALUE"""),42835.99861111111)</f>
        <v>42835.99861</v>
      </c>
      <c r="B2468" s="1">
        <f>IFERROR(__xludf.DUMMYFUNCTION("""COMPUTED_VALUE"""),383.13377)</f>
        <v>383.13377</v>
      </c>
    </row>
    <row r="2469">
      <c r="A2469" s="3">
        <f>IFERROR(__xludf.DUMMYFUNCTION("""COMPUTED_VALUE"""),42836.99861111111)</f>
        <v>42836.99861</v>
      </c>
      <c r="B2469" s="1">
        <f>IFERROR(__xludf.DUMMYFUNCTION("""COMPUTED_VALUE"""),384.77445)</f>
        <v>384.77445</v>
      </c>
    </row>
    <row r="2470">
      <c r="A2470" s="3">
        <f>IFERROR(__xludf.DUMMYFUNCTION("""COMPUTED_VALUE"""),42837.99861111111)</f>
        <v>42837.99861</v>
      </c>
      <c r="B2470" s="1">
        <f>IFERROR(__xludf.DUMMYFUNCTION("""COMPUTED_VALUE"""),386.09516)</f>
        <v>386.09516</v>
      </c>
    </row>
    <row r="2471">
      <c r="A2471" s="3">
        <f>IFERROR(__xludf.DUMMYFUNCTION("""COMPUTED_VALUE"""),42838.99861111111)</f>
        <v>42838.99861</v>
      </c>
      <c r="B2471" s="1">
        <f>IFERROR(__xludf.DUMMYFUNCTION("""COMPUTED_VALUE"""),386.19884)</f>
        <v>386.19884</v>
      </c>
    </row>
    <row r="2472">
      <c r="A2472" s="3">
        <f>IFERROR(__xludf.DUMMYFUNCTION("""COMPUTED_VALUE"""),42839.99861111111)</f>
        <v>42839.99861</v>
      </c>
      <c r="B2472" s="1">
        <f>IFERROR(__xludf.DUMMYFUNCTION("""COMPUTED_VALUE"""),377.04759)</f>
        <v>377.04759</v>
      </c>
    </row>
    <row r="2473">
      <c r="A2473" s="3">
        <f>IFERROR(__xludf.DUMMYFUNCTION("""COMPUTED_VALUE"""),42840.99861111111)</f>
        <v>42840.99861</v>
      </c>
      <c r="B2473" s="1">
        <f>IFERROR(__xludf.DUMMYFUNCTION("""COMPUTED_VALUE"""),377.07598)</f>
        <v>377.07598</v>
      </c>
    </row>
    <row r="2474">
      <c r="A2474" s="3">
        <f>IFERROR(__xludf.DUMMYFUNCTION("""COMPUTED_VALUE"""),42841.99861111111)</f>
        <v>42841.99861</v>
      </c>
      <c r="B2474" s="1">
        <f>IFERROR(__xludf.DUMMYFUNCTION("""COMPUTED_VALUE"""),386.78457)</f>
        <v>386.78457</v>
      </c>
    </row>
    <row r="2475">
      <c r="A2475" s="3">
        <f>IFERROR(__xludf.DUMMYFUNCTION("""COMPUTED_VALUE"""),42842.99861111111)</f>
        <v>42842.99861</v>
      </c>
      <c r="B2475" s="1">
        <f>IFERROR(__xludf.DUMMYFUNCTION("""COMPUTED_VALUE"""),387.08285)</f>
        <v>387.08285</v>
      </c>
    </row>
    <row r="2476">
      <c r="A2476" s="3">
        <f>IFERROR(__xludf.DUMMYFUNCTION("""COMPUTED_VALUE"""),42843.99861111111)</f>
        <v>42843.99861</v>
      </c>
      <c r="B2476" s="1">
        <f>IFERROR(__xludf.DUMMYFUNCTION("""COMPUTED_VALUE"""),387.04656)</f>
        <v>387.04656</v>
      </c>
    </row>
    <row r="2477">
      <c r="A2477" s="3">
        <f>IFERROR(__xludf.DUMMYFUNCTION("""COMPUTED_VALUE"""),42844.99861111111)</f>
        <v>42844.99861</v>
      </c>
      <c r="B2477" s="1">
        <f>IFERROR(__xludf.DUMMYFUNCTION("""COMPUTED_VALUE"""),387.88101)</f>
        <v>387.88101</v>
      </c>
    </row>
    <row r="2478">
      <c r="A2478" s="3">
        <f>IFERROR(__xludf.DUMMYFUNCTION("""COMPUTED_VALUE"""),42845.99861111111)</f>
        <v>42845.99861</v>
      </c>
      <c r="B2478" s="1">
        <f>IFERROR(__xludf.DUMMYFUNCTION("""COMPUTED_VALUE"""),386.72568)</f>
        <v>386.72568</v>
      </c>
    </row>
    <row r="2479">
      <c r="A2479" s="3">
        <f>IFERROR(__xludf.DUMMYFUNCTION("""COMPUTED_VALUE"""),42846.99861111111)</f>
        <v>42846.99861</v>
      </c>
      <c r="B2479" s="1">
        <f>IFERROR(__xludf.DUMMYFUNCTION("""COMPUTED_VALUE"""),386.53136)</f>
        <v>386.53136</v>
      </c>
    </row>
    <row r="2480">
      <c r="A2480" s="3">
        <f>IFERROR(__xludf.DUMMYFUNCTION("""COMPUTED_VALUE"""),42847.99861111111)</f>
        <v>42847.99861</v>
      </c>
      <c r="B2480" s="1">
        <f>IFERROR(__xludf.DUMMYFUNCTION("""COMPUTED_VALUE"""),386.7020596)</f>
        <v>386.7020596</v>
      </c>
    </row>
    <row r="2481">
      <c r="A2481" s="3">
        <f>IFERROR(__xludf.DUMMYFUNCTION("""COMPUTED_VALUE"""),42848.99861111111)</f>
        <v>42848.99861</v>
      </c>
      <c r="B2481" s="1">
        <f>IFERROR(__xludf.DUMMYFUNCTION("""COMPUTED_VALUE"""),381.6176)</f>
        <v>381.6176</v>
      </c>
    </row>
    <row r="2482">
      <c r="A2482" s="3">
        <f>IFERROR(__xludf.DUMMYFUNCTION("""COMPUTED_VALUE"""),42849.99861111111)</f>
        <v>42849.99861</v>
      </c>
      <c r="B2482" s="1">
        <f>IFERROR(__xludf.DUMMYFUNCTION("""COMPUTED_VALUE"""),381.9084)</f>
        <v>381.9084</v>
      </c>
    </row>
    <row r="2483">
      <c r="A2483" s="3">
        <f>IFERROR(__xludf.DUMMYFUNCTION("""COMPUTED_VALUE"""),42850.99861111111)</f>
        <v>42850.99861</v>
      </c>
      <c r="B2483" s="1">
        <f>IFERROR(__xludf.DUMMYFUNCTION("""COMPUTED_VALUE"""),386.31912)</f>
        <v>386.31912</v>
      </c>
    </row>
    <row r="2484">
      <c r="A2484" s="3">
        <f>IFERROR(__xludf.DUMMYFUNCTION("""COMPUTED_VALUE"""),42851.99861111111)</f>
        <v>42851.99861</v>
      </c>
      <c r="B2484" s="1">
        <f>IFERROR(__xludf.DUMMYFUNCTION("""COMPUTED_VALUE"""),384.70161)</f>
        <v>384.70161</v>
      </c>
    </row>
    <row r="2485">
      <c r="A2485" s="3">
        <f>IFERROR(__xludf.DUMMYFUNCTION("""COMPUTED_VALUE"""),42852.99861111111)</f>
        <v>42852.99861</v>
      </c>
      <c r="B2485" s="1">
        <f>IFERROR(__xludf.DUMMYFUNCTION("""COMPUTED_VALUE"""),385.8439)</f>
        <v>385.8439</v>
      </c>
    </row>
    <row r="2486">
      <c r="A2486" s="3">
        <f>IFERROR(__xludf.DUMMYFUNCTION("""COMPUTED_VALUE"""),42853.99861111111)</f>
        <v>42853.99861</v>
      </c>
      <c r="B2486" s="1">
        <f>IFERROR(__xludf.DUMMYFUNCTION("""COMPUTED_VALUE"""),385.50816)</f>
        <v>385.50816</v>
      </c>
    </row>
    <row r="2487">
      <c r="A2487" s="3">
        <f>IFERROR(__xludf.DUMMYFUNCTION("""COMPUTED_VALUE"""),42854.99861111111)</f>
        <v>42854.99861</v>
      </c>
      <c r="B2487" s="1">
        <f>IFERROR(__xludf.DUMMYFUNCTION("""COMPUTED_VALUE"""),376.6353773)</f>
        <v>376.6353773</v>
      </c>
    </row>
    <row r="2488">
      <c r="A2488" s="3">
        <f>IFERROR(__xludf.DUMMYFUNCTION("""COMPUTED_VALUE"""),42855.99861111111)</f>
        <v>42855.99861</v>
      </c>
      <c r="B2488" s="1">
        <f>IFERROR(__xludf.DUMMYFUNCTION("""COMPUTED_VALUE"""),384.07326)</f>
        <v>384.07326</v>
      </c>
    </row>
    <row r="2489">
      <c r="A2489" s="3">
        <f>IFERROR(__xludf.DUMMYFUNCTION("""COMPUTED_VALUE"""),42856.99861111111)</f>
        <v>42856.99861</v>
      </c>
      <c r="B2489" s="1">
        <f>IFERROR(__xludf.DUMMYFUNCTION("""COMPUTED_VALUE"""),384.826)</f>
        <v>384.826</v>
      </c>
    </row>
    <row r="2490">
      <c r="A2490" s="3">
        <f>IFERROR(__xludf.DUMMYFUNCTION("""COMPUTED_VALUE"""),42857.99861111111)</f>
        <v>42857.99861</v>
      </c>
      <c r="B2490" s="1">
        <f>IFERROR(__xludf.DUMMYFUNCTION("""COMPUTED_VALUE"""),385.555)</f>
        <v>385.555</v>
      </c>
    </row>
    <row r="2491">
      <c r="A2491" s="3">
        <f>IFERROR(__xludf.DUMMYFUNCTION("""COMPUTED_VALUE"""),42858.99861111111)</f>
        <v>42858.99861</v>
      </c>
      <c r="B2491" s="1">
        <f>IFERROR(__xludf.DUMMYFUNCTION("""COMPUTED_VALUE"""),384.75168)</f>
        <v>384.75168</v>
      </c>
    </row>
    <row r="2492">
      <c r="A2492" s="3">
        <f>IFERROR(__xludf.DUMMYFUNCTION("""COMPUTED_VALUE"""),42859.99861111111)</f>
        <v>42859.99861</v>
      </c>
      <c r="B2492" s="1">
        <f>IFERROR(__xludf.DUMMYFUNCTION("""COMPUTED_VALUE"""),385.1258)</f>
        <v>385.1258</v>
      </c>
    </row>
    <row r="2493">
      <c r="A2493" s="3">
        <f>IFERROR(__xludf.DUMMYFUNCTION("""COMPUTED_VALUE"""),42860.99861111111)</f>
        <v>42860.99861</v>
      </c>
      <c r="B2493" s="1">
        <f>IFERROR(__xludf.DUMMYFUNCTION("""COMPUTED_VALUE"""),384.0046)</f>
        <v>384.0046</v>
      </c>
    </row>
    <row r="2494">
      <c r="A2494" s="3">
        <f>IFERROR(__xludf.DUMMYFUNCTION("""COMPUTED_VALUE"""),42861.99861111111)</f>
        <v>42861.99861</v>
      </c>
      <c r="B2494" s="1">
        <f>IFERROR(__xludf.DUMMYFUNCTION("""COMPUTED_VALUE"""),384.5332372)</f>
        <v>384.5332372</v>
      </c>
    </row>
    <row r="2495">
      <c r="A2495" s="3">
        <f>IFERROR(__xludf.DUMMYFUNCTION("""COMPUTED_VALUE"""),42862.99861111111)</f>
        <v>42862.99861</v>
      </c>
      <c r="B2495" s="1">
        <f>IFERROR(__xludf.DUMMYFUNCTION("""COMPUTED_VALUE"""),383.4665708)</f>
        <v>383.4665708</v>
      </c>
    </row>
    <row r="2496">
      <c r="A2496" s="3">
        <f>IFERROR(__xludf.DUMMYFUNCTION("""COMPUTED_VALUE"""),42863.99861111111)</f>
        <v>42863.99861</v>
      </c>
      <c r="B2496" s="1">
        <f>IFERROR(__xludf.DUMMYFUNCTION("""COMPUTED_VALUE"""),384.26416)</f>
        <v>384.26416</v>
      </c>
    </row>
    <row r="2497">
      <c r="A2497" s="3">
        <f>IFERROR(__xludf.DUMMYFUNCTION("""COMPUTED_VALUE"""),42864.99861111111)</f>
        <v>42864.99861</v>
      </c>
      <c r="B2497" s="1">
        <f>IFERROR(__xludf.DUMMYFUNCTION("""COMPUTED_VALUE"""),384.20484)</f>
        <v>384.20484</v>
      </c>
    </row>
    <row r="2498">
      <c r="A2498" s="3">
        <f>IFERROR(__xludf.DUMMYFUNCTION("""COMPUTED_VALUE"""),42865.99861111111)</f>
        <v>42865.99861</v>
      </c>
      <c r="B2498" s="1">
        <f>IFERROR(__xludf.DUMMYFUNCTION("""COMPUTED_VALUE"""),383.76522)</f>
        <v>383.76522</v>
      </c>
    </row>
    <row r="2499">
      <c r="A2499" s="3">
        <f>IFERROR(__xludf.DUMMYFUNCTION("""COMPUTED_VALUE"""),42866.99861111111)</f>
        <v>42866.99861</v>
      </c>
      <c r="B2499" s="1">
        <f>IFERROR(__xludf.DUMMYFUNCTION("""COMPUTED_VALUE"""),383.11936)</f>
        <v>383.11936</v>
      </c>
    </row>
    <row r="2500">
      <c r="A2500" s="3">
        <f>IFERROR(__xludf.DUMMYFUNCTION("""COMPUTED_VALUE"""),42867.99861111111)</f>
        <v>42867.99861</v>
      </c>
      <c r="B2500" s="1">
        <f>IFERROR(__xludf.DUMMYFUNCTION("""COMPUTED_VALUE"""),383.87145)</f>
        <v>383.87145</v>
      </c>
    </row>
    <row r="2501">
      <c r="A2501" s="3">
        <f>IFERROR(__xludf.DUMMYFUNCTION("""COMPUTED_VALUE"""),42868.99861111111)</f>
        <v>42868.99861</v>
      </c>
      <c r="B2501" s="1">
        <f>IFERROR(__xludf.DUMMYFUNCTION("""COMPUTED_VALUE"""),384.3999039)</f>
        <v>384.3999039</v>
      </c>
    </row>
    <row r="2502">
      <c r="A2502" s="3">
        <f>IFERROR(__xludf.DUMMYFUNCTION("""COMPUTED_VALUE"""),42869.99861111111)</f>
        <v>42869.99861</v>
      </c>
      <c r="B2502" s="1">
        <f>IFERROR(__xludf.DUMMYFUNCTION("""COMPUTED_VALUE"""),384.36855)</f>
        <v>384.36855</v>
      </c>
    </row>
    <row r="2503">
      <c r="A2503" s="3">
        <f>IFERROR(__xludf.DUMMYFUNCTION("""COMPUTED_VALUE"""),42870.99861111111)</f>
        <v>42870.99861</v>
      </c>
      <c r="B2503" s="1">
        <f>IFERROR(__xludf.DUMMYFUNCTION("""COMPUTED_VALUE"""),384.60075)</f>
        <v>384.60075</v>
      </c>
    </row>
    <row r="2504">
      <c r="A2504" s="3">
        <f>IFERROR(__xludf.DUMMYFUNCTION("""COMPUTED_VALUE"""),42871.99861111111)</f>
        <v>42871.99861</v>
      </c>
      <c r="B2504" s="1">
        <f>IFERROR(__xludf.DUMMYFUNCTION("""COMPUTED_VALUE"""),385.07874)</f>
        <v>385.07874</v>
      </c>
    </row>
    <row r="2505">
      <c r="A2505" s="3">
        <f>IFERROR(__xludf.DUMMYFUNCTION("""COMPUTED_VALUE"""),42872.99861111111)</f>
        <v>42872.99861</v>
      </c>
      <c r="B2505" s="1">
        <f>IFERROR(__xludf.DUMMYFUNCTION("""COMPUTED_VALUE"""),386.08882)</f>
        <v>386.08882</v>
      </c>
    </row>
    <row r="2506">
      <c r="A2506" s="3">
        <f>IFERROR(__xludf.DUMMYFUNCTION("""COMPUTED_VALUE"""),42873.99861111111)</f>
        <v>42873.99861</v>
      </c>
      <c r="B2506" s="1">
        <f>IFERROR(__xludf.DUMMYFUNCTION("""COMPUTED_VALUE"""),387.90105)</f>
        <v>387.90105</v>
      </c>
    </row>
    <row r="2507">
      <c r="A2507" s="3">
        <f>IFERROR(__xludf.DUMMYFUNCTION("""COMPUTED_VALUE"""),42874.99861111111)</f>
        <v>42874.99861</v>
      </c>
      <c r="B2507" s="1">
        <f>IFERROR(__xludf.DUMMYFUNCTION("""COMPUTED_VALUE"""),387.80342)</f>
        <v>387.80342</v>
      </c>
    </row>
    <row r="2508">
      <c r="A2508" s="3">
        <f>IFERROR(__xludf.DUMMYFUNCTION("""COMPUTED_VALUE"""),42875.99861111111)</f>
        <v>42875.99861</v>
      </c>
      <c r="B2508" s="1">
        <f>IFERROR(__xludf.DUMMYFUNCTION("""COMPUTED_VALUE"""),381.333238)</f>
        <v>381.333238</v>
      </c>
    </row>
    <row r="2509">
      <c r="A2509" s="3">
        <f>IFERROR(__xludf.DUMMYFUNCTION("""COMPUTED_VALUE"""),42876.99861111111)</f>
        <v>42876.99861</v>
      </c>
      <c r="B2509" s="1">
        <f>IFERROR(__xludf.DUMMYFUNCTION("""COMPUTED_VALUE"""),388.24464)</f>
        <v>388.24464</v>
      </c>
    </row>
    <row r="2510">
      <c r="A2510" s="3">
        <f>IFERROR(__xludf.DUMMYFUNCTION("""COMPUTED_VALUE"""),42877.99861111111)</f>
        <v>42877.99861</v>
      </c>
      <c r="B2510" s="1">
        <f>IFERROR(__xludf.DUMMYFUNCTION("""COMPUTED_VALUE"""),387.44544)</f>
        <v>387.44544</v>
      </c>
    </row>
    <row r="2511">
      <c r="A2511" s="3">
        <f>IFERROR(__xludf.DUMMYFUNCTION("""COMPUTED_VALUE"""),42878.99861111111)</f>
        <v>42878.99861</v>
      </c>
      <c r="B2511" s="1">
        <f>IFERROR(__xludf.DUMMYFUNCTION("""COMPUTED_VALUE"""),385.84992)</f>
        <v>385.84992</v>
      </c>
    </row>
    <row r="2512">
      <c r="A2512" s="3">
        <f>IFERROR(__xludf.DUMMYFUNCTION("""COMPUTED_VALUE"""),42879.99861111111)</f>
        <v>42879.99861</v>
      </c>
      <c r="B2512" s="1">
        <f>IFERROR(__xludf.DUMMYFUNCTION("""COMPUTED_VALUE"""),387.48726)</f>
        <v>387.48726</v>
      </c>
    </row>
    <row r="2513">
      <c r="A2513" s="3">
        <f>IFERROR(__xludf.DUMMYFUNCTION("""COMPUTED_VALUE"""),42880.99861111111)</f>
        <v>42880.99861</v>
      </c>
      <c r="B2513" s="1">
        <f>IFERROR(__xludf.DUMMYFUNCTION("""COMPUTED_VALUE"""),389.21652)</f>
        <v>389.21652</v>
      </c>
    </row>
    <row r="2514">
      <c r="A2514" s="3">
        <f>IFERROR(__xludf.DUMMYFUNCTION("""COMPUTED_VALUE"""),42881.99861111111)</f>
        <v>42881.99861</v>
      </c>
      <c r="B2514" s="1">
        <f>IFERROR(__xludf.DUMMYFUNCTION("""COMPUTED_VALUE"""),390.20825)</f>
        <v>390.20825</v>
      </c>
    </row>
    <row r="2515">
      <c r="A2515" s="3">
        <f>IFERROR(__xludf.DUMMYFUNCTION("""COMPUTED_VALUE"""),42882.99861111111)</f>
        <v>42882.99861</v>
      </c>
      <c r="B2515" s="1">
        <f>IFERROR(__xludf.DUMMYFUNCTION("""COMPUTED_VALUE"""),390.13568)</f>
        <v>390.13568</v>
      </c>
    </row>
    <row r="2516">
      <c r="A2516" s="3">
        <f>IFERROR(__xludf.DUMMYFUNCTION("""COMPUTED_VALUE"""),42883.99861111111)</f>
        <v>42883.99861</v>
      </c>
      <c r="B2516" s="1">
        <f>IFERROR(__xludf.DUMMYFUNCTION("""COMPUTED_VALUE"""),390.13568)</f>
        <v>390.13568</v>
      </c>
    </row>
    <row r="2517">
      <c r="A2517" s="3">
        <f>IFERROR(__xludf.DUMMYFUNCTION("""COMPUTED_VALUE"""),42884.99861111111)</f>
        <v>42884.99861</v>
      </c>
      <c r="B2517" s="1">
        <f>IFERROR(__xludf.DUMMYFUNCTION("""COMPUTED_VALUE"""),389.99635)</f>
        <v>389.99635</v>
      </c>
    </row>
    <row r="2518">
      <c r="A2518" s="3">
        <f>IFERROR(__xludf.DUMMYFUNCTION("""COMPUTED_VALUE"""),42885.99861111111)</f>
        <v>42885.99861</v>
      </c>
      <c r="B2518" s="1">
        <f>IFERROR(__xludf.DUMMYFUNCTION("""COMPUTED_VALUE"""),390.2467)</f>
        <v>390.2467</v>
      </c>
    </row>
    <row r="2519">
      <c r="A2519" s="3">
        <f>IFERROR(__xludf.DUMMYFUNCTION("""COMPUTED_VALUE"""),42886.99861111111)</f>
        <v>42886.99861</v>
      </c>
      <c r="B2519" s="1">
        <f>IFERROR(__xludf.DUMMYFUNCTION("""COMPUTED_VALUE"""),390.44478)</f>
        <v>390.44478</v>
      </c>
    </row>
    <row r="2520">
      <c r="A2520" s="3">
        <f>IFERROR(__xludf.DUMMYFUNCTION("""COMPUTED_VALUE"""),42887.99861111111)</f>
        <v>42887.99861</v>
      </c>
      <c r="B2520" s="1">
        <f>IFERROR(__xludf.DUMMYFUNCTION("""COMPUTED_VALUE"""),388.93976)</f>
        <v>388.93976</v>
      </c>
    </row>
    <row r="2521">
      <c r="A2521" s="3">
        <f>IFERROR(__xludf.DUMMYFUNCTION("""COMPUTED_VALUE"""),42888.99861111111)</f>
        <v>42888.99861</v>
      </c>
      <c r="B2521" s="1">
        <f>IFERROR(__xludf.DUMMYFUNCTION("""COMPUTED_VALUE"""),389.9441)</f>
        <v>389.9441</v>
      </c>
    </row>
    <row r="2522">
      <c r="A2522" s="3">
        <f>IFERROR(__xludf.DUMMYFUNCTION("""COMPUTED_VALUE"""),42889.99861111111)</f>
        <v>42889.99861</v>
      </c>
      <c r="B2522" s="1">
        <f>IFERROR(__xludf.DUMMYFUNCTION("""COMPUTED_VALUE"""),390.4724)</f>
        <v>390.4724</v>
      </c>
    </row>
    <row r="2523">
      <c r="A2523" s="3">
        <f>IFERROR(__xludf.DUMMYFUNCTION("""COMPUTED_VALUE"""),42890.99861111111)</f>
        <v>42890.99861</v>
      </c>
      <c r="B2523" s="1">
        <f>IFERROR(__xludf.DUMMYFUNCTION("""COMPUTED_VALUE"""),390.4724)</f>
        <v>390.4724</v>
      </c>
    </row>
    <row r="2524">
      <c r="A2524" s="3">
        <f>IFERROR(__xludf.DUMMYFUNCTION("""COMPUTED_VALUE"""),42891.99861111111)</f>
        <v>42891.99861</v>
      </c>
      <c r="B2524" s="1">
        <f>IFERROR(__xludf.DUMMYFUNCTION("""COMPUTED_VALUE"""),390.38737)</f>
        <v>390.38737</v>
      </c>
    </row>
    <row r="2525">
      <c r="A2525" s="3">
        <f>IFERROR(__xludf.DUMMYFUNCTION("""COMPUTED_VALUE"""),42892.99861111111)</f>
        <v>42892.99861</v>
      </c>
      <c r="B2525" s="1">
        <f>IFERROR(__xludf.DUMMYFUNCTION("""COMPUTED_VALUE"""),390.47755)</f>
        <v>390.47755</v>
      </c>
    </row>
    <row r="2526">
      <c r="A2526" s="3">
        <f>IFERROR(__xludf.DUMMYFUNCTION("""COMPUTED_VALUE"""),42893.99861111111)</f>
        <v>42893.99861</v>
      </c>
      <c r="B2526" s="1">
        <f>IFERROR(__xludf.DUMMYFUNCTION("""COMPUTED_VALUE"""),391.13594)</f>
        <v>391.13594</v>
      </c>
    </row>
    <row r="2527">
      <c r="A2527" s="3">
        <f>IFERROR(__xludf.DUMMYFUNCTION("""COMPUTED_VALUE"""),42894.99861111111)</f>
        <v>42894.99861</v>
      </c>
      <c r="B2527" s="1">
        <f>IFERROR(__xludf.DUMMYFUNCTION("""COMPUTED_VALUE"""),389.88369)</f>
        <v>389.88369</v>
      </c>
    </row>
    <row r="2528">
      <c r="A2528" s="3">
        <f>IFERROR(__xludf.DUMMYFUNCTION("""COMPUTED_VALUE"""),42895.99861111111)</f>
        <v>42895.99861</v>
      </c>
      <c r="B2528" s="1">
        <f>IFERROR(__xludf.DUMMYFUNCTION("""COMPUTED_VALUE"""),389.76637)</f>
        <v>389.76637</v>
      </c>
    </row>
    <row r="2529">
      <c r="A2529" s="3">
        <f>IFERROR(__xludf.DUMMYFUNCTION("""COMPUTED_VALUE"""),42896.99861111111)</f>
        <v>42896.99861</v>
      </c>
      <c r="B2529" s="1">
        <f>IFERROR(__xludf.DUMMYFUNCTION("""COMPUTED_VALUE"""),389.53173)</f>
        <v>389.53173</v>
      </c>
    </row>
    <row r="2530">
      <c r="A2530" s="3">
        <f>IFERROR(__xludf.DUMMYFUNCTION("""COMPUTED_VALUE"""),42897.99861111111)</f>
        <v>42897.99861</v>
      </c>
      <c r="B2530" s="1">
        <f>IFERROR(__xludf.DUMMYFUNCTION("""COMPUTED_VALUE"""),390.20825)</f>
        <v>390.20825</v>
      </c>
    </row>
    <row r="2531">
      <c r="A2531" s="3">
        <f>IFERROR(__xludf.DUMMYFUNCTION("""COMPUTED_VALUE"""),42898.99861111111)</f>
        <v>42898.99861</v>
      </c>
      <c r="B2531" s="1">
        <f>IFERROR(__xludf.DUMMYFUNCTION("""COMPUTED_VALUE"""),390.89904)</f>
        <v>390.89904</v>
      </c>
    </row>
    <row r="2532">
      <c r="A2532" s="3">
        <f>IFERROR(__xludf.DUMMYFUNCTION("""COMPUTED_VALUE"""),42899.99861111111)</f>
        <v>42899.99861</v>
      </c>
      <c r="B2532" s="1">
        <f>IFERROR(__xludf.DUMMYFUNCTION("""COMPUTED_VALUE"""),391.55336)</f>
        <v>391.55336</v>
      </c>
    </row>
    <row r="2533">
      <c r="A2533" s="3">
        <f>IFERROR(__xludf.DUMMYFUNCTION("""COMPUTED_VALUE"""),42900.99861111111)</f>
        <v>42900.99861</v>
      </c>
      <c r="B2533" s="1">
        <f>IFERROR(__xludf.DUMMYFUNCTION("""COMPUTED_VALUE"""),392.06986)</f>
        <v>392.06986</v>
      </c>
    </row>
    <row r="2534">
      <c r="A2534" s="3">
        <f>IFERROR(__xludf.DUMMYFUNCTION("""COMPUTED_VALUE"""),42901.99861111111)</f>
        <v>42901.99861</v>
      </c>
      <c r="B2534" s="1">
        <f>IFERROR(__xludf.DUMMYFUNCTION("""COMPUTED_VALUE"""),391.24242)</f>
        <v>391.24242</v>
      </c>
    </row>
    <row r="2535">
      <c r="A2535" s="3">
        <f>IFERROR(__xludf.DUMMYFUNCTION("""COMPUTED_VALUE"""),42902.99861111111)</f>
        <v>42902.99861</v>
      </c>
      <c r="B2535" s="1">
        <f>IFERROR(__xludf.DUMMYFUNCTION("""COMPUTED_VALUE"""),391.2576)</f>
        <v>391.2576</v>
      </c>
    </row>
    <row r="2536">
      <c r="A2536" s="3">
        <f>IFERROR(__xludf.DUMMYFUNCTION("""COMPUTED_VALUE"""),42903.99861111111)</f>
        <v>42903.99861</v>
      </c>
      <c r="B2536" s="1">
        <f>IFERROR(__xludf.DUMMYFUNCTION("""COMPUTED_VALUE"""),390.93296)</f>
        <v>390.93296</v>
      </c>
    </row>
    <row r="2537">
      <c r="A2537" s="3">
        <f>IFERROR(__xludf.DUMMYFUNCTION("""COMPUTED_VALUE"""),42904.99861111111)</f>
        <v>42904.99861</v>
      </c>
      <c r="B2537" s="1">
        <f>IFERROR(__xludf.DUMMYFUNCTION("""COMPUTED_VALUE"""),391.00765)</f>
        <v>391.00765</v>
      </c>
    </row>
    <row r="2538">
      <c r="A2538" s="3">
        <f>IFERROR(__xludf.DUMMYFUNCTION("""COMPUTED_VALUE"""),42905.99861111111)</f>
        <v>42905.99861</v>
      </c>
      <c r="B2538" s="1">
        <f>IFERROR(__xludf.DUMMYFUNCTION("""COMPUTED_VALUE"""),390.6084)</f>
        <v>390.6084</v>
      </c>
    </row>
    <row r="2539">
      <c r="A2539" s="3">
        <f>IFERROR(__xludf.DUMMYFUNCTION("""COMPUTED_VALUE"""),42906.99861111111)</f>
        <v>42906.99861</v>
      </c>
      <c r="B2539" s="1">
        <f>IFERROR(__xludf.DUMMYFUNCTION("""COMPUTED_VALUE"""),390.62249)</f>
        <v>390.62249</v>
      </c>
    </row>
    <row r="2540">
      <c r="A2540" s="3">
        <f>IFERROR(__xludf.DUMMYFUNCTION("""COMPUTED_VALUE"""),42907.99861111111)</f>
        <v>42907.99861</v>
      </c>
      <c r="B2540" s="1">
        <f>IFERROR(__xludf.DUMMYFUNCTION("""COMPUTED_VALUE"""),391.18241)</f>
        <v>391.18241</v>
      </c>
    </row>
    <row r="2541">
      <c r="A2541" s="3">
        <f>IFERROR(__xludf.DUMMYFUNCTION("""COMPUTED_VALUE"""),42908.99861111111)</f>
        <v>42908.99861</v>
      </c>
      <c r="B2541" s="1">
        <f>IFERROR(__xludf.DUMMYFUNCTION("""COMPUTED_VALUE"""),392.49222)</f>
        <v>392.49222</v>
      </c>
    </row>
    <row r="2542">
      <c r="A2542" s="3">
        <f>IFERROR(__xludf.DUMMYFUNCTION("""COMPUTED_VALUE"""),42909.99861111111)</f>
        <v>42909.99861</v>
      </c>
      <c r="B2542" s="1">
        <f>IFERROR(__xludf.DUMMYFUNCTION("""COMPUTED_VALUE"""),391.95005)</f>
        <v>391.95005</v>
      </c>
    </row>
    <row r="2543">
      <c r="A2543" s="3">
        <f>IFERROR(__xludf.DUMMYFUNCTION("""COMPUTED_VALUE"""),42910.99861111111)</f>
        <v>42910.99861</v>
      </c>
      <c r="B2543" s="1">
        <f>IFERROR(__xludf.DUMMYFUNCTION("""COMPUTED_VALUE"""),392.1435365)</f>
        <v>392.1435365</v>
      </c>
    </row>
    <row r="2544">
      <c r="A2544" s="3">
        <f>IFERROR(__xludf.DUMMYFUNCTION("""COMPUTED_VALUE"""),42911.99861111111)</f>
        <v>42911.99861</v>
      </c>
      <c r="B2544" s="1">
        <f>IFERROR(__xludf.DUMMYFUNCTION("""COMPUTED_VALUE"""),391.34664)</f>
        <v>391.34664</v>
      </c>
    </row>
    <row r="2545">
      <c r="A2545" s="3">
        <f>IFERROR(__xludf.DUMMYFUNCTION("""COMPUTED_VALUE"""),42912.99861111111)</f>
        <v>42912.99861</v>
      </c>
      <c r="B2545" s="1">
        <f>IFERROR(__xludf.DUMMYFUNCTION("""COMPUTED_VALUE"""),391.81556)</f>
        <v>391.81556</v>
      </c>
    </row>
    <row r="2546">
      <c r="A2546" s="3">
        <f>IFERROR(__xludf.DUMMYFUNCTION("""COMPUTED_VALUE"""),42913.99861111111)</f>
        <v>42913.99861</v>
      </c>
      <c r="B2546" s="1">
        <f>IFERROR(__xludf.DUMMYFUNCTION("""COMPUTED_VALUE"""),391.65444)</f>
        <v>391.65444</v>
      </c>
    </row>
    <row r="2547">
      <c r="A2547" s="3">
        <f>IFERROR(__xludf.DUMMYFUNCTION("""COMPUTED_VALUE"""),42914.99861111111)</f>
        <v>42914.99861</v>
      </c>
      <c r="B2547" s="1">
        <f>IFERROR(__xludf.DUMMYFUNCTION("""COMPUTED_VALUE"""),391.43424)</f>
        <v>391.43424</v>
      </c>
    </row>
    <row r="2548">
      <c r="A2548" s="3">
        <f>IFERROR(__xludf.DUMMYFUNCTION("""COMPUTED_VALUE"""),42915.99861111111)</f>
        <v>42915.99861</v>
      </c>
      <c r="B2548" s="1">
        <f>IFERROR(__xludf.DUMMYFUNCTION("""COMPUTED_VALUE"""),390.24042)</f>
        <v>390.24042</v>
      </c>
    </row>
    <row r="2549">
      <c r="A2549" s="3">
        <f>IFERROR(__xludf.DUMMYFUNCTION("""COMPUTED_VALUE"""),42916.99861111111)</f>
        <v>42916.99861</v>
      </c>
      <c r="B2549" s="1">
        <f>IFERROR(__xludf.DUMMYFUNCTION("""COMPUTED_VALUE"""),392.06785)</f>
        <v>392.06785</v>
      </c>
    </row>
    <row r="2550">
      <c r="A2550" s="3">
        <f>IFERROR(__xludf.DUMMYFUNCTION("""COMPUTED_VALUE"""),42917.99861111111)</f>
        <v>42917.99861</v>
      </c>
      <c r="B2550" s="1">
        <f>IFERROR(__xludf.DUMMYFUNCTION("""COMPUTED_VALUE"""),391.6707)</f>
        <v>391.6707</v>
      </c>
    </row>
    <row r="2551">
      <c r="A2551" s="3">
        <f>IFERROR(__xludf.DUMMYFUNCTION("""COMPUTED_VALUE"""),42918.99861111111)</f>
        <v>42918.99861</v>
      </c>
      <c r="B2551" s="1">
        <f>IFERROR(__xludf.DUMMYFUNCTION("""COMPUTED_VALUE"""),391.75908)</f>
        <v>391.75908</v>
      </c>
    </row>
    <row r="2552">
      <c r="A2552" s="3">
        <f>IFERROR(__xludf.DUMMYFUNCTION("""COMPUTED_VALUE"""),42919.99861111111)</f>
        <v>42919.99861</v>
      </c>
      <c r="B2552" s="1">
        <f>IFERROR(__xludf.DUMMYFUNCTION("""COMPUTED_VALUE"""),393.03524)</f>
        <v>393.03524</v>
      </c>
    </row>
    <row r="2553">
      <c r="A2553" s="3">
        <f>IFERROR(__xludf.DUMMYFUNCTION("""COMPUTED_VALUE"""),42920.99861111111)</f>
        <v>42920.99861</v>
      </c>
      <c r="B2553" s="1">
        <f>IFERROR(__xludf.DUMMYFUNCTION("""COMPUTED_VALUE"""),392.38589)</f>
        <v>392.38589</v>
      </c>
    </row>
    <row r="2554">
      <c r="A2554" s="3">
        <f>IFERROR(__xludf.DUMMYFUNCTION("""COMPUTED_VALUE"""),42921.99861111111)</f>
        <v>42921.99861</v>
      </c>
      <c r="B2554" s="1">
        <f>IFERROR(__xludf.DUMMYFUNCTION("""COMPUTED_VALUE"""),392.60494)</f>
        <v>392.60494</v>
      </c>
    </row>
    <row r="2555">
      <c r="A2555" s="3">
        <f>IFERROR(__xludf.DUMMYFUNCTION("""COMPUTED_VALUE"""),42922.99861111111)</f>
        <v>42922.99861</v>
      </c>
      <c r="B2555" s="1">
        <f>IFERROR(__xludf.DUMMYFUNCTION("""COMPUTED_VALUE"""),392.65722)</f>
        <v>392.65722</v>
      </c>
    </row>
    <row r="2556">
      <c r="A2556" s="3">
        <f>IFERROR(__xludf.DUMMYFUNCTION("""COMPUTED_VALUE"""),42923.99861111111)</f>
        <v>42923.99861</v>
      </c>
      <c r="B2556" s="1">
        <f>IFERROR(__xludf.DUMMYFUNCTION("""COMPUTED_VALUE"""),392.63245)</f>
        <v>392.63245</v>
      </c>
    </row>
    <row r="2557">
      <c r="A2557" s="3">
        <f>IFERROR(__xludf.DUMMYFUNCTION("""COMPUTED_VALUE"""),42924.99861111111)</f>
        <v>42924.99861</v>
      </c>
      <c r="B2557" s="1">
        <f>IFERROR(__xludf.DUMMYFUNCTION("""COMPUTED_VALUE"""),385.6373313)</f>
        <v>385.6373313</v>
      </c>
    </row>
    <row r="2558">
      <c r="A2558" s="3">
        <f>IFERROR(__xludf.DUMMYFUNCTION("""COMPUTED_VALUE"""),42925.99861111111)</f>
        <v>42925.99861</v>
      </c>
      <c r="B2558" s="1">
        <f>IFERROR(__xludf.DUMMYFUNCTION("""COMPUTED_VALUE"""),392.98848)</f>
        <v>392.98848</v>
      </c>
    </row>
    <row r="2559">
      <c r="A2559" s="3">
        <f>IFERROR(__xludf.DUMMYFUNCTION("""COMPUTED_VALUE"""),42926.99861111111)</f>
        <v>42926.99861</v>
      </c>
      <c r="B2559" s="1">
        <f>IFERROR(__xludf.DUMMYFUNCTION("""COMPUTED_VALUE"""),392.13452)</f>
        <v>392.13452</v>
      </c>
    </row>
    <row r="2560">
      <c r="A2560" s="3">
        <f>IFERROR(__xludf.DUMMYFUNCTION("""COMPUTED_VALUE"""),42927.99861111111)</f>
        <v>42927.99861</v>
      </c>
      <c r="B2560" s="1">
        <f>IFERROR(__xludf.DUMMYFUNCTION("""COMPUTED_VALUE"""),391.92664)</f>
        <v>391.92664</v>
      </c>
    </row>
    <row r="2561">
      <c r="A2561" s="3">
        <f>IFERROR(__xludf.DUMMYFUNCTION("""COMPUTED_VALUE"""),42928.99861111111)</f>
        <v>42928.99861</v>
      </c>
      <c r="B2561" s="1">
        <f>IFERROR(__xludf.DUMMYFUNCTION("""COMPUTED_VALUE"""),393.27309)</f>
        <v>393.27309</v>
      </c>
    </row>
    <row r="2562">
      <c r="A2562" s="3">
        <f>IFERROR(__xludf.DUMMYFUNCTION("""COMPUTED_VALUE"""),42929.99861111111)</f>
        <v>42929.99861</v>
      </c>
      <c r="B2562" s="1">
        <f>IFERROR(__xludf.DUMMYFUNCTION("""COMPUTED_VALUE"""),393.02586)</f>
        <v>393.02586</v>
      </c>
    </row>
    <row r="2563">
      <c r="A2563" s="3">
        <f>IFERROR(__xludf.DUMMYFUNCTION("""COMPUTED_VALUE"""),42930.99861111111)</f>
        <v>42930.99861</v>
      </c>
      <c r="B2563" s="1">
        <f>IFERROR(__xludf.DUMMYFUNCTION("""COMPUTED_VALUE"""),393.532)</f>
        <v>393.532</v>
      </c>
    </row>
    <row r="2564">
      <c r="A2564" s="3">
        <f>IFERROR(__xludf.DUMMYFUNCTION("""COMPUTED_VALUE"""),42931.99861111111)</f>
        <v>42931.99861</v>
      </c>
      <c r="B2564" s="1">
        <f>IFERROR(__xludf.DUMMYFUNCTION("""COMPUTED_VALUE"""),393.616952)</f>
        <v>393.616952</v>
      </c>
    </row>
    <row r="2565">
      <c r="A2565" s="3">
        <f>IFERROR(__xludf.DUMMYFUNCTION("""COMPUTED_VALUE"""),42932.99861111111)</f>
        <v>42932.99861</v>
      </c>
      <c r="B2565" s="1">
        <f>IFERROR(__xludf.DUMMYFUNCTION("""COMPUTED_VALUE"""),394.49388)</f>
        <v>394.49388</v>
      </c>
    </row>
    <row r="2566">
      <c r="A2566" s="3">
        <f>IFERROR(__xludf.DUMMYFUNCTION("""COMPUTED_VALUE"""),42933.99861111111)</f>
        <v>42933.99861</v>
      </c>
      <c r="B2566" s="1">
        <f>IFERROR(__xludf.DUMMYFUNCTION("""COMPUTED_VALUE"""),395.90012)</f>
        <v>395.90012</v>
      </c>
    </row>
    <row r="2567">
      <c r="A2567" s="3">
        <f>IFERROR(__xludf.DUMMYFUNCTION("""COMPUTED_VALUE"""),42934.99861111111)</f>
        <v>42934.99861</v>
      </c>
      <c r="B2567" s="1">
        <f>IFERROR(__xludf.DUMMYFUNCTION("""COMPUTED_VALUE"""),395.7345)</f>
        <v>395.7345</v>
      </c>
    </row>
    <row r="2568">
      <c r="A2568" s="3">
        <f>IFERROR(__xludf.DUMMYFUNCTION("""COMPUTED_VALUE"""),42935.99861111111)</f>
        <v>42935.99861</v>
      </c>
      <c r="B2568" s="1">
        <f>IFERROR(__xludf.DUMMYFUNCTION("""COMPUTED_VALUE"""),395.80966)</f>
        <v>395.80966</v>
      </c>
    </row>
    <row r="2569">
      <c r="A2569" s="3">
        <f>IFERROR(__xludf.DUMMYFUNCTION("""COMPUTED_VALUE"""),42936.99861111111)</f>
        <v>42936.99861</v>
      </c>
      <c r="B2569" s="1">
        <f>IFERROR(__xludf.DUMMYFUNCTION("""COMPUTED_VALUE"""),396.56243)</f>
        <v>396.56243</v>
      </c>
    </row>
    <row r="2570">
      <c r="A2570" s="3">
        <f>IFERROR(__xludf.DUMMYFUNCTION("""COMPUTED_VALUE"""),42937.99861111111)</f>
        <v>42937.99861</v>
      </c>
      <c r="B2570" s="1">
        <f>IFERROR(__xludf.DUMMYFUNCTION("""COMPUTED_VALUE"""),397.89827)</f>
        <v>397.89827</v>
      </c>
    </row>
    <row r="2571">
      <c r="A2571" s="3">
        <f>IFERROR(__xludf.DUMMYFUNCTION("""COMPUTED_VALUE"""),42938.99861111111)</f>
        <v>42938.99861</v>
      </c>
      <c r="B2571" s="1">
        <f>IFERROR(__xludf.DUMMYFUNCTION("""COMPUTED_VALUE"""),397.92814)</f>
        <v>397.92814</v>
      </c>
    </row>
    <row r="2572">
      <c r="A2572" s="3">
        <f>IFERROR(__xludf.DUMMYFUNCTION("""COMPUTED_VALUE"""),42939.99861111111)</f>
        <v>42939.99861</v>
      </c>
      <c r="B2572" s="1">
        <f>IFERROR(__xludf.DUMMYFUNCTION("""COMPUTED_VALUE"""),396.49085)</f>
        <v>396.49085</v>
      </c>
    </row>
    <row r="2573">
      <c r="A2573" s="3">
        <f>IFERROR(__xludf.DUMMYFUNCTION("""COMPUTED_VALUE"""),42940.99861111111)</f>
        <v>42940.99861</v>
      </c>
      <c r="B2573" s="1">
        <f>IFERROR(__xludf.DUMMYFUNCTION("""COMPUTED_VALUE"""),398.41472)</f>
        <v>398.41472</v>
      </c>
    </row>
    <row r="2574">
      <c r="A2574" s="3">
        <f>IFERROR(__xludf.DUMMYFUNCTION("""COMPUTED_VALUE"""),42941.99861111111)</f>
        <v>42941.99861</v>
      </c>
      <c r="B2574" s="1">
        <f>IFERROR(__xludf.DUMMYFUNCTION("""COMPUTED_VALUE"""),397.97408)</f>
        <v>397.97408</v>
      </c>
    </row>
    <row r="2575">
      <c r="A2575" s="3">
        <f>IFERROR(__xludf.DUMMYFUNCTION("""COMPUTED_VALUE"""),42942.99861111111)</f>
        <v>42942.99861</v>
      </c>
      <c r="B2575" s="1">
        <f>IFERROR(__xludf.DUMMYFUNCTION("""COMPUTED_VALUE"""),399.47013)</f>
        <v>399.47013</v>
      </c>
    </row>
    <row r="2576">
      <c r="A2576" s="3">
        <f>IFERROR(__xludf.DUMMYFUNCTION("""COMPUTED_VALUE"""),42943.99861111111)</f>
        <v>42943.99861</v>
      </c>
      <c r="B2576" s="1">
        <f>IFERROR(__xludf.DUMMYFUNCTION("""COMPUTED_VALUE"""),399.19689)</f>
        <v>399.19689</v>
      </c>
    </row>
    <row r="2577">
      <c r="A2577" s="3">
        <f>IFERROR(__xludf.DUMMYFUNCTION("""COMPUTED_VALUE"""),42944.99861111111)</f>
        <v>42944.99861</v>
      </c>
      <c r="B2577" s="1">
        <f>IFERROR(__xludf.DUMMYFUNCTION("""COMPUTED_VALUE"""),399.2499)</f>
        <v>399.2499</v>
      </c>
    </row>
    <row r="2578">
      <c r="A2578" s="3">
        <f>IFERROR(__xludf.DUMMYFUNCTION("""COMPUTED_VALUE"""),42945.99861111111)</f>
        <v>42945.99861</v>
      </c>
      <c r="B2578" s="1">
        <f>IFERROR(__xludf.DUMMYFUNCTION("""COMPUTED_VALUE"""),398.934)</f>
        <v>398.934</v>
      </c>
    </row>
    <row r="2579">
      <c r="A2579" s="3">
        <f>IFERROR(__xludf.DUMMYFUNCTION("""COMPUTED_VALUE"""),42946.99861111111)</f>
        <v>42946.99861</v>
      </c>
      <c r="B2579" s="1">
        <f>IFERROR(__xludf.DUMMYFUNCTION("""COMPUTED_VALUE"""),399.3336)</f>
        <v>399.3336</v>
      </c>
    </row>
    <row r="2580">
      <c r="A2580" s="3">
        <f>IFERROR(__xludf.DUMMYFUNCTION("""COMPUTED_VALUE"""),42947.99861111111)</f>
        <v>42947.99861</v>
      </c>
      <c r="B2580" s="1">
        <f>IFERROR(__xludf.DUMMYFUNCTION("""COMPUTED_VALUE"""),399.80636)</f>
        <v>399.80636</v>
      </c>
    </row>
    <row r="2581">
      <c r="A2581" s="3">
        <f>IFERROR(__xludf.DUMMYFUNCTION("""COMPUTED_VALUE"""),42948.99861111111)</f>
        <v>42948.99861</v>
      </c>
      <c r="B2581" s="1">
        <f>IFERROR(__xludf.DUMMYFUNCTION("""COMPUTED_VALUE"""),400.04268)</f>
        <v>400.04268</v>
      </c>
    </row>
    <row r="2582">
      <c r="A2582" s="3">
        <f>IFERROR(__xludf.DUMMYFUNCTION("""COMPUTED_VALUE"""),42949.99861111111)</f>
        <v>42949.99861</v>
      </c>
      <c r="B2582" s="1">
        <f>IFERROR(__xludf.DUMMYFUNCTION("""COMPUTED_VALUE"""),399.90951)</f>
        <v>399.90951</v>
      </c>
    </row>
    <row r="2583">
      <c r="A2583" s="3">
        <f>IFERROR(__xludf.DUMMYFUNCTION("""COMPUTED_VALUE"""),42950.99861111111)</f>
        <v>42950.99861</v>
      </c>
      <c r="B2583" s="1">
        <f>IFERROR(__xludf.DUMMYFUNCTION("""COMPUTED_VALUE"""),400.50233)</f>
        <v>400.50233</v>
      </c>
    </row>
    <row r="2584">
      <c r="A2584" s="3">
        <f>IFERROR(__xludf.DUMMYFUNCTION("""COMPUTED_VALUE"""),42951.99861111111)</f>
        <v>42951.99861</v>
      </c>
      <c r="B2584" s="1">
        <f>IFERROR(__xludf.DUMMYFUNCTION("""COMPUTED_VALUE"""),399.75936)</f>
        <v>399.75936</v>
      </c>
    </row>
    <row r="2585">
      <c r="A2585" s="3">
        <f>IFERROR(__xludf.DUMMYFUNCTION("""COMPUTED_VALUE"""),42952.99861111111)</f>
        <v>42952.99861</v>
      </c>
      <c r="B2585" s="1">
        <f>IFERROR(__xludf.DUMMYFUNCTION("""COMPUTED_VALUE"""),400.3998999)</f>
        <v>400.3998999</v>
      </c>
    </row>
    <row r="2586">
      <c r="A2586" s="3">
        <f>IFERROR(__xludf.DUMMYFUNCTION("""COMPUTED_VALUE"""),42953.99861111111)</f>
        <v>42953.99861</v>
      </c>
      <c r="B2586" s="1">
        <f>IFERROR(__xludf.DUMMYFUNCTION("""COMPUTED_VALUE"""),399.53618)</f>
        <v>399.53618</v>
      </c>
    </row>
    <row r="2587">
      <c r="A2587" s="3">
        <f>IFERROR(__xludf.DUMMYFUNCTION("""COMPUTED_VALUE"""),42954.99861111111)</f>
        <v>42954.99861</v>
      </c>
      <c r="B2587" s="1">
        <f>IFERROR(__xludf.DUMMYFUNCTION("""COMPUTED_VALUE"""),399.84945)</f>
        <v>399.84945</v>
      </c>
    </row>
    <row r="2588">
      <c r="A2588" s="3">
        <f>IFERROR(__xludf.DUMMYFUNCTION("""COMPUTED_VALUE"""),42955.99861111111)</f>
        <v>42955.99861</v>
      </c>
      <c r="B2588" s="1">
        <f>IFERROR(__xludf.DUMMYFUNCTION("""COMPUTED_VALUE"""),399.71224)</f>
        <v>399.71224</v>
      </c>
    </row>
    <row r="2589">
      <c r="A2589" s="3">
        <f>IFERROR(__xludf.DUMMYFUNCTION("""COMPUTED_VALUE"""),42956.99861111111)</f>
        <v>42956.99861</v>
      </c>
      <c r="B2589" s="1">
        <f>IFERROR(__xludf.DUMMYFUNCTION("""COMPUTED_VALUE"""),400.57956)</f>
        <v>400.57956</v>
      </c>
    </row>
    <row r="2590">
      <c r="A2590" s="3">
        <f>IFERROR(__xludf.DUMMYFUNCTION("""COMPUTED_VALUE"""),42957.99861111111)</f>
        <v>42957.99861</v>
      </c>
      <c r="B2590" s="1">
        <f>IFERROR(__xludf.DUMMYFUNCTION("""COMPUTED_VALUE"""),400.74289)</f>
        <v>400.74289</v>
      </c>
    </row>
    <row r="2591">
      <c r="A2591" s="3">
        <f>IFERROR(__xludf.DUMMYFUNCTION("""COMPUTED_VALUE"""),42958.99861111111)</f>
        <v>42958.99861</v>
      </c>
      <c r="B2591" s="1">
        <f>IFERROR(__xludf.DUMMYFUNCTION("""COMPUTED_VALUE"""),401.67141)</f>
        <v>401.67141</v>
      </c>
    </row>
    <row r="2592">
      <c r="A2592" s="3">
        <f>IFERROR(__xludf.DUMMYFUNCTION("""COMPUTED_VALUE"""),42959.99861111111)</f>
        <v>42959.99861</v>
      </c>
      <c r="B2592" s="1">
        <f>IFERROR(__xludf.DUMMYFUNCTION("""COMPUTED_VALUE"""),401.59808)</f>
        <v>401.59808</v>
      </c>
    </row>
    <row r="2593">
      <c r="A2593" s="3">
        <f>IFERROR(__xludf.DUMMYFUNCTION("""COMPUTED_VALUE"""),42960.99861111111)</f>
        <v>42960.99861</v>
      </c>
      <c r="B2593" s="1">
        <f>IFERROR(__xludf.DUMMYFUNCTION("""COMPUTED_VALUE"""),401.8651)</f>
        <v>401.8651</v>
      </c>
    </row>
    <row r="2594">
      <c r="A2594" s="3">
        <f>IFERROR(__xludf.DUMMYFUNCTION("""COMPUTED_VALUE"""),42961.99861111111)</f>
        <v>42961.99861</v>
      </c>
      <c r="B2594" s="1">
        <f>IFERROR(__xludf.DUMMYFUNCTION("""COMPUTED_VALUE"""),401.06052)</f>
        <v>401.06052</v>
      </c>
    </row>
    <row r="2595">
      <c r="A2595" s="3">
        <f>IFERROR(__xludf.DUMMYFUNCTION("""COMPUTED_VALUE"""),42962.99861111111)</f>
        <v>42962.99861</v>
      </c>
      <c r="B2595" s="1">
        <f>IFERROR(__xludf.DUMMYFUNCTION("""COMPUTED_VALUE"""),401.2877)</f>
        <v>401.2877</v>
      </c>
    </row>
    <row r="2596">
      <c r="A2596" s="3">
        <f>IFERROR(__xludf.DUMMYFUNCTION("""COMPUTED_VALUE"""),42963.99861111111)</f>
        <v>42963.99861</v>
      </c>
      <c r="B2596" s="1">
        <f>IFERROR(__xludf.DUMMYFUNCTION("""COMPUTED_VALUE"""),401.4345)</f>
        <v>401.4345</v>
      </c>
    </row>
    <row r="2597">
      <c r="A2597" s="3">
        <f>IFERROR(__xludf.DUMMYFUNCTION("""COMPUTED_VALUE"""),42964.99861111111)</f>
        <v>42964.99861</v>
      </c>
      <c r="B2597" s="1">
        <f>IFERROR(__xludf.DUMMYFUNCTION("""COMPUTED_VALUE"""),401.96232)</f>
        <v>401.96232</v>
      </c>
    </row>
    <row r="2598">
      <c r="A2598" s="3">
        <f>IFERROR(__xludf.DUMMYFUNCTION("""COMPUTED_VALUE"""),42965.99861111111)</f>
        <v>42965.99861</v>
      </c>
      <c r="B2598" s="1">
        <f>IFERROR(__xludf.DUMMYFUNCTION("""COMPUTED_VALUE"""),401.80864)</f>
        <v>401.80864</v>
      </c>
    </row>
    <row r="2599">
      <c r="A2599" s="3">
        <f>IFERROR(__xludf.DUMMYFUNCTION("""COMPUTED_VALUE"""),42966.99861111111)</f>
        <v>42966.99861</v>
      </c>
      <c r="B2599" s="1">
        <f>IFERROR(__xludf.DUMMYFUNCTION("""COMPUTED_VALUE"""),401.85195)</f>
        <v>401.85195</v>
      </c>
    </row>
    <row r="2600">
      <c r="A2600" s="3">
        <f>IFERROR(__xludf.DUMMYFUNCTION("""COMPUTED_VALUE"""),42967.99861111111)</f>
        <v>42967.99861</v>
      </c>
      <c r="B2600" s="1">
        <f>IFERROR(__xludf.DUMMYFUNCTION("""COMPUTED_VALUE"""),401.7184)</f>
        <v>401.7184</v>
      </c>
    </row>
    <row r="2601">
      <c r="A2601" s="3">
        <f>IFERROR(__xludf.DUMMYFUNCTION("""COMPUTED_VALUE"""),42968.99861111111)</f>
        <v>42968.99861</v>
      </c>
      <c r="B2601" s="1">
        <f>IFERROR(__xludf.DUMMYFUNCTION("""COMPUTED_VALUE"""),401.25408)</f>
        <v>401.25408</v>
      </c>
    </row>
    <row r="2602">
      <c r="A2602" s="3">
        <f>IFERROR(__xludf.DUMMYFUNCTION("""COMPUTED_VALUE"""),42969.99861111111)</f>
        <v>42969.99861</v>
      </c>
      <c r="B2602" s="1">
        <f>IFERROR(__xludf.DUMMYFUNCTION("""COMPUTED_VALUE"""),400.68275)</f>
        <v>400.68275</v>
      </c>
    </row>
    <row r="2603">
      <c r="A2603" s="3">
        <f>IFERROR(__xludf.DUMMYFUNCTION("""COMPUTED_VALUE"""),42970.99861111111)</f>
        <v>42970.99861</v>
      </c>
      <c r="B2603" s="1">
        <f>IFERROR(__xludf.DUMMYFUNCTION("""COMPUTED_VALUE"""),400.26298)</f>
        <v>400.26298</v>
      </c>
    </row>
    <row r="2604">
      <c r="A2604" s="3">
        <f>IFERROR(__xludf.DUMMYFUNCTION("""COMPUTED_VALUE"""),42971.99861111111)</f>
        <v>42971.99861</v>
      </c>
      <c r="B2604" s="1">
        <f>IFERROR(__xludf.DUMMYFUNCTION("""COMPUTED_VALUE"""),399.85667)</f>
        <v>399.85667</v>
      </c>
    </row>
    <row r="2605">
      <c r="A2605" s="3">
        <f>IFERROR(__xludf.DUMMYFUNCTION("""COMPUTED_VALUE"""),42972.99861111111)</f>
        <v>42972.99861</v>
      </c>
      <c r="B2605" s="1">
        <f>IFERROR(__xludf.DUMMYFUNCTION("""COMPUTED_VALUE"""),400.76364)</f>
        <v>400.76364</v>
      </c>
    </row>
    <row r="2606">
      <c r="A2606" s="3">
        <f>IFERROR(__xludf.DUMMYFUNCTION("""COMPUTED_VALUE"""),42973.99861111111)</f>
        <v>42973.99861</v>
      </c>
      <c r="B2606" s="1">
        <f>IFERROR(__xludf.DUMMYFUNCTION("""COMPUTED_VALUE"""),400.89705)</f>
        <v>400.89705</v>
      </c>
    </row>
    <row r="2607">
      <c r="A2607" s="3">
        <f>IFERROR(__xludf.DUMMYFUNCTION("""COMPUTED_VALUE"""),42974.99861111111)</f>
        <v>42974.99861</v>
      </c>
      <c r="B2607" s="1">
        <f>IFERROR(__xludf.DUMMYFUNCTION("""COMPUTED_VALUE"""),401.10373)</f>
        <v>401.10373</v>
      </c>
    </row>
    <row r="2608">
      <c r="A2608" s="3">
        <f>IFERROR(__xludf.DUMMYFUNCTION("""COMPUTED_VALUE"""),42975.99861111111)</f>
        <v>42975.99861</v>
      </c>
      <c r="B2608" s="1">
        <f>IFERROR(__xludf.DUMMYFUNCTION("""COMPUTED_VALUE"""),400.4203)</f>
        <v>400.4203</v>
      </c>
    </row>
    <row r="2609">
      <c r="A2609" s="3">
        <f>IFERROR(__xludf.DUMMYFUNCTION("""COMPUTED_VALUE"""),42976.99861111111)</f>
        <v>42976.99861</v>
      </c>
      <c r="B2609" s="1">
        <f>IFERROR(__xludf.DUMMYFUNCTION("""COMPUTED_VALUE"""),401.45663)</f>
        <v>401.45663</v>
      </c>
    </row>
    <row r="2610">
      <c r="A2610" s="3">
        <f>IFERROR(__xludf.DUMMYFUNCTION("""COMPUTED_VALUE"""),42977.99861111111)</f>
        <v>42977.99861</v>
      </c>
      <c r="B2610" s="1">
        <f>IFERROR(__xludf.DUMMYFUNCTION("""COMPUTED_VALUE"""),401.3534)</f>
        <v>401.3534</v>
      </c>
    </row>
    <row r="2611">
      <c r="A2611" s="3">
        <f>IFERROR(__xludf.DUMMYFUNCTION("""COMPUTED_VALUE"""),42978.99861111111)</f>
        <v>42978.99861</v>
      </c>
      <c r="B2611" s="1">
        <f>IFERROR(__xludf.DUMMYFUNCTION("""COMPUTED_VALUE"""),401.22852)</f>
        <v>401.22852</v>
      </c>
    </row>
    <row r="2612">
      <c r="A2612" s="3">
        <f>IFERROR(__xludf.DUMMYFUNCTION("""COMPUTED_VALUE"""),42979.99861111111)</f>
        <v>42979.99861</v>
      </c>
      <c r="B2612" s="1">
        <f>IFERROR(__xludf.DUMMYFUNCTION("""COMPUTED_VALUE"""),401.72329)</f>
        <v>401.72329</v>
      </c>
    </row>
    <row r="2613">
      <c r="A2613" s="3">
        <f>IFERROR(__xludf.DUMMYFUNCTION("""COMPUTED_VALUE"""),42980.99861111111)</f>
        <v>42980.99861</v>
      </c>
      <c r="B2613" s="1">
        <f>IFERROR(__xludf.DUMMYFUNCTION("""COMPUTED_VALUE"""),401.78355)</f>
        <v>401.78355</v>
      </c>
    </row>
    <row r="2614">
      <c r="A2614" s="3">
        <f>IFERROR(__xludf.DUMMYFUNCTION("""COMPUTED_VALUE"""),42981.99861111111)</f>
        <v>42981.99861</v>
      </c>
      <c r="B2614" s="1">
        <f>IFERROR(__xludf.DUMMYFUNCTION("""COMPUTED_VALUE"""),401.92965)</f>
        <v>401.92965</v>
      </c>
    </row>
    <row r="2615">
      <c r="A2615" s="3">
        <f>IFERROR(__xludf.DUMMYFUNCTION("""COMPUTED_VALUE"""),42982.99861111111)</f>
        <v>42982.99861</v>
      </c>
      <c r="B2615" s="1">
        <f>IFERROR(__xludf.DUMMYFUNCTION("""COMPUTED_VALUE"""),402.45942)</f>
        <v>402.45942</v>
      </c>
    </row>
    <row r="2616">
      <c r="A2616" s="3">
        <f>IFERROR(__xludf.DUMMYFUNCTION("""COMPUTED_VALUE"""),42983.99861111111)</f>
        <v>42983.99861</v>
      </c>
      <c r="B2616" s="1">
        <f>IFERROR(__xludf.DUMMYFUNCTION("""COMPUTED_VALUE"""),402.12328)</f>
        <v>402.12328</v>
      </c>
    </row>
    <row r="2617">
      <c r="A2617" s="3">
        <f>IFERROR(__xludf.DUMMYFUNCTION("""COMPUTED_VALUE"""),42984.99861111111)</f>
        <v>42984.99861</v>
      </c>
      <c r="B2617" s="1">
        <f>IFERROR(__xludf.DUMMYFUNCTION("""COMPUTED_VALUE"""),402.30424)</f>
        <v>402.30424</v>
      </c>
    </row>
    <row r="2618">
      <c r="A2618" s="3">
        <f>IFERROR(__xludf.DUMMYFUNCTION("""COMPUTED_VALUE"""),42985.99861111111)</f>
        <v>42985.99861</v>
      </c>
      <c r="B2618" s="1">
        <f>IFERROR(__xludf.DUMMYFUNCTION("""COMPUTED_VALUE"""),401.72647)</f>
        <v>401.72647</v>
      </c>
    </row>
    <row r="2619">
      <c r="A2619" s="3">
        <f>IFERROR(__xludf.DUMMYFUNCTION("""COMPUTED_VALUE"""),42986.99861111111)</f>
        <v>42986.99861</v>
      </c>
      <c r="B2619" s="1">
        <f>IFERROR(__xludf.DUMMYFUNCTION("""COMPUTED_VALUE"""),398.15349)</f>
        <v>398.15349</v>
      </c>
    </row>
    <row r="2620">
      <c r="A2620" s="3">
        <f>IFERROR(__xludf.DUMMYFUNCTION("""COMPUTED_VALUE"""),42987.99861111111)</f>
        <v>42987.99861</v>
      </c>
      <c r="B2620" s="1">
        <f>IFERROR(__xludf.DUMMYFUNCTION("""COMPUTED_VALUE"""),398.2251)</f>
        <v>398.2251</v>
      </c>
    </row>
    <row r="2621">
      <c r="A2621" s="3">
        <f>IFERROR(__xludf.DUMMYFUNCTION("""COMPUTED_VALUE"""),42988.99861111111)</f>
        <v>42988.99861</v>
      </c>
      <c r="B2621" s="1">
        <f>IFERROR(__xludf.DUMMYFUNCTION("""COMPUTED_VALUE"""),398.28546)</f>
        <v>398.28546</v>
      </c>
    </row>
    <row r="2622">
      <c r="A2622" s="3">
        <f>IFERROR(__xludf.DUMMYFUNCTION("""COMPUTED_VALUE"""),42989.99861111111)</f>
        <v>42989.99861</v>
      </c>
      <c r="B2622" s="1">
        <f>IFERROR(__xludf.DUMMYFUNCTION("""COMPUTED_VALUE"""),397.65168)</f>
        <v>397.65168</v>
      </c>
    </row>
    <row r="2623">
      <c r="A2623" s="3">
        <f>IFERROR(__xludf.DUMMYFUNCTION("""COMPUTED_VALUE"""),42990.99861111111)</f>
        <v>42990.99861</v>
      </c>
      <c r="B2623" s="1">
        <f>IFERROR(__xludf.DUMMYFUNCTION("""COMPUTED_VALUE"""),398.61744)</f>
        <v>398.61744</v>
      </c>
    </row>
    <row r="2624">
      <c r="A2624" s="3">
        <f>IFERROR(__xludf.DUMMYFUNCTION("""COMPUTED_VALUE"""),42991.99861111111)</f>
        <v>42991.99861</v>
      </c>
      <c r="B2624" s="1">
        <f>IFERROR(__xludf.DUMMYFUNCTION("""COMPUTED_VALUE"""),399.64356)</f>
        <v>399.64356</v>
      </c>
    </row>
    <row r="2625">
      <c r="A2625" s="3">
        <f>IFERROR(__xludf.DUMMYFUNCTION("""COMPUTED_VALUE"""),42992.99861111111)</f>
        <v>42992.99861</v>
      </c>
      <c r="B2625" s="1">
        <f>IFERROR(__xludf.DUMMYFUNCTION("""COMPUTED_VALUE"""),400.91026)</f>
        <v>400.91026</v>
      </c>
    </row>
    <row r="2626">
      <c r="A2626" s="3">
        <f>IFERROR(__xludf.DUMMYFUNCTION("""COMPUTED_VALUE"""),42993.99861111111)</f>
        <v>42993.99861</v>
      </c>
      <c r="B2626" s="1">
        <f>IFERROR(__xludf.DUMMYFUNCTION("""COMPUTED_VALUE"""),399.89674)</f>
        <v>399.89674</v>
      </c>
    </row>
    <row r="2627">
      <c r="A2627" s="3">
        <f>IFERROR(__xludf.DUMMYFUNCTION("""COMPUTED_VALUE"""),42994.99861111111)</f>
        <v>42994.99861</v>
      </c>
      <c r="B2627" s="1">
        <f>IFERROR(__xludf.DUMMYFUNCTION("""COMPUTED_VALUE"""),400.3975921)</f>
        <v>400.3975921</v>
      </c>
    </row>
    <row r="2628">
      <c r="A2628" s="3">
        <f>IFERROR(__xludf.DUMMYFUNCTION("""COMPUTED_VALUE"""),42995.99861111111)</f>
        <v>42995.99861</v>
      </c>
      <c r="B2628" s="1">
        <f>IFERROR(__xludf.DUMMYFUNCTION("""COMPUTED_VALUE"""),400.2104)</f>
        <v>400.2104</v>
      </c>
    </row>
    <row r="2629">
      <c r="A2629" s="3">
        <f>IFERROR(__xludf.DUMMYFUNCTION("""COMPUTED_VALUE"""),42996.99861111111)</f>
        <v>42996.99861</v>
      </c>
      <c r="B2629" s="1">
        <f>IFERROR(__xludf.DUMMYFUNCTION("""COMPUTED_VALUE"""),400.82628)</f>
        <v>400.82628</v>
      </c>
    </row>
    <row r="2630">
      <c r="A2630" s="3">
        <f>IFERROR(__xludf.DUMMYFUNCTION("""COMPUTED_VALUE"""),42997.99861111111)</f>
        <v>42997.99861</v>
      </c>
      <c r="B2630" s="1">
        <f>IFERROR(__xludf.DUMMYFUNCTION("""COMPUTED_VALUE"""),400.72888)</f>
        <v>400.72888</v>
      </c>
    </row>
    <row r="2631">
      <c r="A2631" s="3">
        <f>IFERROR(__xludf.DUMMYFUNCTION("""COMPUTED_VALUE"""),42998.99861111111)</f>
        <v>42998.99861</v>
      </c>
      <c r="B2631" s="1">
        <f>IFERROR(__xludf.DUMMYFUNCTION("""COMPUTED_VALUE"""),400.57914)</f>
        <v>400.57914</v>
      </c>
    </row>
    <row r="2632">
      <c r="A2632" s="3">
        <f>IFERROR(__xludf.DUMMYFUNCTION("""COMPUTED_VALUE"""),42999.99861111111)</f>
        <v>42999.99861</v>
      </c>
      <c r="B2632" s="1">
        <f>IFERROR(__xludf.DUMMYFUNCTION("""COMPUTED_VALUE"""),400.71187)</f>
        <v>400.71187</v>
      </c>
    </row>
    <row r="2633">
      <c r="A2633" s="3">
        <f>IFERROR(__xludf.DUMMYFUNCTION("""COMPUTED_VALUE"""),43000.99861111111)</f>
        <v>43000.99861</v>
      </c>
      <c r="B2633" s="1">
        <f>IFERROR(__xludf.DUMMYFUNCTION("""COMPUTED_VALUE"""),401.6238)</f>
        <v>401.6238</v>
      </c>
    </row>
    <row r="2634">
      <c r="A2634" s="3">
        <f>IFERROR(__xludf.DUMMYFUNCTION("""COMPUTED_VALUE"""),43001.99861111111)</f>
        <v>43001.99861</v>
      </c>
      <c r="B2634" s="1">
        <f>IFERROR(__xludf.DUMMYFUNCTION("""COMPUTED_VALUE"""),401.8616314)</f>
        <v>401.8616314</v>
      </c>
    </row>
    <row r="2635">
      <c r="A2635" s="3">
        <f>IFERROR(__xludf.DUMMYFUNCTION("""COMPUTED_VALUE"""),43002.99861111111)</f>
        <v>43002.99861</v>
      </c>
      <c r="B2635" s="1">
        <f>IFERROR(__xludf.DUMMYFUNCTION("""COMPUTED_VALUE"""),401.8412)</f>
        <v>401.8412</v>
      </c>
    </row>
    <row r="2636">
      <c r="A2636" s="3">
        <f>IFERROR(__xludf.DUMMYFUNCTION("""COMPUTED_VALUE"""),43003.99861111111)</f>
        <v>43003.99861</v>
      </c>
      <c r="B2636" s="1">
        <f>IFERROR(__xludf.DUMMYFUNCTION("""COMPUTED_VALUE"""),402.10061)</f>
        <v>402.10061</v>
      </c>
    </row>
    <row r="2637">
      <c r="A2637" s="3">
        <f>IFERROR(__xludf.DUMMYFUNCTION("""COMPUTED_VALUE"""),43004.99861111111)</f>
        <v>43004.99861</v>
      </c>
      <c r="B2637" s="1">
        <f>IFERROR(__xludf.DUMMYFUNCTION("""COMPUTED_VALUE"""),402.5875)</f>
        <v>402.5875</v>
      </c>
    </row>
    <row r="2638">
      <c r="A2638" s="3">
        <f>IFERROR(__xludf.DUMMYFUNCTION("""COMPUTED_VALUE"""),43005.99861111111)</f>
        <v>43005.99861</v>
      </c>
      <c r="B2638" s="1">
        <f>IFERROR(__xludf.DUMMYFUNCTION("""COMPUTED_VALUE"""),403.12433)</f>
        <v>403.12433</v>
      </c>
    </row>
    <row r="2639">
      <c r="A2639" s="3">
        <f>IFERROR(__xludf.DUMMYFUNCTION("""COMPUTED_VALUE"""),43006.99861111111)</f>
        <v>43006.99861</v>
      </c>
      <c r="B2639" s="1">
        <f>IFERROR(__xludf.DUMMYFUNCTION("""COMPUTED_VALUE"""),404.42952)</f>
        <v>404.42952</v>
      </c>
    </row>
    <row r="2640">
      <c r="A2640" s="3">
        <f>IFERROR(__xludf.DUMMYFUNCTION("""COMPUTED_VALUE"""),43007.99861111111)</f>
        <v>43007.99861</v>
      </c>
      <c r="B2640" s="1">
        <f>IFERROR(__xludf.DUMMYFUNCTION("""COMPUTED_VALUE"""),401.108)</f>
        <v>401.108</v>
      </c>
    </row>
    <row r="2641">
      <c r="A2641" s="3">
        <f>IFERROR(__xludf.DUMMYFUNCTION("""COMPUTED_VALUE"""),43008.99861111111)</f>
        <v>43008.99861</v>
      </c>
      <c r="B2641" s="1">
        <f>IFERROR(__xludf.DUMMYFUNCTION("""COMPUTED_VALUE"""),401.616984)</f>
        <v>401.616984</v>
      </c>
    </row>
    <row r="2642">
      <c r="A2642" s="3">
        <f>IFERROR(__xludf.DUMMYFUNCTION("""COMPUTED_VALUE"""),43009.99861111111)</f>
        <v>43009.99861</v>
      </c>
      <c r="B2642" s="1">
        <f>IFERROR(__xludf.DUMMYFUNCTION("""COMPUTED_VALUE"""),404.2193)</f>
        <v>404.2193</v>
      </c>
    </row>
    <row r="2643">
      <c r="A2643" s="3">
        <f>IFERROR(__xludf.DUMMYFUNCTION("""COMPUTED_VALUE"""),43010.99861111111)</f>
        <v>43010.99861</v>
      </c>
      <c r="B2643" s="1">
        <f>IFERROR(__xludf.DUMMYFUNCTION("""COMPUTED_VALUE"""),404.5769)</f>
        <v>404.5769</v>
      </c>
    </row>
    <row r="2644">
      <c r="A2644" s="3">
        <f>IFERROR(__xludf.DUMMYFUNCTION("""COMPUTED_VALUE"""),43011.99861111111)</f>
        <v>43011.99861</v>
      </c>
      <c r="B2644" s="1">
        <f>IFERROR(__xludf.DUMMYFUNCTION("""COMPUTED_VALUE"""),405.53856)</f>
        <v>405.53856</v>
      </c>
    </row>
    <row r="2645">
      <c r="A2645" s="3">
        <f>IFERROR(__xludf.DUMMYFUNCTION("""COMPUTED_VALUE"""),43012.99861111111)</f>
        <v>43012.99861</v>
      </c>
      <c r="B2645" s="1">
        <f>IFERROR(__xludf.DUMMYFUNCTION("""COMPUTED_VALUE"""),403.6959)</f>
        <v>403.6959</v>
      </c>
    </row>
    <row r="2646">
      <c r="A2646" s="3">
        <f>IFERROR(__xludf.DUMMYFUNCTION("""COMPUTED_VALUE"""),43013.99861111111)</f>
        <v>43013.99861</v>
      </c>
      <c r="B2646" s="1">
        <f>IFERROR(__xludf.DUMMYFUNCTION("""COMPUTED_VALUE"""),402.72294)</f>
        <v>402.72294</v>
      </c>
    </row>
    <row r="2647">
      <c r="A2647" s="3">
        <f>IFERROR(__xludf.DUMMYFUNCTION("""COMPUTED_VALUE"""),43014.99861111111)</f>
        <v>43014.99861</v>
      </c>
      <c r="B2647" s="1">
        <f>IFERROR(__xludf.DUMMYFUNCTION("""COMPUTED_VALUE"""),403.57478)</f>
        <v>403.57478</v>
      </c>
    </row>
    <row r="2648">
      <c r="A2648" s="3">
        <f>IFERROR(__xludf.DUMMYFUNCTION("""COMPUTED_VALUE"""),43015.99861111111)</f>
        <v>43015.99861</v>
      </c>
      <c r="B2648" s="1">
        <f>IFERROR(__xludf.DUMMYFUNCTION("""COMPUTED_VALUE"""),403.5603)</f>
        <v>403.5603</v>
      </c>
    </row>
    <row r="2649">
      <c r="A2649" s="3">
        <f>IFERROR(__xludf.DUMMYFUNCTION("""COMPUTED_VALUE"""),43016.99861111111)</f>
        <v>43016.99861</v>
      </c>
      <c r="B2649" s="1">
        <f>IFERROR(__xludf.DUMMYFUNCTION("""COMPUTED_VALUE"""),403.29036)</f>
        <v>403.29036</v>
      </c>
    </row>
    <row r="2650">
      <c r="A2650" s="3">
        <f>IFERROR(__xludf.DUMMYFUNCTION("""COMPUTED_VALUE"""),43017.99861111111)</f>
        <v>43017.99861</v>
      </c>
      <c r="B2650" s="1">
        <f>IFERROR(__xludf.DUMMYFUNCTION("""COMPUTED_VALUE"""),404.7596)</f>
        <v>404.7596</v>
      </c>
    </row>
    <row r="2651">
      <c r="A2651" s="3">
        <f>IFERROR(__xludf.DUMMYFUNCTION("""COMPUTED_VALUE"""),43018.99861111111)</f>
        <v>43018.99861</v>
      </c>
      <c r="B2651" s="1">
        <f>IFERROR(__xludf.DUMMYFUNCTION("""COMPUTED_VALUE"""),406.3808)</f>
        <v>406.3808</v>
      </c>
    </row>
    <row r="2652">
      <c r="A2652" s="3">
        <f>IFERROR(__xludf.DUMMYFUNCTION("""COMPUTED_VALUE"""),43019.99861111111)</f>
        <v>43019.99861</v>
      </c>
      <c r="B2652" s="1">
        <f>IFERROR(__xludf.DUMMYFUNCTION("""COMPUTED_VALUE"""),407.1914)</f>
        <v>407.1914</v>
      </c>
    </row>
    <row r="2653">
      <c r="A2653" s="3">
        <f>IFERROR(__xludf.DUMMYFUNCTION("""COMPUTED_VALUE"""),43020.99861111111)</f>
        <v>43020.99861</v>
      </c>
      <c r="B2653" s="1">
        <f>IFERROR(__xludf.DUMMYFUNCTION("""COMPUTED_VALUE"""),407.6396)</f>
        <v>407.6396</v>
      </c>
    </row>
    <row r="2654">
      <c r="A2654" s="3">
        <f>IFERROR(__xludf.DUMMYFUNCTION("""COMPUTED_VALUE"""),43021.99861111111)</f>
        <v>43021.99861</v>
      </c>
      <c r="B2654" s="1">
        <f>IFERROR(__xludf.DUMMYFUNCTION("""COMPUTED_VALUE"""),405.7203)</f>
        <v>405.7203</v>
      </c>
    </row>
    <row r="2655">
      <c r="A2655" s="3">
        <f>IFERROR(__xludf.DUMMYFUNCTION("""COMPUTED_VALUE"""),43022.99861111111)</f>
        <v>43022.99861</v>
      </c>
      <c r="B2655" s="1">
        <f>IFERROR(__xludf.DUMMYFUNCTION("""COMPUTED_VALUE"""),407.72824)</f>
        <v>407.72824</v>
      </c>
    </row>
    <row r="2656">
      <c r="A2656" s="3">
        <f>IFERROR(__xludf.DUMMYFUNCTION("""COMPUTED_VALUE"""),43023.99861111111)</f>
        <v>43023.99861</v>
      </c>
      <c r="B2656" s="1">
        <f>IFERROR(__xludf.DUMMYFUNCTION("""COMPUTED_VALUE"""),407.99808)</f>
        <v>407.99808</v>
      </c>
    </row>
    <row r="2657">
      <c r="A2657" s="3">
        <f>IFERROR(__xludf.DUMMYFUNCTION("""COMPUTED_VALUE"""),43024.99861111111)</f>
        <v>43024.99861</v>
      </c>
      <c r="B2657" s="1">
        <f>IFERROR(__xludf.DUMMYFUNCTION("""COMPUTED_VALUE"""),407.10996)</f>
        <v>407.10996</v>
      </c>
    </row>
    <row r="2658">
      <c r="A2658" s="3">
        <f>IFERROR(__xludf.DUMMYFUNCTION("""COMPUTED_VALUE"""),43025.99861111111)</f>
        <v>43025.99861</v>
      </c>
      <c r="B2658" s="1">
        <f>IFERROR(__xludf.DUMMYFUNCTION("""COMPUTED_VALUE"""),407.68395)</f>
        <v>407.68395</v>
      </c>
    </row>
    <row r="2659">
      <c r="A2659" s="3">
        <f>IFERROR(__xludf.DUMMYFUNCTION("""COMPUTED_VALUE"""),43026.99861111111)</f>
        <v>43026.99861</v>
      </c>
      <c r="B2659" s="1">
        <f>IFERROR(__xludf.DUMMYFUNCTION("""COMPUTED_VALUE"""),407.5967)</f>
        <v>407.5967</v>
      </c>
    </row>
    <row r="2660">
      <c r="A2660" s="3">
        <f>IFERROR(__xludf.DUMMYFUNCTION("""COMPUTED_VALUE"""),43027.99861111111)</f>
        <v>43027.99861</v>
      </c>
      <c r="B2660" s="1">
        <f>IFERROR(__xludf.DUMMYFUNCTION("""COMPUTED_VALUE"""),407.2631)</f>
        <v>407.2631</v>
      </c>
    </row>
    <row r="2661">
      <c r="A2661" s="3">
        <f>IFERROR(__xludf.DUMMYFUNCTION("""COMPUTED_VALUE"""),43028.99861111111)</f>
        <v>43028.99861</v>
      </c>
      <c r="B2661" s="1">
        <f>IFERROR(__xludf.DUMMYFUNCTION("""COMPUTED_VALUE"""),406.96676)</f>
        <v>406.96676</v>
      </c>
    </row>
    <row r="2662">
      <c r="A2662" s="3">
        <f>IFERROR(__xludf.DUMMYFUNCTION("""COMPUTED_VALUE"""),43029.99861111111)</f>
        <v>43029.99861</v>
      </c>
      <c r="B2662" s="1">
        <f>IFERROR(__xludf.DUMMYFUNCTION("""COMPUTED_VALUE"""),406.8316)</f>
        <v>406.8316</v>
      </c>
    </row>
    <row r="2663">
      <c r="A2663" s="3">
        <f>IFERROR(__xludf.DUMMYFUNCTION("""COMPUTED_VALUE"""),43030.99861111111)</f>
        <v>43030.99861</v>
      </c>
      <c r="B2663" s="1">
        <f>IFERROR(__xludf.DUMMYFUNCTION("""COMPUTED_VALUE"""),406.8316)</f>
        <v>406.8316</v>
      </c>
    </row>
    <row r="2664">
      <c r="A2664" s="3">
        <f>IFERROR(__xludf.DUMMYFUNCTION("""COMPUTED_VALUE"""),43031.99861111111)</f>
        <v>43031.99861</v>
      </c>
      <c r="B2664" s="1">
        <f>IFERROR(__xludf.DUMMYFUNCTION("""COMPUTED_VALUE"""),407.80955)</f>
        <v>407.80955</v>
      </c>
    </row>
    <row r="2665">
      <c r="A2665" s="3">
        <f>IFERROR(__xludf.DUMMYFUNCTION("""COMPUTED_VALUE"""),43032.99861111111)</f>
        <v>43032.99861</v>
      </c>
      <c r="B2665" s="1">
        <f>IFERROR(__xludf.DUMMYFUNCTION("""COMPUTED_VALUE"""),407.373)</f>
        <v>407.373</v>
      </c>
    </row>
    <row r="2666">
      <c r="A2666" s="3">
        <f>IFERROR(__xludf.DUMMYFUNCTION("""COMPUTED_VALUE"""),43033.99861111111)</f>
        <v>43033.99861</v>
      </c>
      <c r="B2666" s="1">
        <f>IFERROR(__xludf.DUMMYFUNCTION("""COMPUTED_VALUE"""),409.1958)</f>
        <v>409.1958</v>
      </c>
    </row>
    <row r="2667">
      <c r="A2667" s="3">
        <f>IFERROR(__xludf.DUMMYFUNCTION("""COMPUTED_VALUE"""),43034.99861111111)</f>
        <v>43034.99861</v>
      </c>
      <c r="B2667" s="1">
        <f>IFERROR(__xludf.DUMMYFUNCTION("""COMPUTED_VALUE"""),410.10858)</f>
        <v>410.10858</v>
      </c>
    </row>
    <row r="2668">
      <c r="A2668" s="3">
        <f>IFERROR(__xludf.DUMMYFUNCTION("""COMPUTED_VALUE"""),43035.99861111111)</f>
        <v>43035.99861</v>
      </c>
      <c r="B2668" s="1">
        <f>IFERROR(__xludf.DUMMYFUNCTION("""COMPUTED_VALUE"""),408.68137)</f>
        <v>408.68137</v>
      </c>
    </row>
    <row r="2669">
      <c r="A2669" s="3">
        <f>IFERROR(__xludf.DUMMYFUNCTION("""COMPUTED_VALUE"""),43036.99861111111)</f>
        <v>43036.99861</v>
      </c>
      <c r="B2669" s="1">
        <f>IFERROR(__xludf.DUMMYFUNCTION("""COMPUTED_VALUE"""),409.1155808)</f>
        <v>409.1155808</v>
      </c>
    </row>
    <row r="2670">
      <c r="A2670" s="3">
        <f>IFERROR(__xludf.DUMMYFUNCTION("""COMPUTED_VALUE"""),43037.99861111111)</f>
        <v>43037.99861</v>
      </c>
      <c r="B2670" s="1">
        <f>IFERROR(__xludf.DUMMYFUNCTION("""COMPUTED_VALUE"""),408.86292)</f>
        <v>408.86292</v>
      </c>
    </row>
    <row r="2671">
      <c r="A2671" s="3">
        <f>IFERROR(__xludf.DUMMYFUNCTION("""COMPUTED_VALUE"""),43038.99861111111)</f>
        <v>43038.99861</v>
      </c>
      <c r="B2671" s="1">
        <f>IFERROR(__xludf.DUMMYFUNCTION("""COMPUTED_VALUE"""),408.5774)</f>
        <v>408.5774</v>
      </c>
    </row>
    <row r="2672">
      <c r="A2672" s="3">
        <f>IFERROR(__xludf.DUMMYFUNCTION("""COMPUTED_VALUE"""),43039.99861111111)</f>
        <v>43039.99861</v>
      </c>
      <c r="B2672" s="1">
        <f>IFERROR(__xludf.DUMMYFUNCTION("""COMPUTED_VALUE"""),407.9754)</f>
        <v>407.9754</v>
      </c>
    </row>
    <row r="2673">
      <c r="A2673" s="3">
        <f>IFERROR(__xludf.DUMMYFUNCTION("""COMPUTED_VALUE"""),43040.99861111111)</f>
        <v>43040.99861</v>
      </c>
      <c r="B2673" s="1">
        <f>IFERROR(__xludf.DUMMYFUNCTION("""COMPUTED_VALUE"""),408.75848)</f>
        <v>408.75848</v>
      </c>
    </row>
    <row r="2674">
      <c r="A2674" s="3">
        <f>IFERROR(__xludf.DUMMYFUNCTION("""COMPUTED_VALUE"""),43041.99861111111)</f>
        <v>43041.99861</v>
      </c>
      <c r="B2674" s="1">
        <f>IFERROR(__xludf.DUMMYFUNCTION("""COMPUTED_VALUE"""),409.13403)</f>
        <v>409.13403</v>
      </c>
    </row>
    <row r="2675">
      <c r="A2675" s="3">
        <f>IFERROR(__xludf.DUMMYFUNCTION("""COMPUTED_VALUE"""),43042.99861111111)</f>
        <v>43042.99861</v>
      </c>
      <c r="B2675" s="1">
        <f>IFERROR(__xludf.DUMMYFUNCTION("""COMPUTED_VALUE"""),406.2872)</f>
        <v>406.2872</v>
      </c>
    </row>
    <row r="2676">
      <c r="A2676" s="3">
        <f>IFERROR(__xludf.DUMMYFUNCTION("""COMPUTED_VALUE"""),43043.99861111111)</f>
        <v>43043.99861</v>
      </c>
      <c r="B2676" s="1">
        <f>IFERROR(__xludf.DUMMYFUNCTION("""COMPUTED_VALUE"""),406.8264)</f>
        <v>406.8264</v>
      </c>
    </row>
    <row r="2677">
      <c r="A2677" s="3">
        <f>IFERROR(__xludf.DUMMYFUNCTION("""COMPUTED_VALUE"""),43044.99861111111)</f>
        <v>43044.99861</v>
      </c>
      <c r="B2677" s="1">
        <f>IFERROR(__xludf.DUMMYFUNCTION("""COMPUTED_VALUE"""),406.2872)</f>
        <v>406.2872</v>
      </c>
    </row>
    <row r="2678">
      <c r="A2678" s="3">
        <f>IFERROR(__xludf.DUMMYFUNCTION("""COMPUTED_VALUE"""),43045.99861111111)</f>
        <v>43045.99861</v>
      </c>
      <c r="B2678" s="1">
        <f>IFERROR(__xludf.DUMMYFUNCTION("""COMPUTED_VALUE"""),407.1866)</f>
        <v>407.1866</v>
      </c>
    </row>
    <row r="2679">
      <c r="A2679" s="3">
        <f>IFERROR(__xludf.DUMMYFUNCTION("""COMPUTED_VALUE"""),43046.99861111111)</f>
        <v>43046.99861</v>
      </c>
      <c r="B2679" s="1">
        <f>IFERROR(__xludf.DUMMYFUNCTION("""COMPUTED_VALUE"""),407.71738)</f>
        <v>407.71738</v>
      </c>
    </row>
    <row r="2680">
      <c r="A2680" s="3">
        <f>IFERROR(__xludf.DUMMYFUNCTION("""COMPUTED_VALUE"""),43047.99861111111)</f>
        <v>43047.99861</v>
      </c>
      <c r="B2680" s="1">
        <f>IFERROR(__xludf.DUMMYFUNCTION("""COMPUTED_VALUE"""),407.52054)</f>
        <v>407.52054</v>
      </c>
    </row>
    <row r="2681">
      <c r="A2681" s="3">
        <f>IFERROR(__xludf.DUMMYFUNCTION("""COMPUTED_VALUE"""),43048.99861111111)</f>
        <v>43048.99861</v>
      </c>
      <c r="B2681" s="1">
        <f>IFERROR(__xludf.DUMMYFUNCTION("""COMPUTED_VALUE"""),408.65067)</f>
        <v>408.65067</v>
      </c>
    </row>
    <row r="2682">
      <c r="A2682" s="3">
        <f>IFERROR(__xludf.DUMMYFUNCTION("""COMPUTED_VALUE"""),43049.99861111111)</f>
        <v>43049.99861</v>
      </c>
      <c r="B2682" s="1">
        <f>IFERROR(__xludf.DUMMYFUNCTION("""COMPUTED_VALUE"""),408.56214)</f>
        <v>408.56214</v>
      </c>
    </row>
    <row r="2683">
      <c r="A2683" s="3">
        <f>IFERROR(__xludf.DUMMYFUNCTION("""COMPUTED_VALUE"""),43050.99861111111)</f>
        <v>43050.99861</v>
      </c>
      <c r="B2683" s="1">
        <f>IFERROR(__xludf.DUMMYFUNCTION("""COMPUTED_VALUE"""),401.7613545)</f>
        <v>401.7613545</v>
      </c>
    </row>
    <row r="2684">
      <c r="A2684" s="3">
        <f>IFERROR(__xludf.DUMMYFUNCTION("""COMPUTED_VALUE"""),43051.99861111111)</f>
        <v>43051.99861</v>
      </c>
      <c r="B2684" s="1">
        <f>IFERROR(__xludf.DUMMYFUNCTION("""COMPUTED_VALUE"""),407.79216)</f>
        <v>407.79216</v>
      </c>
    </row>
    <row r="2685">
      <c r="A2685" s="3">
        <f>IFERROR(__xludf.DUMMYFUNCTION("""COMPUTED_VALUE"""),43052.99861111111)</f>
        <v>43052.99861</v>
      </c>
      <c r="B2685" s="1">
        <f>IFERROR(__xludf.DUMMYFUNCTION("""COMPUTED_VALUE"""),409.70719)</f>
        <v>409.70719</v>
      </c>
    </row>
    <row r="2686">
      <c r="A2686" s="3">
        <f>IFERROR(__xludf.DUMMYFUNCTION("""COMPUTED_VALUE"""),43053.99861111111)</f>
        <v>43053.99861</v>
      </c>
      <c r="B2686" s="1">
        <f>IFERROR(__xludf.DUMMYFUNCTION("""COMPUTED_VALUE"""),409.6008)</f>
        <v>409.6008</v>
      </c>
    </row>
    <row r="2687">
      <c r="A2687" s="3">
        <f>IFERROR(__xludf.DUMMYFUNCTION("""COMPUTED_VALUE"""),43054.99861111111)</f>
        <v>43054.99861</v>
      </c>
      <c r="B2687" s="1">
        <f>IFERROR(__xludf.DUMMYFUNCTION("""COMPUTED_VALUE"""),409.8398)</f>
        <v>409.8398</v>
      </c>
    </row>
    <row r="2688">
      <c r="A2688" s="3">
        <f>IFERROR(__xludf.DUMMYFUNCTION("""COMPUTED_VALUE"""),43055.99861111111)</f>
        <v>43055.99861</v>
      </c>
      <c r="B2688" s="1">
        <f>IFERROR(__xludf.DUMMYFUNCTION("""COMPUTED_VALUE"""),410.42018)</f>
        <v>410.42018</v>
      </c>
    </row>
    <row r="2689">
      <c r="A2689" s="3">
        <f>IFERROR(__xludf.DUMMYFUNCTION("""COMPUTED_VALUE"""),43056.99861111111)</f>
        <v>43056.99861</v>
      </c>
      <c r="B2689" s="1">
        <f>IFERROR(__xludf.DUMMYFUNCTION("""COMPUTED_VALUE"""),410.77828)</f>
        <v>410.77828</v>
      </c>
    </row>
    <row r="2690">
      <c r="A2690" s="3">
        <f>IFERROR(__xludf.DUMMYFUNCTION("""COMPUTED_VALUE"""),43057.99861111111)</f>
        <v>43057.99861</v>
      </c>
      <c r="B2690" s="1">
        <f>IFERROR(__xludf.DUMMYFUNCTION("""COMPUTED_VALUE"""),410.9458391)</f>
        <v>410.9458391</v>
      </c>
    </row>
    <row r="2691">
      <c r="A2691" s="3">
        <f>IFERROR(__xludf.DUMMYFUNCTION("""COMPUTED_VALUE"""),43058.99861111111)</f>
        <v>43058.99861</v>
      </c>
      <c r="B2691" s="1">
        <f>IFERROR(__xludf.DUMMYFUNCTION("""COMPUTED_VALUE"""),411.18352)</f>
        <v>411.18352</v>
      </c>
    </row>
    <row r="2692">
      <c r="A2692" s="3">
        <f>IFERROR(__xludf.DUMMYFUNCTION("""COMPUTED_VALUE"""),43059.99861111111)</f>
        <v>43059.99861</v>
      </c>
      <c r="B2692" s="1">
        <f>IFERROR(__xludf.DUMMYFUNCTION("""COMPUTED_VALUE"""),411.83625)</f>
        <v>411.83625</v>
      </c>
    </row>
    <row r="2693">
      <c r="A2693" s="3">
        <f>IFERROR(__xludf.DUMMYFUNCTION("""COMPUTED_VALUE"""),43060.99861111111)</f>
        <v>43060.99861</v>
      </c>
      <c r="B2693" s="1">
        <f>IFERROR(__xludf.DUMMYFUNCTION("""COMPUTED_VALUE"""),412.59988)</f>
        <v>412.59988</v>
      </c>
    </row>
    <row r="2694">
      <c r="A2694" s="3">
        <f>IFERROR(__xludf.DUMMYFUNCTION("""COMPUTED_VALUE"""),43061.99861111111)</f>
        <v>43061.99861</v>
      </c>
      <c r="B2694" s="1">
        <f>IFERROR(__xludf.DUMMYFUNCTION("""COMPUTED_VALUE"""),412.28496)</f>
        <v>412.28496</v>
      </c>
    </row>
    <row r="2695">
      <c r="A2695" s="3">
        <f>IFERROR(__xludf.DUMMYFUNCTION("""COMPUTED_VALUE"""),43062.99861111111)</f>
        <v>43062.99861</v>
      </c>
      <c r="B2695" s="1">
        <f>IFERROR(__xludf.DUMMYFUNCTION("""COMPUTED_VALUE"""),412.89829)</f>
        <v>412.89829</v>
      </c>
    </row>
    <row r="2696">
      <c r="A2696" s="3">
        <f>IFERROR(__xludf.DUMMYFUNCTION("""COMPUTED_VALUE"""),43063.99861111111)</f>
        <v>43063.99861</v>
      </c>
      <c r="B2696" s="1">
        <f>IFERROR(__xludf.DUMMYFUNCTION("""COMPUTED_VALUE"""),412.76884)</f>
        <v>412.76884</v>
      </c>
    </row>
    <row r="2697">
      <c r="A2697" s="3">
        <f>IFERROR(__xludf.DUMMYFUNCTION("""COMPUTED_VALUE"""),43064.99861111111)</f>
        <v>43064.99861</v>
      </c>
      <c r="B2697" s="1">
        <f>IFERROR(__xludf.DUMMYFUNCTION("""COMPUTED_VALUE"""),412.76884)</f>
        <v>412.76884</v>
      </c>
    </row>
    <row r="2698">
      <c r="A2698" s="3">
        <f>IFERROR(__xludf.DUMMYFUNCTION("""COMPUTED_VALUE"""),43065.99861111111)</f>
        <v>43065.99861</v>
      </c>
      <c r="B2698" s="1">
        <f>IFERROR(__xludf.DUMMYFUNCTION("""COMPUTED_VALUE"""),412.76884)</f>
        <v>412.76884</v>
      </c>
    </row>
    <row r="2699">
      <c r="A2699" s="3">
        <f>IFERROR(__xludf.DUMMYFUNCTION("""COMPUTED_VALUE"""),43066.99861111111)</f>
        <v>43066.99861</v>
      </c>
      <c r="B2699" s="1">
        <f>IFERROR(__xludf.DUMMYFUNCTION("""COMPUTED_VALUE"""),414.11215)</f>
        <v>414.11215</v>
      </c>
    </row>
    <row r="2700">
      <c r="A2700" s="3">
        <f>IFERROR(__xludf.DUMMYFUNCTION("""COMPUTED_VALUE"""),43067.99861111111)</f>
        <v>43067.99861</v>
      </c>
      <c r="B2700" s="1">
        <f>IFERROR(__xludf.DUMMYFUNCTION("""COMPUTED_VALUE"""),414.18)</f>
        <v>414.18</v>
      </c>
    </row>
    <row r="2701">
      <c r="A2701" s="3">
        <f>IFERROR(__xludf.DUMMYFUNCTION("""COMPUTED_VALUE"""),43068.99861111111)</f>
        <v>43068.99861</v>
      </c>
      <c r="B2701" s="1">
        <f>IFERROR(__xludf.DUMMYFUNCTION("""COMPUTED_VALUE"""),414.30272)</f>
        <v>414.30272</v>
      </c>
    </row>
    <row r="2702">
      <c r="A2702" s="3">
        <f>IFERROR(__xludf.DUMMYFUNCTION("""COMPUTED_VALUE"""),43069.99861111111)</f>
        <v>43069.99861</v>
      </c>
      <c r="B2702" s="1">
        <f>IFERROR(__xludf.DUMMYFUNCTION("""COMPUTED_VALUE"""),414.76083)</f>
        <v>414.76083</v>
      </c>
    </row>
    <row r="2703">
      <c r="A2703" s="3">
        <f>IFERROR(__xludf.DUMMYFUNCTION("""COMPUTED_VALUE"""),43070.99861111111)</f>
        <v>43070.99861</v>
      </c>
      <c r="B2703" s="1">
        <f>IFERROR(__xludf.DUMMYFUNCTION("""COMPUTED_VALUE"""),414.70716)</f>
        <v>414.70716</v>
      </c>
    </row>
    <row r="2704">
      <c r="A2704" s="3">
        <f>IFERROR(__xludf.DUMMYFUNCTION("""COMPUTED_VALUE"""),43071.99861111111)</f>
        <v>43071.99861</v>
      </c>
      <c r="B2704" s="1">
        <f>IFERROR(__xludf.DUMMYFUNCTION("""COMPUTED_VALUE"""),414.8846814)</f>
        <v>414.8846814</v>
      </c>
    </row>
    <row r="2705">
      <c r="A2705" s="3">
        <f>IFERROR(__xludf.DUMMYFUNCTION("""COMPUTED_VALUE"""),43072.99861111111)</f>
        <v>43072.99861</v>
      </c>
      <c r="B2705" s="1">
        <f>IFERROR(__xludf.DUMMYFUNCTION("""COMPUTED_VALUE"""),415.2072)</f>
        <v>415.2072</v>
      </c>
    </row>
    <row r="2706">
      <c r="A2706" s="3">
        <f>IFERROR(__xludf.DUMMYFUNCTION("""COMPUTED_VALUE"""),43073.99861111111)</f>
        <v>43073.99861</v>
      </c>
      <c r="B2706" s="1">
        <f>IFERROR(__xludf.DUMMYFUNCTION("""COMPUTED_VALUE"""),413.72604)</f>
        <v>413.72604</v>
      </c>
    </row>
    <row r="2707">
      <c r="A2707" s="3">
        <f>IFERROR(__xludf.DUMMYFUNCTION("""COMPUTED_VALUE"""),43074.99861111111)</f>
        <v>43074.99861</v>
      </c>
      <c r="B2707" s="1">
        <f>IFERROR(__xludf.DUMMYFUNCTION("""COMPUTED_VALUE"""),414.17345)</f>
        <v>414.17345</v>
      </c>
    </row>
    <row r="2708">
      <c r="A2708" s="3">
        <f>IFERROR(__xludf.DUMMYFUNCTION("""COMPUTED_VALUE"""),43075.99861111111)</f>
        <v>43075.99861</v>
      </c>
      <c r="B2708" s="1">
        <f>IFERROR(__xludf.DUMMYFUNCTION("""COMPUTED_VALUE"""),414.8171)</f>
        <v>414.8171</v>
      </c>
    </row>
    <row r="2709">
      <c r="A2709" s="3">
        <f>IFERROR(__xludf.DUMMYFUNCTION("""COMPUTED_VALUE"""),43076.99861111111)</f>
        <v>43076.99861</v>
      </c>
      <c r="B2709" s="1">
        <f>IFERROR(__xludf.DUMMYFUNCTION("""COMPUTED_VALUE"""),415.12839)</f>
        <v>415.12839</v>
      </c>
    </row>
    <row r="2710">
      <c r="A2710" s="3">
        <f>IFERROR(__xludf.DUMMYFUNCTION("""COMPUTED_VALUE"""),43077.99861111111)</f>
        <v>43077.99861</v>
      </c>
      <c r="B2710" s="1">
        <f>IFERROR(__xludf.DUMMYFUNCTION("""COMPUTED_VALUE"""),414.9397)</f>
        <v>414.9397</v>
      </c>
    </row>
    <row r="2711">
      <c r="A2711" s="3">
        <f>IFERROR(__xludf.DUMMYFUNCTION("""COMPUTED_VALUE"""),43078.99861111111)</f>
        <v>43078.99861</v>
      </c>
      <c r="B2711" s="1">
        <f>IFERROR(__xludf.DUMMYFUNCTION("""COMPUTED_VALUE"""),406.95228)</f>
        <v>406.95228</v>
      </c>
    </row>
    <row r="2712">
      <c r="A2712" s="3">
        <f>IFERROR(__xludf.DUMMYFUNCTION("""COMPUTED_VALUE"""),43079.99861111111)</f>
        <v>43079.99861</v>
      </c>
      <c r="B2712" s="1">
        <f>IFERROR(__xludf.DUMMYFUNCTION("""COMPUTED_VALUE"""),413.71941)</f>
        <v>413.71941</v>
      </c>
    </row>
    <row r="2713">
      <c r="A2713" s="3">
        <f>IFERROR(__xludf.DUMMYFUNCTION("""COMPUTED_VALUE"""),43080.99861111111)</f>
        <v>43080.99861</v>
      </c>
      <c r="B2713" s="1">
        <f>IFERROR(__xludf.DUMMYFUNCTION("""COMPUTED_VALUE"""),415.63984)</f>
        <v>415.63984</v>
      </c>
    </row>
    <row r="2714">
      <c r="A2714" s="3">
        <f>IFERROR(__xludf.DUMMYFUNCTION("""COMPUTED_VALUE"""),43081.99861111111)</f>
        <v>43081.99861</v>
      </c>
      <c r="B2714" s="1">
        <f>IFERROR(__xludf.DUMMYFUNCTION("""COMPUTED_VALUE"""),415.33815)</f>
        <v>415.33815</v>
      </c>
    </row>
    <row r="2715">
      <c r="A2715" s="3">
        <f>IFERROR(__xludf.DUMMYFUNCTION("""COMPUTED_VALUE"""),43082.99861111111)</f>
        <v>43082.99861</v>
      </c>
      <c r="B2715" s="1">
        <f>IFERROR(__xludf.DUMMYFUNCTION("""COMPUTED_VALUE"""),416.4904)</f>
        <v>416.4904</v>
      </c>
    </row>
    <row r="2716">
      <c r="A2716" s="3">
        <f>IFERROR(__xludf.DUMMYFUNCTION("""COMPUTED_VALUE"""),43083.99861111111)</f>
        <v>43083.99861</v>
      </c>
      <c r="B2716" s="1">
        <f>IFERROR(__xludf.DUMMYFUNCTION("""COMPUTED_VALUE"""),416.64996)</f>
        <v>416.64996</v>
      </c>
    </row>
    <row r="2717">
      <c r="A2717" s="3">
        <f>IFERROR(__xludf.DUMMYFUNCTION("""COMPUTED_VALUE"""),43084.99861111111)</f>
        <v>43084.99861</v>
      </c>
      <c r="B2717" s="1">
        <f>IFERROR(__xludf.DUMMYFUNCTION("""COMPUTED_VALUE"""),416.80896)</f>
        <v>416.80896</v>
      </c>
    </row>
    <row r="2718">
      <c r="A2718" s="3">
        <f>IFERROR(__xludf.DUMMYFUNCTION("""COMPUTED_VALUE"""),43085.99861111111)</f>
        <v>43085.99861</v>
      </c>
      <c r="B2718" s="1">
        <f>IFERROR(__xludf.DUMMYFUNCTION("""COMPUTED_VALUE"""),417.391104)</f>
        <v>417.391104</v>
      </c>
    </row>
    <row r="2719">
      <c r="A2719" s="3">
        <f>IFERROR(__xludf.DUMMYFUNCTION("""COMPUTED_VALUE"""),43086.99861111111)</f>
        <v>43086.99861</v>
      </c>
      <c r="B2719" s="1">
        <f>IFERROR(__xludf.DUMMYFUNCTION("""COMPUTED_VALUE"""),416.94464)</f>
        <v>416.94464</v>
      </c>
    </row>
    <row r="2720">
      <c r="A2720" s="3">
        <f>IFERROR(__xludf.DUMMYFUNCTION("""COMPUTED_VALUE"""),43087.99861111111)</f>
        <v>43087.99861</v>
      </c>
      <c r="B2720" s="1">
        <f>IFERROR(__xludf.DUMMYFUNCTION("""COMPUTED_VALUE"""),415.8196)</f>
        <v>415.8196</v>
      </c>
    </row>
    <row r="2721">
      <c r="A2721" s="3">
        <f>IFERROR(__xludf.DUMMYFUNCTION("""COMPUTED_VALUE"""),43088.99861111111)</f>
        <v>43088.99861</v>
      </c>
      <c r="B2721" s="1">
        <f>IFERROR(__xludf.DUMMYFUNCTION("""COMPUTED_VALUE"""),414.71625)</f>
        <v>414.71625</v>
      </c>
    </row>
    <row r="2722">
      <c r="A2722" s="3">
        <f>IFERROR(__xludf.DUMMYFUNCTION("""COMPUTED_VALUE"""),43089.99861111111)</f>
        <v>43089.99861</v>
      </c>
      <c r="B2722" s="1">
        <f>IFERROR(__xludf.DUMMYFUNCTION("""COMPUTED_VALUE"""),414.51942)</f>
        <v>414.51942</v>
      </c>
    </row>
    <row r="2723">
      <c r="A2723" s="3">
        <f>IFERROR(__xludf.DUMMYFUNCTION("""COMPUTED_VALUE"""),43090.99861111111)</f>
        <v>43090.99861</v>
      </c>
      <c r="B2723" s="1">
        <f>IFERROR(__xludf.DUMMYFUNCTION("""COMPUTED_VALUE"""),414.3191)</f>
        <v>414.3191</v>
      </c>
    </row>
    <row r="2724">
      <c r="A2724" s="3">
        <f>IFERROR(__xludf.DUMMYFUNCTION("""COMPUTED_VALUE"""),43091.99861111111)</f>
        <v>43091.99861</v>
      </c>
      <c r="B2724" s="1">
        <f>IFERROR(__xludf.DUMMYFUNCTION("""COMPUTED_VALUE"""),413.45444)</f>
        <v>413.45444</v>
      </c>
    </row>
    <row r="2725">
      <c r="A2725" s="3">
        <f>IFERROR(__xludf.DUMMYFUNCTION("""COMPUTED_VALUE"""),43092.99861111111)</f>
        <v>43092.99861</v>
      </c>
      <c r="B2725" s="1">
        <f>IFERROR(__xludf.DUMMYFUNCTION("""COMPUTED_VALUE"""),413.31897)</f>
        <v>413.31897</v>
      </c>
    </row>
    <row r="2726">
      <c r="A2726" s="3">
        <f>IFERROR(__xludf.DUMMYFUNCTION("""COMPUTED_VALUE"""),43093.99861111111)</f>
        <v>43093.99861</v>
      </c>
      <c r="B2726" s="1">
        <f>IFERROR(__xludf.DUMMYFUNCTION("""COMPUTED_VALUE"""),413.57652)</f>
        <v>413.57652</v>
      </c>
    </row>
    <row r="2727">
      <c r="A2727" s="3">
        <f>IFERROR(__xludf.DUMMYFUNCTION("""COMPUTED_VALUE"""),43094.99861111111)</f>
        <v>43094.99861</v>
      </c>
      <c r="B2727" s="1">
        <f>IFERROR(__xludf.DUMMYFUNCTION("""COMPUTED_VALUE"""),413.4026)</f>
        <v>413.4026</v>
      </c>
    </row>
    <row r="2728">
      <c r="A2728" s="3">
        <f>IFERROR(__xludf.DUMMYFUNCTION("""COMPUTED_VALUE"""),43095.99861111111)</f>
        <v>43095.99861</v>
      </c>
      <c r="B2728" s="1">
        <f>IFERROR(__xludf.DUMMYFUNCTION("""COMPUTED_VALUE"""),412.92944)</f>
        <v>412.92944</v>
      </c>
    </row>
    <row r="2729">
      <c r="A2729" s="3">
        <f>IFERROR(__xludf.DUMMYFUNCTION("""COMPUTED_VALUE"""),43096.99861111111)</f>
        <v>43096.99861</v>
      </c>
      <c r="B2729" s="1">
        <f>IFERROR(__xludf.DUMMYFUNCTION("""COMPUTED_VALUE"""),413.38342)</f>
        <v>413.38342</v>
      </c>
    </row>
    <row r="2730">
      <c r="A2730" s="3">
        <f>IFERROR(__xludf.DUMMYFUNCTION("""COMPUTED_VALUE"""),43097.99861111111)</f>
        <v>43097.99861</v>
      </c>
      <c r="B2730" s="1">
        <f>IFERROR(__xludf.DUMMYFUNCTION("""COMPUTED_VALUE"""),414.46806)</f>
        <v>414.46806</v>
      </c>
    </row>
    <row r="2731">
      <c r="A2731" s="3">
        <f>IFERROR(__xludf.DUMMYFUNCTION("""COMPUTED_VALUE"""),43098.99861111111)</f>
        <v>43098.99861</v>
      </c>
      <c r="B2731" s="1">
        <f>IFERROR(__xludf.DUMMYFUNCTION("""COMPUTED_VALUE"""),414.585)</f>
        <v>414.585</v>
      </c>
    </row>
    <row r="2732">
      <c r="A2732" s="3">
        <f>IFERROR(__xludf.DUMMYFUNCTION("""COMPUTED_VALUE"""),43099.99861111111)</f>
        <v>43099.99861</v>
      </c>
      <c r="B2732" s="1">
        <f>IFERROR(__xludf.DUMMYFUNCTION("""COMPUTED_VALUE"""),405.92724)</f>
        <v>405.92724</v>
      </c>
    </row>
    <row r="2733">
      <c r="A2733" s="3">
        <f>IFERROR(__xludf.DUMMYFUNCTION("""COMPUTED_VALUE"""),43100.99861111111)</f>
        <v>43100.99861</v>
      </c>
      <c r="B2733" s="1">
        <f>IFERROR(__xludf.DUMMYFUNCTION("""COMPUTED_VALUE"""),408.02046)</f>
        <v>408.02046</v>
      </c>
    </row>
    <row r="2734">
      <c r="A2734" s="3">
        <f>IFERROR(__xludf.DUMMYFUNCTION("""COMPUTED_VALUE"""),43101.99861111111)</f>
        <v>43101.99861</v>
      </c>
      <c r="B2734" s="1">
        <f>IFERROR(__xludf.DUMMYFUNCTION("""COMPUTED_VALUE"""),415.714)</f>
        <v>415.714</v>
      </c>
    </row>
    <row r="2735">
      <c r="A2735" s="3">
        <f>IFERROR(__xludf.DUMMYFUNCTION("""COMPUTED_VALUE"""),43102.99861111111)</f>
        <v>43102.99861</v>
      </c>
      <c r="B2735" s="1">
        <f>IFERROR(__xludf.DUMMYFUNCTION("""COMPUTED_VALUE"""),416.08168)</f>
        <v>416.08168</v>
      </c>
    </row>
    <row r="2736">
      <c r="A2736" s="3">
        <f>IFERROR(__xludf.DUMMYFUNCTION("""COMPUTED_VALUE"""),43103.99861111111)</f>
        <v>43103.99861</v>
      </c>
      <c r="B2736" s="1">
        <f>IFERROR(__xludf.DUMMYFUNCTION("""COMPUTED_VALUE"""),416.29588)</f>
        <v>416.29588</v>
      </c>
    </row>
    <row r="2737">
      <c r="A2737" s="3">
        <f>IFERROR(__xludf.DUMMYFUNCTION("""COMPUTED_VALUE"""),43104.99861111111)</f>
        <v>43104.99861</v>
      </c>
      <c r="B2737" s="1">
        <f>IFERROR(__xludf.DUMMYFUNCTION("""COMPUTED_VALUE"""),415.99915)</f>
        <v>415.99915</v>
      </c>
    </row>
    <row r="2738">
      <c r="A2738" s="3">
        <f>IFERROR(__xludf.DUMMYFUNCTION("""COMPUTED_VALUE"""),43105.99861111111)</f>
        <v>43105.99861</v>
      </c>
      <c r="B2738" s="1">
        <f>IFERROR(__xludf.DUMMYFUNCTION("""COMPUTED_VALUE"""),416.41155)</f>
        <v>416.41155</v>
      </c>
    </row>
    <row r="2739">
      <c r="A2739" s="3">
        <f>IFERROR(__xludf.DUMMYFUNCTION("""COMPUTED_VALUE"""),43106.99861111111)</f>
        <v>43106.99861</v>
      </c>
      <c r="B2739" s="1">
        <f>IFERROR(__xludf.DUMMYFUNCTION("""COMPUTED_VALUE"""),416.7782505)</f>
        <v>416.7782505</v>
      </c>
    </row>
    <row r="2740">
      <c r="A2740" s="3">
        <f>IFERROR(__xludf.DUMMYFUNCTION("""COMPUTED_VALUE"""),43107.99861111111)</f>
        <v>43107.99861</v>
      </c>
      <c r="B2740" s="1">
        <f>IFERROR(__xludf.DUMMYFUNCTION("""COMPUTED_VALUE"""),417.31116)</f>
        <v>417.31116</v>
      </c>
    </row>
    <row r="2741">
      <c r="A2741" s="3">
        <f>IFERROR(__xludf.DUMMYFUNCTION("""COMPUTED_VALUE"""),43108.99861111111)</f>
        <v>43108.99861</v>
      </c>
      <c r="B2741" s="1">
        <f>IFERROR(__xludf.DUMMYFUNCTION("""COMPUTED_VALUE"""),416.63981)</f>
        <v>416.63981</v>
      </c>
    </row>
    <row r="2742">
      <c r="A2742" s="3">
        <f>IFERROR(__xludf.DUMMYFUNCTION("""COMPUTED_VALUE"""),43109.99861111111)</f>
        <v>43109.99861</v>
      </c>
      <c r="B2742" s="1">
        <f>IFERROR(__xludf.DUMMYFUNCTION("""COMPUTED_VALUE"""),416.0614)</f>
        <v>416.0614</v>
      </c>
    </row>
    <row r="2743">
      <c r="A2743" s="3">
        <f>IFERROR(__xludf.DUMMYFUNCTION("""COMPUTED_VALUE"""),43110.99861111111)</f>
        <v>43110.99861</v>
      </c>
      <c r="B2743" s="1">
        <f>IFERROR(__xludf.DUMMYFUNCTION("""COMPUTED_VALUE"""),418.41833)</f>
        <v>418.41833</v>
      </c>
    </row>
    <row r="2744">
      <c r="A2744" s="3">
        <f>IFERROR(__xludf.DUMMYFUNCTION("""COMPUTED_VALUE"""),43111.99861111111)</f>
        <v>43111.99861</v>
      </c>
      <c r="B2744" s="1">
        <f>IFERROR(__xludf.DUMMYFUNCTION("""COMPUTED_VALUE"""),418.39732)</f>
        <v>418.39732</v>
      </c>
    </row>
    <row r="2745">
      <c r="A2745" s="3">
        <f>IFERROR(__xludf.DUMMYFUNCTION("""COMPUTED_VALUE"""),43112.99861111111)</f>
        <v>43112.99861</v>
      </c>
      <c r="B2745" s="1">
        <f>IFERROR(__xludf.DUMMYFUNCTION("""COMPUTED_VALUE"""),417.4488)</f>
        <v>417.4488</v>
      </c>
    </row>
    <row r="2746">
      <c r="A2746" s="3">
        <f>IFERROR(__xludf.DUMMYFUNCTION("""COMPUTED_VALUE"""),43113.99861111111)</f>
        <v>43113.99861</v>
      </c>
      <c r="B2746" s="1">
        <f>IFERROR(__xludf.DUMMYFUNCTION("""COMPUTED_VALUE"""),410.15075)</f>
        <v>410.15075</v>
      </c>
    </row>
    <row r="2747">
      <c r="A2747" s="3">
        <f>IFERROR(__xludf.DUMMYFUNCTION("""COMPUTED_VALUE"""),43114.99861111111)</f>
        <v>43114.99861</v>
      </c>
      <c r="B2747" s="1">
        <f>IFERROR(__xludf.DUMMYFUNCTION("""COMPUTED_VALUE"""),416.3994)</f>
        <v>416.3994</v>
      </c>
    </row>
    <row r="2748">
      <c r="A2748" s="3">
        <f>IFERROR(__xludf.DUMMYFUNCTION("""COMPUTED_VALUE"""),43115.99861111111)</f>
        <v>43115.99861</v>
      </c>
      <c r="B2748" s="1">
        <f>IFERROR(__xludf.DUMMYFUNCTION("""COMPUTED_VALUE"""),416.7126)</f>
        <v>416.7126</v>
      </c>
    </row>
    <row r="2749">
      <c r="A2749" s="3">
        <f>IFERROR(__xludf.DUMMYFUNCTION("""COMPUTED_VALUE"""),43116.99861111111)</f>
        <v>43116.99861</v>
      </c>
      <c r="B2749" s="1">
        <f>IFERROR(__xludf.DUMMYFUNCTION("""COMPUTED_VALUE"""),416.74392)</f>
        <v>416.74392</v>
      </c>
    </row>
    <row r="2750">
      <c r="A2750" s="3">
        <f>IFERROR(__xludf.DUMMYFUNCTION("""COMPUTED_VALUE"""),43117.99861111111)</f>
        <v>43117.99861</v>
      </c>
      <c r="B2750" s="1">
        <f>IFERROR(__xludf.DUMMYFUNCTION("""COMPUTED_VALUE"""),416.88336)</f>
        <v>416.88336</v>
      </c>
    </row>
    <row r="2751">
      <c r="A2751" s="3">
        <f>IFERROR(__xludf.DUMMYFUNCTION("""COMPUTED_VALUE"""),43118.99861111111)</f>
        <v>43118.99861</v>
      </c>
      <c r="B2751" s="1">
        <f>IFERROR(__xludf.DUMMYFUNCTION("""COMPUTED_VALUE"""),417.75422)</f>
        <v>417.75422</v>
      </c>
    </row>
    <row r="2752">
      <c r="A2752" s="3">
        <f>IFERROR(__xludf.DUMMYFUNCTION("""COMPUTED_VALUE"""),43119.99861111111)</f>
        <v>43119.99861</v>
      </c>
      <c r="B2752" s="1">
        <f>IFERROR(__xludf.DUMMYFUNCTION("""COMPUTED_VALUE"""),417.8247)</f>
        <v>417.8247</v>
      </c>
    </row>
    <row r="2753">
      <c r="A2753" s="3">
        <f>IFERROR(__xludf.DUMMYFUNCTION("""COMPUTED_VALUE"""),43120.99861111111)</f>
        <v>43120.99861</v>
      </c>
      <c r="B2753" s="1">
        <f>IFERROR(__xludf.DUMMYFUNCTION("""COMPUTED_VALUE"""),418.3998954)</f>
        <v>418.3998954</v>
      </c>
    </row>
    <row r="2754">
      <c r="A2754" s="3">
        <f>IFERROR(__xludf.DUMMYFUNCTION("""COMPUTED_VALUE"""),43121.99861111111)</f>
        <v>43121.99861</v>
      </c>
      <c r="B2754" s="1">
        <f>IFERROR(__xludf.DUMMYFUNCTION("""COMPUTED_VALUE"""),418.1385)</f>
        <v>418.1385</v>
      </c>
    </row>
    <row r="2755">
      <c r="A2755" s="3">
        <f>IFERROR(__xludf.DUMMYFUNCTION("""COMPUTED_VALUE"""),43122.99861111111)</f>
        <v>43122.99861</v>
      </c>
      <c r="B2755" s="1">
        <f>IFERROR(__xludf.DUMMYFUNCTION("""COMPUTED_VALUE"""),418.80538)</f>
        <v>418.80538</v>
      </c>
    </row>
    <row r="2756">
      <c r="A2756" s="3">
        <f>IFERROR(__xludf.DUMMYFUNCTION("""COMPUTED_VALUE"""),43123.99861111111)</f>
        <v>43123.99861</v>
      </c>
      <c r="B2756" s="1">
        <f>IFERROR(__xludf.DUMMYFUNCTION("""COMPUTED_VALUE"""),419.68392)</f>
        <v>419.68392</v>
      </c>
    </row>
    <row r="2757">
      <c r="A2757" s="3">
        <f>IFERROR(__xludf.DUMMYFUNCTION("""COMPUTED_VALUE"""),43124.99861111111)</f>
        <v>43124.99861</v>
      </c>
      <c r="B2757" s="1">
        <f>IFERROR(__xludf.DUMMYFUNCTION("""COMPUTED_VALUE"""),421.14766)</f>
        <v>421.14766</v>
      </c>
    </row>
    <row r="2758">
      <c r="A2758" s="3">
        <f>IFERROR(__xludf.DUMMYFUNCTION("""COMPUTED_VALUE"""),43125.99861111111)</f>
        <v>43125.99861</v>
      </c>
      <c r="B2758" s="1">
        <f>IFERROR(__xludf.DUMMYFUNCTION("""COMPUTED_VALUE"""),422.37624)</f>
        <v>422.37624</v>
      </c>
    </row>
    <row r="2759">
      <c r="A2759" s="3">
        <f>IFERROR(__xludf.DUMMYFUNCTION("""COMPUTED_VALUE"""),43126.99861111111)</f>
        <v>43126.99861</v>
      </c>
      <c r="B2759" s="1">
        <f>IFERROR(__xludf.DUMMYFUNCTION("""COMPUTED_VALUE"""),424.3019)</f>
        <v>424.3019</v>
      </c>
    </row>
    <row r="2760">
      <c r="A2760" s="3">
        <f>IFERROR(__xludf.DUMMYFUNCTION("""COMPUTED_VALUE"""),43127.99861111111)</f>
        <v>43127.99861</v>
      </c>
      <c r="B2760" s="1">
        <f>IFERROR(__xludf.DUMMYFUNCTION("""COMPUTED_VALUE"""),424.766683)</f>
        <v>424.766683</v>
      </c>
    </row>
    <row r="2761">
      <c r="A2761" s="3">
        <f>IFERROR(__xludf.DUMMYFUNCTION("""COMPUTED_VALUE"""),43128.99861111111)</f>
        <v>43128.99861</v>
      </c>
      <c r="B2761" s="1">
        <f>IFERROR(__xludf.DUMMYFUNCTION("""COMPUTED_VALUE"""),424.1424)</f>
        <v>424.1424</v>
      </c>
    </row>
    <row r="2762">
      <c r="A2762" s="3">
        <f>IFERROR(__xludf.DUMMYFUNCTION("""COMPUTED_VALUE"""),43129.99861111111)</f>
        <v>43129.99861</v>
      </c>
      <c r="B2762" s="1">
        <f>IFERROR(__xludf.DUMMYFUNCTION("""COMPUTED_VALUE"""),424.66959)</f>
        <v>424.66959</v>
      </c>
    </row>
    <row r="2763">
      <c r="A2763" s="3">
        <f>IFERROR(__xludf.DUMMYFUNCTION("""COMPUTED_VALUE"""),43130.99861111111)</f>
        <v>43130.99861</v>
      </c>
      <c r="B2763" s="1">
        <f>IFERROR(__xludf.DUMMYFUNCTION("""COMPUTED_VALUE"""),427.05622)</f>
        <v>427.05622</v>
      </c>
    </row>
    <row r="2764">
      <c r="A2764" s="3">
        <f>IFERROR(__xludf.DUMMYFUNCTION("""COMPUTED_VALUE"""),43131.99861111111)</f>
        <v>43131.99861</v>
      </c>
      <c r="B2764" s="1">
        <f>IFERROR(__xludf.DUMMYFUNCTION("""COMPUTED_VALUE"""),427.18536)</f>
        <v>427.18536</v>
      </c>
    </row>
    <row r="2765">
      <c r="A2765" s="3">
        <f>IFERROR(__xludf.DUMMYFUNCTION("""COMPUTED_VALUE"""),43132.99861111111)</f>
        <v>43132.99861</v>
      </c>
      <c r="B2765" s="1">
        <f>IFERROR(__xludf.DUMMYFUNCTION("""COMPUTED_VALUE"""),427.54884)</f>
        <v>427.54884</v>
      </c>
    </row>
    <row r="2766">
      <c r="A2766" s="3">
        <f>IFERROR(__xludf.DUMMYFUNCTION("""COMPUTED_VALUE"""),43133.99861111111)</f>
        <v>43133.99861</v>
      </c>
      <c r="B2766" s="1">
        <f>IFERROR(__xludf.DUMMYFUNCTION("""COMPUTED_VALUE"""),426.06747)</f>
        <v>426.06747</v>
      </c>
    </row>
    <row r="2767">
      <c r="A2767" s="3">
        <f>IFERROR(__xludf.DUMMYFUNCTION("""COMPUTED_VALUE"""),43134.99861111111)</f>
        <v>43134.99861</v>
      </c>
      <c r="B2767" s="1">
        <f>IFERROR(__xludf.DUMMYFUNCTION("""COMPUTED_VALUE"""),426.06747)</f>
        <v>426.06747</v>
      </c>
    </row>
    <row r="2768">
      <c r="A2768" s="3">
        <f>IFERROR(__xludf.DUMMYFUNCTION("""COMPUTED_VALUE"""),43135.99861111111)</f>
        <v>43135.99861</v>
      </c>
      <c r="B2768" s="1">
        <f>IFERROR(__xludf.DUMMYFUNCTION("""COMPUTED_VALUE"""),426.06747)</f>
        <v>426.06747</v>
      </c>
    </row>
    <row r="2769">
      <c r="A2769" s="3">
        <f>IFERROR(__xludf.DUMMYFUNCTION("""COMPUTED_VALUE"""),43136.99861111111)</f>
        <v>43136.99861</v>
      </c>
      <c r="B2769" s="1">
        <f>IFERROR(__xludf.DUMMYFUNCTION("""COMPUTED_VALUE"""),428.48676)</f>
        <v>428.48676</v>
      </c>
    </row>
    <row r="2770">
      <c r="A2770" s="3">
        <f>IFERROR(__xludf.DUMMYFUNCTION("""COMPUTED_VALUE"""),43137.99861111111)</f>
        <v>43137.99861</v>
      </c>
      <c r="B2770" s="1">
        <f>IFERROR(__xludf.DUMMYFUNCTION("""COMPUTED_VALUE"""),429.61568)</f>
        <v>429.61568</v>
      </c>
    </row>
    <row r="2771">
      <c r="A2771" s="3">
        <f>IFERROR(__xludf.DUMMYFUNCTION("""COMPUTED_VALUE"""),43138.99861111111)</f>
        <v>43138.99861</v>
      </c>
      <c r="B2771" s="1">
        <f>IFERROR(__xludf.DUMMYFUNCTION("""COMPUTED_VALUE"""),430.64637)</f>
        <v>430.64637</v>
      </c>
    </row>
    <row r="2772">
      <c r="A2772" s="3">
        <f>IFERROR(__xludf.DUMMYFUNCTION("""COMPUTED_VALUE"""),43139.99861111111)</f>
        <v>43139.99861</v>
      </c>
      <c r="B2772" s="1">
        <f>IFERROR(__xludf.DUMMYFUNCTION("""COMPUTED_VALUE"""),426.2973)</f>
        <v>426.2973</v>
      </c>
    </row>
    <row r="2773">
      <c r="A2773" s="3">
        <f>IFERROR(__xludf.DUMMYFUNCTION("""COMPUTED_VALUE"""),43140.99861111111)</f>
        <v>43140.99861</v>
      </c>
      <c r="B2773" s="1">
        <f>IFERROR(__xludf.DUMMYFUNCTION("""COMPUTED_VALUE"""),429.40536)</f>
        <v>429.40536</v>
      </c>
    </row>
    <row r="2774">
      <c r="A2774" s="3">
        <f>IFERROR(__xludf.DUMMYFUNCTION("""COMPUTED_VALUE"""),43141.99861111111)</f>
        <v>43141.99861</v>
      </c>
      <c r="B2774" s="1">
        <f>IFERROR(__xludf.DUMMYFUNCTION("""COMPUTED_VALUE"""),429.40536)</f>
        <v>429.40536</v>
      </c>
    </row>
    <row r="2775">
      <c r="A2775" s="3">
        <f>IFERROR(__xludf.DUMMYFUNCTION("""COMPUTED_VALUE"""),43142.99861111111)</f>
        <v>43142.99861</v>
      </c>
      <c r="B2775" s="1">
        <f>IFERROR(__xludf.DUMMYFUNCTION("""COMPUTED_VALUE"""),429.1233)</f>
        <v>429.1233</v>
      </c>
    </row>
    <row r="2776">
      <c r="A2776" s="3">
        <f>IFERROR(__xludf.DUMMYFUNCTION("""COMPUTED_VALUE"""),43143.99861111111)</f>
        <v>43143.99861</v>
      </c>
      <c r="B2776" s="1">
        <f>IFERROR(__xludf.DUMMYFUNCTION("""COMPUTED_VALUE"""),431.66452)</f>
        <v>431.66452</v>
      </c>
    </row>
    <row r="2777">
      <c r="A2777" s="3">
        <f>IFERROR(__xludf.DUMMYFUNCTION("""COMPUTED_VALUE"""),43144.99861111111)</f>
        <v>43144.99861</v>
      </c>
      <c r="B2777" s="1">
        <f>IFERROR(__xludf.DUMMYFUNCTION("""COMPUTED_VALUE"""),432.6608)</f>
        <v>432.6608</v>
      </c>
    </row>
    <row r="2778">
      <c r="A2778" s="3">
        <f>IFERROR(__xludf.DUMMYFUNCTION("""COMPUTED_VALUE"""),43145.99861111111)</f>
        <v>43145.99861</v>
      </c>
      <c r="B2778" s="1">
        <f>IFERROR(__xludf.DUMMYFUNCTION("""COMPUTED_VALUE"""),434.95046)</f>
        <v>434.95046</v>
      </c>
    </row>
    <row r="2779">
      <c r="A2779" s="3">
        <f>IFERROR(__xludf.DUMMYFUNCTION("""COMPUTED_VALUE"""),43146.99861111111)</f>
        <v>43146.99861</v>
      </c>
      <c r="B2779" s="1">
        <f>IFERROR(__xludf.DUMMYFUNCTION("""COMPUTED_VALUE"""),433.25744)</f>
        <v>433.25744</v>
      </c>
    </row>
    <row r="2780">
      <c r="A2780" s="3">
        <f>IFERROR(__xludf.DUMMYFUNCTION("""COMPUTED_VALUE"""),43147.99861111111)</f>
        <v>43147.99861</v>
      </c>
      <c r="B2780" s="1">
        <f>IFERROR(__xludf.DUMMYFUNCTION("""COMPUTED_VALUE"""),432.85088)</f>
        <v>432.85088</v>
      </c>
    </row>
    <row r="2781">
      <c r="A2781" s="3">
        <f>IFERROR(__xludf.DUMMYFUNCTION("""COMPUTED_VALUE"""),43148.99861111111)</f>
        <v>43148.99861</v>
      </c>
      <c r="B2781" s="1">
        <f>IFERROR(__xludf.DUMMYFUNCTION("""COMPUTED_VALUE"""),432.57984)</f>
        <v>432.57984</v>
      </c>
    </row>
    <row r="2782">
      <c r="A2782" s="3">
        <f>IFERROR(__xludf.DUMMYFUNCTION("""COMPUTED_VALUE"""),43149.99861111111)</f>
        <v>43149.99861</v>
      </c>
      <c r="B2782" s="1">
        <f>IFERROR(__xludf.DUMMYFUNCTION("""COMPUTED_VALUE"""),432.85088)</f>
        <v>432.85088</v>
      </c>
    </row>
    <row r="2783">
      <c r="A2783" s="3">
        <f>IFERROR(__xludf.DUMMYFUNCTION("""COMPUTED_VALUE"""),43150.99861111111)</f>
        <v>43150.99861</v>
      </c>
      <c r="B2783" s="1">
        <f>IFERROR(__xludf.DUMMYFUNCTION("""COMPUTED_VALUE"""),431.28828)</f>
        <v>431.28828</v>
      </c>
    </row>
    <row r="2784">
      <c r="A2784" s="3">
        <f>IFERROR(__xludf.DUMMYFUNCTION("""COMPUTED_VALUE"""),43151.99861111111)</f>
        <v>43151.99861</v>
      </c>
      <c r="B2784" s="1">
        <f>IFERROR(__xludf.DUMMYFUNCTION("""COMPUTED_VALUE"""),431.64576)</f>
        <v>431.64576</v>
      </c>
    </row>
    <row r="2785">
      <c r="A2785" s="3">
        <f>IFERROR(__xludf.DUMMYFUNCTION("""COMPUTED_VALUE"""),43152.99861111111)</f>
        <v>43152.99861</v>
      </c>
      <c r="B2785" s="1">
        <f>IFERROR(__xludf.DUMMYFUNCTION("""COMPUTED_VALUE"""),431.22816)</f>
        <v>431.22816</v>
      </c>
    </row>
    <row r="2786">
      <c r="A2786" s="3">
        <f>IFERROR(__xludf.DUMMYFUNCTION("""COMPUTED_VALUE"""),43153.99861111111)</f>
        <v>43153.99861</v>
      </c>
      <c r="B2786" s="1">
        <f>IFERROR(__xludf.DUMMYFUNCTION("""COMPUTED_VALUE"""),434.48652)</f>
        <v>434.48652</v>
      </c>
    </row>
    <row r="2787">
      <c r="A2787" s="3">
        <f>IFERROR(__xludf.DUMMYFUNCTION("""COMPUTED_VALUE"""),43154.99861111111)</f>
        <v>43154.99861</v>
      </c>
      <c r="B2787" s="1">
        <f>IFERROR(__xludf.DUMMYFUNCTION("""COMPUTED_VALUE"""),434.40664)</f>
        <v>434.40664</v>
      </c>
    </row>
    <row r="2788">
      <c r="A2788" s="3">
        <f>IFERROR(__xludf.DUMMYFUNCTION("""COMPUTED_VALUE"""),43155.99861111111)</f>
        <v>43155.99861</v>
      </c>
      <c r="B2788" s="1">
        <f>IFERROR(__xludf.DUMMYFUNCTION("""COMPUTED_VALUE"""),424.98676)</f>
        <v>424.98676</v>
      </c>
    </row>
    <row r="2789">
      <c r="A2789" s="3">
        <f>IFERROR(__xludf.DUMMYFUNCTION("""COMPUTED_VALUE"""),43156.99861111111)</f>
        <v>43156.99861</v>
      </c>
      <c r="B2789" s="1">
        <f>IFERROR(__xludf.DUMMYFUNCTION("""COMPUTED_VALUE"""),434.289548)</f>
        <v>434.289548</v>
      </c>
    </row>
    <row r="2790">
      <c r="A2790" s="3">
        <f>IFERROR(__xludf.DUMMYFUNCTION("""COMPUTED_VALUE"""),43157.99861111111)</f>
        <v>43157.99861</v>
      </c>
      <c r="B2790" s="1">
        <f>IFERROR(__xludf.DUMMYFUNCTION("""COMPUTED_VALUE"""),435.87643)</f>
        <v>435.87643</v>
      </c>
    </row>
    <row r="2791">
      <c r="A2791" s="3">
        <f>IFERROR(__xludf.DUMMYFUNCTION("""COMPUTED_VALUE"""),43158.99861111111)</f>
        <v>43158.99861</v>
      </c>
      <c r="B2791" s="1">
        <f>IFERROR(__xludf.DUMMYFUNCTION("""COMPUTED_VALUE"""),434.7845)</f>
        <v>434.7845</v>
      </c>
    </row>
    <row r="2792">
      <c r="A2792" s="3">
        <f>IFERROR(__xludf.DUMMYFUNCTION("""COMPUTED_VALUE"""),43159.99861111111)</f>
        <v>43159.99861</v>
      </c>
      <c r="B2792" s="1">
        <f>IFERROR(__xludf.DUMMYFUNCTION("""COMPUTED_VALUE"""),436.753)</f>
        <v>436.753</v>
      </c>
    </row>
    <row r="2793">
      <c r="A2793" s="3">
        <f>IFERROR(__xludf.DUMMYFUNCTION("""COMPUTED_VALUE"""),43160.99861111111)</f>
        <v>43160.99861</v>
      </c>
      <c r="B2793" s="1">
        <f>IFERROR(__xludf.DUMMYFUNCTION("""COMPUTED_VALUE"""),436.55157)</f>
        <v>436.55157</v>
      </c>
    </row>
    <row r="2794">
      <c r="A2794" s="3">
        <f>IFERROR(__xludf.DUMMYFUNCTION("""COMPUTED_VALUE"""),43161.99861111111)</f>
        <v>43161.99861</v>
      </c>
      <c r="B2794" s="1">
        <f>IFERROR(__xludf.DUMMYFUNCTION("""COMPUTED_VALUE"""),436.86927)</f>
        <v>436.86927</v>
      </c>
    </row>
    <row r="2795">
      <c r="A2795" s="3">
        <f>IFERROR(__xludf.DUMMYFUNCTION("""COMPUTED_VALUE"""),43162.99861111111)</f>
        <v>43162.99861</v>
      </c>
      <c r="B2795" s="1">
        <f>IFERROR(__xludf.DUMMYFUNCTION("""COMPUTED_VALUE"""),436.86927)</f>
        <v>436.86927</v>
      </c>
    </row>
    <row r="2796">
      <c r="A2796" s="3">
        <f>IFERROR(__xludf.DUMMYFUNCTION("""COMPUTED_VALUE"""),43163.99861111111)</f>
        <v>43163.99861</v>
      </c>
      <c r="B2796" s="1">
        <f>IFERROR(__xludf.DUMMYFUNCTION("""COMPUTED_VALUE"""),437.2818)</f>
        <v>437.2818</v>
      </c>
    </row>
    <row r="2797">
      <c r="A2797" s="3">
        <f>IFERROR(__xludf.DUMMYFUNCTION("""COMPUTED_VALUE"""),43164.99861111111)</f>
        <v>43164.99861</v>
      </c>
      <c r="B2797" s="1">
        <f>IFERROR(__xludf.DUMMYFUNCTION("""COMPUTED_VALUE"""),437.38608)</f>
        <v>437.38608</v>
      </c>
    </row>
    <row r="2798">
      <c r="A2798" s="3">
        <f>IFERROR(__xludf.DUMMYFUNCTION("""COMPUTED_VALUE"""),43165.99861111111)</f>
        <v>43165.99861</v>
      </c>
      <c r="B2798" s="1">
        <f>IFERROR(__xludf.DUMMYFUNCTION("""COMPUTED_VALUE"""),438.77451)</f>
        <v>438.77451</v>
      </c>
    </row>
    <row r="2799">
      <c r="A2799" s="3">
        <f>IFERROR(__xludf.DUMMYFUNCTION("""COMPUTED_VALUE"""),43166.99861111111)</f>
        <v>43166.99861</v>
      </c>
      <c r="B2799" s="1">
        <f>IFERROR(__xludf.DUMMYFUNCTION("""COMPUTED_VALUE"""),438.7404)</f>
        <v>438.7404</v>
      </c>
    </row>
    <row r="2800">
      <c r="A2800" s="3">
        <f>IFERROR(__xludf.DUMMYFUNCTION("""COMPUTED_VALUE"""),43167.99861111111)</f>
        <v>43167.99861</v>
      </c>
      <c r="B2800" s="1">
        <f>IFERROR(__xludf.DUMMYFUNCTION("""COMPUTED_VALUE"""),439.22196)</f>
        <v>439.22196</v>
      </c>
    </row>
    <row r="2801">
      <c r="A2801" s="3">
        <f>IFERROR(__xludf.DUMMYFUNCTION("""COMPUTED_VALUE"""),43168.99861111111)</f>
        <v>43168.99861</v>
      </c>
      <c r="B2801" s="1">
        <f>IFERROR(__xludf.DUMMYFUNCTION("""COMPUTED_VALUE"""),439.4007)</f>
        <v>439.4007</v>
      </c>
    </row>
    <row r="2802">
      <c r="A2802" s="3">
        <f>IFERROR(__xludf.DUMMYFUNCTION("""COMPUTED_VALUE"""),43169.99861111111)</f>
        <v>43169.99861</v>
      </c>
      <c r="B2802" s="1">
        <f>IFERROR(__xludf.DUMMYFUNCTION("""COMPUTED_VALUE"""),440.137821)</f>
        <v>440.137821</v>
      </c>
    </row>
    <row r="2803">
      <c r="A2803" s="3">
        <f>IFERROR(__xludf.DUMMYFUNCTION("""COMPUTED_VALUE"""),43170.99861111111)</f>
        <v>43170.99861</v>
      </c>
      <c r="B2803" s="1">
        <f>IFERROR(__xludf.DUMMYFUNCTION("""COMPUTED_VALUE"""),439.87768)</f>
        <v>439.87768</v>
      </c>
    </row>
    <row r="2804">
      <c r="A2804" s="3">
        <f>IFERROR(__xludf.DUMMYFUNCTION("""COMPUTED_VALUE"""),43171.99861111111)</f>
        <v>43171.99861</v>
      </c>
      <c r="B2804" s="1">
        <f>IFERROR(__xludf.DUMMYFUNCTION("""COMPUTED_VALUE"""),439.6098)</f>
        <v>439.6098</v>
      </c>
    </row>
    <row r="2805">
      <c r="A2805" s="3">
        <f>IFERROR(__xludf.DUMMYFUNCTION("""COMPUTED_VALUE"""),43172.99861111111)</f>
        <v>43172.99861</v>
      </c>
      <c r="B2805" s="1">
        <f>IFERROR(__xludf.DUMMYFUNCTION("""COMPUTED_VALUE"""),439.9548)</f>
        <v>439.9548</v>
      </c>
    </row>
    <row r="2806">
      <c r="A2806" s="3">
        <f>IFERROR(__xludf.DUMMYFUNCTION("""COMPUTED_VALUE"""),43173.99861111111)</f>
        <v>43173.99861</v>
      </c>
      <c r="B2806" s="1">
        <f>IFERROR(__xludf.DUMMYFUNCTION("""COMPUTED_VALUE"""),440.5725)</f>
        <v>440.5725</v>
      </c>
    </row>
    <row r="2807">
      <c r="A2807" s="3">
        <f>IFERROR(__xludf.DUMMYFUNCTION("""COMPUTED_VALUE"""),43174.99861111111)</f>
        <v>43174.99861</v>
      </c>
      <c r="B2807" s="1">
        <f>IFERROR(__xludf.DUMMYFUNCTION("""COMPUTED_VALUE"""),440.39358)</f>
        <v>440.39358</v>
      </c>
    </row>
    <row r="2808">
      <c r="A2808" s="3">
        <f>IFERROR(__xludf.DUMMYFUNCTION("""COMPUTED_VALUE"""),43175.99861111111)</f>
        <v>43175.99861</v>
      </c>
      <c r="B2808" s="1">
        <f>IFERROR(__xludf.DUMMYFUNCTION("""COMPUTED_VALUE"""),440.08288)</f>
        <v>440.08288</v>
      </c>
    </row>
    <row r="2809">
      <c r="A2809" s="3">
        <f>IFERROR(__xludf.DUMMYFUNCTION("""COMPUTED_VALUE"""),43176.99861111111)</f>
        <v>43176.99861</v>
      </c>
      <c r="B2809" s="1">
        <f>IFERROR(__xludf.DUMMYFUNCTION("""COMPUTED_VALUE"""),440.439903)</f>
        <v>440.439903</v>
      </c>
    </row>
    <row r="2810">
      <c r="A2810" s="3">
        <f>IFERROR(__xludf.DUMMYFUNCTION("""COMPUTED_VALUE"""),43177.99861111111)</f>
        <v>43177.99861</v>
      </c>
      <c r="B2810" s="1">
        <f>IFERROR(__xludf.DUMMYFUNCTION("""COMPUTED_VALUE"""),439.936)</f>
        <v>439.936</v>
      </c>
    </row>
    <row r="2811">
      <c r="A2811" s="3">
        <f>IFERROR(__xludf.DUMMYFUNCTION("""COMPUTED_VALUE"""),43178.99861111111)</f>
        <v>43178.99861</v>
      </c>
      <c r="B2811" s="1">
        <f>IFERROR(__xludf.DUMMYFUNCTION("""COMPUTED_VALUE"""),441.22284)</f>
        <v>441.22284</v>
      </c>
    </row>
    <row r="2812">
      <c r="A2812" s="3">
        <f>IFERROR(__xludf.DUMMYFUNCTION("""COMPUTED_VALUE"""),43179.99861111111)</f>
        <v>43179.99861</v>
      </c>
      <c r="B2812" s="1">
        <f>IFERROR(__xludf.DUMMYFUNCTION("""COMPUTED_VALUE"""),440.46315)</f>
        <v>440.46315</v>
      </c>
    </row>
    <row r="2813">
      <c r="A2813" s="3">
        <f>IFERROR(__xludf.DUMMYFUNCTION("""COMPUTED_VALUE"""),43180.99861111111)</f>
        <v>43180.99861</v>
      </c>
      <c r="B2813" s="1">
        <f>IFERROR(__xludf.DUMMYFUNCTION("""COMPUTED_VALUE"""),439.79345)</f>
        <v>439.79345</v>
      </c>
    </row>
    <row r="2814">
      <c r="A2814" s="3">
        <f>IFERROR(__xludf.DUMMYFUNCTION("""COMPUTED_VALUE"""),43181.99861111111)</f>
        <v>43181.99861</v>
      </c>
      <c r="B2814" s="1">
        <f>IFERROR(__xludf.DUMMYFUNCTION("""COMPUTED_VALUE"""),439.4403)</f>
        <v>439.4403</v>
      </c>
    </row>
    <row r="2815">
      <c r="A2815" s="3">
        <f>IFERROR(__xludf.DUMMYFUNCTION("""COMPUTED_VALUE"""),43182.99861111111)</f>
        <v>43182.99861</v>
      </c>
      <c r="B2815" s="1">
        <f>IFERROR(__xludf.DUMMYFUNCTION("""COMPUTED_VALUE"""),441.82839)</f>
        <v>441.82839</v>
      </c>
    </row>
    <row r="2816">
      <c r="A2816" s="3">
        <f>IFERROR(__xludf.DUMMYFUNCTION("""COMPUTED_VALUE"""),43183.99861111111)</f>
        <v>43183.99861</v>
      </c>
      <c r="B2816" s="1">
        <f>IFERROR(__xludf.DUMMYFUNCTION("""COMPUTED_VALUE"""),432.87334)</f>
        <v>432.87334</v>
      </c>
    </row>
    <row r="2817">
      <c r="A2817" s="3">
        <f>IFERROR(__xludf.DUMMYFUNCTION("""COMPUTED_VALUE"""),43184.99861111111)</f>
        <v>43184.99861</v>
      </c>
      <c r="B2817" s="1">
        <f>IFERROR(__xludf.DUMMYFUNCTION("""COMPUTED_VALUE"""),441.0721)</f>
        <v>441.0721</v>
      </c>
    </row>
    <row r="2818">
      <c r="A2818" s="3">
        <f>IFERROR(__xludf.DUMMYFUNCTION("""COMPUTED_VALUE"""),43185.99861111111)</f>
        <v>43185.99861</v>
      </c>
      <c r="B2818" s="1">
        <f>IFERROR(__xludf.DUMMYFUNCTION("""COMPUTED_VALUE"""),440.62216)</f>
        <v>440.62216</v>
      </c>
    </row>
    <row r="2819">
      <c r="A2819" s="3">
        <f>IFERROR(__xludf.DUMMYFUNCTION("""COMPUTED_VALUE"""),43186.99861111111)</f>
        <v>43186.99861</v>
      </c>
      <c r="B2819" s="1">
        <f>IFERROR(__xludf.DUMMYFUNCTION("""COMPUTED_VALUE"""),439.9548)</f>
        <v>439.9548</v>
      </c>
    </row>
    <row r="2820">
      <c r="A2820" s="3">
        <f>IFERROR(__xludf.DUMMYFUNCTION("""COMPUTED_VALUE"""),43187.99861111111)</f>
        <v>43187.99861</v>
      </c>
      <c r="B2820" s="1">
        <f>IFERROR(__xludf.DUMMYFUNCTION("""COMPUTED_VALUE"""),439.64176)</f>
        <v>439.64176</v>
      </c>
    </row>
    <row r="2821">
      <c r="A2821" s="3">
        <f>IFERROR(__xludf.DUMMYFUNCTION("""COMPUTED_VALUE"""),43188.99861111111)</f>
        <v>43188.99861</v>
      </c>
      <c r="B2821" s="1">
        <f>IFERROR(__xludf.DUMMYFUNCTION("""COMPUTED_VALUE"""),439.81129)</f>
        <v>439.81129</v>
      </c>
    </row>
    <row r="2822">
      <c r="A2822" s="3">
        <f>IFERROR(__xludf.DUMMYFUNCTION("""COMPUTED_VALUE"""),43189.99861111111)</f>
        <v>43189.99861</v>
      </c>
      <c r="B2822" s="1">
        <f>IFERROR(__xludf.DUMMYFUNCTION("""COMPUTED_VALUE"""),440.37616)</f>
        <v>440.37616</v>
      </c>
    </row>
    <row r="2823">
      <c r="A2823" s="3">
        <f>IFERROR(__xludf.DUMMYFUNCTION("""COMPUTED_VALUE"""),43190.99861111111)</f>
        <v>43190.99861</v>
      </c>
      <c r="B2823" s="1">
        <f>IFERROR(__xludf.DUMMYFUNCTION("""COMPUTED_VALUE"""),440.76088)</f>
        <v>440.76088</v>
      </c>
    </row>
    <row r="2824">
      <c r="A2824" s="3">
        <f>IFERROR(__xludf.DUMMYFUNCTION("""COMPUTED_VALUE"""),43191.99861111111)</f>
        <v>43191.99861</v>
      </c>
      <c r="B2824" s="1">
        <f>IFERROR(__xludf.DUMMYFUNCTION("""COMPUTED_VALUE"""),441.40208)</f>
        <v>441.40208</v>
      </c>
    </row>
    <row r="2825">
      <c r="A2825" s="3">
        <f>IFERROR(__xludf.DUMMYFUNCTION("""COMPUTED_VALUE"""),43192.99861111111)</f>
        <v>43192.99861</v>
      </c>
      <c r="B2825" s="1">
        <f>IFERROR(__xludf.DUMMYFUNCTION("""COMPUTED_VALUE"""),440.07348)</f>
        <v>440.07348</v>
      </c>
    </row>
    <row r="2826">
      <c r="A2826" s="3">
        <f>IFERROR(__xludf.DUMMYFUNCTION("""COMPUTED_VALUE"""),43193.99861111111)</f>
        <v>43193.99861</v>
      </c>
      <c r="B2826" s="1">
        <f>IFERROR(__xludf.DUMMYFUNCTION("""COMPUTED_VALUE"""),440.26164)</f>
        <v>440.26164</v>
      </c>
    </row>
    <row r="2827">
      <c r="A2827" s="3">
        <f>IFERROR(__xludf.DUMMYFUNCTION("""COMPUTED_VALUE"""),43194.99861111111)</f>
        <v>43194.99861</v>
      </c>
      <c r="B2827" s="1">
        <f>IFERROR(__xludf.DUMMYFUNCTION("""COMPUTED_VALUE"""),440.30702)</f>
        <v>440.30702</v>
      </c>
    </row>
    <row r="2828">
      <c r="A2828" s="3">
        <f>IFERROR(__xludf.DUMMYFUNCTION("""COMPUTED_VALUE"""),43195.99861111111)</f>
        <v>43195.99861</v>
      </c>
      <c r="B2828" s="1">
        <f>IFERROR(__xludf.DUMMYFUNCTION("""COMPUTED_VALUE"""),439.9072)</f>
        <v>439.9072</v>
      </c>
    </row>
    <row r="2829">
      <c r="A2829" s="3">
        <f>IFERROR(__xludf.DUMMYFUNCTION("""COMPUTED_VALUE"""),43196.99861111111)</f>
        <v>43196.99861</v>
      </c>
      <c r="B2829" s="1">
        <f>IFERROR(__xludf.DUMMYFUNCTION("""COMPUTED_VALUE"""),440.27837)</f>
        <v>440.27837</v>
      </c>
    </row>
    <row r="2830">
      <c r="A2830" s="3">
        <f>IFERROR(__xludf.DUMMYFUNCTION("""COMPUTED_VALUE"""),43197.99861111111)</f>
        <v>43197.99861</v>
      </c>
      <c r="B2830" s="1">
        <f>IFERROR(__xludf.DUMMYFUNCTION("""COMPUTED_VALUE"""),440.27837)</f>
        <v>440.27837</v>
      </c>
    </row>
    <row r="2831">
      <c r="A2831" s="3">
        <f>IFERROR(__xludf.DUMMYFUNCTION("""COMPUTED_VALUE"""),43198.99861111111)</f>
        <v>43198.99861</v>
      </c>
      <c r="B2831" s="1">
        <f>IFERROR(__xludf.DUMMYFUNCTION("""COMPUTED_VALUE"""),439.86548)</f>
        <v>439.86548</v>
      </c>
    </row>
    <row r="2832">
      <c r="A2832" s="3">
        <f>IFERROR(__xludf.DUMMYFUNCTION("""COMPUTED_VALUE"""),43199.99861111111)</f>
        <v>43199.99861</v>
      </c>
      <c r="B2832" s="1">
        <f>IFERROR(__xludf.DUMMYFUNCTION("""COMPUTED_VALUE"""),440.43832)</f>
        <v>440.43832</v>
      </c>
    </row>
    <row r="2833">
      <c r="A2833" s="3">
        <f>IFERROR(__xludf.DUMMYFUNCTION("""COMPUTED_VALUE"""),43200.99861111111)</f>
        <v>43200.99861</v>
      </c>
      <c r="B2833" s="1">
        <f>IFERROR(__xludf.DUMMYFUNCTION("""COMPUTED_VALUE"""),440.159463)</f>
        <v>440.159463</v>
      </c>
    </row>
    <row r="2834">
      <c r="A2834" s="3">
        <f>IFERROR(__xludf.DUMMYFUNCTION("""COMPUTED_VALUE"""),43201.99861111111)</f>
        <v>43201.99861</v>
      </c>
      <c r="B2834" s="1">
        <f>IFERROR(__xludf.DUMMYFUNCTION("""COMPUTED_VALUE"""),441.76242)</f>
        <v>441.76242</v>
      </c>
    </row>
    <row r="2835">
      <c r="A2835" s="3">
        <f>IFERROR(__xludf.DUMMYFUNCTION("""COMPUTED_VALUE"""),43202.99861111111)</f>
        <v>43202.99861</v>
      </c>
      <c r="B2835" s="1">
        <f>IFERROR(__xludf.DUMMYFUNCTION("""COMPUTED_VALUE"""),440.81934)</f>
        <v>440.81934</v>
      </c>
    </row>
    <row r="2836">
      <c r="A2836" s="3">
        <f>IFERROR(__xludf.DUMMYFUNCTION("""COMPUTED_VALUE"""),43203.99861111111)</f>
        <v>43203.99861</v>
      </c>
      <c r="B2836" s="1">
        <f>IFERROR(__xludf.DUMMYFUNCTION("""COMPUTED_VALUE"""),441.84721)</f>
        <v>441.84721</v>
      </c>
    </row>
    <row r="2837">
      <c r="A2837" s="3">
        <f>IFERROR(__xludf.DUMMYFUNCTION("""COMPUTED_VALUE"""),43204.99861111111)</f>
        <v>43204.99861</v>
      </c>
      <c r="B2837" s="1">
        <f>IFERROR(__xludf.DUMMYFUNCTION("""COMPUTED_VALUE"""),440.7965834)</f>
        <v>440.7965834</v>
      </c>
    </row>
    <row r="2838">
      <c r="A2838" s="3">
        <f>IFERROR(__xludf.DUMMYFUNCTION("""COMPUTED_VALUE"""),43205.99861111111)</f>
        <v>43205.99861</v>
      </c>
      <c r="B2838" s="1">
        <f>IFERROR(__xludf.DUMMYFUNCTION("""COMPUTED_VALUE"""),440.14265)</f>
        <v>440.14265</v>
      </c>
    </row>
    <row r="2839">
      <c r="A2839" s="3">
        <f>IFERROR(__xludf.DUMMYFUNCTION("""COMPUTED_VALUE"""),43206.99861111111)</f>
        <v>43206.99861</v>
      </c>
      <c r="B2839" s="1">
        <f>IFERROR(__xludf.DUMMYFUNCTION("""COMPUTED_VALUE"""),441.06264)</f>
        <v>441.06264</v>
      </c>
    </row>
    <row r="2840">
      <c r="A2840" s="3">
        <f>IFERROR(__xludf.DUMMYFUNCTION("""COMPUTED_VALUE"""),43207.99861111111)</f>
        <v>43207.99861</v>
      </c>
      <c r="B2840" s="1">
        <f>IFERROR(__xludf.DUMMYFUNCTION("""COMPUTED_VALUE"""),440.63671)</f>
        <v>440.63671</v>
      </c>
    </row>
    <row r="2841">
      <c r="A2841" s="3">
        <f>IFERROR(__xludf.DUMMYFUNCTION("""COMPUTED_VALUE"""),43208.99861111111)</f>
        <v>43208.99861</v>
      </c>
      <c r="B2841" s="1">
        <f>IFERROR(__xludf.DUMMYFUNCTION("""COMPUTED_VALUE"""),441.15876)</f>
        <v>441.15876</v>
      </c>
    </row>
    <row r="2842">
      <c r="A2842" s="3">
        <f>IFERROR(__xludf.DUMMYFUNCTION("""COMPUTED_VALUE"""),43209.99861111111)</f>
        <v>43209.99861</v>
      </c>
      <c r="B2842" s="1">
        <f>IFERROR(__xludf.DUMMYFUNCTION("""COMPUTED_VALUE"""),441.6)</f>
        <v>441.6</v>
      </c>
    </row>
    <row r="2843">
      <c r="A2843" s="3">
        <f>IFERROR(__xludf.DUMMYFUNCTION("""COMPUTED_VALUE"""),43210.99861111111)</f>
        <v>43210.99861</v>
      </c>
      <c r="B2843" s="1">
        <f>IFERROR(__xludf.DUMMYFUNCTION("""COMPUTED_VALUE"""),442.14542)</f>
        <v>442.14542</v>
      </c>
    </row>
    <row r="2844">
      <c r="A2844" s="3">
        <f>IFERROR(__xludf.DUMMYFUNCTION("""COMPUTED_VALUE"""),43211.99861111111)</f>
        <v>43211.99861</v>
      </c>
      <c r="B2844" s="1">
        <f>IFERROR(__xludf.DUMMYFUNCTION("""COMPUTED_VALUE"""),433.517833)</f>
        <v>433.517833</v>
      </c>
    </row>
    <row r="2845">
      <c r="A2845" s="3">
        <f>IFERROR(__xludf.DUMMYFUNCTION("""COMPUTED_VALUE"""),43212.99861111111)</f>
        <v>43212.99861</v>
      </c>
      <c r="B2845" s="1">
        <f>IFERROR(__xludf.DUMMYFUNCTION("""COMPUTED_VALUE"""),443.23911)</f>
        <v>443.23911</v>
      </c>
    </row>
    <row r="2846">
      <c r="A2846" s="3">
        <f>IFERROR(__xludf.DUMMYFUNCTION("""COMPUTED_VALUE"""),43213.99861111111)</f>
        <v>43213.99861</v>
      </c>
      <c r="B2846" s="1">
        <f>IFERROR(__xludf.DUMMYFUNCTION("""COMPUTED_VALUE"""),442.14487)</f>
        <v>442.14487</v>
      </c>
    </row>
    <row r="2847">
      <c r="A2847" s="3">
        <f>IFERROR(__xludf.DUMMYFUNCTION("""COMPUTED_VALUE"""),43214.99861111111)</f>
        <v>43214.99861</v>
      </c>
      <c r="B2847" s="1">
        <f>IFERROR(__xludf.DUMMYFUNCTION("""COMPUTED_VALUE"""),440.85216)</f>
        <v>440.85216</v>
      </c>
    </row>
    <row r="2848">
      <c r="A2848" s="3">
        <f>IFERROR(__xludf.DUMMYFUNCTION("""COMPUTED_VALUE"""),43215.99861111111)</f>
        <v>43215.99861</v>
      </c>
      <c r="B2848" s="1">
        <f>IFERROR(__xludf.DUMMYFUNCTION("""COMPUTED_VALUE"""),441.37149)</f>
        <v>441.37149</v>
      </c>
    </row>
    <row r="2849">
      <c r="A2849" s="3">
        <f>IFERROR(__xludf.DUMMYFUNCTION("""COMPUTED_VALUE"""),43216.99861111111)</f>
        <v>43216.99861</v>
      </c>
      <c r="B2849" s="1">
        <f>IFERROR(__xludf.DUMMYFUNCTION("""COMPUTED_VALUE"""),438.99277)</f>
        <v>438.99277</v>
      </c>
    </row>
    <row r="2850">
      <c r="A2850" s="3">
        <f>IFERROR(__xludf.DUMMYFUNCTION("""COMPUTED_VALUE"""),43217.99861111111)</f>
        <v>43217.99861</v>
      </c>
      <c r="B2850" s="1">
        <f>IFERROR(__xludf.DUMMYFUNCTION("""COMPUTED_VALUE"""),439.3565)</f>
        <v>439.3565</v>
      </c>
    </row>
    <row r="2851">
      <c r="A2851" s="3">
        <f>IFERROR(__xludf.DUMMYFUNCTION("""COMPUTED_VALUE"""),43218.99861111111)</f>
        <v>43218.99861</v>
      </c>
      <c r="B2851" s="1">
        <f>IFERROR(__xludf.DUMMYFUNCTION("""COMPUTED_VALUE"""),439.7505175)</f>
        <v>439.7505175</v>
      </c>
    </row>
    <row r="2852">
      <c r="A2852" s="3">
        <f>IFERROR(__xludf.DUMMYFUNCTION("""COMPUTED_VALUE"""),43219.99861111111)</f>
        <v>43219.99861</v>
      </c>
      <c r="B2852" s="1">
        <f>IFERROR(__xludf.DUMMYFUNCTION("""COMPUTED_VALUE"""),439.8177)</f>
        <v>439.8177</v>
      </c>
    </row>
    <row r="2853">
      <c r="A2853" s="3">
        <f>IFERROR(__xludf.DUMMYFUNCTION("""COMPUTED_VALUE"""),43220.99861111111)</f>
        <v>43220.99861</v>
      </c>
      <c r="B2853" s="1">
        <f>IFERROR(__xludf.DUMMYFUNCTION("""COMPUTED_VALUE"""),440.52269)</f>
        <v>440.52269</v>
      </c>
    </row>
    <row r="2854">
      <c r="A2854" s="3">
        <f>IFERROR(__xludf.DUMMYFUNCTION("""COMPUTED_VALUE"""),43221.99861111111)</f>
        <v>43221.99861</v>
      </c>
      <c r="B2854" s="1">
        <f>IFERROR(__xludf.DUMMYFUNCTION("""COMPUTED_VALUE"""),441.141565)</f>
        <v>441.141565</v>
      </c>
    </row>
    <row r="2855">
      <c r="A2855" s="3">
        <f>IFERROR(__xludf.DUMMYFUNCTION("""COMPUTED_VALUE"""),43222.99861111111)</f>
        <v>43222.99861</v>
      </c>
      <c r="B2855" s="1">
        <f>IFERROR(__xludf.DUMMYFUNCTION("""COMPUTED_VALUE"""),440.792404)</f>
        <v>440.792404</v>
      </c>
    </row>
    <row r="2856">
      <c r="A2856" s="3">
        <f>IFERROR(__xludf.DUMMYFUNCTION("""COMPUTED_VALUE"""),43223.99861111111)</f>
        <v>43223.99861</v>
      </c>
      <c r="B2856" s="1">
        <f>IFERROR(__xludf.DUMMYFUNCTION("""COMPUTED_VALUE"""),440.35891)</f>
        <v>440.35891</v>
      </c>
    </row>
    <row r="2857">
      <c r="A2857" s="3">
        <f>IFERROR(__xludf.DUMMYFUNCTION("""COMPUTED_VALUE"""),43224.99861111111)</f>
        <v>43224.99861</v>
      </c>
      <c r="B2857" s="1">
        <f>IFERROR(__xludf.DUMMYFUNCTION("""COMPUTED_VALUE"""),438.912243)</f>
        <v>438.912243</v>
      </c>
    </row>
    <row r="2858">
      <c r="A2858" s="3">
        <f>IFERROR(__xludf.DUMMYFUNCTION("""COMPUTED_VALUE"""),43225.99861111111)</f>
        <v>43225.99861</v>
      </c>
      <c r="B2858" s="1">
        <f>IFERROR(__xludf.DUMMYFUNCTION("""COMPUTED_VALUE"""),429.9440859)</f>
        <v>429.9440859</v>
      </c>
    </row>
    <row r="2859">
      <c r="A2859" s="3">
        <f>IFERROR(__xludf.DUMMYFUNCTION("""COMPUTED_VALUE"""),43226.99861111111)</f>
        <v>43226.99861</v>
      </c>
      <c r="B2859" s="1">
        <f>IFERROR(__xludf.DUMMYFUNCTION("""COMPUTED_VALUE"""),438.47151)</f>
        <v>438.47151</v>
      </c>
    </row>
    <row r="2860">
      <c r="A2860" s="3">
        <f>IFERROR(__xludf.DUMMYFUNCTION("""COMPUTED_VALUE"""),43227.99861111111)</f>
        <v>43227.99861</v>
      </c>
      <c r="B2860" s="1">
        <f>IFERROR(__xludf.DUMMYFUNCTION("""COMPUTED_VALUE"""),447.888215)</f>
        <v>447.888215</v>
      </c>
    </row>
    <row r="2861">
      <c r="A2861" s="3">
        <f>IFERROR(__xludf.DUMMYFUNCTION("""COMPUTED_VALUE"""),43228.99861111111)</f>
        <v>43228.99861</v>
      </c>
      <c r="B2861" s="1">
        <f>IFERROR(__xludf.DUMMYFUNCTION("""COMPUTED_VALUE"""),445.895766)</f>
        <v>445.895766</v>
      </c>
    </row>
    <row r="2862">
      <c r="A2862" s="3">
        <f>IFERROR(__xludf.DUMMYFUNCTION("""COMPUTED_VALUE"""),43229.99861111111)</f>
        <v>43229.99861</v>
      </c>
      <c r="B2862" s="1">
        <f>IFERROR(__xludf.DUMMYFUNCTION("""COMPUTED_VALUE"""),437.38884)</f>
        <v>437.38884</v>
      </c>
    </row>
    <row r="2863">
      <c r="A2863" s="3">
        <f>IFERROR(__xludf.DUMMYFUNCTION("""COMPUTED_VALUE"""),43230.99861111111)</f>
        <v>43230.99861</v>
      </c>
      <c r="B2863" s="1">
        <f>IFERROR(__xludf.DUMMYFUNCTION("""COMPUTED_VALUE"""),440.20344)</f>
        <v>440.20344</v>
      </c>
    </row>
    <row r="2864">
      <c r="A2864" s="3">
        <f>IFERROR(__xludf.DUMMYFUNCTION("""COMPUTED_VALUE"""),43231.99861111111)</f>
        <v>43231.99861</v>
      </c>
      <c r="B2864" s="1">
        <f>IFERROR(__xludf.DUMMYFUNCTION("""COMPUTED_VALUE"""),437.019)</f>
        <v>437.019</v>
      </c>
    </row>
    <row r="2865">
      <c r="A2865" s="3">
        <f>IFERROR(__xludf.DUMMYFUNCTION("""COMPUTED_VALUE"""),43232.99861111111)</f>
        <v>43232.99861</v>
      </c>
      <c r="B2865" s="1">
        <f>IFERROR(__xludf.DUMMYFUNCTION("""COMPUTED_VALUE"""),437.11305)</f>
        <v>437.11305</v>
      </c>
    </row>
    <row r="2866">
      <c r="A2866" s="3">
        <f>IFERROR(__xludf.DUMMYFUNCTION("""COMPUTED_VALUE"""),43233.99861111111)</f>
        <v>43233.99861</v>
      </c>
      <c r="B2866" s="1">
        <f>IFERROR(__xludf.DUMMYFUNCTION("""COMPUTED_VALUE"""),436.69476)</f>
        <v>436.69476</v>
      </c>
    </row>
    <row r="2867">
      <c r="A2867" s="3">
        <f>IFERROR(__xludf.DUMMYFUNCTION("""COMPUTED_VALUE"""),43234.99861111111)</f>
        <v>43234.99861</v>
      </c>
      <c r="B2867" s="1">
        <f>IFERROR(__xludf.DUMMYFUNCTION("""COMPUTED_VALUE"""),437.60042)</f>
        <v>437.60042</v>
      </c>
    </row>
    <row r="2868">
      <c r="A2868" s="3">
        <f>IFERROR(__xludf.DUMMYFUNCTION("""COMPUTED_VALUE"""),43235.99861111111)</f>
        <v>43235.99861</v>
      </c>
      <c r="B2868" s="1">
        <f>IFERROR(__xludf.DUMMYFUNCTION("""COMPUTED_VALUE"""),436.7539)</f>
        <v>436.7539</v>
      </c>
    </row>
    <row r="2869">
      <c r="A2869" s="3">
        <f>IFERROR(__xludf.DUMMYFUNCTION("""COMPUTED_VALUE"""),43236.99861111111)</f>
        <v>43236.99861</v>
      </c>
      <c r="B2869" s="1">
        <f>IFERROR(__xludf.DUMMYFUNCTION("""COMPUTED_VALUE"""),442.303992)</f>
        <v>442.303992</v>
      </c>
    </row>
    <row r="2870">
      <c r="A2870" s="3">
        <f>IFERROR(__xludf.DUMMYFUNCTION("""COMPUTED_VALUE"""),43237.99861111111)</f>
        <v>43237.99861</v>
      </c>
      <c r="B2870" s="1">
        <f>IFERROR(__xludf.DUMMYFUNCTION("""COMPUTED_VALUE"""),441.02306)</f>
        <v>441.02306</v>
      </c>
    </row>
    <row r="2871">
      <c r="A2871" s="3">
        <f>IFERROR(__xludf.DUMMYFUNCTION("""COMPUTED_VALUE"""),43238.99861111111)</f>
        <v>43238.99861</v>
      </c>
      <c r="B2871" s="1">
        <f>IFERROR(__xludf.DUMMYFUNCTION("""COMPUTED_VALUE"""),439.42606)</f>
        <v>439.42606</v>
      </c>
    </row>
    <row r="2872">
      <c r="A2872" s="3">
        <f>IFERROR(__xludf.DUMMYFUNCTION("""COMPUTED_VALUE"""),43239.99861111111)</f>
        <v>43239.99861</v>
      </c>
      <c r="B2872" s="1">
        <f>IFERROR(__xludf.DUMMYFUNCTION("""COMPUTED_VALUE"""),430.09762)</f>
        <v>430.09762</v>
      </c>
    </row>
    <row r="2873">
      <c r="A2873" s="3">
        <f>IFERROR(__xludf.DUMMYFUNCTION("""COMPUTED_VALUE"""),43240.99861111111)</f>
        <v>43240.99861</v>
      </c>
      <c r="B2873" s="1">
        <f>IFERROR(__xludf.DUMMYFUNCTION("""COMPUTED_VALUE"""),440.18604)</f>
        <v>440.18604</v>
      </c>
    </row>
    <row r="2874">
      <c r="A2874" s="3">
        <f>IFERROR(__xludf.DUMMYFUNCTION("""COMPUTED_VALUE"""),43241.99861111111)</f>
        <v>43241.99861</v>
      </c>
      <c r="B2874" s="1">
        <f>IFERROR(__xludf.DUMMYFUNCTION("""COMPUTED_VALUE"""),442.0998)</f>
        <v>442.0998</v>
      </c>
    </row>
    <row r="2875">
      <c r="A2875" s="3">
        <f>IFERROR(__xludf.DUMMYFUNCTION("""COMPUTED_VALUE"""),43242.99861111111)</f>
        <v>43242.99861</v>
      </c>
      <c r="B2875" s="1">
        <f>IFERROR(__xludf.DUMMYFUNCTION("""COMPUTED_VALUE"""),443.206968)</f>
        <v>443.206968</v>
      </c>
    </row>
    <row r="2876">
      <c r="A2876" s="3">
        <f>IFERROR(__xludf.DUMMYFUNCTION("""COMPUTED_VALUE"""),43243.99861111111)</f>
        <v>43243.99861</v>
      </c>
      <c r="B2876" s="1">
        <f>IFERROR(__xludf.DUMMYFUNCTION("""COMPUTED_VALUE"""),441.36435)</f>
        <v>441.36435</v>
      </c>
    </row>
    <row r="2877">
      <c r="A2877" s="3">
        <f>IFERROR(__xludf.DUMMYFUNCTION("""COMPUTED_VALUE"""),43244.99861111111)</f>
        <v>43244.99861</v>
      </c>
      <c r="B2877" s="1">
        <f>IFERROR(__xludf.DUMMYFUNCTION("""COMPUTED_VALUE"""),440.95128)</f>
        <v>440.95128</v>
      </c>
    </row>
    <row r="2878">
      <c r="A2878" s="3">
        <f>IFERROR(__xludf.DUMMYFUNCTION("""COMPUTED_VALUE"""),43245.99861111111)</f>
        <v>43245.99861</v>
      </c>
      <c r="B2878" s="1">
        <f>IFERROR(__xludf.DUMMYFUNCTION("""COMPUTED_VALUE"""),441.9252)</f>
        <v>441.9252</v>
      </c>
    </row>
    <row r="2879">
      <c r="A2879" s="3">
        <f>IFERROR(__xludf.DUMMYFUNCTION("""COMPUTED_VALUE"""),43246.99861111111)</f>
        <v>43246.99861</v>
      </c>
      <c r="B2879" s="1">
        <f>IFERROR(__xludf.DUMMYFUNCTION("""COMPUTED_VALUE"""),439.92072)</f>
        <v>439.92072</v>
      </c>
    </row>
    <row r="2880">
      <c r="A2880" s="3">
        <f>IFERROR(__xludf.DUMMYFUNCTION("""COMPUTED_VALUE"""),43247.99861111111)</f>
        <v>43247.99861</v>
      </c>
      <c r="B2880" s="1">
        <f>IFERROR(__xludf.DUMMYFUNCTION("""COMPUTED_VALUE"""),441.20452)</f>
        <v>441.20452</v>
      </c>
    </row>
    <row r="2881">
      <c r="A2881" s="3">
        <f>IFERROR(__xludf.DUMMYFUNCTION("""COMPUTED_VALUE"""),43248.99861111111)</f>
        <v>43248.99861</v>
      </c>
      <c r="B2881" s="1">
        <f>IFERROR(__xludf.DUMMYFUNCTION("""COMPUTED_VALUE"""),437.8125)</f>
        <v>437.8125</v>
      </c>
    </row>
    <row r="2882">
      <c r="A2882" s="3">
        <f>IFERROR(__xludf.DUMMYFUNCTION("""COMPUTED_VALUE"""),43249.99861111111)</f>
        <v>43249.99861</v>
      </c>
      <c r="B2882" s="1">
        <f>IFERROR(__xludf.DUMMYFUNCTION("""COMPUTED_VALUE"""),436.72277)</f>
        <v>436.72277</v>
      </c>
    </row>
    <row r="2883">
      <c r="A2883" s="3">
        <f>IFERROR(__xludf.DUMMYFUNCTION("""COMPUTED_VALUE"""),43250.99861111111)</f>
        <v>43250.99861</v>
      </c>
      <c r="B2883" s="1">
        <f>IFERROR(__xludf.DUMMYFUNCTION("""COMPUTED_VALUE"""),436.22217)</f>
        <v>436.22217</v>
      </c>
    </row>
    <row r="2884">
      <c r="A2884" s="3">
        <f>IFERROR(__xludf.DUMMYFUNCTION("""COMPUTED_VALUE"""),43251.99861111111)</f>
        <v>43251.99861</v>
      </c>
      <c r="B2884" s="1">
        <f>IFERROR(__xludf.DUMMYFUNCTION("""COMPUTED_VALUE"""),432.5008)</f>
        <v>432.5008</v>
      </c>
    </row>
    <row r="2885">
      <c r="A2885" s="3">
        <f>IFERROR(__xludf.DUMMYFUNCTION("""COMPUTED_VALUE"""),43252.99861111111)</f>
        <v>43252.99861</v>
      </c>
      <c r="B2885" s="1">
        <f>IFERROR(__xludf.DUMMYFUNCTION("""COMPUTED_VALUE"""),431.66106)</f>
        <v>431.66106</v>
      </c>
    </row>
    <row r="2886">
      <c r="A2886" s="3">
        <f>IFERROR(__xludf.DUMMYFUNCTION("""COMPUTED_VALUE"""),43253.99861111111)</f>
        <v>43253.99861</v>
      </c>
      <c r="B2886" s="1">
        <f>IFERROR(__xludf.DUMMYFUNCTION("""COMPUTED_VALUE"""),431.9499375)</f>
        <v>431.9499375</v>
      </c>
    </row>
    <row r="2887">
      <c r="A2887" s="3">
        <f>IFERROR(__xludf.DUMMYFUNCTION("""COMPUTED_VALUE"""),43254.99861111111)</f>
        <v>43254.99861</v>
      </c>
      <c r="B2887" s="1">
        <f>IFERROR(__xludf.DUMMYFUNCTION("""COMPUTED_VALUE"""),435.00498)</f>
        <v>435.00498</v>
      </c>
    </row>
    <row r="2888">
      <c r="A2888" s="3">
        <f>IFERROR(__xludf.DUMMYFUNCTION("""COMPUTED_VALUE"""),43255.99861111111)</f>
        <v>43255.99861</v>
      </c>
      <c r="B2888" s="1">
        <f>IFERROR(__xludf.DUMMYFUNCTION("""COMPUTED_VALUE"""),432.9864)</f>
        <v>432.9864</v>
      </c>
    </row>
    <row r="2889">
      <c r="A2889" s="3">
        <f>IFERROR(__xludf.DUMMYFUNCTION("""COMPUTED_VALUE"""),43256.99861111111)</f>
        <v>43256.99861</v>
      </c>
      <c r="B2889" s="1">
        <f>IFERROR(__xludf.DUMMYFUNCTION("""COMPUTED_VALUE"""),434.2697)</f>
        <v>434.2697</v>
      </c>
    </row>
    <row r="2890">
      <c r="A2890" s="3">
        <f>IFERROR(__xludf.DUMMYFUNCTION("""COMPUTED_VALUE"""),43257.99861111111)</f>
        <v>43257.99861</v>
      </c>
      <c r="B2890" s="1">
        <f>IFERROR(__xludf.DUMMYFUNCTION("""COMPUTED_VALUE"""),433.04326)</f>
        <v>433.04326</v>
      </c>
    </row>
    <row r="2891">
      <c r="A2891" s="3">
        <f>IFERROR(__xludf.DUMMYFUNCTION("""COMPUTED_VALUE"""),43258.99861111111)</f>
        <v>43258.99861</v>
      </c>
      <c r="B2891" s="1">
        <f>IFERROR(__xludf.DUMMYFUNCTION("""COMPUTED_VALUE"""),432.66423)</f>
        <v>432.66423</v>
      </c>
    </row>
    <row r="2892">
      <c r="A2892" s="3">
        <f>IFERROR(__xludf.DUMMYFUNCTION("""COMPUTED_VALUE"""),43259.99861111111)</f>
        <v>43259.99861</v>
      </c>
      <c r="B2892" s="1">
        <f>IFERROR(__xludf.DUMMYFUNCTION("""COMPUTED_VALUE"""),434.84893)</f>
        <v>434.84893</v>
      </c>
    </row>
    <row r="2893">
      <c r="A2893" s="3">
        <f>IFERROR(__xludf.DUMMYFUNCTION("""COMPUTED_VALUE"""),43260.99861111111)</f>
        <v>43260.99861</v>
      </c>
      <c r="B2893" s="1">
        <f>IFERROR(__xludf.DUMMYFUNCTION("""COMPUTED_VALUE"""),427.61502)</f>
        <v>427.61502</v>
      </c>
    </row>
    <row r="2894">
      <c r="A2894" s="3">
        <f>IFERROR(__xludf.DUMMYFUNCTION("""COMPUTED_VALUE"""),43261.99861111111)</f>
        <v>43261.99861</v>
      </c>
      <c r="B2894" s="1">
        <f>IFERROR(__xludf.DUMMYFUNCTION("""COMPUTED_VALUE"""),432.34188)</f>
        <v>432.34188</v>
      </c>
    </row>
    <row r="2895">
      <c r="A2895" s="3">
        <f>IFERROR(__xludf.DUMMYFUNCTION("""COMPUTED_VALUE"""),43262.99861111111)</f>
        <v>43262.99861</v>
      </c>
      <c r="B2895" s="1">
        <f>IFERROR(__xludf.DUMMYFUNCTION("""COMPUTED_VALUE"""),434.53683)</f>
        <v>434.53683</v>
      </c>
    </row>
    <row r="2896">
      <c r="A2896" s="3">
        <f>IFERROR(__xludf.DUMMYFUNCTION("""COMPUTED_VALUE"""),43263.99861111111)</f>
        <v>43263.99861</v>
      </c>
      <c r="B2896" s="1">
        <f>IFERROR(__xludf.DUMMYFUNCTION("""COMPUTED_VALUE"""),433.70145)</f>
        <v>433.70145</v>
      </c>
    </row>
    <row r="2897">
      <c r="A2897" s="3">
        <f>IFERROR(__xludf.DUMMYFUNCTION("""COMPUTED_VALUE"""),43264.99861111111)</f>
        <v>43264.99861</v>
      </c>
      <c r="B2897" s="1">
        <f>IFERROR(__xludf.DUMMYFUNCTION("""COMPUTED_VALUE"""),433.42299)</f>
        <v>433.42299</v>
      </c>
    </row>
    <row r="2898">
      <c r="A2898" s="3">
        <f>IFERROR(__xludf.DUMMYFUNCTION("""COMPUTED_VALUE"""),43265.99861111111)</f>
        <v>43265.99861</v>
      </c>
      <c r="B2898" s="1">
        <f>IFERROR(__xludf.DUMMYFUNCTION("""COMPUTED_VALUE"""),438.187042)</f>
        <v>438.187042</v>
      </c>
    </row>
    <row r="2899">
      <c r="A2899" s="3">
        <f>IFERROR(__xludf.DUMMYFUNCTION("""COMPUTED_VALUE"""),43266.99861111111)</f>
        <v>43266.99861</v>
      </c>
      <c r="B2899" s="1">
        <f>IFERROR(__xludf.DUMMYFUNCTION("""COMPUTED_VALUE"""),430.817276)</f>
        <v>430.817276</v>
      </c>
    </row>
    <row r="2900">
      <c r="A2900" s="3">
        <f>IFERROR(__xludf.DUMMYFUNCTION("""COMPUTED_VALUE"""),43267.99861111111)</f>
        <v>43267.99861</v>
      </c>
      <c r="B2900" s="1">
        <f>IFERROR(__xludf.DUMMYFUNCTION("""COMPUTED_VALUE"""),425.869084)</f>
        <v>425.869084</v>
      </c>
    </row>
    <row r="2901">
      <c r="A2901" s="3">
        <f>IFERROR(__xludf.DUMMYFUNCTION("""COMPUTED_VALUE"""),43268.99861111111)</f>
        <v>43268.99861</v>
      </c>
      <c r="B2901" s="1">
        <f>IFERROR(__xludf.DUMMYFUNCTION("""COMPUTED_VALUE"""),426.0438)</f>
        <v>426.0438</v>
      </c>
    </row>
    <row r="2902">
      <c r="A2902" s="3">
        <f>IFERROR(__xludf.DUMMYFUNCTION("""COMPUTED_VALUE"""),43269.99861111111)</f>
        <v>43269.99861</v>
      </c>
      <c r="B2902" s="1">
        <f>IFERROR(__xludf.DUMMYFUNCTION("""COMPUTED_VALUE"""),425.90457)</f>
        <v>425.90457</v>
      </c>
    </row>
    <row r="2903">
      <c r="A2903" s="3">
        <f>IFERROR(__xludf.DUMMYFUNCTION("""COMPUTED_VALUE"""),43270.99861111111)</f>
        <v>43270.99861</v>
      </c>
      <c r="B2903" s="1">
        <f>IFERROR(__xludf.DUMMYFUNCTION("""COMPUTED_VALUE"""),425.20842)</f>
        <v>425.20842</v>
      </c>
    </row>
    <row r="2904">
      <c r="A2904" s="3">
        <f>IFERROR(__xludf.DUMMYFUNCTION("""COMPUTED_VALUE"""),43271.99861111111)</f>
        <v>43271.99861</v>
      </c>
      <c r="B2904" s="1">
        <f>IFERROR(__xludf.DUMMYFUNCTION("""COMPUTED_VALUE"""),423.95535)</f>
        <v>423.95535</v>
      </c>
    </row>
    <row r="2905">
      <c r="A2905" s="3">
        <f>IFERROR(__xludf.DUMMYFUNCTION("""COMPUTED_VALUE"""),43272.99861111111)</f>
        <v>43272.99861</v>
      </c>
      <c r="B2905" s="1">
        <f>IFERROR(__xludf.DUMMYFUNCTION("""COMPUTED_VALUE"""),428.2752)</f>
        <v>428.2752</v>
      </c>
    </row>
    <row r="2906">
      <c r="A2906" s="3">
        <f>IFERROR(__xludf.DUMMYFUNCTION("""COMPUTED_VALUE"""),43273.99861111111)</f>
        <v>43273.99861</v>
      </c>
      <c r="B2906" s="1">
        <f>IFERROR(__xludf.DUMMYFUNCTION("""COMPUTED_VALUE"""),427.846486)</f>
        <v>427.846486</v>
      </c>
    </row>
    <row r="2907">
      <c r="A2907" s="3">
        <f>IFERROR(__xludf.DUMMYFUNCTION("""COMPUTED_VALUE"""),43274.99861111111)</f>
        <v>43274.99861</v>
      </c>
      <c r="B2907" s="1">
        <f>IFERROR(__xludf.DUMMYFUNCTION("""COMPUTED_VALUE"""),427.1446353)</f>
        <v>427.1446353</v>
      </c>
    </row>
    <row r="2908">
      <c r="A2908" s="3">
        <f>IFERROR(__xludf.DUMMYFUNCTION("""COMPUTED_VALUE"""),43275.99861111111)</f>
        <v>43275.99861</v>
      </c>
      <c r="B2908" s="1">
        <f>IFERROR(__xludf.DUMMYFUNCTION("""COMPUTED_VALUE"""),427.25628)</f>
        <v>427.25628</v>
      </c>
    </row>
    <row r="2909">
      <c r="A2909" s="3">
        <f>IFERROR(__xludf.DUMMYFUNCTION("""COMPUTED_VALUE"""),43276.99861111111)</f>
        <v>43276.99861</v>
      </c>
      <c r="B2909" s="1">
        <f>IFERROR(__xludf.DUMMYFUNCTION("""COMPUTED_VALUE"""),429.53328)</f>
        <v>429.53328</v>
      </c>
    </row>
    <row r="2910">
      <c r="A2910" s="3">
        <f>IFERROR(__xludf.DUMMYFUNCTION("""COMPUTED_VALUE"""),43277.99861111111)</f>
        <v>43277.99861</v>
      </c>
      <c r="B2910" s="1">
        <f>IFERROR(__xludf.DUMMYFUNCTION("""COMPUTED_VALUE"""),429.61264)</f>
        <v>429.61264</v>
      </c>
    </row>
    <row r="2911">
      <c r="A2911" s="3">
        <f>IFERROR(__xludf.DUMMYFUNCTION("""COMPUTED_VALUE"""),43278.99861111111)</f>
        <v>43278.99861</v>
      </c>
      <c r="B2911" s="1">
        <f>IFERROR(__xludf.DUMMYFUNCTION("""COMPUTED_VALUE"""),430.89345)</f>
        <v>430.89345</v>
      </c>
    </row>
    <row r="2912">
      <c r="A2912" s="3">
        <f>IFERROR(__xludf.DUMMYFUNCTION("""COMPUTED_VALUE"""),43279.99861111111)</f>
        <v>43279.99861</v>
      </c>
      <c r="B2912" s="1">
        <f>IFERROR(__xludf.DUMMYFUNCTION("""COMPUTED_VALUE"""),432.509)</f>
        <v>432.509</v>
      </c>
    </row>
    <row r="2913">
      <c r="A2913" s="3">
        <f>IFERROR(__xludf.DUMMYFUNCTION("""COMPUTED_VALUE"""),43280.99861111111)</f>
        <v>43280.99861</v>
      </c>
      <c r="B2913" s="1">
        <f>IFERROR(__xludf.DUMMYFUNCTION("""COMPUTED_VALUE"""),432.4719)</f>
        <v>432.4719</v>
      </c>
    </row>
    <row r="2914">
      <c r="A2914" s="3">
        <f>IFERROR(__xludf.DUMMYFUNCTION("""COMPUTED_VALUE"""),43281.99861111111)</f>
        <v>43281.99861</v>
      </c>
      <c r="B2914" s="1">
        <f>IFERROR(__xludf.DUMMYFUNCTION("""COMPUTED_VALUE"""),432.4719)</f>
        <v>432.4719</v>
      </c>
    </row>
    <row r="2915">
      <c r="A2915" s="3">
        <f>IFERROR(__xludf.DUMMYFUNCTION("""COMPUTED_VALUE"""),43282.99861111111)</f>
        <v>43282.99861</v>
      </c>
      <c r="B2915" s="1">
        <f>IFERROR(__xludf.DUMMYFUNCTION("""COMPUTED_VALUE"""),433.08925)</f>
        <v>433.08925</v>
      </c>
    </row>
    <row r="2916">
      <c r="A2916" s="3">
        <f>IFERROR(__xludf.DUMMYFUNCTION("""COMPUTED_VALUE"""),43283.99861111111)</f>
        <v>43283.99861</v>
      </c>
      <c r="B2916" s="1">
        <f>IFERROR(__xludf.DUMMYFUNCTION("""COMPUTED_VALUE"""),432.41858)</f>
        <v>432.41858</v>
      </c>
    </row>
    <row r="2917">
      <c r="A2917" s="3">
        <f>IFERROR(__xludf.DUMMYFUNCTION("""COMPUTED_VALUE"""),43284.99861111111)</f>
        <v>43284.99861</v>
      </c>
      <c r="B2917" s="1">
        <f>IFERROR(__xludf.DUMMYFUNCTION("""COMPUTED_VALUE"""),432.88648)</f>
        <v>432.88648</v>
      </c>
    </row>
    <row r="2918">
      <c r="A2918" s="3">
        <f>IFERROR(__xludf.DUMMYFUNCTION("""COMPUTED_VALUE"""),43285.99861111111)</f>
        <v>43285.99861</v>
      </c>
      <c r="B2918" s="1">
        <f>IFERROR(__xludf.DUMMYFUNCTION("""COMPUTED_VALUE"""),434.448)</f>
        <v>434.448</v>
      </c>
    </row>
    <row r="2919">
      <c r="A2919" s="3">
        <f>IFERROR(__xludf.DUMMYFUNCTION("""COMPUTED_VALUE"""),43286.99861111111)</f>
        <v>43286.99861</v>
      </c>
      <c r="B2919" s="1">
        <f>IFERROR(__xludf.DUMMYFUNCTION("""COMPUTED_VALUE"""),432.658092)</f>
        <v>432.658092</v>
      </c>
    </row>
    <row r="2920">
      <c r="A2920" s="3">
        <f>IFERROR(__xludf.DUMMYFUNCTION("""COMPUTED_VALUE"""),43287.99861111111)</f>
        <v>43287.99861</v>
      </c>
      <c r="B2920" s="1">
        <f>IFERROR(__xludf.DUMMYFUNCTION("""COMPUTED_VALUE"""),432.40392)</f>
        <v>432.40392</v>
      </c>
    </row>
    <row r="2921">
      <c r="A2921" s="3">
        <f>IFERROR(__xludf.DUMMYFUNCTION("""COMPUTED_VALUE"""),43288.99861111111)</f>
        <v>43288.99861</v>
      </c>
      <c r="B2921" s="1">
        <f>IFERROR(__xludf.DUMMYFUNCTION("""COMPUTED_VALUE"""),432.432594)</f>
        <v>432.432594</v>
      </c>
    </row>
    <row r="2922">
      <c r="A2922" s="3">
        <f>IFERROR(__xludf.DUMMYFUNCTION("""COMPUTED_VALUE"""),43289.99861111111)</f>
        <v>43289.99861</v>
      </c>
      <c r="B2922" s="1">
        <f>IFERROR(__xludf.DUMMYFUNCTION("""COMPUTED_VALUE"""),431.527734)</f>
        <v>431.527734</v>
      </c>
    </row>
    <row r="2923">
      <c r="A2923" s="3">
        <f>IFERROR(__xludf.DUMMYFUNCTION("""COMPUTED_VALUE"""),43290.99861111111)</f>
        <v>43290.99861</v>
      </c>
      <c r="B2923" s="1">
        <f>IFERROR(__xludf.DUMMYFUNCTION("""COMPUTED_VALUE"""),432.278066)</f>
        <v>432.278066</v>
      </c>
    </row>
    <row r="2924">
      <c r="A2924" s="3">
        <f>IFERROR(__xludf.DUMMYFUNCTION("""COMPUTED_VALUE"""),43291.99861111111)</f>
        <v>43291.99861</v>
      </c>
      <c r="B2924" s="1">
        <f>IFERROR(__xludf.DUMMYFUNCTION("""COMPUTED_VALUE"""),432.4575)</f>
        <v>432.4575</v>
      </c>
    </row>
    <row r="2925">
      <c r="A2925" s="3">
        <f>IFERROR(__xludf.DUMMYFUNCTION("""COMPUTED_VALUE"""),43292.99861111111)</f>
        <v>43292.99861</v>
      </c>
      <c r="B2925" s="1">
        <f>IFERROR(__xludf.DUMMYFUNCTION("""COMPUTED_VALUE"""),431.12433)</f>
        <v>431.12433</v>
      </c>
    </row>
    <row r="2926">
      <c r="A2926" s="3">
        <f>IFERROR(__xludf.DUMMYFUNCTION("""COMPUTED_VALUE"""),43293.99861111111)</f>
        <v>43293.99861</v>
      </c>
      <c r="B2926" s="1">
        <f>IFERROR(__xludf.DUMMYFUNCTION("""COMPUTED_VALUE"""),433.01727)</f>
        <v>433.01727</v>
      </c>
    </row>
    <row r="2927">
      <c r="A2927" s="3">
        <f>IFERROR(__xludf.DUMMYFUNCTION("""COMPUTED_VALUE"""),43294.99861111111)</f>
        <v>43294.99861</v>
      </c>
      <c r="B2927" s="1">
        <f>IFERROR(__xludf.DUMMYFUNCTION("""COMPUTED_VALUE"""),431.7271626)</f>
        <v>431.7271626</v>
      </c>
    </row>
    <row r="2928">
      <c r="A2928" s="3">
        <f>IFERROR(__xludf.DUMMYFUNCTION("""COMPUTED_VALUE"""),43295.99861111111)</f>
        <v>43295.99861</v>
      </c>
      <c r="B2928" s="1">
        <f>IFERROR(__xludf.DUMMYFUNCTION("""COMPUTED_VALUE"""),431.664309)</f>
        <v>431.664309</v>
      </c>
    </row>
    <row r="2929">
      <c r="A2929" s="3">
        <f>IFERROR(__xludf.DUMMYFUNCTION("""COMPUTED_VALUE"""),43296.99861111111)</f>
        <v>43296.99861</v>
      </c>
      <c r="B2929" s="1">
        <f>IFERROR(__xludf.DUMMYFUNCTION("""COMPUTED_VALUE"""),431.218746)</f>
        <v>431.218746</v>
      </c>
    </row>
    <row r="2930">
      <c r="A2930" s="3">
        <f>IFERROR(__xludf.DUMMYFUNCTION("""COMPUTED_VALUE"""),43297.99861111111)</f>
        <v>43297.99861</v>
      </c>
      <c r="B2930" s="1">
        <f>IFERROR(__xludf.DUMMYFUNCTION("""COMPUTED_VALUE"""),431.6689095)</f>
        <v>431.6689095</v>
      </c>
    </row>
    <row r="2931">
      <c r="A2931" s="3">
        <f>IFERROR(__xludf.DUMMYFUNCTION("""COMPUTED_VALUE"""),43298.99861111111)</f>
        <v>43298.99861</v>
      </c>
      <c r="B2931" s="1">
        <f>IFERROR(__xludf.DUMMYFUNCTION("""COMPUTED_VALUE"""),431.238115)</f>
        <v>431.238115</v>
      </c>
    </row>
    <row r="2932">
      <c r="A2932" s="3">
        <f>IFERROR(__xludf.DUMMYFUNCTION("""COMPUTED_VALUE"""),43299.99861111111)</f>
        <v>43299.99861</v>
      </c>
      <c r="B2932" s="1">
        <f>IFERROR(__xludf.DUMMYFUNCTION("""COMPUTED_VALUE"""),433.403292)</f>
        <v>433.403292</v>
      </c>
    </row>
    <row r="2933">
      <c r="A2933" s="3">
        <f>IFERROR(__xludf.DUMMYFUNCTION("""COMPUTED_VALUE"""),43300.99861111111)</f>
        <v>43300.99861</v>
      </c>
      <c r="B2933" s="1">
        <f>IFERROR(__xludf.DUMMYFUNCTION("""COMPUTED_VALUE"""),432.390648)</f>
        <v>432.390648</v>
      </c>
    </row>
    <row r="2934">
      <c r="A2934" s="3">
        <f>IFERROR(__xludf.DUMMYFUNCTION("""COMPUTED_VALUE"""),43301.99861111111)</f>
        <v>43301.99861</v>
      </c>
      <c r="B2934" s="1">
        <f>IFERROR(__xludf.DUMMYFUNCTION("""COMPUTED_VALUE"""),434.2947601)</f>
        <v>434.2947601</v>
      </c>
    </row>
    <row r="2935">
      <c r="A2935" s="3">
        <f>IFERROR(__xludf.DUMMYFUNCTION("""COMPUTED_VALUE"""),43302.99861111111)</f>
        <v>43302.99861</v>
      </c>
      <c r="B2935" s="1">
        <f>IFERROR(__xludf.DUMMYFUNCTION("""COMPUTED_VALUE"""),427.672415)</f>
        <v>427.672415</v>
      </c>
    </row>
    <row r="2936">
      <c r="A2936" s="3">
        <f>IFERROR(__xludf.DUMMYFUNCTION("""COMPUTED_VALUE"""),43303.99861111111)</f>
        <v>43303.99861</v>
      </c>
      <c r="B2936" s="1">
        <f>IFERROR(__xludf.DUMMYFUNCTION("""COMPUTED_VALUE"""),434.363676)</f>
        <v>434.363676</v>
      </c>
    </row>
    <row r="2937">
      <c r="A2937" s="3">
        <f>IFERROR(__xludf.DUMMYFUNCTION("""COMPUTED_VALUE"""),43304.99861111111)</f>
        <v>43304.99861</v>
      </c>
      <c r="B2937" s="1">
        <f>IFERROR(__xludf.DUMMYFUNCTION("""COMPUTED_VALUE"""),435.7576275)</f>
        <v>435.7576275</v>
      </c>
    </row>
    <row r="2938">
      <c r="A2938" s="3">
        <f>IFERROR(__xludf.DUMMYFUNCTION("""COMPUTED_VALUE"""),43305.99861111111)</f>
        <v>43305.99861</v>
      </c>
      <c r="B2938" s="1">
        <f>IFERROR(__xludf.DUMMYFUNCTION("""COMPUTED_VALUE"""),435.862701)</f>
        <v>435.862701</v>
      </c>
    </row>
    <row r="2939">
      <c r="A2939" s="3">
        <f>IFERROR(__xludf.DUMMYFUNCTION("""COMPUTED_VALUE"""),43306.99861111111)</f>
        <v>43306.99861</v>
      </c>
      <c r="B2939" s="1">
        <f>IFERROR(__xludf.DUMMYFUNCTION("""COMPUTED_VALUE"""),435.555615)</f>
        <v>435.555615</v>
      </c>
    </row>
    <row r="2940">
      <c r="A2940" s="3">
        <f>IFERROR(__xludf.DUMMYFUNCTION("""COMPUTED_VALUE"""),43307.99861111111)</f>
        <v>43307.99861</v>
      </c>
      <c r="B2940" s="1">
        <f>IFERROR(__xludf.DUMMYFUNCTION("""COMPUTED_VALUE"""),434.224875)</f>
        <v>434.224875</v>
      </c>
    </row>
    <row r="2941">
      <c r="A2941" s="3">
        <f>IFERROR(__xludf.DUMMYFUNCTION("""COMPUTED_VALUE"""),43308.99861111111)</f>
        <v>43308.99861</v>
      </c>
      <c r="B2941" s="1">
        <f>IFERROR(__xludf.DUMMYFUNCTION("""COMPUTED_VALUE"""),430.938516)</f>
        <v>430.938516</v>
      </c>
    </row>
    <row r="2942">
      <c r="A2942" s="3">
        <f>IFERROR(__xludf.DUMMYFUNCTION("""COMPUTED_VALUE"""),43309.99861111111)</f>
        <v>43309.99861</v>
      </c>
      <c r="B2942" s="1">
        <f>IFERROR(__xludf.DUMMYFUNCTION("""COMPUTED_VALUE"""),431.1061042)</f>
        <v>431.1061042</v>
      </c>
    </row>
    <row r="2943">
      <c r="A2943" s="3">
        <f>IFERROR(__xludf.DUMMYFUNCTION("""COMPUTED_VALUE"""),43310.99861111111)</f>
        <v>43310.99861</v>
      </c>
      <c r="B2943" s="1">
        <f>IFERROR(__xludf.DUMMYFUNCTION("""COMPUTED_VALUE"""),431.335641)</f>
        <v>431.335641</v>
      </c>
    </row>
    <row r="2944">
      <c r="A2944" s="3">
        <f>IFERROR(__xludf.DUMMYFUNCTION("""COMPUTED_VALUE"""),43311.99861111111)</f>
        <v>43311.99861</v>
      </c>
      <c r="B2944" s="1">
        <f>IFERROR(__xludf.DUMMYFUNCTION("""COMPUTED_VALUE"""),432.277239)</f>
        <v>432.277239</v>
      </c>
    </row>
    <row r="2945">
      <c r="A2945" s="3">
        <f>IFERROR(__xludf.DUMMYFUNCTION("""COMPUTED_VALUE"""),43312.99861111111)</f>
        <v>43312.99861</v>
      </c>
      <c r="B2945" s="1">
        <f>IFERROR(__xludf.DUMMYFUNCTION("""COMPUTED_VALUE"""),433.5296004)</f>
        <v>433.5296004</v>
      </c>
    </row>
    <row r="2946">
      <c r="A2946" s="3">
        <f>IFERROR(__xludf.DUMMYFUNCTION("""COMPUTED_VALUE"""),43313.99861111111)</f>
        <v>43313.99861</v>
      </c>
      <c r="B2946" s="1">
        <f>IFERROR(__xludf.DUMMYFUNCTION("""COMPUTED_VALUE"""),436.944773)</f>
        <v>436.944773</v>
      </c>
    </row>
    <row r="2947">
      <c r="A2947" s="3">
        <f>IFERROR(__xludf.DUMMYFUNCTION("""COMPUTED_VALUE"""),43314.99861111111)</f>
        <v>43314.99861</v>
      </c>
      <c r="B2947" s="1">
        <f>IFERROR(__xludf.DUMMYFUNCTION("""COMPUTED_VALUE"""),435.804252)</f>
        <v>435.804252</v>
      </c>
    </row>
    <row r="2948">
      <c r="A2948" s="3">
        <f>IFERROR(__xludf.DUMMYFUNCTION("""COMPUTED_VALUE"""),43315.99861111111)</f>
        <v>43315.99861</v>
      </c>
      <c r="B2948" s="1">
        <f>IFERROR(__xludf.DUMMYFUNCTION("""COMPUTED_VALUE"""),435.4816768)</f>
        <v>435.4816768</v>
      </c>
    </row>
    <row r="2949">
      <c r="A2949" s="3">
        <f>IFERROR(__xludf.DUMMYFUNCTION("""COMPUTED_VALUE"""),43316.99861111111)</f>
        <v>43316.99861</v>
      </c>
      <c r="B2949" s="1">
        <f>IFERROR(__xludf.DUMMYFUNCTION("""COMPUTED_VALUE"""),436.5197128)</f>
        <v>436.5197128</v>
      </c>
    </row>
    <row r="2950">
      <c r="A2950" s="3">
        <f>IFERROR(__xludf.DUMMYFUNCTION("""COMPUTED_VALUE"""),43317.99861111111)</f>
        <v>43317.99861</v>
      </c>
      <c r="B2950" s="1">
        <f>IFERROR(__xludf.DUMMYFUNCTION("""COMPUTED_VALUE"""),435.130468)</f>
        <v>435.130468</v>
      </c>
    </row>
    <row r="2951">
      <c r="A2951" s="3">
        <f>IFERROR(__xludf.DUMMYFUNCTION("""COMPUTED_VALUE"""),43318.99861111111)</f>
        <v>43318.99861</v>
      </c>
      <c r="B2951" s="1">
        <f>IFERROR(__xludf.DUMMYFUNCTION("""COMPUTED_VALUE"""),435.862701)</f>
        <v>435.862701</v>
      </c>
    </row>
    <row r="2952">
      <c r="A2952" s="3">
        <f>IFERROR(__xludf.DUMMYFUNCTION("""COMPUTED_VALUE"""),43319.99861111111)</f>
        <v>43319.99861</v>
      </c>
      <c r="B2952" s="1">
        <f>IFERROR(__xludf.DUMMYFUNCTION("""COMPUTED_VALUE"""),434.405062)</f>
        <v>434.405062</v>
      </c>
    </row>
    <row r="2953">
      <c r="A2953" s="3">
        <f>IFERROR(__xludf.DUMMYFUNCTION("""COMPUTED_VALUE"""),43320.99861111111)</f>
        <v>43320.99861</v>
      </c>
      <c r="B2953" s="1">
        <f>IFERROR(__xludf.DUMMYFUNCTION("""COMPUTED_VALUE"""),433.494984)</f>
        <v>433.494984</v>
      </c>
    </row>
    <row r="2954">
      <c r="A2954" s="3">
        <f>IFERROR(__xludf.DUMMYFUNCTION("""COMPUTED_VALUE"""),43321.99861111111)</f>
        <v>43321.99861</v>
      </c>
      <c r="B2954" s="1">
        <f>IFERROR(__xludf.DUMMYFUNCTION("""COMPUTED_VALUE"""),435.2454)</f>
        <v>435.2454</v>
      </c>
    </row>
    <row r="2955">
      <c r="A2955" s="3">
        <f>IFERROR(__xludf.DUMMYFUNCTION("""COMPUTED_VALUE"""),43322.99861111111)</f>
        <v>43322.99861</v>
      </c>
      <c r="B2955" s="1">
        <f>IFERROR(__xludf.DUMMYFUNCTION("""COMPUTED_VALUE"""),434.615082)</f>
        <v>434.615082</v>
      </c>
    </row>
    <row r="2956">
      <c r="A2956" s="3">
        <f>IFERROR(__xludf.DUMMYFUNCTION("""COMPUTED_VALUE"""),43323.99861111111)</f>
        <v>43323.99861</v>
      </c>
      <c r="B2956" s="1">
        <f>IFERROR(__xludf.DUMMYFUNCTION("""COMPUTED_VALUE"""),435.0326462)</f>
        <v>435.0326462</v>
      </c>
    </row>
    <row r="2957">
      <c r="A2957" s="3">
        <f>IFERROR(__xludf.DUMMYFUNCTION("""COMPUTED_VALUE"""),43324.99861111111)</f>
        <v>43324.99861</v>
      </c>
      <c r="B2957" s="1">
        <f>IFERROR(__xludf.DUMMYFUNCTION("""COMPUTED_VALUE"""),434.363676)</f>
        <v>434.363676</v>
      </c>
    </row>
    <row r="2958">
      <c r="A2958" s="3">
        <f>IFERROR(__xludf.DUMMYFUNCTION("""COMPUTED_VALUE"""),43325.99861111111)</f>
        <v>43325.99861</v>
      </c>
      <c r="B2958" s="1">
        <f>IFERROR(__xludf.DUMMYFUNCTION("""COMPUTED_VALUE"""),436.973548)</f>
        <v>436.973548</v>
      </c>
    </row>
    <row r="2959">
      <c r="A2959" s="3">
        <f>IFERROR(__xludf.DUMMYFUNCTION("""COMPUTED_VALUE"""),43326.99861111111)</f>
        <v>43326.99861</v>
      </c>
      <c r="B2959" s="1">
        <f>IFERROR(__xludf.DUMMYFUNCTION("""COMPUTED_VALUE"""),439.567482)</f>
        <v>439.567482</v>
      </c>
    </row>
    <row r="2960">
      <c r="A2960" s="3">
        <f>IFERROR(__xludf.DUMMYFUNCTION("""COMPUTED_VALUE"""),43327.99861111111)</f>
        <v>43327.99861</v>
      </c>
      <c r="B2960" s="1">
        <f>IFERROR(__xludf.DUMMYFUNCTION("""COMPUTED_VALUE"""),436.2227702)</f>
        <v>436.2227702</v>
      </c>
    </row>
    <row r="2961">
      <c r="A2961" s="3">
        <f>IFERROR(__xludf.DUMMYFUNCTION("""COMPUTED_VALUE"""),43328.99861111111)</f>
        <v>43328.99861</v>
      </c>
      <c r="B2961" s="1">
        <f>IFERROR(__xludf.DUMMYFUNCTION("""COMPUTED_VALUE"""),439.6660362)</f>
        <v>439.6660362</v>
      </c>
    </row>
    <row r="2962">
      <c r="A2962" s="3">
        <f>IFERROR(__xludf.DUMMYFUNCTION("""COMPUTED_VALUE"""),43329.99861111111)</f>
        <v>43329.99861</v>
      </c>
      <c r="B2962" s="1">
        <f>IFERROR(__xludf.DUMMYFUNCTION("""COMPUTED_VALUE"""),439.278874)</f>
        <v>439.278874</v>
      </c>
    </row>
    <row r="2963">
      <c r="A2963" s="3">
        <f>IFERROR(__xludf.DUMMYFUNCTION("""COMPUTED_VALUE"""),43330.99861111111)</f>
        <v>43330.99861</v>
      </c>
      <c r="B2963" s="1">
        <f>IFERROR(__xludf.DUMMYFUNCTION("""COMPUTED_VALUE"""),439.3267854)</f>
        <v>439.3267854</v>
      </c>
    </row>
    <row r="2964">
      <c r="A2964" s="3">
        <f>IFERROR(__xludf.DUMMYFUNCTION("""COMPUTED_VALUE"""),43331.99861111111)</f>
        <v>43331.99861</v>
      </c>
      <c r="B2964" s="1">
        <f>IFERROR(__xludf.DUMMYFUNCTION("""COMPUTED_VALUE"""),439.05436)</f>
        <v>439.05436</v>
      </c>
    </row>
    <row r="2965">
      <c r="A2965" s="3">
        <f>IFERROR(__xludf.DUMMYFUNCTION("""COMPUTED_VALUE"""),43332.99861111111)</f>
        <v>43332.99861</v>
      </c>
      <c r="B2965" s="1">
        <f>IFERROR(__xludf.DUMMYFUNCTION("""COMPUTED_VALUE"""),441.825642)</f>
        <v>441.825642</v>
      </c>
    </row>
    <row r="2966">
      <c r="A2966" s="3">
        <f>IFERROR(__xludf.DUMMYFUNCTION("""COMPUTED_VALUE"""),43333.99861111111)</f>
        <v>43333.99861</v>
      </c>
      <c r="B2966" s="1">
        <f>IFERROR(__xludf.DUMMYFUNCTION("""COMPUTED_VALUE"""),445.97313)</f>
        <v>445.97313</v>
      </c>
    </row>
    <row r="2967">
      <c r="A2967" s="3">
        <f>IFERROR(__xludf.DUMMYFUNCTION("""COMPUTED_VALUE"""),43334.99861111111)</f>
        <v>43334.99861</v>
      </c>
      <c r="B2967" s="1">
        <f>IFERROR(__xludf.DUMMYFUNCTION("""COMPUTED_VALUE"""),445.218316)</f>
        <v>445.218316</v>
      </c>
    </row>
    <row r="2968">
      <c r="A2968" s="3">
        <f>IFERROR(__xludf.DUMMYFUNCTION("""COMPUTED_VALUE"""),43335.99861111111)</f>
        <v>43335.99861</v>
      </c>
      <c r="B2968" s="1">
        <f>IFERROR(__xludf.DUMMYFUNCTION("""COMPUTED_VALUE"""),445.961568)</f>
        <v>445.961568</v>
      </c>
    </row>
    <row r="2969">
      <c r="A2969" s="3">
        <f>IFERROR(__xludf.DUMMYFUNCTION("""COMPUTED_VALUE"""),43336.99861111111)</f>
        <v>43336.99861</v>
      </c>
      <c r="B2969" s="1">
        <f>IFERROR(__xludf.DUMMYFUNCTION("""COMPUTED_VALUE"""),446.866472)</f>
        <v>446.866472</v>
      </c>
    </row>
    <row r="2970">
      <c r="A2970" s="3">
        <f>IFERROR(__xludf.DUMMYFUNCTION("""COMPUTED_VALUE"""),43337.99861111111)</f>
        <v>43337.99861</v>
      </c>
      <c r="B2970" s="1">
        <f>IFERROR(__xludf.DUMMYFUNCTION("""COMPUTED_VALUE"""),447.2969945)</f>
        <v>447.2969945</v>
      </c>
    </row>
    <row r="2971">
      <c r="A2971" s="3">
        <f>IFERROR(__xludf.DUMMYFUNCTION("""COMPUTED_VALUE"""),43338.99861111111)</f>
        <v>43338.99861</v>
      </c>
      <c r="B2971" s="1">
        <f>IFERROR(__xludf.DUMMYFUNCTION("""COMPUTED_VALUE"""),446.728356)</f>
        <v>446.728356</v>
      </c>
    </row>
    <row r="2972">
      <c r="A2972" s="3">
        <f>IFERROR(__xludf.DUMMYFUNCTION("""COMPUTED_VALUE"""),43339.99861111111)</f>
        <v>43339.99861</v>
      </c>
      <c r="B2972" s="1">
        <f>IFERROR(__xludf.DUMMYFUNCTION("""COMPUTED_VALUE"""),447.29774)</f>
        <v>447.29774</v>
      </c>
    </row>
    <row r="2973">
      <c r="A2973" s="3">
        <f>IFERROR(__xludf.DUMMYFUNCTION("""COMPUTED_VALUE"""),43340.99861111111)</f>
        <v>43340.99861</v>
      </c>
      <c r="B2973" s="1">
        <f>IFERROR(__xludf.DUMMYFUNCTION("""COMPUTED_VALUE"""),449.070491)</f>
        <v>449.070491</v>
      </c>
    </row>
    <row r="2974">
      <c r="A2974" s="3">
        <f>IFERROR(__xludf.DUMMYFUNCTION("""COMPUTED_VALUE"""),43341.99861111111)</f>
        <v>43341.99861</v>
      </c>
      <c r="B2974" s="1">
        <f>IFERROR(__xludf.DUMMYFUNCTION("""COMPUTED_VALUE"""),447.208474)</f>
        <v>447.208474</v>
      </c>
    </row>
    <row r="2975">
      <c r="A2975" s="3">
        <f>IFERROR(__xludf.DUMMYFUNCTION("""COMPUTED_VALUE"""),43342.99861111111)</f>
        <v>43342.99861</v>
      </c>
      <c r="B2975" s="1">
        <f>IFERROR(__xludf.DUMMYFUNCTION("""COMPUTED_VALUE"""),449.861247)</f>
        <v>449.861247</v>
      </c>
    </row>
    <row r="2976">
      <c r="A2976" s="3">
        <f>IFERROR(__xludf.DUMMYFUNCTION("""COMPUTED_VALUE"""),43343.99861111111)</f>
        <v>43343.99861</v>
      </c>
      <c r="B2976" s="1">
        <f>IFERROR(__xludf.DUMMYFUNCTION("""COMPUTED_VALUE"""),449.67205)</f>
        <v>449.67205</v>
      </c>
    </row>
    <row r="2977">
      <c r="A2977" s="3">
        <f>IFERROR(__xludf.DUMMYFUNCTION("""COMPUTED_VALUE"""),43344.99861111111)</f>
        <v>43344.99861</v>
      </c>
      <c r="B2977" s="1">
        <f>IFERROR(__xludf.DUMMYFUNCTION("""COMPUTED_VALUE"""),449.610974)</f>
        <v>449.610974</v>
      </c>
    </row>
    <row r="2978">
      <c r="A2978" s="3">
        <f>IFERROR(__xludf.DUMMYFUNCTION("""COMPUTED_VALUE"""),43345.99861111111)</f>
        <v>43345.99861</v>
      </c>
      <c r="B2978" s="1">
        <f>IFERROR(__xludf.DUMMYFUNCTION("""COMPUTED_VALUE"""),448.742317)</f>
        <v>448.742317</v>
      </c>
    </row>
    <row r="2979">
      <c r="A2979" s="3">
        <f>IFERROR(__xludf.DUMMYFUNCTION("""COMPUTED_VALUE"""),43346.99861111111)</f>
        <v>43346.99861</v>
      </c>
      <c r="B2979" s="1">
        <f>IFERROR(__xludf.DUMMYFUNCTION("""COMPUTED_VALUE"""),453.443904)</f>
        <v>453.443904</v>
      </c>
    </row>
    <row r="2980">
      <c r="A2980" s="3">
        <f>IFERROR(__xludf.DUMMYFUNCTION("""COMPUTED_VALUE"""),43347.99861111111)</f>
        <v>43347.99861</v>
      </c>
      <c r="B2980" s="1">
        <f>IFERROR(__xludf.DUMMYFUNCTION("""COMPUTED_VALUE"""),454.90217)</f>
        <v>454.90217</v>
      </c>
    </row>
    <row r="2981">
      <c r="A2981" s="3">
        <f>IFERROR(__xludf.DUMMYFUNCTION("""COMPUTED_VALUE"""),43348.99861111111)</f>
        <v>43348.99861</v>
      </c>
      <c r="B2981" s="1">
        <f>IFERROR(__xludf.DUMMYFUNCTION("""COMPUTED_VALUE"""),456.9768294)</f>
        <v>456.9768294</v>
      </c>
    </row>
    <row r="2982">
      <c r="A2982" s="3">
        <f>IFERROR(__xludf.DUMMYFUNCTION("""COMPUTED_VALUE"""),43349.99861111111)</f>
        <v>43349.99861</v>
      </c>
      <c r="B2982" s="1">
        <f>IFERROR(__xludf.DUMMYFUNCTION("""COMPUTED_VALUE"""),453.998212)</f>
        <v>453.998212</v>
      </c>
    </row>
    <row r="2983">
      <c r="A2983" s="3">
        <f>IFERROR(__xludf.DUMMYFUNCTION("""COMPUTED_VALUE"""),43350.99861111111)</f>
        <v>43350.99861</v>
      </c>
      <c r="B2983" s="1">
        <f>IFERROR(__xludf.DUMMYFUNCTION("""COMPUTED_VALUE"""),456.3778365)</f>
        <v>456.3778365</v>
      </c>
    </row>
    <row r="2984">
      <c r="A2984" s="3">
        <f>IFERROR(__xludf.DUMMYFUNCTION("""COMPUTED_VALUE"""),43351.99861111111)</f>
        <v>43351.99861</v>
      </c>
      <c r="B2984" s="1">
        <f>IFERROR(__xludf.DUMMYFUNCTION("""COMPUTED_VALUE"""),451.455801)</f>
        <v>451.455801</v>
      </c>
    </row>
    <row r="2985">
      <c r="A2985" s="3">
        <f>IFERROR(__xludf.DUMMYFUNCTION("""COMPUTED_VALUE"""),43352.99861111111)</f>
        <v>43352.99861</v>
      </c>
      <c r="B2985" s="1">
        <f>IFERROR(__xludf.DUMMYFUNCTION("""COMPUTED_VALUE"""),450.90772)</f>
        <v>450.90772</v>
      </c>
    </row>
    <row r="2986">
      <c r="A2986" s="3">
        <f>IFERROR(__xludf.DUMMYFUNCTION("""COMPUTED_VALUE"""),43353.99861111111)</f>
        <v>43353.99861</v>
      </c>
      <c r="B2986" s="1">
        <f>IFERROR(__xludf.DUMMYFUNCTION("""COMPUTED_VALUE"""),452.2970705)</f>
        <v>452.2970705</v>
      </c>
    </row>
    <row r="2987">
      <c r="A2987" s="3">
        <f>IFERROR(__xludf.DUMMYFUNCTION("""COMPUTED_VALUE"""),43354.99861111111)</f>
        <v>43354.99861</v>
      </c>
      <c r="B2987" s="1">
        <f>IFERROR(__xludf.DUMMYFUNCTION("""COMPUTED_VALUE"""),452.216923)</f>
        <v>452.216923</v>
      </c>
    </row>
    <row r="2988">
      <c r="A2988" s="3">
        <f>IFERROR(__xludf.DUMMYFUNCTION("""COMPUTED_VALUE"""),43355.99861111111)</f>
        <v>43355.99861</v>
      </c>
      <c r="B2988" s="1">
        <f>IFERROR(__xludf.DUMMYFUNCTION("""COMPUTED_VALUE"""),452.709218)</f>
        <v>452.709218</v>
      </c>
    </row>
    <row r="2989">
      <c r="A2989" s="3">
        <f>IFERROR(__xludf.DUMMYFUNCTION("""COMPUTED_VALUE"""),43356.99861111111)</f>
        <v>43356.99861</v>
      </c>
      <c r="B2989" s="1">
        <f>IFERROR(__xludf.DUMMYFUNCTION("""COMPUTED_VALUE"""),451.86944)</f>
        <v>451.86944</v>
      </c>
    </row>
    <row r="2990">
      <c r="A2990" s="3">
        <f>IFERROR(__xludf.DUMMYFUNCTION("""COMPUTED_VALUE"""),43357.99861111111)</f>
        <v>43357.99861</v>
      </c>
      <c r="B2990" s="1">
        <f>IFERROR(__xludf.DUMMYFUNCTION("""COMPUTED_VALUE"""),452.821794)</f>
        <v>452.821794</v>
      </c>
    </row>
    <row r="2991">
      <c r="A2991" s="3">
        <f>IFERROR(__xludf.DUMMYFUNCTION("""COMPUTED_VALUE"""),43358.99861111111)</f>
        <v>43358.99861</v>
      </c>
      <c r="B2991" s="1">
        <f>IFERROR(__xludf.DUMMYFUNCTION("""COMPUTED_VALUE"""),453.0227965)</f>
        <v>453.0227965</v>
      </c>
    </row>
    <row r="2992">
      <c r="A2992" s="3">
        <f>IFERROR(__xludf.DUMMYFUNCTION("""COMPUTED_VALUE"""),43359.99861111111)</f>
        <v>43359.99861</v>
      </c>
      <c r="B2992" s="1">
        <f>IFERROR(__xludf.DUMMYFUNCTION("""COMPUTED_VALUE"""),452.398271)</f>
        <v>452.398271</v>
      </c>
    </row>
    <row r="2993">
      <c r="A2993" s="3">
        <f>IFERROR(__xludf.DUMMYFUNCTION("""COMPUTED_VALUE"""),43360.99861111111)</f>
        <v>43360.99861</v>
      </c>
      <c r="B2993" s="1">
        <f>IFERROR(__xludf.DUMMYFUNCTION("""COMPUTED_VALUE"""),456.2168884)</f>
        <v>456.2168884</v>
      </c>
    </row>
    <row r="2994">
      <c r="A2994" s="3">
        <f>IFERROR(__xludf.DUMMYFUNCTION("""COMPUTED_VALUE"""),43361.99861111111)</f>
        <v>43361.99861</v>
      </c>
      <c r="B2994" s="1">
        <f>IFERROR(__xludf.DUMMYFUNCTION("""COMPUTED_VALUE"""),456.610171)</f>
        <v>456.610171</v>
      </c>
    </row>
    <row r="2995">
      <c r="A2995" s="3">
        <f>IFERROR(__xludf.DUMMYFUNCTION("""COMPUTED_VALUE"""),43362.99861111111)</f>
        <v>43362.99861</v>
      </c>
      <c r="B2995" s="1">
        <f>IFERROR(__xludf.DUMMYFUNCTION("""COMPUTED_VALUE"""),459.03312)</f>
        <v>459.03312</v>
      </c>
    </row>
    <row r="2996">
      <c r="A2996" s="3">
        <f>IFERROR(__xludf.DUMMYFUNCTION("""COMPUTED_VALUE"""),43363.99861111111)</f>
        <v>43363.99861</v>
      </c>
      <c r="B2996" s="1">
        <f>IFERROR(__xludf.DUMMYFUNCTION("""COMPUTED_VALUE"""),458.071488)</f>
        <v>458.071488</v>
      </c>
    </row>
    <row r="2997">
      <c r="A2997" s="3">
        <f>IFERROR(__xludf.DUMMYFUNCTION("""COMPUTED_VALUE"""),43364.99861111111)</f>
        <v>43364.99861</v>
      </c>
      <c r="B2997" s="1">
        <f>IFERROR(__xludf.DUMMYFUNCTION("""COMPUTED_VALUE"""),458.48472)</f>
        <v>458.48472</v>
      </c>
    </row>
    <row r="2998">
      <c r="A2998" s="3">
        <f>IFERROR(__xludf.DUMMYFUNCTION("""COMPUTED_VALUE"""),43365.99861111111)</f>
        <v>43365.99861</v>
      </c>
      <c r="B2998" s="1">
        <f>IFERROR(__xludf.DUMMYFUNCTION("""COMPUTED_VALUE"""),457.157568)</f>
        <v>457.157568</v>
      </c>
    </row>
    <row r="2999">
      <c r="A2999" s="3">
        <f>IFERROR(__xludf.DUMMYFUNCTION("""COMPUTED_VALUE"""),43366.99861111111)</f>
        <v>43366.99861</v>
      </c>
      <c r="B2999" s="1">
        <f>IFERROR(__xludf.DUMMYFUNCTION("""COMPUTED_VALUE"""),456.87614)</f>
        <v>456.87614</v>
      </c>
    </row>
    <row r="3000">
      <c r="A3000" s="3">
        <f>IFERROR(__xludf.DUMMYFUNCTION("""COMPUTED_VALUE"""),43367.99861111111)</f>
        <v>43367.99861</v>
      </c>
      <c r="B3000" s="1">
        <f>IFERROR(__xludf.DUMMYFUNCTION("""COMPUTED_VALUE"""),458.060603)</f>
        <v>458.060603</v>
      </c>
    </row>
    <row r="3001">
      <c r="A3001" s="3">
        <f>IFERROR(__xludf.DUMMYFUNCTION("""COMPUTED_VALUE"""),43368.99861111111)</f>
        <v>43368.99861</v>
      </c>
      <c r="B3001" s="1">
        <f>IFERROR(__xludf.DUMMYFUNCTION("""COMPUTED_VALUE"""),463.4282965)</f>
        <v>463.4282965</v>
      </c>
    </row>
    <row r="3002">
      <c r="A3002" s="3">
        <f>IFERROR(__xludf.DUMMYFUNCTION("""COMPUTED_VALUE"""),43369.99861111111)</f>
        <v>43369.99861</v>
      </c>
      <c r="B3002" s="1">
        <f>IFERROR(__xludf.DUMMYFUNCTION("""COMPUTED_VALUE"""),461.92761)</f>
        <v>461.92761</v>
      </c>
    </row>
    <row r="3003">
      <c r="A3003" s="3">
        <f>IFERROR(__xludf.DUMMYFUNCTION("""COMPUTED_VALUE"""),43370.99861111111)</f>
        <v>43370.99861</v>
      </c>
      <c r="B3003" s="1">
        <f>IFERROR(__xludf.DUMMYFUNCTION("""COMPUTED_VALUE"""),459.7824972)</f>
        <v>459.7824972</v>
      </c>
    </row>
    <row r="3004">
      <c r="A3004" s="3">
        <f>IFERROR(__xludf.DUMMYFUNCTION("""COMPUTED_VALUE"""),43371.99861111111)</f>
        <v>43371.99861</v>
      </c>
      <c r="B3004" s="1">
        <f>IFERROR(__xludf.DUMMYFUNCTION("""COMPUTED_VALUE"""),460.62215)</f>
        <v>460.62215</v>
      </c>
    </row>
    <row r="3005">
      <c r="A3005" s="3">
        <f>IFERROR(__xludf.DUMMYFUNCTION("""COMPUTED_VALUE"""),43372.99861111111)</f>
        <v>43372.99861</v>
      </c>
      <c r="B3005" s="1">
        <f>IFERROR(__xludf.DUMMYFUNCTION("""COMPUTED_VALUE"""),461.0555493)</f>
        <v>461.0555493</v>
      </c>
    </row>
    <row r="3006">
      <c r="A3006" s="3">
        <f>IFERROR(__xludf.DUMMYFUNCTION("""COMPUTED_VALUE"""),43373.99861111111)</f>
        <v>43373.99861</v>
      </c>
      <c r="B3006" s="1">
        <f>IFERROR(__xludf.DUMMYFUNCTION("""COMPUTED_VALUE"""),460.933762)</f>
        <v>460.933762</v>
      </c>
    </row>
    <row r="3007">
      <c r="A3007" s="3">
        <f>IFERROR(__xludf.DUMMYFUNCTION("""COMPUTED_VALUE"""),43374.99861111111)</f>
        <v>43374.99861</v>
      </c>
      <c r="B3007" s="1">
        <f>IFERROR(__xludf.DUMMYFUNCTION("""COMPUTED_VALUE"""),466.1856477)</f>
        <v>466.1856477</v>
      </c>
    </row>
    <row r="3008">
      <c r="A3008" s="3">
        <f>IFERROR(__xludf.DUMMYFUNCTION("""COMPUTED_VALUE"""),43375.99861111111)</f>
        <v>43375.99861</v>
      </c>
      <c r="B3008" s="1">
        <f>IFERROR(__xludf.DUMMYFUNCTION("""COMPUTED_VALUE"""),464.809542)</f>
        <v>464.809542</v>
      </c>
    </row>
    <row r="3009">
      <c r="A3009" s="3">
        <f>IFERROR(__xludf.DUMMYFUNCTION("""COMPUTED_VALUE"""),43376.99861111111)</f>
        <v>43376.99861</v>
      </c>
      <c r="B3009" s="1">
        <f>IFERROR(__xludf.DUMMYFUNCTION("""COMPUTED_VALUE"""),465.2124768)</f>
        <v>465.2124768</v>
      </c>
    </row>
    <row r="3010">
      <c r="A3010" s="3">
        <f>IFERROR(__xludf.DUMMYFUNCTION("""COMPUTED_VALUE"""),43377.99861111111)</f>
        <v>43377.99861</v>
      </c>
      <c r="B3010" s="1">
        <f>IFERROR(__xludf.DUMMYFUNCTION("""COMPUTED_VALUE"""),470.4953526)</f>
        <v>470.4953526</v>
      </c>
    </row>
    <row r="3011">
      <c r="A3011" s="3">
        <f>IFERROR(__xludf.DUMMYFUNCTION("""COMPUTED_VALUE"""),43378.99861111111)</f>
        <v>43378.99861</v>
      </c>
      <c r="B3011" s="1">
        <f>IFERROR(__xludf.DUMMYFUNCTION("""COMPUTED_VALUE"""),460.385955)</f>
        <v>460.385955</v>
      </c>
    </row>
    <row r="3012">
      <c r="A3012" s="3">
        <f>IFERROR(__xludf.DUMMYFUNCTION("""COMPUTED_VALUE"""),43379.99861111111)</f>
        <v>43379.99861</v>
      </c>
      <c r="B3012" s="1">
        <f>IFERROR(__xludf.DUMMYFUNCTION("""COMPUTED_VALUE"""),463.1304434)</f>
        <v>463.1304434</v>
      </c>
    </row>
    <row r="3013">
      <c r="A3013" s="3">
        <f>IFERROR(__xludf.DUMMYFUNCTION("""COMPUTED_VALUE"""),43380.99861111111)</f>
        <v>43380.99861</v>
      </c>
      <c r="B3013" s="1">
        <f>IFERROR(__xludf.DUMMYFUNCTION("""COMPUTED_VALUE"""),461.608179)</f>
        <v>461.608179</v>
      </c>
    </row>
    <row r="3014">
      <c r="A3014" s="3">
        <f>IFERROR(__xludf.DUMMYFUNCTION("""COMPUTED_VALUE"""),43381.99861111111)</f>
        <v>43381.99861</v>
      </c>
      <c r="B3014" s="1">
        <f>IFERROR(__xludf.DUMMYFUNCTION("""COMPUTED_VALUE"""),467.9444)</f>
        <v>467.9444</v>
      </c>
    </row>
    <row r="3015">
      <c r="A3015" s="3">
        <f>IFERROR(__xludf.DUMMYFUNCTION("""COMPUTED_VALUE"""),43382.99861111111)</f>
        <v>43382.99861</v>
      </c>
      <c r="B3015" s="1">
        <f>IFERROR(__xludf.DUMMYFUNCTION("""COMPUTED_VALUE"""),462.703085)</f>
        <v>462.703085</v>
      </c>
    </row>
    <row r="3016">
      <c r="A3016" s="3">
        <f>IFERROR(__xludf.DUMMYFUNCTION("""COMPUTED_VALUE"""),43383.99861111111)</f>
        <v>43383.99861</v>
      </c>
      <c r="B3016" s="1">
        <f>IFERROR(__xludf.DUMMYFUNCTION("""COMPUTED_VALUE"""),460.621152)</f>
        <v>460.621152</v>
      </c>
    </row>
    <row r="3017">
      <c r="A3017" s="3">
        <f>IFERROR(__xludf.DUMMYFUNCTION("""COMPUTED_VALUE"""),43384.99861111111)</f>
        <v>43384.99861</v>
      </c>
      <c r="B3017" s="1">
        <f>IFERROR(__xludf.DUMMYFUNCTION("""COMPUTED_VALUE"""),467.7883392)</f>
        <v>467.7883392</v>
      </c>
    </row>
    <row r="3018">
      <c r="A3018" s="3">
        <f>IFERROR(__xludf.DUMMYFUNCTION("""COMPUTED_VALUE"""),43385.99861111111)</f>
        <v>43385.99861</v>
      </c>
      <c r="B3018" s="1">
        <f>IFERROR(__xludf.DUMMYFUNCTION("""COMPUTED_VALUE"""),463.9622095)</f>
        <v>463.9622095</v>
      </c>
    </row>
    <row r="3019">
      <c r="A3019" s="3">
        <f>IFERROR(__xludf.DUMMYFUNCTION("""COMPUTED_VALUE"""),43386.99861111111)</f>
        <v>43386.99861</v>
      </c>
      <c r="B3019" s="1">
        <f>IFERROR(__xludf.DUMMYFUNCTION("""COMPUTED_VALUE"""),464.2366113)</f>
        <v>464.2366113</v>
      </c>
    </row>
    <row r="3020">
      <c r="A3020" s="3">
        <f>IFERROR(__xludf.DUMMYFUNCTION("""COMPUTED_VALUE"""),43387.99861111111)</f>
        <v>43387.99861</v>
      </c>
      <c r="B3020" s="1">
        <f>IFERROR(__xludf.DUMMYFUNCTION("""COMPUTED_VALUE"""),464.010138)</f>
        <v>464.010138</v>
      </c>
    </row>
    <row r="3021">
      <c r="A3021" s="3">
        <f>IFERROR(__xludf.DUMMYFUNCTION("""COMPUTED_VALUE"""),43388.99861111111)</f>
        <v>43388.99861</v>
      </c>
      <c r="B3021" s="1">
        <f>IFERROR(__xludf.DUMMYFUNCTION("""COMPUTED_VALUE"""),465.0670242)</f>
        <v>465.0670242</v>
      </c>
    </row>
    <row r="3022">
      <c r="A3022" s="3">
        <f>IFERROR(__xludf.DUMMYFUNCTION("""COMPUTED_VALUE"""),43389.99861111111)</f>
        <v>43389.99861</v>
      </c>
      <c r="B3022" s="1">
        <f>IFERROR(__xludf.DUMMYFUNCTION("""COMPUTED_VALUE"""),467.048013)</f>
        <v>467.048013</v>
      </c>
    </row>
    <row r="3023">
      <c r="A3023" s="3">
        <f>IFERROR(__xludf.DUMMYFUNCTION("""COMPUTED_VALUE"""),43390.99861111111)</f>
        <v>43390.99861</v>
      </c>
      <c r="B3023" s="1">
        <f>IFERROR(__xludf.DUMMYFUNCTION("""COMPUTED_VALUE"""),468.8124459)</f>
        <v>468.8124459</v>
      </c>
    </row>
    <row r="3024">
      <c r="A3024" s="3">
        <f>IFERROR(__xludf.DUMMYFUNCTION("""COMPUTED_VALUE"""),43391.99861111111)</f>
        <v>43391.99861</v>
      </c>
      <c r="B3024" s="1">
        <f>IFERROR(__xludf.DUMMYFUNCTION("""COMPUTED_VALUE"""),469.389327)</f>
        <v>469.389327</v>
      </c>
    </row>
    <row r="3025">
      <c r="A3025" s="3">
        <f>IFERROR(__xludf.DUMMYFUNCTION("""COMPUTED_VALUE"""),43392.99861111111)</f>
        <v>43392.99861</v>
      </c>
      <c r="B3025" s="1">
        <f>IFERROR(__xludf.DUMMYFUNCTION("""COMPUTED_VALUE"""),465.704364)</f>
        <v>465.704364</v>
      </c>
    </row>
    <row r="3026">
      <c r="A3026" s="3">
        <f>IFERROR(__xludf.DUMMYFUNCTION("""COMPUTED_VALUE"""),43393.99861111111)</f>
        <v>43393.99861</v>
      </c>
      <c r="B3026" s="1">
        <f>IFERROR(__xludf.DUMMYFUNCTION("""COMPUTED_VALUE"""),465.2881262)</f>
        <v>465.2881262</v>
      </c>
    </row>
    <row r="3027">
      <c r="A3027" s="3">
        <f>IFERROR(__xludf.DUMMYFUNCTION("""COMPUTED_VALUE"""),43394.99861111111)</f>
        <v>43394.99861</v>
      </c>
      <c r="B3027" s="1">
        <f>IFERROR(__xludf.DUMMYFUNCTION("""COMPUTED_VALUE"""),465.677175)</f>
        <v>465.677175</v>
      </c>
    </row>
    <row r="3028">
      <c r="A3028" s="3">
        <f>IFERROR(__xludf.DUMMYFUNCTION("""COMPUTED_VALUE"""),43395.99861111111)</f>
        <v>43395.99861</v>
      </c>
      <c r="B3028" s="1">
        <f>IFERROR(__xludf.DUMMYFUNCTION("""COMPUTED_VALUE"""),464.8253797)</f>
        <v>464.8253797</v>
      </c>
    </row>
    <row r="3029">
      <c r="A3029" s="3">
        <f>IFERROR(__xludf.DUMMYFUNCTION("""COMPUTED_VALUE"""),43396.99861111111)</f>
        <v>43396.99861</v>
      </c>
      <c r="B3029" s="1">
        <f>IFERROR(__xludf.DUMMYFUNCTION("""COMPUTED_VALUE"""),462.762657)</f>
        <v>462.762657</v>
      </c>
    </row>
    <row r="3030">
      <c r="A3030" s="3">
        <f>IFERROR(__xludf.DUMMYFUNCTION("""COMPUTED_VALUE"""),43397.99861111111)</f>
        <v>43397.99861</v>
      </c>
      <c r="B3030" s="1">
        <f>IFERROR(__xludf.DUMMYFUNCTION("""COMPUTED_VALUE"""),463.1392045)</f>
        <v>463.1392045</v>
      </c>
    </row>
    <row r="3031">
      <c r="A3031" s="3">
        <f>IFERROR(__xludf.DUMMYFUNCTION("""COMPUTED_VALUE"""),43398.99861111111)</f>
        <v>43398.99861</v>
      </c>
      <c r="B3031" s="1">
        <f>IFERROR(__xludf.DUMMYFUNCTION("""COMPUTED_VALUE"""),463.3489437)</f>
        <v>463.3489437</v>
      </c>
    </row>
    <row r="3032">
      <c r="A3032" s="3">
        <f>IFERROR(__xludf.DUMMYFUNCTION("""COMPUTED_VALUE"""),43399.99861111111)</f>
        <v>43399.99861</v>
      </c>
      <c r="B3032" s="1">
        <f>IFERROR(__xludf.DUMMYFUNCTION("""COMPUTED_VALUE"""),459.9561774)</f>
        <v>459.9561774</v>
      </c>
    </row>
    <row r="3033">
      <c r="A3033" s="3">
        <f>IFERROR(__xludf.DUMMYFUNCTION("""COMPUTED_VALUE"""),43400.99861111111)</f>
        <v>43400.99861</v>
      </c>
      <c r="B3033" s="1">
        <f>IFERROR(__xludf.DUMMYFUNCTION("""COMPUTED_VALUE"""),460.54359)</f>
        <v>460.54359</v>
      </c>
    </row>
    <row r="3034">
      <c r="A3034" s="3">
        <f>IFERROR(__xludf.DUMMYFUNCTION("""COMPUTED_VALUE"""),43401.99861111111)</f>
        <v>43401.99861</v>
      </c>
      <c r="B3034" s="1">
        <f>IFERROR(__xludf.DUMMYFUNCTION("""COMPUTED_VALUE"""),459.44847)</f>
        <v>459.44847</v>
      </c>
    </row>
    <row r="3035">
      <c r="A3035" s="3">
        <f>IFERROR(__xludf.DUMMYFUNCTION("""COMPUTED_VALUE"""),43402.99861111111)</f>
        <v>43402.99861</v>
      </c>
      <c r="B3035" s="1">
        <f>IFERROR(__xludf.DUMMYFUNCTION("""COMPUTED_VALUE"""),459.5612098)</f>
        <v>459.5612098</v>
      </c>
    </row>
    <row r="3036">
      <c r="A3036" s="3">
        <f>IFERROR(__xludf.DUMMYFUNCTION("""COMPUTED_VALUE"""),43403.99861111111)</f>
        <v>43403.99861</v>
      </c>
      <c r="B3036" s="1">
        <f>IFERROR(__xludf.DUMMYFUNCTION("""COMPUTED_VALUE"""),458.5137351)</f>
        <v>458.5137351</v>
      </c>
    </row>
    <row r="3037">
      <c r="A3037" s="3">
        <f>IFERROR(__xludf.DUMMYFUNCTION("""COMPUTED_VALUE"""),43404.99861111111)</f>
        <v>43404.99861</v>
      </c>
      <c r="B3037" s="1">
        <f>IFERROR(__xludf.DUMMYFUNCTION("""COMPUTED_VALUE"""),458.812828)</f>
        <v>458.812828</v>
      </c>
    </row>
    <row r="3038">
      <c r="A3038" s="3">
        <f>IFERROR(__xludf.DUMMYFUNCTION("""COMPUTED_VALUE"""),43405.99861111111)</f>
        <v>43405.99861</v>
      </c>
      <c r="B3038" s="1">
        <f>IFERROR(__xludf.DUMMYFUNCTION("""COMPUTED_VALUE"""),457.7569686)</f>
        <v>457.7569686</v>
      </c>
    </row>
    <row r="3039">
      <c r="A3039" s="3">
        <f>IFERROR(__xludf.DUMMYFUNCTION("""COMPUTED_VALUE"""),43406.99861111111)</f>
        <v>43406.99861</v>
      </c>
      <c r="B3039" s="1">
        <f>IFERROR(__xludf.DUMMYFUNCTION("""COMPUTED_VALUE"""),454.612482)</f>
        <v>454.612482</v>
      </c>
    </row>
    <row r="3040">
      <c r="A3040" s="3">
        <f>IFERROR(__xludf.DUMMYFUNCTION("""COMPUTED_VALUE"""),43407.99861111111)</f>
        <v>43407.99861</v>
      </c>
      <c r="B3040" s="1">
        <f>IFERROR(__xludf.DUMMYFUNCTION("""COMPUTED_VALUE"""),455.1125374)</f>
        <v>455.1125374</v>
      </c>
    </row>
    <row r="3041">
      <c r="A3041" s="3">
        <f>IFERROR(__xludf.DUMMYFUNCTION("""COMPUTED_VALUE"""),43408.99861111111)</f>
        <v>43408.99861</v>
      </c>
      <c r="B3041" s="1">
        <f>IFERROR(__xludf.DUMMYFUNCTION("""COMPUTED_VALUE"""),454.702158)</f>
        <v>454.702158</v>
      </c>
    </row>
    <row r="3042">
      <c r="A3042" s="3">
        <f>IFERROR(__xludf.DUMMYFUNCTION("""COMPUTED_VALUE"""),43409.99861111111)</f>
        <v>43409.99861</v>
      </c>
      <c r="B3042" s="1">
        <f>IFERROR(__xludf.DUMMYFUNCTION("""COMPUTED_VALUE"""),452.721344)</f>
        <v>452.721344</v>
      </c>
    </row>
    <row r="3043">
      <c r="A3043" s="3">
        <f>IFERROR(__xludf.DUMMYFUNCTION("""COMPUTED_VALUE"""),43410.99861111111)</f>
        <v>43410.99861</v>
      </c>
      <c r="B3043" s="1">
        <f>IFERROR(__xludf.DUMMYFUNCTION("""COMPUTED_VALUE"""),450.41676)</f>
        <v>450.41676</v>
      </c>
    </row>
    <row r="3044">
      <c r="A3044" s="3">
        <f>IFERROR(__xludf.DUMMYFUNCTION("""COMPUTED_VALUE"""),43411.99861111111)</f>
        <v>43411.99861</v>
      </c>
      <c r="B3044" s="1">
        <f>IFERROR(__xludf.DUMMYFUNCTION("""COMPUTED_VALUE"""),444.4343127)</f>
        <v>444.4343127</v>
      </c>
    </row>
    <row r="3045">
      <c r="A3045" s="3">
        <f>IFERROR(__xludf.DUMMYFUNCTION("""COMPUTED_VALUE"""),43412.99861111111)</f>
        <v>43412.99861</v>
      </c>
      <c r="B3045" s="1">
        <f>IFERROR(__xludf.DUMMYFUNCTION("""COMPUTED_VALUE"""),446.14848)</f>
        <v>446.14848</v>
      </c>
    </row>
    <row r="3046">
      <c r="A3046" s="3">
        <f>IFERROR(__xludf.DUMMYFUNCTION("""COMPUTED_VALUE"""),43413.99861111111)</f>
        <v>43413.99861</v>
      </c>
      <c r="B3046" s="1">
        <f>IFERROR(__xludf.DUMMYFUNCTION("""COMPUTED_VALUE"""),443.613194)</f>
        <v>443.613194</v>
      </c>
    </row>
    <row r="3047">
      <c r="A3047" s="3">
        <f>IFERROR(__xludf.DUMMYFUNCTION("""COMPUTED_VALUE"""),43414.99861111111)</f>
        <v>43414.99861</v>
      </c>
      <c r="B3047" s="1">
        <f>IFERROR(__xludf.DUMMYFUNCTION("""COMPUTED_VALUE"""),443.613194)</f>
        <v>443.613194</v>
      </c>
    </row>
    <row r="3048">
      <c r="A3048" s="3">
        <f>IFERROR(__xludf.DUMMYFUNCTION("""COMPUTED_VALUE"""),43415.99861111111)</f>
        <v>43415.99861</v>
      </c>
      <c r="B3048" s="1">
        <f>IFERROR(__xludf.DUMMYFUNCTION("""COMPUTED_VALUE"""),443.848042)</f>
        <v>443.848042</v>
      </c>
    </row>
    <row r="3049">
      <c r="A3049" s="3">
        <f>IFERROR(__xludf.DUMMYFUNCTION("""COMPUTED_VALUE"""),43416.99861111111)</f>
        <v>43416.99861</v>
      </c>
      <c r="B3049" s="1">
        <f>IFERROR(__xludf.DUMMYFUNCTION("""COMPUTED_VALUE"""),446.298312)</f>
        <v>446.298312</v>
      </c>
    </row>
    <row r="3050">
      <c r="A3050" s="3">
        <f>IFERROR(__xludf.DUMMYFUNCTION("""COMPUTED_VALUE"""),43417.99861111111)</f>
        <v>43417.99861</v>
      </c>
      <c r="B3050" s="1">
        <f>IFERROR(__xludf.DUMMYFUNCTION("""COMPUTED_VALUE"""),449.2585081)</f>
        <v>449.2585081</v>
      </c>
    </row>
    <row r="3051">
      <c r="A3051" s="3">
        <f>IFERROR(__xludf.DUMMYFUNCTION("""COMPUTED_VALUE"""),43418.99861111111)</f>
        <v>43418.99861</v>
      </c>
      <c r="B3051" s="1">
        <f>IFERROR(__xludf.DUMMYFUNCTION("""COMPUTED_VALUE"""),449.435522)</f>
        <v>449.435522</v>
      </c>
    </row>
    <row r="3052">
      <c r="A3052" s="3">
        <f>IFERROR(__xludf.DUMMYFUNCTION("""COMPUTED_VALUE"""),43419.99861111111)</f>
        <v>43419.99861</v>
      </c>
      <c r="B3052" s="1">
        <f>IFERROR(__xludf.DUMMYFUNCTION("""COMPUTED_VALUE"""),441.9482078)</f>
        <v>441.9482078</v>
      </c>
    </row>
    <row r="3053">
      <c r="A3053" s="3">
        <f>IFERROR(__xludf.DUMMYFUNCTION("""COMPUTED_VALUE"""),43420.99861111111)</f>
        <v>43420.99861</v>
      </c>
      <c r="B3053" s="1">
        <f>IFERROR(__xludf.DUMMYFUNCTION("""COMPUTED_VALUE"""),444.240285)</f>
        <v>444.240285</v>
      </c>
    </row>
    <row r="3054">
      <c r="A3054" s="3">
        <f>IFERROR(__xludf.DUMMYFUNCTION("""COMPUTED_VALUE"""),43421.99861111111)</f>
        <v>43421.99861</v>
      </c>
      <c r="B3054" s="1">
        <f>IFERROR(__xludf.DUMMYFUNCTION("""COMPUTED_VALUE"""),444.240285)</f>
        <v>444.240285</v>
      </c>
    </row>
    <row r="3055">
      <c r="A3055" s="3">
        <f>IFERROR(__xludf.DUMMYFUNCTION("""COMPUTED_VALUE"""),43422.99861111111)</f>
        <v>43422.99861</v>
      </c>
      <c r="B3055" s="1">
        <f>IFERROR(__xludf.DUMMYFUNCTION("""COMPUTED_VALUE"""),444.298705)</f>
        <v>444.298705</v>
      </c>
    </row>
    <row r="3056">
      <c r="A3056" s="3">
        <f>IFERROR(__xludf.DUMMYFUNCTION("""COMPUTED_VALUE"""),43423.99861111111)</f>
        <v>43423.99861</v>
      </c>
      <c r="B3056" s="1">
        <f>IFERROR(__xludf.DUMMYFUNCTION("""COMPUTED_VALUE"""),444.9585409)</f>
        <v>444.9585409</v>
      </c>
    </row>
    <row r="3057">
      <c r="A3057" s="3">
        <f>IFERROR(__xludf.DUMMYFUNCTION("""COMPUTED_VALUE"""),43424.99861111111)</f>
        <v>43424.99861</v>
      </c>
      <c r="B3057" s="1">
        <f>IFERROR(__xludf.DUMMYFUNCTION("""COMPUTED_VALUE"""),444.1376541)</f>
        <v>444.1376541</v>
      </c>
    </row>
    <row r="3058">
      <c r="A3058" s="3">
        <f>IFERROR(__xludf.DUMMYFUNCTION("""COMPUTED_VALUE"""),43425.99861111111)</f>
        <v>43425.99861</v>
      </c>
      <c r="B3058" s="1">
        <f>IFERROR(__xludf.DUMMYFUNCTION("""COMPUTED_VALUE"""),444.48866)</f>
        <v>444.48866</v>
      </c>
    </row>
    <row r="3059">
      <c r="A3059" s="3">
        <f>IFERROR(__xludf.DUMMYFUNCTION("""COMPUTED_VALUE"""),43426.99861111111)</f>
        <v>43426.99861</v>
      </c>
      <c r="B3059" s="1">
        <f>IFERROR(__xludf.DUMMYFUNCTION("""COMPUTED_VALUE"""),442.7158)</f>
        <v>442.7158</v>
      </c>
    </row>
    <row r="3060">
      <c r="A3060" s="3">
        <f>IFERROR(__xludf.DUMMYFUNCTION("""COMPUTED_VALUE"""),43427.99861111111)</f>
        <v>43427.99861</v>
      </c>
      <c r="B3060" s="1">
        <f>IFERROR(__xludf.DUMMYFUNCTION("""COMPUTED_VALUE"""),439.216326)</f>
        <v>439.216326</v>
      </c>
    </row>
    <row r="3061">
      <c r="A3061" s="3">
        <f>IFERROR(__xludf.DUMMYFUNCTION("""COMPUTED_VALUE"""),43428.99861111111)</f>
        <v>43428.99861</v>
      </c>
      <c r="B3061" s="1">
        <f>IFERROR(__xludf.DUMMYFUNCTION("""COMPUTED_VALUE"""),430.6182218)</f>
        <v>430.6182218</v>
      </c>
    </row>
    <row r="3062">
      <c r="A3062" s="3">
        <f>IFERROR(__xludf.DUMMYFUNCTION("""COMPUTED_VALUE"""),43429.99861111111)</f>
        <v>43429.99861</v>
      </c>
      <c r="B3062" s="1">
        <f>IFERROR(__xludf.DUMMYFUNCTION("""COMPUTED_VALUE"""),439.405255)</f>
        <v>439.405255</v>
      </c>
    </row>
    <row r="3063">
      <c r="A3063" s="3">
        <f>IFERROR(__xludf.DUMMYFUNCTION("""COMPUTED_VALUE"""),43430.99861111111)</f>
        <v>43430.99861</v>
      </c>
      <c r="B3063" s="1">
        <f>IFERROR(__xludf.DUMMYFUNCTION("""COMPUTED_VALUE"""),439.6711554)</f>
        <v>439.6711554</v>
      </c>
    </row>
    <row r="3064">
      <c r="A3064" s="3">
        <f>IFERROR(__xludf.DUMMYFUNCTION("""COMPUTED_VALUE"""),43431.99861111111)</f>
        <v>43431.99861</v>
      </c>
      <c r="B3064" s="1">
        <f>IFERROR(__xludf.DUMMYFUNCTION("""COMPUTED_VALUE"""),440.8068465)</f>
        <v>440.8068465</v>
      </c>
    </row>
    <row r="3065">
      <c r="A3065" s="3">
        <f>IFERROR(__xludf.DUMMYFUNCTION("""COMPUTED_VALUE"""),43432.99861111111)</f>
        <v>43432.99861</v>
      </c>
      <c r="B3065" s="1">
        <f>IFERROR(__xludf.DUMMYFUNCTION("""COMPUTED_VALUE"""),438.999528)</f>
        <v>438.999528</v>
      </c>
    </row>
    <row r="3066">
      <c r="A3066" s="3">
        <f>IFERROR(__xludf.DUMMYFUNCTION("""COMPUTED_VALUE"""),43433.99861111111)</f>
        <v>43433.99861</v>
      </c>
      <c r="B3066" s="1">
        <f>IFERROR(__xludf.DUMMYFUNCTION("""COMPUTED_VALUE"""),435.948652)</f>
        <v>435.948652</v>
      </c>
    </row>
    <row r="3067">
      <c r="A3067" s="3">
        <f>IFERROR(__xludf.DUMMYFUNCTION("""COMPUTED_VALUE"""),43434.99861111111)</f>
        <v>43434.99861</v>
      </c>
      <c r="B3067" s="1">
        <f>IFERROR(__xludf.DUMMYFUNCTION("""COMPUTED_VALUE"""),434.0113935)</f>
        <v>434.0113935</v>
      </c>
    </row>
    <row r="3068">
      <c r="A3068" s="3">
        <f>IFERROR(__xludf.DUMMYFUNCTION("""COMPUTED_VALUE"""),43435.99861111111)</f>
        <v>43435.99861</v>
      </c>
      <c r="B3068" s="1">
        <f>IFERROR(__xludf.DUMMYFUNCTION("""COMPUTED_VALUE"""),436.1910729)</f>
        <v>436.1910729</v>
      </c>
    </row>
    <row r="3069">
      <c r="A3069" s="3">
        <f>IFERROR(__xludf.DUMMYFUNCTION("""COMPUTED_VALUE"""),43436.99861111111)</f>
        <v>43436.99861</v>
      </c>
      <c r="B3069" s="1">
        <f>IFERROR(__xludf.DUMMYFUNCTION("""COMPUTED_VALUE"""),435.184536)</f>
        <v>435.184536</v>
      </c>
    </row>
    <row r="3070">
      <c r="A3070" s="3">
        <f>IFERROR(__xludf.DUMMYFUNCTION("""COMPUTED_VALUE"""),43437.99861111111)</f>
        <v>43437.99861</v>
      </c>
      <c r="B3070" s="1">
        <f>IFERROR(__xludf.DUMMYFUNCTION("""COMPUTED_VALUE"""),434.685)</f>
        <v>434.685</v>
      </c>
    </row>
    <row r="3071">
      <c r="A3071" s="3">
        <f>IFERROR(__xludf.DUMMYFUNCTION("""COMPUTED_VALUE"""),43438.99861111111)</f>
        <v>43438.99861</v>
      </c>
      <c r="B3071" s="1">
        <f>IFERROR(__xludf.DUMMYFUNCTION("""COMPUTED_VALUE"""),437.945)</f>
        <v>437.945</v>
      </c>
    </row>
    <row r="3072">
      <c r="A3072" s="3">
        <f>IFERROR(__xludf.DUMMYFUNCTION("""COMPUTED_VALUE"""),43439.99861111111)</f>
        <v>43439.99861</v>
      </c>
      <c r="B3072" s="1">
        <f>IFERROR(__xludf.DUMMYFUNCTION("""COMPUTED_VALUE"""),434.855)</f>
        <v>434.855</v>
      </c>
    </row>
    <row r="3073">
      <c r="A3073" s="3">
        <f>IFERROR(__xludf.DUMMYFUNCTION("""COMPUTED_VALUE"""),43440.99861111111)</f>
        <v>43440.99861</v>
      </c>
      <c r="B3073" s="1">
        <f>IFERROR(__xludf.DUMMYFUNCTION("""COMPUTED_VALUE"""),442.545)</f>
        <v>442.545</v>
      </c>
    </row>
    <row r="3074">
      <c r="A3074" s="3">
        <f>IFERROR(__xludf.DUMMYFUNCTION("""COMPUTED_VALUE"""),43441.99861111111)</f>
        <v>43441.99861</v>
      </c>
      <c r="B3074" s="1">
        <f>IFERROR(__xludf.DUMMYFUNCTION("""COMPUTED_VALUE"""),440.91)</f>
        <v>440.91</v>
      </c>
    </row>
    <row r="3075">
      <c r="A3075" s="3">
        <f>IFERROR(__xludf.DUMMYFUNCTION("""COMPUTED_VALUE"""),43442.99861111111)</f>
        <v>43442.99861</v>
      </c>
      <c r="B3075" s="1">
        <f>IFERROR(__xludf.DUMMYFUNCTION("""COMPUTED_VALUE"""),440.91)</f>
        <v>440.91</v>
      </c>
    </row>
    <row r="3076">
      <c r="A3076" s="3">
        <f>IFERROR(__xludf.DUMMYFUNCTION("""COMPUTED_VALUE"""),43443.99861111111)</f>
        <v>43443.99861</v>
      </c>
      <c r="B3076" s="1">
        <f>IFERROR(__xludf.DUMMYFUNCTION("""COMPUTED_VALUE"""),440.91)</f>
        <v>440.91</v>
      </c>
    </row>
    <row r="3077">
      <c r="A3077" s="3">
        <f>IFERROR(__xludf.DUMMYFUNCTION("""COMPUTED_VALUE"""),43444.99861111111)</f>
        <v>43444.99861</v>
      </c>
      <c r="B3077" s="1">
        <f>IFERROR(__xludf.DUMMYFUNCTION("""COMPUTED_VALUE"""),442.895)</f>
        <v>442.895</v>
      </c>
    </row>
    <row r="3078">
      <c r="A3078" s="3">
        <f>IFERROR(__xludf.DUMMYFUNCTION("""COMPUTED_VALUE"""),43445.99861111111)</f>
        <v>43445.99861</v>
      </c>
      <c r="B3078" s="1">
        <f>IFERROR(__xludf.DUMMYFUNCTION("""COMPUTED_VALUE"""),444.705)</f>
        <v>444.705</v>
      </c>
    </row>
    <row r="3079">
      <c r="A3079" s="3">
        <f>IFERROR(__xludf.DUMMYFUNCTION("""COMPUTED_VALUE"""),43446.99861111111)</f>
        <v>43446.99861</v>
      </c>
      <c r="B3079" s="1">
        <f>IFERROR(__xludf.DUMMYFUNCTION("""COMPUTED_VALUE"""),445.285)</f>
        <v>445.285</v>
      </c>
    </row>
    <row r="3080">
      <c r="A3080" s="3">
        <f>IFERROR(__xludf.DUMMYFUNCTION("""COMPUTED_VALUE"""),43447.99861111111)</f>
        <v>43447.99861</v>
      </c>
      <c r="B3080" s="1">
        <f>IFERROR(__xludf.DUMMYFUNCTION("""COMPUTED_VALUE"""),445.725)</f>
        <v>445.725</v>
      </c>
    </row>
    <row r="3081">
      <c r="A3081" s="3">
        <f>IFERROR(__xludf.DUMMYFUNCTION("""COMPUTED_VALUE"""),43448.99861111111)</f>
        <v>43448.99861</v>
      </c>
      <c r="B3081" s="1">
        <f>IFERROR(__xludf.DUMMYFUNCTION("""COMPUTED_VALUE"""),444.025)</f>
        <v>444.025</v>
      </c>
    </row>
    <row r="3082">
      <c r="A3082" s="3">
        <f>IFERROR(__xludf.DUMMYFUNCTION("""COMPUTED_VALUE"""),43449.99861111111)</f>
        <v>43449.99861</v>
      </c>
      <c r="B3082" s="1">
        <f>IFERROR(__xludf.DUMMYFUNCTION("""COMPUTED_VALUE"""),444.025)</f>
        <v>444.025</v>
      </c>
    </row>
    <row r="3083">
      <c r="A3083" s="3">
        <f>IFERROR(__xludf.DUMMYFUNCTION("""COMPUTED_VALUE"""),43450.99861111111)</f>
        <v>43450.99861</v>
      </c>
      <c r="B3083" s="1">
        <f>IFERROR(__xludf.DUMMYFUNCTION("""COMPUTED_VALUE"""),444.025)</f>
        <v>444.025</v>
      </c>
    </row>
    <row r="3084">
      <c r="A3084" s="3">
        <f>IFERROR(__xludf.DUMMYFUNCTION("""COMPUTED_VALUE"""),43451.99861111111)</f>
        <v>43451.99861</v>
      </c>
      <c r="B3084" s="1">
        <f>IFERROR(__xludf.DUMMYFUNCTION("""COMPUTED_VALUE"""),444.735)</f>
        <v>444.735</v>
      </c>
    </row>
    <row r="3085">
      <c r="A3085" s="3">
        <f>IFERROR(__xludf.DUMMYFUNCTION("""COMPUTED_VALUE"""),43452.99861111111)</f>
        <v>43452.99861</v>
      </c>
      <c r="B3085" s="1">
        <f>IFERROR(__xludf.DUMMYFUNCTION("""COMPUTED_VALUE"""),442.33)</f>
        <v>442.33</v>
      </c>
    </row>
    <row r="3086">
      <c r="A3086" s="3">
        <f>IFERROR(__xludf.DUMMYFUNCTION("""COMPUTED_VALUE"""),43453.99861111111)</f>
        <v>43453.99861</v>
      </c>
      <c r="B3086" s="1">
        <f>IFERROR(__xludf.DUMMYFUNCTION("""COMPUTED_VALUE"""),442.57)</f>
        <v>442.57</v>
      </c>
    </row>
    <row r="3087">
      <c r="A3087" s="3">
        <f>IFERROR(__xludf.DUMMYFUNCTION("""COMPUTED_VALUE"""),43454.99861111111)</f>
        <v>43454.99861</v>
      </c>
      <c r="B3087" s="1">
        <f>IFERROR(__xludf.DUMMYFUNCTION("""COMPUTED_VALUE"""),441.665)</f>
        <v>441.665</v>
      </c>
    </row>
    <row r="3088">
      <c r="A3088" s="3">
        <f>IFERROR(__xludf.DUMMYFUNCTION("""COMPUTED_VALUE"""),43455.99861111111)</f>
        <v>43455.99861</v>
      </c>
      <c r="B3088" s="1">
        <f>IFERROR(__xludf.DUMMYFUNCTION("""COMPUTED_VALUE"""),446.905)</f>
        <v>446.905</v>
      </c>
    </row>
    <row r="3089">
      <c r="A3089" s="3">
        <f>IFERROR(__xludf.DUMMYFUNCTION("""COMPUTED_VALUE"""),43456.99861111111)</f>
        <v>43456.99861</v>
      </c>
      <c r="B3089" s="1">
        <f>IFERROR(__xludf.DUMMYFUNCTION("""COMPUTED_VALUE"""),446.905)</f>
        <v>446.905</v>
      </c>
    </row>
    <row r="3090">
      <c r="A3090" s="3">
        <f>IFERROR(__xludf.DUMMYFUNCTION("""COMPUTED_VALUE"""),43457.99861111111)</f>
        <v>43457.99861</v>
      </c>
      <c r="B3090" s="1">
        <f>IFERROR(__xludf.DUMMYFUNCTION("""COMPUTED_VALUE"""),446.905)</f>
        <v>446.905</v>
      </c>
    </row>
    <row r="3091">
      <c r="A3091" s="3">
        <f>IFERROR(__xludf.DUMMYFUNCTION("""COMPUTED_VALUE"""),43458.99861111111)</f>
        <v>43458.99861</v>
      </c>
      <c r="B3091" s="1">
        <f>IFERROR(__xludf.DUMMYFUNCTION("""COMPUTED_VALUE"""),447.87)</f>
        <v>447.87</v>
      </c>
    </row>
    <row r="3092">
      <c r="A3092" s="3">
        <f>IFERROR(__xludf.DUMMYFUNCTION("""COMPUTED_VALUE"""),43459.99861111111)</f>
        <v>43459.99861</v>
      </c>
      <c r="B3092" s="1">
        <f>IFERROR(__xludf.DUMMYFUNCTION("""COMPUTED_VALUE"""),446.49)</f>
        <v>446.49</v>
      </c>
    </row>
    <row r="3093">
      <c r="A3093" s="3">
        <f>IFERROR(__xludf.DUMMYFUNCTION("""COMPUTED_VALUE"""),43460.99861111111)</f>
        <v>43460.99861</v>
      </c>
      <c r="B3093" s="1">
        <f>IFERROR(__xludf.DUMMYFUNCTION("""COMPUTED_VALUE"""),445.475)</f>
        <v>445.475</v>
      </c>
    </row>
    <row r="3094">
      <c r="A3094" s="3">
        <f>IFERROR(__xludf.DUMMYFUNCTION("""COMPUTED_VALUE"""),43461.99861111111)</f>
        <v>43461.99861</v>
      </c>
      <c r="B3094" s="1">
        <f>IFERROR(__xludf.DUMMYFUNCTION("""COMPUTED_VALUE"""),448.295)</f>
        <v>448.295</v>
      </c>
    </row>
    <row r="3095">
      <c r="A3095" s="3">
        <f>IFERROR(__xludf.DUMMYFUNCTION("""COMPUTED_VALUE"""),43462.99861111111)</f>
        <v>43462.99861</v>
      </c>
      <c r="B3095" s="1">
        <f>IFERROR(__xludf.DUMMYFUNCTION("""COMPUTED_VALUE"""),447.335)</f>
        <v>447.335</v>
      </c>
    </row>
    <row r="3096">
      <c r="A3096" s="3">
        <f>IFERROR(__xludf.DUMMYFUNCTION("""COMPUTED_VALUE"""),43463.99861111111)</f>
        <v>43463.99861</v>
      </c>
      <c r="B3096" s="1">
        <f>IFERROR(__xludf.DUMMYFUNCTION("""COMPUTED_VALUE"""),447.335)</f>
        <v>447.335</v>
      </c>
    </row>
    <row r="3097">
      <c r="A3097" s="3">
        <f>IFERROR(__xludf.DUMMYFUNCTION("""COMPUTED_VALUE"""),43464.99861111111)</f>
        <v>43464.99861</v>
      </c>
      <c r="B3097" s="1">
        <f>IFERROR(__xludf.DUMMYFUNCTION("""COMPUTED_VALUE"""),447.335)</f>
        <v>447.335</v>
      </c>
    </row>
    <row r="3098">
      <c r="A3098" s="3">
        <f>IFERROR(__xludf.DUMMYFUNCTION("""COMPUTED_VALUE"""),43465.99861111111)</f>
        <v>43465.99861</v>
      </c>
      <c r="B3098" s="1">
        <f>IFERROR(__xludf.DUMMYFUNCTION("""COMPUTED_VALUE"""),446.965)</f>
        <v>446.965</v>
      </c>
    </row>
    <row r="3099">
      <c r="A3099" s="3">
        <f>IFERROR(__xludf.DUMMYFUNCTION("""COMPUTED_VALUE"""),43466.99861111111)</f>
        <v>43466.99861</v>
      </c>
      <c r="B3099" s="1">
        <f>IFERROR(__xludf.DUMMYFUNCTION("""COMPUTED_VALUE"""),444.215)</f>
        <v>444.215</v>
      </c>
    </row>
    <row r="3100">
      <c r="A3100" s="3">
        <f>IFERROR(__xludf.DUMMYFUNCTION("""COMPUTED_VALUE"""),43467.99861111111)</f>
        <v>43467.99861</v>
      </c>
      <c r="B3100" s="1">
        <f>IFERROR(__xludf.DUMMYFUNCTION("""COMPUTED_VALUE"""),448.43)</f>
        <v>448.43</v>
      </c>
    </row>
    <row r="3101">
      <c r="A3101" s="3">
        <f>IFERROR(__xludf.DUMMYFUNCTION("""COMPUTED_VALUE"""),43468.99861111111)</f>
        <v>43468.99861</v>
      </c>
      <c r="B3101" s="1">
        <f>IFERROR(__xludf.DUMMYFUNCTION("""COMPUTED_VALUE"""),447.435)</f>
        <v>447.435</v>
      </c>
    </row>
    <row r="3102">
      <c r="A3102" s="3">
        <f>IFERROR(__xludf.DUMMYFUNCTION("""COMPUTED_VALUE"""),43469.99861111111)</f>
        <v>43469.99861</v>
      </c>
      <c r="B3102" s="1">
        <f>IFERROR(__xludf.DUMMYFUNCTION("""COMPUTED_VALUE"""),448.67)</f>
        <v>448.67</v>
      </c>
    </row>
    <row r="3103">
      <c r="A3103" s="3">
        <f>IFERROR(__xludf.DUMMYFUNCTION("""COMPUTED_VALUE"""),43470.99861111111)</f>
        <v>43470.99861</v>
      </c>
      <c r="B3103" s="1">
        <f>IFERROR(__xludf.DUMMYFUNCTION("""COMPUTED_VALUE"""),448.67)</f>
        <v>448.67</v>
      </c>
    </row>
    <row r="3104">
      <c r="A3104" s="3">
        <f>IFERROR(__xludf.DUMMYFUNCTION("""COMPUTED_VALUE"""),43471.99861111111)</f>
        <v>43471.99861</v>
      </c>
      <c r="B3104" s="1">
        <f>IFERROR(__xludf.DUMMYFUNCTION("""COMPUTED_VALUE"""),448.67)</f>
        <v>448.67</v>
      </c>
    </row>
    <row r="3105">
      <c r="A3105" s="3">
        <f>IFERROR(__xludf.DUMMYFUNCTION("""COMPUTED_VALUE"""),43472.99861111111)</f>
        <v>43472.99861</v>
      </c>
      <c r="B3105" s="1">
        <f>IFERROR(__xludf.DUMMYFUNCTION("""COMPUTED_VALUE"""),440.895)</f>
        <v>440.895</v>
      </c>
    </row>
    <row r="3106">
      <c r="A3106" s="3">
        <f>IFERROR(__xludf.DUMMYFUNCTION("""COMPUTED_VALUE"""),43473.99861111111)</f>
        <v>43473.99861</v>
      </c>
      <c r="B3106" s="1">
        <f>IFERROR(__xludf.DUMMYFUNCTION("""COMPUTED_VALUE"""),441.705)</f>
        <v>441.705</v>
      </c>
    </row>
    <row r="3107">
      <c r="A3107" s="3">
        <f>IFERROR(__xludf.DUMMYFUNCTION("""COMPUTED_VALUE"""),43474.99861111111)</f>
        <v>43474.99861</v>
      </c>
      <c r="B3107" s="1">
        <f>IFERROR(__xludf.DUMMYFUNCTION("""COMPUTED_VALUE"""),438.79)</f>
        <v>438.79</v>
      </c>
    </row>
    <row r="3108">
      <c r="A3108" s="3">
        <f>IFERROR(__xludf.DUMMYFUNCTION("""COMPUTED_VALUE"""),43475.99861111111)</f>
        <v>43475.99861</v>
      </c>
      <c r="B3108" s="1">
        <f>IFERROR(__xludf.DUMMYFUNCTION("""COMPUTED_VALUE"""),440.735)</f>
        <v>440.735</v>
      </c>
    </row>
    <row r="3109">
      <c r="A3109" s="3">
        <f>IFERROR(__xludf.DUMMYFUNCTION("""COMPUTED_VALUE"""),43476.99861111111)</f>
        <v>43476.99861</v>
      </c>
      <c r="B3109" s="1">
        <f>IFERROR(__xludf.DUMMYFUNCTION("""COMPUTED_VALUE"""),442.195)</f>
        <v>442.195</v>
      </c>
    </row>
    <row r="3110">
      <c r="A3110" s="3">
        <f>IFERROR(__xludf.DUMMYFUNCTION("""COMPUTED_VALUE"""),43477.99861111111)</f>
        <v>43477.99861</v>
      </c>
      <c r="B3110" s="1">
        <f>IFERROR(__xludf.DUMMYFUNCTION("""COMPUTED_VALUE"""),442.195)</f>
        <v>442.195</v>
      </c>
    </row>
    <row r="3111">
      <c r="A3111" s="3">
        <f>IFERROR(__xludf.DUMMYFUNCTION("""COMPUTED_VALUE"""),43478.99861111111)</f>
        <v>43478.99861</v>
      </c>
      <c r="B3111" s="1">
        <f>IFERROR(__xludf.DUMMYFUNCTION("""COMPUTED_VALUE"""),442.195)</f>
        <v>442.195</v>
      </c>
    </row>
    <row r="3112">
      <c r="A3112" s="3">
        <f>IFERROR(__xludf.DUMMYFUNCTION("""COMPUTED_VALUE"""),43479.99861111111)</f>
        <v>43479.99861</v>
      </c>
      <c r="B3112" s="1">
        <f>IFERROR(__xludf.DUMMYFUNCTION("""COMPUTED_VALUE"""),442.795)</f>
        <v>442.795</v>
      </c>
    </row>
    <row r="3113">
      <c r="A3113" s="3">
        <f>IFERROR(__xludf.DUMMYFUNCTION("""COMPUTED_VALUE"""),43480.99861111111)</f>
        <v>43480.99861</v>
      </c>
      <c r="B3113" s="1">
        <f>IFERROR(__xludf.DUMMYFUNCTION("""COMPUTED_VALUE"""),441.805)</f>
        <v>441.805</v>
      </c>
    </row>
    <row r="3114">
      <c r="A3114" s="3">
        <f>IFERROR(__xludf.DUMMYFUNCTION("""COMPUTED_VALUE"""),43481.99861111111)</f>
        <v>43481.99861</v>
      </c>
      <c r="B3114" s="1">
        <f>IFERROR(__xludf.DUMMYFUNCTION("""COMPUTED_VALUE"""),446.07)</f>
        <v>446.07</v>
      </c>
    </row>
    <row r="3115">
      <c r="A3115" s="3">
        <f>IFERROR(__xludf.DUMMYFUNCTION("""COMPUTED_VALUE"""),43482.99861111111)</f>
        <v>43482.99861</v>
      </c>
      <c r="B3115" s="1">
        <f>IFERROR(__xludf.DUMMYFUNCTION("""COMPUTED_VALUE"""),446.89)</f>
        <v>446.89</v>
      </c>
    </row>
    <row r="3116">
      <c r="A3116" s="3">
        <f>IFERROR(__xludf.DUMMYFUNCTION("""COMPUTED_VALUE"""),43483.99861111111)</f>
        <v>43483.99861</v>
      </c>
      <c r="B3116" s="1">
        <f>IFERROR(__xludf.DUMMYFUNCTION("""COMPUTED_VALUE"""),445.945)</f>
        <v>445.945</v>
      </c>
    </row>
    <row r="3117">
      <c r="A3117" s="3">
        <f>IFERROR(__xludf.DUMMYFUNCTION("""COMPUTED_VALUE"""),43484.99861111111)</f>
        <v>43484.99861</v>
      </c>
      <c r="B3117" s="1">
        <f>IFERROR(__xludf.DUMMYFUNCTION("""COMPUTED_VALUE"""),445.945)</f>
        <v>445.945</v>
      </c>
    </row>
    <row r="3118">
      <c r="A3118" s="3">
        <f>IFERROR(__xludf.DUMMYFUNCTION("""COMPUTED_VALUE"""),43485.99861111111)</f>
        <v>43485.99861</v>
      </c>
      <c r="B3118" s="1">
        <f>IFERROR(__xludf.DUMMYFUNCTION("""COMPUTED_VALUE"""),445.945)</f>
        <v>445.945</v>
      </c>
    </row>
    <row r="3119">
      <c r="A3119" s="3">
        <f>IFERROR(__xludf.DUMMYFUNCTION("""COMPUTED_VALUE"""),43486.99861111111)</f>
        <v>43486.99861</v>
      </c>
      <c r="B3119" s="1">
        <f>IFERROR(__xludf.DUMMYFUNCTION("""COMPUTED_VALUE"""),447.07)</f>
        <v>447.07</v>
      </c>
    </row>
    <row r="3120">
      <c r="A3120" s="3">
        <f>IFERROR(__xludf.DUMMYFUNCTION("""COMPUTED_VALUE"""),43487.99861111111)</f>
        <v>43487.99861</v>
      </c>
      <c r="B3120" s="1">
        <f>IFERROR(__xludf.DUMMYFUNCTION("""COMPUTED_VALUE"""),447.45)</f>
        <v>447.45</v>
      </c>
    </row>
    <row r="3121">
      <c r="A3121" s="3">
        <f>IFERROR(__xludf.DUMMYFUNCTION("""COMPUTED_VALUE"""),43488.99861111111)</f>
        <v>43488.99861</v>
      </c>
      <c r="B3121" s="1">
        <f>IFERROR(__xludf.DUMMYFUNCTION("""COMPUTED_VALUE"""),447.575)</f>
        <v>447.575</v>
      </c>
    </row>
    <row r="3122">
      <c r="A3122" s="3">
        <f>IFERROR(__xludf.DUMMYFUNCTION("""COMPUTED_VALUE"""),43489.99861111111)</f>
        <v>43489.99861</v>
      </c>
      <c r="B3122" s="1">
        <f>IFERROR(__xludf.DUMMYFUNCTION("""COMPUTED_VALUE"""),446.475)</f>
        <v>446.475</v>
      </c>
    </row>
    <row r="3123">
      <c r="A3123" s="3">
        <f>IFERROR(__xludf.DUMMYFUNCTION("""COMPUTED_VALUE"""),43490.99861111111)</f>
        <v>43490.99861</v>
      </c>
      <c r="B3123" s="1">
        <f>IFERROR(__xludf.DUMMYFUNCTION("""COMPUTED_VALUE"""),444.725)</f>
        <v>444.725</v>
      </c>
    </row>
    <row r="3124">
      <c r="A3124" s="3">
        <f>IFERROR(__xludf.DUMMYFUNCTION("""COMPUTED_VALUE"""),43491.99861111111)</f>
        <v>43491.99861</v>
      </c>
      <c r="B3124" s="1">
        <f>IFERROR(__xludf.DUMMYFUNCTION("""COMPUTED_VALUE"""),444.12)</f>
        <v>444.12</v>
      </c>
    </row>
    <row r="3125">
      <c r="A3125" s="3">
        <f>IFERROR(__xludf.DUMMYFUNCTION("""COMPUTED_VALUE"""),43492.99861111111)</f>
        <v>43492.99861</v>
      </c>
      <c r="B3125" s="1">
        <f>IFERROR(__xludf.DUMMYFUNCTION("""COMPUTED_VALUE"""),444.12)</f>
        <v>444.12</v>
      </c>
    </row>
    <row r="3126">
      <c r="A3126" s="3">
        <f>IFERROR(__xludf.DUMMYFUNCTION("""COMPUTED_VALUE"""),43493.99861111111)</f>
        <v>43493.99861</v>
      </c>
      <c r="B3126" s="1">
        <f>IFERROR(__xludf.DUMMYFUNCTION("""COMPUTED_VALUE"""),446.18)</f>
        <v>446.18</v>
      </c>
    </row>
    <row r="3127">
      <c r="A3127" s="3">
        <f>IFERROR(__xludf.DUMMYFUNCTION("""COMPUTED_VALUE"""),43494.99861111111)</f>
        <v>43494.99861</v>
      </c>
      <c r="B3127" s="1">
        <f>IFERROR(__xludf.DUMMYFUNCTION("""COMPUTED_VALUE"""),447.41)</f>
        <v>447.41</v>
      </c>
    </row>
    <row r="3128">
      <c r="A3128" s="3">
        <f>IFERROR(__xludf.DUMMYFUNCTION("""COMPUTED_VALUE"""),43495.99861111111)</f>
        <v>43495.99861</v>
      </c>
      <c r="B3128" s="1">
        <f>IFERROR(__xludf.DUMMYFUNCTION("""COMPUTED_VALUE"""),451.7)</f>
        <v>451.7</v>
      </c>
    </row>
    <row r="3129">
      <c r="A3129" s="3">
        <f>IFERROR(__xludf.DUMMYFUNCTION("""COMPUTED_VALUE"""),43496.99861111111)</f>
        <v>43496.99861</v>
      </c>
      <c r="B3129" s="1">
        <f>IFERROR(__xludf.DUMMYFUNCTION("""COMPUTED_VALUE"""),448.915)</f>
        <v>448.915</v>
      </c>
    </row>
    <row r="3130">
      <c r="A3130" s="3">
        <f>IFERROR(__xludf.DUMMYFUNCTION("""COMPUTED_VALUE"""),43497.99861111111)</f>
        <v>43497.99861</v>
      </c>
      <c r="B3130" s="1">
        <f>IFERROR(__xludf.DUMMYFUNCTION("""COMPUTED_VALUE"""),445.71)</f>
        <v>445.71</v>
      </c>
    </row>
    <row r="3131">
      <c r="A3131" s="3">
        <f>IFERROR(__xludf.DUMMYFUNCTION("""COMPUTED_VALUE"""),43498.99861111111)</f>
        <v>43498.99861</v>
      </c>
      <c r="B3131" s="1">
        <f>IFERROR(__xludf.DUMMYFUNCTION("""COMPUTED_VALUE"""),445.71)</f>
        <v>445.71</v>
      </c>
    </row>
    <row r="3132">
      <c r="A3132" s="3">
        <f>IFERROR(__xludf.DUMMYFUNCTION("""COMPUTED_VALUE"""),43499.99861111111)</f>
        <v>43499.99861</v>
      </c>
      <c r="B3132" s="1">
        <f>IFERROR(__xludf.DUMMYFUNCTION("""COMPUTED_VALUE"""),445.71)</f>
        <v>445.71</v>
      </c>
    </row>
    <row r="3133">
      <c r="A3133" s="3">
        <f>IFERROR(__xludf.DUMMYFUNCTION("""COMPUTED_VALUE"""),43500.99861111111)</f>
        <v>43500.99861</v>
      </c>
      <c r="B3133" s="1">
        <f>IFERROR(__xludf.DUMMYFUNCTION("""COMPUTED_VALUE"""),445.87)</f>
        <v>445.87</v>
      </c>
    </row>
    <row r="3134">
      <c r="A3134" s="3">
        <f>IFERROR(__xludf.DUMMYFUNCTION("""COMPUTED_VALUE"""),43501.99861111111)</f>
        <v>43501.99861</v>
      </c>
      <c r="B3134" s="1">
        <f>IFERROR(__xludf.DUMMYFUNCTION("""COMPUTED_VALUE"""),447.125)</f>
        <v>447.125</v>
      </c>
    </row>
    <row r="3135">
      <c r="A3135" s="3">
        <f>IFERROR(__xludf.DUMMYFUNCTION("""COMPUTED_VALUE"""),43502.99861111111)</f>
        <v>43502.99861</v>
      </c>
      <c r="B3135" s="1">
        <f>IFERROR(__xludf.DUMMYFUNCTION("""COMPUTED_VALUE"""),445.495)</f>
        <v>445.495</v>
      </c>
    </row>
    <row r="3136">
      <c r="A3136" s="3">
        <f>IFERROR(__xludf.DUMMYFUNCTION("""COMPUTED_VALUE"""),43503.99861111111)</f>
        <v>43503.99861</v>
      </c>
      <c r="B3136" s="1">
        <f>IFERROR(__xludf.DUMMYFUNCTION("""COMPUTED_VALUE"""),447.67)</f>
        <v>447.67</v>
      </c>
    </row>
    <row r="3137">
      <c r="A3137" s="3">
        <f>IFERROR(__xludf.DUMMYFUNCTION("""COMPUTED_VALUE"""),43504.99861111111)</f>
        <v>43504.99861</v>
      </c>
      <c r="B3137" s="1">
        <f>IFERROR(__xludf.DUMMYFUNCTION("""COMPUTED_VALUE"""),443.525)</f>
        <v>443.525</v>
      </c>
    </row>
    <row r="3138">
      <c r="A3138" s="3">
        <f>IFERROR(__xludf.DUMMYFUNCTION("""COMPUTED_VALUE"""),43505.99861111111)</f>
        <v>43505.99861</v>
      </c>
      <c r="B3138" s="1">
        <f>IFERROR(__xludf.DUMMYFUNCTION("""COMPUTED_VALUE"""),444.19)</f>
        <v>444.19</v>
      </c>
    </row>
    <row r="3139">
      <c r="A3139" s="3">
        <f>IFERROR(__xludf.DUMMYFUNCTION("""COMPUTED_VALUE"""),43506.99861111111)</f>
        <v>43506.99861</v>
      </c>
      <c r="B3139" s="1">
        <f>IFERROR(__xludf.DUMMYFUNCTION("""COMPUTED_VALUE"""),444.19)</f>
        <v>444.19</v>
      </c>
    </row>
    <row r="3140">
      <c r="A3140" s="3">
        <f>IFERROR(__xludf.DUMMYFUNCTION("""COMPUTED_VALUE"""),43507.99861111111)</f>
        <v>43507.99861</v>
      </c>
      <c r="B3140" s="1">
        <f>IFERROR(__xludf.DUMMYFUNCTION("""COMPUTED_VALUE"""),446.66)</f>
        <v>446.66</v>
      </c>
    </row>
    <row r="3141">
      <c r="A3141" s="3">
        <f>IFERROR(__xludf.DUMMYFUNCTION("""COMPUTED_VALUE"""),43508.99861111111)</f>
        <v>43508.99861</v>
      </c>
      <c r="B3141" s="1">
        <f>IFERROR(__xludf.DUMMYFUNCTION("""COMPUTED_VALUE"""),450.02)</f>
        <v>450.02</v>
      </c>
    </row>
    <row r="3142">
      <c r="A3142" s="3">
        <f>IFERROR(__xludf.DUMMYFUNCTION("""COMPUTED_VALUE"""),43509.99861111111)</f>
        <v>43509.99861</v>
      </c>
      <c r="B3142" s="1">
        <f>IFERROR(__xludf.DUMMYFUNCTION("""COMPUTED_VALUE"""),448.535)</f>
        <v>448.535</v>
      </c>
    </row>
    <row r="3143">
      <c r="A3143" s="3">
        <f>IFERROR(__xludf.DUMMYFUNCTION("""COMPUTED_VALUE"""),43510.99861111111)</f>
        <v>43510.99861</v>
      </c>
      <c r="B3143" s="1">
        <f>IFERROR(__xludf.DUMMYFUNCTION("""COMPUTED_VALUE"""),450.02)</f>
        <v>450.02</v>
      </c>
    </row>
    <row r="3144">
      <c r="A3144" s="3">
        <f>IFERROR(__xludf.DUMMYFUNCTION("""COMPUTED_VALUE"""),43511.99861111111)</f>
        <v>43511.99861</v>
      </c>
      <c r="B3144" s="1">
        <f>IFERROR(__xludf.DUMMYFUNCTION("""COMPUTED_VALUE"""),451.48)</f>
        <v>451.48</v>
      </c>
    </row>
    <row r="3145">
      <c r="A3145" s="3">
        <f>IFERROR(__xludf.DUMMYFUNCTION("""COMPUTED_VALUE"""),43512.99861111111)</f>
        <v>43512.99861</v>
      </c>
      <c r="B3145" s="1">
        <f>IFERROR(__xludf.DUMMYFUNCTION("""COMPUTED_VALUE"""),451.48)</f>
        <v>451.48</v>
      </c>
    </row>
    <row r="3146">
      <c r="A3146" s="3">
        <f>IFERROR(__xludf.DUMMYFUNCTION("""COMPUTED_VALUE"""),43513.99861111111)</f>
        <v>43513.99861</v>
      </c>
      <c r="B3146" s="1">
        <f>IFERROR(__xludf.DUMMYFUNCTION("""COMPUTED_VALUE"""),451.48)</f>
        <v>451.48</v>
      </c>
    </row>
    <row r="3147">
      <c r="A3147" s="3">
        <f>IFERROR(__xludf.DUMMYFUNCTION("""COMPUTED_VALUE"""),43514.99861111111)</f>
        <v>43514.99861</v>
      </c>
      <c r="B3147" s="1">
        <f>IFERROR(__xludf.DUMMYFUNCTION("""COMPUTED_VALUE"""),452.585)</f>
        <v>452.585</v>
      </c>
    </row>
    <row r="3148">
      <c r="A3148" s="3">
        <f>IFERROR(__xludf.DUMMYFUNCTION("""COMPUTED_VALUE"""),43515.99861111111)</f>
        <v>43515.99861</v>
      </c>
      <c r="B3148" s="1">
        <f>IFERROR(__xludf.DUMMYFUNCTION("""COMPUTED_VALUE"""),453.605)</f>
        <v>453.605</v>
      </c>
    </row>
    <row r="3149">
      <c r="A3149" s="3">
        <f>IFERROR(__xludf.DUMMYFUNCTION("""COMPUTED_VALUE"""),43516.99861111111)</f>
        <v>43516.99861</v>
      </c>
      <c r="B3149" s="1">
        <f>IFERROR(__xludf.DUMMYFUNCTION("""COMPUTED_VALUE"""),452.16)</f>
        <v>452.16</v>
      </c>
    </row>
    <row r="3150">
      <c r="A3150" s="3">
        <f>IFERROR(__xludf.DUMMYFUNCTION("""COMPUTED_VALUE"""),43517.99861111111)</f>
        <v>43517.99861</v>
      </c>
      <c r="B3150" s="1">
        <f>IFERROR(__xludf.DUMMYFUNCTION("""COMPUTED_VALUE"""),450.11)</f>
        <v>450.11</v>
      </c>
    </row>
    <row r="3151">
      <c r="A3151" s="3">
        <f>IFERROR(__xludf.DUMMYFUNCTION("""COMPUTED_VALUE"""),43518.99861111111)</f>
        <v>43518.99861</v>
      </c>
      <c r="B3151" s="1">
        <f>IFERROR(__xludf.DUMMYFUNCTION("""COMPUTED_VALUE"""),448.485)</f>
        <v>448.485</v>
      </c>
    </row>
    <row r="3152">
      <c r="A3152" s="3">
        <f>IFERROR(__xludf.DUMMYFUNCTION("""COMPUTED_VALUE"""),43519.99861111111)</f>
        <v>43519.99861</v>
      </c>
      <c r="B3152" s="1">
        <f>IFERROR(__xludf.DUMMYFUNCTION("""COMPUTED_VALUE"""),448.685)</f>
        <v>448.685</v>
      </c>
    </row>
    <row r="3153">
      <c r="A3153" s="3">
        <f>IFERROR(__xludf.DUMMYFUNCTION("""COMPUTED_VALUE"""),43520.99861111111)</f>
        <v>43520.99861</v>
      </c>
      <c r="B3153" s="1">
        <f>IFERROR(__xludf.DUMMYFUNCTION("""COMPUTED_VALUE"""),448.625)</f>
        <v>448.625</v>
      </c>
    </row>
    <row r="3154">
      <c r="A3154" s="3">
        <f>IFERROR(__xludf.DUMMYFUNCTION("""COMPUTED_VALUE"""),43521.99861111111)</f>
        <v>43521.99861</v>
      </c>
      <c r="B3154" s="1">
        <f>IFERROR(__xludf.DUMMYFUNCTION("""COMPUTED_VALUE"""),448.485)</f>
        <v>448.485</v>
      </c>
    </row>
    <row r="3155">
      <c r="A3155" s="3">
        <f>IFERROR(__xludf.DUMMYFUNCTION("""COMPUTED_VALUE"""),43522.99861111111)</f>
        <v>43522.99861</v>
      </c>
      <c r="B3155" s="1">
        <f>IFERROR(__xludf.DUMMYFUNCTION("""COMPUTED_VALUE"""),446.22)</f>
        <v>446.22</v>
      </c>
    </row>
    <row r="3156">
      <c r="A3156" s="3">
        <f>IFERROR(__xludf.DUMMYFUNCTION("""COMPUTED_VALUE"""),43523.99861111111)</f>
        <v>43523.99861</v>
      </c>
      <c r="B3156" s="1">
        <f>IFERROR(__xludf.DUMMYFUNCTION("""COMPUTED_VALUE"""),445.79)</f>
        <v>445.79</v>
      </c>
    </row>
    <row r="3157">
      <c r="A3157" s="3">
        <f>IFERROR(__xludf.DUMMYFUNCTION("""COMPUTED_VALUE"""),43524.99861111111)</f>
        <v>43524.99861</v>
      </c>
      <c r="B3157" s="1">
        <f>IFERROR(__xludf.DUMMYFUNCTION("""COMPUTED_VALUE"""),446.2)</f>
        <v>446.2</v>
      </c>
    </row>
    <row r="3158">
      <c r="A3158" s="3">
        <f>IFERROR(__xludf.DUMMYFUNCTION("""COMPUTED_VALUE"""),43525.99861111111)</f>
        <v>43525.99861</v>
      </c>
      <c r="B3158" s="1">
        <f>IFERROR(__xludf.DUMMYFUNCTION("""COMPUTED_VALUE"""),443.7)</f>
        <v>443.7</v>
      </c>
    </row>
    <row r="3159">
      <c r="A3159" s="3">
        <f>IFERROR(__xludf.DUMMYFUNCTION("""COMPUTED_VALUE"""),43526.99861111111)</f>
        <v>43526.99861</v>
      </c>
      <c r="B3159" s="1">
        <f>IFERROR(__xludf.DUMMYFUNCTION("""COMPUTED_VALUE"""),443.7)</f>
        <v>443.7</v>
      </c>
    </row>
    <row r="3160">
      <c r="A3160" s="3">
        <f>IFERROR(__xludf.DUMMYFUNCTION("""COMPUTED_VALUE"""),43527.99861111111)</f>
        <v>43527.99861</v>
      </c>
      <c r="B3160" s="1">
        <f>IFERROR(__xludf.DUMMYFUNCTION("""COMPUTED_VALUE"""),443.7)</f>
        <v>443.7</v>
      </c>
    </row>
    <row r="3161">
      <c r="A3161" s="3">
        <f>IFERROR(__xludf.DUMMYFUNCTION("""COMPUTED_VALUE"""),43528.99861111111)</f>
        <v>43528.99861</v>
      </c>
      <c r="B3161" s="1">
        <f>IFERROR(__xludf.DUMMYFUNCTION("""COMPUTED_VALUE"""),443.745)</f>
        <v>443.745</v>
      </c>
    </row>
    <row r="3162">
      <c r="A3162" s="3">
        <f>IFERROR(__xludf.DUMMYFUNCTION("""COMPUTED_VALUE"""),43529.99861111111)</f>
        <v>43529.99861</v>
      </c>
      <c r="B3162" s="1">
        <f>IFERROR(__xludf.DUMMYFUNCTION("""COMPUTED_VALUE"""),445.92)</f>
        <v>445.92</v>
      </c>
    </row>
    <row r="3163">
      <c r="A3163" s="3">
        <f>IFERROR(__xludf.DUMMYFUNCTION("""COMPUTED_VALUE"""),43530.99861111111)</f>
        <v>43530.99861</v>
      </c>
      <c r="B3163" s="1">
        <f>IFERROR(__xludf.DUMMYFUNCTION("""COMPUTED_VALUE"""),444.25)</f>
        <v>444.25</v>
      </c>
    </row>
    <row r="3164">
      <c r="A3164" s="3">
        <f>IFERROR(__xludf.DUMMYFUNCTION("""COMPUTED_VALUE"""),43531.99861111111)</f>
        <v>43531.99861</v>
      </c>
      <c r="B3164" s="1">
        <f>IFERROR(__xludf.DUMMYFUNCTION("""COMPUTED_VALUE"""),443.385)</f>
        <v>443.385</v>
      </c>
    </row>
    <row r="3165">
      <c r="A3165" s="3">
        <f>IFERROR(__xludf.DUMMYFUNCTION("""COMPUTED_VALUE"""),43532.99861111111)</f>
        <v>43532.99861</v>
      </c>
      <c r="B3165" s="1">
        <f>IFERROR(__xludf.DUMMYFUNCTION("""COMPUTED_VALUE"""),443.435)</f>
        <v>443.435</v>
      </c>
    </row>
    <row r="3166">
      <c r="A3166" s="3">
        <f>IFERROR(__xludf.DUMMYFUNCTION("""COMPUTED_VALUE"""),43533.99861111111)</f>
        <v>43533.99861</v>
      </c>
      <c r="B3166" s="1">
        <f>IFERROR(__xludf.DUMMYFUNCTION("""COMPUTED_VALUE"""),443.36)</f>
        <v>443.36</v>
      </c>
    </row>
    <row r="3167">
      <c r="A3167" s="3">
        <f>IFERROR(__xludf.DUMMYFUNCTION("""COMPUTED_VALUE"""),43534.99861111111)</f>
        <v>43534.99861</v>
      </c>
      <c r="B3167" s="1">
        <f>IFERROR(__xludf.DUMMYFUNCTION("""COMPUTED_VALUE"""),450.005)</f>
        <v>450.005</v>
      </c>
    </row>
    <row r="3168">
      <c r="A3168" s="3">
        <f>IFERROR(__xludf.DUMMYFUNCTION("""COMPUTED_VALUE"""),43535.99861111111)</f>
        <v>43535.99861</v>
      </c>
      <c r="B3168" s="1">
        <f>IFERROR(__xludf.DUMMYFUNCTION("""COMPUTED_VALUE"""),450.025)</f>
        <v>450.025</v>
      </c>
    </row>
    <row r="3169">
      <c r="A3169" s="3">
        <f>IFERROR(__xludf.DUMMYFUNCTION("""COMPUTED_VALUE"""),43536.99861111111)</f>
        <v>43536.99861</v>
      </c>
      <c r="B3169" s="1">
        <f>IFERROR(__xludf.DUMMYFUNCTION("""COMPUTED_VALUE"""),450.7)</f>
        <v>450.7</v>
      </c>
    </row>
    <row r="3170">
      <c r="A3170" s="3">
        <f>IFERROR(__xludf.DUMMYFUNCTION("""COMPUTED_VALUE"""),43537.99861111111)</f>
        <v>43537.99861</v>
      </c>
      <c r="B3170" s="1">
        <f>IFERROR(__xludf.DUMMYFUNCTION("""COMPUTED_VALUE"""),450.34)</f>
        <v>450.34</v>
      </c>
    </row>
    <row r="3171">
      <c r="A3171" s="3">
        <f>IFERROR(__xludf.DUMMYFUNCTION("""COMPUTED_VALUE"""),43538.99861111111)</f>
        <v>43538.99861</v>
      </c>
      <c r="B3171" s="1">
        <f>IFERROR(__xludf.DUMMYFUNCTION("""COMPUTED_VALUE"""),448.88)</f>
        <v>448.88</v>
      </c>
    </row>
    <row r="3172">
      <c r="A3172" s="3">
        <f>IFERROR(__xludf.DUMMYFUNCTION("""COMPUTED_VALUE"""),43539.99861111111)</f>
        <v>43539.99861</v>
      </c>
      <c r="B3172" s="1">
        <f>IFERROR(__xludf.DUMMYFUNCTION("""COMPUTED_VALUE"""),449.75)</f>
        <v>449.75</v>
      </c>
    </row>
    <row r="3173">
      <c r="A3173" s="3">
        <f>IFERROR(__xludf.DUMMYFUNCTION("""COMPUTED_VALUE"""),43540.99861111111)</f>
        <v>43540.99861</v>
      </c>
      <c r="B3173" s="1">
        <f>IFERROR(__xludf.DUMMYFUNCTION("""COMPUTED_VALUE"""),449.75)</f>
        <v>449.75</v>
      </c>
    </row>
    <row r="3174">
      <c r="A3174" s="3">
        <f>IFERROR(__xludf.DUMMYFUNCTION("""COMPUTED_VALUE"""),43541.99861111111)</f>
        <v>43541.99861</v>
      </c>
      <c r="B3174" s="1">
        <f>IFERROR(__xludf.DUMMYFUNCTION("""COMPUTED_VALUE"""),449.75)</f>
        <v>449.75</v>
      </c>
    </row>
    <row r="3175">
      <c r="A3175" s="3">
        <f>IFERROR(__xludf.DUMMYFUNCTION("""COMPUTED_VALUE"""),43542.99861111111)</f>
        <v>43542.99861</v>
      </c>
      <c r="B3175" s="1">
        <f>IFERROR(__xludf.DUMMYFUNCTION("""COMPUTED_VALUE"""),449.15)</f>
        <v>449.15</v>
      </c>
    </row>
    <row r="3176">
      <c r="A3176" s="3">
        <f>IFERROR(__xludf.DUMMYFUNCTION("""COMPUTED_VALUE"""),43543.99861111111)</f>
        <v>43543.99861</v>
      </c>
      <c r="B3176" s="1">
        <f>IFERROR(__xludf.DUMMYFUNCTION("""COMPUTED_VALUE"""),449.06)</f>
        <v>449.06</v>
      </c>
    </row>
    <row r="3177">
      <c r="A3177" s="3">
        <f>IFERROR(__xludf.DUMMYFUNCTION("""COMPUTED_VALUE"""),43544.99861111111)</f>
        <v>43544.99861</v>
      </c>
      <c r="B3177" s="1">
        <f>IFERROR(__xludf.DUMMYFUNCTION("""COMPUTED_VALUE"""),446.935)</f>
        <v>446.935</v>
      </c>
    </row>
    <row r="3178">
      <c r="A3178" s="3">
        <f>IFERROR(__xludf.DUMMYFUNCTION("""COMPUTED_VALUE"""),43545.99861111111)</f>
        <v>43545.99861</v>
      </c>
      <c r="B3178" s="1">
        <f>IFERROR(__xludf.DUMMYFUNCTION("""COMPUTED_VALUE"""),444.56)</f>
        <v>444.56</v>
      </c>
    </row>
    <row r="3179">
      <c r="A3179" s="3">
        <f>IFERROR(__xludf.DUMMYFUNCTION("""COMPUTED_VALUE"""),43546.99861111111)</f>
        <v>43546.99861</v>
      </c>
      <c r="B3179" s="1">
        <f>IFERROR(__xludf.DUMMYFUNCTION("""COMPUTED_VALUE"""),445.52)</f>
        <v>445.52</v>
      </c>
    </row>
    <row r="3180">
      <c r="A3180" s="3">
        <f>IFERROR(__xludf.DUMMYFUNCTION("""COMPUTED_VALUE"""),43547.99861111111)</f>
        <v>43547.99861</v>
      </c>
      <c r="B3180" s="1">
        <f>IFERROR(__xludf.DUMMYFUNCTION("""COMPUTED_VALUE"""),446.7)</f>
        <v>446.7</v>
      </c>
    </row>
    <row r="3181">
      <c r="A3181" s="3">
        <f>IFERROR(__xludf.DUMMYFUNCTION("""COMPUTED_VALUE"""),43548.99861111111)</f>
        <v>43548.99861</v>
      </c>
      <c r="B3181" s="1">
        <f>IFERROR(__xludf.DUMMYFUNCTION("""COMPUTED_VALUE"""),446.7)</f>
        <v>446.7</v>
      </c>
    </row>
    <row r="3182">
      <c r="A3182" s="3">
        <f>IFERROR(__xludf.DUMMYFUNCTION("""COMPUTED_VALUE"""),43549.99861111111)</f>
        <v>43549.99861</v>
      </c>
      <c r="B3182" s="1">
        <f>IFERROR(__xludf.DUMMYFUNCTION("""COMPUTED_VALUE"""),449.55)</f>
        <v>449.55</v>
      </c>
    </row>
    <row r="3183">
      <c r="A3183" s="3">
        <f>IFERROR(__xludf.DUMMYFUNCTION("""COMPUTED_VALUE"""),43550.99861111111)</f>
        <v>43550.99861</v>
      </c>
      <c r="B3183" s="1">
        <f>IFERROR(__xludf.DUMMYFUNCTION("""COMPUTED_VALUE"""),448.27)</f>
        <v>448.27</v>
      </c>
    </row>
    <row r="3184">
      <c r="A3184" s="3">
        <f>IFERROR(__xludf.DUMMYFUNCTION("""COMPUTED_VALUE"""),43551.99861111111)</f>
        <v>43551.99861</v>
      </c>
      <c r="B3184" s="1">
        <f>IFERROR(__xludf.DUMMYFUNCTION("""COMPUTED_VALUE"""),445.395)</f>
        <v>445.395</v>
      </c>
    </row>
    <row r="3185">
      <c r="A3185" s="3">
        <f>IFERROR(__xludf.DUMMYFUNCTION("""COMPUTED_VALUE"""),43552.99861111111)</f>
        <v>43552.99861</v>
      </c>
      <c r="B3185" s="1">
        <f>IFERROR(__xludf.DUMMYFUNCTION("""COMPUTED_VALUE"""),447.19)</f>
        <v>447.19</v>
      </c>
    </row>
    <row r="3186">
      <c r="A3186" s="3">
        <f>IFERROR(__xludf.DUMMYFUNCTION("""COMPUTED_VALUE"""),43553.99861111111)</f>
        <v>43553.99861</v>
      </c>
      <c r="B3186" s="1">
        <f>IFERROR(__xludf.DUMMYFUNCTION("""COMPUTED_VALUE"""),448.32)</f>
        <v>448.32</v>
      </c>
    </row>
    <row r="3187">
      <c r="A3187" s="3">
        <f>IFERROR(__xludf.DUMMYFUNCTION("""COMPUTED_VALUE"""),43554.99861111111)</f>
        <v>43554.99861</v>
      </c>
      <c r="B3187" s="1">
        <f>IFERROR(__xludf.DUMMYFUNCTION("""COMPUTED_VALUE"""),448.32)</f>
        <v>448.32</v>
      </c>
    </row>
    <row r="3188">
      <c r="A3188" s="3">
        <f>IFERROR(__xludf.DUMMYFUNCTION("""COMPUTED_VALUE"""),43555.99861111111)</f>
        <v>43555.99861</v>
      </c>
      <c r="B3188" s="1">
        <f>IFERROR(__xludf.DUMMYFUNCTION("""COMPUTED_VALUE"""),448.32)</f>
        <v>448.32</v>
      </c>
    </row>
    <row r="3189">
      <c r="A3189" s="3">
        <f>IFERROR(__xludf.DUMMYFUNCTION("""COMPUTED_VALUE"""),43556.99861111111)</f>
        <v>43556.99861</v>
      </c>
      <c r="B3189" s="1">
        <f>IFERROR(__xludf.DUMMYFUNCTION("""COMPUTED_VALUE"""),448.7)</f>
        <v>448.7</v>
      </c>
    </row>
    <row r="3190">
      <c r="A3190" s="3">
        <f>IFERROR(__xludf.DUMMYFUNCTION("""COMPUTED_VALUE"""),43557.99861111111)</f>
        <v>43557.99861</v>
      </c>
      <c r="B3190" s="1">
        <f>IFERROR(__xludf.DUMMYFUNCTION("""COMPUTED_VALUE"""),447.93)</f>
        <v>447.93</v>
      </c>
    </row>
    <row r="3191">
      <c r="A3191" s="3">
        <f>IFERROR(__xludf.DUMMYFUNCTION("""COMPUTED_VALUE"""),43558.99861111111)</f>
        <v>43558.99861</v>
      </c>
      <c r="B3191" s="1">
        <f>IFERROR(__xludf.DUMMYFUNCTION("""COMPUTED_VALUE"""),447.71)</f>
        <v>447.71</v>
      </c>
    </row>
    <row r="3192">
      <c r="A3192" s="3">
        <f>IFERROR(__xludf.DUMMYFUNCTION("""COMPUTED_VALUE"""),43559.99861111111)</f>
        <v>43559.99861</v>
      </c>
      <c r="B3192" s="1">
        <f>IFERROR(__xludf.DUMMYFUNCTION("""COMPUTED_VALUE"""),445.9)</f>
        <v>445.9</v>
      </c>
    </row>
    <row r="3193">
      <c r="A3193" s="3">
        <f>IFERROR(__xludf.DUMMYFUNCTION("""COMPUTED_VALUE"""),43560.99861111111)</f>
        <v>43560.99861</v>
      </c>
      <c r="B3193" s="1">
        <f>IFERROR(__xludf.DUMMYFUNCTION("""COMPUTED_VALUE"""),442.07)</f>
        <v>442.07</v>
      </c>
    </row>
    <row r="3194">
      <c r="A3194" s="3">
        <f>IFERROR(__xludf.DUMMYFUNCTION("""COMPUTED_VALUE"""),43561.99861111111)</f>
        <v>43561.99861</v>
      </c>
      <c r="B3194" s="1">
        <f>IFERROR(__xludf.DUMMYFUNCTION("""COMPUTED_VALUE"""),442.07)</f>
        <v>442.07</v>
      </c>
    </row>
    <row r="3195">
      <c r="A3195" s="3">
        <f>IFERROR(__xludf.DUMMYFUNCTION("""COMPUTED_VALUE"""),43562.99861111111)</f>
        <v>43562.99861</v>
      </c>
      <c r="B3195" s="1">
        <f>IFERROR(__xludf.DUMMYFUNCTION("""COMPUTED_VALUE"""),442.07)</f>
        <v>442.07</v>
      </c>
    </row>
    <row r="3196">
      <c r="A3196" s="3">
        <f>IFERROR(__xludf.DUMMYFUNCTION("""COMPUTED_VALUE"""),43563.99861111111)</f>
        <v>43563.99861</v>
      </c>
      <c r="B3196" s="1">
        <f>IFERROR(__xludf.DUMMYFUNCTION("""COMPUTED_VALUE"""),444.04)</f>
        <v>444.04</v>
      </c>
    </row>
    <row r="3197">
      <c r="A3197" s="3">
        <f>IFERROR(__xludf.DUMMYFUNCTION("""COMPUTED_VALUE"""),43564.99861111111)</f>
        <v>43564.99861</v>
      </c>
      <c r="B3197" s="1">
        <f>IFERROR(__xludf.DUMMYFUNCTION("""COMPUTED_VALUE"""),444.74)</f>
        <v>444.74</v>
      </c>
    </row>
    <row r="3198">
      <c r="A3198" s="3">
        <f>IFERROR(__xludf.DUMMYFUNCTION("""COMPUTED_VALUE"""),43565.99861111111)</f>
        <v>43565.99861</v>
      </c>
      <c r="B3198" s="1">
        <f>IFERROR(__xludf.DUMMYFUNCTION("""COMPUTED_VALUE"""),445.45)</f>
        <v>445.45</v>
      </c>
    </row>
    <row r="3199">
      <c r="A3199" s="3">
        <f>IFERROR(__xludf.DUMMYFUNCTION("""COMPUTED_VALUE"""),43566.99861111111)</f>
        <v>43566.99861</v>
      </c>
      <c r="B3199" s="1">
        <f>IFERROR(__xludf.DUMMYFUNCTION("""COMPUTED_VALUE"""),444.64)</f>
        <v>444.64</v>
      </c>
    </row>
    <row r="3200">
      <c r="A3200" s="3">
        <f>IFERROR(__xludf.DUMMYFUNCTION("""COMPUTED_VALUE"""),43567.99861111111)</f>
        <v>43567.99861</v>
      </c>
      <c r="B3200" s="1">
        <f>IFERROR(__xludf.DUMMYFUNCTION("""COMPUTED_VALUE"""),443.615)</f>
        <v>443.615</v>
      </c>
    </row>
    <row r="3201">
      <c r="A3201" s="3">
        <f>IFERROR(__xludf.DUMMYFUNCTION("""COMPUTED_VALUE"""),43568.99861111111)</f>
        <v>43568.99861</v>
      </c>
      <c r="B3201" s="1">
        <f>IFERROR(__xludf.DUMMYFUNCTION("""COMPUTED_VALUE"""),444.26)</f>
        <v>444.26</v>
      </c>
    </row>
    <row r="3202">
      <c r="A3202" s="3">
        <f>IFERROR(__xludf.DUMMYFUNCTION("""COMPUTED_VALUE"""),43569.99861111111)</f>
        <v>43569.99861</v>
      </c>
      <c r="B3202" s="1">
        <f>IFERROR(__xludf.DUMMYFUNCTION("""COMPUTED_VALUE"""),444.26)</f>
        <v>444.26</v>
      </c>
    </row>
    <row r="3203">
      <c r="A3203" s="3">
        <f>IFERROR(__xludf.DUMMYFUNCTION("""COMPUTED_VALUE"""),43570.99861111111)</f>
        <v>43570.99861</v>
      </c>
      <c r="B3203" s="1">
        <f>IFERROR(__xludf.DUMMYFUNCTION("""COMPUTED_VALUE"""),442.155)</f>
        <v>442.155</v>
      </c>
    </row>
    <row r="3204">
      <c r="A3204" s="3">
        <f>IFERROR(__xludf.DUMMYFUNCTION("""COMPUTED_VALUE"""),43571.99861111111)</f>
        <v>43571.99861</v>
      </c>
      <c r="B3204" s="1">
        <f>IFERROR(__xludf.DUMMYFUNCTION("""COMPUTED_VALUE"""),442.53)</f>
        <v>442.53</v>
      </c>
    </row>
    <row r="3205">
      <c r="A3205" s="3">
        <f>IFERROR(__xludf.DUMMYFUNCTION("""COMPUTED_VALUE"""),43572.99861111111)</f>
        <v>43572.99861</v>
      </c>
      <c r="B3205" s="1">
        <f>IFERROR(__xludf.DUMMYFUNCTION("""COMPUTED_VALUE"""),442.925)</f>
        <v>442.925</v>
      </c>
    </row>
    <row r="3206">
      <c r="A3206" s="3">
        <f>IFERROR(__xludf.DUMMYFUNCTION("""COMPUTED_VALUE"""),43573.99861111111)</f>
        <v>43573.99861</v>
      </c>
      <c r="B3206" s="1">
        <f>IFERROR(__xludf.DUMMYFUNCTION("""COMPUTED_VALUE"""),441.48)</f>
        <v>441.48</v>
      </c>
    </row>
    <row r="3207">
      <c r="A3207" s="3">
        <f>IFERROR(__xludf.DUMMYFUNCTION("""COMPUTED_VALUE"""),43574.99861111111)</f>
        <v>43574.99861</v>
      </c>
      <c r="B3207" s="1">
        <f>IFERROR(__xludf.DUMMYFUNCTION("""COMPUTED_VALUE"""),441.515)</f>
        <v>441.515</v>
      </c>
    </row>
    <row r="3208">
      <c r="A3208" s="3">
        <f>IFERROR(__xludf.DUMMYFUNCTION("""COMPUTED_VALUE"""),43575.99861111111)</f>
        <v>43575.99861</v>
      </c>
      <c r="B3208" s="1">
        <f>IFERROR(__xludf.DUMMYFUNCTION("""COMPUTED_VALUE"""),441.515)</f>
        <v>441.515</v>
      </c>
    </row>
    <row r="3209">
      <c r="A3209" s="3">
        <f>IFERROR(__xludf.DUMMYFUNCTION("""COMPUTED_VALUE"""),43576.99861111111)</f>
        <v>43576.99861</v>
      </c>
      <c r="B3209" s="1">
        <f>IFERROR(__xludf.DUMMYFUNCTION("""COMPUTED_VALUE"""),441.515)</f>
        <v>441.515</v>
      </c>
    </row>
    <row r="3210">
      <c r="A3210" s="3">
        <f>IFERROR(__xludf.DUMMYFUNCTION("""COMPUTED_VALUE"""),43577.99861111111)</f>
        <v>43577.99861</v>
      </c>
      <c r="B3210" s="1">
        <f>IFERROR(__xludf.DUMMYFUNCTION("""COMPUTED_VALUE"""),441.11)</f>
        <v>441.11</v>
      </c>
    </row>
    <row r="3211">
      <c r="A3211" s="3">
        <f>IFERROR(__xludf.DUMMYFUNCTION("""COMPUTED_VALUE"""),43578.99861111111)</f>
        <v>43578.99861</v>
      </c>
      <c r="B3211" s="1">
        <f>IFERROR(__xludf.DUMMYFUNCTION("""COMPUTED_VALUE"""),439.64)</f>
        <v>439.64</v>
      </c>
    </row>
    <row r="3212">
      <c r="A3212" s="3">
        <f>IFERROR(__xludf.DUMMYFUNCTION("""COMPUTED_VALUE"""),43579.99861111111)</f>
        <v>43579.99861</v>
      </c>
      <c r="B3212" s="1">
        <f>IFERROR(__xludf.DUMMYFUNCTION("""COMPUTED_VALUE"""),439.68)</f>
        <v>439.68</v>
      </c>
    </row>
    <row r="3213">
      <c r="A3213" s="3">
        <f>IFERROR(__xludf.DUMMYFUNCTION("""COMPUTED_VALUE"""),43580.99861111111)</f>
        <v>43580.99861</v>
      </c>
      <c r="B3213" s="1">
        <f>IFERROR(__xludf.DUMMYFUNCTION("""COMPUTED_VALUE"""),440.37)</f>
        <v>440.37</v>
      </c>
    </row>
    <row r="3214">
      <c r="A3214" s="3">
        <f>IFERROR(__xludf.DUMMYFUNCTION("""COMPUTED_VALUE"""),43581.99861111111)</f>
        <v>43581.99861</v>
      </c>
      <c r="B3214" s="1">
        <f>IFERROR(__xludf.DUMMYFUNCTION("""COMPUTED_VALUE"""),485.87)</f>
        <v>485.87</v>
      </c>
    </row>
    <row r="3215">
      <c r="A3215" s="3">
        <f>IFERROR(__xludf.DUMMYFUNCTION("""COMPUTED_VALUE"""),43582.99861111111)</f>
        <v>43582.99861</v>
      </c>
      <c r="B3215" s="1">
        <f>IFERROR(__xludf.DUMMYFUNCTION("""COMPUTED_VALUE"""),443.595)</f>
        <v>443.595</v>
      </c>
    </row>
    <row r="3216">
      <c r="A3216" s="3">
        <f>IFERROR(__xludf.DUMMYFUNCTION("""COMPUTED_VALUE"""),43583.99861111111)</f>
        <v>43583.99861</v>
      </c>
      <c r="B3216" s="1">
        <f>IFERROR(__xludf.DUMMYFUNCTION("""COMPUTED_VALUE"""),443.595)</f>
        <v>443.595</v>
      </c>
    </row>
    <row r="3217">
      <c r="A3217" s="3">
        <f>IFERROR(__xludf.DUMMYFUNCTION("""COMPUTED_VALUE"""),43584.99861111111)</f>
        <v>43584.99861</v>
      </c>
      <c r="B3217" s="1">
        <f>IFERROR(__xludf.DUMMYFUNCTION("""COMPUTED_VALUE"""),485.935)</f>
        <v>485.935</v>
      </c>
    </row>
    <row r="3218">
      <c r="A3218" s="3">
        <f>IFERROR(__xludf.DUMMYFUNCTION("""COMPUTED_VALUE"""),43585.99861111111)</f>
        <v>43585.99861</v>
      </c>
      <c r="B3218" s="1">
        <f>IFERROR(__xludf.DUMMYFUNCTION("""COMPUTED_VALUE"""),446.66)</f>
        <v>446.66</v>
      </c>
    </row>
    <row r="3219">
      <c r="A3219" s="3">
        <f>IFERROR(__xludf.DUMMYFUNCTION("""COMPUTED_VALUE"""),43586.99861111111)</f>
        <v>43586.99861</v>
      </c>
      <c r="B3219" s="1">
        <f>IFERROR(__xludf.DUMMYFUNCTION("""COMPUTED_VALUE"""),445.4)</f>
        <v>445.4</v>
      </c>
    </row>
    <row r="3220">
      <c r="A3220" s="3">
        <f>IFERROR(__xludf.DUMMYFUNCTION("""COMPUTED_VALUE"""),43587.99861111111)</f>
        <v>43587.99861</v>
      </c>
      <c r="B3220" s="1">
        <f>IFERROR(__xludf.DUMMYFUNCTION("""COMPUTED_VALUE"""),445.25)</f>
        <v>445.25</v>
      </c>
    </row>
    <row r="3221">
      <c r="A3221" s="3">
        <f>IFERROR(__xludf.DUMMYFUNCTION("""COMPUTED_VALUE"""),43588.99861111111)</f>
        <v>43588.99861</v>
      </c>
      <c r="B3221" s="1">
        <f>IFERROR(__xludf.DUMMYFUNCTION("""COMPUTED_VALUE"""),445.51)</f>
        <v>445.51</v>
      </c>
    </row>
    <row r="3222">
      <c r="A3222" s="3">
        <f>IFERROR(__xludf.DUMMYFUNCTION("""COMPUTED_VALUE"""),43589.99861111111)</f>
        <v>43589.99861</v>
      </c>
      <c r="B3222" s="1">
        <f>IFERROR(__xludf.DUMMYFUNCTION("""COMPUTED_VALUE"""),445.51)</f>
        <v>445.51</v>
      </c>
    </row>
    <row r="3223">
      <c r="A3223" s="3">
        <f>IFERROR(__xludf.DUMMYFUNCTION("""COMPUTED_VALUE"""),43590.99861111111)</f>
        <v>43590.99861</v>
      </c>
      <c r="B3223" s="1">
        <f>IFERROR(__xludf.DUMMYFUNCTION("""COMPUTED_VALUE"""),445.51)</f>
        <v>445.51</v>
      </c>
    </row>
    <row r="3224">
      <c r="A3224" s="3">
        <f>IFERROR(__xludf.DUMMYFUNCTION("""COMPUTED_VALUE"""),43591.99861111111)</f>
        <v>43591.99861</v>
      </c>
      <c r="B3224" s="1">
        <f>IFERROR(__xludf.DUMMYFUNCTION("""COMPUTED_VALUE"""),448.13)</f>
        <v>448.13</v>
      </c>
    </row>
    <row r="3225">
      <c r="A3225" s="3">
        <f>IFERROR(__xludf.DUMMYFUNCTION("""COMPUTED_VALUE"""),43592.99861111111)</f>
        <v>43592.99861</v>
      </c>
      <c r="B3225" s="1">
        <f>IFERROR(__xludf.DUMMYFUNCTION("""COMPUTED_VALUE"""),446.81)</f>
        <v>446.81</v>
      </c>
    </row>
    <row r="3226">
      <c r="A3226" s="3">
        <f>IFERROR(__xludf.DUMMYFUNCTION("""COMPUTED_VALUE"""),43593.99861111111)</f>
        <v>43593.99861</v>
      </c>
      <c r="B3226" s="1">
        <f>IFERROR(__xludf.DUMMYFUNCTION("""COMPUTED_VALUE"""),449.25)</f>
        <v>449.25</v>
      </c>
    </row>
    <row r="3227">
      <c r="A3227" s="3">
        <f>IFERROR(__xludf.DUMMYFUNCTION("""COMPUTED_VALUE"""),43594.99861111111)</f>
        <v>43594.99861</v>
      </c>
      <c r="B3227" s="1">
        <f>IFERROR(__xludf.DUMMYFUNCTION("""COMPUTED_VALUE"""),451.355)</f>
        <v>451.355</v>
      </c>
    </row>
    <row r="3228">
      <c r="A3228" s="3">
        <f>IFERROR(__xludf.DUMMYFUNCTION("""COMPUTED_VALUE"""),43595.99861111111)</f>
        <v>43595.99861</v>
      </c>
      <c r="B3228" s="1">
        <f>IFERROR(__xludf.DUMMYFUNCTION("""COMPUTED_VALUE"""),453.7)</f>
        <v>453.7</v>
      </c>
    </row>
    <row r="3229">
      <c r="A3229" s="3">
        <f>IFERROR(__xludf.DUMMYFUNCTION("""COMPUTED_VALUE"""),43596.99861111111)</f>
        <v>43596.99861</v>
      </c>
      <c r="B3229" s="1">
        <f>IFERROR(__xludf.DUMMYFUNCTION("""COMPUTED_VALUE"""),453.7)</f>
        <v>453.7</v>
      </c>
    </row>
    <row r="3230">
      <c r="A3230" s="3">
        <f>IFERROR(__xludf.DUMMYFUNCTION("""COMPUTED_VALUE"""),43597.99861111111)</f>
        <v>43597.99861</v>
      </c>
      <c r="B3230" s="1">
        <f>IFERROR(__xludf.DUMMYFUNCTION("""COMPUTED_VALUE"""),453.7)</f>
        <v>453.7</v>
      </c>
    </row>
    <row r="3231">
      <c r="A3231" s="3">
        <f>IFERROR(__xludf.DUMMYFUNCTION("""COMPUTED_VALUE"""),43598.99861111111)</f>
        <v>43598.99861</v>
      </c>
      <c r="B3231" s="1">
        <f>IFERROR(__xludf.DUMMYFUNCTION("""COMPUTED_VALUE"""),452.28)</f>
        <v>452.28</v>
      </c>
    </row>
    <row r="3232">
      <c r="A3232" s="3">
        <f>IFERROR(__xludf.DUMMYFUNCTION("""COMPUTED_VALUE"""),43599.99861111111)</f>
        <v>43599.99861</v>
      </c>
      <c r="B3232" s="1">
        <f>IFERROR(__xludf.DUMMYFUNCTION("""COMPUTED_VALUE"""),458.21)</f>
        <v>458.21</v>
      </c>
    </row>
    <row r="3233">
      <c r="A3233" s="3">
        <f>IFERROR(__xludf.DUMMYFUNCTION("""COMPUTED_VALUE"""),43600.99861111111)</f>
        <v>43600.99861</v>
      </c>
      <c r="B3233" s="1">
        <f>IFERROR(__xludf.DUMMYFUNCTION("""COMPUTED_VALUE"""),458.495)</f>
        <v>458.495</v>
      </c>
    </row>
    <row r="3234">
      <c r="A3234" s="3">
        <f>IFERROR(__xludf.DUMMYFUNCTION("""COMPUTED_VALUE"""),43601.99861111111)</f>
        <v>43601.99861</v>
      </c>
      <c r="B3234" s="1">
        <f>IFERROR(__xludf.DUMMYFUNCTION("""COMPUTED_VALUE"""),456.5)</f>
        <v>456.5</v>
      </c>
    </row>
    <row r="3235">
      <c r="A3235" s="3">
        <f>IFERROR(__xludf.DUMMYFUNCTION("""COMPUTED_VALUE"""),43602.99861111111)</f>
        <v>43602.99861</v>
      </c>
      <c r="B3235" s="1">
        <f>IFERROR(__xludf.DUMMYFUNCTION("""COMPUTED_VALUE"""),453.65)</f>
        <v>453.65</v>
      </c>
    </row>
    <row r="3236">
      <c r="A3236" s="3">
        <f>IFERROR(__xludf.DUMMYFUNCTION("""COMPUTED_VALUE"""),43603.99861111111)</f>
        <v>43603.99861</v>
      </c>
      <c r="B3236" s="1">
        <f>IFERROR(__xludf.DUMMYFUNCTION("""COMPUTED_VALUE"""),453.65)</f>
        <v>453.65</v>
      </c>
    </row>
    <row r="3237">
      <c r="A3237" s="3">
        <f>IFERROR(__xludf.DUMMYFUNCTION("""COMPUTED_VALUE"""),43604.99861111111)</f>
        <v>43604.99861</v>
      </c>
      <c r="B3237" s="1">
        <f>IFERROR(__xludf.DUMMYFUNCTION("""COMPUTED_VALUE"""),453.65)</f>
        <v>453.65</v>
      </c>
    </row>
    <row r="3238">
      <c r="A3238" s="3">
        <f>IFERROR(__xludf.DUMMYFUNCTION("""COMPUTED_VALUE"""),43605.99861111111)</f>
        <v>43605.99861</v>
      </c>
      <c r="B3238" s="1">
        <f>IFERROR(__xludf.DUMMYFUNCTION("""COMPUTED_VALUE"""),453.84)</f>
        <v>453.84</v>
      </c>
    </row>
    <row r="3239">
      <c r="A3239" s="3">
        <f>IFERROR(__xludf.DUMMYFUNCTION("""COMPUTED_VALUE"""),43606.99861111111)</f>
        <v>43606.99861</v>
      </c>
      <c r="B3239" s="1">
        <f>IFERROR(__xludf.DUMMYFUNCTION("""COMPUTED_VALUE"""),452.455)</f>
        <v>452.455</v>
      </c>
    </row>
    <row r="3240">
      <c r="A3240" s="3">
        <f>IFERROR(__xludf.DUMMYFUNCTION("""COMPUTED_VALUE"""),43607.99861111111)</f>
        <v>43607.99861</v>
      </c>
      <c r="B3240" s="1">
        <f>IFERROR(__xludf.DUMMYFUNCTION("""COMPUTED_VALUE"""),455.305)</f>
        <v>455.305</v>
      </c>
    </row>
    <row r="3241">
      <c r="A3241" s="3">
        <f>IFERROR(__xludf.DUMMYFUNCTION("""COMPUTED_VALUE"""),43608.99861111111)</f>
        <v>43608.99861</v>
      </c>
      <c r="B3241" s="1">
        <f>IFERROR(__xludf.DUMMYFUNCTION("""COMPUTED_VALUE"""),453.17)</f>
        <v>453.17</v>
      </c>
    </row>
    <row r="3242">
      <c r="A3242" s="3">
        <f>IFERROR(__xludf.DUMMYFUNCTION("""COMPUTED_VALUE"""),43609.99861111111)</f>
        <v>43609.99861</v>
      </c>
      <c r="B3242" s="1">
        <f>IFERROR(__xludf.DUMMYFUNCTION("""COMPUTED_VALUE"""),451.83)</f>
        <v>451.83</v>
      </c>
    </row>
    <row r="3243">
      <c r="A3243" s="3">
        <f>IFERROR(__xludf.DUMMYFUNCTION("""COMPUTED_VALUE"""),43610.99861111111)</f>
        <v>43610.99861</v>
      </c>
      <c r="B3243" s="1">
        <f>IFERROR(__xludf.DUMMYFUNCTION("""COMPUTED_VALUE"""),452.06)</f>
        <v>452.06</v>
      </c>
    </row>
    <row r="3244">
      <c r="A3244" s="3">
        <f>IFERROR(__xludf.DUMMYFUNCTION("""COMPUTED_VALUE"""),43611.99861111111)</f>
        <v>43611.99861</v>
      </c>
      <c r="B3244" s="1">
        <f>IFERROR(__xludf.DUMMYFUNCTION("""COMPUTED_VALUE"""),452.06)</f>
        <v>452.06</v>
      </c>
    </row>
    <row r="3245">
      <c r="A3245" s="3">
        <f>IFERROR(__xludf.DUMMYFUNCTION("""COMPUTED_VALUE"""),43612.99861111111)</f>
        <v>43612.99861</v>
      </c>
      <c r="B3245" s="1">
        <f>IFERROR(__xludf.DUMMYFUNCTION("""COMPUTED_VALUE"""),451.735)</f>
        <v>451.735</v>
      </c>
    </row>
    <row r="3246">
      <c r="A3246" s="3">
        <f>IFERROR(__xludf.DUMMYFUNCTION("""COMPUTED_VALUE"""),43613.99861111111)</f>
        <v>43613.99861</v>
      </c>
      <c r="B3246" s="1">
        <f>IFERROR(__xludf.DUMMYFUNCTION("""COMPUTED_VALUE"""),451.965)</f>
        <v>451.965</v>
      </c>
    </row>
    <row r="3247">
      <c r="A3247" s="3">
        <f>IFERROR(__xludf.DUMMYFUNCTION("""COMPUTED_VALUE"""),43614.99861111111)</f>
        <v>43614.99861</v>
      </c>
      <c r="B3247" s="1">
        <f>IFERROR(__xludf.DUMMYFUNCTION("""COMPUTED_VALUE"""),452.28)</f>
        <v>452.28</v>
      </c>
    </row>
    <row r="3248">
      <c r="A3248" s="3">
        <f>IFERROR(__xludf.DUMMYFUNCTION("""COMPUTED_VALUE"""),43615.99861111111)</f>
        <v>43615.99861</v>
      </c>
      <c r="B3248" s="1">
        <f>IFERROR(__xludf.DUMMYFUNCTION("""COMPUTED_VALUE"""),453.28)</f>
        <v>453.28</v>
      </c>
    </row>
    <row r="3249">
      <c r="A3249" s="3">
        <f>IFERROR(__xludf.DUMMYFUNCTION("""COMPUTED_VALUE"""),43616.99861111111)</f>
        <v>43616.99861</v>
      </c>
      <c r="B3249" s="1">
        <f>IFERROR(__xludf.DUMMYFUNCTION("""COMPUTED_VALUE"""),455.315)</f>
        <v>455.315</v>
      </c>
    </row>
    <row r="3250">
      <c r="A3250" s="3">
        <f>IFERROR(__xludf.DUMMYFUNCTION("""COMPUTED_VALUE"""),43617.99861111111)</f>
        <v>43617.99861</v>
      </c>
      <c r="B3250" s="1">
        <f>IFERROR(__xludf.DUMMYFUNCTION("""COMPUTED_VALUE"""),455.315)</f>
        <v>455.315</v>
      </c>
    </row>
    <row r="3251">
      <c r="A3251" s="3">
        <f>IFERROR(__xludf.DUMMYFUNCTION("""COMPUTED_VALUE"""),43618.99861111111)</f>
        <v>43618.99861</v>
      </c>
      <c r="B3251" s="1">
        <f>IFERROR(__xludf.DUMMYFUNCTION("""COMPUTED_VALUE"""),451.72)</f>
        <v>451.72</v>
      </c>
    </row>
    <row r="3252">
      <c r="A3252" s="3">
        <f>IFERROR(__xludf.DUMMYFUNCTION("""COMPUTED_VALUE"""),43619.99861111111)</f>
        <v>43619.99861</v>
      </c>
      <c r="B3252" s="1">
        <f>IFERROR(__xludf.DUMMYFUNCTION("""COMPUTED_VALUE"""),455.63)</f>
        <v>455.63</v>
      </c>
    </row>
    <row r="3253">
      <c r="A3253" s="3">
        <f>IFERROR(__xludf.DUMMYFUNCTION("""COMPUTED_VALUE"""),43620.99861111111)</f>
        <v>43620.99861</v>
      </c>
      <c r="B3253" s="1">
        <f>IFERROR(__xludf.DUMMYFUNCTION("""COMPUTED_VALUE"""),456.04)</f>
        <v>456.04</v>
      </c>
    </row>
    <row r="3254">
      <c r="A3254" s="3">
        <f>IFERROR(__xludf.DUMMYFUNCTION("""COMPUTED_VALUE"""),43621.99861111111)</f>
        <v>43621.99861</v>
      </c>
      <c r="B3254" s="1">
        <f>IFERROR(__xludf.DUMMYFUNCTION("""COMPUTED_VALUE"""),456.165)</f>
        <v>456.165</v>
      </c>
    </row>
    <row r="3255">
      <c r="A3255" s="3">
        <f>IFERROR(__xludf.DUMMYFUNCTION("""COMPUTED_VALUE"""),43622.99861111111)</f>
        <v>43622.99861</v>
      </c>
      <c r="B3255" s="1">
        <f>IFERROR(__xludf.DUMMYFUNCTION("""COMPUTED_VALUE"""),456.415)</f>
        <v>456.415</v>
      </c>
    </row>
    <row r="3256">
      <c r="A3256" s="3">
        <f>IFERROR(__xludf.DUMMYFUNCTION("""COMPUTED_VALUE"""),43623.99861111111)</f>
        <v>43623.99861</v>
      </c>
      <c r="B3256" s="1">
        <f>IFERROR(__xludf.DUMMYFUNCTION("""COMPUTED_VALUE"""),456.51)</f>
        <v>456.51</v>
      </c>
    </row>
    <row r="3257">
      <c r="A3257" s="3">
        <f>IFERROR(__xludf.DUMMYFUNCTION("""COMPUTED_VALUE"""),43624.99861111111)</f>
        <v>43624.99861</v>
      </c>
      <c r="B3257" s="1">
        <f>IFERROR(__xludf.DUMMYFUNCTION("""COMPUTED_VALUE"""),456.51)</f>
        <v>456.51</v>
      </c>
    </row>
    <row r="3258">
      <c r="A3258" s="3">
        <f>IFERROR(__xludf.DUMMYFUNCTION("""COMPUTED_VALUE"""),43625.99861111111)</f>
        <v>43625.99861</v>
      </c>
      <c r="B3258" s="1">
        <f>IFERROR(__xludf.DUMMYFUNCTION("""COMPUTED_VALUE"""),456.51)</f>
        <v>456.51</v>
      </c>
    </row>
    <row r="3259">
      <c r="A3259" s="3">
        <f>IFERROR(__xludf.DUMMYFUNCTION("""COMPUTED_VALUE"""),43626.99861111111)</f>
        <v>43626.99861</v>
      </c>
      <c r="B3259" s="1">
        <f>IFERROR(__xludf.DUMMYFUNCTION("""COMPUTED_VALUE"""),454.76)</f>
        <v>454.76</v>
      </c>
    </row>
    <row r="3260">
      <c r="A3260" s="3">
        <f>IFERROR(__xludf.DUMMYFUNCTION("""COMPUTED_VALUE"""),43627.99861111111)</f>
        <v>43627.99861</v>
      </c>
      <c r="B3260" s="1">
        <f>IFERROR(__xludf.DUMMYFUNCTION("""COMPUTED_VALUE"""),455.29)</f>
        <v>455.29</v>
      </c>
    </row>
    <row r="3261">
      <c r="A3261" s="3">
        <f>IFERROR(__xludf.DUMMYFUNCTION("""COMPUTED_VALUE"""),43628.99861111111)</f>
        <v>43628.99861</v>
      </c>
      <c r="B3261" s="1">
        <f>IFERROR(__xludf.DUMMYFUNCTION("""COMPUTED_VALUE"""),455.07)</f>
        <v>455.07</v>
      </c>
    </row>
    <row r="3262">
      <c r="A3262" s="3">
        <f>IFERROR(__xludf.DUMMYFUNCTION("""COMPUTED_VALUE"""),43629.99861111111)</f>
        <v>43629.99861</v>
      </c>
      <c r="B3262" s="1">
        <f>IFERROR(__xludf.DUMMYFUNCTION("""COMPUTED_VALUE"""),457.13)</f>
        <v>457.13</v>
      </c>
    </row>
    <row r="3263">
      <c r="A3263" s="3">
        <f>IFERROR(__xludf.DUMMYFUNCTION("""COMPUTED_VALUE"""),43630.99861111111)</f>
        <v>43630.99861</v>
      </c>
      <c r="B3263" s="1">
        <f>IFERROR(__xludf.DUMMYFUNCTION("""COMPUTED_VALUE"""),459.325)</f>
        <v>459.325</v>
      </c>
    </row>
    <row r="3264">
      <c r="A3264" s="3">
        <f>IFERROR(__xludf.DUMMYFUNCTION("""COMPUTED_VALUE"""),43631.99861111111)</f>
        <v>43631.99861</v>
      </c>
      <c r="B3264" s="1">
        <f>IFERROR(__xludf.DUMMYFUNCTION("""COMPUTED_VALUE"""),461.07)</f>
        <v>461.07</v>
      </c>
    </row>
    <row r="3265">
      <c r="A3265" s="3">
        <f>IFERROR(__xludf.DUMMYFUNCTION("""COMPUTED_VALUE"""),43632.99861111111)</f>
        <v>43632.99861</v>
      </c>
      <c r="B3265" s="1">
        <f>IFERROR(__xludf.DUMMYFUNCTION("""COMPUTED_VALUE"""),461.07)</f>
        <v>461.07</v>
      </c>
    </row>
    <row r="3266">
      <c r="A3266" s="3">
        <f>IFERROR(__xludf.DUMMYFUNCTION("""COMPUTED_VALUE"""),43633.99861111111)</f>
        <v>43633.99861</v>
      </c>
      <c r="B3266" s="1">
        <f>IFERROR(__xludf.DUMMYFUNCTION("""COMPUTED_VALUE"""),456.825)</f>
        <v>456.825</v>
      </c>
    </row>
    <row r="3267">
      <c r="A3267" s="3">
        <f>IFERROR(__xludf.DUMMYFUNCTION("""COMPUTED_VALUE"""),43634.99861111111)</f>
        <v>43634.99861</v>
      </c>
      <c r="B3267" s="1">
        <f>IFERROR(__xludf.DUMMYFUNCTION("""COMPUTED_VALUE"""),459.565)</f>
        <v>459.565</v>
      </c>
    </row>
    <row r="3268">
      <c r="A3268" s="3">
        <f>IFERROR(__xludf.DUMMYFUNCTION("""COMPUTED_VALUE"""),43635.99861111111)</f>
        <v>43635.99861</v>
      </c>
      <c r="B3268" s="1">
        <f>IFERROR(__xludf.DUMMYFUNCTION("""COMPUTED_VALUE"""),455.945)</f>
        <v>455.945</v>
      </c>
    </row>
    <row r="3269">
      <c r="A3269" s="3">
        <f>IFERROR(__xludf.DUMMYFUNCTION("""COMPUTED_VALUE"""),43636.99861111111)</f>
        <v>43636.99861</v>
      </c>
      <c r="B3269" s="1">
        <f>IFERROR(__xludf.DUMMYFUNCTION("""COMPUTED_VALUE"""),459.005)</f>
        <v>459.005</v>
      </c>
    </row>
    <row r="3270">
      <c r="A3270" s="3">
        <f>IFERROR(__xludf.DUMMYFUNCTION("""COMPUTED_VALUE"""),43637.99861111111)</f>
        <v>43637.99861</v>
      </c>
      <c r="B3270" s="1">
        <f>IFERROR(__xludf.DUMMYFUNCTION("""COMPUTED_VALUE"""),502.785)</f>
        <v>502.785</v>
      </c>
    </row>
    <row r="3271">
      <c r="A3271" s="3">
        <f>IFERROR(__xludf.DUMMYFUNCTION("""COMPUTED_VALUE"""),43638.99861111111)</f>
        <v>43638.99861</v>
      </c>
      <c r="B3271" s="1">
        <f>IFERROR(__xludf.DUMMYFUNCTION("""COMPUTED_VALUE"""),502.785)</f>
        <v>502.785</v>
      </c>
    </row>
    <row r="3272">
      <c r="A3272" s="3">
        <f>IFERROR(__xludf.DUMMYFUNCTION("""COMPUTED_VALUE"""),43639.99861111111)</f>
        <v>43639.99861</v>
      </c>
      <c r="B3272" s="1">
        <f>IFERROR(__xludf.DUMMYFUNCTION("""COMPUTED_VALUE"""),502.785)</f>
        <v>502.785</v>
      </c>
    </row>
    <row r="3273">
      <c r="A3273" s="3">
        <f>IFERROR(__xludf.DUMMYFUNCTION("""COMPUTED_VALUE"""),43640.99861111111)</f>
        <v>43640.99861</v>
      </c>
      <c r="B3273" s="1">
        <f>IFERROR(__xludf.DUMMYFUNCTION("""COMPUTED_VALUE"""),503.735)</f>
        <v>503.735</v>
      </c>
    </row>
    <row r="3274">
      <c r="A3274" s="3">
        <f>IFERROR(__xludf.DUMMYFUNCTION("""COMPUTED_VALUE"""),43641.99861111111)</f>
        <v>43641.99861</v>
      </c>
      <c r="B3274" s="1">
        <f>IFERROR(__xludf.DUMMYFUNCTION("""COMPUTED_VALUE"""),459.885)</f>
        <v>459.885</v>
      </c>
    </row>
    <row r="3275">
      <c r="A3275" s="3">
        <f>IFERROR(__xludf.DUMMYFUNCTION("""COMPUTED_VALUE"""),43642.99861111111)</f>
        <v>43642.99861</v>
      </c>
      <c r="B3275" s="1">
        <f>IFERROR(__xludf.DUMMYFUNCTION("""COMPUTED_VALUE"""),460.81)</f>
        <v>460.81</v>
      </c>
    </row>
    <row r="3276">
      <c r="A3276" s="3">
        <f>IFERROR(__xludf.DUMMYFUNCTION("""COMPUTED_VALUE"""),43643.99861111111)</f>
        <v>43643.99861</v>
      </c>
      <c r="B3276" s="1">
        <f>IFERROR(__xludf.DUMMYFUNCTION("""COMPUTED_VALUE"""),459.125)</f>
        <v>459.125</v>
      </c>
    </row>
    <row r="3277">
      <c r="A3277" s="3">
        <f>IFERROR(__xludf.DUMMYFUNCTION("""COMPUTED_VALUE"""),43644.99861111111)</f>
        <v>43644.99861</v>
      </c>
      <c r="B3277" s="1">
        <f>IFERROR(__xludf.DUMMYFUNCTION("""COMPUTED_VALUE"""),460.1)</f>
        <v>460.1</v>
      </c>
    </row>
    <row r="3278">
      <c r="A3278" s="3">
        <f>IFERROR(__xludf.DUMMYFUNCTION("""COMPUTED_VALUE"""),43645.99861111111)</f>
        <v>43645.99861</v>
      </c>
      <c r="B3278" s="1">
        <f>IFERROR(__xludf.DUMMYFUNCTION("""COMPUTED_VALUE"""),460.1)</f>
        <v>460.1</v>
      </c>
    </row>
    <row r="3279">
      <c r="A3279" s="3">
        <f>IFERROR(__xludf.DUMMYFUNCTION("""COMPUTED_VALUE"""),43646.99861111111)</f>
        <v>43646.99861</v>
      </c>
      <c r="B3279" s="1">
        <f>IFERROR(__xludf.DUMMYFUNCTION("""COMPUTED_VALUE"""),460.1)</f>
        <v>460.1</v>
      </c>
    </row>
    <row r="3280">
      <c r="A3280" s="3">
        <f>IFERROR(__xludf.DUMMYFUNCTION("""COMPUTED_VALUE"""),43647.99861111111)</f>
        <v>43647.99861</v>
      </c>
      <c r="B3280" s="1">
        <f>IFERROR(__xludf.DUMMYFUNCTION("""COMPUTED_VALUE"""),460.585)</f>
        <v>460.585</v>
      </c>
    </row>
    <row r="3281">
      <c r="A3281" s="3">
        <f>IFERROR(__xludf.DUMMYFUNCTION("""COMPUTED_VALUE"""),43648.99861111111)</f>
        <v>43648.99861</v>
      </c>
      <c r="B3281" s="1">
        <f>IFERROR(__xludf.DUMMYFUNCTION("""COMPUTED_VALUE"""),461.775)</f>
        <v>461.775</v>
      </c>
    </row>
    <row r="3282">
      <c r="A3282" s="3">
        <f>IFERROR(__xludf.DUMMYFUNCTION("""COMPUTED_VALUE"""),43649.99861111111)</f>
        <v>43649.99861</v>
      </c>
      <c r="B3282" s="1">
        <f>IFERROR(__xludf.DUMMYFUNCTION("""COMPUTED_VALUE"""),460.275)</f>
        <v>460.275</v>
      </c>
    </row>
    <row r="3283">
      <c r="A3283" s="3">
        <f>IFERROR(__xludf.DUMMYFUNCTION("""COMPUTED_VALUE"""),43650.99861111111)</f>
        <v>43650.99861</v>
      </c>
      <c r="B3283" s="1">
        <f>IFERROR(__xludf.DUMMYFUNCTION("""COMPUTED_VALUE"""),461.205)</f>
        <v>461.205</v>
      </c>
    </row>
    <row r="3284">
      <c r="A3284" s="3">
        <f>IFERROR(__xludf.DUMMYFUNCTION("""COMPUTED_VALUE"""),43651.99861111111)</f>
        <v>43651.99861</v>
      </c>
      <c r="B3284" s="1">
        <f>IFERROR(__xludf.DUMMYFUNCTION("""COMPUTED_VALUE"""),456.895)</f>
        <v>456.895</v>
      </c>
    </row>
    <row r="3285">
      <c r="A3285" s="3">
        <f>IFERROR(__xludf.DUMMYFUNCTION("""COMPUTED_VALUE"""),43652.99861111111)</f>
        <v>43652.99861</v>
      </c>
      <c r="B3285" s="1">
        <f>IFERROR(__xludf.DUMMYFUNCTION("""COMPUTED_VALUE"""),456.895)</f>
        <v>456.895</v>
      </c>
    </row>
    <row r="3286">
      <c r="A3286" s="3">
        <f>IFERROR(__xludf.DUMMYFUNCTION("""COMPUTED_VALUE"""),43653.99861111111)</f>
        <v>43653.99861</v>
      </c>
      <c r="B3286" s="1">
        <f>IFERROR(__xludf.DUMMYFUNCTION("""COMPUTED_VALUE"""),456.895)</f>
        <v>456.895</v>
      </c>
    </row>
    <row r="3287">
      <c r="A3287" s="3">
        <f>IFERROR(__xludf.DUMMYFUNCTION("""COMPUTED_VALUE"""),43654.99861111111)</f>
        <v>43654.99861</v>
      </c>
      <c r="B3287" s="1">
        <f>IFERROR(__xludf.DUMMYFUNCTION("""COMPUTED_VALUE"""),501.0)</f>
        <v>501</v>
      </c>
    </row>
    <row r="3288">
      <c r="A3288" s="3">
        <f>IFERROR(__xludf.DUMMYFUNCTION("""COMPUTED_VALUE"""),43655.99861111111)</f>
        <v>43655.99861</v>
      </c>
      <c r="B3288" s="1">
        <f>IFERROR(__xludf.DUMMYFUNCTION("""COMPUTED_VALUE"""),501.36)</f>
        <v>501.36</v>
      </c>
    </row>
    <row r="3289">
      <c r="A3289" s="3">
        <f>IFERROR(__xludf.DUMMYFUNCTION("""COMPUTED_VALUE"""),43656.99861111111)</f>
        <v>43656.99861</v>
      </c>
      <c r="B3289" s="1">
        <f>IFERROR(__xludf.DUMMYFUNCTION("""COMPUTED_VALUE"""),459.965)</f>
        <v>459.965</v>
      </c>
    </row>
    <row r="3290">
      <c r="A3290" s="3">
        <f>IFERROR(__xludf.DUMMYFUNCTION("""COMPUTED_VALUE"""),43657.99861111111)</f>
        <v>43657.99861</v>
      </c>
      <c r="B3290" s="1">
        <f>IFERROR(__xludf.DUMMYFUNCTION("""COMPUTED_VALUE"""),459.925)</f>
        <v>459.925</v>
      </c>
    </row>
    <row r="3291">
      <c r="A3291" s="3">
        <f>IFERROR(__xludf.DUMMYFUNCTION("""COMPUTED_VALUE"""),43658.99861111111)</f>
        <v>43658.99861</v>
      </c>
      <c r="B3291" s="1">
        <f>IFERROR(__xludf.DUMMYFUNCTION("""COMPUTED_VALUE"""),452.705)</f>
        <v>452.705</v>
      </c>
    </row>
    <row r="3292">
      <c r="A3292" s="3">
        <f>IFERROR(__xludf.DUMMYFUNCTION("""COMPUTED_VALUE"""),43659.99861111111)</f>
        <v>43659.99861</v>
      </c>
      <c r="B3292" s="1">
        <f>IFERROR(__xludf.DUMMYFUNCTION("""COMPUTED_VALUE"""),452.705)</f>
        <v>452.705</v>
      </c>
    </row>
    <row r="3293">
      <c r="A3293" s="3">
        <f>IFERROR(__xludf.DUMMYFUNCTION("""COMPUTED_VALUE"""),43660.99861111111)</f>
        <v>43660.99861</v>
      </c>
      <c r="B3293" s="1">
        <f>IFERROR(__xludf.DUMMYFUNCTION("""COMPUTED_VALUE"""),452.705)</f>
        <v>452.705</v>
      </c>
    </row>
    <row r="3294">
      <c r="A3294" s="3">
        <f>IFERROR(__xludf.DUMMYFUNCTION("""COMPUTED_VALUE"""),43661.99861111111)</f>
        <v>43661.99861</v>
      </c>
      <c r="B3294" s="1">
        <f>IFERROR(__xludf.DUMMYFUNCTION("""COMPUTED_VALUE"""),450.315)</f>
        <v>450.315</v>
      </c>
    </row>
    <row r="3295">
      <c r="A3295" s="3">
        <f>IFERROR(__xludf.DUMMYFUNCTION("""COMPUTED_VALUE"""),43662.99861111111)</f>
        <v>43662.99861</v>
      </c>
      <c r="B3295" s="1">
        <f>IFERROR(__xludf.DUMMYFUNCTION("""COMPUTED_VALUE"""),451.065)</f>
        <v>451.065</v>
      </c>
    </row>
    <row r="3296">
      <c r="A3296" s="3">
        <f>IFERROR(__xludf.DUMMYFUNCTION("""COMPUTED_VALUE"""),43663.99861111111)</f>
        <v>43663.99861</v>
      </c>
      <c r="B3296" s="1">
        <f>IFERROR(__xludf.DUMMYFUNCTION("""COMPUTED_VALUE"""),452.045)</f>
        <v>452.045</v>
      </c>
    </row>
    <row r="3297">
      <c r="A3297" s="3">
        <f>IFERROR(__xludf.DUMMYFUNCTION("""COMPUTED_VALUE"""),43664.99861111111)</f>
        <v>43664.99861</v>
      </c>
      <c r="B3297" s="1">
        <f>IFERROR(__xludf.DUMMYFUNCTION("""COMPUTED_VALUE"""),451.82)</f>
        <v>451.82</v>
      </c>
    </row>
    <row r="3298">
      <c r="A3298" s="3">
        <f>IFERROR(__xludf.DUMMYFUNCTION("""COMPUTED_VALUE"""),43665.99861111111)</f>
        <v>43665.99861</v>
      </c>
      <c r="B3298" s="1">
        <f>IFERROR(__xludf.DUMMYFUNCTION("""COMPUTED_VALUE"""),452.025)</f>
        <v>452.025</v>
      </c>
    </row>
    <row r="3299">
      <c r="A3299" s="3">
        <f>IFERROR(__xludf.DUMMYFUNCTION("""COMPUTED_VALUE"""),43666.99861111111)</f>
        <v>43666.99861</v>
      </c>
      <c r="B3299" s="1">
        <f>IFERROR(__xludf.DUMMYFUNCTION("""COMPUTED_VALUE"""),452.69)</f>
        <v>452.69</v>
      </c>
    </row>
    <row r="3300">
      <c r="A3300" s="3">
        <f>IFERROR(__xludf.DUMMYFUNCTION("""COMPUTED_VALUE"""),43667.99861111111)</f>
        <v>43667.99861</v>
      </c>
      <c r="B3300" s="1">
        <f>IFERROR(__xludf.DUMMYFUNCTION("""COMPUTED_VALUE"""),452.69)</f>
        <v>452.69</v>
      </c>
    </row>
    <row r="3301">
      <c r="A3301" s="3">
        <f>IFERROR(__xludf.DUMMYFUNCTION("""COMPUTED_VALUE"""),43668.99861111111)</f>
        <v>43668.99861</v>
      </c>
      <c r="B3301" s="1">
        <f>IFERROR(__xludf.DUMMYFUNCTION("""COMPUTED_VALUE"""),451.875)</f>
        <v>451.875</v>
      </c>
    </row>
    <row r="3302">
      <c r="A3302" s="3">
        <f>IFERROR(__xludf.DUMMYFUNCTION("""COMPUTED_VALUE"""),43669.99861111111)</f>
        <v>43669.99861</v>
      </c>
      <c r="B3302" s="1">
        <f>IFERROR(__xludf.DUMMYFUNCTION("""COMPUTED_VALUE"""),453.675)</f>
        <v>453.675</v>
      </c>
    </row>
    <row r="3303">
      <c r="A3303" s="3">
        <f>IFERROR(__xludf.DUMMYFUNCTION("""COMPUTED_VALUE"""),43670.99861111111)</f>
        <v>43670.99861</v>
      </c>
      <c r="B3303" s="1">
        <f>IFERROR(__xludf.DUMMYFUNCTION("""COMPUTED_VALUE"""),452.765)</f>
        <v>452.765</v>
      </c>
    </row>
    <row r="3304">
      <c r="A3304" s="3">
        <f>IFERROR(__xludf.DUMMYFUNCTION("""COMPUTED_VALUE"""),43671.99861111111)</f>
        <v>43671.99861</v>
      </c>
      <c r="B3304" s="1">
        <f>IFERROR(__xludf.DUMMYFUNCTION("""COMPUTED_VALUE"""),451.875)</f>
        <v>451.875</v>
      </c>
    </row>
    <row r="3305">
      <c r="A3305" s="3">
        <f>IFERROR(__xludf.DUMMYFUNCTION("""COMPUTED_VALUE"""),43672.99861111111)</f>
        <v>43672.99861</v>
      </c>
      <c r="B3305" s="1">
        <f>IFERROR(__xludf.DUMMYFUNCTION("""COMPUTED_VALUE"""),453.305)</f>
        <v>453.305</v>
      </c>
    </row>
    <row r="3306">
      <c r="A3306" s="3">
        <f>IFERROR(__xludf.DUMMYFUNCTION("""COMPUTED_VALUE"""),43673.99861111111)</f>
        <v>43673.99861</v>
      </c>
      <c r="B3306" s="1">
        <f>IFERROR(__xludf.DUMMYFUNCTION("""COMPUTED_VALUE"""),453.305)</f>
        <v>453.305</v>
      </c>
    </row>
    <row r="3307">
      <c r="A3307" s="3">
        <f>IFERROR(__xludf.DUMMYFUNCTION("""COMPUTED_VALUE"""),43674.99861111111)</f>
        <v>43674.99861</v>
      </c>
      <c r="B3307" s="1">
        <f>IFERROR(__xludf.DUMMYFUNCTION("""COMPUTED_VALUE"""),453.305)</f>
        <v>453.305</v>
      </c>
    </row>
    <row r="3308">
      <c r="A3308" s="3">
        <f>IFERROR(__xludf.DUMMYFUNCTION("""COMPUTED_VALUE"""),43675.99861111111)</f>
        <v>43675.99861</v>
      </c>
      <c r="B3308" s="1">
        <f>IFERROR(__xludf.DUMMYFUNCTION("""COMPUTED_VALUE"""),468.795)</f>
        <v>468.795</v>
      </c>
    </row>
    <row r="3309">
      <c r="A3309" s="3">
        <f>IFERROR(__xludf.DUMMYFUNCTION("""COMPUTED_VALUE"""),43676.99861111111)</f>
        <v>43676.99861</v>
      </c>
      <c r="B3309" s="1">
        <f>IFERROR(__xludf.DUMMYFUNCTION("""COMPUTED_VALUE"""),455.145)</f>
        <v>455.145</v>
      </c>
    </row>
    <row r="3310">
      <c r="A3310" s="3">
        <f>IFERROR(__xludf.DUMMYFUNCTION("""COMPUTED_VALUE"""),43677.99861111111)</f>
        <v>43677.99861</v>
      </c>
      <c r="B3310" s="1">
        <f>IFERROR(__xludf.DUMMYFUNCTION("""COMPUTED_VALUE"""),458.995)</f>
        <v>458.995</v>
      </c>
    </row>
    <row r="3311">
      <c r="A3311" s="3">
        <f>IFERROR(__xludf.DUMMYFUNCTION("""COMPUTED_VALUE"""),43678.99861111111)</f>
        <v>43678.99861</v>
      </c>
      <c r="B3311" s="1">
        <f>IFERROR(__xludf.DUMMYFUNCTION("""COMPUTED_VALUE"""),456.41)</f>
        <v>456.41</v>
      </c>
    </row>
    <row r="3312">
      <c r="A3312" s="3">
        <f>IFERROR(__xludf.DUMMYFUNCTION("""COMPUTED_VALUE"""),43679.99861111111)</f>
        <v>43679.99861</v>
      </c>
      <c r="B3312" s="1">
        <f>IFERROR(__xludf.DUMMYFUNCTION("""COMPUTED_VALUE"""),461.66)</f>
        <v>461.66</v>
      </c>
    </row>
    <row r="3313">
      <c r="A3313" s="3">
        <f>IFERROR(__xludf.DUMMYFUNCTION("""COMPUTED_VALUE"""),43680.99861111111)</f>
        <v>43680.99861</v>
      </c>
      <c r="B3313" s="1">
        <f>IFERROR(__xludf.DUMMYFUNCTION("""COMPUTED_VALUE"""),461.66)</f>
        <v>461.66</v>
      </c>
    </row>
    <row r="3314">
      <c r="A3314" s="3">
        <f>IFERROR(__xludf.DUMMYFUNCTION("""COMPUTED_VALUE"""),43681.99861111111)</f>
        <v>43681.99861</v>
      </c>
      <c r="B3314" s="1">
        <f>IFERROR(__xludf.DUMMYFUNCTION("""COMPUTED_VALUE"""),461.66)</f>
        <v>461.66</v>
      </c>
    </row>
    <row r="3315">
      <c r="A3315" s="3">
        <f>IFERROR(__xludf.DUMMYFUNCTION("""COMPUTED_VALUE"""),43682.99861111111)</f>
        <v>43682.99861</v>
      </c>
      <c r="B3315" s="1">
        <f>IFERROR(__xludf.DUMMYFUNCTION("""COMPUTED_VALUE"""),460.235)</f>
        <v>460.235</v>
      </c>
    </row>
    <row r="3316">
      <c r="A3316" s="3">
        <f>IFERROR(__xludf.DUMMYFUNCTION("""COMPUTED_VALUE"""),43683.99861111111)</f>
        <v>43683.99861</v>
      </c>
      <c r="B3316" s="1">
        <f>IFERROR(__xludf.DUMMYFUNCTION("""COMPUTED_VALUE"""),462.725)</f>
        <v>462.725</v>
      </c>
    </row>
    <row r="3317">
      <c r="A3317" s="3">
        <f>IFERROR(__xludf.DUMMYFUNCTION("""COMPUTED_VALUE"""),43684.99861111111)</f>
        <v>43684.99861</v>
      </c>
      <c r="B3317" s="1">
        <f>IFERROR(__xludf.DUMMYFUNCTION("""COMPUTED_VALUE"""),462.355)</f>
        <v>462.355</v>
      </c>
    </row>
    <row r="3318">
      <c r="A3318" s="3">
        <f>IFERROR(__xludf.DUMMYFUNCTION("""COMPUTED_VALUE"""),43685.99861111111)</f>
        <v>43685.99861</v>
      </c>
      <c r="B3318" s="1">
        <f>IFERROR(__xludf.DUMMYFUNCTION("""COMPUTED_VALUE"""),463.015)</f>
        <v>463.015</v>
      </c>
    </row>
    <row r="3319">
      <c r="A3319" s="3">
        <f>IFERROR(__xludf.DUMMYFUNCTION("""COMPUTED_VALUE"""),43686.99861111111)</f>
        <v>43686.99861</v>
      </c>
      <c r="B3319" s="1">
        <f>IFERROR(__xludf.DUMMYFUNCTION("""COMPUTED_VALUE"""),461.78)</f>
        <v>461.78</v>
      </c>
    </row>
    <row r="3320">
      <c r="A3320" s="3">
        <f>IFERROR(__xludf.DUMMYFUNCTION("""COMPUTED_VALUE"""),43687.99861111111)</f>
        <v>43687.99861</v>
      </c>
      <c r="B3320" s="1">
        <f>IFERROR(__xludf.DUMMYFUNCTION("""COMPUTED_VALUE"""),461.78)</f>
        <v>461.78</v>
      </c>
    </row>
    <row r="3321">
      <c r="A3321" s="3">
        <f>IFERROR(__xludf.DUMMYFUNCTION("""COMPUTED_VALUE"""),43688.99861111111)</f>
        <v>43688.99861</v>
      </c>
      <c r="B3321" s="1">
        <f>IFERROR(__xludf.DUMMYFUNCTION("""COMPUTED_VALUE"""),461.78)</f>
        <v>461.78</v>
      </c>
    </row>
    <row r="3322">
      <c r="A3322" s="3">
        <f>IFERROR(__xludf.DUMMYFUNCTION("""COMPUTED_VALUE"""),43689.99861111111)</f>
        <v>43689.99861</v>
      </c>
      <c r="B3322" s="1">
        <f>IFERROR(__xludf.DUMMYFUNCTION("""COMPUTED_VALUE"""),461.5)</f>
        <v>461.5</v>
      </c>
    </row>
    <row r="3323">
      <c r="A3323" s="3">
        <f>IFERROR(__xludf.DUMMYFUNCTION("""COMPUTED_VALUE"""),43690.99861111111)</f>
        <v>43690.99861</v>
      </c>
      <c r="B3323" s="1">
        <f>IFERROR(__xludf.DUMMYFUNCTION("""COMPUTED_VALUE"""),466.655)</f>
        <v>466.655</v>
      </c>
    </row>
    <row r="3324">
      <c r="A3324" s="3">
        <f>IFERROR(__xludf.DUMMYFUNCTION("""COMPUTED_VALUE"""),43691.99861111111)</f>
        <v>43691.99861</v>
      </c>
      <c r="B3324" s="1">
        <f>IFERROR(__xludf.DUMMYFUNCTION("""COMPUTED_VALUE"""),463.24)</f>
        <v>463.24</v>
      </c>
    </row>
    <row r="3325">
      <c r="A3325" s="3">
        <f>IFERROR(__xludf.DUMMYFUNCTION("""COMPUTED_VALUE"""),43692.99861111111)</f>
        <v>43692.99861</v>
      </c>
      <c r="B3325" s="1">
        <f>IFERROR(__xludf.DUMMYFUNCTION("""COMPUTED_VALUE"""),464.425)</f>
        <v>464.425</v>
      </c>
    </row>
    <row r="3326">
      <c r="A3326" s="3">
        <f>IFERROR(__xludf.DUMMYFUNCTION("""COMPUTED_VALUE"""),43693.99861111111)</f>
        <v>43693.99861</v>
      </c>
      <c r="B3326" s="1">
        <f>IFERROR(__xludf.DUMMYFUNCTION("""COMPUTED_VALUE"""),459.855)</f>
        <v>459.855</v>
      </c>
    </row>
    <row r="3327">
      <c r="A3327" s="3">
        <f>IFERROR(__xludf.DUMMYFUNCTION("""COMPUTED_VALUE"""),43694.99861111111)</f>
        <v>43694.99861</v>
      </c>
      <c r="B3327" s="1">
        <f>IFERROR(__xludf.DUMMYFUNCTION("""COMPUTED_VALUE"""),459.855)</f>
        <v>459.855</v>
      </c>
    </row>
    <row r="3328">
      <c r="A3328" s="3">
        <f>IFERROR(__xludf.DUMMYFUNCTION("""COMPUTED_VALUE"""),43695.99861111111)</f>
        <v>43695.99861</v>
      </c>
      <c r="B3328" s="1">
        <f>IFERROR(__xludf.DUMMYFUNCTION("""COMPUTED_VALUE"""),459.855)</f>
        <v>459.855</v>
      </c>
    </row>
    <row r="3329">
      <c r="A3329" s="3">
        <f>IFERROR(__xludf.DUMMYFUNCTION("""COMPUTED_VALUE"""),43696.99861111111)</f>
        <v>43696.99861</v>
      </c>
      <c r="B3329" s="1">
        <f>IFERROR(__xludf.DUMMYFUNCTION("""COMPUTED_VALUE"""),461.9)</f>
        <v>461.9</v>
      </c>
    </row>
    <row r="3330">
      <c r="A3330" s="3">
        <f>IFERROR(__xludf.DUMMYFUNCTION("""COMPUTED_VALUE"""),43697.99861111111)</f>
        <v>43697.99861</v>
      </c>
      <c r="B3330" s="1">
        <f>IFERROR(__xludf.DUMMYFUNCTION("""COMPUTED_VALUE"""),462.46)</f>
        <v>462.46</v>
      </c>
    </row>
    <row r="3331">
      <c r="A3331" s="3">
        <f>IFERROR(__xludf.DUMMYFUNCTION("""COMPUTED_VALUE"""),43698.99861111111)</f>
        <v>43698.99861</v>
      </c>
      <c r="B3331" s="1">
        <f>IFERROR(__xludf.DUMMYFUNCTION("""COMPUTED_VALUE"""),462.985)</f>
        <v>462.985</v>
      </c>
    </row>
    <row r="3332">
      <c r="A3332" s="3">
        <f>IFERROR(__xludf.DUMMYFUNCTION("""COMPUTED_VALUE"""),43699.99861111111)</f>
        <v>43699.99861</v>
      </c>
      <c r="B3332" s="1">
        <f>IFERROR(__xludf.DUMMYFUNCTION("""COMPUTED_VALUE"""),461.585)</f>
        <v>461.585</v>
      </c>
    </row>
    <row r="3333">
      <c r="A3333" s="3">
        <f>IFERROR(__xludf.DUMMYFUNCTION("""COMPUTED_VALUE"""),43700.99861111111)</f>
        <v>43700.99861</v>
      </c>
      <c r="B3333" s="1">
        <f>IFERROR(__xludf.DUMMYFUNCTION("""COMPUTED_VALUE"""),460.095)</f>
        <v>460.095</v>
      </c>
    </row>
    <row r="3334">
      <c r="A3334" s="3">
        <f>IFERROR(__xludf.DUMMYFUNCTION("""COMPUTED_VALUE"""),43701.99861111111)</f>
        <v>43701.99861</v>
      </c>
      <c r="B3334" s="1">
        <f>IFERROR(__xludf.DUMMYFUNCTION("""COMPUTED_VALUE"""),462.57)</f>
        <v>462.57</v>
      </c>
    </row>
    <row r="3335">
      <c r="A3335" s="3">
        <f>IFERROR(__xludf.DUMMYFUNCTION("""COMPUTED_VALUE"""),43702.99861111111)</f>
        <v>43702.99861</v>
      </c>
      <c r="B3335" s="1">
        <f>IFERROR(__xludf.DUMMYFUNCTION("""COMPUTED_VALUE"""),462.57)</f>
        <v>462.57</v>
      </c>
    </row>
    <row r="3336">
      <c r="A3336" s="3">
        <f>IFERROR(__xludf.DUMMYFUNCTION("""COMPUTED_VALUE"""),43703.99861111111)</f>
        <v>43703.99861</v>
      </c>
      <c r="B3336" s="1">
        <f>IFERROR(__xludf.DUMMYFUNCTION("""COMPUTED_VALUE"""),465.33)</f>
        <v>465.33</v>
      </c>
    </row>
    <row r="3337">
      <c r="A3337" s="3">
        <f>IFERROR(__xludf.DUMMYFUNCTION("""COMPUTED_VALUE"""),43704.99861111111)</f>
        <v>43704.99861</v>
      </c>
      <c r="B3337" s="1">
        <f>IFERROR(__xludf.DUMMYFUNCTION("""COMPUTED_VALUE"""),465.54)</f>
        <v>465.54</v>
      </c>
    </row>
    <row r="3338">
      <c r="A3338" s="3">
        <f>IFERROR(__xludf.DUMMYFUNCTION("""COMPUTED_VALUE"""),43705.99861111111)</f>
        <v>43705.99861</v>
      </c>
      <c r="B3338" s="1">
        <f>IFERROR(__xludf.DUMMYFUNCTION("""COMPUTED_VALUE"""),465.14)</f>
        <v>465.14</v>
      </c>
    </row>
    <row r="3339">
      <c r="A3339" s="3">
        <f>IFERROR(__xludf.DUMMYFUNCTION("""COMPUTED_VALUE"""),43706.99861111111)</f>
        <v>43706.99861</v>
      </c>
      <c r="B3339" s="1">
        <f>IFERROR(__xludf.DUMMYFUNCTION("""COMPUTED_VALUE"""),464.765)</f>
        <v>464.765</v>
      </c>
    </row>
    <row r="3340">
      <c r="A3340" s="3">
        <f>IFERROR(__xludf.DUMMYFUNCTION("""COMPUTED_VALUE"""),43707.99861111111)</f>
        <v>43707.99861</v>
      </c>
      <c r="B3340" s="1">
        <f>IFERROR(__xludf.DUMMYFUNCTION("""COMPUTED_VALUE"""),465.38)</f>
        <v>465.38</v>
      </c>
    </row>
    <row r="3341">
      <c r="A3341" s="3">
        <f>IFERROR(__xludf.DUMMYFUNCTION("""COMPUTED_VALUE"""),43708.99861111111)</f>
        <v>43708.99861</v>
      </c>
      <c r="B3341" s="1">
        <f>IFERROR(__xludf.DUMMYFUNCTION("""COMPUTED_VALUE"""),465.38)</f>
        <v>465.38</v>
      </c>
    </row>
    <row r="3342">
      <c r="A3342" s="3">
        <f>IFERROR(__xludf.DUMMYFUNCTION("""COMPUTED_VALUE"""),43709.99861111111)</f>
        <v>43709.99861</v>
      </c>
      <c r="B3342" s="1">
        <f>IFERROR(__xludf.DUMMYFUNCTION("""COMPUTED_VALUE"""),465.38)</f>
        <v>465.38</v>
      </c>
    </row>
    <row r="3343">
      <c r="A3343" s="3">
        <f>IFERROR(__xludf.DUMMYFUNCTION("""COMPUTED_VALUE"""),43710.99861111111)</f>
        <v>43710.99861</v>
      </c>
      <c r="B3343" s="1">
        <f>IFERROR(__xludf.DUMMYFUNCTION("""COMPUTED_VALUE"""),463.435)</f>
        <v>463.435</v>
      </c>
    </row>
    <row r="3344">
      <c r="A3344" s="3">
        <f>IFERROR(__xludf.DUMMYFUNCTION("""COMPUTED_VALUE"""),43711.99861111111)</f>
        <v>43711.99861</v>
      </c>
      <c r="B3344" s="1">
        <f>IFERROR(__xludf.DUMMYFUNCTION("""COMPUTED_VALUE"""),464.52)</f>
        <v>464.52</v>
      </c>
    </row>
    <row r="3345">
      <c r="A3345" s="3">
        <f>IFERROR(__xludf.DUMMYFUNCTION("""COMPUTED_VALUE"""),43712.99861111111)</f>
        <v>43712.99861</v>
      </c>
      <c r="B3345" s="1">
        <f>IFERROR(__xludf.DUMMYFUNCTION("""COMPUTED_VALUE"""),462.915)</f>
        <v>462.915</v>
      </c>
    </row>
    <row r="3346">
      <c r="A3346" s="3">
        <f>IFERROR(__xludf.DUMMYFUNCTION("""COMPUTED_VALUE"""),43713.99861111111)</f>
        <v>43713.99861</v>
      </c>
      <c r="B3346" s="1">
        <f>IFERROR(__xludf.DUMMYFUNCTION("""COMPUTED_VALUE"""),461.19)</f>
        <v>461.19</v>
      </c>
    </row>
    <row r="3347">
      <c r="A3347" s="3">
        <f>IFERROR(__xludf.DUMMYFUNCTION("""COMPUTED_VALUE"""),43714.99861111111)</f>
        <v>43714.99861</v>
      </c>
      <c r="B3347" s="1">
        <f>IFERROR(__xludf.DUMMYFUNCTION("""COMPUTED_VALUE"""),460.475)</f>
        <v>460.475</v>
      </c>
    </row>
    <row r="3348">
      <c r="A3348" s="3">
        <f>IFERROR(__xludf.DUMMYFUNCTION("""COMPUTED_VALUE"""),43715.99861111111)</f>
        <v>43715.99861</v>
      </c>
      <c r="B3348" s="1">
        <f>IFERROR(__xludf.DUMMYFUNCTION("""COMPUTED_VALUE"""),459.49)</f>
        <v>459.49</v>
      </c>
    </row>
    <row r="3349">
      <c r="A3349" s="3">
        <f>IFERROR(__xludf.DUMMYFUNCTION("""COMPUTED_VALUE"""),43716.99861111111)</f>
        <v>43716.99861</v>
      </c>
      <c r="B3349" s="1">
        <f>IFERROR(__xludf.DUMMYFUNCTION("""COMPUTED_VALUE"""),459.49)</f>
        <v>459.49</v>
      </c>
    </row>
    <row r="3350">
      <c r="A3350" s="3">
        <f>IFERROR(__xludf.DUMMYFUNCTION("""COMPUTED_VALUE"""),43717.99861111111)</f>
        <v>43717.99861</v>
      </c>
      <c r="B3350" s="1">
        <f>IFERROR(__xludf.DUMMYFUNCTION("""COMPUTED_VALUE"""),457.54)</f>
        <v>457.54</v>
      </c>
    </row>
    <row r="3351">
      <c r="A3351" s="3">
        <f>IFERROR(__xludf.DUMMYFUNCTION("""COMPUTED_VALUE"""),43718.99861111111)</f>
        <v>43718.99861</v>
      </c>
      <c r="B3351" s="1">
        <f>IFERROR(__xludf.DUMMYFUNCTION("""COMPUTED_VALUE"""),458.615)</f>
        <v>458.615</v>
      </c>
    </row>
    <row r="3352">
      <c r="A3352" s="3">
        <f>IFERROR(__xludf.DUMMYFUNCTION("""COMPUTED_VALUE"""),43719.99861111111)</f>
        <v>43719.99861</v>
      </c>
      <c r="B3352" s="1">
        <f>IFERROR(__xludf.DUMMYFUNCTION("""COMPUTED_VALUE"""),459.22)</f>
        <v>459.22</v>
      </c>
    </row>
    <row r="3353">
      <c r="A3353" s="3">
        <f>IFERROR(__xludf.DUMMYFUNCTION("""COMPUTED_VALUE"""),43720.99861111111)</f>
        <v>43720.99861</v>
      </c>
      <c r="B3353" s="1">
        <f>IFERROR(__xludf.DUMMYFUNCTION("""COMPUTED_VALUE"""),457.565)</f>
        <v>457.565</v>
      </c>
    </row>
    <row r="3354">
      <c r="A3354" s="3">
        <f>IFERROR(__xludf.DUMMYFUNCTION("""COMPUTED_VALUE"""),43721.99861111111)</f>
        <v>43721.99861</v>
      </c>
      <c r="B3354" s="1">
        <f>IFERROR(__xludf.DUMMYFUNCTION("""COMPUTED_VALUE"""),457.64)</f>
        <v>457.64</v>
      </c>
    </row>
    <row r="3355">
      <c r="A3355" s="3">
        <f>IFERROR(__xludf.DUMMYFUNCTION("""COMPUTED_VALUE"""),43722.99861111111)</f>
        <v>43722.99861</v>
      </c>
      <c r="B3355" s="1">
        <f>IFERROR(__xludf.DUMMYFUNCTION("""COMPUTED_VALUE"""),457.64)</f>
        <v>457.64</v>
      </c>
    </row>
    <row r="3356">
      <c r="A3356" s="3">
        <f>IFERROR(__xludf.DUMMYFUNCTION("""COMPUTED_VALUE"""),43723.99861111111)</f>
        <v>43723.99861</v>
      </c>
      <c r="B3356" s="1">
        <f>IFERROR(__xludf.DUMMYFUNCTION("""COMPUTED_VALUE"""),457.64)</f>
        <v>457.64</v>
      </c>
    </row>
    <row r="3357">
      <c r="A3357" s="3">
        <f>IFERROR(__xludf.DUMMYFUNCTION("""COMPUTED_VALUE"""),43724.99861111111)</f>
        <v>43724.99861</v>
      </c>
      <c r="B3357" s="1">
        <f>IFERROR(__xludf.DUMMYFUNCTION("""COMPUTED_VALUE"""),459.92)</f>
        <v>459.92</v>
      </c>
    </row>
    <row r="3358">
      <c r="A3358" s="3">
        <f>IFERROR(__xludf.DUMMYFUNCTION("""COMPUTED_VALUE"""),43725.99861111111)</f>
        <v>43725.99861</v>
      </c>
      <c r="B3358" s="1">
        <f>IFERROR(__xludf.DUMMYFUNCTION("""COMPUTED_VALUE"""),456.94)</f>
        <v>456.94</v>
      </c>
    </row>
    <row r="3359">
      <c r="A3359" s="3">
        <f>IFERROR(__xludf.DUMMYFUNCTION("""COMPUTED_VALUE"""),43726.99861111111)</f>
        <v>43726.99861</v>
      </c>
      <c r="B3359" s="1">
        <f>IFERROR(__xludf.DUMMYFUNCTION("""COMPUTED_VALUE"""),463.005)</f>
        <v>463.005</v>
      </c>
    </row>
    <row r="3360">
      <c r="A3360" s="3">
        <f>IFERROR(__xludf.DUMMYFUNCTION("""COMPUTED_VALUE"""),43727.99861111111)</f>
        <v>43727.99861</v>
      </c>
      <c r="B3360" s="1">
        <f>IFERROR(__xludf.DUMMYFUNCTION("""COMPUTED_VALUE"""),462.54)</f>
        <v>462.54</v>
      </c>
    </row>
    <row r="3361">
      <c r="A3361" s="3">
        <f>IFERROR(__xludf.DUMMYFUNCTION("""COMPUTED_VALUE"""),43728.99861111111)</f>
        <v>43728.99861</v>
      </c>
      <c r="B3361" s="1">
        <f>IFERROR(__xludf.DUMMYFUNCTION("""COMPUTED_VALUE"""),460.765)</f>
        <v>460.765</v>
      </c>
    </row>
    <row r="3362">
      <c r="A3362" s="3">
        <f>IFERROR(__xludf.DUMMYFUNCTION("""COMPUTED_VALUE"""),43729.99861111111)</f>
        <v>43729.99861</v>
      </c>
      <c r="B3362" s="1">
        <f>IFERROR(__xludf.DUMMYFUNCTION("""COMPUTED_VALUE"""),460.765)</f>
        <v>460.765</v>
      </c>
    </row>
    <row r="3363">
      <c r="A3363" s="3">
        <f>IFERROR(__xludf.DUMMYFUNCTION("""COMPUTED_VALUE"""),43730.99861111111)</f>
        <v>43730.99861</v>
      </c>
      <c r="B3363" s="1">
        <f>IFERROR(__xludf.DUMMYFUNCTION("""COMPUTED_VALUE"""),460.765)</f>
        <v>460.765</v>
      </c>
    </row>
    <row r="3364">
      <c r="A3364" s="3">
        <f>IFERROR(__xludf.DUMMYFUNCTION("""COMPUTED_VALUE"""),43731.99861111111)</f>
        <v>43731.99861</v>
      </c>
      <c r="B3364" s="1">
        <f>IFERROR(__xludf.DUMMYFUNCTION("""COMPUTED_VALUE"""),461.93)</f>
        <v>461.93</v>
      </c>
    </row>
    <row r="3365">
      <c r="A3365" s="3">
        <f>IFERROR(__xludf.DUMMYFUNCTION("""COMPUTED_VALUE"""),43732.99861111111)</f>
        <v>43732.99861</v>
      </c>
      <c r="B3365" s="1">
        <f>IFERROR(__xludf.DUMMYFUNCTION("""COMPUTED_VALUE"""),462.135)</f>
        <v>462.135</v>
      </c>
    </row>
    <row r="3366">
      <c r="A3366" s="3">
        <f>IFERROR(__xludf.DUMMYFUNCTION("""COMPUTED_VALUE"""),43733.99861111111)</f>
        <v>43733.99861</v>
      </c>
      <c r="B3366" s="1">
        <f>IFERROR(__xludf.DUMMYFUNCTION("""COMPUTED_VALUE"""),462.18)</f>
        <v>462.18</v>
      </c>
    </row>
    <row r="3367">
      <c r="A3367" s="3">
        <f>IFERROR(__xludf.DUMMYFUNCTION("""COMPUTED_VALUE"""),43734.99861111111)</f>
        <v>43734.99861</v>
      </c>
      <c r="B3367" s="1">
        <f>IFERROR(__xludf.DUMMYFUNCTION("""COMPUTED_VALUE"""),463.085)</f>
        <v>463.085</v>
      </c>
    </row>
    <row r="3368">
      <c r="A3368" s="3">
        <f>IFERROR(__xludf.DUMMYFUNCTION("""COMPUTED_VALUE"""),43735.99861111111)</f>
        <v>43735.99861</v>
      </c>
      <c r="B3368" s="1">
        <f>IFERROR(__xludf.DUMMYFUNCTION("""COMPUTED_VALUE"""),462.275)</f>
        <v>462.275</v>
      </c>
    </row>
    <row r="3369">
      <c r="A3369" s="3">
        <f>IFERROR(__xludf.DUMMYFUNCTION("""COMPUTED_VALUE"""),43736.99861111111)</f>
        <v>43736.99861</v>
      </c>
      <c r="B3369" s="1">
        <f>IFERROR(__xludf.DUMMYFUNCTION("""COMPUTED_VALUE"""),462.28)</f>
        <v>462.28</v>
      </c>
    </row>
    <row r="3370">
      <c r="A3370" s="3">
        <f>IFERROR(__xludf.DUMMYFUNCTION("""COMPUTED_VALUE"""),43737.99861111111)</f>
        <v>43737.99861</v>
      </c>
      <c r="B3370" s="1">
        <f>IFERROR(__xludf.DUMMYFUNCTION("""COMPUTED_VALUE"""),462.28)</f>
        <v>462.28</v>
      </c>
    </row>
    <row r="3371">
      <c r="A3371" s="3">
        <f>IFERROR(__xludf.DUMMYFUNCTION("""COMPUTED_VALUE"""),43738.99861111111)</f>
        <v>43738.99861</v>
      </c>
      <c r="B3371" s="1">
        <f>IFERROR(__xludf.DUMMYFUNCTION("""COMPUTED_VALUE"""),464.59)</f>
        <v>464.59</v>
      </c>
    </row>
    <row r="3372">
      <c r="A3372" s="3">
        <f>IFERROR(__xludf.DUMMYFUNCTION("""COMPUTED_VALUE"""),43739.99861111111)</f>
        <v>43739.99861</v>
      </c>
      <c r="B3372" s="1">
        <f>IFERROR(__xludf.DUMMYFUNCTION("""COMPUTED_VALUE"""),462.75)</f>
        <v>462.75</v>
      </c>
    </row>
    <row r="3373">
      <c r="A3373" s="3">
        <f>IFERROR(__xludf.DUMMYFUNCTION("""COMPUTED_VALUE"""),43740.99861111111)</f>
        <v>43740.99861</v>
      </c>
      <c r="B3373" s="1">
        <f>IFERROR(__xludf.DUMMYFUNCTION("""COMPUTED_VALUE"""),461.975)</f>
        <v>461.975</v>
      </c>
    </row>
    <row r="3374">
      <c r="A3374" s="3">
        <f>IFERROR(__xludf.DUMMYFUNCTION("""COMPUTED_VALUE"""),43741.99861111111)</f>
        <v>43741.99861</v>
      </c>
      <c r="B3374" s="1">
        <f>IFERROR(__xludf.DUMMYFUNCTION("""COMPUTED_VALUE"""),464.405)</f>
        <v>464.405</v>
      </c>
    </row>
    <row r="3375">
      <c r="A3375" s="3">
        <f>IFERROR(__xludf.DUMMYFUNCTION("""COMPUTED_VALUE"""),43742.99861111111)</f>
        <v>43742.99861</v>
      </c>
      <c r="B3375" s="1">
        <f>IFERROR(__xludf.DUMMYFUNCTION("""COMPUTED_VALUE"""),464.19)</f>
        <v>464.19</v>
      </c>
    </row>
    <row r="3376">
      <c r="A3376" s="3">
        <f>IFERROR(__xludf.DUMMYFUNCTION("""COMPUTED_VALUE"""),43743.99861111111)</f>
        <v>43743.99861</v>
      </c>
      <c r="B3376" s="1">
        <f>IFERROR(__xludf.DUMMYFUNCTION("""COMPUTED_VALUE"""),465.025)</f>
        <v>465.025</v>
      </c>
    </row>
    <row r="3377">
      <c r="A3377" s="3">
        <f>IFERROR(__xludf.DUMMYFUNCTION("""COMPUTED_VALUE"""),43744.99861111111)</f>
        <v>43744.99861</v>
      </c>
      <c r="B3377" s="1">
        <f>IFERROR(__xludf.DUMMYFUNCTION("""COMPUTED_VALUE"""),465.025)</f>
        <v>465.025</v>
      </c>
    </row>
    <row r="3378">
      <c r="A3378" s="3">
        <f>IFERROR(__xludf.DUMMYFUNCTION("""COMPUTED_VALUE"""),43745.99861111111)</f>
        <v>43745.99861</v>
      </c>
      <c r="B3378" s="1">
        <f>IFERROR(__xludf.DUMMYFUNCTION("""COMPUTED_VALUE"""),464.73)</f>
        <v>464.73</v>
      </c>
    </row>
    <row r="3379">
      <c r="A3379" s="3">
        <f>IFERROR(__xludf.DUMMYFUNCTION("""COMPUTED_VALUE"""),43746.99861111111)</f>
        <v>43746.99861</v>
      </c>
      <c r="B3379" s="1">
        <f>IFERROR(__xludf.DUMMYFUNCTION("""COMPUTED_VALUE"""),465.94)</f>
        <v>465.94</v>
      </c>
    </row>
    <row r="3380">
      <c r="A3380" s="3">
        <f>IFERROR(__xludf.DUMMYFUNCTION("""COMPUTED_VALUE"""),43747.99861111111)</f>
        <v>43747.99861</v>
      </c>
      <c r="B3380" s="1">
        <f>IFERROR(__xludf.DUMMYFUNCTION("""COMPUTED_VALUE"""),466.34)</f>
        <v>466.34</v>
      </c>
    </row>
    <row r="3381">
      <c r="A3381" s="3">
        <f>IFERROR(__xludf.DUMMYFUNCTION("""COMPUTED_VALUE"""),43748.99861111111)</f>
        <v>43748.99861</v>
      </c>
      <c r="B3381" s="1">
        <f>IFERROR(__xludf.DUMMYFUNCTION("""COMPUTED_VALUE"""),465.5)</f>
        <v>465.5</v>
      </c>
    </row>
    <row r="3382">
      <c r="A3382" s="3">
        <f>IFERROR(__xludf.DUMMYFUNCTION("""COMPUTED_VALUE"""),43749.99861111111)</f>
        <v>43749.99861</v>
      </c>
      <c r="B3382" s="1">
        <f>IFERROR(__xludf.DUMMYFUNCTION("""COMPUTED_VALUE"""),463.855)</f>
        <v>463.855</v>
      </c>
    </row>
    <row r="3383">
      <c r="A3383" s="3">
        <f>IFERROR(__xludf.DUMMYFUNCTION("""COMPUTED_VALUE"""),43750.99861111111)</f>
        <v>43750.99861</v>
      </c>
      <c r="B3383" s="1">
        <f>IFERROR(__xludf.DUMMYFUNCTION("""COMPUTED_VALUE"""),463.8543)</f>
        <v>463.8543</v>
      </c>
    </row>
    <row r="3384">
      <c r="A3384" s="3">
        <f>IFERROR(__xludf.DUMMYFUNCTION("""COMPUTED_VALUE"""),43751.99861111111)</f>
        <v>43751.99861</v>
      </c>
      <c r="B3384" s="1">
        <f>IFERROR(__xludf.DUMMYFUNCTION("""COMPUTED_VALUE"""),463.8106)</f>
        <v>463.8106</v>
      </c>
    </row>
    <row r="3385">
      <c r="A3385" s="3">
        <f>IFERROR(__xludf.DUMMYFUNCTION("""COMPUTED_VALUE"""),43752.99861111111)</f>
        <v>43752.99861</v>
      </c>
      <c r="B3385" s="1">
        <f>IFERROR(__xludf.DUMMYFUNCTION("""COMPUTED_VALUE"""),465.0945)</f>
        <v>465.0945</v>
      </c>
    </row>
    <row r="3386">
      <c r="A3386" s="3">
        <f>IFERROR(__xludf.DUMMYFUNCTION("""COMPUTED_VALUE"""),43753.99861111111)</f>
        <v>43753.99861</v>
      </c>
      <c r="B3386" s="1">
        <f>IFERROR(__xludf.DUMMYFUNCTION("""COMPUTED_VALUE"""),465.4834)</f>
        <v>465.4834</v>
      </c>
    </row>
    <row r="3387">
      <c r="A3387" s="3">
        <f>IFERROR(__xludf.DUMMYFUNCTION("""COMPUTED_VALUE"""),43754.99861111111)</f>
        <v>43754.99861</v>
      </c>
      <c r="B3387" s="1">
        <f>IFERROR(__xludf.DUMMYFUNCTION("""COMPUTED_VALUE"""),464.7912)</f>
        <v>464.7912</v>
      </c>
    </row>
    <row r="3388">
      <c r="A3388" s="3">
        <f>IFERROR(__xludf.DUMMYFUNCTION("""COMPUTED_VALUE"""),43755.99861111111)</f>
        <v>43755.99861</v>
      </c>
      <c r="B3388" s="1">
        <f>IFERROR(__xludf.DUMMYFUNCTION("""COMPUTED_VALUE"""),466.724)</f>
        <v>466.724</v>
      </c>
    </row>
    <row r="3389">
      <c r="A3389" s="3">
        <f>IFERROR(__xludf.DUMMYFUNCTION("""COMPUTED_VALUE"""),43756.99861111111)</f>
        <v>43756.99861</v>
      </c>
      <c r="B3389" s="1">
        <f>IFERROR(__xludf.DUMMYFUNCTION("""COMPUTED_VALUE"""),466.6529)</f>
        <v>466.6529</v>
      </c>
    </row>
    <row r="3390">
      <c r="A3390" s="3">
        <f>IFERROR(__xludf.DUMMYFUNCTION("""COMPUTED_VALUE"""),43757.99861111111)</f>
        <v>43757.99861</v>
      </c>
      <c r="B3390" s="1">
        <f>IFERROR(__xludf.DUMMYFUNCTION("""COMPUTED_VALUE"""),466.6529)</f>
        <v>466.6529</v>
      </c>
    </row>
    <row r="3391">
      <c r="A3391" s="3">
        <f>IFERROR(__xludf.DUMMYFUNCTION("""COMPUTED_VALUE"""),43758.99861111111)</f>
        <v>43758.99861</v>
      </c>
      <c r="B3391" s="1">
        <f>IFERROR(__xludf.DUMMYFUNCTION("""COMPUTED_VALUE"""),466.6529)</f>
        <v>466.6529</v>
      </c>
    </row>
    <row r="3392">
      <c r="A3392" s="3">
        <f>IFERROR(__xludf.DUMMYFUNCTION("""COMPUTED_VALUE"""),43759.99861111111)</f>
        <v>43759.99861</v>
      </c>
      <c r="B3392" s="1">
        <f>IFERROR(__xludf.DUMMYFUNCTION("""COMPUTED_VALUE"""),464.8889)</f>
        <v>464.8889</v>
      </c>
    </row>
    <row r="3393">
      <c r="A3393" s="3">
        <f>IFERROR(__xludf.DUMMYFUNCTION("""COMPUTED_VALUE"""),43760.99861111111)</f>
        <v>43760.99861</v>
      </c>
      <c r="B3393" s="1">
        <f>IFERROR(__xludf.DUMMYFUNCTION("""COMPUTED_VALUE"""),465.4129)</f>
        <v>465.4129</v>
      </c>
    </row>
    <row r="3394">
      <c r="A3394" s="3">
        <f>IFERROR(__xludf.DUMMYFUNCTION("""COMPUTED_VALUE"""),43761.99861111111)</f>
        <v>43761.99861</v>
      </c>
      <c r="B3394" s="1">
        <f>IFERROR(__xludf.DUMMYFUNCTION("""COMPUTED_VALUE"""),462.1378)</f>
        <v>462.1378</v>
      </c>
    </row>
    <row r="3395">
      <c r="A3395" s="3">
        <f>IFERROR(__xludf.DUMMYFUNCTION("""COMPUTED_VALUE"""),43762.99861111111)</f>
        <v>43762.99861</v>
      </c>
      <c r="B3395" s="1">
        <f>IFERROR(__xludf.DUMMYFUNCTION("""COMPUTED_VALUE"""),464.6588)</f>
        <v>464.6588</v>
      </c>
    </row>
    <row r="3396">
      <c r="A3396" s="3">
        <f>IFERROR(__xludf.DUMMYFUNCTION("""COMPUTED_VALUE"""),43763.99861111111)</f>
        <v>43763.99861</v>
      </c>
      <c r="B3396" s="1">
        <f>IFERROR(__xludf.DUMMYFUNCTION("""COMPUTED_VALUE"""),465.1866)</f>
        <v>465.1866</v>
      </c>
    </row>
    <row r="3397">
      <c r="A3397" s="3">
        <f>IFERROR(__xludf.DUMMYFUNCTION("""COMPUTED_VALUE"""),43764.99861111111)</f>
        <v>43764.99861</v>
      </c>
      <c r="B3397" s="1">
        <f>IFERROR(__xludf.DUMMYFUNCTION("""COMPUTED_VALUE"""),465.1866)</f>
        <v>465.1866</v>
      </c>
    </row>
    <row r="3398">
      <c r="A3398" s="3">
        <f>IFERROR(__xludf.DUMMYFUNCTION("""COMPUTED_VALUE"""),43765.99861111111)</f>
        <v>43765.99861</v>
      </c>
      <c r="B3398" s="1">
        <f>IFERROR(__xludf.DUMMYFUNCTION("""COMPUTED_VALUE"""),465.1866)</f>
        <v>465.1866</v>
      </c>
    </row>
    <row r="3399">
      <c r="A3399" s="3">
        <f>IFERROR(__xludf.DUMMYFUNCTION("""COMPUTED_VALUE"""),43766.99861111111)</f>
        <v>43766.99861</v>
      </c>
      <c r="B3399" s="1">
        <f>IFERROR(__xludf.DUMMYFUNCTION("""COMPUTED_VALUE"""),463.7686)</f>
        <v>463.7686</v>
      </c>
    </row>
    <row r="3400">
      <c r="A3400" s="3">
        <f>IFERROR(__xludf.DUMMYFUNCTION("""COMPUTED_VALUE"""),43767.99861111111)</f>
        <v>43767.99861</v>
      </c>
      <c r="B3400" s="1">
        <f>IFERROR(__xludf.DUMMYFUNCTION("""COMPUTED_VALUE"""),462.9591)</f>
        <v>462.9591</v>
      </c>
    </row>
    <row r="3401">
      <c r="A3401" s="3">
        <f>IFERROR(__xludf.DUMMYFUNCTION("""COMPUTED_VALUE"""),43768.99861111111)</f>
        <v>43768.99861</v>
      </c>
      <c r="B3401" s="1">
        <f>IFERROR(__xludf.DUMMYFUNCTION("""COMPUTED_VALUE"""),463.0773)</f>
        <v>463.0773</v>
      </c>
    </row>
    <row r="3402">
      <c r="A3402" s="3">
        <f>IFERROR(__xludf.DUMMYFUNCTION("""COMPUTED_VALUE"""),43769.99861111111)</f>
        <v>43769.99861</v>
      </c>
      <c r="B3402" s="1">
        <f>IFERROR(__xludf.DUMMYFUNCTION("""COMPUTED_VALUE"""),464.8226)</f>
        <v>464.8226</v>
      </c>
    </row>
    <row r="3403">
      <c r="A3403" s="3">
        <f>IFERROR(__xludf.DUMMYFUNCTION("""COMPUTED_VALUE"""),43770.99861111111)</f>
        <v>43770.99861</v>
      </c>
      <c r="B3403" s="1">
        <f>IFERROR(__xludf.DUMMYFUNCTION("""COMPUTED_VALUE"""),464.7159)</f>
        <v>464.7159</v>
      </c>
    </row>
    <row r="3404">
      <c r="A3404" s="3">
        <f>IFERROR(__xludf.DUMMYFUNCTION("""COMPUTED_VALUE"""),43771.99861111111)</f>
        <v>43771.99861</v>
      </c>
      <c r="B3404" s="1">
        <f>IFERROR(__xludf.DUMMYFUNCTION("""COMPUTED_VALUE"""),464.7159)</f>
        <v>464.7159</v>
      </c>
    </row>
    <row r="3405">
      <c r="A3405" s="3">
        <f>IFERROR(__xludf.DUMMYFUNCTION("""COMPUTED_VALUE"""),43772.99861111111)</f>
        <v>43772.99861</v>
      </c>
      <c r="B3405" s="1">
        <f>IFERROR(__xludf.DUMMYFUNCTION("""COMPUTED_VALUE"""),464.7159)</f>
        <v>464.7159</v>
      </c>
    </row>
    <row r="3406">
      <c r="A3406" s="3">
        <f>IFERROR(__xludf.DUMMYFUNCTION("""COMPUTED_VALUE"""),43773.99861111111)</f>
        <v>43773.99861</v>
      </c>
      <c r="B3406" s="1">
        <f>IFERROR(__xludf.DUMMYFUNCTION("""COMPUTED_VALUE"""),465.3979)</f>
        <v>465.3979</v>
      </c>
    </row>
    <row r="3407">
      <c r="A3407" s="3">
        <f>IFERROR(__xludf.DUMMYFUNCTION("""COMPUTED_VALUE"""),43774.99861111111)</f>
        <v>43774.99861</v>
      </c>
      <c r="B3407" s="1">
        <f>IFERROR(__xludf.DUMMYFUNCTION("""COMPUTED_VALUE"""),464.3443)</f>
        <v>464.3443</v>
      </c>
    </row>
    <row r="3408">
      <c r="A3408" s="3">
        <f>IFERROR(__xludf.DUMMYFUNCTION("""COMPUTED_VALUE"""),43775.99861111111)</f>
        <v>43775.99861</v>
      </c>
      <c r="B3408" s="1">
        <f>IFERROR(__xludf.DUMMYFUNCTION("""COMPUTED_VALUE"""),462.5891)</f>
        <v>462.5891</v>
      </c>
    </row>
    <row r="3409">
      <c r="A3409" s="3">
        <f>IFERROR(__xludf.DUMMYFUNCTION("""COMPUTED_VALUE"""),43776.99861111111)</f>
        <v>43776.99861</v>
      </c>
      <c r="B3409" s="1">
        <f>IFERROR(__xludf.DUMMYFUNCTION("""COMPUTED_VALUE"""),459.3703)</f>
        <v>459.3703</v>
      </c>
    </row>
    <row r="3410">
      <c r="A3410" s="3">
        <f>IFERROR(__xludf.DUMMYFUNCTION("""COMPUTED_VALUE"""),43777.99861111111)</f>
        <v>43777.99861</v>
      </c>
      <c r="B3410" s="1">
        <f>IFERROR(__xludf.DUMMYFUNCTION("""COMPUTED_VALUE"""),461.7937)</f>
        <v>461.7937</v>
      </c>
    </row>
    <row r="3411">
      <c r="A3411" s="3">
        <f>IFERROR(__xludf.DUMMYFUNCTION("""COMPUTED_VALUE"""),43778.99861111111)</f>
        <v>43778.99861</v>
      </c>
      <c r="B3411" s="1">
        <f>IFERROR(__xludf.DUMMYFUNCTION("""COMPUTED_VALUE"""),461.7937)</f>
        <v>461.7937</v>
      </c>
    </row>
    <row r="3412">
      <c r="A3412" s="3">
        <f>IFERROR(__xludf.DUMMYFUNCTION("""COMPUTED_VALUE"""),43779.99861111111)</f>
        <v>43779.99861</v>
      </c>
      <c r="B3412" s="1">
        <f>IFERROR(__xludf.DUMMYFUNCTION("""COMPUTED_VALUE"""),461.7937)</f>
        <v>461.7937</v>
      </c>
    </row>
    <row r="3413">
      <c r="A3413" s="3">
        <f>IFERROR(__xludf.DUMMYFUNCTION("""COMPUTED_VALUE"""),43780.99861111111)</f>
        <v>43780.99861</v>
      </c>
      <c r="B3413" s="1">
        <f>IFERROR(__xludf.DUMMYFUNCTION("""COMPUTED_VALUE"""),461.4833)</f>
        <v>461.4833</v>
      </c>
    </row>
    <row r="3414">
      <c r="A3414" s="3">
        <f>IFERROR(__xludf.DUMMYFUNCTION("""COMPUTED_VALUE"""),43781.99861111111)</f>
        <v>43781.99861</v>
      </c>
      <c r="B3414" s="1">
        <f>IFERROR(__xludf.DUMMYFUNCTION("""COMPUTED_VALUE"""),463.4835)</f>
        <v>463.4835</v>
      </c>
    </row>
    <row r="3415">
      <c r="A3415" s="3">
        <f>IFERROR(__xludf.DUMMYFUNCTION("""COMPUTED_VALUE"""),43782.99861111111)</f>
        <v>43782.99861</v>
      </c>
      <c r="B3415" s="1">
        <f>IFERROR(__xludf.DUMMYFUNCTION("""COMPUTED_VALUE"""),465.5789)</f>
        <v>465.5789</v>
      </c>
    </row>
    <row r="3416">
      <c r="A3416" s="3">
        <f>IFERROR(__xludf.DUMMYFUNCTION("""COMPUTED_VALUE"""),43783.99861111111)</f>
        <v>43783.99861</v>
      </c>
      <c r="B3416" s="1">
        <f>IFERROR(__xludf.DUMMYFUNCTION("""COMPUTED_VALUE"""),466.2)</f>
        <v>466.2</v>
      </c>
    </row>
    <row r="3417">
      <c r="A3417" s="3">
        <f>IFERROR(__xludf.DUMMYFUNCTION("""COMPUTED_VALUE"""),43784.99861111111)</f>
        <v>43784.99861</v>
      </c>
      <c r="B3417" s="1">
        <f>IFERROR(__xludf.DUMMYFUNCTION("""COMPUTED_VALUE"""),464.907)</f>
        <v>464.907</v>
      </c>
    </row>
    <row r="3418">
      <c r="A3418" s="3">
        <f>IFERROR(__xludf.DUMMYFUNCTION("""COMPUTED_VALUE"""),43785.99861111111)</f>
        <v>43785.99861</v>
      </c>
      <c r="B3418" s="1">
        <f>IFERROR(__xludf.DUMMYFUNCTION("""COMPUTED_VALUE"""),464.08)</f>
        <v>464.08</v>
      </c>
    </row>
    <row r="3419">
      <c r="A3419" s="3">
        <f>IFERROR(__xludf.DUMMYFUNCTION("""COMPUTED_VALUE"""),43786.99861111111)</f>
        <v>43786.99861</v>
      </c>
      <c r="B3419" s="1">
        <f>IFERROR(__xludf.DUMMYFUNCTION("""COMPUTED_VALUE"""),464.08)</f>
        <v>464.08</v>
      </c>
    </row>
    <row r="3420">
      <c r="A3420" s="3">
        <f>IFERROR(__xludf.DUMMYFUNCTION("""COMPUTED_VALUE"""),43787.99861111111)</f>
        <v>43787.99861</v>
      </c>
      <c r="B3420" s="1">
        <f>IFERROR(__xludf.DUMMYFUNCTION("""COMPUTED_VALUE"""),465.5506)</f>
        <v>465.5506</v>
      </c>
    </row>
    <row r="3421">
      <c r="A3421" s="3">
        <f>IFERROR(__xludf.DUMMYFUNCTION("""COMPUTED_VALUE"""),43788.99861111111)</f>
        <v>43788.99861</v>
      </c>
      <c r="B3421" s="1">
        <f>IFERROR(__xludf.DUMMYFUNCTION("""COMPUTED_VALUE"""),466.7168)</f>
        <v>466.7168</v>
      </c>
    </row>
    <row r="3422">
      <c r="A3422" s="3">
        <f>IFERROR(__xludf.DUMMYFUNCTION("""COMPUTED_VALUE"""),43789.99861111111)</f>
        <v>43789.99861</v>
      </c>
      <c r="B3422" s="1">
        <f>IFERROR(__xludf.DUMMYFUNCTION("""COMPUTED_VALUE"""),465.0182)</f>
        <v>465.0182</v>
      </c>
    </row>
    <row r="3423">
      <c r="A3423" s="3">
        <f>IFERROR(__xludf.DUMMYFUNCTION("""COMPUTED_VALUE"""),43790.99861111111)</f>
        <v>43790.99861</v>
      </c>
      <c r="B3423" s="1">
        <f>IFERROR(__xludf.DUMMYFUNCTION("""COMPUTED_VALUE"""),466.2097)</f>
        <v>466.2097</v>
      </c>
    </row>
    <row r="3424">
      <c r="A3424" s="3">
        <f>IFERROR(__xludf.DUMMYFUNCTION("""COMPUTED_VALUE"""),43791.99861111111)</f>
        <v>43791.99861</v>
      </c>
      <c r="B3424" s="1">
        <f>IFERROR(__xludf.DUMMYFUNCTION("""COMPUTED_VALUE"""),466.4604)</f>
        <v>466.4604</v>
      </c>
    </row>
    <row r="3425">
      <c r="A3425" s="3">
        <f>IFERROR(__xludf.DUMMYFUNCTION("""COMPUTED_VALUE"""),43792.99861111111)</f>
        <v>43792.99861</v>
      </c>
      <c r="B3425" s="1">
        <f>IFERROR(__xludf.DUMMYFUNCTION("""COMPUTED_VALUE"""),466.4604)</f>
        <v>466.4604</v>
      </c>
    </row>
    <row r="3426">
      <c r="A3426" s="3">
        <f>IFERROR(__xludf.DUMMYFUNCTION("""COMPUTED_VALUE"""),43793.99861111111)</f>
        <v>43793.99861</v>
      </c>
      <c r="B3426" s="1">
        <f>IFERROR(__xludf.DUMMYFUNCTION("""COMPUTED_VALUE"""),466.4604)</f>
        <v>466.4604</v>
      </c>
    </row>
    <row r="3427">
      <c r="A3427" s="3">
        <f>IFERROR(__xludf.DUMMYFUNCTION("""COMPUTED_VALUE"""),43794.99861111111)</f>
        <v>43794.99861</v>
      </c>
      <c r="B3427" s="1">
        <f>IFERROR(__xludf.DUMMYFUNCTION("""COMPUTED_VALUE"""),465.3608)</f>
        <v>465.3608</v>
      </c>
    </row>
    <row r="3428">
      <c r="A3428" s="3">
        <f>IFERROR(__xludf.DUMMYFUNCTION("""COMPUTED_VALUE"""),43795.99861111111)</f>
        <v>43795.99861</v>
      </c>
      <c r="B3428" s="1">
        <f>IFERROR(__xludf.DUMMYFUNCTION("""COMPUTED_VALUE"""),465.9681)</f>
        <v>465.9681</v>
      </c>
    </row>
    <row r="3429">
      <c r="A3429" s="3">
        <f>IFERROR(__xludf.DUMMYFUNCTION("""COMPUTED_VALUE"""),43796.99861111111)</f>
        <v>43796.99861</v>
      </c>
      <c r="B3429" s="1">
        <f>IFERROR(__xludf.DUMMYFUNCTION("""COMPUTED_VALUE"""),466.1858)</f>
        <v>466.1858</v>
      </c>
    </row>
    <row r="3430">
      <c r="A3430" s="3">
        <f>IFERROR(__xludf.DUMMYFUNCTION("""COMPUTED_VALUE"""),43797.99861111111)</f>
        <v>43797.99861</v>
      </c>
      <c r="B3430" s="1">
        <f>IFERROR(__xludf.DUMMYFUNCTION("""COMPUTED_VALUE"""),465.6887)</f>
        <v>465.6887</v>
      </c>
    </row>
    <row r="3431">
      <c r="A3431" s="3">
        <f>IFERROR(__xludf.DUMMYFUNCTION("""COMPUTED_VALUE"""),43798.99861111111)</f>
        <v>43798.99861</v>
      </c>
      <c r="B3431" s="1">
        <f>IFERROR(__xludf.DUMMYFUNCTION("""COMPUTED_VALUE"""),466.15)</f>
        <v>466.15</v>
      </c>
    </row>
    <row r="3432">
      <c r="A3432" s="3">
        <f>IFERROR(__xludf.DUMMYFUNCTION("""COMPUTED_VALUE"""),43799.99861111111)</f>
        <v>43799.99861</v>
      </c>
      <c r="B3432" s="1">
        <f>IFERROR(__xludf.DUMMYFUNCTION("""COMPUTED_VALUE"""),465.8603)</f>
        <v>465.8603</v>
      </c>
    </row>
    <row r="3433">
      <c r="A3433" s="3">
        <f>IFERROR(__xludf.DUMMYFUNCTION("""COMPUTED_VALUE"""),43800.99861111111)</f>
        <v>43800.99861</v>
      </c>
      <c r="B3433" s="1">
        <f>IFERROR(__xludf.DUMMYFUNCTION("""COMPUTED_VALUE"""),465.8603)</f>
        <v>465.8603</v>
      </c>
    </row>
    <row r="3434">
      <c r="A3434" s="3">
        <f>IFERROR(__xludf.DUMMYFUNCTION("""COMPUTED_VALUE"""),43801.99861111111)</f>
        <v>43801.99861</v>
      </c>
      <c r="B3434" s="1">
        <f>IFERROR(__xludf.DUMMYFUNCTION("""COMPUTED_VALUE"""),466.7303)</f>
        <v>466.7303</v>
      </c>
    </row>
    <row r="3435">
      <c r="A3435" s="3">
        <f>IFERROR(__xludf.DUMMYFUNCTION("""COMPUTED_VALUE"""),43802.99861111111)</f>
        <v>43802.99861</v>
      </c>
      <c r="B3435" s="1">
        <f>IFERROR(__xludf.DUMMYFUNCTION("""COMPUTED_VALUE"""),465.8122)</f>
        <v>465.8122</v>
      </c>
    </row>
    <row r="3436">
      <c r="A3436" s="3">
        <f>IFERROR(__xludf.DUMMYFUNCTION("""COMPUTED_VALUE"""),43803.99861111111)</f>
        <v>43803.99861</v>
      </c>
      <c r="B3436" s="1">
        <f>IFERROR(__xludf.DUMMYFUNCTION("""COMPUTED_VALUE"""),462.1824)</f>
        <v>462.1824</v>
      </c>
    </row>
    <row r="3437">
      <c r="A3437" s="3">
        <f>IFERROR(__xludf.DUMMYFUNCTION("""COMPUTED_VALUE"""),43804.99861111111)</f>
        <v>43804.99861</v>
      </c>
      <c r="B3437" s="1">
        <f>IFERROR(__xludf.DUMMYFUNCTION("""COMPUTED_VALUE"""),460.2082)</f>
        <v>460.2082</v>
      </c>
    </row>
    <row r="3438">
      <c r="A3438" s="3">
        <f>IFERROR(__xludf.DUMMYFUNCTION("""COMPUTED_VALUE"""),43805.99861111111)</f>
        <v>43805.99861</v>
      </c>
      <c r="B3438" s="1">
        <f>IFERROR(__xludf.DUMMYFUNCTION("""COMPUTED_VALUE"""),462.0792)</f>
        <v>462.0792</v>
      </c>
    </row>
    <row r="3439">
      <c r="A3439" s="3">
        <f>IFERROR(__xludf.DUMMYFUNCTION("""COMPUTED_VALUE"""),43806.99861111111)</f>
        <v>43806.99861</v>
      </c>
      <c r="B3439" s="1">
        <f>IFERROR(__xludf.DUMMYFUNCTION("""COMPUTED_VALUE"""),462.0792)</f>
        <v>462.0792</v>
      </c>
    </row>
    <row r="3440">
      <c r="A3440" s="3">
        <f>IFERROR(__xludf.DUMMYFUNCTION("""COMPUTED_VALUE"""),43807.99861111111)</f>
        <v>43807.99861</v>
      </c>
      <c r="B3440" s="1">
        <f>IFERROR(__xludf.DUMMYFUNCTION("""COMPUTED_VALUE"""),462.0792)</f>
        <v>462.0792</v>
      </c>
    </row>
    <row r="3441">
      <c r="A3441" s="3">
        <f>IFERROR(__xludf.DUMMYFUNCTION("""COMPUTED_VALUE"""),43808.99861111111)</f>
        <v>43808.99861</v>
      </c>
      <c r="B3441" s="1">
        <f>IFERROR(__xludf.DUMMYFUNCTION("""COMPUTED_VALUE"""),462.245)</f>
        <v>462.245</v>
      </c>
    </row>
    <row r="3442">
      <c r="A3442" s="3">
        <f>IFERROR(__xludf.DUMMYFUNCTION("""COMPUTED_VALUE"""),43809.99861111111)</f>
        <v>43809.99861</v>
      </c>
      <c r="B3442" s="1">
        <f>IFERROR(__xludf.DUMMYFUNCTION("""COMPUTED_VALUE"""),462.2706)</f>
        <v>462.2706</v>
      </c>
    </row>
    <row r="3443">
      <c r="A3443" s="3">
        <f>IFERROR(__xludf.DUMMYFUNCTION("""COMPUTED_VALUE"""),43810.99861111111)</f>
        <v>43810.99861</v>
      </c>
      <c r="B3443" s="1">
        <f>IFERROR(__xludf.DUMMYFUNCTION("""COMPUTED_VALUE"""),462.3359)</f>
        <v>462.3359</v>
      </c>
    </row>
    <row r="3444">
      <c r="A3444" s="3">
        <f>IFERROR(__xludf.DUMMYFUNCTION("""COMPUTED_VALUE"""),43811.99861111111)</f>
        <v>43811.99861</v>
      </c>
      <c r="B3444" s="1">
        <f>IFERROR(__xludf.DUMMYFUNCTION("""COMPUTED_VALUE"""),461.9146)</f>
        <v>461.9146</v>
      </c>
    </row>
    <row r="3445">
      <c r="A3445" s="3">
        <f>IFERROR(__xludf.DUMMYFUNCTION("""COMPUTED_VALUE"""),43812.99861111111)</f>
        <v>43812.99861</v>
      </c>
      <c r="B3445" s="1">
        <f>IFERROR(__xludf.DUMMYFUNCTION("""COMPUTED_VALUE"""),462.468)</f>
        <v>462.468</v>
      </c>
    </row>
    <row r="3446">
      <c r="A3446" s="3">
        <f>IFERROR(__xludf.DUMMYFUNCTION("""COMPUTED_VALUE"""),43813.99861111111)</f>
        <v>43813.99861</v>
      </c>
      <c r="B3446" s="1">
        <f>IFERROR(__xludf.DUMMYFUNCTION("""COMPUTED_VALUE"""),462.468)</f>
        <v>462.468</v>
      </c>
    </row>
    <row r="3447">
      <c r="A3447" s="3">
        <f>IFERROR(__xludf.DUMMYFUNCTION("""COMPUTED_VALUE"""),43814.99861111111)</f>
        <v>43814.99861</v>
      </c>
      <c r="B3447" s="1">
        <f>IFERROR(__xludf.DUMMYFUNCTION("""COMPUTED_VALUE"""),462.468)</f>
        <v>462.468</v>
      </c>
    </row>
    <row r="3448">
      <c r="A3448" s="3">
        <f>IFERROR(__xludf.DUMMYFUNCTION("""COMPUTED_VALUE"""),43815.99861111111)</f>
        <v>43815.99861</v>
      </c>
      <c r="B3448" s="1">
        <f>IFERROR(__xludf.DUMMYFUNCTION("""COMPUTED_VALUE"""),463.7212)</f>
        <v>463.7212</v>
      </c>
    </row>
    <row r="3449">
      <c r="A3449" s="3">
        <f>IFERROR(__xludf.DUMMYFUNCTION("""COMPUTED_VALUE"""),43816.99861111111)</f>
        <v>43816.99861</v>
      </c>
      <c r="B3449" s="1">
        <f>IFERROR(__xludf.DUMMYFUNCTION("""COMPUTED_VALUE"""),462.2658)</f>
        <v>462.2658</v>
      </c>
    </row>
    <row r="3450">
      <c r="A3450" s="3">
        <f>IFERROR(__xludf.DUMMYFUNCTION("""COMPUTED_VALUE"""),43817.99861111111)</f>
        <v>43817.99861</v>
      </c>
      <c r="B3450" s="1">
        <f>IFERROR(__xludf.DUMMYFUNCTION("""COMPUTED_VALUE"""),462.2436)</f>
        <v>462.2436</v>
      </c>
    </row>
    <row r="3451">
      <c r="A3451" s="3">
        <f>IFERROR(__xludf.DUMMYFUNCTION("""COMPUTED_VALUE"""),43818.99861111111)</f>
        <v>43818.99861</v>
      </c>
      <c r="B3451" s="1">
        <f>IFERROR(__xludf.DUMMYFUNCTION("""COMPUTED_VALUE"""),463.0291)</f>
        <v>463.0291</v>
      </c>
    </row>
    <row r="3452">
      <c r="A3452" s="3">
        <f>IFERROR(__xludf.DUMMYFUNCTION("""COMPUTED_VALUE"""),43819.99861111111)</f>
        <v>43819.99861</v>
      </c>
      <c r="B3452" s="1">
        <f>IFERROR(__xludf.DUMMYFUNCTION("""COMPUTED_VALUE"""),462.6473)</f>
        <v>462.6473</v>
      </c>
    </row>
    <row r="3453">
      <c r="A3453" s="3">
        <f>IFERROR(__xludf.DUMMYFUNCTION("""COMPUTED_VALUE"""),43820.99861111111)</f>
        <v>43820.99861</v>
      </c>
      <c r="B3453" s="1">
        <f>IFERROR(__xludf.DUMMYFUNCTION("""COMPUTED_VALUE"""),462.6473)</f>
        <v>462.6473</v>
      </c>
    </row>
    <row r="3454">
      <c r="A3454" s="3">
        <f>IFERROR(__xludf.DUMMYFUNCTION("""COMPUTED_VALUE"""),43821.99861111111)</f>
        <v>43821.99861</v>
      </c>
      <c r="B3454" s="1">
        <f>IFERROR(__xludf.DUMMYFUNCTION("""COMPUTED_VALUE"""),462.6473)</f>
        <v>462.6473</v>
      </c>
    </row>
    <row r="3455">
      <c r="A3455" s="3">
        <f>IFERROR(__xludf.DUMMYFUNCTION("""COMPUTED_VALUE"""),43822.99861111111)</f>
        <v>43822.99861</v>
      </c>
      <c r="B3455" s="1">
        <f>IFERROR(__xludf.DUMMYFUNCTION("""COMPUTED_VALUE"""),463.0405)</f>
        <v>463.0405</v>
      </c>
    </row>
    <row r="3456">
      <c r="A3456" s="3">
        <f>IFERROR(__xludf.DUMMYFUNCTION("""COMPUTED_VALUE"""),43823.99861111111)</f>
        <v>43823.99861</v>
      </c>
      <c r="B3456" s="1">
        <f>IFERROR(__xludf.DUMMYFUNCTION("""COMPUTED_VALUE"""),462.974)</f>
        <v>462.974</v>
      </c>
    </row>
    <row r="3457">
      <c r="A3457" s="3">
        <f>IFERROR(__xludf.DUMMYFUNCTION("""COMPUTED_VALUE"""),43824.99861111111)</f>
        <v>43824.99861</v>
      </c>
      <c r="B3457" s="1">
        <f>IFERROR(__xludf.DUMMYFUNCTION("""COMPUTED_VALUE"""),462.5909)</f>
        <v>462.5909</v>
      </c>
    </row>
    <row r="3458">
      <c r="A3458" s="3">
        <f>IFERROR(__xludf.DUMMYFUNCTION("""COMPUTED_VALUE"""),43825.99861111111)</f>
        <v>43825.99861</v>
      </c>
      <c r="B3458" s="1">
        <f>IFERROR(__xludf.DUMMYFUNCTION("""COMPUTED_VALUE"""),463.9248)</f>
        <v>463.9248</v>
      </c>
    </row>
    <row r="3459">
      <c r="A3459" s="3">
        <f>IFERROR(__xludf.DUMMYFUNCTION("""COMPUTED_VALUE"""),43826.99861111111)</f>
        <v>43826.99861</v>
      </c>
      <c r="B3459" s="1">
        <f>IFERROR(__xludf.DUMMYFUNCTION("""COMPUTED_VALUE"""),462.7525)</f>
        <v>462.7525</v>
      </c>
    </row>
    <row r="3460">
      <c r="A3460" s="3">
        <f>IFERROR(__xludf.DUMMYFUNCTION("""COMPUTED_VALUE"""),43827.99861111111)</f>
        <v>43827.99861</v>
      </c>
      <c r="B3460" s="1">
        <f>IFERROR(__xludf.DUMMYFUNCTION("""COMPUTED_VALUE"""),462.7525)</f>
        <v>462.7525</v>
      </c>
    </row>
    <row r="3461">
      <c r="A3461" s="3">
        <f>IFERROR(__xludf.DUMMYFUNCTION("""COMPUTED_VALUE"""),43828.99861111111)</f>
        <v>43828.99861</v>
      </c>
      <c r="B3461" s="1">
        <f>IFERROR(__xludf.DUMMYFUNCTION("""COMPUTED_VALUE"""),462.7525)</f>
        <v>462.7525</v>
      </c>
    </row>
    <row r="3462">
      <c r="A3462" s="3">
        <f>IFERROR(__xludf.DUMMYFUNCTION("""COMPUTED_VALUE"""),43829.99861111111)</f>
        <v>43829.99861</v>
      </c>
      <c r="B3462" s="1">
        <f>IFERROR(__xludf.DUMMYFUNCTION("""COMPUTED_VALUE"""),464.5069)</f>
        <v>464.5069</v>
      </c>
    </row>
    <row r="3463">
      <c r="A3463" s="3">
        <f>IFERROR(__xludf.DUMMYFUNCTION("""COMPUTED_VALUE"""),43830.99861111111)</f>
        <v>43830.99861</v>
      </c>
      <c r="B3463" s="1">
        <f>IFERROR(__xludf.DUMMYFUNCTION("""COMPUTED_VALUE"""),467.6446)</f>
        <v>467.6446</v>
      </c>
    </row>
    <row r="3464">
      <c r="A3464" s="3">
        <f>IFERROR(__xludf.DUMMYFUNCTION("""COMPUTED_VALUE"""),43831.99861111111)</f>
        <v>43831.99861</v>
      </c>
      <c r="B3464" s="1">
        <f>IFERROR(__xludf.DUMMYFUNCTION("""COMPUTED_VALUE"""),467.6446)</f>
        <v>467.6446</v>
      </c>
    </row>
    <row r="3465">
      <c r="A3465" s="3">
        <f>IFERROR(__xludf.DUMMYFUNCTION("""COMPUTED_VALUE"""),43832.99861111111)</f>
        <v>43832.99861</v>
      </c>
      <c r="B3465" s="1">
        <f>IFERROR(__xludf.DUMMYFUNCTION("""COMPUTED_VALUE"""),460.6865)</f>
        <v>460.6865</v>
      </c>
    </row>
    <row r="3466">
      <c r="A3466" s="3">
        <f>IFERROR(__xludf.DUMMYFUNCTION("""COMPUTED_VALUE"""),43833.99861111111)</f>
        <v>43833.99861</v>
      </c>
      <c r="B3466" s="1">
        <f>IFERROR(__xludf.DUMMYFUNCTION("""COMPUTED_VALUE"""),462.1075)</f>
        <v>462.1075</v>
      </c>
    </row>
    <row r="3467">
      <c r="A3467" s="3">
        <f>IFERROR(__xludf.DUMMYFUNCTION("""COMPUTED_VALUE"""),43834.99861111111)</f>
        <v>43834.99861</v>
      </c>
      <c r="B3467" s="1">
        <f>IFERROR(__xludf.DUMMYFUNCTION("""COMPUTED_VALUE"""),462.1075)</f>
        <v>462.1075</v>
      </c>
    </row>
    <row r="3468">
      <c r="A3468" s="3">
        <f>IFERROR(__xludf.DUMMYFUNCTION("""COMPUTED_VALUE"""),43835.99861111111)</f>
        <v>43835.99861</v>
      </c>
      <c r="B3468" s="1">
        <f>IFERROR(__xludf.DUMMYFUNCTION("""COMPUTED_VALUE"""),462.1075)</f>
        <v>462.1075</v>
      </c>
    </row>
    <row r="3469">
      <c r="A3469" s="3">
        <f>IFERROR(__xludf.DUMMYFUNCTION("""COMPUTED_VALUE"""),43836.99861111111)</f>
        <v>43836.99861</v>
      </c>
      <c r="B3469" s="1">
        <f>IFERROR(__xludf.DUMMYFUNCTION("""COMPUTED_VALUE"""),460.8479)</f>
        <v>460.8479</v>
      </c>
    </row>
    <row r="3470">
      <c r="A3470" s="3">
        <f>IFERROR(__xludf.DUMMYFUNCTION("""COMPUTED_VALUE"""),43837.99861111111)</f>
        <v>43837.99861</v>
      </c>
      <c r="B3470" s="1">
        <f>IFERROR(__xludf.DUMMYFUNCTION("""COMPUTED_VALUE"""),457.8424)</f>
        <v>457.8424</v>
      </c>
    </row>
    <row r="3471">
      <c r="A3471" s="3">
        <f>IFERROR(__xludf.DUMMYFUNCTION("""COMPUTED_VALUE"""),43838.99861111111)</f>
        <v>43838.99861</v>
      </c>
      <c r="B3471" s="1">
        <f>IFERROR(__xludf.DUMMYFUNCTION("""COMPUTED_VALUE"""),458.1332)</f>
        <v>458.1332</v>
      </c>
    </row>
    <row r="3472">
      <c r="A3472" s="3">
        <f>IFERROR(__xludf.DUMMYFUNCTION("""COMPUTED_VALUE"""),43839.99861111111)</f>
        <v>43839.99861</v>
      </c>
      <c r="B3472" s="1">
        <f>IFERROR(__xludf.DUMMYFUNCTION("""COMPUTED_VALUE"""),456.9381)</f>
        <v>456.9381</v>
      </c>
    </row>
    <row r="3473">
      <c r="A3473" s="3">
        <f>IFERROR(__xludf.DUMMYFUNCTION("""COMPUTED_VALUE"""),43840.99861111111)</f>
        <v>43840.99861</v>
      </c>
      <c r="B3473" s="1">
        <f>IFERROR(__xludf.DUMMYFUNCTION("""COMPUTED_VALUE"""),454.8157)</f>
        <v>454.8157</v>
      </c>
    </row>
    <row r="3474">
      <c r="A3474" s="3">
        <f>IFERROR(__xludf.DUMMYFUNCTION("""COMPUTED_VALUE"""),43841.99861111111)</f>
        <v>43841.99861</v>
      </c>
      <c r="B3474" s="1">
        <f>IFERROR(__xludf.DUMMYFUNCTION("""COMPUTED_VALUE"""),453.8332)</f>
        <v>453.8332</v>
      </c>
    </row>
    <row r="3475">
      <c r="A3475" s="3">
        <f>IFERROR(__xludf.DUMMYFUNCTION("""COMPUTED_VALUE"""),43842.99861111111)</f>
        <v>43842.99861</v>
      </c>
      <c r="B3475" s="1">
        <f>IFERROR(__xludf.DUMMYFUNCTION("""COMPUTED_VALUE"""),455.1849)</f>
        <v>455.1849</v>
      </c>
    </row>
    <row r="3476">
      <c r="A3476" s="3">
        <f>IFERROR(__xludf.DUMMYFUNCTION("""COMPUTED_VALUE"""),43843.99861111111)</f>
        <v>43843.99861</v>
      </c>
      <c r="B3476" s="1">
        <f>IFERROR(__xludf.DUMMYFUNCTION("""COMPUTED_VALUE"""),452.4432)</f>
        <v>452.4432</v>
      </c>
    </row>
    <row r="3477">
      <c r="A3477" s="3">
        <f>IFERROR(__xludf.DUMMYFUNCTION("""COMPUTED_VALUE"""),43844.99861111111)</f>
        <v>43844.99861</v>
      </c>
      <c r="B3477" s="1">
        <f>IFERROR(__xludf.DUMMYFUNCTION("""COMPUTED_VALUE"""),451.5612)</f>
        <v>451.5612</v>
      </c>
    </row>
    <row r="3478">
      <c r="A3478" s="3">
        <f>IFERROR(__xludf.DUMMYFUNCTION("""COMPUTED_VALUE"""),43845.99861111111)</f>
        <v>43845.99861</v>
      </c>
      <c r="B3478" s="1">
        <f>IFERROR(__xludf.DUMMYFUNCTION("""COMPUTED_VALUE"""),451.126)</f>
        <v>451.126</v>
      </c>
    </row>
    <row r="3479">
      <c r="A3479" s="3">
        <f>IFERROR(__xludf.DUMMYFUNCTION("""COMPUTED_VALUE"""),43846.99861111111)</f>
        <v>43846.99861</v>
      </c>
      <c r="B3479" s="1">
        <f>IFERROR(__xludf.DUMMYFUNCTION("""COMPUTED_VALUE"""),448.8492)</f>
        <v>448.8492</v>
      </c>
    </row>
    <row r="3480">
      <c r="A3480" s="3">
        <f>IFERROR(__xludf.DUMMYFUNCTION("""COMPUTED_VALUE"""),43847.99861111111)</f>
        <v>43847.99861</v>
      </c>
      <c r="B3480" s="1">
        <f>IFERROR(__xludf.DUMMYFUNCTION("""COMPUTED_VALUE"""),449.2996)</f>
        <v>449.2996</v>
      </c>
    </row>
    <row r="3481">
      <c r="A3481" s="3">
        <f>IFERROR(__xludf.DUMMYFUNCTION("""COMPUTED_VALUE"""),43848.99861111111)</f>
        <v>43848.99861</v>
      </c>
      <c r="B3481" s="1">
        <f>IFERROR(__xludf.DUMMYFUNCTION("""COMPUTED_VALUE"""),449.2996)</f>
        <v>449.2996</v>
      </c>
    </row>
    <row r="3482">
      <c r="A3482" s="3">
        <f>IFERROR(__xludf.DUMMYFUNCTION("""COMPUTED_VALUE"""),43849.99861111111)</f>
        <v>43849.99861</v>
      </c>
      <c r="B3482" s="1">
        <f>IFERROR(__xludf.DUMMYFUNCTION("""COMPUTED_VALUE"""),449.2996)</f>
        <v>449.2996</v>
      </c>
    </row>
    <row r="3483">
      <c r="A3483" s="3">
        <f>IFERROR(__xludf.DUMMYFUNCTION("""COMPUTED_VALUE"""),43850.99861111111)</f>
        <v>43850.99861</v>
      </c>
      <c r="B3483" s="1">
        <f>IFERROR(__xludf.DUMMYFUNCTION("""COMPUTED_VALUE"""),449.0749)</f>
        <v>449.0749</v>
      </c>
    </row>
    <row r="3484">
      <c r="A3484" s="3">
        <f>IFERROR(__xludf.DUMMYFUNCTION("""COMPUTED_VALUE"""),43851.99861111111)</f>
        <v>43851.99861</v>
      </c>
      <c r="B3484" s="1">
        <f>IFERROR(__xludf.DUMMYFUNCTION("""COMPUTED_VALUE"""),449.3738)</f>
        <v>449.3738</v>
      </c>
    </row>
    <row r="3485">
      <c r="A3485" s="3">
        <f>IFERROR(__xludf.DUMMYFUNCTION("""COMPUTED_VALUE"""),43852.99861111111)</f>
        <v>43852.99861</v>
      </c>
      <c r="B3485" s="1">
        <f>IFERROR(__xludf.DUMMYFUNCTION("""COMPUTED_VALUE"""),448.7004)</f>
        <v>448.7004</v>
      </c>
    </row>
    <row r="3486">
      <c r="A3486" s="3">
        <f>IFERROR(__xludf.DUMMYFUNCTION("""COMPUTED_VALUE"""),43853.99861111111)</f>
        <v>43853.99861</v>
      </c>
      <c r="B3486" s="1">
        <f>IFERROR(__xludf.DUMMYFUNCTION("""COMPUTED_VALUE"""),446.5213)</f>
        <v>446.5213</v>
      </c>
    </row>
    <row r="3487">
      <c r="A3487" s="3">
        <f>IFERROR(__xludf.DUMMYFUNCTION("""COMPUTED_VALUE"""),43854.99861111111)</f>
        <v>43854.99861</v>
      </c>
      <c r="B3487" s="1">
        <f>IFERROR(__xludf.DUMMYFUNCTION("""COMPUTED_VALUE"""),449.1802)</f>
        <v>449.1802</v>
      </c>
    </row>
    <row r="3488">
      <c r="A3488" s="3">
        <f>IFERROR(__xludf.DUMMYFUNCTION("""COMPUTED_VALUE"""),43855.99861111111)</f>
        <v>43855.99861</v>
      </c>
      <c r="B3488" s="1">
        <f>IFERROR(__xludf.DUMMYFUNCTION("""COMPUTED_VALUE"""),449.1802)</f>
        <v>449.1802</v>
      </c>
    </row>
    <row r="3489">
      <c r="A3489" s="3">
        <f>IFERROR(__xludf.DUMMYFUNCTION("""COMPUTED_VALUE"""),43856.99861111111)</f>
        <v>43856.99861</v>
      </c>
      <c r="B3489" s="1">
        <f>IFERROR(__xludf.DUMMYFUNCTION("""COMPUTED_VALUE"""),449.1802)</f>
        <v>449.1802</v>
      </c>
    </row>
    <row r="3490">
      <c r="A3490" s="3">
        <f>IFERROR(__xludf.DUMMYFUNCTION("""COMPUTED_VALUE"""),43857.99861111111)</f>
        <v>43857.99861</v>
      </c>
      <c r="B3490" s="1">
        <f>IFERROR(__xludf.DUMMYFUNCTION("""COMPUTED_VALUE"""),430.3951)</f>
        <v>430.3951</v>
      </c>
    </row>
    <row r="3491">
      <c r="A3491" s="3">
        <f>IFERROR(__xludf.DUMMYFUNCTION("""COMPUTED_VALUE"""),43858.99861111111)</f>
        <v>43858.99861</v>
      </c>
      <c r="B3491" s="1">
        <f>IFERROR(__xludf.DUMMYFUNCTION("""COMPUTED_VALUE"""),442.4518)</f>
        <v>442.4518</v>
      </c>
    </row>
    <row r="3492">
      <c r="A3492" s="3">
        <f>IFERROR(__xludf.DUMMYFUNCTION("""COMPUTED_VALUE"""),43859.99861111111)</f>
        <v>43859.99861</v>
      </c>
      <c r="B3492" s="1">
        <f>IFERROR(__xludf.DUMMYFUNCTION("""COMPUTED_VALUE"""),439.5054)</f>
        <v>439.5054</v>
      </c>
    </row>
    <row r="3493">
      <c r="A3493" s="3">
        <f>IFERROR(__xludf.DUMMYFUNCTION("""COMPUTED_VALUE"""),43860.99861111111)</f>
        <v>43860.99861</v>
      </c>
      <c r="B3493" s="1">
        <f>IFERROR(__xludf.DUMMYFUNCTION("""COMPUTED_VALUE"""),438.5725)</f>
        <v>438.5725</v>
      </c>
    </row>
    <row r="3494">
      <c r="A3494" s="3">
        <f>IFERROR(__xludf.DUMMYFUNCTION("""COMPUTED_VALUE"""),43861.99861111111)</f>
        <v>43861.99861</v>
      </c>
      <c r="B3494" s="1">
        <f>IFERROR(__xludf.DUMMYFUNCTION("""COMPUTED_VALUE"""),436.9801)</f>
        <v>436.9801</v>
      </c>
    </row>
    <row r="3495">
      <c r="A3495" s="3">
        <f>IFERROR(__xludf.DUMMYFUNCTION("""COMPUTED_VALUE"""),43862.99861111111)</f>
        <v>43862.99861</v>
      </c>
      <c r="B3495" s="1">
        <f>IFERROR(__xludf.DUMMYFUNCTION("""COMPUTED_VALUE"""),436.9801)</f>
        <v>436.9801</v>
      </c>
    </row>
    <row r="3496">
      <c r="A3496" s="3">
        <f>IFERROR(__xludf.DUMMYFUNCTION("""COMPUTED_VALUE"""),43863.99861111111)</f>
        <v>43863.99861</v>
      </c>
      <c r="B3496" s="1">
        <f>IFERROR(__xludf.DUMMYFUNCTION("""COMPUTED_VALUE"""),436.9801)</f>
        <v>436.9801</v>
      </c>
    </row>
    <row r="3497">
      <c r="A3497" s="3">
        <f>IFERROR(__xludf.DUMMYFUNCTION("""COMPUTED_VALUE"""),43864.99861111111)</f>
        <v>43864.99861</v>
      </c>
      <c r="B3497" s="1">
        <f>IFERROR(__xludf.DUMMYFUNCTION("""COMPUTED_VALUE"""),442.2072)</f>
        <v>442.2072</v>
      </c>
    </row>
    <row r="3498">
      <c r="A3498" s="3">
        <f>IFERROR(__xludf.DUMMYFUNCTION("""COMPUTED_VALUE"""),43865.99861111111)</f>
        <v>43865.99861</v>
      </c>
      <c r="B3498" s="1">
        <f>IFERROR(__xludf.DUMMYFUNCTION("""COMPUTED_VALUE"""),442.415)</f>
        <v>442.415</v>
      </c>
    </row>
    <row r="3499">
      <c r="A3499" s="3">
        <f>IFERROR(__xludf.DUMMYFUNCTION("""COMPUTED_VALUE"""),43866.99861111111)</f>
        <v>43866.99861</v>
      </c>
      <c r="B3499" s="1">
        <f>IFERROR(__xludf.DUMMYFUNCTION("""COMPUTED_VALUE"""),441.3404)</f>
        <v>441.3404</v>
      </c>
    </row>
    <row r="3500">
      <c r="A3500" s="3">
        <f>IFERROR(__xludf.DUMMYFUNCTION("""COMPUTED_VALUE"""),43867.99861111111)</f>
        <v>43867.99861</v>
      </c>
      <c r="B3500" s="1">
        <f>IFERROR(__xludf.DUMMYFUNCTION("""COMPUTED_VALUE"""),437.8921)</f>
        <v>437.8921</v>
      </c>
    </row>
    <row r="3501">
      <c r="A3501" s="3">
        <f>IFERROR(__xludf.DUMMYFUNCTION("""COMPUTED_VALUE"""),43868.99861111111)</f>
        <v>43868.99861</v>
      </c>
      <c r="B3501" s="1">
        <f>IFERROR(__xludf.DUMMYFUNCTION("""COMPUTED_VALUE"""),436.7035)</f>
        <v>436.7035</v>
      </c>
    </row>
    <row r="3502">
      <c r="A3502" s="3">
        <f>IFERROR(__xludf.DUMMYFUNCTION("""COMPUTED_VALUE"""),43869.99861111111)</f>
        <v>43869.99861</v>
      </c>
      <c r="B3502" s="1">
        <f>IFERROR(__xludf.DUMMYFUNCTION("""COMPUTED_VALUE"""),436.7035)</f>
        <v>436.7035</v>
      </c>
    </row>
    <row r="3503">
      <c r="A3503" s="3">
        <f>IFERROR(__xludf.DUMMYFUNCTION("""COMPUTED_VALUE"""),43870.99861111111)</f>
        <v>43870.99861</v>
      </c>
      <c r="B3503" s="1">
        <f>IFERROR(__xludf.DUMMYFUNCTION("""COMPUTED_VALUE"""),436.7035)</f>
        <v>436.7035</v>
      </c>
    </row>
    <row r="3504">
      <c r="A3504" s="3">
        <f>IFERROR(__xludf.DUMMYFUNCTION("""COMPUTED_VALUE"""),43871.99861111111)</f>
        <v>43871.99861</v>
      </c>
      <c r="B3504" s="1">
        <f>IFERROR(__xludf.DUMMYFUNCTION("""COMPUTED_VALUE"""),437.6774)</f>
        <v>437.6774</v>
      </c>
    </row>
    <row r="3505">
      <c r="A3505" s="3">
        <f>IFERROR(__xludf.DUMMYFUNCTION("""COMPUTED_VALUE"""),43872.99861111111)</f>
        <v>43872.99861</v>
      </c>
      <c r="B3505" s="1">
        <f>IFERROR(__xludf.DUMMYFUNCTION("""COMPUTED_VALUE"""),437.7825)</f>
        <v>437.7825</v>
      </c>
    </row>
    <row r="3506">
      <c r="A3506" s="3">
        <f>IFERROR(__xludf.DUMMYFUNCTION("""COMPUTED_VALUE"""),43873.99861111111)</f>
        <v>43873.99861</v>
      </c>
      <c r="B3506" s="1">
        <f>IFERROR(__xludf.DUMMYFUNCTION("""COMPUTED_VALUE"""),439.662)</f>
        <v>439.662</v>
      </c>
    </row>
    <row r="3507">
      <c r="A3507" s="3">
        <f>IFERROR(__xludf.DUMMYFUNCTION("""COMPUTED_VALUE"""),43874.99861111111)</f>
        <v>43874.99861</v>
      </c>
      <c r="B3507" s="1">
        <f>IFERROR(__xludf.DUMMYFUNCTION("""COMPUTED_VALUE"""),439.1096)</f>
        <v>439.1096</v>
      </c>
    </row>
    <row r="3508">
      <c r="A3508" s="3">
        <f>IFERROR(__xludf.DUMMYFUNCTION("""COMPUTED_VALUE"""),43875.99861111111)</f>
        <v>43875.99861</v>
      </c>
      <c r="B3508" s="1">
        <f>IFERROR(__xludf.DUMMYFUNCTION("""COMPUTED_VALUE"""),438.4854)</f>
        <v>438.4854</v>
      </c>
    </row>
    <row r="3509">
      <c r="A3509" s="3">
        <f>IFERROR(__xludf.DUMMYFUNCTION("""COMPUTED_VALUE"""),43876.99861111111)</f>
        <v>43876.99861</v>
      </c>
      <c r="B3509" s="1">
        <f>IFERROR(__xludf.DUMMYFUNCTION("""COMPUTED_VALUE"""),438.4854)</f>
        <v>438.4854</v>
      </c>
    </row>
    <row r="3510">
      <c r="A3510" s="3">
        <f>IFERROR(__xludf.DUMMYFUNCTION("""COMPUTED_VALUE"""),43877.99861111111)</f>
        <v>43877.99861</v>
      </c>
      <c r="B3510" s="1">
        <f>IFERROR(__xludf.DUMMYFUNCTION("""COMPUTED_VALUE"""),438.4854)</f>
        <v>438.4854</v>
      </c>
    </row>
    <row r="3511">
      <c r="A3511" s="3">
        <f>IFERROR(__xludf.DUMMYFUNCTION("""COMPUTED_VALUE"""),43878.99861111111)</f>
        <v>43878.99861</v>
      </c>
      <c r="B3511" s="1">
        <f>IFERROR(__xludf.DUMMYFUNCTION("""COMPUTED_VALUE"""),437.7903)</f>
        <v>437.7903</v>
      </c>
    </row>
    <row r="3512">
      <c r="A3512" s="3">
        <f>IFERROR(__xludf.DUMMYFUNCTION("""COMPUTED_VALUE"""),43879.99861111111)</f>
        <v>43879.99861</v>
      </c>
      <c r="B3512" s="1">
        <f>IFERROR(__xludf.DUMMYFUNCTION("""COMPUTED_VALUE"""),438.003)</f>
        <v>438.003</v>
      </c>
    </row>
    <row r="3513">
      <c r="A3513" s="3">
        <f>IFERROR(__xludf.DUMMYFUNCTION("""COMPUTED_VALUE"""),43880.99861111111)</f>
        <v>43880.99861</v>
      </c>
      <c r="B3513" s="1">
        <f>IFERROR(__xludf.DUMMYFUNCTION("""COMPUTED_VALUE"""),437.9614)</f>
        <v>437.9614</v>
      </c>
    </row>
    <row r="3514">
      <c r="A3514" s="3">
        <f>IFERROR(__xludf.DUMMYFUNCTION("""COMPUTED_VALUE"""),43881.99861111111)</f>
        <v>43881.99861</v>
      </c>
      <c r="B3514" s="1">
        <f>IFERROR(__xludf.DUMMYFUNCTION("""COMPUTED_VALUE"""),435.8937)</f>
        <v>435.8937</v>
      </c>
    </row>
    <row r="3515">
      <c r="A3515" s="3">
        <f>IFERROR(__xludf.DUMMYFUNCTION("""COMPUTED_VALUE"""),43882.99861111111)</f>
        <v>43882.99861</v>
      </c>
      <c r="B3515" s="1">
        <f>IFERROR(__xludf.DUMMYFUNCTION("""COMPUTED_VALUE"""),436.7255)</f>
        <v>436.7255</v>
      </c>
    </row>
    <row r="3516">
      <c r="A3516" s="3">
        <f>IFERROR(__xludf.DUMMYFUNCTION("""COMPUTED_VALUE"""),43883.99861111111)</f>
        <v>43883.99861</v>
      </c>
      <c r="B3516" s="1">
        <f>IFERROR(__xludf.DUMMYFUNCTION("""COMPUTED_VALUE"""),436.7255)</f>
        <v>436.7255</v>
      </c>
    </row>
    <row r="3517">
      <c r="A3517" s="3">
        <f>IFERROR(__xludf.DUMMYFUNCTION("""COMPUTED_VALUE"""),43884.99861111111)</f>
        <v>43884.99861</v>
      </c>
      <c r="B3517" s="1">
        <f>IFERROR(__xludf.DUMMYFUNCTION("""COMPUTED_VALUE"""),436.7255)</f>
        <v>436.7255</v>
      </c>
    </row>
    <row r="3518">
      <c r="A3518" s="3">
        <f>IFERROR(__xludf.DUMMYFUNCTION("""COMPUTED_VALUE"""),43885.99861111111)</f>
        <v>43885.99861</v>
      </c>
      <c r="B3518" s="1">
        <f>IFERROR(__xludf.DUMMYFUNCTION("""COMPUTED_VALUE"""),438.9128)</f>
        <v>438.9128</v>
      </c>
    </row>
    <row r="3519">
      <c r="A3519" s="3">
        <f>IFERROR(__xludf.DUMMYFUNCTION("""COMPUTED_VALUE"""),43886.99861111111)</f>
        <v>43886.99861</v>
      </c>
      <c r="B3519" s="1">
        <f>IFERROR(__xludf.DUMMYFUNCTION("""COMPUTED_VALUE"""),436.7686)</f>
        <v>436.7686</v>
      </c>
    </row>
    <row r="3520">
      <c r="A3520" s="3">
        <f>IFERROR(__xludf.DUMMYFUNCTION("""COMPUTED_VALUE"""),43887.99861111111)</f>
        <v>43887.99861</v>
      </c>
      <c r="B3520" s="1">
        <f>IFERROR(__xludf.DUMMYFUNCTION("""COMPUTED_VALUE"""),437.9836)</f>
        <v>437.9836</v>
      </c>
    </row>
    <row r="3521">
      <c r="A3521" s="3">
        <f>IFERROR(__xludf.DUMMYFUNCTION("""COMPUTED_VALUE"""),43888.99861111111)</f>
        <v>43888.99861</v>
      </c>
      <c r="B3521" s="1">
        <f>IFERROR(__xludf.DUMMYFUNCTION("""COMPUTED_VALUE"""),442.6606)</f>
        <v>442.6606</v>
      </c>
    </row>
    <row r="3522">
      <c r="A3522" s="3">
        <f>IFERROR(__xludf.DUMMYFUNCTION("""COMPUTED_VALUE"""),43889.99861111111)</f>
        <v>43889.99861</v>
      </c>
      <c r="B3522" s="1">
        <f>IFERROR(__xludf.DUMMYFUNCTION("""COMPUTED_VALUE"""),443.3227)</f>
        <v>443.3227</v>
      </c>
    </row>
    <row r="3523">
      <c r="A3523" s="3">
        <f>IFERROR(__xludf.DUMMYFUNCTION("""COMPUTED_VALUE"""),43890.99861111111)</f>
        <v>43890.99861</v>
      </c>
      <c r="B3523" s="1">
        <f>IFERROR(__xludf.DUMMYFUNCTION("""COMPUTED_VALUE"""),443.3227)</f>
        <v>443.3227</v>
      </c>
    </row>
    <row r="3524">
      <c r="A3524" s="3">
        <f>IFERROR(__xludf.DUMMYFUNCTION("""COMPUTED_VALUE"""),43891.99861111111)</f>
        <v>43891.99861</v>
      </c>
      <c r="B3524" s="1">
        <f>IFERROR(__xludf.DUMMYFUNCTION("""COMPUTED_VALUE"""),443.3227)</f>
        <v>443.3227</v>
      </c>
    </row>
    <row r="3525">
      <c r="A3525" s="3">
        <f>IFERROR(__xludf.DUMMYFUNCTION("""COMPUTED_VALUE"""),43892.99861111111)</f>
        <v>43892.99861</v>
      </c>
      <c r="B3525" s="1">
        <f>IFERROR(__xludf.DUMMYFUNCTION("""COMPUTED_VALUE"""),452.0726)</f>
        <v>452.0726</v>
      </c>
    </row>
    <row r="3526">
      <c r="A3526" s="3">
        <f>IFERROR(__xludf.DUMMYFUNCTION("""COMPUTED_VALUE"""),43893.99861111111)</f>
        <v>43893.99861</v>
      </c>
      <c r="B3526" s="1">
        <f>IFERROR(__xludf.DUMMYFUNCTION("""COMPUTED_VALUE"""),452.6738)</f>
        <v>452.6738</v>
      </c>
    </row>
    <row r="3527">
      <c r="A3527" s="3">
        <f>IFERROR(__xludf.DUMMYFUNCTION("""COMPUTED_VALUE"""),43894.99861111111)</f>
        <v>43894.99861</v>
      </c>
      <c r="B3527" s="1">
        <f>IFERROR(__xludf.DUMMYFUNCTION("""COMPUTED_VALUE"""),456.2044)</f>
        <v>456.2044</v>
      </c>
    </row>
    <row r="3528">
      <c r="A3528" s="3">
        <f>IFERROR(__xludf.DUMMYFUNCTION("""COMPUTED_VALUE"""),43895.99861111111)</f>
        <v>43895.99861</v>
      </c>
      <c r="B3528" s="1">
        <f>IFERROR(__xludf.DUMMYFUNCTION("""COMPUTED_VALUE"""),456.2044)</f>
        <v>456.2044</v>
      </c>
    </row>
    <row r="3529">
      <c r="A3529" s="3">
        <f>IFERROR(__xludf.DUMMYFUNCTION("""COMPUTED_VALUE"""),43896.99861111111)</f>
        <v>43896.99861</v>
      </c>
      <c r="B3529" s="1">
        <f>IFERROR(__xludf.DUMMYFUNCTION("""COMPUTED_VALUE"""),456.2044)</f>
        <v>456.2044</v>
      </c>
    </row>
    <row r="3530">
      <c r="A3530" s="3">
        <f>IFERROR(__xludf.DUMMYFUNCTION("""COMPUTED_VALUE"""),43897.99861111111)</f>
        <v>43897.99861</v>
      </c>
      <c r="B3530" s="1">
        <f>IFERROR(__xludf.DUMMYFUNCTION("""COMPUTED_VALUE"""),456.2044)</f>
        <v>456.2044</v>
      </c>
    </row>
    <row r="3531">
      <c r="A3531" s="3">
        <f>IFERROR(__xludf.DUMMYFUNCTION("""COMPUTED_VALUE"""),43898.99861111111)</f>
        <v>43898.99861</v>
      </c>
      <c r="B3531" s="1">
        <f>IFERROR(__xludf.DUMMYFUNCTION("""COMPUTED_VALUE"""),456.2044)</f>
        <v>456.2044</v>
      </c>
    </row>
    <row r="3532">
      <c r="A3532" s="3">
        <f>IFERROR(__xludf.DUMMYFUNCTION("""COMPUTED_VALUE"""),43899.99861111111)</f>
        <v>43899.99861</v>
      </c>
      <c r="B3532" s="1">
        <f>IFERROR(__xludf.DUMMYFUNCTION("""COMPUTED_VALUE"""),456.2044)</f>
        <v>456.2044</v>
      </c>
    </row>
    <row r="3533">
      <c r="A3533" s="3">
        <f>IFERROR(__xludf.DUMMYFUNCTION("""COMPUTED_VALUE"""),43900.99861111111)</f>
        <v>43900.99861</v>
      </c>
      <c r="B3533" s="1">
        <f>IFERROR(__xludf.DUMMYFUNCTION("""COMPUTED_VALUE"""),456.2044)</f>
        <v>456.2044</v>
      </c>
    </row>
    <row r="3534">
      <c r="A3534" s="3">
        <f>IFERROR(__xludf.DUMMYFUNCTION("""COMPUTED_VALUE"""),43901.99861111111)</f>
        <v>43901.99861</v>
      </c>
      <c r="B3534" s="1">
        <f>IFERROR(__xludf.DUMMYFUNCTION("""COMPUTED_VALUE"""),456.2044)</f>
        <v>456.2044</v>
      </c>
    </row>
    <row r="3535">
      <c r="A3535" s="3">
        <f>IFERROR(__xludf.DUMMYFUNCTION("""COMPUTED_VALUE"""),43902.99861111111)</f>
        <v>43902.99861</v>
      </c>
      <c r="B3535" s="1">
        <f>IFERROR(__xludf.DUMMYFUNCTION("""COMPUTED_VALUE"""),456.2044)</f>
        <v>456.2044</v>
      </c>
    </row>
    <row r="3536">
      <c r="A3536" s="3">
        <f>IFERROR(__xludf.DUMMYFUNCTION("""COMPUTED_VALUE"""),43903.99861111111)</f>
        <v>43903.99861</v>
      </c>
      <c r="B3536" s="1">
        <f>IFERROR(__xludf.DUMMYFUNCTION("""COMPUTED_VALUE"""),456.2044)</f>
        <v>456.2044</v>
      </c>
    </row>
    <row r="3537">
      <c r="A3537" s="3">
        <f>IFERROR(__xludf.DUMMYFUNCTION("""COMPUTED_VALUE"""),43904.99861111111)</f>
        <v>43904.99861</v>
      </c>
      <c r="B3537" s="1">
        <f>IFERROR(__xludf.DUMMYFUNCTION("""COMPUTED_VALUE"""),456.2044)</f>
        <v>456.2044</v>
      </c>
    </row>
    <row r="3538">
      <c r="A3538" s="3">
        <f>IFERROR(__xludf.DUMMYFUNCTION("""COMPUTED_VALUE"""),43905.99861111111)</f>
        <v>43905.99861</v>
      </c>
      <c r="B3538" s="1">
        <f>IFERROR(__xludf.DUMMYFUNCTION("""COMPUTED_VALUE"""),456.2044)</f>
        <v>456.2044</v>
      </c>
    </row>
    <row r="3539">
      <c r="A3539" s="3">
        <f>IFERROR(__xludf.DUMMYFUNCTION("""COMPUTED_VALUE"""),43906.99861111111)</f>
        <v>43906.99861</v>
      </c>
      <c r="B3539" s="1">
        <f>IFERROR(__xludf.DUMMYFUNCTION("""COMPUTED_VALUE"""),456.2044)</f>
        <v>456.2044</v>
      </c>
    </row>
    <row r="3540">
      <c r="A3540" s="3">
        <f>IFERROR(__xludf.DUMMYFUNCTION("""COMPUTED_VALUE"""),43907.99861111111)</f>
        <v>43907.99861</v>
      </c>
      <c r="B3540" s="1">
        <f>IFERROR(__xludf.DUMMYFUNCTION("""COMPUTED_VALUE"""),456.2044)</f>
        <v>456.2044</v>
      </c>
    </row>
    <row r="3541">
      <c r="A3541" s="3">
        <f>IFERROR(__xludf.DUMMYFUNCTION("""COMPUTED_VALUE"""),43908.99861111111)</f>
        <v>43908.99861</v>
      </c>
      <c r="B3541" s="1">
        <f>IFERROR(__xludf.DUMMYFUNCTION("""COMPUTED_VALUE"""),456.2044)</f>
        <v>456.2044</v>
      </c>
    </row>
    <row r="3542">
      <c r="A3542" s="3">
        <f>IFERROR(__xludf.DUMMYFUNCTION("""COMPUTED_VALUE"""),43909.99861111111)</f>
        <v>43909.99861</v>
      </c>
      <c r="B3542" s="1">
        <f>IFERROR(__xludf.DUMMYFUNCTION("""COMPUTED_VALUE"""),456.2044)</f>
        <v>456.2044</v>
      </c>
    </row>
    <row r="3543">
      <c r="A3543" s="3">
        <f>IFERROR(__xludf.DUMMYFUNCTION("""COMPUTED_VALUE"""),43910.99861111111)</f>
        <v>43910.99861</v>
      </c>
      <c r="B3543" s="1">
        <f>IFERROR(__xludf.DUMMYFUNCTION("""COMPUTED_VALUE"""),456.2044)</f>
        <v>456.2044</v>
      </c>
    </row>
    <row r="3544">
      <c r="A3544" s="3">
        <f>IFERROR(__xludf.DUMMYFUNCTION("""COMPUTED_VALUE"""),43911.99861111111)</f>
        <v>43911.99861</v>
      </c>
      <c r="B3544" s="1">
        <f>IFERROR(__xludf.DUMMYFUNCTION("""COMPUTED_VALUE"""),456.2044)</f>
        <v>456.2044</v>
      </c>
    </row>
    <row r="3545">
      <c r="A3545" s="3">
        <f>IFERROR(__xludf.DUMMYFUNCTION("""COMPUTED_VALUE"""),43912.99861111111)</f>
        <v>43912.99861</v>
      </c>
      <c r="B3545" s="1">
        <f>IFERROR(__xludf.DUMMYFUNCTION("""COMPUTED_VALUE"""),456.2044)</f>
        <v>456.2044</v>
      </c>
    </row>
    <row r="3546">
      <c r="A3546" s="3">
        <f>IFERROR(__xludf.DUMMYFUNCTION("""COMPUTED_VALUE"""),43913.99861111111)</f>
        <v>43913.99861</v>
      </c>
      <c r="B3546" s="1">
        <f>IFERROR(__xludf.DUMMYFUNCTION("""COMPUTED_VALUE"""),456.2044)</f>
        <v>456.2044</v>
      </c>
    </row>
    <row r="3547">
      <c r="A3547" s="3">
        <f>IFERROR(__xludf.DUMMYFUNCTION("""COMPUTED_VALUE"""),43914.99861111111)</f>
        <v>43914.99861</v>
      </c>
      <c r="B3547" s="1">
        <f>IFERROR(__xludf.DUMMYFUNCTION("""COMPUTED_VALUE"""),456.2044)</f>
        <v>456.2044</v>
      </c>
    </row>
    <row r="3548">
      <c r="A3548" s="3">
        <f>IFERROR(__xludf.DUMMYFUNCTION("""COMPUTED_VALUE"""),43915.99861111111)</f>
        <v>43915.99861</v>
      </c>
      <c r="B3548" s="1">
        <f>IFERROR(__xludf.DUMMYFUNCTION("""COMPUTED_VALUE"""),456.2044)</f>
        <v>456.2044</v>
      </c>
    </row>
    <row r="3549">
      <c r="A3549" s="3">
        <f>IFERROR(__xludf.DUMMYFUNCTION("""COMPUTED_VALUE"""),43916.99861111111)</f>
        <v>43916.99861</v>
      </c>
      <c r="B3549" s="1">
        <f>IFERROR(__xludf.DUMMYFUNCTION("""COMPUTED_VALUE"""),456.2044)</f>
        <v>456.2044</v>
      </c>
    </row>
    <row r="3550">
      <c r="A3550" s="3">
        <f>IFERROR(__xludf.DUMMYFUNCTION("""COMPUTED_VALUE"""),43917.99861111111)</f>
        <v>43917.99861</v>
      </c>
      <c r="B3550" s="1">
        <f>IFERROR(__xludf.DUMMYFUNCTION("""COMPUTED_VALUE"""),456.2044)</f>
        <v>456.2044</v>
      </c>
    </row>
    <row r="3551">
      <c r="A3551" s="3">
        <f>IFERROR(__xludf.DUMMYFUNCTION("""COMPUTED_VALUE"""),43918.99861111111)</f>
        <v>43918.99861</v>
      </c>
      <c r="B3551" s="1">
        <f>IFERROR(__xludf.DUMMYFUNCTION("""COMPUTED_VALUE"""),456.2044)</f>
        <v>456.2044</v>
      </c>
    </row>
    <row r="3552">
      <c r="A3552" s="3">
        <f>IFERROR(__xludf.DUMMYFUNCTION("""COMPUTED_VALUE"""),43919.99861111111)</f>
        <v>43919.99861</v>
      </c>
      <c r="B3552" s="1">
        <f>IFERROR(__xludf.DUMMYFUNCTION("""COMPUTED_VALUE"""),456.2044)</f>
        <v>456.2044</v>
      </c>
    </row>
    <row r="3553">
      <c r="A3553" s="3">
        <f>IFERROR(__xludf.DUMMYFUNCTION("""COMPUTED_VALUE"""),43920.99861111111)</f>
        <v>43920.99861</v>
      </c>
      <c r="B3553" s="1">
        <f>IFERROR(__xludf.DUMMYFUNCTION("""COMPUTED_VALUE"""),456.2044)</f>
        <v>456.2044</v>
      </c>
    </row>
    <row r="3554">
      <c r="A3554" s="3">
        <f>IFERROR(__xludf.DUMMYFUNCTION("""COMPUTED_VALUE"""),43921.99861111111)</f>
        <v>43921.99861</v>
      </c>
      <c r="B3554" s="1">
        <f>IFERROR(__xludf.DUMMYFUNCTION("""COMPUTED_VALUE"""),456.2044)</f>
        <v>456.2044</v>
      </c>
    </row>
    <row r="3555">
      <c r="A3555" s="3">
        <f>IFERROR(__xludf.DUMMYFUNCTION("""COMPUTED_VALUE"""),43922.99861111111)</f>
        <v>43922.99861</v>
      </c>
      <c r="B3555" s="1">
        <f>IFERROR(__xludf.DUMMYFUNCTION("""COMPUTED_VALUE"""),456.2044)</f>
        <v>456.2044</v>
      </c>
    </row>
    <row r="3556">
      <c r="A3556" s="3">
        <f>IFERROR(__xludf.DUMMYFUNCTION("""COMPUTED_VALUE"""),43923.99861111111)</f>
        <v>43923.99861</v>
      </c>
      <c r="B3556" s="1">
        <f>IFERROR(__xludf.DUMMYFUNCTION("""COMPUTED_VALUE"""),456.2044)</f>
        <v>456.2044</v>
      </c>
    </row>
    <row r="3557">
      <c r="A3557" s="3">
        <f>IFERROR(__xludf.DUMMYFUNCTION("""COMPUTED_VALUE"""),43924.99861111111)</f>
        <v>43924.99861</v>
      </c>
      <c r="B3557" s="1">
        <f>IFERROR(__xludf.DUMMYFUNCTION("""COMPUTED_VALUE"""),456.2044)</f>
        <v>456.2044</v>
      </c>
    </row>
    <row r="3558">
      <c r="A3558" s="3">
        <f>IFERROR(__xludf.DUMMYFUNCTION("""COMPUTED_VALUE"""),43925.99861111111)</f>
        <v>43925.99861</v>
      </c>
      <c r="B3558" s="1">
        <f>IFERROR(__xludf.DUMMYFUNCTION("""COMPUTED_VALUE"""),456.2044)</f>
        <v>456.2044</v>
      </c>
    </row>
    <row r="3559">
      <c r="A3559" s="3">
        <f>IFERROR(__xludf.DUMMYFUNCTION("""COMPUTED_VALUE"""),43926.99861111111)</f>
        <v>43926.99861</v>
      </c>
      <c r="B3559" s="1">
        <f>IFERROR(__xludf.DUMMYFUNCTION("""COMPUTED_VALUE"""),456.2044)</f>
        <v>456.2044</v>
      </c>
    </row>
    <row r="3560">
      <c r="A3560" s="3">
        <f>IFERROR(__xludf.DUMMYFUNCTION("""COMPUTED_VALUE"""),43927.99861111111)</f>
        <v>43927.99861</v>
      </c>
      <c r="B3560" s="1">
        <f>IFERROR(__xludf.DUMMYFUNCTION("""COMPUTED_VALUE"""),456.2044)</f>
        <v>456.2044</v>
      </c>
    </row>
    <row r="3561">
      <c r="A3561" s="3">
        <f>IFERROR(__xludf.DUMMYFUNCTION("""COMPUTED_VALUE"""),43928.99861111111)</f>
        <v>43928.99861</v>
      </c>
      <c r="B3561" s="1">
        <f>IFERROR(__xludf.DUMMYFUNCTION("""COMPUTED_VALUE"""),456.2044)</f>
        <v>456.2044</v>
      </c>
    </row>
    <row r="3562">
      <c r="A3562" s="3">
        <f>IFERROR(__xludf.DUMMYFUNCTION("""COMPUTED_VALUE"""),43929.99861111111)</f>
        <v>43929.99861</v>
      </c>
      <c r="B3562" s="1">
        <f>IFERROR(__xludf.DUMMYFUNCTION("""COMPUTED_VALUE"""),456.2044)</f>
        <v>456.2044</v>
      </c>
    </row>
    <row r="3563">
      <c r="A3563" s="3">
        <f>IFERROR(__xludf.DUMMYFUNCTION("""COMPUTED_VALUE"""),43930.99861111111)</f>
        <v>43930.99861</v>
      </c>
      <c r="B3563" s="1">
        <f>IFERROR(__xludf.DUMMYFUNCTION("""COMPUTED_VALUE"""),456.2044)</f>
        <v>456.2044</v>
      </c>
    </row>
    <row r="3564">
      <c r="A3564" s="3">
        <f>IFERROR(__xludf.DUMMYFUNCTION("""COMPUTED_VALUE"""),43931.99861111111)</f>
        <v>43931.99861</v>
      </c>
      <c r="B3564" s="1">
        <f>IFERROR(__xludf.DUMMYFUNCTION("""COMPUTED_VALUE"""),456.2044)</f>
        <v>456.2044</v>
      </c>
    </row>
    <row r="3565">
      <c r="A3565" s="3">
        <f>IFERROR(__xludf.DUMMYFUNCTION("""COMPUTED_VALUE"""),43932.99861111111)</f>
        <v>43932.99861</v>
      </c>
      <c r="B3565" s="1">
        <f>IFERROR(__xludf.DUMMYFUNCTION("""COMPUTED_VALUE"""),456.2044)</f>
        <v>456.2044</v>
      </c>
    </row>
    <row r="3566">
      <c r="A3566" s="3">
        <f>IFERROR(__xludf.DUMMYFUNCTION("""COMPUTED_VALUE"""),43933.99861111111)</f>
        <v>43933.99861</v>
      </c>
      <c r="B3566" s="1">
        <f>IFERROR(__xludf.DUMMYFUNCTION("""COMPUTED_VALUE"""),456.2044)</f>
        <v>456.2044</v>
      </c>
    </row>
    <row r="3567">
      <c r="A3567" s="3">
        <f>IFERROR(__xludf.DUMMYFUNCTION("""COMPUTED_VALUE"""),43934.99861111111)</f>
        <v>43934.99861</v>
      </c>
      <c r="B3567" s="1">
        <f>IFERROR(__xludf.DUMMYFUNCTION("""COMPUTED_VALUE"""),456.2044)</f>
        <v>456.2044</v>
      </c>
    </row>
    <row r="3568">
      <c r="A3568" s="3">
        <f>IFERROR(__xludf.DUMMYFUNCTION("""COMPUTED_VALUE"""),43935.99861111111)</f>
        <v>43935.99861</v>
      </c>
      <c r="B3568" s="1">
        <f>IFERROR(__xludf.DUMMYFUNCTION("""COMPUTED_VALUE"""),456.2044)</f>
        <v>456.2044</v>
      </c>
    </row>
    <row r="3569">
      <c r="A3569" s="3">
        <f>IFERROR(__xludf.DUMMYFUNCTION("""COMPUTED_VALUE"""),43936.99861111111)</f>
        <v>43936.99861</v>
      </c>
      <c r="B3569" s="1">
        <f>IFERROR(__xludf.DUMMYFUNCTION("""COMPUTED_VALUE"""),456.2044)</f>
        <v>456.2044</v>
      </c>
    </row>
    <row r="3570">
      <c r="A3570" s="3">
        <f>IFERROR(__xludf.DUMMYFUNCTION("""COMPUTED_VALUE"""),43937.99861111111)</f>
        <v>43937.99861</v>
      </c>
      <c r="B3570" s="1">
        <f>IFERROR(__xludf.DUMMYFUNCTION("""COMPUTED_VALUE"""),456.2044)</f>
        <v>456.2044</v>
      </c>
    </row>
    <row r="3571">
      <c r="A3571" s="3">
        <f>IFERROR(__xludf.DUMMYFUNCTION("""COMPUTED_VALUE"""),43938.99861111111)</f>
        <v>43938.99861</v>
      </c>
      <c r="B3571" s="1">
        <f>IFERROR(__xludf.DUMMYFUNCTION("""COMPUTED_VALUE"""),456.2044)</f>
        <v>456.2044</v>
      </c>
    </row>
    <row r="3572">
      <c r="A3572" s="3">
        <f>IFERROR(__xludf.DUMMYFUNCTION("""COMPUTED_VALUE"""),43939.99861111111)</f>
        <v>43939.99861</v>
      </c>
      <c r="B3572" s="1">
        <f>IFERROR(__xludf.DUMMYFUNCTION("""COMPUTED_VALUE"""),456.2044)</f>
        <v>456.2044</v>
      </c>
    </row>
    <row r="3573">
      <c r="A3573" s="3">
        <f>IFERROR(__xludf.DUMMYFUNCTION("""COMPUTED_VALUE"""),43940.99861111111)</f>
        <v>43940.99861</v>
      </c>
      <c r="B3573" s="1">
        <f>IFERROR(__xludf.DUMMYFUNCTION("""COMPUTED_VALUE"""),456.2044)</f>
        <v>456.2044</v>
      </c>
    </row>
    <row r="3574">
      <c r="A3574" s="3">
        <f>IFERROR(__xludf.DUMMYFUNCTION("""COMPUTED_VALUE"""),43941.99861111111)</f>
        <v>43941.99861</v>
      </c>
      <c r="B3574" s="1">
        <f>IFERROR(__xludf.DUMMYFUNCTION("""COMPUTED_VALUE"""),456.2044)</f>
        <v>456.2044</v>
      </c>
    </row>
    <row r="3575">
      <c r="A3575" s="3">
        <f>IFERROR(__xludf.DUMMYFUNCTION("""COMPUTED_VALUE"""),43942.99861111111)</f>
        <v>43942.99861</v>
      </c>
      <c r="B3575" s="1">
        <f>IFERROR(__xludf.DUMMYFUNCTION("""COMPUTED_VALUE"""),456.2044)</f>
        <v>456.2044</v>
      </c>
    </row>
    <row r="3576">
      <c r="A3576" s="3">
        <f>IFERROR(__xludf.DUMMYFUNCTION("""COMPUTED_VALUE"""),43943.99861111111)</f>
        <v>43943.99861</v>
      </c>
      <c r="B3576" s="1">
        <f>IFERROR(__xludf.DUMMYFUNCTION("""COMPUTED_VALUE"""),456.2044)</f>
        <v>456.2044</v>
      </c>
    </row>
    <row r="3577">
      <c r="A3577" s="3">
        <f>IFERROR(__xludf.DUMMYFUNCTION("""COMPUTED_VALUE"""),43944.99861111111)</f>
        <v>43944.99861</v>
      </c>
      <c r="B3577" s="1">
        <f>IFERROR(__xludf.DUMMYFUNCTION("""COMPUTED_VALUE"""),456.2044)</f>
        <v>456.2044</v>
      </c>
    </row>
    <row r="3578">
      <c r="A3578" s="3">
        <f>IFERROR(__xludf.DUMMYFUNCTION("""COMPUTED_VALUE"""),43945.99861111111)</f>
        <v>43945.99861</v>
      </c>
      <c r="B3578" s="1">
        <f>IFERROR(__xludf.DUMMYFUNCTION("""COMPUTED_VALUE"""),456.2044)</f>
        <v>456.2044</v>
      </c>
    </row>
    <row r="3579">
      <c r="A3579" s="3">
        <f>IFERROR(__xludf.DUMMYFUNCTION("""COMPUTED_VALUE"""),43946.99861111111)</f>
        <v>43946.99861</v>
      </c>
      <c r="B3579" s="1">
        <f>IFERROR(__xludf.DUMMYFUNCTION("""COMPUTED_VALUE"""),456.2044)</f>
        <v>456.2044</v>
      </c>
    </row>
    <row r="3580">
      <c r="A3580" s="3">
        <f>IFERROR(__xludf.DUMMYFUNCTION("""COMPUTED_VALUE"""),43947.99861111111)</f>
        <v>43947.99861</v>
      </c>
      <c r="B3580" s="1">
        <f>IFERROR(__xludf.DUMMYFUNCTION("""COMPUTED_VALUE"""),456.2044)</f>
        <v>456.2044</v>
      </c>
    </row>
    <row r="3581">
      <c r="A3581" s="3">
        <f>IFERROR(__xludf.DUMMYFUNCTION("""COMPUTED_VALUE"""),43948.99861111111)</f>
        <v>43948.99861</v>
      </c>
      <c r="B3581" s="1">
        <f>IFERROR(__xludf.DUMMYFUNCTION("""COMPUTED_VALUE"""),456.2044)</f>
        <v>456.2044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IFERROR(__xludf.DUMMYFUNCTION("googlefinance(""Currency:VNDIDR"",""price"",""01/01/2010"",""28/04/2020"",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IFERROR(__xludf.DUMMYFUNCTION("""COMPUTED_VALUE"""),40182.99861111111)</f>
        <v>40182.99861</v>
      </c>
      <c r="B2" s="1">
        <f>IFERROR(__xludf.DUMMYFUNCTION("""COMPUTED_VALUE"""),0.5154510873)</f>
        <v>0.5154510873</v>
      </c>
    </row>
    <row r="3">
      <c r="A3" s="3">
        <f>IFERROR(__xludf.DUMMYFUNCTION("""COMPUTED_VALUE"""),40183.99861111111)</f>
        <v>40183.99861</v>
      </c>
      <c r="B3" s="1">
        <f>IFERROR(__xludf.DUMMYFUNCTION("""COMPUTED_VALUE"""),0.5053054492)</f>
        <v>0.5053054492</v>
      </c>
    </row>
    <row r="4">
      <c r="A4" s="3">
        <f>IFERROR(__xludf.DUMMYFUNCTION("""COMPUTED_VALUE"""),40184.99861111111)</f>
        <v>40184.99861</v>
      </c>
      <c r="B4" s="1">
        <f>IFERROR(__xludf.DUMMYFUNCTION("""COMPUTED_VALUE"""),0.5003039337)</f>
        <v>0.5003039337</v>
      </c>
    </row>
    <row r="5">
      <c r="A5" s="3">
        <f>IFERROR(__xludf.DUMMYFUNCTION("""COMPUTED_VALUE"""),40185.99861111111)</f>
        <v>40185.99861</v>
      </c>
      <c r="B5" s="1">
        <f>IFERROR(__xludf.DUMMYFUNCTION("""COMPUTED_VALUE"""),0.5097581076)</f>
        <v>0.5097581076</v>
      </c>
    </row>
    <row r="6">
      <c r="A6" s="3">
        <f>IFERROR(__xludf.DUMMYFUNCTION("""COMPUTED_VALUE"""),40186.99861111111)</f>
        <v>40186.99861</v>
      </c>
      <c r="B6" s="1">
        <f>IFERROR(__xludf.DUMMYFUNCTION("""COMPUTED_VALUE"""),0.5060532793)</f>
        <v>0.5060532793</v>
      </c>
    </row>
    <row r="7">
      <c r="A7" s="3">
        <f>IFERROR(__xludf.DUMMYFUNCTION("""COMPUTED_VALUE"""),40189.99861111111)</f>
        <v>40189.99861</v>
      </c>
      <c r="B7" s="1">
        <f>IFERROR(__xludf.DUMMYFUNCTION("""COMPUTED_VALUE"""),0.5026980938)</f>
        <v>0.5026980938</v>
      </c>
    </row>
    <row r="8">
      <c r="A8" s="3">
        <f>IFERROR(__xludf.DUMMYFUNCTION("""COMPUTED_VALUE"""),40190.99861111111)</f>
        <v>40190.99861</v>
      </c>
      <c r="B8" s="1">
        <f>IFERROR(__xludf.DUMMYFUNCTION("""COMPUTED_VALUE"""),0.5040118667)</f>
        <v>0.5040118667</v>
      </c>
    </row>
    <row r="9">
      <c r="A9" s="3">
        <f>IFERROR(__xludf.DUMMYFUNCTION("""COMPUTED_VALUE"""),40191.99861111111)</f>
        <v>40191.99861</v>
      </c>
      <c r="B9" s="1">
        <f>IFERROR(__xludf.DUMMYFUNCTION("""COMPUTED_VALUE"""),0.502225151)</f>
        <v>0.502225151</v>
      </c>
    </row>
    <row r="10">
      <c r="A10" s="3">
        <f>IFERROR(__xludf.DUMMYFUNCTION("""COMPUTED_VALUE"""),40192.99861111111)</f>
        <v>40192.99861</v>
      </c>
      <c r="B10" s="1">
        <f>IFERROR(__xludf.DUMMYFUNCTION("""COMPUTED_VALUE"""),0.5028725182)</f>
        <v>0.5028725182</v>
      </c>
    </row>
    <row r="11">
      <c r="A11" s="3">
        <f>IFERROR(__xludf.DUMMYFUNCTION("""COMPUTED_VALUE"""),40193.99861111111)</f>
        <v>40193.99861</v>
      </c>
      <c r="B11" s="1">
        <f>IFERROR(__xludf.DUMMYFUNCTION("""COMPUTED_VALUE"""),0.5069842791)</f>
        <v>0.5069842791</v>
      </c>
    </row>
    <row r="12">
      <c r="A12" s="3">
        <f>IFERROR(__xludf.DUMMYFUNCTION("""COMPUTED_VALUE"""),40196.99861111111)</f>
        <v>40196.99861</v>
      </c>
      <c r="B12" s="1">
        <f>IFERROR(__xludf.DUMMYFUNCTION("""COMPUTED_VALUE"""),0.5015932252)</f>
        <v>0.5015932252</v>
      </c>
    </row>
    <row r="13">
      <c r="A13" s="3">
        <f>IFERROR(__xludf.DUMMYFUNCTION("""COMPUTED_VALUE"""),40197.99861111111)</f>
        <v>40197.99861</v>
      </c>
      <c r="B13" s="1">
        <f>IFERROR(__xludf.DUMMYFUNCTION("""COMPUTED_VALUE"""),0.5074189102)</f>
        <v>0.5074189102</v>
      </c>
    </row>
    <row r="14">
      <c r="A14" s="3">
        <f>IFERROR(__xludf.DUMMYFUNCTION("""COMPUTED_VALUE"""),40198.99861111111)</f>
        <v>40198.99861</v>
      </c>
      <c r="B14" s="1">
        <f>IFERROR(__xludf.DUMMYFUNCTION("""COMPUTED_VALUE"""),0.5106273639)</f>
        <v>0.5106273639</v>
      </c>
    </row>
    <row r="15">
      <c r="A15" s="3">
        <f>IFERROR(__xludf.DUMMYFUNCTION("""COMPUTED_VALUE"""),40199.99861111111)</f>
        <v>40199.99861</v>
      </c>
      <c r="B15" s="1">
        <f>IFERROR(__xludf.DUMMYFUNCTION("""COMPUTED_VALUE"""),0.5049210932)</f>
        <v>0.5049210932</v>
      </c>
    </row>
    <row r="16">
      <c r="A16" s="3">
        <f>IFERROR(__xludf.DUMMYFUNCTION("""COMPUTED_VALUE"""),40200.99861111111)</f>
        <v>40200.99861</v>
      </c>
      <c r="B16" s="1">
        <f>IFERROR(__xludf.DUMMYFUNCTION("""COMPUTED_VALUE"""),0.5079714116)</f>
        <v>0.5079714116</v>
      </c>
    </row>
    <row r="17">
      <c r="A17" s="3">
        <f>IFERROR(__xludf.DUMMYFUNCTION("""COMPUTED_VALUE"""),40203.99861111111)</f>
        <v>40203.99861</v>
      </c>
      <c r="B17" s="1">
        <f>IFERROR(__xludf.DUMMYFUNCTION("""COMPUTED_VALUE"""),0.5115792039)</f>
        <v>0.5115792039</v>
      </c>
    </row>
    <row r="18">
      <c r="A18" s="3">
        <f>IFERROR(__xludf.DUMMYFUNCTION("""COMPUTED_VALUE"""),40204.99861111111)</f>
        <v>40204.99861</v>
      </c>
      <c r="B18" s="1">
        <f>IFERROR(__xludf.DUMMYFUNCTION("""COMPUTED_VALUE"""),0.5154101867)</f>
        <v>0.5154101867</v>
      </c>
    </row>
    <row r="19">
      <c r="A19" s="3">
        <f>IFERROR(__xludf.DUMMYFUNCTION("""COMPUTED_VALUE"""),40205.99861111111)</f>
        <v>40205.99861</v>
      </c>
      <c r="B19" s="1">
        <f>IFERROR(__xludf.DUMMYFUNCTION("""COMPUTED_VALUE"""),0.5169352103)</f>
        <v>0.5169352103</v>
      </c>
    </row>
    <row r="20">
      <c r="A20" s="3">
        <f>IFERROR(__xludf.DUMMYFUNCTION("""COMPUTED_VALUE"""),40206.99861111111)</f>
        <v>40206.99861</v>
      </c>
      <c r="B20" s="1">
        <f>IFERROR(__xludf.DUMMYFUNCTION("""COMPUTED_VALUE"""),0.5129517545)</f>
        <v>0.5129517545</v>
      </c>
    </row>
    <row r="21">
      <c r="A21" s="3">
        <f>IFERROR(__xludf.DUMMYFUNCTION("""COMPUTED_VALUE"""),40207.99861111111)</f>
        <v>40207.99861</v>
      </c>
      <c r="B21" s="1">
        <f>IFERROR(__xludf.DUMMYFUNCTION("""COMPUTED_VALUE"""),0.5084652572)</f>
        <v>0.5084652572</v>
      </c>
    </row>
    <row r="22">
      <c r="A22" s="3">
        <f>IFERROR(__xludf.DUMMYFUNCTION("""COMPUTED_VALUE"""),40210.99861111111)</f>
        <v>40210.99861</v>
      </c>
      <c r="B22" s="1">
        <f>IFERROR(__xludf.DUMMYFUNCTION("""COMPUTED_VALUE"""),0.5027919584)</f>
        <v>0.5027919584</v>
      </c>
    </row>
    <row r="23">
      <c r="A23" s="3">
        <f>IFERROR(__xludf.DUMMYFUNCTION("""COMPUTED_VALUE"""),40211.99861111111)</f>
        <v>40211.99861</v>
      </c>
      <c r="B23" s="1">
        <f>IFERROR(__xludf.DUMMYFUNCTION("""COMPUTED_VALUE"""),0.5060418302)</f>
        <v>0.5060418302</v>
      </c>
    </row>
    <row r="24">
      <c r="A24" s="3">
        <f>IFERROR(__xludf.DUMMYFUNCTION("""COMPUTED_VALUE"""),40212.99861111111)</f>
        <v>40212.99861</v>
      </c>
      <c r="B24" s="1">
        <f>IFERROR(__xludf.DUMMYFUNCTION("""COMPUTED_VALUE"""),0.5078416399)</f>
        <v>0.5078416399</v>
      </c>
    </row>
    <row r="25">
      <c r="A25" s="3">
        <f>IFERROR(__xludf.DUMMYFUNCTION("""COMPUTED_VALUE"""),40213.99861111111)</f>
        <v>40213.99861</v>
      </c>
      <c r="B25" s="1">
        <f>IFERROR(__xludf.DUMMYFUNCTION("""COMPUTED_VALUE"""),0.509465399)</f>
        <v>0.509465399</v>
      </c>
    </row>
    <row r="26">
      <c r="A26" s="3">
        <f>IFERROR(__xludf.DUMMYFUNCTION("""COMPUTED_VALUE"""),40214.99861111111)</f>
        <v>40214.99861</v>
      </c>
      <c r="B26" s="1">
        <f>IFERROR(__xludf.DUMMYFUNCTION("""COMPUTED_VALUE"""),0.5138724547)</f>
        <v>0.5138724547</v>
      </c>
    </row>
    <row r="27">
      <c r="A27" s="3">
        <f>IFERROR(__xludf.DUMMYFUNCTION("""COMPUTED_VALUE"""),40217.99861111111)</f>
        <v>40217.99861</v>
      </c>
      <c r="B27" s="1">
        <f>IFERROR(__xludf.DUMMYFUNCTION("""COMPUTED_VALUE"""),0.5150420768)</f>
        <v>0.5150420768</v>
      </c>
    </row>
    <row r="28">
      <c r="A28" s="3">
        <f>IFERROR(__xludf.DUMMYFUNCTION("""COMPUTED_VALUE"""),40218.99861111111)</f>
        <v>40218.99861</v>
      </c>
      <c r="B28" s="1">
        <f>IFERROR(__xludf.DUMMYFUNCTION("""COMPUTED_VALUE"""),0.5072949458)</f>
        <v>0.5072949458</v>
      </c>
    </row>
    <row r="29">
      <c r="A29" s="3">
        <f>IFERROR(__xludf.DUMMYFUNCTION("""COMPUTED_VALUE"""),40219.99861111111)</f>
        <v>40219.99861</v>
      </c>
      <c r="B29" s="1">
        <f>IFERROR(__xludf.DUMMYFUNCTION("""COMPUTED_VALUE"""),0.5060798633)</f>
        <v>0.5060798633</v>
      </c>
    </row>
    <row r="30">
      <c r="A30" s="3">
        <f>IFERROR(__xludf.DUMMYFUNCTION("""COMPUTED_VALUE"""),40220.99861111111)</f>
        <v>40220.99861</v>
      </c>
      <c r="B30" s="1">
        <f>IFERROR(__xludf.DUMMYFUNCTION("""COMPUTED_VALUE"""),0.5070706513)</f>
        <v>0.5070706513</v>
      </c>
    </row>
    <row r="31">
      <c r="A31" s="3">
        <f>IFERROR(__xludf.DUMMYFUNCTION("""COMPUTED_VALUE"""),40221.99861111111)</f>
        <v>40221.99861</v>
      </c>
      <c r="B31" s="1">
        <f>IFERROR(__xludf.DUMMYFUNCTION("""COMPUTED_VALUE"""),0.5067228252)</f>
        <v>0.5067228252</v>
      </c>
    </row>
    <row r="32">
      <c r="A32" s="3">
        <f>IFERROR(__xludf.DUMMYFUNCTION("""COMPUTED_VALUE"""),40224.99861111111)</f>
        <v>40224.99861</v>
      </c>
      <c r="B32" s="1">
        <f>IFERROR(__xludf.DUMMYFUNCTION("""COMPUTED_VALUE"""),0.5023545811)</f>
        <v>0.5023545811</v>
      </c>
    </row>
    <row r="33">
      <c r="A33" s="3">
        <f>IFERROR(__xludf.DUMMYFUNCTION("""COMPUTED_VALUE"""),40225.99861111111)</f>
        <v>40225.99861</v>
      </c>
      <c r="B33" s="1">
        <f>IFERROR(__xludf.DUMMYFUNCTION("""COMPUTED_VALUE"""),0.5049117025)</f>
        <v>0.5049117025</v>
      </c>
    </row>
    <row r="34">
      <c r="A34" s="3">
        <f>IFERROR(__xludf.DUMMYFUNCTION("""COMPUTED_VALUE"""),40226.99861111111)</f>
        <v>40226.99861</v>
      </c>
      <c r="B34" s="1">
        <f>IFERROR(__xludf.DUMMYFUNCTION("""COMPUTED_VALUE"""),0.5107633732)</f>
        <v>0.5107633732</v>
      </c>
    </row>
    <row r="35">
      <c r="A35" s="3">
        <f>IFERROR(__xludf.DUMMYFUNCTION("""COMPUTED_VALUE"""),40227.99861111111)</f>
        <v>40227.99861</v>
      </c>
      <c r="B35" s="1">
        <f>IFERROR(__xludf.DUMMYFUNCTION("""COMPUTED_VALUE"""),0.5128097107)</f>
        <v>0.5128097107</v>
      </c>
    </row>
    <row r="36">
      <c r="A36" s="3">
        <f>IFERROR(__xludf.DUMMYFUNCTION("""COMPUTED_VALUE"""),40228.99861111111)</f>
        <v>40228.99861</v>
      </c>
      <c r="B36" s="1">
        <f>IFERROR(__xludf.DUMMYFUNCTION("""COMPUTED_VALUE"""),0.5022810805)</f>
        <v>0.5022810805</v>
      </c>
    </row>
    <row r="37">
      <c r="A37" s="3">
        <f>IFERROR(__xludf.DUMMYFUNCTION("""COMPUTED_VALUE"""),40231.99861111111)</f>
        <v>40231.99861</v>
      </c>
      <c r="B37" s="1">
        <f>IFERROR(__xludf.DUMMYFUNCTION("""COMPUTED_VALUE"""),0.5010364315)</f>
        <v>0.5010364315</v>
      </c>
    </row>
    <row r="38">
      <c r="A38" s="3">
        <f>IFERROR(__xludf.DUMMYFUNCTION("""COMPUTED_VALUE"""),40232.99861111111)</f>
        <v>40232.99861</v>
      </c>
      <c r="B38" s="1">
        <f>IFERROR(__xludf.DUMMYFUNCTION("""COMPUTED_VALUE"""),0.5048257153)</f>
        <v>0.5048257153</v>
      </c>
    </row>
    <row r="39">
      <c r="A39" s="3">
        <f>IFERROR(__xludf.DUMMYFUNCTION("""COMPUTED_VALUE"""),40233.99861111111)</f>
        <v>40233.99861</v>
      </c>
      <c r="B39" s="1">
        <f>IFERROR(__xludf.DUMMYFUNCTION("""COMPUTED_VALUE"""),0.4980986348)</f>
        <v>0.4980986348</v>
      </c>
    </row>
    <row r="40">
      <c r="A40" s="3">
        <f>IFERROR(__xludf.DUMMYFUNCTION("""COMPUTED_VALUE"""),40234.99861111111)</f>
        <v>40234.99861</v>
      </c>
      <c r="B40" s="1">
        <f>IFERROR(__xludf.DUMMYFUNCTION("""COMPUTED_VALUE"""),0.5044690549)</f>
        <v>0.5044690549</v>
      </c>
    </row>
    <row r="41">
      <c r="A41" s="3">
        <f>IFERROR(__xludf.DUMMYFUNCTION("""COMPUTED_VALUE"""),40235.99861111111)</f>
        <v>40235.99861</v>
      </c>
      <c r="B41" s="1">
        <f>IFERROR(__xludf.DUMMYFUNCTION("""COMPUTED_VALUE"""),0.4968085072)</f>
        <v>0.4968085072</v>
      </c>
    </row>
    <row r="42">
      <c r="A42" s="3">
        <f>IFERROR(__xludf.DUMMYFUNCTION("""COMPUTED_VALUE"""),40238.99861111111)</f>
        <v>40238.99861</v>
      </c>
      <c r="B42" s="1">
        <f>IFERROR(__xludf.DUMMYFUNCTION("""COMPUTED_VALUE"""),0.4939526226)</f>
        <v>0.4939526226</v>
      </c>
    </row>
    <row r="43">
      <c r="A43" s="3">
        <f>IFERROR(__xludf.DUMMYFUNCTION("""COMPUTED_VALUE"""),40239.99861111111)</f>
        <v>40239.99861</v>
      </c>
      <c r="B43" s="1">
        <f>IFERROR(__xludf.DUMMYFUNCTION("""COMPUTED_VALUE"""),0.4827542626)</f>
        <v>0.4827542626</v>
      </c>
    </row>
    <row r="44">
      <c r="A44" s="3">
        <f>IFERROR(__xludf.DUMMYFUNCTION("""COMPUTED_VALUE"""),40240.99861111111)</f>
        <v>40240.99861</v>
      </c>
      <c r="B44" s="1">
        <f>IFERROR(__xludf.DUMMYFUNCTION("""COMPUTED_VALUE"""),0.4814154153)</f>
        <v>0.4814154153</v>
      </c>
    </row>
    <row r="45">
      <c r="A45" s="3">
        <f>IFERROR(__xludf.DUMMYFUNCTION("""COMPUTED_VALUE"""),40241.99861111111)</f>
        <v>40241.99861</v>
      </c>
      <c r="B45" s="1">
        <f>IFERROR(__xludf.DUMMYFUNCTION("""COMPUTED_VALUE"""),0.490994728)</f>
        <v>0.490994728</v>
      </c>
    </row>
    <row r="46">
      <c r="A46" s="3">
        <f>IFERROR(__xludf.DUMMYFUNCTION("""COMPUTED_VALUE"""),40242.99861111111)</f>
        <v>40242.99861</v>
      </c>
      <c r="B46" s="1">
        <f>IFERROR(__xludf.DUMMYFUNCTION("""COMPUTED_VALUE"""),0.4838716401)</f>
        <v>0.4838716401</v>
      </c>
    </row>
    <row r="47">
      <c r="A47" s="3">
        <f>IFERROR(__xludf.DUMMYFUNCTION("""COMPUTED_VALUE"""),40245.99861111111)</f>
        <v>40245.99861</v>
      </c>
      <c r="B47" s="1">
        <f>IFERROR(__xludf.DUMMYFUNCTION("""COMPUTED_VALUE"""),0.483157886)</f>
        <v>0.483157886</v>
      </c>
    </row>
    <row r="48">
      <c r="A48" s="3">
        <f>IFERROR(__xludf.DUMMYFUNCTION("""COMPUTED_VALUE"""),40246.99861111111)</f>
        <v>40246.99861</v>
      </c>
      <c r="B48" s="1">
        <f>IFERROR(__xludf.DUMMYFUNCTION("""COMPUTED_VALUE"""),0.4826677174)</f>
        <v>0.4826677174</v>
      </c>
    </row>
    <row r="49">
      <c r="A49" s="3">
        <f>IFERROR(__xludf.DUMMYFUNCTION("""COMPUTED_VALUE"""),40247.99861111111)</f>
        <v>40247.99861</v>
      </c>
      <c r="B49" s="1">
        <f>IFERROR(__xludf.DUMMYFUNCTION("""COMPUTED_VALUE"""),0.4813595771)</f>
        <v>0.4813595771</v>
      </c>
    </row>
    <row r="50">
      <c r="A50" s="3">
        <f>IFERROR(__xludf.DUMMYFUNCTION("""COMPUTED_VALUE"""),40248.99861111111)</f>
        <v>40248.99861</v>
      </c>
      <c r="B50" s="1">
        <f>IFERROR(__xludf.DUMMYFUNCTION("""COMPUTED_VALUE"""),0.4804671886)</f>
        <v>0.4804671886</v>
      </c>
    </row>
    <row r="51">
      <c r="A51" s="3">
        <f>IFERROR(__xludf.DUMMYFUNCTION("""COMPUTED_VALUE"""),40249.99861111111)</f>
        <v>40249.99861</v>
      </c>
      <c r="B51" s="1">
        <f>IFERROR(__xludf.DUMMYFUNCTION("""COMPUTED_VALUE"""),0.4800367424)</f>
        <v>0.4800367424</v>
      </c>
    </row>
    <row r="52">
      <c r="A52" s="3">
        <f>IFERROR(__xludf.DUMMYFUNCTION("""COMPUTED_VALUE"""),40252.99861111111)</f>
        <v>40252.99861</v>
      </c>
      <c r="B52" s="1">
        <f>IFERROR(__xludf.DUMMYFUNCTION("""COMPUTED_VALUE"""),0.4948610371)</f>
        <v>0.4948610371</v>
      </c>
    </row>
    <row r="53">
      <c r="A53" s="3">
        <f>IFERROR(__xludf.DUMMYFUNCTION("""COMPUTED_VALUE"""),40253.99861111111)</f>
        <v>40253.99861</v>
      </c>
      <c r="B53" s="1">
        <f>IFERROR(__xludf.DUMMYFUNCTION("""COMPUTED_VALUE"""),0.4802833889)</f>
        <v>0.4802833889</v>
      </c>
    </row>
    <row r="54">
      <c r="A54" s="3">
        <f>IFERROR(__xludf.DUMMYFUNCTION("""COMPUTED_VALUE"""),40254.99861111111)</f>
        <v>40254.99861</v>
      </c>
      <c r="B54" s="1">
        <f>IFERROR(__xludf.DUMMYFUNCTION("""COMPUTED_VALUE"""),0.4782917134)</f>
        <v>0.4782917134</v>
      </c>
    </row>
    <row r="55">
      <c r="A55" s="3">
        <f>IFERROR(__xludf.DUMMYFUNCTION("""COMPUTED_VALUE"""),40255.99861111111)</f>
        <v>40255.99861</v>
      </c>
      <c r="B55" s="1">
        <f>IFERROR(__xludf.DUMMYFUNCTION("""COMPUTED_VALUE"""),0.4796371242)</f>
        <v>0.4796371242</v>
      </c>
    </row>
    <row r="56">
      <c r="A56" s="3">
        <f>IFERROR(__xludf.DUMMYFUNCTION("""COMPUTED_VALUE"""),40256.99861111111)</f>
        <v>40256.99861</v>
      </c>
      <c r="B56" s="1">
        <f>IFERROR(__xludf.DUMMYFUNCTION("""COMPUTED_VALUE"""),0.4788646438)</f>
        <v>0.4788646438</v>
      </c>
    </row>
    <row r="57">
      <c r="A57" s="3">
        <f>IFERROR(__xludf.DUMMYFUNCTION("""COMPUTED_VALUE"""),40259.99861111111)</f>
        <v>40259.99861</v>
      </c>
      <c r="B57" s="1">
        <f>IFERROR(__xludf.DUMMYFUNCTION("""COMPUTED_VALUE"""),0.4797578861)</f>
        <v>0.4797578861</v>
      </c>
    </row>
    <row r="58">
      <c r="A58" s="3">
        <f>IFERROR(__xludf.DUMMYFUNCTION("""COMPUTED_VALUE"""),40260.99861111111)</f>
        <v>40260.99861</v>
      </c>
      <c r="B58" s="1">
        <f>IFERROR(__xludf.DUMMYFUNCTION("""COMPUTED_VALUE"""),0.481168112)</f>
        <v>0.481168112</v>
      </c>
    </row>
    <row r="59">
      <c r="A59" s="3">
        <f>IFERROR(__xludf.DUMMYFUNCTION("""COMPUTED_VALUE"""),40261.99861111111)</f>
        <v>40261.99861</v>
      </c>
      <c r="B59" s="1">
        <f>IFERROR(__xludf.DUMMYFUNCTION("""COMPUTED_VALUE"""),0.4946919934)</f>
        <v>0.4946919934</v>
      </c>
    </row>
    <row r="60">
      <c r="A60" s="3">
        <f>IFERROR(__xludf.DUMMYFUNCTION("""COMPUTED_VALUE"""),40262.99861111111)</f>
        <v>40262.99861</v>
      </c>
      <c r="B60" s="1">
        <f>IFERROR(__xludf.DUMMYFUNCTION("""COMPUTED_VALUE"""),0.4805366992)</f>
        <v>0.4805366992</v>
      </c>
    </row>
    <row r="61">
      <c r="A61" s="3">
        <f>IFERROR(__xludf.DUMMYFUNCTION("""COMPUTED_VALUE"""),40263.99861111111)</f>
        <v>40263.99861</v>
      </c>
      <c r="B61" s="1">
        <f>IFERROR(__xludf.DUMMYFUNCTION("""COMPUTED_VALUE"""),0.4793740074)</f>
        <v>0.4793740074</v>
      </c>
    </row>
    <row r="62">
      <c r="A62" s="3">
        <f>IFERROR(__xludf.DUMMYFUNCTION("""COMPUTED_VALUE"""),40266.99861111111)</f>
        <v>40266.99861</v>
      </c>
      <c r="B62" s="1">
        <f>IFERROR(__xludf.DUMMYFUNCTION("""COMPUTED_VALUE"""),0.4768988094)</f>
        <v>0.4768988094</v>
      </c>
    </row>
    <row r="63">
      <c r="A63" s="3">
        <f>IFERROR(__xludf.DUMMYFUNCTION("""COMPUTED_VALUE"""),40267.99861111111)</f>
        <v>40267.99861</v>
      </c>
      <c r="B63" s="1">
        <f>IFERROR(__xludf.DUMMYFUNCTION("""COMPUTED_VALUE"""),0.4763989472)</f>
        <v>0.4763989472</v>
      </c>
    </row>
    <row r="64">
      <c r="A64" s="3">
        <f>IFERROR(__xludf.DUMMYFUNCTION("""COMPUTED_VALUE"""),40268.99861111111)</f>
        <v>40268.99861</v>
      </c>
      <c r="B64" s="1">
        <f>IFERROR(__xludf.DUMMYFUNCTION("""COMPUTED_VALUE"""),0.4777223813)</f>
        <v>0.4777223813</v>
      </c>
    </row>
    <row r="65">
      <c r="A65" s="3">
        <f>IFERROR(__xludf.DUMMYFUNCTION("""COMPUTED_VALUE"""),40269.99861111111)</f>
        <v>40269.99861</v>
      </c>
      <c r="B65" s="1">
        <f>IFERROR(__xludf.DUMMYFUNCTION("""COMPUTED_VALUE"""),0.4746141703)</f>
        <v>0.4746141703</v>
      </c>
    </row>
    <row r="66">
      <c r="A66" s="3">
        <f>IFERROR(__xludf.DUMMYFUNCTION("""COMPUTED_VALUE"""),40270.99861111111)</f>
        <v>40270.99861</v>
      </c>
      <c r="B66" s="1">
        <f>IFERROR(__xludf.DUMMYFUNCTION("""COMPUTED_VALUE"""),0.4856570644)</f>
        <v>0.4856570644</v>
      </c>
    </row>
    <row r="67">
      <c r="A67" s="3">
        <f>IFERROR(__xludf.DUMMYFUNCTION("""COMPUTED_VALUE"""),40273.99861111111)</f>
        <v>40273.99861</v>
      </c>
      <c r="B67" s="1">
        <f>IFERROR(__xludf.DUMMYFUNCTION("""COMPUTED_VALUE"""),0.4758370486)</f>
        <v>0.4758370486</v>
      </c>
    </row>
    <row r="68">
      <c r="A68" s="3">
        <f>IFERROR(__xludf.DUMMYFUNCTION("""COMPUTED_VALUE"""),40274.99861111111)</f>
        <v>40274.99861</v>
      </c>
      <c r="B68" s="1">
        <f>IFERROR(__xludf.DUMMYFUNCTION("""COMPUTED_VALUE"""),0.4746481055)</f>
        <v>0.4746481055</v>
      </c>
    </row>
    <row r="69">
      <c r="A69" s="3">
        <f>IFERROR(__xludf.DUMMYFUNCTION("""COMPUTED_VALUE"""),40275.99861111111)</f>
        <v>40275.99861</v>
      </c>
      <c r="B69" s="1">
        <f>IFERROR(__xludf.DUMMYFUNCTION("""COMPUTED_VALUE"""),0.4829324146)</f>
        <v>0.4829324146</v>
      </c>
    </row>
    <row r="70">
      <c r="A70" s="3">
        <f>IFERROR(__xludf.DUMMYFUNCTION("""COMPUTED_VALUE"""),40276.99861111111)</f>
        <v>40276.99861</v>
      </c>
      <c r="B70" s="1">
        <f>IFERROR(__xludf.DUMMYFUNCTION("""COMPUTED_VALUE"""),0.4759695176)</f>
        <v>0.4759695176</v>
      </c>
    </row>
    <row r="71">
      <c r="A71" s="3">
        <f>IFERROR(__xludf.DUMMYFUNCTION("""COMPUTED_VALUE"""),40277.99861111111)</f>
        <v>40277.99861</v>
      </c>
      <c r="B71" s="1">
        <f>IFERROR(__xludf.DUMMYFUNCTION("""COMPUTED_VALUE"""),0.4739341214)</f>
        <v>0.4739341214</v>
      </c>
    </row>
    <row r="72">
      <c r="A72" s="3">
        <f>IFERROR(__xludf.DUMMYFUNCTION("""COMPUTED_VALUE"""),40280.99861111111)</f>
        <v>40280.99861</v>
      </c>
      <c r="B72" s="1">
        <f>IFERROR(__xludf.DUMMYFUNCTION("""COMPUTED_VALUE"""),0.4752637127)</f>
        <v>0.4752637127</v>
      </c>
    </row>
    <row r="73">
      <c r="A73" s="3">
        <f>IFERROR(__xludf.DUMMYFUNCTION("""COMPUTED_VALUE"""),40281.99861111111)</f>
        <v>40281.99861</v>
      </c>
      <c r="B73" s="1">
        <f>IFERROR(__xludf.DUMMYFUNCTION("""COMPUTED_VALUE"""),0.4750593127)</f>
        <v>0.4750593127</v>
      </c>
    </row>
    <row r="74">
      <c r="A74" s="3">
        <f>IFERROR(__xludf.DUMMYFUNCTION("""COMPUTED_VALUE"""),40282.99861111111)</f>
        <v>40282.99861</v>
      </c>
      <c r="B74" s="1">
        <f>IFERROR(__xludf.DUMMYFUNCTION("""COMPUTED_VALUE"""),0.4755356151)</f>
        <v>0.4755356151</v>
      </c>
    </row>
    <row r="75">
      <c r="A75" s="3">
        <f>IFERROR(__xludf.DUMMYFUNCTION("""COMPUTED_VALUE"""),40283.99861111111)</f>
        <v>40283.99861</v>
      </c>
      <c r="B75" s="1">
        <f>IFERROR(__xludf.DUMMYFUNCTION("""COMPUTED_VALUE"""),0.4751174378)</f>
        <v>0.4751174378</v>
      </c>
    </row>
    <row r="76">
      <c r="A76" s="3">
        <f>IFERROR(__xludf.DUMMYFUNCTION("""COMPUTED_VALUE"""),40284.99861111111)</f>
        <v>40284.99861</v>
      </c>
      <c r="B76" s="1">
        <f>IFERROR(__xludf.DUMMYFUNCTION("""COMPUTED_VALUE"""),0.4811207851)</f>
        <v>0.4811207851</v>
      </c>
    </row>
    <row r="77">
      <c r="A77" s="3">
        <f>IFERROR(__xludf.DUMMYFUNCTION("""COMPUTED_VALUE"""),40287.99861111111)</f>
        <v>40287.99861</v>
      </c>
      <c r="B77" s="1">
        <f>IFERROR(__xludf.DUMMYFUNCTION("""COMPUTED_VALUE"""),0.4821862072)</f>
        <v>0.4821862072</v>
      </c>
    </row>
    <row r="78">
      <c r="A78" s="3">
        <f>IFERROR(__xludf.DUMMYFUNCTION("""COMPUTED_VALUE"""),40288.99861111111)</f>
        <v>40288.99861</v>
      </c>
      <c r="B78" s="1">
        <f>IFERROR(__xludf.DUMMYFUNCTION("""COMPUTED_VALUE"""),0.4826999197)</f>
        <v>0.4826999197</v>
      </c>
    </row>
    <row r="79">
      <c r="A79" s="3">
        <f>IFERROR(__xludf.DUMMYFUNCTION("""COMPUTED_VALUE"""),40289.99861111111)</f>
        <v>40289.99861</v>
      </c>
      <c r="B79" s="1">
        <f>IFERROR(__xludf.DUMMYFUNCTION("""COMPUTED_VALUE"""),0.4828909318)</f>
        <v>0.4828909318</v>
      </c>
    </row>
    <row r="80">
      <c r="A80" s="3">
        <f>IFERROR(__xludf.DUMMYFUNCTION("""COMPUTED_VALUE"""),40290.99861111111)</f>
        <v>40290.99861</v>
      </c>
      <c r="B80" s="1">
        <f>IFERROR(__xludf.DUMMYFUNCTION("""COMPUTED_VALUE"""),0.4817089864)</f>
        <v>0.4817089864</v>
      </c>
    </row>
    <row r="81">
      <c r="A81" s="3">
        <f>IFERROR(__xludf.DUMMYFUNCTION("""COMPUTED_VALUE"""),40291.99861111111)</f>
        <v>40291.99861</v>
      </c>
      <c r="B81" s="1">
        <f>IFERROR(__xludf.DUMMYFUNCTION("""COMPUTED_VALUE"""),0.4769067734)</f>
        <v>0.4769067734</v>
      </c>
    </row>
    <row r="82">
      <c r="A82" s="3">
        <f>IFERROR(__xludf.DUMMYFUNCTION("""COMPUTED_VALUE"""),40294.99861111111)</f>
        <v>40294.99861</v>
      </c>
      <c r="B82" s="1">
        <f>IFERROR(__xludf.DUMMYFUNCTION("""COMPUTED_VALUE"""),0.4796820589)</f>
        <v>0.4796820589</v>
      </c>
    </row>
    <row r="83">
      <c r="A83" s="3">
        <f>IFERROR(__xludf.DUMMYFUNCTION("""COMPUTED_VALUE"""),40295.99861111111)</f>
        <v>40295.99861</v>
      </c>
      <c r="B83" s="1">
        <f>IFERROR(__xludf.DUMMYFUNCTION("""COMPUTED_VALUE"""),0.4806393611)</f>
        <v>0.4806393611</v>
      </c>
    </row>
    <row r="84">
      <c r="A84" s="3">
        <f>IFERROR(__xludf.DUMMYFUNCTION("""COMPUTED_VALUE"""),40296.99861111111)</f>
        <v>40296.99861</v>
      </c>
      <c r="B84" s="1">
        <f>IFERROR(__xludf.DUMMYFUNCTION("""COMPUTED_VALUE"""),0.4773756531)</f>
        <v>0.4773756531</v>
      </c>
    </row>
    <row r="85">
      <c r="A85" s="3">
        <f>IFERROR(__xludf.DUMMYFUNCTION("""COMPUTED_VALUE"""),40297.99861111111)</f>
        <v>40297.99861</v>
      </c>
      <c r="B85" s="1">
        <f>IFERROR(__xludf.DUMMYFUNCTION("""COMPUTED_VALUE"""),0.4765749031)</f>
        <v>0.4765749031</v>
      </c>
    </row>
    <row r="86">
      <c r="A86" s="3">
        <f>IFERROR(__xludf.DUMMYFUNCTION("""COMPUTED_VALUE"""),40298.99861111111)</f>
        <v>40298.99861</v>
      </c>
      <c r="B86" s="1">
        <f>IFERROR(__xludf.DUMMYFUNCTION("""COMPUTED_VALUE"""),0.4783417177)</f>
        <v>0.4783417177</v>
      </c>
    </row>
    <row r="87">
      <c r="A87" s="3">
        <f>IFERROR(__xludf.DUMMYFUNCTION("""COMPUTED_VALUE"""),40301.99861111111)</f>
        <v>40301.99861</v>
      </c>
      <c r="B87" s="1">
        <f>IFERROR(__xludf.DUMMYFUNCTION("""COMPUTED_VALUE"""),0.4752950385)</f>
        <v>0.4752950385</v>
      </c>
    </row>
    <row r="88">
      <c r="A88" s="3">
        <f>IFERROR(__xludf.DUMMYFUNCTION("""COMPUTED_VALUE"""),40302.99861111111)</f>
        <v>40302.99861</v>
      </c>
      <c r="B88" s="1">
        <f>IFERROR(__xludf.DUMMYFUNCTION("""COMPUTED_VALUE"""),0.4798782986)</f>
        <v>0.4798782986</v>
      </c>
    </row>
    <row r="89">
      <c r="A89" s="3">
        <f>IFERROR(__xludf.DUMMYFUNCTION("""COMPUTED_VALUE"""),40303.99861111111)</f>
        <v>40303.99861</v>
      </c>
      <c r="B89" s="1">
        <f>IFERROR(__xludf.DUMMYFUNCTION("""COMPUTED_VALUE"""),0.482354489)</f>
        <v>0.482354489</v>
      </c>
    </row>
    <row r="90">
      <c r="A90" s="3">
        <f>IFERROR(__xludf.DUMMYFUNCTION("""COMPUTED_VALUE"""),40304.99861111111)</f>
        <v>40304.99861</v>
      </c>
      <c r="B90" s="1">
        <f>IFERROR(__xludf.DUMMYFUNCTION("""COMPUTED_VALUE"""),0.4906560762)</f>
        <v>0.4906560762</v>
      </c>
    </row>
    <row r="91">
      <c r="A91" s="3">
        <f>IFERROR(__xludf.DUMMYFUNCTION("""COMPUTED_VALUE"""),40305.99861111111)</f>
        <v>40305.99861</v>
      </c>
      <c r="B91" s="1">
        <f>IFERROR(__xludf.DUMMYFUNCTION("""COMPUTED_VALUE"""),0.4877175327)</f>
        <v>0.4877175327</v>
      </c>
    </row>
    <row r="92">
      <c r="A92" s="3">
        <f>IFERROR(__xludf.DUMMYFUNCTION("""COMPUTED_VALUE"""),40308.99861111111)</f>
        <v>40308.99861</v>
      </c>
      <c r="B92" s="1">
        <f>IFERROR(__xludf.DUMMYFUNCTION("""COMPUTED_VALUE"""),0.4913352141)</f>
        <v>0.4913352141</v>
      </c>
    </row>
    <row r="93">
      <c r="A93" s="3">
        <f>IFERROR(__xludf.DUMMYFUNCTION("""COMPUTED_VALUE"""),40309.99861111111)</f>
        <v>40309.99861</v>
      </c>
      <c r="B93" s="1">
        <f>IFERROR(__xludf.DUMMYFUNCTION("""COMPUTED_VALUE"""),0.4849142178)</f>
        <v>0.4849142178</v>
      </c>
    </row>
    <row r="94">
      <c r="A94" s="3">
        <f>IFERROR(__xludf.DUMMYFUNCTION("""COMPUTED_VALUE"""),40310.99861111111)</f>
        <v>40310.99861</v>
      </c>
      <c r="B94" s="1">
        <f>IFERROR(__xludf.DUMMYFUNCTION("""COMPUTED_VALUE"""),0.4851479858)</f>
        <v>0.4851479858</v>
      </c>
    </row>
    <row r="95">
      <c r="A95" s="3">
        <f>IFERROR(__xludf.DUMMYFUNCTION("""COMPUTED_VALUE"""),40311.99861111111)</f>
        <v>40311.99861</v>
      </c>
      <c r="B95" s="1">
        <f>IFERROR(__xludf.DUMMYFUNCTION("""COMPUTED_VALUE"""),0.4806599747)</f>
        <v>0.4806599747</v>
      </c>
    </row>
    <row r="96">
      <c r="A96" s="3">
        <f>IFERROR(__xludf.DUMMYFUNCTION("""COMPUTED_VALUE"""),40312.99861111111)</f>
        <v>40312.99861</v>
      </c>
      <c r="B96" s="1">
        <f>IFERROR(__xludf.DUMMYFUNCTION("""COMPUTED_VALUE"""),0.4804327126)</f>
        <v>0.4804327126</v>
      </c>
    </row>
    <row r="97">
      <c r="A97" s="3">
        <f>IFERROR(__xludf.DUMMYFUNCTION("""COMPUTED_VALUE"""),40315.99861111111)</f>
        <v>40315.99861</v>
      </c>
      <c r="B97" s="1">
        <f>IFERROR(__xludf.DUMMYFUNCTION("""COMPUTED_VALUE"""),0.4885803429)</f>
        <v>0.4885803429</v>
      </c>
    </row>
    <row r="98">
      <c r="A98" s="3">
        <f>IFERROR(__xludf.DUMMYFUNCTION("""COMPUTED_VALUE"""),40316.99861111111)</f>
        <v>40316.99861</v>
      </c>
      <c r="B98" s="1">
        <f>IFERROR(__xludf.DUMMYFUNCTION("""COMPUTED_VALUE"""),0.4901531108)</f>
        <v>0.4901531108</v>
      </c>
    </row>
    <row r="99">
      <c r="A99" s="3">
        <f>IFERROR(__xludf.DUMMYFUNCTION("""COMPUTED_VALUE"""),40317.99861111111)</f>
        <v>40317.99861</v>
      </c>
      <c r="B99" s="1">
        <f>IFERROR(__xludf.DUMMYFUNCTION("""COMPUTED_VALUE"""),0.4942256596)</f>
        <v>0.4942256596</v>
      </c>
    </row>
    <row r="100">
      <c r="A100" s="3">
        <f>IFERROR(__xludf.DUMMYFUNCTION("""COMPUTED_VALUE"""),40318.99861111111)</f>
        <v>40318.99861</v>
      </c>
      <c r="B100" s="1">
        <f>IFERROR(__xludf.DUMMYFUNCTION("""COMPUTED_VALUE"""),0.4817058317)</f>
        <v>0.4817058317</v>
      </c>
    </row>
    <row r="101">
      <c r="A101" s="3">
        <f>IFERROR(__xludf.DUMMYFUNCTION("""COMPUTED_VALUE"""),40319.99861111111)</f>
        <v>40319.99861</v>
      </c>
      <c r="B101" s="1">
        <f>IFERROR(__xludf.DUMMYFUNCTION("""COMPUTED_VALUE"""),0.4889440295)</f>
        <v>0.4889440295</v>
      </c>
    </row>
    <row r="102">
      <c r="A102" s="3">
        <f>IFERROR(__xludf.DUMMYFUNCTION("""COMPUTED_VALUE"""),40322.99861111111)</f>
        <v>40322.99861</v>
      </c>
      <c r="B102" s="1">
        <f>IFERROR(__xludf.DUMMYFUNCTION("""COMPUTED_VALUE"""),0.4898364065)</f>
        <v>0.4898364065</v>
      </c>
    </row>
    <row r="103">
      <c r="A103" s="3">
        <f>IFERROR(__xludf.DUMMYFUNCTION("""COMPUTED_VALUE"""),40323.99861111111)</f>
        <v>40323.99861</v>
      </c>
      <c r="B103" s="1">
        <f>IFERROR(__xludf.DUMMYFUNCTION("""COMPUTED_VALUE"""),0.4899155621)</f>
        <v>0.4899155621</v>
      </c>
    </row>
    <row r="104">
      <c r="A104" s="3">
        <f>IFERROR(__xludf.DUMMYFUNCTION("""COMPUTED_VALUE"""),40324.99861111111)</f>
        <v>40324.99861</v>
      </c>
      <c r="B104" s="1">
        <f>IFERROR(__xludf.DUMMYFUNCTION("""COMPUTED_VALUE"""),0.4945253161)</f>
        <v>0.4945253161</v>
      </c>
    </row>
    <row r="105">
      <c r="A105" s="3">
        <f>IFERROR(__xludf.DUMMYFUNCTION("""COMPUTED_VALUE"""),40325.99861111111)</f>
        <v>40325.99861</v>
      </c>
      <c r="B105" s="1">
        <f>IFERROR(__xludf.DUMMYFUNCTION("""COMPUTED_VALUE"""),0.4862796783)</f>
        <v>0.4862796783</v>
      </c>
    </row>
    <row r="106">
      <c r="A106" s="3">
        <f>IFERROR(__xludf.DUMMYFUNCTION("""COMPUTED_VALUE"""),40326.99861111111)</f>
        <v>40326.99861</v>
      </c>
      <c r="B106" s="1">
        <f>IFERROR(__xludf.DUMMYFUNCTION("""COMPUTED_VALUE"""),0.4906624362)</f>
        <v>0.4906624362</v>
      </c>
    </row>
    <row r="107">
      <c r="A107" s="3">
        <f>IFERROR(__xludf.DUMMYFUNCTION("""COMPUTED_VALUE"""),40329.99861111111)</f>
        <v>40329.99861</v>
      </c>
      <c r="B107" s="1">
        <f>IFERROR(__xludf.DUMMYFUNCTION("""COMPUTED_VALUE"""),0.5007334633)</f>
        <v>0.5007334633</v>
      </c>
    </row>
    <row r="108">
      <c r="A108" s="3">
        <f>IFERROR(__xludf.DUMMYFUNCTION("""COMPUTED_VALUE"""),40330.99861111111)</f>
        <v>40330.99861</v>
      </c>
      <c r="B108" s="1">
        <f>IFERROR(__xludf.DUMMYFUNCTION("""COMPUTED_VALUE"""),0.4885125447)</f>
        <v>0.4885125447</v>
      </c>
    </row>
    <row r="109">
      <c r="A109" s="3">
        <f>IFERROR(__xludf.DUMMYFUNCTION("""COMPUTED_VALUE"""),40331.99861111111)</f>
        <v>40331.99861</v>
      </c>
      <c r="B109" s="1">
        <f>IFERROR(__xludf.DUMMYFUNCTION("""COMPUTED_VALUE"""),0.4879672608)</f>
        <v>0.4879672608</v>
      </c>
    </row>
    <row r="110">
      <c r="A110" s="3">
        <f>IFERROR(__xludf.DUMMYFUNCTION("""COMPUTED_VALUE"""),40332.99861111111)</f>
        <v>40332.99861</v>
      </c>
      <c r="B110" s="1">
        <f>IFERROR(__xludf.DUMMYFUNCTION("""COMPUTED_VALUE"""),0.4874670134)</f>
        <v>0.4874670134</v>
      </c>
    </row>
    <row r="111">
      <c r="A111" s="3">
        <f>IFERROR(__xludf.DUMMYFUNCTION("""COMPUTED_VALUE"""),40333.99861111111)</f>
        <v>40333.99861</v>
      </c>
      <c r="B111" s="1">
        <f>IFERROR(__xludf.DUMMYFUNCTION("""COMPUTED_VALUE"""),0.4897230224)</f>
        <v>0.4897230224</v>
      </c>
    </row>
    <row r="112">
      <c r="A112" s="3">
        <f>IFERROR(__xludf.DUMMYFUNCTION("""COMPUTED_VALUE"""),40336.99861111111)</f>
        <v>40336.99861</v>
      </c>
      <c r="B112" s="1">
        <f>IFERROR(__xludf.DUMMYFUNCTION("""COMPUTED_VALUE"""),0.4995764482)</f>
        <v>0.4995764482</v>
      </c>
    </row>
    <row r="113">
      <c r="A113" s="3">
        <f>IFERROR(__xludf.DUMMYFUNCTION("""COMPUTED_VALUE"""),40337.99861111111)</f>
        <v>40337.99861</v>
      </c>
      <c r="B113" s="1">
        <f>IFERROR(__xludf.DUMMYFUNCTION("""COMPUTED_VALUE"""),0.4869799324)</f>
        <v>0.4869799324</v>
      </c>
    </row>
    <row r="114">
      <c r="A114" s="3">
        <f>IFERROR(__xludf.DUMMYFUNCTION("""COMPUTED_VALUE"""),40338.99861111111)</f>
        <v>40338.99861</v>
      </c>
      <c r="B114" s="1">
        <f>IFERROR(__xludf.DUMMYFUNCTION("""COMPUTED_VALUE"""),0.4904200744)</f>
        <v>0.4904200744</v>
      </c>
    </row>
    <row r="115">
      <c r="A115" s="3">
        <f>IFERROR(__xludf.DUMMYFUNCTION("""COMPUTED_VALUE"""),40339.99861111111)</f>
        <v>40339.99861</v>
      </c>
      <c r="B115" s="1">
        <f>IFERROR(__xludf.DUMMYFUNCTION("""COMPUTED_VALUE"""),0.4928379944)</f>
        <v>0.4928379944</v>
      </c>
    </row>
    <row r="116">
      <c r="A116" s="3">
        <f>IFERROR(__xludf.DUMMYFUNCTION("""COMPUTED_VALUE"""),40340.99861111111)</f>
        <v>40340.99861</v>
      </c>
      <c r="B116" s="1">
        <f>IFERROR(__xludf.DUMMYFUNCTION("""COMPUTED_VALUE"""),0.4855649377)</f>
        <v>0.4855649377</v>
      </c>
    </row>
    <row r="117">
      <c r="A117" s="3">
        <f>IFERROR(__xludf.DUMMYFUNCTION("""COMPUTED_VALUE"""),40343.99861111111)</f>
        <v>40343.99861</v>
      </c>
      <c r="B117" s="1">
        <f>IFERROR(__xludf.DUMMYFUNCTION("""COMPUTED_VALUE"""),0.4864042224)</f>
        <v>0.4864042224</v>
      </c>
    </row>
    <row r="118">
      <c r="A118" s="3">
        <f>IFERROR(__xludf.DUMMYFUNCTION("""COMPUTED_VALUE"""),40344.99861111111)</f>
        <v>40344.99861</v>
      </c>
      <c r="B118" s="1">
        <f>IFERROR(__xludf.DUMMYFUNCTION("""COMPUTED_VALUE"""),0.4831395292)</f>
        <v>0.4831395292</v>
      </c>
    </row>
    <row r="119">
      <c r="A119" s="3">
        <f>IFERROR(__xludf.DUMMYFUNCTION("""COMPUTED_VALUE"""),40345.99861111111)</f>
        <v>40345.99861</v>
      </c>
      <c r="B119" s="1">
        <f>IFERROR(__xludf.DUMMYFUNCTION("""COMPUTED_VALUE"""),0.4841902198)</f>
        <v>0.4841902198</v>
      </c>
    </row>
    <row r="120">
      <c r="A120" s="3">
        <f>IFERROR(__xludf.DUMMYFUNCTION("""COMPUTED_VALUE"""),40346.99861111111)</f>
        <v>40346.99861</v>
      </c>
      <c r="B120" s="1">
        <f>IFERROR(__xludf.DUMMYFUNCTION("""COMPUTED_VALUE"""),0.4829846731)</f>
        <v>0.4829846731</v>
      </c>
    </row>
    <row r="121">
      <c r="A121" s="3">
        <f>IFERROR(__xludf.DUMMYFUNCTION("""COMPUTED_VALUE"""),40347.99861111111)</f>
        <v>40347.99861</v>
      </c>
      <c r="B121" s="1">
        <f>IFERROR(__xludf.DUMMYFUNCTION("""COMPUTED_VALUE"""),0.4793394932)</f>
        <v>0.4793394932</v>
      </c>
    </row>
    <row r="122">
      <c r="A122" s="3">
        <f>IFERROR(__xludf.DUMMYFUNCTION("""COMPUTED_VALUE"""),40350.99861111111)</f>
        <v>40350.99861</v>
      </c>
      <c r="B122" s="1">
        <f>IFERROR(__xludf.DUMMYFUNCTION("""COMPUTED_VALUE"""),0.4755761043)</f>
        <v>0.4755761043</v>
      </c>
    </row>
    <row r="123">
      <c r="A123" s="3">
        <f>IFERROR(__xludf.DUMMYFUNCTION("""COMPUTED_VALUE"""),40351.99861111111)</f>
        <v>40351.99861</v>
      </c>
      <c r="B123" s="1">
        <f>IFERROR(__xludf.DUMMYFUNCTION("""COMPUTED_VALUE"""),0.4761955038)</f>
        <v>0.4761955038</v>
      </c>
    </row>
    <row r="124">
      <c r="A124" s="3">
        <f>IFERROR(__xludf.DUMMYFUNCTION("""COMPUTED_VALUE"""),40352.99861111111)</f>
        <v>40352.99861</v>
      </c>
      <c r="B124" s="1">
        <f>IFERROR(__xludf.DUMMYFUNCTION("""COMPUTED_VALUE"""),0.4818362255)</f>
        <v>0.4818362255</v>
      </c>
    </row>
    <row r="125">
      <c r="A125" s="3">
        <f>IFERROR(__xludf.DUMMYFUNCTION("""COMPUTED_VALUE"""),40353.99861111111)</f>
        <v>40353.99861</v>
      </c>
      <c r="B125" s="1">
        <f>IFERROR(__xludf.DUMMYFUNCTION("""COMPUTED_VALUE"""),0.4790224523)</f>
        <v>0.4790224523</v>
      </c>
    </row>
    <row r="126">
      <c r="A126" s="3">
        <f>IFERROR(__xludf.DUMMYFUNCTION("""COMPUTED_VALUE"""),40354.99861111111)</f>
        <v>40354.99861</v>
      </c>
      <c r="B126" s="1">
        <f>IFERROR(__xludf.DUMMYFUNCTION("""COMPUTED_VALUE"""),0.4789012077)</f>
        <v>0.4789012077</v>
      </c>
    </row>
    <row r="127">
      <c r="A127" s="3">
        <f>IFERROR(__xludf.DUMMYFUNCTION("""COMPUTED_VALUE"""),40357.99861111111)</f>
        <v>40357.99861</v>
      </c>
      <c r="B127" s="1">
        <f>IFERROR(__xludf.DUMMYFUNCTION("""COMPUTED_VALUE"""),0.4779266628)</f>
        <v>0.4779266628</v>
      </c>
    </row>
    <row r="128">
      <c r="A128" s="3">
        <f>IFERROR(__xludf.DUMMYFUNCTION("""COMPUTED_VALUE"""),40358.99861111111)</f>
        <v>40358.99861</v>
      </c>
      <c r="B128" s="1">
        <f>IFERROR(__xludf.DUMMYFUNCTION("""COMPUTED_VALUE"""),0.4843186371)</f>
        <v>0.4843186371</v>
      </c>
    </row>
    <row r="129">
      <c r="A129" s="3">
        <f>IFERROR(__xludf.DUMMYFUNCTION("""COMPUTED_VALUE"""),40359.99861111111)</f>
        <v>40359.99861</v>
      </c>
      <c r="B129" s="1">
        <f>IFERROR(__xludf.DUMMYFUNCTION("""COMPUTED_VALUE"""),0.477298148)</f>
        <v>0.477298148</v>
      </c>
    </row>
    <row r="130">
      <c r="A130" s="3">
        <f>IFERROR(__xludf.DUMMYFUNCTION("""COMPUTED_VALUE"""),40360.99861111111)</f>
        <v>40360.99861</v>
      </c>
      <c r="B130" s="1">
        <f>IFERROR(__xludf.DUMMYFUNCTION("""COMPUTED_VALUE"""),0.4755631493)</f>
        <v>0.4755631493</v>
      </c>
    </row>
    <row r="131">
      <c r="A131" s="3">
        <f>IFERROR(__xludf.DUMMYFUNCTION("""COMPUTED_VALUE"""),40361.99861111111)</f>
        <v>40361.99861</v>
      </c>
      <c r="B131" s="1">
        <f>IFERROR(__xludf.DUMMYFUNCTION("""COMPUTED_VALUE"""),0.4769842019)</f>
        <v>0.4769842019</v>
      </c>
    </row>
    <row r="132">
      <c r="A132" s="3">
        <f>IFERROR(__xludf.DUMMYFUNCTION("""COMPUTED_VALUE"""),40364.99861111111)</f>
        <v>40364.99861</v>
      </c>
      <c r="B132" s="1">
        <f>IFERROR(__xludf.DUMMYFUNCTION("""COMPUTED_VALUE"""),0.4838161619)</f>
        <v>0.4838161619</v>
      </c>
    </row>
    <row r="133">
      <c r="A133" s="3">
        <f>IFERROR(__xludf.DUMMYFUNCTION("""COMPUTED_VALUE"""),40365.99861111111)</f>
        <v>40365.99861</v>
      </c>
      <c r="B133" s="1">
        <f>IFERROR(__xludf.DUMMYFUNCTION("""COMPUTED_VALUE"""),0.474302226)</f>
        <v>0.474302226</v>
      </c>
    </row>
    <row r="134">
      <c r="A134" s="3">
        <f>IFERROR(__xludf.DUMMYFUNCTION("""COMPUTED_VALUE"""),40366.99861111111)</f>
        <v>40366.99861</v>
      </c>
      <c r="B134" s="1">
        <f>IFERROR(__xludf.DUMMYFUNCTION("""COMPUTED_VALUE"""),0.4756062963)</f>
        <v>0.4756062963</v>
      </c>
    </row>
    <row r="135">
      <c r="A135" s="3">
        <f>IFERROR(__xludf.DUMMYFUNCTION("""COMPUTED_VALUE"""),40367.99861111111)</f>
        <v>40367.99861</v>
      </c>
      <c r="B135" s="1">
        <f>IFERROR(__xludf.DUMMYFUNCTION("""COMPUTED_VALUE"""),0.4817266706)</f>
        <v>0.4817266706</v>
      </c>
    </row>
    <row r="136">
      <c r="A136" s="3">
        <f>IFERROR(__xludf.DUMMYFUNCTION("""COMPUTED_VALUE"""),40368.99861111111)</f>
        <v>40368.99861</v>
      </c>
      <c r="B136" s="1">
        <f>IFERROR(__xludf.DUMMYFUNCTION("""COMPUTED_VALUE"""),0.4811514682)</f>
        <v>0.4811514682</v>
      </c>
    </row>
    <row r="137">
      <c r="A137" s="3">
        <f>IFERROR(__xludf.DUMMYFUNCTION("""COMPUTED_VALUE"""),40371.99861111111)</f>
        <v>40371.99861</v>
      </c>
      <c r="B137" s="1">
        <f>IFERROR(__xludf.DUMMYFUNCTION("""COMPUTED_VALUE"""),0.4818664603)</f>
        <v>0.4818664603</v>
      </c>
    </row>
    <row r="138">
      <c r="A138" s="3">
        <f>IFERROR(__xludf.DUMMYFUNCTION("""COMPUTED_VALUE"""),40372.99861111111)</f>
        <v>40372.99861</v>
      </c>
      <c r="B138" s="1">
        <f>IFERROR(__xludf.DUMMYFUNCTION("""COMPUTED_VALUE"""),0.4711571754)</f>
        <v>0.4711571754</v>
      </c>
    </row>
    <row r="139">
      <c r="A139" s="3">
        <f>IFERROR(__xludf.DUMMYFUNCTION("""COMPUTED_VALUE"""),40373.99861111111)</f>
        <v>40373.99861</v>
      </c>
      <c r="B139" s="1">
        <f>IFERROR(__xludf.DUMMYFUNCTION("""COMPUTED_VALUE"""),0.4819022168)</f>
        <v>0.4819022168</v>
      </c>
    </row>
    <row r="140">
      <c r="A140" s="3">
        <f>IFERROR(__xludf.DUMMYFUNCTION("""COMPUTED_VALUE"""),40374.99861111111)</f>
        <v>40374.99861</v>
      </c>
      <c r="B140" s="1">
        <f>IFERROR(__xludf.DUMMYFUNCTION("""COMPUTED_VALUE"""),0.4744041965)</f>
        <v>0.4744041965</v>
      </c>
    </row>
    <row r="141">
      <c r="A141" s="3">
        <f>IFERROR(__xludf.DUMMYFUNCTION("""COMPUTED_VALUE"""),40375.99861111111)</f>
        <v>40375.99861</v>
      </c>
      <c r="B141" s="1">
        <f>IFERROR(__xludf.DUMMYFUNCTION("""COMPUTED_VALUE"""),0.4816335175)</f>
        <v>0.4816335175</v>
      </c>
    </row>
    <row r="142">
      <c r="A142" s="3">
        <f>IFERROR(__xludf.DUMMYFUNCTION("""COMPUTED_VALUE"""),40378.99861111111)</f>
        <v>40378.99861</v>
      </c>
      <c r="B142" s="1">
        <f>IFERROR(__xludf.DUMMYFUNCTION("""COMPUTED_VALUE"""),0.4759895098)</f>
        <v>0.4759895098</v>
      </c>
    </row>
    <row r="143">
      <c r="A143" s="3">
        <f>IFERROR(__xludf.DUMMYFUNCTION("""COMPUTED_VALUE"""),40379.99861111111)</f>
        <v>40379.99861</v>
      </c>
      <c r="B143" s="1">
        <f>IFERROR(__xludf.DUMMYFUNCTION("""COMPUTED_VALUE"""),0.4723125156)</f>
        <v>0.4723125156</v>
      </c>
    </row>
    <row r="144">
      <c r="A144" s="3">
        <f>IFERROR(__xludf.DUMMYFUNCTION("""COMPUTED_VALUE"""),40380.99861111111)</f>
        <v>40380.99861</v>
      </c>
      <c r="B144" s="1">
        <f>IFERROR(__xludf.DUMMYFUNCTION("""COMPUTED_VALUE"""),0.4840059614)</f>
        <v>0.4840059614</v>
      </c>
    </row>
    <row r="145">
      <c r="A145" s="3">
        <f>IFERROR(__xludf.DUMMYFUNCTION("""COMPUTED_VALUE"""),40381.99861111111)</f>
        <v>40381.99861</v>
      </c>
      <c r="B145" s="1">
        <f>IFERROR(__xludf.DUMMYFUNCTION("""COMPUTED_VALUE"""),0.4787896524)</f>
        <v>0.4787896524</v>
      </c>
    </row>
    <row r="146">
      <c r="A146" s="3">
        <f>IFERROR(__xludf.DUMMYFUNCTION("""COMPUTED_VALUE"""),40382.99861111111)</f>
        <v>40382.99861</v>
      </c>
      <c r="B146" s="1">
        <f>IFERROR(__xludf.DUMMYFUNCTION("""COMPUTED_VALUE"""),0.4706421966)</f>
        <v>0.4706421966</v>
      </c>
    </row>
    <row r="147">
      <c r="A147" s="3">
        <f>IFERROR(__xludf.DUMMYFUNCTION("""COMPUTED_VALUE"""),40385.99861111111)</f>
        <v>40385.99861</v>
      </c>
      <c r="B147" s="1">
        <f>IFERROR(__xludf.DUMMYFUNCTION("""COMPUTED_VALUE"""),0.4674757484)</f>
        <v>0.4674757484</v>
      </c>
    </row>
    <row r="148">
      <c r="A148" s="3">
        <f>IFERROR(__xludf.DUMMYFUNCTION("""COMPUTED_VALUE"""),40386.99861111111)</f>
        <v>40386.99861</v>
      </c>
      <c r="B148" s="1">
        <f>IFERROR(__xludf.DUMMYFUNCTION("""COMPUTED_VALUE"""),0.4750239574)</f>
        <v>0.4750239574</v>
      </c>
    </row>
    <row r="149">
      <c r="A149" s="3">
        <f>IFERROR(__xludf.DUMMYFUNCTION("""COMPUTED_VALUE"""),40387.99861111111)</f>
        <v>40387.99861</v>
      </c>
      <c r="B149" s="1">
        <f>IFERROR(__xludf.DUMMYFUNCTION("""COMPUTED_VALUE"""),0.4737532779)</f>
        <v>0.4737532779</v>
      </c>
    </row>
    <row r="150">
      <c r="A150" s="3">
        <f>IFERROR(__xludf.DUMMYFUNCTION("""COMPUTED_VALUE"""),40388.99861111111)</f>
        <v>40388.99861</v>
      </c>
      <c r="B150" s="1">
        <f>IFERROR(__xludf.DUMMYFUNCTION("""COMPUTED_VALUE"""),0.4707740738)</f>
        <v>0.4707740738</v>
      </c>
    </row>
    <row r="151">
      <c r="A151" s="3">
        <f>IFERROR(__xludf.DUMMYFUNCTION("""COMPUTED_VALUE"""),40389.99861111111)</f>
        <v>40389.99861</v>
      </c>
      <c r="B151" s="1">
        <f>IFERROR(__xludf.DUMMYFUNCTION("""COMPUTED_VALUE"""),0.4679391634)</f>
        <v>0.4679391634</v>
      </c>
    </row>
    <row r="152">
      <c r="A152" s="3">
        <f>IFERROR(__xludf.DUMMYFUNCTION("""COMPUTED_VALUE"""),40392.99861111111)</f>
        <v>40392.99861</v>
      </c>
      <c r="B152" s="1">
        <f>IFERROR(__xludf.DUMMYFUNCTION("""COMPUTED_VALUE"""),0.4705525015)</f>
        <v>0.4705525015</v>
      </c>
    </row>
    <row r="153">
      <c r="A153" s="3">
        <f>IFERROR(__xludf.DUMMYFUNCTION("""COMPUTED_VALUE"""),40393.99861111111)</f>
        <v>40393.99861</v>
      </c>
      <c r="B153" s="1">
        <f>IFERROR(__xludf.DUMMYFUNCTION("""COMPUTED_VALUE"""),0.4618530155)</f>
        <v>0.4618530155</v>
      </c>
    </row>
    <row r="154">
      <c r="A154" s="3">
        <f>IFERROR(__xludf.DUMMYFUNCTION("""COMPUTED_VALUE"""),40394.99861111111)</f>
        <v>40394.99861</v>
      </c>
      <c r="B154" s="1">
        <f>IFERROR(__xludf.DUMMYFUNCTION("""COMPUTED_VALUE"""),0.4705603772)</f>
        <v>0.4705603772</v>
      </c>
    </row>
    <row r="155">
      <c r="A155" s="3">
        <f>IFERROR(__xludf.DUMMYFUNCTION("""COMPUTED_VALUE"""),40395.99861111111)</f>
        <v>40395.99861</v>
      </c>
      <c r="B155" s="1">
        <f>IFERROR(__xludf.DUMMYFUNCTION("""COMPUTED_VALUE"""),0.4749880216)</f>
        <v>0.4749880216</v>
      </c>
    </row>
    <row r="156">
      <c r="A156" s="3">
        <f>IFERROR(__xludf.DUMMYFUNCTION("""COMPUTED_VALUE"""),40396.99861111111)</f>
        <v>40396.99861</v>
      </c>
      <c r="B156" s="1">
        <f>IFERROR(__xludf.DUMMYFUNCTION("""COMPUTED_VALUE"""),0.465843401)</f>
        <v>0.465843401</v>
      </c>
    </row>
    <row r="157">
      <c r="A157" s="3">
        <f>IFERROR(__xludf.DUMMYFUNCTION("""COMPUTED_VALUE"""),40399.99861111111)</f>
        <v>40399.99861</v>
      </c>
      <c r="B157" s="1">
        <f>IFERROR(__xludf.DUMMYFUNCTION("""COMPUTED_VALUE"""),0.4690971099)</f>
        <v>0.4690971099</v>
      </c>
    </row>
    <row r="158">
      <c r="A158" s="3">
        <f>IFERROR(__xludf.DUMMYFUNCTION("""COMPUTED_VALUE"""),40400.99861111111)</f>
        <v>40400.99861</v>
      </c>
      <c r="B158" s="1">
        <f>IFERROR(__xludf.DUMMYFUNCTION("""COMPUTED_VALUE"""),0.4663323641)</f>
        <v>0.4663323641</v>
      </c>
    </row>
    <row r="159">
      <c r="A159" s="3">
        <f>IFERROR(__xludf.DUMMYFUNCTION("""COMPUTED_VALUE"""),40401.99861111111)</f>
        <v>40401.99861</v>
      </c>
      <c r="B159" s="1">
        <f>IFERROR(__xludf.DUMMYFUNCTION("""COMPUTED_VALUE"""),0.4727769)</f>
        <v>0.4727769</v>
      </c>
    </row>
    <row r="160">
      <c r="A160" s="3">
        <f>IFERROR(__xludf.DUMMYFUNCTION("""COMPUTED_VALUE"""),40402.99861111111)</f>
        <v>40402.99861</v>
      </c>
      <c r="B160" s="1">
        <f>IFERROR(__xludf.DUMMYFUNCTION("""COMPUTED_VALUE"""),0.4739196572)</f>
        <v>0.4739196572</v>
      </c>
    </row>
    <row r="161">
      <c r="A161" s="3">
        <f>IFERROR(__xludf.DUMMYFUNCTION("""COMPUTED_VALUE"""),40403.99861111111)</f>
        <v>40403.99861</v>
      </c>
      <c r="B161" s="1">
        <f>IFERROR(__xludf.DUMMYFUNCTION("""COMPUTED_VALUE"""),0.4707559026)</f>
        <v>0.4707559026</v>
      </c>
    </row>
    <row r="162">
      <c r="A162" s="3">
        <f>IFERROR(__xludf.DUMMYFUNCTION("""COMPUTED_VALUE"""),40406.99861111111)</f>
        <v>40406.99861</v>
      </c>
      <c r="B162" s="1">
        <f>IFERROR(__xludf.DUMMYFUNCTION("""COMPUTED_VALUE"""),0.4753222458)</f>
        <v>0.4753222458</v>
      </c>
    </row>
    <row r="163">
      <c r="A163" s="3">
        <f>IFERROR(__xludf.DUMMYFUNCTION("""COMPUTED_VALUE"""),40407.99861111111)</f>
        <v>40407.99861</v>
      </c>
      <c r="B163" s="1">
        <f>IFERROR(__xludf.DUMMYFUNCTION("""COMPUTED_VALUE"""),0.4724312236)</f>
        <v>0.4724312236</v>
      </c>
    </row>
    <row r="164">
      <c r="A164" s="3">
        <f>IFERROR(__xludf.DUMMYFUNCTION("""COMPUTED_VALUE"""),40408.99861111111)</f>
        <v>40408.99861</v>
      </c>
      <c r="B164" s="1">
        <f>IFERROR(__xludf.DUMMYFUNCTION("""COMPUTED_VALUE"""),0.4646889851)</f>
        <v>0.4646889851</v>
      </c>
    </row>
    <row r="165">
      <c r="A165" s="3">
        <f>IFERROR(__xludf.DUMMYFUNCTION("""COMPUTED_VALUE"""),40409.99861111111)</f>
        <v>40409.99861</v>
      </c>
      <c r="B165" s="1">
        <f>IFERROR(__xludf.DUMMYFUNCTION("""COMPUTED_VALUE"""),0.4654676234)</f>
        <v>0.4654676234</v>
      </c>
    </row>
    <row r="166">
      <c r="A166" s="3">
        <f>IFERROR(__xludf.DUMMYFUNCTION("""COMPUTED_VALUE"""),40410.99861111111)</f>
        <v>40410.99861</v>
      </c>
      <c r="B166" s="1">
        <f>IFERROR(__xludf.DUMMYFUNCTION("""COMPUTED_VALUE"""),0.4697869806)</f>
        <v>0.4697869806</v>
      </c>
    </row>
    <row r="167">
      <c r="A167" s="3">
        <f>IFERROR(__xludf.DUMMYFUNCTION("""COMPUTED_VALUE"""),40413.99861111111)</f>
        <v>40413.99861</v>
      </c>
      <c r="B167" s="1">
        <f>IFERROR(__xludf.DUMMYFUNCTION("""COMPUTED_VALUE"""),0.4629803675)</f>
        <v>0.4629803675</v>
      </c>
    </row>
    <row r="168">
      <c r="A168" s="3">
        <f>IFERROR(__xludf.DUMMYFUNCTION("""COMPUTED_VALUE"""),40414.99861111111)</f>
        <v>40414.99861</v>
      </c>
      <c r="B168" s="1">
        <f>IFERROR(__xludf.DUMMYFUNCTION("""COMPUTED_VALUE"""),0.4683805437)</f>
        <v>0.4683805437</v>
      </c>
    </row>
    <row r="169">
      <c r="A169" s="3">
        <f>IFERROR(__xludf.DUMMYFUNCTION("""COMPUTED_VALUE"""),40415.99861111111)</f>
        <v>40415.99861</v>
      </c>
      <c r="B169" s="1">
        <f>IFERROR(__xludf.DUMMYFUNCTION("""COMPUTED_VALUE"""),0.4629504035)</f>
        <v>0.4629504035</v>
      </c>
    </row>
    <row r="170">
      <c r="A170" s="3">
        <f>IFERROR(__xludf.DUMMYFUNCTION("""COMPUTED_VALUE"""),40416.99861111111)</f>
        <v>40416.99861</v>
      </c>
      <c r="B170" s="1">
        <f>IFERROR(__xludf.DUMMYFUNCTION("""COMPUTED_VALUE"""),0.4695392053)</f>
        <v>0.4695392053</v>
      </c>
    </row>
    <row r="171">
      <c r="A171" s="3">
        <f>IFERROR(__xludf.DUMMYFUNCTION("""COMPUTED_VALUE"""),40417.99861111111)</f>
        <v>40417.99861</v>
      </c>
      <c r="B171" s="1">
        <f>IFERROR(__xludf.DUMMYFUNCTION("""COMPUTED_VALUE"""),0.4704843086)</f>
        <v>0.4704843086</v>
      </c>
    </row>
    <row r="172">
      <c r="A172" s="3">
        <f>IFERROR(__xludf.DUMMYFUNCTION("""COMPUTED_VALUE"""),40420.99861111111)</f>
        <v>40420.99861</v>
      </c>
      <c r="B172" s="1">
        <f>IFERROR(__xludf.DUMMYFUNCTION("""COMPUTED_VALUE"""),0.4646243576)</f>
        <v>0.4646243576</v>
      </c>
    </row>
    <row r="173">
      <c r="A173" s="3">
        <f>IFERROR(__xludf.DUMMYFUNCTION("""COMPUTED_VALUE"""),40421.99861111111)</f>
        <v>40421.99861</v>
      </c>
      <c r="B173" s="1">
        <f>IFERROR(__xludf.DUMMYFUNCTION("""COMPUTED_VALUE"""),0.4699791415)</f>
        <v>0.4699791415</v>
      </c>
    </row>
    <row r="174">
      <c r="A174" s="3">
        <f>IFERROR(__xludf.DUMMYFUNCTION("""COMPUTED_VALUE"""),40422.99861111111)</f>
        <v>40422.99861</v>
      </c>
      <c r="B174" s="1">
        <f>IFERROR(__xludf.DUMMYFUNCTION("""COMPUTED_VALUE"""),0.4630745433)</f>
        <v>0.4630745433</v>
      </c>
    </row>
    <row r="175">
      <c r="A175" s="3">
        <f>IFERROR(__xludf.DUMMYFUNCTION("""COMPUTED_VALUE"""),40423.99861111111)</f>
        <v>40423.99861</v>
      </c>
      <c r="B175" s="1">
        <f>IFERROR(__xludf.DUMMYFUNCTION("""COMPUTED_VALUE"""),0.4691051368)</f>
        <v>0.4691051368</v>
      </c>
    </row>
    <row r="176">
      <c r="A176" s="3">
        <f>IFERROR(__xludf.DUMMYFUNCTION("""COMPUTED_VALUE"""),40424.99861111111)</f>
        <v>40424.99861</v>
      </c>
      <c r="B176" s="1">
        <f>IFERROR(__xludf.DUMMYFUNCTION("""COMPUTED_VALUE"""),0.4616242592)</f>
        <v>0.4616242592</v>
      </c>
    </row>
    <row r="177">
      <c r="A177" s="3">
        <f>IFERROR(__xludf.DUMMYFUNCTION("""COMPUTED_VALUE"""),40427.99861111111)</f>
        <v>40427.99861</v>
      </c>
      <c r="B177" s="1">
        <f>IFERROR(__xludf.DUMMYFUNCTION("""COMPUTED_VALUE"""),0.4690767808)</f>
        <v>0.4690767808</v>
      </c>
    </row>
    <row r="178">
      <c r="A178" s="3">
        <f>IFERROR(__xludf.DUMMYFUNCTION("""COMPUTED_VALUE"""),40428.99861111111)</f>
        <v>40428.99861</v>
      </c>
      <c r="B178" s="1">
        <f>IFERROR(__xludf.DUMMYFUNCTION("""COMPUTED_VALUE"""),0.464354749)</f>
        <v>0.464354749</v>
      </c>
    </row>
    <row r="179">
      <c r="A179" s="3">
        <f>IFERROR(__xludf.DUMMYFUNCTION("""COMPUTED_VALUE"""),40429.99861111111)</f>
        <v>40429.99861</v>
      </c>
      <c r="B179" s="1">
        <f>IFERROR(__xludf.DUMMYFUNCTION("""COMPUTED_VALUE"""),0.4699879865)</f>
        <v>0.4699879865</v>
      </c>
    </row>
    <row r="180">
      <c r="A180" s="3">
        <f>IFERROR(__xludf.DUMMYFUNCTION("""COMPUTED_VALUE"""),40430.99861111111)</f>
        <v>40430.99861</v>
      </c>
      <c r="B180" s="1">
        <f>IFERROR(__xludf.DUMMYFUNCTION("""COMPUTED_VALUE"""),0.4709011175)</f>
        <v>0.4709011175</v>
      </c>
    </row>
    <row r="181">
      <c r="A181" s="3">
        <f>IFERROR(__xludf.DUMMYFUNCTION("""COMPUTED_VALUE"""),40431.99861111111)</f>
        <v>40431.99861</v>
      </c>
      <c r="B181" s="1">
        <f>IFERROR(__xludf.DUMMYFUNCTION("""COMPUTED_VALUE"""),0.4704667482)</f>
        <v>0.4704667482</v>
      </c>
    </row>
    <row r="182">
      <c r="A182" s="3">
        <f>IFERROR(__xludf.DUMMYFUNCTION("""COMPUTED_VALUE"""),40434.99861111111)</f>
        <v>40434.99861</v>
      </c>
      <c r="B182" s="1">
        <f>IFERROR(__xludf.DUMMYFUNCTION("""COMPUTED_VALUE"""),0.4624929305)</f>
        <v>0.4624929305</v>
      </c>
    </row>
    <row r="183">
      <c r="A183" s="3">
        <f>IFERROR(__xludf.DUMMYFUNCTION("""COMPUTED_VALUE"""),40435.99861111111)</f>
        <v>40435.99861</v>
      </c>
      <c r="B183" s="1">
        <f>IFERROR(__xludf.DUMMYFUNCTION("""COMPUTED_VALUE"""),0.4614788109)</f>
        <v>0.4614788109</v>
      </c>
    </row>
    <row r="184">
      <c r="A184" s="3">
        <f>IFERROR(__xludf.DUMMYFUNCTION("""COMPUTED_VALUE"""),40436.99861111111)</f>
        <v>40436.99861</v>
      </c>
      <c r="B184" s="1">
        <f>IFERROR(__xludf.DUMMYFUNCTION("""COMPUTED_VALUE"""),0.4608780407)</f>
        <v>0.4608780407</v>
      </c>
    </row>
    <row r="185">
      <c r="A185" s="3">
        <f>IFERROR(__xludf.DUMMYFUNCTION("""COMPUTED_VALUE"""),40437.99861111111)</f>
        <v>40437.99861</v>
      </c>
      <c r="B185" s="1">
        <f>IFERROR(__xludf.DUMMYFUNCTION("""COMPUTED_VALUE"""),0.4591259573)</f>
        <v>0.4591259573</v>
      </c>
    </row>
    <row r="186">
      <c r="A186" s="3">
        <f>IFERROR(__xludf.DUMMYFUNCTION("""COMPUTED_VALUE"""),40438.99861111111)</f>
        <v>40438.99861</v>
      </c>
      <c r="B186" s="1">
        <f>IFERROR(__xludf.DUMMYFUNCTION("""COMPUTED_VALUE"""),0.4613621158)</f>
        <v>0.4613621158</v>
      </c>
    </row>
    <row r="187">
      <c r="A187" s="3">
        <f>IFERROR(__xludf.DUMMYFUNCTION("""COMPUTED_VALUE"""),40441.99861111111)</f>
        <v>40441.99861</v>
      </c>
      <c r="B187" s="1">
        <f>IFERROR(__xludf.DUMMYFUNCTION("""COMPUTED_VALUE"""),0.4618097619)</f>
        <v>0.4618097619</v>
      </c>
    </row>
    <row r="188">
      <c r="A188" s="3">
        <f>IFERROR(__xludf.DUMMYFUNCTION("""COMPUTED_VALUE"""),40442.99861111111)</f>
        <v>40442.99861</v>
      </c>
      <c r="B188" s="1">
        <f>IFERROR(__xludf.DUMMYFUNCTION("""COMPUTED_VALUE"""),0.456150088)</f>
        <v>0.456150088</v>
      </c>
    </row>
    <row r="189">
      <c r="A189" s="3">
        <f>IFERROR(__xludf.DUMMYFUNCTION("""COMPUTED_VALUE"""),40443.99861111111)</f>
        <v>40443.99861</v>
      </c>
      <c r="B189" s="1">
        <f>IFERROR(__xludf.DUMMYFUNCTION("""COMPUTED_VALUE"""),0.465396858)</f>
        <v>0.465396858</v>
      </c>
    </row>
    <row r="190">
      <c r="A190" s="3">
        <f>IFERROR(__xludf.DUMMYFUNCTION("""COMPUTED_VALUE"""),40444.99861111111)</f>
        <v>40444.99861</v>
      </c>
      <c r="B190" s="1">
        <f>IFERROR(__xludf.DUMMYFUNCTION("""COMPUTED_VALUE"""),0.4678021787)</f>
        <v>0.4678021787</v>
      </c>
    </row>
    <row r="191">
      <c r="A191" s="3">
        <f>IFERROR(__xludf.DUMMYFUNCTION("""COMPUTED_VALUE"""),40445.99861111111)</f>
        <v>40445.99861</v>
      </c>
      <c r="B191" s="1">
        <f>IFERROR(__xludf.DUMMYFUNCTION("""COMPUTED_VALUE"""),0.4611817355)</f>
        <v>0.4611817355</v>
      </c>
    </row>
    <row r="192">
      <c r="A192" s="3">
        <f>IFERROR(__xludf.DUMMYFUNCTION("""COMPUTED_VALUE"""),40448.99861111111)</f>
        <v>40448.99861</v>
      </c>
      <c r="B192" s="1">
        <f>IFERROR(__xludf.DUMMYFUNCTION("""COMPUTED_VALUE"""),0.4676729679)</f>
        <v>0.4676729679</v>
      </c>
    </row>
    <row r="193">
      <c r="A193" s="3">
        <f>IFERROR(__xludf.DUMMYFUNCTION("""COMPUTED_VALUE"""),40449.99861111111)</f>
        <v>40449.99861</v>
      </c>
      <c r="B193" s="1">
        <f>IFERROR(__xludf.DUMMYFUNCTION("""COMPUTED_VALUE"""),0.4595943436)</f>
        <v>0.4595943436</v>
      </c>
    </row>
    <row r="194">
      <c r="A194" s="3">
        <f>IFERROR(__xludf.DUMMYFUNCTION("""COMPUTED_VALUE"""),40450.99861111111)</f>
        <v>40450.99861</v>
      </c>
      <c r="B194" s="1">
        <f>IFERROR(__xludf.DUMMYFUNCTION("""COMPUTED_VALUE"""),0.4587467871)</f>
        <v>0.4587467871</v>
      </c>
    </row>
    <row r="195">
      <c r="A195" s="3">
        <f>IFERROR(__xludf.DUMMYFUNCTION("""COMPUTED_VALUE"""),40451.99861111111)</f>
        <v>40451.99861</v>
      </c>
      <c r="B195" s="1">
        <f>IFERROR(__xludf.DUMMYFUNCTION("""COMPUTED_VALUE"""),0.4660807416)</f>
        <v>0.4660807416</v>
      </c>
    </row>
    <row r="196">
      <c r="A196" s="3">
        <f>IFERROR(__xludf.DUMMYFUNCTION("""COMPUTED_VALUE"""),40452.99861111111)</f>
        <v>40452.99861</v>
      </c>
      <c r="B196" s="1">
        <f>IFERROR(__xludf.DUMMYFUNCTION("""COMPUTED_VALUE"""),0.458059042)</f>
        <v>0.458059042</v>
      </c>
    </row>
    <row r="197">
      <c r="A197" s="3">
        <f>IFERROR(__xludf.DUMMYFUNCTION("""COMPUTED_VALUE"""),40455.99861111111)</f>
        <v>40455.99861</v>
      </c>
      <c r="B197" s="1">
        <f>IFERROR(__xludf.DUMMYFUNCTION("""COMPUTED_VALUE"""),0.4588084204)</f>
        <v>0.4588084204</v>
      </c>
    </row>
    <row r="198">
      <c r="A198" s="3">
        <f>IFERROR(__xludf.DUMMYFUNCTION("""COMPUTED_VALUE"""),40456.99861111111)</f>
        <v>40456.99861</v>
      </c>
      <c r="B198" s="1">
        <f>IFERROR(__xludf.DUMMYFUNCTION("""COMPUTED_VALUE"""),0.4533555761)</f>
        <v>0.4533555761</v>
      </c>
    </row>
    <row r="199">
      <c r="A199" s="3">
        <f>IFERROR(__xludf.DUMMYFUNCTION("""COMPUTED_VALUE"""),40457.99861111111)</f>
        <v>40457.99861</v>
      </c>
      <c r="B199" s="1">
        <f>IFERROR(__xludf.DUMMYFUNCTION("""COMPUTED_VALUE"""),0.4559506639)</f>
        <v>0.4559506639</v>
      </c>
    </row>
    <row r="200">
      <c r="A200" s="3">
        <f>IFERROR(__xludf.DUMMYFUNCTION("""COMPUTED_VALUE"""),40458.99861111111)</f>
        <v>40458.99861</v>
      </c>
      <c r="B200" s="1">
        <f>IFERROR(__xludf.DUMMYFUNCTION("""COMPUTED_VALUE"""),0.4578885134)</f>
        <v>0.4578885134</v>
      </c>
    </row>
    <row r="201">
      <c r="A201" s="3">
        <f>IFERROR(__xludf.DUMMYFUNCTION("""COMPUTED_VALUE"""),40459.99861111111)</f>
        <v>40459.99861</v>
      </c>
      <c r="B201" s="1">
        <f>IFERROR(__xludf.DUMMYFUNCTION("""COMPUTED_VALUE"""),0.4582682384)</f>
        <v>0.4582682384</v>
      </c>
    </row>
    <row r="202">
      <c r="A202" s="3">
        <f>IFERROR(__xludf.DUMMYFUNCTION("""COMPUTED_VALUE"""),40462.99861111111)</f>
        <v>40462.99861</v>
      </c>
      <c r="B202" s="1">
        <f>IFERROR(__xludf.DUMMYFUNCTION("""COMPUTED_VALUE"""),0.4669244702)</f>
        <v>0.4669244702</v>
      </c>
    </row>
    <row r="203">
      <c r="A203" s="3">
        <f>IFERROR(__xludf.DUMMYFUNCTION("""COMPUTED_VALUE"""),40463.99861111111)</f>
        <v>40463.99861</v>
      </c>
      <c r="B203" s="1">
        <f>IFERROR(__xludf.DUMMYFUNCTION("""COMPUTED_VALUE"""),0.4577600777)</f>
        <v>0.4577600777</v>
      </c>
    </row>
    <row r="204">
      <c r="A204" s="3">
        <f>IFERROR(__xludf.DUMMYFUNCTION("""COMPUTED_VALUE"""),40464.99861111111)</f>
        <v>40464.99861</v>
      </c>
      <c r="B204" s="1">
        <f>IFERROR(__xludf.DUMMYFUNCTION("""COMPUTED_VALUE"""),0.4561366511)</f>
        <v>0.4561366511</v>
      </c>
    </row>
    <row r="205">
      <c r="A205" s="3">
        <f>IFERROR(__xludf.DUMMYFUNCTION("""COMPUTED_VALUE"""),40465.99861111111)</f>
        <v>40465.99861</v>
      </c>
      <c r="B205" s="1">
        <f>IFERROR(__xludf.DUMMYFUNCTION("""COMPUTED_VALUE"""),0.4633983778)</f>
        <v>0.4633983778</v>
      </c>
    </row>
    <row r="206">
      <c r="A206" s="3">
        <f>IFERROR(__xludf.DUMMYFUNCTION("""COMPUTED_VALUE"""),40466.99861111111)</f>
        <v>40466.99861</v>
      </c>
      <c r="B206" s="1">
        <f>IFERROR(__xludf.DUMMYFUNCTION("""COMPUTED_VALUE"""),0.459316895)</f>
        <v>0.459316895</v>
      </c>
    </row>
    <row r="207">
      <c r="A207" s="3">
        <f>IFERROR(__xludf.DUMMYFUNCTION("""COMPUTED_VALUE"""),40469.99861111111)</f>
        <v>40469.99861</v>
      </c>
      <c r="B207" s="1">
        <f>IFERROR(__xludf.DUMMYFUNCTION("""COMPUTED_VALUE"""),0.468070516)</f>
        <v>0.468070516</v>
      </c>
    </row>
    <row r="208">
      <c r="A208" s="3">
        <f>IFERROR(__xludf.DUMMYFUNCTION("""COMPUTED_VALUE"""),40470.99861111111)</f>
        <v>40470.99861</v>
      </c>
      <c r="B208" s="1">
        <f>IFERROR(__xludf.DUMMYFUNCTION("""COMPUTED_VALUE"""),0.4608478889)</f>
        <v>0.4608478889</v>
      </c>
    </row>
    <row r="209">
      <c r="A209" s="3">
        <f>IFERROR(__xludf.DUMMYFUNCTION("""COMPUTED_VALUE"""),40471.99861111111)</f>
        <v>40471.99861</v>
      </c>
      <c r="B209" s="1">
        <f>IFERROR(__xludf.DUMMYFUNCTION("""COMPUTED_VALUE"""),0.4775467071)</f>
        <v>0.4775467071</v>
      </c>
    </row>
    <row r="210">
      <c r="A210" s="3">
        <f>IFERROR(__xludf.DUMMYFUNCTION("""COMPUTED_VALUE"""),40472.99861111111)</f>
        <v>40472.99861</v>
      </c>
      <c r="B210" s="1">
        <f>IFERROR(__xludf.DUMMYFUNCTION("""COMPUTED_VALUE"""),0.4545197712)</f>
        <v>0.4545197712</v>
      </c>
    </row>
    <row r="211">
      <c r="A211" s="3">
        <f>IFERROR(__xludf.DUMMYFUNCTION("""COMPUTED_VALUE"""),40473.99861111111)</f>
        <v>40473.99861</v>
      </c>
      <c r="B211" s="1">
        <f>IFERROR(__xludf.DUMMYFUNCTION("""COMPUTED_VALUE"""),0.4581864841)</f>
        <v>0.4581864841</v>
      </c>
    </row>
    <row r="212">
      <c r="A212" s="3">
        <f>IFERROR(__xludf.DUMMYFUNCTION("""COMPUTED_VALUE"""),40476.99861111111)</f>
        <v>40476.99861</v>
      </c>
      <c r="B212" s="1">
        <f>IFERROR(__xludf.DUMMYFUNCTION("""COMPUTED_VALUE"""),0.4587358643)</f>
        <v>0.4587358643</v>
      </c>
    </row>
    <row r="213">
      <c r="A213" s="3">
        <f>IFERROR(__xludf.DUMMYFUNCTION("""COMPUTED_VALUE"""),40477.99861111111)</f>
        <v>40477.99861</v>
      </c>
      <c r="B213" s="1">
        <f>IFERROR(__xludf.DUMMYFUNCTION("""COMPUTED_VALUE"""),0.4579861245)</f>
        <v>0.4579861245</v>
      </c>
    </row>
    <row r="214">
      <c r="A214" s="3">
        <f>IFERROR(__xludf.DUMMYFUNCTION("""COMPUTED_VALUE"""),40478.99861111111)</f>
        <v>40478.99861</v>
      </c>
      <c r="B214" s="1">
        <f>IFERROR(__xludf.DUMMYFUNCTION("""COMPUTED_VALUE"""),0.4587304016)</f>
        <v>0.4587304016</v>
      </c>
    </row>
    <row r="215">
      <c r="A215" s="3">
        <f>IFERROR(__xludf.DUMMYFUNCTION("""COMPUTED_VALUE"""),40479.99861111111)</f>
        <v>40479.99861</v>
      </c>
      <c r="B215" s="1">
        <f>IFERROR(__xludf.DUMMYFUNCTION("""COMPUTED_VALUE"""),0.4595075737)</f>
        <v>0.4595075737</v>
      </c>
    </row>
    <row r="216">
      <c r="A216" s="3">
        <f>IFERROR(__xludf.DUMMYFUNCTION("""COMPUTED_VALUE"""),40480.99861111111)</f>
        <v>40480.99861</v>
      </c>
      <c r="B216" s="1">
        <f>IFERROR(__xludf.DUMMYFUNCTION("""COMPUTED_VALUE"""),0.459228785)</f>
        <v>0.459228785</v>
      </c>
    </row>
    <row r="217">
      <c r="A217" s="3">
        <f>IFERROR(__xludf.DUMMYFUNCTION("""COMPUTED_VALUE"""),40483.99861111111)</f>
        <v>40483.99861</v>
      </c>
      <c r="B217" s="1">
        <f>IFERROR(__xludf.DUMMYFUNCTION("""COMPUTED_VALUE"""),0.4582253066)</f>
        <v>0.4582253066</v>
      </c>
    </row>
    <row r="218">
      <c r="A218" s="3">
        <f>IFERROR(__xludf.DUMMYFUNCTION("""COMPUTED_VALUE"""),40484.99861111111)</f>
        <v>40484.99861</v>
      </c>
      <c r="B218" s="1">
        <f>IFERROR(__xludf.DUMMYFUNCTION("""COMPUTED_VALUE"""),0.4539213158)</f>
        <v>0.4539213158</v>
      </c>
    </row>
    <row r="219">
      <c r="A219" s="3">
        <f>IFERROR(__xludf.DUMMYFUNCTION("""COMPUTED_VALUE"""),40485.99861111111)</f>
        <v>40485.99861</v>
      </c>
      <c r="B219" s="1">
        <f>IFERROR(__xludf.DUMMYFUNCTION("""COMPUTED_VALUE"""),0.4566453162)</f>
        <v>0.4566453162</v>
      </c>
    </row>
    <row r="220">
      <c r="A220" s="3">
        <f>IFERROR(__xludf.DUMMYFUNCTION("""COMPUTED_VALUE"""),40486.99861111111)</f>
        <v>40486.99861</v>
      </c>
      <c r="B220" s="1">
        <f>IFERROR(__xludf.DUMMYFUNCTION("""COMPUTED_VALUE"""),0.4644953577)</f>
        <v>0.4644953577</v>
      </c>
    </row>
    <row r="221">
      <c r="A221" s="3">
        <f>IFERROR(__xludf.DUMMYFUNCTION("""COMPUTED_VALUE"""),40487.99861111111)</f>
        <v>40487.99861</v>
      </c>
      <c r="B221" s="1">
        <f>IFERROR(__xludf.DUMMYFUNCTION("""COMPUTED_VALUE"""),0.4572309229)</f>
        <v>0.4572309229</v>
      </c>
    </row>
    <row r="222">
      <c r="A222" s="3">
        <f>IFERROR(__xludf.DUMMYFUNCTION("""COMPUTED_VALUE"""),40490.99861111111)</f>
        <v>40490.99861</v>
      </c>
      <c r="B222" s="1">
        <f>IFERROR(__xludf.DUMMYFUNCTION("""COMPUTED_VALUE"""),0.4573420619)</f>
        <v>0.4573420619</v>
      </c>
    </row>
    <row r="223">
      <c r="A223" s="3">
        <f>IFERROR(__xludf.DUMMYFUNCTION("""COMPUTED_VALUE"""),40491.99861111111)</f>
        <v>40491.99861</v>
      </c>
      <c r="B223" s="1">
        <f>IFERROR(__xludf.DUMMYFUNCTION("""COMPUTED_VALUE"""),0.4523503681)</f>
        <v>0.4523503681</v>
      </c>
    </row>
    <row r="224">
      <c r="A224" s="3">
        <f>IFERROR(__xludf.DUMMYFUNCTION("""COMPUTED_VALUE"""),40492.99861111111)</f>
        <v>40492.99861</v>
      </c>
      <c r="B224" s="1">
        <f>IFERROR(__xludf.DUMMYFUNCTION("""COMPUTED_VALUE"""),0.4509296326)</f>
        <v>0.4509296326</v>
      </c>
    </row>
    <row r="225">
      <c r="A225" s="3">
        <f>IFERROR(__xludf.DUMMYFUNCTION("""COMPUTED_VALUE"""),40493.99861111111)</f>
        <v>40493.99861</v>
      </c>
      <c r="B225" s="1">
        <f>IFERROR(__xludf.DUMMYFUNCTION("""COMPUTED_VALUE"""),0.4519907482)</f>
        <v>0.4519907482</v>
      </c>
    </row>
    <row r="226">
      <c r="A226" s="3">
        <f>IFERROR(__xludf.DUMMYFUNCTION("""COMPUTED_VALUE"""),40494.99861111111)</f>
        <v>40494.99861</v>
      </c>
      <c r="B226" s="1">
        <f>IFERROR(__xludf.DUMMYFUNCTION("""COMPUTED_VALUE"""),0.4586048263)</f>
        <v>0.4586048263</v>
      </c>
    </row>
    <row r="227">
      <c r="A227" s="3">
        <f>IFERROR(__xludf.DUMMYFUNCTION("""COMPUTED_VALUE"""),40497.99861111111)</f>
        <v>40497.99861</v>
      </c>
      <c r="B227" s="1">
        <f>IFERROR(__xludf.DUMMYFUNCTION("""COMPUTED_VALUE"""),0.4606961168)</f>
        <v>0.4606961168</v>
      </c>
    </row>
    <row r="228">
      <c r="A228" s="3">
        <f>IFERROR(__xludf.DUMMYFUNCTION("""COMPUTED_VALUE"""),40498.99861111111)</f>
        <v>40498.99861</v>
      </c>
      <c r="B228" s="1">
        <f>IFERROR(__xludf.DUMMYFUNCTION("""COMPUTED_VALUE"""),0.4612259707)</f>
        <v>0.4612259707</v>
      </c>
    </row>
    <row r="229">
      <c r="A229" s="3">
        <f>IFERROR(__xludf.DUMMYFUNCTION("""COMPUTED_VALUE"""),40499.99861111111)</f>
        <v>40499.99861</v>
      </c>
      <c r="B229" s="1">
        <f>IFERROR(__xludf.DUMMYFUNCTION("""COMPUTED_VALUE"""),0.4607771621)</f>
        <v>0.4607771621</v>
      </c>
    </row>
    <row r="230">
      <c r="A230" s="3">
        <f>IFERROR(__xludf.DUMMYFUNCTION("""COMPUTED_VALUE"""),40500.99861111111)</f>
        <v>40500.99861</v>
      </c>
      <c r="B230" s="1">
        <f>IFERROR(__xludf.DUMMYFUNCTION("""COMPUTED_VALUE"""),0.4544193176)</f>
        <v>0.4544193176</v>
      </c>
    </row>
    <row r="231">
      <c r="A231" s="3">
        <f>IFERROR(__xludf.DUMMYFUNCTION("""COMPUTED_VALUE"""),40501.99861111111)</f>
        <v>40501.99861</v>
      </c>
      <c r="B231" s="1">
        <f>IFERROR(__xludf.DUMMYFUNCTION("""COMPUTED_VALUE"""),0.4590824962)</f>
        <v>0.4590824962</v>
      </c>
    </row>
    <row r="232">
      <c r="A232" s="3">
        <f>IFERROR(__xludf.DUMMYFUNCTION("""COMPUTED_VALUE"""),40504.99861111111)</f>
        <v>40504.99861</v>
      </c>
      <c r="B232" s="1">
        <f>IFERROR(__xludf.DUMMYFUNCTION("""COMPUTED_VALUE"""),0.4590976796)</f>
        <v>0.4590976796</v>
      </c>
    </row>
    <row r="233">
      <c r="A233" s="3">
        <f>IFERROR(__xludf.DUMMYFUNCTION("""COMPUTED_VALUE"""),40505.99861111111)</f>
        <v>40505.99861</v>
      </c>
      <c r="B233" s="1">
        <f>IFERROR(__xludf.DUMMYFUNCTION("""COMPUTED_VALUE"""),0.4608738094)</f>
        <v>0.4608738094</v>
      </c>
    </row>
    <row r="234">
      <c r="A234" s="3">
        <f>IFERROR(__xludf.DUMMYFUNCTION("""COMPUTED_VALUE"""),40506.99861111111)</f>
        <v>40506.99861</v>
      </c>
      <c r="B234" s="1">
        <f>IFERROR(__xludf.DUMMYFUNCTION("""COMPUTED_VALUE"""),0.4605575498)</f>
        <v>0.4605575498</v>
      </c>
    </row>
    <row r="235">
      <c r="A235" s="3">
        <f>IFERROR(__xludf.DUMMYFUNCTION("""COMPUTED_VALUE"""),40507.99861111111)</f>
        <v>40507.99861</v>
      </c>
      <c r="B235" s="1">
        <f>IFERROR(__xludf.DUMMYFUNCTION("""COMPUTED_VALUE"""),0.4671276705)</f>
        <v>0.4671276705</v>
      </c>
    </row>
    <row r="236">
      <c r="A236" s="3">
        <f>IFERROR(__xludf.DUMMYFUNCTION("""COMPUTED_VALUE"""),40508.99861111111)</f>
        <v>40508.99861</v>
      </c>
      <c r="B236" s="1">
        <f>IFERROR(__xludf.DUMMYFUNCTION("""COMPUTED_VALUE"""),0.4572456279)</f>
        <v>0.4572456279</v>
      </c>
    </row>
    <row r="237">
      <c r="A237" s="3">
        <f>IFERROR(__xludf.DUMMYFUNCTION("""COMPUTED_VALUE"""),40511.99861111111)</f>
        <v>40511.99861</v>
      </c>
      <c r="B237" s="1">
        <f>IFERROR(__xludf.DUMMYFUNCTION("""COMPUTED_VALUE"""),0.4632810852)</f>
        <v>0.4632810852</v>
      </c>
    </row>
    <row r="238">
      <c r="A238" s="3">
        <f>IFERROR(__xludf.DUMMYFUNCTION("""COMPUTED_VALUE"""),40512.99861111111)</f>
        <v>40512.99861</v>
      </c>
      <c r="B238" s="1">
        <f>IFERROR(__xludf.DUMMYFUNCTION("""COMPUTED_VALUE"""),0.4641125051)</f>
        <v>0.4641125051</v>
      </c>
    </row>
    <row r="239">
      <c r="A239" s="3">
        <f>IFERROR(__xludf.DUMMYFUNCTION("""COMPUTED_VALUE"""),40513.99861111111)</f>
        <v>40513.99861</v>
      </c>
      <c r="B239" s="1">
        <f>IFERROR(__xludf.DUMMYFUNCTION("""COMPUTED_VALUE"""),0.4633162041)</f>
        <v>0.4633162041</v>
      </c>
    </row>
    <row r="240">
      <c r="A240" s="3">
        <f>IFERROR(__xludf.DUMMYFUNCTION("""COMPUTED_VALUE"""),40514.99861111111)</f>
        <v>40514.99861</v>
      </c>
      <c r="B240" s="1">
        <f>IFERROR(__xludf.DUMMYFUNCTION("""COMPUTED_VALUE"""),0.4581706022)</f>
        <v>0.4581706022</v>
      </c>
    </row>
    <row r="241">
      <c r="A241" s="3">
        <f>IFERROR(__xludf.DUMMYFUNCTION("""COMPUTED_VALUE"""),40515.99861111111)</f>
        <v>40515.99861</v>
      </c>
      <c r="B241" s="1">
        <f>IFERROR(__xludf.DUMMYFUNCTION("""COMPUTED_VALUE"""),0.461597735)</f>
        <v>0.461597735</v>
      </c>
    </row>
    <row r="242">
      <c r="A242" s="3">
        <f>IFERROR(__xludf.DUMMYFUNCTION("""COMPUTED_VALUE"""),40518.99861111111)</f>
        <v>40518.99861</v>
      </c>
      <c r="B242" s="1">
        <f>IFERROR(__xludf.DUMMYFUNCTION("""COMPUTED_VALUE"""),0.4629984542)</f>
        <v>0.4629984542</v>
      </c>
    </row>
    <row r="243">
      <c r="A243" s="3">
        <f>IFERROR(__xludf.DUMMYFUNCTION("""COMPUTED_VALUE"""),40519.99861111111)</f>
        <v>40519.99861</v>
      </c>
      <c r="B243" s="1">
        <f>IFERROR(__xludf.DUMMYFUNCTION("""COMPUTED_VALUE"""),0.4619732743)</f>
        <v>0.4619732743</v>
      </c>
    </row>
    <row r="244">
      <c r="A244" s="3">
        <f>IFERROR(__xludf.DUMMYFUNCTION("""COMPUTED_VALUE"""),40520.99861111111)</f>
        <v>40520.99861</v>
      </c>
      <c r="B244" s="1">
        <f>IFERROR(__xludf.DUMMYFUNCTION("""COMPUTED_VALUE"""),0.4635148982)</f>
        <v>0.4635148982</v>
      </c>
    </row>
    <row r="245">
      <c r="A245" s="3">
        <f>IFERROR(__xludf.DUMMYFUNCTION("""COMPUTED_VALUE"""),40521.99861111111)</f>
        <v>40521.99861</v>
      </c>
      <c r="B245" s="1">
        <f>IFERROR(__xludf.DUMMYFUNCTION("""COMPUTED_VALUE"""),0.4632930856)</f>
        <v>0.4632930856</v>
      </c>
    </row>
    <row r="246">
      <c r="A246" s="3">
        <f>IFERROR(__xludf.DUMMYFUNCTION("""COMPUTED_VALUE"""),40522.99861111111)</f>
        <v>40522.99861</v>
      </c>
      <c r="B246" s="1">
        <f>IFERROR(__xludf.DUMMYFUNCTION("""COMPUTED_VALUE"""),0.4632579609)</f>
        <v>0.4632579609</v>
      </c>
    </row>
    <row r="247">
      <c r="A247" s="3">
        <f>IFERROR(__xludf.DUMMYFUNCTION("""COMPUTED_VALUE"""),40525.99861111111)</f>
        <v>40525.99861</v>
      </c>
      <c r="B247" s="1">
        <f>IFERROR(__xludf.DUMMYFUNCTION("""COMPUTED_VALUE"""),0.4631389629)</f>
        <v>0.4631389629</v>
      </c>
    </row>
    <row r="248">
      <c r="A248" s="3">
        <f>IFERROR(__xludf.DUMMYFUNCTION("""COMPUTED_VALUE"""),40526.99861111111)</f>
        <v>40526.99861</v>
      </c>
      <c r="B248" s="1">
        <f>IFERROR(__xludf.DUMMYFUNCTION("""COMPUTED_VALUE"""),0.4628538357)</f>
        <v>0.4628538357</v>
      </c>
    </row>
    <row r="249">
      <c r="A249" s="3">
        <f>IFERROR(__xludf.DUMMYFUNCTION("""COMPUTED_VALUE"""),40527.99861111111)</f>
        <v>40527.99861</v>
      </c>
      <c r="B249" s="1">
        <f>IFERROR(__xludf.DUMMYFUNCTION("""COMPUTED_VALUE"""),0.4636407974)</f>
        <v>0.4636407974</v>
      </c>
    </row>
    <row r="250">
      <c r="A250" s="3">
        <f>IFERROR(__xludf.DUMMYFUNCTION("""COMPUTED_VALUE"""),40528.99861111111)</f>
        <v>40528.99861</v>
      </c>
      <c r="B250" s="1">
        <f>IFERROR(__xludf.DUMMYFUNCTION("""COMPUTED_VALUE"""),0.4591831448)</f>
        <v>0.4591831448</v>
      </c>
    </row>
    <row r="251">
      <c r="A251" s="3">
        <f>IFERROR(__xludf.DUMMYFUNCTION("""COMPUTED_VALUE"""),40529.99861111111)</f>
        <v>40529.99861</v>
      </c>
      <c r="B251" s="1">
        <f>IFERROR(__xludf.DUMMYFUNCTION("""COMPUTED_VALUE"""),0.4641381922)</f>
        <v>0.4641381922</v>
      </c>
    </row>
    <row r="252">
      <c r="A252" s="3">
        <f>IFERROR(__xludf.DUMMYFUNCTION("""COMPUTED_VALUE"""),40532.99861111111)</f>
        <v>40532.99861</v>
      </c>
      <c r="B252" s="1">
        <f>IFERROR(__xludf.DUMMYFUNCTION("""COMPUTED_VALUE"""),0.4595580637)</f>
        <v>0.4595580637</v>
      </c>
    </row>
    <row r="253">
      <c r="A253" s="3">
        <f>IFERROR(__xludf.DUMMYFUNCTION("""COMPUTED_VALUE"""),40533.99861111111)</f>
        <v>40533.99861</v>
      </c>
      <c r="B253" s="1">
        <f>IFERROR(__xludf.DUMMYFUNCTION("""COMPUTED_VALUE"""),0.4646428529)</f>
        <v>0.4646428529</v>
      </c>
    </row>
    <row r="254">
      <c r="A254" s="3">
        <f>IFERROR(__xludf.DUMMYFUNCTION("""COMPUTED_VALUE"""),40534.99861111111)</f>
        <v>40534.99861</v>
      </c>
      <c r="B254" s="1">
        <f>IFERROR(__xludf.DUMMYFUNCTION("""COMPUTED_VALUE"""),0.4646248673)</f>
        <v>0.4646248673</v>
      </c>
    </row>
    <row r="255">
      <c r="A255" s="3">
        <f>IFERROR(__xludf.DUMMYFUNCTION("""COMPUTED_VALUE"""),40535.99861111111)</f>
        <v>40535.99861</v>
      </c>
      <c r="B255" s="1">
        <f>IFERROR(__xludf.DUMMYFUNCTION("""COMPUTED_VALUE"""),0.4643668077)</f>
        <v>0.4643668077</v>
      </c>
    </row>
    <row r="256">
      <c r="A256" s="3">
        <f>IFERROR(__xludf.DUMMYFUNCTION("""COMPUTED_VALUE"""),40536.99861111111)</f>
        <v>40536.99861</v>
      </c>
      <c r="B256" s="1">
        <f>IFERROR(__xludf.DUMMYFUNCTION("""COMPUTED_VALUE"""),0.4641315477)</f>
        <v>0.4641315477</v>
      </c>
    </row>
    <row r="257">
      <c r="A257" s="3">
        <f>IFERROR(__xludf.DUMMYFUNCTION("""COMPUTED_VALUE"""),40539.99861111111)</f>
        <v>40539.99861</v>
      </c>
      <c r="B257" s="1">
        <f>IFERROR(__xludf.DUMMYFUNCTION("""COMPUTED_VALUE"""),0.459234519)</f>
        <v>0.459234519</v>
      </c>
    </row>
    <row r="258">
      <c r="A258" s="3">
        <f>IFERROR(__xludf.DUMMYFUNCTION("""COMPUTED_VALUE"""),40540.99861111111)</f>
        <v>40540.99861</v>
      </c>
      <c r="B258" s="1">
        <f>IFERROR(__xludf.DUMMYFUNCTION("""COMPUTED_VALUE"""),0.4633838601)</f>
        <v>0.4633838601</v>
      </c>
    </row>
    <row r="259">
      <c r="A259" s="3">
        <f>IFERROR(__xludf.DUMMYFUNCTION("""COMPUTED_VALUE"""),40541.99861111111)</f>
        <v>40541.99861</v>
      </c>
      <c r="B259" s="1">
        <f>IFERROR(__xludf.DUMMYFUNCTION("""COMPUTED_VALUE"""),0.4624428416)</f>
        <v>0.4624428416</v>
      </c>
    </row>
    <row r="260">
      <c r="A260" s="3">
        <f>IFERROR(__xludf.DUMMYFUNCTION("""COMPUTED_VALUE"""),40542.99861111111)</f>
        <v>40542.99861</v>
      </c>
      <c r="B260" s="1">
        <f>IFERROR(__xludf.DUMMYFUNCTION("""COMPUTED_VALUE"""),0.4568637465)</f>
        <v>0.4568637465</v>
      </c>
    </row>
    <row r="261">
      <c r="A261" s="3">
        <f>IFERROR(__xludf.DUMMYFUNCTION("""COMPUTED_VALUE"""),40543.99861111111)</f>
        <v>40543.99861</v>
      </c>
      <c r="B261" s="1">
        <f>IFERROR(__xludf.DUMMYFUNCTION("""COMPUTED_VALUE"""),0.4629984542)</f>
        <v>0.4629984542</v>
      </c>
    </row>
    <row r="262">
      <c r="A262" s="3">
        <f>IFERROR(__xludf.DUMMYFUNCTION("""COMPUTED_VALUE"""),40546.99861111111)</f>
        <v>40546.99861</v>
      </c>
      <c r="B262" s="1">
        <f>IFERROR(__xludf.DUMMYFUNCTION("""COMPUTED_VALUE"""),0.4618520376)</f>
        <v>0.4618520376</v>
      </c>
    </row>
    <row r="263">
      <c r="A263" s="3">
        <f>IFERROR(__xludf.DUMMYFUNCTION("""COMPUTED_VALUE"""),40547.99861111111)</f>
        <v>40547.99861</v>
      </c>
      <c r="B263" s="1">
        <f>IFERROR(__xludf.DUMMYFUNCTION("""COMPUTED_VALUE"""),0.4565116832)</f>
        <v>0.4565116832</v>
      </c>
    </row>
    <row r="264">
      <c r="A264" s="3">
        <f>IFERROR(__xludf.DUMMYFUNCTION("""COMPUTED_VALUE"""),40548.99861111111)</f>
        <v>40548.99861</v>
      </c>
      <c r="B264" s="1">
        <f>IFERROR(__xludf.DUMMYFUNCTION("""COMPUTED_VALUE"""),0.4616623802)</f>
        <v>0.4616623802</v>
      </c>
    </row>
    <row r="265">
      <c r="A265" s="3">
        <f>IFERROR(__xludf.DUMMYFUNCTION("""COMPUTED_VALUE"""),40549.99861111111)</f>
        <v>40549.99861</v>
      </c>
      <c r="B265" s="1">
        <f>IFERROR(__xludf.DUMMYFUNCTION("""COMPUTED_VALUE"""),0.4632990708)</f>
        <v>0.4632990708</v>
      </c>
    </row>
    <row r="266">
      <c r="A266" s="3">
        <f>IFERROR(__xludf.DUMMYFUNCTION("""COMPUTED_VALUE"""),40550.99861111111)</f>
        <v>40550.99861</v>
      </c>
      <c r="B266" s="1">
        <f>IFERROR(__xludf.DUMMYFUNCTION("""COMPUTED_VALUE"""),0.4575905427)</f>
        <v>0.4575905427</v>
      </c>
    </row>
    <row r="267">
      <c r="A267" s="3">
        <f>IFERROR(__xludf.DUMMYFUNCTION("""COMPUTED_VALUE"""),40553.99861111111)</f>
        <v>40553.99861</v>
      </c>
      <c r="B267" s="1">
        <f>IFERROR(__xludf.DUMMYFUNCTION("""COMPUTED_VALUE"""),0.4651053401)</f>
        <v>0.4651053401</v>
      </c>
    </row>
    <row r="268">
      <c r="A268" s="3">
        <f>IFERROR(__xludf.DUMMYFUNCTION("""COMPUTED_VALUE"""),40554.99861111111)</f>
        <v>40554.99861</v>
      </c>
      <c r="B268" s="1">
        <f>IFERROR(__xludf.DUMMYFUNCTION("""COMPUTED_VALUE"""),0.4668111993)</f>
        <v>0.4668111993</v>
      </c>
    </row>
    <row r="269">
      <c r="A269" s="3">
        <f>IFERROR(__xludf.DUMMYFUNCTION("""COMPUTED_VALUE"""),40555.99861111111)</f>
        <v>40555.99861</v>
      </c>
      <c r="B269" s="1">
        <f>IFERROR(__xludf.DUMMYFUNCTION("""COMPUTED_VALUE"""),0.4644233194)</f>
        <v>0.4644233194</v>
      </c>
    </row>
    <row r="270">
      <c r="A270" s="3">
        <f>IFERROR(__xludf.DUMMYFUNCTION("""COMPUTED_VALUE"""),40556.99861111111)</f>
        <v>40556.99861</v>
      </c>
      <c r="B270" s="1">
        <f>IFERROR(__xludf.DUMMYFUNCTION("""COMPUTED_VALUE"""),0.4650539526)</f>
        <v>0.4650539526</v>
      </c>
    </row>
    <row r="271">
      <c r="A271" s="3">
        <f>IFERROR(__xludf.DUMMYFUNCTION("""COMPUTED_VALUE"""),40557.99861111111)</f>
        <v>40557.99861</v>
      </c>
      <c r="B271" s="1">
        <f>IFERROR(__xludf.DUMMYFUNCTION("""COMPUTED_VALUE"""),0.4651567275)</f>
        <v>0.4651567275</v>
      </c>
    </row>
    <row r="272">
      <c r="A272" s="3">
        <f>IFERROR(__xludf.DUMMYFUNCTION("""COMPUTED_VALUE"""),40560.99861111111)</f>
        <v>40560.99861</v>
      </c>
      <c r="B272" s="1">
        <f>IFERROR(__xludf.DUMMYFUNCTION("""COMPUTED_VALUE"""),0.4654508046)</f>
        <v>0.4654508046</v>
      </c>
    </row>
    <row r="273">
      <c r="A273" s="3">
        <f>IFERROR(__xludf.DUMMYFUNCTION("""COMPUTED_VALUE"""),40561.99861111111)</f>
        <v>40561.99861</v>
      </c>
      <c r="B273" s="1">
        <f>IFERROR(__xludf.DUMMYFUNCTION("""COMPUTED_VALUE"""),0.4652595025)</f>
        <v>0.4652595025</v>
      </c>
    </row>
    <row r="274">
      <c r="A274" s="3">
        <f>IFERROR(__xludf.DUMMYFUNCTION("""COMPUTED_VALUE"""),40562.99861111111)</f>
        <v>40562.99861</v>
      </c>
      <c r="B274" s="1">
        <f>IFERROR(__xludf.DUMMYFUNCTION("""COMPUTED_VALUE"""),0.4596968874)</f>
        <v>0.4596968874</v>
      </c>
    </row>
    <row r="275">
      <c r="A275" s="3">
        <f>IFERROR(__xludf.DUMMYFUNCTION("""COMPUTED_VALUE"""),40563.99861111111)</f>
        <v>40563.99861</v>
      </c>
      <c r="B275" s="1">
        <f>IFERROR(__xludf.DUMMYFUNCTION("""COMPUTED_VALUE"""),0.4630397465)</f>
        <v>0.4630397465</v>
      </c>
    </row>
    <row r="276">
      <c r="A276" s="3">
        <f>IFERROR(__xludf.DUMMYFUNCTION("""COMPUTED_VALUE"""),40564.99861111111)</f>
        <v>40564.99861</v>
      </c>
      <c r="B276" s="1">
        <f>IFERROR(__xludf.DUMMYFUNCTION("""COMPUTED_VALUE"""),0.4630698171)</f>
        <v>0.4630698171</v>
      </c>
    </row>
    <row r="277">
      <c r="A277" s="3">
        <f>IFERROR(__xludf.DUMMYFUNCTION("""COMPUTED_VALUE"""),40567.99861111111)</f>
        <v>40567.99861</v>
      </c>
      <c r="B277" s="1">
        <f>IFERROR(__xludf.DUMMYFUNCTION("""COMPUTED_VALUE"""),0.465056522)</f>
        <v>0.465056522</v>
      </c>
    </row>
    <row r="278">
      <c r="A278" s="3">
        <f>IFERROR(__xludf.DUMMYFUNCTION("""COMPUTED_VALUE"""),40568.99861111111)</f>
        <v>40568.99861</v>
      </c>
      <c r="B278" s="1">
        <f>IFERROR(__xludf.DUMMYFUNCTION("""COMPUTED_VALUE"""),0.4642409408)</f>
        <v>0.4642409408</v>
      </c>
    </row>
    <row r="279">
      <c r="A279" s="3">
        <f>IFERROR(__xludf.DUMMYFUNCTION("""COMPUTED_VALUE"""),40569.99861111111)</f>
        <v>40569.99861</v>
      </c>
      <c r="B279" s="1">
        <f>IFERROR(__xludf.DUMMYFUNCTION("""COMPUTED_VALUE"""),0.4638656335)</f>
        <v>0.4638656335</v>
      </c>
    </row>
    <row r="280">
      <c r="A280" s="3">
        <f>IFERROR(__xludf.DUMMYFUNCTION("""COMPUTED_VALUE"""),40570.99861111111)</f>
        <v>40570.99861</v>
      </c>
      <c r="B280" s="1">
        <f>IFERROR(__xludf.DUMMYFUNCTION("""COMPUTED_VALUE"""),0.4699578211)</f>
        <v>0.4699578211</v>
      </c>
    </row>
    <row r="281">
      <c r="A281" s="3">
        <f>IFERROR(__xludf.DUMMYFUNCTION("""COMPUTED_VALUE"""),40571.99861111111)</f>
        <v>40571.99861</v>
      </c>
      <c r="B281" s="1">
        <f>IFERROR(__xludf.DUMMYFUNCTION("""COMPUTED_VALUE"""),0.470377212)</f>
        <v>0.470377212</v>
      </c>
    </row>
    <row r="282">
      <c r="A282" s="3">
        <f>IFERROR(__xludf.DUMMYFUNCTION("""COMPUTED_VALUE"""),40574.99861111111)</f>
        <v>40574.99861</v>
      </c>
      <c r="B282" s="1">
        <f>IFERROR(__xludf.DUMMYFUNCTION("""COMPUTED_VALUE"""),0.46021063)</f>
        <v>0.46021063</v>
      </c>
    </row>
    <row r="283">
      <c r="A283" s="3">
        <f>IFERROR(__xludf.DUMMYFUNCTION("""COMPUTED_VALUE"""),40575.99861111111)</f>
        <v>40575.99861</v>
      </c>
      <c r="B283" s="1">
        <f>IFERROR(__xludf.DUMMYFUNCTION("""COMPUTED_VALUE"""),0.462487149)</f>
        <v>0.462487149</v>
      </c>
    </row>
    <row r="284">
      <c r="A284" s="3">
        <f>IFERROR(__xludf.DUMMYFUNCTION("""COMPUTED_VALUE"""),40576.99861111111)</f>
        <v>40576.99861</v>
      </c>
      <c r="B284" s="1">
        <f>IFERROR(__xludf.DUMMYFUNCTION("""COMPUTED_VALUE"""),0.4634446397)</f>
        <v>0.4634446397</v>
      </c>
    </row>
    <row r="285">
      <c r="A285" s="3">
        <f>IFERROR(__xludf.DUMMYFUNCTION("""COMPUTED_VALUE"""),40577.99861111111)</f>
        <v>40577.99861</v>
      </c>
      <c r="B285" s="1">
        <f>IFERROR(__xludf.DUMMYFUNCTION("""COMPUTED_VALUE"""),0.4584275395)</f>
        <v>0.4584275395</v>
      </c>
    </row>
    <row r="286">
      <c r="A286" s="3">
        <f>IFERROR(__xludf.DUMMYFUNCTION("""COMPUTED_VALUE"""),40578.99861111111)</f>
        <v>40578.99861</v>
      </c>
      <c r="B286" s="1">
        <f>IFERROR(__xludf.DUMMYFUNCTION("""COMPUTED_VALUE"""),0.4620991736)</f>
        <v>0.4620991736</v>
      </c>
    </row>
    <row r="287">
      <c r="A287" s="3">
        <f>IFERROR(__xludf.DUMMYFUNCTION("""COMPUTED_VALUE"""),40581.99861111111)</f>
        <v>40581.99861</v>
      </c>
      <c r="B287" s="1">
        <f>IFERROR(__xludf.DUMMYFUNCTION("""COMPUTED_VALUE"""),0.4610994975)</f>
        <v>0.4610994975</v>
      </c>
    </row>
    <row r="288">
      <c r="A288" s="3">
        <f>IFERROR(__xludf.DUMMYFUNCTION("""COMPUTED_VALUE"""),40582.99861111111)</f>
        <v>40582.99861</v>
      </c>
      <c r="B288" s="1">
        <f>IFERROR(__xludf.DUMMYFUNCTION("""COMPUTED_VALUE"""),0.4572309229)</f>
        <v>0.4572309229</v>
      </c>
    </row>
    <row r="289">
      <c r="A289" s="3">
        <f>IFERROR(__xludf.DUMMYFUNCTION("""COMPUTED_VALUE"""),40583.99861111111)</f>
        <v>40583.99861</v>
      </c>
      <c r="B289" s="1">
        <f>IFERROR(__xludf.DUMMYFUNCTION("""COMPUTED_VALUE"""),0.4588874573)</f>
        <v>0.4588874573</v>
      </c>
    </row>
    <row r="290">
      <c r="A290" s="3">
        <f>IFERROR(__xludf.DUMMYFUNCTION("""COMPUTED_VALUE"""),40584.99861111111)</f>
        <v>40584.99861</v>
      </c>
      <c r="B290" s="1">
        <f>IFERROR(__xludf.DUMMYFUNCTION("""COMPUTED_VALUE"""),0.4586330894)</f>
        <v>0.4586330894</v>
      </c>
    </row>
    <row r="291">
      <c r="A291" s="3">
        <f>IFERROR(__xludf.DUMMYFUNCTION("""COMPUTED_VALUE"""),40585.99861111111)</f>
        <v>40585.99861</v>
      </c>
      <c r="B291" s="1">
        <f>IFERROR(__xludf.DUMMYFUNCTION("""COMPUTED_VALUE"""),0.4587310513)</f>
        <v>0.4587310513</v>
      </c>
    </row>
    <row r="292">
      <c r="A292" s="3">
        <f>IFERROR(__xludf.DUMMYFUNCTION("""COMPUTED_VALUE"""),40588.99861111111)</f>
        <v>40588.99861</v>
      </c>
      <c r="B292" s="1">
        <f>IFERROR(__xludf.DUMMYFUNCTION("""COMPUTED_VALUE"""),0.4580909517)</f>
        <v>0.4580909517</v>
      </c>
    </row>
    <row r="293">
      <c r="A293" s="3">
        <f>IFERROR(__xludf.DUMMYFUNCTION("""COMPUTED_VALUE"""),40589.99861111111)</f>
        <v>40589.99861</v>
      </c>
      <c r="B293" s="1">
        <f>IFERROR(__xludf.DUMMYFUNCTION("""COMPUTED_VALUE"""),0.4529804687)</f>
        <v>0.4529804687</v>
      </c>
    </row>
    <row r="294">
      <c r="A294" s="3">
        <f>IFERROR(__xludf.DUMMYFUNCTION("""COMPUTED_VALUE"""),40590.99861111111)</f>
        <v>40590.99861</v>
      </c>
      <c r="B294" s="1">
        <f>IFERROR(__xludf.DUMMYFUNCTION("""COMPUTED_VALUE"""),0.4570888962)</f>
        <v>0.4570888962</v>
      </c>
    </row>
    <row r="295">
      <c r="A295" s="3">
        <f>IFERROR(__xludf.DUMMYFUNCTION("""COMPUTED_VALUE"""),40591.99861111111)</f>
        <v>40591.99861</v>
      </c>
      <c r="B295" s="1">
        <f>IFERROR(__xludf.DUMMYFUNCTION("""COMPUTED_VALUE"""),0.4510660115)</f>
        <v>0.4510660115</v>
      </c>
    </row>
    <row r="296">
      <c r="A296" s="3">
        <f>IFERROR(__xludf.DUMMYFUNCTION("""COMPUTED_VALUE"""),40592.99861111111)</f>
        <v>40592.99861</v>
      </c>
      <c r="B296" s="1">
        <f>IFERROR(__xludf.DUMMYFUNCTION("""COMPUTED_VALUE"""),0.455044948)</f>
        <v>0.455044948</v>
      </c>
    </row>
    <row r="297">
      <c r="A297" s="3">
        <f>IFERROR(__xludf.DUMMYFUNCTION("""COMPUTED_VALUE"""),40595.99861111111)</f>
        <v>40595.99861</v>
      </c>
      <c r="B297" s="1">
        <f>IFERROR(__xludf.DUMMYFUNCTION("""COMPUTED_VALUE"""),0.4496402837)</f>
        <v>0.4496402837</v>
      </c>
    </row>
    <row r="298">
      <c r="A298" s="3">
        <f>IFERROR(__xludf.DUMMYFUNCTION("""COMPUTED_VALUE"""),40596.99861111111)</f>
        <v>40596.99861</v>
      </c>
      <c r="B298" s="1">
        <f>IFERROR(__xludf.DUMMYFUNCTION("""COMPUTED_VALUE"""),0.4561382281)</f>
        <v>0.4561382281</v>
      </c>
    </row>
    <row r="299">
      <c r="A299" s="3">
        <f>IFERROR(__xludf.DUMMYFUNCTION("""COMPUTED_VALUE"""),40597.99861111111)</f>
        <v>40597.99861</v>
      </c>
      <c r="B299" s="1">
        <f>IFERROR(__xludf.DUMMYFUNCTION("""COMPUTED_VALUE"""),0.4559095539)</f>
        <v>0.4559095539</v>
      </c>
    </row>
    <row r="300">
      <c r="A300" s="3">
        <f>IFERROR(__xludf.DUMMYFUNCTION("""COMPUTED_VALUE"""),40598.99861111111)</f>
        <v>40598.99861</v>
      </c>
      <c r="B300" s="1">
        <f>IFERROR(__xludf.DUMMYFUNCTION("""COMPUTED_VALUE"""),0.4555498417)</f>
        <v>0.4555498417</v>
      </c>
    </row>
    <row r="301">
      <c r="A301" s="3">
        <f>IFERROR(__xludf.DUMMYFUNCTION("""COMPUTED_VALUE"""),40599.99861111111)</f>
        <v>40599.99861</v>
      </c>
      <c r="B301" s="1">
        <f>IFERROR(__xludf.DUMMYFUNCTION("""COMPUTED_VALUE"""),0.454339667)</f>
        <v>0.454339667</v>
      </c>
    </row>
    <row r="302">
      <c r="A302" s="3">
        <f>IFERROR(__xludf.DUMMYFUNCTION("""COMPUTED_VALUE"""),40602.99861111111)</f>
        <v>40602.99861</v>
      </c>
      <c r="B302" s="1">
        <f>IFERROR(__xludf.DUMMYFUNCTION("""COMPUTED_VALUE"""),0.4531954746)</f>
        <v>0.4531954746</v>
      </c>
    </row>
    <row r="303">
      <c r="A303" s="3">
        <f>IFERROR(__xludf.DUMMYFUNCTION("""COMPUTED_VALUE"""),40603.99861111111)</f>
        <v>40603.99861</v>
      </c>
      <c r="B303" s="1">
        <f>IFERROR(__xludf.DUMMYFUNCTION("""COMPUTED_VALUE"""),0.4519907482)</f>
        <v>0.4519907482</v>
      </c>
    </row>
    <row r="304">
      <c r="A304" s="3">
        <f>IFERROR(__xludf.DUMMYFUNCTION("""COMPUTED_VALUE"""),40604.99861111111)</f>
        <v>40604.99861</v>
      </c>
      <c r="B304" s="1">
        <f>IFERROR(__xludf.DUMMYFUNCTION("""COMPUTED_VALUE"""),0.4527331063)</f>
        <v>0.4527331063</v>
      </c>
    </row>
    <row r="305">
      <c r="A305" s="3">
        <f>IFERROR(__xludf.DUMMYFUNCTION("""COMPUTED_VALUE"""),40605.99861111111)</f>
        <v>40605.99861</v>
      </c>
      <c r="B305" s="1">
        <f>IFERROR(__xludf.DUMMYFUNCTION("""COMPUTED_VALUE"""),0.4524897184)</f>
        <v>0.4524897184</v>
      </c>
    </row>
    <row r="306">
      <c r="A306" s="3">
        <f>IFERROR(__xludf.DUMMYFUNCTION("""COMPUTED_VALUE"""),40606.99861111111)</f>
        <v>40606.99861</v>
      </c>
      <c r="B306" s="1">
        <f>IFERROR(__xludf.DUMMYFUNCTION("""COMPUTED_VALUE"""),0.4503031819)</f>
        <v>0.4503031819</v>
      </c>
    </row>
    <row r="307">
      <c r="A307" s="3">
        <f>IFERROR(__xludf.DUMMYFUNCTION("""COMPUTED_VALUE"""),40609.99861111111)</f>
        <v>40609.99861</v>
      </c>
      <c r="B307" s="1">
        <f>IFERROR(__xludf.DUMMYFUNCTION("""COMPUTED_VALUE"""),0.4513716884)</f>
        <v>0.4513716884</v>
      </c>
    </row>
    <row r="308">
      <c r="A308" s="3">
        <f>IFERROR(__xludf.DUMMYFUNCTION("""COMPUTED_VALUE"""),40610.99861111111)</f>
        <v>40610.99861</v>
      </c>
      <c r="B308" s="1">
        <f>IFERROR(__xludf.DUMMYFUNCTION("""COMPUTED_VALUE"""),0.4513742571)</f>
        <v>0.4513742571</v>
      </c>
    </row>
    <row r="309">
      <c r="A309" s="3">
        <f>IFERROR(__xludf.DUMMYFUNCTION("""COMPUTED_VALUE"""),40611.99861111111)</f>
        <v>40611.99861</v>
      </c>
      <c r="B309" s="1">
        <f>IFERROR(__xludf.DUMMYFUNCTION("""COMPUTED_VALUE"""),0.4199424688)</f>
        <v>0.4199424688</v>
      </c>
    </row>
    <row r="310">
      <c r="A310" s="3">
        <f>IFERROR(__xludf.DUMMYFUNCTION("""COMPUTED_VALUE"""),40612.99861111111)</f>
        <v>40612.99861</v>
      </c>
      <c r="B310" s="1">
        <f>IFERROR(__xludf.DUMMYFUNCTION("""COMPUTED_VALUE"""),0.421268579)</f>
        <v>0.421268579</v>
      </c>
    </row>
    <row r="311">
      <c r="A311" s="3">
        <f>IFERROR(__xludf.DUMMYFUNCTION("""COMPUTED_VALUE"""),40613.99861111111)</f>
        <v>40613.99861</v>
      </c>
      <c r="B311" s="1">
        <f>IFERROR(__xludf.DUMMYFUNCTION("""COMPUTED_VALUE"""),0.4208559022)</f>
        <v>0.4208559022</v>
      </c>
    </row>
    <row r="312">
      <c r="A312" s="3">
        <f>IFERROR(__xludf.DUMMYFUNCTION("""COMPUTED_VALUE"""),40616.99861111111)</f>
        <v>40616.99861</v>
      </c>
      <c r="B312" s="1">
        <f>IFERROR(__xludf.DUMMYFUNCTION("""COMPUTED_VALUE"""),0.4202613847)</f>
        <v>0.4202613847</v>
      </c>
    </row>
    <row r="313">
      <c r="A313" s="3">
        <f>IFERROR(__xludf.DUMMYFUNCTION("""COMPUTED_VALUE"""),40617.99861111111)</f>
        <v>40617.99861</v>
      </c>
      <c r="B313" s="1">
        <f>IFERROR(__xludf.DUMMYFUNCTION("""COMPUTED_VALUE"""),0.4208633032)</f>
        <v>0.4208633032</v>
      </c>
    </row>
    <row r="314">
      <c r="A314" s="3">
        <f>IFERROR(__xludf.DUMMYFUNCTION("""COMPUTED_VALUE"""),40618.99861111111)</f>
        <v>40618.99861</v>
      </c>
      <c r="B314" s="1">
        <f>IFERROR(__xludf.DUMMYFUNCTION("""COMPUTED_VALUE"""),0.4200671226)</f>
        <v>0.4200671226</v>
      </c>
    </row>
    <row r="315">
      <c r="A315" s="3">
        <f>IFERROR(__xludf.DUMMYFUNCTION("""COMPUTED_VALUE"""),40619.99861111111)</f>
        <v>40619.99861</v>
      </c>
      <c r="B315" s="1">
        <f>IFERROR(__xludf.DUMMYFUNCTION("""COMPUTED_VALUE"""),0.4206234951)</f>
        <v>0.4206234951</v>
      </c>
    </row>
    <row r="316">
      <c r="A316" s="3">
        <f>IFERROR(__xludf.DUMMYFUNCTION("""COMPUTED_VALUE"""),40620.99861111111)</f>
        <v>40620.99861</v>
      </c>
      <c r="B316" s="1">
        <f>IFERROR(__xludf.DUMMYFUNCTION("""COMPUTED_VALUE"""),0.4193238955)</f>
        <v>0.4193238955</v>
      </c>
    </row>
    <row r="317">
      <c r="A317" s="3">
        <f>IFERROR(__xludf.DUMMYFUNCTION("""COMPUTED_VALUE"""),40623.99861111111)</f>
        <v>40623.99861</v>
      </c>
      <c r="B317" s="1">
        <f>IFERROR(__xludf.DUMMYFUNCTION("""COMPUTED_VALUE"""),0.4245374815)</f>
        <v>0.4245374815</v>
      </c>
    </row>
    <row r="318">
      <c r="A318" s="3">
        <f>IFERROR(__xludf.DUMMYFUNCTION("""COMPUTED_VALUE"""),40624.99861111111)</f>
        <v>40624.99861</v>
      </c>
      <c r="B318" s="1">
        <f>IFERROR(__xludf.DUMMYFUNCTION("""COMPUTED_VALUE"""),0.4181730924)</f>
        <v>0.4181730924</v>
      </c>
    </row>
    <row r="319">
      <c r="A319" s="3">
        <f>IFERROR(__xludf.DUMMYFUNCTION("""COMPUTED_VALUE"""),40625.99861111111)</f>
        <v>40625.99861</v>
      </c>
      <c r="B319" s="1">
        <f>IFERROR(__xludf.DUMMYFUNCTION("""COMPUTED_VALUE"""),0.4179942423)</f>
        <v>0.4179942423</v>
      </c>
    </row>
    <row r="320">
      <c r="A320" s="3">
        <f>IFERROR(__xludf.DUMMYFUNCTION("""COMPUTED_VALUE"""),40626.99861111111)</f>
        <v>40626.99861</v>
      </c>
      <c r="B320" s="1">
        <f>IFERROR(__xludf.DUMMYFUNCTION("""COMPUTED_VALUE"""),0.4173454682)</f>
        <v>0.4173454682</v>
      </c>
    </row>
    <row r="321">
      <c r="A321" s="3">
        <f>IFERROR(__xludf.DUMMYFUNCTION("""COMPUTED_VALUE"""),40627.99861111111)</f>
        <v>40627.99861</v>
      </c>
      <c r="B321" s="1">
        <f>IFERROR(__xludf.DUMMYFUNCTION("""COMPUTED_VALUE"""),0.4226851122)</f>
        <v>0.4226851122</v>
      </c>
    </row>
    <row r="322">
      <c r="A322" s="3">
        <f>IFERROR(__xludf.DUMMYFUNCTION("""COMPUTED_VALUE"""),40630.99861111111)</f>
        <v>40630.99861</v>
      </c>
      <c r="B322" s="1">
        <f>IFERROR(__xludf.DUMMYFUNCTION("""COMPUTED_VALUE"""),0.4229261591)</f>
        <v>0.4229261591</v>
      </c>
    </row>
    <row r="323">
      <c r="A323" s="3">
        <f>IFERROR(__xludf.DUMMYFUNCTION("""COMPUTED_VALUE"""),40631.99861111111)</f>
        <v>40631.99861</v>
      </c>
      <c r="B323" s="1">
        <f>IFERROR(__xludf.DUMMYFUNCTION("""COMPUTED_VALUE"""),0.4162347251)</f>
        <v>0.4162347251</v>
      </c>
    </row>
    <row r="324">
      <c r="A324" s="3">
        <f>IFERROR(__xludf.DUMMYFUNCTION("""COMPUTED_VALUE"""),40632.99861111111)</f>
        <v>40632.99861</v>
      </c>
      <c r="B324" s="1">
        <f>IFERROR(__xludf.DUMMYFUNCTION("""COMPUTED_VALUE"""),0.4168519368)</f>
        <v>0.4168519368</v>
      </c>
    </row>
    <row r="325">
      <c r="A325" s="3">
        <f>IFERROR(__xludf.DUMMYFUNCTION("""COMPUTED_VALUE"""),40633.99861111111)</f>
        <v>40633.99861</v>
      </c>
      <c r="B325" s="1">
        <f>IFERROR(__xludf.DUMMYFUNCTION("""COMPUTED_VALUE"""),0.4175957827)</f>
        <v>0.4175957827</v>
      </c>
    </row>
    <row r="326">
      <c r="A326" s="3">
        <f>IFERROR(__xludf.DUMMYFUNCTION("""COMPUTED_VALUE"""),40634.99861111111)</f>
        <v>40634.99861</v>
      </c>
      <c r="B326" s="1">
        <f>IFERROR(__xludf.DUMMYFUNCTION("""COMPUTED_VALUE"""),0.4148767015)</f>
        <v>0.4148767015</v>
      </c>
    </row>
    <row r="327">
      <c r="A327" s="3">
        <f>IFERROR(__xludf.DUMMYFUNCTION("""COMPUTED_VALUE"""),40636.99861111111)</f>
        <v>40636.99861</v>
      </c>
      <c r="B327" s="1">
        <f>IFERROR(__xludf.DUMMYFUNCTION("""COMPUTED_VALUE"""),0.4225369239)</f>
        <v>0.4225369239</v>
      </c>
    </row>
    <row r="328">
      <c r="A328" s="3">
        <f>IFERROR(__xludf.DUMMYFUNCTION("""COMPUTED_VALUE"""),40637.99861111111)</f>
        <v>40637.99861</v>
      </c>
      <c r="B328" s="1">
        <f>IFERROR(__xludf.DUMMYFUNCTION("""COMPUTED_VALUE"""),0.4200097121)</f>
        <v>0.4200097121</v>
      </c>
    </row>
    <row r="329">
      <c r="A329" s="3">
        <f>IFERROR(__xludf.DUMMYFUNCTION("""COMPUTED_VALUE"""),40638.99861111111)</f>
        <v>40638.99861</v>
      </c>
      <c r="B329" s="1">
        <f>IFERROR(__xludf.DUMMYFUNCTION("""COMPUTED_VALUE"""),0.4145293359)</f>
        <v>0.4145293359</v>
      </c>
    </row>
    <row r="330">
      <c r="A330" s="3">
        <f>IFERROR(__xludf.DUMMYFUNCTION("""COMPUTED_VALUE"""),40639.99861111111)</f>
        <v>40639.99861</v>
      </c>
      <c r="B330" s="1">
        <f>IFERROR(__xludf.DUMMYFUNCTION("""COMPUTED_VALUE"""),0.4136542119)</f>
        <v>0.4136542119</v>
      </c>
    </row>
    <row r="331">
      <c r="A331" s="3">
        <f>IFERROR(__xludf.DUMMYFUNCTION("""COMPUTED_VALUE"""),40640.99861111111)</f>
        <v>40640.99861</v>
      </c>
      <c r="B331" s="1">
        <f>IFERROR(__xludf.DUMMYFUNCTION("""COMPUTED_VALUE"""),0.4140407132)</f>
        <v>0.4140407132</v>
      </c>
    </row>
    <row r="332">
      <c r="A332" s="3">
        <f>IFERROR(__xludf.DUMMYFUNCTION("""COMPUTED_VALUE"""),40641.99861111111)</f>
        <v>40641.99861</v>
      </c>
      <c r="B332" s="1">
        <f>IFERROR(__xludf.DUMMYFUNCTION("""COMPUTED_VALUE"""),0.4190207321)</f>
        <v>0.4190207321</v>
      </c>
    </row>
    <row r="333">
      <c r="A333" s="3">
        <f>IFERROR(__xludf.DUMMYFUNCTION("""COMPUTED_VALUE"""),40642.99861111111)</f>
        <v>40642.99861</v>
      </c>
      <c r="B333" s="1">
        <f>IFERROR(__xludf.DUMMYFUNCTION("""COMPUTED_VALUE"""),0.4208014391)</f>
        <v>0.4208014391</v>
      </c>
    </row>
    <row r="334">
      <c r="A334" s="3">
        <f>IFERROR(__xludf.DUMMYFUNCTION("""COMPUTED_VALUE"""),40644.99861111111)</f>
        <v>40644.99861</v>
      </c>
      <c r="B334" s="1">
        <f>IFERROR(__xludf.DUMMYFUNCTION("""COMPUTED_VALUE"""),0.4146347252)</f>
        <v>0.4146347252</v>
      </c>
    </row>
    <row r="335">
      <c r="A335" s="3">
        <f>IFERROR(__xludf.DUMMYFUNCTION("""COMPUTED_VALUE"""),40645.99861111111)</f>
        <v>40645.99861</v>
      </c>
      <c r="B335" s="1">
        <f>IFERROR(__xludf.DUMMYFUNCTION("""COMPUTED_VALUE"""),0.4198664836)</f>
        <v>0.4198664836</v>
      </c>
    </row>
    <row r="336">
      <c r="A336" s="3">
        <f>IFERROR(__xludf.DUMMYFUNCTION("""COMPUTED_VALUE"""),40646.99861111111)</f>
        <v>40646.99861</v>
      </c>
      <c r="B336" s="1">
        <f>IFERROR(__xludf.DUMMYFUNCTION("""COMPUTED_VALUE"""),0.4147607572)</f>
        <v>0.4147607572</v>
      </c>
    </row>
    <row r="337">
      <c r="A337" s="3">
        <f>IFERROR(__xludf.DUMMYFUNCTION("""COMPUTED_VALUE"""),40647.99861111111)</f>
        <v>40647.99861</v>
      </c>
      <c r="B337" s="1">
        <f>IFERROR(__xludf.DUMMYFUNCTION("""COMPUTED_VALUE"""),0.4137975564)</f>
        <v>0.4137975564</v>
      </c>
    </row>
    <row r="338">
      <c r="A338" s="3">
        <f>IFERROR(__xludf.DUMMYFUNCTION("""COMPUTED_VALUE"""),40648.99861111111)</f>
        <v>40648.99861</v>
      </c>
      <c r="B338" s="1">
        <f>IFERROR(__xludf.DUMMYFUNCTION("""COMPUTED_VALUE"""),0.4149030841)</f>
        <v>0.4149030841</v>
      </c>
    </row>
    <row r="339">
      <c r="A339" s="3">
        <f>IFERROR(__xludf.DUMMYFUNCTION("""COMPUTED_VALUE"""),40650.99861111111)</f>
        <v>40650.99861</v>
      </c>
      <c r="B339" s="1">
        <f>IFERROR(__xludf.DUMMYFUNCTION("""COMPUTED_VALUE"""),0.4187599964)</f>
        <v>0.4187599964</v>
      </c>
    </row>
    <row r="340">
      <c r="A340" s="3">
        <f>IFERROR(__xludf.DUMMYFUNCTION("""COMPUTED_VALUE"""),40651.99861111111)</f>
        <v>40651.99861</v>
      </c>
      <c r="B340" s="1">
        <f>IFERROR(__xludf.DUMMYFUNCTION("""COMPUTED_VALUE"""),0.4142159878)</f>
        <v>0.4142159878</v>
      </c>
    </row>
    <row r="341">
      <c r="A341" s="3">
        <f>IFERROR(__xludf.DUMMYFUNCTION("""COMPUTED_VALUE"""),40652.99861111111)</f>
        <v>40652.99861</v>
      </c>
      <c r="B341" s="1">
        <f>IFERROR(__xludf.DUMMYFUNCTION("""COMPUTED_VALUE"""),0.414688286)</f>
        <v>0.414688286</v>
      </c>
    </row>
    <row r="342">
      <c r="A342" s="3">
        <f>IFERROR(__xludf.DUMMYFUNCTION("""COMPUTED_VALUE"""),40653.99861111111)</f>
        <v>40653.99861</v>
      </c>
      <c r="B342" s="1">
        <f>IFERROR(__xludf.DUMMYFUNCTION("""COMPUTED_VALUE"""),0.4130909008)</f>
        <v>0.4130909008</v>
      </c>
    </row>
    <row r="343">
      <c r="A343" s="3">
        <f>IFERROR(__xludf.DUMMYFUNCTION("""COMPUTED_VALUE"""),40654.99861111111)</f>
        <v>40654.99861</v>
      </c>
      <c r="B343" s="1">
        <f>IFERROR(__xludf.DUMMYFUNCTION("""COMPUTED_VALUE"""),0.4181127486)</f>
        <v>0.4181127486</v>
      </c>
    </row>
    <row r="344">
      <c r="A344" s="3">
        <f>IFERROR(__xludf.DUMMYFUNCTION("""COMPUTED_VALUE"""),40657.99861111111)</f>
        <v>40657.99861</v>
      </c>
      <c r="B344" s="1">
        <f>IFERROR(__xludf.DUMMYFUNCTION("""COMPUTED_VALUE"""),0.4158620652)</f>
        <v>0.4158620652</v>
      </c>
    </row>
    <row r="345">
      <c r="A345" s="3">
        <f>IFERROR(__xludf.DUMMYFUNCTION("""COMPUTED_VALUE"""),40658.99861111111)</f>
        <v>40658.99861</v>
      </c>
      <c r="B345" s="1">
        <f>IFERROR(__xludf.DUMMYFUNCTION("""COMPUTED_VALUE"""),0.4147763339)</f>
        <v>0.4147763339</v>
      </c>
    </row>
    <row r="346">
      <c r="A346" s="3">
        <f>IFERROR(__xludf.DUMMYFUNCTION("""COMPUTED_VALUE"""),40659.99861111111)</f>
        <v>40659.99861</v>
      </c>
      <c r="B346" s="1">
        <f>IFERROR(__xludf.DUMMYFUNCTION("""COMPUTED_VALUE"""),0.4166731105)</f>
        <v>0.4166731105</v>
      </c>
    </row>
    <row r="347">
      <c r="A347" s="3">
        <f>IFERROR(__xludf.DUMMYFUNCTION("""COMPUTED_VALUE"""),40660.99861111111)</f>
        <v>40660.99861</v>
      </c>
      <c r="B347" s="1">
        <f>IFERROR(__xludf.DUMMYFUNCTION("""COMPUTED_VALUE"""),0.4147047387)</f>
        <v>0.4147047387</v>
      </c>
    </row>
    <row r="348">
      <c r="A348" s="3">
        <f>IFERROR(__xludf.DUMMYFUNCTION("""COMPUTED_VALUE"""),40661.99861111111)</f>
        <v>40661.99861</v>
      </c>
      <c r="B348" s="1">
        <f>IFERROR(__xludf.DUMMYFUNCTION("""COMPUTED_VALUE"""),0.4162092415)</f>
        <v>0.4162092415</v>
      </c>
    </row>
    <row r="349">
      <c r="A349" s="3">
        <f>IFERROR(__xludf.DUMMYFUNCTION("""COMPUTED_VALUE"""),40662.99861111111)</f>
        <v>40662.99861</v>
      </c>
      <c r="B349" s="1">
        <f>IFERROR(__xludf.DUMMYFUNCTION("""COMPUTED_VALUE"""),0.4185445593)</f>
        <v>0.4185445593</v>
      </c>
    </row>
    <row r="350">
      <c r="A350" s="3">
        <f>IFERROR(__xludf.DUMMYFUNCTION("""COMPUTED_VALUE"""),40663.99861111111)</f>
        <v>40663.99861</v>
      </c>
      <c r="B350" s="1">
        <f>IFERROR(__xludf.DUMMYFUNCTION("""COMPUTED_VALUE"""),0.4185835877)</f>
        <v>0.4185835877</v>
      </c>
    </row>
    <row r="351">
      <c r="A351" s="3">
        <f>IFERROR(__xludf.DUMMYFUNCTION("""COMPUTED_VALUE"""),40665.99861111111)</f>
        <v>40665.99861</v>
      </c>
      <c r="B351" s="1">
        <f>IFERROR(__xludf.DUMMYFUNCTION("""COMPUTED_VALUE"""),0.4202120303)</f>
        <v>0.4202120303</v>
      </c>
    </row>
    <row r="352">
      <c r="A352" s="3">
        <f>IFERROR(__xludf.DUMMYFUNCTION("""COMPUTED_VALUE"""),40666.99861111111)</f>
        <v>40666.99861</v>
      </c>
      <c r="B352" s="1">
        <f>IFERROR(__xludf.DUMMYFUNCTION("""COMPUTED_VALUE"""),0.4179443359)</f>
        <v>0.4179443359</v>
      </c>
    </row>
    <row r="353">
      <c r="A353" s="3">
        <f>IFERROR(__xludf.DUMMYFUNCTION("""COMPUTED_VALUE"""),40667.99861111111)</f>
        <v>40667.99861</v>
      </c>
      <c r="B353" s="1">
        <f>IFERROR(__xludf.DUMMYFUNCTION("""COMPUTED_VALUE"""),0.4186384072)</f>
        <v>0.4186384072</v>
      </c>
    </row>
    <row r="354">
      <c r="A354" s="3">
        <f>IFERROR(__xludf.DUMMYFUNCTION("""COMPUTED_VALUE"""),40668.99861111111)</f>
        <v>40668.99861</v>
      </c>
      <c r="B354" s="1">
        <f>IFERROR(__xludf.DUMMYFUNCTION("""COMPUTED_VALUE"""),0.4218513361)</f>
        <v>0.4218513361</v>
      </c>
    </row>
    <row r="355">
      <c r="A355" s="3">
        <f>IFERROR(__xludf.DUMMYFUNCTION("""COMPUTED_VALUE"""),40669.99861111111)</f>
        <v>40669.99861</v>
      </c>
      <c r="B355" s="1">
        <f>IFERROR(__xludf.DUMMYFUNCTION("""COMPUTED_VALUE"""),0.4230218935)</f>
        <v>0.4230218935</v>
      </c>
    </row>
    <row r="356">
      <c r="A356" s="3">
        <f>IFERROR(__xludf.DUMMYFUNCTION("""COMPUTED_VALUE"""),40670.99861111111)</f>
        <v>40670.99861</v>
      </c>
      <c r="B356" s="1">
        <f>IFERROR(__xludf.DUMMYFUNCTION("""COMPUTED_VALUE"""),0.4183217291)</f>
        <v>0.4183217291</v>
      </c>
    </row>
    <row r="357">
      <c r="A357" s="3">
        <f>IFERROR(__xludf.DUMMYFUNCTION("""COMPUTED_VALUE"""),40672.99861111111)</f>
        <v>40672.99861</v>
      </c>
      <c r="B357" s="1">
        <f>IFERROR(__xludf.DUMMYFUNCTION("""COMPUTED_VALUE"""),0.4148977543)</f>
        <v>0.4148977543</v>
      </c>
    </row>
    <row r="358">
      <c r="A358" s="3">
        <f>IFERROR(__xludf.DUMMYFUNCTION("""COMPUTED_VALUE"""),40673.99861111111)</f>
        <v>40673.99861</v>
      </c>
      <c r="B358" s="1">
        <f>IFERROR(__xludf.DUMMYFUNCTION("""COMPUTED_VALUE"""),0.4154018506)</f>
        <v>0.4154018506</v>
      </c>
    </row>
    <row r="359">
      <c r="A359" s="3">
        <f>IFERROR(__xludf.DUMMYFUNCTION("""COMPUTED_VALUE"""),40674.99861111111)</f>
        <v>40674.99861</v>
      </c>
      <c r="B359" s="1">
        <f>IFERROR(__xludf.DUMMYFUNCTION("""COMPUTED_VALUE"""),0.4178394118)</f>
        <v>0.4178394118</v>
      </c>
    </row>
    <row r="360">
      <c r="A360" s="3">
        <f>IFERROR(__xludf.DUMMYFUNCTION("""COMPUTED_VALUE"""),40675.99861111111)</f>
        <v>40675.99861</v>
      </c>
      <c r="B360" s="1">
        <f>IFERROR(__xludf.DUMMYFUNCTION("""COMPUTED_VALUE"""),0.4213275498)</f>
        <v>0.4213275498</v>
      </c>
    </row>
    <row r="361">
      <c r="A361" s="3">
        <f>IFERROR(__xludf.DUMMYFUNCTION("""COMPUTED_VALUE"""),40676.99861111111)</f>
        <v>40676.99861</v>
      </c>
      <c r="B361" s="1">
        <f>IFERROR(__xludf.DUMMYFUNCTION("""COMPUTED_VALUE"""),0.4198195052)</f>
        <v>0.4198195052</v>
      </c>
    </row>
    <row r="362">
      <c r="A362" s="3">
        <f>IFERROR(__xludf.DUMMYFUNCTION("""COMPUTED_VALUE"""),40678.99861111111)</f>
        <v>40678.99861</v>
      </c>
      <c r="B362" s="1">
        <f>IFERROR(__xludf.DUMMYFUNCTION("""COMPUTED_VALUE"""),0.4157592772)</f>
        <v>0.4157592772</v>
      </c>
    </row>
    <row r="363">
      <c r="A363" s="3">
        <f>IFERROR(__xludf.DUMMYFUNCTION("""COMPUTED_VALUE"""),40679.99861111111)</f>
        <v>40679.99861</v>
      </c>
      <c r="B363" s="1">
        <f>IFERROR(__xludf.DUMMYFUNCTION("""COMPUTED_VALUE"""),0.4220028459)</f>
        <v>0.4220028459</v>
      </c>
    </row>
    <row r="364">
      <c r="A364" s="3">
        <f>IFERROR(__xludf.DUMMYFUNCTION("""COMPUTED_VALUE"""),40680.99861111111)</f>
        <v>40680.99861</v>
      </c>
      <c r="B364" s="1">
        <f>IFERROR(__xludf.DUMMYFUNCTION("""COMPUTED_VALUE"""),0.4100582424)</f>
        <v>0.4100582424</v>
      </c>
    </row>
    <row r="365">
      <c r="A365" s="3">
        <f>IFERROR(__xludf.DUMMYFUNCTION("""COMPUTED_VALUE"""),40681.99861111111)</f>
        <v>40681.99861</v>
      </c>
      <c r="B365" s="1">
        <f>IFERROR(__xludf.DUMMYFUNCTION("""COMPUTED_VALUE"""),0.4132188572)</f>
        <v>0.4132188572</v>
      </c>
    </row>
    <row r="366">
      <c r="A366" s="3">
        <f>IFERROR(__xludf.DUMMYFUNCTION("""COMPUTED_VALUE"""),40682.99861111111)</f>
        <v>40682.99861</v>
      </c>
      <c r="B366" s="1">
        <f>IFERROR(__xludf.DUMMYFUNCTION("""COMPUTED_VALUE"""),0.4140401797)</f>
        <v>0.4140401797</v>
      </c>
    </row>
    <row r="367">
      <c r="A367" s="3">
        <f>IFERROR(__xludf.DUMMYFUNCTION("""COMPUTED_VALUE"""),40683.99861111111)</f>
        <v>40683.99861</v>
      </c>
      <c r="B367" s="1">
        <f>IFERROR(__xludf.DUMMYFUNCTION("""COMPUTED_VALUE"""),0.4139298608)</f>
        <v>0.4139298608</v>
      </c>
    </row>
    <row r="368">
      <c r="A368" s="3">
        <f>IFERROR(__xludf.DUMMYFUNCTION("""COMPUTED_VALUE"""),40684.99861111111)</f>
        <v>40684.99861</v>
      </c>
      <c r="B368" s="1">
        <f>IFERROR(__xludf.DUMMYFUNCTION("""COMPUTED_VALUE"""),0.4092102053)</f>
        <v>0.4092102053</v>
      </c>
    </row>
    <row r="369">
      <c r="A369" s="3">
        <f>IFERROR(__xludf.DUMMYFUNCTION("""COMPUTED_VALUE"""),40686.99861111111)</f>
        <v>40686.99861</v>
      </c>
      <c r="B369" s="1">
        <f>IFERROR(__xludf.DUMMYFUNCTION("""COMPUTED_VALUE"""),0.41646489)</f>
        <v>0.41646489</v>
      </c>
    </row>
    <row r="370">
      <c r="A370" s="3">
        <f>IFERROR(__xludf.DUMMYFUNCTION("""COMPUTED_VALUE"""),40687.99861111111)</f>
        <v>40687.99861</v>
      </c>
      <c r="B370" s="1">
        <f>IFERROR(__xludf.DUMMYFUNCTION("""COMPUTED_VALUE"""),0.4130411238)</f>
        <v>0.4130411238</v>
      </c>
    </row>
    <row r="371">
      <c r="A371" s="3">
        <f>IFERROR(__xludf.DUMMYFUNCTION("""COMPUTED_VALUE"""),40688.99861111111)</f>
        <v>40688.99861</v>
      </c>
      <c r="B371" s="1">
        <f>IFERROR(__xludf.DUMMYFUNCTION("""COMPUTED_VALUE"""),0.4180997525)</f>
        <v>0.4180997525</v>
      </c>
    </row>
    <row r="372">
      <c r="A372" s="3">
        <f>IFERROR(__xludf.DUMMYFUNCTION("""COMPUTED_VALUE"""),40689.99861111111)</f>
        <v>40689.99861</v>
      </c>
      <c r="B372" s="1">
        <f>IFERROR(__xludf.DUMMYFUNCTION("""COMPUTED_VALUE"""),0.418292676)</f>
        <v>0.418292676</v>
      </c>
    </row>
    <row r="373">
      <c r="A373" s="3">
        <f>IFERROR(__xludf.DUMMYFUNCTION("""COMPUTED_VALUE"""),40690.99861111111)</f>
        <v>40690.99861</v>
      </c>
      <c r="B373" s="1">
        <f>IFERROR(__xludf.DUMMYFUNCTION("""COMPUTED_VALUE"""),0.4177623164)</f>
        <v>0.4177623164</v>
      </c>
    </row>
    <row r="374">
      <c r="A374" s="3">
        <f>IFERROR(__xludf.DUMMYFUNCTION("""COMPUTED_VALUE"""),40691.99861111111)</f>
        <v>40691.99861</v>
      </c>
      <c r="B374" s="1">
        <f>IFERROR(__xludf.DUMMYFUNCTION("""COMPUTED_VALUE"""),0.4137378114)</f>
        <v>0.4137378114</v>
      </c>
    </row>
    <row r="375">
      <c r="A375" s="3">
        <f>IFERROR(__xludf.DUMMYFUNCTION("""COMPUTED_VALUE"""),40693.99861111111)</f>
        <v>40693.99861</v>
      </c>
      <c r="B375" s="1">
        <f>IFERROR(__xludf.DUMMYFUNCTION("""COMPUTED_VALUE"""),0.4213655187)</f>
        <v>0.4213655187</v>
      </c>
    </row>
    <row r="376">
      <c r="A376" s="3">
        <f>IFERROR(__xludf.DUMMYFUNCTION("""COMPUTED_VALUE"""),40694.99861111111)</f>
        <v>40694.99861</v>
      </c>
      <c r="B376" s="1">
        <f>IFERROR(__xludf.DUMMYFUNCTION("""COMPUTED_VALUE"""),0.4212086817)</f>
        <v>0.4212086817</v>
      </c>
    </row>
    <row r="377">
      <c r="A377" s="3">
        <f>IFERROR(__xludf.DUMMYFUNCTION("""COMPUTED_VALUE"""),40695.99861111111)</f>
        <v>40695.99861</v>
      </c>
      <c r="B377" s="1">
        <f>IFERROR(__xludf.DUMMYFUNCTION("""COMPUTED_VALUE"""),0.4165853589)</f>
        <v>0.4165853589</v>
      </c>
    </row>
    <row r="378">
      <c r="A378" s="3">
        <f>IFERROR(__xludf.DUMMYFUNCTION("""COMPUTED_VALUE"""),40696.99861111111)</f>
        <v>40696.99861</v>
      </c>
      <c r="B378" s="1">
        <f>IFERROR(__xludf.DUMMYFUNCTION("""COMPUTED_VALUE"""),0.4170988939)</f>
        <v>0.4170988939</v>
      </c>
    </row>
    <row r="379">
      <c r="A379" s="3">
        <f>IFERROR(__xludf.DUMMYFUNCTION("""COMPUTED_VALUE"""),40697.99861111111)</f>
        <v>40697.99861</v>
      </c>
      <c r="B379" s="1">
        <f>IFERROR(__xludf.DUMMYFUNCTION("""COMPUTED_VALUE"""),0.4156317004)</f>
        <v>0.4156317004</v>
      </c>
    </row>
    <row r="380">
      <c r="A380" s="3">
        <f>IFERROR(__xludf.DUMMYFUNCTION("""COMPUTED_VALUE"""),40699.99861111111)</f>
        <v>40699.99861</v>
      </c>
      <c r="B380" s="1">
        <f>IFERROR(__xludf.DUMMYFUNCTION("""COMPUTED_VALUE"""),0.4234184715)</f>
        <v>0.4234184715</v>
      </c>
    </row>
    <row r="381">
      <c r="A381" s="3">
        <f>IFERROR(__xludf.DUMMYFUNCTION("""COMPUTED_VALUE"""),40700.99861111111)</f>
        <v>40700.99861</v>
      </c>
      <c r="B381" s="1">
        <f>IFERROR(__xludf.DUMMYFUNCTION("""COMPUTED_VALUE"""),0.4184512345)</f>
        <v>0.4184512345</v>
      </c>
    </row>
    <row r="382">
      <c r="A382" s="3">
        <f>IFERROR(__xludf.DUMMYFUNCTION("""COMPUTED_VALUE"""),40701.99861111111)</f>
        <v>40701.99861</v>
      </c>
      <c r="B382" s="1">
        <f>IFERROR(__xludf.DUMMYFUNCTION("""COMPUTED_VALUE"""),0.415387798)</f>
        <v>0.415387798</v>
      </c>
    </row>
    <row r="383">
      <c r="A383" s="3">
        <f>IFERROR(__xludf.DUMMYFUNCTION("""COMPUTED_VALUE"""),40702.99861111111)</f>
        <v>40702.99861</v>
      </c>
      <c r="B383" s="1">
        <f>IFERROR(__xludf.DUMMYFUNCTION("""COMPUTED_VALUE"""),0.413167879)</f>
        <v>0.413167879</v>
      </c>
    </row>
    <row r="384">
      <c r="A384" s="3">
        <f>IFERROR(__xludf.DUMMYFUNCTION("""COMPUTED_VALUE"""),40703.99861111111)</f>
        <v>40703.99861</v>
      </c>
      <c r="B384" s="1">
        <f>IFERROR(__xludf.DUMMYFUNCTION("""COMPUTED_VALUE"""),0.4156097492)</f>
        <v>0.4156097492</v>
      </c>
    </row>
    <row r="385">
      <c r="A385" s="3">
        <f>IFERROR(__xludf.DUMMYFUNCTION("""COMPUTED_VALUE"""),40704.99861111111)</f>
        <v>40704.99861</v>
      </c>
      <c r="B385" s="1">
        <f>IFERROR(__xludf.DUMMYFUNCTION("""COMPUTED_VALUE"""),0.4160438955)</f>
        <v>0.4160438955</v>
      </c>
    </row>
    <row r="386">
      <c r="A386" s="3">
        <f>IFERROR(__xludf.DUMMYFUNCTION("""COMPUTED_VALUE"""),40705.99861111111)</f>
        <v>40705.99861</v>
      </c>
      <c r="B386" s="1">
        <f>IFERROR(__xludf.DUMMYFUNCTION("""COMPUTED_VALUE"""),0.4163277293)</f>
        <v>0.4163277293</v>
      </c>
    </row>
    <row r="387">
      <c r="A387" s="3">
        <f>IFERROR(__xludf.DUMMYFUNCTION("""COMPUTED_VALUE"""),40707.99861111111)</f>
        <v>40707.99861</v>
      </c>
      <c r="B387" s="1">
        <f>IFERROR(__xludf.DUMMYFUNCTION("""COMPUTED_VALUE"""),0.4165585297)</f>
        <v>0.4165585297</v>
      </c>
    </row>
    <row r="388">
      <c r="A388" s="3">
        <f>IFERROR(__xludf.DUMMYFUNCTION("""COMPUTED_VALUE"""),40708.99861111111)</f>
        <v>40708.99861</v>
      </c>
      <c r="B388" s="1">
        <f>IFERROR(__xludf.DUMMYFUNCTION("""COMPUTED_VALUE"""),0.4205366366)</f>
        <v>0.4205366366</v>
      </c>
    </row>
    <row r="389">
      <c r="A389" s="3">
        <f>IFERROR(__xludf.DUMMYFUNCTION("""COMPUTED_VALUE"""),40709.99861111111)</f>
        <v>40709.99861</v>
      </c>
      <c r="B389" s="1">
        <f>IFERROR(__xludf.DUMMYFUNCTION("""COMPUTED_VALUE"""),0.4201350847)</f>
        <v>0.4201350847</v>
      </c>
    </row>
    <row r="390">
      <c r="A390" s="3">
        <f>IFERROR(__xludf.DUMMYFUNCTION("""COMPUTED_VALUE"""),40710.99861111111)</f>
        <v>40710.99861</v>
      </c>
      <c r="B390" s="1">
        <f>IFERROR(__xludf.DUMMYFUNCTION("""COMPUTED_VALUE"""),0.4230750287)</f>
        <v>0.4230750287</v>
      </c>
    </row>
    <row r="391">
      <c r="A391" s="3">
        <f>IFERROR(__xludf.DUMMYFUNCTION("""COMPUTED_VALUE"""),40711.99861111111)</f>
        <v>40711.99861</v>
      </c>
      <c r="B391" s="1">
        <f>IFERROR(__xludf.DUMMYFUNCTION("""COMPUTED_VALUE"""),0.4149939479)</f>
        <v>0.4149939479</v>
      </c>
    </row>
    <row r="392">
      <c r="A392" s="3">
        <f>IFERROR(__xludf.DUMMYFUNCTION("""COMPUTED_VALUE"""),40712.99861111111)</f>
        <v>40712.99861</v>
      </c>
      <c r="B392" s="1">
        <f>IFERROR(__xludf.DUMMYFUNCTION("""COMPUTED_VALUE"""),0.4108759491)</f>
        <v>0.4108759491</v>
      </c>
    </row>
    <row r="393">
      <c r="A393" s="3">
        <f>IFERROR(__xludf.DUMMYFUNCTION("""COMPUTED_VALUE"""),40714.99861111111)</f>
        <v>40714.99861</v>
      </c>
      <c r="B393" s="1">
        <f>IFERROR(__xludf.DUMMYFUNCTION("""COMPUTED_VALUE"""),0.4180291234)</f>
        <v>0.4180291234</v>
      </c>
    </row>
    <row r="394">
      <c r="A394" s="3">
        <f>IFERROR(__xludf.DUMMYFUNCTION("""COMPUTED_VALUE"""),40715.99861111111)</f>
        <v>40715.99861</v>
      </c>
      <c r="B394" s="1">
        <f>IFERROR(__xludf.DUMMYFUNCTION("""COMPUTED_VALUE"""),0.4174757254)</f>
        <v>0.4174757254</v>
      </c>
    </row>
    <row r="395">
      <c r="A395" s="3">
        <f>IFERROR(__xludf.DUMMYFUNCTION("""COMPUTED_VALUE"""),40716.99861111111)</f>
        <v>40716.99861</v>
      </c>
      <c r="B395" s="1">
        <f>IFERROR(__xludf.DUMMYFUNCTION("""COMPUTED_VALUE"""),0.4173151725)</f>
        <v>0.4173151725</v>
      </c>
    </row>
    <row r="396">
      <c r="A396" s="3">
        <f>IFERROR(__xludf.DUMMYFUNCTION("""COMPUTED_VALUE"""),40717.99861111111)</f>
        <v>40717.99861</v>
      </c>
      <c r="B396" s="1">
        <f>IFERROR(__xludf.DUMMYFUNCTION("""COMPUTED_VALUE"""),0.4183872493)</f>
        <v>0.4183872493</v>
      </c>
    </row>
    <row r="397">
      <c r="A397" s="3">
        <f>IFERROR(__xludf.DUMMYFUNCTION("""COMPUTED_VALUE"""),40718.99861111111)</f>
        <v>40718.99861</v>
      </c>
      <c r="B397" s="1">
        <f>IFERROR(__xludf.DUMMYFUNCTION("""COMPUTED_VALUE"""),0.422081111)</f>
        <v>0.422081111</v>
      </c>
    </row>
    <row r="398">
      <c r="A398" s="3">
        <f>IFERROR(__xludf.DUMMYFUNCTION("""COMPUTED_VALUE"""),40719.99861111111)</f>
        <v>40719.99861</v>
      </c>
      <c r="B398" s="1">
        <f>IFERROR(__xludf.DUMMYFUNCTION("""COMPUTED_VALUE"""),0.4158101916)</f>
        <v>0.4158101916</v>
      </c>
    </row>
    <row r="399">
      <c r="A399" s="3">
        <f>IFERROR(__xludf.DUMMYFUNCTION("""COMPUTED_VALUE"""),40721.99861111111)</f>
        <v>40721.99861</v>
      </c>
      <c r="B399" s="1">
        <f>IFERROR(__xludf.DUMMYFUNCTION("""COMPUTED_VALUE"""),0.4203216333)</f>
        <v>0.4203216333</v>
      </c>
    </row>
    <row r="400">
      <c r="A400" s="3">
        <f>IFERROR(__xludf.DUMMYFUNCTION("""COMPUTED_VALUE"""),40722.99861111111)</f>
        <v>40722.99861</v>
      </c>
      <c r="B400" s="1">
        <f>IFERROR(__xludf.DUMMYFUNCTION("""COMPUTED_VALUE"""),0.419464716)</f>
        <v>0.419464716</v>
      </c>
    </row>
    <row r="401">
      <c r="A401" s="3">
        <f>IFERROR(__xludf.DUMMYFUNCTION("""COMPUTED_VALUE"""),40723.99861111111)</f>
        <v>40723.99861</v>
      </c>
      <c r="B401" s="1">
        <f>IFERROR(__xludf.DUMMYFUNCTION("""COMPUTED_VALUE"""),0.4195204416)</f>
        <v>0.4195204416</v>
      </c>
    </row>
    <row r="402">
      <c r="A402" s="3">
        <f>IFERROR(__xludf.DUMMYFUNCTION("""COMPUTED_VALUE"""),40724.99861111111)</f>
        <v>40724.99861</v>
      </c>
      <c r="B402" s="1">
        <f>IFERROR(__xludf.DUMMYFUNCTION("""COMPUTED_VALUE"""),0.4231111106)</f>
        <v>0.4231111106</v>
      </c>
    </row>
    <row r="403">
      <c r="A403" s="3">
        <f>IFERROR(__xludf.DUMMYFUNCTION("""COMPUTED_VALUE"""),40725.99861111111)</f>
        <v>40725.99861</v>
      </c>
      <c r="B403" s="1">
        <f>IFERROR(__xludf.DUMMYFUNCTION("""COMPUTED_VALUE"""),0.4155193339)</f>
        <v>0.4155193339</v>
      </c>
    </row>
    <row r="404">
      <c r="A404" s="3">
        <f>IFERROR(__xludf.DUMMYFUNCTION("""COMPUTED_VALUE"""),40726.99861111111)</f>
        <v>40726.99861</v>
      </c>
      <c r="B404" s="1">
        <f>IFERROR(__xludf.DUMMYFUNCTION("""COMPUTED_VALUE"""),0.412963505)</f>
        <v>0.412963505</v>
      </c>
    </row>
    <row r="405">
      <c r="A405" s="3">
        <f>IFERROR(__xludf.DUMMYFUNCTION("""COMPUTED_VALUE"""),40728.99861111111)</f>
        <v>40728.99861</v>
      </c>
      <c r="B405" s="1">
        <f>IFERROR(__xludf.DUMMYFUNCTION("""COMPUTED_VALUE"""),0.4192881001)</f>
        <v>0.4192881001</v>
      </c>
    </row>
    <row r="406">
      <c r="A406" s="3">
        <f>IFERROR(__xludf.DUMMYFUNCTION("""COMPUTED_VALUE"""),40729.99861111111)</f>
        <v>40729.99861</v>
      </c>
      <c r="B406" s="1">
        <f>IFERROR(__xludf.DUMMYFUNCTION("""COMPUTED_VALUE"""),0.4154476844)</f>
        <v>0.4154476844</v>
      </c>
    </row>
    <row r="407">
      <c r="A407" s="3">
        <f>IFERROR(__xludf.DUMMYFUNCTION("""COMPUTED_VALUE"""),40730.99861111111)</f>
        <v>40730.99861</v>
      </c>
      <c r="B407" s="1">
        <f>IFERROR(__xludf.DUMMYFUNCTION("""COMPUTED_VALUE"""),0.4155452713)</f>
        <v>0.4155452713</v>
      </c>
    </row>
    <row r="408">
      <c r="A408" s="3">
        <f>IFERROR(__xludf.DUMMYFUNCTION("""COMPUTED_VALUE"""),40731.99861111111)</f>
        <v>40731.99861</v>
      </c>
      <c r="B408" s="1">
        <f>IFERROR(__xludf.DUMMYFUNCTION("""COMPUTED_VALUE"""),0.4156575739)</f>
        <v>0.4156575739</v>
      </c>
    </row>
    <row r="409">
      <c r="A409" s="3">
        <f>IFERROR(__xludf.DUMMYFUNCTION("""COMPUTED_VALUE"""),40732.99861111111)</f>
        <v>40732.99861</v>
      </c>
      <c r="B409" s="1">
        <f>IFERROR(__xludf.DUMMYFUNCTION("""COMPUTED_VALUE"""),0.4145337144)</f>
        <v>0.4145337144</v>
      </c>
    </row>
    <row r="410">
      <c r="A410" s="3">
        <f>IFERROR(__xludf.DUMMYFUNCTION("""COMPUTED_VALUE"""),40734.99861111111)</f>
        <v>40734.99861</v>
      </c>
      <c r="B410" s="1">
        <f>IFERROR(__xludf.DUMMYFUNCTION("""COMPUTED_VALUE"""),0.4185284369)</f>
        <v>0.4185284369</v>
      </c>
    </row>
    <row r="411">
      <c r="A411" s="3">
        <f>IFERROR(__xludf.DUMMYFUNCTION("""COMPUTED_VALUE"""),40735.99861111111)</f>
        <v>40735.99861</v>
      </c>
      <c r="B411" s="1">
        <f>IFERROR(__xludf.DUMMYFUNCTION("""COMPUTED_VALUE"""),0.4152922548)</f>
        <v>0.4152922548</v>
      </c>
    </row>
    <row r="412">
      <c r="A412" s="3">
        <f>IFERROR(__xludf.DUMMYFUNCTION("""COMPUTED_VALUE"""),40736.99861111111)</f>
        <v>40736.99861</v>
      </c>
      <c r="B412" s="1">
        <f>IFERROR(__xludf.DUMMYFUNCTION("""COMPUTED_VALUE"""),0.4170861671)</f>
        <v>0.4170861671</v>
      </c>
    </row>
    <row r="413">
      <c r="A413" s="3">
        <f>IFERROR(__xludf.DUMMYFUNCTION("""COMPUTED_VALUE"""),40737.99861111111)</f>
        <v>40737.99861</v>
      </c>
      <c r="B413" s="1">
        <f>IFERROR(__xludf.DUMMYFUNCTION("""COMPUTED_VALUE"""),0.4161596476)</f>
        <v>0.4161596476</v>
      </c>
    </row>
    <row r="414">
      <c r="A414" s="3">
        <f>IFERROR(__xludf.DUMMYFUNCTION("""COMPUTED_VALUE"""),40738.99861111111)</f>
        <v>40738.99861</v>
      </c>
      <c r="B414" s="1">
        <f>IFERROR(__xludf.DUMMYFUNCTION("""COMPUTED_VALUE"""),0.4153821749)</f>
        <v>0.4153821749</v>
      </c>
    </row>
    <row r="415">
      <c r="A415" s="3">
        <f>IFERROR(__xludf.DUMMYFUNCTION("""COMPUTED_VALUE"""),40739.99861111111)</f>
        <v>40739.99861</v>
      </c>
      <c r="B415" s="1">
        <f>IFERROR(__xludf.DUMMYFUNCTION("""COMPUTED_VALUE"""),0.4153784356)</f>
        <v>0.4153784356</v>
      </c>
    </row>
    <row r="416">
      <c r="A416" s="3">
        <f>IFERROR(__xludf.DUMMYFUNCTION("""COMPUTED_VALUE"""),40740.99861111111)</f>
        <v>40740.99861</v>
      </c>
      <c r="B416" s="1">
        <f>IFERROR(__xludf.DUMMYFUNCTION("""COMPUTED_VALUE"""),0.4125499263)</f>
        <v>0.4125499263</v>
      </c>
    </row>
    <row r="417">
      <c r="A417" s="3">
        <f>IFERROR(__xludf.DUMMYFUNCTION("""COMPUTED_VALUE"""),40742.99861111111)</f>
        <v>40742.99861</v>
      </c>
      <c r="B417" s="1">
        <f>IFERROR(__xludf.DUMMYFUNCTION("""COMPUTED_VALUE"""),0.4169230707)</f>
        <v>0.4169230707</v>
      </c>
    </row>
    <row r="418">
      <c r="A418" s="3">
        <f>IFERROR(__xludf.DUMMYFUNCTION("""COMPUTED_VALUE"""),40743.99861111111)</f>
        <v>40743.99861</v>
      </c>
      <c r="B418" s="1">
        <f>IFERROR(__xludf.DUMMYFUNCTION("""COMPUTED_VALUE"""),0.4158753263)</f>
        <v>0.4158753263</v>
      </c>
    </row>
    <row r="419">
      <c r="A419" s="3">
        <f>IFERROR(__xludf.DUMMYFUNCTION("""COMPUTED_VALUE"""),40744.99861111111)</f>
        <v>40744.99861</v>
      </c>
      <c r="B419" s="1">
        <f>IFERROR(__xludf.DUMMYFUNCTION("""COMPUTED_VALUE"""),0.4155907356)</f>
        <v>0.4155907356</v>
      </c>
    </row>
    <row r="420">
      <c r="A420" s="3">
        <f>IFERROR(__xludf.DUMMYFUNCTION("""COMPUTED_VALUE"""),40745.99861111111)</f>
        <v>40745.99861</v>
      </c>
      <c r="B420" s="1">
        <f>IFERROR(__xludf.DUMMYFUNCTION("""COMPUTED_VALUE"""),0.4158304916)</f>
        <v>0.4158304916</v>
      </c>
    </row>
    <row r="421">
      <c r="A421" s="3">
        <f>IFERROR(__xludf.DUMMYFUNCTION("""COMPUTED_VALUE"""),40746.99861111111)</f>
        <v>40746.99861</v>
      </c>
      <c r="B421" s="1">
        <f>IFERROR(__xludf.DUMMYFUNCTION("""COMPUTED_VALUE"""),0.4152459811)</f>
        <v>0.4152459811</v>
      </c>
    </row>
    <row r="422">
      <c r="A422" s="3">
        <f>IFERROR(__xludf.DUMMYFUNCTION("""COMPUTED_VALUE"""),40748.99861111111)</f>
        <v>40748.99861</v>
      </c>
      <c r="B422" s="1">
        <f>IFERROR(__xludf.DUMMYFUNCTION("""COMPUTED_VALUE"""),0.4184184682)</f>
        <v>0.4184184682</v>
      </c>
    </row>
    <row r="423">
      <c r="A423" s="3">
        <f>IFERROR(__xludf.DUMMYFUNCTION("""COMPUTED_VALUE"""),40749.99861111111)</f>
        <v>40749.99861</v>
      </c>
      <c r="B423" s="1">
        <f>IFERROR(__xludf.DUMMYFUNCTION("""COMPUTED_VALUE"""),0.415247252)</f>
        <v>0.415247252</v>
      </c>
    </row>
    <row r="424">
      <c r="A424" s="3">
        <f>IFERROR(__xludf.DUMMYFUNCTION("""COMPUTED_VALUE"""),40750.99861111111)</f>
        <v>40750.99861</v>
      </c>
      <c r="B424" s="1">
        <f>IFERROR(__xludf.DUMMYFUNCTION("""COMPUTED_VALUE"""),0.414028251)</f>
        <v>0.414028251</v>
      </c>
    </row>
    <row r="425">
      <c r="A425" s="3">
        <f>IFERROR(__xludf.DUMMYFUNCTION("""COMPUTED_VALUE"""),40751.99861111111)</f>
        <v>40751.99861</v>
      </c>
      <c r="B425" s="1">
        <f>IFERROR(__xludf.DUMMYFUNCTION("""COMPUTED_VALUE"""),0.4128498399)</f>
        <v>0.4128498399</v>
      </c>
    </row>
    <row r="426">
      <c r="A426" s="3">
        <f>IFERROR(__xludf.DUMMYFUNCTION("""COMPUTED_VALUE"""),40752.99861111111)</f>
        <v>40752.99861</v>
      </c>
      <c r="B426" s="1">
        <f>IFERROR(__xludf.DUMMYFUNCTION("""COMPUTED_VALUE"""),0.413583246)</f>
        <v>0.413583246</v>
      </c>
    </row>
    <row r="427">
      <c r="A427" s="3">
        <f>IFERROR(__xludf.DUMMYFUNCTION("""COMPUTED_VALUE"""),40753.99861111111)</f>
        <v>40753.99861</v>
      </c>
      <c r="B427" s="1">
        <f>IFERROR(__xludf.DUMMYFUNCTION("""COMPUTED_VALUE"""),0.4138266735)</f>
        <v>0.4138266735</v>
      </c>
    </row>
    <row r="428">
      <c r="A428" s="3">
        <f>IFERROR(__xludf.DUMMYFUNCTION("""COMPUTED_VALUE"""),40754.99861111111)</f>
        <v>40754.99861</v>
      </c>
      <c r="B428" s="1">
        <f>IFERROR(__xludf.DUMMYFUNCTION("""COMPUTED_VALUE"""),0.4104648216)</f>
        <v>0.4104648216</v>
      </c>
    </row>
    <row r="429">
      <c r="A429" s="3">
        <f>IFERROR(__xludf.DUMMYFUNCTION("""COMPUTED_VALUE"""),40756.99861111111)</f>
        <v>40756.99861</v>
      </c>
      <c r="B429" s="1">
        <f>IFERROR(__xludf.DUMMYFUNCTION("""COMPUTED_VALUE"""),0.4147740117)</f>
        <v>0.4147740117</v>
      </c>
    </row>
    <row r="430">
      <c r="A430" s="3">
        <f>IFERROR(__xludf.DUMMYFUNCTION("""COMPUTED_VALUE"""),40757.99861111111)</f>
        <v>40757.99861</v>
      </c>
      <c r="B430" s="1">
        <f>IFERROR(__xludf.DUMMYFUNCTION("""COMPUTED_VALUE"""),0.4181663222)</f>
        <v>0.4181663222</v>
      </c>
    </row>
    <row r="431">
      <c r="A431" s="3">
        <f>IFERROR(__xludf.DUMMYFUNCTION("""COMPUTED_VALUE"""),40758.99861111111)</f>
        <v>40758.99861</v>
      </c>
      <c r="B431" s="1">
        <f>IFERROR(__xludf.DUMMYFUNCTION("""COMPUTED_VALUE"""),0.4104318604)</f>
        <v>0.4104318604</v>
      </c>
    </row>
    <row r="432">
      <c r="A432" s="3">
        <f>IFERROR(__xludf.DUMMYFUNCTION("""COMPUTED_VALUE"""),40759.99861111111)</f>
        <v>40759.99861</v>
      </c>
      <c r="B432" s="1">
        <f>IFERROR(__xludf.DUMMYFUNCTION("""COMPUTED_VALUE"""),0.4140148485)</f>
        <v>0.4140148485</v>
      </c>
    </row>
    <row r="433">
      <c r="A433" s="3">
        <f>IFERROR(__xludf.DUMMYFUNCTION("""COMPUTED_VALUE"""),40760.99861111111)</f>
        <v>40760.99861</v>
      </c>
      <c r="B433" s="1">
        <f>IFERROR(__xludf.DUMMYFUNCTION("""COMPUTED_VALUE"""),0.4194143356)</f>
        <v>0.4194143356</v>
      </c>
    </row>
    <row r="434">
      <c r="A434" s="3">
        <f>IFERROR(__xludf.DUMMYFUNCTION("""COMPUTED_VALUE"""),40761.99861111111)</f>
        <v>40761.99861</v>
      </c>
      <c r="B434" s="1">
        <f>IFERROR(__xludf.DUMMYFUNCTION("""COMPUTED_VALUE"""),0.4113966389)</f>
        <v>0.4113966389</v>
      </c>
    </row>
    <row r="435">
      <c r="A435" s="3">
        <f>IFERROR(__xludf.DUMMYFUNCTION("""COMPUTED_VALUE"""),40763.99861111111)</f>
        <v>40763.99861</v>
      </c>
      <c r="B435" s="1">
        <f>IFERROR(__xludf.DUMMYFUNCTION("""COMPUTED_VALUE"""),0.4170749703)</f>
        <v>0.4170749703</v>
      </c>
    </row>
    <row r="436">
      <c r="A436" s="3">
        <f>IFERROR(__xludf.DUMMYFUNCTION("""COMPUTED_VALUE"""),40764.99861111111)</f>
        <v>40764.99861</v>
      </c>
      <c r="B436" s="1">
        <f>IFERROR(__xludf.DUMMYFUNCTION("""COMPUTED_VALUE"""),0.4148249132)</f>
        <v>0.4148249132</v>
      </c>
    </row>
    <row r="437">
      <c r="A437" s="3">
        <f>IFERROR(__xludf.DUMMYFUNCTION("""COMPUTED_VALUE"""),40765.99861111111)</f>
        <v>40765.99861</v>
      </c>
      <c r="B437" s="1">
        <f>IFERROR(__xludf.DUMMYFUNCTION("""COMPUTED_VALUE"""),0.4139823671)</f>
        <v>0.4139823671</v>
      </c>
    </row>
    <row r="438">
      <c r="A438" s="3">
        <f>IFERROR(__xludf.DUMMYFUNCTION("""COMPUTED_VALUE"""),40766.99861111111)</f>
        <v>40766.99861</v>
      </c>
      <c r="B438" s="1">
        <f>IFERROR(__xludf.DUMMYFUNCTION("""COMPUTED_VALUE"""),0.4139569886)</f>
        <v>0.4139569886</v>
      </c>
    </row>
    <row r="439">
      <c r="A439" s="3">
        <f>IFERROR(__xludf.DUMMYFUNCTION("""COMPUTED_VALUE"""),40770.99861111111)</f>
        <v>40770.99861</v>
      </c>
      <c r="B439" s="1">
        <f>IFERROR(__xludf.DUMMYFUNCTION("""COMPUTED_VALUE"""),0.40790457)</f>
        <v>0.40790457</v>
      </c>
    </row>
    <row r="440">
      <c r="A440" s="3">
        <f>IFERROR(__xludf.DUMMYFUNCTION("""COMPUTED_VALUE"""),40771.99861111111)</f>
        <v>40771.99861</v>
      </c>
      <c r="B440" s="1">
        <f>IFERROR(__xludf.DUMMYFUNCTION("""COMPUTED_VALUE"""),0.4081197129)</f>
        <v>0.4081197129</v>
      </c>
    </row>
    <row r="441">
      <c r="A441" s="3">
        <f>IFERROR(__xludf.DUMMYFUNCTION("""COMPUTED_VALUE"""),40772.99861111111)</f>
        <v>40772.99861</v>
      </c>
      <c r="B441" s="1">
        <f>IFERROR(__xludf.DUMMYFUNCTION("""COMPUTED_VALUE"""),0.4078608973)</f>
        <v>0.4078608973</v>
      </c>
    </row>
    <row r="442">
      <c r="A442" s="3">
        <f>IFERROR(__xludf.DUMMYFUNCTION("""COMPUTED_VALUE"""),40773.99861111111)</f>
        <v>40773.99861</v>
      </c>
      <c r="B442" s="1">
        <f>IFERROR(__xludf.DUMMYFUNCTION("""COMPUTED_VALUE"""),0.4167680987)</f>
        <v>0.4167680987</v>
      </c>
    </row>
    <row r="443">
      <c r="A443" s="3">
        <f>IFERROR(__xludf.DUMMYFUNCTION("""COMPUTED_VALUE"""),40774.99861111111)</f>
        <v>40774.99861</v>
      </c>
      <c r="B443" s="1">
        <f>IFERROR(__xludf.DUMMYFUNCTION("""COMPUTED_VALUE"""),0.4105576916)</f>
        <v>0.4105576916</v>
      </c>
    </row>
    <row r="444">
      <c r="A444" s="3">
        <f>IFERROR(__xludf.DUMMYFUNCTION("""COMPUTED_VALUE"""),40775.99861111111)</f>
        <v>40775.99861</v>
      </c>
      <c r="B444" s="1">
        <f>IFERROR(__xludf.DUMMYFUNCTION("""COMPUTED_VALUE"""),0.4088292956)</f>
        <v>0.4088292956</v>
      </c>
    </row>
    <row r="445">
      <c r="A445" s="3">
        <f>IFERROR(__xludf.DUMMYFUNCTION("""COMPUTED_VALUE"""),40777.99861111111)</f>
        <v>40777.99861</v>
      </c>
      <c r="B445" s="1">
        <f>IFERROR(__xludf.DUMMYFUNCTION("""COMPUTED_VALUE"""),0.4108277157)</f>
        <v>0.4108277157</v>
      </c>
    </row>
    <row r="446">
      <c r="A446" s="3">
        <f>IFERROR(__xludf.DUMMYFUNCTION("""COMPUTED_VALUE"""),40778.99861111111)</f>
        <v>40778.99861</v>
      </c>
      <c r="B446" s="1">
        <f>IFERROR(__xludf.DUMMYFUNCTION("""COMPUTED_VALUE"""),0.4110175525)</f>
        <v>0.4110175525</v>
      </c>
    </row>
    <row r="447">
      <c r="A447" s="3">
        <f>IFERROR(__xludf.DUMMYFUNCTION("""COMPUTED_VALUE"""),40779.99861111111)</f>
        <v>40779.99861</v>
      </c>
      <c r="B447" s="1">
        <f>IFERROR(__xludf.DUMMYFUNCTION("""COMPUTED_VALUE"""),0.4110576916)</f>
        <v>0.4110576916</v>
      </c>
    </row>
    <row r="448">
      <c r="A448" s="3">
        <f>IFERROR(__xludf.DUMMYFUNCTION("""COMPUTED_VALUE"""),40780.99861111111)</f>
        <v>40780.99861</v>
      </c>
      <c r="B448" s="1">
        <f>IFERROR(__xludf.DUMMYFUNCTION("""COMPUTED_VALUE"""),0.4136604128)</f>
        <v>0.4136604128</v>
      </c>
    </row>
    <row r="449">
      <c r="A449" s="3">
        <f>IFERROR(__xludf.DUMMYFUNCTION("""COMPUTED_VALUE"""),40781.99861111111)</f>
        <v>40781.99861</v>
      </c>
      <c r="B449" s="1">
        <f>IFERROR(__xludf.DUMMYFUNCTION("""COMPUTED_VALUE"""),0.4115606864)</f>
        <v>0.4115606864</v>
      </c>
    </row>
    <row r="450">
      <c r="A450" s="3">
        <f>IFERROR(__xludf.DUMMYFUNCTION("""COMPUTED_VALUE"""),40782.99861111111)</f>
        <v>40782.99861</v>
      </c>
      <c r="B450" s="1">
        <f>IFERROR(__xludf.DUMMYFUNCTION("""COMPUTED_VALUE"""),0.4073882702)</f>
        <v>0.4073882702</v>
      </c>
    </row>
    <row r="451">
      <c r="A451" s="3">
        <f>IFERROR(__xludf.DUMMYFUNCTION("""COMPUTED_VALUE"""),40784.99861111111)</f>
        <v>40784.99861</v>
      </c>
      <c r="B451" s="1">
        <f>IFERROR(__xludf.DUMMYFUNCTION("""COMPUTED_VALUE"""),0.4096153839)</f>
        <v>0.4096153839</v>
      </c>
    </row>
    <row r="452">
      <c r="A452" s="3">
        <f>IFERROR(__xludf.DUMMYFUNCTION("""COMPUTED_VALUE"""),40785.99861111111)</f>
        <v>40785.99861</v>
      </c>
      <c r="B452" s="1">
        <f>IFERROR(__xludf.DUMMYFUNCTION("""COMPUTED_VALUE"""),0.4103366124)</f>
        <v>0.4103366124</v>
      </c>
    </row>
    <row r="453">
      <c r="A453" s="3">
        <f>IFERROR(__xludf.DUMMYFUNCTION("""COMPUTED_VALUE"""),40786.99861111111)</f>
        <v>40786.99861</v>
      </c>
      <c r="B453" s="1">
        <f>IFERROR(__xludf.DUMMYFUNCTION("""COMPUTED_VALUE"""),0.4102379801)</f>
        <v>0.4102379801</v>
      </c>
    </row>
    <row r="454">
      <c r="A454" s="3">
        <f>IFERROR(__xludf.DUMMYFUNCTION("""COMPUTED_VALUE"""),40787.99861111111)</f>
        <v>40787.99861</v>
      </c>
      <c r="B454" s="1">
        <f>IFERROR(__xludf.DUMMYFUNCTION("""COMPUTED_VALUE"""),0.4081730762)</f>
        <v>0.4081730762</v>
      </c>
    </row>
    <row r="455">
      <c r="A455" s="3">
        <f>IFERROR(__xludf.DUMMYFUNCTION("""COMPUTED_VALUE"""),40788.99861111111)</f>
        <v>40788.99861</v>
      </c>
      <c r="B455" s="1">
        <f>IFERROR(__xludf.DUMMYFUNCTION("""COMPUTED_VALUE"""),0.408555628)</f>
        <v>0.408555628</v>
      </c>
    </row>
    <row r="456">
      <c r="A456" s="3">
        <f>IFERROR(__xludf.DUMMYFUNCTION("""COMPUTED_VALUE"""),40789.99861111111)</f>
        <v>40789.99861</v>
      </c>
      <c r="B456" s="1">
        <f>IFERROR(__xludf.DUMMYFUNCTION("""COMPUTED_VALUE"""),0.4073499397)</f>
        <v>0.4073499397</v>
      </c>
    </row>
    <row r="457">
      <c r="A457" s="3">
        <f>IFERROR(__xludf.DUMMYFUNCTION("""COMPUTED_VALUE"""),40791.99861111111)</f>
        <v>40791.99861</v>
      </c>
      <c r="B457" s="1">
        <f>IFERROR(__xludf.DUMMYFUNCTION("""COMPUTED_VALUE"""),0.4076623649)</f>
        <v>0.4076623649</v>
      </c>
    </row>
    <row r="458">
      <c r="A458" s="3">
        <f>IFERROR(__xludf.DUMMYFUNCTION("""COMPUTED_VALUE"""),40792.99861111111)</f>
        <v>40792.99861</v>
      </c>
      <c r="B458" s="1">
        <f>IFERROR(__xludf.DUMMYFUNCTION("""COMPUTED_VALUE"""),0.4110019197)</f>
        <v>0.4110019197</v>
      </c>
    </row>
    <row r="459">
      <c r="A459" s="3">
        <f>IFERROR(__xludf.DUMMYFUNCTION("""COMPUTED_VALUE"""),40793.99861111111)</f>
        <v>40793.99861</v>
      </c>
      <c r="B459" s="1">
        <f>IFERROR(__xludf.DUMMYFUNCTION("""COMPUTED_VALUE"""),0.4102379158)</f>
        <v>0.4102379158</v>
      </c>
    </row>
    <row r="460">
      <c r="A460" s="3">
        <f>IFERROR(__xludf.DUMMYFUNCTION("""COMPUTED_VALUE"""),40794.99861111111)</f>
        <v>40794.99861</v>
      </c>
      <c r="B460" s="1">
        <f>IFERROR(__xludf.DUMMYFUNCTION("""COMPUTED_VALUE"""),0.4119206724)</f>
        <v>0.4119206724</v>
      </c>
    </row>
    <row r="461">
      <c r="A461" s="3">
        <f>IFERROR(__xludf.DUMMYFUNCTION("""COMPUTED_VALUE"""),40795.99861111111)</f>
        <v>40795.99861</v>
      </c>
      <c r="B461" s="1">
        <f>IFERROR(__xludf.DUMMYFUNCTION("""COMPUTED_VALUE"""),0.4119178004)</f>
        <v>0.4119178004</v>
      </c>
    </row>
    <row r="462">
      <c r="A462" s="3">
        <f>IFERROR(__xludf.DUMMYFUNCTION("""COMPUTED_VALUE"""),40797.99861111111)</f>
        <v>40797.99861</v>
      </c>
      <c r="B462" s="1">
        <f>IFERROR(__xludf.DUMMYFUNCTION("""COMPUTED_VALUE"""),0.409376654)</f>
        <v>0.409376654</v>
      </c>
    </row>
    <row r="463">
      <c r="A463" s="3">
        <f>IFERROR(__xludf.DUMMYFUNCTION("""COMPUTED_VALUE"""),40798.99861111111)</f>
        <v>40798.99861</v>
      </c>
      <c r="B463" s="1">
        <f>IFERROR(__xludf.DUMMYFUNCTION("""COMPUTED_VALUE"""),0.412129807)</f>
        <v>0.412129807</v>
      </c>
    </row>
    <row r="464">
      <c r="A464" s="3">
        <f>IFERROR(__xludf.DUMMYFUNCTION("""COMPUTED_VALUE"""),40799.99861111111)</f>
        <v>40799.99861</v>
      </c>
      <c r="B464" s="1">
        <f>IFERROR(__xludf.DUMMYFUNCTION("""COMPUTED_VALUE"""),0.4203682028)</f>
        <v>0.4203682028</v>
      </c>
    </row>
    <row r="465">
      <c r="A465" s="3">
        <f>IFERROR(__xludf.DUMMYFUNCTION("""COMPUTED_VALUE"""),40800.99861111111)</f>
        <v>40800.99861</v>
      </c>
      <c r="B465" s="1">
        <f>IFERROR(__xludf.DUMMYFUNCTION("""COMPUTED_VALUE"""),0.4192283647)</f>
        <v>0.4192283647</v>
      </c>
    </row>
    <row r="466">
      <c r="A466" s="3">
        <f>IFERROR(__xludf.DUMMYFUNCTION("""COMPUTED_VALUE"""),40801.99861111111)</f>
        <v>40801.99861</v>
      </c>
      <c r="B466" s="1">
        <f>IFERROR(__xludf.DUMMYFUNCTION("""COMPUTED_VALUE"""),0.4234078267)</f>
        <v>0.4234078267</v>
      </c>
    </row>
    <row r="467">
      <c r="A467" s="3">
        <f>IFERROR(__xludf.DUMMYFUNCTION("""COMPUTED_VALUE"""),40802.99861111111)</f>
        <v>40802.99861</v>
      </c>
      <c r="B467" s="1">
        <f>IFERROR(__xludf.DUMMYFUNCTION("""COMPUTED_VALUE"""),0.4213918262)</f>
        <v>0.4213918262</v>
      </c>
    </row>
    <row r="468">
      <c r="A468" s="3">
        <f>IFERROR(__xludf.DUMMYFUNCTION("""COMPUTED_VALUE"""),40805.99861111111)</f>
        <v>40805.99861</v>
      </c>
      <c r="B468" s="1">
        <f>IFERROR(__xludf.DUMMYFUNCTION("""COMPUTED_VALUE"""),0.4295856207)</f>
        <v>0.4295856207</v>
      </c>
    </row>
    <row r="469">
      <c r="A469" s="3">
        <f>IFERROR(__xludf.DUMMYFUNCTION("""COMPUTED_VALUE"""),40806.99861111111)</f>
        <v>40806.99861</v>
      </c>
      <c r="B469" s="1">
        <f>IFERROR(__xludf.DUMMYFUNCTION("""COMPUTED_VALUE"""),0.423891293)</f>
        <v>0.423891293</v>
      </c>
    </row>
    <row r="470">
      <c r="A470" s="3">
        <f>IFERROR(__xludf.DUMMYFUNCTION("""COMPUTED_VALUE"""),40807.99861111111)</f>
        <v>40807.99861</v>
      </c>
      <c r="B470" s="1">
        <f>IFERROR(__xludf.DUMMYFUNCTION("""COMPUTED_VALUE"""),0.4250432685)</f>
        <v>0.4250432685</v>
      </c>
    </row>
    <row r="471">
      <c r="A471" s="3">
        <f>IFERROR(__xludf.DUMMYFUNCTION("""COMPUTED_VALUE"""),40808.99861111111)</f>
        <v>40808.99861</v>
      </c>
      <c r="B471" s="1">
        <f>IFERROR(__xludf.DUMMYFUNCTION("""COMPUTED_VALUE"""),0.4271067876)</f>
        <v>0.4271067876</v>
      </c>
    </row>
    <row r="472">
      <c r="A472" s="3">
        <f>IFERROR(__xludf.DUMMYFUNCTION("""COMPUTED_VALUE"""),40809.99861111111)</f>
        <v>40809.99861</v>
      </c>
      <c r="B472" s="1">
        <f>IFERROR(__xludf.DUMMYFUNCTION("""COMPUTED_VALUE"""),0.4250898436)</f>
        <v>0.4250898436</v>
      </c>
    </row>
    <row r="473">
      <c r="A473" s="3">
        <f>IFERROR(__xludf.DUMMYFUNCTION("""COMPUTED_VALUE"""),40810.99861111111)</f>
        <v>40810.99861</v>
      </c>
      <c r="B473" s="1">
        <f>IFERROR(__xludf.DUMMYFUNCTION("""COMPUTED_VALUE"""),0.4179065905)</f>
        <v>0.4179065905</v>
      </c>
    </row>
    <row r="474">
      <c r="A474" s="3">
        <f>IFERROR(__xludf.DUMMYFUNCTION("""COMPUTED_VALUE"""),40812.99861111111)</f>
        <v>40812.99861</v>
      </c>
      <c r="B474" s="1">
        <f>IFERROR(__xludf.DUMMYFUNCTION("""COMPUTED_VALUE"""),0.4362238751)</f>
        <v>0.4362238751</v>
      </c>
    </row>
    <row r="475">
      <c r="A475" s="3">
        <f>IFERROR(__xludf.DUMMYFUNCTION("""COMPUTED_VALUE"""),40813.99861111111)</f>
        <v>40813.99861</v>
      </c>
      <c r="B475" s="1">
        <f>IFERROR(__xludf.DUMMYFUNCTION("""COMPUTED_VALUE"""),0.4279168644)</f>
        <v>0.4279168644</v>
      </c>
    </row>
    <row r="476">
      <c r="A476" s="3">
        <f>IFERROR(__xludf.DUMMYFUNCTION("""COMPUTED_VALUE"""),40814.99861111111)</f>
        <v>40814.99861</v>
      </c>
      <c r="B476" s="1">
        <f>IFERROR(__xludf.DUMMYFUNCTION("""COMPUTED_VALUE"""),0.4271960571)</f>
        <v>0.4271960571</v>
      </c>
    </row>
    <row r="477">
      <c r="A477" s="3">
        <f>IFERROR(__xludf.DUMMYFUNCTION("""COMPUTED_VALUE"""),40815.99861111111)</f>
        <v>40815.99861</v>
      </c>
      <c r="B477" s="1">
        <f>IFERROR(__xludf.DUMMYFUNCTION("""COMPUTED_VALUE"""),0.435840509)</f>
        <v>0.435840509</v>
      </c>
    </row>
    <row r="478">
      <c r="A478" s="3">
        <f>IFERROR(__xludf.DUMMYFUNCTION("""COMPUTED_VALUE"""),40816.99861111111)</f>
        <v>40816.99861</v>
      </c>
      <c r="B478" s="1">
        <f>IFERROR(__xludf.DUMMYFUNCTION("""COMPUTED_VALUE"""),0.4222892127)</f>
        <v>0.4222892127</v>
      </c>
    </row>
    <row r="479">
      <c r="A479" s="3">
        <f>IFERROR(__xludf.DUMMYFUNCTION("""COMPUTED_VALUE"""),40819.99861111111)</f>
        <v>40819.99861</v>
      </c>
      <c r="B479" s="1">
        <f>IFERROR(__xludf.DUMMYFUNCTION("""COMPUTED_VALUE"""),0.4276592085)</f>
        <v>0.4276592085</v>
      </c>
    </row>
    <row r="480">
      <c r="A480" s="3">
        <f>IFERROR(__xludf.DUMMYFUNCTION("""COMPUTED_VALUE"""),40820.99861111111)</f>
        <v>40820.99861</v>
      </c>
      <c r="B480" s="1">
        <f>IFERROR(__xludf.DUMMYFUNCTION("""COMPUTED_VALUE"""),0.4254416228)</f>
        <v>0.4254416228</v>
      </c>
    </row>
    <row r="481">
      <c r="A481" s="3">
        <f>IFERROR(__xludf.DUMMYFUNCTION("""COMPUTED_VALUE"""),40821.99861111111)</f>
        <v>40821.99861</v>
      </c>
      <c r="B481" s="1">
        <f>IFERROR(__xludf.DUMMYFUNCTION("""COMPUTED_VALUE"""),0.430384428)</f>
        <v>0.430384428</v>
      </c>
    </row>
    <row r="482">
      <c r="A482" s="3">
        <f>IFERROR(__xludf.DUMMYFUNCTION("""COMPUTED_VALUE"""),40822.99861111111)</f>
        <v>40822.99861</v>
      </c>
      <c r="B482" s="1">
        <f>IFERROR(__xludf.DUMMYFUNCTION("""COMPUTED_VALUE"""),0.4270958425)</f>
        <v>0.4270958425</v>
      </c>
    </row>
    <row r="483">
      <c r="A483" s="3">
        <f>IFERROR(__xludf.DUMMYFUNCTION("""COMPUTED_VALUE"""),40823.99861111111)</f>
        <v>40823.99861</v>
      </c>
      <c r="B483" s="1">
        <f>IFERROR(__xludf.DUMMYFUNCTION("""COMPUTED_VALUE"""),0.4275564607)</f>
        <v>0.4275564607</v>
      </c>
    </row>
    <row r="484">
      <c r="A484" s="3">
        <f>IFERROR(__xludf.DUMMYFUNCTION("""COMPUTED_VALUE"""),40825.99861111111)</f>
        <v>40825.99861</v>
      </c>
      <c r="B484" s="1">
        <f>IFERROR(__xludf.DUMMYFUNCTION("""COMPUTED_VALUE"""),0.435957175)</f>
        <v>0.435957175</v>
      </c>
    </row>
    <row r="485">
      <c r="A485" s="3">
        <f>IFERROR(__xludf.DUMMYFUNCTION("""COMPUTED_VALUE"""),40826.99861111111)</f>
        <v>40826.99861</v>
      </c>
      <c r="B485" s="1">
        <f>IFERROR(__xludf.DUMMYFUNCTION("""COMPUTED_VALUE"""),0.432385973)</f>
        <v>0.432385973</v>
      </c>
    </row>
    <row r="486">
      <c r="A486" s="3">
        <f>IFERROR(__xludf.DUMMYFUNCTION("""COMPUTED_VALUE"""),40827.99861111111)</f>
        <v>40827.99861</v>
      </c>
      <c r="B486" s="1">
        <f>IFERROR(__xludf.DUMMYFUNCTION("""COMPUTED_VALUE"""),0.4249293162)</f>
        <v>0.4249293162</v>
      </c>
    </row>
    <row r="487">
      <c r="A487" s="3">
        <f>IFERROR(__xludf.DUMMYFUNCTION("""COMPUTED_VALUE"""),40828.99861111111)</f>
        <v>40828.99861</v>
      </c>
      <c r="B487" s="1">
        <f>IFERROR(__xludf.DUMMYFUNCTION("""COMPUTED_VALUE"""),0.425641516)</f>
        <v>0.425641516</v>
      </c>
    </row>
    <row r="488">
      <c r="A488" s="3">
        <f>IFERROR(__xludf.DUMMYFUNCTION("""COMPUTED_VALUE"""),40829.99861111111)</f>
        <v>40829.99861</v>
      </c>
      <c r="B488" s="1">
        <f>IFERROR(__xludf.DUMMYFUNCTION("""COMPUTED_VALUE"""),0.4263374108)</f>
        <v>0.4263374108</v>
      </c>
    </row>
    <row r="489">
      <c r="A489" s="3">
        <f>IFERROR(__xludf.DUMMYFUNCTION("""COMPUTED_VALUE"""),40830.99861111111)</f>
        <v>40830.99861</v>
      </c>
      <c r="B489" s="1">
        <f>IFERROR(__xludf.DUMMYFUNCTION("""COMPUTED_VALUE"""),0.4240153292)</f>
        <v>0.4240153292</v>
      </c>
    </row>
    <row r="490">
      <c r="A490" s="3">
        <f>IFERROR(__xludf.DUMMYFUNCTION("""COMPUTED_VALUE"""),40831.99861111111)</f>
        <v>40831.99861</v>
      </c>
      <c r="B490" s="1">
        <f>IFERROR(__xludf.DUMMYFUNCTION("""COMPUTED_VALUE"""),0.4212641391)</f>
        <v>0.4212641391</v>
      </c>
    </row>
    <row r="491">
      <c r="A491" s="3">
        <f>IFERROR(__xludf.DUMMYFUNCTION("""COMPUTED_VALUE"""),40833.99861111111)</f>
        <v>40833.99861</v>
      </c>
      <c r="B491" s="1">
        <f>IFERROR(__xludf.DUMMYFUNCTION("""COMPUTED_VALUE"""),0.4251951117)</f>
        <v>0.4251951117</v>
      </c>
    </row>
    <row r="492">
      <c r="A492" s="3">
        <f>IFERROR(__xludf.DUMMYFUNCTION("""COMPUTED_VALUE"""),40834.99861111111)</f>
        <v>40834.99861</v>
      </c>
      <c r="B492" s="1">
        <f>IFERROR(__xludf.DUMMYFUNCTION("""COMPUTED_VALUE"""),0.4252873536)</f>
        <v>0.4252873536</v>
      </c>
    </row>
    <row r="493">
      <c r="A493" s="3">
        <f>IFERROR(__xludf.DUMMYFUNCTION("""COMPUTED_VALUE"""),40835.99861111111)</f>
        <v>40835.99861</v>
      </c>
      <c r="B493" s="1">
        <f>IFERROR(__xludf.DUMMYFUNCTION("""COMPUTED_VALUE"""),0.4226003803)</f>
        <v>0.4226003803</v>
      </c>
    </row>
    <row r="494">
      <c r="A494" s="3">
        <f>IFERROR(__xludf.DUMMYFUNCTION("""COMPUTED_VALUE"""),40836.99861111111)</f>
        <v>40836.99861</v>
      </c>
      <c r="B494" s="1">
        <f>IFERROR(__xludf.DUMMYFUNCTION("""COMPUTED_VALUE"""),0.4266971254)</f>
        <v>0.4266971254</v>
      </c>
    </row>
    <row r="495">
      <c r="A495" s="3">
        <f>IFERROR(__xludf.DUMMYFUNCTION("""COMPUTED_VALUE"""),40837.99861111111)</f>
        <v>40837.99861</v>
      </c>
      <c r="B495" s="1">
        <f>IFERROR(__xludf.DUMMYFUNCTION("""COMPUTED_VALUE"""),0.4230401509)</f>
        <v>0.4230401509</v>
      </c>
    </row>
    <row r="496">
      <c r="A496" s="3">
        <f>IFERROR(__xludf.DUMMYFUNCTION("""COMPUTED_VALUE"""),40838.99861111111)</f>
        <v>40838.99861</v>
      </c>
      <c r="B496" s="1">
        <f>IFERROR(__xludf.DUMMYFUNCTION("""COMPUTED_VALUE"""),0.4176927165)</f>
        <v>0.4176927165</v>
      </c>
    </row>
    <row r="497">
      <c r="A497" s="3">
        <f>IFERROR(__xludf.DUMMYFUNCTION("""COMPUTED_VALUE"""),40840.99861111111)</f>
        <v>40840.99861</v>
      </c>
      <c r="B497" s="1">
        <f>IFERROR(__xludf.DUMMYFUNCTION("""COMPUTED_VALUE"""),0.4224587795)</f>
        <v>0.4224587795</v>
      </c>
    </row>
    <row r="498">
      <c r="A498" s="3">
        <f>IFERROR(__xludf.DUMMYFUNCTION("""COMPUTED_VALUE"""),40841.99861111111)</f>
        <v>40841.99861</v>
      </c>
      <c r="B498" s="1">
        <f>IFERROR(__xludf.DUMMYFUNCTION("""COMPUTED_VALUE"""),0.4226337075)</f>
        <v>0.4226337075</v>
      </c>
    </row>
    <row r="499">
      <c r="A499" s="3">
        <f>IFERROR(__xludf.DUMMYFUNCTION("""COMPUTED_VALUE"""),40842.99861111111)</f>
        <v>40842.99861</v>
      </c>
      <c r="B499" s="1">
        <f>IFERROR(__xludf.DUMMYFUNCTION("""COMPUTED_VALUE"""),0.4296620005)</f>
        <v>0.4296620005</v>
      </c>
    </row>
    <row r="500">
      <c r="A500" s="3">
        <f>IFERROR(__xludf.DUMMYFUNCTION("""COMPUTED_VALUE"""),40843.99861111111)</f>
        <v>40843.99861</v>
      </c>
      <c r="B500" s="1">
        <f>IFERROR(__xludf.DUMMYFUNCTION("""COMPUTED_VALUE"""),0.4223515365)</f>
        <v>0.4223515365</v>
      </c>
    </row>
    <row r="501">
      <c r="A501" s="3">
        <f>IFERROR(__xludf.DUMMYFUNCTION("""COMPUTED_VALUE"""),40844.99861111111)</f>
        <v>40844.99861</v>
      </c>
      <c r="B501" s="1">
        <f>IFERROR(__xludf.DUMMYFUNCTION("""COMPUTED_VALUE"""),0.4198188722)</f>
        <v>0.4198188722</v>
      </c>
    </row>
    <row r="502">
      <c r="A502" s="3">
        <f>IFERROR(__xludf.DUMMYFUNCTION("""COMPUTED_VALUE"""),40847.99861111111)</f>
        <v>40847.99861</v>
      </c>
      <c r="B502" s="1">
        <f>IFERROR(__xludf.DUMMYFUNCTION("""COMPUTED_VALUE"""),0.4257610031)</f>
        <v>0.4257610031</v>
      </c>
    </row>
    <row r="503">
      <c r="A503" s="3">
        <f>IFERROR(__xludf.DUMMYFUNCTION("""COMPUTED_VALUE"""),40848.99861111111)</f>
        <v>40848.99861</v>
      </c>
      <c r="B503" s="1">
        <f>IFERROR(__xludf.DUMMYFUNCTION("""COMPUTED_VALUE"""),0.4276928196)</f>
        <v>0.4276928196</v>
      </c>
    </row>
    <row r="504">
      <c r="A504" s="3">
        <f>IFERROR(__xludf.DUMMYFUNCTION("""COMPUTED_VALUE"""),40849.99861111111)</f>
        <v>40849.99861</v>
      </c>
      <c r="B504" s="1">
        <f>IFERROR(__xludf.DUMMYFUNCTION("""COMPUTED_VALUE"""),0.4295704609)</f>
        <v>0.4295704609</v>
      </c>
    </row>
    <row r="505">
      <c r="A505" s="3">
        <f>IFERROR(__xludf.DUMMYFUNCTION("""COMPUTED_VALUE"""),40850.99861111111)</f>
        <v>40850.99861</v>
      </c>
      <c r="B505" s="1">
        <f>IFERROR(__xludf.DUMMYFUNCTION("""COMPUTED_VALUE"""),0.4321205963)</f>
        <v>0.4321205963</v>
      </c>
    </row>
    <row r="506">
      <c r="A506" s="3">
        <f>IFERROR(__xludf.DUMMYFUNCTION("""COMPUTED_VALUE"""),40851.99861111111)</f>
        <v>40851.99861</v>
      </c>
      <c r="B506" s="1">
        <f>IFERROR(__xludf.DUMMYFUNCTION("""COMPUTED_VALUE"""),0.4259523754)</f>
        <v>0.4259523754</v>
      </c>
    </row>
    <row r="507">
      <c r="A507" s="3">
        <f>IFERROR(__xludf.DUMMYFUNCTION("""COMPUTED_VALUE"""),40852.99861111111)</f>
        <v>40852.99861</v>
      </c>
      <c r="B507" s="1">
        <f>IFERROR(__xludf.DUMMYFUNCTION("""COMPUTED_VALUE"""),0.423950484)</f>
        <v>0.423950484</v>
      </c>
    </row>
    <row r="508">
      <c r="A508" s="3">
        <f>IFERROR(__xludf.DUMMYFUNCTION("""COMPUTED_VALUE"""),40854.99861111111)</f>
        <v>40854.99861</v>
      </c>
      <c r="B508" s="1">
        <f>IFERROR(__xludf.DUMMYFUNCTION("""COMPUTED_VALUE"""),0.4266293458)</f>
        <v>0.4266293458</v>
      </c>
    </row>
    <row r="509">
      <c r="A509" s="3">
        <f>IFERROR(__xludf.DUMMYFUNCTION("""COMPUTED_VALUE"""),40855.99861111111)</f>
        <v>40855.99861</v>
      </c>
      <c r="B509" s="1">
        <f>IFERROR(__xludf.DUMMYFUNCTION("""COMPUTED_VALUE"""),0.4247260586)</f>
        <v>0.4247260586</v>
      </c>
    </row>
    <row r="510">
      <c r="A510" s="3">
        <f>IFERROR(__xludf.DUMMYFUNCTION("""COMPUTED_VALUE"""),40856.99861111111)</f>
        <v>40856.99861</v>
      </c>
      <c r="B510" s="1">
        <f>IFERROR(__xludf.DUMMYFUNCTION("""COMPUTED_VALUE"""),0.4288446627)</f>
        <v>0.4288446627</v>
      </c>
    </row>
    <row r="511">
      <c r="A511" s="3">
        <f>IFERROR(__xludf.DUMMYFUNCTION("""COMPUTED_VALUE"""),40857.99861111111)</f>
        <v>40857.99861</v>
      </c>
      <c r="B511" s="1">
        <f>IFERROR(__xludf.DUMMYFUNCTION("""COMPUTED_VALUE"""),0.4274457897)</f>
        <v>0.4274457897</v>
      </c>
    </row>
    <row r="512">
      <c r="A512" s="3">
        <f>IFERROR(__xludf.DUMMYFUNCTION("""COMPUTED_VALUE"""),40858.99861111111)</f>
        <v>40858.99861</v>
      </c>
      <c r="B512" s="1">
        <f>IFERROR(__xludf.DUMMYFUNCTION("""COMPUTED_VALUE"""),0.4268255452)</f>
        <v>0.4268255452</v>
      </c>
    </row>
    <row r="513">
      <c r="A513" s="3">
        <f>IFERROR(__xludf.DUMMYFUNCTION("""COMPUTED_VALUE"""),40860.99861111111)</f>
        <v>40860.99861</v>
      </c>
      <c r="B513" s="1">
        <f>IFERROR(__xludf.DUMMYFUNCTION("""COMPUTED_VALUE"""),0.4365452868)</f>
        <v>0.4365452868</v>
      </c>
    </row>
    <row r="514">
      <c r="A514" s="3">
        <f>IFERROR(__xludf.DUMMYFUNCTION("""COMPUTED_VALUE"""),40861.99861111111)</f>
        <v>40861.99861</v>
      </c>
      <c r="B514" s="1">
        <f>IFERROR(__xludf.DUMMYFUNCTION("""COMPUTED_VALUE"""),0.4326086915)</f>
        <v>0.4326086915</v>
      </c>
    </row>
    <row r="515">
      <c r="A515" s="3">
        <f>IFERROR(__xludf.DUMMYFUNCTION("""COMPUTED_VALUE"""),40862.99861111111)</f>
        <v>40862.99861</v>
      </c>
      <c r="B515" s="1">
        <f>IFERROR(__xludf.DUMMYFUNCTION("""COMPUTED_VALUE"""),0.4343917441)</f>
        <v>0.4343917441</v>
      </c>
    </row>
    <row r="516">
      <c r="A516" s="3">
        <f>IFERROR(__xludf.DUMMYFUNCTION("""COMPUTED_VALUE"""),40863.99861111111)</f>
        <v>40863.99861</v>
      </c>
      <c r="B516" s="1">
        <f>IFERROR(__xludf.DUMMYFUNCTION("""COMPUTED_VALUE"""),0.4344242044)</f>
        <v>0.4344242044</v>
      </c>
    </row>
    <row r="517">
      <c r="A517" s="3">
        <f>IFERROR(__xludf.DUMMYFUNCTION("""COMPUTED_VALUE"""),40864.99861111111)</f>
        <v>40864.99861</v>
      </c>
      <c r="B517" s="1">
        <f>IFERROR(__xludf.DUMMYFUNCTION("""COMPUTED_VALUE"""),0.4325234942)</f>
        <v>0.4325234942</v>
      </c>
    </row>
    <row r="518">
      <c r="A518" s="3">
        <f>IFERROR(__xludf.DUMMYFUNCTION("""COMPUTED_VALUE"""),40865.99861111111)</f>
        <v>40865.99861</v>
      </c>
      <c r="B518" s="1">
        <f>IFERROR(__xludf.DUMMYFUNCTION("""COMPUTED_VALUE"""),0.4335133306)</f>
        <v>0.4335133306</v>
      </c>
    </row>
    <row r="519">
      <c r="A519" s="3">
        <f>IFERROR(__xludf.DUMMYFUNCTION("""COMPUTED_VALUE"""),40866.99861111111)</f>
        <v>40866.99861</v>
      </c>
      <c r="B519" s="1">
        <f>IFERROR(__xludf.DUMMYFUNCTION("""COMPUTED_VALUE"""),0.4273237935)</f>
        <v>0.4273237935</v>
      </c>
    </row>
    <row r="520">
      <c r="A520" s="3">
        <f>IFERROR(__xludf.DUMMYFUNCTION("""COMPUTED_VALUE"""),40868.99861111111)</f>
        <v>40868.99861</v>
      </c>
      <c r="B520" s="1">
        <f>IFERROR(__xludf.DUMMYFUNCTION("""COMPUTED_VALUE"""),0.435651186)</f>
        <v>0.435651186</v>
      </c>
    </row>
    <row r="521">
      <c r="A521" s="3">
        <f>IFERROR(__xludf.DUMMYFUNCTION("""COMPUTED_VALUE"""),40869.99861111111)</f>
        <v>40869.99861</v>
      </c>
      <c r="B521" s="1">
        <f>IFERROR(__xludf.DUMMYFUNCTION("""COMPUTED_VALUE"""),0.4364059574)</f>
        <v>0.4364059574</v>
      </c>
    </row>
    <row r="522">
      <c r="A522" s="3">
        <f>IFERROR(__xludf.DUMMYFUNCTION("""COMPUTED_VALUE"""),40870.99861111111)</f>
        <v>40870.99861</v>
      </c>
      <c r="B522" s="1">
        <f>IFERROR(__xludf.DUMMYFUNCTION("""COMPUTED_VALUE"""),0.4354097172)</f>
        <v>0.4354097172</v>
      </c>
    </row>
    <row r="523">
      <c r="A523" s="3">
        <f>IFERROR(__xludf.DUMMYFUNCTION("""COMPUTED_VALUE"""),40871.99861111111)</f>
        <v>40871.99861</v>
      </c>
      <c r="B523" s="1">
        <f>IFERROR(__xludf.DUMMYFUNCTION("""COMPUTED_VALUE"""),0.4325482601)</f>
        <v>0.4325482601</v>
      </c>
    </row>
    <row r="524">
      <c r="A524" s="3">
        <f>IFERROR(__xludf.DUMMYFUNCTION("""COMPUTED_VALUE"""),40872.99861111111)</f>
        <v>40872.99861</v>
      </c>
      <c r="B524" s="1">
        <f>IFERROR(__xludf.DUMMYFUNCTION("""COMPUTED_VALUE"""),0.4361097623)</f>
        <v>0.4361097623</v>
      </c>
    </row>
    <row r="525">
      <c r="A525" s="3">
        <f>IFERROR(__xludf.DUMMYFUNCTION("""COMPUTED_VALUE"""),40873.99861111111)</f>
        <v>40873.99861</v>
      </c>
      <c r="B525" s="1">
        <f>IFERROR(__xludf.DUMMYFUNCTION("""COMPUTED_VALUE"""),0.4363798843)</f>
        <v>0.4363798843</v>
      </c>
    </row>
    <row r="526">
      <c r="A526" s="3">
        <f>IFERROR(__xludf.DUMMYFUNCTION("""COMPUTED_VALUE"""),40874.99861111111)</f>
        <v>40874.99861</v>
      </c>
      <c r="B526" s="1">
        <f>IFERROR(__xludf.DUMMYFUNCTION("""COMPUTED_VALUE"""),0.4372048594)</f>
        <v>0.4372048594</v>
      </c>
    </row>
    <row r="527">
      <c r="A527" s="3">
        <f>IFERROR(__xludf.DUMMYFUNCTION("""COMPUTED_VALUE"""),40875.99861111111)</f>
        <v>40875.99861</v>
      </c>
      <c r="B527" s="1">
        <f>IFERROR(__xludf.DUMMYFUNCTION("""COMPUTED_VALUE"""),0.4381976755)</f>
        <v>0.4381976755</v>
      </c>
    </row>
    <row r="528">
      <c r="A528" s="3">
        <f>IFERROR(__xludf.DUMMYFUNCTION("""COMPUTED_VALUE"""),40876.99861111111)</f>
        <v>40876.99861</v>
      </c>
      <c r="B528" s="1">
        <f>IFERROR(__xludf.DUMMYFUNCTION("""COMPUTED_VALUE"""),0.4391400633)</f>
        <v>0.4391400633</v>
      </c>
    </row>
    <row r="529">
      <c r="A529" s="3">
        <f>IFERROR(__xludf.DUMMYFUNCTION("""COMPUTED_VALUE"""),40877.99861111111)</f>
        <v>40877.99861</v>
      </c>
      <c r="B529" s="1">
        <f>IFERROR(__xludf.DUMMYFUNCTION("""COMPUTED_VALUE"""),0.4325327566)</f>
        <v>0.4325327566</v>
      </c>
    </row>
    <row r="530">
      <c r="A530" s="3">
        <f>IFERROR(__xludf.DUMMYFUNCTION("""COMPUTED_VALUE"""),40878.99861111111)</f>
        <v>40878.99861</v>
      </c>
      <c r="B530" s="1">
        <f>IFERROR(__xludf.DUMMYFUNCTION("""COMPUTED_VALUE"""),0.4337214854)</f>
        <v>0.4337214854</v>
      </c>
    </row>
    <row r="531">
      <c r="A531" s="3">
        <f>IFERROR(__xludf.DUMMYFUNCTION("""COMPUTED_VALUE"""),40879.99861111111)</f>
        <v>40879.99861</v>
      </c>
      <c r="B531" s="1">
        <f>IFERROR(__xludf.DUMMYFUNCTION("""COMPUTED_VALUE"""),0.4295925612)</f>
        <v>0.4295925612</v>
      </c>
    </row>
    <row r="532">
      <c r="A532" s="3">
        <f>IFERROR(__xludf.DUMMYFUNCTION("""COMPUTED_VALUE"""),40880.99861111111)</f>
        <v>40880.99861</v>
      </c>
      <c r="B532" s="1">
        <f>IFERROR(__xludf.DUMMYFUNCTION("""COMPUTED_VALUE"""),0.4270809291)</f>
        <v>0.4270809291</v>
      </c>
    </row>
    <row r="533">
      <c r="A533" s="3">
        <f>IFERROR(__xludf.DUMMYFUNCTION("""COMPUTED_VALUE"""),40881.99861111111)</f>
        <v>40881.99861</v>
      </c>
      <c r="B533" s="1">
        <f>IFERROR(__xludf.DUMMYFUNCTION("""COMPUTED_VALUE"""),0.4316057772)</f>
        <v>0.4316057772</v>
      </c>
    </row>
    <row r="534">
      <c r="A534" s="3">
        <f>IFERROR(__xludf.DUMMYFUNCTION("""COMPUTED_VALUE"""),40882.99861111111)</f>
        <v>40882.99861</v>
      </c>
      <c r="B534" s="1">
        <f>IFERROR(__xludf.DUMMYFUNCTION("""COMPUTED_VALUE"""),0.4297712077)</f>
        <v>0.4297712077</v>
      </c>
    </row>
    <row r="535">
      <c r="A535" s="3">
        <f>IFERROR(__xludf.DUMMYFUNCTION("""COMPUTED_VALUE"""),40883.99861111111)</f>
        <v>40883.99861</v>
      </c>
      <c r="B535" s="1">
        <f>IFERROR(__xludf.DUMMYFUNCTION("""COMPUTED_VALUE"""),0.4307485053)</f>
        <v>0.4307485053</v>
      </c>
    </row>
    <row r="536">
      <c r="A536" s="3">
        <f>IFERROR(__xludf.DUMMYFUNCTION("""COMPUTED_VALUE"""),40884.99861111111)</f>
        <v>40884.99861</v>
      </c>
      <c r="B536" s="1">
        <f>IFERROR(__xludf.DUMMYFUNCTION("""COMPUTED_VALUE"""),0.430388553)</f>
        <v>0.430388553</v>
      </c>
    </row>
    <row r="537">
      <c r="A537" s="3">
        <f>IFERROR(__xludf.DUMMYFUNCTION("""COMPUTED_VALUE"""),40885.99861111111)</f>
        <v>40885.99861</v>
      </c>
      <c r="B537" s="1">
        <f>IFERROR(__xludf.DUMMYFUNCTION("""COMPUTED_VALUE"""),0.4289437277)</f>
        <v>0.4289437277</v>
      </c>
    </row>
    <row r="538">
      <c r="A538" s="3">
        <f>IFERROR(__xludf.DUMMYFUNCTION("""COMPUTED_VALUE"""),40886.99861111111)</f>
        <v>40886.99861</v>
      </c>
      <c r="B538" s="1">
        <f>IFERROR(__xludf.DUMMYFUNCTION("""COMPUTED_VALUE"""),0.4314660262)</f>
        <v>0.4314660262</v>
      </c>
    </row>
    <row r="539">
      <c r="A539" s="3">
        <f>IFERROR(__xludf.DUMMYFUNCTION("""COMPUTED_VALUE"""),40887.99861111111)</f>
        <v>40887.99861</v>
      </c>
      <c r="B539" s="1">
        <f>IFERROR(__xludf.DUMMYFUNCTION("""COMPUTED_VALUE"""),0.428751682)</f>
        <v>0.428751682</v>
      </c>
    </row>
    <row r="540">
      <c r="A540" s="3">
        <f>IFERROR(__xludf.DUMMYFUNCTION("""COMPUTED_VALUE"""),40889.99861111111)</f>
        <v>40889.99861</v>
      </c>
      <c r="B540" s="1">
        <f>IFERROR(__xludf.DUMMYFUNCTION("""COMPUTED_VALUE"""),0.434529693)</f>
        <v>0.434529693</v>
      </c>
    </row>
    <row r="541">
      <c r="A541" s="3">
        <f>IFERROR(__xludf.DUMMYFUNCTION("""COMPUTED_VALUE"""),40890.99861111111)</f>
        <v>40890.99861</v>
      </c>
      <c r="B541" s="1">
        <f>IFERROR(__xludf.DUMMYFUNCTION("""COMPUTED_VALUE"""),0.4355688315)</f>
        <v>0.4355688315</v>
      </c>
    </row>
    <row r="542">
      <c r="A542" s="3">
        <f>IFERROR(__xludf.DUMMYFUNCTION("""COMPUTED_VALUE"""),40891.99861111111)</f>
        <v>40891.99861</v>
      </c>
      <c r="B542" s="1">
        <f>IFERROR(__xludf.DUMMYFUNCTION("""COMPUTED_VALUE"""),0.4337464222)</f>
        <v>0.4337464222</v>
      </c>
    </row>
    <row r="543">
      <c r="A543" s="3">
        <f>IFERROR(__xludf.DUMMYFUNCTION("""COMPUTED_VALUE"""),40892.99861111111)</f>
        <v>40892.99861</v>
      </c>
      <c r="B543" s="1">
        <f>IFERROR(__xludf.DUMMYFUNCTION("""COMPUTED_VALUE"""),0.4331641599)</f>
        <v>0.4331641599</v>
      </c>
    </row>
    <row r="544">
      <c r="A544" s="3">
        <f>IFERROR(__xludf.DUMMYFUNCTION("""COMPUTED_VALUE"""),40893.99861111111)</f>
        <v>40893.99861</v>
      </c>
      <c r="B544" s="1">
        <f>IFERROR(__xludf.DUMMYFUNCTION("""COMPUTED_VALUE"""),0.4324308836)</f>
        <v>0.4324308836</v>
      </c>
    </row>
    <row r="545">
      <c r="A545" s="3">
        <f>IFERROR(__xludf.DUMMYFUNCTION("""COMPUTED_VALUE"""),40895.99861111111)</f>
        <v>40895.99861</v>
      </c>
      <c r="B545" s="1">
        <f>IFERROR(__xludf.DUMMYFUNCTION("""COMPUTED_VALUE"""),0.4351802634)</f>
        <v>0.4351802634</v>
      </c>
    </row>
    <row r="546">
      <c r="A546" s="3">
        <f>IFERROR(__xludf.DUMMYFUNCTION("""COMPUTED_VALUE"""),40896.99861111111)</f>
        <v>40896.99861</v>
      </c>
      <c r="B546" s="1">
        <f>IFERROR(__xludf.DUMMYFUNCTION("""COMPUTED_VALUE"""),0.4342210561)</f>
        <v>0.4342210561</v>
      </c>
    </row>
    <row r="547">
      <c r="A547" s="3">
        <f>IFERROR(__xludf.DUMMYFUNCTION("""COMPUTED_VALUE"""),40897.99861111111)</f>
        <v>40897.99861</v>
      </c>
      <c r="B547" s="1">
        <f>IFERROR(__xludf.DUMMYFUNCTION("""COMPUTED_VALUE"""),0.4308380896)</f>
        <v>0.4308380896</v>
      </c>
    </row>
    <row r="548">
      <c r="A548" s="3">
        <f>IFERROR(__xludf.DUMMYFUNCTION("""COMPUTED_VALUE"""),40898.99861111111)</f>
        <v>40898.99861</v>
      </c>
      <c r="B548" s="1">
        <f>IFERROR(__xludf.DUMMYFUNCTION("""COMPUTED_VALUE"""),0.4366731025)</f>
        <v>0.4366731025</v>
      </c>
    </row>
    <row r="549">
      <c r="A549" s="3">
        <f>IFERROR(__xludf.DUMMYFUNCTION("""COMPUTED_VALUE"""),40899.99861111111)</f>
        <v>40899.99861</v>
      </c>
      <c r="B549" s="1">
        <f>IFERROR(__xludf.DUMMYFUNCTION("""COMPUTED_VALUE"""),0.4352787026)</f>
        <v>0.4352787026</v>
      </c>
    </row>
    <row r="550">
      <c r="A550" s="3">
        <f>IFERROR(__xludf.DUMMYFUNCTION("""COMPUTED_VALUE"""),40900.99861111111)</f>
        <v>40900.99861</v>
      </c>
      <c r="B550" s="1">
        <f>IFERROR(__xludf.DUMMYFUNCTION("""COMPUTED_VALUE"""),0.4305787075)</f>
        <v>0.4305787075</v>
      </c>
    </row>
    <row r="551">
      <c r="A551" s="3">
        <f>IFERROR(__xludf.DUMMYFUNCTION("""COMPUTED_VALUE"""),40901.99861111111)</f>
        <v>40901.99861</v>
      </c>
      <c r="B551" s="1">
        <f>IFERROR(__xludf.DUMMYFUNCTION("""COMPUTED_VALUE"""),0.4356485209)</f>
        <v>0.4356485209</v>
      </c>
    </row>
    <row r="552">
      <c r="A552" s="3">
        <f>IFERROR(__xludf.DUMMYFUNCTION("""COMPUTED_VALUE"""),40903.99861111111)</f>
        <v>40903.99861</v>
      </c>
      <c r="B552" s="1">
        <f>IFERROR(__xludf.DUMMYFUNCTION("""COMPUTED_VALUE"""),0.4322212229)</f>
        <v>0.4322212229</v>
      </c>
    </row>
    <row r="553">
      <c r="A553" s="3">
        <f>IFERROR(__xludf.DUMMYFUNCTION("""COMPUTED_VALUE"""),40904.99861111111)</f>
        <v>40904.99861</v>
      </c>
      <c r="B553" s="1">
        <f>IFERROR(__xludf.DUMMYFUNCTION("""COMPUTED_VALUE"""),0.4315238039)</f>
        <v>0.4315238039</v>
      </c>
    </row>
    <row r="554">
      <c r="A554" s="3">
        <f>IFERROR(__xludf.DUMMYFUNCTION("""COMPUTED_VALUE"""),40905.99861111111)</f>
        <v>40905.99861</v>
      </c>
      <c r="B554" s="1">
        <f>IFERROR(__xludf.DUMMYFUNCTION("""COMPUTED_VALUE"""),0.4306857086)</f>
        <v>0.4306857086</v>
      </c>
    </row>
    <row r="555">
      <c r="A555" s="3">
        <f>IFERROR(__xludf.DUMMYFUNCTION("""COMPUTED_VALUE"""),40906.99861111111)</f>
        <v>40906.99861</v>
      </c>
      <c r="B555" s="1">
        <f>IFERROR(__xludf.DUMMYFUNCTION("""COMPUTED_VALUE"""),0.4216571373)</f>
        <v>0.4216571373</v>
      </c>
    </row>
    <row r="556">
      <c r="A556" s="3">
        <f>IFERROR(__xludf.DUMMYFUNCTION("""COMPUTED_VALUE"""),40907.99861111111)</f>
        <v>40907.99861</v>
      </c>
      <c r="B556" s="1">
        <f>IFERROR(__xludf.DUMMYFUNCTION("""COMPUTED_VALUE"""),0.4315313152)</f>
        <v>0.4315313152</v>
      </c>
    </row>
    <row r="557">
      <c r="A557" s="3">
        <f>IFERROR(__xludf.DUMMYFUNCTION("""COMPUTED_VALUE"""),40908.99861111111)</f>
        <v>40908.99861</v>
      </c>
      <c r="B557" s="1">
        <f>IFERROR(__xludf.DUMMYFUNCTION("""COMPUTED_VALUE"""),0.4376510319)</f>
        <v>0.4376510319</v>
      </c>
    </row>
    <row r="558">
      <c r="A558" s="3">
        <f>IFERROR(__xludf.DUMMYFUNCTION("""COMPUTED_VALUE"""),40910.99861111111)</f>
        <v>40910.99861</v>
      </c>
      <c r="B558" s="1">
        <f>IFERROR(__xludf.DUMMYFUNCTION("""COMPUTED_VALUE"""),0.4295542237)</f>
        <v>0.4295542237</v>
      </c>
    </row>
    <row r="559">
      <c r="A559" s="3">
        <f>IFERROR(__xludf.DUMMYFUNCTION("""COMPUTED_VALUE"""),40911.99861111111)</f>
        <v>40911.99861</v>
      </c>
      <c r="B559" s="1">
        <f>IFERROR(__xludf.DUMMYFUNCTION("""COMPUTED_VALUE"""),0.4397857702)</f>
        <v>0.4397857702</v>
      </c>
    </row>
    <row r="560">
      <c r="A560" s="3">
        <f>IFERROR(__xludf.DUMMYFUNCTION("""COMPUTED_VALUE"""),40912.99861111111)</f>
        <v>40912.99861</v>
      </c>
      <c r="B560" s="1">
        <f>IFERROR(__xludf.DUMMYFUNCTION("""COMPUTED_VALUE"""),0.4399942055)</f>
        <v>0.4399942055</v>
      </c>
    </row>
    <row r="561">
      <c r="A561" s="3">
        <f>IFERROR(__xludf.DUMMYFUNCTION("""COMPUTED_VALUE"""),40913.99861111111)</f>
        <v>40913.99861</v>
      </c>
      <c r="B561" s="1">
        <f>IFERROR(__xludf.DUMMYFUNCTION("""COMPUTED_VALUE"""),0.4338095181)</f>
        <v>0.4338095181</v>
      </c>
    </row>
    <row r="562">
      <c r="A562" s="3">
        <f>IFERROR(__xludf.DUMMYFUNCTION("""COMPUTED_VALUE"""),40914.99861111111)</f>
        <v>40914.99861</v>
      </c>
      <c r="B562" s="1">
        <f>IFERROR(__xludf.DUMMYFUNCTION("""COMPUTED_VALUE"""),0.4498886339)</f>
        <v>0.4498886339</v>
      </c>
    </row>
    <row r="563">
      <c r="A563" s="3">
        <f>IFERROR(__xludf.DUMMYFUNCTION("""COMPUTED_VALUE"""),40915.99861111111)</f>
        <v>40915.99861</v>
      </c>
      <c r="B563" s="1">
        <f>IFERROR(__xludf.DUMMYFUNCTION("""COMPUTED_VALUE"""),0.4346015418)</f>
        <v>0.4346015418</v>
      </c>
    </row>
    <row r="564">
      <c r="A564" s="3">
        <f>IFERROR(__xludf.DUMMYFUNCTION("""COMPUTED_VALUE"""),40917.99861111111)</f>
        <v>40917.99861</v>
      </c>
      <c r="B564" s="1">
        <f>IFERROR(__xludf.DUMMYFUNCTION("""COMPUTED_VALUE"""),0.4354201339)</f>
        <v>0.4354201339</v>
      </c>
    </row>
    <row r="565">
      <c r="A565" s="3">
        <f>IFERROR(__xludf.DUMMYFUNCTION("""COMPUTED_VALUE"""),40918.99861111111)</f>
        <v>40918.99861</v>
      </c>
      <c r="B565" s="1">
        <f>IFERROR(__xludf.DUMMYFUNCTION("""COMPUTED_VALUE"""),0.4354761848)</f>
        <v>0.4354761848</v>
      </c>
    </row>
    <row r="566">
      <c r="A566" s="3">
        <f>IFERROR(__xludf.DUMMYFUNCTION("""COMPUTED_VALUE"""),40919.99861111111)</f>
        <v>40919.99861</v>
      </c>
      <c r="B566" s="1">
        <f>IFERROR(__xludf.DUMMYFUNCTION("""COMPUTED_VALUE"""),0.4375148732)</f>
        <v>0.4375148732</v>
      </c>
    </row>
    <row r="567">
      <c r="A567" s="3">
        <f>IFERROR(__xludf.DUMMYFUNCTION("""COMPUTED_VALUE"""),40920.99861111111)</f>
        <v>40920.99861</v>
      </c>
      <c r="B567" s="1">
        <f>IFERROR(__xludf.DUMMYFUNCTION("""COMPUTED_VALUE"""),0.4355068953)</f>
        <v>0.4355068953</v>
      </c>
    </row>
    <row r="568">
      <c r="A568" s="3">
        <f>IFERROR(__xludf.DUMMYFUNCTION("""COMPUTED_VALUE"""),40921.99861111111)</f>
        <v>40921.99861</v>
      </c>
      <c r="B568" s="1">
        <f>IFERROR(__xludf.DUMMYFUNCTION("""COMPUTED_VALUE"""),0.4321828095)</f>
        <v>0.4321828095</v>
      </c>
    </row>
    <row r="569">
      <c r="A569" s="3">
        <f>IFERROR(__xludf.DUMMYFUNCTION("""COMPUTED_VALUE"""),40922.99861111111)</f>
        <v>40922.99861</v>
      </c>
      <c r="B569" s="1">
        <f>IFERROR(__xludf.DUMMYFUNCTION("""COMPUTED_VALUE"""),0.4334019475)</f>
        <v>0.4334019475</v>
      </c>
    </row>
    <row r="570">
      <c r="A570" s="3">
        <f>IFERROR(__xludf.DUMMYFUNCTION("""COMPUTED_VALUE"""),40924.99861111111)</f>
        <v>40924.99861</v>
      </c>
      <c r="B570" s="1">
        <f>IFERROR(__xludf.DUMMYFUNCTION("""COMPUTED_VALUE"""),0.439629928)</f>
        <v>0.439629928</v>
      </c>
    </row>
    <row r="571">
      <c r="A571" s="3">
        <f>IFERROR(__xludf.DUMMYFUNCTION("""COMPUTED_VALUE"""),40925.99861111111)</f>
        <v>40925.99861</v>
      </c>
      <c r="B571" s="1">
        <f>IFERROR(__xludf.DUMMYFUNCTION("""COMPUTED_VALUE"""),0.4318019478)</f>
        <v>0.4318019478</v>
      </c>
    </row>
    <row r="572">
      <c r="A572" s="3">
        <f>IFERROR(__xludf.DUMMYFUNCTION("""COMPUTED_VALUE"""),40926.99861111111)</f>
        <v>40926.99861</v>
      </c>
      <c r="B572" s="1">
        <f>IFERROR(__xludf.DUMMYFUNCTION("""COMPUTED_VALUE"""),0.4287529686)</f>
        <v>0.4287529686</v>
      </c>
    </row>
    <row r="573">
      <c r="A573" s="3">
        <f>IFERROR(__xludf.DUMMYFUNCTION("""COMPUTED_VALUE"""),40927.99861111111)</f>
        <v>40927.99861</v>
      </c>
      <c r="B573" s="1">
        <f>IFERROR(__xludf.DUMMYFUNCTION("""COMPUTED_VALUE"""),0.4364905067)</f>
        <v>0.4364905067</v>
      </c>
    </row>
    <row r="574">
      <c r="A574" s="3">
        <f>IFERROR(__xludf.DUMMYFUNCTION("""COMPUTED_VALUE"""),40928.99861111111)</f>
        <v>40928.99861</v>
      </c>
      <c r="B574" s="1">
        <f>IFERROR(__xludf.DUMMYFUNCTION("""COMPUTED_VALUE"""),0.4257081607)</f>
        <v>0.4257081607</v>
      </c>
    </row>
    <row r="575">
      <c r="A575" s="3">
        <f>IFERROR(__xludf.DUMMYFUNCTION("""COMPUTED_VALUE"""),40929.99861111111)</f>
        <v>40929.99861</v>
      </c>
      <c r="B575" s="1">
        <f>IFERROR(__xludf.DUMMYFUNCTION("""COMPUTED_VALUE"""),0.4352918165)</f>
        <v>0.4352918165</v>
      </c>
    </row>
    <row r="576">
      <c r="A576" s="3">
        <f>IFERROR(__xludf.DUMMYFUNCTION("""COMPUTED_VALUE"""),40931.99861111111)</f>
        <v>40931.99861</v>
      </c>
      <c r="B576" s="1">
        <f>IFERROR(__xludf.DUMMYFUNCTION("""COMPUTED_VALUE"""),0.4244587173)</f>
        <v>0.4244587173</v>
      </c>
    </row>
    <row r="577">
      <c r="A577" s="3">
        <f>IFERROR(__xludf.DUMMYFUNCTION("""COMPUTED_VALUE"""),40932.99861111111)</f>
        <v>40932.99861</v>
      </c>
      <c r="B577" s="1">
        <f>IFERROR(__xludf.DUMMYFUNCTION("""COMPUTED_VALUE"""),0.4263683899)</f>
        <v>0.4263683899</v>
      </c>
    </row>
    <row r="578">
      <c r="A578" s="3">
        <f>IFERROR(__xludf.DUMMYFUNCTION("""COMPUTED_VALUE"""),40933.99861111111)</f>
        <v>40933.99861</v>
      </c>
      <c r="B578" s="1">
        <f>IFERROR(__xludf.DUMMYFUNCTION("""COMPUTED_VALUE"""),0.4309809467)</f>
        <v>0.4309809467</v>
      </c>
    </row>
    <row r="579">
      <c r="A579" s="3">
        <f>IFERROR(__xludf.DUMMYFUNCTION("""COMPUTED_VALUE"""),40934.99861111111)</f>
        <v>40934.99861</v>
      </c>
      <c r="B579" s="1">
        <f>IFERROR(__xludf.DUMMYFUNCTION("""COMPUTED_VALUE"""),0.4272268467)</f>
        <v>0.4272268467</v>
      </c>
    </row>
    <row r="580">
      <c r="A580" s="3">
        <f>IFERROR(__xludf.DUMMYFUNCTION("""COMPUTED_VALUE"""),40935.99861111111)</f>
        <v>40935.99861</v>
      </c>
      <c r="B580" s="1">
        <f>IFERROR(__xludf.DUMMYFUNCTION("""COMPUTED_VALUE"""),0.4272870001)</f>
        <v>0.4272870001</v>
      </c>
    </row>
    <row r="581">
      <c r="A581" s="3">
        <f>IFERROR(__xludf.DUMMYFUNCTION("""COMPUTED_VALUE"""),40936.99861111111)</f>
        <v>40936.99861</v>
      </c>
      <c r="B581" s="1">
        <f>IFERROR(__xludf.DUMMYFUNCTION("""COMPUTED_VALUE"""),0.4364487263)</f>
        <v>0.4364487263</v>
      </c>
    </row>
    <row r="582">
      <c r="A582" s="3">
        <f>IFERROR(__xludf.DUMMYFUNCTION("""COMPUTED_VALUE"""),40938.99861111111)</f>
        <v>40938.99861</v>
      </c>
      <c r="B582" s="1">
        <f>IFERROR(__xludf.DUMMYFUNCTION("""COMPUTED_VALUE"""),0.4348373916)</f>
        <v>0.4348373916</v>
      </c>
    </row>
    <row r="583">
      <c r="A583" s="3">
        <f>IFERROR(__xludf.DUMMYFUNCTION("""COMPUTED_VALUE"""),40939.99861111111)</f>
        <v>40939.99861</v>
      </c>
      <c r="B583" s="1">
        <f>IFERROR(__xludf.DUMMYFUNCTION("""COMPUTED_VALUE"""),0.4273025663)</f>
        <v>0.4273025663</v>
      </c>
    </row>
    <row r="584">
      <c r="A584" s="3">
        <f>IFERROR(__xludf.DUMMYFUNCTION("""COMPUTED_VALUE"""),40940.99861111111)</f>
        <v>40940.99861</v>
      </c>
      <c r="B584" s="1">
        <f>IFERROR(__xludf.DUMMYFUNCTION("""COMPUTED_VALUE"""),0.4274155103)</f>
        <v>0.4274155103</v>
      </c>
    </row>
    <row r="585">
      <c r="A585" s="3">
        <f>IFERROR(__xludf.DUMMYFUNCTION("""COMPUTED_VALUE"""),40941.99861111111)</f>
        <v>40941.99861</v>
      </c>
      <c r="B585" s="1">
        <f>IFERROR(__xludf.DUMMYFUNCTION("""COMPUTED_VALUE"""),0.426406467)</f>
        <v>0.426406467</v>
      </c>
    </row>
    <row r="586">
      <c r="A586" s="3">
        <f>IFERROR(__xludf.DUMMYFUNCTION("""COMPUTED_VALUE"""),40942.99861111111)</f>
        <v>40942.99861</v>
      </c>
      <c r="B586" s="1">
        <f>IFERROR(__xludf.DUMMYFUNCTION("""COMPUTED_VALUE"""),0.4277411573)</f>
        <v>0.4277411573</v>
      </c>
    </row>
    <row r="587">
      <c r="A587" s="3">
        <f>IFERROR(__xludf.DUMMYFUNCTION("""COMPUTED_VALUE"""),40943.99861111111)</f>
        <v>40943.99861</v>
      </c>
      <c r="B587" s="1">
        <f>IFERROR(__xludf.DUMMYFUNCTION("""COMPUTED_VALUE"""),0.4300418997)</f>
        <v>0.4300418997</v>
      </c>
    </row>
    <row r="588">
      <c r="A588" s="3">
        <f>IFERROR(__xludf.DUMMYFUNCTION("""COMPUTED_VALUE"""),40945.99861111111)</f>
        <v>40945.99861</v>
      </c>
      <c r="B588" s="1">
        <f>IFERROR(__xludf.DUMMYFUNCTION("""COMPUTED_VALUE"""),0.4297536468)</f>
        <v>0.4297536468</v>
      </c>
    </row>
    <row r="589">
      <c r="A589" s="3">
        <f>IFERROR(__xludf.DUMMYFUNCTION("""COMPUTED_VALUE"""),40946.99861111111)</f>
        <v>40946.99861</v>
      </c>
      <c r="B589" s="1">
        <f>IFERROR(__xludf.DUMMYFUNCTION("""COMPUTED_VALUE"""),0.4276819896)</f>
        <v>0.4276819896</v>
      </c>
    </row>
    <row r="590">
      <c r="A590" s="3">
        <f>IFERROR(__xludf.DUMMYFUNCTION("""COMPUTED_VALUE"""),40947.99861111111)</f>
        <v>40947.99861</v>
      </c>
      <c r="B590" s="1">
        <f>IFERROR(__xludf.DUMMYFUNCTION("""COMPUTED_VALUE"""),0.4282085994)</f>
        <v>0.4282085994</v>
      </c>
    </row>
    <row r="591">
      <c r="A591" s="3">
        <f>IFERROR(__xludf.DUMMYFUNCTION("""COMPUTED_VALUE"""),40948.99861111111)</f>
        <v>40948.99861</v>
      </c>
      <c r="B591" s="1">
        <f>IFERROR(__xludf.DUMMYFUNCTION("""COMPUTED_VALUE"""),0.4265901424)</f>
        <v>0.4265901424</v>
      </c>
    </row>
    <row r="592">
      <c r="A592" s="3">
        <f>IFERROR(__xludf.DUMMYFUNCTION("""COMPUTED_VALUE"""),40949.99861111111)</f>
        <v>40949.99861</v>
      </c>
      <c r="B592" s="1">
        <f>IFERROR(__xludf.DUMMYFUNCTION("""COMPUTED_VALUE"""),0.4290500091)</f>
        <v>0.4290500091</v>
      </c>
    </row>
    <row r="593">
      <c r="A593" s="3">
        <f>IFERROR(__xludf.DUMMYFUNCTION("""COMPUTED_VALUE"""),40950.99861111111)</f>
        <v>40950.99861</v>
      </c>
      <c r="B593" s="1">
        <f>IFERROR(__xludf.DUMMYFUNCTION("""COMPUTED_VALUE"""),0.433825306)</f>
        <v>0.433825306</v>
      </c>
    </row>
    <row r="594">
      <c r="A594" s="3">
        <f>IFERROR(__xludf.DUMMYFUNCTION("""COMPUTED_VALUE"""),40951.99861111111)</f>
        <v>40951.99861</v>
      </c>
      <c r="B594" s="1">
        <f>IFERROR(__xludf.DUMMYFUNCTION("""COMPUTED_VALUE"""),0.433825306)</f>
        <v>0.433825306</v>
      </c>
    </row>
    <row r="595">
      <c r="A595" s="3">
        <f>IFERROR(__xludf.DUMMYFUNCTION("""COMPUTED_VALUE"""),40952.99861111111)</f>
        <v>40952.99861</v>
      </c>
      <c r="B595" s="1">
        <f>IFERROR(__xludf.DUMMYFUNCTION("""COMPUTED_VALUE"""),0.4308043156)</f>
        <v>0.4308043156</v>
      </c>
    </row>
    <row r="596">
      <c r="A596" s="3">
        <f>IFERROR(__xludf.DUMMYFUNCTION("""COMPUTED_VALUE"""),40953.99861111111)</f>
        <v>40953.99861</v>
      </c>
      <c r="B596" s="1">
        <f>IFERROR(__xludf.DUMMYFUNCTION("""COMPUTED_VALUE"""),0.4322844084)</f>
        <v>0.4322844084</v>
      </c>
    </row>
    <row r="597">
      <c r="A597" s="3">
        <f>IFERROR(__xludf.DUMMYFUNCTION("""COMPUTED_VALUE"""),40954.99861111111)</f>
        <v>40954.99861</v>
      </c>
      <c r="B597" s="1">
        <f>IFERROR(__xludf.DUMMYFUNCTION("""COMPUTED_VALUE"""),0.4293269223)</f>
        <v>0.4293269223</v>
      </c>
    </row>
    <row r="598">
      <c r="A598" s="3">
        <f>IFERROR(__xludf.DUMMYFUNCTION("""COMPUTED_VALUE"""),40955.99861111111)</f>
        <v>40955.99861</v>
      </c>
      <c r="B598" s="1">
        <f>IFERROR(__xludf.DUMMYFUNCTION("""COMPUTED_VALUE"""),0.4374725895)</f>
        <v>0.4374725895</v>
      </c>
    </row>
    <row r="599">
      <c r="A599" s="3">
        <f>IFERROR(__xludf.DUMMYFUNCTION("""COMPUTED_VALUE"""),40956.99861111111)</f>
        <v>40956.99861</v>
      </c>
      <c r="B599" s="1">
        <f>IFERROR(__xludf.DUMMYFUNCTION("""COMPUTED_VALUE"""),0.4327325081)</f>
        <v>0.4327325081</v>
      </c>
    </row>
    <row r="600">
      <c r="A600" s="3">
        <f>IFERROR(__xludf.DUMMYFUNCTION("""COMPUTED_VALUE"""),40957.99861111111)</f>
        <v>40957.99861</v>
      </c>
      <c r="B600" s="1">
        <f>IFERROR(__xludf.DUMMYFUNCTION("""COMPUTED_VALUE"""),0.4380980246)</f>
        <v>0.4380980246</v>
      </c>
    </row>
    <row r="601">
      <c r="A601" s="3">
        <f>IFERROR(__xludf.DUMMYFUNCTION("""COMPUTED_VALUE"""),40958.99861111111)</f>
        <v>40958.99861</v>
      </c>
      <c r="B601" s="1">
        <f>IFERROR(__xludf.DUMMYFUNCTION("""COMPUTED_VALUE"""),0.4380980246)</f>
        <v>0.4380980246</v>
      </c>
    </row>
    <row r="602">
      <c r="A602" s="3">
        <f>IFERROR(__xludf.DUMMYFUNCTION("""COMPUTED_VALUE"""),40959.99861111111)</f>
        <v>40959.99861</v>
      </c>
      <c r="B602" s="1">
        <f>IFERROR(__xludf.DUMMYFUNCTION("""COMPUTED_VALUE"""),0.4360225501)</f>
        <v>0.4360225501</v>
      </c>
    </row>
    <row r="603">
      <c r="A603" s="3">
        <f>IFERROR(__xludf.DUMMYFUNCTION("""COMPUTED_VALUE"""),40960.99861111111)</f>
        <v>40960.99861</v>
      </c>
      <c r="B603" s="1">
        <f>IFERROR(__xludf.DUMMYFUNCTION("""COMPUTED_VALUE"""),0.4341346146)</f>
        <v>0.4341346146</v>
      </c>
    </row>
    <row r="604">
      <c r="A604" s="3">
        <f>IFERROR(__xludf.DUMMYFUNCTION("""COMPUTED_VALUE"""),40961.99861111111)</f>
        <v>40961.99861</v>
      </c>
      <c r="B604" s="1">
        <f>IFERROR(__xludf.DUMMYFUNCTION("""COMPUTED_VALUE"""),0.4345109267)</f>
        <v>0.4345109267</v>
      </c>
    </row>
    <row r="605">
      <c r="A605" s="3">
        <f>IFERROR(__xludf.DUMMYFUNCTION("""COMPUTED_VALUE"""),40962.99861111111)</f>
        <v>40962.99861</v>
      </c>
      <c r="B605" s="1">
        <f>IFERROR(__xludf.DUMMYFUNCTION("""COMPUTED_VALUE"""),0.4348244339)</f>
        <v>0.4348244339</v>
      </c>
    </row>
    <row r="606">
      <c r="A606" s="3">
        <f>IFERROR(__xludf.DUMMYFUNCTION("""COMPUTED_VALUE"""),40963.99861111111)</f>
        <v>40963.99861</v>
      </c>
      <c r="B606" s="1">
        <f>IFERROR(__xludf.DUMMYFUNCTION("""COMPUTED_VALUE"""),0.4401382724)</f>
        <v>0.4401382724</v>
      </c>
    </row>
    <row r="607">
      <c r="A607" s="3">
        <f>IFERROR(__xludf.DUMMYFUNCTION("""COMPUTED_VALUE"""),40964.99861111111)</f>
        <v>40964.99861</v>
      </c>
      <c r="B607" s="1">
        <f>IFERROR(__xludf.DUMMYFUNCTION("""COMPUTED_VALUE"""),0.4404306211)</f>
        <v>0.4404306211</v>
      </c>
    </row>
    <row r="608">
      <c r="A608" s="3">
        <f>IFERROR(__xludf.DUMMYFUNCTION("""COMPUTED_VALUE"""),40966.99861111111)</f>
        <v>40966.99861</v>
      </c>
      <c r="B608" s="1">
        <f>IFERROR(__xludf.DUMMYFUNCTION("""COMPUTED_VALUE"""),0.4377403839)</f>
        <v>0.4377403839</v>
      </c>
    </row>
    <row r="609">
      <c r="A609" s="3">
        <f>IFERROR(__xludf.DUMMYFUNCTION("""COMPUTED_VALUE"""),40967.99861111111)</f>
        <v>40967.99861</v>
      </c>
      <c r="B609" s="1">
        <f>IFERROR(__xludf.DUMMYFUNCTION("""COMPUTED_VALUE"""),0.4329326916)</f>
        <v>0.4329326916</v>
      </c>
    </row>
    <row r="610">
      <c r="A610" s="3">
        <f>IFERROR(__xludf.DUMMYFUNCTION("""COMPUTED_VALUE"""),40968.99861111111)</f>
        <v>40968.99861</v>
      </c>
      <c r="B610" s="1">
        <f>IFERROR(__xludf.DUMMYFUNCTION("""COMPUTED_VALUE"""),0.4330689656)</f>
        <v>0.4330689656</v>
      </c>
    </row>
    <row r="611">
      <c r="A611" s="3">
        <f>IFERROR(__xludf.DUMMYFUNCTION("""COMPUTED_VALUE"""),40969.99861111111)</f>
        <v>40969.99861</v>
      </c>
      <c r="B611" s="1">
        <f>IFERROR(__xludf.DUMMYFUNCTION("""COMPUTED_VALUE"""),0.4353365377)</f>
        <v>0.4353365377</v>
      </c>
    </row>
    <row r="612">
      <c r="A612" s="3">
        <f>IFERROR(__xludf.DUMMYFUNCTION("""COMPUTED_VALUE"""),40970.99861111111)</f>
        <v>40970.99861</v>
      </c>
      <c r="B612" s="1">
        <f>IFERROR(__xludf.DUMMYFUNCTION("""COMPUTED_VALUE"""),0.4351273401)</f>
        <v>0.4351273401</v>
      </c>
    </row>
    <row r="613">
      <c r="A613" s="3">
        <f>IFERROR(__xludf.DUMMYFUNCTION("""COMPUTED_VALUE"""),40971.99861111111)</f>
        <v>40971.99861</v>
      </c>
      <c r="B613" s="1">
        <f>IFERROR(__xludf.DUMMYFUNCTION("""COMPUTED_VALUE"""),0.4399688946)</f>
        <v>0.4399688946</v>
      </c>
    </row>
    <row r="614">
      <c r="A614" s="3">
        <f>IFERROR(__xludf.DUMMYFUNCTION("""COMPUTED_VALUE"""),40972.99861111111)</f>
        <v>40972.99861</v>
      </c>
      <c r="B614" s="1">
        <f>IFERROR(__xludf.DUMMYFUNCTION("""COMPUTED_VALUE"""),0.4399688946)</f>
        <v>0.4399688946</v>
      </c>
    </row>
    <row r="615">
      <c r="A615" s="3">
        <f>IFERROR(__xludf.DUMMYFUNCTION("""COMPUTED_VALUE"""),40973.99861111111)</f>
        <v>40973.99861</v>
      </c>
      <c r="B615" s="1">
        <f>IFERROR(__xludf.DUMMYFUNCTION("""COMPUTED_VALUE"""),0.4379565546)</f>
        <v>0.4379565546</v>
      </c>
    </row>
    <row r="616">
      <c r="A616" s="3">
        <f>IFERROR(__xludf.DUMMYFUNCTION("""COMPUTED_VALUE"""),40974.99861111111)</f>
        <v>40974.99861</v>
      </c>
      <c r="B616" s="1">
        <f>IFERROR(__xludf.DUMMYFUNCTION("""COMPUTED_VALUE"""),0.4381158293)</f>
        <v>0.4381158293</v>
      </c>
    </row>
    <row r="617">
      <c r="A617" s="3">
        <f>IFERROR(__xludf.DUMMYFUNCTION("""COMPUTED_VALUE"""),40975.99861111111)</f>
        <v>40975.99861</v>
      </c>
      <c r="B617" s="1">
        <f>IFERROR(__xludf.DUMMYFUNCTION("""COMPUTED_VALUE"""),0.4370940495)</f>
        <v>0.4370940495</v>
      </c>
    </row>
    <row r="618">
      <c r="A618" s="3">
        <f>IFERROR(__xludf.DUMMYFUNCTION("""COMPUTED_VALUE"""),40976.99861111111)</f>
        <v>40976.99861</v>
      </c>
      <c r="B618" s="1">
        <f>IFERROR(__xludf.DUMMYFUNCTION("""COMPUTED_VALUE"""),0.4376351756)</f>
        <v>0.4376351756</v>
      </c>
    </row>
    <row r="619">
      <c r="A619" s="3">
        <f>IFERROR(__xludf.DUMMYFUNCTION("""COMPUTED_VALUE"""),40977.99861111111)</f>
        <v>40977.99861</v>
      </c>
      <c r="B619" s="1">
        <f>IFERROR(__xludf.DUMMYFUNCTION("""COMPUTED_VALUE"""),0.4377403839)</f>
        <v>0.4377403839</v>
      </c>
    </row>
    <row r="620">
      <c r="A620" s="3">
        <f>IFERROR(__xludf.DUMMYFUNCTION("""COMPUTED_VALUE"""),40980.99861111111)</f>
        <v>40980.99861</v>
      </c>
      <c r="B620" s="1">
        <f>IFERROR(__xludf.DUMMYFUNCTION("""COMPUTED_VALUE"""),0.438875538)</f>
        <v>0.438875538</v>
      </c>
    </row>
    <row r="621">
      <c r="A621" s="3">
        <f>IFERROR(__xludf.DUMMYFUNCTION("""COMPUTED_VALUE"""),40981.99861111111)</f>
        <v>40981.99861</v>
      </c>
      <c r="B621" s="1">
        <f>IFERROR(__xludf.DUMMYFUNCTION("""COMPUTED_VALUE"""),0.4386647392)</f>
        <v>0.4386647392</v>
      </c>
    </row>
    <row r="622">
      <c r="A622" s="3">
        <f>IFERROR(__xludf.DUMMYFUNCTION("""COMPUTED_VALUE"""),40982.99861111111)</f>
        <v>40982.99861</v>
      </c>
      <c r="B622" s="1">
        <f>IFERROR(__xludf.DUMMYFUNCTION("""COMPUTED_VALUE"""),0.4404229669)</f>
        <v>0.4404229669</v>
      </c>
    </row>
    <row r="623">
      <c r="A623" s="3">
        <f>IFERROR(__xludf.DUMMYFUNCTION("""COMPUTED_VALUE"""),40983.99861111111)</f>
        <v>40983.99861</v>
      </c>
      <c r="B623" s="1">
        <f>IFERROR(__xludf.DUMMYFUNCTION("""COMPUTED_VALUE"""),0.4404229669)</f>
        <v>0.4404229669</v>
      </c>
    </row>
    <row r="624">
      <c r="A624" s="3">
        <f>IFERROR(__xludf.DUMMYFUNCTION("""COMPUTED_VALUE"""),40984.99861111111)</f>
        <v>40984.99861</v>
      </c>
      <c r="B624" s="1">
        <f>IFERROR(__xludf.DUMMYFUNCTION("""COMPUTED_VALUE"""),0.4373948488)</f>
        <v>0.4373948488</v>
      </c>
    </row>
    <row r="625">
      <c r="A625" s="3">
        <f>IFERROR(__xludf.DUMMYFUNCTION("""COMPUTED_VALUE"""),40985.99861111111)</f>
        <v>40985.99861</v>
      </c>
      <c r="B625" s="1">
        <f>IFERROR(__xludf.DUMMYFUNCTION("""COMPUTED_VALUE"""),0.4463378623)</f>
        <v>0.4463378623</v>
      </c>
    </row>
    <row r="626">
      <c r="A626" s="3">
        <f>IFERROR(__xludf.DUMMYFUNCTION("""COMPUTED_VALUE"""),40987.99861111111)</f>
        <v>40987.99861</v>
      </c>
      <c r="B626" s="1">
        <f>IFERROR(__xludf.DUMMYFUNCTION("""COMPUTED_VALUE"""),0.4377703002)</f>
        <v>0.4377703002</v>
      </c>
    </row>
    <row r="627">
      <c r="A627" s="3">
        <f>IFERROR(__xludf.DUMMYFUNCTION("""COMPUTED_VALUE"""),40988.99861111111)</f>
        <v>40988.99861</v>
      </c>
      <c r="B627" s="1">
        <f>IFERROR(__xludf.DUMMYFUNCTION("""COMPUTED_VALUE"""),0.4395577903)</f>
        <v>0.4395577903</v>
      </c>
    </row>
    <row r="628">
      <c r="A628" s="3">
        <f>IFERROR(__xludf.DUMMYFUNCTION("""COMPUTED_VALUE"""),40989.99861111111)</f>
        <v>40989.99861</v>
      </c>
      <c r="B628" s="1">
        <f>IFERROR(__xludf.DUMMYFUNCTION("""COMPUTED_VALUE"""),0.4395577903)</f>
        <v>0.4395577903</v>
      </c>
    </row>
    <row r="629">
      <c r="A629" s="3">
        <f>IFERROR(__xludf.DUMMYFUNCTION("""COMPUTED_VALUE"""),40990.99861111111)</f>
        <v>40990.99861</v>
      </c>
      <c r="B629" s="1">
        <f>IFERROR(__xludf.DUMMYFUNCTION("""COMPUTED_VALUE"""),0.4431626929)</f>
        <v>0.4431626929</v>
      </c>
    </row>
    <row r="630">
      <c r="A630" s="3">
        <f>IFERROR(__xludf.DUMMYFUNCTION("""COMPUTED_VALUE"""),40991.99861111111)</f>
        <v>40991.99861</v>
      </c>
      <c r="B630" s="1">
        <f>IFERROR(__xludf.DUMMYFUNCTION("""COMPUTED_VALUE"""),0.4391989222)</f>
        <v>0.4391989222</v>
      </c>
    </row>
    <row r="631">
      <c r="A631" s="3">
        <f>IFERROR(__xludf.DUMMYFUNCTION("""COMPUTED_VALUE"""),40992.99861111111)</f>
        <v>40992.99861</v>
      </c>
      <c r="B631" s="1">
        <f>IFERROR(__xludf.DUMMYFUNCTION("""COMPUTED_VALUE"""),0.4364491403)</f>
        <v>0.4364491403</v>
      </c>
    </row>
    <row r="632">
      <c r="A632" s="3">
        <f>IFERROR(__xludf.DUMMYFUNCTION("""COMPUTED_VALUE"""),40993.99861111111)</f>
        <v>40993.99861</v>
      </c>
      <c r="B632" s="1">
        <f>IFERROR(__xludf.DUMMYFUNCTION("""COMPUTED_VALUE"""),0.4459064284)</f>
        <v>0.4459064284</v>
      </c>
    </row>
    <row r="633">
      <c r="A633" s="3">
        <f>IFERROR(__xludf.DUMMYFUNCTION("""COMPUTED_VALUE"""),40994.99861111111)</f>
        <v>40994.99861</v>
      </c>
      <c r="B633" s="1">
        <f>IFERROR(__xludf.DUMMYFUNCTION("""COMPUTED_VALUE"""),0.4394812618)</f>
        <v>0.4394812618</v>
      </c>
    </row>
    <row r="634">
      <c r="A634" s="3">
        <f>IFERROR(__xludf.DUMMYFUNCTION("""COMPUTED_VALUE"""),40995.99861111111)</f>
        <v>40995.99861</v>
      </c>
      <c r="B634" s="1">
        <f>IFERROR(__xludf.DUMMYFUNCTION("""COMPUTED_VALUE"""),0.439692453)</f>
        <v>0.439692453</v>
      </c>
    </row>
    <row r="635">
      <c r="A635" s="3">
        <f>IFERROR(__xludf.DUMMYFUNCTION("""COMPUTED_VALUE"""),40996.99861111111)</f>
        <v>40996.99861</v>
      </c>
      <c r="B635" s="1">
        <f>IFERROR(__xludf.DUMMYFUNCTION("""COMPUTED_VALUE"""),0.439692453)</f>
        <v>0.439692453</v>
      </c>
    </row>
    <row r="636">
      <c r="A636" s="3">
        <f>IFERROR(__xludf.DUMMYFUNCTION("""COMPUTED_VALUE"""),40997.99861111111)</f>
        <v>40997.99861</v>
      </c>
      <c r="B636" s="1">
        <f>IFERROR(__xludf.DUMMYFUNCTION("""COMPUTED_VALUE"""),0.4403272342)</f>
        <v>0.4403272342</v>
      </c>
    </row>
    <row r="637">
      <c r="A637" s="3">
        <f>IFERROR(__xludf.DUMMYFUNCTION("""COMPUTED_VALUE"""),40998.99861111111)</f>
        <v>40998.99861</v>
      </c>
      <c r="B637" s="1">
        <f>IFERROR(__xludf.DUMMYFUNCTION("""COMPUTED_VALUE"""),0.4387779561)</f>
        <v>0.4387779561</v>
      </c>
    </row>
    <row r="638">
      <c r="A638" s="3">
        <f>IFERROR(__xludf.DUMMYFUNCTION("""COMPUTED_VALUE"""),40999.99861111111)</f>
        <v>40999.99861</v>
      </c>
      <c r="B638" s="1">
        <f>IFERROR(__xludf.DUMMYFUNCTION("""COMPUTED_VALUE"""),0.4437518213)</f>
        <v>0.4437518213</v>
      </c>
    </row>
    <row r="639">
      <c r="A639" s="3">
        <f>IFERROR(__xludf.DUMMYFUNCTION("""COMPUTED_VALUE"""),41001.99861111111)</f>
        <v>41001.99861</v>
      </c>
      <c r="B639" s="1">
        <f>IFERROR(__xludf.DUMMYFUNCTION("""COMPUTED_VALUE"""),0.438787292)</f>
        <v>0.438787292</v>
      </c>
    </row>
    <row r="640">
      <c r="A640" s="3">
        <f>IFERROR(__xludf.DUMMYFUNCTION("""COMPUTED_VALUE"""),41002.99861111111)</f>
        <v>41002.99861</v>
      </c>
      <c r="B640" s="1">
        <f>IFERROR(__xludf.DUMMYFUNCTION("""COMPUTED_VALUE"""),0.439547742)</f>
        <v>0.439547742</v>
      </c>
    </row>
    <row r="641">
      <c r="A641" s="3">
        <f>IFERROR(__xludf.DUMMYFUNCTION("""COMPUTED_VALUE"""),41003.99861111111)</f>
        <v>41003.99861</v>
      </c>
      <c r="B641" s="1">
        <f>IFERROR(__xludf.DUMMYFUNCTION("""COMPUTED_VALUE"""),0.4394034071)</f>
        <v>0.4394034071</v>
      </c>
    </row>
    <row r="642">
      <c r="A642" s="3">
        <f>IFERROR(__xludf.DUMMYFUNCTION("""COMPUTED_VALUE"""),41004.99861111111)</f>
        <v>41004.99861</v>
      </c>
      <c r="B642" s="1">
        <f>IFERROR(__xludf.DUMMYFUNCTION("""COMPUTED_VALUE"""),0.4367788454)</f>
        <v>0.4367788454</v>
      </c>
    </row>
    <row r="643">
      <c r="A643" s="3">
        <f>IFERROR(__xludf.DUMMYFUNCTION("""COMPUTED_VALUE"""),41005.99861111111)</f>
        <v>41005.99861</v>
      </c>
      <c r="B643" s="1">
        <f>IFERROR(__xludf.DUMMYFUNCTION("""COMPUTED_VALUE"""),0.4422061921)</f>
        <v>0.4422061921</v>
      </c>
    </row>
    <row r="644">
      <c r="A644" s="3">
        <f>IFERROR(__xludf.DUMMYFUNCTION("""COMPUTED_VALUE"""),41006.99861111111)</f>
        <v>41006.99861</v>
      </c>
      <c r="B644" s="1">
        <f>IFERROR(__xludf.DUMMYFUNCTION("""COMPUTED_VALUE"""),0.4426643204)</f>
        <v>0.4426643204</v>
      </c>
    </row>
    <row r="645">
      <c r="A645" s="3">
        <f>IFERROR(__xludf.DUMMYFUNCTION("""COMPUTED_VALUE"""),41007.99861111111)</f>
        <v>41007.99861</v>
      </c>
      <c r="B645" s="1">
        <f>IFERROR(__xludf.DUMMYFUNCTION("""COMPUTED_VALUE"""),0.4426740656)</f>
        <v>0.4426740656</v>
      </c>
    </row>
    <row r="646">
      <c r="A646" s="3">
        <f>IFERROR(__xludf.DUMMYFUNCTION("""COMPUTED_VALUE"""),41008.99861111111)</f>
        <v>41008.99861</v>
      </c>
      <c r="B646" s="1">
        <f>IFERROR(__xludf.DUMMYFUNCTION("""COMPUTED_VALUE"""),0.4399759608)</f>
        <v>0.4399759608</v>
      </c>
    </row>
    <row r="647">
      <c r="A647" s="3">
        <f>IFERROR(__xludf.DUMMYFUNCTION("""COMPUTED_VALUE"""),41009.99861111111)</f>
        <v>41009.99861</v>
      </c>
      <c r="B647" s="1">
        <f>IFERROR(__xludf.DUMMYFUNCTION("""COMPUTED_VALUE"""),0.4398557685)</f>
        <v>0.4398557685</v>
      </c>
    </row>
    <row r="648">
      <c r="A648" s="3">
        <f>IFERROR(__xludf.DUMMYFUNCTION("""COMPUTED_VALUE"""),41010.99861111111)</f>
        <v>41010.99861</v>
      </c>
      <c r="B648" s="1">
        <f>IFERROR(__xludf.DUMMYFUNCTION("""COMPUTED_VALUE"""),0.4396443991)</f>
        <v>0.4396443991</v>
      </c>
    </row>
    <row r="649">
      <c r="A649" s="3">
        <f>IFERROR(__xludf.DUMMYFUNCTION("""COMPUTED_VALUE"""),41011.99861111111)</f>
        <v>41011.99861</v>
      </c>
      <c r="B649" s="1">
        <f>IFERROR(__xludf.DUMMYFUNCTION("""COMPUTED_VALUE"""),0.4398557685)</f>
        <v>0.4398557685</v>
      </c>
    </row>
    <row r="650">
      <c r="A650" s="3">
        <f>IFERROR(__xludf.DUMMYFUNCTION("""COMPUTED_VALUE"""),41012.99861111111)</f>
        <v>41012.99861</v>
      </c>
      <c r="B650" s="1">
        <f>IFERROR(__xludf.DUMMYFUNCTION("""COMPUTED_VALUE"""),0.4380105693)</f>
        <v>0.4380105693</v>
      </c>
    </row>
    <row r="651">
      <c r="A651" s="3">
        <f>IFERROR(__xludf.DUMMYFUNCTION("""COMPUTED_VALUE"""),41013.99861111111)</f>
        <v>41013.99861</v>
      </c>
      <c r="B651" s="1">
        <f>IFERROR(__xludf.DUMMYFUNCTION("""COMPUTED_VALUE"""),0.4368762326)</f>
        <v>0.4368762326</v>
      </c>
    </row>
    <row r="652">
      <c r="A652" s="3">
        <f>IFERROR(__xludf.DUMMYFUNCTION("""COMPUTED_VALUE"""),41014.99861111111)</f>
        <v>41014.99861</v>
      </c>
      <c r="B652" s="1">
        <f>IFERROR(__xludf.DUMMYFUNCTION("""COMPUTED_VALUE"""),0.4425482901)</f>
        <v>0.4425482901</v>
      </c>
    </row>
    <row r="653">
      <c r="A653" s="3">
        <f>IFERROR(__xludf.DUMMYFUNCTION("""COMPUTED_VALUE"""),41015.99861111111)</f>
        <v>41015.99861</v>
      </c>
      <c r="B653" s="1">
        <f>IFERROR(__xludf.DUMMYFUNCTION("""COMPUTED_VALUE"""),0.44014423)</f>
        <v>0.44014423</v>
      </c>
    </row>
    <row r="654">
      <c r="A654" s="3">
        <f>IFERROR(__xludf.DUMMYFUNCTION("""COMPUTED_VALUE"""),41016.99861111111)</f>
        <v>41016.99861</v>
      </c>
      <c r="B654" s="1">
        <f>IFERROR(__xludf.DUMMYFUNCTION("""COMPUTED_VALUE"""),0.44014423)</f>
        <v>0.44014423</v>
      </c>
    </row>
    <row r="655">
      <c r="A655" s="3">
        <f>IFERROR(__xludf.DUMMYFUNCTION("""COMPUTED_VALUE"""),41017.99861111111)</f>
        <v>41017.99861</v>
      </c>
      <c r="B655" s="1">
        <f>IFERROR(__xludf.DUMMYFUNCTION("""COMPUTED_VALUE"""),0.440038444)</f>
        <v>0.440038444</v>
      </c>
    </row>
    <row r="656">
      <c r="A656" s="3">
        <f>IFERROR(__xludf.DUMMYFUNCTION("""COMPUTED_VALUE"""),41018.99861111111)</f>
        <v>41018.99861</v>
      </c>
      <c r="B656" s="1">
        <f>IFERROR(__xludf.DUMMYFUNCTION("""COMPUTED_VALUE"""),0.4399903786)</f>
        <v>0.4399903786</v>
      </c>
    </row>
    <row r="657">
      <c r="A657" s="3">
        <f>IFERROR(__xludf.DUMMYFUNCTION("""COMPUTED_VALUE"""),41019.99861111111)</f>
        <v>41019.99861</v>
      </c>
      <c r="B657" s="1">
        <f>IFERROR(__xludf.DUMMYFUNCTION("""COMPUTED_VALUE"""),0.4398846682)</f>
        <v>0.4398846682</v>
      </c>
    </row>
    <row r="658">
      <c r="A658" s="3">
        <f>IFERROR(__xludf.DUMMYFUNCTION("""COMPUTED_VALUE"""),41021.99861111111)</f>
        <v>41021.99861</v>
      </c>
      <c r="B658" s="1">
        <f>IFERROR(__xludf.DUMMYFUNCTION("""COMPUTED_VALUE"""),0.4459906332)</f>
        <v>0.4459906332</v>
      </c>
    </row>
    <row r="659">
      <c r="A659" s="3">
        <f>IFERROR(__xludf.DUMMYFUNCTION("""COMPUTED_VALUE"""),41022.99861111111)</f>
        <v>41022.99861</v>
      </c>
      <c r="B659" s="1">
        <f>IFERROR(__xludf.DUMMYFUNCTION("""COMPUTED_VALUE"""),0.4404229669)</f>
        <v>0.4404229669</v>
      </c>
    </row>
    <row r="660">
      <c r="A660" s="3">
        <f>IFERROR(__xludf.DUMMYFUNCTION("""COMPUTED_VALUE"""),41023.99861111111)</f>
        <v>41023.99861</v>
      </c>
      <c r="B660" s="1">
        <f>IFERROR(__xludf.DUMMYFUNCTION("""COMPUTED_VALUE"""),0.4405288454)</f>
        <v>0.4405288454</v>
      </c>
    </row>
    <row r="661">
      <c r="A661" s="3">
        <f>IFERROR(__xludf.DUMMYFUNCTION("""COMPUTED_VALUE"""),41024.99861111111)</f>
        <v>41024.99861</v>
      </c>
      <c r="B661" s="1">
        <f>IFERROR(__xludf.DUMMYFUNCTION("""COMPUTED_VALUE"""),0.4403171526)</f>
        <v>0.4403171526</v>
      </c>
    </row>
    <row r="662">
      <c r="A662" s="3">
        <f>IFERROR(__xludf.DUMMYFUNCTION("""COMPUTED_VALUE"""),41025.99861111111)</f>
        <v>41025.99861</v>
      </c>
      <c r="B662" s="1">
        <f>IFERROR(__xludf.DUMMYFUNCTION("""COMPUTED_VALUE"""),0.4444784147)</f>
        <v>0.4444784147</v>
      </c>
    </row>
    <row r="663">
      <c r="A663" s="3">
        <f>IFERROR(__xludf.DUMMYFUNCTION("""COMPUTED_VALUE"""),41026.99861111111)</f>
        <v>41026.99861</v>
      </c>
      <c r="B663" s="1">
        <f>IFERROR(__xludf.DUMMYFUNCTION("""COMPUTED_VALUE"""),0.4414580812)</f>
        <v>0.4414580812</v>
      </c>
    </row>
    <row r="664">
      <c r="A664" s="3">
        <f>IFERROR(__xludf.DUMMYFUNCTION("""COMPUTED_VALUE"""),41029.99861111111)</f>
        <v>41029.99861</v>
      </c>
      <c r="B664" s="1">
        <f>IFERROR(__xludf.DUMMYFUNCTION("""COMPUTED_VALUE"""),0.4414580812)</f>
        <v>0.4414580812</v>
      </c>
    </row>
    <row r="665">
      <c r="A665" s="3">
        <f>IFERROR(__xludf.DUMMYFUNCTION("""COMPUTED_VALUE"""),41030.99861111111)</f>
        <v>41030.99861</v>
      </c>
      <c r="B665" s="1">
        <f>IFERROR(__xludf.DUMMYFUNCTION("""COMPUTED_VALUE"""),0.4411965375)</f>
        <v>0.4411965375</v>
      </c>
    </row>
    <row r="666">
      <c r="A666" s="3">
        <f>IFERROR(__xludf.DUMMYFUNCTION("""COMPUTED_VALUE"""),41031.99861111111)</f>
        <v>41031.99861</v>
      </c>
      <c r="B666" s="1">
        <f>IFERROR(__xludf.DUMMYFUNCTION("""COMPUTED_VALUE"""),0.4403074687)</f>
        <v>0.4403074687</v>
      </c>
    </row>
    <row r="667">
      <c r="A667" s="3">
        <f>IFERROR(__xludf.DUMMYFUNCTION("""COMPUTED_VALUE"""),41032.99861111111)</f>
        <v>41032.99861</v>
      </c>
      <c r="B667" s="1">
        <f>IFERROR(__xludf.DUMMYFUNCTION("""COMPUTED_VALUE"""),0.4405190977)</f>
        <v>0.4405190977</v>
      </c>
    </row>
    <row r="668">
      <c r="A668" s="3">
        <f>IFERROR(__xludf.DUMMYFUNCTION("""COMPUTED_VALUE"""),41033.99861111111)</f>
        <v>41033.99861</v>
      </c>
      <c r="B668" s="1">
        <f>IFERROR(__xludf.DUMMYFUNCTION("""COMPUTED_VALUE"""),0.4416122031)</f>
        <v>0.4416122031</v>
      </c>
    </row>
    <row r="669">
      <c r="A669" s="3">
        <f>IFERROR(__xludf.DUMMYFUNCTION("""COMPUTED_VALUE"""),41034.99861111111)</f>
        <v>41034.99861</v>
      </c>
      <c r="B669" s="1">
        <f>IFERROR(__xludf.DUMMYFUNCTION("""COMPUTED_VALUE"""),0.4387752099)</f>
        <v>0.4387752099</v>
      </c>
    </row>
    <row r="670">
      <c r="A670" s="3">
        <f>IFERROR(__xludf.DUMMYFUNCTION("""COMPUTED_VALUE"""),41035.99861111111)</f>
        <v>41035.99861</v>
      </c>
      <c r="B670" s="1">
        <f>IFERROR(__xludf.DUMMYFUNCTION("""COMPUTED_VALUE"""),0.4387778833)</f>
        <v>0.4387778833</v>
      </c>
    </row>
    <row r="671">
      <c r="A671" s="3">
        <f>IFERROR(__xludf.DUMMYFUNCTION("""COMPUTED_VALUE"""),41036.99861111111)</f>
        <v>41036.99861</v>
      </c>
      <c r="B671" s="1">
        <f>IFERROR(__xludf.DUMMYFUNCTION("""COMPUTED_VALUE"""),0.4408653839)</f>
        <v>0.4408653839</v>
      </c>
    </row>
    <row r="672">
      <c r="A672" s="3">
        <f>IFERROR(__xludf.DUMMYFUNCTION("""COMPUTED_VALUE"""),41037.99861111111)</f>
        <v>41037.99861</v>
      </c>
      <c r="B672" s="1">
        <f>IFERROR(__xludf.DUMMYFUNCTION("""COMPUTED_VALUE"""),0.446272943)</f>
        <v>0.446272943</v>
      </c>
    </row>
    <row r="673">
      <c r="A673" s="3">
        <f>IFERROR(__xludf.DUMMYFUNCTION("""COMPUTED_VALUE"""),41038.99861111111)</f>
        <v>41038.99861</v>
      </c>
      <c r="B673" s="1">
        <f>IFERROR(__xludf.DUMMYFUNCTION("""COMPUTED_VALUE"""),0.4428262353)</f>
        <v>0.4428262353</v>
      </c>
    </row>
    <row r="674">
      <c r="A674" s="3">
        <f>IFERROR(__xludf.DUMMYFUNCTION("""COMPUTED_VALUE"""),41039.99861111111)</f>
        <v>41039.99861</v>
      </c>
      <c r="B674" s="1">
        <f>IFERROR(__xludf.DUMMYFUNCTION("""COMPUTED_VALUE"""),0.4407594245)</f>
        <v>0.4407594245</v>
      </c>
    </row>
    <row r="675">
      <c r="A675" s="3">
        <f>IFERROR(__xludf.DUMMYFUNCTION("""COMPUTED_VALUE"""),41040.99861111111)</f>
        <v>41040.99861</v>
      </c>
      <c r="B675" s="1">
        <f>IFERROR(__xludf.DUMMYFUNCTION("""COMPUTED_VALUE"""),0.441278229)</f>
        <v>0.441278229</v>
      </c>
    </row>
    <row r="676">
      <c r="A676" s="3">
        <f>IFERROR(__xludf.DUMMYFUNCTION("""COMPUTED_VALUE"""),41041.99861111111)</f>
        <v>41041.99861</v>
      </c>
      <c r="B676" s="1">
        <f>IFERROR(__xludf.DUMMYFUNCTION("""COMPUTED_VALUE"""),0.4464737326)</f>
        <v>0.4464737326</v>
      </c>
    </row>
    <row r="677">
      <c r="A677" s="3">
        <f>IFERROR(__xludf.DUMMYFUNCTION("""COMPUTED_VALUE"""),41042.99861111111)</f>
        <v>41042.99861</v>
      </c>
      <c r="B677" s="1">
        <f>IFERROR(__xludf.DUMMYFUNCTION("""COMPUTED_VALUE"""),0.4457684797)</f>
        <v>0.4457684797</v>
      </c>
    </row>
    <row r="678">
      <c r="A678" s="3">
        <f>IFERROR(__xludf.DUMMYFUNCTION("""COMPUTED_VALUE"""),41043.99861111111)</f>
        <v>41043.99861</v>
      </c>
      <c r="B678" s="1">
        <f>IFERROR(__xludf.DUMMYFUNCTION("""COMPUTED_VALUE"""),0.4440278695)</f>
        <v>0.4440278695</v>
      </c>
    </row>
    <row r="679">
      <c r="A679" s="3">
        <f>IFERROR(__xludf.DUMMYFUNCTION("""COMPUTED_VALUE"""),41044.99861111111)</f>
        <v>41044.99861</v>
      </c>
      <c r="B679" s="1">
        <f>IFERROR(__xludf.DUMMYFUNCTION("""COMPUTED_VALUE"""),0.4439211891)</f>
        <v>0.4439211891</v>
      </c>
    </row>
    <row r="680">
      <c r="A680" s="3">
        <f>IFERROR(__xludf.DUMMYFUNCTION("""COMPUTED_VALUE"""),41045.99861111111)</f>
        <v>41045.99861</v>
      </c>
      <c r="B680" s="1">
        <f>IFERROR(__xludf.DUMMYFUNCTION("""COMPUTED_VALUE"""),0.4439211891)</f>
        <v>0.4439211891</v>
      </c>
    </row>
    <row r="681">
      <c r="A681" s="3">
        <f>IFERROR(__xludf.DUMMYFUNCTION("""COMPUTED_VALUE"""),41046.99861111111)</f>
        <v>41046.99861</v>
      </c>
      <c r="B681" s="1">
        <f>IFERROR(__xludf.DUMMYFUNCTION("""COMPUTED_VALUE"""),0.4487341705)</f>
        <v>0.4487341705</v>
      </c>
    </row>
    <row r="682">
      <c r="A682" s="3">
        <f>IFERROR(__xludf.DUMMYFUNCTION("""COMPUTED_VALUE"""),41047.99861111111)</f>
        <v>41047.99861</v>
      </c>
      <c r="B682" s="1">
        <f>IFERROR(__xludf.DUMMYFUNCTION("""COMPUTED_VALUE"""),0.4425673069)</f>
        <v>0.4425673069</v>
      </c>
    </row>
    <row r="683">
      <c r="A683" s="3">
        <f>IFERROR(__xludf.DUMMYFUNCTION("""COMPUTED_VALUE"""),41048.99861111111)</f>
        <v>41048.99861</v>
      </c>
      <c r="B683" s="1">
        <f>IFERROR(__xludf.DUMMYFUNCTION("""COMPUTED_VALUE"""),0.4412439832)</f>
        <v>0.4412439832</v>
      </c>
    </row>
    <row r="684">
      <c r="A684" s="3">
        <f>IFERROR(__xludf.DUMMYFUNCTION("""COMPUTED_VALUE"""),41050.99861111111)</f>
        <v>41050.99861</v>
      </c>
      <c r="B684" s="1">
        <f>IFERROR(__xludf.DUMMYFUNCTION("""COMPUTED_VALUE"""),0.4441614582)</f>
        <v>0.4441614582</v>
      </c>
    </row>
    <row r="685">
      <c r="A685" s="3">
        <f>IFERROR(__xludf.DUMMYFUNCTION("""COMPUTED_VALUE"""),41051.99861111111)</f>
        <v>41051.99861</v>
      </c>
      <c r="B685" s="1">
        <f>IFERROR(__xludf.DUMMYFUNCTION("""COMPUTED_VALUE"""),0.4458752844)</f>
        <v>0.4458752844</v>
      </c>
    </row>
    <row r="686">
      <c r="A686" s="3">
        <f>IFERROR(__xludf.DUMMYFUNCTION("""COMPUTED_VALUE"""),41052.99861111111)</f>
        <v>41052.99861</v>
      </c>
      <c r="B686" s="1">
        <f>IFERROR(__xludf.DUMMYFUNCTION("""COMPUTED_VALUE"""),0.4480104499)</f>
        <v>0.4480104499</v>
      </c>
    </row>
    <row r="687">
      <c r="A687" s="3">
        <f>IFERROR(__xludf.DUMMYFUNCTION("""COMPUTED_VALUE"""),41053.99861111111)</f>
        <v>41053.99861</v>
      </c>
      <c r="B687" s="1">
        <f>IFERROR(__xludf.DUMMYFUNCTION("""COMPUTED_VALUE"""),0.4491846225)</f>
        <v>0.4491846225</v>
      </c>
    </row>
    <row r="688">
      <c r="A688" s="3">
        <f>IFERROR(__xludf.DUMMYFUNCTION("""COMPUTED_VALUE"""),41054.99861111111)</f>
        <v>41054.99861</v>
      </c>
      <c r="B688" s="1">
        <f>IFERROR(__xludf.DUMMYFUNCTION("""COMPUTED_VALUE"""),0.4489291543)</f>
        <v>0.4489291543</v>
      </c>
    </row>
    <row r="689">
      <c r="A689" s="3">
        <f>IFERROR(__xludf.DUMMYFUNCTION("""COMPUTED_VALUE"""),41056.99861111111)</f>
        <v>41056.99861</v>
      </c>
      <c r="B689" s="1">
        <f>IFERROR(__xludf.DUMMYFUNCTION("""COMPUTED_VALUE"""),0.4501260067)</f>
        <v>0.4501260067</v>
      </c>
    </row>
    <row r="690">
      <c r="A690" s="3">
        <f>IFERROR(__xludf.DUMMYFUNCTION("""COMPUTED_VALUE"""),41057.99861111111)</f>
        <v>41057.99861</v>
      </c>
      <c r="B690" s="1">
        <f>IFERROR(__xludf.DUMMYFUNCTION("""COMPUTED_VALUE"""),0.4494518208)</f>
        <v>0.4494518208</v>
      </c>
    </row>
    <row r="691">
      <c r="A691" s="3">
        <f>IFERROR(__xludf.DUMMYFUNCTION("""COMPUTED_VALUE"""),41058.99861111111)</f>
        <v>41058.99861</v>
      </c>
      <c r="B691" s="1">
        <f>IFERROR(__xludf.DUMMYFUNCTION("""COMPUTED_VALUE"""),0.4546777882)</f>
        <v>0.4546777882</v>
      </c>
    </row>
    <row r="692">
      <c r="A692" s="3">
        <f>IFERROR(__xludf.DUMMYFUNCTION("""COMPUTED_VALUE"""),41059.99861111111)</f>
        <v>41059.99861</v>
      </c>
      <c r="B692" s="1">
        <f>IFERROR(__xludf.DUMMYFUNCTION("""COMPUTED_VALUE"""),0.4556018151)</f>
        <v>0.4556018151</v>
      </c>
    </row>
    <row r="693">
      <c r="A693" s="3">
        <f>IFERROR(__xludf.DUMMYFUNCTION("""COMPUTED_VALUE"""),41060.99861111111)</f>
        <v>41060.99861</v>
      </c>
      <c r="B693" s="1">
        <f>IFERROR(__xludf.DUMMYFUNCTION("""COMPUTED_VALUE"""),0.4549866468)</f>
        <v>0.4549866468</v>
      </c>
    </row>
    <row r="694">
      <c r="A694" s="3">
        <f>IFERROR(__xludf.DUMMYFUNCTION("""COMPUTED_VALUE"""),41061.99861111111)</f>
        <v>41061.99861</v>
      </c>
      <c r="B694" s="1">
        <f>IFERROR(__xludf.DUMMYFUNCTION("""COMPUTED_VALUE"""),0.4604164593)</f>
        <v>0.4604164593</v>
      </c>
    </row>
    <row r="695">
      <c r="A695" s="3">
        <f>IFERROR(__xludf.DUMMYFUNCTION("""COMPUTED_VALUE"""),41063.99861111111)</f>
        <v>41063.99861</v>
      </c>
      <c r="B695" s="1">
        <f>IFERROR(__xludf.DUMMYFUNCTION("""COMPUTED_VALUE"""),0.4610278924)</f>
        <v>0.4610278924</v>
      </c>
    </row>
    <row r="696">
      <c r="A696" s="3">
        <f>IFERROR(__xludf.DUMMYFUNCTION("""COMPUTED_VALUE"""),41064.99861111111)</f>
        <v>41064.99861</v>
      </c>
      <c r="B696" s="1">
        <f>IFERROR(__xludf.DUMMYFUNCTION("""COMPUTED_VALUE"""),0.4572724593)</f>
        <v>0.4572724593</v>
      </c>
    </row>
    <row r="697">
      <c r="A697" s="3">
        <f>IFERROR(__xludf.DUMMYFUNCTION("""COMPUTED_VALUE"""),41065.99861111111)</f>
        <v>41065.99861</v>
      </c>
      <c r="B697" s="1">
        <f>IFERROR(__xludf.DUMMYFUNCTION("""COMPUTED_VALUE"""),0.45526481)</f>
        <v>0.45526481</v>
      </c>
    </row>
    <row r="698">
      <c r="A698" s="3">
        <f>IFERROR(__xludf.DUMMYFUNCTION("""COMPUTED_VALUE"""),41066.99861111111)</f>
        <v>41066.99861</v>
      </c>
      <c r="B698" s="1">
        <f>IFERROR(__xludf.DUMMYFUNCTION("""COMPUTED_VALUE"""),0.4510967296)</f>
        <v>0.4510967296</v>
      </c>
    </row>
    <row r="699">
      <c r="A699" s="3">
        <f>IFERROR(__xludf.DUMMYFUNCTION("""COMPUTED_VALUE"""),41067.99861111111)</f>
        <v>41067.99861</v>
      </c>
      <c r="B699" s="1">
        <f>IFERROR(__xludf.DUMMYFUNCTION("""COMPUTED_VALUE"""),0.4510607454)</f>
        <v>0.4510607454</v>
      </c>
    </row>
    <row r="700">
      <c r="A700" s="3">
        <f>IFERROR(__xludf.DUMMYFUNCTION("""COMPUTED_VALUE"""),41068.99861111111)</f>
        <v>41068.99861</v>
      </c>
      <c r="B700" s="1">
        <f>IFERROR(__xludf.DUMMYFUNCTION("""COMPUTED_VALUE"""),0.4469913957)</f>
        <v>0.4469913957</v>
      </c>
    </row>
    <row r="701">
      <c r="A701" s="3">
        <f>IFERROR(__xludf.DUMMYFUNCTION("""COMPUTED_VALUE"""),41069.99861111111)</f>
        <v>41069.99861</v>
      </c>
      <c r="B701" s="1">
        <f>IFERROR(__xludf.DUMMYFUNCTION("""COMPUTED_VALUE"""),0.4452348497)</f>
        <v>0.4452348497</v>
      </c>
    </row>
    <row r="702">
      <c r="A702" s="3">
        <f>IFERROR(__xludf.DUMMYFUNCTION("""COMPUTED_VALUE"""),41070.99861111111)</f>
        <v>41070.99861</v>
      </c>
      <c r="B702" s="1">
        <f>IFERROR(__xludf.DUMMYFUNCTION("""COMPUTED_VALUE"""),0.4563110784)</f>
        <v>0.4563110784</v>
      </c>
    </row>
    <row r="703">
      <c r="A703" s="3">
        <f>IFERROR(__xludf.DUMMYFUNCTION("""COMPUTED_VALUE"""),41071.99861111111)</f>
        <v>41071.99861</v>
      </c>
      <c r="B703" s="1">
        <f>IFERROR(__xludf.DUMMYFUNCTION("""COMPUTED_VALUE"""),0.4504850618)</f>
        <v>0.4504850618</v>
      </c>
    </row>
    <row r="704">
      <c r="A704" s="3">
        <f>IFERROR(__xludf.DUMMYFUNCTION("""COMPUTED_VALUE"""),41072.99861111111)</f>
        <v>41072.99861</v>
      </c>
      <c r="B704" s="1">
        <f>IFERROR(__xludf.DUMMYFUNCTION("""COMPUTED_VALUE"""),0.4568860781)</f>
        <v>0.4568860781</v>
      </c>
    </row>
    <row r="705">
      <c r="A705" s="3">
        <f>IFERROR(__xludf.DUMMYFUNCTION("""COMPUTED_VALUE"""),41073.99861111111)</f>
        <v>41073.99861</v>
      </c>
      <c r="B705" s="1">
        <f>IFERROR(__xludf.DUMMYFUNCTION("""COMPUTED_VALUE"""),0.4564224596)</f>
        <v>0.4564224596</v>
      </c>
    </row>
    <row r="706">
      <c r="A706" s="3">
        <f>IFERROR(__xludf.DUMMYFUNCTION("""COMPUTED_VALUE"""),41074.99861111111)</f>
        <v>41074.99861</v>
      </c>
      <c r="B706" s="1">
        <f>IFERROR(__xludf.DUMMYFUNCTION("""COMPUTED_VALUE"""),0.4573556556)</f>
        <v>0.4573556556</v>
      </c>
    </row>
    <row r="707">
      <c r="A707" s="3">
        <f>IFERROR(__xludf.DUMMYFUNCTION("""COMPUTED_VALUE"""),41075.99861111111)</f>
        <v>41075.99861</v>
      </c>
      <c r="B707" s="1">
        <f>IFERROR(__xludf.DUMMYFUNCTION("""COMPUTED_VALUE"""),0.4478718255)</f>
        <v>0.4478718255</v>
      </c>
    </row>
    <row r="708">
      <c r="A708" s="3">
        <f>IFERROR(__xludf.DUMMYFUNCTION("""COMPUTED_VALUE"""),41076.99861111111)</f>
        <v>41076.99861</v>
      </c>
      <c r="B708" s="1">
        <f>IFERROR(__xludf.DUMMYFUNCTION("""COMPUTED_VALUE"""),0.4509851453)</f>
        <v>0.4509851453</v>
      </c>
    </row>
    <row r="709">
      <c r="A709" s="3">
        <f>IFERROR(__xludf.DUMMYFUNCTION("""COMPUTED_VALUE"""),41078.99861111111)</f>
        <v>41078.99861</v>
      </c>
      <c r="B709" s="1">
        <f>IFERROR(__xludf.DUMMYFUNCTION("""COMPUTED_VALUE"""),0.4471827937)</f>
        <v>0.4471827937</v>
      </c>
    </row>
    <row r="710">
      <c r="A710" s="3">
        <f>IFERROR(__xludf.DUMMYFUNCTION("""COMPUTED_VALUE"""),41079.99861111111)</f>
        <v>41079.99861</v>
      </c>
      <c r="B710" s="1">
        <f>IFERROR(__xludf.DUMMYFUNCTION("""COMPUTED_VALUE"""),0.4568880594)</f>
        <v>0.4568880594</v>
      </c>
    </row>
    <row r="711">
      <c r="A711" s="3">
        <f>IFERROR(__xludf.DUMMYFUNCTION("""COMPUTED_VALUE"""),41080.99861111111)</f>
        <v>41080.99861</v>
      </c>
      <c r="B711" s="1">
        <f>IFERROR(__xludf.DUMMYFUNCTION("""COMPUTED_VALUE"""),0.4558840593)</f>
        <v>0.4558840593</v>
      </c>
    </row>
    <row r="712">
      <c r="A712" s="3">
        <f>IFERROR(__xludf.DUMMYFUNCTION("""COMPUTED_VALUE"""),41081.99861111111)</f>
        <v>41081.99861</v>
      </c>
      <c r="B712" s="1">
        <f>IFERROR(__xludf.DUMMYFUNCTION("""COMPUTED_VALUE"""),0.4517228069)</f>
        <v>0.4517228069</v>
      </c>
    </row>
    <row r="713">
      <c r="A713" s="3">
        <f>IFERROR(__xludf.DUMMYFUNCTION("""COMPUTED_VALUE"""),41082.99861111111)</f>
        <v>41082.99861</v>
      </c>
      <c r="B713" s="1">
        <f>IFERROR(__xludf.DUMMYFUNCTION("""COMPUTED_VALUE"""),0.4501673778)</f>
        <v>0.4501673778</v>
      </c>
    </row>
    <row r="714">
      <c r="A714" s="3">
        <f>IFERROR(__xludf.DUMMYFUNCTION("""COMPUTED_VALUE"""),41083.99861111111)</f>
        <v>41083.99861</v>
      </c>
      <c r="B714" s="1">
        <f>IFERROR(__xludf.DUMMYFUNCTION("""COMPUTED_VALUE"""),0.4536077401)</f>
        <v>0.4536077401</v>
      </c>
    </row>
    <row r="715">
      <c r="A715" s="3">
        <f>IFERROR(__xludf.DUMMYFUNCTION("""COMPUTED_VALUE"""),41084.99861111111)</f>
        <v>41084.99861</v>
      </c>
      <c r="B715" s="1">
        <f>IFERROR(__xludf.DUMMYFUNCTION("""COMPUTED_VALUE"""),0.4591762702)</f>
        <v>0.4591762702</v>
      </c>
    </row>
    <row r="716">
      <c r="A716" s="3">
        <f>IFERROR(__xludf.DUMMYFUNCTION("""COMPUTED_VALUE"""),41085.99861111111)</f>
        <v>41085.99861</v>
      </c>
      <c r="B716" s="1">
        <f>IFERROR(__xludf.DUMMYFUNCTION("""COMPUTED_VALUE"""),0.4504786964)</f>
        <v>0.4504786964</v>
      </c>
    </row>
    <row r="717">
      <c r="A717" s="3">
        <f>IFERROR(__xludf.DUMMYFUNCTION("""COMPUTED_VALUE"""),41086.99861111111)</f>
        <v>41086.99861</v>
      </c>
      <c r="B717" s="1">
        <f>IFERROR(__xludf.DUMMYFUNCTION("""COMPUTED_VALUE"""),0.456672809)</f>
        <v>0.456672809</v>
      </c>
    </row>
    <row r="718">
      <c r="A718" s="3">
        <f>IFERROR(__xludf.DUMMYFUNCTION("""COMPUTED_VALUE"""),41087.99861111111)</f>
        <v>41087.99861</v>
      </c>
      <c r="B718" s="1">
        <f>IFERROR(__xludf.DUMMYFUNCTION("""COMPUTED_VALUE"""),0.4506893235)</f>
        <v>0.4506893235</v>
      </c>
    </row>
    <row r="719">
      <c r="A719" s="3">
        <f>IFERROR(__xludf.DUMMYFUNCTION("""COMPUTED_VALUE"""),41088.99861111111)</f>
        <v>41088.99861</v>
      </c>
      <c r="B719" s="1">
        <f>IFERROR(__xludf.DUMMYFUNCTION("""COMPUTED_VALUE"""),0.4515395617)</f>
        <v>0.4515395617</v>
      </c>
    </row>
    <row r="720">
      <c r="A720" s="3">
        <f>IFERROR(__xludf.DUMMYFUNCTION("""COMPUTED_VALUE"""),41089.99861111111)</f>
        <v>41089.99861</v>
      </c>
      <c r="B720" s="1">
        <f>IFERROR(__xludf.DUMMYFUNCTION("""COMPUTED_VALUE"""),0.4581153037)</f>
        <v>0.4581153037</v>
      </c>
    </row>
    <row r="721">
      <c r="A721" s="3">
        <f>IFERROR(__xludf.DUMMYFUNCTION("""COMPUTED_VALUE"""),41090.99861111111)</f>
        <v>41090.99861</v>
      </c>
      <c r="B721" s="1">
        <f>IFERROR(__xludf.DUMMYFUNCTION("""COMPUTED_VALUE"""),0.4580929048)</f>
        <v>0.4580929048</v>
      </c>
    </row>
    <row r="722">
      <c r="A722" s="3">
        <f>IFERROR(__xludf.DUMMYFUNCTION("""COMPUTED_VALUE"""),41092.99861111111)</f>
        <v>41092.99861</v>
      </c>
      <c r="B722" s="1">
        <f>IFERROR(__xludf.DUMMYFUNCTION("""COMPUTED_VALUE"""),0.4545760621)</f>
        <v>0.4545760621</v>
      </c>
    </row>
    <row r="723">
      <c r="A723" s="3">
        <f>IFERROR(__xludf.DUMMYFUNCTION("""COMPUTED_VALUE"""),41093.99861111111)</f>
        <v>41093.99861</v>
      </c>
      <c r="B723" s="1">
        <f>IFERROR(__xludf.DUMMYFUNCTION("""COMPUTED_VALUE"""),0.4473198784)</f>
        <v>0.4473198784</v>
      </c>
    </row>
    <row r="724">
      <c r="A724" s="3">
        <f>IFERROR(__xludf.DUMMYFUNCTION("""COMPUTED_VALUE"""),41094.99861111111)</f>
        <v>41094.99861</v>
      </c>
      <c r="B724" s="1">
        <f>IFERROR(__xludf.DUMMYFUNCTION("""COMPUTED_VALUE"""),0.4523777189)</f>
        <v>0.4523777189</v>
      </c>
    </row>
    <row r="725">
      <c r="A725" s="3">
        <f>IFERROR(__xludf.DUMMYFUNCTION("""COMPUTED_VALUE"""),41095.99861111111)</f>
        <v>41095.99861</v>
      </c>
      <c r="B725" s="1">
        <f>IFERROR(__xludf.DUMMYFUNCTION("""COMPUTED_VALUE"""),0.4507993015)</f>
        <v>0.4507993015</v>
      </c>
    </row>
    <row r="726">
      <c r="A726" s="3">
        <f>IFERROR(__xludf.DUMMYFUNCTION("""COMPUTED_VALUE"""),41096.99861111111)</f>
        <v>41096.99861</v>
      </c>
      <c r="B726" s="1">
        <f>IFERROR(__xludf.DUMMYFUNCTION("""COMPUTED_VALUE"""),0.4546420057)</f>
        <v>0.4546420057</v>
      </c>
    </row>
    <row r="727">
      <c r="A727" s="3">
        <f>IFERROR(__xludf.DUMMYFUNCTION("""COMPUTED_VALUE"""),41097.99861111111)</f>
        <v>41097.99861</v>
      </c>
      <c r="B727" s="1">
        <f>IFERROR(__xludf.DUMMYFUNCTION("""COMPUTED_VALUE"""),0.4488459658)</f>
        <v>0.4488459658</v>
      </c>
    </row>
    <row r="728">
      <c r="A728" s="3">
        <f>IFERROR(__xludf.DUMMYFUNCTION("""COMPUTED_VALUE"""),41099.99861111111)</f>
        <v>41099.99861</v>
      </c>
      <c r="B728" s="1">
        <f>IFERROR(__xludf.DUMMYFUNCTION("""COMPUTED_VALUE"""),0.4568088806)</f>
        <v>0.4568088806</v>
      </c>
    </row>
    <row r="729">
      <c r="A729" s="3">
        <f>IFERROR(__xludf.DUMMYFUNCTION("""COMPUTED_VALUE"""),41100.99861111111)</f>
        <v>41100.99861</v>
      </c>
      <c r="B729" s="1">
        <f>IFERROR(__xludf.DUMMYFUNCTION("""COMPUTED_VALUE"""),0.4550939339)</f>
        <v>0.4550939339</v>
      </c>
    </row>
    <row r="730">
      <c r="A730" s="3">
        <f>IFERROR(__xludf.DUMMYFUNCTION("""COMPUTED_VALUE"""),41101.99861111111)</f>
        <v>41101.99861</v>
      </c>
      <c r="B730" s="1">
        <f>IFERROR(__xludf.DUMMYFUNCTION("""COMPUTED_VALUE"""),0.4548984421)</f>
        <v>0.4548984421</v>
      </c>
    </row>
    <row r="731">
      <c r="A731" s="3">
        <f>IFERROR(__xludf.DUMMYFUNCTION("""COMPUTED_VALUE"""),41102.99861111111)</f>
        <v>41102.99861</v>
      </c>
      <c r="B731" s="1">
        <f>IFERROR(__xludf.DUMMYFUNCTION("""COMPUTED_VALUE"""),0.4587467095)</f>
        <v>0.4587467095</v>
      </c>
    </row>
    <row r="732">
      <c r="A732" s="3">
        <f>IFERROR(__xludf.DUMMYFUNCTION("""COMPUTED_VALUE"""),41103.99861111111)</f>
        <v>41103.99861</v>
      </c>
      <c r="B732" s="1">
        <f>IFERROR(__xludf.DUMMYFUNCTION("""COMPUTED_VALUE"""),0.452376378)</f>
        <v>0.452376378</v>
      </c>
    </row>
    <row r="733">
      <c r="A733" s="3">
        <f>IFERROR(__xludf.DUMMYFUNCTION("""COMPUTED_VALUE"""),41104.99861111111)</f>
        <v>41104.99861</v>
      </c>
      <c r="B733" s="1">
        <f>IFERROR(__xludf.DUMMYFUNCTION("""COMPUTED_VALUE"""),0.4605571816)</f>
        <v>0.4605571816</v>
      </c>
    </row>
    <row r="734">
      <c r="A734" s="3">
        <f>IFERROR(__xludf.DUMMYFUNCTION("""COMPUTED_VALUE"""),41106.99861111111)</f>
        <v>41106.99861</v>
      </c>
      <c r="B734" s="1">
        <f>IFERROR(__xludf.DUMMYFUNCTION("""COMPUTED_VALUE"""),0.4620511983)</f>
        <v>0.4620511983</v>
      </c>
    </row>
    <row r="735">
      <c r="A735" s="3">
        <f>IFERROR(__xludf.DUMMYFUNCTION("""COMPUTED_VALUE"""),41107.99861111111)</f>
        <v>41107.99861</v>
      </c>
      <c r="B735" s="1">
        <f>IFERROR(__xludf.DUMMYFUNCTION("""COMPUTED_VALUE"""),0.4519596478)</f>
        <v>0.4519596478</v>
      </c>
    </row>
    <row r="736">
      <c r="A736" s="3">
        <f>IFERROR(__xludf.DUMMYFUNCTION("""COMPUTED_VALUE"""),41108.99861111111)</f>
        <v>41108.99861</v>
      </c>
      <c r="B736" s="1">
        <f>IFERROR(__xludf.DUMMYFUNCTION("""COMPUTED_VALUE"""),0.4606994341)</f>
        <v>0.4606994341</v>
      </c>
    </row>
    <row r="737">
      <c r="A737" s="3">
        <f>IFERROR(__xludf.DUMMYFUNCTION("""COMPUTED_VALUE"""),41109.99861111111)</f>
        <v>41109.99861</v>
      </c>
      <c r="B737" s="1">
        <f>IFERROR(__xludf.DUMMYFUNCTION("""COMPUTED_VALUE"""),0.4521872684)</f>
        <v>0.4521872684</v>
      </c>
    </row>
    <row r="738">
      <c r="A738" s="3">
        <f>IFERROR(__xludf.DUMMYFUNCTION("""COMPUTED_VALUE"""),41110.99861111111)</f>
        <v>41110.99861</v>
      </c>
      <c r="B738" s="1">
        <f>IFERROR(__xludf.DUMMYFUNCTION("""COMPUTED_VALUE"""),0.456482778)</f>
        <v>0.456482778</v>
      </c>
    </row>
    <row r="739">
      <c r="A739" s="3">
        <f>IFERROR(__xludf.DUMMYFUNCTION("""COMPUTED_VALUE"""),41111.99861111111)</f>
        <v>41111.99861</v>
      </c>
      <c r="B739" s="1">
        <f>IFERROR(__xludf.DUMMYFUNCTION("""COMPUTED_VALUE"""),0.456482778)</f>
        <v>0.456482778</v>
      </c>
    </row>
    <row r="740">
      <c r="A740" s="3">
        <f>IFERROR(__xludf.DUMMYFUNCTION("""COMPUTED_VALUE"""),41113.99861111111)</f>
        <v>41113.99861</v>
      </c>
      <c r="B740" s="1">
        <f>IFERROR(__xludf.DUMMYFUNCTION("""COMPUTED_VALUE"""),0.452968028)</f>
        <v>0.452968028</v>
      </c>
    </row>
    <row r="741">
      <c r="A741" s="3">
        <f>IFERROR(__xludf.DUMMYFUNCTION("""COMPUTED_VALUE"""),41114.99861111111)</f>
        <v>41114.99861</v>
      </c>
      <c r="B741" s="1">
        <f>IFERROR(__xludf.DUMMYFUNCTION("""COMPUTED_VALUE"""),0.4580416437)</f>
        <v>0.4580416437</v>
      </c>
    </row>
    <row r="742">
      <c r="A742" s="3">
        <f>IFERROR(__xludf.DUMMYFUNCTION("""COMPUTED_VALUE"""),41115.99861111111)</f>
        <v>41115.99861</v>
      </c>
      <c r="B742" s="1">
        <f>IFERROR(__xludf.DUMMYFUNCTION("""COMPUTED_VALUE"""),0.4542767873)</f>
        <v>0.4542767873</v>
      </c>
    </row>
    <row r="743">
      <c r="A743" s="3">
        <f>IFERROR(__xludf.DUMMYFUNCTION("""COMPUTED_VALUE"""),41116.99861111111)</f>
        <v>41116.99861</v>
      </c>
      <c r="B743" s="1">
        <f>IFERROR(__xludf.DUMMYFUNCTION("""COMPUTED_VALUE"""),0.453727179)</f>
        <v>0.453727179</v>
      </c>
    </row>
    <row r="744">
      <c r="A744" s="3">
        <f>IFERROR(__xludf.DUMMYFUNCTION("""COMPUTED_VALUE"""),41117.99861111111)</f>
        <v>41117.99861</v>
      </c>
      <c r="B744" s="1">
        <f>IFERROR(__xludf.DUMMYFUNCTION("""COMPUTED_VALUE"""),0.4529298687)</f>
        <v>0.4529298687</v>
      </c>
    </row>
    <row r="745">
      <c r="A745" s="3">
        <f>IFERROR(__xludf.DUMMYFUNCTION("""COMPUTED_VALUE"""),41119.99861111111)</f>
        <v>41119.99861</v>
      </c>
      <c r="B745" s="1">
        <f>IFERROR(__xludf.DUMMYFUNCTION("""COMPUTED_VALUE"""),0.4590594819)</f>
        <v>0.4590594819</v>
      </c>
    </row>
    <row r="746">
      <c r="A746" s="3">
        <f>IFERROR(__xludf.DUMMYFUNCTION("""COMPUTED_VALUE"""),41120.99861111111)</f>
        <v>41120.99861</v>
      </c>
      <c r="B746" s="1">
        <f>IFERROR(__xludf.DUMMYFUNCTION("""COMPUTED_VALUE"""),0.4585888032)</f>
        <v>0.4585888032</v>
      </c>
    </row>
    <row r="747">
      <c r="A747" s="3">
        <f>IFERROR(__xludf.DUMMYFUNCTION("""COMPUTED_VALUE"""),41121.99861111111)</f>
        <v>41121.99861</v>
      </c>
      <c r="B747" s="1">
        <f>IFERROR(__xludf.DUMMYFUNCTION("""COMPUTED_VALUE"""),0.451963512)</f>
        <v>0.451963512</v>
      </c>
    </row>
    <row r="748">
      <c r="A748" s="3">
        <f>IFERROR(__xludf.DUMMYFUNCTION("""COMPUTED_VALUE"""),41122.99861111111)</f>
        <v>41122.99861</v>
      </c>
      <c r="B748" s="1">
        <f>IFERROR(__xludf.DUMMYFUNCTION("""COMPUTED_VALUE"""),0.4553308823)</f>
        <v>0.4553308823</v>
      </c>
    </row>
    <row r="749">
      <c r="A749" s="3">
        <f>IFERROR(__xludf.DUMMYFUNCTION("""COMPUTED_VALUE"""),41123.99861111111)</f>
        <v>41123.99861</v>
      </c>
      <c r="B749" s="1">
        <f>IFERROR(__xludf.DUMMYFUNCTION("""COMPUTED_VALUE"""),0.4561345768)</f>
        <v>0.4561345768</v>
      </c>
    </row>
    <row r="750">
      <c r="A750" s="3">
        <f>IFERROR(__xludf.DUMMYFUNCTION("""COMPUTED_VALUE"""),41124.99861111111)</f>
        <v>41124.99861</v>
      </c>
      <c r="B750" s="1">
        <f>IFERROR(__xludf.DUMMYFUNCTION("""COMPUTED_VALUE"""),0.463460117)</f>
        <v>0.463460117</v>
      </c>
    </row>
    <row r="751">
      <c r="A751" s="3">
        <f>IFERROR(__xludf.DUMMYFUNCTION("""COMPUTED_VALUE"""),41125.99861111111)</f>
        <v>41125.99861</v>
      </c>
      <c r="B751" s="1">
        <f>IFERROR(__xludf.DUMMYFUNCTION("""COMPUTED_VALUE"""),0.4628662519)</f>
        <v>0.4628662519</v>
      </c>
    </row>
    <row r="752">
      <c r="A752" s="3">
        <f>IFERROR(__xludf.DUMMYFUNCTION("""COMPUTED_VALUE"""),41127.99861111111)</f>
        <v>41127.99861</v>
      </c>
      <c r="B752" s="1">
        <f>IFERROR(__xludf.DUMMYFUNCTION("""COMPUTED_VALUE"""),0.4610741853)</f>
        <v>0.4610741853</v>
      </c>
    </row>
    <row r="753">
      <c r="A753" s="3">
        <f>IFERROR(__xludf.DUMMYFUNCTION("""COMPUTED_VALUE"""),41128.99861111111)</f>
        <v>41128.99861</v>
      </c>
      <c r="B753" s="1">
        <f>IFERROR(__xludf.DUMMYFUNCTION("""COMPUTED_VALUE"""),0.4603344272)</f>
        <v>0.4603344272</v>
      </c>
    </row>
    <row r="754">
      <c r="A754" s="3">
        <f>IFERROR(__xludf.DUMMYFUNCTION("""COMPUTED_VALUE"""),41129.99861111111)</f>
        <v>41129.99861</v>
      </c>
      <c r="B754" s="1">
        <f>IFERROR(__xludf.DUMMYFUNCTION("""COMPUTED_VALUE"""),0.4598772269)</f>
        <v>0.4598772269</v>
      </c>
    </row>
    <row r="755">
      <c r="A755" s="3">
        <f>IFERROR(__xludf.DUMMYFUNCTION("""COMPUTED_VALUE"""),41130.99861111111)</f>
        <v>41130.99861</v>
      </c>
      <c r="B755" s="1">
        <f>IFERROR(__xludf.DUMMYFUNCTION("""COMPUTED_VALUE"""),0.4534534038)</f>
        <v>0.4534534038</v>
      </c>
    </row>
    <row r="756">
      <c r="A756" s="3">
        <f>IFERROR(__xludf.DUMMYFUNCTION("""COMPUTED_VALUE"""),41131.99861111111)</f>
        <v>41131.99861</v>
      </c>
      <c r="B756" s="1">
        <f>IFERROR(__xludf.DUMMYFUNCTION("""COMPUTED_VALUE"""),0.4609826231)</f>
        <v>0.4609826231</v>
      </c>
    </row>
    <row r="757">
      <c r="A757" s="3">
        <f>IFERROR(__xludf.DUMMYFUNCTION("""COMPUTED_VALUE"""),41132.99861111111)</f>
        <v>41132.99861</v>
      </c>
      <c r="B757" s="1">
        <f>IFERROR(__xludf.DUMMYFUNCTION("""COMPUTED_VALUE"""),0.4613019665)</f>
        <v>0.4613019665</v>
      </c>
    </row>
    <row r="758">
      <c r="A758" s="3">
        <f>IFERROR(__xludf.DUMMYFUNCTION("""COMPUTED_VALUE"""),41134.99861111111)</f>
        <v>41134.99861</v>
      </c>
      <c r="B758" s="1">
        <f>IFERROR(__xludf.DUMMYFUNCTION("""COMPUTED_VALUE"""),0.4603817621)</f>
        <v>0.4603817621</v>
      </c>
    </row>
    <row r="759">
      <c r="A759" s="3">
        <f>IFERROR(__xludf.DUMMYFUNCTION("""COMPUTED_VALUE"""),41135.99861111111)</f>
        <v>41135.99861</v>
      </c>
      <c r="B759" s="1">
        <f>IFERROR(__xludf.DUMMYFUNCTION("""COMPUTED_VALUE"""),0.4570868919)</f>
        <v>0.4570868919</v>
      </c>
    </row>
    <row r="760">
      <c r="A760" s="3">
        <f>IFERROR(__xludf.DUMMYFUNCTION("""COMPUTED_VALUE"""),41136.99861111111)</f>
        <v>41136.99861</v>
      </c>
      <c r="B760" s="1">
        <f>IFERROR(__xludf.DUMMYFUNCTION("""COMPUTED_VALUE"""),0.4613390495)</f>
        <v>0.4613390495</v>
      </c>
    </row>
    <row r="761">
      <c r="A761" s="3">
        <f>IFERROR(__xludf.DUMMYFUNCTION("""COMPUTED_VALUE"""),41137.99861111111)</f>
        <v>41137.99861</v>
      </c>
      <c r="B761" s="1">
        <f>IFERROR(__xludf.DUMMYFUNCTION("""COMPUTED_VALUE"""),0.4638860216)</f>
        <v>0.4638860216</v>
      </c>
    </row>
    <row r="762">
      <c r="A762" s="3">
        <f>IFERROR(__xludf.DUMMYFUNCTION("""COMPUTED_VALUE"""),41138.99861111111)</f>
        <v>41138.99861</v>
      </c>
      <c r="B762" s="1">
        <f>IFERROR(__xludf.DUMMYFUNCTION("""COMPUTED_VALUE"""),0.4601137441)</f>
        <v>0.4601137441</v>
      </c>
    </row>
    <row r="763">
      <c r="A763" s="3">
        <f>IFERROR(__xludf.DUMMYFUNCTION("""COMPUTED_VALUE"""),41139.99861111111)</f>
        <v>41139.99861</v>
      </c>
      <c r="B763" s="1">
        <f>IFERROR(__xludf.DUMMYFUNCTION("""COMPUTED_VALUE"""),0.4601137441)</f>
        <v>0.4601137441</v>
      </c>
    </row>
    <row r="764">
      <c r="A764" s="3">
        <f>IFERROR(__xludf.DUMMYFUNCTION("""COMPUTED_VALUE"""),41140.99861111111)</f>
        <v>41140.99861</v>
      </c>
      <c r="B764" s="1">
        <f>IFERROR(__xludf.DUMMYFUNCTION("""COMPUTED_VALUE"""),0.4613266166)</f>
        <v>0.4613266166</v>
      </c>
    </row>
    <row r="765">
      <c r="A765" s="3">
        <f>IFERROR(__xludf.DUMMYFUNCTION("""COMPUTED_VALUE"""),41141.99861111111)</f>
        <v>41141.99861</v>
      </c>
      <c r="B765" s="1">
        <f>IFERROR(__xludf.DUMMYFUNCTION("""COMPUTED_VALUE"""),0.4618847656)</f>
        <v>0.4618847656</v>
      </c>
    </row>
    <row r="766">
      <c r="A766" s="3">
        <f>IFERROR(__xludf.DUMMYFUNCTION("""COMPUTED_VALUE"""),41143.99861111111)</f>
        <v>41143.99861</v>
      </c>
      <c r="B766" s="1">
        <f>IFERROR(__xludf.DUMMYFUNCTION("""COMPUTED_VALUE"""),0.4638341612)</f>
        <v>0.4638341612</v>
      </c>
    </row>
    <row r="767">
      <c r="A767" s="3">
        <f>IFERROR(__xludf.DUMMYFUNCTION("""COMPUTED_VALUE"""),41144.99861111111)</f>
        <v>41144.99861</v>
      </c>
      <c r="B767" s="1">
        <f>IFERROR(__xludf.DUMMYFUNCTION("""COMPUTED_VALUE"""),0.4604183848)</f>
        <v>0.4604183848</v>
      </c>
    </row>
    <row r="768">
      <c r="A768" s="3">
        <f>IFERROR(__xludf.DUMMYFUNCTION("""COMPUTED_VALUE"""),41145.99861111111)</f>
        <v>41145.99861</v>
      </c>
      <c r="B768" s="1">
        <f>IFERROR(__xludf.DUMMYFUNCTION("""COMPUTED_VALUE"""),0.4611343507)</f>
        <v>0.4611343507</v>
      </c>
    </row>
    <row r="769">
      <c r="A769" s="3">
        <f>IFERROR(__xludf.DUMMYFUNCTION("""COMPUTED_VALUE"""),41146.99861111111)</f>
        <v>41146.99861</v>
      </c>
      <c r="B769" s="1">
        <f>IFERROR(__xludf.DUMMYFUNCTION("""COMPUTED_VALUE"""),0.4611567804)</f>
        <v>0.4611567804</v>
      </c>
    </row>
    <row r="770">
      <c r="A770" s="3">
        <f>IFERROR(__xludf.DUMMYFUNCTION("""COMPUTED_VALUE"""),41148.99861111111)</f>
        <v>41148.99861</v>
      </c>
      <c r="B770" s="1">
        <f>IFERROR(__xludf.DUMMYFUNCTION("""COMPUTED_VALUE"""),0.4606157677)</f>
        <v>0.4606157677</v>
      </c>
    </row>
    <row r="771">
      <c r="A771" s="3">
        <f>IFERROR(__xludf.DUMMYFUNCTION("""COMPUTED_VALUE"""),41149.99861111111)</f>
        <v>41149.99861</v>
      </c>
      <c r="B771" s="1">
        <f>IFERROR(__xludf.DUMMYFUNCTION("""COMPUTED_VALUE"""),0.4632017499)</f>
        <v>0.4632017499</v>
      </c>
    </row>
    <row r="772">
      <c r="A772" s="3">
        <f>IFERROR(__xludf.DUMMYFUNCTION("""COMPUTED_VALUE"""),41150.99861111111)</f>
        <v>41150.99861</v>
      </c>
      <c r="B772" s="1">
        <f>IFERROR(__xludf.DUMMYFUNCTION("""COMPUTED_VALUE"""),0.4622049475)</f>
        <v>0.4622049475</v>
      </c>
    </row>
    <row r="773">
      <c r="A773" s="3">
        <f>IFERROR(__xludf.DUMMYFUNCTION("""COMPUTED_VALUE"""),41151.99861111111)</f>
        <v>41151.99861</v>
      </c>
      <c r="B773" s="1">
        <f>IFERROR(__xludf.DUMMYFUNCTION("""COMPUTED_VALUE"""),0.4619410515)</f>
        <v>0.4619410515</v>
      </c>
    </row>
    <row r="774">
      <c r="A774" s="3">
        <f>IFERROR(__xludf.DUMMYFUNCTION("""COMPUTED_VALUE"""),41152.99861111111)</f>
        <v>41152.99861</v>
      </c>
      <c r="B774" s="1">
        <f>IFERROR(__xludf.DUMMYFUNCTION("""COMPUTED_VALUE"""),0.4631568663)</f>
        <v>0.4631568663</v>
      </c>
    </row>
    <row r="775">
      <c r="A775" s="3">
        <f>IFERROR(__xludf.DUMMYFUNCTION("""COMPUTED_VALUE"""),41153.99861111111)</f>
        <v>41153.99861</v>
      </c>
      <c r="B775" s="1">
        <f>IFERROR(__xludf.DUMMYFUNCTION("""COMPUTED_VALUE"""),0.4631117509)</f>
        <v>0.4631117509</v>
      </c>
    </row>
    <row r="776">
      <c r="A776" s="3">
        <f>IFERROR(__xludf.DUMMYFUNCTION("""COMPUTED_VALUE"""),41154.99861111111)</f>
        <v>41154.99861</v>
      </c>
      <c r="B776" s="1">
        <f>IFERROR(__xludf.DUMMYFUNCTION("""COMPUTED_VALUE"""),0.4643267497)</f>
        <v>0.4643267497</v>
      </c>
    </row>
    <row r="777">
      <c r="A777" s="3">
        <f>IFERROR(__xludf.DUMMYFUNCTION("""COMPUTED_VALUE"""),41155.99861111111)</f>
        <v>41155.99861</v>
      </c>
      <c r="B777" s="1">
        <f>IFERROR(__xludf.DUMMYFUNCTION("""COMPUTED_VALUE"""),0.4638639419)</f>
        <v>0.4638639419</v>
      </c>
    </row>
    <row r="778">
      <c r="A778" s="3">
        <f>IFERROR(__xludf.DUMMYFUNCTION("""COMPUTED_VALUE"""),41156.99861111111)</f>
        <v>41156.99861</v>
      </c>
      <c r="B778" s="1">
        <f>IFERROR(__xludf.DUMMYFUNCTION("""COMPUTED_VALUE"""),0.463825959)</f>
        <v>0.463825959</v>
      </c>
    </row>
    <row r="779">
      <c r="A779" s="3">
        <f>IFERROR(__xludf.DUMMYFUNCTION("""COMPUTED_VALUE"""),41157.99861111111)</f>
        <v>41157.99861</v>
      </c>
      <c r="B779" s="1">
        <f>IFERROR(__xludf.DUMMYFUNCTION("""COMPUTED_VALUE"""),0.4665101909)</f>
        <v>0.4665101909</v>
      </c>
    </row>
    <row r="780">
      <c r="A780" s="3">
        <f>IFERROR(__xludf.DUMMYFUNCTION("""COMPUTED_VALUE"""),41158.99861111111)</f>
        <v>41158.99861</v>
      </c>
      <c r="B780" s="1">
        <f>IFERROR(__xludf.DUMMYFUNCTION("""COMPUTED_VALUE"""),0.4649582998)</f>
        <v>0.4649582998</v>
      </c>
    </row>
    <row r="781">
      <c r="A781" s="3">
        <f>IFERROR(__xludf.DUMMYFUNCTION("""COMPUTED_VALUE"""),41159.99861111111)</f>
        <v>41159.99861</v>
      </c>
      <c r="B781" s="1">
        <f>IFERROR(__xludf.DUMMYFUNCTION("""COMPUTED_VALUE"""),0.4694801027)</f>
        <v>0.4694801027</v>
      </c>
    </row>
    <row r="782">
      <c r="A782" s="3">
        <f>IFERROR(__xludf.DUMMYFUNCTION("""COMPUTED_VALUE"""),41160.99861111111)</f>
        <v>41160.99861</v>
      </c>
      <c r="B782" s="1">
        <f>IFERROR(__xludf.DUMMYFUNCTION("""COMPUTED_VALUE"""),0.4692583806)</f>
        <v>0.4692583806</v>
      </c>
    </row>
    <row r="783">
      <c r="A783" s="3">
        <f>IFERROR(__xludf.DUMMYFUNCTION("""COMPUTED_VALUE"""),41162.99861111111)</f>
        <v>41162.99861</v>
      </c>
      <c r="B783" s="1">
        <f>IFERROR(__xludf.DUMMYFUNCTION("""COMPUTED_VALUE"""),0.4635772121)</f>
        <v>0.4635772121</v>
      </c>
    </row>
    <row r="784">
      <c r="A784" s="3">
        <f>IFERROR(__xludf.DUMMYFUNCTION("""COMPUTED_VALUE"""),41163.99861111111)</f>
        <v>41163.99861</v>
      </c>
      <c r="B784" s="1">
        <f>IFERROR(__xludf.DUMMYFUNCTION("""COMPUTED_VALUE"""),0.4669356383)</f>
        <v>0.4669356383</v>
      </c>
    </row>
    <row r="785">
      <c r="A785" s="3">
        <f>IFERROR(__xludf.DUMMYFUNCTION("""COMPUTED_VALUE"""),41164.99861111111)</f>
        <v>41164.99861</v>
      </c>
      <c r="B785" s="1">
        <f>IFERROR(__xludf.DUMMYFUNCTION("""COMPUTED_VALUE"""),0.4637574731)</f>
        <v>0.4637574731</v>
      </c>
    </row>
    <row r="786">
      <c r="A786" s="3">
        <f>IFERROR(__xludf.DUMMYFUNCTION("""COMPUTED_VALUE"""),41165.99861111111)</f>
        <v>41165.99861</v>
      </c>
      <c r="B786" s="1">
        <f>IFERROR(__xludf.DUMMYFUNCTION("""COMPUTED_VALUE"""),0.4673959859)</f>
        <v>0.4673959859</v>
      </c>
    </row>
    <row r="787">
      <c r="A787" s="3">
        <f>IFERROR(__xludf.DUMMYFUNCTION("""COMPUTED_VALUE"""),41166.99861111111)</f>
        <v>41166.99861</v>
      </c>
      <c r="B787" s="1">
        <f>IFERROR(__xludf.DUMMYFUNCTION("""COMPUTED_VALUE"""),0.462145952)</f>
        <v>0.462145952</v>
      </c>
    </row>
    <row r="788">
      <c r="A788" s="3">
        <f>IFERROR(__xludf.DUMMYFUNCTION("""COMPUTED_VALUE"""),41167.99861111111)</f>
        <v>41167.99861</v>
      </c>
      <c r="B788" s="1">
        <f>IFERROR(__xludf.DUMMYFUNCTION("""COMPUTED_VALUE"""),0.4537711383)</f>
        <v>0.4537711383</v>
      </c>
    </row>
    <row r="789">
      <c r="A789" s="3">
        <f>IFERROR(__xludf.DUMMYFUNCTION("""COMPUTED_VALUE"""),41169.99861111111)</f>
        <v>41169.99861</v>
      </c>
      <c r="B789" s="1">
        <f>IFERROR(__xludf.DUMMYFUNCTION("""COMPUTED_VALUE"""),0.4588724575)</f>
        <v>0.4588724575</v>
      </c>
    </row>
    <row r="790">
      <c r="A790" s="3">
        <f>IFERROR(__xludf.DUMMYFUNCTION("""COMPUTED_VALUE"""),41170.99861111111)</f>
        <v>41170.99861</v>
      </c>
      <c r="B790" s="1">
        <f>IFERROR(__xludf.DUMMYFUNCTION("""COMPUTED_VALUE"""),0.4604549385)</f>
        <v>0.4604549385</v>
      </c>
    </row>
    <row r="791">
      <c r="A791" s="3">
        <f>IFERROR(__xludf.DUMMYFUNCTION("""COMPUTED_VALUE"""),41171.99861111111)</f>
        <v>41171.99861</v>
      </c>
      <c r="B791" s="1">
        <f>IFERROR(__xludf.DUMMYFUNCTION("""COMPUTED_VALUE"""),0.4639069088)</f>
        <v>0.4639069088</v>
      </c>
    </row>
    <row r="792">
      <c r="A792" s="3">
        <f>IFERROR(__xludf.DUMMYFUNCTION("""COMPUTED_VALUE"""),41172.99861111111)</f>
        <v>41172.99861</v>
      </c>
      <c r="B792" s="1">
        <f>IFERROR(__xludf.DUMMYFUNCTION("""COMPUTED_VALUE"""),0.4628820238)</f>
        <v>0.4628820238</v>
      </c>
    </row>
    <row r="793">
      <c r="A793" s="3">
        <f>IFERROR(__xludf.DUMMYFUNCTION("""COMPUTED_VALUE"""),41173.99861111111)</f>
        <v>41173.99861</v>
      </c>
      <c r="B793" s="1">
        <f>IFERROR(__xludf.DUMMYFUNCTION("""COMPUTED_VALUE"""),0.4622705606)</f>
        <v>0.4622705606</v>
      </c>
    </row>
    <row r="794">
      <c r="A794" s="3">
        <f>IFERROR(__xludf.DUMMYFUNCTION("""COMPUTED_VALUE"""),41174.99861111111)</f>
        <v>41174.99861</v>
      </c>
      <c r="B794" s="1">
        <f>IFERROR(__xludf.DUMMYFUNCTION("""COMPUTED_VALUE"""),0.4621583484)</f>
        <v>0.4621583484</v>
      </c>
    </row>
    <row r="795">
      <c r="A795" s="3">
        <f>IFERROR(__xludf.DUMMYFUNCTION("""COMPUTED_VALUE"""),41176.99861111111)</f>
        <v>41176.99861</v>
      </c>
      <c r="B795" s="1">
        <f>IFERROR(__xludf.DUMMYFUNCTION("""COMPUTED_VALUE"""),0.4645679969)</f>
        <v>0.4645679969</v>
      </c>
    </row>
    <row r="796">
      <c r="A796" s="3">
        <f>IFERROR(__xludf.DUMMYFUNCTION("""COMPUTED_VALUE"""),41177.99861111111)</f>
        <v>41177.99861</v>
      </c>
      <c r="B796" s="1">
        <f>IFERROR(__xludf.DUMMYFUNCTION("""COMPUTED_VALUE"""),0.4645352751)</f>
        <v>0.4645352751</v>
      </c>
    </row>
    <row r="797">
      <c r="A797" s="3">
        <f>IFERROR(__xludf.DUMMYFUNCTION("""COMPUTED_VALUE"""),41178.99861111111)</f>
        <v>41178.99861</v>
      </c>
      <c r="B797" s="1">
        <f>IFERROR(__xludf.DUMMYFUNCTION("""COMPUTED_VALUE"""),0.4650153237)</f>
        <v>0.4650153237</v>
      </c>
    </row>
    <row r="798">
      <c r="A798" s="3">
        <f>IFERROR(__xludf.DUMMYFUNCTION("""COMPUTED_VALUE"""),41179.99861111111)</f>
        <v>41179.99861</v>
      </c>
      <c r="B798" s="1">
        <f>IFERROR(__xludf.DUMMYFUNCTION("""COMPUTED_VALUE"""),0.4658241417)</f>
        <v>0.4658241417</v>
      </c>
    </row>
    <row r="799">
      <c r="A799" s="3">
        <f>IFERROR(__xludf.DUMMYFUNCTION("""COMPUTED_VALUE"""),41180.99861111111)</f>
        <v>41180.99861</v>
      </c>
      <c r="B799" s="1">
        <f>IFERROR(__xludf.DUMMYFUNCTION("""COMPUTED_VALUE"""),0.4615793721)</f>
        <v>0.4615793721</v>
      </c>
    </row>
    <row r="800">
      <c r="A800" s="3">
        <f>IFERROR(__xludf.DUMMYFUNCTION("""COMPUTED_VALUE"""),41181.99861111111)</f>
        <v>41181.99861</v>
      </c>
      <c r="B800" s="1">
        <f>IFERROR(__xludf.DUMMYFUNCTION("""COMPUTED_VALUE"""),0.4615793721)</f>
        <v>0.4615793721</v>
      </c>
    </row>
    <row r="801">
      <c r="A801" s="3">
        <f>IFERROR(__xludf.DUMMYFUNCTION("""COMPUTED_VALUE"""),41183.99861111111)</f>
        <v>41183.99861</v>
      </c>
      <c r="B801" s="1">
        <f>IFERROR(__xludf.DUMMYFUNCTION("""COMPUTED_VALUE"""),0.4582773425)</f>
        <v>0.4582773425</v>
      </c>
    </row>
    <row r="802">
      <c r="A802" s="3">
        <f>IFERROR(__xludf.DUMMYFUNCTION("""COMPUTED_VALUE"""),41184.99861111111)</f>
        <v>41184.99861</v>
      </c>
      <c r="B802" s="1">
        <f>IFERROR(__xludf.DUMMYFUNCTION("""COMPUTED_VALUE"""),0.4641815703)</f>
        <v>0.4641815703</v>
      </c>
    </row>
    <row r="803">
      <c r="A803" s="3">
        <f>IFERROR(__xludf.DUMMYFUNCTION("""COMPUTED_VALUE"""),41185.99861111111)</f>
        <v>41185.99861</v>
      </c>
      <c r="B803" s="1">
        <f>IFERROR(__xludf.DUMMYFUNCTION("""COMPUTED_VALUE"""),0.4643294372)</f>
        <v>0.4643294372</v>
      </c>
    </row>
    <row r="804">
      <c r="A804" s="3">
        <f>IFERROR(__xludf.DUMMYFUNCTION("""COMPUTED_VALUE"""),41186.99861111111)</f>
        <v>41186.99861</v>
      </c>
      <c r="B804" s="1">
        <f>IFERROR(__xludf.DUMMYFUNCTION("""COMPUTED_VALUE"""),0.4670884172)</f>
        <v>0.4670884172</v>
      </c>
    </row>
    <row r="805">
      <c r="A805" s="3">
        <f>IFERROR(__xludf.DUMMYFUNCTION("""COMPUTED_VALUE"""),41187.99861111111)</f>
        <v>41187.99861</v>
      </c>
      <c r="B805" s="1">
        <f>IFERROR(__xludf.DUMMYFUNCTION("""COMPUTED_VALUE"""),0.4589251352)</f>
        <v>0.4589251352</v>
      </c>
    </row>
    <row r="806">
      <c r="A806" s="3">
        <f>IFERROR(__xludf.DUMMYFUNCTION("""COMPUTED_VALUE"""),41189.99861111111)</f>
        <v>41189.99861</v>
      </c>
      <c r="B806" s="1">
        <f>IFERROR(__xludf.DUMMYFUNCTION("""COMPUTED_VALUE"""),0.4582618798)</f>
        <v>0.4582618798</v>
      </c>
    </row>
    <row r="807">
      <c r="A807" s="3">
        <f>IFERROR(__xludf.DUMMYFUNCTION("""COMPUTED_VALUE"""),41190.99861111111)</f>
        <v>41190.99861</v>
      </c>
      <c r="B807" s="1">
        <f>IFERROR(__xludf.DUMMYFUNCTION("""COMPUTED_VALUE"""),0.4651746575)</f>
        <v>0.4651746575</v>
      </c>
    </row>
    <row r="808">
      <c r="A808" s="3">
        <f>IFERROR(__xludf.DUMMYFUNCTION("""COMPUTED_VALUE"""),41191.99861111111)</f>
        <v>41191.99861</v>
      </c>
      <c r="B808" s="1">
        <f>IFERROR(__xludf.DUMMYFUNCTION("""COMPUTED_VALUE"""),0.4633800002)</f>
        <v>0.4633800002</v>
      </c>
    </row>
    <row r="809">
      <c r="A809" s="3">
        <f>IFERROR(__xludf.DUMMYFUNCTION("""COMPUTED_VALUE"""),41192.99861111111)</f>
        <v>41192.99861</v>
      </c>
      <c r="B809" s="1">
        <f>IFERROR(__xludf.DUMMYFUNCTION("""COMPUTED_VALUE"""),0.4655825491)</f>
        <v>0.4655825491</v>
      </c>
    </row>
    <row r="810">
      <c r="A810" s="3">
        <f>IFERROR(__xludf.DUMMYFUNCTION("""COMPUTED_VALUE"""),41193.99861111111)</f>
        <v>41193.99861</v>
      </c>
      <c r="B810" s="1">
        <f>IFERROR(__xludf.DUMMYFUNCTION("""COMPUTED_VALUE"""),0.4654406311)</f>
        <v>0.4654406311</v>
      </c>
    </row>
    <row r="811">
      <c r="A811" s="3">
        <f>IFERROR(__xludf.DUMMYFUNCTION("""COMPUTED_VALUE"""),41194.99861111111)</f>
        <v>41194.99861</v>
      </c>
      <c r="B811" s="1">
        <f>IFERROR(__xludf.DUMMYFUNCTION("""COMPUTED_VALUE"""),0.4645045179)</f>
        <v>0.4645045179</v>
      </c>
    </row>
    <row r="812">
      <c r="A812" s="3">
        <f>IFERROR(__xludf.DUMMYFUNCTION("""COMPUTED_VALUE"""),41195.99861111111)</f>
        <v>41195.99861</v>
      </c>
      <c r="B812" s="1">
        <f>IFERROR(__xludf.DUMMYFUNCTION("""COMPUTED_VALUE"""),0.4645948797)</f>
        <v>0.4645948797</v>
      </c>
    </row>
    <row r="813">
      <c r="A813" s="3">
        <f>IFERROR(__xludf.DUMMYFUNCTION("""COMPUTED_VALUE"""),41196.99861111111)</f>
        <v>41196.99861</v>
      </c>
      <c r="B813" s="1">
        <f>IFERROR(__xludf.DUMMYFUNCTION("""COMPUTED_VALUE"""),0.4657839664)</f>
        <v>0.4657839664</v>
      </c>
    </row>
    <row r="814">
      <c r="A814" s="3">
        <f>IFERROR(__xludf.DUMMYFUNCTION("""COMPUTED_VALUE"""),41197.99861111111)</f>
        <v>41197.99861</v>
      </c>
      <c r="B814" s="1">
        <f>IFERROR(__xludf.DUMMYFUNCTION("""COMPUTED_VALUE"""),0.4648966611)</f>
        <v>0.4648966611</v>
      </c>
    </row>
    <row r="815">
      <c r="A815" s="3">
        <f>IFERROR(__xludf.DUMMYFUNCTION("""COMPUTED_VALUE"""),41198.99861111111)</f>
        <v>41198.99861</v>
      </c>
      <c r="B815" s="1">
        <f>IFERROR(__xludf.DUMMYFUNCTION("""COMPUTED_VALUE"""),0.467907154)</f>
        <v>0.467907154</v>
      </c>
    </row>
    <row r="816">
      <c r="A816" s="3">
        <f>IFERROR(__xludf.DUMMYFUNCTION("""COMPUTED_VALUE"""),41199.99861111111)</f>
        <v>41199.99861</v>
      </c>
      <c r="B816" s="1">
        <f>IFERROR(__xludf.DUMMYFUNCTION("""COMPUTED_VALUE"""),0.4646037016)</f>
        <v>0.4646037016</v>
      </c>
    </row>
    <row r="817">
      <c r="A817" s="3">
        <f>IFERROR(__xludf.DUMMYFUNCTION("""COMPUTED_VALUE"""),41200.99861111111)</f>
        <v>41200.99861</v>
      </c>
      <c r="B817" s="1">
        <f>IFERROR(__xludf.DUMMYFUNCTION("""COMPUTED_VALUE"""),0.4638683937)</f>
        <v>0.4638683937</v>
      </c>
    </row>
    <row r="818">
      <c r="A818" s="3">
        <f>IFERROR(__xludf.DUMMYFUNCTION("""COMPUTED_VALUE"""),41201.99861111111)</f>
        <v>41201.99861</v>
      </c>
      <c r="B818" s="1">
        <f>IFERROR(__xludf.DUMMYFUNCTION("""COMPUTED_VALUE"""),0.4598673389)</f>
        <v>0.4598673389</v>
      </c>
    </row>
    <row r="819">
      <c r="A819" s="3">
        <f>IFERROR(__xludf.DUMMYFUNCTION("""COMPUTED_VALUE"""),41202.99861111111)</f>
        <v>41202.99861</v>
      </c>
      <c r="B819" s="1">
        <f>IFERROR(__xludf.DUMMYFUNCTION("""COMPUTED_VALUE"""),0.4646230037)</f>
        <v>0.4646230037</v>
      </c>
    </row>
    <row r="820">
      <c r="A820" s="3">
        <f>IFERROR(__xludf.DUMMYFUNCTION("""COMPUTED_VALUE"""),41203.99861111111)</f>
        <v>41203.99861</v>
      </c>
      <c r="B820" s="1">
        <f>IFERROR(__xludf.DUMMYFUNCTION("""COMPUTED_VALUE"""),0.4660148614)</f>
        <v>0.4660148614</v>
      </c>
    </row>
    <row r="821">
      <c r="A821" s="3">
        <f>IFERROR(__xludf.DUMMYFUNCTION("""COMPUTED_VALUE"""),41204.99861111111)</f>
        <v>41204.99861</v>
      </c>
      <c r="B821" s="1">
        <f>IFERROR(__xludf.DUMMYFUNCTION("""COMPUTED_VALUE"""),0.465894712)</f>
        <v>0.465894712</v>
      </c>
    </row>
    <row r="822">
      <c r="A822" s="3">
        <f>IFERROR(__xludf.DUMMYFUNCTION("""COMPUTED_VALUE"""),41205.99861111111)</f>
        <v>41205.99861</v>
      </c>
      <c r="B822" s="1">
        <f>IFERROR(__xludf.DUMMYFUNCTION("""COMPUTED_VALUE"""),0.4604807684)</f>
        <v>0.4604807684</v>
      </c>
    </row>
    <row r="823">
      <c r="A823" s="3">
        <f>IFERROR(__xludf.DUMMYFUNCTION("""COMPUTED_VALUE"""),41206.99861111111)</f>
        <v>41206.99861</v>
      </c>
      <c r="B823" s="1">
        <f>IFERROR(__xludf.DUMMYFUNCTION("""COMPUTED_VALUE"""),0.4603748171)</f>
        <v>0.4603748171</v>
      </c>
    </row>
    <row r="824">
      <c r="A824" s="3">
        <f>IFERROR(__xludf.DUMMYFUNCTION("""COMPUTED_VALUE"""),41207.99861111111)</f>
        <v>41207.99861</v>
      </c>
      <c r="B824" s="1">
        <f>IFERROR(__xludf.DUMMYFUNCTION("""COMPUTED_VALUE"""),0.4640786984)</f>
        <v>0.4640786984</v>
      </c>
    </row>
    <row r="825">
      <c r="A825" s="3">
        <f>IFERROR(__xludf.DUMMYFUNCTION("""COMPUTED_VALUE"""),41208.99861111111)</f>
        <v>41208.99861</v>
      </c>
      <c r="B825" s="1">
        <f>IFERROR(__xludf.DUMMYFUNCTION("""COMPUTED_VALUE"""),0.4681849272)</f>
        <v>0.4681849272</v>
      </c>
    </row>
    <row r="826">
      <c r="A826" s="3">
        <f>IFERROR(__xludf.DUMMYFUNCTION("""COMPUTED_VALUE"""),41209.99861111111)</f>
        <v>41209.99861</v>
      </c>
      <c r="B826" s="1">
        <f>IFERROR(__xludf.DUMMYFUNCTION("""COMPUTED_VALUE"""),0.4682535775)</f>
        <v>0.4682535775</v>
      </c>
    </row>
    <row r="827">
      <c r="A827" s="3">
        <f>IFERROR(__xludf.DUMMYFUNCTION("""COMPUTED_VALUE"""),41211.99861111111)</f>
        <v>41211.99861</v>
      </c>
      <c r="B827" s="1">
        <f>IFERROR(__xludf.DUMMYFUNCTION("""COMPUTED_VALUE"""),0.4664425862)</f>
        <v>0.4664425862</v>
      </c>
    </row>
    <row r="828">
      <c r="A828" s="3">
        <f>IFERROR(__xludf.DUMMYFUNCTION("""COMPUTED_VALUE"""),41212.99861111111)</f>
        <v>41212.99861</v>
      </c>
      <c r="B828" s="1">
        <f>IFERROR(__xludf.DUMMYFUNCTION("""COMPUTED_VALUE"""),0.4674680507)</f>
        <v>0.4674680507</v>
      </c>
    </row>
    <row r="829">
      <c r="A829" s="3">
        <f>IFERROR(__xludf.DUMMYFUNCTION("""COMPUTED_VALUE"""),41213.99861111111)</f>
        <v>41213.99861</v>
      </c>
      <c r="B829" s="1">
        <f>IFERROR(__xludf.DUMMYFUNCTION("""COMPUTED_VALUE"""),0.4643359308)</f>
        <v>0.4643359308</v>
      </c>
    </row>
    <row r="830">
      <c r="A830" s="3">
        <f>IFERROR(__xludf.DUMMYFUNCTION("""COMPUTED_VALUE"""),41214.99861111111)</f>
        <v>41214.99861</v>
      </c>
      <c r="B830" s="1">
        <f>IFERROR(__xludf.DUMMYFUNCTION("""COMPUTED_VALUE"""),0.4661272278)</f>
        <v>0.4661272278</v>
      </c>
    </row>
    <row r="831">
      <c r="A831" s="3">
        <f>IFERROR(__xludf.DUMMYFUNCTION("""COMPUTED_VALUE"""),41215.99861111111)</f>
        <v>41215.99861</v>
      </c>
      <c r="B831" s="1">
        <f>IFERROR(__xludf.DUMMYFUNCTION("""COMPUTED_VALUE"""),0.4650075169)</f>
        <v>0.4650075169</v>
      </c>
    </row>
    <row r="832">
      <c r="A832" s="3">
        <f>IFERROR(__xludf.DUMMYFUNCTION("""COMPUTED_VALUE"""),41216.99861111111)</f>
        <v>41216.99861</v>
      </c>
      <c r="B832" s="1">
        <f>IFERROR(__xludf.DUMMYFUNCTION("""COMPUTED_VALUE"""),0.4651952395)</f>
        <v>0.4651952395</v>
      </c>
    </row>
    <row r="833">
      <c r="A833" s="3">
        <f>IFERROR(__xludf.DUMMYFUNCTION("""COMPUTED_VALUE"""),41217.99861111111)</f>
        <v>41217.99861</v>
      </c>
      <c r="B833" s="1">
        <f>IFERROR(__xludf.DUMMYFUNCTION("""COMPUTED_VALUE"""),0.4642763499)</f>
        <v>0.4642763499</v>
      </c>
    </row>
    <row r="834">
      <c r="A834" s="3">
        <f>IFERROR(__xludf.DUMMYFUNCTION("""COMPUTED_VALUE"""),41218.99861111111)</f>
        <v>41218.99861</v>
      </c>
      <c r="B834" s="1">
        <f>IFERROR(__xludf.DUMMYFUNCTION("""COMPUTED_VALUE"""),0.4673032803)</f>
        <v>0.4673032803</v>
      </c>
    </row>
    <row r="835">
      <c r="A835" s="3">
        <f>IFERROR(__xludf.DUMMYFUNCTION("""COMPUTED_VALUE"""),41219.99861111111)</f>
        <v>41219.99861</v>
      </c>
      <c r="B835" s="1">
        <f>IFERROR(__xludf.DUMMYFUNCTION("""COMPUTED_VALUE"""),0.467150511)</f>
        <v>0.467150511</v>
      </c>
    </row>
    <row r="836">
      <c r="A836" s="3">
        <f>IFERROR(__xludf.DUMMYFUNCTION("""COMPUTED_VALUE"""),41220.99861111111)</f>
        <v>41220.99861</v>
      </c>
      <c r="B836" s="1">
        <f>IFERROR(__xludf.DUMMYFUNCTION("""COMPUTED_VALUE"""),0.4603701915)</f>
        <v>0.4603701915</v>
      </c>
    </row>
    <row r="837">
      <c r="A837" s="3">
        <f>IFERROR(__xludf.DUMMYFUNCTION("""COMPUTED_VALUE"""),41221.99861111111)</f>
        <v>41221.99861</v>
      </c>
      <c r="B837" s="1">
        <f>IFERROR(__xludf.DUMMYFUNCTION("""COMPUTED_VALUE"""),0.4677643997)</f>
        <v>0.4677643997</v>
      </c>
    </row>
    <row r="838">
      <c r="A838" s="3">
        <f>IFERROR(__xludf.DUMMYFUNCTION("""COMPUTED_VALUE"""),41222.99861111111)</f>
        <v>41222.99861</v>
      </c>
      <c r="B838" s="1">
        <f>IFERROR(__xludf.DUMMYFUNCTION("""COMPUTED_VALUE"""),0.4671748656)</f>
        <v>0.4671748656</v>
      </c>
    </row>
    <row r="839">
      <c r="A839" s="3">
        <f>IFERROR(__xludf.DUMMYFUNCTION("""COMPUTED_VALUE"""),41223.99861111111)</f>
        <v>41223.99861</v>
      </c>
      <c r="B839" s="1">
        <f>IFERROR(__xludf.DUMMYFUNCTION("""COMPUTED_VALUE"""),0.4672965439)</f>
        <v>0.4672965439</v>
      </c>
    </row>
    <row r="840">
      <c r="A840" s="3">
        <f>IFERROR(__xludf.DUMMYFUNCTION("""COMPUTED_VALUE"""),41224.99861111111)</f>
        <v>41224.99861</v>
      </c>
      <c r="B840" s="1">
        <f>IFERROR(__xludf.DUMMYFUNCTION("""COMPUTED_VALUE"""),0.4696177162)</f>
        <v>0.4696177162</v>
      </c>
    </row>
    <row r="841">
      <c r="A841" s="3">
        <f>IFERROR(__xludf.DUMMYFUNCTION("""COMPUTED_VALUE"""),41225.99861111111)</f>
        <v>41225.99861</v>
      </c>
      <c r="B841" s="1">
        <f>IFERROR(__xludf.DUMMYFUNCTION("""COMPUTED_VALUE"""),0.4669214653)</f>
        <v>0.4669214653</v>
      </c>
    </row>
    <row r="842">
      <c r="A842" s="3">
        <f>IFERROR(__xludf.DUMMYFUNCTION("""COMPUTED_VALUE"""),41226.99861111111)</f>
        <v>41226.99861</v>
      </c>
      <c r="B842" s="1">
        <f>IFERROR(__xludf.DUMMYFUNCTION("""COMPUTED_VALUE"""),0.4667704399)</f>
        <v>0.4667704399</v>
      </c>
    </row>
    <row r="843">
      <c r="A843" s="3">
        <f>IFERROR(__xludf.DUMMYFUNCTION("""COMPUTED_VALUE"""),41227.99861111111)</f>
        <v>41227.99861</v>
      </c>
      <c r="B843" s="1">
        <f>IFERROR(__xludf.DUMMYFUNCTION("""COMPUTED_VALUE"""),0.4670154754)</f>
        <v>0.4670154754</v>
      </c>
    </row>
    <row r="844">
      <c r="A844" s="3">
        <f>IFERROR(__xludf.DUMMYFUNCTION("""COMPUTED_VALUE"""),41228.99861111111)</f>
        <v>41228.99861</v>
      </c>
      <c r="B844" s="1">
        <f>IFERROR(__xludf.DUMMYFUNCTION("""COMPUTED_VALUE"""),0.4609896689)</f>
        <v>0.4609896689</v>
      </c>
    </row>
    <row r="845">
      <c r="A845" s="3">
        <f>IFERROR(__xludf.DUMMYFUNCTION("""COMPUTED_VALUE"""),41229.99861111111)</f>
        <v>41229.99861</v>
      </c>
      <c r="B845" s="1">
        <f>IFERROR(__xludf.DUMMYFUNCTION("""COMPUTED_VALUE"""),0.4673857939)</f>
        <v>0.4673857939</v>
      </c>
    </row>
    <row r="846">
      <c r="A846" s="3">
        <f>IFERROR(__xludf.DUMMYFUNCTION("""COMPUTED_VALUE"""),41230.99861111111)</f>
        <v>41230.99861</v>
      </c>
      <c r="B846" s="1">
        <f>IFERROR(__xludf.DUMMYFUNCTION("""COMPUTED_VALUE"""),0.4676995008)</f>
        <v>0.4676995008</v>
      </c>
    </row>
    <row r="847">
      <c r="A847" s="3">
        <f>IFERROR(__xludf.DUMMYFUNCTION("""COMPUTED_VALUE"""),41232.99861111111)</f>
        <v>41232.99861</v>
      </c>
      <c r="B847" s="1">
        <f>IFERROR(__xludf.DUMMYFUNCTION("""COMPUTED_VALUE"""),0.4673498138)</f>
        <v>0.4673498138</v>
      </c>
    </row>
    <row r="848">
      <c r="A848" s="3">
        <f>IFERROR(__xludf.DUMMYFUNCTION("""COMPUTED_VALUE"""),41233.99861111111)</f>
        <v>41233.99861</v>
      </c>
      <c r="B848" s="1">
        <f>IFERROR(__xludf.DUMMYFUNCTION("""COMPUTED_VALUE"""),0.4676616607)</f>
        <v>0.4676616607</v>
      </c>
    </row>
    <row r="849">
      <c r="A849" s="3">
        <f>IFERROR(__xludf.DUMMYFUNCTION("""COMPUTED_VALUE"""),41234.99861111111)</f>
        <v>41234.99861</v>
      </c>
      <c r="B849" s="1">
        <f>IFERROR(__xludf.DUMMYFUNCTION("""COMPUTED_VALUE"""),0.4685609678)</f>
        <v>0.4685609678</v>
      </c>
    </row>
    <row r="850">
      <c r="A850" s="3">
        <f>IFERROR(__xludf.DUMMYFUNCTION("""COMPUTED_VALUE"""),41235.99861111111)</f>
        <v>41235.99861</v>
      </c>
      <c r="B850" s="1">
        <f>IFERROR(__xludf.DUMMYFUNCTION("""COMPUTED_VALUE"""),0.4671696255)</f>
        <v>0.4671696255</v>
      </c>
    </row>
    <row r="851">
      <c r="A851" s="3">
        <f>IFERROR(__xludf.DUMMYFUNCTION("""COMPUTED_VALUE"""),41236.99861111111)</f>
        <v>41236.99861</v>
      </c>
      <c r="B851" s="1">
        <f>IFERROR(__xludf.DUMMYFUNCTION("""COMPUTED_VALUE"""),0.4687166623)</f>
        <v>0.4687166623</v>
      </c>
    </row>
    <row r="852">
      <c r="A852" s="3">
        <f>IFERROR(__xludf.DUMMYFUNCTION("""COMPUTED_VALUE"""),41237.99861111111)</f>
        <v>41237.99861</v>
      </c>
      <c r="B852" s="1">
        <f>IFERROR(__xludf.DUMMYFUNCTION("""COMPUTED_VALUE"""),0.4687545817)</f>
        <v>0.4687545817</v>
      </c>
    </row>
    <row r="853">
      <c r="A853" s="3">
        <f>IFERROR(__xludf.DUMMYFUNCTION("""COMPUTED_VALUE"""),41239.99861111111)</f>
        <v>41239.99861</v>
      </c>
      <c r="B853" s="1">
        <f>IFERROR(__xludf.DUMMYFUNCTION("""COMPUTED_VALUE"""),0.4669968247)</f>
        <v>0.4669968247</v>
      </c>
    </row>
    <row r="854">
      <c r="A854" s="3">
        <f>IFERROR(__xludf.DUMMYFUNCTION("""COMPUTED_VALUE"""),41240.99861111111)</f>
        <v>41240.99861</v>
      </c>
      <c r="B854" s="1">
        <f>IFERROR(__xludf.DUMMYFUNCTION("""COMPUTED_VALUE"""),0.4598462627)</f>
        <v>0.4598462627</v>
      </c>
    </row>
    <row r="855">
      <c r="A855" s="3">
        <f>IFERROR(__xludf.DUMMYFUNCTION("""COMPUTED_VALUE"""),41241.99861111111)</f>
        <v>41241.99861</v>
      </c>
      <c r="B855" s="1">
        <f>IFERROR(__xludf.DUMMYFUNCTION("""COMPUTED_VALUE"""),0.4683188123)</f>
        <v>0.4683188123</v>
      </c>
    </row>
    <row r="856">
      <c r="A856" s="3">
        <f>IFERROR(__xludf.DUMMYFUNCTION("""COMPUTED_VALUE"""),41242.99861111111)</f>
        <v>41242.99861</v>
      </c>
      <c r="B856" s="1">
        <f>IFERROR(__xludf.DUMMYFUNCTION("""COMPUTED_VALUE"""),0.4655803084)</f>
        <v>0.4655803084</v>
      </c>
    </row>
    <row r="857">
      <c r="A857" s="3">
        <f>IFERROR(__xludf.DUMMYFUNCTION("""COMPUTED_VALUE"""),41243.99861111111)</f>
        <v>41243.99861</v>
      </c>
      <c r="B857" s="1">
        <f>IFERROR(__xludf.DUMMYFUNCTION("""COMPUTED_VALUE"""),0.4656345691)</f>
        <v>0.4656345691</v>
      </c>
    </row>
    <row r="858">
      <c r="A858" s="3">
        <f>IFERROR(__xludf.DUMMYFUNCTION("""COMPUTED_VALUE"""),41244.99861111111)</f>
        <v>41244.99861</v>
      </c>
      <c r="B858" s="1">
        <f>IFERROR(__xludf.DUMMYFUNCTION("""COMPUTED_VALUE"""),0.4651694049)</f>
        <v>0.4651694049</v>
      </c>
    </row>
    <row r="859">
      <c r="A859" s="3">
        <f>IFERROR(__xludf.DUMMYFUNCTION("""COMPUTED_VALUE"""),41246.99861111111)</f>
        <v>41246.99861</v>
      </c>
      <c r="B859" s="1">
        <f>IFERROR(__xludf.DUMMYFUNCTION("""COMPUTED_VALUE"""),0.4604380228)</f>
        <v>0.4604380228</v>
      </c>
    </row>
    <row r="860">
      <c r="A860" s="3">
        <f>IFERROR(__xludf.DUMMYFUNCTION("""COMPUTED_VALUE"""),41247.99861111111)</f>
        <v>41247.99861</v>
      </c>
      <c r="B860" s="1">
        <f>IFERROR(__xludf.DUMMYFUNCTION("""COMPUTED_VALUE"""),0.466458773)</f>
        <v>0.466458773</v>
      </c>
    </row>
    <row r="861">
      <c r="A861" s="3">
        <f>IFERROR(__xludf.DUMMYFUNCTION("""COMPUTED_VALUE"""),41248.99861111111)</f>
        <v>41248.99861</v>
      </c>
      <c r="B861" s="1">
        <f>IFERROR(__xludf.DUMMYFUNCTION("""COMPUTED_VALUE"""),0.4603559393)</f>
        <v>0.4603559393</v>
      </c>
    </row>
    <row r="862">
      <c r="A862" s="3">
        <f>IFERROR(__xludf.DUMMYFUNCTION("""COMPUTED_VALUE"""),41249.99861111111)</f>
        <v>41249.99861</v>
      </c>
      <c r="B862" s="1">
        <f>IFERROR(__xludf.DUMMYFUNCTION("""COMPUTED_VALUE"""),0.4630243555)</f>
        <v>0.4630243555</v>
      </c>
    </row>
    <row r="863">
      <c r="A863" s="3">
        <f>IFERROR(__xludf.DUMMYFUNCTION("""COMPUTED_VALUE"""),41250.99861111111)</f>
        <v>41250.99861</v>
      </c>
      <c r="B863" s="1">
        <f>IFERROR(__xludf.DUMMYFUNCTION("""COMPUTED_VALUE"""),0.4610574294)</f>
        <v>0.4610574294</v>
      </c>
    </row>
    <row r="864">
      <c r="A864" s="3">
        <f>IFERROR(__xludf.DUMMYFUNCTION("""COMPUTED_VALUE"""),41251.99861111111)</f>
        <v>41251.99861</v>
      </c>
      <c r="B864" s="1">
        <f>IFERROR(__xludf.DUMMYFUNCTION("""COMPUTED_VALUE"""),0.4672737846)</f>
        <v>0.4672737846</v>
      </c>
    </row>
    <row r="865">
      <c r="A865" s="3">
        <f>IFERROR(__xludf.DUMMYFUNCTION("""COMPUTED_VALUE"""),41253.99861111111)</f>
        <v>41253.99861</v>
      </c>
      <c r="B865" s="1">
        <f>IFERROR(__xludf.DUMMYFUNCTION("""COMPUTED_VALUE"""),0.4687890625)</f>
        <v>0.4687890625</v>
      </c>
    </row>
    <row r="866">
      <c r="A866" s="3">
        <f>IFERROR(__xludf.DUMMYFUNCTION("""COMPUTED_VALUE"""),41254.99861111111)</f>
        <v>41254.99861</v>
      </c>
      <c r="B866" s="1">
        <f>IFERROR(__xludf.DUMMYFUNCTION("""COMPUTED_VALUE"""),0.4680179232)</f>
        <v>0.4680179232</v>
      </c>
    </row>
    <row r="867">
      <c r="A867" s="3">
        <f>IFERROR(__xludf.DUMMYFUNCTION("""COMPUTED_VALUE"""),41255.99861111111)</f>
        <v>41255.99861</v>
      </c>
      <c r="B867" s="1">
        <f>IFERROR(__xludf.DUMMYFUNCTION("""COMPUTED_VALUE"""),0.4693191232)</f>
        <v>0.4693191232</v>
      </c>
    </row>
    <row r="868">
      <c r="A868" s="3">
        <f>IFERROR(__xludf.DUMMYFUNCTION("""COMPUTED_VALUE"""),41256.99861111111)</f>
        <v>41256.99861</v>
      </c>
      <c r="B868" s="1">
        <f>IFERROR(__xludf.DUMMYFUNCTION("""COMPUTED_VALUE"""),0.4683389309)</f>
        <v>0.4683389309</v>
      </c>
    </row>
    <row r="869">
      <c r="A869" s="3">
        <f>IFERROR(__xludf.DUMMYFUNCTION("""COMPUTED_VALUE"""),41257.99861111111)</f>
        <v>41257.99861</v>
      </c>
      <c r="B869" s="1">
        <f>IFERROR(__xludf.DUMMYFUNCTION("""COMPUTED_VALUE"""),0.4705219812)</f>
        <v>0.4705219812</v>
      </c>
    </row>
    <row r="870">
      <c r="A870" s="3">
        <f>IFERROR(__xludf.DUMMYFUNCTION("""COMPUTED_VALUE"""),41258.99861111111)</f>
        <v>41258.99861</v>
      </c>
      <c r="B870" s="1">
        <f>IFERROR(__xludf.DUMMYFUNCTION("""COMPUTED_VALUE"""),0.4705121878)</f>
        <v>0.4705121878</v>
      </c>
    </row>
    <row r="871">
      <c r="A871" s="3">
        <f>IFERROR(__xludf.DUMMYFUNCTION("""COMPUTED_VALUE"""),41260.99861111111)</f>
        <v>41260.99861</v>
      </c>
      <c r="B871" s="1">
        <f>IFERROR(__xludf.DUMMYFUNCTION("""COMPUTED_VALUE"""),0.4683200086)</f>
        <v>0.4683200086</v>
      </c>
    </row>
    <row r="872">
      <c r="A872" s="3">
        <f>IFERROR(__xludf.DUMMYFUNCTION("""COMPUTED_VALUE"""),41261.99861111111)</f>
        <v>41261.99861</v>
      </c>
      <c r="B872" s="1">
        <f>IFERROR(__xludf.DUMMYFUNCTION("""COMPUTED_VALUE"""),0.4698607282)</f>
        <v>0.4698607282</v>
      </c>
    </row>
    <row r="873">
      <c r="A873" s="3">
        <f>IFERROR(__xludf.DUMMYFUNCTION("""COMPUTED_VALUE"""),41262.99861111111)</f>
        <v>41262.99861</v>
      </c>
      <c r="B873" s="1">
        <f>IFERROR(__xludf.DUMMYFUNCTION("""COMPUTED_VALUE"""),0.4658581409)</f>
        <v>0.4658581409</v>
      </c>
    </row>
    <row r="874">
      <c r="A874" s="3">
        <f>IFERROR(__xludf.DUMMYFUNCTION("""COMPUTED_VALUE"""),41263.99861111111)</f>
        <v>41263.99861</v>
      </c>
      <c r="B874" s="1">
        <f>IFERROR(__xludf.DUMMYFUNCTION("""COMPUTED_VALUE"""),0.4624699636)</f>
        <v>0.4624699636</v>
      </c>
    </row>
    <row r="875">
      <c r="A875" s="3">
        <f>IFERROR(__xludf.DUMMYFUNCTION("""COMPUTED_VALUE"""),41264.99861111111)</f>
        <v>41264.99861</v>
      </c>
      <c r="B875" s="1">
        <f>IFERROR(__xludf.DUMMYFUNCTION("""COMPUTED_VALUE"""),0.462701265)</f>
        <v>0.462701265</v>
      </c>
    </row>
    <row r="876">
      <c r="A876" s="3">
        <f>IFERROR(__xludf.DUMMYFUNCTION("""COMPUTED_VALUE"""),41267.99861111111)</f>
        <v>41267.99861</v>
      </c>
      <c r="B876" s="1">
        <f>IFERROR(__xludf.DUMMYFUNCTION("""COMPUTED_VALUE"""),0.4675889428)</f>
        <v>0.4675889428</v>
      </c>
    </row>
    <row r="877">
      <c r="A877" s="3">
        <f>IFERROR(__xludf.DUMMYFUNCTION("""COMPUTED_VALUE"""),41268.99861111111)</f>
        <v>41268.99861</v>
      </c>
      <c r="B877" s="1">
        <f>IFERROR(__xludf.DUMMYFUNCTION("""COMPUTED_VALUE"""),0.467409239)</f>
        <v>0.467409239</v>
      </c>
    </row>
    <row r="878">
      <c r="A878" s="3">
        <f>IFERROR(__xludf.DUMMYFUNCTION("""COMPUTED_VALUE"""),41269.99861111111)</f>
        <v>41269.99861</v>
      </c>
      <c r="B878" s="1">
        <f>IFERROR(__xludf.DUMMYFUNCTION("""COMPUTED_VALUE"""),0.4628214284)</f>
        <v>0.4628214284</v>
      </c>
    </row>
    <row r="879">
      <c r="A879" s="3">
        <f>IFERROR(__xludf.DUMMYFUNCTION("""COMPUTED_VALUE"""),41270.99861111111)</f>
        <v>41270.99861</v>
      </c>
      <c r="B879" s="1">
        <f>IFERROR(__xludf.DUMMYFUNCTION("""COMPUTED_VALUE"""),0.4683471063)</f>
        <v>0.4683471063</v>
      </c>
    </row>
    <row r="880">
      <c r="A880" s="3">
        <f>IFERROR(__xludf.DUMMYFUNCTION("""COMPUTED_VALUE"""),41271.99861111111)</f>
        <v>41271.99861</v>
      </c>
      <c r="B880" s="1">
        <f>IFERROR(__xludf.DUMMYFUNCTION("""COMPUTED_VALUE"""),0.4702607595)</f>
        <v>0.4702607595</v>
      </c>
    </row>
    <row r="881">
      <c r="A881" s="3">
        <f>IFERROR(__xludf.DUMMYFUNCTION("""COMPUTED_VALUE"""),41272.99861111111)</f>
        <v>41272.99861</v>
      </c>
      <c r="B881" s="1">
        <f>IFERROR(__xludf.DUMMYFUNCTION("""COMPUTED_VALUE"""),0.4694339933)</f>
        <v>0.4694339933</v>
      </c>
    </row>
    <row r="882">
      <c r="A882" s="3">
        <f>IFERROR(__xludf.DUMMYFUNCTION("""COMPUTED_VALUE"""),41274.99861111111)</f>
        <v>41274.99861</v>
      </c>
      <c r="B882" s="1">
        <f>IFERROR(__xludf.DUMMYFUNCTION("""COMPUTED_VALUE"""),0.4683889753)</f>
        <v>0.4683889753</v>
      </c>
    </row>
    <row r="883">
      <c r="A883" s="3">
        <f>IFERROR(__xludf.DUMMYFUNCTION("""COMPUTED_VALUE"""),41275.99861111111)</f>
        <v>41275.99861</v>
      </c>
      <c r="B883" s="1">
        <f>IFERROR(__xludf.DUMMYFUNCTION("""COMPUTED_VALUE"""),0.4688231772)</f>
        <v>0.4688231772</v>
      </c>
    </row>
    <row r="884">
      <c r="A884" s="3">
        <f>IFERROR(__xludf.DUMMYFUNCTION("""COMPUTED_VALUE"""),41276.99861111111)</f>
        <v>41276.99861</v>
      </c>
      <c r="B884" s="1">
        <f>IFERROR(__xludf.DUMMYFUNCTION("""COMPUTED_VALUE"""),0.4662741627)</f>
        <v>0.4662741627</v>
      </c>
    </row>
    <row r="885">
      <c r="A885" s="3">
        <f>IFERROR(__xludf.DUMMYFUNCTION("""COMPUTED_VALUE"""),41277.99861111111)</f>
        <v>41277.99861</v>
      </c>
      <c r="B885" s="1">
        <f>IFERROR(__xludf.DUMMYFUNCTION("""COMPUTED_VALUE"""),0.4626916519)</f>
        <v>0.4626916519</v>
      </c>
    </row>
    <row r="886">
      <c r="A886" s="3">
        <f>IFERROR(__xludf.DUMMYFUNCTION("""COMPUTED_VALUE"""),41278.99861111111)</f>
        <v>41278.99861</v>
      </c>
      <c r="B886" s="1">
        <f>IFERROR(__xludf.DUMMYFUNCTION("""COMPUTED_VALUE"""),0.4715495227)</f>
        <v>0.4715495227</v>
      </c>
    </row>
    <row r="887">
      <c r="A887" s="3">
        <f>IFERROR(__xludf.DUMMYFUNCTION("""COMPUTED_VALUE"""),41279.99861111111)</f>
        <v>41279.99861</v>
      </c>
      <c r="B887" s="1">
        <f>IFERROR(__xludf.DUMMYFUNCTION("""COMPUTED_VALUE"""),0.4695986453)</f>
        <v>0.4695986453</v>
      </c>
    </row>
    <row r="888">
      <c r="A888" s="3">
        <f>IFERROR(__xludf.DUMMYFUNCTION("""COMPUTED_VALUE"""),41281.99861111111)</f>
        <v>41281.99861</v>
      </c>
      <c r="B888" s="1">
        <f>IFERROR(__xludf.DUMMYFUNCTION("""COMPUTED_VALUE"""),0.4725280565)</f>
        <v>0.4725280565</v>
      </c>
    </row>
    <row r="889">
      <c r="A889" s="3">
        <f>IFERROR(__xludf.DUMMYFUNCTION("""COMPUTED_VALUE"""),41282.99861111111)</f>
        <v>41282.99861</v>
      </c>
      <c r="B889" s="1">
        <f>IFERROR(__xludf.DUMMYFUNCTION("""COMPUTED_VALUE"""),0.4680194143)</f>
        <v>0.4680194143</v>
      </c>
    </row>
    <row r="890">
      <c r="A890" s="3">
        <f>IFERROR(__xludf.DUMMYFUNCTION("""COMPUTED_VALUE"""),41283.99861111111)</f>
        <v>41283.99861</v>
      </c>
      <c r="B890" s="1">
        <f>IFERROR(__xludf.DUMMYFUNCTION("""COMPUTED_VALUE"""),0.4693319611)</f>
        <v>0.4693319611</v>
      </c>
    </row>
    <row r="891">
      <c r="A891" s="3">
        <f>IFERROR(__xludf.DUMMYFUNCTION("""COMPUTED_VALUE"""),41284.99861111111)</f>
        <v>41284.99861</v>
      </c>
      <c r="B891" s="1">
        <f>IFERROR(__xludf.DUMMYFUNCTION("""COMPUTED_VALUE"""),0.4753491498)</f>
        <v>0.4753491498</v>
      </c>
    </row>
    <row r="892">
      <c r="A892" s="3">
        <f>IFERROR(__xludf.DUMMYFUNCTION("""COMPUTED_VALUE"""),41285.99861111111)</f>
        <v>41285.99861</v>
      </c>
      <c r="B892" s="1">
        <f>IFERROR(__xludf.DUMMYFUNCTION("""COMPUTED_VALUE"""),0.4706683653)</f>
        <v>0.4706683653</v>
      </c>
    </row>
    <row r="893">
      <c r="A893" s="3">
        <f>IFERROR(__xludf.DUMMYFUNCTION("""COMPUTED_VALUE"""),41286.99861111111)</f>
        <v>41286.99861</v>
      </c>
      <c r="B893" s="1">
        <f>IFERROR(__xludf.DUMMYFUNCTION("""COMPUTED_VALUE"""),0.4706836542)</f>
        <v>0.4706836542</v>
      </c>
    </row>
    <row r="894">
      <c r="A894" s="3">
        <f>IFERROR(__xludf.DUMMYFUNCTION("""COMPUTED_VALUE"""),41288.99861111111)</f>
        <v>41288.99861</v>
      </c>
      <c r="B894" s="1">
        <f>IFERROR(__xludf.DUMMYFUNCTION("""COMPUTED_VALUE"""),0.4616434379)</f>
        <v>0.4616434379</v>
      </c>
    </row>
    <row r="895">
      <c r="A895" s="3">
        <f>IFERROR(__xludf.DUMMYFUNCTION("""COMPUTED_VALUE"""),41289.99861111111)</f>
        <v>41289.99861</v>
      </c>
      <c r="B895" s="1">
        <f>IFERROR(__xludf.DUMMYFUNCTION("""COMPUTED_VALUE"""),0.4667281039)</f>
        <v>0.4667281039</v>
      </c>
    </row>
    <row r="896">
      <c r="A896" s="3">
        <f>IFERROR(__xludf.DUMMYFUNCTION("""COMPUTED_VALUE"""),41290.99861111111)</f>
        <v>41290.99861</v>
      </c>
      <c r="B896" s="1">
        <f>IFERROR(__xludf.DUMMYFUNCTION("""COMPUTED_VALUE"""),0.4627980761)</f>
        <v>0.4627980761</v>
      </c>
    </row>
    <row r="897">
      <c r="A897" s="3">
        <f>IFERROR(__xludf.DUMMYFUNCTION("""COMPUTED_VALUE"""),41291.99861111111)</f>
        <v>41291.99861</v>
      </c>
      <c r="B897" s="1">
        <f>IFERROR(__xludf.DUMMYFUNCTION("""COMPUTED_VALUE"""),0.468852937)</f>
        <v>0.468852937</v>
      </c>
    </row>
    <row r="898">
      <c r="A898" s="3">
        <f>IFERROR(__xludf.DUMMYFUNCTION("""COMPUTED_VALUE"""),41292.99861111111)</f>
        <v>41292.99861</v>
      </c>
      <c r="B898" s="1">
        <f>IFERROR(__xludf.DUMMYFUNCTION("""COMPUTED_VALUE"""),0.4660826008)</f>
        <v>0.4660826008</v>
      </c>
    </row>
    <row r="899">
      <c r="A899" s="3">
        <f>IFERROR(__xludf.DUMMYFUNCTION("""COMPUTED_VALUE"""),41293.99861111111)</f>
        <v>41293.99861</v>
      </c>
      <c r="B899" s="1">
        <f>IFERROR(__xludf.DUMMYFUNCTION("""COMPUTED_VALUE"""),0.4660775762)</f>
        <v>0.4660775762</v>
      </c>
    </row>
    <row r="900">
      <c r="A900" s="3">
        <f>IFERROR(__xludf.DUMMYFUNCTION("""COMPUTED_VALUE"""),41294.99861111111)</f>
        <v>41294.99861</v>
      </c>
      <c r="B900" s="1">
        <f>IFERROR(__xludf.DUMMYFUNCTION("""COMPUTED_VALUE"""),0.4700684486)</f>
        <v>0.4700684486</v>
      </c>
    </row>
    <row r="901">
      <c r="A901" s="3">
        <f>IFERROR(__xludf.DUMMYFUNCTION("""COMPUTED_VALUE"""),41295.99861111111)</f>
        <v>41295.99861</v>
      </c>
      <c r="B901" s="1">
        <f>IFERROR(__xludf.DUMMYFUNCTION("""COMPUTED_VALUE"""),0.4669328472)</f>
        <v>0.4669328472</v>
      </c>
    </row>
    <row r="902">
      <c r="A902" s="3">
        <f>IFERROR(__xludf.DUMMYFUNCTION("""COMPUTED_VALUE"""),41296.99861111111)</f>
        <v>41296.99861</v>
      </c>
      <c r="B902" s="1">
        <f>IFERROR(__xludf.DUMMYFUNCTION("""COMPUTED_VALUE"""),0.4611346146)</f>
        <v>0.4611346146</v>
      </c>
    </row>
    <row r="903">
      <c r="A903" s="3">
        <f>IFERROR(__xludf.DUMMYFUNCTION("""COMPUTED_VALUE"""),41297.99861111111)</f>
        <v>41297.99861</v>
      </c>
      <c r="B903" s="1">
        <f>IFERROR(__xludf.DUMMYFUNCTION("""COMPUTED_VALUE"""),0.4613894223)</f>
        <v>0.4613894223</v>
      </c>
    </row>
    <row r="904">
      <c r="A904" s="3">
        <f>IFERROR(__xludf.DUMMYFUNCTION("""COMPUTED_VALUE"""),41298.99861111111)</f>
        <v>41298.99861</v>
      </c>
      <c r="B904" s="1">
        <f>IFERROR(__xludf.DUMMYFUNCTION("""COMPUTED_VALUE"""),0.4688568588)</f>
        <v>0.4688568588</v>
      </c>
    </row>
    <row r="905">
      <c r="A905" s="3">
        <f>IFERROR(__xludf.DUMMYFUNCTION("""COMPUTED_VALUE"""),41299.99861111111)</f>
        <v>41299.99861</v>
      </c>
      <c r="B905" s="1">
        <f>IFERROR(__xludf.DUMMYFUNCTION("""COMPUTED_VALUE"""),0.4695227852)</f>
        <v>0.4695227852</v>
      </c>
    </row>
    <row r="906">
      <c r="A906" s="3">
        <f>IFERROR(__xludf.DUMMYFUNCTION("""COMPUTED_VALUE"""),41300.99861111111)</f>
        <v>41300.99861</v>
      </c>
      <c r="B906" s="1">
        <f>IFERROR(__xludf.DUMMYFUNCTION("""COMPUTED_VALUE"""),0.467525363)</f>
        <v>0.467525363</v>
      </c>
    </row>
    <row r="907">
      <c r="A907" s="3">
        <f>IFERROR(__xludf.DUMMYFUNCTION("""COMPUTED_VALUE"""),41302.99861111111)</f>
        <v>41302.99861</v>
      </c>
      <c r="B907" s="1">
        <f>IFERROR(__xludf.DUMMYFUNCTION("""COMPUTED_VALUE"""),0.4701485909)</f>
        <v>0.4701485909</v>
      </c>
    </row>
    <row r="908">
      <c r="A908" s="3">
        <f>IFERROR(__xludf.DUMMYFUNCTION("""COMPUTED_VALUE"""),41303.99861111111)</f>
        <v>41303.99861</v>
      </c>
      <c r="B908" s="1">
        <f>IFERROR(__xludf.DUMMYFUNCTION("""COMPUTED_VALUE"""),0.4716289469)</f>
        <v>0.4716289469</v>
      </c>
    </row>
    <row r="909">
      <c r="A909" s="3">
        <f>IFERROR(__xludf.DUMMYFUNCTION("""COMPUTED_VALUE"""),41304.99861111111)</f>
        <v>41304.99861</v>
      </c>
      <c r="B909" s="1">
        <f>IFERROR(__xludf.DUMMYFUNCTION("""COMPUTED_VALUE"""),0.4709751336)</f>
        <v>0.4709751336</v>
      </c>
    </row>
    <row r="910">
      <c r="A910" s="3">
        <f>IFERROR(__xludf.DUMMYFUNCTION("""COMPUTED_VALUE"""),41305.99861111111)</f>
        <v>41305.99861</v>
      </c>
      <c r="B910" s="1">
        <f>IFERROR(__xludf.DUMMYFUNCTION("""COMPUTED_VALUE"""),0.4716794265)</f>
        <v>0.4716794265</v>
      </c>
    </row>
    <row r="911">
      <c r="A911" s="3">
        <f>IFERROR(__xludf.DUMMYFUNCTION("""COMPUTED_VALUE"""),41306.99861111111)</f>
        <v>41306.99861</v>
      </c>
      <c r="B911" s="1">
        <f>IFERROR(__xludf.DUMMYFUNCTION("""COMPUTED_VALUE"""),0.4718638862)</f>
        <v>0.4718638862</v>
      </c>
    </row>
    <row r="912">
      <c r="A912" s="3">
        <f>IFERROR(__xludf.DUMMYFUNCTION("""COMPUTED_VALUE"""),41308.99861111111)</f>
        <v>41308.99861</v>
      </c>
      <c r="B912" s="1">
        <f>IFERROR(__xludf.DUMMYFUNCTION("""COMPUTED_VALUE"""),0.4678729596)</f>
        <v>0.4678729596</v>
      </c>
    </row>
    <row r="913">
      <c r="A913" s="3">
        <f>IFERROR(__xludf.DUMMYFUNCTION("""COMPUTED_VALUE"""),41309.99861111111)</f>
        <v>41309.99861</v>
      </c>
      <c r="B913" s="1">
        <f>IFERROR(__xludf.DUMMYFUNCTION("""COMPUTED_VALUE"""),0.4679559303)</f>
        <v>0.4679559303</v>
      </c>
    </row>
    <row r="914">
      <c r="A914" s="3">
        <f>IFERROR(__xludf.DUMMYFUNCTION("""COMPUTED_VALUE"""),41310.99861111111)</f>
        <v>41310.99861</v>
      </c>
      <c r="B914" s="1">
        <f>IFERROR(__xludf.DUMMYFUNCTION("""COMPUTED_VALUE"""),0.4707440801)</f>
        <v>0.4707440801</v>
      </c>
    </row>
    <row r="915">
      <c r="A915" s="3">
        <f>IFERROR(__xludf.DUMMYFUNCTION("""COMPUTED_VALUE"""),41311.99861111111)</f>
        <v>41311.99861</v>
      </c>
      <c r="B915" s="1">
        <f>IFERROR(__xludf.DUMMYFUNCTION("""COMPUTED_VALUE"""),0.4712401419)</f>
        <v>0.4712401419</v>
      </c>
    </row>
    <row r="916">
      <c r="A916" s="3">
        <f>IFERROR(__xludf.DUMMYFUNCTION("""COMPUTED_VALUE"""),41312.99861111111)</f>
        <v>41312.99861</v>
      </c>
      <c r="B916" s="1">
        <f>IFERROR(__xludf.DUMMYFUNCTION("""COMPUTED_VALUE"""),0.4646891899)</f>
        <v>0.4646891899</v>
      </c>
    </row>
    <row r="917">
      <c r="A917" s="3">
        <f>IFERROR(__xludf.DUMMYFUNCTION("""COMPUTED_VALUE"""),41313.99861111111)</f>
        <v>41313.99861</v>
      </c>
      <c r="B917" s="1">
        <f>IFERROR(__xludf.DUMMYFUNCTION("""COMPUTED_VALUE"""),0.4674797494)</f>
        <v>0.4674797494</v>
      </c>
    </row>
    <row r="918">
      <c r="A918" s="3">
        <f>IFERROR(__xludf.DUMMYFUNCTION("""COMPUTED_VALUE"""),41314.99861111111)</f>
        <v>41314.99861</v>
      </c>
      <c r="B918" s="1">
        <f>IFERROR(__xludf.DUMMYFUNCTION("""COMPUTED_VALUE"""),0.4674734439)</f>
        <v>0.4674734439</v>
      </c>
    </row>
    <row r="919">
      <c r="A919" s="3">
        <f>IFERROR(__xludf.DUMMYFUNCTION("""COMPUTED_VALUE"""),41316.99861111111)</f>
        <v>41316.99861</v>
      </c>
      <c r="B919" s="1">
        <f>IFERROR(__xludf.DUMMYFUNCTION("""COMPUTED_VALUE"""),0.4675455627)</f>
        <v>0.4675455627</v>
      </c>
    </row>
    <row r="920">
      <c r="A920" s="3">
        <f>IFERROR(__xludf.DUMMYFUNCTION("""COMPUTED_VALUE"""),41317.99861111111)</f>
        <v>41317.99861</v>
      </c>
      <c r="B920" s="1">
        <f>IFERROR(__xludf.DUMMYFUNCTION("""COMPUTED_VALUE"""),0.4685161665)</f>
        <v>0.4685161665</v>
      </c>
    </row>
    <row r="921">
      <c r="A921" s="3">
        <f>IFERROR(__xludf.DUMMYFUNCTION("""COMPUTED_VALUE"""),41318.99861111111)</f>
        <v>41318.99861</v>
      </c>
      <c r="B921" s="1">
        <f>IFERROR(__xludf.DUMMYFUNCTION("""COMPUTED_VALUE"""),0.4665324729)</f>
        <v>0.4665324729</v>
      </c>
    </row>
    <row r="922">
      <c r="A922" s="3">
        <f>IFERROR(__xludf.DUMMYFUNCTION("""COMPUTED_VALUE"""),41319.99861111111)</f>
        <v>41319.99861</v>
      </c>
      <c r="B922" s="1">
        <f>IFERROR(__xludf.DUMMYFUNCTION("""COMPUTED_VALUE"""),0.470109323)</f>
        <v>0.470109323</v>
      </c>
    </row>
    <row r="923">
      <c r="A923" s="3">
        <f>IFERROR(__xludf.DUMMYFUNCTION("""COMPUTED_VALUE"""),41320.99861111111)</f>
        <v>41320.99861</v>
      </c>
      <c r="B923" s="1">
        <f>IFERROR(__xludf.DUMMYFUNCTION("""COMPUTED_VALUE"""),0.4703166911)</f>
        <v>0.4703166911</v>
      </c>
    </row>
    <row r="924">
      <c r="A924" s="3">
        <f>IFERROR(__xludf.DUMMYFUNCTION("""COMPUTED_VALUE"""),41321.99861111111)</f>
        <v>41321.99861</v>
      </c>
      <c r="B924" s="1">
        <f>IFERROR(__xludf.DUMMYFUNCTION("""COMPUTED_VALUE"""),0.4706485117)</f>
        <v>0.4706485117</v>
      </c>
    </row>
    <row r="925">
      <c r="A925" s="3">
        <f>IFERROR(__xludf.DUMMYFUNCTION("""COMPUTED_VALUE"""),41323.99861111111)</f>
        <v>41323.99861</v>
      </c>
      <c r="B925" s="1">
        <f>IFERROR(__xludf.DUMMYFUNCTION("""COMPUTED_VALUE"""),0.4702879053)</f>
        <v>0.4702879053</v>
      </c>
    </row>
    <row r="926">
      <c r="A926" s="3">
        <f>IFERROR(__xludf.DUMMYFUNCTION("""COMPUTED_VALUE"""),41324.99861111111)</f>
        <v>41324.99861</v>
      </c>
      <c r="B926" s="1">
        <f>IFERROR(__xludf.DUMMYFUNCTION("""COMPUTED_VALUE"""),0.4652512545)</f>
        <v>0.4652512545</v>
      </c>
    </row>
    <row r="927">
      <c r="A927" s="3">
        <f>IFERROR(__xludf.DUMMYFUNCTION("""COMPUTED_VALUE"""),41325.99861111111)</f>
        <v>41325.99861</v>
      </c>
      <c r="B927" s="1">
        <f>IFERROR(__xludf.DUMMYFUNCTION("""COMPUTED_VALUE"""),0.4662240439)</f>
        <v>0.4662240439</v>
      </c>
    </row>
    <row r="928">
      <c r="A928" s="3">
        <f>IFERROR(__xludf.DUMMYFUNCTION("""COMPUTED_VALUE"""),41326.99861111111)</f>
        <v>41326.99861</v>
      </c>
      <c r="B928" s="1">
        <f>IFERROR(__xludf.DUMMYFUNCTION("""COMPUTED_VALUE"""),0.4700466404)</f>
        <v>0.4700466404</v>
      </c>
    </row>
    <row r="929">
      <c r="A929" s="3">
        <f>IFERROR(__xludf.DUMMYFUNCTION("""COMPUTED_VALUE"""),41327.99861111111)</f>
        <v>41327.99861</v>
      </c>
      <c r="B929" s="1">
        <f>IFERROR(__xludf.DUMMYFUNCTION("""COMPUTED_VALUE"""),0.4707585208)</f>
        <v>0.4707585208</v>
      </c>
    </row>
    <row r="930">
      <c r="A930" s="3">
        <f>IFERROR(__xludf.DUMMYFUNCTION("""COMPUTED_VALUE"""),41328.99861111111)</f>
        <v>41328.99861</v>
      </c>
      <c r="B930" s="1">
        <f>IFERROR(__xludf.DUMMYFUNCTION("""COMPUTED_VALUE"""),0.4711491637)</f>
        <v>0.4711491637</v>
      </c>
    </row>
    <row r="931">
      <c r="A931" s="3">
        <f>IFERROR(__xludf.DUMMYFUNCTION("""COMPUTED_VALUE"""),41330.99861111111)</f>
        <v>41330.99861</v>
      </c>
      <c r="B931" s="1">
        <f>IFERROR(__xludf.DUMMYFUNCTION("""COMPUTED_VALUE"""),0.4628970492)</f>
        <v>0.4628970492</v>
      </c>
    </row>
    <row r="932">
      <c r="A932" s="3">
        <f>IFERROR(__xludf.DUMMYFUNCTION("""COMPUTED_VALUE"""),41331.99861111111)</f>
        <v>41331.99861</v>
      </c>
      <c r="B932" s="1">
        <f>IFERROR(__xludf.DUMMYFUNCTION("""COMPUTED_VALUE"""),0.4697160812)</f>
        <v>0.4697160812</v>
      </c>
    </row>
    <row r="933">
      <c r="A933" s="3">
        <f>IFERROR(__xludf.DUMMYFUNCTION("""COMPUTED_VALUE"""),41332.99861111111)</f>
        <v>41332.99861</v>
      </c>
      <c r="B933" s="1">
        <f>IFERROR(__xludf.DUMMYFUNCTION("""COMPUTED_VALUE"""),0.4688920168)</f>
        <v>0.4688920168</v>
      </c>
    </row>
    <row r="934">
      <c r="A934" s="3">
        <f>IFERROR(__xludf.DUMMYFUNCTION("""COMPUTED_VALUE"""),41333.99861111111)</f>
        <v>41333.99861</v>
      </c>
      <c r="B934" s="1">
        <f>IFERROR(__xludf.DUMMYFUNCTION("""COMPUTED_VALUE"""),0.4643242662)</f>
        <v>0.4643242662</v>
      </c>
    </row>
    <row r="935">
      <c r="A935" s="3">
        <f>IFERROR(__xludf.DUMMYFUNCTION("""COMPUTED_VALUE"""),41334.99861111111)</f>
        <v>41334.99861</v>
      </c>
      <c r="B935" s="1">
        <f>IFERROR(__xludf.DUMMYFUNCTION("""COMPUTED_VALUE"""),0.4679033874)</f>
        <v>0.4679033874</v>
      </c>
    </row>
    <row r="936">
      <c r="A936" s="3">
        <f>IFERROR(__xludf.DUMMYFUNCTION("""COMPUTED_VALUE"""),41335.99861111111)</f>
        <v>41335.99861</v>
      </c>
      <c r="B936" s="1">
        <f>IFERROR(__xludf.DUMMYFUNCTION("""COMPUTED_VALUE"""),0.4682739801)</f>
        <v>0.4682739801</v>
      </c>
    </row>
    <row r="937">
      <c r="A937" s="3">
        <f>IFERROR(__xludf.DUMMYFUNCTION("""COMPUTED_VALUE"""),41337.99861111111)</f>
        <v>41337.99861</v>
      </c>
      <c r="B937" s="1">
        <f>IFERROR(__xludf.DUMMYFUNCTION("""COMPUTED_VALUE"""),0.4727881172)</f>
        <v>0.4727881172</v>
      </c>
    </row>
    <row r="938">
      <c r="A938" s="3">
        <f>IFERROR(__xludf.DUMMYFUNCTION("""COMPUTED_VALUE"""),41338.99861111111)</f>
        <v>41338.99861</v>
      </c>
      <c r="B938" s="1">
        <f>IFERROR(__xludf.DUMMYFUNCTION("""COMPUTED_VALUE"""),0.4677767511)</f>
        <v>0.4677767511</v>
      </c>
    </row>
    <row r="939">
      <c r="A939" s="3">
        <f>IFERROR(__xludf.DUMMYFUNCTION("""COMPUTED_VALUE"""),41339.99861111111)</f>
        <v>41339.99861</v>
      </c>
      <c r="B939" s="1">
        <f>IFERROR(__xludf.DUMMYFUNCTION("""COMPUTED_VALUE"""),0.4654394714)</f>
        <v>0.4654394714</v>
      </c>
    </row>
    <row r="940">
      <c r="A940" s="3">
        <f>IFERROR(__xludf.DUMMYFUNCTION("""COMPUTED_VALUE"""),41340.99861111111)</f>
        <v>41340.99861</v>
      </c>
      <c r="B940" s="1">
        <f>IFERROR(__xludf.DUMMYFUNCTION("""COMPUTED_VALUE"""),0.471616807)</f>
        <v>0.471616807</v>
      </c>
    </row>
    <row r="941">
      <c r="A941" s="3">
        <f>IFERROR(__xludf.DUMMYFUNCTION("""COMPUTED_VALUE"""),41341.99861111111)</f>
        <v>41341.99861</v>
      </c>
      <c r="B941" s="1">
        <f>IFERROR(__xludf.DUMMYFUNCTION("""COMPUTED_VALUE"""),0.4640301922)</f>
        <v>0.4640301922</v>
      </c>
    </row>
    <row r="942">
      <c r="A942" s="3">
        <f>IFERROR(__xludf.DUMMYFUNCTION("""COMPUTED_VALUE"""),41342.99861111111)</f>
        <v>41342.99861</v>
      </c>
      <c r="B942" s="1">
        <f>IFERROR(__xludf.DUMMYFUNCTION("""COMPUTED_VALUE"""),0.464014038)</f>
        <v>0.464014038</v>
      </c>
    </row>
    <row r="943">
      <c r="A943" s="3">
        <f>IFERROR(__xludf.DUMMYFUNCTION("""COMPUTED_VALUE"""),41344.99861111111)</f>
        <v>41344.99861</v>
      </c>
      <c r="B943" s="1">
        <f>IFERROR(__xludf.DUMMYFUNCTION("""COMPUTED_VALUE"""),0.4701711684)</f>
        <v>0.4701711684</v>
      </c>
    </row>
    <row r="944">
      <c r="A944" s="3">
        <f>IFERROR(__xludf.DUMMYFUNCTION("""COMPUTED_VALUE"""),41345.99861111111)</f>
        <v>41345.99861</v>
      </c>
      <c r="B944" s="1">
        <f>IFERROR(__xludf.DUMMYFUNCTION("""COMPUTED_VALUE"""),0.4691609599)</f>
        <v>0.4691609599</v>
      </c>
    </row>
    <row r="945">
      <c r="A945" s="3">
        <f>IFERROR(__xludf.DUMMYFUNCTION("""COMPUTED_VALUE"""),41346.99861111111)</f>
        <v>41346.99861</v>
      </c>
      <c r="B945" s="1">
        <f>IFERROR(__xludf.DUMMYFUNCTION("""COMPUTED_VALUE"""),0.4665057135)</f>
        <v>0.4665057135</v>
      </c>
    </row>
    <row r="946">
      <c r="A946" s="3">
        <f>IFERROR(__xludf.DUMMYFUNCTION("""COMPUTED_VALUE"""),41347.99861111111)</f>
        <v>41347.99861</v>
      </c>
      <c r="B946" s="1">
        <f>IFERROR(__xludf.DUMMYFUNCTION("""COMPUTED_VALUE"""),0.4721034575)</f>
        <v>0.4721034575</v>
      </c>
    </row>
    <row r="947">
      <c r="A947" s="3">
        <f>IFERROR(__xludf.DUMMYFUNCTION("""COMPUTED_VALUE"""),41348.99861111111)</f>
        <v>41348.99861</v>
      </c>
      <c r="B947" s="1">
        <f>IFERROR(__xludf.DUMMYFUNCTION("""COMPUTED_VALUE"""),0.4694785283)</f>
        <v>0.4694785283</v>
      </c>
    </row>
    <row r="948">
      <c r="A948" s="3">
        <f>IFERROR(__xludf.DUMMYFUNCTION("""COMPUTED_VALUE"""),41349.99861111111)</f>
        <v>41349.99861</v>
      </c>
      <c r="B948" s="1">
        <f>IFERROR(__xludf.DUMMYFUNCTION("""COMPUTED_VALUE"""),0.4693572574)</f>
        <v>0.4693572574</v>
      </c>
    </row>
    <row r="949">
      <c r="A949" s="3">
        <f>IFERROR(__xludf.DUMMYFUNCTION("""COMPUTED_VALUE"""),41351.99861111111)</f>
        <v>41351.99861</v>
      </c>
      <c r="B949" s="1">
        <f>IFERROR(__xludf.DUMMYFUNCTION("""COMPUTED_VALUE"""),0.4693847832)</f>
        <v>0.4693847832</v>
      </c>
    </row>
    <row r="950">
      <c r="A950" s="3">
        <f>IFERROR(__xludf.DUMMYFUNCTION("""COMPUTED_VALUE"""),41352.99861111111)</f>
        <v>41352.99861</v>
      </c>
      <c r="B950" s="1">
        <f>IFERROR(__xludf.DUMMYFUNCTION("""COMPUTED_VALUE"""),0.4662766057)</f>
        <v>0.4662766057</v>
      </c>
    </row>
    <row r="951">
      <c r="A951" s="3">
        <f>IFERROR(__xludf.DUMMYFUNCTION("""COMPUTED_VALUE"""),41353.99861111111)</f>
        <v>41353.99861</v>
      </c>
      <c r="B951" s="1">
        <f>IFERROR(__xludf.DUMMYFUNCTION("""COMPUTED_VALUE"""),0.470686467)</f>
        <v>0.470686467</v>
      </c>
    </row>
    <row r="952">
      <c r="A952" s="3">
        <f>IFERROR(__xludf.DUMMYFUNCTION("""COMPUTED_VALUE"""),41354.99861111111)</f>
        <v>41354.99861</v>
      </c>
      <c r="B952" s="1">
        <f>IFERROR(__xludf.DUMMYFUNCTION("""COMPUTED_VALUE"""),0.469456671)</f>
        <v>0.469456671</v>
      </c>
    </row>
    <row r="953">
      <c r="A953" s="3">
        <f>IFERROR(__xludf.DUMMYFUNCTION("""COMPUTED_VALUE"""),41355.99861111111)</f>
        <v>41355.99861</v>
      </c>
      <c r="B953" s="1">
        <f>IFERROR(__xludf.DUMMYFUNCTION("""COMPUTED_VALUE"""),0.47229056)</f>
        <v>0.47229056</v>
      </c>
    </row>
    <row r="954">
      <c r="A954" s="3">
        <f>IFERROR(__xludf.DUMMYFUNCTION("""COMPUTED_VALUE"""),41356.99861111111)</f>
        <v>41356.99861</v>
      </c>
      <c r="B954" s="1">
        <f>IFERROR(__xludf.DUMMYFUNCTION("""COMPUTED_VALUE"""),0.472504495)</f>
        <v>0.472504495</v>
      </c>
    </row>
    <row r="955">
      <c r="A955" s="3">
        <f>IFERROR(__xludf.DUMMYFUNCTION("""COMPUTED_VALUE"""),41358.99861111111)</f>
        <v>41358.99861</v>
      </c>
      <c r="B955" s="1">
        <f>IFERROR(__xludf.DUMMYFUNCTION("""COMPUTED_VALUE"""),0.4653337095)</f>
        <v>0.4653337095</v>
      </c>
    </row>
    <row r="956">
      <c r="A956" s="3">
        <f>IFERROR(__xludf.DUMMYFUNCTION("""COMPUTED_VALUE"""),41359.99861111111)</f>
        <v>41359.99861</v>
      </c>
      <c r="B956" s="1">
        <f>IFERROR(__xludf.DUMMYFUNCTION("""COMPUTED_VALUE"""),0.4704615944)</f>
        <v>0.4704615944</v>
      </c>
    </row>
    <row r="957">
      <c r="A957" s="3">
        <f>IFERROR(__xludf.DUMMYFUNCTION("""COMPUTED_VALUE"""),41360.99861111111)</f>
        <v>41360.99861</v>
      </c>
      <c r="B957" s="1">
        <f>IFERROR(__xludf.DUMMYFUNCTION("""COMPUTED_VALUE"""),0.4704386576)</f>
        <v>0.4704386576</v>
      </c>
    </row>
    <row r="958">
      <c r="A958" s="3">
        <f>IFERROR(__xludf.DUMMYFUNCTION("""COMPUTED_VALUE"""),41361.99861111111)</f>
        <v>41361.99861</v>
      </c>
      <c r="B958" s="1">
        <f>IFERROR(__xludf.DUMMYFUNCTION("""COMPUTED_VALUE"""),0.4636803032)</f>
        <v>0.4636803032</v>
      </c>
    </row>
    <row r="959">
      <c r="A959" s="3">
        <f>IFERROR(__xludf.DUMMYFUNCTION("""COMPUTED_VALUE"""),41362.99861111111)</f>
        <v>41362.99861</v>
      </c>
      <c r="B959" s="1">
        <f>IFERROR(__xludf.DUMMYFUNCTION("""COMPUTED_VALUE"""),0.4698432706)</f>
        <v>0.4698432706</v>
      </c>
    </row>
    <row r="960">
      <c r="A960" s="3">
        <f>IFERROR(__xludf.DUMMYFUNCTION("""COMPUTED_VALUE"""),41363.99861111111)</f>
        <v>41363.99861</v>
      </c>
      <c r="B960" s="1">
        <f>IFERROR(__xludf.DUMMYFUNCTION("""COMPUTED_VALUE"""),0.4700775922)</f>
        <v>0.4700775922</v>
      </c>
    </row>
    <row r="961">
      <c r="A961" s="3">
        <f>IFERROR(__xludf.DUMMYFUNCTION("""COMPUTED_VALUE"""),41365.99861111111)</f>
        <v>41365.99861</v>
      </c>
      <c r="B961" s="1">
        <f>IFERROR(__xludf.DUMMYFUNCTION("""COMPUTED_VALUE"""),0.4647213578)</f>
        <v>0.4647213578</v>
      </c>
    </row>
    <row r="962">
      <c r="A962" s="3">
        <f>IFERROR(__xludf.DUMMYFUNCTION("""COMPUTED_VALUE"""),41366.99861111111)</f>
        <v>41366.99861</v>
      </c>
      <c r="B962" s="1">
        <f>IFERROR(__xludf.DUMMYFUNCTION("""COMPUTED_VALUE"""),0.4703730581)</f>
        <v>0.4703730581</v>
      </c>
    </row>
    <row r="963">
      <c r="A963" s="3">
        <f>IFERROR(__xludf.DUMMYFUNCTION("""COMPUTED_VALUE"""),41367.99861111111)</f>
        <v>41367.99861</v>
      </c>
      <c r="B963" s="1">
        <f>IFERROR(__xludf.DUMMYFUNCTION("""COMPUTED_VALUE"""),0.4649617132)</f>
        <v>0.4649617132</v>
      </c>
    </row>
    <row r="964">
      <c r="A964" s="3">
        <f>IFERROR(__xludf.DUMMYFUNCTION("""COMPUTED_VALUE"""),41368.99861111111)</f>
        <v>41368.99861</v>
      </c>
      <c r="B964" s="1">
        <f>IFERROR(__xludf.DUMMYFUNCTION("""COMPUTED_VALUE"""),0.4761893004)</f>
        <v>0.4761893004</v>
      </c>
    </row>
    <row r="965">
      <c r="A965" s="3">
        <f>IFERROR(__xludf.DUMMYFUNCTION("""COMPUTED_VALUE"""),41369.99861111111)</f>
        <v>41369.99861</v>
      </c>
      <c r="B965" s="1">
        <f>IFERROR(__xludf.DUMMYFUNCTION("""COMPUTED_VALUE"""),0.4742883426)</f>
        <v>0.4742883426</v>
      </c>
    </row>
    <row r="966">
      <c r="A966" s="3">
        <f>IFERROR(__xludf.DUMMYFUNCTION("""COMPUTED_VALUE"""),41371.99861111111)</f>
        <v>41371.99861</v>
      </c>
      <c r="B966" s="1">
        <f>IFERROR(__xludf.DUMMYFUNCTION("""COMPUTED_VALUE"""),0.4742735951)</f>
        <v>0.4742735951</v>
      </c>
    </row>
    <row r="967">
      <c r="A967" s="3">
        <f>IFERROR(__xludf.DUMMYFUNCTION("""COMPUTED_VALUE"""),41372.99861111111)</f>
        <v>41372.99861</v>
      </c>
      <c r="B967" s="1">
        <f>IFERROR(__xludf.DUMMYFUNCTION("""COMPUTED_VALUE"""),0.4711079817)</f>
        <v>0.4711079817</v>
      </c>
    </row>
    <row r="968">
      <c r="A968" s="3">
        <f>IFERROR(__xludf.DUMMYFUNCTION("""COMPUTED_VALUE"""),41373.99861111111)</f>
        <v>41373.99861</v>
      </c>
      <c r="B968" s="1">
        <f>IFERROR(__xludf.DUMMYFUNCTION("""COMPUTED_VALUE"""),0.472134254)</f>
        <v>0.472134254</v>
      </c>
    </row>
    <row r="969">
      <c r="A969" s="3">
        <f>IFERROR(__xludf.DUMMYFUNCTION("""COMPUTED_VALUE"""),41374.99861111111)</f>
        <v>41374.99861</v>
      </c>
      <c r="B969" s="1">
        <f>IFERROR(__xludf.DUMMYFUNCTION("""COMPUTED_VALUE"""),0.4625035886)</f>
        <v>0.4625035886</v>
      </c>
    </row>
    <row r="970">
      <c r="A970" s="3">
        <f>IFERROR(__xludf.DUMMYFUNCTION("""COMPUTED_VALUE"""),41375.99861111111)</f>
        <v>41375.99861</v>
      </c>
      <c r="B970" s="1">
        <f>IFERROR(__xludf.DUMMYFUNCTION("""COMPUTED_VALUE"""),0.4700432324)</f>
        <v>0.4700432324</v>
      </c>
    </row>
    <row r="971">
      <c r="A971" s="3">
        <f>IFERROR(__xludf.DUMMYFUNCTION("""COMPUTED_VALUE"""),41376.99861111111)</f>
        <v>41376.99861</v>
      </c>
      <c r="B971" s="1">
        <f>IFERROR(__xludf.DUMMYFUNCTION("""COMPUTED_VALUE"""),0.4729696674)</f>
        <v>0.4729696674</v>
      </c>
    </row>
    <row r="972">
      <c r="A972" s="3">
        <f>IFERROR(__xludf.DUMMYFUNCTION("""COMPUTED_VALUE"""),41377.99861111111)</f>
        <v>41377.99861</v>
      </c>
      <c r="B972" s="1">
        <f>IFERROR(__xludf.DUMMYFUNCTION("""COMPUTED_VALUE"""),0.4731855005)</f>
        <v>0.4731855005</v>
      </c>
    </row>
    <row r="973">
      <c r="A973" s="3">
        <f>IFERROR(__xludf.DUMMYFUNCTION("""COMPUTED_VALUE"""),41378.99861111111)</f>
        <v>41378.99861</v>
      </c>
      <c r="B973" s="1">
        <f>IFERROR(__xludf.DUMMYFUNCTION("""COMPUTED_VALUE"""),0.4729657096)</f>
        <v>0.4729657096</v>
      </c>
    </row>
    <row r="974">
      <c r="A974" s="3">
        <f>IFERROR(__xludf.DUMMYFUNCTION("""COMPUTED_VALUE"""),41379.99861111111)</f>
        <v>41379.99861</v>
      </c>
      <c r="B974" s="1">
        <f>IFERROR(__xludf.DUMMYFUNCTION("""COMPUTED_VALUE"""),0.4690370009)</f>
        <v>0.4690370009</v>
      </c>
    </row>
    <row r="975">
      <c r="A975" s="3">
        <f>IFERROR(__xludf.DUMMYFUNCTION("""COMPUTED_VALUE"""),41380.99861111111)</f>
        <v>41380.99861</v>
      </c>
      <c r="B975" s="1">
        <f>IFERROR(__xludf.DUMMYFUNCTION("""COMPUTED_VALUE"""),0.4726744999)</f>
        <v>0.4726744999</v>
      </c>
    </row>
    <row r="976">
      <c r="A976" s="3">
        <f>IFERROR(__xludf.DUMMYFUNCTION("""COMPUTED_VALUE"""),41381.99861111111)</f>
        <v>41381.99861</v>
      </c>
      <c r="B976" s="1">
        <f>IFERROR(__xludf.DUMMYFUNCTION("""COMPUTED_VALUE"""),0.4667084327)</f>
        <v>0.4667084327</v>
      </c>
    </row>
    <row r="977">
      <c r="A977" s="3">
        <f>IFERROR(__xludf.DUMMYFUNCTION("""COMPUTED_VALUE"""),41382.99861111111)</f>
        <v>41382.99861</v>
      </c>
      <c r="B977" s="1">
        <f>IFERROR(__xludf.DUMMYFUNCTION("""COMPUTED_VALUE"""),0.4675533363)</f>
        <v>0.4675533363</v>
      </c>
    </row>
    <row r="978">
      <c r="A978" s="3">
        <f>IFERROR(__xludf.DUMMYFUNCTION("""COMPUTED_VALUE"""),41383.99861111111)</f>
        <v>41383.99861</v>
      </c>
      <c r="B978" s="1">
        <f>IFERROR(__xludf.DUMMYFUNCTION("""COMPUTED_VALUE"""),0.4633628312)</f>
        <v>0.4633628312</v>
      </c>
    </row>
    <row r="979">
      <c r="A979" s="3">
        <f>IFERROR(__xludf.DUMMYFUNCTION("""COMPUTED_VALUE"""),41385.99861111111)</f>
        <v>41385.99861</v>
      </c>
      <c r="B979" s="1">
        <f>IFERROR(__xludf.DUMMYFUNCTION("""COMPUTED_VALUE"""),0.4691979779)</f>
        <v>0.4691979779</v>
      </c>
    </row>
    <row r="980">
      <c r="A980" s="3">
        <f>IFERROR(__xludf.DUMMYFUNCTION("""COMPUTED_VALUE"""),41386.99861111111)</f>
        <v>41386.99861</v>
      </c>
      <c r="B980" s="1">
        <f>IFERROR(__xludf.DUMMYFUNCTION("""COMPUTED_VALUE"""),0.4708898268)</f>
        <v>0.4708898268</v>
      </c>
    </row>
    <row r="981">
      <c r="A981" s="3">
        <f>IFERROR(__xludf.DUMMYFUNCTION("""COMPUTED_VALUE"""),41387.99861111111)</f>
        <v>41387.99861</v>
      </c>
      <c r="B981" s="1">
        <f>IFERROR(__xludf.DUMMYFUNCTION("""COMPUTED_VALUE"""),0.4640832918)</f>
        <v>0.4640832918</v>
      </c>
    </row>
    <row r="982">
      <c r="A982" s="3">
        <f>IFERROR(__xludf.DUMMYFUNCTION("""COMPUTED_VALUE"""),41388.99861111111)</f>
        <v>41388.99861</v>
      </c>
      <c r="B982" s="1">
        <f>IFERROR(__xludf.DUMMYFUNCTION("""COMPUTED_VALUE"""),0.469805552)</f>
        <v>0.469805552</v>
      </c>
    </row>
    <row r="983">
      <c r="A983" s="3">
        <f>IFERROR(__xludf.DUMMYFUNCTION("""COMPUTED_VALUE"""),41389.99861111111)</f>
        <v>41389.99861</v>
      </c>
      <c r="B983" s="1">
        <f>IFERROR(__xludf.DUMMYFUNCTION("""COMPUTED_VALUE"""),0.4679658056)</f>
        <v>0.4679658056</v>
      </c>
    </row>
    <row r="984">
      <c r="A984" s="3">
        <f>IFERROR(__xludf.DUMMYFUNCTION("""COMPUTED_VALUE"""),41390.99861111111)</f>
        <v>41390.99861</v>
      </c>
      <c r="B984" s="1">
        <f>IFERROR(__xludf.DUMMYFUNCTION("""COMPUTED_VALUE"""),0.4732064346)</f>
        <v>0.4732064346</v>
      </c>
    </row>
    <row r="985">
      <c r="A985" s="3">
        <f>IFERROR(__xludf.DUMMYFUNCTION("""COMPUTED_VALUE"""),41391.99861111111)</f>
        <v>41391.99861</v>
      </c>
      <c r="B985" s="1">
        <f>IFERROR(__xludf.DUMMYFUNCTION("""COMPUTED_VALUE"""),0.4729055829)</f>
        <v>0.4729055829</v>
      </c>
    </row>
    <row r="986">
      <c r="A986" s="3">
        <f>IFERROR(__xludf.DUMMYFUNCTION("""COMPUTED_VALUE"""),41392.99861111111)</f>
        <v>41392.99861</v>
      </c>
      <c r="B986" s="1">
        <f>IFERROR(__xludf.DUMMYFUNCTION("""COMPUTED_VALUE"""),0.46901439)</f>
        <v>0.46901439</v>
      </c>
    </row>
    <row r="987">
      <c r="A987" s="3">
        <f>IFERROR(__xludf.DUMMYFUNCTION("""COMPUTED_VALUE"""),41393.99861111111)</f>
        <v>41393.99861</v>
      </c>
      <c r="B987" s="1">
        <f>IFERROR(__xludf.DUMMYFUNCTION("""COMPUTED_VALUE"""),0.4724746482)</f>
        <v>0.4724746482</v>
      </c>
    </row>
    <row r="988">
      <c r="A988" s="3">
        <f>IFERROR(__xludf.DUMMYFUNCTION("""COMPUTED_VALUE"""),41394.99861111111)</f>
        <v>41394.99861</v>
      </c>
      <c r="B988" s="1">
        <f>IFERROR(__xludf.DUMMYFUNCTION("""COMPUTED_VALUE"""),0.4753542875)</f>
        <v>0.4753542875</v>
      </c>
    </row>
    <row r="989">
      <c r="A989" s="3">
        <f>IFERROR(__xludf.DUMMYFUNCTION("""COMPUTED_VALUE"""),41395.99861111111)</f>
        <v>41395.99861</v>
      </c>
      <c r="B989" s="1">
        <f>IFERROR(__xludf.DUMMYFUNCTION("""COMPUTED_VALUE"""),0.4711168347)</f>
        <v>0.4711168347</v>
      </c>
    </row>
    <row r="990">
      <c r="A990" s="3">
        <f>IFERROR(__xludf.DUMMYFUNCTION("""COMPUTED_VALUE"""),41396.99861111111)</f>
        <v>41396.99861</v>
      </c>
      <c r="B990" s="1">
        <f>IFERROR(__xludf.DUMMYFUNCTION("""COMPUTED_VALUE"""),0.4668205145)</f>
        <v>0.4668205145</v>
      </c>
    </row>
    <row r="991">
      <c r="A991" s="3">
        <f>IFERROR(__xludf.DUMMYFUNCTION("""COMPUTED_VALUE"""),41397.99861111111)</f>
        <v>41397.99861</v>
      </c>
      <c r="B991" s="1">
        <f>IFERROR(__xludf.DUMMYFUNCTION("""COMPUTED_VALUE"""),0.4701191732)</f>
        <v>0.4701191732</v>
      </c>
    </row>
    <row r="992">
      <c r="A992" s="3">
        <f>IFERROR(__xludf.DUMMYFUNCTION("""COMPUTED_VALUE"""),41398.99861111111)</f>
        <v>41398.99861</v>
      </c>
      <c r="B992" s="1">
        <f>IFERROR(__xludf.DUMMYFUNCTION("""COMPUTED_VALUE"""),0.47051412)</f>
        <v>0.47051412</v>
      </c>
    </row>
    <row r="993">
      <c r="A993" s="3">
        <f>IFERROR(__xludf.DUMMYFUNCTION("""COMPUTED_VALUE"""),41399.99861111111)</f>
        <v>41399.99861</v>
      </c>
      <c r="B993" s="1">
        <f>IFERROR(__xludf.DUMMYFUNCTION("""COMPUTED_VALUE"""),0.4601460013)</f>
        <v>0.4601460013</v>
      </c>
    </row>
    <row r="994">
      <c r="A994" s="3">
        <f>IFERROR(__xludf.DUMMYFUNCTION("""COMPUTED_VALUE"""),41400.99861111111)</f>
        <v>41400.99861</v>
      </c>
      <c r="B994" s="1">
        <f>IFERROR(__xludf.DUMMYFUNCTION("""COMPUTED_VALUE"""),0.4646002856)</f>
        <v>0.4646002856</v>
      </c>
    </row>
    <row r="995">
      <c r="A995" s="3">
        <f>IFERROR(__xludf.DUMMYFUNCTION("""COMPUTED_VALUE"""),41401.99861111111)</f>
        <v>41401.99861</v>
      </c>
      <c r="B995" s="1">
        <f>IFERROR(__xludf.DUMMYFUNCTION("""COMPUTED_VALUE"""),0.4645465391)</f>
        <v>0.4645465391</v>
      </c>
    </row>
    <row r="996">
      <c r="A996" s="3">
        <f>IFERROR(__xludf.DUMMYFUNCTION("""COMPUTED_VALUE"""),41402.99861111111)</f>
        <v>41402.99861</v>
      </c>
      <c r="B996" s="1">
        <f>IFERROR(__xludf.DUMMYFUNCTION("""COMPUTED_VALUE"""),0.4715285178)</f>
        <v>0.4715285178</v>
      </c>
    </row>
    <row r="997">
      <c r="A997" s="3">
        <f>IFERROR(__xludf.DUMMYFUNCTION("""COMPUTED_VALUE"""),41403.99861111111)</f>
        <v>41403.99861</v>
      </c>
      <c r="B997" s="1">
        <f>IFERROR(__xludf.DUMMYFUNCTION("""COMPUTED_VALUE"""),0.4658966457)</f>
        <v>0.4658966457</v>
      </c>
    </row>
    <row r="998">
      <c r="A998" s="3">
        <f>IFERROR(__xludf.DUMMYFUNCTION("""COMPUTED_VALUE"""),41404.99861111111)</f>
        <v>41404.99861</v>
      </c>
      <c r="B998" s="1">
        <f>IFERROR(__xludf.DUMMYFUNCTION("""COMPUTED_VALUE"""),0.4705112665)</f>
        <v>0.4705112665</v>
      </c>
    </row>
    <row r="999">
      <c r="A999" s="3">
        <f>IFERROR(__xludf.DUMMYFUNCTION("""COMPUTED_VALUE"""),41405.99861111111)</f>
        <v>41405.99861</v>
      </c>
      <c r="B999" s="1">
        <f>IFERROR(__xludf.DUMMYFUNCTION("""COMPUTED_VALUE"""),0.4704884601)</f>
        <v>0.4704884601</v>
      </c>
    </row>
    <row r="1000">
      <c r="A1000" s="3">
        <f>IFERROR(__xludf.DUMMYFUNCTION("""COMPUTED_VALUE"""),41407.99861111111)</f>
        <v>41407.99861</v>
      </c>
      <c r="B1000" s="1">
        <f>IFERROR(__xludf.DUMMYFUNCTION("""COMPUTED_VALUE"""),0.4703192333)</f>
        <v>0.4703192333</v>
      </c>
    </row>
    <row r="1001">
      <c r="A1001" s="3">
        <f>IFERROR(__xludf.DUMMYFUNCTION("""COMPUTED_VALUE"""),41408.99861111111)</f>
        <v>41408.99861</v>
      </c>
      <c r="B1001" s="1">
        <f>IFERROR(__xludf.DUMMYFUNCTION("""COMPUTED_VALUE"""),0.4692608796)</f>
        <v>0.4692608796</v>
      </c>
    </row>
    <row r="1002">
      <c r="A1002" s="3">
        <f>IFERROR(__xludf.DUMMYFUNCTION("""COMPUTED_VALUE"""),41409.99861111111)</f>
        <v>41409.99861</v>
      </c>
      <c r="B1002" s="1">
        <f>IFERROR(__xludf.DUMMYFUNCTION("""COMPUTED_VALUE"""),0.4718489016)</f>
        <v>0.4718489016</v>
      </c>
    </row>
    <row r="1003">
      <c r="A1003" s="3">
        <f>IFERROR(__xludf.DUMMYFUNCTION("""COMPUTED_VALUE"""),41410.99861111111)</f>
        <v>41410.99861</v>
      </c>
      <c r="B1003" s="1">
        <f>IFERROR(__xludf.DUMMYFUNCTION("""COMPUTED_VALUE"""),0.4719897056)</f>
        <v>0.4719897056</v>
      </c>
    </row>
    <row r="1004">
      <c r="A1004" s="3">
        <f>IFERROR(__xludf.DUMMYFUNCTION("""COMPUTED_VALUE"""),41411.99861111111)</f>
        <v>41411.99861</v>
      </c>
      <c r="B1004" s="1">
        <f>IFERROR(__xludf.DUMMYFUNCTION("""COMPUTED_VALUE"""),0.4698469331)</f>
        <v>0.4698469331</v>
      </c>
    </row>
    <row r="1005">
      <c r="A1005" s="3">
        <f>IFERROR(__xludf.DUMMYFUNCTION("""COMPUTED_VALUE"""),41412.99861111111)</f>
        <v>41412.99861</v>
      </c>
      <c r="B1005" s="1">
        <f>IFERROR(__xludf.DUMMYFUNCTION("""COMPUTED_VALUE"""),0.4699603965)</f>
        <v>0.4699603965</v>
      </c>
    </row>
    <row r="1006">
      <c r="A1006" s="3">
        <f>IFERROR(__xludf.DUMMYFUNCTION("""COMPUTED_VALUE"""),41413.99861111111)</f>
        <v>41413.99861</v>
      </c>
      <c r="B1006" s="1">
        <f>IFERROR(__xludf.DUMMYFUNCTION("""COMPUTED_VALUE"""),0.4699603965)</f>
        <v>0.4699603965</v>
      </c>
    </row>
    <row r="1007">
      <c r="A1007" s="3">
        <f>IFERROR(__xludf.DUMMYFUNCTION("""COMPUTED_VALUE"""),41414.99861111111)</f>
        <v>41414.99861</v>
      </c>
      <c r="B1007" s="1">
        <f>IFERROR(__xludf.DUMMYFUNCTION("""COMPUTED_VALUE"""),0.4667354277)</f>
        <v>0.4667354277</v>
      </c>
    </row>
    <row r="1008">
      <c r="A1008" s="3">
        <f>IFERROR(__xludf.DUMMYFUNCTION("""COMPUTED_VALUE"""),41415.99861111111)</f>
        <v>41415.99861</v>
      </c>
      <c r="B1008" s="1">
        <f>IFERROR(__xludf.DUMMYFUNCTION("""COMPUTED_VALUE"""),0.4734945024)</f>
        <v>0.4734945024</v>
      </c>
    </row>
    <row r="1009">
      <c r="A1009" s="3">
        <f>IFERROR(__xludf.DUMMYFUNCTION("""COMPUTED_VALUE"""),41416.99861111111)</f>
        <v>41416.99861</v>
      </c>
      <c r="B1009" s="1">
        <f>IFERROR(__xludf.DUMMYFUNCTION("""COMPUTED_VALUE"""),0.4709441786)</f>
        <v>0.4709441786</v>
      </c>
    </row>
    <row r="1010">
      <c r="A1010" s="3">
        <f>IFERROR(__xludf.DUMMYFUNCTION("""COMPUTED_VALUE"""),41417.99861111111)</f>
        <v>41417.99861</v>
      </c>
      <c r="B1010" s="1">
        <f>IFERROR(__xludf.DUMMYFUNCTION("""COMPUTED_VALUE"""),0.4725517774)</f>
        <v>0.4725517774</v>
      </c>
    </row>
    <row r="1011">
      <c r="A1011" s="3">
        <f>IFERROR(__xludf.DUMMYFUNCTION("""COMPUTED_VALUE"""),41418.99861111111)</f>
        <v>41418.99861</v>
      </c>
      <c r="B1011" s="1">
        <f>IFERROR(__xludf.DUMMYFUNCTION("""COMPUTED_VALUE"""),0.470826889)</f>
        <v>0.470826889</v>
      </c>
    </row>
    <row r="1012">
      <c r="A1012" s="3">
        <f>IFERROR(__xludf.DUMMYFUNCTION("""COMPUTED_VALUE"""),41419.99861111111)</f>
        <v>41419.99861</v>
      </c>
      <c r="B1012" s="1">
        <f>IFERROR(__xludf.DUMMYFUNCTION("""COMPUTED_VALUE"""),0.4706336896)</f>
        <v>0.4706336896</v>
      </c>
    </row>
    <row r="1013">
      <c r="A1013" s="3">
        <f>IFERROR(__xludf.DUMMYFUNCTION("""COMPUTED_VALUE"""),41421.99861111111)</f>
        <v>41421.99861</v>
      </c>
      <c r="B1013" s="1">
        <f>IFERROR(__xludf.DUMMYFUNCTION("""COMPUTED_VALUE"""),0.4714630688)</f>
        <v>0.4714630688</v>
      </c>
    </row>
    <row r="1014">
      <c r="A1014" s="3">
        <f>IFERROR(__xludf.DUMMYFUNCTION("""COMPUTED_VALUE"""),41422.99861111111)</f>
        <v>41422.99861</v>
      </c>
      <c r="B1014" s="1">
        <f>IFERROR(__xludf.DUMMYFUNCTION("""COMPUTED_VALUE"""),0.469291027)</f>
        <v>0.469291027</v>
      </c>
    </row>
    <row r="1015">
      <c r="A1015" s="3">
        <f>IFERROR(__xludf.DUMMYFUNCTION("""COMPUTED_VALUE"""),41423.99861111111)</f>
        <v>41423.99861</v>
      </c>
      <c r="B1015" s="1">
        <f>IFERROR(__xludf.DUMMYFUNCTION("""COMPUTED_VALUE"""),0.4724582954)</f>
        <v>0.4724582954</v>
      </c>
    </row>
    <row r="1016">
      <c r="A1016" s="3">
        <f>IFERROR(__xludf.DUMMYFUNCTION("""COMPUTED_VALUE"""),41424.99861111111)</f>
        <v>41424.99861</v>
      </c>
      <c r="B1016" s="1">
        <f>IFERROR(__xludf.DUMMYFUNCTION("""COMPUTED_VALUE"""),0.4688872833)</f>
        <v>0.4688872833</v>
      </c>
    </row>
    <row r="1017">
      <c r="A1017" s="3">
        <f>IFERROR(__xludf.DUMMYFUNCTION("""COMPUTED_VALUE"""),41425.99861111111)</f>
        <v>41425.99861</v>
      </c>
      <c r="B1017" s="1">
        <f>IFERROR(__xludf.DUMMYFUNCTION("""COMPUTED_VALUE"""),0.4720034722)</f>
        <v>0.4720034722</v>
      </c>
    </row>
    <row r="1018">
      <c r="A1018" s="3">
        <f>IFERROR(__xludf.DUMMYFUNCTION("""COMPUTED_VALUE"""),41426.99861111111)</f>
        <v>41426.99861</v>
      </c>
      <c r="B1018" s="1">
        <f>IFERROR(__xludf.DUMMYFUNCTION("""COMPUTED_VALUE"""),0.4711358205)</f>
        <v>0.4711358205</v>
      </c>
    </row>
    <row r="1019">
      <c r="A1019" s="3">
        <f>IFERROR(__xludf.DUMMYFUNCTION("""COMPUTED_VALUE"""),41427.99861111111)</f>
        <v>41427.99861</v>
      </c>
      <c r="B1019" s="1">
        <f>IFERROR(__xludf.DUMMYFUNCTION("""COMPUTED_VALUE"""),0.4644817545)</f>
        <v>0.4644817545</v>
      </c>
    </row>
    <row r="1020">
      <c r="A1020" s="3">
        <f>IFERROR(__xludf.DUMMYFUNCTION("""COMPUTED_VALUE"""),41428.99861111111)</f>
        <v>41428.99861</v>
      </c>
      <c r="B1020" s="1">
        <f>IFERROR(__xludf.DUMMYFUNCTION("""COMPUTED_VALUE"""),0.4744806814)</f>
        <v>0.4744806814</v>
      </c>
    </row>
    <row r="1021">
      <c r="A1021" s="3">
        <f>IFERROR(__xludf.DUMMYFUNCTION("""COMPUTED_VALUE"""),41429.99861111111)</f>
        <v>41429.99861</v>
      </c>
      <c r="B1021" s="1">
        <f>IFERROR(__xludf.DUMMYFUNCTION("""COMPUTED_VALUE"""),0.4718777152)</f>
        <v>0.4718777152</v>
      </c>
    </row>
    <row r="1022">
      <c r="A1022" s="3">
        <f>IFERROR(__xludf.DUMMYFUNCTION("""COMPUTED_VALUE"""),41430.99861111111)</f>
        <v>41430.99861</v>
      </c>
      <c r="B1022" s="1">
        <f>IFERROR(__xludf.DUMMYFUNCTION("""COMPUTED_VALUE"""),0.4679558998)</f>
        <v>0.4679558998</v>
      </c>
    </row>
    <row r="1023">
      <c r="A1023" s="3">
        <f>IFERROR(__xludf.DUMMYFUNCTION("""COMPUTED_VALUE"""),41431.99861111111)</f>
        <v>41431.99861</v>
      </c>
      <c r="B1023" s="1">
        <f>IFERROR(__xludf.DUMMYFUNCTION("""COMPUTED_VALUE"""),0.4762645687)</f>
        <v>0.4762645687</v>
      </c>
    </row>
    <row r="1024">
      <c r="A1024" s="3">
        <f>IFERROR(__xludf.DUMMYFUNCTION("""COMPUTED_VALUE"""),41432.99861111111)</f>
        <v>41432.99861</v>
      </c>
      <c r="B1024" s="1">
        <f>IFERROR(__xludf.DUMMYFUNCTION("""COMPUTED_VALUE"""),0.4709848292)</f>
        <v>0.4709848292</v>
      </c>
    </row>
    <row r="1025">
      <c r="A1025" s="3">
        <f>IFERROR(__xludf.DUMMYFUNCTION("""COMPUTED_VALUE"""),41433.99861111111)</f>
        <v>41433.99861</v>
      </c>
      <c r="B1025" s="1">
        <f>IFERROR(__xludf.DUMMYFUNCTION("""COMPUTED_VALUE"""),0.4731271303)</f>
        <v>0.4731271303</v>
      </c>
    </row>
    <row r="1026">
      <c r="A1026" s="3">
        <f>IFERROR(__xludf.DUMMYFUNCTION("""COMPUTED_VALUE"""),41434.99861111111)</f>
        <v>41434.99861</v>
      </c>
      <c r="B1026" s="1">
        <f>IFERROR(__xludf.DUMMYFUNCTION("""COMPUTED_VALUE"""),0.471166346)</f>
        <v>0.471166346</v>
      </c>
    </row>
    <row r="1027">
      <c r="A1027" s="3">
        <f>IFERROR(__xludf.DUMMYFUNCTION("""COMPUTED_VALUE"""),41435.99861111111)</f>
        <v>41435.99861</v>
      </c>
      <c r="B1027" s="1">
        <f>IFERROR(__xludf.DUMMYFUNCTION("""COMPUTED_VALUE"""),0.4692661802)</f>
        <v>0.4692661802</v>
      </c>
    </row>
    <row r="1028">
      <c r="A1028" s="3">
        <f>IFERROR(__xludf.DUMMYFUNCTION("""COMPUTED_VALUE"""),41436.99861111111)</f>
        <v>41436.99861</v>
      </c>
      <c r="B1028" s="1">
        <f>IFERROR(__xludf.DUMMYFUNCTION("""COMPUTED_VALUE"""),0.4741011345)</f>
        <v>0.4741011345</v>
      </c>
    </row>
    <row r="1029">
      <c r="A1029" s="3">
        <f>IFERROR(__xludf.DUMMYFUNCTION("""COMPUTED_VALUE"""),41437.99861111111)</f>
        <v>41437.99861</v>
      </c>
      <c r="B1029" s="1">
        <f>IFERROR(__xludf.DUMMYFUNCTION("""COMPUTED_VALUE"""),0.4765304549)</f>
        <v>0.4765304549</v>
      </c>
    </row>
    <row r="1030">
      <c r="A1030" s="3">
        <f>IFERROR(__xludf.DUMMYFUNCTION("""COMPUTED_VALUE"""),41438.99861111111)</f>
        <v>41438.99861</v>
      </c>
      <c r="B1030" s="1">
        <f>IFERROR(__xludf.DUMMYFUNCTION("""COMPUTED_VALUE"""),0.4766845642)</f>
        <v>0.4766845642</v>
      </c>
    </row>
    <row r="1031">
      <c r="A1031" s="3">
        <f>IFERROR(__xludf.DUMMYFUNCTION("""COMPUTED_VALUE"""),41439.99861111111)</f>
        <v>41439.99861</v>
      </c>
      <c r="B1031" s="1">
        <f>IFERROR(__xludf.DUMMYFUNCTION("""COMPUTED_VALUE"""),0.4766006861)</f>
        <v>0.4766006861</v>
      </c>
    </row>
    <row r="1032">
      <c r="A1032" s="3">
        <f>IFERROR(__xludf.DUMMYFUNCTION("""COMPUTED_VALUE"""),41440.99861111111)</f>
        <v>41440.99861</v>
      </c>
      <c r="B1032" s="1">
        <f>IFERROR(__xludf.DUMMYFUNCTION("""COMPUTED_VALUE"""),0.4720253591)</f>
        <v>0.4720253591</v>
      </c>
    </row>
    <row r="1033">
      <c r="A1033" s="3">
        <f>IFERROR(__xludf.DUMMYFUNCTION("""COMPUTED_VALUE"""),41441.99861111111)</f>
        <v>41441.99861</v>
      </c>
      <c r="B1033" s="1">
        <f>IFERROR(__xludf.DUMMYFUNCTION("""COMPUTED_VALUE"""),0.4653136736)</f>
        <v>0.4653136736</v>
      </c>
    </row>
    <row r="1034">
      <c r="A1034" s="3">
        <f>IFERROR(__xludf.DUMMYFUNCTION("""COMPUTED_VALUE"""),41442.99861111111)</f>
        <v>41442.99861</v>
      </c>
      <c r="B1034" s="1">
        <f>IFERROR(__xludf.DUMMYFUNCTION("""COMPUTED_VALUE"""),0.4763793529)</f>
        <v>0.4763793529</v>
      </c>
    </row>
    <row r="1035">
      <c r="A1035" s="3">
        <f>IFERROR(__xludf.DUMMYFUNCTION("""COMPUTED_VALUE"""),41443.99861111111)</f>
        <v>41443.99861</v>
      </c>
      <c r="B1035" s="1">
        <f>IFERROR(__xludf.DUMMYFUNCTION("""COMPUTED_VALUE"""),0.4768369124)</f>
        <v>0.4768369124</v>
      </c>
    </row>
    <row r="1036">
      <c r="A1036" s="3">
        <f>IFERROR(__xludf.DUMMYFUNCTION("""COMPUTED_VALUE"""),41444.99861111111)</f>
        <v>41444.99861</v>
      </c>
      <c r="B1036" s="1">
        <f>IFERROR(__xludf.DUMMYFUNCTION("""COMPUTED_VALUE"""),0.4728725866)</f>
        <v>0.4728725866</v>
      </c>
    </row>
    <row r="1037">
      <c r="A1037" s="3">
        <f>IFERROR(__xludf.DUMMYFUNCTION("""COMPUTED_VALUE"""),41445.99861111111)</f>
        <v>41445.99861</v>
      </c>
      <c r="B1037" s="1">
        <f>IFERROR(__xludf.DUMMYFUNCTION("""COMPUTED_VALUE"""),0.4783432324)</f>
        <v>0.4783432324</v>
      </c>
    </row>
    <row r="1038">
      <c r="A1038" s="3">
        <f>IFERROR(__xludf.DUMMYFUNCTION("""COMPUTED_VALUE"""),41446.99861111111)</f>
        <v>41446.99861</v>
      </c>
      <c r="B1038" s="1">
        <f>IFERROR(__xludf.DUMMYFUNCTION("""COMPUTED_VALUE"""),0.4751868083)</f>
        <v>0.4751868083</v>
      </c>
    </row>
    <row r="1039">
      <c r="A1039" s="3">
        <f>IFERROR(__xludf.DUMMYFUNCTION("""COMPUTED_VALUE"""),41447.99861111111)</f>
        <v>41447.99861</v>
      </c>
      <c r="B1039" s="1">
        <f>IFERROR(__xludf.DUMMYFUNCTION("""COMPUTED_VALUE"""),0.4742119329)</f>
        <v>0.4742119329</v>
      </c>
    </row>
    <row r="1040">
      <c r="A1040" s="3">
        <f>IFERROR(__xludf.DUMMYFUNCTION("""COMPUTED_VALUE"""),41448.99861111111)</f>
        <v>41448.99861</v>
      </c>
      <c r="B1040" s="1">
        <f>IFERROR(__xludf.DUMMYFUNCTION("""COMPUTED_VALUE"""),0.4604987013)</f>
        <v>0.4604987013</v>
      </c>
    </row>
    <row r="1041">
      <c r="A1041" s="3">
        <f>IFERROR(__xludf.DUMMYFUNCTION("""COMPUTED_VALUE"""),41449.99861111111)</f>
        <v>41449.99861</v>
      </c>
      <c r="B1041" s="1">
        <f>IFERROR(__xludf.DUMMYFUNCTION("""COMPUTED_VALUE"""),0.4782323043)</f>
        <v>0.4782323043</v>
      </c>
    </row>
    <row r="1042">
      <c r="A1042" s="3">
        <f>IFERROR(__xludf.DUMMYFUNCTION("""COMPUTED_VALUE"""),41450.99861111111)</f>
        <v>41450.99861</v>
      </c>
      <c r="B1042" s="1">
        <f>IFERROR(__xludf.DUMMYFUNCTION("""COMPUTED_VALUE"""),0.4754169192)</f>
        <v>0.4754169192</v>
      </c>
    </row>
    <row r="1043">
      <c r="A1043" s="3">
        <f>IFERROR(__xludf.DUMMYFUNCTION("""COMPUTED_VALUE"""),41451.99861111111)</f>
        <v>41451.99861</v>
      </c>
      <c r="B1043" s="1">
        <f>IFERROR(__xludf.DUMMYFUNCTION("""COMPUTED_VALUE"""),0.4770209629)</f>
        <v>0.4770209629</v>
      </c>
    </row>
    <row r="1044">
      <c r="A1044" s="3">
        <f>IFERROR(__xludf.DUMMYFUNCTION("""COMPUTED_VALUE"""),41452.99861111111)</f>
        <v>41452.99861</v>
      </c>
      <c r="B1044" s="1">
        <f>IFERROR(__xludf.DUMMYFUNCTION("""COMPUTED_VALUE"""),0.4785880035)</f>
        <v>0.4785880035</v>
      </c>
    </row>
    <row r="1045">
      <c r="A1045" s="3">
        <f>IFERROR(__xludf.DUMMYFUNCTION("""COMPUTED_VALUE"""),41453.99861111111)</f>
        <v>41453.99861</v>
      </c>
      <c r="B1045" s="1">
        <f>IFERROR(__xludf.DUMMYFUNCTION("""COMPUTED_VALUE"""),0.4716082305)</f>
        <v>0.4716082305</v>
      </c>
    </row>
    <row r="1046">
      <c r="A1046" s="3">
        <f>IFERROR(__xludf.DUMMYFUNCTION("""COMPUTED_VALUE"""),41454.99861111111)</f>
        <v>41454.99861</v>
      </c>
      <c r="B1046" s="1">
        <f>IFERROR(__xludf.DUMMYFUNCTION("""COMPUTED_VALUE"""),0.4716082305)</f>
        <v>0.4716082305</v>
      </c>
    </row>
    <row r="1047">
      <c r="A1047" s="3">
        <f>IFERROR(__xludf.DUMMYFUNCTION("""COMPUTED_VALUE"""),41455.99861111111)</f>
        <v>41455.99861</v>
      </c>
      <c r="B1047" s="1">
        <f>IFERROR(__xludf.DUMMYFUNCTION("""COMPUTED_VALUE"""),0.457910155)</f>
        <v>0.457910155</v>
      </c>
    </row>
    <row r="1048">
      <c r="A1048" s="3">
        <f>IFERROR(__xludf.DUMMYFUNCTION("""COMPUTED_VALUE"""),41456.99861111111)</f>
        <v>41456.99861</v>
      </c>
      <c r="B1048" s="1">
        <f>IFERROR(__xludf.DUMMYFUNCTION("""COMPUTED_VALUE"""),0.4750527854)</f>
        <v>0.4750527854</v>
      </c>
    </row>
    <row r="1049">
      <c r="A1049" s="3">
        <f>IFERROR(__xludf.DUMMYFUNCTION("""COMPUTED_VALUE"""),41457.99861111111)</f>
        <v>41457.99861</v>
      </c>
      <c r="B1049" s="1">
        <f>IFERROR(__xludf.DUMMYFUNCTION("""COMPUTED_VALUE"""),0.4725546274)</f>
        <v>0.4725546274</v>
      </c>
    </row>
    <row r="1050">
      <c r="A1050" s="3">
        <f>IFERROR(__xludf.DUMMYFUNCTION("""COMPUTED_VALUE"""),41458.99861111111)</f>
        <v>41458.99861</v>
      </c>
      <c r="B1050" s="1">
        <f>IFERROR(__xludf.DUMMYFUNCTION("""COMPUTED_VALUE"""),0.4684802557)</f>
        <v>0.4684802557</v>
      </c>
    </row>
    <row r="1051">
      <c r="A1051" s="3">
        <f>IFERROR(__xludf.DUMMYFUNCTION("""COMPUTED_VALUE"""),41459.99861111111)</f>
        <v>41459.99861</v>
      </c>
      <c r="B1051" s="1">
        <f>IFERROR(__xludf.DUMMYFUNCTION("""COMPUTED_VALUE"""),0.4703397857)</f>
        <v>0.4703397857</v>
      </c>
    </row>
    <row r="1052">
      <c r="A1052" s="3">
        <f>IFERROR(__xludf.DUMMYFUNCTION("""COMPUTED_VALUE"""),41460.99861111111)</f>
        <v>41460.99861</v>
      </c>
      <c r="B1052" s="1">
        <f>IFERROR(__xludf.DUMMYFUNCTION("""COMPUTED_VALUE"""),0.4719486052)</f>
        <v>0.4719486052</v>
      </c>
    </row>
    <row r="1053">
      <c r="A1053" s="3">
        <f>IFERROR(__xludf.DUMMYFUNCTION("""COMPUTED_VALUE"""),41461.99861111111)</f>
        <v>41461.99861</v>
      </c>
      <c r="B1053" s="1">
        <f>IFERROR(__xludf.DUMMYFUNCTION("""COMPUTED_VALUE"""),0.4721058551)</f>
        <v>0.4721058551</v>
      </c>
    </row>
    <row r="1054">
      <c r="A1054" s="3">
        <f>IFERROR(__xludf.DUMMYFUNCTION("""COMPUTED_VALUE"""),41462.99861111111)</f>
        <v>41462.99861</v>
      </c>
      <c r="B1054" s="1">
        <f>IFERROR(__xludf.DUMMYFUNCTION("""COMPUTED_VALUE"""),0.4721058551)</f>
        <v>0.4721058551</v>
      </c>
    </row>
    <row r="1055">
      <c r="A1055" s="3">
        <f>IFERROR(__xludf.DUMMYFUNCTION("""COMPUTED_VALUE"""),41463.99861111111)</f>
        <v>41463.99861</v>
      </c>
      <c r="B1055" s="1">
        <f>IFERROR(__xludf.DUMMYFUNCTION("""COMPUTED_VALUE"""),0.467583599)</f>
        <v>0.467583599</v>
      </c>
    </row>
    <row r="1056">
      <c r="A1056" s="3">
        <f>IFERROR(__xludf.DUMMYFUNCTION("""COMPUTED_VALUE"""),41464.99861111111)</f>
        <v>41464.99861</v>
      </c>
      <c r="B1056" s="1">
        <f>IFERROR(__xludf.DUMMYFUNCTION("""COMPUTED_VALUE"""),0.4715201516)</f>
        <v>0.4715201516</v>
      </c>
    </row>
    <row r="1057">
      <c r="A1057" s="3">
        <f>IFERROR(__xludf.DUMMYFUNCTION("""COMPUTED_VALUE"""),41465.99861111111)</f>
        <v>41465.99861</v>
      </c>
      <c r="B1057" s="1">
        <f>IFERROR(__xludf.DUMMYFUNCTION("""COMPUTED_VALUE"""),0.4805681892)</f>
        <v>0.4805681892</v>
      </c>
    </row>
    <row r="1058">
      <c r="A1058" s="3">
        <f>IFERROR(__xludf.DUMMYFUNCTION("""COMPUTED_VALUE"""),41466.99861111111)</f>
        <v>41466.99861</v>
      </c>
      <c r="B1058" s="1">
        <f>IFERROR(__xludf.DUMMYFUNCTION("""COMPUTED_VALUE"""),0.4764077236)</f>
        <v>0.4764077236</v>
      </c>
    </row>
    <row r="1059">
      <c r="A1059" s="3">
        <f>IFERROR(__xludf.DUMMYFUNCTION("""COMPUTED_VALUE"""),41467.99861111111)</f>
        <v>41467.99861</v>
      </c>
      <c r="B1059" s="1">
        <f>IFERROR(__xludf.DUMMYFUNCTION("""COMPUTED_VALUE"""),0.4775089758)</f>
        <v>0.4775089758</v>
      </c>
    </row>
    <row r="1060">
      <c r="A1060" s="3">
        <f>IFERROR(__xludf.DUMMYFUNCTION("""COMPUTED_VALUE"""),41468.99861111111)</f>
        <v>41468.99861</v>
      </c>
      <c r="B1060" s="1">
        <f>IFERROR(__xludf.DUMMYFUNCTION("""COMPUTED_VALUE"""),0.4754190997)</f>
        <v>0.4754190997</v>
      </c>
    </row>
    <row r="1061">
      <c r="A1061" s="3">
        <f>IFERROR(__xludf.DUMMYFUNCTION("""COMPUTED_VALUE"""),41469.99861111111)</f>
        <v>41469.99861</v>
      </c>
      <c r="B1061" s="1">
        <f>IFERROR(__xludf.DUMMYFUNCTION("""COMPUTED_VALUE"""),0.4604104782)</f>
        <v>0.4604104782</v>
      </c>
    </row>
    <row r="1062">
      <c r="A1062" s="3">
        <f>IFERROR(__xludf.DUMMYFUNCTION("""COMPUTED_VALUE"""),41470.99861111111)</f>
        <v>41470.99861</v>
      </c>
      <c r="B1062" s="1">
        <f>IFERROR(__xludf.DUMMYFUNCTION("""COMPUTED_VALUE"""),0.4736462689)</f>
        <v>0.4736462689</v>
      </c>
    </row>
    <row r="1063">
      <c r="A1063" s="3">
        <f>IFERROR(__xludf.DUMMYFUNCTION("""COMPUTED_VALUE"""),41471.99861111111)</f>
        <v>41471.99861</v>
      </c>
      <c r="B1063" s="1">
        <f>IFERROR(__xludf.DUMMYFUNCTION("""COMPUTED_VALUE"""),0.4744902708)</f>
        <v>0.4744902708</v>
      </c>
    </row>
    <row r="1064">
      <c r="A1064" s="3">
        <f>IFERROR(__xludf.DUMMYFUNCTION("""COMPUTED_VALUE"""),41472.99861111111)</f>
        <v>41472.99861</v>
      </c>
      <c r="B1064" s="1">
        <f>IFERROR(__xludf.DUMMYFUNCTION("""COMPUTED_VALUE"""),0.4749644292)</f>
        <v>0.4749644292</v>
      </c>
    </row>
    <row r="1065">
      <c r="A1065" s="3">
        <f>IFERROR(__xludf.DUMMYFUNCTION("""COMPUTED_VALUE"""),41473.99861111111)</f>
        <v>41473.99861</v>
      </c>
      <c r="B1065" s="1">
        <f>IFERROR(__xludf.DUMMYFUNCTION("""COMPUTED_VALUE"""),0.4756756667)</f>
        <v>0.4756756667</v>
      </c>
    </row>
    <row r="1066">
      <c r="A1066" s="3">
        <f>IFERROR(__xludf.DUMMYFUNCTION("""COMPUTED_VALUE"""),41474.99861111111)</f>
        <v>41474.99861</v>
      </c>
      <c r="B1066" s="1">
        <f>IFERROR(__xludf.DUMMYFUNCTION("""COMPUTED_VALUE"""),0.4756960756)</f>
        <v>0.4756960756</v>
      </c>
    </row>
    <row r="1067">
      <c r="A1067" s="3">
        <f>IFERROR(__xludf.DUMMYFUNCTION("""COMPUTED_VALUE"""),41475.99861111111)</f>
        <v>41475.99861</v>
      </c>
      <c r="B1067" s="1">
        <f>IFERROR(__xludf.DUMMYFUNCTION("""COMPUTED_VALUE"""),0.4818116389)</f>
        <v>0.4818116389</v>
      </c>
    </row>
    <row r="1068">
      <c r="A1068" s="3">
        <f>IFERROR(__xludf.DUMMYFUNCTION("""COMPUTED_VALUE"""),41477.99861111111)</f>
        <v>41477.99861</v>
      </c>
      <c r="B1068" s="1">
        <f>IFERROR(__xludf.DUMMYFUNCTION("""COMPUTED_VALUE"""),0.473443393)</f>
        <v>0.473443393</v>
      </c>
    </row>
    <row r="1069">
      <c r="A1069" s="3">
        <f>IFERROR(__xludf.DUMMYFUNCTION("""COMPUTED_VALUE"""),41478.99861111111)</f>
        <v>41478.99861</v>
      </c>
      <c r="B1069" s="1">
        <f>IFERROR(__xludf.DUMMYFUNCTION("""COMPUTED_VALUE"""),0.4823138837)</f>
        <v>0.4823138837</v>
      </c>
    </row>
    <row r="1070">
      <c r="A1070" s="3">
        <f>IFERROR(__xludf.DUMMYFUNCTION("""COMPUTED_VALUE"""),41479.99861111111)</f>
        <v>41479.99861</v>
      </c>
      <c r="B1070" s="1">
        <f>IFERROR(__xludf.DUMMYFUNCTION("""COMPUTED_VALUE"""),0.4851114181)</f>
        <v>0.4851114181</v>
      </c>
    </row>
    <row r="1071">
      <c r="A1071" s="3">
        <f>IFERROR(__xludf.DUMMYFUNCTION("""COMPUTED_VALUE"""),41480.99861111111)</f>
        <v>41480.99861</v>
      </c>
      <c r="B1071" s="1">
        <f>IFERROR(__xludf.DUMMYFUNCTION("""COMPUTED_VALUE"""),0.4854907448)</f>
        <v>0.4854907448</v>
      </c>
    </row>
    <row r="1072">
      <c r="A1072" s="3">
        <f>IFERROR(__xludf.DUMMYFUNCTION("""COMPUTED_VALUE"""),41481.99861111111)</f>
        <v>41481.99861</v>
      </c>
      <c r="B1072" s="1">
        <f>IFERROR(__xludf.DUMMYFUNCTION("""COMPUTED_VALUE"""),0.4852062497)</f>
        <v>0.4852062497</v>
      </c>
    </row>
    <row r="1073">
      <c r="A1073" s="3">
        <f>IFERROR(__xludf.DUMMYFUNCTION("""COMPUTED_VALUE"""),41482.99861111111)</f>
        <v>41482.99861</v>
      </c>
      <c r="B1073" s="1">
        <f>IFERROR(__xludf.DUMMYFUNCTION("""COMPUTED_VALUE"""),0.4900224819)</f>
        <v>0.4900224819</v>
      </c>
    </row>
    <row r="1074">
      <c r="A1074" s="3">
        <f>IFERROR(__xludf.DUMMYFUNCTION("""COMPUTED_VALUE"""),41483.99861111111)</f>
        <v>41483.99861</v>
      </c>
      <c r="B1074" s="1">
        <f>IFERROR(__xludf.DUMMYFUNCTION("""COMPUTED_VALUE"""),0.4869132198)</f>
        <v>0.4869132198</v>
      </c>
    </row>
    <row r="1075">
      <c r="A1075" s="3">
        <f>IFERROR(__xludf.DUMMYFUNCTION("""COMPUTED_VALUE"""),41484.99861111111)</f>
        <v>41484.99861</v>
      </c>
      <c r="B1075" s="1">
        <f>IFERROR(__xludf.DUMMYFUNCTION("""COMPUTED_VALUE"""),0.4857278239)</f>
        <v>0.4857278239</v>
      </c>
    </row>
    <row r="1076">
      <c r="A1076" s="3">
        <f>IFERROR(__xludf.DUMMYFUNCTION("""COMPUTED_VALUE"""),41485.99861111111)</f>
        <v>41485.99861</v>
      </c>
      <c r="B1076" s="1">
        <f>IFERROR(__xludf.DUMMYFUNCTION("""COMPUTED_VALUE"""),0.4857278239)</f>
        <v>0.4857278239</v>
      </c>
    </row>
    <row r="1077">
      <c r="A1077" s="3">
        <f>IFERROR(__xludf.DUMMYFUNCTION("""COMPUTED_VALUE"""),41486.99861111111)</f>
        <v>41486.99861</v>
      </c>
      <c r="B1077" s="1">
        <f>IFERROR(__xludf.DUMMYFUNCTION("""COMPUTED_VALUE"""),0.486012319)</f>
        <v>0.486012319</v>
      </c>
    </row>
    <row r="1078">
      <c r="A1078" s="3">
        <f>IFERROR(__xludf.DUMMYFUNCTION("""COMPUTED_VALUE"""),41487.99861111111)</f>
        <v>41487.99861</v>
      </c>
      <c r="B1078" s="1">
        <f>IFERROR(__xludf.DUMMYFUNCTION("""COMPUTED_VALUE"""),0.4861071506)</f>
        <v>0.4861071506</v>
      </c>
    </row>
    <row r="1079">
      <c r="A1079" s="3">
        <f>IFERROR(__xludf.DUMMYFUNCTION("""COMPUTED_VALUE"""),41488.99861111111)</f>
        <v>41488.99861</v>
      </c>
      <c r="B1079" s="1">
        <f>IFERROR(__xludf.DUMMYFUNCTION("""COMPUTED_VALUE"""),0.4873072276)</f>
        <v>0.4873072276</v>
      </c>
    </row>
    <row r="1080">
      <c r="A1080" s="3">
        <f>IFERROR(__xludf.DUMMYFUNCTION("""COMPUTED_VALUE"""),41489.99861111111)</f>
        <v>41489.99861</v>
      </c>
      <c r="B1080" s="1">
        <f>IFERROR(__xludf.DUMMYFUNCTION("""COMPUTED_VALUE"""),0.4955324731)</f>
        <v>0.4955324731</v>
      </c>
    </row>
    <row r="1081">
      <c r="A1081" s="3">
        <f>IFERROR(__xludf.DUMMYFUNCTION("""COMPUTED_VALUE"""),41490.99861111111)</f>
        <v>41490.99861</v>
      </c>
      <c r="B1081" s="1">
        <f>IFERROR(__xludf.DUMMYFUNCTION("""COMPUTED_VALUE"""),0.4850165864)</f>
        <v>0.4850165864</v>
      </c>
    </row>
    <row r="1082">
      <c r="A1082" s="3">
        <f>IFERROR(__xludf.DUMMYFUNCTION("""COMPUTED_VALUE"""),41491.99861111111)</f>
        <v>41491.99861</v>
      </c>
      <c r="B1082" s="1">
        <f>IFERROR(__xludf.DUMMYFUNCTION("""COMPUTED_VALUE"""),0.486296814)</f>
        <v>0.486296814</v>
      </c>
    </row>
    <row r="1083">
      <c r="A1083" s="3">
        <f>IFERROR(__xludf.DUMMYFUNCTION("""COMPUTED_VALUE"""),41492.99861111111)</f>
        <v>41492.99861</v>
      </c>
      <c r="B1083" s="1">
        <f>IFERROR(__xludf.DUMMYFUNCTION("""COMPUTED_VALUE"""),0.4863442298)</f>
        <v>0.4863442298</v>
      </c>
    </row>
    <row r="1084">
      <c r="A1084" s="3">
        <f>IFERROR(__xludf.DUMMYFUNCTION("""COMPUTED_VALUE"""),41493.99861111111)</f>
        <v>41493.99861</v>
      </c>
      <c r="B1084" s="1">
        <f>IFERROR(__xludf.DUMMYFUNCTION("""COMPUTED_VALUE"""),0.4863916456)</f>
        <v>0.4863916456</v>
      </c>
    </row>
    <row r="1085">
      <c r="A1085" s="3">
        <f>IFERROR(__xludf.DUMMYFUNCTION("""COMPUTED_VALUE"""),41494.99861111111)</f>
        <v>41494.99861</v>
      </c>
      <c r="B1085" s="1">
        <f>IFERROR(__xludf.DUMMYFUNCTION("""COMPUTED_VALUE"""),0.4863442298)</f>
        <v>0.4863442298</v>
      </c>
    </row>
    <row r="1086">
      <c r="A1086" s="3">
        <f>IFERROR(__xludf.DUMMYFUNCTION("""COMPUTED_VALUE"""),41495.99861111111)</f>
        <v>41495.99861</v>
      </c>
      <c r="B1086" s="1">
        <f>IFERROR(__xludf.DUMMYFUNCTION("""COMPUTED_VALUE"""),0.4864864773)</f>
        <v>0.4864864773</v>
      </c>
    </row>
    <row r="1087">
      <c r="A1087" s="3">
        <f>IFERROR(__xludf.DUMMYFUNCTION("""COMPUTED_VALUE"""),41496.99861111111)</f>
        <v>41496.99861</v>
      </c>
      <c r="B1087" s="1">
        <f>IFERROR(__xludf.DUMMYFUNCTION("""COMPUTED_VALUE"""),0.4871916491)</f>
        <v>0.4871916491</v>
      </c>
    </row>
    <row r="1088">
      <c r="A1088" s="3">
        <f>IFERROR(__xludf.DUMMYFUNCTION("""COMPUTED_VALUE"""),41497.99861111111)</f>
        <v>41497.99861</v>
      </c>
      <c r="B1088" s="1">
        <f>IFERROR(__xludf.DUMMYFUNCTION("""COMPUTED_VALUE"""),0.4869132198)</f>
        <v>0.4869132198</v>
      </c>
    </row>
    <row r="1089">
      <c r="A1089" s="3">
        <f>IFERROR(__xludf.DUMMYFUNCTION("""COMPUTED_VALUE"""),41498.99861111111)</f>
        <v>41498.99861</v>
      </c>
      <c r="B1089" s="1">
        <f>IFERROR(__xludf.DUMMYFUNCTION("""COMPUTED_VALUE"""),0.486581309)</f>
        <v>0.486581309</v>
      </c>
    </row>
    <row r="1090">
      <c r="A1090" s="3">
        <f>IFERROR(__xludf.DUMMYFUNCTION("""COMPUTED_VALUE"""),41499.99861111111)</f>
        <v>41499.99861</v>
      </c>
      <c r="B1090" s="1">
        <f>IFERROR(__xludf.DUMMYFUNCTION("""COMPUTED_VALUE"""),0.4885727741)</f>
        <v>0.4885727741</v>
      </c>
    </row>
    <row r="1091">
      <c r="A1091" s="3">
        <f>IFERROR(__xludf.DUMMYFUNCTION("""COMPUTED_VALUE"""),41500.99861111111)</f>
        <v>41500.99861</v>
      </c>
      <c r="B1091" s="1">
        <f>IFERROR(__xludf.DUMMYFUNCTION("""COMPUTED_VALUE"""),0.4883356949)</f>
        <v>0.4883356949</v>
      </c>
    </row>
    <row r="1092">
      <c r="A1092" s="3">
        <f>IFERROR(__xludf.DUMMYFUNCTION("""COMPUTED_VALUE"""),41501.99861111111)</f>
        <v>41501.99861</v>
      </c>
      <c r="B1092" s="1">
        <f>IFERROR(__xludf.DUMMYFUNCTION("""COMPUTED_VALUE"""),0.489473675)</f>
        <v>0.489473675</v>
      </c>
    </row>
    <row r="1093">
      <c r="A1093" s="3">
        <f>IFERROR(__xludf.DUMMYFUNCTION("""COMPUTED_VALUE"""),41502.99861111111)</f>
        <v>41502.99861</v>
      </c>
      <c r="B1093" s="1">
        <f>IFERROR(__xludf.DUMMYFUNCTION("""COMPUTED_VALUE"""),0.4912280609)</f>
        <v>0.4912280609</v>
      </c>
    </row>
    <row r="1094">
      <c r="A1094" s="3">
        <f>IFERROR(__xludf.DUMMYFUNCTION("""COMPUTED_VALUE"""),41503.99861111111)</f>
        <v>41503.99861</v>
      </c>
      <c r="B1094" s="1">
        <f>IFERROR(__xludf.DUMMYFUNCTION("""COMPUTED_VALUE"""),0.4976931942)</f>
        <v>0.4976931942</v>
      </c>
    </row>
    <row r="1095">
      <c r="A1095" s="3">
        <f>IFERROR(__xludf.DUMMYFUNCTION("""COMPUTED_VALUE"""),41504.99861111111)</f>
        <v>41504.99861</v>
      </c>
      <c r="B1095" s="1">
        <f>IFERROR(__xludf.DUMMYFUNCTION("""COMPUTED_VALUE"""),0.4916073876)</f>
        <v>0.4916073876</v>
      </c>
    </row>
    <row r="1096">
      <c r="A1096" s="3">
        <f>IFERROR(__xludf.DUMMYFUNCTION("""COMPUTED_VALUE"""),41505.99861111111)</f>
        <v>41505.99861</v>
      </c>
      <c r="B1096" s="1">
        <f>IFERROR(__xludf.DUMMYFUNCTION("""COMPUTED_VALUE"""),0.4960170603)</f>
        <v>0.4960170603</v>
      </c>
    </row>
    <row r="1097">
      <c r="A1097" s="3">
        <f>IFERROR(__xludf.DUMMYFUNCTION("""COMPUTED_VALUE"""),41506.99861111111)</f>
        <v>41506.99861</v>
      </c>
      <c r="B1097" s="1">
        <f>IFERROR(__xludf.DUMMYFUNCTION("""COMPUTED_VALUE"""),0.5053105642)</f>
        <v>0.5053105642</v>
      </c>
    </row>
    <row r="1098">
      <c r="A1098" s="3">
        <f>IFERROR(__xludf.DUMMYFUNCTION("""COMPUTED_VALUE"""),41507.99861111111)</f>
        <v>41507.99861</v>
      </c>
      <c r="B1098" s="1">
        <f>IFERROR(__xludf.DUMMYFUNCTION("""COMPUTED_VALUE"""),0.5096254053)</f>
        <v>0.5096254053</v>
      </c>
    </row>
    <row r="1099">
      <c r="A1099" s="3">
        <f>IFERROR(__xludf.DUMMYFUNCTION("""COMPUTED_VALUE"""),41508.99861111111)</f>
        <v>41508.99861</v>
      </c>
      <c r="B1099" s="1">
        <f>IFERROR(__xludf.DUMMYFUNCTION("""COMPUTED_VALUE"""),0.5230915027)</f>
        <v>0.5230915027</v>
      </c>
    </row>
    <row r="1100">
      <c r="A1100" s="3">
        <f>IFERROR(__xludf.DUMMYFUNCTION("""COMPUTED_VALUE"""),41509.99861111111)</f>
        <v>41509.99861</v>
      </c>
      <c r="B1100" s="1">
        <f>IFERROR(__xludf.DUMMYFUNCTION("""COMPUTED_VALUE"""),0.509720237)</f>
        <v>0.509720237</v>
      </c>
    </row>
    <row r="1101">
      <c r="A1101" s="3">
        <f>IFERROR(__xludf.DUMMYFUNCTION("""COMPUTED_VALUE"""),41510.99861111111)</f>
        <v>41510.99861</v>
      </c>
      <c r="B1101" s="1">
        <f>IFERROR(__xludf.DUMMYFUNCTION("""COMPUTED_VALUE"""),0.5163552445)</f>
        <v>0.5163552445</v>
      </c>
    </row>
    <row r="1102">
      <c r="A1102" s="3">
        <f>IFERROR(__xludf.DUMMYFUNCTION("""COMPUTED_VALUE"""),41511.99861111111)</f>
        <v>41511.99861</v>
      </c>
      <c r="B1102" s="1">
        <f>IFERROR(__xludf.DUMMYFUNCTION("""COMPUTED_VALUE"""),0.5218112751)</f>
        <v>0.5218112751</v>
      </c>
    </row>
    <row r="1103">
      <c r="A1103" s="3">
        <f>IFERROR(__xludf.DUMMYFUNCTION("""COMPUTED_VALUE"""),41512.99861111111)</f>
        <v>41512.99861</v>
      </c>
      <c r="B1103" s="1">
        <f>IFERROR(__xludf.DUMMYFUNCTION("""COMPUTED_VALUE"""),0.5265054429)</f>
        <v>0.5265054429</v>
      </c>
    </row>
    <row r="1104">
      <c r="A1104" s="3">
        <f>IFERROR(__xludf.DUMMYFUNCTION("""COMPUTED_VALUE"""),41513.99861111111)</f>
        <v>41513.99861</v>
      </c>
      <c r="B1104" s="1">
        <f>IFERROR(__xludf.DUMMYFUNCTION("""COMPUTED_VALUE"""),0.5166903648)</f>
        <v>0.5166903648</v>
      </c>
    </row>
    <row r="1105">
      <c r="A1105" s="3">
        <f>IFERROR(__xludf.DUMMYFUNCTION("""COMPUTED_VALUE"""),41514.99861111111)</f>
        <v>41514.99861</v>
      </c>
      <c r="B1105" s="1">
        <f>IFERROR(__xludf.DUMMYFUNCTION("""COMPUTED_VALUE"""),0.5176386816)</f>
        <v>0.5176386816</v>
      </c>
    </row>
    <row r="1106">
      <c r="A1106" s="3">
        <f>IFERROR(__xludf.DUMMYFUNCTION("""COMPUTED_VALUE"""),41515.99861111111)</f>
        <v>41515.99861</v>
      </c>
      <c r="B1106" s="1">
        <f>IFERROR(__xludf.DUMMYFUNCTION("""COMPUTED_VALUE"""),0.5171645232)</f>
        <v>0.5171645232</v>
      </c>
    </row>
    <row r="1107">
      <c r="A1107" s="3">
        <f>IFERROR(__xludf.DUMMYFUNCTION("""COMPUTED_VALUE"""),41516.99861111111)</f>
        <v>41516.99861</v>
      </c>
      <c r="B1107" s="1">
        <f>IFERROR(__xludf.DUMMYFUNCTION("""COMPUTED_VALUE"""),0.5162162065)</f>
        <v>0.5162162065</v>
      </c>
    </row>
    <row r="1108">
      <c r="A1108" s="3">
        <f>IFERROR(__xludf.DUMMYFUNCTION("""COMPUTED_VALUE"""),41517.99861111111)</f>
        <v>41517.99861</v>
      </c>
      <c r="B1108" s="1">
        <f>IFERROR(__xludf.DUMMYFUNCTION("""COMPUTED_VALUE"""),0.5218161775)</f>
        <v>0.5218161775</v>
      </c>
    </row>
    <row r="1109">
      <c r="A1109" s="3">
        <f>IFERROR(__xludf.DUMMYFUNCTION("""COMPUTED_VALUE"""),41518.99861111111)</f>
        <v>41518.99861</v>
      </c>
      <c r="B1109" s="1">
        <f>IFERROR(__xludf.DUMMYFUNCTION("""COMPUTED_VALUE"""),0.5165955332)</f>
        <v>0.5165955332</v>
      </c>
    </row>
    <row r="1110">
      <c r="A1110" s="3">
        <f>IFERROR(__xludf.DUMMYFUNCTION("""COMPUTED_VALUE"""),41519.99861111111)</f>
        <v>41519.99861</v>
      </c>
      <c r="B1110" s="1">
        <f>IFERROR(__xludf.DUMMYFUNCTION("""COMPUTED_VALUE"""),0.5191085725)</f>
        <v>0.5191085725</v>
      </c>
    </row>
    <row r="1111">
      <c r="A1111" s="3">
        <f>IFERROR(__xludf.DUMMYFUNCTION("""COMPUTED_VALUE"""),41520.99861111111)</f>
        <v>41520.99861</v>
      </c>
      <c r="B1111" s="1">
        <f>IFERROR(__xludf.DUMMYFUNCTION("""COMPUTED_VALUE"""),0.5233285819)</f>
        <v>0.5233285819</v>
      </c>
    </row>
    <row r="1112">
      <c r="A1112" s="3">
        <f>IFERROR(__xludf.DUMMYFUNCTION("""COMPUTED_VALUE"""),41521.99861111111)</f>
        <v>41521.99861</v>
      </c>
      <c r="B1112" s="1">
        <f>IFERROR(__xludf.DUMMYFUNCTION("""COMPUTED_VALUE"""),0.526173532)</f>
        <v>0.526173532</v>
      </c>
    </row>
    <row r="1113">
      <c r="A1113" s="3">
        <f>IFERROR(__xludf.DUMMYFUNCTION("""COMPUTED_VALUE"""),41522.99861111111)</f>
        <v>41522.99861</v>
      </c>
      <c r="B1113" s="1">
        <f>IFERROR(__xludf.DUMMYFUNCTION("""COMPUTED_VALUE"""),0.526173532)</f>
        <v>0.526173532</v>
      </c>
    </row>
    <row r="1114">
      <c r="A1114" s="3">
        <f>IFERROR(__xludf.DUMMYFUNCTION("""COMPUTED_VALUE"""),41523.99861111111)</f>
        <v>41523.99861</v>
      </c>
      <c r="B1114" s="1">
        <f>IFERROR(__xludf.DUMMYFUNCTION("""COMPUTED_VALUE"""),0.5375934361)</f>
        <v>0.5375934361</v>
      </c>
    </row>
    <row r="1115">
      <c r="A1115" s="3">
        <f>IFERROR(__xludf.DUMMYFUNCTION("""COMPUTED_VALUE"""),41524.99861111111)</f>
        <v>41524.99861</v>
      </c>
      <c r="B1115" s="1">
        <f>IFERROR(__xludf.DUMMYFUNCTION("""COMPUTED_VALUE"""),0.5378159349)</f>
        <v>0.5378159349</v>
      </c>
    </row>
    <row r="1116">
      <c r="A1116" s="3">
        <f>IFERROR(__xludf.DUMMYFUNCTION("""COMPUTED_VALUE"""),41525.99861111111)</f>
        <v>41525.99861</v>
      </c>
      <c r="B1116" s="1">
        <f>IFERROR(__xludf.DUMMYFUNCTION("""COMPUTED_VALUE"""),0.5286865714)</f>
        <v>0.5286865714</v>
      </c>
    </row>
    <row r="1117">
      <c r="A1117" s="3">
        <f>IFERROR(__xludf.DUMMYFUNCTION("""COMPUTED_VALUE"""),41526.99861111111)</f>
        <v>41526.99861</v>
      </c>
      <c r="B1117" s="1">
        <f>IFERROR(__xludf.DUMMYFUNCTION("""COMPUTED_VALUE"""),0.5278330863)</f>
        <v>0.5278330863</v>
      </c>
    </row>
    <row r="1118">
      <c r="A1118" s="3">
        <f>IFERROR(__xludf.DUMMYFUNCTION("""COMPUTED_VALUE"""),41527.99861111111)</f>
        <v>41527.99861</v>
      </c>
      <c r="B1118" s="1">
        <f>IFERROR(__xludf.DUMMYFUNCTION("""COMPUTED_VALUE"""),0.5315315215)</f>
        <v>0.5315315215</v>
      </c>
    </row>
    <row r="1119">
      <c r="A1119" s="3">
        <f>IFERROR(__xludf.DUMMYFUNCTION("""COMPUTED_VALUE"""),41528.99861111111)</f>
        <v>41528.99861</v>
      </c>
      <c r="B1119" s="1">
        <f>IFERROR(__xludf.DUMMYFUNCTION("""COMPUTED_VALUE"""),0.5365576001)</f>
        <v>0.5365576001</v>
      </c>
    </row>
    <row r="1120">
      <c r="A1120" s="3">
        <f>IFERROR(__xludf.DUMMYFUNCTION("""COMPUTED_VALUE"""),41529.99861111111)</f>
        <v>41529.99861</v>
      </c>
      <c r="B1120" s="1">
        <f>IFERROR(__xludf.DUMMYFUNCTION("""COMPUTED_VALUE"""),0.5368420951)</f>
        <v>0.5368420951</v>
      </c>
    </row>
    <row r="1121">
      <c r="A1121" s="3">
        <f>IFERROR(__xludf.DUMMYFUNCTION("""COMPUTED_VALUE"""),41530.99861111111)</f>
        <v>41530.99861</v>
      </c>
      <c r="B1121" s="1">
        <f>IFERROR(__xludf.DUMMYFUNCTION("""COMPUTED_VALUE"""),0.5396396295)</f>
        <v>0.5396396295</v>
      </c>
    </row>
    <row r="1122">
      <c r="A1122" s="3">
        <f>IFERROR(__xludf.DUMMYFUNCTION("""COMPUTED_VALUE"""),41531.99861111111)</f>
        <v>41531.99861</v>
      </c>
      <c r="B1122" s="1">
        <f>IFERROR(__xludf.DUMMYFUNCTION("""COMPUTED_VALUE"""),0.5472687007)</f>
        <v>0.5472687007</v>
      </c>
    </row>
    <row r="1123">
      <c r="A1123" s="3">
        <f>IFERROR(__xludf.DUMMYFUNCTION("""COMPUTED_VALUE"""),41532.99861111111)</f>
        <v>41532.99861</v>
      </c>
      <c r="B1123" s="1">
        <f>IFERROR(__xludf.DUMMYFUNCTION("""COMPUTED_VALUE"""),0.5396396295)</f>
        <v>0.5396396295</v>
      </c>
    </row>
    <row r="1124">
      <c r="A1124" s="3">
        <f>IFERROR(__xludf.DUMMYFUNCTION("""COMPUTED_VALUE"""),41533.99861111111)</f>
        <v>41533.99861</v>
      </c>
      <c r="B1124" s="1">
        <f>IFERROR(__xludf.DUMMYFUNCTION("""COMPUTED_VALUE"""),0.5381223227)</f>
        <v>0.5381223227</v>
      </c>
    </row>
    <row r="1125">
      <c r="A1125" s="3">
        <f>IFERROR(__xludf.DUMMYFUNCTION("""COMPUTED_VALUE"""),41534.99861111111)</f>
        <v>41534.99861</v>
      </c>
      <c r="B1125" s="1">
        <f>IFERROR(__xludf.DUMMYFUNCTION("""COMPUTED_VALUE"""),0.5413465996)</f>
        <v>0.5413465996</v>
      </c>
    </row>
    <row r="1126">
      <c r="A1126" s="3">
        <f>IFERROR(__xludf.DUMMYFUNCTION("""COMPUTED_VALUE"""),41535.99861111111)</f>
        <v>41535.99861</v>
      </c>
      <c r="B1126" s="1">
        <f>IFERROR(__xludf.DUMMYFUNCTION("""COMPUTED_VALUE"""),0.5428164905)</f>
        <v>0.5428164905</v>
      </c>
    </row>
    <row r="1127">
      <c r="A1127" s="3">
        <f>IFERROR(__xludf.DUMMYFUNCTION("""COMPUTED_VALUE"""),41536.99861111111)</f>
        <v>41536.99861</v>
      </c>
      <c r="B1127" s="1">
        <f>IFERROR(__xludf.DUMMYFUNCTION("""COMPUTED_VALUE"""),0.5336652341)</f>
        <v>0.5336652341</v>
      </c>
    </row>
    <row r="1128">
      <c r="A1128" s="3">
        <f>IFERROR(__xludf.DUMMYFUNCTION("""COMPUTED_VALUE"""),41537.99861111111)</f>
        <v>41537.99861</v>
      </c>
      <c r="B1128" s="1">
        <f>IFERROR(__xludf.DUMMYFUNCTION("""COMPUTED_VALUE"""),0.5368420951)</f>
        <v>0.5368420951</v>
      </c>
    </row>
    <row r="1129">
      <c r="A1129" s="3">
        <f>IFERROR(__xludf.DUMMYFUNCTION("""COMPUTED_VALUE"""),41538.99861111111)</f>
        <v>41538.99861</v>
      </c>
      <c r="B1129" s="1">
        <f>IFERROR(__xludf.DUMMYFUNCTION("""COMPUTED_VALUE"""),0.543556512)</f>
        <v>0.543556512</v>
      </c>
    </row>
    <row r="1130">
      <c r="A1130" s="3">
        <f>IFERROR(__xludf.DUMMYFUNCTION("""COMPUTED_VALUE"""),41539.99861111111)</f>
        <v>41539.99861</v>
      </c>
      <c r="B1130" s="1">
        <f>IFERROR(__xludf.DUMMYFUNCTION("""COMPUTED_VALUE"""),0.5381697386)</f>
        <v>0.5381697386</v>
      </c>
    </row>
    <row r="1131">
      <c r="A1131" s="3">
        <f>IFERROR(__xludf.DUMMYFUNCTION("""COMPUTED_VALUE"""),41540.99861111111)</f>
        <v>41540.99861</v>
      </c>
      <c r="B1131" s="1">
        <f>IFERROR(__xludf.DUMMYFUNCTION("""COMPUTED_VALUE"""),0.5413465996)</f>
        <v>0.5413465996</v>
      </c>
    </row>
    <row r="1132">
      <c r="A1132" s="3">
        <f>IFERROR(__xludf.DUMMYFUNCTION("""COMPUTED_VALUE"""),41541.99861111111)</f>
        <v>41541.99861</v>
      </c>
      <c r="B1132" s="1">
        <f>IFERROR(__xludf.DUMMYFUNCTION("""COMPUTED_VALUE"""),0.542674243)</f>
        <v>0.542674243</v>
      </c>
    </row>
    <row r="1133">
      <c r="A1133" s="3">
        <f>IFERROR(__xludf.DUMMYFUNCTION("""COMPUTED_VALUE"""),41542.99861111111)</f>
        <v>41542.99861</v>
      </c>
      <c r="B1133" s="1">
        <f>IFERROR(__xludf.DUMMYFUNCTION("""COMPUTED_VALUE"""),0.5432906488)</f>
        <v>0.5432906488</v>
      </c>
    </row>
    <row r="1134">
      <c r="A1134" s="3">
        <f>IFERROR(__xludf.DUMMYFUNCTION("""COMPUTED_VALUE"""),41543.99861111111)</f>
        <v>41543.99861</v>
      </c>
      <c r="B1134" s="1">
        <f>IFERROR(__xludf.DUMMYFUNCTION("""COMPUTED_VALUE"""),0.5419630054)</f>
        <v>0.5419630054</v>
      </c>
    </row>
    <row r="1135">
      <c r="A1135" s="3">
        <f>IFERROR(__xludf.DUMMYFUNCTION("""COMPUTED_VALUE"""),41544.99861111111)</f>
        <v>41544.99861</v>
      </c>
      <c r="B1135" s="1">
        <f>IFERROR(__xludf.DUMMYFUNCTION("""COMPUTED_VALUE"""),0.5457088565)</f>
        <v>0.5457088565</v>
      </c>
    </row>
    <row r="1136">
      <c r="A1136" s="3">
        <f>IFERROR(__xludf.DUMMYFUNCTION("""COMPUTED_VALUE"""),41546.99861111111)</f>
        <v>41546.99861</v>
      </c>
      <c r="B1136" s="1">
        <f>IFERROR(__xludf.DUMMYFUNCTION("""COMPUTED_VALUE"""),0.5457088565)</f>
        <v>0.5457088565</v>
      </c>
    </row>
    <row r="1137">
      <c r="A1137" s="3">
        <f>IFERROR(__xludf.DUMMYFUNCTION("""COMPUTED_VALUE"""),41547.99861111111)</f>
        <v>41547.99861</v>
      </c>
      <c r="B1137" s="1">
        <f>IFERROR(__xludf.DUMMYFUNCTION("""COMPUTED_VALUE"""),0.5477477374)</f>
        <v>0.5477477374</v>
      </c>
    </row>
    <row r="1138">
      <c r="A1138" s="3">
        <f>IFERROR(__xludf.DUMMYFUNCTION("""COMPUTED_VALUE"""),41548.99861111111)</f>
        <v>41548.99861</v>
      </c>
      <c r="B1138" s="1">
        <f>IFERROR(__xludf.DUMMYFUNCTION("""COMPUTED_VALUE"""),0.5441915497)</f>
        <v>0.5441915497</v>
      </c>
    </row>
    <row r="1139">
      <c r="A1139" s="3">
        <f>IFERROR(__xludf.DUMMYFUNCTION("""COMPUTED_VALUE"""),41549.99861111111)</f>
        <v>41549.99861</v>
      </c>
      <c r="B1139" s="1">
        <f>IFERROR(__xludf.DUMMYFUNCTION("""COMPUTED_VALUE"""),0.5453769456)</f>
        <v>0.5453769456</v>
      </c>
    </row>
    <row r="1140">
      <c r="A1140" s="3">
        <f>IFERROR(__xludf.DUMMYFUNCTION("""COMPUTED_VALUE"""),41550.99861111111)</f>
        <v>41550.99861</v>
      </c>
      <c r="B1140" s="1">
        <f>IFERROR(__xludf.DUMMYFUNCTION("""COMPUTED_VALUE"""),0.5454243615)</f>
        <v>0.5454243615</v>
      </c>
    </row>
    <row r="1141">
      <c r="A1141" s="3">
        <f>IFERROR(__xludf.DUMMYFUNCTION("""COMPUTED_VALUE"""),41551.99861111111)</f>
        <v>41551.99861</v>
      </c>
      <c r="B1141" s="1">
        <f>IFERROR(__xludf.DUMMYFUNCTION("""COMPUTED_VALUE"""),0.5452431697)</f>
        <v>0.5452431697</v>
      </c>
    </row>
    <row r="1142">
      <c r="A1142" s="3">
        <f>IFERROR(__xludf.DUMMYFUNCTION("""COMPUTED_VALUE"""),41552.99861111111)</f>
        <v>41552.99861</v>
      </c>
      <c r="B1142" s="1">
        <f>IFERROR(__xludf.DUMMYFUNCTION("""COMPUTED_VALUE"""),0.5505650234)</f>
        <v>0.5505650234</v>
      </c>
    </row>
    <row r="1143">
      <c r="A1143" s="3">
        <f>IFERROR(__xludf.DUMMYFUNCTION("""COMPUTED_VALUE"""),41553.99861111111)</f>
        <v>41553.99861</v>
      </c>
      <c r="B1143" s="1">
        <f>IFERROR(__xludf.DUMMYFUNCTION("""COMPUTED_VALUE"""),0.5448079556)</f>
        <v>0.5448079556</v>
      </c>
    </row>
    <row r="1144">
      <c r="A1144" s="3">
        <f>IFERROR(__xludf.DUMMYFUNCTION("""COMPUTED_VALUE"""),41554.99861111111)</f>
        <v>41554.99861</v>
      </c>
      <c r="B1144" s="1">
        <f>IFERROR(__xludf.DUMMYFUNCTION("""COMPUTED_VALUE"""),0.5451398664)</f>
        <v>0.5451398664</v>
      </c>
    </row>
    <row r="1145">
      <c r="A1145" s="3">
        <f>IFERROR(__xludf.DUMMYFUNCTION("""COMPUTED_VALUE"""),41555.99861111111)</f>
        <v>41555.99861</v>
      </c>
      <c r="B1145" s="1">
        <f>IFERROR(__xludf.DUMMYFUNCTION("""COMPUTED_VALUE"""),0.5447131239)</f>
        <v>0.5447131239</v>
      </c>
    </row>
    <row r="1146">
      <c r="A1146" s="3">
        <f>IFERROR(__xludf.DUMMYFUNCTION("""COMPUTED_VALUE"""),41556.99861111111)</f>
        <v>41556.99861</v>
      </c>
      <c r="B1146" s="1">
        <f>IFERROR(__xludf.DUMMYFUNCTION("""COMPUTED_VALUE"""),0.5455191931)</f>
        <v>0.5455191931</v>
      </c>
    </row>
    <row r="1147">
      <c r="A1147" s="3">
        <f>IFERROR(__xludf.DUMMYFUNCTION("""COMPUTED_VALUE"""),41557.99861111111)</f>
        <v>41557.99861</v>
      </c>
      <c r="B1147" s="1">
        <f>IFERROR(__xludf.DUMMYFUNCTION("""COMPUTED_VALUE"""),0.543527728)</f>
        <v>0.543527728</v>
      </c>
    </row>
    <row r="1148">
      <c r="A1148" s="3">
        <f>IFERROR(__xludf.DUMMYFUNCTION("""COMPUTED_VALUE"""),41558.99861111111)</f>
        <v>41558.99861</v>
      </c>
      <c r="B1148" s="1">
        <f>IFERROR(__xludf.DUMMYFUNCTION("""COMPUTED_VALUE"""),0.538589399)</f>
        <v>0.538589399</v>
      </c>
    </row>
    <row r="1149">
      <c r="A1149" s="3">
        <f>IFERROR(__xludf.DUMMYFUNCTION("""COMPUTED_VALUE"""),41559.99861111111)</f>
        <v>41559.99861</v>
      </c>
      <c r="B1149" s="1">
        <f>IFERROR(__xludf.DUMMYFUNCTION("""COMPUTED_VALUE"""),0.5439892462)</f>
        <v>0.5439892462</v>
      </c>
    </row>
    <row r="1150">
      <c r="A1150" s="3">
        <f>IFERROR(__xludf.DUMMYFUNCTION("""COMPUTED_VALUE"""),41560.99861111111)</f>
        <v>41560.99861</v>
      </c>
      <c r="B1150" s="1">
        <f>IFERROR(__xludf.DUMMYFUNCTION("""COMPUTED_VALUE"""),0.5376955802)</f>
        <v>0.5376955802</v>
      </c>
    </row>
    <row r="1151">
      <c r="A1151" s="3">
        <f>IFERROR(__xludf.DUMMYFUNCTION("""COMPUTED_VALUE"""),41561.99861111111)</f>
        <v>41561.99861</v>
      </c>
      <c r="B1151" s="1">
        <f>IFERROR(__xludf.DUMMYFUNCTION("""COMPUTED_VALUE"""),0.5375533327)</f>
        <v>0.5375533327</v>
      </c>
    </row>
    <row r="1152">
      <c r="A1152" s="3">
        <f>IFERROR(__xludf.DUMMYFUNCTION("""COMPUTED_VALUE"""),41562.99861111111)</f>
        <v>41562.99861</v>
      </c>
      <c r="B1152" s="1">
        <f>IFERROR(__xludf.DUMMYFUNCTION("""COMPUTED_VALUE"""),0.538446915)</f>
        <v>0.538446915</v>
      </c>
    </row>
    <row r="1153">
      <c r="A1153" s="3">
        <f>IFERROR(__xludf.DUMMYFUNCTION("""COMPUTED_VALUE"""),41563.99861111111)</f>
        <v>41563.99861</v>
      </c>
      <c r="B1153" s="1">
        <f>IFERROR(__xludf.DUMMYFUNCTION("""COMPUTED_VALUE"""),0.5375059168)</f>
        <v>0.5375059168</v>
      </c>
    </row>
    <row r="1154">
      <c r="A1154" s="3">
        <f>IFERROR(__xludf.DUMMYFUNCTION("""COMPUTED_VALUE"""),41564.99861111111)</f>
        <v>41564.99861</v>
      </c>
      <c r="B1154" s="1">
        <f>IFERROR(__xludf.DUMMYFUNCTION("""COMPUTED_VALUE"""),0.5367846021)</f>
        <v>0.5367846021</v>
      </c>
    </row>
    <row r="1155">
      <c r="A1155" s="3">
        <f>IFERROR(__xludf.DUMMYFUNCTION("""COMPUTED_VALUE"""),41565.99861111111)</f>
        <v>41565.99861</v>
      </c>
      <c r="B1155" s="1">
        <f>IFERROR(__xludf.DUMMYFUNCTION("""COMPUTED_VALUE"""),0.5357041151)</f>
        <v>0.5357041151</v>
      </c>
    </row>
    <row r="1156">
      <c r="A1156" s="3">
        <f>IFERROR(__xludf.DUMMYFUNCTION("""COMPUTED_VALUE"""),41566.99861111111)</f>
        <v>41566.99861</v>
      </c>
      <c r="B1156" s="1">
        <f>IFERROR(__xludf.DUMMYFUNCTION("""COMPUTED_VALUE"""),0.5420004792)</f>
        <v>0.5420004792</v>
      </c>
    </row>
    <row r="1157">
      <c r="A1157" s="3">
        <f>IFERROR(__xludf.DUMMYFUNCTION("""COMPUTED_VALUE"""),41567.99861111111)</f>
        <v>41567.99861</v>
      </c>
      <c r="B1157" s="1">
        <f>IFERROR(__xludf.DUMMYFUNCTION("""COMPUTED_VALUE"""),0.5357041151)</f>
        <v>0.5357041151</v>
      </c>
    </row>
    <row r="1158">
      <c r="A1158" s="3">
        <f>IFERROR(__xludf.DUMMYFUNCTION("""COMPUTED_VALUE"""),41568.99861111111)</f>
        <v>41568.99861</v>
      </c>
      <c r="B1158" s="1">
        <f>IFERROR(__xludf.DUMMYFUNCTION("""COMPUTED_VALUE"""),0.5361782734)</f>
        <v>0.5361782734</v>
      </c>
    </row>
    <row r="1159">
      <c r="A1159" s="3">
        <f>IFERROR(__xludf.DUMMYFUNCTION("""COMPUTED_VALUE"""),41569.99861111111)</f>
        <v>41569.99861</v>
      </c>
      <c r="B1159" s="1">
        <f>IFERROR(__xludf.DUMMYFUNCTION("""COMPUTED_VALUE"""),0.5340919767)</f>
        <v>0.5340919767</v>
      </c>
    </row>
    <row r="1160">
      <c r="A1160" s="3">
        <f>IFERROR(__xludf.DUMMYFUNCTION("""COMPUTED_VALUE"""),41570.99861111111)</f>
        <v>41570.99861</v>
      </c>
      <c r="B1160" s="1">
        <f>IFERROR(__xludf.DUMMYFUNCTION("""COMPUTED_VALUE"""),0.5331436599)</f>
        <v>0.5331436599</v>
      </c>
    </row>
    <row r="1161">
      <c r="A1161" s="3">
        <f>IFERROR(__xludf.DUMMYFUNCTION("""COMPUTED_VALUE"""),41571.99861111111)</f>
        <v>41571.99861</v>
      </c>
      <c r="B1161" s="1">
        <f>IFERROR(__xludf.DUMMYFUNCTION("""COMPUTED_VALUE"""),0.527643423)</f>
        <v>0.527643423</v>
      </c>
    </row>
    <row r="1162">
      <c r="A1162" s="3">
        <f>IFERROR(__xludf.DUMMYFUNCTION("""COMPUTED_VALUE"""),41572.99861111111)</f>
        <v>41572.99861</v>
      </c>
      <c r="B1162" s="1">
        <f>IFERROR(__xludf.DUMMYFUNCTION("""COMPUTED_VALUE"""),0.5211000376)</f>
        <v>0.5211000376</v>
      </c>
    </row>
    <row r="1163">
      <c r="A1163" s="3">
        <f>IFERROR(__xludf.DUMMYFUNCTION("""COMPUTED_VALUE"""),41573.99861111111)</f>
        <v>41573.99861</v>
      </c>
      <c r="B1163" s="1">
        <f>IFERROR(__xludf.DUMMYFUNCTION("""COMPUTED_VALUE"""),0.5283907816)</f>
        <v>0.5283907816</v>
      </c>
    </row>
    <row r="1164">
      <c r="A1164" s="3">
        <f>IFERROR(__xludf.DUMMYFUNCTION("""COMPUTED_VALUE"""),41574.99861111111)</f>
        <v>41574.99861</v>
      </c>
      <c r="B1164" s="1">
        <f>IFERROR(__xludf.DUMMYFUNCTION("""COMPUTED_VALUE"""),0.5211000376)</f>
        <v>0.5211000376</v>
      </c>
    </row>
    <row r="1165">
      <c r="A1165" s="3">
        <f>IFERROR(__xludf.DUMMYFUNCTION("""COMPUTED_VALUE"""),41575.99861111111)</f>
        <v>41575.99861</v>
      </c>
      <c r="B1165" s="1">
        <f>IFERROR(__xludf.DUMMYFUNCTION("""COMPUTED_VALUE"""),0.5227595919)</f>
        <v>0.5227595919</v>
      </c>
    </row>
    <row r="1166">
      <c r="A1166" s="3">
        <f>IFERROR(__xludf.DUMMYFUNCTION("""COMPUTED_VALUE"""),41576.99861111111)</f>
        <v>41576.99861</v>
      </c>
      <c r="B1166" s="1">
        <f>IFERROR(__xludf.DUMMYFUNCTION("""COMPUTED_VALUE"""),0.5251303837)</f>
        <v>0.5251303837</v>
      </c>
    </row>
    <row r="1167">
      <c r="A1167" s="3">
        <f>IFERROR(__xludf.DUMMYFUNCTION("""COMPUTED_VALUE"""),41577.99861111111)</f>
        <v>41577.99861</v>
      </c>
      <c r="B1167" s="1">
        <f>IFERROR(__xludf.DUMMYFUNCTION("""COMPUTED_VALUE"""),0.5285443238)</f>
        <v>0.5285443238</v>
      </c>
    </row>
    <row r="1168">
      <c r="A1168" s="3">
        <f>IFERROR(__xludf.DUMMYFUNCTION("""COMPUTED_VALUE"""),41578.99861111111)</f>
        <v>41578.99861</v>
      </c>
      <c r="B1168" s="1">
        <f>IFERROR(__xludf.DUMMYFUNCTION("""COMPUTED_VALUE"""),0.5331910758)</f>
        <v>0.5331910758</v>
      </c>
    </row>
    <row r="1169">
      <c r="A1169" s="3">
        <f>IFERROR(__xludf.DUMMYFUNCTION("""COMPUTED_VALUE"""),41579.99861111111)</f>
        <v>41579.99861</v>
      </c>
      <c r="B1169" s="1">
        <f>IFERROR(__xludf.DUMMYFUNCTION("""COMPUTED_VALUE"""),0.5361782734)</f>
        <v>0.5361782734</v>
      </c>
    </row>
    <row r="1170">
      <c r="A1170" s="3">
        <f>IFERROR(__xludf.DUMMYFUNCTION("""COMPUTED_VALUE"""),41580.99861111111)</f>
        <v>41580.99861</v>
      </c>
      <c r="B1170" s="1">
        <f>IFERROR(__xludf.DUMMYFUNCTION("""COMPUTED_VALUE"""),0.5425322613)</f>
        <v>0.5425322613</v>
      </c>
    </row>
    <row r="1171">
      <c r="A1171" s="3">
        <f>IFERROR(__xludf.DUMMYFUNCTION("""COMPUTED_VALUE"""),41581.99861111111)</f>
        <v>41581.99861</v>
      </c>
      <c r="B1171" s="1">
        <f>IFERROR(__xludf.DUMMYFUNCTION("""COMPUTED_VALUE"""),0.5388160164)</f>
        <v>0.5388160164</v>
      </c>
    </row>
    <row r="1172">
      <c r="A1172" s="3">
        <f>IFERROR(__xludf.DUMMYFUNCTION("""COMPUTED_VALUE"""),41582.99861111111)</f>
        <v>41582.99861</v>
      </c>
      <c r="B1172" s="1">
        <f>IFERROR(__xludf.DUMMYFUNCTION("""COMPUTED_VALUE"""),0.5370791743)</f>
        <v>0.5370791743</v>
      </c>
    </row>
    <row r="1173">
      <c r="A1173" s="3">
        <f>IFERROR(__xludf.DUMMYFUNCTION("""COMPUTED_VALUE"""),41583.99861111111)</f>
        <v>41583.99861</v>
      </c>
      <c r="B1173" s="1">
        <f>IFERROR(__xludf.DUMMYFUNCTION("""COMPUTED_VALUE"""),0.5372214218)</f>
        <v>0.5372214218</v>
      </c>
    </row>
    <row r="1174">
      <c r="A1174" s="3">
        <f>IFERROR(__xludf.DUMMYFUNCTION("""COMPUTED_VALUE"""),41584.99861111111)</f>
        <v>41584.99861</v>
      </c>
      <c r="B1174" s="1">
        <f>IFERROR(__xludf.DUMMYFUNCTION("""COMPUTED_VALUE"""),0.5395922136)</f>
        <v>0.5395922136</v>
      </c>
    </row>
    <row r="1175">
      <c r="A1175" s="3">
        <f>IFERROR(__xludf.DUMMYFUNCTION("""COMPUTED_VALUE"""),41585.99861111111)</f>
        <v>41585.99861</v>
      </c>
      <c r="B1175" s="1">
        <f>IFERROR(__xludf.DUMMYFUNCTION("""COMPUTED_VALUE"""),0.5387387286)</f>
        <v>0.5387387286</v>
      </c>
    </row>
    <row r="1176">
      <c r="A1176" s="3">
        <f>IFERROR(__xludf.DUMMYFUNCTION("""COMPUTED_VALUE"""),41586.99861111111)</f>
        <v>41586.99861</v>
      </c>
      <c r="B1176" s="1">
        <f>IFERROR(__xludf.DUMMYFUNCTION("""COMPUTED_VALUE"""),0.5396870453)</f>
        <v>0.5396870453</v>
      </c>
    </row>
    <row r="1177">
      <c r="A1177" s="3">
        <f>IFERROR(__xludf.DUMMYFUNCTION("""COMPUTED_VALUE"""),41588.99861111111)</f>
        <v>41588.99861</v>
      </c>
      <c r="B1177" s="1">
        <f>IFERROR(__xludf.DUMMYFUNCTION("""COMPUTED_VALUE"""),0.5395447978)</f>
        <v>0.5395447978</v>
      </c>
    </row>
    <row r="1178">
      <c r="A1178" s="3">
        <f>IFERROR(__xludf.DUMMYFUNCTION("""COMPUTED_VALUE"""),41589.99861111111)</f>
        <v>41589.99861</v>
      </c>
      <c r="B1178" s="1">
        <f>IFERROR(__xludf.DUMMYFUNCTION("""COMPUTED_VALUE"""),0.5467994207)</f>
        <v>0.5467994207</v>
      </c>
    </row>
    <row r="1179">
      <c r="A1179" s="3">
        <f>IFERROR(__xludf.DUMMYFUNCTION("""COMPUTED_VALUE"""),41590.99861111111)</f>
        <v>41590.99861</v>
      </c>
      <c r="B1179" s="1">
        <f>IFERROR(__xludf.DUMMYFUNCTION("""COMPUTED_VALUE"""),0.5483641433)</f>
        <v>0.5483641433</v>
      </c>
    </row>
    <row r="1180">
      <c r="A1180" s="3">
        <f>IFERROR(__xludf.DUMMYFUNCTION("""COMPUTED_VALUE"""),41591.99861111111)</f>
        <v>41591.99861</v>
      </c>
      <c r="B1180" s="1">
        <f>IFERROR(__xludf.DUMMYFUNCTION("""COMPUTED_VALUE"""),0.5489331333)</f>
        <v>0.5489331333</v>
      </c>
    </row>
    <row r="1181">
      <c r="A1181" s="3">
        <f>IFERROR(__xludf.DUMMYFUNCTION("""COMPUTED_VALUE"""),41592.99861111111)</f>
        <v>41592.99861</v>
      </c>
      <c r="B1181" s="1">
        <f>IFERROR(__xludf.DUMMYFUNCTION("""COMPUTED_VALUE"""),0.5459459357)</f>
        <v>0.5459459357</v>
      </c>
    </row>
    <row r="1182">
      <c r="A1182" s="3">
        <f>IFERROR(__xludf.DUMMYFUNCTION("""COMPUTED_VALUE"""),41593.99861111111)</f>
        <v>41593.99861</v>
      </c>
      <c r="B1182" s="1">
        <f>IFERROR(__xludf.DUMMYFUNCTION("""COMPUTED_VALUE"""),0.5593882639)</f>
        <v>0.5593882639</v>
      </c>
    </row>
    <row r="1183">
      <c r="A1183" s="3">
        <f>IFERROR(__xludf.DUMMYFUNCTION("""COMPUTED_VALUE"""),41595.99861111111)</f>
        <v>41595.99861</v>
      </c>
      <c r="B1183" s="1">
        <f>IFERROR(__xludf.DUMMYFUNCTION("""COMPUTED_VALUE"""),0.5497866184)</f>
        <v>0.5497866184</v>
      </c>
    </row>
    <row r="1184">
      <c r="A1184" s="3">
        <f>IFERROR(__xludf.DUMMYFUNCTION("""COMPUTED_VALUE"""),41596.99861111111)</f>
        <v>41596.99861</v>
      </c>
      <c r="B1184" s="1">
        <f>IFERROR(__xludf.DUMMYFUNCTION("""COMPUTED_VALUE"""),0.5502607767)</f>
        <v>0.5502607767</v>
      </c>
    </row>
    <row r="1185">
      <c r="A1185" s="3">
        <f>IFERROR(__xludf.DUMMYFUNCTION("""COMPUTED_VALUE"""),41597.99861111111)</f>
        <v>41597.99861</v>
      </c>
      <c r="B1185" s="1">
        <f>IFERROR(__xludf.DUMMYFUNCTION("""COMPUTED_VALUE"""),0.5486012225)</f>
        <v>0.5486012225</v>
      </c>
    </row>
    <row r="1186">
      <c r="A1186" s="3">
        <f>IFERROR(__xludf.DUMMYFUNCTION("""COMPUTED_VALUE"""),41598.99861111111)</f>
        <v>41598.99861</v>
      </c>
      <c r="B1186" s="1">
        <f>IFERROR(__xludf.DUMMYFUNCTION("""COMPUTED_VALUE"""),0.5513987568)</f>
        <v>0.5513987568</v>
      </c>
    </row>
    <row r="1187">
      <c r="A1187" s="3">
        <f>IFERROR(__xludf.DUMMYFUNCTION("""COMPUTED_VALUE"""),41599.99861111111)</f>
        <v>41599.99861</v>
      </c>
      <c r="B1187" s="1">
        <f>IFERROR(__xludf.DUMMYFUNCTION("""COMPUTED_VALUE"""),0.5535324694)</f>
        <v>0.5535324694</v>
      </c>
    </row>
    <row r="1188">
      <c r="A1188" s="3">
        <f>IFERROR(__xludf.DUMMYFUNCTION("""COMPUTED_VALUE"""),41600.99861111111)</f>
        <v>41600.99861</v>
      </c>
      <c r="B1188" s="1">
        <f>IFERROR(__xludf.DUMMYFUNCTION("""COMPUTED_VALUE"""),0.5532005586)</f>
        <v>0.5532005586</v>
      </c>
    </row>
    <row r="1189">
      <c r="A1189" s="3">
        <f>IFERROR(__xludf.DUMMYFUNCTION("""COMPUTED_VALUE"""),41601.99861111111)</f>
        <v>41601.99861</v>
      </c>
      <c r="B1189" s="1">
        <f>IFERROR(__xludf.DUMMYFUNCTION("""COMPUTED_VALUE"""),0.5625632794)</f>
        <v>0.5625632794</v>
      </c>
    </row>
    <row r="1190">
      <c r="A1190" s="3">
        <f>IFERROR(__xludf.DUMMYFUNCTION("""COMPUTED_VALUE"""),41602.99861111111)</f>
        <v>41602.99861</v>
      </c>
      <c r="B1190" s="1">
        <f>IFERROR(__xludf.DUMMYFUNCTION("""COMPUTED_VALUE"""),0.5532005586)</f>
        <v>0.5532005586</v>
      </c>
    </row>
    <row r="1191">
      <c r="A1191" s="3">
        <f>IFERROR(__xludf.DUMMYFUNCTION("""COMPUTED_VALUE"""),41603.99861111111)</f>
        <v>41603.99861</v>
      </c>
      <c r="B1191" s="1">
        <f>IFERROR(__xludf.DUMMYFUNCTION("""COMPUTED_VALUE"""),0.555666182)</f>
        <v>0.555666182</v>
      </c>
    </row>
    <row r="1192">
      <c r="A1192" s="3">
        <f>IFERROR(__xludf.DUMMYFUNCTION("""COMPUTED_VALUE"""),41604.99861111111)</f>
        <v>41604.99861</v>
      </c>
      <c r="B1192" s="1">
        <f>IFERROR(__xludf.DUMMYFUNCTION("""COMPUTED_VALUE"""),0.557136073)</f>
        <v>0.557136073</v>
      </c>
    </row>
    <row r="1193">
      <c r="A1193" s="3">
        <f>IFERROR(__xludf.DUMMYFUNCTION("""COMPUTED_VALUE"""),41605.99861111111)</f>
        <v>41605.99861</v>
      </c>
      <c r="B1193" s="1">
        <f>IFERROR(__xludf.DUMMYFUNCTION("""COMPUTED_VALUE"""),0.5633001316)</f>
        <v>0.5633001316</v>
      </c>
    </row>
    <row r="1194">
      <c r="A1194" s="3">
        <f>IFERROR(__xludf.DUMMYFUNCTION("""COMPUTED_VALUE"""),41606.99861111111)</f>
        <v>41606.99861</v>
      </c>
      <c r="B1194" s="1">
        <f>IFERROR(__xludf.DUMMYFUNCTION("""COMPUTED_VALUE"""),0.5633001316)</f>
        <v>0.5633001316</v>
      </c>
    </row>
    <row r="1195">
      <c r="A1195" s="3">
        <f>IFERROR(__xludf.DUMMYFUNCTION("""COMPUTED_VALUE"""),41607.99861111111)</f>
        <v>41607.99861</v>
      </c>
      <c r="B1195" s="1">
        <f>IFERROR(__xludf.DUMMYFUNCTION("""COMPUTED_VALUE"""),0.5622569832)</f>
        <v>0.5622569832</v>
      </c>
    </row>
    <row r="1196">
      <c r="A1196" s="3">
        <f>IFERROR(__xludf.DUMMYFUNCTION("""COMPUTED_VALUE"""),41608.99861111111)</f>
        <v>41608.99861</v>
      </c>
      <c r="B1196" s="1">
        <f>IFERROR(__xludf.DUMMYFUNCTION("""COMPUTED_VALUE"""),0.5575272112)</f>
        <v>0.5575272112</v>
      </c>
    </row>
    <row r="1197">
      <c r="A1197" s="3">
        <f>IFERROR(__xludf.DUMMYFUNCTION("""COMPUTED_VALUE"""),41609.99861111111)</f>
        <v>41609.99861</v>
      </c>
      <c r="B1197" s="1">
        <f>IFERROR(__xludf.DUMMYFUNCTION("""COMPUTED_VALUE"""),0.5512090935)</f>
        <v>0.5512090935</v>
      </c>
    </row>
    <row r="1198">
      <c r="A1198" s="3">
        <f>IFERROR(__xludf.DUMMYFUNCTION("""COMPUTED_VALUE"""),41610.99861111111)</f>
        <v>41610.99861</v>
      </c>
      <c r="B1198" s="1">
        <f>IFERROR(__xludf.DUMMYFUNCTION("""COMPUTED_VALUE"""),0.5635372108)</f>
        <v>0.5635372108</v>
      </c>
    </row>
    <row r="1199">
      <c r="A1199" s="3">
        <f>IFERROR(__xludf.DUMMYFUNCTION("""COMPUTED_VALUE"""),41611.99861111111)</f>
        <v>41611.99861</v>
      </c>
      <c r="B1199" s="1">
        <f>IFERROR(__xludf.DUMMYFUNCTION("""COMPUTED_VALUE"""),0.5635372108)</f>
        <v>0.5635372108</v>
      </c>
    </row>
    <row r="1200">
      <c r="A1200" s="3">
        <f>IFERROR(__xludf.DUMMYFUNCTION("""COMPUTED_VALUE"""),41612.99861111111)</f>
        <v>41612.99861</v>
      </c>
      <c r="B1200" s="1">
        <f>IFERROR(__xludf.DUMMYFUNCTION("""COMPUTED_VALUE"""),0.5682012243)</f>
        <v>0.5682012243</v>
      </c>
    </row>
    <row r="1201">
      <c r="A1201" s="3">
        <f>IFERROR(__xludf.DUMMYFUNCTION("""COMPUTED_VALUE"""),41613.99861111111)</f>
        <v>41613.99861</v>
      </c>
      <c r="B1201" s="1">
        <f>IFERROR(__xludf.DUMMYFUNCTION("""COMPUTED_VALUE"""),0.5683436069)</f>
        <v>0.5683436069</v>
      </c>
    </row>
    <row r="1202">
      <c r="A1202" s="3">
        <f>IFERROR(__xludf.DUMMYFUNCTION("""COMPUTED_VALUE"""),41614.99861111111)</f>
        <v>41614.99861</v>
      </c>
      <c r="B1202" s="1">
        <f>IFERROR(__xludf.DUMMYFUNCTION("""COMPUTED_VALUE"""),0.5671570858)</f>
        <v>0.5671570858</v>
      </c>
    </row>
    <row r="1203">
      <c r="A1203" s="3">
        <f>IFERROR(__xludf.DUMMYFUNCTION("""COMPUTED_VALUE"""),41615.99861111111)</f>
        <v>41615.99861</v>
      </c>
      <c r="B1203" s="1">
        <f>IFERROR(__xludf.DUMMYFUNCTION("""COMPUTED_VALUE"""),0.5615502932)</f>
        <v>0.5615502932</v>
      </c>
    </row>
    <row r="1204">
      <c r="A1204" s="3">
        <f>IFERROR(__xludf.DUMMYFUNCTION("""COMPUTED_VALUE"""),41616.99861111111)</f>
        <v>41616.99861</v>
      </c>
      <c r="B1204" s="1">
        <f>IFERROR(__xludf.DUMMYFUNCTION("""COMPUTED_VALUE"""),0.5615502932)</f>
        <v>0.5615502932</v>
      </c>
    </row>
    <row r="1205">
      <c r="A1205" s="3">
        <f>IFERROR(__xludf.DUMMYFUNCTION("""COMPUTED_VALUE"""),41617.99861111111)</f>
        <v>41617.99861</v>
      </c>
      <c r="B1205" s="1">
        <f>IFERROR(__xludf.DUMMYFUNCTION("""COMPUTED_VALUE"""),0.5611876455)</f>
        <v>0.5611876455</v>
      </c>
    </row>
    <row r="1206">
      <c r="A1206" s="3">
        <f>IFERROR(__xludf.DUMMYFUNCTION("""COMPUTED_VALUE"""),41618.99861111111)</f>
        <v>41618.99861</v>
      </c>
      <c r="B1206" s="1">
        <f>IFERROR(__xludf.DUMMYFUNCTION("""COMPUTED_VALUE"""),0.5619183189)</f>
        <v>0.5619183189</v>
      </c>
    </row>
    <row r="1207">
      <c r="A1207" s="3">
        <f>IFERROR(__xludf.DUMMYFUNCTION("""COMPUTED_VALUE"""),41619.99861111111)</f>
        <v>41619.99861</v>
      </c>
      <c r="B1207" s="1">
        <f>IFERROR(__xludf.DUMMYFUNCTION("""COMPUTED_VALUE"""),0.5641415239)</f>
        <v>0.5641415239</v>
      </c>
    </row>
    <row r="1208">
      <c r="A1208" s="3">
        <f>IFERROR(__xludf.DUMMYFUNCTION("""COMPUTED_VALUE"""),41620.99861111111)</f>
        <v>41620.99861</v>
      </c>
      <c r="B1208" s="1">
        <f>IFERROR(__xludf.DUMMYFUNCTION("""COMPUTED_VALUE"""),0.5696719273)</f>
        <v>0.5696719273</v>
      </c>
    </row>
    <row r="1209">
      <c r="A1209" s="3">
        <f>IFERROR(__xludf.DUMMYFUNCTION("""COMPUTED_VALUE"""),41621.99861111111)</f>
        <v>41621.99861</v>
      </c>
      <c r="B1209" s="1">
        <f>IFERROR(__xludf.DUMMYFUNCTION("""COMPUTED_VALUE"""),0.57056729)</f>
        <v>0.57056729</v>
      </c>
    </row>
    <row r="1210">
      <c r="A1210" s="3">
        <f>IFERROR(__xludf.DUMMYFUNCTION("""COMPUTED_VALUE"""),41622.99861111111)</f>
        <v>41622.99861</v>
      </c>
      <c r="B1210" s="1">
        <f>IFERROR(__xludf.DUMMYFUNCTION("""COMPUTED_VALUE"""),0.5781533404)</f>
        <v>0.5781533404</v>
      </c>
    </row>
    <row r="1211">
      <c r="A1211" s="3">
        <f>IFERROR(__xludf.DUMMYFUNCTION("""COMPUTED_VALUE"""),41623.99861111111)</f>
        <v>41623.99861</v>
      </c>
      <c r="B1211" s="1">
        <f>IFERROR(__xludf.DUMMYFUNCTION("""COMPUTED_VALUE"""),0.5766511036)</f>
        <v>0.5766511036</v>
      </c>
    </row>
    <row r="1212">
      <c r="A1212" s="3">
        <f>IFERROR(__xludf.DUMMYFUNCTION("""COMPUTED_VALUE"""),41624.99861111111)</f>
        <v>41624.99861</v>
      </c>
      <c r="B1212" s="1">
        <f>IFERROR(__xludf.DUMMYFUNCTION("""COMPUTED_VALUE"""),0.567956324)</f>
        <v>0.567956324</v>
      </c>
    </row>
    <row r="1213">
      <c r="A1213" s="3">
        <f>IFERROR(__xludf.DUMMYFUNCTION("""COMPUTED_VALUE"""),41625.99861111111)</f>
        <v>41625.99861</v>
      </c>
      <c r="B1213" s="1">
        <f>IFERROR(__xludf.DUMMYFUNCTION("""COMPUTED_VALUE"""),0.5688787543)</f>
        <v>0.5688787543</v>
      </c>
    </row>
    <row r="1214">
      <c r="A1214" s="3">
        <f>IFERROR(__xludf.DUMMYFUNCTION("""COMPUTED_VALUE"""),41626.99861111111)</f>
        <v>41626.99861</v>
      </c>
      <c r="B1214" s="1">
        <f>IFERROR(__xludf.DUMMYFUNCTION("""COMPUTED_VALUE"""),0.5702349853)</f>
        <v>0.5702349853</v>
      </c>
    </row>
    <row r="1215">
      <c r="A1215" s="3">
        <f>IFERROR(__xludf.DUMMYFUNCTION("""COMPUTED_VALUE"""),41627.99861111111)</f>
        <v>41627.99861</v>
      </c>
      <c r="B1215" s="1">
        <f>IFERROR(__xludf.DUMMYFUNCTION("""COMPUTED_VALUE"""),0.5754035988)</f>
        <v>0.5754035988</v>
      </c>
    </row>
    <row r="1216">
      <c r="A1216" s="3">
        <f>IFERROR(__xludf.DUMMYFUNCTION("""COMPUTED_VALUE"""),41628.99861111111)</f>
        <v>41628.99861</v>
      </c>
      <c r="B1216" s="1">
        <f>IFERROR(__xludf.DUMMYFUNCTION("""COMPUTED_VALUE"""),0.5769285528)</f>
        <v>0.5769285528</v>
      </c>
    </row>
    <row r="1217">
      <c r="A1217" s="3">
        <f>IFERROR(__xludf.DUMMYFUNCTION("""COMPUTED_VALUE"""),41629.99861111111)</f>
        <v>41629.99861</v>
      </c>
      <c r="B1217" s="1">
        <f>IFERROR(__xludf.DUMMYFUNCTION("""COMPUTED_VALUE"""),0.5844473292)</f>
        <v>0.5844473292</v>
      </c>
    </row>
    <row r="1218">
      <c r="A1218" s="3">
        <f>IFERROR(__xludf.DUMMYFUNCTION("""COMPUTED_VALUE"""),41630.99861111111)</f>
        <v>41630.99861</v>
      </c>
      <c r="B1218" s="1">
        <f>IFERROR(__xludf.DUMMYFUNCTION("""COMPUTED_VALUE"""),0.5845598833)</f>
        <v>0.5845598833</v>
      </c>
    </row>
    <row r="1219">
      <c r="A1219" s="3">
        <f>IFERROR(__xludf.DUMMYFUNCTION("""COMPUTED_VALUE"""),41631.99861111111)</f>
        <v>41631.99861</v>
      </c>
      <c r="B1219" s="1">
        <f>IFERROR(__xludf.DUMMYFUNCTION("""COMPUTED_VALUE"""),0.5767806168)</f>
        <v>0.5767806168</v>
      </c>
    </row>
    <row r="1220">
      <c r="A1220" s="3">
        <f>IFERROR(__xludf.DUMMYFUNCTION("""COMPUTED_VALUE"""),41632.99861111111)</f>
        <v>41632.99861</v>
      </c>
      <c r="B1220" s="1">
        <f>IFERROR(__xludf.DUMMYFUNCTION("""COMPUTED_VALUE"""),0.5770747167)</f>
        <v>0.5770747167</v>
      </c>
    </row>
    <row r="1221">
      <c r="A1221" s="3">
        <f>IFERROR(__xludf.DUMMYFUNCTION("""COMPUTED_VALUE"""),41634.99861111111)</f>
        <v>41634.99861</v>
      </c>
      <c r="B1221" s="1">
        <f>IFERROR(__xludf.DUMMYFUNCTION("""COMPUTED_VALUE"""),0.576965081)</f>
        <v>0.576965081</v>
      </c>
    </row>
    <row r="1222">
      <c r="A1222" s="3">
        <f>IFERROR(__xludf.DUMMYFUNCTION("""COMPUTED_VALUE"""),41635.99861111111)</f>
        <v>41635.99861</v>
      </c>
      <c r="B1222" s="1">
        <f>IFERROR(__xludf.DUMMYFUNCTION("""COMPUTED_VALUE"""),0.5766801131)</f>
        <v>0.5766801131</v>
      </c>
    </row>
    <row r="1223">
      <c r="A1223" s="3">
        <f>IFERROR(__xludf.DUMMYFUNCTION("""COMPUTED_VALUE"""),41636.99861111111)</f>
        <v>41636.99861</v>
      </c>
      <c r="B1223" s="1">
        <f>IFERROR(__xludf.DUMMYFUNCTION("""COMPUTED_VALUE"""),0.5789888396)</f>
        <v>0.5789888396</v>
      </c>
    </row>
    <row r="1224">
      <c r="A1224" s="3">
        <f>IFERROR(__xludf.DUMMYFUNCTION("""COMPUTED_VALUE"""),41637.99861111111)</f>
        <v>41637.99861</v>
      </c>
      <c r="B1224" s="1">
        <f>IFERROR(__xludf.DUMMYFUNCTION("""COMPUTED_VALUE"""),0.5785761835)</f>
        <v>0.5785761835</v>
      </c>
    </row>
    <row r="1225">
      <c r="A1225" s="3">
        <f>IFERROR(__xludf.DUMMYFUNCTION("""COMPUTED_VALUE"""),41638.99861111111)</f>
        <v>41638.99861</v>
      </c>
      <c r="B1225" s="1">
        <f>IFERROR(__xludf.DUMMYFUNCTION("""COMPUTED_VALUE"""),0.5798147604)</f>
        <v>0.5798147604</v>
      </c>
    </row>
    <row r="1226">
      <c r="A1226" s="3">
        <f>IFERROR(__xludf.DUMMYFUNCTION("""COMPUTED_VALUE"""),41639.99861111111)</f>
        <v>41639.99861</v>
      </c>
      <c r="B1226" s="1">
        <f>IFERROR(__xludf.DUMMYFUNCTION("""COMPUTED_VALUE"""),0.5774400276)</f>
        <v>0.5774400276</v>
      </c>
    </row>
    <row r="1227">
      <c r="A1227" s="3">
        <f>IFERROR(__xludf.DUMMYFUNCTION("""COMPUTED_VALUE"""),41640.99861111111)</f>
        <v>41640.99861</v>
      </c>
      <c r="B1227" s="1">
        <f>IFERROR(__xludf.DUMMYFUNCTION("""COMPUTED_VALUE"""),0.5835373132)</f>
        <v>0.5835373132</v>
      </c>
    </row>
    <row r="1228">
      <c r="A1228" s="3">
        <f>IFERROR(__xludf.DUMMYFUNCTION("""COMPUTED_VALUE"""),41641.99861111111)</f>
        <v>41641.99861</v>
      </c>
      <c r="B1228" s="1">
        <f>IFERROR(__xludf.DUMMYFUNCTION("""COMPUTED_VALUE"""),0.5747803269)</f>
        <v>0.5747803269</v>
      </c>
    </row>
    <row r="1229">
      <c r="A1229" s="3">
        <f>IFERROR(__xludf.DUMMYFUNCTION("""COMPUTED_VALUE"""),41642.99861111111)</f>
        <v>41642.99861</v>
      </c>
      <c r="B1229" s="1">
        <f>IFERROR(__xludf.DUMMYFUNCTION("""COMPUTED_VALUE"""),0.5752018973)</f>
        <v>0.5752018973</v>
      </c>
    </row>
    <row r="1230">
      <c r="A1230" s="3">
        <f>IFERROR(__xludf.DUMMYFUNCTION("""COMPUTED_VALUE"""),41643.99861111111)</f>
        <v>41643.99861</v>
      </c>
      <c r="B1230" s="1">
        <f>IFERROR(__xludf.DUMMYFUNCTION("""COMPUTED_VALUE"""),0.5798424238)</f>
        <v>0.5798424238</v>
      </c>
    </row>
    <row r="1231">
      <c r="A1231" s="3">
        <f>IFERROR(__xludf.DUMMYFUNCTION("""COMPUTED_VALUE"""),41644.99861111111)</f>
        <v>41644.99861</v>
      </c>
      <c r="B1231" s="1">
        <f>IFERROR(__xludf.DUMMYFUNCTION("""COMPUTED_VALUE"""),0.5801044095)</f>
        <v>0.5801044095</v>
      </c>
    </row>
    <row r="1232">
      <c r="A1232" s="3">
        <f>IFERROR(__xludf.DUMMYFUNCTION("""COMPUTED_VALUE"""),41645.99861111111)</f>
        <v>41645.99861</v>
      </c>
      <c r="B1232" s="1">
        <f>IFERROR(__xludf.DUMMYFUNCTION("""COMPUTED_VALUE"""),0.5763895457)</f>
        <v>0.5763895457</v>
      </c>
    </row>
    <row r="1233">
      <c r="A1233" s="3">
        <f>IFERROR(__xludf.DUMMYFUNCTION("""COMPUTED_VALUE"""),41646.99861111111)</f>
        <v>41646.99861</v>
      </c>
      <c r="B1233" s="1">
        <f>IFERROR(__xludf.DUMMYFUNCTION("""COMPUTED_VALUE"""),0.5732953075)</f>
        <v>0.5732953075</v>
      </c>
    </row>
    <row r="1234">
      <c r="A1234" s="3">
        <f>IFERROR(__xludf.DUMMYFUNCTION("""COMPUTED_VALUE"""),41647.99861111111)</f>
        <v>41647.99861</v>
      </c>
      <c r="B1234" s="1">
        <f>IFERROR(__xludf.DUMMYFUNCTION("""COMPUTED_VALUE"""),0.5739746178)</f>
        <v>0.5739746178</v>
      </c>
    </row>
    <row r="1235">
      <c r="A1235" s="3">
        <f>IFERROR(__xludf.DUMMYFUNCTION("""COMPUTED_VALUE"""),41648.99861111111)</f>
        <v>41648.99861</v>
      </c>
      <c r="B1235" s="1">
        <f>IFERROR(__xludf.DUMMYFUNCTION("""COMPUTED_VALUE"""),0.571591446)</f>
        <v>0.571591446</v>
      </c>
    </row>
    <row r="1236">
      <c r="A1236" s="3">
        <f>IFERROR(__xludf.DUMMYFUNCTION("""COMPUTED_VALUE"""),41649.99861111111)</f>
        <v>41649.99861</v>
      </c>
      <c r="B1236" s="1">
        <f>IFERROR(__xludf.DUMMYFUNCTION("""COMPUTED_VALUE"""),0.5617102109)</f>
        <v>0.5617102109</v>
      </c>
    </row>
    <row r="1237">
      <c r="A1237" s="3">
        <f>IFERROR(__xludf.DUMMYFUNCTION("""COMPUTED_VALUE"""),41650.99861111111)</f>
        <v>41650.99861</v>
      </c>
      <c r="B1237" s="1">
        <f>IFERROR(__xludf.DUMMYFUNCTION("""COMPUTED_VALUE"""),0.5715274117)</f>
        <v>0.5715274117</v>
      </c>
    </row>
    <row r="1238">
      <c r="A1238" s="3">
        <f>IFERROR(__xludf.DUMMYFUNCTION("""COMPUTED_VALUE"""),41651.99861111111)</f>
        <v>41651.99861</v>
      </c>
      <c r="B1238" s="1">
        <f>IFERROR(__xludf.DUMMYFUNCTION("""COMPUTED_VALUE"""),0.5810366467)</f>
        <v>0.5810366467</v>
      </c>
    </row>
    <row r="1239">
      <c r="A1239" s="3">
        <f>IFERROR(__xludf.DUMMYFUNCTION("""COMPUTED_VALUE"""),41652.99861111111)</f>
        <v>41652.99861</v>
      </c>
      <c r="B1239" s="1">
        <f>IFERROR(__xludf.DUMMYFUNCTION("""COMPUTED_VALUE"""),0.5614068428)</f>
        <v>0.5614068428</v>
      </c>
    </row>
    <row r="1240">
      <c r="A1240" s="3">
        <f>IFERROR(__xludf.DUMMYFUNCTION("""COMPUTED_VALUE"""),41653.99861111111)</f>
        <v>41653.99861</v>
      </c>
      <c r="B1240" s="1">
        <f>IFERROR(__xludf.DUMMYFUNCTION("""COMPUTED_VALUE"""),0.5608840291)</f>
        <v>0.5608840291</v>
      </c>
    </row>
    <row r="1241">
      <c r="A1241" s="3">
        <f>IFERROR(__xludf.DUMMYFUNCTION("""COMPUTED_VALUE"""),41654.99861111111)</f>
        <v>41654.99861</v>
      </c>
      <c r="B1241" s="1">
        <f>IFERROR(__xludf.DUMMYFUNCTION("""COMPUTED_VALUE"""),0.5621405796)</f>
        <v>0.5621405796</v>
      </c>
    </row>
    <row r="1242">
      <c r="A1242" s="3">
        <f>IFERROR(__xludf.DUMMYFUNCTION("""COMPUTED_VALUE"""),41655.99861111111)</f>
        <v>41655.99861</v>
      </c>
      <c r="B1242" s="1">
        <f>IFERROR(__xludf.DUMMYFUNCTION("""COMPUTED_VALUE"""),0.5644095866)</f>
        <v>0.5644095866</v>
      </c>
    </row>
    <row r="1243">
      <c r="A1243" s="3">
        <f>IFERROR(__xludf.DUMMYFUNCTION("""COMPUTED_VALUE"""),41656.99861111111)</f>
        <v>41656.99861</v>
      </c>
      <c r="B1243" s="1">
        <f>IFERROR(__xludf.DUMMYFUNCTION("""COMPUTED_VALUE"""),0.5633254128)</f>
        <v>0.5633254128</v>
      </c>
    </row>
    <row r="1244">
      <c r="A1244" s="3">
        <f>IFERROR(__xludf.DUMMYFUNCTION("""COMPUTED_VALUE"""),41657.99861111111)</f>
        <v>41657.99861</v>
      </c>
      <c r="B1244" s="1">
        <f>IFERROR(__xludf.DUMMYFUNCTION("""COMPUTED_VALUE"""),0.5680949104)</f>
        <v>0.5680949104</v>
      </c>
    </row>
    <row r="1245">
      <c r="A1245" s="3">
        <f>IFERROR(__xludf.DUMMYFUNCTION("""COMPUTED_VALUE"""),41658.99861111111)</f>
        <v>41658.99861</v>
      </c>
      <c r="B1245" s="1">
        <f>IFERROR(__xludf.DUMMYFUNCTION("""COMPUTED_VALUE"""),0.5678846715)</f>
        <v>0.5678846715</v>
      </c>
    </row>
    <row r="1246">
      <c r="A1246" s="3">
        <f>IFERROR(__xludf.DUMMYFUNCTION("""COMPUTED_VALUE"""),41659.99861111111)</f>
        <v>41659.99861</v>
      </c>
      <c r="B1246" s="1">
        <f>IFERROR(__xludf.DUMMYFUNCTION("""COMPUTED_VALUE"""),0.572246271)</f>
        <v>0.572246271</v>
      </c>
    </row>
    <row r="1247">
      <c r="A1247" s="3">
        <f>IFERROR(__xludf.DUMMYFUNCTION("""COMPUTED_VALUE"""),41660.99861111111)</f>
        <v>41660.99861</v>
      </c>
      <c r="B1247" s="1">
        <f>IFERROR(__xludf.DUMMYFUNCTION("""COMPUTED_VALUE"""),0.5731527558)</f>
        <v>0.5731527558</v>
      </c>
    </row>
    <row r="1248">
      <c r="A1248" s="3">
        <f>IFERROR(__xludf.DUMMYFUNCTION("""COMPUTED_VALUE"""),41661.99861111111)</f>
        <v>41661.99861</v>
      </c>
      <c r="B1248" s="1">
        <f>IFERROR(__xludf.DUMMYFUNCTION("""COMPUTED_VALUE"""),0.5728136868)</f>
        <v>0.5728136868</v>
      </c>
    </row>
    <row r="1249">
      <c r="A1249" s="3">
        <f>IFERROR(__xludf.DUMMYFUNCTION("""COMPUTED_VALUE"""),41662.99861111111)</f>
        <v>41662.99861</v>
      </c>
      <c r="B1249" s="1">
        <f>IFERROR(__xludf.DUMMYFUNCTION("""COMPUTED_VALUE"""),0.5748989707)</f>
        <v>0.5748989707</v>
      </c>
    </row>
    <row r="1250">
      <c r="A1250" s="3">
        <f>IFERROR(__xludf.DUMMYFUNCTION("""COMPUTED_VALUE"""),41663.99861111111)</f>
        <v>41663.99861</v>
      </c>
      <c r="B1250" s="1">
        <f>IFERROR(__xludf.DUMMYFUNCTION("""COMPUTED_VALUE"""),0.5766523958)</f>
        <v>0.5766523958</v>
      </c>
    </row>
    <row r="1251">
      <c r="A1251" s="3">
        <f>IFERROR(__xludf.DUMMYFUNCTION("""COMPUTED_VALUE"""),41664.99861111111)</f>
        <v>41664.99861</v>
      </c>
      <c r="B1251" s="1">
        <f>IFERROR(__xludf.DUMMYFUNCTION("""COMPUTED_VALUE"""),0.5818352645)</f>
        <v>0.5818352645</v>
      </c>
    </row>
    <row r="1252">
      <c r="A1252" s="3">
        <f>IFERROR(__xludf.DUMMYFUNCTION("""COMPUTED_VALUE"""),41665.99861111111)</f>
        <v>41665.99861</v>
      </c>
      <c r="B1252" s="1">
        <f>IFERROR(__xludf.DUMMYFUNCTION("""COMPUTED_VALUE"""),0.5814076108)</f>
        <v>0.5814076108</v>
      </c>
    </row>
    <row r="1253">
      <c r="A1253" s="3">
        <f>IFERROR(__xludf.DUMMYFUNCTION("""COMPUTED_VALUE"""),41666.99861111111)</f>
        <v>41666.99861</v>
      </c>
      <c r="B1253" s="1">
        <f>IFERROR(__xludf.DUMMYFUNCTION("""COMPUTED_VALUE"""),0.579980974)</f>
        <v>0.579980974</v>
      </c>
    </row>
    <row r="1254">
      <c r="A1254" s="3">
        <f>IFERROR(__xludf.DUMMYFUNCTION("""COMPUTED_VALUE"""),41667.99861111111)</f>
        <v>41667.99861</v>
      </c>
      <c r="B1254" s="1">
        <f>IFERROR(__xludf.DUMMYFUNCTION("""COMPUTED_VALUE"""),0.5750356578)</f>
        <v>0.5750356578</v>
      </c>
    </row>
    <row r="1255">
      <c r="A1255" s="3">
        <f>IFERROR(__xludf.DUMMYFUNCTION("""COMPUTED_VALUE"""),41668.99861111111)</f>
        <v>41668.99861</v>
      </c>
      <c r="B1255" s="1">
        <f>IFERROR(__xludf.DUMMYFUNCTION("""COMPUTED_VALUE"""),0.5746137318)</f>
        <v>0.5746137318</v>
      </c>
    </row>
    <row r="1256">
      <c r="A1256" s="3">
        <f>IFERROR(__xludf.DUMMYFUNCTION("""COMPUTED_VALUE"""),41669.99861111111)</f>
        <v>41669.99861</v>
      </c>
      <c r="B1256" s="1">
        <f>IFERROR(__xludf.DUMMYFUNCTION("""COMPUTED_VALUE"""),0.5773308599)</f>
        <v>0.5773308599</v>
      </c>
    </row>
    <row r="1257">
      <c r="A1257" s="3">
        <f>IFERROR(__xludf.DUMMYFUNCTION("""COMPUTED_VALUE"""),41670.99861111111)</f>
        <v>41670.99861</v>
      </c>
      <c r="B1257" s="1">
        <f>IFERROR(__xludf.DUMMYFUNCTION("""COMPUTED_VALUE"""),0.5774440347)</f>
        <v>0.5774440347</v>
      </c>
    </row>
    <row r="1258">
      <c r="A1258" s="3">
        <f>IFERROR(__xludf.DUMMYFUNCTION("""COMPUTED_VALUE"""),41671.99861111111)</f>
        <v>41671.99861</v>
      </c>
      <c r="B1258" s="1">
        <f>IFERROR(__xludf.DUMMYFUNCTION("""COMPUTED_VALUE"""),0.5839330651)</f>
        <v>0.5839330651</v>
      </c>
    </row>
    <row r="1259">
      <c r="A1259" s="3">
        <f>IFERROR(__xludf.DUMMYFUNCTION("""COMPUTED_VALUE"""),41672.99861111111)</f>
        <v>41672.99861</v>
      </c>
      <c r="B1259" s="1">
        <f>IFERROR(__xludf.DUMMYFUNCTION("""COMPUTED_VALUE"""),0.5824823724)</f>
        <v>0.5824823724</v>
      </c>
    </row>
    <row r="1260">
      <c r="A1260" s="3">
        <f>IFERROR(__xludf.DUMMYFUNCTION("""COMPUTED_VALUE"""),41673.99861111111)</f>
        <v>41673.99861</v>
      </c>
      <c r="B1260" s="1">
        <f>IFERROR(__xludf.DUMMYFUNCTION("""COMPUTED_VALUE"""),0.5747350379)</f>
        <v>0.5747350379</v>
      </c>
    </row>
    <row r="1261">
      <c r="A1261" s="3">
        <f>IFERROR(__xludf.DUMMYFUNCTION("""COMPUTED_VALUE"""),41674.99861111111)</f>
        <v>41674.99861</v>
      </c>
      <c r="B1261" s="1">
        <f>IFERROR(__xludf.DUMMYFUNCTION("""COMPUTED_VALUE"""),0.5695745115)</f>
        <v>0.5695745115</v>
      </c>
    </row>
    <row r="1262">
      <c r="A1262" s="3">
        <f>IFERROR(__xludf.DUMMYFUNCTION("""COMPUTED_VALUE"""),41675.99861111111)</f>
        <v>41675.99861</v>
      </c>
      <c r="B1262" s="1">
        <f>IFERROR(__xludf.DUMMYFUNCTION("""COMPUTED_VALUE"""),0.5714285642)</f>
        <v>0.5714285642</v>
      </c>
    </row>
    <row r="1263">
      <c r="A1263" s="3">
        <f>IFERROR(__xludf.DUMMYFUNCTION("""COMPUTED_VALUE"""),41676.99861111111)</f>
        <v>41676.99861</v>
      </c>
      <c r="B1263" s="1">
        <f>IFERROR(__xludf.DUMMYFUNCTION("""COMPUTED_VALUE"""),0.5676253791)</f>
        <v>0.5676253791</v>
      </c>
    </row>
    <row r="1264">
      <c r="A1264" s="3">
        <f>IFERROR(__xludf.DUMMYFUNCTION("""COMPUTED_VALUE"""),41677.99861111111)</f>
        <v>41677.99861</v>
      </c>
      <c r="B1264" s="1">
        <f>IFERROR(__xludf.DUMMYFUNCTION("""COMPUTED_VALUE"""),0.5697127921)</f>
        <v>0.5697127921</v>
      </c>
    </row>
    <row r="1265">
      <c r="A1265" s="3">
        <f>IFERROR(__xludf.DUMMYFUNCTION("""COMPUTED_VALUE"""),41678.99861111111)</f>
        <v>41678.99861</v>
      </c>
      <c r="B1265" s="1">
        <f>IFERROR(__xludf.DUMMYFUNCTION("""COMPUTED_VALUE"""),0.5803587609)</f>
        <v>0.5803587609</v>
      </c>
    </row>
    <row r="1266">
      <c r="A1266" s="3">
        <f>IFERROR(__xludf.DUMMYFUNCTION("""COMPUTED_VALUE"""),41679.99861111111)</f>
        <v>41679.99861</v>
      </c>
      <c r="B1266" s="1">
        <f>IFERROR(__xludf.DUMMYFUNCTION("""COMPUTED_VALUE"""),0.5794785098)</f>
        <v>0.5794785098</v>
      </c>
    </row>
    <row r="1267">
      <c r="A1267" s="3">
        <f>IFERROR(__xludf.DUMMYFUNCTION("""COMPUTED_VALUE"""),41680.99861111111)</f>
        <v>41680.99861</v>
      </c>
      <c r="B1267" s="1">
        <f>IFERROR(__xludf.DUMMYFUNCTION("""COMPUTED_VALUE"""),0.571170733)</f>
        <v>0.571170733</v>
      </c>
    </row>
    <row r="1268">
      <c r="A1268" s="3">
        <f>IFERROR(__xludf.DUMMYFUNCTION("""COMPUTED_VALUE"""),41681.99861111111)</f>
        <v>41681.99861</v>
      </c>
      <c r="B1268" s="1">
        <f>IFERROR(__xludf.DUMMYFUNCTION("""COMPUTED_VALUE"""),0.5691905989)</f>
        <v>0.5691905989</v>
      </c>
    </row>
    <row r="1269">
      <c r="A1269" s="3">
        <f>IFERROR(__xludf.DUMMYFUNCTION("""COMPUTED_VALUE"""),41682.99861111111)</f>
        <v>41682.99861</v>
      </c>
      <c r="B1269" s="1">
        <f>IFERROR(__xludf.DUMMYFUNCTION("""COMPUTED_VALUE"""),0.5665242067)</f>
        <v>0.5665242067</v>
      </c>
    </row>
    <row r="1270">
      <c r="A1270" s="3">
        <f>IFERROR(__xludf.DUMMYFUNCTION("""COMPUTED_VALUE"""),41683.99861111111)</f>
        <v>41683.99861</v>
      </c>
      <c r="B1270" s="1">
        <f>IFERROR(__xludf.DUMMYFUNCTION("""COMPUTED_VALUE"""),0.5712086889)</f>
        <v>0.5712086889</v>
      </c>
    </row>
    <row r="1271">
      <c r="A1271" s="3">
        <f>IFERROR(__xludf.DUMMYFUNCTION("""COMPUTED_VALUE"""),41684.99861111111)</f>
        <v>41684.99861</v>
      </c>
      <c r="B1271" s="1">
        <f>IFERROR(__xludf.DUMMYFUNCTION("""COMPUTED_VALUE"""),0.5510921082)</f>
        <v>0.5510921082</v>
      </c>
    </row>
    <row r="1272">
      <c r="A1272" s="3">
        <f>IFERROR(__xludf.DUMMYFUNCTION("""COMPUTED_VALUE"""),41685.99861111111)</f>
        <v>41685.99861</v>
      </c>
      <c r="B1272" s="1">
        <f>IFERROR(__xludf.DUMMYFUNCTION("""COMPUTED_VALUE"""),0.5581749209)</f>
        <v>0.5581749209</v>
      </c>
    </row>
    <row r="1273">
      <c r="A1273" s="3">
        <f>IFERROR(__xludf.DUMMYFUNCTION("""COMPUTED_VALUE"""),41686.99861111111)</f>
        <v>41686.99861</v>
      </c>
      <c r="B1273" s="1">
        <f>IFERROR(__xludf.DUMMYFUNCTION("""COMPUTED_VALUE"""),0.5609638993)</f>
        <v>0.5609638993</v>
      </c>
    </row>
    <row r="1274">
      <c r="A1274" s="3">
        <f>IFERROR(__xludf.DUMMYFUNCTION("""COMPUTED_VALUE"""),41687.99861111111)</f>
        <v>41687.99861</v>
      </c>
      <c r="B1274" s="1">
        <f>IFERROR(__xludf.DUMMYFUNCTION("""COMPUTED_VALUE"""),0.5585918715)</f>
        <v>0.5585918715</v>
      </c>
    </row>
    <row r="1275">
      <c r="A1275" s="3">
        <f>IFERROR(__xludf.DUMMYFUNCTION("""COMPUTED_VALUE"""),41688.99861111111)</f>
        <v>41688.99861</v>
      </c>
      <c r="B1275" s="1">
        <f>IFERROR(__xludf.DUMMYFUNCTION("""COMPUTED_VALUE"""),0.562336727)</f>
        <v>0.562336727</v>
      </c>
    </row>
    <row r="1276">
      <c r="A1276" s="3">
        <f>IFERROR(__xludf.DUMMYFUNCTION("""COMPUTED_VALUE"""),41689.99861111111)</f>
        <v>41689.99861</v>
      </c>
      <c r="B1276" s="1">
        <f>IFERROR(__xludf.DUMMYFUNCTION("""COMPUTED_VALUE"""),0.5543101301)</f>
        <v>0.5543101301</v>
      </c>
    </row>
    <row r="1277">
      <c r="A1277" s="3">
        <f>IFERROR(__xludf.DUMMYFUNCTION("""COMPUTED_VALUE"""),41690.99861111111)</f>
        <v>41690.99861</v>
      </c>
      <c r="B1277" s="1">
        <f>IFERROR(__xludf.DUMMYFUNCTION("""COMPUTED_VALUE"""),0.5588500714)</f>
        <v>0.5588500714</v>
      </c>
    </row>
    <row r="1278">
      <c r="A1278" s="3">
        <f>IFERROR(__xludf.DUMMYFUNCTION("""COMPUTED_VALUE"""),41691.99861111111)</f>
        <v>41691.99861</v>
      </c>
      <c r="B1278" s="1">
        <f>IFERROR(__xludf.DUMMYFUNCTION("""COMPUTED_VALUE"""),0.5550486935)</f>
        <v>0.5550486935</v>
      </c>
    </row>
    <row r="1279">
      <c r="A1279" s="3">
        <f>IFERROR(__xludf.DUMMYFUNCTION("""COMPUTED_VALUE"""),41692.99861111111)</f>
        <v>41692.99861</v>
      </c>
      <c r="B1279" s="1">
        <f>IFERROR(__xludf.DUMMYFUNCTION("""COMPUTED_VALUE"""),0.5633049065)</f>
        <v>0.5633049065</v>
      </c>
    </row>
    <row r="1280">
      <c r="A1280" s="3">
        <f>IFERROR(__xludf.DUMMYFUNCTION("""COMPUTED_VALUE"""),41693.99861111111)</f>
        <v>41693.99861</v>
      </c>
      <c r="B1280" s="1">
        <f>IFERROR(__xludf.DUMMYFUNCTION("""COMPUTED_VALUE"""),0.5625872838)</f>
        <v>0.5625872838</v>
      </c>
    </row>
    <row r="1281">
      <c r="A1281" s="3">
        <f>IFERROR(__xludf.DUMMYFUNCTION("""COMPUTED_VALUE"""),41694.99861111111)</f>
        <v>41694.99861</v>
      </c>
      <c r="B1281" s="1">
        <f>IFERROR(__xludf.DUMMYFUNCTION("""COMPUTED_VALUE"""),0.550059385)</f>
        <v>0.550059385</v>
      </c>
    </row>
    <row r="1282">
      <c r="A1282" s="3">
        <f>IFERROR(__xludf.DUMMYFUNCTION("""COMPUTED_VALUE"""),41695.99861111111)</f>
        <v>41695.99861</v>
      </c>
      <c r="B1282" s="1">
        <f>IFERROR(__xludf.DUMMYFUNCTION("""COMPUTED_VALUE"""),0.5518879027)</f>
        <v>0.5518879027</v>
      </c>
    </row>
    <row r="1283">
      <c r="A1283" s="3">
        <f>IFERROR(__xludf.DUMMYFUNCTION("""COMPUTED_VALUE"""),41696.99861111111)</f>
        <v>41696.99861</v>
      </c>
      <c r="B1283" s="1">
        <f>IFERROR(__xludf.DUMMYFUNCTION("""COMPUTED_VALUE"""),0.5540726568)</f>
        <v>0.5540726568</v>
      </c>
    </row>
    <row r="1284">
      <c r="A1284" s="3">
        <f>IFERROR(__xludf.DUMMYFUNCTION("""COMPUTED_VALUE"""),41697.99861111111)</f>
        <v>41697.99861</v>
      </c>
      <c r="B1284" s="1">
        <f>IFERROR(__xludf.DUMMYFUNCTION("""COMPUTED_VALUE"""),0.5511163867)</f>
        <v>0.5511163867</v>
      </c>
    </row>
    <row r="1285">
      <c r="A1285" s="3">
        <f>IFERROR(__xludf.DUMMYFUNCTION("""COMPUTED_VALUE"""),41698.99861111111)</f>
        <v>41698.99861</v>
      </c>
      <c r="B1285" s="1">
        <f>IFERROR(__xludf.DUMMYFUNCTION("""COMPUTED_VALUE"""),0.5495961967)</f>
        <v>0.5495961967</v>
      </c>
    </row>
    <row r="1286">
      <c r="A1286" s="3">
        <f>IFERROR(__xludf.DUMMYFUNCTION("""COMPUTED_VALUE"""),41699.99861111111)</f>
        <v>41699.99861</v>
      </c>
      <c r="B1286" s="1">
        <f>IFERROR(__xludf.DUMMYFUNCTION("""COMPUTED_VALUE"""),0.5571439526)</f>
        <v>0.5571439526</v>
      </c>
    </row>
    <row r="1287">
      <c r="A1287" s="3">
        <f>IFERROR(__xludf.DUMMYFUNCTION("""COMPUTED_VALUE"""),41700.99861111111)</f>
        <v>41700.99861</v>
      </c>
      <c r="B1287" s="1">
        <f>IFERROR(__xludf.DUMMYFUNCTION("""COMPUTED_VALUE"""),0.5562554056)</f>
        <v>0.5562554056</v>
      </c>
    </row>
    <row r="1288">
      <c r="A1288" s="3">
        <f>IFERROR(__xludf.DUMMYFUNCTION("""COMPUTED_VALUE"""),41701.99861111111)</f>
        <v>41701.99861</v>
      </c>
      <c r="B1288" s="1">
        <f>IFERROR(__xludf.DUMMYFUNCTION("""COMPUTED_VALUE"""),0.5535977103)</f>
        <v>0.5535977103</v>
      </c>
    </row>
    <row r="1289">
      <c r="A1289" s="3">
        <f>IFERROR(__xludf.DUMMYFUNCTION("""COMPUTED_VALUE"""),41702.99861111111)</f>
        <v>41702.99861</v>
      </c>
      <c r="B1289" s="1">
        <f>IFERROR(__xludf.DUMMYFUNCTION("""COMPUTED_VALUE"""),0.5494536789)</f>
        <v>0.5494536789</v>
      </c>
    </row>
    <row r="1290">
      <c r="A1290" s="3">
        <f>IFERROR(__xludf.DUMMYFUNCTION("""COMPUTED_VALUE"""),41703.99861111111)</f>
        <v>41703.99861</v>
      </c>
      <c r="B1290" s="1">
        <f>IFERROR(__xludf.DUMMYFUNCTION("""COMPUTED_VALUE"""),0.5495606645)</f>
        <v>0.5495606645</v>
      </c>
    </row>
    <row r="1291">
      <c r="A1291" s="3">
        <f>IFERROR(__xludf.DUMMYFUNCTION("""COMPUTED_VALUE"""),41704.99861111111)</f>
        <v>41704.99861</v>
      </c>
      <c r="B1291" s="1">
        <f>IFERROR(__xludf.DUMMYFUNCTION("""COMPUTED_VALUE"""),0.5420427525)</f>
        <v>0.5420427525</v>
      </c>
    </row>
    <row r="1292">
      <c r="A1292" s="3">
        <f>IFERROR(__xludf.DUMMYFUNCTION("""COMPUTED_VALUE"""),41705.99861111111)</f>
        <v>41705.99861</v>
      </c>
      <c r="B1292" s="1">
        <f>IFERROR(__xludf.DUMMYFUNCTION("""COMPUTED_VALUE"""),0.5407741532)</f>
        <v>0.5407741532</v>
      </c>
    </row>
    <row r="1293">
      <c r="A1293" s="3">
        <f>IFERROR(__xludf.DUMMYFUNCTION("""COMPUTED_VALUE"""),41706.99861111111)</f>
        <v>41706.99861</v>
      </c>
      <c r="B1293" s="1">
        <f>IFERROR(__xludf.DUMMYFUNCTION("""COMPUTED_VALUE"""),0.5469611861)</f>
        <v>0.5469611861</v>
      </c>
    </row>
    <row r="1294">
      <c r="A1294" s="3">
        <f>IFERROR(__xludf.DUMMYFUNCTION("""COMPUTED_VALUE"""),41707.99861111111)</f>
        <v>41707.99861</v>
      </c>
      <c r="B1294" s="1">
        <f>IFERROR(__xludf.DUMMYFUNCTION("""COMPUTED_VALUE"""),0.5461697053)</f>
        <v>0.5461697053</v>
      </c>
    </row>
    <row r="1295">
      <c r="A1295" s="3">
        <f>IFERROR(__xludf.DUMMYFUNCTION("""COMPUTED_VALUE"""),41708.99861111111)</f>
        <v>41708.99861</v>
      </c>
      <c r="B1295" s="1">
        <f>IFERROR(__xludf.DUMMYFUNCTION("""COMPUTED_VALUE"""),0.5424774469)</f>
        <v>0.5424774469</v>
      </c>
    </row>
    <row r="1296">
      <c r="A1296" s="3">
        <f>IFERROR(__xludf.DUMMYFUNCTION("""COMPUTED_VALUE"""),41709.99861111111)</f>
        <v>41709.99861</v>
      </c>
      <c r="B1296" s="1">
        <f>IFERROR(__xludf.DUMMYFUNCTION("""COMPUTED_VALUE"""),0.5454761241)</f>
        <v>0.5454761241</v>
      </c>
    </row>
    <row r="1297">
      <c r="A1297" s="3">
        <f>IFERROR(__xludf.DUMMYFUNCTION("""COMPUTED_VALUE"""),41710.99861111111)</f>
        <v>41710.99861</v>
      </c>
      <c r="B1297" s="1">
        <f>IFERROR(__xludf.DUMMYFUNCTION("""COMPUTED_VALUE"""),0.543230401)</f>
        <v>0.543230401</v>
      </c>
    </row>
    <row r="1298">
      <c r="A1298" s="3">
        <f>IFERROR(__xludf.DUMMYFUNCTION("""COMPUTED_VALUE"""),41711.99861111111)</f>
        <v>41711.99861</v>
      </c>
      <c r="B1298" s="1">
        <f>IFERROR(__xludf.DUMMYFUNCTION("""COMPUTED_VALUE"""),0.5424364661)</f>
        <v>0.5424364661</v>
      </c>
    </row>
    <row r="1299">
      <c r="A1299" s="3">
        <f>IFERROR(__xludf.DUMMYFUNCTION("""COMPUTED_VALUE"""),41712.99861111111)</f>
        <v>41712.99861</v>
      </c>
      <c r="B1299" s="1">
        <f>IFERROR(__xludf.DUMMYFUNCTION("""COMPUTED_VALUE"""),0.5366270756)</f>
        <v>0.5366270756</v>
      </c>
    </row>
    <row r="1300">
      <c r="A1300" s="3">
        <f>IFERROR(__xludf.DUMMYFUNCTION("""COMPUTED_VALUE"""),41713.99861111111)</f>
        <v>41713.99861</v>
      </c>
      <c r="B1300" s="1">
        <f>IFERROR(__xludf.DUMMYFUNCTION("""COMPUTED_VALUE"""),0.544694235)</f>
        <v>0.544694235</v>
      </c>
    </row>
    <row r="1301">
      <c r="A1301" s="3">
        <f>IFERROR(__xludf.DUMMYFUNCTION("""COMPUTED_VALUE"""),41714.99861111111)</f>
        <v>41714.99861</v>
      </c>
      <c r="B1301" s="1">
        <f>IFERROR(__xludf.DUMMYFUNCTION("""COMPUTED_VALUE"""),0.5439137072)</f>
        <v>0.5439137072</v>
      </c>
    </row>
    <row r="1302">
      <c r="A1302" s="3">
        <f>IFERROR(__xludf.DUMMYFUNCTION("""COMPUTED_VALUE"""),41715.99861111111)</f>
        <v>41715.99861</v>
      </c>
      <c r="B1302" s="1">
        <f>IFERROR(__xludf.DUMMYFUNCTION("""COMPUTED_VALUE"""),0.53627939)</f>
        <v>0.53627939</v>
      </c>
    </row>
    <row r="1303">
      <c r="A1303" s="3">
        <f>IFERROR(__xludf.DUMMYFUNCTION("""COMPUTED_VALUE"""),41716.99861111111)</f>
        <v>41716.99861</v>
      </c>
      <c r="B1303" s="1">
        <f>IFERROR(__xludf.DUMMYFUNCTION("""COMPUTED_VALUE"""),0.5381325618)</f>
        <v>0.5381325618</v>
      </c>
    </row>
    <row r="1304">
      <c r="A1304" s="3">
        <f>IFERROR(__xludf.DUMMYFUNCTION("""COMPUTED_VALUE"""),41717.99861111111)</f>
        <v>41717.99861</v>
      </c>
      <c r="B1304" s="1">
        <f>IFERROR(__xludf.DUMMYFUNCTION("""COMPUTED_VALUE"""),0.5375475272)</f>
        <v>0.5375475272</v>
      </c>
    </row>
    <row r="1305">
      <c r="A1305" s="3">
        <f>IFERROR(__xludf.DUMMYFUNCTION("""COMPUTED_VALUE"""),41718.99861111111)</f>
        <v>41718.99861</v>
      </c>
      <c r="B1305" s="1">
        <f>IFERROR(__xludf.DUMMYFUNCTION("""COMPUTED_VALUE"""),0.5434885918)</f>
        <v>0.5434885918</v>
      </c>
    </row>
    <row r="1306">
      <c r="A1306" s="3">
        <f>IFERROR(__xludf.DUMMYFUNCTION("""COMPUTED_VALUE"""),41719.99861111111)</f>
        <v>41719.99861</v>
      </c>
      <c r="B1306" s="1">
        <f>IFERROR(__xludf.DUMMYFUNCTION("""COMPUTED_VALUE"""),0.541924132)</f>
        <v>0.541924132</v>
      </c>
    </row>
    <row r="1307">
      <c r="A1307" s="3">
        <f>IFERROR(__xludf.DUMMYFUNCTION("""COMPUTED_VALUE"""),41720.99861111111)</f>
        <v>41720.99861</v>
      </c>
      <c r="B1307" s="1">
        <f>IFERROR(__xludf.DUMMYFUNCTION("""COMPUTED_VALUE"""),0.5487175509)</f>
        <v>0.5487175509</v>
      </c>
    </row>
    <row r="1308">
      <c r="A1308" s="3">
        <f>IFERROR(__xludf.DUMMYFUNCTION("""COMPUTED_VALUE"""),41721.99861111111)</f>
        <v>41721.99861</v>
      </c>
      <c r="B1308" s="1">
        <f>IFERROR(__xludf.DUMMYFUNCTION("""COMPUTED_VALUE"""),0.5480196082)</f>
        <v>0.5480196082</v>
      </c>
    </row>
    <row r="1309">
      <c r="A1309" s="3">
        <f>IFERROR(__xludf.DUMMYFUNCTION("""COMPUTED_VALUE"""),41722.99861111111)</f>
        <v>41722.99861</v>
      </c>
      <c r="B1309" s="1">
        <f>IFERROR(__xludf.DUMMYFUNCTION("""COMPUTED_VALUE"""),0.5397149616)</f>
        <v>0.5397149616</v>
      </c>
    </row>
    <row r="1310">
      <c r="A1310" s="3">
        <f>IFERROR(__xludf.DUMMYFUNCTION("""COMPUTED_VALUE"""),41723.99861111111)</f>
        <v>41723.99861</v>
      </c>
      <c r="B1310" s="1">
        <f>IFERROR(__xludf.DUMMYFUNCTION("""COMPUTED_VALUE"""),0.5407935263)</f>
        <v>0.5407935263</v>
      </c>
    </row>
    <row r="1311">
      <c r="A1311" s="3">
        <f>IFERROR(__xludf.DUMMYFUNCTION("""COMPUTED_VALUE"""),41724.99861111111)</f>
        <v>41724.99861</v>
      </c>
      <c r="B1311" s="1">
        <f>IFERROR(__xludf.DUMMYFUNCTION("""COMPUTED_VALUE"""),0.5434885918)</f>
        <v>0.5434885918</v>
      </c>
    </row>
    <row r="1312">
      <c r="A1312" s="3">
        <f>IFERROR(__xludf.DUMMYFUNCTION("""COMPUTED_VALUE"""),41725.99861111111)</f>
        <v>41725.99861</v>
      </c>
      <c r="B1312" s="1">
        <f>IFERROR(__xludf.DUMMYFUNCTION("""COMPUTED_VALUE"""),0.5409220519)</f>
        <v>0.5409220519</v>
      </c>
    </row>
    <row r="1313">
      <c r="A1313" s="3">
        <f>IFERROR(__xludf.DUMMYFUNCTION("""COMPUTED_VALUE"""),41726.99861111111)</f>
        <v>41726.99861</v>
      </c>
      <c r="B1313" s="1">
        <f>IFERROR(__xludf.DUMMYFUNCTION("""COMPUTED_VALUE"""),0.5371822173)</f>
        <v>0.5371822173</v>
      </c>
    </row>
    <row r="1314">
      <c r="A1314" s="3">
        <f>IFERROR(__xludf.DUMMYFUNCTION("""COMPUTED_VALUE"""),41727.99861111111)</f>
        <v>41727.99861</v>
      </c>
      <c r="B1314" s="1">
        <f>IFERROR(__xludf.DUMMYFUNCTION("""COMPUTED_VALUE"""),0.5448126125)</f>
        <v>0.5448126125</v>
      </c>
    </row>
    <row r="1315">
      <c r="A1315" s="3">
        <f>IFERROR(__xludf.DUMMYFUNCTION("""COMPUTED_VALUE"""),41729.99861111111)</f>
        <v>41729.99861</v>
      </c>
      <c r="B1315" s="1">
        <f>IFERROR(__xludf.DUMMYFUNCTION("""COMPUTED_VALUE"""),0.5347301372)</f>
        <v>0.5347301372</v>
      </c>
    </row>
    <row r="1316">
      <c r="A1316" s="3">
        <f>IFERROR(__xludf.DUMMYFUNCTION("""COMPUTED_VALUE"""),41730.99861111111)</f>
        <v>41730.99861</v>
      </c>
      <c r="B1316" s="1">
        <f>IFERROR(__xludf.DUMMYFUNCTION("""COMPUTED_VALUE"""),0.5350760443)</f>
        <v>0.5350760443</v>
      </c>
    </row>
    <row r="1317">
      <c r="A1317" s="3">
        <f>IFERROR(__xludf.DUMMYFUNCTION("""COMPUTED_VALUE"""),41731.99861111111)</f>
        <v>41731.99861</v>
      </c>
      <c r="B1317" s="1">
        <f>IFERROR(__xludf.DUMMYFUNCTION("""COMPUTED_VALUE"""),0.5419370242)</f>
        <v>0.5419370242</v>
      </c>
    </row>
    <row r="1318">
      <c r="A1318" s="3">
        <f>IFERROR(__xludf.DUMMYFUNCTION("""COMPUTED_VALUE"""),41732.99861111111)</f>
        <v>41732.99861</v>
      </c>
      <c r="B1318" s="1">
        <f>IFERROR(__xludf.DUMMYFUNCTION("""COMPUTED_VALUE"""),0.5387357401)</f>
        <v>0.5387357401</v>
      </c>
    </row>
    <row r="1319">
      <c r="A1319" s="3">
        <f>IFERROR(__xludf.DUMMYFUNCTION("""COMPUTED_VALUE"""),41733.99861111111)</f>
        <v>41733.99861</v>
      </c>
      <c r="B1319" s="1">
        <f>IFERROR(__xludf.DUMMYFUNCTION("""COMPUTED_VALUE"""),0.5374198034)</f>
        <v>0.5374198034</v>
      </c>
    </row>
    <row r="1320">
      <c r="A1320" s="3">
        <f>IFERROR(__xludf.DUMMYFUNCTION("""COMPUTED_VALUE"""),41734.99861111111)</f>
        <v>41734.99861</v>
      </c>
      <c r="B1320" s="1">
        <f>IFERROR(__xludf.DUMMYFUNCTION("""COMPUTED_VALUE"""),0.5446030204)</f>
        <v>0.5446030204</v>
      </c>
    </row>
    <row r="1321">
      <c r="A1321" s="3">
        <f>IFERROR(__xludf.DUMMYFUNCTION("""COMPUTED_VALUE"""),41735.99861111111)</f>
        <v>41735.99861</v>
      </c>
      <c r="B1321" s="1">
        <f>IFERROR(__xludf.DUMMYFUNCTION("""COMPUTED_VALUE"""),0.5438807314)</f>
        <v>0.5438807314</v>
      </c>
    </row>
    <row r="1322">
      <c r="A1322" s="3">
        <f>IFERROR(__xludf.DUMMYFUNCTION("""COMPUTED_VALUE"""),41736.99861111111)</f>
        <v>41736.99861</v>
      </c>
      <c r="B1322" s="1">
        <f>IFERROR(__xludf.DUMMYFUNCTION("""COMPUTED_VALUE"""),0.536707045)</f>
        <v>0.536707045</v>
      </c>
    </row>
    <row r="1323">
      <c r="A1323" s="3">
        <f>IFERROR(__xludf.DUMMYFUNCTION("""COMPUTED_VALUE"""),41737.99861111111)</f>
        <v>41737.99861</v>
      </c>
      <c r="B1323" s="1">
        <f>IFERROR(__xludf.DUMMYFUNCTION("""COMPUTED_VALUE"""),0.5350439422)</f>
        <v>0.5350439422</v>
      </c>
    </row>
    <row r="1324">
      <c r="A1324" s="3">
        <f>IFERROR(__xludf.DUMMYFUNCTION("""COMPUTED_VALUE"""),41738.99861111111)</f>
        <v>41738.99861</v>
      </c>
      <c r="B1324" s="1">
        <f>IFERROR(__xludf.DUMMYFUNCTION("""COMPUTED_VALUE"""),0.5355191144)</f>
        <v>0.5355191144</v>
      </c>
    </row>
    <row r="1325">
      <c r="A1325" s="3">
        <f>IFERROR(__xludf.DUMMYFUNCTION("""COMPUTED_VALUE"""),41739.99861111111)</f>
        <v>41739.99861</v>
      </c>
      <c r="B1325" s="1">
        <f>IFERROR(__xludf.DUMMYFUNCTION("""COMPUTED_VALUE"""),0.5390829062)</f>
        <v>0.5390829062</v>
      </c>
    </row>
    <row r="1326">
      <c r="A1326" s="3">
        <f>IFERROR(__xludf.DUMMYFUNCTION("""COMPUTED_VALUE"""),41740.99861111111)</f>
        <v>41740.99861</v>
      </c>
      <c r="B1326" s="1">
        <f>IFERROR(__xludf.DUMMYFUNCTION("""COMPUTED_VALUE"""),0.5415874512)</f>
        <v>0.5415874512</v>
      </c>
    </row>
    <row r="1327">
      <c r="A1327" s="3">
        <f>IFERROR(__xludf.DUMMYFUNCTION("""COMPUTED_VALUE"""),41741.99861111111)</f>
        <v>41741.99861</v>
      </c>
      <c r="B1327" s="1">
        <f>IFERROR(__xludf.DUMMYFUNCTION("""COMPUTED_VALUE"""),0.5482958616)</f>
        <v>0.5482958616</v>
      </c>
    </row>
    <row r="1328">
      <c r="A1328" s="3">
        <f>IFERROR(__xludf.DUMMYFUNCTION("""COMPUTED_VALUE"""),41742.99861111111)</f>
        <v>41742.99861</v>
      </c>
      <c r="B1328" s="1">
        <f>IFERROR(__xludf.DUMMYFUNCTION("""COMPUTED_VALUE"""),0.5473102709)</f>
        <v>0.5473102709</v>
      </c>
    </row>
    <row r="1329">
      <c r="A1329" s="3">
        <f>IFERROR(__xludf.DUMMYFUNCTION("""COMPUTED_VALUE"""),41743.99861111111)</f>
        <v>41743.99861</v>
      </c>
      <c r="B1329" s="1">
        <f>IFERROR(__xludf.DUMMYFUNCTION("""COMPUTED_VALUE"""),0.5435361204)</f>
        <v>0.5435361204</v>
      </c>
    </row>
    <row r="1330">
      <c r="A1330" s="3">
        <f>IFERROR(__xludf.DUMMYFUNCTION("""COMPUTED_VALUE"""),41744.99861111111)</f>
        <v>41744.99861</v>
      </c>
      <c r="B1330" s="1">
        <f>IFERROR(__xludf.DUMMYFUNCTION("""COMPUTED_VALUE"""),0.544020518)</f>
        <v>0.544020518</v>
      </c>
    </row>
    <row r="1331">
      <c r="A1331" s="3">
        <f>IFERROR(__xludf.DUMMYFUNCTION("""COMPUTED_VALUE"""),41745.99861111111)</f>
        <v>41745.99861</v>
      </c>
      <c r="B1331" s="1">
        <f>IFERROR(__xludf.DUMMYFUNCTION("""COMPUTED_VALUE"""),0.5418824461)</f>
        <v>0.5418824461</v>
      </c>
    </row>
    <row r="1332">
      <c r="A1332" s="3">
        <f>IFERROR(__xludf.DUMMYFUNCTION("""COMPUTED_VALUE"""),41746.99861111111)</f>
        <v>41746.99861</v>
      </c>
      <c r="B1332" s="1">
        <f>IFERROR(__xludf.DUMMYFUNCTION("""COMPUTED_VALUE"""),0.5430604888)</f>
        <v>0.5430604888</v>
      </c>
    </row>
    <row r="1333">
      <c r="A1333" s="3">
        <f>IFERROR(__xludf.DUMMYFUNCTION("""COMPUTED_VALUE"""),41747.99861111111)</f>
        <v>41747.99861</v>
      </c>
      <c r="B1333" s="1">
        <f>IFERROR(__xludf.DUMMYFUNCTION("""COMPUTED_VALUE"""),0.543963877)</f>
        <v>0.543963877</v>
      </c>
    </row>
    <row r="1334">
      <c r="A1334" s="3">
        <f>IFERROR(__xludf.DUMMYFUNCTION("""COMPUTED_VALUE"""),41748.99861111111)</f>
        <v>41748.99861</v>
      </c>
      <c r="B1334" s="1">
        <f>IFERROR(__xludf.DUMMYFUNCTION("""COMPUTED_VALUE"""),0.5496491466)</f>
        <v>0.5496491466</v>
      </c>
    </row>
    <row r="1335">
      <c r="A1335" s="3">
        <f>IFERROR(__xludf.DUMMYFUNCTION("""COMPUTED_VALUE"""),41749.99861111111)</f>
        <v>41749.99861</v>
      </c>
      <c r="B1335" s="1">
        <f>IFERROR(__xludf.DUMMYFUNCTION("""COMPUTED_VALUE"""),0.5485525209)</f>
        <v>0.5485525209</v>
      </c>
    </row>
    <row r="1336">
      <c r="A1336" s="3">
        <f>IFERROR(__xludf.DUMMYFUNCTION("""COMPUTED_VALUE"""),41750.99861111111)</f>
        <v>41750.99861</v>
      </c>
      <c r="B1336" s="1">
        <f>IFERROR(__xludf.DUMMYFUNCTION("""COMPUTED_VALUE"""),0.5434885918)</f>
        <v>0.5434885918</v>
      </c>
    </row>
    <row r="1337">
      <c r="A1337" s="3">
        <f>IFERROR(__xludf.DUMMYFUNCTION("""COMPUTED_VALUE"""),41751.99861111111)</f>
        <v>41751.99861</v>
      </c>
      <c r="B1337" s="1">
        <f>IFERROR(__xludf.DUMMYFUNCTION("""COMPUTED_VALUE"""),0.5483487649)</f>
        <v>0.5483487649</v>
      </c>
    </row>
    <row r="1338">
      <c r="A1338" s="3">
        <f>IFERROR(__xludf.DUMMYFUNCTION("""COMPUTED_VALUE"""),41752.99861111111)</f>
        <v>41752.99861</v>
      </c>
      <c r="B1338" s="1">
        <f>IFERROR(__xludf.DUMMYFUNCTION("""COMPUTED_VALUE"""),0.5516782895)</f>
        <v>0.5516782895</v>
      </c>
    </row>
    <row r="1339">
      <c r="A1339" s="3">
        <f>IFERROR(__xludf.DUMMYFUNCTION("""COMPUTED_VALUE"""),41753.99861111111)</f>
        <v>41753.99861</v>
      </c>
      <c r="B1339" s="1">
        <f>IFERROR(__xludf.DUMMYFUNCTION("""COMPUTED_VALUE"""),0.5501779264)</f>
        <v>0.5501779264</v>
      </c>
    </row>
    <row r="1340">
      <c r="A1340" s="3">
        <f>IFERROR(__xludf.DUMMYFUNCTION("""COMPUTED_VALUE"""),41754.99861111111)</f>
        <v>41754.99861</v>
      </c>
      <c r="B1340" s="1">
        <f>IFERROR(__xludf.DUMMYFUNCTION("""COMPUTED_VALUE"""),0.5487023733)</f>
        <v>0.5487023733</v>
      </c>
    </row>
    <row r="1341">
      <c r="A1341" s="3">
        <f>IFERROR(__xludf.DUMMYFUNCTION("""COMPUTED_VALUE"""),41757.99861111111)</f>
        <v>41757.99861</v>
      </c>
      <c r="B1341" s="1">
        <f>IFERROR(__xludf.DUMMYFUNCTION("""COMPUTED_VALUE"""),0.5500688447)</f>
        <v>0.5500688447</v>
      </c>
    </row>
    <row r="1342">
      <c r="A1342" s="3">
        <f>IFERROR(__xludf.DUMMYFUNCTION("""COMPUTED_VALUE"""),41758.99861111111)</f>
        <v>41758.99861</v>
      </c>
      <c r="B1342" s="1">
        <f>IFERROR(__xludf.DUMMYFUNCTION("""COMPUTED_VALUE"""),0.5481695996)</f>
        <v>0.5481695996</v>
      </c>
    </row>
    <row r="1343">
      <c r="A1343" s="3">
        <f>IFERROR(__xludf.DUMMYFUNCTION("""COMPUTED_VALUE"""),41759.99861111111)</f>
        <v>41759.99861</v>
      </c>
      <c r="B1343" s="1">
        <f>IFERROR(__xludf.DUMMYFUNCTION("""COMPUTED_VALUE"""),0.5481695996)</f>
        <v>0.5481695996</v>
      </c>
    </row>
    <row r="1344">
      <c r="A1344" s="3">
        <f>IFERROR(__xludf.DUMMYFUNCTION("""COMPUTED_VALUE"""),41760.99861111111)</f>
        <v>41760.99861</v>
      </c>
      <c r="B1344" s="1">
        <f>IFERROR(__xludf.DUMMYFUNCTION("""COMPUTED_VALUE"""),0.5484560542)</f>
        <v>0.5484560542</v>
      </c>
    </row>
    <row r="1345">
      <c r="A1345" s="3">
        <f>IFERROR(__xludf.DUMMYFUNCTION("""COMPUTED_VALUE"""),41761.99861111111)</f>
        <v>41761.99861</v>
      </c>
      <c r="B1345" s="1">
        <f>IFERROR(__xludf.DUMMYFUNCTION("""COMPUTED_VALUE"""),0.5467711207)</f>
        <v>0.5467711207</v>
      </c>
    </row>
    <row r="1346">
      <c r="A1346" s="3">
        <f>IFERROR(__xludf.DUMMYFUNCTION("""COMPUTED_VALUE"""),41764.99861111111)</f>
        <v>41764.99861</v>
      </c>
      <c r="B1346" s="1">
        <f>IFERROR(__xludf.DUMMYFUNCTION("""COMPUTED_VALUE"""),0.54694556)</f>
        <v>0.54694556</v>
      </c>
    </row>
    <row r="1347">
      <c r="A1347" s="3">
        <f>IFERROR(__xludf.DUMMYFUNCTION("""COMPUTED_VALUE"""),41765.99861111111)</f>
        <v>41765.99861</v>
      </c>
      <c r="B1347" s="1">
        <f>IFERROR(__xludf.DUMMYFUNCTION("""COMPUTED_VALUE"""),0.5471832591)</f>
        <v>0.5471832591</v>
      </c>
    </row>
    <row r="1348">
      <c r="A1348" s="3">
        <f>IFERROR(__xludf.DUMMYFUNCTION("""COMPUTED_VALUE"""),41766.99861111111)</f>
        <v>41766.99861</v>
      </c>
      <c r="B1348" s="1">
        <f>IFERROR(__xludf.DUMMYFUNCTION("""COMPUTED_VALUE"""),0.5493827066)</f>
        <v>0.5493827066</v>
      </c>
    </row>
    <row r="1349">
      <c r="A1349" s="3">
        <f>IFERROR(__xludf.DUMMYFUNCTION("""COMPUTED_VALUE"""),41767.99861111111)</f>
        <v>41767.99861</v>
      </c>
      <c r="B1349" s="1">
        <f>IFERROR(__xludf.DUMMYFUNCTION("""COMPUTED_VALUE"""),0.5472199771)</f>
        <v>0.5472199771</v>
      </c>
    </row>
    <row r="1350">
      <c r="A1350" s="3">
        <f>IFERROR(__xludf.DUMMYFUNCTION("""COMPUTED_VALUE"""),41768.99861111111)</f>
        <v>41768.99861</v>
      </c>
      <c r="B1350" s="1">
        <f>IFERROR(__xludf.DUMMYFUNCTION("""COMPUTED_VALUE"""),0.5476947884)</f>
        <v>0.5476947884</v>
      </c>
    </row>
    <row r="1351">
      <c r="A1351" s="3">
        <f>IFERROR(__xludf.DUMMYFUNCTION("""COMPUTED_VALUE"""),41771.99861111111)</f>
        <v>41771.99861</v>
      </c>
      <c r="B1351" s="1">
        <f>IFERROR(__xludf.DUMMYFUNCTION("""COMPUTED_VALUE"""),0.5470085376)</f>
        <v>0.5470085376</v>
      </c>
    </row>
    <row r="1352">
      <c r="A1352" s="3">
        <f>IFERROR(__xludf.DUMMYFUNCTION("""COMPUTED_VALUE"""),41772.99861111111)</f>
        <v>41772.99861</v>
      </c>
      <c r="B1352" s="1">
        <f>IFERROR(__xludf.DUMMYFUNCTION("""COMPUTED_VALUE"""),0.5456056979)</f>
        <v>0.5456056979</v>
      </c>
    </row>
    <row r="1353">
      <c r="A1353" s="3">
        <f>IFERROR(__xludf.DUMMYFUNCTION("""COMPUTED_VALUE"""),41773.99861111111)</f>
        <v>41773.99861</v>
      </c>
      <c r="B1353" s="1">
        <f>IFERROR(__xludf.DUMMYFUNCTION("""COMPUTED_VALUE"""),0.5416765516)</f>
        <v>0.5416765516</v>
      </c>
    </row>
    <row r="1354">
      <c r="A1354" s="3">
        <f>IFERROR(__xludf.DUMMYFUNCTION("""COMPUTED_VALUE"""),41774.99861111111)</f>
        <v>41774.99861</v>
      </c>
      <c r="B1354" s="1">
        <f>IFERROR(__xludf.DUMMYFUNCTION("""COMPUTED_VALUE"""),0.5407266585)</f>
        <v>0.5407266585</v>
      </c>
    </row>
    <row r="1355">
      <c r="A1355" s="3">
        <f>IFERROR(__xludf.DUMMYFUNCTION("""COMPUTED_VALUE"""),41775.99861111111)</f>
        <v>41775.99861</v>
      </c>
      <c r="B1355" s="1">
        <f>IFERROR(__xludf.DUMMYFUNCTION("""COMPUTED_VALUE"""),0.5376139793)</f>
        <v>0.5376139793</v>
      </c>
    </row>
    <row r="1356">
      <c r="A1356" s="3">
        <f>IFERROR(__xludf.DUMMYFUNCTION("""COMPUTED_VALUE"""),41776.99861111111)</f>
        <v>41776.99861</v>
      </c>
      <c r="B1356" s="1">
        <f>IFERROR(__xludf.DUMMYFUNCTION("""COMPUTED_VALUE"""),0.5439038715)</f>
        <v>0.5439038715</v>
      </c>
    </row>
    <row r="1357">
      <c r="A1357" s="3">
        <f>IFERROR(__xludf.DUMMYFUNCTION("""COMPUTED_VALUE"""),41778.99861111111)</f>
        <v>41778.99861</v>
      </c>
      <c r="B1357" s="1">
        <f>IFERROR(__xludf.DUMMYFUNCTION("""COMPUTED_VALUE"""),0.5425178119)</f>
        <v>0.5425178119</v>
      </c>
    </row>
    <row r="1358">
      <c r="A1358" s="3">
        <f>IFERROR(__xludf.DUMMYFUNCTION("""COMPUTED_VALUE"""),41779.99861111111)</f>
        <v>41779.99861</v>
      </c>
      <c r="B1358" s="1">
        <f>IFERROR(__xludf.DUMMYFUNCTION("""COMPUTED_VALUE"""),0.5442370617)</f>
        <v>0.5442370617</v>
      </c>
    </row>
    <row r="1359">
      <c r="A1359" s="3">
        <f>IFERROR(__xludf.DUMMYFUNCTION("""COMPUTED_VALUE"""),41780.99861111111)</f>
        <v>41780.99861</v>
      </c>
      <c r="B1359" s="1">
        <f>IFERROR(__xludf.DUMMYFUNCTION("""COMPUTED_VALUE"""),0.5460807573)</f>
        <v>0.5460807573</v>
      </c>
    </row>
    <row r="1360">
      <c r="A1360" s="3">
        <f>IFERROR(__xludf.DUMMYFUNCTION("""COMPUTED_VALUE"""),41781.99861111111)</f>
        <v>41781.99861</v>
      </c>
      <c r="B1360" s="1">
        <f>IFERROR(__xludf.DUMMYFUNCTION("""COMPUTED_VALUE"""),0.5467933463)</f>
        <v>0.5467933463</v>
      </c>
    </row>
    <row r="1361">
      <c r="A1361" s="3">
        <f>IFERROR(__xludf.DUMMYFUNCTION("""COMPUTED_VALUE"""),41782.99861111111)</f>
        <v>41782.99861</v>
      </c>
      <c r="B1361" s="1">
        <f>IFERROR(__xludf.DUMMYFUNCTION("""COMPUTED_VALUE"""),0.5510931546)</f>
        <v>0.5510931546</v>
      </c>
    </row>
    <row r="1362">
      <c r="A1362" s="3">
        <f>IFERROR(__xludf.DUMMYFUNCTION("""COMPUTED_VALUE"""),41785.99861111111)</f>
        <v>41785.99861</v>
      </c>
      <c r="B1362" s="1">
        <f>IFERROR(__xludf.DUMMYFUNCTION("""COMPUTED_VALUE"""),0.5544098548)</f>
        <v>0.5544098548</v>
      </c>
    </row>
    <row r="1363">
      <c r="A1363" s="3">
        <f>IFERROR(__xludf.DUMMYFUNCTION("""COMPUTED_VALUE"""),41786.99861111111)</f>
        <v>41786.99861</v>
      </c>
      <c r="B1363" s="1">
        <f>IFERROR(__xludf.DUMMYFUNCTION("""COMPUTED_VALUE"""),0.548517191)</f>
        <v>0.548517191</v>
      </c>
    </row>
    <row r="1364">
      <c r="A1364" s="3">
        <f>IFERROR(__xludf.DUMMYFUNCTION("""COMPUTED_VALUE"""),41787.99861111111)</f>
        <v>41787.99861</v>
      </c>
      <c r="B1364" s="1">
        <f>IFERROR(__xludf.DUMMYFUNCTION("""COMPUTED_VALUE"""),0.5513154747)</f>
        <v>0.5513154747</v>
      </c>
    </row>
    <row r="1365">
      <c r="A1365" s="3">
        <f>IFERROR(__xludf.DUMMYFUNCTION("""COMPUTED_VALUE"""),41788.99861111111)</f>
        <v>41788.99861</v>
      </c>
      <c r="B1365" s="1">
        <f>IFERROR(__xludf.DUMMYFUNCTION("""COMPUTED_VALUE"""),0.5496563138)</f>
        <v>0.5496563138</v>
      </c>
    </row>
    <row r="1366">
      <c r="A1366" s="3">
        <f>IFERROR(__xludf.DUMMYFUNCTION("""COMPUTED_VALUE"""),41789.99861111111)</f>
        <v>41789.99861</v>
      </c>
      <c r="B1366" s="1">
        <f>IFERROR(__xludf.DUMMYFUNCTION("""COMPUTED_VALUE"""),0.5528686477)</f>
        <v>0.5528686477</v>
      </c>
    </row>
    <row r="1367">
      <c r="A1367" s="3">
        <f>IFERROR(__xludf.DUMMYFUNCTION("""COMPUTED_VALUE"""),41792.99861111111)</f>
        <v>41792.99861</v>
      </c>
      <c r="B1367" s="1">
        <f>IFERROR(__xludf.DUMMYFUNCTION("""COMPUTED_VALUE"""),0.5574780724)</f>
        <v>0.5574780724</v>
      </c>
    </row>
    <row r="1368">
      <c r="A1368" s="3">
        <f>IFERROR(__xludf.DUMMYFUNCTION("""COMPUTED_VALUE"""),41793.99861111111)</f>
        <v>41793.99861</v>
      </c>
      <c r="B1368" s="1">
        <f>IFERROR(__xludf.DUMMYFUNCTION("""COMPUTED_VALUE"""),0.5560542295)</f>
        <v>0.5560542295</v>
      </c>
    </row>
    <row r="1369">
      <c r="A1369" s="3">
        <f>IFERROR(__xludf.DUMMYFUNCTION("""COMPUTED_VALUE"""),41794.99861111111)</f>
        <v>41794.99861</v>
      </c>
      <c r="B1369" s="1">
        <f>IFERROR(__xludf.DUMMYFUNCTION("""COMPUTED_VALUE"""),0.5608028243)</f>
        <v>0.5608028243</v>
      </c>
    </row>
    <row r="1370">
      <c r="A1370" s="3">
        <f>IFERROR(__xludf.DUMMYFUNCTION("""COMPUTED_VALUE"""),41795.99861111111)</f>
        <v>41795.99861</v>
      </c>
      <c r="B1370" s="1">
        <f>IFERROR(__xludf.DUMMYFUNCTION("""COMPUTED_VALUE"""),0.5593860593)</f>
        <v>0.5593860593</v>
      </c>
    </row>
    <row r="1371">
      <c r="A1371" s="3">
        <f>IFERROR(__xludf.DUMMYFUNCTION("""COMPUTED_VALUE"""),41796.99861111111)</f>
        <v>41796.99861</v>
      </c>
      <c r="B1371" s="1">
        <f>IFERROR(__xludf.DUMMYFUNCTION("""COMPUTED_VALUE"""),0.5579692943)</f>
        <v>0.5579692943</v>
      </c>
    </row>
    <row r="1372">
      <c r="A1372" s="3">
        <f>IFERROR(__xludf.DUMMYFUNCTION("""COMPUTED_VALUE"""),41798.99861111111)</f>
        <v>41798.99861</v>
      </c>
      <c r="B1372" s="1">
        <f>IFERROR(__xludf.DUMMYFUNCTION("""COMPUTED_VALUE"""),0.5669130465)</f>
        <v>0.5669130465</v>
      </c>
    </row>
    <row r="1373">
      <c r="A1373" s="3">
        <f>IFERROR(__xludf.DUMMYFUNCTION("""COMPUTED_VALUE"""),41799.99861111111)</f>
        <v>41799.99861</v>
      </c>
      <c r="B1373" s="1">
        <f>IFERROR(__xludf.DUMMYFUNCTION("""COMPUTED_VALUE"""),0.5580568611)</f>
        <v>0.5580568611</v>
      </c>
    </row>
    <row r="1374">
      <c r="A1374" s="3">
        <f>IFERROR(__xludf.DUMMYFUNCTION("""COMPUTED_VALUE"""),41800.99861111111)</f>
        <v>41800.99861</v>
      </c>
      <c r="B1374" s="1">
        <f>IFERROR(__xludf.DUMMYFUNCTION("""COMPUTED_VALUE"""),0.5594223384)</f>
        <v>0.5594223384</v>
      </c>
    </row>
    <row r="1375">
      <c r="A1375" s="3">
        <f>IFERROR(__xludf.DUMMYFUNCTION("""COMPUTED_VALUE"""),41801.99861111111)</f>
        <v>41801.99861</v>
      </c>
      <c r="B1375" s="1">
        <f>IFERROR(__xludf.DUMMYFUNCTION("""COMPUTED_VALUE"""),0.5584200486)</f>
        <v>0.5584200486</v>
      </c>
    </row>
    <row r="1376">
      <c r="A1376" s="3">
        <f>IFERROR(__xludf.DUMMYFUNCTION("""COMPUTED_VALUE"""),41802.99861111111)</f>
        <v>41802.99861</v>
      </c>
      <c r="B1376" s="1">
        <f>IFERROR(__xludf.DUMMYFUNCTION("""COMPUTED_VALUE"""),0.5578972188)</f>
        <v>0.5578972188</v>
      </c>
    </row>
    <row r="1377">
      <c r="A1377" s="3">
        <f>IFERROR(__xludf.DUMMYFUNCTION("""COMPUTED_VALUE"""),41803.99861111111)</f>
        <v>41803.99861</v>
      </c>
      <c r="B1377" s="1">
        <f>IFERROR(__xludf.DUMMYFUNCTION("""COMPUTED_VALUE"""),0.5576058608)</f>
        <v>0.5576058608</v>
      </c>
    </row>
    <row r="1378">
      <c r="A1378" s="3">
        <f>IFERROR(__xludf.DUMMYFUNCTION("""COMPUTED_VALUE"""),41806.99861111111)</f>
        <v>41806.99861</v>
      </c>
      <c r="B1378" s="1">
        <f>IFERROR(__xludf.DUMMYFUNCTION("""COMPUTED_VALUE"""),0.5587609347)</f>
        <v>0.5587609347</v>
      </c>
    </row>
    <row r="1379">
      <c r="A1379" s="3">
        <f>IFERROR(__xludf.DUMMYFUNCTION("""COMPUTED_VALUE"""),41807.99861111111)</f>
        <v>41807.99861</v>
      </c>
      <c r="B1379" s="1">
        <f>IFERROR(__xludf.DUMMYFUNCTION("""COMPUTED_VALUE"""),0.5612750793)</f>
        <v>0.5612750793</v>
      </c>
    </row>
    <row r="1380">
      <c r="A1380" s="3">
        <f>IFERROR(__xludf.DUMMYFUNCTION("""COMPUTED_VALUE"""),41808.99861111111)</f>
        <v>41808.99861</v>
      </c>
      <c r="B1380" s="1">
        <f>IFERROR(__xludf.DUMMYFUNCTION("""COMPUTED_VALUE"""),0.5670760432)</f>
        <v>0.5670760432</v>
      </c>
    </row>
    <row r="1381">
      <c r="A1381" s="3">
        <f>IFERROR(__xludf.DUMMYFUNCTION("""COMPUTED_VALUE"""),41809.99861111111)</f>
        <v>41809.99861</v>
      </c>
      <c r="B1381" s="1">
        <f>IFERROR(__xludf.DUMMYFUNCTION("""COMPUTED_VALUE"""),0.5607850512)</f>
        <v>0.5607850512</v>
      </c>
    </row>
    <row r="1382">
      <c r="A1382" s="3">
        <f>IFERROR(__xludf.DUMMYFUNCTION("""COMPUTED_VALUE"""),41810.99861111111)</f>
        <v>41810.99861</v>
      </c>
      <c r="B1382" s="1">
        <f>IFERROR(__xludf.DUMMYFUNCTION("""COMPUTED_VALUE"""),0.562617699)</f>
        <v>0.562617699</v>
      </c>
    </row>
    <row r="1383">
      <c r="A1383" s="3">
        <f>IFERROR(__xludf.DUMMYFUNCTION("""COMPUTED_VALUE"""),41813.99861111111)</f>
        <v>41813.99861</v>
      </c>
      <c r="B1383" s="1">
        <f>IFERROR(__xludf.DUMMYFUNCTION("""COMPUTED_VALUE"""),0.5630548055)</f>
        <v>0.5630548055</v>
      </c>
    </row>
    <row r="1384">
      <c r="A1384" s="3">
        <f>IFERROR(__xludf.DUMMYFUNCTION("""COMPUTED_VALUE"""),41814.99861111111)</f>
        <v>41814.99861</v>
      </c>
      <c r="B1384" s="1">
        <f>IFERROR(__xludf.DUMMYFUNCTION("""COMPUTED_VALUE"""),0.5631190932)</f>
        <v>0.5631190932</v>
      </c>
    </row>
    <row r="1385">
      <c r="A1385" s="3">
        <f>IFERROR(__xludf.DUMMYFUNCTION("""COMPUTED_VALUE"""),41815.99861111111)</f>
        <v>41815.99861</v>
      </c>
      <c r="B1385" s="1">
        <f>IFERROR(__xludf.DUMMYFUNCTION("""COMPUTED_VALUE"""),0.5673392692)</f>
        <v>0.5673392692</v>
      </c>
    </row>
    <row r="1386">
      <c r="A1386" s="3">
        <f>IFERROR(__xludf.DUMMYFUNCTION("""COMPUTED_VALUE"""),41816.99861111111)</f>
        <v>41816.99861</v>
      </c>
      <c r="B1386" s="1">
        <f>IFERROR(__xludf.DUMMYFUNCTION("""COMPUTED_VALUE"""),0.5669402025)</f>
        <v>0.5669402025</v>
      </c>
    </row>
    <row r="1387">
      <c r="A1387" s="3">
        <f>IFERROR(__xludf.DUMMYFUNCTION("""COMPUTED_VALUE"""),41817.99861111111)</f>
        <v>41817.99861</v>
      </c>
      <c r="B1387" s="1">
        <f>IFERROR(__xludf.DUMMYFUNCTION("""COMPUTED_VALUE"""),0.5639221103)</f>
        <v>0.5639221103</v>
      </c>
    </row>
    <row r="1388">
      <c r="A1388" s="3">
        <f>IFERROR(__xludf.DUMMYFUNCTION("""COMPUTED_VALUE"""),41820.99861111111)</f>
        <v>41820.99861</v>
      </c>
      <c r="B1388" s="1">
        <f>IFERROR(__xludf.DUMMYFUNCTION("""COMPUTED_VALUE"""),0.5605867596)</f>
        <v>0.5605867596</v>
      </c>
    </row>
    <row r="1389">
      <c r="A1389" s="3">
        <f>IFERROR(__xludf.DUMMYFUNCTION("""COMPUTED_VALUE"""),41821.99861111111)</f>
        <v>41821.99861</v>
      </c>
      <c r="B1389" s="1">
        <f>IFERROR(__xludf.DUMMYFUNCTION("""COMPUTED_VALUE"""),0.5598155794)</f>
        <v>0.5598155794</v>
      </c>
    </row>
    <row r="1390">
      <c r="A1390" s="3">
        <f>IFERROR(__xludf.DUMMYFUNCTION("""COMPUTED_VALUE"""),41822.99861111111)</f>
        <v>41822.99861</v>
      </c>
      <c r="B1390" s="1">
        <f>IFERROR(__xludf.DUMMYFUNCTION("""COMPUTED_VALUE"""),0.5590791598)</f>
        <v>0.5590791598</v>
      </c>
    </row>
    <row r="1391">
      <c r="A1391" s="3">
        <f>IFERROR(__xludf.DUMMYFUNCTION("""COMPUTED_VALUE"""),41823.99861111111)</f>
        <v>41823.99861</v>
      </c>
      <c r="B1391" s="1">
        <f>IFERROR(__xludf.DUMMYFUNCTION("""COMPUTED_VALUE"""),0.5597085034)</f>
        <v>0.5597085034</v>
      </c>
    </row>
    <row r="1392">
      <c r="A1392" s="3">
        <f>IFERROR(__xludf.DUMMYFUNCTION("""COMPUTED_VALUE"""),41824.99861111111)</f>
        <v>41824.99861</v>
      </c>
      <c r="B1392" s="1">
        <f>IFERROR(__xludf.DUMMYFUNCTION("""COMPUTED_VALUE"""),0.5648425928)</f>
        <v>0.5648425928</v>
      </c>
    </row>
    <row r="1393">
      <c r="A1393" s="3">
        <f>IFERROR(__xludf.DUMMYFUNCTION("""COMPUTED_VALUE"""),41827.99861111111)</f>
        <v>41827.99861</v>
      </c>
      <c r="B1393" s="1">
        <f>IFERROR(__xludf.DUMMYFUNCTION("""COMPUTED_VALUE"""),0.5517646996)</f>
        <v>0.5517646996</v>
      </c>
    </row>
    <row r="1394">
      <c r="A1394" s="3">
        <f>IFERROR(__xludf.DUMMYFUNCTION("""COMPUTED_VALUE"""),41828.99861111111)</f>
        <v>41828.99861</v>
      </c>
      <c r="B1394" s="1">
        <f>IFERROR(__xludf.DUMMYFUNCTION("""COMPUTED_VALUE"""),0.5488120387)</f>
        <v>0.5488120387</v>
      </c>
    </row>
    <row r="1395">
      <c r="A1395" s="3">
        <f>IFERROR(__xludf.DUMMYFUNCTION("""COMPUTED_VALUE"""),41829.99861111111)</f>
        <v>41829.99861</v>
      </c>
      <c r="B1395" s="1">
        <f>IFERROR(__xludf.DUMMYFUNCTION("""COMPUTED_VALUE"""),0.546459651)</f>
        <v>0.546459651</v>
      </c>
    </row>
    <row r="1396">
      <c r="A1396" s="3">
        <f>IFERROR(__xludf.DUMMYFUNCTION("""COMPUTED_VALUE"""),41830.99861111111)</f>
        <v>41830.99861</v>
      </c>
      <c r="B1396" s="1">
        <f>IFERROR(__xludf.DUMMYFUNCTION("""COMPUTED_VALUE"""),0.5456260201)</f>
        <v>0.5456260201</v>
      </c>
    </row>
    <row r="1397">
      <c r="A1397" s="3">
        <f>IFERROR(__xludf.DUMMYFUNCTION("""COMPUTED_VALUE"""),41831.99861111111)</f>
        <v>41831.99861</v>
      </c>
      <c r="B1397" s="1">
        <f>IFERROR(__xludf.DUMMYFUNCTION("""COMPUTED_VALUE"""),0.5485700675)</f>
        <v>0.5485700675</v>
      </c>
    </row>
    <row r="1398">
      <c r="A1398" s="3">
        <f>IFERROR(__xludf.DUMMYFUNCTION("""COMPUTED_VALUE"""),41834.99861111111)</f>
        <v>41834.99861</v>
      </c>
      <c r="B1398" s="1">
        <f>IFERROR(__xludf.DUMMYFUNCTION("""COMPUTED_VALUE"""),0.5513002261)</f>
        <v>0.5513002261</v>
      </c>
    </row>
    <row r="1399">
      <c r="A1399" s="3">
        <f>IFERROR(__xludf.DUMMYFUNCTION("""COMPUTED_VALUE"""),41835.99861111111)</f>
        <v>41835.99861</v>
      </c>
      <c r="B1399" s="1">
        <f>IFERROR(__xludf.DUMMYFUNCTION("""COMPUTED_VALUE"""),0.5540061345)</f>
        <v>0.5540061345</v>
      </c>
    </row>
    <row r="1400">
      <c r="A1400" s="3">
        <f>IFERROR(__xludf.DUMMYFUNCTION("""COMPUTED_VALUE"""),41836.99861111111)</f>
        <v>41836.99861</v>
      </c>
      <c r="B1400" s="1">
        <f>IFERROR(__xludf.DUMMYFUNCTION("""COMPUTED_VALUE"""),0.5500590505)</f>
        <v>0.5500590505</v>
      </c>
    </row>
    <row r="1401">
      <c r="A1401" s="3">
        <f>IFERROR(__xludf.DUMMYFUNCTION("""COMPUTED_VALUE"""),41837.99861111111)</f>
        <v>41837.99861</v>
      </c>
      <c r="B1401" s="1">
        <f>IFERROR(__xludf.DUMMYFUNCTION("""COMPUTED_VALUE"""),0.5505193559)</f>
        <v>0.5505193559</v>
      </c>
    </row>
    <row r="1402">
      <c r="A1402" s="3">
        <f>IFERROR(__xludf.DUMMYFUNCTION("""COMPUTED_VALUE"""),41838.99861111111)</f>
        <v>41838.99861</v>
      </c>
      <c r="B1402" s="1">
        <f>IFERROR(__xludf.DUMMYFUNCTION("""COMPUTED_VALUE"""),0.5485241941)</f>
        <v>0.5485241941</v>
      </c>
    </row>
    <row r="1403">
      <c r="A1403" s="3">
        <f>IFERROR(__xludf.DUMMYFUNCTION("""COMPUTED_VALUE"""),41840.99861111111)</f>
        <v>41840.99861</v>
      </c>
      <c r="B1403" s="1">
        <f>IFERROR(__xludf.DUMMYFUNCTION("""COMPUTED_VALUE"""),0.5565273861)</f>
        <v>0.5565273861</v>
      </c>
    </row>
    <row r="1404">
      <c r="A1404" s="3">
        <f>IFERROR(__xludf.DUMMYFUNCTION("""COMPUTED_VALUE"""),41841.99861111111)</f>
        <v>41841.99861</v>
      </c>
      <c r="B1404" s="1">
        <f>IFERROR(__xludf.DUMMYFUNCTION("""COMPUTED_VALUE"""),0.5464429108)</f>
        <v>0.5464429108</v>
      </c>
    </row>
    <row r="1405">
      <c r="A1405" s="3">
        <f>IFERROR(__xludf.DUMMYFUNCTION("""COMPUTED_VALUE"""),41842.99861111111)</f>
        <v>41842.99861</v>
      </c>
      <c r="B1405" s="1">
        <f>IFERROR(__xludf.DUMMYFUNCTION("""COMPUTED_VALUE"""),0.5470004649)</f>
        <v>0.5470004649</v>
      </c>
    </row>
    <row r="1406">
      <c r="A1406" s="3">
        <f>IFERROR(__xludf.DUMMYFUNCTION("""COMPUTED_VALUE"""),41843.99861111111)</f>
        <v>41843.99861</v>
      </c>
      <c r="B1406" s="1">
        <f>IFERROR(__xludf.DUMMYFUNCTION("""COMPUTED_VALUE"""),0.5423848789)</f>
        <v>0.5423848789</v>
      </c>
    </row>
    <row r="1407">
      <c r="A1407" s="3">
        <f>IFERROR(__xludf.DUMMYFUNCTION("""COMPUTED_VALUE"""),41844.99861111111)</f>
        <v>41844.99861</v>
      </c>
      <c r="B1407" s="1">
        <f>IFERROR(__xludf.DUMMYFUNCTION("""COMPUTED_VALUE"""),0.5455489875)</f>
        <v>0.5455489875</v>
      </c>
    </row>
    <row r="1408">
      <c r="A1408" s="3">
        <f>IFERROR(__xludf.DUMMYFUNCTION("""COMPUTED_VALUE"""),41845.99861111111)</f>
        <v>41845.99861</v>
      </c>
      <c r="B1408" s="1">
        <f>IFERROR(__xludf.DUMMYFUNCTION("""COMPUTED_VALUE"""),0.5461029684)</f>
        <v>0.5461029684</v>
      </c>
    </row>
    <row r="1409">
      <c r="A1409" s="3">
        <f>IFERROR(__xludf.DUMMYFUNCTION("""COMPUTED_VALUE"""),41848.99861111111)</f>
        <v>41848.99861</v>
      </c>
      <c r="B1409" s="1">
        <f>IFERROR(__xludf.DUMMYFUNCTION("""COMPUTED_VALUE"""),0.545845135)</f>
        <v>0.545845135</v>
      </c>
    </row>
    <row r="1410">
      <c r="A1410" s="3">
        <f>IFERROR(__xludf.DUMMYFUNCTION("""COMPUTED_VALUE"""),41849.99861111111)</f>
        <v>41849.99861</v>
      </c>
      <c r="B1410" s="1">
        <f>IFERROR(__xludf.DUMMYFUNCTION("""COMPUTED_VALUE"""),0.5462319776)</f>
        <v>0.5462319776</v>
      </c>
    </row>
    <row r="1411">
      <c r="A1411" s="3">
        <f>IFERROR(__xludf.DUMMYFUNCTION("""COMPUTED_VALUE"""),41850.99861111111)</f>
        <v>41850.99861</v>
      </c>
      <c r="B1411" s="1">
        <f>IFERROR(__xludf.DUMMYFUNCTION("""COMPUTED_VALUE"""),0.5462319776)</f>
        <v>0.5462319776</v>
      </c>
    </row>
    <row r="1412">
      <c r="A1412" s="3">
        <f>IFERROR(__xludf.DUMMYFUNCTION("""COMPUTED_VALUE"""),41851.99861111111)</f>
        <v>41851.99861</v>
      </c>
      <c r="B1412" s="1">
        <f>IFERROR(__xludf.DUMMYFUNCTION("""COMPUTED_VALUE"""),0.5545025825)</f>
        <v>0.5545025825</v>
      </c>
    </row>
    <row r="1413">
      <c r="A1413" s="3">
        <f>IFERROR(__xludf.DUMMYFUNCTION("""COMPUTED_VALUE"""),41852.99861111111)</f>
        <v>41852.99861</v>
      </c>
      <c r="B1413" s="1">
        <f>IFERROR(__xludf.DUMMYFUNCTION("""COMPUTED_VALUE"""),0.5606712254)</f>
        <v>0.5606712254</v>
      </c>
    </row>
    <row r="1414">
      <c r="A1414" s="3">
        <f>IFERROR(__xludf.DUMMYFUNCTION("""COMPUTED_VALUE"""),41855.99861111111)</f>
        <v>41855.99861</v>
      </c>
      <c r="B1414" s="1">
        <f>IFERROR(__xludf.DUMMYFUNCTION("""COMPUTED_VALUE"""),0.5564497028)</f>
        <v>0.5564497028</v>
      </c>
    </row>
    <row r="1415">
      <c r="A1415" s="3">
        <f>IFERROR(__xludf.DUMMYFUNCTION("""COMPUTED_VALUE"""),41856.99861111111)</f>
        <v>41856.99861</v>
      </c>
      <c r="B1415" s="1">
        <f>IFERROR(__xludf.DUMMYFUNCTION("""COMPUTED_VALUE"""),0.552009446)</f>
        <v>0.552009446</v>
      </c>
    </row>
    <row r="1416">
      <c r="A1416" s="3">
        <f>IFERROR(__xludf.DUMMYFUNCTION("""COMPUTED_VALUE"""),41857.99861111111)</f>
        <v>41857.99861</v>
      </c>
      <c r="B1416" s="1">
        <f>IFERROR(__xludf.DUMMYFUNCTION("""COMPUTED_VALUE"""),0.5623146743)</f>
        <v>0.5623146743</v>
      </c>
    </row>
    <row r="1417">
      <c r="A1417" s="3">
        <f>IFERROR(__xludf.DUMMYFUNCTION("""COMPUTED_VALUE"""),41858.99861111111)</f>
        <v>41858.99861</v>
      </c>
      <c r="B1417" s="1">
        <f>IFERROR(__xludf.DUMMYFUNCTION("""COMPUTED_VALUE"""),0.5643611636)</f>
        <v>0.5643611636</v>
      </c>
    </row>
    <row r="1418">
      <c r="A1418" s="3">
        <f>IFERROR(__xludf.DUMMYFUNCTION("""COMPUTED_VALUE"""),41859.99861111111)</f>
        <v>41859.99861</v>
      </c>
      <c r="B1418" s="1">
        <f>IFERROR(__xludf.DUMMYFUNCTION("""COMPUTED_VALUE"""),0.5614781461)</f>
        <v>0.5614781461</v>
      </c>
    </row>
    <row r="1419">
      <c r="A1419" s="3">
        <f>IFERROR(__xludf.DUMMYFUNCTION("""COMPUTED_VALUE"""),41862.99861111111)</f>
        <v>41862.99861</v>
      </c>
      <c r="B1419" s="1">
        <f>IFERROR(__xludf.DUMMYFUNCTION("""COMPUTED_VALUE"""),0.5595408819)</f>
        <v>0.5595408819</v>
      </c>
    </row>
    <row r="1420">
      <c r="A1420" s="3">
        <f>IFERROR(__xludf.DUMMYFUNCTION("""COMPUTED_VALUE"""),41863.99861111111)</f>
        <v>41863.99861</v>
      </c>
      <c r="B1420" s="1">
        <f>IFERROR(__xludf.DUMMYFUNCTION("""COMPUTED_VALUE"""),0.5589853995)</f>
        <v>0.5589853995</v>
      </c>
    </row>
    <row r="1421">
      <c r="A1421" s="3">
        <f>IFERROR(__xludf.DUMMYFUNCTION("""COMPUTED_VALUE"""),41864.99861111111)</f>
        <v>41864.99861</v>
      </c>
      <c r="B1421" s="1">
        <f>IFERROR(__xludf.DUMMYFUNCTION("""COMPUTED_VALUE"""),0.5588882463)</f>
        <v>0.5588882463</v>
      </c>
    </row>
    <row r="1422">
      <c r="A1422" s="3">
        <f>IFERROR(__xludf.DUMMYFUNCTION("""COMPUTED_VALUE"""),41865.99861111111)</f>
        <v>41865.99861</v>
      </c>
      <c r="B1422" s="1">
        <f>IFERROR(__xludf.DUMMYFUNCTION("""COMPUTED_VALUE"""),0.5586137483)</f>
        <v>0.5586137483</v>
      </c>
    </row>
    <row r="1423">
      <c r="A1423" s="3">
        <f>IFERROR(__xludf.DUMMYFUNCTION("""COMPUTED_VALUE"""),41866.99861111111)</f>
        <v>41866.99861</v>
      </c>
      <c r="B1423" s="1">
        <f>IFERROR(__xludf.DUMMYFUNCTION("""COMPUTED_VALUE"""),0.5589517479)</f>
        <v>0.5589517479</v>
      </c>
    </row>
    <row r="1424">
      <c r="A1424" s="3">
        <f>IFERROR(__xludf.DUMMYFUNCTION("""COMPUTED_VALUE"""),41869.99861111111)</f>
        <v>41869.99861</v>
      </c>
      <c r="B1424" s="1">
        <f>IFERROR(__xludf.DUMMYFUNCTION("""COMPUTED_VALUE"""),0.5589051579)</f>
        <v>0.5589051579</v>
      </c>
    </row>
    <row r="1425">
      <c r="A1425" s="3">
        <f>IFERROR(__xludf.DUMMYFUNCTION("""COMPUTED_VALUE"""),41870.99861111111)</f>
        <v>41870.99861</v>
      </c>
      <c r="B1425" s="1">
        <f>IFERROR(__xludf.DUMMYFUNCTION("""COMPUTED_VALUE"""),0.5580649746)</f>
        <v>0.5580649746</v>
      </c>
    </row>
    <row r="1426">
      <c r="A1426" s="3">
        <f>IFERROR(__xludf.DUMMYFUNCTION("""COMPUTED_VALUE"""),41871.99861111111)</f>
        <v>41871.99861</v>
      </c>
      <c r="B1426" s="1">
        <f>IFERROR(__xludf.DUMMYFUNCTION("""COMPUTED_VALUE"""),0.559996164)</f>
        <v>0.559996164</v>
      </c>
    </row>
    <row r="1427">
      <c r="A1427" s="3">
        <f>IFERROR(__xludf.DUMMYFUNCTION("""COMPUTED_VALUE"""),41872.99861111111)</f>
        <v>41872.99861</v>
      </c>
      <c r="B1427" s="1">
        <f>IFERROR(__xludf.DUMMYFUNCTION("""COMPUTED_VALUE"""),0.5595021522)</f>
        <v>0.5595021522</v>
      </c>
    </row>
    <row r="1428">
      <c r="A1428" s="3">
        <f>IFERROR(__xludf.DUMMYFUNCTION("""COMPUTED_VALUE"""),41873.99861111111)</f>
        <v>41873.99861</v>
      </c>
      <c r="B1428" s="1">
        <f>IFERROR(__xludf.DUMMYFUNCTION("""COMPUTED_VALUE"""),0.5580282327)</f>
        <v>0.5580282327</v>
      </c>
    </row>
    <row r="1429">
      <c r="A1429" s="3">
        <f>IFERROR(__xludf.DUMMYFUNCTION("""COMPUTED_VALUE"""),41876.99861111111)</f>
        <v>41876.99861</v>
      </c>
      <c r="B1429" s="1">
        <f>IFERROR(__xludf.DUMMYFUNCTION("""COMPUTED_VALUE"""),0.5593382322)</f>
        <v>0.5593382322</v>
      </c>
    </row>
    <row r="1430">
      <c r="A1430" s="3">
        <f>IFERROR(__xludf.DUMMYFUNCTION("""COMPUTED_VALUE"""),41877.99861111111)</f>
        <v>41877.99861</v>
      </c>
      <c r="B1430" s="1">
        <f>IFERROR(__xludf.DUMMYFUNCTION("""COMPUTED_VALUE"""),0.5596058123)</f>
        <v>0.5596058123</v>
      </c>
    </row>
    <row r="1431">
      <c r="A1431" s="3">
        <f>IFERROR(__xludf.DUMMYFUNCTION("""COMPUTED_VALUE"""),41878.99861111111)</f>
        <v>41878.99861</v>
      </c>
      <c r="B1431" s="1">
        <f>IFERROR(__xludf.DUMMYFUNCTION("""COMPUTED_VALUE"""),0.5588827132)</f>
        <v>0.5588827132</v>
      </c>
    </row>
    <row r="1432">
      <c r="A1432" s="3">
        <f>IFERROR(__xludf.DUMMYFUNCTION("""COMPUTED_VALUE"""),41879.99861111111)</f>
        <v>41879.99861</v>
      </c>
      <c r="B1432" s="1">
        <f>IFERROR(__xludf.DUMMYFUNCTION("""COMPUTED_VALUE"""),0.561090089)</f>
        <v>0.561090089</v>
      </c>
    </row>
    <row r="1433">
      <c r="A1433" s="3">
        <f>IFERROR(__xludf.DUMMYFUNCTION("""COMPUTED_VALUE"""),41880.99861111111)</f>
        <v>41880.99861</v>
      </c>
      <c r="B1433" s="1">
        <f>IFERROR(__xludf.DUMMYFUNCTION("""COMPUTED_VALUE"""),0.5574411222)</f>
        <v>0.5574411222</v>
      </c>
    </row>
    <row r="1434">
      <c r="A1434" s="3">
        <f>IFERROR(__xludf.DUMMYFUNCTION("""COMPUTED_VALUE"""),41882.99861111111)</f>
        <v>41882.99861</v>
      </c>
      <c r="B1434" s="1">
        <f>IFERROR(__xludf.DUMMYFUNCTION("""COMPUTED_VALUE"""),0.5581581542)</f>
        <v>0.5581581542</v>
      </c>
    </row>
    <row r="1435">
      <c r="A1435" s="3">
        <f>IFERROR(__xludf.DUMMYFUNCTION("""COMPUTED_VALUE"""),41883.99861111111)</f>
        <v>41883.99861</v>
      </c>
      <c r="B1435" s="1">
        <f>IFERROR(__xludf.DUMMYFUNCTION("""COMPUTED_VALUE"""),0.5601109775)</f>
        <v>0.5601109775</v>
      </c>
    </row>
    <row r="1436">
      <c r="A1436" s="3">
        <f>IFERROR(__xludf.DUMMYFUNCTION("""COMPUTED_VALUE"""),41884.99861111111)</f>
        <v>41884.99861</v>
      </c>
      <c r="B1436" s="1">
        <f>IFERROR(__xludf.DUMMYFUNCTION("""COMPUTED_VALUE"""),0.5627815487)</f>
        <v>0.5627815487</v>
      </c>
    </row>
    <row r="1437">
      <c r="A1437" s="3">
        <f>IFERROR(__xludf.DUMMYFUNCTION("""COMPUTED_VALUE"""),41885.99861111111)</f>
        <v>41885.99861</v>
      </c>
      <c r="B1437" s="1">
        <f>IFERROR(__xludf.DUMMYFUNCTION("""COMPUTED_VALUE"""),0.5626105582)</f>
        <v>0.5626105582</v>
      </c>
    </row>
    <row r="1438">
      <c r="A1438" s="3">
        <f>IFERROR(__xludf.DUMMYFUNCTION("""COMPUTED_VALUE"""),41886.99861111111)</f>
        <v>41886.99861</v>
      </c>
      <c r="B1438" s="1">
        <f>IFERROR(__xludf.DUMMYFUNCTION("""COMPUTED_VALUE"""),0.553951393)</f>
        <v>0.553951393</v>
      </c>
    </row>
    <row r="1439">
      <c r="A1439" s="3">
        <f>IFERROR(__xludf.DUMMYFUNCTION("""COMPUTED_VALUE"""),41887.99861111111)</f>
        <v>41887.99861</v>
      </c>
      <c r="B1439" s="1">
        <f>IFERROR(__xludf.DUMMYFUNCTION("""COMPUTED_VALUE"""),0.5610760033)</f>
        <v>0.5610760033</v>
      </c>
    </row>
    <row r="1440">
      <c r="A1440" s="3">
        <f>IFERROR(__xludf.DUMMYFUNCTION("""COMPUTED_VALUE"""),41890.99861111111)</f>
        <v>41890.99861</v>
      </c>
      <c r="B1440" s="1">
        <f>IFERROR(__xludf.DUMMYFUNCTION("""COMPUTED_VALUE"""),0.55328294)</f>
        <v>0.55328294</v>
      </c>
    </row>
    <row r="1441">
      <c r="A1441" s="3">
        <f>IFERROR(__xludf.DUMMYFUNCTION("""COMPUTED_VALUE"""),41891.99861111111)</f>
        <v>41891.99861</v>
      </c>
      <c r="B1441" s="1">
        <f>IFERROR(__xludf.DUMMYFUNCTION("""COMPUTED_VALUE"""),0.5670221921)</f>
        <v>0.5670221921</v>
      </c>
    </row>
    <row r="1442">
      <c r="A1442" s="3">
        <f>IFERROR(__xludf.DUMMYFUNCTION("""COMPUTED_VALUE"""),41892.99861111111)</f>
        <v>41892.99861</v>
      </c>
      <c r="B1442" s="1">
        <f>IFERROR(__xludf.DUMMYFUNCTION("""COMPUTED_VALUE"""),0.5638541449)</f>
        <v>0.5638541449</v>
      </c>
    </row>
    <row r="1443">
      <c r="A1443" s="3">
        <f>IFERROR(__xludf.DUMMYFUNCTION("""COMPUTED_VALUE"""),41893.99861111111)</f>
        <v>41893.99861</v>
      </c>
      <c r="B1443" s="1">
        <f>IFERROR(__xludf.DUMMYFUNCTION("""COMPUTED_VALUE"""),0.5663267655)</f>
        <v>0.5663267655</v>
      </c>
    </row>
    <row r="1444">
      <c r="A1444" s="3">
        <f>IFERROR(__xludf.DUMMYFUNCTION("""COMPUTED_VALUE"""),41894.99861111111)</f>
        <v>41894.99861</v>
      </c>
      <c r="B1444" s="1">
        <f>IFERROR(__xludf.DUMMYFUNCTION("""COMPUTED_VALUE"""),0.5704617446)</f>
        <v>0.5704617446</v>
      </c>
    </row>
    <row r="1445">
      <c r="A1445" s="3">
        <f>IFERROR(__xludf.DUMMYFUNCTION("""COMPUTED_VALUE"""),41895.99861111111)</f>
        <v>41895.99861</v>
      </c>
      <c r="B1445" s="1">
        <f>IFERROR(__xludf.DUMMYFUNCTION("""COMPUTED_VALUE"""),0.5715199204)</f>
        <v>0.5715199204</v>
      </c>
    </row>
    <row r="1446">
      <c r="A1446" s="3">
        <f>IFERROR(__xludf.DUMMYFUNCTION("""COMPUTED_VALUE"""),41897.99861111111)</f>
        <v>41897.99861</v>
      </c>
      <c r="B1446" s="1">
        <f>IFERROR(__xludf.DUMMYFUNCTION("""COMPUTED_VALUE"""),0.5720379499)</f>
        <v>0.5720379499</v>
      </c>
    </row>
    <row r="1447">
      <c r="A1447" s="3">
        <f>IFERROR(__xludf.DUMMYFUNCTION("""COMPUTED_VALUE"""),41898.99861111111)</f>
        <v>41898.99861</v>
      </c>
      <c r="B1447" s="1">
        <f>IFERROR(__xludf.DUMMYFUNCTION("""COMPUTED_VALUE"""),0.5743518456)</f>
        <v>0.5743518456</v>
      </c>
    </row>
    <row r="1448">
      <c r="A1448" s="3">
        <f>IFERROR(__xludf.DUMMYFUNCTION("""COMPUTED_VALUE"""),41899.99861111111)</f>
        <v>41899.99861</v>
      </c>
      <c r="B1448" s="1">
        <f>IFERROR(__xludf.DUMMYFUNCTION("""COMPUTED_VALUE"""),0.5683740352)</f>
        <v>0.5683740352</v>
      </c>
    </row>
    <row r="1449">
      <c r="A1449" s="3">
        <f>IFERROR(__xludf.DUMMYFUNCTION("""COMPUTED_VALUE"""),41900.99861111111)</f>
        <v>41900.99861</v>
      </c>
      <c r="B1449" s="1">
        <f>IFERROR(__xludf.DUMMYFUNCTION("""COMPUTED_VALUE"""),0.5746866995)</f>
        <v>0.5746866995</v>
      </c>
    </row>
    <row r="1450">
      <c r="A1450" s="3">
        <f>IFERROR(__xludf.DUMMYFUNCTION("""COMPUTED_VALUE"""),41901.99861111111)</f>
        <v>41901.99861</v>
      </c>
      <c r="B1450" s="1">
        <f>IFERROR(__xludf.DUMMYFUNCTION("""COMPUTED_VALUE"""),0.5719535988)</f>
        <v>0.5719535988</v>
      </c>
    </row>
    <row r="1451">
      <c r="A1451" s="3">
        <f>IFERROR(__xludf.DUMMYFUNCTION("""COMPUTED_VALUE"""),41902.99861111111)</f>
        <v>41902.99861</v>
      </c>
      <c r="B1451" s="1">
        <f>IFERROR(__xludf.DUMMYFUNCTION("""COMPUTED_VALUE"""),0.5730488278)</f>
        <v>0.5730488278</v>
      </c>
    </row>
    <row r="1452">
      <c r="A1452" s="3">
        <f>IFERROR(__xludf.DUMMYFUNCTION("""COMPUTED_VALUE"""),41904.99861111111)</f>
        <v>41904.99861</v>
      </c>
      <c r="B1452" s="1">
        <f>IFERROR(__xludf.DUMMYFUNCTION("""COMPUTED_VALUE"""),0.5737257679)</f>
        <v>0.5737257679</v>
      </c>
    </row>
    <row r="1453">
      <c r="A1453" s="3">
        <f>IFERROR(__xludf.DUMMYFUNCTION("""COMPUTED_VALUE"""),41905.99861111111)</f>
        <v>41905.99861</v>
      </c>
      <c r="B1453" s="1">
        <f>IFERROR(__xludf.DUMMYFUNCTION("""COMPUTED_VALUE"""),0.5708154488)</f>
        <v>0.5708154488</v>
      </c>
    </row>
    <row r="1454">
      <c r="A1454" s="3">
        <f>IFERROR(__xludf.DUMMYFUNCTION("""COMPUTED_VALUE"""),41906.99861111111)</f>
        <v>41906.99861</v>
      </c>
      <c r="B1454" s="1">
        <f>IFERROR(__xludf.DUMMYFUNCTION("""COMPUTED_VALUE"""),0.5685247667)</f>
        <v>0.5685247667</v>
      </c>
    </row>
    <row r="1455">
      <c r="A1455" s="3">
        <f>IFERROR(__xludf.DUMMYFUNCTION("""COMPUTED_VALUE"""),41907.99861111111)</f>
        <v>41907.99861</v>
      </c>
      <c r="B1455" s="1">
        <f>IFERROR(__xludf.DUMMYFUNCTION("""COMPUTED_VALUE"""),0.5741264416)</f>
        <v>0.5741264416</v>
      </c>
    </row>
    <row r="1456">
      <c r="A1456" s="3">
        <f>IFERROR(__xludf.DUMMYFUNCTION("""COMPUTED_VALUE"""),41908.99861111111)</f>
        <v>41908.99861</v>
      </c>
      <c r="B1456" s="1">
        <f>IFERROR(__xludf.DUMMYFUNCTION("""COMPUTED_VALUE"""),0.5737275522)</f>
        <v>0.5737275522</v>
      </c>
    </row>
    <row r="1457">
      <c r="A1457" s="3">
        <f>IFERROR(__xludf.DUMMYFUNCTION("""COMPUTED_VALUE"""),41909.99861111111)</f>
        <v>41909.99861</v>
      </c>
      <c r="B1457" s="1">
        <f>IFERROR(__xludf.DUMMYFUNCTION("""COMPUTED_VALUE"""),0.57433318)</f>
        <v>0.57433318</v>
      </c>
    </row>
    <row r="1458">
      <c r="A1458" s="3">
        <f>IFERROR(__xludf.DUMMYFUNCTION("""COMPUTED_VALUE"""),41910.99861111111)</f>
        <v>41910.99861</v>
      </c>
      <c r="B1458" s="1">
        <f>IFERROR(__xludf.DUMMYFUNCTION("""COMPUTED_VALUE"""),0.57433318)</f>
        <v>0.57433318</v>
      </c>
    </row>
    <row r="1459">
      <c r="A1459" s="3">
        <f>IFERROR(__xludf.DUMMYFUNCTION("""COMPUTED_VALUE"""),41911.99861111111)</f>
        <v>41911.99861</v>
      </c>
      <c r="B1459" s="1">
        <f>IFERROR(__xludf.DUMMYFUNCTION("""COMPUTED_VALUE"""),0.5809291332)</f>
        <v>0.5809291332</v>
      </c>
    </row>
    <row r="1460">
      <c r="A1460" s="3">
        <f>IFERROR(__xludf.DUMMYFUNCTION("""COMPUTED_VALUE"""),41912.99861111111)</f>
        <v>41912.99861</v>
      </c>
      <c r="B1460" s="1">
        <f>IFERROR(__xludf.DUMMYFUNCTION("""COMPUTED_VALUE"""),0.5839328452)</f>
        <v>0.5839328452</v>
      </c>
    </row>
    <row r="1461">
      <c r="A1461" s="3">
        <f>IFERROR(__xludf.DUMMYFUNCTION("""COMPUTED_VALUE"""),41913.99861111111)</f>
        <v>41913.99861</v>
      </c>
      <c r="B1461" s="1">
        <f>IFERROR(__xludf.DUMMYFUNCTION("""COMPUTED_VALUE"""),0.580716193)</f>
        <v>0.580716193</v>
      </c>
    </row>
    <row r="1462">
      <c r="A1462" s="3">
        <f>IFERROR(__xludf.DUMMYFUNCTION("""COMPUTED_VALUE"""),41914.99861111111)</f>
        <v>41914.99861</v>
      </c>
      <c r="B1462" s="1">
        <f>IFERROR(__xludf.DUMMYFUNCTION("""COMPUTED_VALUE"""),0.5784973894)</f>
        <v>0.5784973894</v>
      </c>
    </row>
    <row r="1463">
      <c r="A1463" s="3">
        <f>IFERROR(__xludf.DUMMYFUNCTION("""COMPUTED_VALUE"""),41915.99861111111)</f>
        <v>41915.99861</v>
      </c>
      <c r="B1463" s="1">
        <f>IFERROR(__xludf.DUMMYFUNCTION("""COMPUTED_VALUE"""),0.5762334967)</f>
        <v>0.5762334967</v>
      </c>
    </row>
    <row r="1464">
      <c r="A1464" s="3">
        <f>IFERROR(__xludf.DUMMYFUNCTION("""COMPUTED_VALUE"""),41916.99861111111)</f>
        <v>41916.99861</v>
      </c>
      <c r="B1464" s="1">
        <f>IFERROR(__xludf.DUMMYFUNCTION("""COMPUTED_VALUE"""),0.5769560418)</f>
        <v>0.5769560418</v>
      </c>
    </row>
    <row r="1465">
      <c r="A1465" s="3">
        <f>IFERROR(__xludf.DUMMYFUNCTION("""COMPUTED_VALUE"""),41918.99861111111)</f>
        <v>41918.99861</v>
      </c>
      <c r="B1465" s="1">
        <f>IFERROR(__xludf.DUMMYFUNCTION("""COMPUTED_VALUE"""),0.5843274872)</f>
        <v>0.5843274872</v>
      </c>
    </row>
    <row r="1466">
      <c r="A1466" s="3">
        <f>IFERROR(__xludf.DUMMYFUNCTION("""COMPUTED_VALUE"""),41919.99861111111)</f>
        <v>41919.99861</v>
      </c>
      <c r="B1466" s="1">
        <f>IFERROR(__xludf.DUMMYFUNCTION("""COMPUTED_VALUE"""),0.5861920028)</f>
        <v>0.5861920028</v>
      </c>
    </row>
    <row r="1467">
      <c r="A1467" s="3">
        <f>IFERROR(__xludf.DUMMYFUNCTION("""COMPUTED_VALUE"""),41920.99861111111)</f>
        <v>41920.99861</v>
      </c>
      <c r="B1467" s="1">
        <f>IFERROR(__xludf.DUMMYFUNCTION("""COMPUTED_VALUE"""),0.5829831899)</f>
        <v>0.5829831899</v>
      </c>
    </row>
    <row r="1468">
      <c r="A1468" s="3">
        <f>IFERROR(__xludf.DUMMYFUNCTION("""COMPUTED_VALUE"""),41921.99861111111)</f>
        <v>41921.99861</v>
      </c>
      <c r="B1468" s="1">
        <f>IFERROR(__xludf.DUMMYFUNCTION("""COMPUTED_VALUE"""),0.5799914353)</f>
        <v>0.5799914353</v>
      </c>
    </row>
    <row r="1469">
      <c r="A1469" s="3">
        <f>IFERROR(__xludf.DUMMYFUNCTION("""COMPUTED_VALUE"""),41922.99861111111)</f>
        <v>41922.99861</v>
      </c>
      <c r="B1469" s="1">
        <f>IFERROR(__xludf.DUMMYFUNCTION("""COMPUTED_VALUE"""),0.582204839)</f>
        <v>0.582204839</v>
      </c>
    </row>
    <row r="1470">
      <c r="A1470" s="3">
        <f>IFERROR(__xludf.DUMMYFUNCTION("""COMPUTED_VALUE"""),41923.99861111111)</f>
        <v>41923.99861</v>
      </c>
      <c r="B1470" s="1">
        <f>IFERROR(__xludf.DUMMYFUNCTION("""COMPUTED_VALUE"""),0.5828611538)</f>
        <v>0.5828611538</v>
      </c>
    </row>
    <row r="1471">
      <c r="A1471" s="3">
        <f>IFERROR(__xludf.DUMMYFUNCTION("""COMPUTED_VALUE"""),41924.99861111111)</f>
        <v>41924.99861</v>
      </c>
      <c r="B1471" s="1">
        <f>IFERROR(__xludf.DUMMYFUNCTION("""COMPUTED_VALUE"""),0.5828611538)</f>
        <v>0.5828611538</v>
      </c>
    </row>
    <row r="1472">
      <c r="A1472" s="3">
        <f>IFERROR(__xludf.DUMMYFUNCTION("""COMPUTED_VALUE"""),41925.99861111111)</f>
        <v>41925.99861</v>
      </c>
      <c r="B1472" s="1">
        <f>IFERROR(__xludf.DUMMYFUNCTION("""COMPUTED_VALUE"""),0.5864538658)</f>
        <v>0.5864538658</v>
      </c>
    </row>
    <row r="1473">
      <c r="A1473" s="3">
        <f>IFERROR(__xludf.DUMMYFUNCTION("""COMPUTED_VALUE"""),41926.99861111111)</f>
        <v>41926.99861</v>
      </c>
      <c r="B1473" s="1">
        <f>IFERROR(__xludf.DUMMYFUNCTION("""COMPUTED_VALUE"""),0.5836642854)</f>
        <v>0.5836642854</v>
      </c>
    </row>
    <row r="1474">
      <c r="A1474" s="3">
        <f>IFERROR(__xludf.DUMMYFUNCTION("""COMPUTED_VALUE"""),41927.99861111111)</f>
        <v>41927.99861</v>
      </c>
      <c r="B1474" s="1">
        <f>IFERROR(__xludf.DUMMYFUNCTION("""COMPUTED_VALUE"""),0.592680557)</f>
        <v>0.592680557</v>
      </c>
    </row>
    <row r="1475">
      <c r="A1475" s="3">
        <f>IFERROR(__xludf.DUMMYFUNCTION("""COMPUTED_VALUE"""),41928.99861111111)</f>
        <v>41928.99861</v>
      </c>
      <c r="B1475" s="1">
        <f>IFERROR(__xludf.DUMMYFUNCTION("""COMPUTED_VALUE"""),0.586201929)</f>
        <v>0.586201929</v>
      </c>
    </row>
    <row r="1476">
      <c r="A1476" s="3">
        <f>IFERROR(__xludf.DUMMYFUNCTION("""COMPUTED_VALUE"""),41929.99861111111)</f>
        <v>41929.99861</v>
      </c>
      <c r="B1476" s="1">
        <f>IFERROR(__xludf.DUMMYFUNCTION("""COMPUTED_VALUE"""),0.5782407122)</f>
        <v>0.5782407122</v>
      </c>
    </row>
    <row r="1477">
      <c r="A1477" s="3">
        <f>IFERROR(__xludf.DUMMYFUNCTION("""COMPUTED_VALUE"""),41932.99861111111)</f>
        <v>41932.99861</v>
      </c>
      <c r="B1477" s="1">
        <f>IFERROR(__xludf.DUMMYFUNCTION("""COMPUTED_VALUE"""),0.5738432877)</f>
        <v>0.5738432877</v>
      </c>
    </row>
    <row r="1478">
      <c r="A1478" s="3">
        <f>IFERROR(__xludf.DUMMYFUNCTION("""COMPUTED_VALUE"""),41933.99861111111)</f>
        <v>41933.99861</v>
      </c>
      <c r="B1478" s="1">
        <f>IFERROR(__xludf.DUMMYFUNCTION("""COMPUTED_VALUE"""),0.5702935359)</f>
        <v>0.5702935359</v>
      </c>
    </row>
    <row r="1479">
      <c r="A1479" s="3">
        <f>IFERROR(__xludf.DUMMYFUNCTION("""COMPUTED_VALUE"""),41934.99861111111)</f>
        <v>41934.99861</v>
      </c>
      <c r="B1479" s="1">
        <f>IFERROR(__xludf.DUMMYFUNCTION("""COMPUTED_VALUE"""),0.5732331644)</f>
        <v>0.5732331644</v>
      </c>
    </row>
    <row r="1480">
      <c r="A1480" s="3">
        <f>IFERROR(__xludf.DUMMYFUNCTION("""COMPUTED_VALUE"""),41935.99861111111)</f>
        <v>41935.99861</v>
      </c>
      <c r="B1480" s="1">
        <f>IFERROR(__xludf.DUMMYFUNCTION("""COMPUTED_VALUE"""),0.5745674593)</f>
        <v>0.5745674593</v>
      </c>
    </row>
    <row r="1481">
      <c r="A1481" s="3">
        <f>IFERROR(__xludf.DUMMYFUNCTION("""COMPUTED_VALUE"""),41936.99861111111)</f>
        <v>41936.99861</v>
      </c>
      <c r="B1481" s="1">
        <f>IFERROR(__xludf.DUMMYFUNCTION("""COMPUTED_VALUE"""),0.5769230691)</f>
        <v>0.5769230691</v>
      </c>
    </row>
    <row r="1482">
      <c r="A1482" s="3">
        <f>IFERROR(__xludf.DUMMYFUNCTION("""COMPUTED_VALUE"""),41937.99861111111)</f>
        <v>41937.99861</v>
      </c>
      <c r="B1482" s="1">
        <f>IFERROR(__xludf.DUMMYFUNCTION("""COMPUTED_VALUE"""),0.5777024389)</f>
        <v>0.5777024389</v>
      </c>
    </row>
    <row r="1483">
      <c r="A1483" s="3">
        <f>IFERROR(__xludf.DUMMYFUNCTION("""COMPUTED_VALUE"""),41939.99861111111)</f>
        <v>41939.99861</v>
      </c>
      <c r="B1483" s="1">
        <f>IFERROR(__xludf.DUMMYFUNCTION("""COMPUTED_VALUE"""),0.5781727754)</f>
        <v>0.5781727754</v>
      </c>
    </row>
    <row r="1484">
      <c r="A1484" s="3">
        <f>IFERROR(__xludf.DUMMYFUNCTION("""COMPUTED_VALUE"""),41940.99861111111)</f>
        <v>41940.99861</v>
      </c>
      <c r="B1484" s="1">
        <f>IFERROR(__xludf.DUMMYFUNCTION("""COMPUTED_VALUE"""),0.5806065775)</f>
        <v>0.5806065775</v>
      </c>
    </row>
    <row r="1485">
      <c r="A1485" s="3">
        <f>IFERROR(__xludf.DUMMYFUNCTION("""COMPUTED_VALUE"""),41941.99861111111)</f>
        <v>41941.99861</v>
      </c>
      <c r="B1485" s="1">
        <f>IFERROR(__xludf.DUMMYFUNCTION("""COMPUTED_VALUE"""),0.572673444)</f>
        <v>0.572673444</v>
      </c>
    </row>
    <row r="1486">
      <c r="A1486" s="3">
        <f>IFERROR(__xludf.DUMMYFUNCTION("""COMPUTED_VALUE"""),41942.99861111111)</f>
        <v>41942.99861</v>
      </c>
      <c r="B1486" s="1">
        <f>IFERROR(__xludf.DUMMYFUNCTION("""COMPUTED_VALUE"""),0.5797585489)</f>
        <v>0.5797585489</v>
      </c>
    </row>
    <row r="1487">
      <c r="A1487" s="3">
        <f>IFERROR(__xludf.DUMMYFUNCTION("""COMPUTED_VALUE"""),41943.99861111111)</f>
        <v>41943.99861</v>
      </c>
      <c r="B1487" s="1">
        <f>IFERROR(__xludf.DUMMYFUNCTION("""COMPUTED_VALUE"""),0.5731788323)</f>
        <v>0.5731788323</v>
      </c>
    </row>
    <row r="1488">
      <c r="A1488" s="3">
        <f>IFERROR(__xludf.DUMMYFUNCTION("""COMPUTED_VALUE"""),41944.99861111111)</f>
        <v>41944.99861</v>
      </c>
      <c r="B1488" s="1">
        <f>IFERROR(__xludf.DUMMYFUNCTION("""COMPUTED_VALUE"""),0.5742183422)</f>
        <v>0.5742183422</v>
      </c>
    </row>
    <row r="1489">
      <c r="A1489" s="3">
        <f>IFERROR(__xludf.DUMMYFUNCTION("""COMPUTED_VALUE"""),41945.99861111111)</f>
        <v>41945.99861</v>
      </c>
      <c r="B1489" s="1">
        <f>IFERROR(__xludf.DUMMYFUNCTION("""COMPUTED_VALUE"""),0.5742183422)</f>
        <v>0.5742183422</v>
      </c>
    </row>
    <row r="1490">
      <c r="A1490" s="3">
        <f>IFERROR(__xludf.DUMMYFUNCTION("""COMPUTED_VALUE"""),41946.99861111111)</f>
        <v>41946.99861</v>
      </c>
      <c r="B1490" s="1">
        <f>IFERROR(__xludf.DUMMYFUNCTION("""COMPUTED_VALUE"""),0.5692054474)</f>
        <v>0.5692054474</v>
      </c>
    </row>
    <row r="1491">
      <c r="A1491" s="3">
        <f>IFERROR(__xludf.DUMMYFUNCTION("""COMPUTED_VALUE"""),41947.99861111111)</f>
        <v>41947.99861</v>
      </c>
      <c r="B1491" s="1">
        <f>IFERROR(__xludf.DUMMYFUNCTION("""COMPUTED_VALUE"""),0.5790933336)</f>
        <v>0.5790933336</v>
      </c>
    </row>
    <row r="1492">
      <c r="A1492" s="3">
        <f>IFERROR(__xludf.DUMMYFUNCTION("""COMPUTED_VALUE"""),41948.99861111111)</f>
        <v>41948.99861</v>
      </c>
      <c r="B1492" s="1">
        <f>IFERROR(__xludf.DUMMYFUNCTION("""COMPUTED_VALUE"""),0.5814508741)</f>
        <v>0.5814508741</v>
      </c>
    </row>
    <row r="1493">
      <c r="A1493" s="3">
        <f>IFERROR(__xludf.DUMMYFUNCTION("""COMPUTED_VALUE"""),41949.99861111111)</f>
        <v>41949.99861</v>
      </c>
      <c r="B1493" s="1">
        <f>IFERROR(__xludf.DUMMYFUNCTION("""COMPUTED_VALUE"""),0.5730050929)</f>
        <v>0.5730050929</v>
      </c>
    </row>
    <row r="1494">
      <c r="A1494" s="3">
        <f>IFERROR(__xludf.DUMMYFUNCTION("""COMPUTED_VALUE"""),41950.99861111111)</f>
        <v>41950.99861</v>
      </c>
      <c r="B1494" s="1">
        <f>IFERROR(__xludf.DUMMYFUNCTION("""COMPUTED_VALUE"""),0.5834012117)</f>
        <v>0.5834012117</v>
      </c>
    </row>
    <row r="1495">
      <c r="A1495" s="3">
        <f>IFERROR(__xludf.DUMMYFUNCTION("""COMPUTED_VALUE"""),41953.99861111111)</f>
        <v>41953.99861</v>
      </c>
      <c r="B1495" s="1">
        <f>IFERROR(__xludf.DUMMYFUNCTION("""COMPUTED_VALUE"""),0.5777914985)</f>
        <v>0.5777914985</v>
      </c>
    </row>
    <row r="1496">
      <c r="A1496" s="3">
        <f>IFERROR(__xludf.DUMMYFUNCTION("""COMPUTED_VALUE"""),41954.99861111111)</f>
        <v>41954.99861</v>
      </c>
      <c r="B1496" s="1">
        <f>IFERROR(__xludf.DUMMYFUNCTION("""COMPUTED_VALUE"""),0.5811212215)</f>
        <v>0.5811212215</v>
      </c>
    </row>
    <row r="1497">
      <c r="A1497" s="3">
        <f>IFERROR(__xludf.DUMMYFUNCTION("""COMPUTED_VALUE"""),41955.99861111111)</f>
        <v>41955.99861</v>
      </c>
      <c r="B1497" s="1">
        <f>IFERROR(__xludf.DUMMYFUNCTION("""COMPUTED_VALUE"""),0.5798087363)</f>
        <v>0.5798087363</v>
      </c>
    </row>
    <row r="1498">
      <c r="A1498" s="3">
        <f>IFERROR(__xludf.DUMMYFUNCTION("""COMPUTED_VALUE"""),41956.99861111111)</f>
        <v>41956.99861</v>
      </c>
      <c r="B1498" s="1">
        <f>IFERROR(__xludf.DUMMYFUNCTION("""COMPUTED_VALUE"""),0.5807481468)</f>
        <v>0.5807481468</v>
      </c>
    </row>
    <row r="1499">
      <c r="A1499" s="3">
        <f>IFERROR(__xludf.DUMMYFUNCTION("""COMPUTED_VALUE"""),41957.99861111111)</f>
        <v>41957.99861</v>
      </c>
      <c r="B1499" s="1">
        <f>IFERROR(__xludf.DUMMYFUNCTION("""COMPUTED_VALUE"""),0.5846551954)</f>
        <v>0.5846551954</v>
      </c>
    </row>
    <row r="1500">
      <c r="A1500" s="3">
        <f>IFERROR(__xludf.DUMMYFUNCTION("""COMPUTED_VALUE"""),41958.99861111111)</f>
        <v>41958.99861</v>
      </c>
      <c r="B1500" s="1">
        <f>IFERROR(__xludf.DUMMYFUNCTION("""COMPUTED_VALUE"""),0.5857937556)</f>
        <v>0.5857937556</v>
      </c>
    </row>
    <row r="1501">
      <c r="A1501" s="3">
        <f>IFERROR(__xludf.DUMMYFUNCTION("""COMPUTED_VALUE"""),41959.99861111111)</f>
        <v>41959.99861</v>
      </c>
      <c r="B1501" s="1">
        <f>IFERROR(__xludf.DUMMYFUNCTION("""COMPUTED_VALUE"""),0.5857937556)</f>
        <v>0.5857937556</v>
      </c>
    </row>
    <row r="1502">
      <c r="A1502" s="3">
        <f>IFERROR(__xludf.DUMMYFUNCTION("""COMPUTED_VALUE"""),41960.99861111111)</f>
        <v>41960.99861</v>
      </c>
      <c r="B1502" s="1">
        <f>IFERROR(__xludf.DUMMYFUNCTION("""COMPUTED_VALUE"""),0.5781812913)</f>
        <v>0.5781812913</v>
      </c>
    </row>
    <row r="1503">
      <c r="A1503" s="3">
        <f>IFERROR(__xludf.DUMMYFUNCTION("""COMPUTED_VALUE"""),41961.99861111111)</f>
        <v>41961.99861</v>
      </c>
      <c r="B1503" s="1">
        <f>IFERROR(__xludf.DUMMYFUNCTION("""COMPUTED_VALUE"""),0.5756539811)</f>
        <v>0.5756539811</v>
      </c>
    </row>
    <row r="1504">
      <c r="A1504" s="3">
        <f>IFERROR(__xludf.DUMMYFUNCTION("""COMPUTED_VALUE"""),41962.99861111111)</f>
        <v>41962.99861</v>
      </c>
      <c r="B1504" s="1">
        <f>IFERROR(__xludf.DUMMYFUNCTION("""COMPUTED_VALUE"""),0.575627842)</f>
        <v>0.575627842</v>
      </c>
    </row>
    <row r="1505">
      <c r="A1505" s="3">
        <f>IFERROR(__xludf.DUMMYFUNCTION("""COMPUTED_VALUE"""),41963.99861111111)</f>
        <v>41963.99861</v>
      </c>
      <c r="B1505" s="1">
        <f>IFERROR(__xludf.DUMMYFUNCTION("""COMPUTED_VALUE"""),0.5772121752)</f>
        <v>0.5772121752</v>
      </c>
    </row>
    <row r="1506">
      <c r="A1506" s="3">
        <f>IFERROR(__xludf.DUMMYFUNCTION("""COMPUTED_VALUE"""),41964.99861111111)</f>
        <v>41964.99861</v>
      </c>
      <c r="B1506" s="1">
        <f>IFERROR(__xludf.DUMMYFUNCTION("""COMPUTED_VALUE"""),0.5767183136)</f>
        <v>0.5767183136</v>
      </c>
    </row>
    <row r="1507">
      <c r="A1507" s="3">
        <f>IFERROR(__xludf.DUMMYFUNCTION("""COMPUTED_VALUE"""),41967.99861111111)</f>
        <v>41967.99861</v>
      </c>
      <c r="B1507" s="1">
        <f>IFERROR(__xludf.DUMMYFUNCTION("""COMPUTED_VALUE"""),0.5782299883)</f>
        <v>0.5782299883</v>
      </c>
    </row>
    <row r="1508">
      <c r="A1508" s="3">
        <f>IFERROR(__xludf.DUMMYFUNCTION("""COMPUTED_VALUE"""),41968.99861111111)</f>
        <v>41968.99861</v>
      </c>
      <c r="B1508" s="1">
        <f>IFERROR(__xludf.DUMMYFUNCTION("""COMPUTED_VALUE"""),0.5777343917)</f>
        <v>0.5777343917</v>
      </c>
    </row>
    <row r="1509">
      <c r="A1509" s="3">
        <f>IFERROR(__xludf.DUMMYFUNCTION("""COMPUTED_VALUE"""),41969.99861111111)</f>
        <v>41969.99861</v>
      </c>
      <c r="B1509" s="1">
        <f>IFERROR(__xludf.DUMMYFUNCTION("""COMPUTED_VALUE"""),0.5802316087)</f>
        <v>0.5802316087</v>
      </c>
    </row>
    <row r="1510">
      <c r="A1510" s="3">
        <f>IFERROR(__xludf.DUMMYFUNCTION("""COMPUTED_VALUE"""),41970.99861111111)</f>
        <v>41970.99861</v>
      </c>
      <c r="B1510" s="1">
        <f>IFERROR(__xludf.DUMMYFUNCTION("""COMPUTED_VALUE"""),0.5770142067)</f>
        <v>0.5770142067</v>
      </c>
    </row>
    <row r="1511">
      <c r="A1511" s="3">
        <f>IFERROR(__xludf.DUMMYFUNCTION("""COMPUTED_VALUE"""),41971.99861111111)</f>
        <v>41971.99861</v>
      </c>
      <c r="B1511" s="1">
        <f>IFERROR(__xludf.DUMMYFUNCTION("""COMPUTED_VALUE"""),0.5778357757)</f>
        <v>0.5778357757</v>
      </c>
    </row>
    <row r="1512">
      <c r="A1512" s="3">
        <f>IFERROR(__xludf.DUMMYFUNCTION("""COMPUTED_VALUE"""),41974.99861111111)</f>
        <v>41974.99861</v>
      </c>
      <c r="B1512" s="1">
        <f>IFERROR(__xludf.DUMMYFUNCTION("""COMPUTED_VALUE"""),0.5829181394)</f>
        <v>0.5829181394</v>
      </c>
    </row>
    <row r="1513">
      <c r="A1513" s="3">
        <f>IFERROR(__xludf.DUMMYFUNCTION("""COMPUTED_VALUE"""),41975.99861111111)</f>
        <v>41975.99861</v>
      </c>
      <c r="B1513" s="1">
        <f>IFERROR(__xludf.DUMMYFUNCTION("""COMPUTED_VALUE"""),0.5806314341)</f>
        <v>0.5806314341</v>
      </c>
    </row>
    <row r="1514">
      <c r="A1514" s="3">
        <f>IFERROR(__xludf.DUMMYFUNCTION("""COMPUTED_VALUE"""),41976.99861111111)</f>
        <v>41976.99861</v>
      </c>
      <c r="B1514" s="1">
        <f>IFERROR(__xludf.DUMMYFUNCTION("""COMPUTED_VALUE"""),0.5839988508)</f>
        <v>0.5839988508</v>
      </c>
    </row>
    <row r="1515">
      <c r="A1515" s="3">
        <f>IFERROR(__xludf.DUMMYFUNCTION("""COMPUTED_VALUE"""),41977.99861111111)</f>
        <v>41977.99861</v>
      </c>
      <c r="B1515" s="1">
        <f>IFERROR(__xludf.DUMMYFUNCTION("""COMPUTED_VALUE"""),0.5846659018)</f>
        <v>0.5846659018</v>
      </c>
    </row>
    <row r="1516">
      <c r="A1516" s="3">
        <f>IFERROR(__xludf.DUMMYFUNCTION("""COMPUTED_VALUE"""),41978.99861111111)</f>
        <v>41978.99861</v>
      </c>
      <c r="B1516" s="1">
        <f>IFERROR(__xludf.DUMMYFUNCTION("""COMPUTED_VALUE"""),0.5846937273)</f>
        <v>0.5846937273</v>
      </c>
    </row>
    <row r="1517">
      <c r="A1517" s="3">
        <f>IFERROR(__xludf.DUMMYFUNCTION("""COMPUTED_VALUE"""),41981.99861111111)</f>
        <v>41981.99861</v>
      </c>
      <c r="B1517" s="1">
        <f>IFERROR(__xludf.DUMMYFUNCTION("""COMPUTED_VALUE"""),0.5846380762)</f>
        <v>0.5846380762</v>
      </c>
    </row>
    <row r="1518">
      <c r="A1518" s="3">
        <f>IFERROR(__xludf.DUMMYFUNCTION("""COMPUTED_VALUE"""),41982.99861111111)</f>
        <v>41982.99861</v>
      </c>
      <c r="B1518" s="1">
        <f>IFERROR(__xludf.DUMMYFUNCTION("""COMPUTED_VALUE"""),0.5843599807)</f>
        <v>0.5843599807</v>
      </c>
    </row>
    <row r="1519">
      <c r="A1519" s="3">
        <f>IFERROR(__xludf.DUMMYFUNCTION("""COMPUTED_VALUE"""),41983.99861111111)</f>
        <v>41983.99861</v>
      </c>
      <c r="B1519" s="1">
        <f>IFERROR(__xludf.DUMMYFUNCTION("""COMPUTED_VALUE"""),0.5834995639)</f>
        <v>0.5834995639</v>
      </c>
    </row>
    <row r="1520">
      <c r="A1520" s="3">
        <f>IFERROR(__xludf.DUMMYFUNCTION("""COMPUTED_VALUE"""),41984.99861111111)</f>
        <v>41984.99861</v>
      </c>
      <c r="B1520" s="1">
        <f>IFERROR(__xludf.DUMMYFUNCTION("""COMPUTED_VALUE"""),0.5919258977)</f>
        <v>0.5919258977</v>
      </c>
    </row>
    <row r="1521">
      <c r="A1521" s="3">
        <f>IFERROR(__xludf.DUMMYFUNCTION("""COMPUTED_VALUE"""),41985.99861111111)</f>
        <v>41985.99861</v>
      </c>
      <c r="B1521" s="1">
        <f>IFERROR(__xludf.DUMMYFUNCTION("""COMPUTED_VALUE"""),0.5985761645)</f>
        <v>0.5985761645</v>
      </c>
    </row>
    <row r="1522">
      <c r="A1522" s="3">
        <f>IFERROR(__xludf.DUMMYFUNCTION("""COMPUTED_VALUE"""),41988.99861111111)</f>
        <v>41988.99861</v>
      </c>
      <c r="B1522" s="1">
        <f>IFERROR(__xludf.DUMMYFUNCTION("""COMPUTED_VALUE"""),0.6102773528)</f>
        <v>0.6102773528</v>
      </c>
    </row>
    <row r="1523">
      <c r="A1523" s="3">
        <f>IFERROR(__xludf.DUMMYFUNCTION("""COMPUTED_VALUE"""),41989.99861111111)</f>
        <v>41989.99861</v>
      </c>
      <c r="B1523" s="1">
        <f>IFERROR(__xludf.DUMMYFUNCTION("""COMPUTED_VALUE"""),0.6033336424)</f>
        <v>0.6033336424</v>
      </c>
    </row>
    <row r="1524">
      <c r="A1524" s="3">
        <f>IFERROR(__xludf.DUMMYFUNCTION("""COMPUTED_VALUE"""),41990.99861111111)</f>
        <v>41990.99861</v>
      </c>
      <c r="B1524" s="1">
        <f>IFERROR(__xludf.DUMMYFUNCTION("""COMPUTED_VALUE"""),0.6016711672)</f>
        <v>0.6016711672</v>
      </c>
    </row>
    <row r="1525">
      <c r="A1525" s="3">
        <f>IFERROR(__xludf.DUMMYFUNCTION("""COMPUTED_VALUE"""),41991.99861111111)</f>
        <v>41991.99861</v>
      </c>
      <c r="B1525" s="1">
        <f>IFERROR(__xludf.DUMMYFUNCTION("""COMPUTED_VALUE"""),0.5920584384)</f>
        <v>0.5920584384</v>
      </c>
    </row>
    <row r="1526">
      <c r="A1526" s="3">
        <f>IFERROR(__xludf.DUMMYFUNCTION("""COMPUTED_VALUE"""),41992.99861111111)</f>
        <v>41992.99861</v>
      </c>
      <c r="B1526" s="1">
        <f>IFERROR(__xludf.DUMMYFUNCTION("""COMPUTED_VALUE"""),0.5872269604)</f>
        <v>0.5872269604</v>
      </c>
    </row>
    <row r="1527">
      <c r="A1527" s="3">
        <f>IFERROR(__xludf.DUMMYFUNCTION("""COMPUTED_VALUE"""),41995.99861111111)</f>
        <v>41995.99861</v>
      </c>
      <c r="B1527" s="1">
        <f>IFERROR(__xludf.DUMMYFUNCTION("""COMPUTED_VALUE"""),0.5918677555)</f>
        <v>0.5918677555</v>
      </c>
    </row>
    <row r="1528">
      <c r="A1528" s="3">
        <f>IFERROR(__xludf.DUMMYFUNCTION("""COMPUTED_VALUE"""),41996.99861111111)</f>
        <v>41996.99861</v>
      </c>
      <c r="B1528" s="1">
        <f>IFERROR(__xludf.DUMMYFUNCTION("""COMPUTED_VALUE"""),0.5893102912)</f>
        <v>0.5893102912</v>
      </c>
    </row>
    <row r="1529">
      <c r="A1529" s="3">
        <f>IFERROR(__xludf.DUMMYFUNCTION("""COMPUTED_VALUE"""),41997.99861111111)</f>
        <v>41997.99861</v>
      </c>
      <c r="B1529" s="1">
        <f>IFERROR(__xludf.DUMMYFUNCTION("""COMPUTED_VALUE"""),0.5921458684)</f>
        <v>0.5921458684</v>
      </c>
    </row>
    <row r="1530">
      <c r="A1530" s="3">
        <f>IFERROR(__xludf.DUMMYFUNCTION("""COMPUTED_VALUE"""),41998.99861111111)</f>
        <v>41998.99861</v>
      </c>
      <c r="B1530" s="1">
        <f>IFERROR(__xludf.DUMMYFUNCTION("""COMPUTED_VALUE"""),0.5835283003)</f>
        <v>0.5835283003</v>
      </c>
    </row>
    <row r="1531">
      <c r="A1531" s="3">
        <f>IFERROR(__xludf.DUMMYFUNCTION("""COMPUTED_VALUE"""),41999.99861111111)</f>
        <v>41999.99861</v>
      </c>
      <c r="B1531" s="1">
        <f>IFERROR(__xludf.DUMMYFUNCTION("""COMPUTED_VALUE"""),0.5807206261)</f>
        <v>0.5807206261</v>
      </c>
    </row>
    <row r="1532">
      <c r="A1532" s="3">
        <f>IFERROR(__xludf.DUMMYFUNCTION("""COMPUTED_VALUE"""),42002.99861111111)</f>
        <v>42002.99861</v>
      </c>
      <c r="B1532" s="1">
        <f>IFERROR(__xludf.DUMMYFUNCTION("""COMPUTED_VALUE"""),0.5904181848)</f>
        <v>0.5904181848</v>
      </c>
    </row>
    <row r="1533">
      <c r="A1533" s="3">
        <f>IFERROR(__xludf.DUMMYFUNCTION("""COMPUTED_VALUE"""),42003.99861111111)</f>
        <v>42003.99861</v>
      </c>
      <c r="B1533" s="1">
        <f>IFERROR(__xludf.DUMMYFUNCTION("""COMPUTED_VALUE"""),0.589016401)</f>
        <v>0.589016401</v>
      </c>
    </row>
    <row r="1534">
      <c r="A1534" s="3">
        <f>IFERROR(__xludf.DUMMYFUNCTION("""COMPUTED_VALUE"""),42004.99861111111)</f>
        <v>42004.99861</v>
      </c>
      <c r="B1534" s="1">
        <f>IFERROR(__xludf.DUMMYFUNCTION("""COMPUTED_VALUE"""),0.5882632116)</f>
        <v>0.5882632116</v>
      </c>
    </row>
    <row r="1535">
      <c r="A1535" s="3">
        <f>IFERROR(__xludf.DUMMYFUNCTION("""COMPUTED_VALUE"""),42005.99861111111)</f>
        <v>42005.99861</v>
      </c>
      <c r="B1535" s="1">
        <f>IFERROR(__xludf.DUMMYFUNCTION("""COMPUTED_VALUE"""),0.5796491137)</f>
        <v>0.5796491137</v>
      </c>
    </row>
    <row r="1536">
      <c r="A1536" s="3">
        <f>IFERROR(__xludf.DUMMYFUNCTION("""COMPUTED_VALUE"""),42006.99861111111)</f>
        <v>42006.99861</v>
      </c>
      <c r="B1536" s="1">
        <f>IFERROR(__xludf.DUMMYFUNCTION("""COMPUTED_VALUE"""),0.5925081801)</f>
        <v>0.5925081801</v>
      </c>
    </row>
    <row r="1537">
      <c r="A1537" s="3">
        <f>IFERROR(__xludf.DUMMYFUNCTION("""COMPUTED_VALUE"""),42009.99861111111)</f>
        <v>42009.99861</v>
      </c>
      <c r="B1537" s="1">
        <f>IFERROR(__xludf.DUMMYFUNCTION("""COMPUTED_VALUE"""),0.5998764583)</f>
        <v>0.5998764583</v>
      </c>
    </row>
    <row r="1538">
      <c r="A1538" s="3">
        <f>IFERROR(__xludf.DUMMYFUNCTION("""COMPUTED_VALUE"""),42010.99861111111)</f>
        <v>42010.99861</v>
      </c>
      <c r="B1538" s="1">
        <f>IFERROR(__xludf.DUMMYFUNCTION("""COMPUTED_VALUE"""),0.598900314)</f>
        <v>0.598900314</v>
      </c>
    </row>
    <row r="1539">
      <c r="A1539" s="3">
        <f>IFERROR(__xludf.DUMMYFUNCTION("""COMPUTED_VALUE"""),42011.99861111111)</f>
        <v>42011.99861</v>
      </c>
      <c r="B1539" s="1">
        <f>IFERROR(__xludf.DUMMYFUNCTION("""COMPUTED_VALUE"""),0.6033296848)</f>
        <v>0.6033296848</v>
      </c>
    </row>
    <row r="1540">
      <c r="A1540" s="3">
        <f>IFERROR(__xludf.DUMMYFUNCTION("""COMPUTED_VALUE"""),42012.99861111111)</f>
        <v>42012.99861</v>
      </c>
      <c r="B1540" s="1">
        <f>IFERROR(__xludf.DUMMYFUNCTION("""COMPUTED_VALUE"""),0.5987369988)</f>
        <v>0.5987369988</v>
      </c>
    </row>
    <row r="1541">
      <c r="A1541" s="3">
        <f>IFERROR(__xludf.DUMMYFUNCTION("""COMPUTED_VALUE"""),42013.99861111111)</f>
        <v>42013.99861</v>
      </c>
      <c r="B1541" s="1">
        <f>IFERROR(__xludf.DUMMYFUNCTION("""COMPUTED_VALUE"""),0.5977355959)</f>
        <v>0.5977355959</v>
      </c>
    </row>
    <row r="1542">
      <c r="A1542" s="3">
        <f>IFERROR(__xludf.DUMMYFUNCTION("""COMPUTED_VALUE"""),42016.99861111111)</f>
        <v>42016.99861</v>
      </c>
      <c r="B1542" s="1">
        <f>IFERROR(__xludf.DUMMYFUNCTION("""COMPUTED_VALUE"""),0.5974310143)</f>
        <v>0.5974310143</v>
      </c>
    </row>
    <row r="1543">
      <c r="A1543" s="3">
        <f>IFERROR(__xludf.DUMMYFUNCTION("""COMPUTED_VALUE"""),42017.99861111111)</f>
        <v>42017.99861</v>
      </c>
      <c r="B1543" s="1">
        <f>IFERROR(__xludf.DUMMYFUNCTION("""COMPUTED_VALUE"""),0.5992382709)</f>
        <v>0.5992382709</v>
      </c>
    </row>
    <row r="1544">
      <c r="A1544" s="3">
        <f>IFERROR(__xludf.DUMMYFUNCTION("""COMPUTED_VALUE"""),42018.99861111111)</f>
        <v>42018.99861</v>
      </c>
      <c r="B1544" s="1">
        <f>IFERROR(__xludf.DUMMYFUNCTION("""COMPUTED_VALUE"""),0.5981134705)</f>
        <v>0.5981134705</v>
      </c>
    </row>
    <row r="1545">
      <c r="A1545" s="3">
        <f>IFERROR(__xludf.DUMMYFUNCTION("""COMPUTED_VALUE"""),42019.99861111111)</f>
        <v>42019.99861</v>
      </c>
      <c r="B1545" s="1">
        <f>IFERROR(__xludf.DUMMYFUNCTION("""COMPUTED_VALUE"""),0.5935640389)</f>
        <v>0.5935640389</v>
      </c>
    </row>
    <row r="1546">
      <c r="A1546" s="3">
        <f>IFERROR(__xludf.DUMMYFUNCTION("""COMPUTED_VALUE"""),42020.99861111111)</f>
        <v>42020.99861</v>
      </c>
      <c r="B1546" s="1">
        <f>IFERROR(__xludf.DUMMYFUNCTION("""COMPUTED_VALUE"""),0.5993901269)</f>
        <v>0.5993901269</v>
      </c>
    </row>
    <row r="1547">
      <c r="A1547" s="3">
        <f>IFERROR(__xludf.DUMMYFUNCTION("""COMPUTED_VALUE"""),42023.99861111111)</f>
        <v>42023.99861</v>
      </c>
      <c r="B1547" s="1">
        <f>IFERROR(__xludf.DUMMYFUNCTION("""COMPUTED_VALUE"""),0.6016291027)</f>
        <v>0.6016291027</v>
      </c>
    </row>
    <row r="1548">
      <c r="A1548" s="3">
        <f>IFERROR(__xludf.DUMMYFUNCTION("""COMPUTED_VALUE"""),42024.99861111111)</f>
        <v>42024.99861</v>
      </c>
      <c r="B1548" s="1">
        <f>IFERROR(__xludf.DUMMYFUNCTION("""COMPUTED_VALUE"""),0.5980765561)</f>
        <v>0.5980765561</v>
      </c>
    </row>
    <row r="1549">
      <c r="A1549" s="3">
        <f>IFERROR(__xludf.DUMMYFUNCTION("""COMPUTED_VALUE"""),42025.99861111111)</f>
        <v>42025.99861</v>
      </c>
      <c r="B1549" s="1">
        <f>IFERROR(__xludf.DUMMYFUNCTION("""COMPUTED_VALUE"""),0.5925556106)</f>
        <v>0.5925556106</v>
      </c>
    </row>
    <row r="1550">
      <c r="A1550" s="3">
        <f>IFERROR(__xludf.DUMMYFUNCTION("""COMPUTED_VALUE"""),42026.99861111111)</f>
        <v>42026.99861</v>
      </c>
      <c r="B1550" s="1">
        <f>IFERROR(__xludf.DUMMYFUNCTION("""COMPUTED_VALUE"""),0.5904612284)</f>
        <v>0.5904612284</v>
      </c>
    </row>
    <row r="1551">
      <c r="A1551" s="3">
        <f>IFERROR(__xludf.DUMMYFUNCTION("""COMPUTED_VALUE"""),42027.99861111111)</f>
        <v>42027.99861</v>
      </c>
      <c r="B1551" s="1">
        <f>IFERROR(__xludf.DUMMYFUNCTION("""COMPUTED_VALUE"""),0.593776876)</f>
        <v>0.593776876</v>
      </c>
    </row>
    <row r="1552">
      <c r="A1552" s="3">
        <f>IFERROR(__xludf.DUMMYFUNCTION("""COMPUTED_VALUE"""),42030.99861111111)</f>
        <v>42030.99861</v>
      </c>
      <c r="B1552" s="1">
        <f>IFERROR(__xludf.DUMMYFUNCTION("""COMPUTED_VALUE"""),0.5951291463)</f>
        <v>0.5951291463</v>
      </c>
    </row>
    <row r="1553">
      <c r="A1553" s="3">
        <f>IFERROR(__xludf.DUMMYFUNCTION("""COMPUTED_VALUE"""),42031.99861111111)</f>
        <v>42031.99861</v>
      </c>
      <c r="B1553" s="1">
        <f>IFERROR(__xludf.DUMMYFUNCTION("""COMPUTED_VALUE"""),0.5933940165)</f>
        <v>0.5933940165</v>
      </c>
    </row>
    <row r="1554">
      <c r="A1554" s="3">
        <f>IFERROR(__xludf.DUMMYFUNCTION("""COMPUTED_VALUE"""),42032.99861111111)</f>
        <v>42032.99861</v>
      </c>
      <c r="B1554" s="1">
        <f>IFERROR(__xludf.DUMMYFUNCTION("""COMPUTED_VALUE"""),0.5934343426)</f>
        <v>0.5934343426</v>
      </c>
    </row>
    <row r="1555">
      <c r="A1555" s="3">
        <f>IFERROR(__xludf.DUMMYFUNCTION("""COMPUTED_VALUE"""),42033.99861111111)</f>
        <v>42033.99861</v>
      </c>
      <c r="B1555" s="1">
        <f>IFERROR(__xludf.DUMMYFUNCTION("""COMPUTED_VALUE"""),0.5986854558)</f>
        <v>0.5986854558</v>
      </c>
    </row>
    <row r="1556">
      <c r="A1556" s="3">
        <f>IFERROR(__xludf.DUMMYFUNCTION("""COMPUTED_VALUE"""),42034.99861111111)</f>
        <v>42034.99861</v>
      </c>
      <c r="B1556" s="1">
        <f>IFERROR(__xludf.DUMMYFUNCTION("""COMPUTED_VALUE"""),0.6040618722)</f>
        <v>0.6040618722</v>
      </c>
    </row>
    <row r="1557">
      <c r="A1557" s="3">
        <f>IFERROR(__xludf.DUMMYFUNCTION("""COMPUTED_VALUE"""),42037.99861111111)</f>
        <v>42037.99861</v>
      </c>
      <c r="B1557" s="1">
        <f>IFERROR(__xludf.DUMMYFUNCTION("""COMPUTED_VALUE"""),0.6024010222)</f>
        <v>0.6024010222</v>
      </c>
    </row>
    <row r="1558">
      <c r="A1558" s="3">
        <f>IFERROR(__xludf.DUMMYFUNCTION("""COMPUTED_VALUE"""),42038.99861111111)</f>
        <v>42038.99861</v>
      </c>
      <c r="B1558" s="1">
        <f>IFERROR(__xludf.DUMMYFUNCTION("""COMPUTED_VALUE"""),0.5995804012)</f>
        <v>0.5995804012</v>
      </c>
    </row>
    <row r="1559">
      <c r="A1559" s="3">
        <f>IFERROR(__xludf.DUMMYFUNCTION("""COMPUTED_VALUE"""),42039.99861111111)</f>
        <v>42039.99861</v>
      </c>
      <c r="B1559" s="1">
        <f>IFERROR(__xludf.DUMMYFUNCTION("""COMPUTED_VALUE"""),0.5995346112)</f>
        <v>0.5995346112</v>
      </c>
    </row>
    <row r="1560">
      <c r="A1560" s="3">
        <f>IFERROR(__xludf.DUMMYFUNCTION("""COMPUTED_VALUE"""),42040.99861111111)</f>
        <v>42040.99861</v>
      </c>
      <c r="B1560" s="1">
        <f>IFERROR(__xludf.DUMMYFUNCTION("""COMPUTED_VALUE"""),0.5999809291)</f>
        <v>0.5999809291</v>
      </c>
    </row>
    <row r="1561">
      <c r="A1561" s="3">
        <f>IFERROR(__xludf.DUMMYFUNCTION("""COMPUTED_VALUE"""),42041.99861111111)</f>
        <v>42041.99861</v>
      </c>
      <c r="B1561" s="1">
        <f>IFERROR(__xludf.DUMMYFUNCTION("""COMPUTED_VALUE"""),0.6022023001)</f>
        <v>0.6022023001</v>
      </c>
    </row>
    <row r="1562">
      <c r="A1562" s="3">
        <f>IFERROR(__xludf.DUMMYFUNCTION("""COMPUTED_VALUE"""),42044.99861111111)</f>
        <v>42044.99861</v>
      </c>
      <c r="B1562" s="1">
        <f>IFERROR(__xludf.DUMMYFUNCTION("""COMPUTED_VALUE"""),0.6042173492)</f>
        <v>0.6042173492</v>
      </c>
    </row>
    <row r="1563">
      <c r="A1563" s="3">
        <f>IFERROR(__xludf.DUMMYFUNCTION("""COMPUTED_VALUE"""),42045.99861111111)</f>
        <v>42045.99861</v>
      </c>
      <c r="B1563" s="1">
        <f>IFERROR(__xludf.DUMMYFUNCTION("""COMPUTED_VALUE"""),0.606914638)</f>
        <v>0.606914638</v>
      </c>
    </row>
    <row r="1564">
      <c r="A1564" s="3">
        <f>IFERROR(__xludf.DUMMYFUNCTION("""COMPUTED_VALUE"""),42046.99861111111)</f>
        <v>42046.99861</v>
      </c>
      <c r="B1564" s="1">
        <f>IFERROR(__xludf.DUMMYFUNCTION("""COMPUTED_VALUE"""),0.6106924746)</f>
        <v>0.6106924746</v>
      </c>
    </row>
    <row r="1565">
      <c r="A1565" s="3">
        <f>IFERROR(__xludf.DUMMYFUNCTION("""COMPUTED_VALUE"""),42047.99861111111)</f>
        <v>42047.99861</v>
      </c>
      <c r="B1565" s="1">
        <f>IFERROR(__xludf.DUMMYFUNCTION("""COMPUTED_VALUE"""),0.6097502732)</f>
        <v>0.6097502732</v>
      </c>
    </row>
    <row r="1566">
      <c r="A1566" s="3">
        <f>IFERROR(__xludf.DUMMYFUNCTION("""COMPUTED_VALUE"""),42048.99861111111)</f>
        <v>42048.99861</v>
      </c>
      <c r="B1566" s="1">
        <f>IFERROR(__xludf.DUMMYFUNCTION("""COMPUTED_VALUE"""),0.604069369)</f>
        <v>0.604069369</v>
      </c>
    </row>
    <row r="1567">
      <c r="A1567" s="3">
        <f>IFERROR(__xludf.DUMMYFUNCTION("""COMPUTED_VALUE"""),42051.99861111111)</f>
        <v>42051.99861</v>
      </c>
      <c r="B1567" s="1">
        <f>IFERROR(__xludf.DUMMYFUNCTION("""COMPUTED_VALUE"""),0.6013155971)</f>
        <v>0.6013155971</v>
      </c>
    </row>
    <row r="1568">
      <c r="A1568" s="3">
        <f>IFERROR(__xludf.DUMMYFUNCTION("""COMPUTED_VALUE"""),42052.99861111111)</f>
        <v>42052.99861</v>
      </c>
      <c r="B1568" s="1">
        <f>IFERROR(__xludf.DUMMYFUNCTION("""COMPUTED_VALUE"""),0.5996244028)</f>
        <v>0.5996244028</v>
      </c>
    </row>
    <row r="1569">
      <c r="A1569" s="3">
        <f>IFERROR(__xludf.DUMMYFUNCTION("""COMPUTED_VALUE"""),42053.99861111111)</f>
        <v>42053.99861</v>
      </c>
      <c r="B1569" s="1">
        <f>IFERROR(__xludf.DUMMYFUNCTION("""COMPUTED_VALUE"""),0.6108144134)</f>
        <v>0.6108144134</v>
      </c>
    </row>
    <row r="1570">
      <c r="A1570" s="3">
        <f>IFERROR(__xludf.DUMMYFUNCTION("""COMPUTED_VALUE"""),42054.99861111111)</f>
        <v>42054.99861</v>
      </c>
      <c r="B1570" s="1">
        <f>IFERROR(__xludf.DUMMYFUNCTION("""COMPUTED_VALUE"""),0.6139514894)</f>
        <v>0.6139514894</v>
      </c>
    </row>
    <row r="1571">
      <c r="A1571" s="3">
        <f>IFERROR(__xludf.DUMMYFUNCTION("""COMPUTED_VALUE"""),42055.99861111111)</f>
        <v>42055.99861</v>
      </c>
      <c r="B1571" s="1">
        <f>IFERROR(__xludf.DUMMYFUNCTION("""COMPUTED_VALUE"""),0.6113947561)</f>
        <v>0.6113947561</v>
      </c>
    </row>
    <row r="1572">
      <c r="A1572" s="3">
        <f>IFERROR(__xludf.DUMMYFUNCTION("""COMPUTED_VALUE"""),42058.99861111111)</f>
        <v>42058.99861</v>
      </c>
      <c r="B1572" s="1">
        <f>IFERROR(__xludf.DUMMYFUNCTION("""COMPUTED_VALUE"""),0.6131108394)</f>
        <v>0.6131108394</v>
      </c>
    </row>
    <row r="1573">
      <c r="A1573" s="3">
        <f>IFERROR(__xludf.DUMMYFUNCTION("""COMPUTED_VALUE"""),42059.99861111111)</f>
        <v>42059.99861</v>
      </c>
      <c r="B1573" s="1">
        <f>IFERROR(__xludf.DUMMYFUNCTION("""COMPUTED_VALUE"""),0.6100200138)</f>
        <v>0.6100200138</v>
      </c>
    </row>
    <row r="1574">
      <c r="A1574" s="3">
        <f>IFERROR(__xludf.DUMMYFUNCTION("""COMPUTED_VALUE"""),42060.99861111111)</f>
        <v>42060.99861</v>
      </c>
      <c r="B1574" s="1">
        <f>IFERROR(__xludf.DUMMYFUNCTION("""COMPUTED_VALUE"""),0.611822374)</f>
        <v>0.611822374</v>
      </c>
    </row>
    <row r="1575">
      <c r="A1575" s="3">
        <f>IFERROR(__xludf.DUMMYFUNCTION("""COMPUTED_VALUE"""),42061.99861111111)</f>
        <v>42061.99861</v>
      </c>
      <c r="B1575" s="1">
        <f>IFERROR(__xludf.DUMMYFUNCTION("""COMPUTED_VALUE"""),0.6117137659)</f>
        <v>0.6117137659</v>
      </c>
    </row>
    <row r="1576">
      <c r="A1576" s="3">
        <f>IFERROR(__xludf.DUMMYFUNCTION("""COMPUTED_VALUE"""),42062.99861111111)</f>
        <v>42062.99861</v>
      </c>
      <c r="B1576" s="1">
        <f>IFERROR(__xludf.DUMMYFUNCTION("""COMPUTED_VALUE"""),0.6184712101)</f>
        <v>0.6184712101</v>
      </c>
    </row>
    <row r="1577">
      <c r="A1577" s="3">
        <f>IFERROR(__xludf.DUMMYFUNCTION("""COMPUTED_VALUE"""),42065.99861111111)</f>
        <v>42065.99861</v>
      </c>
      <c r="B1577" s="1">
        <f>IFERROR(__xludf.DUMMYFUNCTION("""COMPUTED_VALUE"""),0.6191338319)</f>
        <v>0.6191338319</v>
      </c>
    </row>
    <row r="1578">
      <c r="A1578" s="3">
        <f>IFERROR(__xludf.DUMMYFUNCTION("""COMPUTED_VALUE"""),42066.99861111111)</f>
        <v>42066.99861</v>
      </c>
      <c r="B1578" s="1">
        <f>IFERROR(__xludf.DUMMYFUNCTION("""COMPUTED_VALUE"""),0.6180016156)</f>
        <v>0.6180016156</v>
      </c>
    </row>
    <row r="1579">
      <c r="A1579" s="3">
        <f>IFERROR(__xludf.DUMMYFUNCTION("""COMPUTED_VALUE"""),42067.99861111111)</f>
        <v>42067.99861</v>
      </c>
      <c r="B1579" s="1">
        <f>IFERROR(__xludf.DUMMYFUNCTION("""COMPUTED_VALUE"""),0.6196438766)</f>
        <v>0.6196438766</v>
      </c>
    </row>
    <row r="1580">
      <c r="A1580" s="3">
        <f>IFERROR(__xludf.DUMMYFUNCTION("""COMPUTED_VALUE"""),42068.99861111111)</f>
        <v>42068.99861</v>
      </c>
      <c r="B1580" s="1">
        <f>IFERROR(__xludf.DUMMYFUNCTION("""COMPUTED_VALUE"""),0.6144612624)</f>
        <v>0.6144612624</v>
      </c>
    </row>
    <row r="1581">
      <c r="A1581" s="3">
        <f>IFERROR(__xludf.DUMMYFUNCTION("""COMPUTED_VALUE"""),42069.99861111111)</f>
        <v>42069.99861</v>
      </c>
      <c r="B1581" s="1">
        <f>IFERROR(__xludf.DUMMYFUNCTION("""COMPUTED_VALUE"""),0.6214231116)</f>
        <v>0.6214231116</v>
      </c>
    </row>
    <row r="1582">
      <c r="A1582" s="3">
        <f>IFERROR(__xludf.DUMMYFUNCTION("""COMPUTED_VALUE"""),42072.99861111111)</f>
        <v>42072.99861</v>
      </c>
      <c r="B1582" s="1">
        <f>IFERROR(__xludf.DUMMYFUNCTION("""COMPUTED_VALUE"""),0.6230578465)</f>
        <v>0.6230578465</v>
      </c>
    </row>
    <row r="1583">
      <c r="A1583" s="3">
        <f>IFERROR(__xludf.DUMMYFUNCTION("""COMPUTED_VALUE"""),42073.99861111111)</f>
        <v>42073.99861</v>
      </c>
      <c r="B1583" s="1">
        <f>IFERROR(__xludf.DUMMYFUNCTION("""COMPUTED_VALUE"""),0.623033647)</f>
        <v>0.623033647</v>
      </c>
    </row>
    <row r="1584">
      <c r="A1584" s="3">
        <f>IFERROR(__xludf.DUMMYFUNCTION("""COMPUTED_VALUE"""),42074.99861111111)</f>
        <v>42074.99861</v>
      </c>
      <c r="B1584" s="1">
        <f>IFERROR(__xludf.DUMMYFUNCTION("""COMPUTED_VALUE"""),0.6281586644)</f>
        <v>0.6281586644</v>
      </c>
    </row>
    <row r="1585">
      <c r="A1585" s="3">
        <f>IFERROR(__xludf.DUMMYFUNCTION("""COMPUTED_VALUE"""),42075.99861111111)</f>
        <v>42075.99861</v>
      </c>
      <c r="B1585" s="1">
        <f>IFERROR(__xludf.DUMMYFUNCTION("""COMPUTED_VALUE"""),0.6272623272)</f>
        <v>0.6272623272</v>
      </c>
    </row>
    <row r="1586">
      <c r="A1586" s="3">
        <f>IFERROR(__xludf.DUMMYFUNCTION("""COMPUTED_VALUE"""),42076.99861111111)</f>
        <v>42076.99861</v>
      </c>
      <c r="B1586" s="1">
        <f>IFERROR(__xludf.DUMMYFUNCTION("""COMPUTED_VALUE"""),0.6277674503)</f>
        <v>0.6277674503</v>
      </c>
    </row>
    <row r="1587">
      <c r="A1587" s="3">
        <f>IFERROR(__xludf.DUMMYFUNCTION("""COMPUTED_VALUE"""),42079.99861111111)</f>
        <v>42079.99861</v>
      </c>
      <c r="B1587" s="1">
        <f>IFERROR(__xludf.DUMMYFUNCTION("""COMPUTED_VALUE"""),0.6256816315)</f>
        <v>0.6256816315</v>
      </c>
    </row>
    <row r="1588">
      <c r="A1588" s="3">
        <f>IFERROR(__xludf.DUMMYFUNCTION("""COMPUTED_VALUE"""),42080.99861111111)</f>
        <v>42080.99861</v>
      </c>
      <c r="B1588" s="1">
        <f>IFERROR(__xludf.DUMMYFUNCTION("""COMPUTED_VALUE"""),0.6228045107)</f>
        <v>0.6228045107</v>
      </c>
    </row>
    <row r="1589">
      <c r="A1589" s="3">
        <f>IFERROR(__xludf.DUMMYFUNCTION("""COMPUTED_VALUE"""),42081.99861111111)</f>
        <v>42081.99861</v>
      </c>
      <c r="B1589" s="1">
        <f>IFERROR(__xludf.DUMMYFUNCTION("""COMPUTED_VALUE"""),0.610050677)</f>
        <v>0.610050677</v>
      </c>
    </row>
    <row r="1590">
      <c r="A1590" s="3">
        <f>IFERROR(__xludf.DUMMYFUNCTION("""COMPUTED_VALUE"""),42082.99861111111)</f>
        <v>42082.99861</v>
      </c>
      <c r="B1590" s="1">
        <f>IFERROR(__xludf.DUMMYFUNCTION("""COMPUTED_VALUE"""),0.6176331364)</f>
        <v>0.6176331364</v>
      </c>
    </row>
    <row r="1591">
      <c r="A1591" s="3">
        <f>IFERROR(__xludf.DUMMYFUNCTION("""COMPUTED_VALUE"""),42083.99861111111)</f>
        <v>42083.99861</v>
      </c>
      <c r="B1591" s="1">
        <f>IFERROR(__xludf.DUMMYFUNCTION("""COMPUTED_VALUE"""),0.6179428737)</f>
        <v>0.6179428737</v>
      </c>
    </row>
    <row r="1592">
      <c r="A1592" s="3">
        <f>IFERROR(__xludf.DUMMYFUNCTION("""COMPUTED_VALUE"""),42086.99861111111)</f>
        <v>42086.99861</v>
      </c>
      <c r="B1592" s="1">
        <f>IFERROR(__xludf.DUMMYFUNCTION("""COMPUTED_VALUE"""),0.6119911041)</f>
        <v>0.6119911041</v>
      </c>
    </row>
    <row r="1593">
      <c r="A1593" s="3">
        <f>IFERROR(__xludf.DUMMYFUNCTION("""COMPUTED_VALUE"""),42087.99861111111)</f>
        <v>42087.99861</v>
      </c>
      <c r="B1593" s="1">
        <f>IFERROR(__xludf.DUMMYFUNCTION("""COMPUTED_VALUE"""),0.6096466277)</f>
        <v>0.6096466277</v>
      </c>
    </row>
    <row r="1594">
      <c r="A1594" s="3">
        <f>IFERROR(__xludf.DUMMYFUNCTION("""COMPUTED_VALUE"""),42088.99861111111)</f>
        <v>42088.99861</v>
      </c>
      <c r="B1594" s="1">
        <f>IFERROR(__xludf.DUMMYFUNCTION("""COMPUTED_VALUE"""),0.6020954578)</f>
        <v>0.6020954578</v>
      </c>
    </row>
    <row r="1595">
      <c r="A1595" s="3">
        <f>IFERROR(__xludf.DUMMYFUNCTION("""COMPUTED_VALUE"""),42089.99861111111)</f>
        <v>42089.99861</v>
      </c>
      <c r="B1595" s="1">
        <f>IFERROR(__xludf.DUMMYFUNCTION("""COMPUTED_VALUE"""),0.6153045674)</f>
        <v>0.6153045674</v>
      </c>
    </row>
    <row r="1596">
      <c r="A1596" s="3">
        <f>IFERROR(__xludf.DUMMYFUNCTION("""COMPUTED_VALUE"""),42090.99861111111)</f>
        <v>42090.99861</v>
      </c>
      <c r="B1596" s="1">
        <f>IFERROR(__xludf.DUMMYFUNCTION("""COMPUTED_VALUE"""),0.6161955124)</f>
        <v>0.6161955124</v>
      </c>
    </row>
    <row r="1597">
      <c r="A1597" s="3">
        <f>IFERROR(__xludf.DUMMYFUNCTION("""COMPUTED_VALUE"""),42093.99861111111)</f>
        <v>42093.99861</v>
      </c>
      <c r="B1597" s="1">
        <f>IFERROR(__xludf.DUMMYFUNCTION("""COMPUTED_VALUE"""),0.6184490218)</f>
        <v>0.6184490218</v>
      </c>
    </row>
    <row r="1598">
      <c r="A1598" s="3">
        <f>IFERROR(__xludf.DUMMYFUNCTION("""COMPUTED_VALUE"""),42094.99861111111)</f>
        <v>42094.99861</v>
      </c>
      <c r="B1598" s="1">
        <f>IFERROR(__xludf.DUMMYFUNCTION("""COMPUTED_VALUE"""),0.6164448118)</f>
        <v>0.6164448118</v>
      </c>
    </row>
    <row r="1599">
      <c r="A1599" s="3">
        <f>IFERROR(__xludf.DUMMYFUNCTION("""COMPUTED_VALUE"""),42095.99861111111)</f>
        <v>42095.99861</v>
      </c>
      <c r="B1599" s="1">
        <f>IFERROR(__xludf.DUMMYFUNCTION("""COMPUTED_VALUE"""),0.6115725839)</f>
        <v>0.6115725839</v>
      </c>
    </row>
    <row r="1600">
      <c r="A1600" s="3">
        <f>IFERROR(__xludf.DUMMYFUNCTION("""COMPUTED_VALUE"""),42096.99861111111)</f>
        <v>42096.99861</v>
      </c>
      <c r="B1600" s="1">
        <f>IFERROR(__xludf.DUMMYFUNCTION("""COMPUTED_VALUE"""),0.6149656525)</f>
        <v>0.6149656525</v>
      </c>
    </row>
    <row r="1601">
      <c r="A1601" s="3">
        <f>IFERROR(__xludf.DUMMYFUNCTION("""COMPUTED_VALUE"""),42097.99861111111)</f>
        <v>42097.99861</v>
      </c>
      <c r="B1601" s="1">
        <f>IFERROR(__xludf.DUMMYFUNCTION("""COMPUTED_VALUE"""),0.600926998)</f>
        <v>0.600926998</v>
      </c>
    </row>
    <row r="1602">
      <c r="A1602" s="3">
        <f>IFERROR(__xludf.DUMMYFUNCTION("""COMPUTED_VALUE"""),42100.99861111111)</f>
        <v>42100.99861</v>
      </c>
      <c r="B1602" s="1">
        <f>IFERROR(__xludf.DUMMYFUNCTION("""COMPUTED_VALUE"""),0.600278226)</f>
        <v>0.600278226</v>
      </c>
    </row>
    <row r="1603">
      <c r="A1603" s="3">
        <f>IFERROR(__xludf.DUMMYFUNCTION("""COMPUTED_VALUE"""),42101.99861111111)</f>
        <v>42101.99861</v>
      </c>
      <c r="B1603" s="1">
        <f>IFERROR(__xludf.DUMMYFUNCTION("""COMPUTED_VALUE"""),0.6121343351)</f>
        <v>0.6121343351</v>
      </c>
    </row>
    <row r="1604">
      <c r="A1604" s="3">
        <f>IFERROR(__xludf.DUMMYFUNCTION("""COMPUTED_VALUE"""),42102.99861111111)</f>
        <v>42102.99861</v>
      </c>
      <c r="B1604" s="1">
        <f>IFERROR(__xludf.DUMMYFUNCTION("""COMPUTED_VALUE"""),0.6084929988)</f>
        <v>0.6084929988</v>
      </c>
    </row>
    <row r="1605">
      <c r="A1605" s="3">
        <f>IFERROR(__xludf.DUMMYFUNCTION("""COMPUTED_VALUE"""),42103.99861111111)</f>
        <v>42103.99861</v>
      </c>
      <c r="B1605" s="1">
        <f>IFERROR(__xludf.DUMMYFUNCTION("""COMPUTED_VALUE"""),0.609566441)</f>
        <v>0.609566441</v>
      </c>
    </row>
    <row r="1606">
      <c r="A1606" s="3">
        <f>IFERROR(__xludf.DUMMYFUNCTION("""COMPUTED_VALUE"""),42104.99861111111)</f>
        <v>42104.99861</v>
      </c>
      <c r="B1606" s="1">
        <f>IFERROR(__xludf.DUMMYFUNCTION("""COMPUTED_VALUE"""),0.6075316862)</f>
        <v>0.6075316862</v>
      </c>
    </row>
    <row r="1607">
      <c r="A1607" s="3">
        <f>IFERROR(__xludf.DUMMYFUNCTION("""COMPUTED_VALUE"""),42107.99861111111)</f>
        <v>42107.99861</v>
      </c>
      <c r="B1607" s="1">
        <f>IFERROR(__xludf.DUMMYFUNCTION("""COMPUTED_VALUE"""),0.6147212569)</f>
        <v>0.6147212569</v>
      </c>
    </row>
    <row r="1608">
      <c r="A1608" s="3">
        <f>IFERROR(__xludf.DUMMYFUNCTION("""COMPUTED_VALUE"""),42108.99861111111)</f>
        <v>42108.99861</v>
      </c>
      <c r="B1608" s="1">
        <f>IFERROR(__xludf.DUMMYFUNCTION("""COMPUTED_VALUE"""),0.6112210191)</f>
        <v>0.6112210191</v>
      </c>
    </row>
    <row r="1609">
      <c r="A1609" s="3">
        <f>IFERROR(__xludf.DUMMYFUNCTION("""COMPUTED_VALUE"""),42109.99861111111)</f>
        <v>42109.99861</v>
      </c>
      <c r="B1609" s="1">
        <f>IFERROR(__xludf.DUMMYFUNCTION("""COMPUTED_VALUE"""),0.6078616103)</f>
        <v>0.6078616103</v>
      </c>
    </row>
    <row r="1610">
      <c r="A1610" s="3">
        <f>IFERROR(__xludf.DUMMYFUNCTION("""COMPUTED_VALUE"""),42110.99861111111)</f>
        <v>42110.99861</v>
      </c>
      <c r="B1610" s="1">
        <f>IFERROR(__xludf.DUMMYFUNCTION("""COMPUTED_VALUE"""),0.6069788352)</f>
        <v>0.6069788352</v>
      </c>
    </row>
    <row r="1611">
      <c r="A1611" s="3">
        <f>IFERROR(__xludf.DUMMYFUNCTION("""COMPUTED_VALUE"""),42111.99861111111)</f>
        <v>42111.99861</v>
      </c>
      <c r="B1611" s="1">
        <f>IFERROR(__xludf.DUMMYFUNCTION("""COMPUTED_VALUE"""),0.6028068096)</f>
        <v>0.6028068096</v>
      </c>
    </row>
    <row r="1612">
      <c r="A1612" s="3">
        <f>IFERROR(__xludf.DUMMYFUNCTION("""COMPUTED_VALUE"""),42113.99861111111)</f>
        <v>42113.99861</v>
      </c>
      <c r="B1612" s="1">
        <f>IFERROR(__xludf.DUMMYFUNCTION("""COMPUTED_VALUE"""),0.6065133892)</f>
        <v>0.6065133892</v>
      </c>
    </row>
    <row r="1613">
      <c r="A1613" s="3">
        <f>IFERROR(__xludf.DUMMYFUNCTION("""COMPUTED_VALUE"""),42114.99861111111)</f>
        <v>42114.99861</v>
      </c>
      <c r="B1613" s="1">
        <f>IFERROR(__xludf.DUMMYFUNCTION("""COMPUTED_VALUE"""),0.6119078946)</f>
        <v>0.6119078946</v>
      </c>
    </row>
    <row r="1614">
      <c r="A1614" s="3">
        <f>IFERROR(__xludf.DUMMYFUNCTION("""COMPUTED_VALUE"""),42115.99861111111)</f>
        <v>42115.99861</v>
      </c>
      <c r="B1614" s="1">
        <f>IFERROR(__xludf.DUMMYFUNCTION("""COMPUTED_VALUE"""),0.5996288529)</f>
        <v>0.5996288529</v>
      </c>
    </row>
    <row r="1615">
      <c r="A1615" s="3">
        <f>IFERROR(__xludf.DUMMYFUNCTION("""COMPUTED_VALUE"""),42116.99861111111)</f>
        <v>42116.99861</v>
      </c>
      <c r="B1615" s="1">
        <f>IFERROR(__xludf.DUMMYFUNCTION("""COMPUTED_VALUE"""),0.5984690292)</f>
        <v>0.5984690292</v>
      </c>
    </row>
    <row r="1616">
      <c r="A1616" s="3">
        <f>IFERROR(__xludf.DUMMYFUNCTION("""COMPUTED_VALUE"""),42117.99861111111)</f>
        <v>42117.99861</v>
      </c>
      <c r="B1616" s="1">
        <f>IFERROR(__xludf.DUMMYFUNCTION("""COMPUTED_VALUE"""),0.5999999961)</f>
        <v>0.5999999961</v>
      </c>
    </row>
    <row r="1617">
      <c r="A1617" s="3">
        <f>IFERROR(__xludf.DUMMYFUNCTION("""COMPUTED_VALUE"""),42118.99861111111)</f>
        <v>42118.99861</v>
      </c>
      <c r="B1617" s="1">
        <f>IFERROR(__xludf.DUMMYFUNCTION("""COMPUTED_VALUE"""),0.6001391117)</f>
        <v>0.6001391117</v>
      </c>
    </row>
    <row r="1618">
      <c r="A1618" s="3">
        <f>IFERROR(__xludf.DUMMYFUNCTION("""COMPUTED_VALUE"""),42121.99861111111)</f>
        <v>42121.99861</v>
      </c>
      <c r="B1618" s="1">
        <f>IFERROR(__xludf.DUMMYFUNCTION("""COMPUTED_VALUE"""),0.5993045879)</f>
        <v>0.5993045879</v>
      </c>
    </row>
    <row r="1619">
      <c r="A1619" s="3">
        <f>IFERROR(__xludf.DUMMYFUNCTION("""COMPUTED_VALUE"""),42122.99861111111)</f>
        <v>42122.99861</v>
      </c>
      <c r="B1619" s="1">
        <f>IFERROR(__xludf.DUMMYFUNCTION("""COMPUTED_VALUE"""),0.5995364997)</f>
        <v>0.5995364997</v>
      </c>
    </row>
    <row r="1620">
      <c r="A1620" s="3">
        <f>IFERROR(__xludf.DUMMYFUNCTION("""COMPUTED_VALUE"""),42123.99861111111)</f>
        <v>42123.99861</v>
      </c>
      <c r="B1620" s="1">
        <f>IFERROR(__xludf.DUMMYFUNCTION("""COMPUTED_VALUE"""),0.5986095009)</f>
        <v>0.5986095009</v>
      </c>
    </row>
    <row r="1621">
      <c r="A1621" s="3">
        <f>IFERROR(__xludf.DUMMYFUNCTION("""COMPUTED_VALUE"""),42124.99861111111)</f>
        <v>42124.99861</v>
      </c>
      <c r="B1621" s="1">
        <f>IFERROR(__xludf.DUMMYFUNCTION("""COMPUTED_VALUE"""),0.6005561984)</f>
        <v>0.6005561984</v>
      </c>
    </row>
    <row r="1622">
      <c r="A1622" s="3">
        <f>IFERROR(__xludf.DUMMYFUNCTION("""COMPUTED_VALUE"""),42125.99861111111)</f>
        <v>42125.99861</v>
      </c>
      <c r="B1622" s="1">
        <f>IFERROR(__xludf.DUMMYFUNCTION("""COMPUTED_VALUE"""),0.6013904974)</f>
        <v>0.6013904974</v>
      </c>
    </row>
    <row r="1623">
      <c r="A1623" s="3">
        <f>IFERROR(__xludf.DUMMYFUNCTION("""COMPUTED_VALUE"""),42128.99861111111)</f>
        <v>42128.99861</v>
      </c>
      <c r="B1623" s="1">
        <f>IFERROR(__xludf.DUMMYFUNCTION("""COMPUTED_VALUE"""),0.5955082129)</f>
        <v>0.5955082129</v>
      </c>
    </row>
    <row r="1624">
      <c r="A1624" s="3">
        <f>IFERROR(__xludf.DUMMYFUNCTION("""COMPUTED_VALUE"""),42129.99861111111)</f>
        <v>42129.99861</v>
      </c>
      <c r="B1624" s="1">
        <f>IFERROR(__xludf.DUMMYFUNCTION("""COMPUTED_VALUE"""),0.6018047103)</f>
        <v>0.6018047103</v>
      </c>
    </row>
    <row r="1625">
      <c r="A1625" s="3">
        <f>IFERROR(__xludf.DUMMYFUNCTION("""COMPUTED_VALUE"""),42130.99861111111)</f>
        <v>42130.99861</v>
      </c>
      <c r="B1625" s="1">
        <f>IFERROR(__xludf.DUMMYFUNCTION("""COMPUTED_VALUE"""),0.6014801108)</f>
        <v>0.6014801108</v>
      </c>
    </row>
    <row r="1626">
      <c r="A1626" s="3">
        <f>IFERROR(__xludf.DUMMYFUNCTION("""COMPUTED_VALUE"""),42131.99861111111)</f>
        <v>42131.99861</v>
      </c>
      <c r="B1626" s="1">
        <f>IFERROR(__xludf.DUMMYFUNCTION("""COMPUTED_VALUE"""),0.6049896023)</f>
        <v>0.6049896023</v>
      </c>
    </row>
    <row r="1627">
      <c r="A1627" s="3">
        <f>IFERROR(__xludf.DUMMYFUNCTION("""COMPUTED_VALUE"""),42132.99861111111)</f>
        <v>42132.99861</v>
      </c>
      <c r="B1627" s="1">
        <f>IFERROR(__xludf.DUMMYFUNCTION("""COMPUTED_VALUE"""),0.6026327886)</f>
        <v>0.6026327886</v>
      </c>
    </row>
    <row r="1628">
      <c r="A1628" s="3">
        <f>IFERROR(__xludf.DUMMYFUNCTION("""COMPUTED_VALUE"""),42135.99861111111)</f>
        <v>42135.99861</v>
      </c>
      <c r="B1628" s="1">
        <f>IFERROR(__xludf.DUMMYFUNCTION("""COMPUTED_VALUE"""),0.6080332316)</f>
        <v>0.6080332316</v>
      </c>
    </row>
    <row r="1629">
      <c r="A1629" s="3">
        <f>IFERROR(__xludf.DUMMYFUNCTION("""COMPUTED_VALUE"""),42136.99861111111)</f>
        <v>42136.99861</v>
      </c>
      <c r="B1629" s="1">
        <f>IFERROR(__xludf.DUMMYFUNCTION("""COMPUTED_VALUE"""),0.6063191848)</f>
        <v>0.6063191848</v>
      </c>
    </row>
    <row r="1630">
      <c r="A1630" s="3">
        <f>IFERROR(__xludf.DUMMYFUNCTION("""COMPUTED_VALUE"""),42137.99861111111)</f>
        <v>42137.99861</v>
      </c>
      <c r="B1630" s="1">
        <f>IFERROR(__xludf.DUMMYFUNCTION("""COMPUTED_VALUE"""),0.6037787977)</f>
        <v>0.6037787977</v>
      </c>
    </row>
    <row r="1631">
      <c r="A1631" s="3">
        <f>IFERROR(__xludf.DUMMYFUNCTION("""COMPUTED_VALUE"""),42138.99861111111)</f>
        <v>42138.99861</v>
      </c>
      <c r="B1631" s="1">
        <f>IFERROR(__xludf.DUMMYFUNCTION("""COMPUTED_VALUE"""),0.5987117466)</f>
        <v>0.5987117466</v>
      </c>
    </row>
    <row r="1632">
      <c r="A1632" s="3">
        <f>IFERROR(__xludf.DUMMYFUNCTION("""COMPUTED_VALUE"""),42140.99861111111)</f>
        <v>42140.99861</v>
      </c>
      <c r="B1632" s="1">
        <f>IFERROR(__xludf.DUMMYFUNCTION("""COMPUTED_VALUE"""),0.6011446263)</f>
        <v>0.6011446263</v>
      </c>
    </row>
    <row r="1633">
      <c r="A1633" s="3">
        <f>IFERROR(__xludf.DUMMYFUNCTION("""COMPUTED_VALUE"""),42142.99861111111)</f>
        <v>42142.99861</v>
      </c>
      <c r="B1633" s="1">
        <f>IFERROR(__xludf.DUMMYFUNCTION("""COMPUTED_VALUE"""),0.6047323676)</f>
        <v>0.6047323676</v>
      </c>
    </row>
    <row r="1634">
      <c r="A1634" s="3">
        <f>IFERROR(__xludf.DUMMYFUNCTION("""COMPUTED_VALUE"""),42143.99861111111)</f>
        <v>42143.99861</v>
      </c>
      <c r="B1634" s="1">
        <f>IFERROR(__xludf.DUMMYFUNCTION("""COMPUTED_VALUE"""),0.6048690776)</f>
        <v>0.6048690776</v>
      </c>
    </row>
    <row r="1635">
      <c r="A1635" s="3">
        <f>IFERROR(__xludf.DUMMYFUNCTION("""COMPUTED_VALUE"""),42144.99861111111)</f>
        <v>42144.99861</v>
      </c>
      <c r="B1635" s="1">
        <f>IFERROR(__xludf.DUMMYFUNCTION("""COMPUTED_VALUE"""),0.5972923321)</f>
        <v>0.5972923321</v>
      </c>
    </row>
    <row r="1636">
      <c r="A1636" s="3">
        <f>IFERROR(__xludf.DUMMYFUNCTION("""COMPUTED_VALUE"""),42145.99861111111)</f>
        <v>42145.99861</v>
      </c>
      <c r="B1636" s="1">
        <f>IFERROR(__xludf.DUMMYFUNCTION("""COMPUTED_VALUE"""),0.6016984115)</f>
        <v>0.6016984115</v>
      </c>
    </row>
    <row r="1637">
      <c r="A1637" s="3">
        <f>IFERROR(__xludf.DUMMYFUNCTION("""COMPUTED_VALUE"""),42146.99861111111)</f>
        <v>42146.99861</v>
      </c>
      <c r="B1637" s="1">
        <f>IFERROR(__xludf.DUMMYFUNCTION("""COMPUTED_VALUE"""),0.603582904)</f>
        <v>0.603582904</v>
      </c>
    </row>
    <row r="1638">
      <c r="A1638" s="3">
        <f>IFERROR(__xludf.DUMMYFUNCTION("""COMPUTED_VALUE"""),42149.99861111111)</f>
        <v>42149.99861</v>
      </c>
      <c r="B1638" s="1">
        <f>IFERROR(__xludf.DUMMYFUNCTION("""COMPUTED_VALUE"""),0.6044046793)</f>
        <v>0.6044046793</v>
      </c>
    </row>
    <row r="1639">
      <c r="A1639" s="3">
        <f>IFERROR(__xludf.DUMMYFUNCTION("""COMPUTED_VALUE"""),42150.99861111111)</f>
        <v>42150.99861</v>
      </c>
      <c r="B1639" s="1">
        <f>IFERROR(__xludf.DUMMYFUNCTION("""COMPUTED_VALUE"""),0.6062843953)</f>
        <v>0.6062843953</v>
      </c>
    </row>
    <row r="1640">
      <c r="A1640" s="3">
        <f>IFERROR(__xludf.DUMMYFUNCTION("""COMPUTED_VALUE"""),42151.99861111111)</f>
        <v>42151.99861</v>
      </c>
      <c r="B1640" s="1">
        <f>IFERROR(__xludf.DUMMYFUNCTION("""COMPUTED_VALUE"""),0.6046831919)</f>
        <v>0.6046831919</v>
      </c>
    </row>
    <row r="1641">
      <c r="A1641" s="3">
        <f>IFERROR(__xludf.DUMMYFUNCTION("""COMPUTED_VALUE"""),42152.99861111111)</f>
        <v>42152.99861</v>
      </c>
      <c r="B1641" s="1">
        <f>IFERROR(__xludf.DUMMYFUNCTION("""COMPUTED_VALUE"""),0.6043148907)</f>
        <v>0.6043148907</v>
      </c>
    </row>
    <row r="1642">
      <c r="A1642" s="3">
        <f>IFERROR(__xludf.DUMMYFUNCTION("""COMPUTED_VALUE"""),42153.99861111111)</f>
        <v>42153.99861</v>
      </c>
      <c r="B1642" s="1">
        <f>IFERROR(__xludf.DUMMYFUNCTION("""COMPUTED_VALUE"""),0.6059215008)</f>
        <v>0.6059215008</v>
      </c>
    </row>
    <row r="1643">
      <c r="A1643" s="3">
        <f>IFERROR(__xludf.DUMMYFUNCTION("""COMPUTED_VALUE"""),42156.99861111111)</f>
        <v>42156.99861</v>
      </c>
      <c r="B1643" s="1">
        <f>IFERROR(__xludf.DUMMYFUNCTION("""COMPUTED_VALUE"""),0.6052317538)</f>
        <v>0.6052317538</v>
      </c>
    </row>
    <row r="1644">
      <c r="A1644" s="3">
        <f>IFERROR(__xludf.DUMMYFUNCTION("""COMPUTED_VALUE"""),42157.99861111111)</f>
        <v>42157.99861</v>
      </c>
      <c r="B1644" s="1">
        <f>IFERROR(__xludf.DUMMYFUNCTION("""COMPUTED_VALUE"""),0.6034878346)</f>
        <v>0.6034878346</v>
      </c>
    </row>
    <row r="1645">
      <c r="A1645" s="3">
        <f>IFERROR(__xludf.DUMMYFUNCTION("""COMPUTED_VALUE"""),42158.99861111111)</f>
        <v>42158.99861</v>
      </c>
      <c r="B1645" s="1">
        <f>IFERROR(__xludf.DUMMYFUNCTION("""COMPUTED_VALUE"""),0.6071592435)</f>
        <v>0.6071592435</v>
      </c>
    </row>
    <row r="1646">
      <c r="A1646" s="3">
        <f>IFERROR(__xludf.DUMMYFUNCTION("""COMPUTED_VALUE"""),42159.99861111111)</f>
        <v>42159.99861</v>
      </c>
      <c r="B1646" s="1">
        <f>IFERROR(__xludf.DUMMYFUNCTION("""COMPUTED_VALUE"""),0.609224411)</f>
        <v>0.609224411</v>
      </c>
    </row>
    <row r="1647">
      <c r="A1647" s="3">
        <f>IFERROR(__xludf.DUMMYFUNCTION("""COMPUTED_VALUE"""),42160.99861111111)</f>
        <v>42160.99861</v>
      </c>
      <c r="B1647" s="1">
        <f>IFERROR(__xludf.DUMMYFUNCTION("""COMPUTED_VALUE"""),0.6145512918)</f>
        <v>0.6145512918</v>
      </c>
    </row>
    <row r="1648">
      <c r="A1648" s="3">
        <f>IFERROR(__xludf.DUMMYFUNCTION("""COMPUTED_VALUE"""),42163.99861111111)</f>
        <v>42163.99861</v>
      </c>
      <c r="B1648" s="1">
        <f>IFERROR(__xludf.DUMMYFUNCTION("""COMPUTED_VALUE"""),0.6108306524)</f>
        <v>0.6108306524</v>
      </c>
    </row>
    <row r="1649">
      <c r="A1649" s="3">
        <f>IFERROR(__xludf.DUMMYFUNCTION("""COMPUTED_VALUE"""),42164.99861111111)</f>
        <v>42164.99861</v>
      </c>
      <c r="B1649" s="1">
        <f>IFERROR(__xludf.DUMMYFUNCTION("""COMPUTED_VALUE"""),0.6124368937)</f>
        <v>0.6124368937</v>
      </c>
    </row>
    <row r="1650">
      <c r="A1650" s="3">
        <f>IFERROR(__xludf.DUMMYFUNCTION("""COMPUTED_VALUE"""),42165.99861111111)</f>
        <v>42165.99861</v>
      </c>
      <c r="B1650" s="1">
        <f>IFERROR(__xludf.DUMMYFUNCTION("""COMPUTED_VALUE"""),0.6064293911)</f>
        <v>0.6064293911</v>
      </c>
    </row>
    <row r="1651">
      <c r="A1651" s="3">
        <f>IFERROR(__xludf.DUMMYFUNCTION("""COMPUTED_VALUE"""),42166.99861111111)</f>
        <v>42166.99861</v>
      </c>
      <c r="B1651" s="1">
        <f>IFERROR(__xludf.DUMMYFUNCTION("""COMPUTED_VALUE"""),0.6077170335)</f>
        <v>0.6077170335</v>
      </c>
    </row>
    <row r="1652">
      <c r="A1652" s="3">
        <f>IFERROR(__xludf.DUMMYFUNCTION("""COMPUTED_VALUE"""),42167.99861111111)</f>
        <v>42167.99861</v>
      </c>
      <c r="B1652" s="1">
        <f>IFERROR(__xludf.DUMMYFUNCTION("""COMPUTED_VALUE"""),0.6116214891)</f>
        <v>0.6116214891</v>
      </c>
    </row>
    <row r="1653">
      <c r="A1653" s="3">
        <f>IFERROR(__xludf.DUMMYFUNCTION("""COMPUTED_VALUE"""),42170.99861111111)</f>
        <v>42170.99861</v>
      </c>
      <c r="B1653" s="1">
        <f>IFERROR(__xludf.DUMMYFUNCTION("""COMPUTED_VALUE"""),0.611710677)</f>
        <v>0.611710677</v>
      </c>
    </row>
    <row r="1654">
      <c r="A1654" s="3">
        <f>IFERROR(__xludf.DUMMYFUNCTION("""COMPUTED_VALUE"""),42171.99861111111)</f>
        <v>42171.99861</v>
      </c>
      <c r="B1654" s="1">
        <f>IFERROR(__xludf.DUMMYFUNCTION("""COMPUTED_VALUE"""),0.6126291615)</f>
        <v>0.6126291615</v>
      </c>
    </row>
    <row r="1655">
      <c r="A1655" s="3">
        <f>IFERROR(__xludf.DUMMYFUNCTION("""COMPUTED_VALUE"""),42172.99861111111)</f>
        <v>42172.99861</v>
      </c>
      <c r="B1655" s="1">
        <f>IFERROR(__xludf.DUMMYFUNCTION("""COMPUTED_VALUE"""),0.6118889095)</f>
        <v>0.6118889095</v>
      </c>
    </row>
    <row r="1656">
      <c r="A1656" s="3">
        <f>IFERROR(__xludf.DUMMYFUNCTION("""COMPUTED_VALUE"""),42173.99861111111)</f>
        <v>42173.99861</v>
      </c>
      <c r="B1656" s="1">
        <f>IFERROR(__xludf.DUMMYFUNCTION("""COMPUTED_VALUE"""),0.6100527837)</f>
        <v>0.6100527837</v>
      </c>
    </row>
    <row r="1657">
      <c r="A1657" s="3">
        <f>IFERROR(__xludf.DUMMYFUNCTION("""COMPUTED_VALUE"""),42174.99861111111)</f>
        <v>42174.99861</v>
      </c>
      <c r="B1657" s="1">
        <f>IFERROR(__xludf.DUMMYFUNCTION("""COMPUTED_VALUE"""),0.6111111074)</f>
        <v>0.6111111074</v>
      </c>
    </row>
    <row r="1658">
      <c r="A1658" s="3">
        <f>IFERROR(__xludf.DUMMYFUNCTION("""COMPUTED_VALUE"""),42177.99861111111)</f>
        <v>42177.99861</v>
      </c>
      <c r="B1658" s="1">
        <f>IFERROR(__xludf.DUMMYFUNCTION("""COMPUTED_VALUE"""),0.6107437979)</f>
        <v>0.6107437979</v>
      </c>
    </row>
    <row r="1659">
      <c r="A1659" s="3">
        <f>IFERROR(__xludf.DUMMYFUNCTION("""COMPUTED_VALUE"""),42178.99861111111)</f>
        <v>42178.99861</v>
      </c>
      <c r="B1659" s="1">
        <f>IFERROR(__xludf.DUMMYFUNCTION("""COMPUTED_VALUE"""),0.6083562865)</f>
        <v>0.6083562865</v>
      </c>
    </row>
    <row r="1660">
      <c r="A1660" s="3">
        <f>IFERROR(__xludf.DUMMYFUNCTION("""COMPUTED_VALUE"""),42179.99861111111)</f>
        <v>42179.99861</v>
      </c>
      <c r="B1660" s="1">
        <f>IFERROR(__xludf.DUMMYFUNCTION("""COMPUTED_VALUE"""),0.6099128001)</f>
        <v>0.6099128001</v>
      </c>
    </row>
    <row r="1661">
      <c r="A1661" s="3">
        <f>IFERROR(__xludf.DUMMYFUNCTION("""COMPUTED_VALUE"""),42180.99861111111)</f>
        <v>42180.99861</v>
      </c>
      <c r="B1661" s="1">
        <f>IFERROR(__xludf.DUMMYFUNCTION("""COMPUTED_VALUE"""),0.6107897116)</f>
        <v>0.6107897116</v>
      </c>
    </row>
    <row r="1662">
      <c r="A1662" s="3">
        <f>IFERROR(__xludf.DUMMYFUNCTION("""COMPUTED_VALUE"""),42181.99861111111)</f>
        <v>42181.99861</v>
      </c>
      <c r="B1662" s="1">
        <f>IFERROR(__xludf.DUMMYFUNCTION("""COMPUTED_VALUE"""),0.6113813637)</f>
        <v>0.6113813637</v>
      </c>
    </row>
    <row r="1663">
      <c r="A1663" s="3">
        <f>IFERROR(__xludf.DUMMYFUNCTION("""COMPUTED_VALUE"""),42184.99861111111)</f>
        <v>42184.99861</v>
      </c>
      <c r="B1663" s="1">
        <f>IFERROR(__xludf.DUMMYFUNCTION("""COMPUTED_VALUE"""),0.6113813637)</f>
        <v>0.6113813637</v>
      </c>
    </row>
    <row r="1664">
      <c r="A1664" s="3">
        <f>IFERROR(__xludf.DUMMYFUNCTION("""COMPUTED_VALUE"""),42185.99861111111)</f>
        <v>42185.99861</v>
      </c>
      <c r="B1664" s="1">
        <f>IFERROR(__xludf.DUMMYFUNCTION("""COMPUTED_VALUE"""),0.6124397472)</f>
        <v>0.6124397472</v>
      </c>
    </row>
    <row r="1665">
      <c r="A1665" s="3">
        <f>IFERROR(__xludf.DUMMYFUNCTION("""COMPUTED_VALUE"""),42186.99861111111)</f>
        <v>42186.99861</v>
      </c>
      <c r="B1665" s="1">
        <f>IFERROR(__xludf.DUMMYFUNCTION("""COMPUTED_VALUE"""),0.6114784168)</f>
        <v>0.6114784168</v>
      </c>
    </row>
    <row r="1666">
      <c r="A1666" s="3">
        <f>IFERROR(__xludf.DUMMYFUNCTION("""COMPUTED_VALUE"""),42187.99861111111)</f>
        <v>42187.99861</v>
      </c>
      <c r="B1666" s="1">
        <f>IFERROR(__xludf.DUMMYFUNCTION("""COMPUTED_VALUE"""),0.6088154233)</f>
        <v>0.6088154233</v>
      </c>
    </row>
    <row r="1667">
      <c r="A1667" s="3">
        <f>IFERROR(__xludf.DUMMYFUNCTION("""COMPUTED_VALUE"""),42188.99861111111)</f>
        <v>42188.99861</v>
      </c>
      <c r="B1667" s="1">
        <f>IFERROR(__xludf.DUMMYFUNCTION("""COMPUTED_VALUE"""),0.6124885178)</f>
        <v>0.6124885178</v>
      </c>
    </row>
    <row r="1668">
      <c r="A1668" s="3">
        <f>IFERROR(__xludf.DUMMYFUNCTION("""COMPUTED_VALUE"""),42191.99861111111)</f>
        <v>42191.99861</v>
      </c>
      <c r="B1668" s="1">
        <f>IFERROR(__xludf.DUMMYFUNCTION("""COMPUTED_VALUE"""),0.6123479409)</f>
        <v>0.6123479409</v>
      </c>
    </row>
    <row r="1669">
      <c r="A1669" s="3">
        <f>IFERROR(__xludf.DUMMYFUNCTION("""COMPUTED_VALUE"""),42192.99861111111)</f>
        <v>42192.99861</v>
      </c>
      <c r="B1669" s="1">
        <f>IFERROR(__xludf.DUMMYFUNCTION("""COMPUTED_VALUE"""),0.6205178271)</f>
        <v>0.6205178271</v>
      </c>
    </row>
    <row r="1670">
      <c r="A1670" s="3">
        <f>IFERROR(__xludf.DUMMYFUNCTION("""COMPUTED_VALUE"""),42193.99861111111)</f>
        <v>42193.99861</v>
      </c>
      <c r="B1670" s="1">
        <f>IFERROR(__xludf.DUMMYFUNCTION("""COMPUTED_VALUE"""),0.6218812587)</f>
        <v>0.6218812587</v>
      </c>
    </row>
    <row r="1671">
      <c r="A1671" s="3">
        <f>IFERROR(__xludf.DUMMYFUNCTION("""COMPUTED_VALUE"""),42194.99861111111)</f>
        <v>42194.99861</v>
      </c>
      <c r="B1671" s="1">
        <f>IFERROR(__xludf.DUMMYFUNCTION("""COMPUTED_VALUE"""),0.6204757456)</f>
        <v>0.6204757456</v>
      </c>
    </row>
    <row r="1672">
      <c r="A1672" s="3">
        <f>IFERROR(__xludf.DUMMYFUNCTION("""COMPUTED_VALUE"""),42195.99861111111)</f>
        <v>42195.99861</v>
      </c>
      <c r="B1672" s="1">
        <f>IFERROR(__xludf.DUMMYFUNCTION("""COMPUTED_VALUE"""),0.6196565222)</f>
        <v>0.6196565222</v>
      </c>
    </row>
    <row r="1673">
      <c r="A1673" s="3">
        <f>IFERROR(__xludf.DUMMYFUNCTION("""COMPUTED_VALUE"""),42198.99861111111)</f>
        <v>42198.99861</v>
      </c>
      <c r="B1673" s="1">
        <f>IFERROR(__xludf.DUMMYFUNCTION("""COMPUTED_VALUE"""),0.6199813152)</f>
        <v>0.6199813152</v>
      </c>
    </row>
    <row r="1674">
      <c r="A1674" s="3">
        <f>IFERROR(__xludf.DUMMYFUNCTION("""COMPUTED_VALUE"""),42199.99861111111)</f>
        <v>42199.99861</v>
      </c>
      <c r="B1674" s="1">
        <f>IFERROR(__xludf.DUMMYFUNCTION("""COMPUTED_VALUE"""),0.6208296342)</f>
        <v>0.6208296342</v>
      </c>
    </row>
    <row r="1675">
      <c r="A1675" s="3">
        <f>IFERROR(__xludf.DUMMYFUNCTION("""COMPUTED_VALUE"""),42200.99861111111)</f>
        <v>42200.99861</v>
      </c>
      <c r="B1675" s="1">
        <f>IFERROR(__xludf.DUMMYFUNCTION("""COMPUTED_VALUE"""),0.6219631576)</f>
        <v>0.6219631576</v>
      </c>
    </row>
    <row r="1676">
      <c r="A1676" s="3">
        <f>IFERROR(__xludf.DUMMYFUNCTION("""COMPUTED_VALUE"""),42201.99861111111)</f>
        <v>42201.99861</v>
      </c>
      <c r="B1676" s="1">
        <f>IFERROR(__xludf.DUMMYFUNCTION("""COMPUTED_VALUE"""),0.6218977355)</f>
        <v>0.6218977355</v>
      </c>
    </row>
    <row r="1677">
      <c r="A1677" s="3">
        <f>IFERROR(__xludf.DUMMYFUNCTION("""COMPUTED_VALUE"""),42202.99861111111)</f>
        <v>42202.99861</v>
      </c>
      <c r="B1677" s="1">
        <f>IFERROR(__xludf.DUMMYFUNCTION("""COMPUTED_VALUE"""),0.6225807877)</f>
        <v>0.6225807877</v>
      </c>
    </row>
    <row r="1678">
      <c r="A1678" s="3">
        <f>IFERROR(__xludf.DUMMYFUNCTION("""COMPUTED_VALUE"""),42205.99861111111)</f>
        <v>42205.99861</v>
      </c>
      <c r="B1678" s="1">
        <f>IFERROR(__xludf.DUMMYFUNCTION("""COMPUTED_VALUE"""),0.6226661641)</f>
        <v>0.6226661641</v>
      </c>
    </row>
    <row r="1679">
      <c r="A1679" s="3">
        <f>IFERROR(__xludf.DUMMYFUNCTION("""COMPUTED_VALUE"""),42206.99861111111)</f>
        <v>42206.99861</v>
      </c>
      <c r="B1679" s="1">
        <f>IFERROR(__xludf.DUMMYFUNCTION("""COMPUTED_VALUE"""),0.6217073037)</f>
        <v>0.6217073037</v>
      </c>
    </row>
    <row r="1680">
      <c r="A1680" s="3">
        <f>IFERROR(__xludf.DUMMYFUNCTION("""COMPUTED_VALUE"""),42207.99861111111)</f>
        <v>42207.99861</v>
      </c>
      <c r="B1680" s="1">
        <f>IFERROR(__xludf.DUMMYFUNCTION("""COMPUTED_VALUE"""),0.6245339206)</f>
        <v>0.6245339206</v>
      </c>
    </row>
    <row r="1681">
      <c r="A1681" s="3">
        <f>IFERROR(__xludf.DUMMYFUNCTION("""COMPUTED_VALUE"""),42208.99861111111)</f>
        <v>42208.99861</v>
      </c>
      <c r="B1681" s="1">
        <f>IFERROR(__xludf.DUMMYFUNCTION("""COMPUTED_VALUE"""),0.6260196676)</f>
        <v>0.6260196676</v>
      </c>
    </row>
    <row r="1682">
      <c r="A1682" s="3">
        <f>IFERROR(__xludf.DUMMYFUNCTION("""COMPUTED_VALUE"""),42209.99861111111)</f>
        <v>42209.99861</v>
      </c>
      <c r="B1682" s="1">
        <f>IFERROR(__xludf.DUMMYFUNCTION("""COMPUTED_VALUE"""),0.6259029609)</f>
        <v>0.6259029609</v>
      </c>
    </row>
    <row r="1683">
      <c r="A1683" s="3">
        <f>IFERROR(__xludf.DUMMYFUNCTION("""COMPUTED_VALUE"""),42212.99861111111)</f>
        <v>42212.99861</v>
      </c>
      <c r="B1683" s="1">
        <f>IFERROR(__xludf.DUMMYFUNCTION("""COMPUTED_VALUE"""),0.6279438432)</f>
        <v>0.6279438432</v>
      </c>
    </row>
    <row r="1684">
      <c r="A1684" s="3">
        <f>IFERROR(__xludf.DUMMYFUNCTION("""COMPUTED_VALUE"""),42213.99861111111)</f>
        <v>42213.99861</v>
      </c>
      <c r="B1684" s="1">
        <f>IFERROR(__xludf.DUMMYFUNCTION("""COMPUTED_VALUE"""),0.6195804113)</f>
        <v>0.6195804113</v>
      </c>
    </row>
    <row r="1685">
      <c r="A1685" s="3">
        <f>IFERROR(__xludf.DUMMYFUNCTION("""COMPUTED_VALUE"""),42214.99861111111)</f>
        <v>42214.99861</v>
      </c>
      <c r="B1685" s="1">
        <f>IFERROR(__xludf.DUMMYFUNCTION("""COMPUTED_VALUE"""),0.6267461233)</f>
        <v>0.6267461233</v>
      </c>
    </row>
    <row r="1686">
      <c r="A1686" s="3">
        <f>IFERROR(__xludf.DUMMYFUNCTION("""COMPUTED_VALUE"""),42215.99861111111)</f>
        <v>42215.99861</v>
      </c>
      <c r="B1686" s="1">
        <f>IFERROR(__xludf.DUMMYFUNCTION("""COMPUTED_VALUE"""),0.6290269922)</f>
        <v>0.6290269922</v>
      </c>
    </row>
    <row r="1687">
      <c r="A1687" s="3">
        <f>IFERROR(__xludf.DUMMYFUNCTION("""COMPUTED_VALUE"""),42216.99861111111)</f>
        <v>42216.99861</v>
      </c>
      <c r="B1687" s="1">
        <f>IFERROR(__xludf.DUMMYFUNCTION("""COMPUTED_VALUE"""),0.6254367444)</f>
        <v>0.6254367444</v>
      </c>
    </row>
    <row r="1688">
      <c r="A1688" s="3">
        <f>IFERROR(__xludf.DUMMYFUNCTION("""COMPUTED_VALUE"""),42219.99861111111)</f>
        <v>42219.99861</v>
      </c>
      <c r="B1688" s="1">
        <f>IFERROR(__xludf.DUMMYFUNCTION("""COMPUTED_VALUE"""),0.6265442131)</f>
        <v>0.6265442131</v>
      </c>
    </row>
    <row r="1689">
      <c r="A1689" s="3">
        <f>IFERROR(__xludf.DUMMYFUNCTION("""COMPUTED_VALUE"""),42220.99861111111)</f>
        <v>42220.99861</v>
      </c>
      <c r="B1689" s="1">
        <f>IFERROR(__xludf.DUMMYFUNCTION("""COMPUTED_VALUE"""),0.6288179022)</f>
        <v>0.6288179022</v>
      </c>
    </row>
    <row r="1690">
      <c r="A1690" s="3">
        <f>IFERROR(__xludf.DUMMYFUNCTION("""COMPUTED_VALUE"""),42221.99861111111)</f>
        <v>42221.99861</v>
      </c>
      <c r="B1690" s="1">
        <f>IFERROR(__xludf.DUMMYFUNCTION("""COMPUTED_VALUE"""),0.6324926274)</f>
        <v>0.6324926274</v>
      </c>
    </row>
    <row r="1691">
      <c r="A1691" s="3">
        <f>IFERROR(__xludf.DUMMYFUNCTION("""COMPUTED_VALUE"""),42222.99861111111)</f>
        <v>42222.99861</v>
      </c>
      <c r="B1691" s="1">
        <f>IFERROR(__xludf.DUMMYFUNCTION("""COMPUTED_VALUE"""),0.6276804005)</f>
        <v>0.6276804005</v>
      </c>
    </row>
    <row r="1692">
      <c r="A1692" s="3">
        <f>IFERROR(__xludf.DUMMYFUNCTION("""COMPUTED_VALUE"""),42223.99861111111)</f>
        <v>42223.99861</v>
      </c>
      <c r="B1692" s="1">
        <f>IFERROR(__xludf.DUMMYFUNCTION("""COMPUTED_VALUE"""),0.6287246404)</f>
        <v>0.6287246404</v>
      </c>
    </row>
    <row r="1693">
      <c r="A1693" s="3">
        <f>IFERROR(__xludf.DUMMYFUNCTION("""COMPUTED_VALUE"""),42226.99861111111)</f>
        <v>42226.99861</v>
      </c>
      <c r="B1693" s="1">
        <f>IFERROR(__xludf.DUMMYFUNCTION("""COMPUTED_VALUE"""),0.628007823)</f>
        <v>0.628007823</v>
      </c>
    </row>
    <row r="1694">
      <c r="A1694" s="3">
        <f>IFERROR(__xludf.DUMMYFUNCTION("""COMPUTED_VALUE"""),42227.99861111111)</f>
        <v>42227.99861</v>
      </c>
      <c r="B1694" s="1">
        <f>IFERROR(__xludf.DUMMYFUNCTION("""COMPUTED_VALUE"""),0.6337044107)</f>
        <v>0.6337044107</v>
      </c>
    </row>
    <row r="1695">
      <c r="A1695" s="3">
        <f>IFERROR(__xludf.DUMMYFUNCTION("""COMPUTED_VALUE"""),42228.99861111111)</f>
        <v>42228.99861</v>
      </c>
      <c r="B1695" s="1">
        <f>IFERROR(__xludf.DUMMYFUNCTION("""COMPUTED_VALUE"""),0.6344919892)</f>
        <v>0.6344919892</v>
      </c>
    </row>
    <row r="1696">
      <c r="A1696" s="3">
        <f>IFERROR(__xludf.DUMMYFUNCTION("""COMPUTED_VALUE"""),42229.99861111111)</f>
        <v>42229.99861</v>
      </c>
      <c r="B1696" s="1">
        <f>IFERROR(__xludf.DUMMYFUNCTION("""COMPUTED_VALUE"""),0.6295460743)</f>
        <v>0.6295460743</v>
      </c>
    </row>
    <row r="1697">
      <c r="A1697" s="3">
        <f>IFERROR(__xludf.DUMMYFUNCTION("""COMPUTED_VALUE"""),42230.99861111111)</f>
        <v>42230.99861</v>
      </c>
      <c r="B1697" s="1">
        <f>IFERROR(__xludf.DUMMYFUNCTION("""COMPUTED_VALUE"""),0.6274303363)</f>
        <v>0.6274303363</v>
      </c>
    </row>
    <row r="1698">
      <c r="A1698" s="3">
        <f>IFERROR(__xludf.DUMMYFUNCTION("""COMPUTED_VALUE"""),42233.99861111111)</f>
        <v>42233.99861</v>
      </c>
      <c r="B1698" s="1">
        <f>IFERROR(__xludf.DUMMYFUNCTION("""COMPUTED_VALUE"""),0.6361545528)</f>
        <v>0.6361545528</v>
      </c>
    </row>
    <row r="1699">
      <c r="A1699" s="3">
        <f>IFERROR(__xludf.DUMMYFUNCTION("""COMPUTED_VALUE"""),42234.99861111111)</f>
        <v>42234.99861</v>
      </c>
      <c r="B1699" s="1">
        <f>IFERROR(__xludf.DUMMYFUNCTION("""COMPUTED_VALUE"""),0.6362381444)</f>
        <v>0.6362381444</v>
      </c>
    </row>
    <row r="1700">
      <c r="A1700" s="3">
        <f>IFERROR(__xludf.DUMMYFUNCTION("""COMPUTED_VALUE"""),42235.99861111111)</f>
        <v>42235.99861</v>
      </c>
      <c r="B1700" s="1">
        <f>IFERROR(__xludf.DUMMYFUNCTION("""COMPUTED_VALUE"""),0.6289687865)</f>
        <v>0.6289687865</v>
      </c>
    </row>
    <row r="1701">
      <c r="A1701" s="3">
        <f>IFERROR(__xludf.DUMMYFUNCTION("""COMPUTED_VALUE"""),42236.99861111111)</f>
        <v>42236.99861</v>
      </c>
      <c r="B1701" s="1">
        <f>IFERROR(__xludf.DUMMYFUNCTION("""COMPUTED_VALUE"""),0.629676655)</f>
        <v>0.629676655</v>
      </c>
    </row>
    <row r="1702">
      <c r="A1702" s="3">
        <f>IFERROR(__xludf.DUMMYFUNCTION("""COMPUTED_VALUE"""),42237.99861111111)</f>
        <v>42237.99861</v>
      </c>
      <c r="B1702" s="1">
        <f>IFERROR(__xludf.DUMMYFUNCTION("""COMPUTED_VALUE"""),0.6235612724)</f>
        <v>0.6235612724</v>
      </c>
    </row>
    <row r="1703">
      <c r="A1703" s="3">
        <f>IFERROR(__xludf.DUMMYFUNCTION("""COMPUTED_VALUE"""),42240.99861111111)</f>
        <v>42240.99861</v>
      </c>
      <c r="B1703" s="1">
        <f>IFERROR(__xludf.DUMMYFUNCTION("""COMPUTED_VALUE"""),0.6272538716)</f>
        <v>0.6272538716</v>
      </c>
    </row>
    <row r="1704">
      <c r="A1704" s="3">
        <f>IFERROR(__xludf.DUMMYFUNCTION("""COMPUTED_VALUE"""),42241.99861111111)</f>
        <v>42241.99861</v>
      </c>
      <c r="B1704" s="1">
        <f>IFERROR(__xludf.DUMMYFUNCTION("""COMPUTED_VALUE"""),0.6223224264)</f>
        <v>0.6223224264</v>
      </c>
    </row>
    <row r="1705">
      <c r="A1705" s="3">
        <f>IFERROR(__xludf.DUMMYFUNCTION("""COMPUTED_VALUE"""),42242.99861111111)</f>
        <v>42242.99861</v>
      </c>
      <c r="B1705" s="1">
        <f>IFERROR(__xludf.DUMMYFUNCTION("""COMPUTED_VALUE"""),0.6290555106)</f>
        <v>0.6290555106</v>
      </c>
    </row>
    <row r="1706">
      <c r="A1706" s="3">
        <f>IFERROR(__xludf.DUMMYFUNCTION("""COMPUTED_VALUE"""),42243.99861111111)</f>
        <v>42243.99861</v>
      </c>
      <c r="B1706" s="1">
        <f>IFERROR(__xludf.DUMMYFUNCTION("""COMPUTED_VALUE"""),0.6235591896)</f>
        <v>0.6235591896</v>
      </c>
    </row>
    <row r="1707">
      <c r="A1707" s="3">
        <f>IFERROR(__xludf.DUMMYFUNCTION("""COMPUTED_VALUE"""),42244.99861111111)</f>
        <v>42244.99861</v>
      </c>
      <c r="B1707" s="1">
        <f>IFERROR(__xludf.DUMMYFUNCTION("""COMPUTED_VALUE"""),0.6292124653)</f>
        <v>0.6292124653</v>
      </c>
    </row>
    <row r="1708">
      <c r="A1708" s="3">
        <f>IFERROR(__xludf.DUMMYFUNCTION("""COMPUTED_VALUE"""),42247.99861111111)</f>
        <v>42247.99861</v>
      </c>
      <c r="B1708" s="1">
        <f>IFERROR(__xludf.DUMMYFUNCTION("""COMPUTED_VALUE"""),0.63265398)</f>
        <v>0.63265398</v>
      </c>
    </row>
    <row r="1709">
      <c r="A1709" s="3">
        <f>IFERROR(__xludf.DUMMYFUNCTION("""COMPUTED_VALUE"""),42248.99861111111)</f>
        <v>42248.99861</v>
      </c>
      <c r="B1709" s="1">
        <f>IFERROR(__xludf.DUMMYFUNCTION("""COMPUTED_VALUE"""),0.6316264754)</f>
        <v>0.6316264754</v>
      </c>
    </row>
    <row r="1710">
      <c r="A1710" s="3">
        <f>IFERROR(__xludf.DUMMYFUNCTION("""COMPUTED_VALUE"""),42249.99861111111)</f>
        <v>42249.99861</v>
      </c>
      <c r="B1710" s="1">
        <f>IFERROR(__xludf.DUMMYFUNCTION("""COMPUTED_VALUE"""),0.6343115003)</f>
        <v>0.6343115003</v>
      </c>
    </row>
    <row r="1711">
      <c r="A1711" s="3">
        <f>IFERROR(__xludf.DUMMYFUNCTION("""COMPUTED_VALUE"""),42250.99861111111)</f>
        <v>42250.99861</v>
      </c>
      <c r="B1711" s="1">
        <f>IFERROR(__xludf.DUMMYFUNCTION("""COMPUTED_VALUE"""),0.6298137094)</f>
        <v>0.6298137094</v>
      </c>
    </row>
    <row r="1712">
      <c r="A1712" s="3">
        <f>IFERROR(__xludf.DUMMYFUNCTION("""COMPUTED_VALUE"""),42251.99861111111)</f>
        <v>42251.99861</v>
      </c>
      <c r="B1712" s="1">
        <f>IFERROR(__xludf.DUMMYFUNCTION("""COMPUTED_VALUE"""),0.6416459316)</f>
        <v>0.6416459316</v>
      </c>
    </row>
    <row r="1713">
      <c r="A1713" s="3">
        <f>IFERROR(__xludf.DUMMYFUNCTION("""COMPUTED_VALUE"""),42254.99861111111)</f>
        <v>42254.99861</v>
      </c>
      <c r="B1713" s="1">
        <f>IFERROR(__xludf.DUMMYFUNCTION("""COMPUTED_VALUE"""),0.6456062461)</f>
        <v>0.6456062461</v>
      </c>
    </row>
    <row r="1714">
      <c r="A1714" s="3">
        <f>IFERROR(__xludf.DUMMYFUNCTION("""COMPUTED_VALUE"""),42255.99861111111)</f>
        <v>42255.99861</v>
      </c>
      <c r="B1714" s="1">
        <f>IFERROR(__xludf.DUMMYFUNCTION("""COMPUTED_VALUE"""),0.6403473007)</f>
        <v>0.6403473007</v>
      </c>
    </row>
    <row r="1715">
      <c r="A1715" s="3">
        <f>IFERROR(__xludf.DUMMYFUNCTION("""COMPUTED_VALUE"""),42256.99861111111)</f>
        <v>42256.99861</v>
      </c>
      <c r="B1715" s="1">
        <f>IFERROR(__xludf.DUMMYFUNCTION("""COMPUTED_VALUE"""),0.644300754)</f>
        <v>0.644300754</v>
      </c>
    </row>
    <row r="1716">
      <c r="A1716" s="3">
        <f>IFERROR(__xludf.DUMMYFUNCTION("""COMPUTED_VALUE"""),42257.99861111111)</f>
        <v>42257.99861</v>
      </c>
      <c r="B1716" s="1">
        <f>IFERROR(__xludf.DUMMYFUNCTION("""COMPUTED_VALUE"""),0.6433025968)</f>
        <v>0.6433025968</v>
      </c>
    </row>
    <row r="1717">
      <c r="A1717" s="3">
        <f>IFERROR(__xludf.DUMMYFUNCTION("""COMPUTED_VALUE"""),42258.99861111111)</f>
        <v>42258.99861</v>
      </c>
      <c r="B1717" s="1">
        <f>IFERROR(__xludf.DUMMYFUNCTION("""COMPUTED_VALUE"""),0.645030057)</f>
        <v>0.645030057</v>
      </c>
    </row>
    <row r="1718">
      <c r="A1718" s="3">
        <f>IFERROR(__xludf.DUMMYFUNCTION("""COMPUTED_VALUE"""),42261.99861111111)</f>
        <v>42261.99861</v>
      </c>
      <c r="B1718" s="1">
        <f>IFERROR(__xludf.DUMMYFUNCTION("""COMPUTED_VALUE"""),0.6461663471)</f>
        <v>0.6461663471</v>
      </c>
    </row>
    <row r="1719">
      <c r="A1719" s="3">
        <f>IFERROR(__xludf.DUMMYFUNCTION("""COMPUTED_VALUE"""),42262.99861111111)</f>
        <v>42262.99861</v>
      </c>
      <c r="B1719" s="1">
        <f>IFERROR(__xludf.DUMMYFUNCTION("""COMPUTED_VALUE"""),0.6502009248)</f>
        <v>0.6502009248</v>
      </c>
    </row>
    <row r="1720">
      <c r="A1720" s="3">
        <f>IFERROR(__xludf.DUMMYFUNCTION("""COMPUTED_VALUE"""),42263.99861111111)</f>
        <v>42263.99861</v>
      </c>
      <c r="B1720" s="1">
        <f>IFERROR(__xludf.DUMMYFUNCTION("""COMPUTED_VALUE"""),0.6490744797)</f>
        <v>0.6490744797</v>
      </c>
    </row>
    <row r="1721">
      <c r="A1721" s="3">
        <f>IFERROR(__xludf.DUMMYFUNCTION("""COMPUTED_VALUE"""),42264.99861111111)</f>
        <v>42264.99861</v>
      </c>
      <c r="B1721" s="1">
        <f>IFERROR(__xludf.DUMMYFUNCTION("""COMPUTED_VALUE"""),0.6421541962)</f>
        <v>0.6421541962</v>
      </c>
    </row>
    <row r="1722">
      <c r="A1722" s="3">
        <f>IFERROR(__xludf.DUMMYFUNCTION("""COMPUTED_VALUE"""),42265.99861111111)</f>
        <v>42265.99861</v>
      </c>
      <c r="B1722" s="1">
        <f>IFERROR(__xludf.DUMMYFUNCTION("""COMPUTED_VALUE"""),0.6512479635)</f>
        <v>0.6512479635</v>
      </c>
    </row>
    <row r="1723">
      <c r="A1723" s="3">
        <f>IFERROR(__xludf.DUMMYFUNCTION("""COMPUTED_VALUE"""),42268.99861111111)</f>
        <v>42268.99861</v>
      </c>
      <c r="B1723" s="1">
        <f>IFERROR(__xludf.DUMMYFUNCTION("""COMPUTED_VALUE"""),0.6542182766)</f>
        <v>0.6542182766</v>
      </c>
    </row>
    <row r="1724">
      <c r="A1724" s="3">
        <f>IFERROR(__xludf.DUMMYFUNCTION("""COMPUTED_VALUE"""),42269.99861111111)</f>
        <v>42269.99861</v>
      </c>
      <c r="B1724" s="1">
        <f>IFERROR(__xludf.DUMMYFUNCTION("""COMPUTED_VALUE"""),0.6600488336)</f>
        <v>0.6600488336</v>
      </c>
    </row>
    <row r="1725">
      <c r="A1725" s="3">
        <f>IFERROR(__xludf.DUMMYFUNCTION("""COMPUTED_VALUE"""),42270.99861111111)</f>
        <v>42270.99861</v>
      </c>
      <c r="B1725" s="1">
        <f>IFERROR(__xludf.DUMMYFUNCTION("""COMPUTED_VALUE"""),0.6617547326)</f>
        <v>0.6617547326</v>
      </c>
    </row>
    <row r="1726">
      <c r="A1726" s="3">
        <f>IFERROR(__xludf.DUMMYFUNCTION("""COMPUTED_VALUE"""),42271.99861111111)</f>
        <v>42271.99861</v>
      </c>
      <c r="B1726" s="1">
        <f>IFERROR(__xludf.DUMMYFUNCTION("""COMPUTED_VALUE"""),0.6630508458)</f>
        <v>0.6630508458</v>
      </c>
    </row>
    <row r="1727">
      <c r="A1727" s="3">
        <f>IFERROR(__xludf.DUMMYFUNCTION("""COMPUTED_VALUE"""),42272.99861111111)</f>
        <v>42272.99861</v>
      </c>
      <c r="B1727" s="1">
        <f>IFERROR(__xludf.DUMMYFUNCTION("""COMPUTED_VALUE"""),0.6600586996)</f>
        <v>0.6600586996</v>
      </c>
    </row>
    <row r="1728">
      <c r="A1728" s="3">
        <f>IFERROR(__xludf.DUMMYFUNCTION("""COMPUTED_VALUE"""),42275.99861111111)</f>
        <v>42275.99861</v>
      </c>
      <c r="B1728" s="1">
        <f>IFERROR(__xludf.DUMMYFUNCTION("""COMPUTED_VALUE"""),0.6643612626)</f>
        <v>0.6643612626</v>
      </c>
    </row>
    <row r="1729">
      <c r="A1729" s="3">
        <f>IFERROR(__xludf.DUMMYFUNCTION("""COMPUTED_VALUE"""),42276.99861111111)</f>
        <v>42276.99861</v>
      </c>
      <c r="B1729" s="1">
        <f>IFERROR(__xludf.DUMMYFUNCTION("""COMPUTED_VALUE"""),0.6632030576)</f>
        <v>0.6632030576</v>
      </c>
    </row>
    <row r="1730">
      <c r="A1730" s="3">
        <f>IFERROR(__xludf.DUMMYFUNCTION("""COMPUTED_VALUE"""),42277.99861111111)</f>
        <v>42277.99861</v>
      </c>
      <c r="B1730" s="1">
        <f>IFERROR(__xludf.DUMMYFUNCTION("""COMPUTED_VALUE"""),0.6583125874)</f>
        <v>0.6583125874</v>
      </c>
    </row>
    <row r="1731">
      <c r="A1731" s="3">
        <f>IFERROR(__xludf.DUMMYFUNCTION("""COMPUTED_VALUE"""),42278.99861111111)</f>
        <v>42278.99861</v>
      </c>
      <c r="B1731" s="1">
        <f>IFERROR(__xludf.DUMMYFUNCTION("""COMPUTED_VALUE"""),0.6632145354)</f>
        <v>0.6632145354</v>
      </c>
    </row>
    <row r="1732">
      <c r="A1732" s="3">
        <f>IFERROR(__xludf.DUMMYFUNCTION("""COMPUTED_VALUE"""),42279.99861111111)</f>
        <v>42279.99861</v>
      </c>
      <c r="B1732" s="1">
        <f>IFERROR(__xludf.DUMMYFUNCTION("""COMPUTED_VALUE"""),0.6601726687)</f>
        <v>0.6601726687</v>
      </c>
    </row>
    <row r="1733">
      <c r="A1733" s="3">
        <f>IFERROR(__xludf.DUMMYFUNCTION("""COMPUTED_VALUE"""),42282.99861111111)</f>
        <v>42282.99861</v>
      </c>
      <c r="B1733" s="1">
        <f>IFERROR(__xludf.DUMMYFUNCTION("""COMPUTED_VALUE"""),0.652545431)</f>
        <v>0.652545431</v>
      </c>
    </row>
    <row r="1734">
      <c r="A1734" s="3">
        <f>IFERROR(__xludf.DUMMYFUNCTION("""COMPUTED_VALUE"""),42283.99861111111)</f>
        <v>42283.99861</v>
      </c>
      <c r="B1734" s="1">
        <f>IFERROR(__xludf.DUMMYFUNCTION("""COMPUTED_VALUE"""),0.6392071226)</f>
        <v>0.6392071226</v>
      </c>
    </row>
    <row r="1735">
      <c r="A1735" s="3">
        <f>IFERROR(__xludf.DUMMYFUNCTION("""COMPUTED_VALUE"""),42284.99861111111)</f>
        <v>42284.99861</v>
      </c>
      <c r="B1735" s="1">
        <f>IFERROR(__xludf.DUMMYFUNCTION("""COMPUTED_VALUE"""),0.6288552137)</f>
        <v>0.6288552137</v>
      </c>
    </row>
    <row r="1736">
      <c r="A1736" s="3">
        <f>IFERROR(__xludf.DUMMYFUNCTION("""COMPUTED_VALUE"""),42285.99861111111)</f>
        <v>42285.99861</v>
      </c>
      <c r="B1736" s="1">
        <f>IFERROR(__xludf.DUMMYFUNCTION("""COMPUTED_VALUE"""),0.6135895557)</f>
        <v>0.6135895557</v>
      </c>
    </row>
    <row r="1737">
      <c r="A1737" s="3">
        <f>IFERROR(__xludf.DUMMYFUNCTION("""COMPUTED_VALUE"""),42286.99861111111)</f>
        <v>42286.99861</v>
      </c>
      <c r="B1737" s="1">
        <f>IFERROR(__xludf.DUMMYFUNCTION("""COMPUTED_VALUE"""),0.6090256447)</f>
        <v>0.6090256447</v>
      </c>
    </row>
    <row r="1738">
      <c r="A1738" s="3">
        <f>IFERROR(__xludf.DUMMYFUNCTION("""COMPUTED_VALUE"""),42289.99861111111)</f>
        <v>42289.99861</v>
      </c>
      <c r="B1738" s="1">
        <f>IFERROR(__xludf.DUMMYFUNCTION("""COMPUTED_VALUE"""),0.6138388741)</f>
        <v>0.6138388741</v>
      </c>
    </row>
    <row r="1739">
      <c r="A1739" s="3">
        <f>IFERROR(__xludf.DUMMYFUNCTION("""COMPUTED_VALUE"""),42290.99861111111)</f>
        <v>42290.99861</v>
      </c>
      <c r="B1739" s="1">
        <f>IFERROR(__xludf.DUMMYFUNCTION("""COMPUTED_VALUE"""),0.6191037625)</f>
        <v>0.6191037625</v>
      </c>
    </row>
    <row r="1740">
      <c r="A1740" s="3">
        <f>IFERROR(__xludf.DUMMYFUNCTION("""COMPUTED_VALUE"""),42291.99861111111)</f>
        <v>42291.99861</v>
      </c>
      <c r="B1740" s="1">
        <f>IFERROR(__xludf.DUMMYFUNCTION("""COMPUTED_VALUE"""),0.6018245259)</f>
        <v>0.6018245259</v>
      </c>
    </row>
    <row r="1741">
      <c r="A1741" s="3">
        <f>IFERROR(__xludf.DUMMYFUNCTION("""COMPUTED_VALUE"""),42292.99861111111)</f>
        <v>42292.99861</v>
      </c>
      <c r="B1741" s="1">
        <f>IFERROR(__xludf.DUMMYFUNCTION("""COMPUTED_VALUE"""),0.609645127)</f>
        <v>0.609645127</v>
      </c>
    </row>
    <row r="1742">
      <c r="A1742" s="3">
        <f>IFERROR(__xludf.DUMMYFUNCTION("""COMPUTED_VALUE"""),42293.99861111111)</f>
        <v>42293.99861</v>
      </c>
      <c r="B1742" s="1">
        <f>IFERROR(__xludf.DUMMYFUNCTION("""COMPUTED_VALUE"""),0.6151001837)</f>
        <v>0.6151001837</v>
      </c>
    </row>
    <row r="1743">
      <c r="A1743" s="3">
        <f>IFERROR(__xludf.DUMMYFUNCTION("""COMPUTED_VALUE"""),42296.99861111111)</f>
        <v>42296.99861</v>
      </c>
      <c r="B1743" s="1">
        <f>IFERROR(__xludf.DUMMYFUNCTION("""COMPUTED_VALUE"""),0.6219245487)</f>
        <v>0.6219245487</v>
      </c>
    </row>
    <row r="1744">
      <c r="A1744" s="3">
        <f>IFERROR(__xludf.DUMMYFUNCTION("""COMPUTED_VALUE"""),42297.99861111111)</f>
        <v>42297.99861</v>
      </c>
      <c r="B1744" s="1">
        <f>IFERROR(__xludf.DUMMYFUNCTION("""COMPUTED_VALUE"""),0.6245963408)</f>
        <v>0.6245963408</v>
      </c>
    </row>
    <row r="1745">
      <c r="A1745" s="3">
        <f>IFERROR(__xludf.DUMMYFUNCTION("""COMPUTED_VALUE"""),42298.99861111111)</f>
        <v>42298.99861</v>
      </c>
      <c r="B1745" s="1">
        <f>IFERROR(__xludf.DUMMYFUNCTION("""COMPUTED_VALUE"""),0.6237479439)</f>
        <v>0.6237479439</v>
      </c>
    </row>
    <row r="1746">
      <c r="A1746" s="3">
        <f>IFERROR(__xludf.DUMMYFUNCTION("""COMPUTED_VALUE"""),42299.99861111111)</f>
        <v>42299.99861</v>
      </c>
      <c r="B1746" s="1">
        <f>IFERROR(__xludf.DUMMYFUNCTION("""COMPUTED_VALUE"""),0.6018845121)</f>
        <v>0.6018845121</v>
      </c>
    </row>
    <row r="1747">
      <c r="A1747" s="3">
        <f>IFERROR(__xludf.DUMMYFUNCTION("""COMPUTED_VALUE"""),42300.99861111111)</f>
        <v>42300.99861</v>
      </c>
      <c r="B1747" s="1">
        <f>IFERROR(__xludf.DUMMYFUNCTION("""COMPUTED_VALUE"""),0.6155807424)</f>
        <v>0.6155807424</v>
      </c>
    </row>
    <row r="1748">
      <c r="A1748" s="3">
        <f>IFERROR(__xludf.DUMMYFUNCTION("""COMPUTED_VALUE"""),42303.99861111111)</f>
        <v>42303.99861</v>
      </c>
      <c r="B1748" s="1">
        <f>IFERROR(__xludf.DUMMYFUNCTION("""COMPUTED_VALUE"""),0.6195093028)</f>
        <v>0.6195093028</v>
      </c>
    </row>
    <row r="1749">
      <c r="A1749" s="3">
        <f>IFERROR(__xludf.DUMMYFUNCTION("""COMPUTED_VALUE"""),42304.99861111111)</f>
        <v>42304.99861</v>
      </c>
      <c r="B1749" s="1">
        <f>IFERROR(__xludf.DUMMYFUNCTION("""COMPUTED_VALUE"""),0.6215563945)</f>
        <v>0.6215563945</v>
      </c>
    </row>
    <row r="1750">
      <c r="A1750" s="3">
        <f>IFERROR(__xludf.DUMMYFUNCTION("""COMPUTED_VALUE"""),42305.99861111111)</f>
        <v>42305.99861</v>
      </c>
      <c r="B1750" s="1">
        <f>IFERROR(__xludf.DUMMYFUNCTION("""COMPUTED_VALUE"""),0.61911697)</f>
        <v>0.61911697</v>
      </c>
    </row>
    <row r="1751">
      <c r="A1751" s="3">
        <f>IFERROR(__xludf.DUMMYFUNCTION("""COMPUTED_VALUE"""),42306.99861111111)</f>
        <v>42306.99861</v>
      </c>
      <c r="B1751" s="1">
        <f>IFERROR(__xludf.DUMMYFUNCTION("""COMPUTED_VALUE"""),0.6190324471)</f>
        <v>0.6190324471</v>
      </c>
    </row>
    <row r="1752">
      <c r="A1752" s="3">
        <f>IFERROR(__xludf.DUMMYFUNCTION("""COMPUTED_VALUE"""),42307.99861111111)</f>
        <v>42307.99861</v>
      </c>
      <c r="B1752" s="1">
        <f>IFERROR(__xludf.DUMMYFUNCTION("""COMPUTED_VALUE"""),0.6206456892)</f>
        <v>0.6206456892</v>
      </c>
    </row>
    <row r="1753">
      <c r="A1753" s="3">
        <f>IFERROR(__xludf.DUMMYFUNCTION("""COMPUTED_VALUE"""),42310.99861111111)</f>
        <v>42310.99861</v>
      </c>
      <c r="B1753" s="1">
        <f>IFERROR(__xludf.DUMMYFUNCTION("""COMPUTED_VALUE"""),0.618735192)</f>
        <v>0.618735192</v>
      </c>
    </row>
    <row r="1754">
      <c r="A1754" s="3">
        <f>IFERROR(__xludf.DUMMYFUNCTION("""COMPUTED_VALUE"""),42311.99861111111)</f>
        <v>42311.99861</v>
      </c>
      <c r="B1754" s="1">
        <f>IFERROR(__xludf.DUMMYFUNCTION("""COMPUTED_VALUE"""),0.610306178)</f>
        <v>0.610306178</v>
      </c>
    </row>
    <row r="1755">
      <c r="A1755" s="3">
        <f>IFERROR(__xludf.DUMMYFUNCTION("""COMPUTED_VALUE"""),42312.99861111111)</f>
        <v>42312.99861</v>
      </c>
      <c r="B1755" s="1">
        <f>IFERROR(__xludf.DUMMYFUNCTION("""COMPUTED_VALUE"""),0.61345917)</f>
        <v>0.61345917</v>
      </c>
    </row>
    <row r="1756">
      <c r="A1756" s="3">
        <f>IFERROR(__xludf.DUMMYFUNCTION("""COMPUTED_VALUE"""),42313.99861111111)</f>
        <v>42313.99861</v>
      </c>
      <c r="B1756" s="1">
        <f>IFERROR(__xludf.DUMMYFUNCTION("""COMPUTED_VALUE"""),0.6156682384)</f>
        <v>0.6156682384</v>
      </c>
    </row>
    <row r="1757">
      <c r="A1757" s="3">
        <f>IFERROR(__xludf.DUMMYFUNCTION("""COMPUTED_VALUE"""),42314.99861111111)</f>
        <v>42314.99861</v>
      </c>
      <c r="B1757" s="1">
        <f>IFERROR(__xludf.DUMMYFUNCTION("""COMPUTED_VALUE"""),0.6188895442)</f>
        <v>0.6188895442</v>
      </c>
    </row>
    <row r="1758">
      <c r="A1758" s="3">
        <f>IFERROR(__xludf.DUMMYFUNCTION("""COMPUTED_VALUE"""),42317.99861111111)</f>
        <v>42317.99861</v>
      </c>
      <c r="B1758" s="1">
        <f>IFERROR(__xludf.DUMMYFUNCTION("""COMPUTED_VALUE"""),0.6170857372)</f>
        <v>0.6170857372</v>
      </c>
    </row>
    <row r="1759">
      <c r="A1759" s="3">
        <f>IFERROR(__xludf.DUMMYFUNCTION("""COMPUTED_VALUE"""),42318.99861111111)</f>
        <v>42318.99861</v>
      </c>
      <c r="B1759" s="1">
        <f>IFERROR(__xludf.DUMMYFUNCTION("""COMPUTED_VALUE"""),0.6154963326)</f>
        <v>0.6154963326</v>
      </c>
    </row>
    <row r="1760">
      <c r="A1760" s="3">
        <f>IFERROR(__xludf.DUMMYFUNCTION("""COMPUTED_VALUE"""),42319.99861111111)</f>
        <v>42319.99861</v>
      </c>
      <c r="B1760" s="1">
        <f>IFERROR(__xludf.DUMMYFUNCTION("""COMPUTED_VALUE"""),0.6160327912)</f>
        <v>0.6160327912</v>
      </c>
    </row>
    <row r="1761">
      <c r="A1761" s="3">
        <f>IFERROR(__xludf.DUMMYFUNCTION("""COMPUTED_VALUE"""),42320.99861111111)</f>
        <v>42320.99861</v>
      </c>
      <c r="B1761" s="1">
        <f>IFERROR(__xludf.DUMMYFUNCTION("""COMPUTED_VALUE"""),0.623396836)</f>
        <v>0.623396836</v>
      </c>
    </row>
    <row r="1762">
      <c r="A1762" s="3">
        <f>IFERROR(__xludf.DUMMYFUNCTION("""COMPUTED_VALUE"""),42321.99861111111)</f>
        <v>42321.99861</v>
      </c>
      <c r="B1762" s="1">
        <f>IFERROR(__xludf.DUMMYFUNCTION("""COMPUTED_VALUE"""),0.6233218321)</f>
        <v>0.6233218321</v>
      </c>
    </row>
    <row r="1763">
      <c r="A1763" s="3">
        <f>IFERROR(__xludf.DUMMYFUNCTION("""COMPUTED_VALUE"""),42324.99861111111)</f>
        <v>42324.99861</v>
      </c>
      <c r="B1763" s="1">
        <f>IFERROR(__xludf.DUMMYFUNCTION("""COMPUTED_VALUE"""),0.6208052035)</f>
        <v>0.6208052035</v>
      </c>
    </row>
    <row r="1764">
      <c r="A1764" s="3">
        <f>IFERROR(__xludf.DUMMYFUNCTION("""COMPUTED_VALUE"""),42325.99861111111)</f>
        <v>42325.99861</v>
      </c>
      <c r="B1764" s="1">
        <f>IFERROR(__xludf.DUMMYFUNCTION("""COMPUTED_VALUE"""),0.6196648701)</f>
        <v>0.6196648701</v>
      </c>
    </row>
    <row r="1765">
      <c r="A1765" s="3">
        <f>IFERROR(__xludf.DUMMYFUNCTION("""COMPUTED_VALUE"""),42326.99861111111)</f>
        <v>42326.99861</v>
      </c>
      <c r="B1765" s="1">
        <f>IFERROR(__xludf.DUMMYFUNCTION("""COMPUTED_VALUE"""),0.620809926)</f>
        <v>0.620809926</v>
      </c>
    </row>
    <row r="1766">
      <c r="A1766" s="3">
        <f>IFERROR(__xludf.DUMMYFUNCTION("""COMPUTED_VALUE"""),42327.99861111111)</f>
        <v>42327.99861</v>
      </c>
      <c r="B1766" s="1">
        <f>IFERROR(__xludf.DUMMYFUNCTION("""COMPUTED_VALUE"""),0.6178732925)</f>
        <v>0.6178732925</v>
      </c>
    </row>
    <row r="1767">
      <c r="A1767" s="3">
        <f>IFERROR(__xludf.DUMMYFUNCTION("""COMPUTED_VALUE"""),42328.99861111111)</f>
        <v>42328.99861</v>
      </c>
      <c r="B1767" s="1">
        <f>IFERROR(__xludf.DUMMYFUNCTION("""COMPUTED_VALUE"""),0.6108178746)</f>
        <v>0.6108178746</v>
      </c>
    </row>
    <row r="1768">
      <c r="A1768" s="3">
        <f>IFERROR(__xludf.DUMMYFUNCTION("""COMPUTED_VALUE"""),42331.99861111111)</f>
        <v>42331.99861</v>
      </c>
      <c r="B1768" s="1">
        <f>IFERROR(__xludf.DUMMYFUNCTION("""COMPUTED_VALUE"""),0.6186617079)</f>
        <v>0.6186617079</v>
      </c>
    </row>
    <row r="1769">
      <c r="A1769" s="3">
        <f>IFERROR(__xludf.DUMMYFUNCTION("""COMPUTED_VALUE"""),42332.99861111111)</f>
        <v>42332.99861</v>
      </c>
      <c r="B1769" s="1">
        <f>IFERROR(__xludf.DUMMYFUNCTION("""COMPUTED_VALUE"""),0.6159551294)</f>
        <v>0.6159551294</v>
      </c>
    </row>
    <row r="1770">
      <c r="A1770" s="3">
        <f>IFERROR(__xludf.DUMMYFUNCTION("""COMPUTED_VALUE"""),42333.99861111111)</f>
        <v>42333.99861</v>
      </c>
      <c r="B1770" s="1">
        <f>IFERROR(__xludf.DUMMYFUNCTION("""COMPUTED_VALUE"""),0.6160471348)</f>
        <v>0.6160471348</v>
      </c>
    </row>
    <row r="1771">
      <c r="A1771" s="3">
        <f>IFERROR(__xludf.DUMMYFUNCTION("""COMPUTED_VALUE"""),42334.99861111111)</f>
        <v>42334.99861</v>
      </c>
      <c r="B1771" s="1">
        <f>IFERROR(__xludf.DUMMYFUNCTION("""COMPUTED_VALUE"""),0.620650697)</f>
        <v>0.620650697</v>
      </c>
    </row>
    <row r="1772">
      <c r="A1772" s="3">
        <f>IFERROR(__xludf.DUMMYFUNCTION("""COMPUTED_VALUE"""),42335.99861111111)</f>
        <v>42335.99861</v>
      </c>
      <c r="B1772" s="1">
        <f>IFERROR(__xludf.DUMMYFUNCTION("""COMPUTED_VALUE"""),0.6176630424)</f>
        <v>0.6176630424</v>
      </c>
    </row>
    <row r="1773">
      <c r="A1773" s="3">
        <f>IFERROR(__xludf.DUMMYFUNCTION("""COMPUTED_VALUE"""),42338.99861111111)</f>
        <v>42338.99861</v>
      </c>
      <c r="B1773" s="1">
        <f>IFERROR(__xludf.DUMMYFUNCTION("""COMPUTED_VALUE"""),0.6275936762)</f>
        <v>0.6275936762</v>
      </c>
    </row>
    <row r="1774">
      <c r="A1774" s="3">
        <f>IFERROR(__xludf.DUMMYFUNCTION("""COMPUTED_VALUE"""),42339.99861111111)</f>
        <v>42339.99861</v>
      </c>
      <c r="B1774" s="1">
        <f>IFERROR(__xludf.DUMMYFUNCTION("""COMPUTED_VALUE"""),0.6267005152)</f>
        <v>0.6267005152</v>
      </c>
    </row>
    <row r="1775">
      <c r="A1775" s="3">
        <f>IFERROR(__xludf.DUMMYFUNCTION("""COMPUTED_VALUE"""),42340.99861111111)</f>
        <v>42340.99861</v>
      </c>
      <c r="B1775" s="1">
        <f>IFERROR(__xludf.DUMMYFUNCTION("""COMPUTED_VALUE"""),0.6248076739)</f>
        <v>0.6248076739</v>
      </c>
    </row>
    <row r="1776">
      <c r="A1776" s="3">
        <f>IFERROR(__xludf.DUMMYFUNCTION("""COMPUTED_VALUE"""),42341.99861111111)</f>
        <v>42341.99861</v>
      </c>
      <c r="B1776" s="1">
        <f>IFERROR(__xludf.DUMMYFUNCTION("""COMPUTED_VALUE"""),0.6416623664)</f>
        <v>0.6416623664</v>
      </c>
    </row>
    <row r="1777">
      <c r="A1777" s="3">
        <f>IFERROR(__xludf.DUMMYFUNCTION("""COMPUTED_VALUE"""),42342.99861111111)</f>
        <v>42342.99861</v>
      </c>
      <c r="B1777" s="1">
        <f>IFERROR(__xludf.DUMMYFUNCTION("""COMPUTED_VALUE"""),0.6218586145)</f>
        <v>0.6218586145</v>
      </c>
    </row>
    <row r="1778">
      <c r="A1778" s="3">
        <f>IFERROR(__xludf.DUMMYFUNCTION("""COMPUTED_VALUE"""),42345.99861111111)</f>
        <v>42345.99861</v>
      </c>
      <c r="B1778" s="1">
        <f>IFERROR(__xludf.DUMMYFUNCTION("""COMPUTED_VALUE"""),0.6290534611)</f>
        <v>0.6290534611</v>
      </c>
    </row>
    <row r="1779">
      <c r="A1779" s="3">
        <f>IFERROR(__xludf.DUMMYFUNCTION("""COMPUTED_VALUE"""),42346.99861111111)</f>
        <v>42346.99861</v>
      </c>
      <c r="B1779" s="1">
        <f>IFERROR(__xludf.DUMMYFUNCTION("""COMPUTED_VALUE"""),0.634687852)</f>
        <v>0.634687852</v>
      </c>
    </row>
    <row r="1780">
      <c r="A1780" s="3">
        <f>IFERROR(__xludf.DUMMYFUNCTION("""COMPUTED_VALUE"""),42347.99861111111)</f>
        <v>42347.99861</v>
      </c>
      <c r="B1780" s="1">
        <f>IFERROR(__xludf.DUMMYFUNCTION("""COMPUTED_VALUE"""),0.6351234134)</f>
        <v>0.6351234134</v>
      </c>
    </row>
    <row r="1781">
      <c r="A1781" s="3">
        <f>IFERROR(__xludf.DUMMYFUNCTION("""COMPUTED_VALUE"""),42348.99861111111)</f>
        <v>42348.99861</v>
      </c>
      <c r="B1781" s="1">
        <f>IFERROR(__xludf.DUMMYFUNCTION("""COMPUTED_VALUE"""),0.6313760986)</f>
        <v>0.6313760986</v>
      </c>
    </row>
    <row r="1782">
      <c r="A1782" s="3">
        <f>IFERROR(__xludf.DUMMYFUNCTION("""COMPUTED_VALUE"""),42349.99861111111)</f>
        <v>42349.99861</v>
      </c>
      <c r="B1782" s="1">
        <f>IFERROR(__xludf.DUMMYFUNCTION("""COMPUTED_VALUE"""),0.6396269913)</f>
        <v>0.6396269913</v>
      </c>
    </row>
    <row r="1783">
      <c r="A1783" s="3">
        <f>IFERROR(__xludf.DUMMYFUNCTION("""COMPUTED_VALUE"""),42352.99861111111)</f>
        <v>42352.99861</v>
      </c>
      <c r="B1783" s="1">
        <f>IFERROR(__xludf.DUMMYFUNCTION("""COMPUTED_VALUE"""),0.633004695)</f>
        <v>0.633004695</v>
      </c>
    </row>
    <row r="1784">
      <c r="A1784" s="3">
        <f>IFERROR(__xludf.DUMMYFUNCTION("""COMPUTED_VALUE"""),42353.99861111111)</f>
        <v>42353.99861</v>
      </c>
      <c r="B1784" s="1">
        <f>IFERROR(__xludf.DUMMYFUNCTION("""COMPUTED_VALUE"""),0.6252517555)</f>
        <v>0.6252517555</v>
      </c>
    </row>
    <row r="1785">
      <c r="A1785" s="3">
        <f>IFERROR(__xludf.DUMMYFUNCTION("""COMPUTED_VALUE"""),42354.99861111111)</f>
        <v>42354.99861</v>
      </c>
      <c r="B1785" s="1">
        <f>IFERROR(__xludf.DUMMYFUNCTION("""COMPUTED_VALUE"""),0.61990359)</f>
        <v>0.61990359</v>
      </c>
    </row>
    <row r="1786">
      <c r="A1786" s="3">
        <f>IFERROR(__xludf.DUMMYFUNCTION("""COMPUTED_VALUE"""),42355.99861111111)</f>
        <v>42355.99861</v>
      </c>
      <c r="B1786" s="1">
        <f>IFERROR(__xludf.DUMMYFUNCTION("""COMPUTED_VALUE"""),0.6316168846)</f>
        <v>0.6316168846</v>
      </c>
    </row>
    <row r="1787">
      <c r="A1787" s="3">
        <f>IFERROR(__xludf.DUMMYFUNCTION("""COMPUTED_VALUE"""),42356.99861111111)</f>
        <v>42356.99861</v>
      </c>
      <c r="B1787" s="1">
        <f>IFERROR(__xludf.DUMMYFUNCTION("""COMPUTED_VALUE"""),0.6271485431)</f>
        <v>0.6271485431</v>
      </c>
    </row>
    <row r="1788">
      <c r="A1788" s="3">
        <f>IFERROR(__xludf.DUMMYFUNCTION("""COMPUTED_VALUE"""),42359.99861111111)</f>
        <v>42359.99861</v>
      </c>
      <c r="B1788" s="1">
        <f>IFERROR(__xludf.DUMMYFUNCTION("""COMPUTED_VALUE"""),0.6232448483)</f>
        <v>0.6232448483</v>
      </c>
    </row>
    <row r="1789">
      <c r="A1789" s="3">
        <f>IFERROR(__xludf.DUMMYFUNCTION("""COMPUTED_VALUE"""),42360.99861111111)</f>
        <v>42360.99861</v>
      </c>
      <c r="B1789" s="1">
        <f>IFERROR(__xludf.DUMMYFUNCTION("""COMPUTED_VALUE"""),0.6158324576)</f>
        <v>0.6158324576</v>
      </c>
    </row>
    <row r="1790">
      <c r="A1790" s="3">
        <f>IFERROR(__xludf.DUMMYFUNCTION("""COMPUTED_VALUE"""),42361.99861111111)</f>
        <v>42361.99861</v>
      </c>
      <c r="B1790" s="1">
        <f>IFERROR(__xludf.DUMMYFUNCTION("""COMPUTED_VALUE"""),0.6134071601)</f>
        <v>0.6134071601</v>
      </c>
    </row>
    <row r="1791">
      <c r="A1791" s="3">
        <f>IFERROR(__xludf.DUMMYFUNCTION("""COMPUTED_VALUE"""),42362.99861111111)</f>
        <v>42362.99861</v>
      </c>
      <c r="B1791" s="1">
        <f>IFERROR(__xludf.DUMMYFUNCTION("""COMPUTED_VALUE"""),0.6158503417)</f>
        <v>0.6158503417</v>
      </c>
    </row>
    <row r="1792">
      <c r="A1792" s="3">
        <f>IFERROR(__xludf.DUMMYFUNCTION("""COMPUTED_VALUE"""),42363.99861111111)</f>
        <v>42363.99861</v>
      </c>
      <c r="B1792" s="1">
        <f>IFERROR(__xludf.DUMMYFUNCTION("""COMPUTED_VALUE"""),0.6165746808)</f>
        <v>0.6165746808</v>
      </c>
    </row>
    <row r="1793">
      <c r="A1793" s="3">
        <f>IFERROR(__xludf.DUMMYFUNCTION("""COMPUTED_VALUE"""),42366.99861111111)</f>
        <v>42366.99861</v>
      </c>
      <c r="B1793" s="1">
        <f>IFERROR(__xludf.DUMMYFUNCTION("""COMPUTED_VALUE"""),0.6092000617)</f>
        <v>0.6092000617</v>
      </c>
    </row>
    <row r="1794">
      <c r="A1794" s="3">
        <f>IFERROR(__xludf.DUMMYFUNCTION("""COMPUTED_VALUE"""),42367.99861111111)</f>
        <v>42367.99861</v>
      </c>
      <c r="B1794" s="1">
        <f>IFERROR(__xludf.DUMMYFUNCTION("""COMPUTED_VALUE"""),0.6159456071)</f>
        <v>0.6159456071</v>
      </c>
    </row>
    <row r="1795">
      <c r="A1795" s="3">
        <f>IFERROR(__xludf.DUMMYFUNCTION("""COMPUTED_VALUE"""),42368.99861111111)</f>
        <v>42368.99861</v>
      </c>
      <c r="B1795" s="1">
        <f>IFERROR(__xludf.DUMMYFUNCTION("""COMPUTED_VALUE"""),0.6266123502)</f>
        <v>0.6266123502</v>
      </c>
    </row>
    <row r="1796">
      <c r="A1796" s="3">
        <f>IFERROR(__xludf.DUMMYFUNCTION("""COMPUTED_VALUE"""),42369.99861111111)</f>
        <v>42369.99861</v>
      </c>
      <c r="B1796" s="1">
        <f>IFERROR(__xludf.DUMMYFUNCTION("""COMPUTED_VALUE"""),0.6209150262)</f>
        <v>0.6209150262</v>
      </c>
    </row>
    <row r="1797">
      <c r="A1797" s="3">
        <f>IFERROR(__xludf.DUMMYFUNCTION("""COMPUTED_VALUE"""),42370.99861111111)</f>
        <v>42370.99861</v>
      </c>
      <c r="B1797" s="1">
        <f>IFERROR(__xludf.DUMMYFUNCTION("""COMPUTED_VALUE"""),0.621054994)</f>
        <v>0.621054994</v>
      </c>
    </row>
    <row r="1798">
      <c r="A1798" s="3">
        <f>IFERROR(__xludf.DUMMYFUNCTION("""COMPUTED_VALUE"""),42373.99861111111)</f>
        <v>42373.99861</v>
      </c>
      <c r="B1798" s="1">
        <f>IFERROR(__xludf.DUMMYFUNCTION("""COMPUTED_VALUE"""),0.6253136147)</f>
        <v>0.6253136147</v>
      </c>
    </row>
    <row r="1799">
      <c r="A1799" s="3">
        <f>IFERROR(__xludf.DUMMYFUNCTION("""COMPUTED_VALUE"""),42374.99861111111)</f>
        <v>42374.99861</v>
      </c>
      <c r="B1799" s="1">
        <f>IFERROR(__xludf.DUMMYFUNCTION("""COMPUTED_VALUE"""),0.6235039017)</f>
        <v>0.6235039017</v>
      </c>
    </row>
    <row r="1800">
      <c r="A1800" s="3">
        <f>IFERROR(__xludf.DUMMYFUNCTION("""COMPUTED_VALUE"""),42375.99861111111)</f>
        <v>42375.99861</v>
      </c>
      <c r="B1800" s="1">
        <f>IFERROR(__xludf.DUMMYFUNCTION("""COMPUTED_VALUE"""),0.6310701515)</f>
        <v>0.6310701515</v>
      </c>
    </row>
    <row r="1801">
      <c r="A1801" s="3">
        <f>IFERROR(__xludf.DUMMYFUNCTION("""COMPUTED_VALUE"""),42376.99861111111)</f>
        <v>42376.99861</v>
      </c>
      <c r="B1801" s="1">
        <f>IFERROR(__xludf.DUMMYFUNCTION("""COMPUTED_VALUE"""),0.6327791373)</f>
        <v>0.6327791373</v>
      </c>
    </row>
    <row r="1802">
      <c r="A1802" s="3">
        <f>IFERROR(__xludf.DUMMYFUNCTION("""COMPUTED_VALUE"""),42377.99861111111)</f>
        <v>42377.99861</v>
      </c>
      <c r="B1802" s="1">
        <f>IFERROR(__xludf.DUMMYFUNCTION("""COMPUTED_VALUE"""),0.6313062365)</f>
        <v>0.6313062365</v>
      </c>
    </row>
    <row r="1803">
      <c r="A1803" s="3">
        <f>IFERROR(__xludf.DUMMYFUNCTION("""COMPUTED_VALUE"""),42380.99861111111)</f>
        <v>42380.99861</v>
      </c>
      <c r="B1803" s="1">
        <f>IFERROR(__xludf.DUMMYFUNCTION("""COMPUTED_VALUE"""),0.6229130892)</f>
        <v>0.6229130892</v>
      </c>
    </row>
    <row r="1804">
      <c r="A1804" s="3">
        <f>IFERROR(__xludf.DUMMYFUNCTION("""COMPUTED_VALUE"""),42381.99861111111)</f>
        <v>42381.99861</v>
      </c>
      <c r="B1804" s="1">
        <f>IFERROR(__xludf.DUMMYFUNCTION("""COMPUTED_VALUE"""),0.6253966698)</f>
        <v>0.6253966698</v>
      </c>
    </row>
    <row r="1805">
      <c r="A1805" s="3">
        <f>IFERROR(__xludf.DUMMYFUNCTION("""COMPUTED_VALUE"""),42382.99861111111)</f>
        <v>42382.99861</v>
      </c>
      <c r="B1805" s="1">
        <f>IFERROR(__xludf.DUMMYFUNCTION("""COMPUTED_VALUE"""),0.6312166581)</f>
        <v>0.6312166581</v>
      </c>
    </row>
    <row r="1806">
      <c r="A1806" s="3">
        <f>IFERROR(__xludf.DUMMYFUNCTION("""COMPUTED_VALUE"""),42383.99861111111)</f>
        <v>42383.99861</v>
      </c>
      <c r="B1806" s="1">
        <f>IFERROR(__xludf.DUMMYFUNCTION("""COMPUTED_VALUE"""),0.6260471801)</f>
        <v>0.6260471801</v>
      </c>
    </row>
    <row r="1807">
      <c r="A1807" s="3">
        <f>IFERROR(__xludf.DUMMYFUNCTION("""COMPUTED_VALUE"""),42384.99861111111)</f>
        <v>42384.99861</v>
      </c>
      <c r="B1807" s="1">
        <f>IFERROR(__xludf.DUMMYFUNCTION("""COMPUTED_VALUE"""),0.6343578236)</f>
        <v>0.6343578236</v>
      </c>
    </row>
    <row r="1808">
      <c r="A1808" s="3">
        <f>IFERROR(__xludf.DUMMYFUNCTION("""COMPUTED_VALUE"""),42387.99861111111)</f>
        <v>42387.99861</v>
      </c>
      <c r="B1808" s="1">
        <f>IFERROR(__xludf.DUMMYFUNCTION("""COMPUTED_VALUE"""),0.6318631394)</f>
        <v>0.6318631394</v>
      </c>
    </row>
    <row r="1809">
      <c r="A1809" s="3">
        <f>IFERROR(__xludf.DUMMYFUNCTION("""COMPUTED_VALUE"""),42388.99861111111)</f>
        <v>42388.99861</v>
      </c>
      <c r="B1809" s="1">
        <f>IFERROR(__xludf.DUMMYFUNCTION("""COMPUTED_VALUE"""),0.6297527426)</f>
        <v>0.6297527426</v>
      </c>
    </row>
    <row r="1810">
      <c r="A1810" s="3">
        <f>IFERROR(__xludf.DUMMYFUNCTION("""COMPUTED_VALUE"""),42389.99861111111)</f>
        <v>42389.99861</v>
      </c>
      <c r="B1810" s="1">
        <f>IFERROR(__xludf.DUMMYFUNCTION("""COMPUTED_VALUE"""),0.6258487914)</f>
        <v>0.6258487914</v>
      </c>
    </row>
    <row r="1811">
      <c r="A1811" s="3">
        <f>IFERROR(__xludf.DUMMYFUNCTION("""COMPUTED_VALUE"""),42390.99861111111)</f>
        <v>42390.99861</v>
      </c>
      <c r="B1811" s="1">
        <f>IFERROR(__xludf.DUMMYFUNCTION("""COMPUTED_VALUE"""),0.6226935519)</f>
        <v>0.6226935519</v>
      </c>
    </row>
    <row r="1812">
      <c r="A1812" s="3">
        <f>IFERROR(__xludf.DUMMYFUNCTION("""COMPUTED_VALUE"""),42391.99861111111)</f>
        <v>42391.99861</v>
      </c>
      <c r="B1812" s="1">
        <f>IFERROR(__xludf.DUMMYFUNCTION("""COMPUTED_VALUE"""),0.6222051115)</f>
        <v>0.6222051115</v>
      </c>
    </row>
    <row r="1813">
      <c r="A1813" s="3">
        <f>IFERROR(__xludf.DUMMYFUNCTION("""COMPUTED_VALUE"""),42392.99861111111)</f>
        <v>42392.99861</v>
      </c>
      <c r="B1813" s="1">
        <f>IFERROR(__xludf.DUMMYFUNCTION("""COMPUTED_VALUE"""),0.6268855676)</f>
        <v>0.6268855676</v>
      </c>
    </row>
    <row r="1814">
      <c r="A1814" s="3">
        <f>IFERROR(__xludf.DUMMYFUNCTION("""COMPUTED_VALUE"""),42394.99861111111)</f>
        <v>42394.99861</v>
      </c>
      <c r="B1814" s="1">
        <f>IFERROR(__xludf.DUMMYFUNCTION("""COMPUTED_VALUE"""),0.6302118847)</f>
        <v>0.6302118847</v>
      </c>
    </row>
    <row r="1815">
      <c r="A1815" s="3">
        <f>IFERROR(__xludf.DUMMYFUNCTION("""COMPUTED_VALUE"""),42395.99861111111)</f>
        <v>42395.99861</v>
      </c>
      <c r="B1815" s="1">
        <f>IFERROR(__xludf.DUMMYFUNCTION("""COMPUTED_VALUE"""),0.6344272759)</f>
        <v>0.6344272759</v>
      </c>
    </row>
    <row r="1816">
      <c r="A1816" s="3">
        <f>IFERROR(__xludf.DUMMYFUNCTION("""COMPUTED_VALUE"""),42396.99861111111)</f>
        <v>42396.99861</v>
      </c>
      <c r="B1816" s="1">
        <f>IFERROR(__xludf.DUMMYFUNCTION("""COMPUTED_VALUE"""),0.6305450186)</f>
        <v>0.6305450186</v>
      </c>
    </row>
    <row r="1817">
      <c r="A1817" s="3">
        <f>IFERROR(__xludf.DUMMYFUNCTION("""COMPUTED_VALUE"""),42397.99861111111)</f>
        <v>42397.99861</v>
      </c>
      <c r="B1817" s="1">
        <f>IFERROR(__xludf.DUMMYFUNCTION("""COMPUTED_VALUE"""),0.6304676271)</f>
        <v>0.6304676271</v>
      </c>
    </row>
    <row r="1818">
      <c r="A1818" s="3">
        <f>IFERROR(__xludf.DUMMYFUNCTION("""COMPUTED_VALUE"""),42398.99861111111)</f>
        <v>42398.99861</v>
      </c>
      <c r="B1818" s="1">
        <f>IFERROR(__xludf.DUMMYFUNCTION("""COMPUTED_VALUE"""),0.6206880793)</f>
        <v>0.6206880793</v>
      </c>
    </row>
    <row r="1819">
      <c r="A1819" s="3">
        <f>IFERROR(__xludf.DUMMYFUNCTION("""COMPUTED_VALUE"""),42401.99861111111)</f>
        <v>42401.99861</v>
      </c>
      <c r="B1819" s="1">
        <f>IFERROR(__xludf.DUMMYFUNCTION("""COMPUTED_VALUE"""),0.6231141912)</f>
        <v>0.6231141912</v>
      </c>
    </row>
    <row r="1820">
      <c r="A1820" s="3">
        <f>IFERROR(__xludf.DUMMYFUNCTION("""COMPUTED_VALUE"""),42402.99861111111)</f>
        <v>42402.99861</v>
      </c>
      <c r="B1820" s="1">
        <f>IFERROR(__xludf.DUMMYFUNCTION("""COMPUTED_VALUE"""),0.6261400916)</f>
        <v>0.6261400916</v>
      </c>
    </row>
    <row r="1821">
      <c r="A1821" s="3">
        <f>IFERROR(__xludf.DUMMYFUNCTION("""COMPUTED_VALUE"""),42403.99861111111)</f>
        <v>42403.99861</v>
      </c>
      <c r="B1821" s="1">
        <f>IFERROR(__xludf.DUMMYFUNCTION("""COMPUTED_VALUE"""),0.6284762324)</f>
        <v>0.6284762324</v>
      </c>
    </row>
    <row r="1822">
      <c r="A1822" s="3">
        <f>IFERROR(__xludf.DUMMYFUNCTION("""COMPUTED_VALUE"""),42404.99861111111)</f>
        <v>42404.99861</v>
      </c>
      <c r="B1822" s="1">
        <f>IFERROR(__xludf.DUMMYFUNCTION("""COMPUTED_VALUE"""),0.6209853884)</f>
        <v>0.6209853884</v>
      </c>
    </row>
    <row r="1823">
      <c r="A1823" s="3">
        <f>IFERROR(__xludf.DUMMYFUNCTION("""COMPUTED_VALUE"""),42405.99861111111)</f>
        <v>42405.99861</v>
      </c>
      <c r="B1823" s="1">
        <f>IFERROR(__xludf.DUMMYFUNCTION("""COMPUTED_VALUE"""),0.6189348007)</f>
        <v>0.6189348007</v>
      </c>
    </row>
    <row r="1824">
      <c r="A1824" s="3">
        <f>IFERROR(__xludf.DUMMYFUNCTION("""COMPUTED_VALUE"""),42408.99861111111)</f>
        <v>42408.99861</v>
      </c>
      <c r="B1824" s="1">
        <f>IFERROR(__xludf.DUMMYFUNCTION("""COMPUTED_VALUE"""),0.6238197308)</f>
        <v>0.6238197308</v>
      </c>
    </row>
    <row r="1825">
      <c r="A1825" s="3">
        <f>IFERROR(__xludf.DUMMYFUNCTION("""COMPUTED_VALUE"""),42409.99861111111)</f>
        <v>42409.99861</v>
      </c>
      <c r="B1825" s="1">
        <f>IFERROR(__xludf.DUMMYFUNCTION("""COMPUTED_VALUE"""),0.6228468967)</f>
        <v>0.6228468967</v>
      </c>
    </row>
    <row r="1826">
      <c r="A1826" s="3">
        <f>IFERROR(__xludf.DUMMYFUNCTION("""COMPUTED_VALUE"""),42410.99861111111)</f>
        <v>42410.99861</v>
      </c>
      <c r="B1826" s="1">
        <f>IFERROR(__xludf.DUMMYFUNCTION("""COMPUTED_VALUE"""),0.613655021)</f>
        <v>0.613655021</v>
      </c>
    </row>
    <row r="1827">
      <c r="A1827" s="3">
        <f>IFERROR(__xludf.DUMMYFUNCTION("""COMPUTED_VALUE"""),42411.99861111111)</f>
        <v>42411.99861</v>
      </c>
      <c r="B1827" s="1">
        <f>IFERROR(__xludf.DUMMYFUNCTION("""COMPUTED_VALUE"""),0.6136198043)</f>
        <v>0.6136198043</v>
      </c>
    </row>
    <row r="1828">
      <c r="A1828" s="3">
        <f>IFERROR(__xludf.DUMMYFUNCTION("""COMPUTED_VALUE"""),42412.99861111111)</f>
        <v>42412.99861</v>
      </c>
      <c r="B1828" s="1">
        <f>IFERROR(__xludf.DUMMYFUNCTION("""COMPUTED_VALUE"""),0.6130765308)</f>
        <v>0.6130765308</v>
      </c>
    </row>
    <row r="1829">
      <c r="A1829" s="3">
        <f>IFERROR(__xludf.DUMMYFUNCTION("""COMPUTED_VALUE"""),42414.99861111111)</f>
        <v>42414.99861</v>
      </c>
      <c r="B1829" s="1">
        <f>IFERROR(__xludf.DUMMYFUNCTION("""COMPUTED_VALUE"""),0.616952595)</f>
        <v>0.616952595</v>
      </c>
    </row>
    <row r="1830">
      <c r="A1830" s="3">
        <f>IFERROR(__xludf.DUMMYFUNCTION("""COMPUTED_VALUE"""),42415.99861111111)</f>
        <v>42415.99861</v>
      </c>
      <c r="B1830" s="1">
        <f>IFERROR(__xludf.DUMMYFUNCTION("""COMPUTED_VALUE"""),0.6032171549)</f>
        <v>0.6032171549</v>
      </c>
    </row>
    <row r="1831">
      <c r="A1831" s="3">
        <f>IFERROR(__xludf.DUMMYFUNCTION("""COMPUTED_VALUE"""),42416.99861111111)</f>
        <v>42416.99861</v>
      </c>
      <c r="B1831" s="1">
        <f>IFERROR(__xludf.DUMMYFUNCTION("""COMPUTED_VALUE"""),0.6087608455)</f>
        <v>0.6087608455</v>
      </c>
    </row>
    <row r="1832">
      <c r="A1832" s="3">
        <f>IFERROR(__xludf.DUMMYFUNCTION("""COMPUTED_VALUE"""),42417.99861111111)</f>
        <v>42417.99861</v>
      </c>
      <c r="B1832" s="1">
        <f>IFERROR(__xludf.DUMMYFUNCTION("""COMPUTED_VALUE"""),0.6113022885)</f>
        <v>0.6113022885</v>
      </c>
    </row>
    <row r="1833">
      <c r="A1833" s="3">
        <f>IFERROR(__xludf.DUMMYFUNCTION("""COMPUTED_VALUE"""),42418.99861111111)</f>
        <v>42418.99861</v>
      </c>
      <c r="B1833" s="1">
        <f>IFERROR(__xludf.DUMMYFUNCTION("""COMPUTED_VALUE"""),0.6099113383)</f>
        <v>0.6099113383</v>
      </c>
    </row>
    <row r="1834">
      <c r="A1834" s="3">
        <f>IFERROR(__xludf.DUMMYFUNCTION("""COMPUTED_VALUE"""),42419.99861111111)</f>
        <v>42419.99861</v>
      </c>
      <c r="B1834" s="1">
        <f>IFERROR(__xludf.DUMMYFUNCTION("""COMPUTED_VALUE"""),0.6119314431)</f>
        <v>0.6119314431</v>
      </c>
    </row>
    <row r="1835">
      <c r="A1835" s="3">
        <f>IFERROR(__xludf.DUMMYFUNCTION("""COMPUTED_VALUE"""),42420.99861111111)</f>
        <v>42420.99861</v>
      </c>
      <c r="B1835" s="1">
        <f>IFERROR(__xludf.DUMMYFUNCTION("""COMPUTED_VALUE"""),0.6167072155)</f>
        <v>0.6167072155</v>
      </c>
    </row>
    <row r="1836">
      <c r="A1836" s="3">
        <f>IFERROR(__xludf.DUMMYFUNCTION("""COMPUTED_VALUE"""),42422.99861111111)</f>
        <v>42422.99861</v>
      </c>
      <c r="B1836" s="1">
        <f>IFERROR(__xludf.DUMMYFUNCTION("""COMPUTED_VALUE"""),0.6074151281)</f>
        <v>0.6074151281</v>
      </c>
    </row>
    <row r="1837">
      <c r="A1837" s="3">
        <f>IFERROR(__xludf.DUMMYFUNCTION("""COMPUTED_VALUE"""),42423.99861111111)</f>
        <v>42423.99861</v>
      </c>
      <c r="B1837" s="1">
        <f>IFERROR(__xludf.DUMMYFUNCTION("""COMPUTED_VALUE"""),0.6092408268)</f>
        <v>0.6092408268</v>
      </c>
    </row>
    <row r="1838">
      <c r="A1838" s="3">
        <f>IFERROR(__xludf.DUMMYFUNCTION("""COMPUTED_VALUE"""),42424.99861111111)</f>
        <v>42424.99861</v>
      </c>
      <c r="B1838" s="1">
        <f>IFERROR(__xludf.DUMMYFUNCTION("""COMPUTED_VALUE"""),0.611270945)</f>
        <v>0.611270945</v>
      </c>
    </row>
    <row r="1839">
      <c r="A1839" s="3">
        <f>IFERROR(__xludf.DUMMYFUNCTION("""COMPUTED_VALUE"""),42425.99861111111)</f>
        <v>42425.99861</v>
      </c>
      <c r="B1839" s="1">
        <f>IFERROR(__xludf.DUMMYFUNCTION("""COMPUTED_VALUE"""),0.6114272608)</f>
        <v>0.6114272608</v>
      </c>
    </row>
    <row r="1840">
      <c r="A1840" s="3">
        <f>IFERROR(__xludf.DUMMYFUNCTION("""COMPUTED_VALUE"""),42426.99861111111)</f>
        <v>42426.99861</v>
      </c>
      <c r="B1840" s="1">
        <f>IFERROR(__xludf.DUMMYFUNCTION("""COMPUTED_VALUE"""),0.6063685591)</f>
        <v>0.6063685591</v>
      </c>
    </row>
    <row r="1841">
      <c r="A1841" s="3">
        <f>IFERROR(__xludf.DUMMYFUNCTION("""COMPUTED_VALUE"""),42429.99861111111)</f>
        <v>42429.99861</v>
      </c>
      <c r="B1841" s="1">
        <f>IFERROR(__xludf.DUMMYFUNCTION("""COMPUTED_VALUE"""),0.6091335845)</f>
        <v>0.6091335845</v>
      </c>
    </row>
    <row r="1842">
      <c r="A1842" s="3">
        <f>IFERROR(__xludf.DUMMYFUNCTION("""COMPUTED_VALUE"""),42430.99861111111)</f>
        <v>42430.99861</v>
      </c>
      <c r="B1842" s="1">
        <f>IFERROR(__xludf.DUMMYFUNCTION("""COMPUTED_VALUE"""),0.6034349217)</f>
        <v>0.6034349217</v>
      </c>
    </row>
    <row r="1843">
      <c r="A1843" s="3">
        <f>IFERROR(__xludf.DUMMYFUNCTION("""COMPUTED_VALUE"""),42431.99861111111)</f>
        <v>42431.99861</v>
      </c>
      <c r="B1843" s="1">
        <f>IFERROR(__xludf.DUMMYFUNCTION("""COMPUTED_VALUE"""),0.6036815961)</f>
        <v>0.6036815961</v>
      </c>
    </row>
    <row r="1844">
      <c r="A1844" s="3">
        <f>IFERROR(__xludf.DUMMYFUNCTION("""COMPUTED_VALUE"""),42432.99861111111)</f>
        <v>42432.99861</v>
      </c>
      <c r="B1844" s="1">
        <f>IFERROR(__xludf.DUMMYFUNCTION("""COMPUTED_VALUE"""),0.6031119402)</f>
        <v>0.6031119402</v>
      </c>
    </row>
    <row r="1845">
      <c r="A1845" s="3">
        <f>IFERROR(__xludf.DUMMYFUNCTION("""COMPUTED_VALUE"""),42433.99861111111)</f>
        <v>42433.99861</v>
      </c>
      <c r="B1845" s="1">
        <f>IFERROR(__xludf.DUMMYFUNCTION("""COMPUTED_VALUE"""),0.595347981)</f>
        <v>0.595347981</v>
      </c>
    </row>
    <row r="1846">
      <c r="A1846" s="3">
        <f>IFERROR(__xludf.DUMMYFUNCTION("""COMPUTED_VALUE"""),42436.99861111111)</f>
        <v>42436.99861</v>
      </c>
      <c r="B1846" s="1">
        <f>IFERROR(__xludf.DUMMYFUNCTION("""COMPUTED_VALUE"""),0.593092747)</f>
        <v>0.593092747</v>
      </c>
    </row>
    <row r="1847">
      <c r="A1847" s="3">
        <f>IFERROR(__xludf.DUMMYFUNCTION("""COMPUTED_VALUE"""),42437.99861111111)</f>
        <v>42437.99861</v>
      </c>
      <c r="B1847" s="1">
        <f>IFERROR(__xludf.DUMMYFUNCTION("""COMPUTED_VALUE"""),0.6005284953)</f>
        <v>0.6005284953</v>
      </c>
    </row>
    <row r="1848">
      <c r="A1848" s="3">
        <f>IFERROR(__xludf.DUMMYFUNCTION("""COMPUTED_VALUE"""),42438.99861111111)</f>
        <v>42438.99861</v>
      </c>
      <c r="B1848" s="1">
        <f>IFERROR(__xludf.DUMMYFUNCTION("""COMPUTED_VALUE"""),0.5972735138)</f>
        <v>0.5972735138</v>
      </c>
    </row>
    <row r="1849">
      <c r="A1849" s="3">
        <f>IFERROR(__xludf.DUMMYFUNCTION("""COMPUTED_VALUE"""),42439.99861111111)</f>
        <v>42439.99861</v>
      </c>
      <c r="B1849" s="1">
        <f>IFERROR(__xludf.DUMMYFUNCTION("""COMPUTED_VALUE"""),0.5989143803)</f>
        <v>0.5989143803</v>
      </c>
    </row>
    <row r="1850">
      <c r="A1850" s="3">
        <f>IFERROR(__xludf.DUMMYFUNCTION("""COMPUTED_VALUE"""),42440.99861111111)</f>
        <v>42440.99861</v>
      </c>
      <c r="B1850" s="1">
        <f>IFERROR(__xludf.DUMMYFUNCTION("""COMPUTED_VALUE"""),0.5925196808)</f>
        <v>0.5925196808</v>
      </c>
    </row>
    <row r="1851">
      <c r="A1851" s="3">
        <f>IFERROR(__xludf.DUMMYFUNCTION("""COMPUTED_VALUE"""),42443.99861111111)</f>
        <v>42443.99861</v>
      </c>
      <c r="B1851" s="1">
        <f>IFERROR(__xludf.DUMMYFUNCTION("""COMPUTED_VALUE"""),0.5915056481)</f>
        <v>0.5915056481</v>
      </c>
    </row>
    <row r="1852">
      <c r="A1852" s="3">
        <f>IFERROR(__xludf.DUMMYFUNCTION("""COMPUTED_VALUE"""),42444.99861111111)</f>
        <v>42444.99861</v>
      </c>
      <c r="B1852" s="1">
        <f>IFERROR(__xludf.DUMMYFUNCTION("""COMPUTED_VALUE"""),0.598813592)</f>
        <v>0.598813592</v>
      </c>
    </row>
    <row r="1853">
      <c r="A1853" s="3">
        <f>IFERROR(__xludf.DUMMYFUNCTION("""COMPUTED_VALUE"""),42445.99861111111)</f>
        <v>42445.99861</v>
      </c>
      <c r="B1853" s="1">
        <f>IFERROR(__xludf.DUMMYFUNCTION("""COMPUTED_VALUE"""),0.5885063822)</f>
        <v>0.5885063822</v>
      </c>
    </row>
    <row r="1854">
      <c r="A1854" s="3">
        <f>IFERROR(__xludf.DUMMYFUNCTION("""COMPUTED_VALUE"""),42446.99861111111)</f>
        <v>42446.99861</v>
      </c>
      <c r="B1854" s="1">
        <f>IFERROR(__xludf.DUMMYFUNCTION("""COMPUTED_VALUE"""),0.5891059744)</f>
        <v>0.5891059744</v>
      </c>
    </row>
    <row r="1855">
      <c r="A1855" s="3">
        <f>IFERROR(__xludf.DUMMYFUNCTION("""COMPUTED_VALUE"""),42447.99861111111)</f>
        <v>42447.99861</v>
      </c>
      <c r="B1855" s="1">
        <f>IFERROR(__xludf.DUMMYFUNCTION("""COMPUTED_VALUE"""),0.5939863252)</f>
        <v>0.5939863252</v>
      </c>
    </row>
    <row r="1856">
      <c r="A1856" s="3">
        <f>IFERROR(__xludf.DUMMYFUNCTION("""COMPUTED_VALUE"""),42448.99861111111)</f>
        <v>42448.99861</v>
      </c>
      <c r="B1856" s="1">
        <f>IFERROR(__xludf.DUMMYFUNCTION("""COMPUTED_VALUE"""),0.5986605848)</f>
        <v>0.5986605848</v>
      </c>
    </row>
    <row r="1857">
      <c r="A1857" s="3">
        <f>IFERROR(__xludf.DUMMYFUNCTION("""COMPUTED_VALUE"""),42450.99861111111)</f>
        <v>42450.99861</v>
      </c>
      <c r="B1857" s="1">
        <f>IFERROR(__xludf.DUMMYFUNCTION("""COMPUTED_VALUE"""),0.6007564683)</f>
        <v>0.6007564683</v>
      </c>
    </row>
    <row r="1858">
      <c r="A1858" s="3">
        <f>IFERROR(__xludf.DUMMYFUNCTION("""COMPUTED_VALUE"""),42451.99861111111)</f>
        <v>42451.99861</v>
      </c>
      <c r="B1858" s="1">
        <f>IFERROR(__xludf.DUMMYFUNCTION("""COMPUTED_VALUE"""),0.5971557377)</f>
        <v>0.5971557377</v>
      </c>
    </row>
    <row r="1859">
      <c r="A1859" s="3">
        <f>IFERROR(__xludf.DUMMYFUNCTION("""COMPUTED_VALUE"""),42452.99861111111)</f>
        <v>42452.99861</v>
      </c>
      <c r="B1859" s="1">
        <f>IFERROR(__xludf.DUMMYFUNCTION("""COMPUTED_VALUE"""),0.599945512)</f>
        <v>0.599945512</v>
      </c>
    </row>
    <row r="1860">
      <c r="A1860" s="3">
        <f>IFERROR(__xludf.DUMMYFUNCTION("""COMPUTED_VALUE"""),42453.99861111111)</f>
        <v>42453.99861</v>
      </c>
      <c r="B1860" s="1">
        <f>IFERROR(__xludf.DUMMYFUNCTION("""COMPUTED_VALUE"""),0.602293921)</f>
        <v>0.602293921</v>
      </c>
    </row>
    <row r="1861">
      <c r="A1861" s="3">
        <f>IFERROR(__xludf.DUMMYFUNCTION("""COMPUTED_VALUE"""),42454.99861111111)</f>
        <v>42454.99861</v>
      </c>
      <c r="B1861" s="1">
        <f>IFERROR(__xludf.DUMMYFUNCTION("""COMPUTED_VALUE"""),0.5913785286)</f>
        <v>0.5913785286</v>
      </c>
    </row>
    <row r="1862">
      <c r="A1862" s="3">
        <f>IFERROR(__xludf.DUMMYFUNCTION("""COMPUTED_VALUE"""),42457.99861111111)</f>
        <v>42457.99861</v>
      </c>
      <c r="B1862" s="1">
        <f>IFERROR(__xludf.DUMMYFUNCTION("""COMPUTED_VALUE"""),0.596228102)</f>
        <v>0.596228102</v>
      </c>
    </row>
    <row r="1863">
      <c r="A1863" s="3">
        <f>IFERROR(__xludf.DUMMYFUNCTION("""COMPUTED_VALUE"""),42458.99861111111)</f>
        <v>42458.99861</v>
      </c>
      <c r="B1863" s="1">
        <f>IFERROR(__xludf.DUMMYFUNCTION("""COMPUTED_VALUE"""),0.6009209856)</f>
        <v>0.6009209856</v>
      </c>
    </row>
    <row r="1864">
      <c r="A1864" s="3">
        <f>IFERROR(__xludf.DUMMYFUNCTION("""COMPUTED_VALUE"""),42459.99861111111)</f>
        <v>42459.99861</v>
      </c>
      <c r="B1864" s="1">
        <f>IFERROR(__xludf.DUMMYFUNCTION("""COMPUTED_VALUE"""),0.6040421515)</f>
        <v>0.6040421515</v>
      </c>
    </row>
    <row r="1865">
      <c r="A1865" s="3">
        <f>IFERROR(__xludf.DUMMYFUNCTION("""COMPUTED_VALUE"""),42460.99861111111)</f>
        <v>42460.99861</v>
      </c>
      <c r="B1865" s="1">
        <f>IFERROR(__xludf.DUMMYFUNCTION("""COMPUTED_VALUE"""),0.5998905754)</f>
        <v>0.5998905754</v>
      </c>
    </row>
    <row r="1866">
      <c r="A1866" s="3">
        <f>IFERROR(__xludf.DUMMYFUNCTION("""COMPUTED_VALUE"""),42461.99861111111)</f>
        <v>42461.99861</v>
      </c>
      <c r="B1866" s="1">
        <f>IFERROR(__xludf.DUMMYFUNCTION("""COMPUTED_VALUE"""),0.5980409949)</f>
        <v>0.5980409949</v>
      </c>
    </row>
    <row r="1867">
      <c r="A1867" s="3">
        <f>IFERROR(__xludf.DUMMYFUNCTION("""COMPUTED_VALUE"""),42464.99861111111)</f>
        <v>42464.99861</v>
      </c>
      <c r="B1867" s="1">
        <f>IFERROR(__xludf.DUMMYFUNCTION("""COMPUTED_VALUE"""),0.5989061021)</f>
        <v>0.5989061021</v>
      </c>
    </row>
    <row r="1868">
      <c r="A1868" s="3">
        <f>IFERROR(__xludf.DUMMYFUNCTION("""COMPUTED_VALUE"""),42465.99861111111)</f>
        <v>42465.99861</v>
      </c>
      <c r="B1868" s="1">
        <f>IFERROR(__xludf.DUMMYFUNCTION("""COMPUTED_VALUE"""),0.6019045879)</f>
        <v>0.6019045879</v>
      </c>
    </row>
    <row r="1869">
      <c r="A1869" s="3">
        <f>IFERROR(__xludf.DUMMYFUNCTION("""COMPUTED_VALUE"""),42466.99861111111)</f>
        <v>42466.99861</v>
      </c>
      <c r="B1869" s="1">
        <f>IFERROR(__xludf.DUMMYFUNCTION("""COMPUTED_VALUE"""),0.6026168793)</f>
        <v>0.6026168793</v>
      </c>
    </row>
    <row r="1870">
      <c r="A1870" s="3">
        <f>IFERROR(__xludf.DUMMYFUNCTION("""COMPUTED_VALUE"""),42467.99861111111)</f>
        <v>42467.99861</v>
      </c>
      <c r="B1870" s="1">
        <f>IFERROR(__xludf.DUMMYFUNCTION("""COMPUTED_VALUE"""),0.600200489)</f>
        <v>0.600200489</v>
      </c>
    </row>
    <row r="1871">
      <c r="A1871" s="3">
        <f>IFERROR(__xludf.DUMMYFUNCTION("""COMPUTED_VALUE"""),42468.99861111111)</f>
        <v>42468.99861</v>
      </c>
      <c r="B1871" s="1">
        <f>IFERROR(__xludf.DUMMYFUNCTION("""COMPUTED_VALUE"""),0.5975759781)</f>
        <v>0.5975759781</v>
      </c>
    </row>
    <row r="1872">
      <c r="A1872" s="3">
        <f>IFERROR(__xludf.DUMMYFUNCTION("""COMPUTED_VALUE"""),42471.99861111111)</f>
        <v>42471.99861</v>
      </c>
      <c r="B1872" s="1">
        <f>IFERROR(__xludf.DUMMYFUNCTION("""COMPUTED_VALUE"""),0.5968006441)</f>
        <v>0.5968006441</v>
      </c>
    </row>
    <row r="1873">
      <c r="A1873" s="3">
        <f>IFERROR(__xludf.DUMMYFUNCTION("""COMPUTED_VALUE"""),42472.99861111111)</f>
        <v>42472.99861</v>
      </c>
      <c r="B1873" s="1">
        <f>IFERROR(__xludf.DUMMYFUNCTION("""COMPUTED_VALUE"""),0.5954452259)</f>
        <v>0.5954452259</v>
      </c>
    </row>
    <row r="1874">
      <c r="A1874" s="3">
        <f>IFERROR(__xludf.DUMMYFUNCTION("""COMPUTED_VALUE"""),42473.99861111111)</f>
        <v>42473.99861</v>
      </c>
      <c r="B1874" s="1">
        <f>IFERROR(__xludf.DUMMYFUNCTION("""COMPUTED_VALUE"""),0.5990520767)</f>
        <v>0.5990520767</v>
      </c>
    </row>
    <row r="1875">
      <c r="A1875" s="3">
        <f>IFERROR(__xludf.DUMMYFUNCTION("""COMPUTED_VALUE"""),42474.99861111111)</f>
        <v>42474.99861</v>
      </c>
      <c r="B1875" s="1">
        <f>IFERROR(__xludf.DUMMYFUNCTION("""COMPUTED_VALUE"""),0.6001457989)</f>
        <v>0.6001457989</v>
      </c>
    </row>
    <row r="1876">
      <c r="A1876" s="3">
        <f>IFERROR(__xludf.DUMMYFUNCTION("""COMPUTED_VALUE"""),42475.99861111111)</f>
        <v>42475.99861</v>
      </c>
      <c r="B1876" s="1">
        <f>IFERROR(__xludf.DUMMYFUNCTION("""COMPUTED_VALUE"""),0.5986413157)</f>
        <v>0.5986413157</v>
      </c>
    </row>
    <row r="1877">
      <c r="A1877" s="3">
        <f>IFERROR(__xludf.DUMMYFUNCTION("""COMPUTED_VALUE"""),42478.99861111111)</f>
        <v>42478.99861</v>
      </c>
      <c r="B1877" s="1">
        <f>IFERROR(__xludf.DUMMYFUNCTION("""COMPUTED_VALUE"""),0.5962325896)</f>
        <v>0.5962325896</v>
      </c>
    </row>
    <row r="1878">
      <c r="A1878" s="3">
        <f>IFERROR(__xludf.DUMMYFUNCTION("""COMPUTED_VALUE"""),42479.99861111111)</f>
        <v>42479.99861</v>
      </c>
      <c r="B1878" s="1">
        <f>IFERROR(__xludf.DUMMYFUNCTION("""COMPUTED_VALUE"""),0.5962817795)</f>
        <v>0.5962817795</v>
      </c>
    </row>
    <row r="1879">
      <c r="A1879" s="3">
        <f>IFERROR(__xludf.DUMMYFUNCTION("""COMPUTED_VALUE"""),42480.99861111111)</f>
        <v>42480.99861</v>
      </c>
      <c r="B1879" s="1">
        <f>IFERROR(__xludf.DUMMYFUNCTION("""COMPUTED_VALUE"""),0.600118498)</f>
        <v>0.600118498</v>
      </c>
    </row>
    <row r="1880">
      <c r="A1880" s="3">
        <f>IFERROR(__xludf.DUMMYFUNCTION("""COMPUTED_VALUE"""),42481.99861111111)</f>
        <v>42481.99861</v>
      </c>
      <c r="B1880" s="1">
        <f>IFERROR(__xludf.DUMMYFUNCTION("""COMPUTED_VALUE"""),0.5994356964)</f>
        <v>0.5994356964</v>
      </c>
    </row>
    <row r="1881">
      <c r="A1881" s="3">
        <f>IFERROR(__xludf.DUMMYFUNCTION("""COMPUTED_VALUE"""),42482.99861111111)</f>
        <v>42482.99861</v>
      </c>
      <c r="B1881" s="1">
        <f>IFERROR(__xludf.DUMMYFUNCTION("""COMPUTED_VALUE"""),0.6019616662)</f>
        <v>0.6019616662</v>
      </c>
    </row>
    <row r="1882">
      <c r="A1882" s="3">
        <f>IFERROR(__xludf.DUMMYFUNCTION("""COMPUTED_VALUE"""),42485.99861111111)</f>
        <v>42485.99861</v>
      </c>
      <c r="B1882" s="1">
        <f>IFERROR(__xludf.DUMMYFUNCTION("""COMPUTED_VALUE"""),0.601157649)</f>
        <v>0.601157649</v>
      </c>
    </row>
    <row r="1883">
      <c r="A1883" s="3">
        <f>IFERROR(__xludf.DUMMYFUNCTION("""COMPUTED_VALUE"""),42486.99861111111)</f>
        <v>42486.99861</v>
      </c>
      <c r="B1883" s="1">
        <f>IFERROR(__xludf.DUMMYFUNCTION("""COMPUTED_VALUE"""),0.5997629993)</f>
        <v>0.5997629993</v>
      </c>
    </row>
    <row r="1884">
      <c r="A1884" s="3">
        <f>IFERROR(__xludf.DUMMYFUNCTION("""COMPUTED_VALUE"""),42487.99861111111)</f>
        <v>42487.99861</v>
      </c>
      <c r="B1884" s="1">
        <f>IFERROR(__xludf.DUMMYFUNCTION("""COMPUTED_VALUE"""),0.6003011678)</f>
        <v>0.6003011678</v>
      </c>
    </row>
    <row r="1885">
      <c r="A1885" s="3">
        <f>IFERROR(__xludf.DUMMYFUNCTION("""COMPUTED_VALUE"""),42488.99861111111)</f>
        <v>42488.99861</v>
      </c>
      <c r="B1885" s="1">
        <f>IFERROR(__xludf.DUMMYFUNCTION("""COMPUTED_VALUE"""),0.5999179962)</f>
        <v>0.5999179962</v>
      </c>
    </row>
    <row r="1886">
      <c r="A1886" s="3">
        <f>IFERROR(__xludf.DUMMYFUNCTION("""COMPUTED_VALUE"""),42489.99861111111)</f>
        <v>42489.99861</v>
      </c>
      <c r="B1886" s="1">
        <f>IFERROR(__xludf.DUMMYFUNCTION("""COMPUTED_VALUE"""),0.6005834817)</f>
        <v>0.6005834817</v>
      </c>
    </row>
    <row r="1887">
      <c r="A1887" s="3">
        <f>IFERROR(__xludf.DUMMYFUNCTION("""COMPUTED_VALUE"""),42490.99861111111)</f>
        <v>42490.99861</v>
      </c>
      <c r="B1887" s="1">
        <f>IFERROR(__xludf.DUMMYFUNCTION("""COMPUTED_VALUE"""),0.6048825445)</f>
        <v>0.6048825445</v>
      </c>
    </row>
    <row r="1888">
      <c r="A1888" s="3">
        <f>IFERROR(__xludf.DUMMYFUNCTION("""COMPUTED_VALUE"""),42492.99861111111)</f>
        <v>42492.99861</v>
      </c>
      <c r="B1888" s="1">
        <f>IFERROR(__xludf.DUMMYFUNCTION("""COMPUTED_VALUE"""),0.5966646918)</f>
        <v>0.5966646918</v>
      </c>
    </row>
    <row r="1889">
      <c r="A1889" s="3">
        <f>IFERROR(__xludf.DUMMYFUNCTION("""COMPUTED_VALUE"""),42493.99861111111)</f>
        <v>42493.99861</v>
      </c>
      <c r="B1889" s="1">
        <f>IFERROR(__xludf.DUMMYFUNCTION("""COMPUTED_VALUE"""),0.59684939)</f>
        <v>0.59684939</v>
      </c>
    </row>
    <row r="1890">
      <c r="A1890" s="3">
        <f>IFERROR(__xludf.DUMMYFUNCTION("""COMPUTED_VALUE"""),42494.99861111111)</f>
        <v>42494.99861</v>
      </c>
      <c r="B1890" s="1">
        <f>IFERROR(__xludf.DUMMYFUNCTION("""COMPUTED_VALUE"""),0.5998651887)</f>
        <v>0.5998651887</v>
      </c>
    </row>
    <row r="1891">
      <c r="A1891" s="3">
        <f>IFERROR(__xludf.DUMMYFUNCTION("""COMPUTED_VALUE"""),42495.99861111111)</f>
        <v>42495.99861</v>
      </c>
      <c r="B1891" s="1">
        <f>IFERROR(__xludf.DUMMYFUNCTION("""COMPUTED_VALUE"""),0.6072533621)</f>
        <v>0.6072533621</v>
      </c>
    </row>
    <row r="1892">
      <c r="A1892" s="3">
        <f>IFERROR(__xludf.DUMMYFUNCTION("""COMPUTED_VALUE"""),42496.99861111111)</f>
        <v>42496.99861</v>
      </c>
      <c r="B1892" s="1">
        <f>IFERROR(__xludf.DUMMYFUNCTION("""COMPUTED_VALUE"""),0.6067651262)</f>
        <v>0.6067651262</v>
      </c>
    </row>
    <row r="1893">
      <c r="A1893" s="3">
        <f>IFERROR(__xludf.DUMMYFUNCTION("""COMPUTED_VALUE"""),42499.99861111111)</f>
        <v>42499.99861</v>
      </c>
      <c r="B1893" s="1">
        <f>IFERROR(__xludf.DUMMYFUNCTION("""COMPUTED_VALUE"""),0.609458287)</f>
        <v>0.609458287</v>
      </c>
    </row>
    <row r="1894">
      <c r="A1894" s="3">
        <f>IFERROR(__xludf.DUMMYFUNCTION("""COMPUTED_VALUE"""),42500.99861111111)</f>
        <v>42500.99861</v>
      </c>
      <c r="B1894" s="1">
        <f>IFERROR(__xludf.DUMMYFUNCTION("""COMPUTED_VALUE"""),0.6063010066)</f>
        <v>0.6063010066</v>
      </c>
    </row>
    <row r="1895">
      <c r="A1895" s="3">
        <f>IFERROR(__xludf.DUMMYFUNCTION("""COMPUTED_VALUE"""),42501.99861111111)</f>
        <v>42501.99861</v>
      </c>
      <c r="B1895" s="1">
        <f>IFERROR(__xludf.DUMMYFUNCTION("""COMPUTED_VALUE"""),0.6039482027)</f>
        <v>0.6039482027</v>
      </c>
    </row>
    <row r="1896">
      <c r="A1896" s="3">
        <f>IFERROR(__xludf.DUMMYFUNCTION("""COMPUTED_VALUE"""),42502.99861111111)</f>
        <v>42502.99861</v>
      </c>
      <c r="B1896" s="1">
        <f>IFERROR(__xludf.DUMMYFUNCTION("""COMPUTED_VALUE"""),0.6041201393)</f>
        <v>0.6041201393</v>
      </c>
    </row>
    <row r="1897">
      <c r="A1897" s="3">
        <f>IFERROR(__xludf.DUMMYFUNCTION("""COMPUTED_VALUE"""),42503.99861111111)</f>
        <v>42503.99861</v>
      </c>
      <c r="B1897" s="1">
        <f>IFERROR(__xludf.DUMMYFUNCTION("""COMPUTED_VALUE"""),0.607242083)</f>
        <v>0.607242083</v>
      </c>
    </row>
    <row r="1898">
      <c r="A1898" s="3">
        <f>IFERROR(__xludf.DUMMYFUNCTION("""COMPUTED_VALUE"""),42506.99861111111)</f>
        <v>42506.99861</v>
      </c>
      <c r="B1898" s="1">
        <f>IFERROR(__xludf.DUMMYFUNCTION("""COMPUTED_VALUE"""),0.6046025922)</f>
        <v>0.6046025922</v>
      </c>
    </row>
    <row r="1899">
      <c r="A1899" s="3">
        <f>IFERROR(__xludf.DUMMYFUNCTION("""COMPUTED_VALUE"""),42507.99861111111)</f>
        <v>42507.99861</v>
      </c>
      <c r="B1899" s="1">
        <f>IFERROR(__xludf.DUMMYFUNCTION("""COMPUTED_VALUE"""),0.6067149544)</f>
        <v>0.6067149544</v>
      </c>
    </row>
    <row r="1900">
      <c r="A1900" s="3">
        <f>IFERROR(__xludf.DUMMYFUNCTION("""COMPUTED_VALUE"""),42508.99861111111)</f>
        <v>42508.99861</v>
      </c>
      <c r="B1900" s="1">
        <f>IFERROR(__xludf.DUMMYFUNCTION("""COMPUTED_VALUE"""),0.6125193707)</f>
        <v>0.6125193707</v>
      </c>
    </row>
    <row r="1901">
      <c r="A1901" s="3">
        <f>IFERROR(__xludf.DUMMYFUNCTION("""COMPUTED_VALUE"""),42509.99861111111)</f>
        <v>42509.99861</v>
      </c>
      <c r="B1901" s="1">
        <f>IFERROR(__xludf.DUMMYFUNCTION("""COMPUTED_VALUE"""),0.6192775367)</f>
        <v>0.6192775367</v>
      </c>
    </row>
    <row r="1902">
      <c r="A1902" s="3">
        <f>IFERROR(__xludf.DUMMYFUNCTION("""COMPUTED_VALUE"""),42510.99861111111)</f>
        <v>42510.99861</v>
      </c>
      <c r="B1902" s="1">
        <f>IFERROR(__xludf.DUMMYFUNCTION("""COMPUTED_VALUE"""),0.6194508876)</f>
        <v>0.6194508876</v>
      </c>
    </row>
    <row r="1903">
      <c r="A1903" s="3">
        <f>IFERROR(__xludf.DUMMYFUNCTION("""COMPUTED_VALUE"""),42513.99861111111)</f>
        <v>42513.99861</v>
      </c>
      <c r="B1903" s="1">
        <f>IFERROR(__xludf.DUMMYFUNCTION("""COMPUTED_VALUE"""),0.6166879114)</f>
        <v>0.6166879114</v>
      </c>
    </row>
    <row r="1904">
      <c r="A1904" s="3">
        <f>IFERROR(__xludf.DUMMYFUNCTION("""COMPUTED_VALUE"""),42514.99861111111)</f>
        <v>42514.99861</v>
      </c>
      <c r="B1904" s="1">
        <f>IFERROR(__xludf.DUMMYFUNCTION("""COMPUTED_VALUE"""),0.6176604384)</f>
        <v>0.6176604384</v>
      </c>
    </row>
    <row r="1905">
      <c r="A1905" s="3">
        <f>IFERROR(__xludf.DUMMYFUNCTION("""COMPUTED_VALUE"""),42515.99861111111)</f>
        <v>42515.99861</v>
      </c>
      <c r="B1905" s="1">
        <f>IFERROR(__xludf.DUMMYFUNCTION("""COMPUTED_VALUE"""),0.6187141875)</f>
        <v>0.6187141875</v>
      </c>
    </row>
    <row r="1906">
      <c r="A1906" s="3">
        <f>IFERROR(__xludf.DUMMYFUNCTION("""COMPUTED_VALUE"""),42516.99861111111)</f>
        <v>42516.99861</v>
      </c>
      <c r="B1906" s="1">
        <f>IFERROR(__xludf.DUMMYFUNCTION("""COMPUTED_VALUE"""),0.6152483836)</f>
        <v>0.6152483836</v>
      </c>
    </row>
    <row r="1907">
      <c r="A1907" s="3">
        <f>IFERROR(__xludf.DUMMYFUNCTION("""COMPUTED_VALUE"""),42517.99861111111)</f>
        <v>42517.99861</v>
      </c>
      <c r="B1907" s="1">
        <f>IFERROR(__xludf.DUMMYFUNCTION("""COMPUTED_VALUE"""),0.615468399)</f>
        <v>0.615468399</v>
      </c>
    </row>
    <row r="1908">
      <c r="A1908" s="3">
        <f>IFERROR(__xludf.DUMMYFUNCTION("""COMPUTED_VALUE"""),42520.99861111111)</f>
        <v>42520.99861</v>
      </c>
      <c r="B1908" s="1">
        <f>IFERROR(__xludf.DUMMYFUNCTION("""COMPUTED_VALUE"""),0.6179897511)</f>
        <v>0.6179897511</v>
      </c>
    </row>
    <row r="1909">
      <c r="A1909" s="3">
        <f>IFERROR(__xludf.DUMMYFUNCTION("""COMPUTED_VALUE"""),42521.99861111111)</f>
        <v>42521.99861</v>
      </c>
      <c r="B1909" s="1">
        <f>IFERROR(__xludf.DUMMYFUNCTION("""COMPUTED_VALUE"""),0.6195731061)</f>
        <v>0.6195731061</v>
      </c>
    </row>
    <row r="1910">
      <c r="A1910" s="3">
        <f>IFERROR(__xludf.DUMMYFUNCTION("""COMPUTED_VALUE"""),42522.99861111111)</f>
        <v>42522.99861</v>
      </c>
      <c r="B1910" s="1">
        <f>IFERROR(__xludf.DUMMYFUNCTION("""COMPUTED_VALUE"""),0.6163669988)</f>
        <v>0.6163669988</v>
      </c>
    </row>
    <row r="1911">
      <c r="A1911" s="3">
        <f>IFERROR(__xludf.DUMMYFUNCTION("""COMPUTED_VALUE"""),42523.99861111111)</f>
        <v>42523.99861</v>
      </c>
      <c r="B1911" s="1">
        <f>IFERROR(__xludf.DUMMYFUNCTION("""COMPUTED_VALUE"""),0.613671198)</f>
        <v>0.613671198</v>
      </c>
    </row>
    <row r="1912">
      <c r="A1912" s="3">
        <f>IFERROR(__xludf.DUMMYFUNCTION("""COMPUTED_VALUE"""),42524.99861111111)</f>
        <v>42524.99861</v>
      </c>
      <c r="B1912" s="1">
        <f>IFERROR(__xludf.DUMMYFUNCTION("""COMPUTED_VALUE"""),0.6084984773)</f>
        <v>0.6084984773</v>
      </c>
    </row>
    <row r="1913">
      <c r="A1913" s="3">
        <f>IFERROR(__xludf.DUMMYFUNCTION("""COMPUTED_VALUE"""),42527.99861111111)</f>
        <v>42527.99861</v>
      </c>
      <c r="B1913" s="1">
        <f>IFERROR(__xludf.DUMMYFUNCTION("""COMPUTED_VALUE"""),0.6063235252)</f>
        <v>0.6063235252</v>
      </c>
    </row>
    <row r="1914">
      <c r="A1914" s="3">
        <f>IFERROR(__xludf.DUMMYFUNCTION("""COMPUTED_VALUE"""),42528.99861111111)</f>
        <v>42528.99861</v>
      </c>
      <c r="B1914" s="1">
        <f>IFERROR(__xludf.DUMMYFUNCTION("""COMPUTED_VALUE"""),0.6014459751)</f>
        <v>0.6014459751</v>
      </c>
    </row>
    <row r="1915">
      <c r="A1915" s="3">
        <f>IFERROR(__xludf.DUMMYFUNCTION("""COMPUTED_VALUE"""),42529.99861111111)</f>
        <v>42529.99861</v>
      </c>
      <c r="B1915" s="1">
        <f>IFERROR(__xludf.DUMMYFUNCTION("""COMPUTED_VALUE"""),0.6012110656)</f>
        <v>0.6012110656</v>
      </c>
    </row>
    <row r="1916">
      <c r="A1916" s="3">
        <f>IFERROR(__xludf.DUMMYFUNCTION("""COMPUTED_VALUE"""),42530.99861111111)</f>
        <v>42530.99861</v>
      </c>
      <c r="B1916" s="1">
        <f>IFERROR(__xludf.DUMMYFUNCTION("""COMPUTED_VALUE"""),0.6022727212)</f>
        <v>0.6022727212</v>
      </c>
    </row>
    <row r="1917">
      <c r="A1917" s="3">
        <f>IFERROR(__xludf.DUMMYFUNCTION("""COMPUTED_VALUE"""),42531.99861111111)</f>
        <v>42531.99861</v>
      </c>
      <c r="B1917" s="1">
        <f>IFERROR(__xludf.DUMMYFUNCTION("""COMPUTED_VALUE"""),0.6065819963)</f>
        <v>0.6065819963</v>
      </c>
    </row>
    <row r="1918">
      <c r="A1918" s="3">
        <f>IFERROR(__xludf.DUMMYFUNCTION("""COMPUTED_VALUE"""),42534.99861111111)</f>
        <v>42534.99861</v>
      </c>
      <c r="B1918" s="1">
        <f>IFERROR(__xludf.DUMMYFUNCTION("""COMPUTED_VALUE"""),0.6066857894)</f>
        <v>0.6066857894</v>
      </c>
    </row>
    <row r="1919">
      <c r="A1919" s="3">
        <f>IFERROR(__xludf.DUMMYFUNCTION("""COMPUTED_VALUE"""),42535.99861111111)</f>
        <v>42535.99861</v>
      </c>
      <c r="B1919" s="1">
        <f>IFERROR(__xludf.DUMMYFUNCTION("""COMPUTED_VALUE"""),0.6084776608)</f>
        <v>0.6084776608</v>
      </c>
    </row>
    <row r="1920">
      <c r="A1920" s="3">
        <f>IFERROR(__xludf.DUMMYFUNCTION("""COMPUTED_VALUE"""),42536.99861111111)</f>
        <v>42536.99861</v>
      </c>
      <c r="B1920" s="1">
        <f>IFERROR(__xludf.DUMMYFUNCTION("""COMPUTED_VALUE"""),0.6087194845)</f>
        <v>0.6087194845</v>
      </c>
    </row>
    <row r="1921">
      <c r="A1921" s="3">
        <f>IFERROR(__xludf.DUMMYFUNCTION("""COMPUTED_VALUE"""),42537.99861111111)</f>
        <v>42537.99861</v>
      </c>
      <c r="B1921" s="1">
        <f>IFERROR(__xludf.DUMMYFUNCTION("""COMPUTED_VALUE"""),0.6084545393)</f>
        <v>0.6084545393</v>
      </c>
    </row>
    <row r="1922">
      <c r="A1922" s="3">
        <f>IFERROR(__xludf.DUMMYFUNCTION("""COMPUTED_VALUE"""),42538.99861111111)</f>
        <v>42538.99861</v>
      </c>
      <c r="B1922" s="1">
        <f>IFERROR(__xludf.DUMMYFUNCTION("""COMPUTED_VALUE"""),0.6082671672)</f>
        <v>0.6082671672</v>
      </c>
    </row>
    <row r="1923">
      <c r="A1923" s="3">
        <f>IFERROR(__xludf.DUMMYFUNCTION("""COMPUTED_VALUE"""),42540.99861111111)</f>
        <v>42540.99861</v>
      </c>
      <c r="B1923" s="1">
        <f>IFERROR(__xludf.DUMMYFUNCTION("""COMPUTED_VALUE"""),0.6120417669)</f>
        <v>0.6120417669</v>
      </c>
    </row>
    <row r="1924">
      <c r="A1924" s="3">
        <f>IFERROR(__xludf.DUMMYFUNCTION("""COMPUTED_VALUE"""),42541.99861111111)</f>
        <v>42541.99861</v>
      </c>
      <c r="B1924" s="1">
        <f>IFERROR(__xludf.DUMMYFUNCTION("""COMPUTED_VALUE"""),0.6030676682)</f>
        <v>0.6030676682</v>
      </c>
    </row>
    <row r="1925">
      <c r="A1925" s="3">
        <f>IFERROR(__xludf.DUMMYFUNCTION("""COMPUTED_VALUE"""),42542.99861111111)</f>
        <v>42542.99861</v>
      </c>
      <c r="B1925" s="1">
        <f>IFERROR(__xludf.DUMMYFUNCTION("""COMPUTED_VALUE"""),0.6000452607)</f>
        <v>0.6000452607</v>
      </c>
    </row>
    <row r="1926">
      <c r="A1926" s="3">
        <f>IFERROR(__xludf.DUMMYFUNCTION("""COMPUTED_VALUE"""),42543.99861111111)</f>
        <v>42543.99861</v>
      </c>
      <c r="B1926" s="1">
        <f>IFERROR(__xludf.DUMMYFUNCTION("""COMPUTED_VALUE"""),0.6041666562)</f>
        <v>0.6041666562</v>
      </c>
    </row>
    <row r="1927">
      <c r="A1927" s="3">
        <f>IFERROR(__xludf.DUMMYFUNCTION("""COMPUTED_VALUE"""),42544.99861111111)</f>
        <v>42544.99861</v>
      </c>
      <c r="B1927" s="1">
        <f>IFERROR(__xludf.DUMMYFUNCTION("""COMPUTED_VALUE"""),0.6027110577)</f>
        <v>0.6027110577</v>
      </c>
    </row>
    <row r="1928">
      <c r="A1928" s="3">
        <f>IFERROR(__xludf.DUMMYFUNCTION("""COMPUTED_VALUE"""),42545.99861111111)</f>
        <v>42545.99861</v>
      </c>
      <c r="B1928" s="1">
        <f>IFERROR(__xludf.DUMMYFUNCTION("""COMPUTED_VALUE"""),0.612688955)</f>
        <v>0.612688955</v>
      </c>
    </row>
    <row r="1929">
      <c r="A1929" s="3">
        <f>IFERROR(__xludf.DUMMYFUNCTION("""COMPUTED_VALUE"""),42548.99861111111)</f>
        <v>42548.99861</v>
      </c>
      <c r="B1929" s="1">
        <f>IFERROR(__xludf.DUMMYFUNCTION("""COMPUTED_VALUE"""),0.609239865)</f>
        <v>0.609239865</v>
      </c>
    </row>
    <row r="1930">
      <c r="A1930" s="3">
        <f>IFERROR(__xludf.DUMMYFUNCTION("""COMPUTED_VALUE"""),42549.99861111111)</f>
        <v>42549.99861</v>
      </c>
      <c r="B1930" s="1">
        <f>IFERROR(__xludf.DUMMYFUNCTION("""COMPUTED_VALUE"""),0.5984266276)</f>
        <v>0.5984266276</v>
      </c>
    </row>
    <row r="1931">
      <c r="A1931" s="3">
        <f>IFERROR(__xludf.DUMMYFUNCTION("""COMPUTED_VALUE"""),42550.99861111111)</f>
        <v>42550.99861</v>
      </c>
      <c r="B1931" s="1">
        <f>IFERROR(__xludf.DUMMYFUNCTION("""COMPUTED_VALUE"""),0.6003655431)</f>
        <v>0.6003655431</v>
      </c>
    </row>
    <row r="1932">
      <c r="A1932" s="3">
        <f>IFERROR(__xludf.DUMMYFUNCTION("""COMPUTED_VALUE"""),42551.99861111111)</f>
        <v>42551.99861</v>
      </c>
      <c r="B1932" s="1">
        <f>IFERROR(__xludf.DUMMYFUNCTION("""COMPUTED_VALUE"""),0.5981931987)</f>
        <v>0.5981931987</v>
      </c>
    </row>
    <row r="1933">
      <c r="A1933" s="3">
        <f>IFERROR(__xludf.DUMMYFUNCTION("""COMPUTED_VALUE"""),42552.99861111111)</f>
        <v>42552.99861</v>
      </c>
      <c r="B1933" s="1">
        <f>IFERROR(__xludf.DUMMYFUNCTION("""COMPUTED_VALUE"""),0.5985577932)</f>
        <v>0.5985577932</v>
      </c>
    </row>
    <row r="1934">
      <c r="A1934" s="3">
        <f>IFERROR(__xludf.DUMMYFUNCTION("""COMPUTED_VALUE"""),42553.99861111111)</f>
        <v>42553.99861</v>
      </c>
      <c r="B1934" s="1">
        <f>IFERROR(__xludf.DUMMYFUNCTION("""COMPUTED_VALUE"""),0.5989388803)</f>
        <v>0.5989388803</v>
      </c>
    </row>
    <row r="1935">
      <c r="A1935" s="3">
        <f>IFERROR(__xludf.DUMMYFUNCTION("""COMPUTED_VALUE"""),42555.99861111111)</f>
        <v>42555.99861</v>
      </c>
      <c r="B1935" s="1">
        <f>IFERROR(__xludf.DUMMYFUNCTION("""COMPUTED_VALUE"""),0.5965922013)</f>
        <v>0.5965922013</v>
      </c>
    </row>
    <row r="1936">
      <c r="A1936" s="3">
        <f>IFERROR(__xludf.DUMMYFUNCTION("""COMPUTED_VALUE"""),42556.99861111111)</f>
        <v>42556.99861</v>
      </c>
      <c r="B1936" s="1">
        <f>IFERROR(__xludf.DUMMYFUNCTION("""COMPUTED_VALUE"""),0.5950981215)</f>
        <v>0.5950981215</v>
      </c>
    </row>
    <row r="1937">
      <c r="A1937" s="3">
        <f>IFERROR(__xludf.DUMMYFUNCTION("""COMPUTED_VALUE"""),42557.99861111111)</f>
        <v>42557.99861</v>
      </c>
      <c r="B1937" s="1">
        <f>IFERROR(__xludf.DUMMYFUNCTION("""COMPUTED_VALUE"""),0.6037839211)</f>
        <v>0.6037839211</v>
      </c>
    </row>
    <row r="1938">
      <c r="A1938" s="3">
        <f>IFERROR(__xludf.DUMMYFUNCTION("""COMPUTED_VALUE"""),42558.99861111111)</f>
        <v>42558.99861</v>
      </c>
      <c r="B1938" s="1">
        <f>IFERROR(__xludf.DUMMYFUNCTION("""COMPUTED_VALUE"""),0.5961590968)</f>
        <v>0.5961590968</v>
      </c>
    </row>
    <row r="1939">
      <c r="A1939" s="3">
        <f>IFERROR(__xludf.DUMMYFUNCTION("""COMPUTED_VALUE"""),42559.99861111111)</f>
        <v>42559.99861</v>
      </c>
      <c r="B1939" s="1">
        <f>IFERROR(__xludf.DUMMYFUNCTION("""COMPUTED_VALUE"""),0.5966309942)</f>
        <v>0.5966309942</v>
      </c>
    </row>
    <row r="1940">
      <c r="A1940" s="3">
        <f>IFERROR(__xludf.DUMMYFUNCTION("""COMPUTED_VALUE"""),42560.99861111111)</f>
        <v>42560.99861</v>
      </c>
      <c r="B1940" s="1">
        <f>IFERROR(__xludf.DUMMYFUNCTION("""COMPUTED_VALUE"""),0.5982517545)</f>
        <v>0.5982517545</v>
      </c>
    </row>
    <row r="1941">
      <c r="A1941" s="3">
        <f>IFERROR(__xludf.DUMMYFUNCTION("""COMPUTED_VALUE"""),42562.99861111111)</f>
        <v>42562.99861</v>
      </c>
      <c r="B1941" s="1">
        <f>IFERROR(__xludf.DUMMYFUNCTION("""COMPUTED_VALUE"""),0.5987313443)</f>
        <v>0.5987313443</v>
      </c>
    </row>
    <row r="1942">
      <c r="A1942" s="3">
        <f>IFERROR(__xludf.DUMMYFUNCTION("""COMPUTED_VALUE"""),42563.99861111111)</f>
        <v>42563.99861</v>
      </c>
      <c r="B1942" s="1">
        <f>IFERROR(__xludf.DUMMYFUNCTION("""COMPUTED_VALUE"""),0.5943181758)</f>
        <v>0.5943181758</v>
      </c>
    </row>
    <row r="1943">
      <c r="A1943" s="3">
        <f>IFERROR(__xludf.DUMMYFUNCTION("""COMPUTED_VALUE"""),42564.99861111111)</f>
        <v>42564.99861</v>
      </c>
      <c r="B1943" s="1">
        <f>IFERROR(__xludf.DUMMYFUNCTION("""COMPUTED_VALUE"""),0.5936958191)</f>
        <v>0.5936958191</v>
      </c>
    </row>
    <row r="1944">
      <c r="A1944" s="3">
        <f>IFERROR(__xludf.DUMMYFUNCTION("""COMPUTED_VALUE"""),42565.99861111111)</f>
        <v>42565.99861</v>
      </c>
      <c r="B1944" s="1">
        <f>IFERROR(__xludf.DUMMYFUNCTION("""COMPUTED_VALUE"""),0.5941407225)</f>
        <v>0.5941407225</v>
      </c>
    </row>
    <row r="1945">
      <c r="A1945" s="3">
        <f>IFERROR(__xludf.DUMMYFUNCTION("""COMPUTED_VALUE"""),42566.99861111111)</f>
        <v>42566.99861</v>
      </c>
      <c r="B1945" s="1">
        <f>IFERROR(__xludf.DUMMYFUNCTION("""COMPUTED_VALUE"""),0.5896532943)</f>
        <v>0.5896532943</v>
      </c>
    </row>
    <row r="1946">
      <c r="A1946" s="3">
        <f>IFERROR(__xludf.DUMMYFUNCTION("""COMPUTED_VALUE"""),42567.99861111111)</f>
        <v>42567.99861</v>
      </c>
      <c r="B1946" s="1">
        <f>IFERROR(__xludf.DUMMYFUNCTION("""COMPUTED_VALUE"""),0.593982023)</f>
        <v>0.593982023</v>
      </c>
    </row>
    <row r="1947">
      <c r="A1947" s="3">
        <f>IFERROR(__xludf.DUMMYFUNCTION("""COMPUTED_VALUE"""),42569.99861111111)</f>
        <v>42569.99861</v>
      </c>
      <c r="B1947" s="1">
        <f>IFERROR(__xludf.DUMMYFUNCTION("""COMPUTED_VALUE"""),0.5975782459)</f>
        <v>0.5975782459</v>
      </c>
    </row>
    <row r="1948">
      <c r="A1948" s="3">
        <f>IFERROR(__xludf.DUMMYFUNCTION("""COMPUTED_VALUE"""),42570.99861111111)</f>
        <v>42570.99861</v>
      </c>
      <c r="B1948" s="1">
        <f>IFERROR(__xludf.DUMMYFUNCTION("""COMPUTED_VALUE"""),0.5946498218)</f>
        <v>0.5946498218</v>
      </c>
    </row>
    <row r="1949">
      <c r="A1949" s="3">
        <f>IFERROR(__xludf.DUMMYFUNCTION("""COMPUTED_VALUE"""),42571.99861111111)</f>
        <v>42571.99861</v>
      </c>
      <c r="B1949" s="1">
        <f>IFERROR(__xludf.DUMMYFUNCTION("""COMPUTED_VALUE"""),0.5975014807)</f>
        <v>0.5975014807</v>
      </c>
    </row>
    <row r="1950">
      <c r="A1950" s="3">
        <f>IFERROR(__xludf.DUMMYFUNCTION("""COMPUTED_VALUE"""),42572.99861111111)</f>
        <v>42572.99861</v>
      </c>
      <c r="B1950" s="1">
        <f>IFERROR(__xludf.DUMMYFUNCTION("""COMPUTED_VALUE"""),0.5980477106)</f>
        <v>0.5980477106</v>
      </c>
    </row>
    <row r="1951">
      <c r="A1951" s="3">
        <f>IFERROR(__xludf.DUMMYFUNCTION("""COMPUTED_VALUE"""),42573.99861111111)</f>
        <v>42573.99861</v>
      </c>
      <c r="B1951" s="1">
        <f>IFERROR(__xludf.DUMMYFUNCTION("""COMPUTED_VALUE"""),0.5954229613)</f>
        <v>0.5954229613</v>
      </c>
    </row>
    <row r="1952">
      <c r="A1952" s="3">
        <f>IFERROR(__xludf.DUMMYFUNCTION("""COMPUTED_VALUE"""),42576.99861111111)</f>
        <v>42576.99861</v>
      </c>
      <c r="B1952" s="1">
        <f>IFERROR(__xludf.DUMMYFUNCTION("""COMPUTED_VALUE"""),0.5970999827)</f>
        <v>0.5970999827</v>
      </c>
    </row>
    <row r="1953">
      <c r="A1953" s="3">
        <f>IFERROR(__xludf.DUMMYFUNCTION("""COMPUTED_VALUE"""),42577.99861111111)</f>
        <v>42577.99861</v>
      </c>
      <c r="B1953" s="1">
        <f>IFERROR(__xludf.DUMMYFUNCTION("""COMPUTED_VALUE"""),0.5989806131)</f>
        <v>0.5989806131</v>
      </c>
    </row>
    <row r="1954">
      <c r="A1954" s="3">
        <f>IFERROR(__xludf.DUMMYFUNCTION("""COMPUTED_VALUE"""),42578.99861111111)</f>
        <v>42578.99861</v>
      </c>
      <c r="B1954" s="1">
        <f>IFERROR(__xludf.DUMMYFUNCTION("""COMPUTED_VALUE"""),0.6002474554)</f>
        <v>0.6002474554</v>
      </c>
    </row>
    <row r="1955">
      <c r="A1955" s="3">
        <f>IFERROR(__xludf.DUMMYFUNCTION("""COMPUTED_VALUE"""),42579.99861111111)</f>
        <v>42579.99861</v>
      </c>
      <c r="B1955" s="1">
        <f>IFERROR(__xludf.DUMMYFUNCTION("""COMPUTED_VALUE"""),0.5947078325)</f>
        <v>0.5947078325</v>
      </c>
    </row>
    <row r="1956">
      <c r="A1956" s="3">
        <f>IFERROR(__xludf.DUMMYFUNCTION("""COMPUTED_VALUE"""),42580.99861111111)</f>
        <v>42580.99861</v>
      </c>
      <c r="B1956" s="1">
        <f>IFERROR(__xludf.DUMMYFUNCTION("""COMPUTED_VALUE"""),0.5968096793)</f>
        <v>0.5968096793</v>
      </c>
    </row>
    <row r="1957">
      <c r="A1957" s="3">
        <f>IFERROR(__xludf.DUMMYFUNCTION("""COMPUTED_VALUE"""),42581.99861111111)</f>
        <v>42581.99861</v>
      </c>
      <c r="B1957" s="1">
        <f>IFERROR(__xludf.DUMMYFUNCTION("""COMPUTED_VALUE"""),0.601547028)</f>
        <v>0.601547028</v>
      </c>
    </row>
    <row r="1958">
      <c r="A1958" s="3">
        <f>IFERROR(__xludf.DUMMYFUNCTION("""COMPUTED_VALUE"""),42583.99861111111)</f>
        <v>42583.99861</v>
      </c>
      <c r="B1958" s="1">
        <f>IFERROR(__xludf.DUMMYFUNCTION("""COMPUTED_VALUE"""),0.5928997731)</f>
        <v>0.5928997731</v>
      </c>
    </row>
    <row r="1959">
      <c r="A1959" s="3">
        <f>IFERROR(__xludf.DUMMYFUNCTION("""COMPUTED_VALUE"""),42584.99861111111)</f>
        <v>42584.99861</v>
      </c>
      <c r="B1959" s="1">
        <f>IFERROR(__xludf.DUMMYFUNCTION("""COMPUTED_VALUE"""),0.5979447234)</f>
        <v>0.5979447234</v>
      </c>
    </row>
    <row r="1960">
      <c r="A1960" s="3">
        <f>IFERROR(__xludf.DUMMYFUNCTION("""COMPUTED_VALUE"""),42585.99861111111)</f>
        <v>42585.99861</v>
      </c>
      <c r="B1960" s="1">
        <f>IFERROR(__xludf.DUMMYFUNCTION("""COMPUTED_VALUE"""),0.5960805553)</f>
        <v>0.5960805553</v>
      </c>
    </row>
    <row r="1961">
      <c r="A1961" s="3">
        <f>IFERROR(__xludf.DUMMYFUNCTION("""COMPUTED_VALUE"""),42586.99861111111)</f>
        <v>42586.99861</v>
      </c>
      <c r="B1961" s="1">
        <f>IFERROR(__xludf.DUMMYFUNCTION("""COMPUTED_VALUE"""),0.5971652416)</f>
        <v>0.5971652416</v>
      </c>
    </row>
    <row r="1962">
      <c r="A1962" s="3">
        <f>IFERROR(__xludf.DUMMYFUNCTION("""COMPUTED_VALUE"""),42587.99861111111)</f>
        <v>42587.99861</v>
      </c>
      <c r="B1962" s="1">
        <f>IFERROR(__xludf.DUMMYFUNCTION("""COMPUTED_VALUE"""),0.594886198)</f>
        <v>0.594886198</v>
      </c>
    </row>
    <row r="1963">
      <c r="A1963" s="3">
        <f>IFERROR(__xludf.DUMMYFUNCTION("""COMPUTED_VALUE"""),42590.99861111111)</f>
        <v>42590.99861</v>
      </c>
      <c r="B1963" s="1">
        <f>IFERROR(__xludf.DUMMYFUNCTION("""COMPUTED_VALUE"""),0.5974742354)</f>
        <v>0.5974742354</v>
      </c>
    </row>
    <row r="1964">
      <c r="A1964" s="3">
        <f>IFERROR(__xludf.DUMMYFUNCTION("""COMPUTED_VALUE"""),42591.99861111111)</f>
        <v>42591.99861</v>
      </c>
      <c r="B1964" s="1">
        <f>IFERROR(__xludf.DUMMYFUNCTION("""COMPUTED_VALUE"""),0.5987112587)</f>
        <v>0.5987112587</v>
      </c>
    </row>
    <row r="1965">
      <c r="A1965" s="3">
        <f>IFERROR(__xludf.DUMMYFUNCTION("""COMPUTED_VALUE"""),42592.99861111111)</f>
        <v>42592.99861</v>
      </c>
      <c r="B1965" s="1">
        <f>IFERROR(__xludf.DUMMYFUNCTION("""COMPUTED_VALUE"""),0.5967432874)</f>
        <v>0.5967432874</v>
      </c>
    </row>
    <row r="1966">
      <c r="A1966" s="3">
        <f>IFERROR(__xludf.DUMMYFUNCTION("""COMPUTED_VALUE"""),42593.99861111111)</f>
        <v>42593.99861</v>
      </c>
      <c r="B1966" s="1">
        <f>IFERROR(__xludf.DUMMYFUNCTION("""COMPUTED_VALUE"""),0.5963394576)</f>
        <v>0.5963394576</v>
      </c>
    </row>
    <row r="1967">
      <c r="A1967" s="3">
        <f>IFERROR(__xludf.DUMMYFUNCTION("""COMPUTED_VALUE"""),42594.99861111111)</f>
        <v>42594.99861</v>
      </c>
      <c r="B1967" s="1">
        <f>IFERROR(__xludf.DUMMYFUNCTION("""COMPUTED_VALUE"""),0.5980749815)</f>
        <v>0.5980749815</v>
      </c>
    </row>
    <row r="1968">
      <c r="A1968" s="3">
        <f>IFERROR(__xludf.DUMMYFUNCTION("""COMPUTED_VALUE"""),42597.99861111111)</f>
        <v>42597.99861</v>
      </c>
      <c r="B1968" s="1">
        <f>IFERROR(__xludf.DUMMYFUNCTION("""COMPUTED_VALUE"""),0.5960845136)</f>
        <v>0.5960845136</v>
      </c>
    </row>
    <row r="1969">
      <c r="A1969" s="3">
        <f>IFERROR(__xludf.DUMMYFUNCTION("""COMPUTED_VALUE"""),42598.99861111111)</f>
        <v>42598.99861</v>
      </c>
      <c r="B1969" s="1">
        <f>IFERROR(__xludf.DUMMYFUNCTION("""COMPUTED_VALUE"""),0.5972848602)</f>
        <v>0.5972848602</v>
      </c>
    </row>
    <row r="1970">
      <c r="A1970" s="3">
        <f>IFERROR(__xludf.DUMMYFUNCTION("""COMPUTED_VALUE"""),42599.99861111111)</f>
        <v>42599.99861</v>
      </c>
      <c r="B1970" s="1">
        <f>IFERROR(__xludf.DUMMYFUNCTION("""COMPUTED_VALUE"""),0.5977666308)</f>
        <v>0.5977666308</v>
      </c>
    </row>
    <row r="1971">
      <c r="A1971" s="3">
        <f>IFERROR(__xludf.DUMMYFUNCTION("""COMPUTED_VALUE"""),42600.99861111111)</f>
        <v>42600.99861</v>
      </c>
      <c r="B1971" s="1">
        <f>IFERROR(__xludf.DUMMYFUNCTION("""COMPUTED_VALUE"""),0.5986938241)</f>
        <v>0.5986938241</v>
      </c>
    </row>
    <row r="1972">
      <c r="A1972" s="3">
        <f>IFERROR(__xludf.DUMMYFUNCTION("""COMPUTED_VALUE"""),42601.99861111111)</f>
        <v>42601.99861</v>
      </c>
      <c r="B1972" s="1">
        <f>IFERROR(__xludf.DUMMYFUNCTION("""COMPUTED_VALUE"""),0.5986605286)</f>
        <v>0.5986605286</v>
      </c>
    </row>
    <row r="1973">
      <c r="A1973" s="3">
        <f>IFERROR(__xludf.DUMMYFUNCTION("""COMPUTED_VALUE"""),42604.99861111111)</f>
        <v>42604.99861</v>
      </c>
      <c r="B1973" s="1">
        <f>IFERROR(__xludf.DUMMYFUNCTION("""COMPUTED_VALUE"""),0.6033986514)</f>
        <v>0.6033986514</v>
      </c>
    </row>
    <row r="1974">
      <c r="A1974" s="3">
        <f>IFERROR(__xludf.DUMMYFUNCTION("""COMPUTED_VALUE"""),42605.99861111111)</f>
        <v>42605.99861</v>
      </c>
      <c r="B1974" s="1">
        <f>IFERROR(__xludf.DUMMYFUNCTION("""COMPUTED_VALUE"""),0.6013267831)</f>
        <v>0.6013267831</v>
      </c>
    </row>
    <row r="1975">
      <c r="A1975" s="3">
        <f>IFERROR(__xludf.DUMMYFUNCTION("""COMPUTED_VALUE"""),42606.99861111111)</f>
        <v>42606.99861</v>
      </c>
      <c r="B1975" s="1">
        <f>IFERROR(__xludf.DUMMYFUNCTION("""COMPUTED_VALUE"""),0.6032670406)</f>
        <v>0.6032670406</v>
      </c>
    </row>
    <row r="1976">
      <c r="A1976" s="3">
        <f>IFERROR(__xludf.DUMMYFUNCTION("""COMPUTED_VALUE"""),42607.99861111111)</f>
        <v>42607.99861</v>
      </c>
      <c r="B1976" s="1">
        <f>IFERROR(__xludf.DUMMYFUNCTION("""COMPUTED_VALUE"""),0.6031876056)</f>
        <v>0.6031876056</v>
      </c>
    </row>
    <row r="1977">
      <c r="A1977" s="3">
        <f>IFERROR(__xludf.DUMMYFUNCTION("""COMPUTED_VALUE"""),42608.99861111111)</f>
        <v>42608.99861</v>
      </c>
      <c r="B1977" s="1">
        <f>IFERROR(__xludf.DUMMYFUNCTION("""COMPUTED_VALUE"""),0.6006144384)</f>
        <v>0.6006144384</v>
      </c>
    </row>
    <row r="1978">
      <c r="A1978" s="3">
        <f>IFERROR(__xludf.DUMMYFUNCTION("""COMPUTED_VALUE"""),42609.99861111111)</f>
        <v>42609.99861</v>
      </c>
      <c r="B1978" s="1">
        <f>IFERROR(__xludf.DUMMYFUNCTION("""COMPUTED_VALUE"""),0.6015889572)</f>
        <v>0.6015889572</v>
      </c>
    </row>
    <row r="1979">
      <c r="A1979" s="3">
        <f>IFERROR(__xludf.DUMMYFUNCTION("""COMPUTED_VALUE"""),42610.99861111111)</f>
        <v>42610.99861</v>
      </c>
      <c r="B1979" s="1">
        <f>IFERROR(__xludf.DUMMYFUNCTION("""COMPUTED_VALUE"""),0.6011200357)</f>
        <v>0.6011200357</v>
      </c>
    </row>
    <row r="1980">
      <c r="A1980" s="3">
        <f>IFERROR(__xludf.DUMMYFUNCTION("""COMPUTED_VALUE"""),42611.99861111111)</f>
        <v>42611.99861</v>
      </c>
      <c r="B1980" s="1">
        <f>IFERROR(__xludf.DUMMYFUNCTION("""COMPUTED_VALUE"""),0.6039937941)</f>
        <v>0.6039937941</v>
      </c>
    </row>
    <row r="1981">
      <c r="A1981" s="3">
        <f>IFERROR(__xludf.DUMMYFUNCTION("""COMPUTED_VALUE"""),42612.99861111111)</f>
        <v>42612.99861</v>
      </c>
      <c r="B1981" s="1">
        <f>IFERROR(__xludf.DUMMYFUNCTION("""COMPUTED_VALUE"""),0.6040747633)</f>
        <v>0.6040747633</v>
      </c>
    </row>
    <row r="1982">
      <c r="A1982" s="3">
        <f>IFERROR(__xludf.DUMMYFUNCTION("""COMPUTED_VALUE"""),42613.99861111111)</f>
        <v>42613.99861</v>
      </c>
      <c r="B1982" s="1">
        <f>IFERROR(__xludf.DUMMYFUNCTION("""COMPUTED_VALUE"""),0.6059223369)</f>
        <v>0.6059223369</v>
      </c>
    </row>
    <row r="1983">
      <c r="A1983" s="3">
        <f>IFERROR(__xludf.DUMMYFUNCTION("""COMPUTED_VALUE"""),42614.99861111111)</f>
        <v>42614.99861</v>
      </c>
      <c r="B1983" s="1">
        <f>IFERROR(__xludf.DUMMYFUNCTION("""COMPUTED_VALUE"""),0.6074043484)</f>
        <v>0.6074043484</v>
      </c>
    </row>
    <row r="1984">
      <c r="A1984" s="3">
        <f>IFERROR(__xludf.DUMMYFUNCTION("""COMPUTED_VALUE"""),42615.99861111111)</f>
        <v>42615.99861</v>
      </c>
      <c r="B1984" s="1">
        <f>IFERROR(__xludf.DUMMYFUNCTION("""COMPUTED_VALUE"""),0.6000181878)</f>
        <v>0.6000181878</v>
      </c>
    </row>
    <row r="1985">
      <c r="A1985" s="3">
        <f>IFERROR(__xludf.DUMMYFUNCTION("""COMPUTED_VALUE"""),42618.99861111111)</f>
        <v>42618.99861</v>
      </c>
      <c r="B1985" s="1">
        <f>IFERROR(__xludf.DUMMYFUNCTION("""COMPUTED_VALUE"""),0.5973239868)</f>
        <v>0.5973239868</v>
      </c>
    </row>
    <row r="1986">
      <c r="A1986" s="3">
        <f>IFERROR(__xludf.DUMMYFUNCTION("""COMPUTED_VALUE"""),42619.99861111111)</f>
        <v>42619.99861</v>
      </c>
      <c r="B1986" s="1">
        <f>IFERROR(__xludf.DUMMYFUNCTION("""COMPUTED_VALUE"""),0.5995683858)</f>
        <v>0.5995683858</v>
      </c>
    </row>
    <row r="1987">
      <c r="A1987" s="3">
        <f>IFERROR(__xludf.DUMMYFUNCTION("""COMPUTED_VALUE"""),42620.99861111111)</f>
        <v>42620.99861</v>
      </c>
      <c r="B1987" s="1">
        <f>IFERROR(__xludf.DUMMYFUNCTION("""COMPUTED_VALUE"""),0.5950917384)</f>
        <v>0.5950917384</v>
      </c>
    </row>
    <row r="1988">
      <c r="A1988" s="3">
        <f>IFERROR(__xludf.DUMMYFUNCTION("""COMPUTED_VALUE"""),42621.99861111111)</f>
        <v>42621.99861</v>
      </c>
      <c r="B1988" s="1">
        <f>IFERROR(__xludf.DUMMYFUNCTION("""COMPUTED_VALUE"""),0.5941903801)</f>
        <v>0.5941903801</v>
      </c>
    </row>
    <row r="1989">
      <c r="A1989" s="3">
        <f>IFERROR(__xludf.DUMMYFUNCTION("""COMPUTED_VALUE"""),42622.99861111111)</f>
        <v>42622.99861</v>
      </c>
      <c r="B1989" s="1">
        <f>IFERROR(__xludf.DUMMYFUNCTION("""COMPUTED_VALUE"""),0.5988456579)</f>
        <v>0.5988456579</v>
      </c>
    </row>
    <row r="1990">
      <c r="A1990" s="3">
        <f>IFERROR(__xludf.DUMMYFUNCTION("""COMPUTED_VALUE"""),42624.99861111111)</f>
        <v>42624.99861</v>
      </c>
      <c r="B1990" s="1">
        <f>IFERROR(__xludf.DUMMYFUNCTION("""COMPUTED_VALUE"""),0.5990452325)</f>
        <v>0.5990452325</v>
      </c>
    </row>
    <row r="1991">
      <c r="A1991" s="3">
        <f>IFERROR(__xludf.DUMMYFUNCTION("""COMPUTED_VALUE"""),42625.99861111111)</f>
        <v>42625.99861</v>
      </c>
      <c r="B1991" s="1">
        <f>IFERROR(__xludf.DUMMYFUNCTION("""COMPUTED_VALUE"""),0.6010220794)</f>
        <v>0.6010220794</v>
      </c>
    </row>
    <row r="1992">
      <c r="A1992" s="3">
        <f>IFERROR(__xludf.DUMMYFUNCTION("""COMPUTED_VALUE"""),42626.99861111111)</f>
        <v>42626.99861</v>
      </c>
      <c r="B1992" s="1">
        <f>IFERROR(__xludf.DUMMYFUNCTION("""COMPUTED_VALUE"""),0.6025483489)</f>
        <v>0.6025483489</v>
      </c>
    </row>
    <row r="1993">
      <c r="A1993" s="3">
        <f>IFERROR(__xludf.DUMMYFUNCTION("""COMPUTED_VALUE"""),42627.99861111111)</f>
        <v>42627.99861</v>
      </c>
      <c r="B1993" s="1">
        <f>IFERROR(__xludf.DUMMYFUNCTION("""COMPUTED_VALUE"""),0.6022737546)</f>
        <v>0.6022737546</v>
      </c>
    </row>
    <row r="1994">
      <c r="A1994" s="3">
        <f>IFERROR(__xludf.DUMMYFUNCTION("""COMPUTED_VALUE"""),42628.99861111111)</f>
        <v>42628.99861</v>
      </c>
      <c r="B1994" s="1">
        <f>IFERROR(__xludf.DUMMYFUNCTION("""COMPUTED_VALUE"""),0.5990884175)</f>
        <v>0.5990884175</v>
      </c>
    </row>
    <row r="1995">
      <c r="A1995" s="3">
        <f>IFERROR(__xludf.DUMMYFUNCTION("""COMPUTED_VALUE"""),42629.99861111111)</f>
        <v>42629.99861</v>
      </c>
      <c r="B1995" s="1">
        <f>IFERROR(__xludf.DUMMYFUNCTION("""COMPUTED_VALUE"""),0.5958265384)</f>
        <v>0.5958265384</v>
      </c>
    </row>
    <row r="1996">
      <c r="A1996" s="3">
        <f>IFERROR(__xludf.DUMMYFUNCTION("""COMPUTED_VALUE"""),42630.99861111111)</f>
        <v>42630.99861</v>
      </c>
      <c r="B1996" s="1">
        <f>IFERROR(__xludf.DUMMYFUNCTION("""COMPUTED_VALUE"""),0.5963801324)</f>
        <v>0.5963801324</v>
      </c>
    </row>
    <row r="1997">
      <c r="A1997" s="3">
        <f>IFERROR(__xludf.DUMMYFUNCTION("""COMPUTED_VALUE"""),42632.99861111111)</f>
        <v>42632.99861</v>
      </c>
      <c r="B1997" s="1">
        <f>IFERROR(__xludf.DUMMYFUNCTION("""COMPUTED_VALUE"""),0.5994069217)</f>
        <v>0.5994069217</v>
      </c>
    </row>
    <row r="1998">
      <c r="A1998" s="3">
        <f>IFERROR(__xludf.DUMMYFUNCTION("""COMPUTED_VALUE"""),42633.99861111111)</f>
        <v>42633.99861</v>
      </c>
      <c r="B1998" s="1">
        <f>IFERROR(__xludf.DUMMYFUNCTION("""COMPUTED_VALUE"""),0.597547675)</f>
        <v>0.597547675</v>
      </c>
    </row>
    <row r="1999">
      <c r="A1999" s="3">
        <f>IFERROR(__xludf.DUMMYFUNCTION("""COMPUTED_VALUE"""),42634.99861111111)</f>
        <v>42634.99861</v>
      </c>
      <c r="B1999" s="1">
        <f>IFERROR(__xludf.DUMMYFUNCTION("""COMPUTED_VALUE"""),0.5968552859)</f>
        <v>0.5968552859</v>
      </c>
    </row>
    <row r="2000">
      <c r="A2000" s="3">
        <f>IFERROR(__xludf.DUMMYFUNCTION("""COMPUTED_VALUE"""),42635.99861111111)</f>
        <v>42635.99861</v>
      </c>
      <c r="B2000" s="1">
        <f>IFERROR(__xludf.DUMMYFUNCTION("""COMPUTED_VALUE"""),0.5936463085)</f>
        <v>0.5936463085</v>
      </c>
    </row>
    <row r="2001">
      <c r="A2001" s="3">
        <f>IFERROR(__xludf.DUMMYFUNCTION("""COMPUTED_VALUE"""),42636.99861111111)</f>
        <v>42636.99861</v>
      </c>
      <c r="B2001" s="1">
        <f>IFERROR(__xludf.DUMMYFUNCTION("""COMPUTED_VALUE"""),0.5959453229)</f>
        <v>0.5959453229</v>
      </c>
    </row>
    <row r="2002">
      <c r="A2002" s="3">
        <f>IFERROR(__xludf.DUMMYFUNCTION("""COMPUTED_VALUE"""),42637.99861111111)</f>
        <v>42637.99861</v>
      </c>
      <c r="B2002" s="1">
        <f>IFERROR(__xludf.DUMMYFUNCTION("""COMPUTED_VALUE"""),0.5958086487)</f>
        <v>0.5958086487</v>
      </c>
    </row>
    <row r="2003">
      <c r="A2003" s="3">
        <f>IFERROR(__xludf.DUMMYFUNCTION("""COMPUTED_VALUE"""),42639.99861111111)</f>
        <v>42639.99861</v>
      </c>
      <c r="B2003" s="1">
        <f>IFERROR(__xludf.DUMMYFUNCTION("""COMPUTED_VALUE"""),0.5943026381)</f>
        <v>0.5943026381</v>
      </c>
    </row>
    <row r="2004">
      <c r="A2004" s="3">
        <f>IFERROR(__xludf.DUMMYFUNCTION("""COMPUTED_VALUE"""),42640.99861111111)</f>
        <v>42640.99861</v>
      </c>
      <c r="B2004" s="1">
        <f>IFERROR(__xludf.DUMMYFUNCTION("""COMPUTED_VALUE"""),0.586656362)</f>
        <v>0.586656362</v>
      </c>
    </row>
    <row r="2005">
      <c r="A2005" s="3">
        <f>IFERROR(__xludf.DUMMYFUNCTION("""COMPUTED_VALUE"""),42641.99861111111)</f>
        <v>42641.99861</v>
      </c>
      <c r="B2005" s="1">
        <f>IFERROR(__xludf.DUMMYFUNCTION("""COMPUTED_VALUE"""),0.5884951627)</f>
        <v>0.5884951627</v>
      </c>
    </row>
    <row r="2006">
      <c r="A2006" s="3">
        <f>IFERROR(__xludf.DUMMYFUNCTION("""COMPUTED_VALUE"""),42642.99861111111)</f>
        <v>42642.99861</v>
      </c>
      <c r="B2006" s="1">
        <f>IFERROR(__xludf.DUMMYFUNCTION("""COMPUTED_VALUE"""),0.5925267633)</f>
        <v>0.5925267633</v>
      </c>
    </row>
    <row r="2007">
      <c r="A2007" s="3">
        <f>IFERROR(__xludf.DUMMYFUNCTION("""COMPUTED_VALUE"""),42643.99861111111)</f>
        <v>42643.99861</v>
      </c>
      <c r="B2007" s="1">
        <f>IFERROR(__xludf.DUMMYFUNCTION("""COMPUTED_VALUE"""),0.5970546392)</f>
        <v>0.5970546392</v>
      </c>
    </row>
    <row r="2008">
      <c r="A2008" s="3">
        <f>IFERROR(__xludf.DUMMYFUNCTION("""COMPUTED_VALUE"""),42646.99861111111)</f>
        <v>42646.99861</v>
      </c>
      <c r="B2008" s="1">
        <f>IFERROR(__xludf.DUMMYFUNCTION("""COMPUTED_VALUE"""),0.5890747072)</f>
        <v>0.5890747072</v>
      </c>
    </row>
    <row r="2009">
      <c r="A2009" s="3">
        <f>IFERROR(__xludf.DUMMYFUNCTION("""COMPUTED_VALUE"""),42647.99861111111)</f>
        <v>42647.99861</v>
      </c>
      <c r="B2009" s="1">
        <f>IFERROR(__xludf.DUMMYFUNCTION("""COMPUTED_VALUE"""),0.5953490431)</f>
        <v>0.5953490431</v>
      </c>
    </row>
    <row r="2010">
      <c r="A2010" s="3">
        <f>IFERROR(__xludf.DUMMYFUNCTION("""COMPUTED_VALUE"""),42648.99861111111)</f>
        <v>42648.99861</v>
      </c>
      <c r="B2010" s="1">
        <f>IFERROR(__xludf.DUMMYFUNCTION("""COMPUTED_VALUE"""),0.5920029037)</f>
        <v>0.5920029037</v>
      </c>
    </row>
    <row r="2011">
      <c r="A2011" s="3">
        <f>IFERROR(__xludf.DUMMYFUNCTION("""COMPUTED_VALUE"""),42649.99861111111)</f>
        <v>42649.99861</v>
      </c>
      <c r="B2011" s="1">
        <f>IFERROR(__xludf.DUMMYFUNCTION("""COMPUTED_VALUE"""),0.5904385614)</f>
        <v>0.5904385614</v>
      </c>
    </row>
    <row r="2012">
      <c r="A2012" s="3">
        <f>IFERROR(__xludf.DUMMYFUNCTION("""COMPUTED_VALUE"""),42650.99861111111)</f>
        <v>42650.99861</v>
      </c>
      <c r="B2012" s="1">
        <f>IFERROR(__xludf.DUMMYFUNCTION("""COMPUTED_VALUE"""),0.594209526)</f>
        <v>0.594209526</v>
      </c>
    </row>
    <row r="2013">
      <c r="A2013" s="3">
        <f>IFERROR(__xludf.DUMMYFUNCTION("""COMPUTED_VALUE"""),42653.99861111111)</f>
        <v>42653.99861</v>
      </c>
      <c r="B2013" s="1">
        <f>IFERROR(__xludf.DUMMYFUNCTION("""COMPUTED_VALUE"""),0.587705731)</f>
        <v>0.587705731</v>
      </c>
    </row>
    <row r="2014">
      <c r="A2014" s="3">
        <f>IFERROR(__xludf.DUMMYFUNCTION("""COMPUTED_VALUE"""),42654.99861111111)</f>
        <v>42654.99861</v>
      </c>
      <c r="B2014" s="1">
        <f>IFERROR(__xludf.DUMMYFUNCTION("""COMPUTED_VALUE"""),0.593999994)</f>
        <v>0.593999994</v>
      </c>
    </row>
    <row r="2015">
      <c r="A2015" s="3">
        <f>IFERROR(__xludf.DUMMYFUNCTION("""COMPUTED_VALUE"""),42655.99861111111)</f>
        <v>42655.99861</v>
      </c>
      <c r="B2015" s="1">
        <f>IFERROR(__xludf.DUMMYFUNCTION("""COMPUTED_VALUE"""),0.5930126509)</f>
        <v>0.5930126509</v>
      </c>
    </row>
    <row r="2016">
      <c r="A2016" s="3">
        <f>IFERROR(__xludf.DUMMYFUNCTION("""COMPUTED_VALUE"""),42656.99861111111)</f>
        <v>42656.99861</v>
      </c>
      <c r="B2016" s="1">
        <f>IFERROR(__xludf.DUMMYFUNCTION("""COMPUTED_VALUE"""),0.5958613074)</f>
        <v>0.5958613074</v>
      </c>
    </row>
    <row r="2017">
      <c r="A2017" s="3">
        <f>IFERROR(__xludf.DUMMYFUNCTION("""COMPUTED_VALUE"""),42657.99861111111)</f>
        <v>42657.99861</v>
      </c>
      <c r="B2017" s="1">
        <f>IFERROR(__xludf.DUMMYFUNCTION("""COMPUTED_VALUE"""),0.5933711666)</f>
        <v>0.5933711666</v>
      </c>
    </row>
    <row r="2018">
      <c r="A2018" s="3">
        <f>IFERROR(__xludf.DUMMYFUNCTION("""COMPUTED_VALUE"""),42658.99861111111)</f>
        <v>42658.99861</v>
      </c>
      <c r="B2018" s="1">
        <f>IFERROR(__xludf.DUMMYFUNCTION("""COMPUTED_VALUE"""),0.5937797931)</f>
        <v>0.5937797931</v>
      </c>
    </row>
    <row r="2019">
      <c r="A2019" s="3">
        <f>IFERROR(__xludf.DUMMYFUNCTION("""COMPUTED_VALUE"""),42660.99861111111)</f>
        <v>42660.99861</v>
      </c>
      <c r="B2019" s="1">
        <f>IFERROR(__xludf.DUMMYFUNCTION("""COMPUTED_VALUE"""),0.5952294076)</f>
        <v>0.5952294076</v>
      </c>
    </row>
    <row r="2020">
      <c r="A2020" s="3">
        <f>IFERROR(__xludf.DUMMYFUNCTION("""COMPUTED_VALUE"""),42661.99861111111)</f>
        <v>42661.99861</v>
      </c>
      <c r="B2020" s="1">
        <f>IFERROR(__xludf.DUMMYFUNCTION("""COMPUTED_VALUE"""),0.591656819)</f>
        <v>0.591656819</v>
      </c>
    </row>
    <row r="2021">
      <c r="A2021" s="3">
        <f>IFERROR(__xludf.DUMMYFUNCTION("""COMPUTED_VALUE"""),42662.99861111111)</f>
        <v>42662.99861</v>
      </c>
      <c r="B2021" s="1">
        <f>IFERROR(__xludf.DUMMYFUNCTION("""COMPUTED_VALUE"""),0.5905490287)</f>
        <v>0.5905490287</v>
      </c>
    </row>
    <row r="2022">
      <c r="A2022" s="3">
        <f>IFERROR(__xludf.DUMMYFUNCTION("""COMPUTED_VALUE"""),42663.99861111111)</f>
        <v>42663.99861</v>
      </c>
      <c r="B2022" s="1">
        <f>IFERROR(__xludf.DUMMYFUNCTION("""COMPUTED_VALUE"""),0.5901170648)</f>
        <v>0.5901170648</v>
      </c>
    </row>
    <row r="2023">
      <c r="A2023" s="3">
        <f>IFERROR(__xludf.DUMMYFUNCTION("""COMPUTED_VALUE"""),42664.99861111111)</f>
        <v>42664.99861</v>
      </c>
      <c r="B2023" s="1">
        <f>IFERROR(__xludf.DUMMYFUNCTION("""COMPUTED_VALUE"""),0.592843802)</f>
        <v>0.592843802</v>
      </c>
    </row>
    <row r="2024">
      <c r="A2024" s="3">
        <f>IFERROR(__xludf.DUMMYFUNCTION("""COMPUTED_VALUE"""),42665.99861111111)</f>
        <v>42665.99861</v>
      </c>
      <c r="B2024" s="1">
        <f>IFERROR(__xludf.DUMMYFUNCTION("""COMPUTED_VALUE"""),0.5938908271)</f>
        <v>0.5938908271</v>
      </c>
    </row>
    <row r="2025">
      <c r="A2025" s="3">
        <f>IFERROR(__xludf.DUMMYFUNCTION("""COMPUTED_VALUE"""),42667.99861111111)</f>
        <v>42667.99861</v>
      </c>
      <c r="B2025" s="1">
        <f>IFERROR(__xludf.DUMMYFUNCTION("""COMPUTED_VALUE"""),0.5918311588)</f>
        <v>0.5918311588</v>
      </c>
    </row>
    <row r="2026">
      <c r="A2026" s="3">
        <f>IFERROR(__xludf.DUMMYFUNCTION("""COMPUTED_VALUE"""),42668.99861111111)</f>
        <v>42668.99861</v>
      </c>
      <c r="B2026" s="1">
        <f>IFERROR(__xludf.DUMMYFUNCTION("""COMPUTED_VALUE"""),0.5910809353)</f>
        <v>0.5910809353</v>
      </c>
    </row>
    <row r="2027">
      <c r="A2027" s="3">
        <f>IFERROR(__xludf.DUMMYFUNCTION("""COMPUTED_VALUE"""),42669.99861111111)</f>
        <v>42669.99861</v>
      </c>
      <c r="B2027" s="1">
        <f>IFERROR(__xludf.DUMMYFUNCTION("""COMPUTED_VALUE"""),0.592134571)</f>
        <v>0.592134571</v>
      </c>
    </row>
    <row r="2028">
      <c r="A2028" s="3">
        <f>IFERROR(__xludf.DUMMYFUNCTION("""COMPUTED_VALUE"""),42670.99861111111)</f>
        <v>42670.99861</v>
      </c>
      <c r="B2028" s="1">
        <f>IFERROR(__xludf.DUMMYFUNCTION("""COMPUTED_VALUE"""),0.5927254522)</f>
        <v>0.5927254522</v>
      </c>
    </row>
    <row r="2029">
      <c r="A2029" s="3">
        <f>IFERROR(__xludf.DUMMYFUNCTION("""COMPUTED_VALUE"""),42671.99861111111)</f>
        <v>42671.99861</v>
      </c>
      <c r="B2029" s="1">
        <f>IFERROR(__xludf.DUMMYFUNCTION("""COMPUTED_VALUE"""),0.5986709413)</f>
        <v>0.5986709413</v>
      </c>
    </row>
    <row r="2030">
      <c r="A2030" s="3">
        <f>IFERROR(__xludf.DUMMYFUNCTION("""COMPUTED_VALUE"""),42674.99861111111)</f>
        <v>42674.99861</v>
      </c>
      <c r="B2030" s="1">
        <f>IFERROR(__xludf.DUMMYFUNCTION("""COMPUTED_VALUE"""),0.5937671059)</f>
        <v>0.5937671059</v>
      </c>
    </row>
    <row r="2031">
      <c r="A2031" s="3">
        <f>IFERROR(__xludf.DUMMYFUNCTION("""COMPUTED_VALUE"""),42675.99861111111)</f>
        <v>42675.99861</v>
      </c>
      <c r="B2031" s="1">
        <f>IFERROR(__xludf.DUMMYFUNCTION("""COMPUTED_VALUE"""),0.595369644)</f>
        <v>0.595369644</v>
      </c>
    </row>
    <row r="2032">
      <c r="A2032" s="3">
        <f>IFERROR(__xludf.DUMMYFUNCTION("""COMPUTED_VALUE"""),42676.99861111111)</f>
        <v>42676.99861</v>
      </c>
      <c r="B2032" s="1">
        <f>IFERROR(__xludf.DUMMYFUNCTION("""COMPUTED_VALUE"""),0.5940260358)</f>
        <v>0.5940260358</v>
      </c>
    </row>
    <row r="2033">
      <c r="A2033" s="3">
        <f>IFERROR(__xludf.DUMMYFUNCTION("""COMPUTED_VALUE"""),42677.99861111111)</f>
        <v>42677.99861</v>
      </c>
      <c r="B2033" s="1">
        <f>IFERROR(__xludf.DUMMYFUNCTION("""COMPUTED_VALUE"""),0.5967123228)</f>
        <v>0.5967123228</v>
      </c>
    </row>
    <row r="2034">
      <c r="A2034" s="3">
        <f>IFERROR(__xludf.DUMMYFUNCTION("""COMPUTED_VALUE"""),42678.99861111111)</f>
        <v>42678.99861</v>
      </c>
      <c r="B2034" s="1">
        <f>IFERROR(__xludf.DUMMYFUNCTION("""COMPUTED_VALUE"""),0.5989038465)</f>
        <v>0.5989038465</v>
      </c>
    </row>
    <row r="2035">
      <c r="A2035" s="3">
        <f>IFERROR(__xludf.DUMMYFUNCTION("""COMPUTED_VALUE"""),42681.99861111111)</f>
        <v>42681.99861</v>
      </c>
      <c r="B2035" s="1">
        <f>IFERROR(__xludf.DUMMYFUNCTION("""COMPUTED_VALUE"""),0.5946473939)</f>
        <v>0.5946473939</v>
      </c>
    </row>
    <row r="2036">
      <c r="A2036" s="3">
        <f>IFERROR(__xludf.DUMMYFUNCTION("""COMPUTED_VALUE"""),42682.99861111111)</f>
        <v>42682.99861</v>
      </c>
      <c r="B2036" s="1">
        <f>IFERROR(__xludf.DUMMYFUNCTION("""COMPUTED_VALUE"""),0.5920461159)</f>
        <v>0.5920461159</v>
      </c>
    </row>
    <row r="2037">
      <c r="A2037" s="3">
        <f>IFERROR(__xludf.DUMMYFUNCTION("""COMPUTED_VALUE"""),42683.99861111111)</f>
        <v>42683.99861</v>
      </c>
      <c r="B2037" s="1">
        <f>IFERROR(__xludf.DUMMYFUNCTION("""COMPUTED_VALUE"""),0.588680767)</f>
        <v>0.588680767</v>
      </c>
    </row>
    <row r="2038">
      <c r="A2038" s="3">
        <f>IFERROR(__xludf.DUMMYFUNCTION("""COMPUTED_VALUE"""),42684.99861111111)</f>
        <v>42684.99861</v>
      </c>
      <c r="B2038" s="1">
        <f>IFERROR(__xludf.DUMMYFUNCTION("""COMPUTED_VALUE"""),0.6180858756)</f>
        <v>0.6180858756</v>
      </c>
    </row>
    <row r="2039">
      <c r="A2039" s="3">
        <f>IFERROR(__xludf.DUMMYFUNCTION("""COMPUTED_VALUE"""),42685.99861111111)</f>
        <v>42685.99861</v>
      </c>
      <c r="B2039" s="1">
        <f>IFERROR(__xludf.DUMMYFUNCTION("""COMPUTED_VALUE"""),0.6072646183)</f>
        <v>0.6072646183</v>
      </c>
    </row>
    <row r="2040">
      <c r="A2040" s="3">
        <f>IFERROR(__xludf.DUMMYFUNCTION("""COMPUTED_VALUE"""),42686.99861111111)</f>
        <v>42686.99861</v>
      </c>
      <c r="B2040" s="1">
        <f>IFERROR(__xludf.DUMMYFUNCTION("""COMPUTED_VALUE"""),0.6143342186)</f>
        <v>0.6143342186</v>
      </c>
    </row>
    <row r="2041">
      <c r="A2041" s="3">
        <f>IFERROR(__xludf.DUMMYFUNCTION("""COMPUTED_VALUE"""),42687.99861111111)</f>
        <v>42687.99861</v>
      </c>
      <c r="B2041" s="1">
        <f>IFERROR(__xludf.DUMMYFUNCTION("""COMPUTED_VALUE"""),0.6065372464)</f>
        <v>0.6065372464</v>
      </c>
    </row>
    <row r="2042">
      <c r="A2042" s="3">
        <f>IFERROR(__xludf.DUMMYFUNCTION("""COMPUTED_VALUE"""),42688.99861111111)</f>
        <v>42688.99861</v>
      </c>
      <c r="B2042" s="1">
        <f>IFERROR(__xludf.DUMMYFUNCTION("""COMPUTED_VALUE"""),0.6099428893)</f>
        <v>0.6099428893</v>
      </c>
    </row>
    <row r="2043">
      <c r="A2043" s="3">
        <f>IFERROR(__xludf.DUMMYFUNCTION("""COMPUTED_VALUE"""),42689.99861111111)</f>
        <v>42689.99861</v>
      </c>
      <c r="B2043" s="1">
        <f>IFERROR(__xludf.DUMMYFUNCTION("""COMPUTED_VALUE"""),0.6032990437)</f>
        <v>0.6032990437</v>
      </c>
    </row>
    <row r="2044">
      <c r="A2044" s="3">
        <f>IFERROR(__xludf.DUMMYFUNCTION("""COMPUTED_VALUE"""),42690.99861111111)</f>
        <v>42690.99861</v>
      </c>
      <c r="B2044" s="1">
        <f>IFERROR(__xludf.DUMMYFUNCTION("""COMPUTED_VALUE"""),0.5972923328)</f>
        <v>0.5972923328</v>
      </c>
    </row>
    <row r="2045">
      <c r="A2045" s="3">
        <f>IFERROR(__xludf.DUMMYFUNCTION("""COMPUTED_VALUE"""),42691.99861111111)</f>
        <v>42691.99861</v>
      </c>
      <c r="B2045" s="1">
        <f>IFERROR(__xludf.DUMMYFUNCTION("""COMPUTED_VALUE"""),0.6021461886)</f>
        <v>0.6021461886</v>
      </c>
    </row>
    <row r="2046">
      <c r="A2046" s="3">
        <f>IFERROR(__xludf.DUMMYFUNCTION("""COMPUTED_VALUE"""),42692.99861111111)</f>
        <v>42692.99861</v>
      </c>
      <c r="B2046" s="1">
        <f>IFERROR(__xludf.DUMMYFUNCTION("""COMPUTED_VALUE"""),0.6015304873)</f>
        <v>0.6015304873</v>
      </c>
    </row>
    <row r="2047">
      <c r="A2047" s="3">
        <f>IFERROR(__xludf.DUMMYFUNCTION("""COMPUTED_VALUE"""),42693.99861111111)</f>
        <v>42693.99861</v>
      </c>
      <c r="B2047" s="1">
        <f>IFERROR(__xludf.DUMMYFUNCTION("""COMPUTED_VALUE"""),0.6017996748)</f>
        <v>0.6017996748</v>
      </c>
    </row>
    <row r="2048">
      <c r="A2048" s="3">
        <f>IFERROR(__xludf.DUMMYFUNCTION("""COMPUTED_VALUE"""),42695.99861111111)</f>
        <v>42695.99861</v>
      </c>
      <c r="B2048" s="1">
        <f>IFERROR(__xludf.DUMMYFUNCTION("""COMPUTED_VALUE"""),0.6043891539)</f>
        <v>0.6043891539</v>
      </c>
    </row>
    <row r="2049">
      <c r="A2049" s="3">
        <f>IFERROR(__xludf.DUMMYFUNCTION("""COMPUTED_VALUE"""),42696.99861111111)</f>
        <v>42696.99861</v>
      </c>
      <c r="B2049" s="1">
        <f>IFERROR(__xludf.DUMMYFUNCTION("""COMPUTED_VALUE"""),0.6056725337)</f>
        <v>0.6056725337</v>
      </c>
    </row>
    <row r="2050">
      <c r="A2050" s="3">
        <f>IFERROR(__xludf.DUMMYFUNCTION("""COMPUTED_VALUE"""),42697.99861111111)</f>
        <v>42697.99861</v>
      </c>
      <c r="B2050" s="1">
        <f>IFERROR(__xludf.DUMMYFUNCTION("""COMPUTED_VALUE"""),0.607048846)</f>
        <v>0.607048846</v>
      </c>
    </row>
    <row r="2051">
      <c r="A2051" s="3">
        <f>IFERROR(__xludf.DUMMYFUNCTION("""COMPUTED_VALUE"""),42698.99861111111)</f>
        <v>42698.99861</v>
      </c>
      <c r="B2051" s="1">
        <f>IFERROR(__xludf.DUMMYFUNCTION("""COMPUTED_VALUE"""),0.6050787617)</f>
        <v>0.6050787617</v>
      </c>
    </row>
    <row r="2052">
      <c r="A2052" s="3">
        <f>IFERROR(__xludf.DUMMYFUNCTION("""COMPUTED_VALUE"""),42699.99861111111)</f>
        <v>42699.99861</v>
      </c>
      <c r="B2052" s="1">
        <f>IFERROR(__xludf.DUMMYFUNCTION("""COMPUTED_VALUE"""),0.6052784478)</f>
        <v>0.6052784478</v>
      </c>
    </row>
    <row r="2053">
      <c r="A2053" s="3">
        <f>IFERROR(__xludf.DUMMYFUNCTION("""COMPUTED_VALUE"""),42700.99861111111)</f>
        <v>42700.99861</v>
      </c>
      <c r="B2053" s="1">
        <f>IFERROR(__xludf.DUMMYFUNCTION("""COMPUTED_VALUE"""),0.6053137867)</f>
        <v>0.6053137867</v>
      </c>
    </row>
    <row r="2054">
      <c r="A2054" s="3">
        <f>IFERROR(__xludf.DUMMYFUNCTION("""COMPUTED_VALUE"""),42702.99861111111)</f>
        <v>42702.99861</v>
      </c>
      <c r="B2054" s="1">
        <f>IFERROR(__xludf.DUMMYFUNCTION("""COMPUTED_VALUE"""),0.6041414502)</f>
        <v>0.6041414502</v>
      </c>
    </row>
    <row r="2055">
      <c r="A2055" s="3">
        <f>IFERROR(__xludf.DUMMYFUNCTION("""COMPUTED_VALUE"""),42703.99861111111)</f>
        <v>42703.99861</v>
      </c>
      <c r="B2055" s="1">
        <f>IFERROR(__xludf.DUMMYFUNCTION("""COMPUTED_VALUE"""),0.6085271198)</f>
        <v>0.6085271198</v>
      </c>
    </row>
    <row r="2056">
      <c r="A2056" s="3">
        <f>IFERROR(__xludf.DUMMYFUNCTION("""COMPUTED_VALUE"""),42704.99861111111)</f>
        <v>42704.99861</v>
      </c>
      <c r="B2056" s="1">
        <f>IFERROR(__xludf.DUMMYFUNCTION("""COMPUTED_VALUE"""),0.608855582)</f>
        <v>0.608855582</v>
      </c>
    </row>
    <row r="2057">
      <c r="A2057" s="3">
        <f>IFERROR(__xludf.DUMMYFUNCTION("""COMPUTED_VALUE"""),42705.99861111111)</f>
        <v>42705.99861</v>
      </c>
      <c r="B2057" s="1">
        <f>IFERROR(__xludf.DUMMYFUNCTION("""COMPUTED_VALUE"""),0.6082887091)</f>
        <v>0.6082887091</v>
      </c>
    </row>
    <row r="2058">
      <c r="A2058" s="3">
        <f>IFERROR(__xludf.DUMMYFUNCTION("""COMPUTED_VALUE"""),42706.99861111111)</f>
        <v>42706.99861</v>
      </c>
      <c r="B2058" s="1">
        <f>IFERROR(__xludf.DUMMYFUNCTION("""COMPUTED_VALUE"""),0.6040479196)</f>
        <v>0.6040479196</v>
      </c>
    </row>
    <row r="2059">
      <c r="A2059" s="3">
        <f>IFERROR(__xludf.DUMMYFUNCTION("""COMPUTED_VALUE"""),42709.99861111111)</f>
        <v>42709.99861</v>
      </c>
      <c r="B2059" s="1">
        <f>IFERROR(__xludf.DUMMYFUNCTION("""COMPUTED_VALUE"""),0.6050889432)</f>
        <v>0.6050889432</v>
      </c>
    </row>
    <row r="2060">
      <c r="A2060" s="3">
        <f>IFERROR(__xludf.DUMMYFUNCTION("""COMPUTED_VALUE"""),42710.99861111111)</f>
        <v>42710.99861</v>
      </c>
      <c r="B2060" s="1">
        <f>IFERROR(__xludf.DUMMYFUNCTION("""COMPUTED_VALUE"""),0.5938630478)</f>
        <v>0.5938630478</v>
      </c>
    </row>
    <row r="2061">
      <c r="A2061" s="3">
        <f>IFERROR(__xludf.DUMMYFUNCTION("""COMPUTED_VALUE"""),42711.99861111111)</f>
        <v>42711.99861</v>
      </c>
      <c r="B2061" s="1">
        <f>IFERROR(__xludf.DUMMYFUNCTION("""COMPUTED_VALUE"""),0.5964242292)</f>
        <v>0.5964242292</v>
      </c>
    </row>
    <row r="2062">
      <c r="A2062" s="3">
        <f>IFERROR(__xludf.DUMMYFUNCTION("""COMPUTED_VALUE"""),42712.99861111111)</f>
        <v>42712.99861</v>
      </c>
      <c r="B2062" s="1">
        <f>IFERROR(__xludf.DUMMYFUNCTION("""COMPUTED_VALUE"""),0.5880585103)</f>
        <v>0.5880585103</v>
      </c>
    </row>
    <row r="2063">
      <c r="A2063" s="3">
        <f>IFERROR(__xludf.DUMMYFUNCTION("""COMPUTED_VALUE"""),42713.99861111111)</f>
        <v>42713.99861</v>
      </c>
      <c r="B2063" s="1">
        <f>IFERROR(__xludf.DUMMYFUNCTION("""COMPUTED_VALUE"""),0.5997752779)</f>
        <v>0.5997752779</v>
      </c>
    </row>
    <row r="2064">
      <c r="A2064" s="3">
        <f>IFERROR(__xludf.DUMMYFUNCTION("""COMPUTED_VALUE"""),42714.99861111111)</f>
        <v>42714.99861</v>
      </c>
      <c r="B2064" s="1">
        <f>IFERROR(__xludf.DUMMYFUNCTION("""COMPUTED_VALUE"""),0.6000507835)</f>
        <v>0.6000507835</v>
      </c>
    </row>
    <row r="2065">
      <c r="A2065" s="3">
        <f>IFERROR(__xludf.DUMMYFUNCTION("""COMPUTED_VALUE"""),42715.99861111111)</f>
        <v>42715.99861</v>
      </c>
      <c r="B2065" s="1">
        <f>IFERROR(__xludf.DUMMYFUNCTION("""COMPUTED_VALUE"""),0.6004765306)</f>
        <v>0.6004765306</v>
      </c>
    </row>
    <row r="2066">
      <c r="A2066" s="3">
        <f>IFERROR(__xludf.DUMMYFUNCTION("""COMPUTED_VALUE"""),42716.99861111111)</f>
        <v>42716.99861</v>
      </c>
      <c r="B2066" s="1">
        <f>IFERROR(__xludf.DUMMYFUNCTION("""COMPUTED_VALUE"""),0.5984585537)</f>
        <v>0.5984585537</v>
      </c>
    </row>
    <row r="2067">
      <c r="A2067" s="3">
        <f>IFERROR(__xludf.DUMMYFUNCTION("""COMPUTED_VALUE"""),42717.99861111111)</f>
        <v>42717.99861</v>
      </c>
      <c r="B2067" s="1">
        <f>IFERROR(__xludf.DUMMYFUNCTION("""COMPUTED_VALUE"""),0.597149144)</f>
        <v>0.597149144</v>
      </c>
    </row>
    <row r="2068">
      <c r="A2068" s="3">
        <f>IFERROR(__xludf.DUMMYFUNCTION("""COMPUTED_VALUE"""),42718.99861111111)</f>
        <v>42718.99861</v>
      </c>
      <c r="B2068" s="1">
        <f>IFERROR(__xludf.DUMMYFUNCTION("""COMPUTED_VALUE"""),0.5940585221)</f>
        <v>0.5940585221</v>
      </c>
    </row>
    <row r="2069">
      <c r="A2069" s="3">
        <f>IFERROR(__xludf.DUMMYFUNCTION("""COMPUTED_VALUE"""),42719.99861111111)</f>
        <v>42719.99861</v>
      </c>
      <c r="B2069" s="1">
        <f>IFERROR(__xludf.DUMMYFUNCTION("""COMPUTED_VALUE"""),0.5999373701)</f>
        <v>0.5999373701</v>
      </c>
    </row>
    <row r="2070">
      <c r="A2070" s="3">
        <f>IFERROR(__xludf.DUMMYFUNCTION("""COMPUTED_VALUE"""),42720.99861111111)</f>
        <v>42720.99861</v>
      </c>
      <c r="B2070" s="1">
        <f>IFERROR(__xludf.DUMMYFUNCTION("""COMPUTED_VALUE"""),0.5895361517)</f>
        <v>0.5895361517</v>
      </c>
    </row>
    <row r="2071">
      <c r="A2071" s="3">
        <f>IFERROR(__xludf.DUMMYFUNCTION("""COMPUTED_VALUE"""),42721.99861111111)</f>
        <v>42721.99861</v>
      </c>
      <c r="B2071" s="1">
        <f>IFERROR(__xludf.DUMMYFUNCTION("""COMPUTED_VALUE"""),0.599660121)</f>
        <v>0.599660121</v>
      </c>
    </row>
    <row r="2072">
      <c r="A2072" s="3">
        <f>IFERROR(__xludf.DUMMYFUNCTION("""COMPUTED_VALUE"""),42723.99861111111)</f>
        <v>42723.99861</v>
      </c>
      <c r="B2072" s="1">
        <f>IFERROR(__xludf.DUMMYFUNCTION("""COMPUTED_VALUE"""),0.5958641458)</f>
        <v>0.5958641458</v>
      </c>
    </row>
    <row r="2073">
      <c r="A2073" s="3">
        <f>IFERROR(__xludf.DUMMYFUNCTION("""COMPUTED_VALUE"""),42724.99861111111)</f>
        <v>42724.99861</v>
      </c>
      <c r="B2073" s="1">
        <f>IFERROR(__xludf.DUMMYFUNCTION("""COMPUTED_VALUE"""),0.6004921659)</f>
        <v>0.6004921659</v>
      </c>
    </row>
    <row r="2074">
      <c r="A2074" s="3">
        <f>IFERROR(__xludf.DUMMYFUNCTION("""COMPUTED_VALUE"""),42725.99861111111)</f>
        <v>42725.99861</v>
      </c>
      <c r="B2074" s="1">
        <f>IFERROR(__xludf.DUMMYFUNCTION("""COMPUTED_VALUE"""),0.6015666913)</f>
        <v>0.6015666913</v>
      </c>
    </row>
    <row r="2075">
      <c r="A2075" s="3">
        <f>IFERROR(__xludf.DUMMYFUNCTION("""COMPUTED_VALUE"""),42726.99861111111)</f>
        <v>42726.99861</v>
      </c>
      <c r="B2075" s="1">
        <f>IFERROR(__xludf.DUMMYFUNCTION("""COMPUTED_VALUE"""),0.600348176)</f>
        <v>0.600348176</v>
      </c>
    </row>
    <row r="2076">
      <c r="A2076" s="3">
        <f>IFERROR(__xludf.DUMMYFUNCTION("""COMPUTED_VALUE"""),42727.99861111111)</f>
        <v>42727.99861</v>
      </c>
      <c r="B2076" s="1">
        <f>IFERROR(__xludf.DUMMYFUNCTION("""COMPUTED_VALUE"""),0.6002770455)</f>
        <v>0.6002770455</v>
      </c>
    </row>
    <row r="2077">
      <c r="A2077" s="3">
        <f>IFERROR(__xludf.DUMMYFUNCTION("""COMPUTED_VALUE"""),42730.99861111111)</f>
        <v>42730.99861</v>
      </c>
      <c r="B2077" s="1">
        <f>IFERROR(__xludf.DUMMYFUNCTION("""COMPUTED_VALUE"""),0.6010015116)</f>
        <v>0.6010015116</v>
      </c>
    </row>
    <row r="2078">
      <c r="A2078" s="3">
        <f>IFERROR(__xludf.DUMMYFUNCTION("""COMPUTED_VALUE"""),42731.99861111111)</f>
        <v>42731.99861</v>
      </c>
      <c r="B2078" s="1">
        <f>IFERROR(__xludf.DUMMYFUNCTION("""COMPUTED_VALUE"""),0.6004739748)</f>
        <v>0.6004739748</v>
      </c>
    </row>
    <row r="2079">
      <c r="A2079" s="3">
        <f>IFERROR(__xludf.DUMMYFUNCTION("""COMPUTED_VALUE"""),42732.99861111111)</f>
        <v>42732.99861</v>
      </c>
      <c r="B2079" s="1">
        <f>IFERROR(__xludf.DUMMYFUNCTION("""COMPUTED_VALUE"""),0.6024472929)</f>
        <v>0.6024472929</v>
      </c>
    </row>
    <row r="2080">
      <c r="A2080" s="3">
        <f>IFERROR(__xludf.DUMMYFUNCTION("""COMPUTED_VALUE"""),42733.99861111111)</f>
        <v>42733.99861</v>
      </c>
      <c r="B2080" s="1">
        <f>IFERROR(__xludf.DUMMYFUNCTION("""COMPUTED_VALUE"""),0.603369473)</f>
        <v>0.603369473</v>
      </c>
    </row>
    <row r="2081">
      <c r="A2081" s="3">
        <f>IFERROR(__xludf.DUMMYFUNCTION("""COMPUTED_VALUE"""),42734.99861111111)</f>
        <v>42734.99861</v>
      </c>
      <c r="B2081" s="1">
        <f>IFERROR(__xludf.DUMMYFUNCTION("""COMPUTED_VALUE"""),0.6016556833)</f>
        <v>0.6016556833</v>
      </c>
    </row>
    <row r="2082">
      <c r="A2082" s="3">
        <f>IFERROR(__xludf.DUMMYFUNCTION("""COMPUTED_VALUE"""),42737.99861111111)</f>
        <v>42737.99861</v>
      </c>
      <c r="B2082" s="1">
        <f>IFERROR(__xludf.DUMMYFUNCTION("""COMPUTED_VALUE"""),0.6026504831)</f>
        <v>0.6026504831</v>
      </c>
    </row>
    <row r="2083">
      <c r="A2083" s="3">
        <f>IFERROR(__xludf.DUMMYFUNCTION("""COMPUTED_VALUE"""),42738.99861111111)</f>
        <v>42738.99861</v>
      </c>
      <c r="B2083" s="1">
        <f>IFERROR(__xludf.DUMMYFUNCTION("""COMPUTED_VALUE"""),0.6017996218)</f>
        <v>0.6017996218</v>
      </c>
    </row>
    <row r="2084">
      <c r="A2084" s="3">
        <f>IFERROR(__xludf.DUMMYFUNCTION("""COMPUTED_VALUE"""),42739.99861111111)</f>
        <v>42739.99861</v>
      </c>
      <c r="B2084" s="1">
        <f>IFERROR(__xludf.DUMMYFUNCTION("""COMPUTED_VALUE"""),0.6006660066)</f>
        <v>0.6006660066</v>
      </c>
    </row>
    <row r="2085">
      <c r="A2085" s="3">
        <f>IFERROR(__xludf.DUMMYFUNCTION("""COMPUTED_VALUE"""),42740.99861111111)</f>
        <v>42740.99861</v>
      </c>
      <c r="B2085" s="1">
        <f>IFERROR(__xludf.DUMMYFUNCTION("""COMPUTED_VALUE"""),0.6037077291)</f>
        <v>0.6037077291</v>
      </c>
    </row>
    <row r="2086">
      <c r="A2086" s="3">
        <f>IFERROR(__xludf.DUMMYFUNCTION("""COMPUTED_VALUE"""),42741.99861111111)</f>
        <v>42741.99861</v>
      </c>
      <c r="B2086" s="1">
        <f>IFERROR(__xludf.DUMMYFUNCTION("""COMPUTED_VALUE"""),0.598376452)</f>
        <v>0.598376452</v>
      </c>
    </row>
    <row r="2087">
      <c r="A2087" s="3">
        <f>IFERROR(__xludf.DUMMYFUNCTION("""COMPUTED_VALUE"""),42744.99861111111)</f>
        <v>42744.99861</v>
      </c>
      <c r="B2087" s="1">
        <f>IFERROR(__xludf.DUMMYFUNCTION("""COMPUTED_VALUE"""),0.6030710638)</f>
        <v>0.6030710638</v>
      </c>
    </row>
    <row r="2088">
      <c r="A2088" s="3">
        <f>IFERROR(__xludf.DUMMYFUNCTION("""COMPUTED_VALUE"""),42745.99861111111)</f>
        <v>42745.99861</v>
      </c>
      <c r="B2088" s="1">
        <f>IFERROR(__xludf.DUMMYFUNCTION("""COMPUTED_VALUE"""),0.5976975193)</f>
        <v>0.5976975193</v>
      </c>
    </row>
    <row r="2089">
      <c r="A2089" s="3">
        <f>IFERROR(__xludf.DUMMYFUNCTION("""COMPUTED_VALUE"""),42746.99861111111)</f>
        <v>42746.99861</v>
      </c>
      <c r="B2089" s="1">
        <f>IFERROR(__xludf.DUMMYFUNCTION("""COMPUTED_VALUE"""),0.6002538557)</f>
        <v>0.6002538557</v>
      </c>
    </row>
    <row r="2090">
      <c r="A2090" s="3">
        <f>IFERROR(__xludf.DUMMYFUNCTION("""COMPUTED_VALUE"""),42747.99861111111)</f>
        <v>42747.99861</v>
      </c>
      <c r="B2090" s="1">
        <f>IFERROR(__xludf.DUMMYFUNCTION("""COMPUTED_VALUE"""),0.5954637265)</f>
        <v>0.5954637265</v>
      </c>
    </row>
    <row r="2091">
      <c r="A2091" s="3">
        <f>IFERROR(__xludf.DUMMYFUNCTION("""COMPUTED_VALUE"""),42748.99861111111)</f>
        <v>42748.99861</v>
      </c>
      <c r="B2091" s="1">
        <f>IFERROR(__xludf.DUMMYFUNCTION("""COMPUTED_VALUE"""),0.5996306599)</f>
        <v>0.5996306599</v>
      </c>
    </row>
    <row r="2092">
      <c r="A2092" s="3">
        <f>IFERROR(__xludf.DUMMYFUNCTION("""COMPUTED_VALUE"""),42751.99861111111)</f>
        <v>42751.99861</v>
      </c>
      <c r="B2092" s="1">
        <f>IFERROR(__xludf.DUMMYFUNCTION("""COMPUTED_VALUE"""),0.6020113598)</f>
        <v>0.6020113598</v>
      </c>
    </row>
    <row r="2093">
      <c r="A2093" s="3">
        <f>IFERROR(__xludf.DUMMYFUNCTION("""COMPUTED_VALUE"""),42752.99861111111)</f>
        <v>42752.99861</v>
      </c>
      <c r="B2093" s="1">
        <f>IFERROR(__xludf.DUMMYFUNCTION("""COMPUTED_VALUE"""),0.5990538328)</f>
        <v>0.5990538328</v>
      </c>
    </row>
    <row r="2094">
      <c r="A2094" s="3">
        <f>IFERROR(__xludf.DUMMYFUNCTION("""COMPUTED_VALUE"""),42753.99861111111)</f>
        <v>42753.99861</v>
      </c>
      <c r="B2094" s="1">
        <f>IFERROR(__xludf.DUMMYFUNCTION("""COMPUTED_VALUE"""),0.5993096884)</f>
        <v>0.5993096884</v>
      </c>
    </row>
    <row r="2095">
      <c r="A2095" s="3">
        <f>IFERROR(__xludf.DUMMYFUNCTION("""COMPUTED_VALUE"""),42754.99861111111)</f>
        <v>42754.99861</v>
      </c>
      <c r="B2095" s="1">
        <f>IFERROR(__xludf.DUMMYFUNCTION("""COMPUTED_VALUE"""),0.6027212012)</f>
        <v>0.6027212012</v>
      </c>
    </row>
    <row r="2096">
      <c r="A2096" s="3">
        <f>IFERROR(__xludf.DUMMYFUNCTION("""COMPUTED_VALUE"""),42755.99861111111)</f>
        <v>42755.99861</v>
      </c>
      <c r="B2096" s="1">
        <f>IFERROR(__xludf.DUMMYFUNCTION("""COMPUTED_VALUE"""),0.6064571518)</f>
        <v>0.6064571518</v>
      </c>
    </row>
    <row r="2097">
      <c r="A2097" s="3">
        <f>IFERROR(__xludf.DUMMYFUNCTION("""COMPUTED_VALUE"""),42757.99861111111)</f>
        <v>42757.99861</v>
      </c>
      <c r="B2097" s="1">
        <f>IFERROR(__xludf.DUMMYFUNCTION("""COMPUTED_VALUE"""),0.6076236119)</f>
        <v>0.6076236119</v>
      </c>
    </row>
    <row r="2098">
      <c r="A2098" s="3">
        <f>IFERROR(__xludf.DUMMYFUNCTION("""COMPUTED_VALUE"""),42758.99861111111)</f>
        <v>42758.99861</v>
      </c>
      <c r="B2098" s="1">
        <f>IFERROR(__xludf.DUMMYFUNCTION("""COMPUTED_VALUE"""),0.6038461434)</f>
        <v>0.6038461434</v>
      </c>
    </row>
    <row r="2099">
      <c r="A2099" s="3">
        <f>IFERROR(__xludf.DUMMYFUNCTION("""COMPUTED_VALUE"""),42759.99861111111)</f>
        <v>42759.99861</v>
      </c>
      <c r="B2099" s="1">
        <f>IFERROR(__xludf.DUMMYFUNCTION("""COMPUTED_VALUE"""),0.6002069344)</f>
        <v>0.6002069344</v>
      </c>
    </row>
    <row r="2100">
      <c r="A2100" s="3">
        <f>IFERROR(__xludf.DUMMYFUNCTION("""COMPUTED_VALUE"""),42760.99861111111)</f>
        <v>42760.99861</v>
      </c>
      <c r="B2100" s="1">
        <f>IFERROR(__xludf.DUMMYFUNCTION("""COMPUTED_VALUE"""),0.5990911943)</f>
        <v>0.5990911943</v>
      </c>
    </row>
    <row r="2101">
      <c r="A2101" s="3">
        <f>IFERROR(__xludf.DUMMYFUNCTION("""COMPUTED_VALUE"""),42761.99861111111)</f>
        <v>42761.99861</v>
      </c>
      <c r="B2101" s="1">
        <f>IFERROR(__xludf.DUMMYFUNCTION("""COMPUTED_VALUE"""),0.5995879333)</f>
        <v>0.5995879333</v>
      </c>
    </row>
    <row r="2102">
      <c r="A2102" s="3">
        <f>IFERROR(__xludf.DUMMYFUNCTION("""COMPUTED_VALUE"""),42762.99861111111)</f>
        <v>42762.99861</v>
      </c>
      <c r="B2102" s="1">
        <f>IFERROR(__xludf.DUMMYFUNCTION("""COMPUTED_VALUE"""),0.6013957593)</f>
        <v>0.6013957593</v>
      </c>
    </row>
    <row r="2103">
      <c r="A2103" s="3">
        <f>IFERROR(__xludf.DUMMYFUNCTION("""COMPUTED_VALUE"""),42763.99861111111)</f>
        <v>42763.99861</v>
      </c>
      <c r="B2103" s="1">
        <f>IFERROR(__xludf.DUMMYFUNCTION("""COMPUTED_VALUE"""),0.601935156)</f>
        <v>0.601935156</v>
      </c>
    </row>
    <row r="2104">
      <c r="A2104" s="3">
        <f>IFERROR(__xludf.DUMMYFUNCTION("""COMPUTED_VALUE"""),42764.99861111111)</f>
        <v>42764.99861</v>
      </c>
      <c r="B2104" s="1">
        <f>IFERROR(__xludf.DUMMYFUNCTION("""COMPUTED_VALUE"""),0.6000810537)</f>
        <v>0.6000810537</v>
      </c>
    </row>
    <row r="2105">
      <c r="A2105" s="3">
        <f>IFERROR(__xludf.DUMMYFUNCTION("""COMPUTED_VALUE"""),42765.99861111111)</f>
        <v>42765.99861</v>
      </c>
      <c r="B2105" s="1">
        <f>IFERROR(__xludf.DUMMYFUNCTION("""COMPUTED_VALUE"""),0.6024662294)</f>
        <v>0.6024662294</v>
      </c>
    </row>
    <row r="2106">
      <c r="A2106" s="3">
        <f>IFERROR(__xludf.DUMMYFUNCTION("""COMPUTED_VALUE"""),42766.99861111111)</f>
        <v>42766.99861</v>
      </c>
      <c r="B2106" s="1">
        <f>IFERROR(__xludf.DUMMYFUNCTION("""COMPUTED_VALUE"""),0.6029730601)</f>
        <v>0.6029730601</v>
      </c>
    </row>
    <row r="2107">
      <c r="A2107" s="3">
        <f>IFERROR(__xludf.DUMMYFUNCTION("""COMPUTED_VALUE"""),42767.99861111111)</f>
        <v>42767.99861</v>
      </c>
      <c r="B2107" s="1">
        <f>IFERROR(__xludf.DUMMYFUNCTION("""COMPUTED_VALUE"""),0.5991568685)</f>
        <v>0.5991568685</v>
      </c>
    </row>
    <row r="2108">
      <c r="A2108" s="3">
        <f>IFERROR(__xludf.DUMMYFUNCTION("""COMPUTED_VALUE"""),42768.99861111111)</f>
        <v>42768.99861</v>
      </c>
      <c r="B2108" s="1">
        <f>IFERROR(__xludf.DUMMYFUNCTION("""COMPUTED_VALUE"""),0.5894876284)</f>
        <v>0.5894876284</v>
      </c>
    </row>
    <row r="2109">
      <c r="A2109" s="3">
        <f>IFERROR(__xludf.DUMMYFUNCTION("""COMPUTED_VALUE"""),42769.99861111111)</f>
        <v>42769.99861</v>
      </c>
      <c r="B2109" s="1">
        <f>IFERROR(__xludf.DUMMYFUNCTION("""COMPUTED_VALUE"""),0.601617197)</f>
        <v>0.601617197</v>
      </c>
    </row>
    <row r="2110">
      <c r="A2110" s="3">
        <f>IFERROR(__xludf.DUMMYFUNCTION("""COMPUTED_VALUE"""),42770.99861111111)</f>
        <v>42770.99861</v>
      </c>
      <c r="B2110" s="1">
        <f>IFERROR(__xludf.DUMMYFUNCTION("""COMPUTED_VALUE"""),0.6023097027)</f>
        <v>0.6023097027</v>
      </c>
    </row>
    <row r="2111">
      <c r="A2111" s="3">
        <f>IFERROR(__xludf.DUMMYFUNCTION("""COMPUTED_VALUE"""),42772.99861111111)</f>
        <v>42772.99861</v>
      </c>
      <c r="B2111" s="1">
        <f>IFERROR(__xludf.DUMMYFUNCTION("""COMPUTED_VALUE"""),0.6003784368)</f>
        <v>0.6003784368</v>
      </c>
    </row>
    <row r="2112">
      <c r="A2112" s="3">
        <f>IFERROR(__xludf.DUMMYFUNCTION("""COMPUTED_VALUE"""),42773.99861111111)</f>
        <v>42773.99861</v>
      </c>
      <c r="B2112" s="1">
        <f>IFERROR(__xludf.DUMMYFUNCTION("""COMPUTED_VALUE"""),0.5992795955)</f>
        <v>0.5992795955</v>
      </c>
    </row>
    <row r="2113">
      <c r="A2113" s="3">
        <f>IFERROR(__xludf.DUMMYFUNCTION("""COMPUTED_VALUE"""),42774.99861111111)</f>
        <v>42774.99861</v>
      </c>
      <c r="B2113" s="1">
        <f>IFERROR(__xludf.DUMMYFUNCTION("""COMPUTED_VALUE"""),0.5996483736)</f>
        <v>0.5996483736</v>
      </c>
    </row>
    <row r="2114">
      <c r="A2114" s="3">
        <f>IFERROR(__xludf.DUMMYFUNCTION("""COMPUTED_VALUE"""),42775.99861111111)</f>
        <v>42775.99861</v>
      </c>
      <c r="B2114" s="1">
        <f>IFERROR(__xludf.DUMMYFUNCTION("""COMPUTED_VALUE"""),0.5946211906)</f>
        <v>0.5946211906</v>
      </c>
    </row>
    <row r="2115">
      <c r="A2115" s="3">
        <f>IFERROR(__xludf.DUMMYFUNCTION("""COMPUTED_VALUE"""),42776.99861111111)</f>
        <v>42776.99861</v>
      </c>
      <c r="B2115" s="1">
        <f>IFERROR(__xludf.DUMMYFUNCTION("""COMPUTED_VALUE"""),0.597907119)</f>
        <v>0.597907119</v>
      </c>
    </row>
    <row r="2116">
      <c r="A2116" s="3">
        <f>IFERROR(__xludf.DUMMYFUNCTION("""COMPUTED_VALUE"""),42777.99861111111)</f>
        <v>42777.99861</v>
      </c>
      <c r="B2116" s="1">
        <f>IFERROR(__xludf.DUMMYFUNCTION("""COMPUTED_VALUE"""),0.5988201702)</f>
        <v>0.5988201702</v>
      </c>
    </row>
    <row r="2117">
      <c r="A2117" s="3">
        <f>IFERROR(__xludf.DUMMYFUNCTION("""COMPUTED_VALUE"""),42779.99861111111)</f>
        <v>42779.99861</v>
      </c>
      <c r="B2117" s="1">
        <f>IFERROR(__xludf.DUMMYFUNCTION("""COMPUTED_VALUE"""),0.5948298892)</f>
        <v>0.5948298892</v>
      </c>
    </row>
    <row r="2118">
      <c r="A2118" s="3">
        <f>IFERROR(__xludf.DUMMYFUNCTION("""COMPUTED_VALUE"""),42780.99861111111)</f>
        <v>42780.99861</v>
      </c>
      <c r="B2118" s="1">
        <f>IFERROR(__xludf.DUMMYFUNCTION("""COMPUTED_VALUE"""),0.5926238887)</f>
        <v>0.5926238887</v>
      </c>
    </row>
    <row r="2119">
      <c r="A2119" s="3">
        <f>IFERROR(__xludf.DUMMYFUNCTION("""COMPUTED_VALUE"""),42781.99861111111)</f>
        <v>42781.99861</v>
      </c>
      <c r="B2119" s="1">
        <f>IFERROR(__xludf.DUMMYFUNCTION("""COMPUTED_VALUE"""),0.5966217021)</f>
        <v>0.5966217021</v>
      </c>
    </row>
    <row r="2120">
      <c r="A2120" s="3">
        <f>IFERROR(__xludf.DUMMYFUNCTION("""COMPUTED_VALUE"""),42782.99861111111)</f>
        <v>42782.99861</v>
      </c>
      <c r="B2120" s="1">
        <f>IFERROR(__xludf.DUMMYFUNCTION("""COMPUTED_VALUE"""),0.597220353)</f>
        <v>0.597220353</v>
      </c>
    </row>
    <row r="2121">
      <c r="A2121" s="3">
        <f>IFERROR(__xludf.DUMMYFUNCTION("""COMPUTED_VALUE"""),42783.99861111111)</f>
        <v>42783.99861</v>
      </c>
      <c r="B2121" s="1">
        <f>IFERROR(__xludf.DUMMYFUNCTION("""COMPUTED_VALUE"""),0.5932482309)</f>
        <v>0.5932482309</v>
      </c>
    </row>
    <row r="2122">
      <c r="A2122" s="3">
        <f>IFERROR(__xludf.DUMMYFUNCTION("""COMPUTED_VALUE"""),42784.99861111111)</f>
        <v>42784.99861</v>
      </c>
      <c r="B2122" s="1">
        <f>IFERROR(__xludf.DUMMYFUNCTION("""COMPUTED_VALUE"""),0.5938322276)</f>
        <v>0.5938322276</v>
      </c>
    </row>
    <row r="2123">
      <c r="A2123" s="3">
        <f>IFERROR(__xludf.DUMMYFUNCTION("""COMPUTED_VALUE"""),42786.99861111111)</f>
        <v>42786.99861</v>
      </c>
      <c r="B2123" s="1">
        <f>IFERROR(__xludf.DUMMYFUNCTION("""COMPUTED_VALUE"""),0.5941506341)</f>
        <v>0.5941506341</v>
      </c>
    </row>
    <row r="2124">
      <c r="A2124" s="3">
        <f>IFERROR(__xludf.DUMMYFUNCTION("""COMPUTED_VALUE"""),42787.99861111111)</f>
        <v>42787.99861</v>
      </c>
      <c r="B2124" s="1">
        <f>IFERROR(__xludf.DUMMYFUNCTION("""COMPUTED_VALUE"""),0.5945079821)</f>
        <v>0.5945079821</v>
      </c>
    </row>
    <row r="2125">
      <c r="A2125" s="3">
        <f>IFERROR(__xludf.DUMMYFUNCTION("""COMPUTED_VALUE"""),42788.99861111111)</f>
        <v>42788.99861</v>
      </c>
      <c r="B2125" s="1">
        <f>IFERROR(__xludf.DUMMYFUNCTION("""COMPUTED_VALUE"""),0.5972060423)</f>
        <v>0.5972060423</v>
      </c>
    </row>
    <row r="2126">
      <c r="A2126" s="3">
        <f>IFERROR(__xludf.DUMMYFUNCTION("""COMPUTED_VALUE"""),42789.99861111111)</f>
        <v>42789.99861</v>
      </c>
      <c r="B2126" s="1">
        <f>IFERROR(__xludf.DUMMYFUNCTION("""COMPUTED_VALUE"""),0.5836618365)</f>
        <v>0.5836618365</v>
      </c>
    </row>
    <row r="2127">
      <c r="A2127" s="3">
        <f>IFERROR(__xludf.DUMMYFUNCTION("""COMPUTED_VALUE"""),42790.99861111111)</f>
        <v>42790.99861</v>
      </c>
      <c r="B2127" s="1">
        <f>IFERROR(__xludf.DUMMYFUNCTION("""COMPUTED_VALUE"""),0.5839579215)</f>
        <v>0.5839579215</v>
      </c>
    </row>
    <row r="2128">
      <c r="A2128" s="3">
        <f>IFERROR(__xludf.DUMMYFUNCTION("""COMPUTED_VALUE"""),42791.99861111111)</f>
        <v>42791.99861</v>
      </c>
      <c r="B2128" s="1">
        <f>IFERROR(__xludf.DUMMYFUNCTION("""COMPUTED_VALUE"""),0.5910825157)</f>
        <v>0.5910825157</v>
      </c>
    </row>
    <row r="2129">
      <c r="A2129" s="3">
        <f>IFERROR(__xludf.DUMMYFUNCTION("""COMPUTED_VALUE"""),42793.99861111111)</f>
        <v>42793.99861</v>
      </c>
      <c r="B2129" s="1">
        <f>IFERROR(__xludf.DUMMYFUNCTION("""COMPUTED_VALUE"""),0.5856346289)</f>
        <v>0.5856346289</v>
      </c>
    </row>
    <row r="2130">
      <c r="A2130" s="3">
        <f>IFERROR(__xludf.DUMMYFUNCTION("""COMPUTED_VALUE"""),42794.99861111111)</f>
        <v>42794.99861</v>
      </c>
      <c r="B2130" s="1">
        <f>IFERROR(__xludf.DUMMYFUNCTION("""COMPUTED_VALUE"""),0.5883567648)</f>
        <v>0.5883567648</v>
      </c>
    </row>
    <row r="2131">
      <c r="A2131" s="3">
        <f>IFERROR(__xludf.DUMMYFUNCTION("""COMPUTED_VALUE"""),42795.99861111111)</f>
        <v>42795.99861</v>
      </c>
      <c r="B2131" s="1">
        <f>IFERROR(__xludf.DUMMYFUNCTION("""COMPUTED_VALUE"""),0.5980974469)</f>
        <v>0.5980974469</v>
      </c>
    </row>
    <row r="2132">
      <c r="A2132" s="3">
        <f>IFERROR(__xludf.DUMMYFUNCTION("""COMPUTED_VALUE"""),42796.99861111111)</f>
        <v>42796.99861</v>
      </c>
      <c r="B2132" s="1">
        <f>IFERROR(__xludf.DUMMYFUNCTION("""COMPUTED_VALUE"""),0.5950431491)</f>
        <v>0.5950431491</v>
      </c>
    </row>
    <row r="2133">
      <c r="A2133" s="3">
        <f>IFERROR(__xludf.DUMMYFUNCTION("""COMPUTED_VALUE"""),42797.99861111111)</f>
        <v>42797.99861</v>
      </c>
      <c r="B2133" s="1">
        <f>IFERROR(__xludf.DUMMYFUNCTION("""COMPUTED_VALUE"""),0.5830122574)</f>
        <v>0.5830122574</v>
      </c>
    </row>
    <row r="2134">
      <c r="A2134" s="3">
        <f>IFERROR(__xludf.DUMMYFUNCTION("""COMPUTED_VALUE"""),42798.99861111111)</f>
        <v>42798.99861</v>
      </c>
      <c r="B2134" s="1">
        <f>IFERROR(__xludf.DUMMYFUNCTION("""COMPUTED_VALUE"""),0.5983096237)</f>
        <v>0.5983096237</v>
      </c>
    </row>
    <row r="2135">
      <c r="A2135" s="3">
        <f>IFERROR(__xludf.DUMMYFUNCTION("""COMPUTED_VALUE"""),42799.99861111111)</f>
        <v>42799.99861</v>
      </c>
      <c r="B2135" s="1">
        <f>IFERROR(__xludf.DUMMYFUNCTION("""COMPUTED_VALUE"""),0.5958267877)</f>
        <v>0.5958267877</v>
      </c>
    </row>
    <row r="2136">
      <c r="A2136" s="3">
        <f>IFERROR(__xludf.DUMMYFUNCTION("""COMPUTED_VALUE"""),42800.99861111111)</f>
        <v>42800.99861</v>
      </c>
      <c r="B2136" s="1">
        <f>IFERROR(__xludf.DUMMYFUNCTION("""COMPUTED_VALUE"""),0.5851754369)</f>
        <v>0.5851754369</v>
      </c>
    </row>
    <row r="2137">
      <c r="A2137" s="3">
        <f>IFERROR(__xludf.DUMMYFUNCTION("""COMPUTED_VALUE"""),42801.99861111111)</f>
        <v>42801.99861</v>
      </c>
      <c r="B2137" s="1">
        <f>IFERROR(__xludf.DUMMYFUNCTION("""COMPUTED_VALUE"""),0.5940840997)</f>
        <v>0.5940840997</v>
      </c>
    </row>
    <row r="2138">
      <c r="A2138" s="3">
        <f>IFERROR(__xludf.DUMMYFUNCTION("""COMPUTED_VALUE"""),42802.99861111111)</f>
        <v>42802.99861</v>
      </c>
      <c r="B2138" s="1">
        <f>IFERROR(__xludf.DUMMYFUNCTION("""COMPUTED_VALUE"""),0.5951649493)</f>
        <v>0.5951649493</v>
      </c>
    </row>
    <row r="2139">
      <c r="A2139" s="3">
        <f>IFERROR(__xludf.DUMMYFUNCTION("""COMPUTED_VALUE"""),42803.99861111111)</f>
        <v>42803.99861</v>
      </c>
      <c r="B2139" s="1">
        <f>IFERROR(__xludf.DUMMYFUNCTION("""COMPUTED_VALUE"""),0.5986154413)</f>
        <v>0.5986154413</v>
      </c>
    </row>
    <row r="2140">
      <c r="A2140" s="3">
        <f>IFERROR(__xludf.DUMMYFUNCTION("""COMPUTED_VALUE"""),42804.99861111111)</f>
        <v>42804.99861</v>
      </c>
      <c r="B2140" s="1">
        <f>IFERROR(__xludf.DUMMYFUNCTION("""COMPUTED_VALUE"""),0.5991203135)</f>
        <v>0.5991203135</v>
      </c>
    </row>
    <row r="2141">
      <c r="A2141" s="3">
        <f>IFERROR(__xludf.DUMMYFUNCTION("""COMPUTED_VALUE"""),42807.99861111111)</f>
        <v>42807.99861</v>
      </c>
      <c r="B2141" s="1">
        <f>IFERROR(__xludf.DUMMYFUNCTION("""COMPUTED_VALUE"""),0.595422559)</f>
        <v>0.595422559</v>
      </c>
    </row>
    <row r="2142">
      <c r="A2142" s="3">
        <f>IFERROR(__xludf.DUMMYFUNCTION("""COMPUTED_VALUE"""),42808.99861111111)</f>
        <v>42808.99861</v>
      </c>
      <c r="B2142" s="1">
        <f>IFERROR(__xludf.DUMMYFUNCTION("""COMPUTED_VALUE"""),0.5955610895)</f>
        <v>0.5955610895</v>
      </c>
    </row>
    <row r="2143">
      <c r="A2143" s="3">
        <f>IFERROR(__xludf.DUMMYFUNCTION("""COMPUTED_VALUE"""),42809.99861111111)</f>
        <v>42809.99861</v>
      </c>
      <c r="B2143" s="1">
        <f>IFERROR(__xludf.DUMMYFUNCTION("""COMPUTED_VALUE"""),0.5947174188)</f>
        <v>0.5947174188</v>
      </c>
    </row>
    <row r="2144">
      <c r="A2144" s="3">
        <f>IFERROR(__xludf.DUMMYFUNCTION("""COMPUTED_VALUE"""),42810.99861111111)</f>
        <v>42810.99861</v>
      </c>
      <c r="B2144" s="1">
        <f>IFERROR(__xludf.DUMMYFUNCTION("""COMPUTED_VALUE"""),0.5953832315)</f>
        <v>0.5953832315</v>
      </c>
    </row>
    <row r="2145">
      <c r="A2145" s="3">
        <f>IFERROR(__xludf.DUMMYFUNCTION("""COMPUTED_VALUE"""),42811.99861111111)</f>
        <v>42811.99861</v>
      </c>
      <c r="B2145" s="1">
        <f>IFERROR(__xludf.DUMMYFUNCTION("""COMPUTED_VALUE"""),0.5954293792)</f>
        <v>0.5954293792</v>
      </c>
    </row>
    <row r="2146">
      <c r="A2146" s="3">
        <f>IFERROR(__xludf.DUMMYFUNCTION("""COMPUTED_VALUE"""),42812.99861111111)</f>
        <v>42812.99861</v>
      </c>
      <c r="B2146" s="1">
        <f>IFERROR(__xludf.DUMMYFUNCTION("""COMPUTED_VALUE"""),0.5954293792)</f>
        <v>0.5954293792</v>
      </c>
    </row>
    <row r="2147">
      <c r="A2147" s="3">
        <f>IFERROR(__xludf.DUMMYFUNCTION("""COMPUTED_VALUE"""),42814.99861111111)</f>
        <v>42814.99861</v>
      </c>
      <c r="B2147" s="1">
        <f>IFERROR(__xludf.DUMMYFUNCTION("""COMPUTED_VALUE"""),0.5939323608)</f>
        <v>0.5939323608</v>
      </c>
    </row>
    <row r="2148">
      <c r="A2148" s="3">
        <f>IFERROR(__xludf.DUMMYFUNCTION("""COMPUTED_VALUE"""),42815.99861111111)</f>
        <v>42815.99861</v>
      </c>
      <c r="B2148" s="1">
        <f>IFERROR(__xludf.DUMMYFUNCTION("""COMPUTED_VALUE"""),0.5936036327)</f>
        <v>0.5936036327</v>
      </c>
    </row>
    <row r="2149">
      <c r="A2149" s="3">
        <f>IFERROR(__xludf.DUMMYFUNCTION("""COMPUTED_VALUE"""),42816.99861111111)</f>
        <v>42816.99861</v>
      </c>
      <c r="B2149" s="1">
        <f>IFERROR(__xludf.DUMMYFUNCTION("""COMPUTED_VALUE"""),0.5952210689)</f>
        <v>0.5952210689</v>
      </c>
    </row>
    <row r="2150">
      <c r="A2150" s="3">
        <f>IFERROR(__xludf.DUMMYFUNCTION("""COMPUTED_VALUE"""),42817.99861111111)</f>
        <v>42817.99861</v>
      </c>
      <c r="B2150" s="1">
        <f>IFERROR(__xludf.DUMMYFUNCTION("""COMPUTED_VALUE"""),0.5937848279)</f>
        <v>0.5937848279</v>
      </c>
    </row>
    <row r="2151">
      <c r="A2151" s="3">
        <f>IFERROR(__xludf.DUMMYFUNCTION("""COMPUTED_VALUE"""),42818.99861111111)</f>
        <v>42818.99861</v>
      </c>
      <c r="B2151" s="1">
        <f>IFERROR(__xludf.DUMMYFUNCTION("""COMPUTED_VALUE"""),0.5925909333)</f>
        <v>0.5925909333</v>
      </c>
    </row>
    <row r="2152">
      <c r="A2152" s="3">
        <f>IFERROR(__xludf.DUMMYFUNCTION("""COMPUTED_VALUE"""),42821.99861111111)</f>
        <v>42821.99861</v>
      </c>
      <c r="B2152" s="1">
        <f>IFERROR(__xludf.DUMMYFUNCTION("""COMPUTED_VALUE"""),0.5938950247)</f>
        <v>0.5938950247</v>
      </c>
    </row>
    <row r="2153">
      <c r="A2153" s="3">
        <f>IFERROR(__xludf.DUMMYFUNCTION("""COMPUTED_VALUE"""),42822.99861111111)</f>
        <v>42822.99861</v>
      </c>
      <c r="B2153" s="1">
        <f>IFERROR(__xludf.DUMMYFUNCTION("""COMPUTED_VALUE"""),0.5917741176)</f>
        <v>0.5917741176</v>
      </c>
    </row>
    <row r="2154">
      <c r="A2154" s="3">
        <f>IFERROR(__xludf.DUMMYFUNCTION("""COMPUTED_VALUE"""),42823.99861111111)</f>
        <v>42823.99861</v>
      </c>
      <c r="B2154" s="1">
        <f>IFERROR(__xludf.DUMMYFUNCTION("""COMPUTED_VALUE"""),0.5926404287)</f>
        <v>0.5926404287</v>
      </c>
    </row>
    <row r="2155">
      <c r="A2155" s="3">
        <f>IFERROR(__xludf.DUMMYFUNCTION("""COMPUTED_VALUE"""),42824.99861111111)</f>
        <v>42824.99861</v>
      </c>
      <c r="B2155" s="1">
        <f>IFERROR(__xludf.DUMMYFUNCTION("""COMPUTED_VALUE"""),0.59043686)</f>
        <v>0.59043686</v>
      </c>
    </row>
    <row r="2156">
      <c r="A2156" s="3">
        <f>IFERROR(__xludf.DUMMYFUNCTION("""COMPUTED_VALUE"""),42825.99861111111)</f>
        <v>42825.99861</v>
      </c>
      <c r="B2156" s="1">
        <f>IFERROR(__xludf.DUMMYFUNCTION("""COMPUTED_VALUE"""),0.5937597437)</f>
        <v>0.5937597437</v>
      </c>
    </row>
    <row r="2157">
      <c r="A2157" s="3">
        <f>IFERROR(__xludf.DUMMYFUNCTION("""COMPUTED_VALUE"""),42828.99861111111)</f>
        <v>42828.99861</v>
      </c>
      <c r="B2157" s="1">
        <f>IFERROR(__xludf.DUMMYFUNCTION("""COMPUTED_VALUE"""),0.5963545033)</f>
        <v>0.5963545033</v>
      </c>
    </row>
    <row r="2158">
      <c r="A2158" s="3">
        <f>IFERROR(__xludf.DUMMYFUNCTION("""COMPUTED_VALUE"""),42829.99861111111)</f>
        <v>42829.99861</v>
      </c>
      <c r="B2158" s="1">
        <f>IFERROR(__xludf.DUMMYFUNCTION("""COMPUTED_VALUE"""),0.5992179388)</f>
        <v>0.5992179388</v>
      </c>
    </row>
    <row r="2159">
      <c r="A2159" s="3">
        <f>IFERROR(__xludf.DUMMYFUNCTION("""COMPUTED_VALUE"""),42830.99861111111)</f>
        <v>42830.99861</v>
      </c>
      <c r="B2159" s="1">
        <f>IFERROR(__xludf.DUMMYFUNCTION("""COMPUTED_VALUE"""),0.596908597)</f>
        <v>0.596908597</v>
      </c>
    </row>
    <row r="2160">
      <c r="A2160" s="3">
        <f>IFERROR(__xludf.DUMMYFUNCTION("""COMPUTED_VALUE"""),42831.99861111111)</f>
        <v>42831.99861</v>
      </c>
      <c r="B2160" s="1">
        <f>IFERROR(__xludf.DUMMYFUNCTION("""COMPUTED_VALUE"""),0.5972625981)</f>
        <v>0.5972625981</v>
      </c>
    </row>
    <row r="2161">
      <c r="A2161" s="3">
        <f>IFERROR(__xludf.DUMMYFUNCTION("""COMPUTED_VALUE"""),42832.99861111111)</f>
        <v>42832.99861</v>
      </c>
      <c r="B2161" s="1">
        <f>IFERROR(__xludf.DUMMYFUNCTION("""COMPUTED_VALUE"""),0.5886117806)</f>
        <v>0.5886117806</v>
      </c>
    </row>
    <row r="2162">
      <c r="A2162" s="3">
        <f>IFERROR(__xludf.DUMMYFUNCTION("""COMPUTED_VALUE"""),42833.99861111111)</f>
        <v>42833.99861</v>
      </c>
      <c r="B2162" s="1">
        <f>IFERROR(__xludf.DUMMYFUNCTION("""COMPUTED_VALUE"""),0.5969386484)</f>
        <v>0.5969386484</v>
      </c>
    </row>
    <row r="2163">
      <c r="A2163" s="3">
        <f>IFERROR(__xludf.DUMMYFUNCTION("""COMPUTED_VALUE"""),42835.99861111111)</f>
        <v>42835.99861</v>
      </c>
      <c r="B2163" s="1">
        <f>IFERROR(__xludf.DUMMYFUNCTION("""COMPUTED_VALUE"""),0.5859161098)</f>
        <v>0.5859161098</v>
      </c>
    </row>
    <row r="2164">
      <c r="A2164" s="3">
        <f>IFERROR(__xludf.DUMMYFUNCTION("""COMPUTED_VALUE"""),42836.99861111111)</f>
        <v>42836.99861</v>
      </c>
      <c r="B2164" s="1">
        <f>IFERROR(__xludf.DUMMYFUNCTION("""COMPUTED_VALUE"""),0.5867213995)</f>
        <v>0.5867213995</v>
      </c>
    </row>
    <row r="2165">
      <c r="A2165" s="3">
        <f>IFERROR(__xludf.DUMMYFUNCTION("""COMPUTED_VALUE"""),42837.99861111111)</f>
        <v>42837.99861</v>
      </c>
      <c r="B2165" s="1">
        <f>IFERROR(__xludf.DUMMYFUNCTION("""COMPUTED_VALUE"""),0.5856638713)</f>
        <v>0.5856638713</v>
      </c>
    </row>
    <row r="2166">
      <c r="A2166" s="3">
        <f>IFERROR(__xludf.DUMMYFUNCTION("""COMPUTED_VALUE"""),42838.99861111111)</f>
        <v>42838.99861</v>
      </c>
      <c r="B2166" s="1">
        <f>IFERROR(__xludf.DUMMYFUNCTION("""COMPUTED_VALUE"""),0.5862662748)</f>
        <v>0.5862662748</v>
      </c>
    </row>
    <row r="2167">
      <c r="A2167" s="3">
        <f>IFERROR(__xludf.DUMMYFUNCTION("""COMPUTED_VALUE"""),42839.99861111111)</f>
        <v>42839.99861</v>
      </c>
      <c r="B2167" s="1">
        <f>IFERROR(__xludf.DUMMYFUNCTION("""COMPUTED_VALUE"""),0.5940952676)</f>
        <v>0.5940952676</v>
      </c>
    </row>
    <row r="2168">
      <c r="A2168" s="3">
        <f>IFERROR(__xludf.DUMMYFUNCTION("""COMPUTED_VALUE"""),42842.99861111111)</f>
        <v>42842.99861</v>
      </c>
      <c r="B2168" s="1">
        <f>IFERROR(__xludf.DUMMYFUNCTION("""COMPUTED_VALUE"""),0.595871661)</f>
        <v>0.595871661</v>
      </c>
    </row>
    <row r="2169">
      <c r="A2169" s="3">
        <f>IFERROR(__xludf.DUMMYFUNCTION("""COMPUTED_VALUE"""),42843.99861111111)</f>
        <v>42843.99861</v>
      </c>
      <c r="B2169" s="1">
        <f>IFERROR(__xludf.DUMMYFUNCTION("""COMPUTED_VALUE"""),0.5980568455)</f>
        <v>0.5980568455</v>
      </c>
    </row>
    <row r="2170">
      <c r="A2170" s="3">
        <f>IFERROR(__xludf.DUMMYFUNCTION("""COMPUTED_VALUE"""),42844.99861111111)</f>
        <v>42844.99861</v>
      </c>
      <c r="B2170" s="1">
        <f>IFERROR(__xludf.DUMMYFUNCTION("""COMPUTED_VALUE"""),0.5957228261)</f>
        <v>0.5957228261</v>
      </c>
    </row>
    <row r="2171">
      <c r="A2171" s="3">
        <f>IFERROR(__xludf.DUMMYFUNCTION("""COMPUTED_VALUE"""),42845.99861111111)</f>
        <v>42845.99861</v>
      </c>
      <c r="B2171" s="1">
        <f>IFERROR(__xludf.DUMMYFUNCTION("""COMPUTED_VALUE"""),0.593475634)</f>
        <v>0.593475634</v>
      </c>
    </row>
    <row r="2172">
      <c r="A2172" s="3">
        <f>IFERROR(__xludf.DUMMYFUNCTION("""COMPUTED_VALUE"""),42846.99861111111)</f>
        <v>42846.99861</v>
      </c>
      <c r="B2172" s="1">
        <f>IFERROR(__xludf.DUMMYFUNCTION("""COMPUTED_VALUE"""),0.5962677154)</f>
        <v>0.5962677154</v>
      </c>
    </row>
    <row r="2173">
      <c r="A2173" s="3">
        <f>IFERROR(__xludf.DUMMYFUNCTION("""COMPUTED_VALUE"""),42849.99861111111)</f>
        <v>42849.99861</v>
      </c>
      <c r="B2173" s="1">
        <f>IFERROR(__xludf.DUMMYFUNCTION("""COMPUTED_VALUE"""),0.5876768662)</f>
        <v>0.5876768662</v>
      </c>
    </row>
    <row r="2174">
      <c r="A2174" s="3">
        <f>IFERROR(__xludf.DUMMYFUNCTION("""COMPUTED_VALUE"""),42850.99861111111)</f>
        <v>42850.99861</v>
      </c>
      <c r="B2174" s="1">
        <f>IFERROR(__xludf.DUMMYFUNCTION("""COMPUTED_VALUE"""),0.5965470808)</f>
        <v>0.5965470808</v>
      </c>
    </row>
    <row r="2175">
      <c r="A2175" s="3">
        <f>IFERROR(__xludf.DUMMYFUNCTION("""COMPUTED_VALUE"""),42851.99861111111)</f>
        <v>42851.99861</v>
      </c>
      <c r="B2175" s="1">
        <f>IFERROR(__xludf.DUMMYFUNCTION("""COMPUTED_VALUE"""),0.5933333292)</f>
        <v>0.5933333292</v>
      </c>
    </row>
    <row r="2176">
      <c r="A2176" s="3">
        <f>IFERROR(__xludf.DUMMYFUNCTION("""COMPUTED_VALUE"""),42852.99861111111)</f>
        <v>42852.99861</v>
      </c>
      <c r="B2176" s="1">
        <f>IFERROR(__xludf.DUMMYFUNCTION("""COMPUTED_VALUE"""),0.5955747857)</f>
        <v>0.5955747857</v>
      </c>
    </row>
    <row r="2177">
      <c r="A2177" s="3">
        <f>IFERROR(__xludf.DUMMYFUNCTION("""COMPUTED_VALUE"""),42853.99861111111)</f>
        <v>42853.99861</v>
      </c>
      <c r="B2177" s="1">
        <f>IFERROR(__xludf.DUMMYFUNCTION("""COMPUTED_VALUE"""),0.5939906393)</f>
        <v>0.5939906393</v>
      </c>
    </row>
    <row r="2178">
      <c r="A2178" s="3">
        <f>IFERROR(__xludf.DUMMYFUNCTION("""COMPUTED_VALUE"""),42854.99861111111)</f>
        <v>42854.99861</v>
      </c>
      <c r="B2178" s="1">
        <f>IFERROR(__xludf.DUMMYFUNCTION("""COMPUTED_VALUE"""),0.5943080219)</f>
        <v>0.5943080219</v>
      </c>
    </row>
    <row r="2179">
      <c r="A2179" s="3">
        <f>IFERROR(__xludf.DUMMYFUNCTION("""COMPUTED_VALUE"""),42856.99861111111)</f>
        <v>42856.99861</v>
      </c>
      <c r="B2179" s="1">
        <f>IFERROR(__xludf.DUMMYFUNCTION("""COMPUTED_VALUE"""),0.5934618943)</f>
        <v>0.5934618943</v>
      </c>
    </row>
    <row r="2180">
      <c r="A2180" s="3">
        <f>IFERROR(__xludf.DUMMYFUNCTION("""COMPUTED_VALUE"""),42857.99861111111)</f>
        <v>42857.99861</v>
      </c>
      <c r="B2180" s="1">
        <f>IFERROR(__xludf.DUMMYFUNCTION("""COMPUTED_VALUE"""),0.5945885491)</f>
        <v>0.5945885491</v>
      </c>
    </row>
    <row r="2181">
      <c r="A2181" s="3">
        <f>IFERROR(__xludf.DUMMYFUNCTION("""COMPUTED_VALUE"""),42858.99861111111)</f>
        <v>42858.99861</v>
      </c>
      <c r="B2181" s="1">
        <f>IFERROR(__xludf.DUMMYFUNCTION("""COMPUTED_VALUE"""),0.593239981)</f>
        <v>0.593239981</v>
      </c>
    </row>
    <row r="2182">
      <c r="A2182" s="3">
        <f>IFERROR(__xludf.DUMMYFUNCTION("""COMPUTED_VALUE"""),42859.99861111111)</f>
        <v>42859.99861</v>
      </c>
      <c r="B2182" s="1">
        <f>IFERROR(__xludf.DUMMYFUNCTION("""COMPUTED_VALUE"""),0.598743262)</f>
        <v>0.598743262</v>
      </c>
    </row>
    <row r="2183">
      <c r="A2183" s="3">
        <f>IFERROR(__xludf.DUMMYFUNCTION("""COMPUTED_VALUE"""),42860.99861111111)</f>
        <v>42860.99861</v>
      </c>
      <c r="B2183" s="1">
        <f>IFERROR(__xludf.DUMMYFUNCTION("""COMPUTED_VALUE"""),0.5974602809)</f>
        <v>0.5974602809</v>
      </c>
    </row>
    <row r="2184">
      <c r="A2184" s="3">
        <f>IFERROR(__xludf.DUMMYFUNCTION("""COMPUTED_VALUE"""),42863.99861111111)</f>
        <v>42863.99861</v>
      </c>
      <c r="B2184" s="1">
        <f>IFERROR(__xludf.DUMMYFUNCTION("""COMPUTED_VALUE"""),0.5942377954)</f>
        <v>0.5942377954</v>
      </c>
    </row>
    <row r="2185">
      <c r="A2185" s="3">
        <f>IFERROR(__xludf.DUMMYFUNCTION("""COMPUTED_VALUE"""),42864.99861111111)</f>
        <v>42864.99861</v>
      </c>
      <c r="B2185" s="1">
        <f>IFERROR(__xludf.DUMMYFUNCTION("""COMPUTED_VALUE"""),0.5959848265)</f>
        <v>0.5959848265</v>
      </c>
    </row>
    <row r="2186">
      <c r="A2186" s="3">
        <f>IFERROR(__xludf.DUMMYFUNCTION("""COMPUTED_VALUE"""),42865.99861111111)</f>
        <v>42865.99861</v>
      </c>
      <c r="B2186" s="1">
        <f>IFERROR(__xludf.DUMMYFUNCTION("""COMPUTED_VALUE"""),0.5967821171)</f>
        <v>0.5967821171</v>
      </c>
    </row>
    <row r="2187">
      <c r="A2187" s="3">
        <f>IFERROR(__xludf.DUMMYFUNCTION("""COMPUTED_VALUE"""),42866.99861111111)</f>
        <v>42866.99861</v>
      </c>
      <c r="B2187" s="1">
        <f>IFERROR(__xludf.DUMMYFUNCTION("""COMPUTED_VALUE"""),0.5949231308)</f>
        <v>0.5949231308</v>
      </c>
    </row>
    <row r="2188">
      <c r="A2188" s="3">
        <f>IFERROR(__xludf.DUMMYFUNCTION("""COMPUTED_VALUE"""),42867.99861111111)</f>
        <v>42867.99861</v>
      </c>
      <c r="B2188" s="1">
        <f>IFERROR(__xludf.DUMMYFUNCTION("""COMPUTED_VALUE"""),0.5995047193)</f>
        <v>0.5995047193</v>
      </c>
    </row>
    <row r="2189">
      <c r="A2189" s="3">
        <f>IFERROR(__xludf.DUMMYFUNCTION("""COMPUTED_VALUE"""),42870.99861111111)</f>
        <v>42870.99861</v>
      </c>
      <c r="B2189" s="1">
        <f>IFERROR(__xludf.DUMMYFUNCTION("""COMPUTED_VALUE"""),0.5956864736)</f>
        <v>0.5956864736</v>
      </c>
    </row>
    <row r="2190">
      <c r="A2190" s="3">
        <f>IFERROR(__xludf.DUMMYFUNCTION("""COMPUTED_VALUE"""),42871.99861111111)</f>
        <v>42871.99861</v>
      </c>
      <c r="B2190" s="1">
        <f>IFERROR(__xludf.DUMMYFUNCTION("""COMPUTED_VALUE"""),0.5968525076)</f>
        <v>0.5968525076</v>
      </c>
    </row>
    <row r="2191">
      <c r="A2191" s="3">
        <f>IFERROR(__xludf.DUMMYFUNCTION("""COMPUTED_VALUE"""),42872.99861111111)</f>
        <v>42872.99861</v>
      </c>
      <c r="B2191" s="1">
        <f>IFERROR(__xludf.DUMMYFUNCTION("""COMPUTED_VALUE"""),0.5994778467)</f>
        <v>0.5994778467</v>
      </c>
    </row>
    <row r="2192">
      <c r="A2192" s="3">
        <f>IFERROR(__xludf.DUMMYFUNCTION("""COMPUTED_VALUE"""),42873.99861111111)</f>
        <v>42873.99861</v>
      </c>
      <c r="B2192" s="1">
        <f>IFERROR(__xludf.DUMMYFUNCTION("""COMPUTED_VALUE"""),0.5980628375)</f>
        <v>0.5980628375</v>
      </c>
    </row>
    <row r="2193">
      <c r="A2193" s="3">
        <f>IFERROR(__xludf.DUMMYFUNCTION("""COMPUTED_VALUE"""),42874.99861111111)</f>
        <v>42874.99861</v>
      </c>
      <c r="B2193" s="1">
        <f>IFERROR(__xludf.DUMMYFUNCTION("""COMPUTED_VALUE"""),0.5985532635)</f>
        <v>0.5985532635</v>
      </c>
    </row>
    <row r="2194">
      <c r="A2194" s="3">
        <f>IFERROR(__xludf.DUMMYFUNCTION("""COMPUTED_VALUE"""),42875.99861111111)</f>
        <v>42875.99861</v>
      </c>
      <c r="B2194" s="1">
        <f>IFERROR(__xludf.DUMMYFUNCTION("""COMPUTED_VALUE"""),0.5990623169)</f>
        <v>0.5990623169</v>
      </c>
    </row>
    <row r="2195">
      <c r="A2195" s="3">
        <f>IFERROR(__xludf.DUMMYFUNCTION("""COMPUTED_VALUE"""),42877.99861111111)</f>
        <v>42877.99861</v>
      </c>
      <c r="B2195" s="1">
        <f>IFERROR(__xludf.DUMMYFUNCTION("""COMPUTED_VALUE"""),0.5955655075)</f>
        <v>0.5955655075</v>
      </c>
    </row>
    <row r="2196">
      <c r="A2196" s="3">
        <f>IFERROR(__xludf.DUMMYFUNCTION("""COMPUTED_VALUE"""),42878.99861111111)</f>
        <v>42878.99861</v>
      </c>
      <c r="B2196" s="1">
        <f>IFERROR(__xludf.DUMMYFUNCTION("""COMPUTED_VALUE"""),0.592328583)</f>
        <v>0.592328583</v>
      </c>
    </row>
    <row r="2197">
      <c r="A2197" s="3">
        <f>IFERROR(__xludf.DUMMYFUNCTION("""COMPUTED_VALUE"""),42879.99861111111)</f>
        <v>42879.99861</v>
      </c>
      <c r="B2197" s="1">
        <f>IFERROR(__xludf.DUMMYFUNCTION("""COMPUTED_VALUE"""),0.5973326018)</f>
        <v>0.5973326018</v>
      </c>
    </row>
    <row r="2198">
      <c r="A2198" s="3">
        <f>IFERROR(__xludf.DUMMYFUNCTION("""COMPUTED_VALUE"""),42880.99861111111)</f>
        <v>42880.99861</v>
      </c>
      <c r="B2198" s="1">
        <f>IFERROR(__xludf.DUMMYFUNCTION("""COMPUTED_VALUE"""),0.5951944117)</f>
        <v>0.5951944117</v>
      </c>
    </row>
    <row r="2199">
      <c r="A2199" s="3">
        <f>IFERROR(__xludf.DUMMYFUNCTION("""COMPUTED_VALUE"""),42881.99861111111)</f>
        <v>42881.99861</v>
      </c>
      <c r="B2199" s="1">
        <f>IFERROR(__xludf.DUMMYFUNCTION("""COMPUTED_VALUE"""),0.5921785112)</f>
        <v>0.5921785112</v>
      </c>
    </row>
    <row r="2200">
      <c r="A2200" s="3">
        <f>IFERROR(__xludf.DUMMYFUNCTION("""COMPUTED_VALUE"""),42884.99861111111)</f>
        <v>42884.99861</v>
      </c>
      <c r="B2200" s="1">
        <f>IFERROR(__xludf.DUMMYFUNCTION("""COMPUTED_VALUE"""),0.5937834369)</f>
        <v>0.5937834369</v>
      </c>
    </row>
    <row r="2201">
      <c r="A2201" s="3">
        <f>IFERROR(__xludf.DUMMYFUNCTION("""COMPUTED_VALUE"""),42885.99861111111)</f>
        <v>42885.99861</v>
      </c>
      <c r="B2201" s="1">
        <f>IFERROR(__xludf.DUMMYFUNCTION("""COMPUTED_VALUE"""),0.5975325212)</f>
        <v>0.5975325212</v>
      </c>
    </row>
    <row r="2202">
      <c r="A2202" s="3">
        <f>IFERROR(__xludf.DUMMYFUNCTION("""COMPUTED_VALUE"""),42886.99861111111)</f>
        <v>42886.99861</v>
      </c>
      <c r="B2202" s="1">
        <f>IFERROR(__xludf.DUMMYFUNCTION("""COMPUTED_VALUE"""),0.596036583)</f>
        <v>0.596036583</v>
      </c>
    </row>
    <row r="2203">
      <c r="A2203" s="3">
        <f>IFERROR(__xludf.DUMMYFUNCTION("""COMPUTED_VALUE"""),42887.99861111111)</f>
        <v>42887.99861</v>
      </c>
      <c r="B2203" s="1">
        <f>IFERROR(__xludf.DUMMYFUNCTION("""COMPUTED_VALUE"""),0.5937444085)</f>
        <v>0.5937444085</v>
      </c>
    </row>
    <row r="2204">
      <c r="A2204" s="3">
        <f>IFERROR(__xludf.DUMMYFUNCTION("""COMPUTED_VALUE"""),42888.99861111111)</f>
        <v>42888.99861</v>
      </c>
      <c r="B2204" s="1">
        <f>IFERROR(__xludf.DUMMYFUNCTION("""COMPUTED_VALUE"""),0.5977414845)</f>
        <v>0.5977414845</v>
      </c>
    </row>
    <row r="2205">
      <c r="A2205" s="3">
        <f>IFERROR(__xludf.DUMMYFUNCTION("""COMPUTED_VALUE"""),42889.99861111111)</f>
        <v>42889.99861</v>
      </c>
      <c r="B2205" s="1">
        <f>IFERROR(__xludf.DUMMYFUNCTION("""COMPUTED_VALUE"""),0.5985513104)</f>
        <v>0.5985513104</v>
      </c>
    </row>
    <row r="2206">
      <c r="A2206" s="3">
        <f>IFERROR(__xludf.DUMMYFUNCTION("""COMPUTED_VALUE"""),42891.99861111111)</f>
        <v>42891.99861</v>
      </c>
      <c r="B2206" s="1">
        <f>IFERROR(__xludf.DUMMYFUNCTION("""COMPUTED_VALUE"""),0.5947168101)</f>
        <v>0.5947168101</v>
      </c>
    </row>
    <row r="2207">
      <c r="A2207" s="3">
        <f>IFERROR(__xludf.DUMMYFUNCTION("""COMPUTED_VALUE"""),42892.99861111111)</f>
        <v>42892.99861</v>
      </c>
      <c r="B2207" s="1">
        <f>IFERROR(__xludf.DUMMYFUNCTION("""COMPUTED_VALUE"""),0.5942808434)</f>
        <v>0.5942808434</v>
      </c>
    </row>
    <row r="2208">
      <c r="A2208" s="3">
        <f>IFERROR(__xludf.DUMMYFUNCTION("""COMPUTED_VALUE"""),42893.99861111111)</f>
        <v>42893.99861</v>
      </c>
      <c r="B2208" s="1">
        <f>IFERROR(__xludf.DUMMYFUNCTION("""COMPUTED_VALUE"""),0.5982832911)</f>
        <v>0.5982832911</v>
      </c>
    </row>
    <row r="2209">
      <c r="A2209" s="3">
        <f>IFERROR(__xludf.DUMMYFUNCTION("""COMPUTED_VALUE"""),42894.99861111111)</f>
        <v>42894.99861</v>
      </c>
      <c r="B2209" s="1">
        <f>IFERROR(__xludf.DUMMYFUNCTION("""COMPUTED_VALUE"""),0.5935434831)</f>
        <v>0.5935434831</v>
      </c>
    </row>
    <row r="2210">
      <c r="A2210" s="3">
        <f>IFERROR(__xludf.DUMMYFUNCTION("""COMPUTED_VALUE"""),42895.99861111111)</f>
        <v>42895.99861</v>
      </c>
      <c r="B2210" s="1">
        <f>IFERROR(__xludf.DUMMYFUNCTION("""COMPUTED_VALUE"""),0.5958925539)</f>
        <v>0.5958925539</v>
      </c>
    </row>
    <row r="2211">
      <c r="A2211" s="3">
        <f>IFERROR(__xludf.DUMMYFUNCTION("""COMPUTED_VALUE"""),42898.99861111111)</f>
        <v>42898.99861</v>
      </c>
      <c r="B2211" s="1">
        <f>IFERROR(__xludf.DUMMYFUNCTION("""COMPUTED_VALUE"""),0.5954116527)</f>
        <v>0.5954116527</v>
      </c>
    </row>
    <row r="2212">
      <c r="A2212" s="3">
        <f>IFERROR(__xludf.DUMMYFUNCTION("""COMPUTED_VALUE"""),42899.99861111111)</f>
        <v>42899.99861</v>
      </c>
      <c r="B2212" s="1">
        <f>IFERROR(__xludf.DUMMYFUNCTION("""COMPUTED_VALUE"""),0.5947519153)</f>
        <v>0.5947519153</v>
      </c>
    </row>
    <row r="2213">
      <c r="A2213" s="3">
        <f>IFERROR(__xludf.DUMMYFUNCTION("""COMPUTED_VALUE"""),42900.99861111111)</f>
        <v>42900.99861</v>
      </c>
      <c r="B2213" s="1">
        <f>IFERROR(__xludf.DUMMYFUNCTION("""COMPUTED_VALUE"""),0.5943987003)</f>
        <v>0.5943987003</v>
      </c>
    </row>
    <row r="2214">
      <c r="A2214" s="3">
        <f>IFERROR(__xludf.DUMMYFUNCTION("""COMPUTED_VALUE"""),42901.99861111111)</f>
        <v>42901.99861</v>
      </c>
      <c r="B2214" s="1">
        <f>IFERROR(__xludf.DUMMYFUNCTION("""COMPUTED_VALUE"""),0.5949429388)</f>
        <v>0.5949429388</v>
      </c>
    </row>
    <row r="2215">
      <c r="A2215" s="3">
        <f>IFERROR(__xludf.DUMMYFUNCTION("""COMPUTED_VALUE"""),42902.99861111111)</f>
        <v>42902.99861</v>
      </c>
      <c r="B2215" s="1">
        <f>IFERROR(__xludf.DUMMYFUNCTION("""COMPUTED_VALUE"""),0.5949236736)</f>
        <v>0.5949236736</v>
      </c>
    </row>
    <row r="2216">
      <c r="A2216" s="3">
        <f>IFERROR(__xludf.DUMMYFUNCTION("""COMPUTED_VALUE"""),42905.99861111111)</f>
        <v>42905.99861</v>
      </c>
      <c r="B2216" s="1">
        <f>IFERROR(__xludf.DUMMYFUNCTION("""COMPUTED_VALUE"""),0.590987945)</f>
        <v>0.590987945</v>
      </c>
    </row>
    <row r="2217">
      <c r="A2217" s="3">
        <f>IFERROR(__xludf.DUMMYFUNCTION("""COMPUTED_VALUE"""),42906.99861111111)</f>
        <v>42906.99861</v>
      </c>
      <c r="B2217" s="1">
        <f>IFERROR(__xludf.DUMMYFUNCTION("""COMPUTED_VALUE"""),0.5931893184)</f>
        <v>0.5931893184</v>
      </c>
    </row>
    <row r="2218">
      <c r="A2218" s="3">
        <f>IFERROR(__xludf.DUMMYFUNCTION("""COMPUTED_VALUE"""),42907.99861111111)</f>
        <v>42907.99861</v>
      </c>
      <c r="B2218" s="1">
        <f>IFERROR(__xludf.DUMMYFUNCTION("""COMPUTED_VALUE"""),0.5956827312)</f>
        <v>0.5956827312</v>
      </c>
    </row>
    <row r="2219">
      <c r="A2219" s="3">
        <f>IFERROR(__xludf.DUMMYFUNCTION("""COMPUTED_VALUE"""),42908.99861111111)</f>
        <v>42908.99861</v>
      </c>
      <c r="B2219" s="1">
        <f>IFERROR(__xludf.DUMMYFUNCTION("""COMPUTED_VALUE"""),0.5957133249)</f>
        <v>0.5957133249</v>
      </c>
    </row>
    <row r="2220">
      <c r="A2220" s="3">
        <f>IFERROR(__xludf.DUMMYFUNCTION("""COMPUTED_VALUE"""),42909.99861111111)</f>
        <v>42909.99861</v>
      </c>
      <c r="B2220" s="1">
        <f>IFERROR(__xludf.DUMMYFUNCTION("""COMPUTED_VALUE"""),0.5964951526)</f>
        <v>0.5964951526</v>
      </c>
    </row>
    <row r="2221">
      <c r="A2221" s="3">
        <f>IFERROR(__xludf.DUMMYFUNCTION("""COMPUTED_VALUE"""),42910.99861111111)</f>
        <v>42910.99861</v>
      </c>
      <c r="B2221" s="1">
        <f>IFERROR(__xludf.DUMMYFUNCTION("""COMPUTED_VALUE"""),0.596789613)</f>
        <v>0.596789613</v>
      </c>
    </row>
    <row r="2222">
      <c r="A2222" s="3">
        <f>IFERROR(__xludf.DUMMYFUNCTION("""COMPUTED_VALUE"""),42911.99861111111)</f>
        <v>42911.99861</v>
      </c>
      <c r="B2222" s="1">
        <f>IFERROR(__xludf.DUMMYFUNCTION("""COMPUTED_VALUE"""),0.5954013669)</f>
        <v>0.5954013669</v>
      </c>
    </row>
    <row r="2223">
      <c r="A2223" s="3">
        <f>IFERROR(__xludf.DUMMYFUNCTION("""COMPUTED_VALUE"""),42912.99861111111)</f>
        <v>42912.99861</v>
      </c>
      <c r="B2223" s="1">
        <f>IFERROR(__xludf.DUMMYFUNCTION("""COMPUTED_VALUE"""),0.5953775275)</f>
        <v>0.5953775275</v>
      </c>
    </row>
    <row r="2224">
      <c r="A2224" s="3">
        <f>IFERROR(__xludf.DUMMYFUNCTION("""COMPUTED_VALUE"""),42913.99861111111)</f>
        <v>42913.99861</v>
      </c>
      <c r="B2224" s="1">
        <f>IFERROR(__xludf.DUMMYFUNCTION("""COMPUTED_VALUE"""),0.598488933)</f>
        <v>0.598488933</v>
      </c>
    </row>
    <row r="2225">
      <c r="A2225" s="3">
        <f>IFERROR(__xludf.DUMMYFUNCTION("""COMPUTED_VALUE"""),42914.99861111111)</f>
        <v>42914.99861</v>
      </c>
      <c r="B2225" s="1">
        <f>IFERROR(__xludf.DUMMYFUNCTION("""COMPUTED_VALUE"""),0.5947662584)</f>
        <v>0.5947662584</v>
      </c>
    </row>
    <row r="2226">
      <c r="A2226" s="3">
        <f>IFERROR(__xludf.DUMMYFUNCTION("""COMPUTED_VALUE"""),42915.99861111111)</f>
        <v>42915.99861</v>
      </c>
      <c r="B2226" s="1">
        <f>IFERROR(__xludf.DUMMYFUNCTION("""COMPUTED_VALUE"""),0.5949457791)</f>
        <v>0.5949457791</v>
      </c>
    </row>
    <row r="2227">
      <c r="A2227" s="3">
        <f>IFERROR(__xludf.DUMMYFUNCTION("""COMPUTED_VALUE"""),42916.99861111111)</f>
        <v>42916.99861</v>
      </c>
      <c r="B2227" s="1">
        <f>IFERROR(__xludf.DUMMYFUNCTION("""COMPUTED_VALUE"""),0.5959799424)</f>
        <v>0.5959799424</v>
      </c>
    </row>
    <row r="2228">
      <c r="A2228" s="3">
        <f>IFERROR(__xludf.DUMMYFUNCTION("""COMPUTED_VALUE"""),42919.99861111111)</f>
        <v>42919.99861</v>
      </c>
      <c r="B2228" s="1">
        <f>IFERROR(__xludf.DUMMYFUNCTION("""COMPUTED_VALUE"""),0.5963143089)</f>
        <v>0.5963143089</v>
      </c>
    </row>
    <row r="2229">
      <c r="A2229" s="3">
        <f>IFERROR(__xludf.DUMMYFUNCTION("""COMPUTED_VALUE"""),42920.99861111111)</f>
        <v>42920.99861</v>
      </c>
      <c r="B2229" s="1">
        <f>IFERROR(__xludf.DUMMYFUNCTION("""COMPUTED_VALUE"""),0.5962397189)</f>
        <v>0.5962397189</v>
      </c>
    </row>
    <row r="2230">
      <c r="A2230" s="3">
        <f>IFERROR(__xludf.DUMMYFUNCTION("""COMPUTED_VALUE"""),42921.99861111111)</f>
        <v>42921.99861</v>
      </c>
      <c r="B2230" s="1">
        <f>IFERROR(__xludf.DUMMYFUNCTION("""COMPUTED_VALUE"""),0.5984057903)</f>
        <v>0.5984057903</v>
      </c>
    </row>
    <row r="2231">
      <c r="A2231" s="3">
        <f>IFERROR(__xludf.DUMMYFUNCTION("""COMPUTED_VALUE"""),42922.99861111111)</f>
        <v>42922.99861</v>
      </c>
      <c r="B2231" s="1">
        <f>IFERROR(__xludf.DUMMYFUNCTION("""COMPUTED_VALUE"""),0.5887813377)</f>
        <v>0.5887813377</v>
      </c>
    </row>
    <row r="2232">
      <c r="A2232" s="3">
        <f>IFERROR(__xludf.DUMMYFUNCTION("""COMPUTED_VALUE"""),42923.99861111111)</f>
        <v>42923.99861</v>
      </c>
      <c r="B2232" s="1">
        <f>IFERROR(__xludf.DUMMYFUNCTION("""COMPUTED_VALUE"""),0.5893862007)</f>
        <v>0.5893862007</v>
      </c>
    </row>
    <row r="2233">
      <c r="A2233" s="3">
        <f>IFERROR(__xludf.DUMMYFUNCTION("""COMPUTED_VALUE"""),42924.99861111111)</f>
        <v>42924.99861</v>
      </c>
      <c r="B2233" s="1">
        <f>IFERROR(__xludf.DUMMYFUNCTION("""COMPUTED_VALUE"""),0.5988582923)</f>
        <v>0.5988582923</v>
      </c>
    </row>
    <row r="2234">
      <c r="A2234" s="3">
        <f>IFERROR(__xludf.DUMMYFUNCTION("""COMPUTED_VALUE"""),42926.99861111111)</f>
        <v>42926.99861</v>
      </c>
      <c r="B2234" s="1">
        <f>IFERROR(__xludf.DUMMYFUNCTION("""COMPUTED_VALUE"""),0.5979454994)</f>
        <v>0.5979454994</v>
      </c>
    </row>
    <row r="2235">
      <c r="A2235" s="3">
        <f>IFERROR(__xludf.DUMMYFUNCTION("""COMPUTED_VALUE"""),42927.99861111111)</f>
        <v>42927.99861</v>
      </c>
      <c r="B2235" s="1">
        <f>IFERROR(__xludf.DUMMYFUNCTION("""COMPUTED_VALUE"""),0.6000629264)</f>
        <v>0.6000629264</v>
      </c>
    </row>
    <row r="2236">
      <c r="A2236" s="3">
        <f>IFERROR(__xludf.DUMMYFUNCTION("""COMPUTED_VALUE"""),42928.99861111111)</f>
        <v>42928.99861</v>
      </c>
      <c r="B2236" s="1">
        <f>IFERROR(__xludf.DUMMYFUNCTION("""COMPUTED_VALUE"""),0.5948893703)</f>
        <v>0.5948893703</v>
      </c>
    </row>
    <row r="2237">
      <c r="A2237" s="3">
        <f>IFERROR(__xludf.DUMMYFUNCTION("""COMPUTED_VALUE"""),42929.99861111111)</f>
        <v>42929.99861</v>
      </c>
      <c r="B2237" s="1">
        <f>IFERROR(__xludf.DUMMYFUNCTION("""COMPUTED_VALUE"""),0.5967258535)</f>
        <v>0.5967258535</v>
      </c>
    </row>
    <row r="2238">
      <c r="A2238" s="3">
        <f>IFERROR(__xludf.DUMMYFUNCTION("""COMPUTED_VALUE"""),42930.99861111111)</f>
        <v>42930.99861</v>
      </c>
      <c r="B2238" s="1">
        <f>IFERROR(__xludf.DUMMYFUNCTION("""COMPUTED_VALUE"""),0.5968842499)</f>
        <v>0.5968842499</v>
      </c>
    </row>
    <row r="2239">
      <c r="A2239" s="3">
        <f>IFERROR(__xludf.DUMMYFUNCTION("""COMPUTED_VALUE"""),42933.99861111111)</f>
        <v>42933.99861</v>
      </c>
      <c r="B2239" s="1">
        <f>IFERROR(__xludf.DUMMYFUNCTION("""COMPUTED_VALUE"""),0.5961779448)</f>
        <v>0.5961779448</v>
      </c>
    </row>
    <row r="2240">
      <c r="A2240" s="3">
        <f>IFERROR(__xludf.DUMMYFUNCTION("""COMPUTED_VALUE"""),42934.99861111111)</f>
        <v>42934.99861</v>
      </c>
      <c r="B2240" s="1">
        <f>IFERROR(__xludf.DUMMYFUNCTION("""COMPUTED_VALUE"""),0.5941841115)</f>
        <v>0.5941841115</v>
      </c>
    </row>
    <row r="2241">
      <c r="A2241" s="3">
        <f>IFERROR(__xludf.DUMMYFUNCTION("""COMPUTED_VALUE"""),42935.99861111111)</f>
        <v>42935.99861</v>
      </c>
      <c r="B2241" s="1">
        <f>IFERROR(__xludf.DUMMYFUNCTION("""COMPUTED_VALUE"""),0.5941517838)</f>
        <v>0.5941517838</v>
      </c>
    </row>
    <row r="2242">
      <c r="A2242" s="3">
        <f>IFERROR(__xludf.DUMMYFUNCTION("""COMPUTED_VALUE"""),42936.99861111111)</f>
        <v>42936.99861</v>
      </c>
      <c r="B2242" s="1">
        <f>IFERROR(__xludf.DUMMYFUNCTION("""COMPUTED_VALUE"""),0.6008038945)</f>
        <v>0.6008038945</v>
      </c>
    </row>
    <row r="2243">
      <c r="A2243" s="3">
        <f>IFERROR(__xludf.DUMMYFUNCTION("""COMPUTED_VALUE"""),42937.99861111111)</f>
        <v>42937.99861</v>
      </c>
      <c r="B2243" s="1">
        <f>IFERROR(__xludf.DUMMYFUNCTION("""COMPUTED_VALUE"""),0.5958579344)</f>
        <v>0.5958579344</v>
      </c>
    </row>
    <row r="2244">
      <c r="A2244" s="3">
        <f>IFERROR(__xludf.DUMMYFUNCTION("""COMPUTED_VALUE"""),42940.99861111111)</f>
        <v>42940.99861</v>
      </c>
      <c r="B2244" s="1">
        <f>IFERROR(__xludf.DUMMYFUNCTION("""COMPUTED_VALUE"""),0.594437745)</f>
        <v>0.594437745</v>
      </c>
    </row>
    <row r="2245">
      <c r="A2245" s="3">
        <f>IFERROR(__xludf.DUMMYFUNCTION("""COMPUTED_VALUE"""),42941.99861111111)</f>
        <v>42941.99861</v>
      </c>
      <c r="B2245" s="1">
        <f>IFERROR(__xludf.DUMMYFUNCTION("""COMPUTED_VALUE"""),0.5950796862)</f>
        <v>0.5950796862</v>
      </c>
    </row>
    <row r="2246">
      <c r="A2246" s="3">
        <f>IFERROR(__xludf.DUMMYFUNCTION("""COMPUTED_VALUE"""),42942.99861111111)</f>
        <v>42942.99861</v>
      </c>
      <c r="B2246" s="1">
        <f>IFERROR(__xludf.DUMMYFUNCTION("""COMPUTED_VALUE"""),0.600567712)</f>
        <v>0.600567712</v>
      </c>
    </row>
    <row r="2247">
      <c r="A2247" s="3">
        <f>IFERROR(__xludf.DUMMYFUNCTION("""COMPUTED_VALUE"""),42943.99861111111)</f>
        <v>42943.99861</v>
      </c>
      <c r="B2247" s="1">
        <f>IFERROR(__xludf.DUMMYFUNCTION("""COMPUTED_VALUE"""),0.5931818067)</f>
        <v>0.5931818067</v>
      </c>
    </row>
    <row r="2248">
      <c r="A2248" s="3">
        <f>IFERROR(__xludf.DUMMYFUNCTION("""COMPUTED_VALUE"""),42944.99861111111)</f>
        <v>42944.99861</v>
      </c>
      <c r="B2248" s="1">
        <f>IFERROR(__xludf.DUMMYFUNCTION("""COMPUTED_VALUE"""),0.5977944082)</f>
        <v>0.5977944082</v>
      </c>
    </row>
    <row r="2249">
      <c r="A2249" s="3">
        <f>IFERROR(__xludf.DUMMYFUNCTION("""COMPUTED_VALUE"""),42947.99861111111)</f>
        <v>42947.99861</v>
      </c>
      <c r="B2249" s="1">
        <f>IFERROR(__xludf.DUMMYFUNCTION("""COMPUTED_VALUE"""),0.6004237843)</f>
        <v>0.6004237843</v>
      </c>
    </row>
    <row r="2250">
      <c r="A2250" s="3">
        <f>IFERROR(__xludf.DUMMYFUNCTION("""COMPUTED_VALUE"""),42948.99861111111)</f>
        <v>42948.99861</v>
      </c>
      <c r="B2250" s="1">
        <f>IFERROR(__xludf.DUMMYFUNCTION("""COMPUTED_VALUE"""),0.5945089266)</f>
        <v>0.5945089266</v>
      </c>
    </row>
    <row r="2251">
      <c r="A2251" s="3">
        <f>IFERROR(__xludf.DUMMYFUNCTION("""COMPUTED_VALUE"""),42949.99861111111)</f>
        <v>42949.99861</v>
      </c>
      <c r="B2251" s="1">
        <f>IFERROR(__xludf.DUMMYFUNCTION("""COMPUTED_VALUE"""),0.5959455779)</f>
        <v>0.5959455779</v>
      </c>
    </row>
    <row r="2252">
      <c r="A2252" s="3">
        <f>IFERROR(__xludf.DUMMYFUNCTION("""COMPUTED_VALUE"""),42950.99861111111)</f>
        <v>42950.99861</v>
      </c>
      <c r="B2252" s="1">
        <f>IFERROR(__xludf.DUMMYFUNCTION("""COMPUTED_VALUE"""),0.5964621531)</f>
        <v>0.5964621531</v>
      </c>
    </row>
    <row r="2253">
      <c r="A2253" s="3">
        <f>IFERROR(__xludf.DUMMYFUNCTION("""COMPUTED_VALUE"""),42951.99861111111)</f>
        <v>42951.99861</v>
      </c>
      <c r="B2253" s="1">
        <f>IFERROR(__xludf.DUMMYFUNCTION("""COMPUTED_VALUE"""),0.5894960547)</f>
        <v>0.5894960547</v>
      </c>
    </row>
    <row r="2254">
      <c r="A2254" s="3">
        <f>IFERROR(__xludf.DUMMYFUNCTION("""COMPUTED_VALUE"""),42954.99861111111)</f>
        <v>42954.99861</v>
      </c>
      <c r="B2254" s="1">
        <f>IFERROR(__xludf.DUMMYFUNCTION("""COMPUTED_VALUE"""),0.5944461777)</f>
        <v>0.5944461777</v>
      </c>
    </row>
    <row r="2255">
      <c r="A2255" s="3">
        <f>IFERROR(__xludf.DUMMYFUNCTION("""COMPUTED_VALUE"""),42955.99861111111)</f>
        <v>42955.99861</v>
      </c>
      <c r="B2255" s="1">
        <f>IFERROR(__xludf.DUMMYFUNCTION("""COMPUTED_VALUE"""),0.590931289)</f>
        <v>0.590931289</v>
      </c>
    </row>
    <row r="2256">
      <c r="A2256" s="3">
        <f>IFERROR(__xludf.DUMMYFUNCTION("""COMPUTED_VALUE"""),42956.99861111111)</f>
        <v>42956.99861</v>
      </c>
      <c r="B2256" s="1">
        <f>IFERROR(__xludf.DUMMYFUNCTION("""COMPUTED_VALUE"""),0.5963750265)</f>
        <v>0.5963750265</v>
      </c>
    </row>
    <row r="2257">
      <c r="A2257" s="3">
        <f>IFERROR(__xludf.DUMMYFUNCTION("""COMPUTED_VALUE"""),42957.99861111111)</f>
        <v>42957.99861</v>
      </c>
      <c r="B2257" s="1">
        <f>IFERROR(__xludf.DUMMYFUNCTION("""COMPUTED_VALUE"""),0.5975697128)</f>
        <v>0.5975697128</v>
      </c>
    </row>
    <row r="2258">
      <c r="A2258" s="3">
        <f>IFERROR(__xludf.DUMMYFUNCTION("""COMPUTED_VALUE"""),42958.99861111111)</f>
        <v>42958.99861</v>
      </c>
      <c r="B2258" s="1">
        <f>IFERROR(__xludf.DUMMYFUNCTION("""COMPUTED_VALUE"""),0.5993893359)</f>
        <v>0.5993893359</v>
      </c>
    </row>
    <row r="2259">
      <c r="A2259" s="3">
        <f>IFERROR(__xludf.DUMMYFUNCTION("""COMPUTED_VALUE"""),42961.99861111111)</f>
        <v>42961.99861</v>
      </c>
      <c r="B2259" s="1">
        <f>IFERROR(__xludf.DUMMYFUNCTION("""COMPUTED_VALUE"""),0.5950140412)</f>
        <v>0.5950140412</v>
      </c>
    </row>
    <row r="2260">
      <c r="A2260" s="3">
        <f>IFERROR(__xludf.DUMMYFUNCTION("""COMPUTED_VALUE"""),42962.99861111111)</f>
        <v>42962.99861</v>
      </c>
      <c r="B2260" s="1">
        <f>IFERROR(__xludf.DUMMYFUNCTION("""COMPUTED_VALUE"""),0.5958680995)</f>
        <v>0.5958680995</v>
      </c>
    </row>
    <row r="2261">
      <c r="A2261" s="3">
        <f>IFERROR(__xludf.DUMMYFUNCTION("""COMPUTED_VALUE"""),42963.99861111111)</f>
        <v>42963.99861</v>
      </c>
      <c r="B2261" s="1">
        <f>IFERROR(__xludf.DUMMYFUNCTION("""COMPUTED_VALUE"""),0.599946063)</f>
        <v>0.599946063</v>
      </c>
    </row>
    <row r="2262">
      <c r="A2262" s="3">
        <f>IFERROR(__xludf.DUMMYFUNCTION("""COMPUTED_VALUE"""),42964.99861111111)</f>
        <v>42964.99861</v>
      </c>
      <c r="B2262" s="1">
        <f>IFERROR(__xludf.DUMMYFUNCTION("""COMPUTED_VALUE"""),0.5986747765)</f>
        <v>0.5986747765</v>
      </c>
    </row>
    <row r="2263">
      <c r="A2263" s="3">
        <f>IFERROR(__xludf.DUMMYFUNCTION("""COMPUTED_VALUE"""),42965.99861111111)</f>
        <v>42965.99861</v>
      </c>
      <c r="B2263" s="1">
        <f>IFERROR(__xludf.DUMMYFUNCTION("""COMPUTED_VALUE"""),0.5972458111)</f>
        <v>0.5972458111</v>
      </c>
    </row>
    <row r="2264">
      <c r="A2264" s="3">
        <f>IFERROR(__xludf.DUMMYFUNCTION("""COMPUTED_VALUE"""),42968.99861111111)</f>
        <v>42968.99861</v>
      </c>
      <c r="B2264" s="1">
        <f>IFERROR(__xludf.DUMMYFUNCTION("""COMPUTED_VALUE"""),0.5988152826)</f>
        <v>0.5988152826</v>
      </c>
    </row>
    <row r="2265">
      <c r="A2265" s="3">
        <f>IFERROR(__xludf.DUMMYFUNCTION("""COMPUTED_VALUE"""),42969.99861111111)</f>
        <v>42969.99861</v>
      </c>
      <c r="B2265" s="1">
        <f>IFERROR(__xludf.DUMMYFUNCTION("""COMPUTED_VALUE"""),0.5956372006)</f>
        <v>0.5956372006</v>
      </c>
    </row>
    <row r="2266">
      <c r="A2266" s="3">
        <f>IFERROR(__xludf.DUMMYFUNCTION("""COMPUTED_VALUE"""),42970.99861111111)</f>
        <v>42970.99861</v>
      </c>
      <c r="B2266" s="1">
        <f>IFERROR(__xludf.DUMMYFUNCTION("""COMPUTED_VALUE"""),0.5975740712)</f>
        <v>0.5975740712</v>
      </c>
    </row>
    <row r="2267">
      <c r="A2267" s="3">
        <f>IFERROR(__xludf.DUMMYFUNCTION("""COMPUTED_VALUE"""),42971.99861111111)</f>
        <v>42971.99861</v>
      </c>
      <c r="B2267" s="1">
        <f>IFERROR(__xludf.DUMMYFUNCTION("""COMPUTED_VALUE"""),0.5955954564)</f>
        <v>0.5955954564</v>
      </c>
    </row>
    <row r="2268">
      <c r="A2268" s="3">
        <f>IFERROR(__xludf.DUMMYFUNCTION("""COMPUTED_VALUE"""),42972.99861111111)</f>
        <v>42972.99861</v>
      </c>
      <c r="B2268" s="1">
        <f>IFERROR(__xludf.DUMMYFUNCTION("""COMPUTED_VALUE"""),0.6010542342)</f>
        <v>0.6010542342</v>
      </c>
    </row>
    <row r="2269">
      <c r="A2269" s="3">
        <f>IFERROR(__xludf.DUMMYFUNCTION("""COMPUTED_VALUE"""),42975.99861111111)</f>
        <v>42975.99861</v>
      </c>
      <c r="B2269" s="1">
        <f>IFERROR(__xludf.DUMMYFUNCTION("""COMPUTED_VALUE"""),0.5959324423)</f>
        <v>0.5959324423</v>
      </c>
    </row>
    <row r="2270">
      <c r="A2270" s="3">
        <f>IFERROR(__xludf.DUMMYFUNCTION("""COMPUTED_VALUE"""),42976.99861111111)</f>
        <v>42976.99861</v>
      </c>
      <c r="B2270" s="1">
        <f>IFERROR(__xludf.DUMMYFUNCTION("""COMPUTED_VALUE"""),0.5918412569)</f>
        <v>0.5918412569</v>
      </c>
    </row>
    <row r="2271">
      <c r="A2271" s="3">
        <f>IFERROR(__xludf.DUMMYFUNCTION("""COMPUTED_VALUE"""),42977.99861111111)</f>
        <v>42977.99861</v>
      </c>
      <c r="B2271" s="1">
        <f>IFERROR(__xludf.DUMMYFUNCTION("""COMPUTED_VALUE"""),0.5925695469)</f>
        <v>0.5925695469</v>
      </c>
    </row>
    <row r="2272">
      <c r="A2272" s="3">
        <f>IFERROR(__xludf.DUMMYFUNCTION("""COMPUTED_VALUE"""),42978.99861111111)</f>
        <v>42978.99861</v>
      </c>
      <c r="B2272" s="1">
        <f>IFERROR(__xludf.DUMMYFUNCTION("""COMPUTED_VALUE"""),0.5976222476)</f>
        <v>0.5976222476</v>
      </c>
    </row>
    <row r="2273">
      <c r="A2273" s="3">
        <f>IFERROR(__xludf.DUMMYFUNCTION("""COMPUTED_VALUE"""),42979.99861111111)</f>
        <v>42979.99861</v>
      </c>
      <c r="B2273" s="1">
        <f>IFERROR(__xludf.DUMMYFUNCTION("""COMPUTED_VALUE"""),0.5927094885)</f>
        <v>0.5927094885</v>
      </c>
    </row>
    <row r="2274">
      <c r="A2274" s="3">
        <f>IFERROR(__xludf.DUMMYFUNCTION("""COMPUTED_VALUE"""),42982.99861111111)</f>
        <v>42982.99861</v>
      </c>
      <c r="B2274" s="1">
        <f>IFERROR(__xludf.DUMMYFUNCTION("""COMPUTED_VALUE"""),0.5957171486)</f>
        <v>0.5957171486</v>
      </c>
    </row>
    <row r="2275">
      <c r="A2275" s="3">
        <f>IFERROR(__xludf.DUMMYFUNCTION("""COMPUTED_VALUE"""),42983.99861111111)</f>
        <v>42983.99861</v>
      </c>
      <c r="B2275" s="1">
        <f>IFERROR(__xludf.DUMMYFUNCTION("""COMPUTED_VALUE"""),0.596128043)</f>
        <v>0.596128043</v>
      </c>
    </row>
    <row r="2276">
      <c r="A2276" s="3">
        <f>IFERROR(__xludf.DUMMYFUNCTION("""COMPUTED_VALUE"""),42984.99861111111)</f>
        <v>42984.99861</v>
      </c>
      <c r="B2276" s="1">
        <f>IFERROR(__xludf.DUMMYFUNCTION("""COMPUTED_VALUE"""),0.5953316017)</f>
        <v>0.5953316017</v>
      </c>
    </row>
    <row r="2277">
      <c r="A2277" s="3">
        <f>IFERROR(__xludf.DUMMYFUNCTION("""COMPUTED_VALUE"""),42985.99861111111)</f>
        <v>42985.99861</v>
      </c>
      <c r="B2277" s="1">
        <f>IFERROR(__xludf.DUMMYFUNCTION("""COMPUTED_VALUE"""),0.5952252867)</f>
        <v>0.5952252867</v>
      </c>
    </row>
    <row r="2278">
      <c r="A2278" s="3">
        <f>IFERROR(__xludf.DUMMYFUNCTION("""COMPUTED_VALUE"""),42986.99861111111)</f>
        <v>42986.99861</v>
      </c>
      <c r="B2278" s="1">
        <f>IFERROR(__xludf.DUMMYFUNCTION("""COMPUTED_VALUE"""),0.5876302357)</f>
        <v>0.5876302357</v>
      </c>
    </row>
    <row r="2279">
      <c r="A2279" s="3">
        <f>IFERROR(__xludf.DUMMYFUNCTION("""COMPUTED_VALUE"""),42989.99861111111)</f>
        <v>42989.99861</v>
      </c>
      <c r="B2279" s="1">
        <f>IFERROR(__xludf.DUMMYFUNCTION("""COMPUTED_VALUE"""),0.5855999941)</f>
        <v>0.5855999941</v>
      </c>
    </row>
    <row r="2280">
      <c r="A2280" s="3">
        <f>IFERROR(__xludf.DUMMYFUNCTION("""COMPUTED_VALUE"""),42990.99861111111)</f>
        <v>42990.99861</v>
      </c>
      <c r="B2280" s="1">
        <f>IFERROR(__xludf.DUMMYFUNCTION("""COMPUTED_VALUE"""),0.5911471143)</f>
        <v>0.5911471143</v>
      </c>
    </row>
    <row r="2281">
      <c r="A2281" s="3">
        <f>IFERROR(__xludf.DUMMYFUNCTION("""COMPUTED_VALUE"""),42991.99861111111)</f>
        <v>42991.99861</v>
      </c>
      <c r="B2281" s="1">
        <f>IFERROR(__xludf.DUMMYFUNCTION("""COMPUTED_VALUE"""),0.5865780666)</f>
        <v>0.5865780666</v>
      </c>
    </row>
    <row r="2282">
      <c r="A2282" s="3">
        <f>IFERROR(__xludf.DUMMYFUNCTION("""COMPUTED_VALUE"""),42992.99861111111)</f>
        <v>42992.99861</v>
      </c>
      <c r="B2282" s="1">
        <f>IFERROR(__xludf.DUMMYFUNCTION("""COMPUTED_VALUE"""),0.5930596513)</f>
        <v>0.5930596513</v>
      </c>
    </row>
    <row r="2283">
      <c r="A2283" s="3">
        <f>IFERROR(__xludf.DUMMYFUNCTION("""COMPUTED_VALUE"""),42993.99861111111)</f>
        <v>42993.99861</v>
      </c>
      <c r="B2283" s="1">
        <f>IFERROR(__xludf.DUMMYFUNCTION("""COMPUTED_VALUE"""),0.5913920823)</f>
        <v>0.5913920823</v>
      </c>
    </row>
    <row r="2284">
      <c r="A2284" s="3">
        <f>IFERROR(__xludf.DUMMYFUNCTION("""COMPUTED_VALUE"""),42996.99861111111)</f>
        <v>42996.99861</v>
      </c>
      <c r="B2284" s="1">
        <f>IFERROR(__xludf.DUMMYFUNCTION("""COMPUTED_VALUE"""),0.5923743129)</f>
        <v>0.5923743129</v>
      </c>
    </row>
    <row r="2285">
      <c r="A2285" s="3">
        <f>IFERROR(__xludf.DUMMYFUNCTION("""COMPUTED_VALUE"""),42997.99861111111)</f>
        <v>42997.99861</v>
      </c>
      <c r="B2285" s="1">
        <f>IFERROR(__xludf.DUMMYFUNCTION("""COMPUTED_VALUE"""),0.5921558066)</f>
        <v>0.5921558066</v>
      </c>
    </row>
    <row r="2286">
      <c r="A2286" s="3">
        <f>IFERROR(__xludf.DUMMYFUNCTION("""COMPUTED_VALUE"""),42998.99861111111)</f>
        <v>42998.99861</v>
      </c>
      <c r="B2286" s="1">
        <f>IFERROR(__xludf.DUMMYFUNCTION("""COMPUTED_VALUE"""),0.5869892002)</f>
        <v>0.5869892002</v>
      </c>
    </row>
    <row r="2287">
      <c r="A2287" s="3">
        <f>IFERROR(__xludf.DUMMYFUNCTION("""COMPUTED_VALUE"""),42999.99861111111)</f>
        <v>42999.99861</v>
      </c>
      <c r="B2287" s="1">
        <f>IFERROR(__xludf.DUMMYFUNCTION("""COMPUTED_VALUE"""),0.5944287565)</f>
        <v>0.5944287565</v>
      </c>
    </row>
    <row r="2288">
      <c r="A2288" s="3">
        <f>IFERROR(__xludf.DUMMYFUNCTION("""COMPUTED_VALUE"""),43000.99861111111)</f>
        <v>43000.99861</v>
      </c>
      <c r="B2288" s="1">
        <f>IFERROR(__xludf.DUMMYFUNCTION("""COMPUTED_VALUE"""),0.5924307886)</f>
        <v>0.5924307886</v>
      </c>
    </row>
    <row r="2289">
      <c r="A2289" s="3">
        <f>IFERROR(__xludf.DUMMYFUNCTION("""COMPUTED_VALUE"""),43003.99861111111)</f>
        <v>43003.99861</v>
      </c>
      <c r="B2289" s="1">
        <f>IFERROR(__xludf.DUMMYFUNCTION("""COMPUTED_VALUE"""),0.593221081)</f>
        <v>0.593221081</v>
      </c>
    </row>
    <row r="2290">
      <c r="A2290" s="3">
        <f>IFERROR(__xludf.DUMMYFUNCTION("""COMPUTED_VALUE"""),43004.99861111111)</f>
        <v>43004.99861</v>
      </c>
      <c r="B2290" s="1">
        <f>IFERROR(__xludf.DUMMYFUNCTION("""COMPUTED_VALUE"""),0.5973915662)</f>
        <v>0.5973915662</v>
      </c>
    </row>
    <row r="2291">
      <c r="A2291" s="3">
        <f>IFERROR(__xludf.DUMMYFUNCTION("""COMPUTED_VALUE"""),43005.99861111111)</f>
        <v>43005.99861</v>
      </c>
      <c r="B2291" s="1">
        <f>IFERROR(__xludf.DUMMYFUNCTION("""COMPUTED_VALUE"""),0.599741042)</f>
        <v>0.599741042</v>
      </c>
    </row>
    <row r="2292">
      <c r="A2292" s="3">
        <f>IFERROR(__xludf.DUMMYFUNCTION("""COMPUTED_VALUE"""),43006.99861111111)</f>
        <v>43006.99861</v>
      </c>
      <c r="B2292" s="1">
        <f>IFERROR(__xludf.DUMMYFUNCTION("""COMPUTED_VALUE"""),0.6036285514)</f>
        <v>0.6036285514</v>
      </c>
    </row>
    <row r="2293">
      <c r="A2293" s="3">
        <f>IFERROR(__xludf.DUMMYFUNCTION("""COMPUTED_VALUE"""),43007.99861111111)</f>
        <v>43007.99861</v>
      </c>
      <c r="B2293" s="1">
        <f>IFERROR(__xludf.DUMMYFUNCTION("""COMPUTED_VALUE"""),0.5976113206)</f>
        <v>0.5976113206</v>
      </c>
    </row>
    <row r="2294">
      <c r="A2294" s="3">
        <f>IFERROR(__xludf.DUMMYFUNCTION("""COMPUTED_VALUE"""),43010.99861111111)</f>
        <v>43010.99861</v>
      </c>
      <c r="B2294" s="1">
        <f>IFERROR(__xludf.DUMMYFUNCTION("""COMPUTED_VALUE"""),0.6037121263)</f>
        <v>0.6037121263</v>
      </c>
    </row>
    <row r="2295">
      <c r="A2295" s="3">
        <f>IFERROR(__xludf.DUMMYFUNCTION("""COMPUTED_VALUE"""),43011.99861111111)</f>
        <v>43011.99861</v>
      </c>
      <c r="B2295" s="1">
        <f>IFERROR(__xludf.DUMMYFUNCTION("""COMPUTED_VALUE"""),0.603719718)</f>
        <v>0.603719718</v>
      </c>
    </row>
    <row r="2296">
      <c r="A2296" s="3">
        <f>IFERROR(__xludf.DUMMYFUNCTION("""COMPUTED_VALUE"""),43012.99861111111)</f>
        <v>43012.99861</v>
      </c>
      <c r="B2296" s="1">
        <f>IFERROR(__xludf.DUMMYFUNCTION("""COMPUTED_VALUE"""),0.6007760492)</f>
        <v>0.6007760492</v>
      </c>
    </row>
    <row r="2297">
      <c r="A2297" s="3">
        <f>IFERROR(__xludf.DUMMYFUNCTION("""COMPUTED_VALUE"""),43013.99861111111)</f>
        <v>43013.99861</v>
      </c>
      <c r="B2297" s="1">
        <f>IFERROR(__xludf.DUMMYFUNCTION("""COMPUTED_VALUE"""),0.5991269766)</f>
        <v>0.5991269766</v>
      </c>
    </row>
    <row r="2298">
      <c r="A2298" s="3">
        <f>IFERROR(__xludf.DUMMYFUNCTION("""COMPUTED_VALUE"""),43014.99861111111)</f>
        <v>43014.99861</v>
      </c>
      <c r="B2298" s="1">
        <f>IFERROR(__xludf.DUMMYFUNCTION("""COMPUTED_VALUE"""),0.6043055979)</f>
        <v>0.6043055979</v>
      </c>
    </row>
    <row r="2299">
      <c r="A2299" s="3">
        <f>IFERROR(__xludf.DUMMYFUNCTION("""COMPUTED_VALUE"""),43015.99861111111)</f>
        <v>43015.99861</v>
      </c>
      <c r="B2299" s="1">
        <f>IFERROR(__xludf.DUMMYFUNCTION("""COMPUTED_VALUE"""),0.6042711231)</f>
        <v>0.6042711231</v>
      </c>
    </row>
    <row r="2300">
      <c r="A2300" s="3">
        <f>IFERROR(__xludf.DUMMYFUNCTION("""COMPUTED_VALUE"""),43017.99861111111)</f>
        <v>43017.99861</v>
      </c>
      <c r="B2300" s="1">
        <f>IFERROR(__xludf.DUMMYFUNCTION("""COMPUTED_VALUE"""),0.6032596522)</f>
        <v>0.6032596522</v>
      </c>
    </row>
    <row r="2301">
      <c r="A2301" s="3">
        <f>IFERROR(__xludf.DUMMYFUNCTION("""COMPUTED_VALUE"""),43018.99861111111)</f>
        <v>43018.99861</v>
      </c>
      <c r="B2301" s="1">
        <f>IFERROR(__xludf.DUMMYFUNCTION("""COMPUTED_VALUE"""),0.6049885674)</f>
        <v>0.6049885674</v>
      </c>
    </row>
    <row r="2302">
      <c r="A2302" s="3">
        <f>IFERROR(__xludf.DUMMYFUNCTION("""COMPUTED_VALUE"""),43019.99861111111)</f>
        <v>43019.99861</v>
      </c>
      <c r="B2302" s="1">
        <f>IFERROR(__xludf.DUMMYFUNCTION("""COMPUTED_VALUE"""),0.6055308994)</f>
        <v>0.6055308994</v>
      </c>
    </row>
    <row r="2303">
      <c r="A2303" s="3">
        <f>IFERROR(__xludf.DUMMYFUNCTION("""COMPUTED_VALUE"""),43020.99861111111)</f>
        <v>43020.99861</v>
      </c>
      <c r="B2303" s="1">
        <f>IFERROR(__xludf.DUMMYFUNCTION("""COMPUTED_VALUE"""),0.6018906543)</f>
        <v>0.6018906543</v>
      </c>
    </row>
    <row r="2304">
      <c r="A2304" s="3">
        <f>IFERROR(__xludf.DUMMYFUNCTION("""COMPUTED_VALUE"""),43021.99861111111)</f>
        <v>43021.99861</v>
      </c>
      <c r="B2304" s="1">
        <f>IFERROR(__xludf.DUMMYFUNCTION("""COMPUTED_VALUE"""),0.5997677645)</f>
        <v>0.5997677645</v>
      </c>
    </row>
    <row r="2305">
      <c r="A2305" s="3">
        <f>IFERROR(__xludf.DUMMYFUNCTION("""COMPUTED_VALUE"""),43024.99861111111)</f>
        <v>43024.99861</v>
      </c>
      <c r="B2305" s="1">
        <f>IFERROR(__xludf.DUMMYFUNCTION("""COMPUTED_VALUE"""),0.6020102619)</f>
        <v>0.6020102619</v>
      </c>
    </row>
    <row r="2306">
      <c r="A2306" s="3">
        <f>IFERROR(__xludf.DUMMYFUNCTION("""COMPUTED_VALUE"""),43025.99861111111)</f>
        <v>43025.99861</v>
      </c>
      <c r="B2306" s="1">
        <f>IFERROR(__xludf.DUMMYFUNCTION("""COMPUTED_VALUE"""),0.6033981564)</f>
        <v>0.6033981564</v>
      </c>
    </row>
    <row r="2307">
      <c r="A2307" s="3">
        <f>IFERROR(__xludf.DUMMYFUNCTION("""COMPUTED_VALUE"""),43026.99861111111)</f>
        <v>43026.99861</v>
      </c>
      <c r="B2307" s="1">
        <f>IFERROR(__xludf.DUMMYFUNCTION("""COMPUTED_VALUE"""),0.6057480996)</f>
        <v>0.6057480996</v>
      </c>
    </row>
    <row r="2308">
      <c r="A2308" s="3">
        <f>IFERROR(__xludf.DUMMYFUNCTION("""COMPUTED_VALUE"""),43027.99861111111)</f>
        <v>43027.99861</v>
      </c>
      <c r="B2308" s="1">
        <f>IFERROR(__xludf.DUMMYFUNCTION("""COMPUTED_VALUE"""),0.6038495919)</f>
        <v>0.6038495919</v>
      </c>
    </row>
    <row r="2309">
      <c r="A2309" s="3">
        <f>IFERROR(__xludf.DUMMYFUNCTION("""COMPUTED_VALUE"""),43028.99861111111)</f>
        <v>43028.99861</v>
      </c>
      <c r="B2309" s="1">
        <f>IFERROR(__xludf.DUMMYFUNCTION("""COMPUTED_VALUE"""),0.6028008138)</f>
        <v>0.6028008138</v>
      </c>
    </row>
    <row r="2310">
      <c r="A2310" s="3">
        <f>IFERROR(__xludf.DUMMYFUNCTION("""COMPUTED_VALUE"""),43031.99861111111)</f>
        <v>43031.99861</v>
      </c>
      <c r="B2310" s="1">
        <f>IFERROR(__xludf.DUMMYFUNCTION("""COMPUTED_VALUE"""),0.6049973105)</f>
        <v>0.6049973105</v>
      </c>
    </row>
    <row r="2311">
      <c r="A2311" s="3">
        <f>IFERROR(__xludf.DUMMYFUNCTION("""COMPUTED_VALUE"""),43032.99861111111)</f>
        <v>43032.99861</v>
      </c>
      <c r="B2311" s="1">
        <f>IFERROR(__xludf.DUMMYFUNCTION("""COMPUTED_VALUE"""),0.6045503232)</f>
        <v>0.6045503232</v>
      </c>
    </row>
    <row r="2312">
      <c r="A2312" s="3">
        <f>IFERROR(__xludf.DUMMYFUNCTION("""COMPUTED_VALUE"""),43033.99861111111)</f>
        <v>43033.99861</v>
      </c>
      <c r="B2312" s="1">
        <f>IFERROR(__xludf.DUMMYFUNCTION("""COMPUTED_VALUE"""),0.6082280128)</f>
        <v>0.6082280128</v>
      </c>
    </row>
    <row r="2313">
      <c r="A2313" s="3">
        <f>IFERROR(__xludf.DUMMYFUNCTION("""COMPUTED_VALUE"""),43034.99861111111)</f>
        <v>43034.99861</v>
      </c>
      <c r="B2313" s="1">
        <f>IFERROR(__xludf.DUMMYFUNCTION("""COMPUTED_VALUE"""),0.6013310918)</f>
        <v>0.6013310918</v>
      </c>
    </row>
    <row r="2314">
      <c r="A2314" s="3">
        <f>IFERROR(__xludf.DUMMYFUNCTION("""COMPUTED_VALUE"""),43035.99861111111)</f>
        <v>43035.99861</v>
      </c>
      <c r="B2314" s="1">
        <f>IFERROR(__xludf.DUMMYFUNCTION("""COMPUTED_VALUE"""),0.6065515158)</f>
        <v>0.6065515158</v>
      </c>
    </row>
    <row r="2315">
      <c r="A2315" s="3">
        <f>IFERROR(__xludf.DUMMYFUNCTION("""COMPUTED_VALUE"""),43038.99861111111)</f>
        <v>43038.99861</v>
      </c>
      <c r="B2315" s="1">
        <f>IFERROR(__xludf.DUMMYFUNCTION("""COMPUTED_VALUE"""),0.6073378034)</f>
        <v>0.6073378034</v>
      </c>
    </row>
    <row r="2316">
      <c r="A2316" s="3">
        <f>IFERROR(__xludf.DUMMYFUNCTION("""COMPUTED_VALUE"""),43039.99861111111)</f>
        <v>43039.99861</v>
      </c>
      <c r="B2316" s="1">
        <f>IFERROR(__xludf.DUMMYFUNCTION("""COMPUTED_VALUE"""),0.6064158137)</f>
        <v>0.6064158137</v>
      </c>
    </row>
    <row r="2317">
      <c r="A2317" s="3">
        <f>IFERROR(__xludf.DUMMYFUNCTION("""COMPUTED_VALUE"""),43040.99861111111)</f>
        <v>43040.99861</v>
      </c>
      <c r="B2317" s="1">
        <f>IFERROR(__xludf.DUMMYFUNCTION("""COMPUTED_VALUE"""),0.6048016356)</f>
        <v>0.6048016356</v>
      </c>
    </row>
    <row r="2318">
      <c r="A2318" s="3">
        <f>IFERROR(__xludf.DUMMYFUNCTION("""COMPUTED_VALUE"""),43041.99861111111)</f>
        <v>43041.99861</v>
      </c>
      <c r="B2318" s="1">
        <f>IFERROR(__xludf.DUMMYFUNCTION("""COMPUTED_VALUE"""),0.6057339554)</f>
        <v>0.6057339554</v>
      </c>
    </row>
    <row r="2319">
      <c r="A2319" s="3">
        <f>IFERROR(__xludf.DUMMYFUNCTION("""COMPUTED_VALUE"""),43042.99861111111)</f>
        <v>43042.99861</v>
      </c>
      <c r="B2319" s="1">
        <f>IFERROR(__xludf.DUMMYFUNCTION("""COMPUTED_VALUE"""),0.6005256693)</f>
        <v>0.6005256693</v>
      </c>
    </row>
    <row r="2320">
      <c r="A2320" s="3">
        <f>IFERROR(__xludf.DUMMYFUNCTION("""COMPUTED_VALUE"""),43045.99861111111)</f>
        <v>43045.99861</v>
      </c>
      <c r="B2320" s="1">
        <f>IFERROR(__xludf.DUMMYFUNCTION("""COMPUTED_VALUE"""),0.6038065328)</f>
        <v>0.6038065328</v>
      </c>
    </row>
    <row r="2321">
      <c r="A2321" s="3">
        <f>IFERROR(__xludf.DUMMYFUNCTION("""COMPUTED_VALUE"""),43046.99861111111)</f>
        <v>43046.99861</v>
      </c>
      <c r="B2321" s="1">
        <f>IFERROR(__xludf.DUMMYFUNCTION("""COMPUTED_VALUE"""),0.6051676906)</f>
        <v>0.6051676906</v>
      </c>
    </row>
    <row r="2322">
      <c r="A2322" s="3">
        <f>IFERROR(__xludf.DUMMYFUNCTION("""COMPUTED_VALUE"""),43047.99861111111)</f>
        <v>43047.99861</v>
      </c>
      <c r="B2322" s="1">
        <f>IFERROR(__xludf.DUMMYFUNCTION("""COMPUTED_VALUE"""),0.6035669511)</f>
        <v>0.6035669511</v>
      </c>
    </row>
    <row r="2323">
      <c r="A2323" s="3">
        <f>IFERROR(__xludf.DUMMYFUNCTION("""COMPUTED_VALUE"""),43048.99861111111)</f>
        <v>43048.99861</v>
      </c>
      <c r="B2323" s="1">
        <f>IFERROR(__xludf.DUMMYFUNCTION("""COMPUTED_VALUE"""),0.6047748824)</f>
        <v>0.6047748824</v>
      </c>
    </row>
    <row r="2324">
      <c r="A2324" s="3">
        <f>IFERROR(__xludf.DUMMYFUNCTION("""COMPUTED_VALUE"""),43049.99861111111)</f>
        <v>43049.99861</v>
      </c>
      <c r="B2324" s="1">
        <f>IFERROR(__xludf.DUMMYFUNCTION("""COMPUTED_VALUE"""),0.6066932461)</f>
        <v>0.6066932461</v>
      </c>
    </row>
    <row r="2325">
      <c r="A2325" s="3">
        <f>IFERROR(__xludf.DUMMYFUNCTION("""COMPUTED_VALUE"""),43050.99861111111)</f>
        <v>43050.99861</v>
      </c>
      <c r="B2325" s="1">
        <f>IFERROR(__xludf.DUMMYFUNCTION("""COMPUTED_VALUE"""),0.6070574771)</f>
        <v>0.6070574771</v>
      </c>
    </row>
    <row r="2326">
      <c r="A2326" s="3">
        <f>IFERROR(__xludf.DUMMYFUNCTION("""COMPUTED_VALUE"""),43052.99861111111)</f>
        <v>43052.99861</v>
      </c>
      <c r="B2326" s="1">
        <f>IFERROR(__xludf.DUMMYFUNCTION("""COMPUTED_VALUE"""),0.6066696456)</f>
        <v>0.6066696456</v>
      </c>
    </row>
    <row r="2327">
      <c r="A2327" s="3">
        <f>IFERROR(__xludf.DUMMYFUNCTION("""COMPUTED_VALUE"""),43053.99861111111)</f>
        <v>43053.99861</v>
      </c>
      <c r="B2327" s="1">
        <f>IFERROR(__xludf.DUMMYFUNCTION("""COMPUTED_VALUE"""),0.609339149)</f>
        <v>0.609339149</v>
      </c>
    </row>
    <row r="2328">
      <c r="A2328" s="3">
        <f>IFERROR(__xludf.DUMMYFUNCTION("""COMPUTED_VALUE"""),43054.99861111111)</f>
        <v>43054.99861</v>
      </c>
      <c r="B2328" s="1">
        <f>IFERROR(__xludf.DUMMYFUNCTION("""COMPUTED_VALUE"""),0.601315019)</f>
        <v>0.601315019</v>
      </c>
    </row>
    <row r="2329">
      <c r="A2329" s="3">
        <f>IFERROR(__xludf.DUMMYFUNCTION("""COMPUTED_VALUE"""),43055.99861111111)</f>
        <v>43055.99861</v>
      </c>
      <c r="B2329" s="1">
        <f>IFERROR(__xludf.DUMMYFUNCTION("""COMPUTED_VALUE"""),0.6044368805)</f>
        <v>0.6044368805</v>
      </c>
    </row>
    <row r="2330">
      <c r="A2330" s="3">
        <f>IFERROR(__xludf.DUMMYFUNCTION("""COMPUTED_VALUE"""),43056.99861111111)</f>
        <v>43056.99861</v>
      </c>
      <c r="B2330" s="1">
        <f>IFERROR(__xludf.DUMMYFUNCTION("""COMPUTED_VALUE"""),0.6036285514)</f>
        <v>0.6036285514</v>
      </c>
    </row>
    <row r="2331">
      <c r="A2331" s="3">
        <f>IFERROR(__xludf.DUMMYFUNCTION("""COMPUTED_VALUE"""),43057.99861111111)</f>
        <v>43057.99861</v>
      </c>
      <c r="B2331" s="1">
        <f>IFERROR(__xludf.DUMMYFUNCTION("""COMPUTED_VALUE"""),0.6038747754)</f>
        <v>0.6038747754</v>
      </c>
    </row>
    <row r="2332">
      <c r="A2332" s="3">
        <f>IFERROR(__xludf.DUMMYFUNCTION("""COMPUTED_VALUE"""),43059.99861111111)</f>
        <v>43059.99861</v>
      </c>
      <c r="B2332" s="1">
        <f>IFERROR(__xludf.DUMMYFUNCTION("""COMPUTED_VALUE"""),0.60239621)</f>
        <v>0.60239621</v>
      </c>
    </row>
    <row r="2333">
      <c r="A2333" s="3">
        <f>IFERROR(__xludf.DUMMYFUNCTION("""COMPUTED_VALUE"""),43060.99861111111)</f>
        <v>43060.99861</v>
      </c>
      <c r="B2333" s="1">
        <f>IFERROR(__xludf.DUMMYFUNCTION("""COMPUTED_VALUE"""),0.6048769533)</f>
        <v>0.6048769533</v>
      </c>
    </row>
    <row r="2334">
      <c r="A2334" s="3">
        <f>IFERROR(__xludf.DUMMYFUNCTION("""COMPUTED_VALUE"""),43061.99861111111)</f>
        <v>43061.99861</v>
      </c>
      <c r="B2334" s="1">
        <f>IFERROR(__xludf.DUMMYFUNCTION("""COMPUTED_VALUE"""),0.6064733617)</f>
        <v>0.6064733617</v>
      </c>
    </row>
    <row r="2335">
      <c r="A2335" s="3">
        <f>IFERROR(__xludf.DUMMYFUNCTION("""COMPUTED_VALUE"""),43062.99861111111)</f>
        <v>43062.99861</v>
      </c>
      <c r="B2335" s="1">
        <f>IFERROR(__xludf.DUMMYFUNCTION("""COMPUTED_VALUE"""),0.602591008)</f>
        <v>0.602591008</v>
      </c>
    </row>
    <row r="2336">
      <c r="A2336" s="3">
        <f>IFERROR(__xludf.DUMMYFUNCTION("""COMPUTED_VALUE"""),43063.99861111111)</f>
        <v>43063.99861</v>
      </c>
      <c r="B2336" s="1">
        <f>IFERROR(__xludf.DUMMYFUNCTION("""COMPUTED_VALUE"""),0.6067062142)</f>
        <v>0.6067062142</v>
      </c>
    </row>
    <row r="2337">
      <c r="A2337" s="3">
        <f>IFERROR(__xludf.DUMMYFUNCTION("""COMPUTED_VALUE"""),43066.99861111111)</f>
        <v>43066.99861</v>
      </c>
      <c r="B2337" s="1">
        <f>IFERROR(__xludf.DUMMYFUNCTION("""COMPUTED_VALUE"""),0.6017190594)</f>
        <v>0.6017190594</v>
      </c>
    </row>
    <row r="2338">
      <c r="A2338" s="3">
        <f>IFERROR(__xludf.DUMMYFUNCTION("""COMPUTED_VALUE"""),43067.99861111111)</f>
        <v>43067.99861</v>
      </c>
      <c r="B2338" s="1">
        <f>IFERROR(__xludf.DUMMYFUNCTION("""COMPUTED_VALUE"""),0.6012023985)</f>
        <v>0.6012023985</v>
      </c>
    </row>
    <row r="2339">
      <c r="A2339" s="3">
        <f>IFERROR(__xludf.DUMMYFUNCTION("""COMPUTED_VALUE"""),43068.99861111111)</f>
        <v>43068.99861</v>
      </c>
      <c r="B2339" s="1">
        <f>IFERROR(__xludf.DUMMYFUNCTION("""COMPUTED_VALUE"""),0.6037465818)</f>
        <v>0.6037465818</v>
      </c>
    </row>
    <row r="2340">
      <c r="A2340" s="3">
        <f>IFERROR(__xludf.DUMMYFUNCTION("""COMPUTED_VALUE"""),43069.99861111111)</f>
        <v>43069.99861</v>
      </c>
      <c r="B2340" s="1">
        <f>IFERROR(__xludf.DUMMYFUNCTION("""COMPUTED_VALUE"""),0.6079012314)</f>
        <v>0.6079012314</v>
      </c>
    </row>
    <row r="2341">
      <c r="A2341" s="3">
        <f>IFERROR(__xludf.DUMMYFUNCTION("""COMPUTED_VALUE"""),43070.99861111111)</f>
        <v>43070.99861</v>
      </c>
      <c r="B2341" s="1">
        <f>IFERROR(__xludf.DUMMYFUNCTION("""COMPUTED_VALUE"""),0.6043248942)</f>
        <v>0.6043248942</v>
      </c>
    </row>
    <row r="2342">
      <c r="A2342" s="3">
        <f>IFERROR(__xludf.DUMMYFUNCTION("""COMPUTED_VALUE"""),43071.99861111111)</f>
        <v>43071.99861</v>
      </c>
      <c r="B2342" s="1">
        <f>IFERROR(__xludf.DUMMYFUNCTION("""COMPUTED_VALUE"""),0.6045835842)</f>
        <v>0.6045835842</v>
      </c>
    </row>
    <row r="2343">
      <c r="A2343" s="3">
        <f>IFERROR(__xludf.DUMMYFUNCTION("""COMPUTED_VALUE"""),43073.99861111111)</f>
        <v>43073.99861</v>
      </c>
      <c r="B2343" s="1">
        <f>IFERROR(__xludf.DUMMYFUNCTION("""COMPUTED_VALUE"""),0.6034613821)</f>
        <v>0.6034613821</v>
      </c>
    </row>
    <row r="2344">
      <c r="A2344" s="3">
        <f>IFERROR(__xludf.DUMMYFUNCTION("""COMPUTED_VALUE"""),43074.99861111111)</f>
        <v>43074.99861</v>
      </c>
      <c r="B2344" s="1">
        <f>IFERROR(__xludf.DUMMYFUNCTION("""COMPUTED_VALUE"""),0.6018081304)</f>
        <v>0.6018081304</v>
      </c>
    </row>
    <row r="2345">
      <c r="A2345" s="3">
        <f>IFERROR(__xludf.DUMMYFUNCTION("""COMPUTED_VALUE"""),43075.99861111111)</f>
        <v>43075.99861</v>
      </c>
      <c r="B2345" s="1">
        <f>IFERROR(__xludf.DUMMYFUNCTION("""COMPUTED_VALUE"""),0.6043852936)</f>
        <v>0.6043852936</v>
      </c>
    </row>
    <row r="2346">
      <c r="A2346" s="3">
        <f>IFERROR(__xludf.DUMMYFUNCTION("""COMPUTED_VALUE"""),43076.99861111111)</f>
        <v>43076.99861</v>
      </c>
      <c r="B2346" s="1">
        <f>IFERROR(__xludf.DUMMYFUNCTION("""COMPUTED_VALUE"""),0.6051797236)</f>
        <v>0.6051797236</v>
      </c>
    </row>
    <row r="2347">
      <c r="A2347" s="3">
        <f>IFERROR(__xludf.DUMMYFUNCTION("""COMPUTED_VALUE"""),43077.99861111111)</f>
        <v>43077.99861</v>
      </c>
      <c r="B2347" s="1">
        <f>IFERROR(__xludf.DUMMYFUNCTION("""COMPUTED_VALUE"""),0.6070579724)</f>
        <v>0.6070579724</v>
      </c>
    </row>
    <row r="2348">
      <c r="A2348" s="3">
        <f>IFERROR(__xludf.DUMMYFUNCTION("""COMPUTED_VALUE"""),43078.99861111111)</f>
        <v>43078.99861</v>
      </c>
      <c r="B2348" s="1">
        <f>IFERROR(__xludf.DUMMYFUNCTION("""COMPUTED_VALUE"""),0.6070579724)</f>
        <v>0.6070579724</v>
      </c>
    </row>
    <row r="2349">
      <c r="A2349" s="3">
        <f>IFERROR(__xludf.DUMMYFUNCTION("""COMPUTED_VALUE"""),43080.99861111111)</f>
        <v>43080.99861</v>
      </c>
      <c r="B2349" s="1">
        <f>IFERROR(__xludf.DUMMYFUNCTION("""COMPUTED_VALUE"""),0.6048109883)</f>
        <v>0.6048109883</v>
      </c>
    </row>
    <row r="2350">
      <c r="A2350" s="3">
        <f>IFERROR(__xludf.DUMMYFUNCTION("""COMPUTED_VALUE"""),43081.99861111111)</f>
        <v>43081.99861</v>
      </c>
      <c r="B2350" s="1">
        <f>IFERROR(__xludf.DUMMYFUNCTION("""COMPUTED_VALUE"""),0.6038500949)</f>
        <v>0.6038500949</v>
      </c>
    </row>
    <row r="2351">
      <c r="A2351" s="3">
        <f>IFERROR(__xludf.DUMMYFUNCTION("""COMPUTED_VALUE"""),43082.99861111111)</f>
        <v>43082.99861</v>
      </c>
      <c r="B2351" s="1">
        <f>IFERROR(__xludf.DUMMYFUNCTION("""COMPUTED_VALUE"""),0.6096901957)</f>
        <v>0.6096901957</v>
      </c>
    </row>
    <row r="2352">
      <c r="A2352" s="3">
        <f>IFERROR(__xludf.DUMMYFUNCTION("""COMPUTED_VALUE"""),43083.99861111111)</f>
        <v>43083.99861</v>
      </c>
      <c r="B2352" s="1">
        <f>IFERROR(__xludf.DUMMYFUNCTION("""COMPUTED_VALUE"""),0.6030432397)</f>
        <v>0.6030432397</v>
      </c>
    </row>
    <row r="2353">
      <c r="A2353" s="3">
        <f>IFERROR(__xludf.DUMMYFUNCTION("""COMPUTED_VALUE"""),43084.99861111111)</f>
        <v>43084.99861</v>
      </c>
      <c r="B2353" s="1">
        <f>IFERROR(__xludf.DUMMYFUNCTION("""COMPUTED_VALUE"""),0.6037467066)</f>
        <v>0.6037467066</v>
      </c>
    </row>
    <row r="2354">
      <c r="A2354" s="3">
        <f>IFERROR(__xludf.DUMMYFUNCTION("""COMPUTED_VALUE"""),43087.99861111111)</f>
        <v>43087.99861</v>
      </c>
      <c r="B2354" s="1">
        <f>IFERROR(__xludf.DUMMYFUNCTION("""COMPUTED_VALUE"""),0.6063853499)</f>
        <v>0.6063853499</v>
      </c>
    </row>
    <row r="2355">
      <c r="A2355" s="3">
        <f>IFERROR(__xludf.DUMMYFUNCTION("""COMPUTED_VALUE"""),43088.99861111111)</f>
        <v>43088.99861</v>
      </c>
      <c r="B2355" s="1">
        <f>IFERROR(__xludf.DUMMYFUNCTION("""COMPUTED_VALUE"""),0.6082261645)</f>
        <v>0.6082261645</v>
      </c>
    </row>
    <row r="2356">
      <c r="A2356" s="3">
        <f>IFERROR(__xludf.DUMMYFUNCTION("""COMPUTED_VALUE"""),43089.99861111111)</f>
        <v>43089.99861</v>
      </c>
      <c r="B2356" s="1">
        <f>IFERROR(__xludf.DUMMYFUNCTION("""COMPUTED_VALUE"""),0.6084909865)</f>
        <v>0.6084909865</v>
      </c>
    </row>
    <row r="2357">
      <c r="A2357" s="3">
        <f>IFERROR(__xludf.DUMMYFUNCTION("""COMPUTED_VALUE"""),43090.99861111111)</f>
        <v>43090.99861</v>
      </c>
      <c r="B2357" s="1">
        <f>IFERROR(__xludf.DUMMYFUNCTION("""COMPUTED_VALUE"""),0.60625837)</f>
        <v>0.60625837</v>
      </c>
    </row>
    <row r="2358">
      <c r="A2358" s="3">
        <f>IFERROR(__xludf.DUMMYFUNCTION("""COMPUTED_VALUE"""),43091.99861111111)</f>
        <v>43091.99861</v>
      </c>
      <c r="B2358" s="1">
        <f>IFERROR(__xludf.DUMMYFUNCTION("""COMPUTED_VALUE"""),0.6059941713)</f>
        <v>0.6059941713</v>
      </c>
    </row>
    <row r="2359">
      <c r="A2359" s="3">
        <f>IFERROR(__xludf.DUMMYFUNCTION("""COMPUTED_VALUE"""),43094.99861111111)</f>
        <v>43094.99861</v>
      </c>
      <c r="B2359" s="1">
        <f>IFERROR(__xludf.DUMMYFUNCTION("""COMPUTED_VALUE"""),0.6058652318)</f>
        <v>0.6058652318</v>
      </c>
    </row>
    <row r="2360">
      <c r="A2360" s="3">
        <f>IFERROR(__xludf.DUMMYFUNCTION("""COMPUTED_VALUE"""),43095.99861111111)</f>
        <v>43095.99861</v>
      </c>
      <c r="B2360" s="1">
        <f>IFERROR(__xludf.DUMMYFUNCTION("""COMPUTED_VALUE"""),0.6060009758)</f>
        <v>0.6060009758</v>
      </c>
    </row>
    <row r="2361">
      <c r="A2361" s="3">
        <f>IFERROR(__xludf.DUMMYFUNCTION("""COMPUTED_VALUE"""),43096.99861111111)</f>
        <v>43096.99861</v>
      </c>
      <c r="B2361" s="1">
        <f>IFERROR(__xludf.DUMMYFUNCTION("""COMPUTED_VALUE"""),0.6061879553)</f>
        <v>0.6061879553</v>
      </c>
    </row>
    <row r="2362">
      <c r="A2362" s="3">
        <f>IFERROR(__xludf.DUMMYFUNCTION("""COMPUTED_VALUE"""),43097.99861111111)</f>
        <v>43097.99861</v>
      </c>
      <c r="B2362" s="1">
        <f>IFERROR(__xludf.DUMMYFUNCTION("""COMPUTED_VALUE"""),0.6060795591)</f>
        <v>0.6060795591</v>
      </c>
    </row>
    <row r="2363">
      <c r="A2363" s="3">
        <f>IFERROR(__xludf.DUMMYFUNCTION("""COMPUTED_VALUE"""),43098.99861111111)</f>
        <v>43098.99861</v>
      </c>
      <c r="B2363" s="1">
        <f>IFERROR(__xludf.DUMMYFUNCTION("""COMPUTED_VALUE"""),0.6042160845)</f>
        <v>0.6042160845</v>
      </c>
    </row>
    <row r="2364">
      <c r="A2364" s="3">
        <f>IFERROR(__xludf.DUMMYFUNCTION("""COMPUTED_VALUE"""),43099.99861111111)</f>
        <v>43099.99861</v>
      </c>
      <c r="B2364" s="1">
        <f>IFERROR(__xludf.DUMMYFUNCTION("""COMPUTED_VALUE"""),0.6031866793)</f>
        <v>0.6031866793</v>
      </c>
    </row>
    <row r="2365">
      <c r="A2365" s="3">
        <f>IFERROR(__xludf.DUMMYFUNCTION("""COMPUTED_VALUE"""),43101.99861111111)</f>
        <v>43101.99861</v>
      </c>
      <c r="B2365" s="1">
        <f>IFERROR(__xludf.DUMMYFUNCTION("""COMPUTED_VALUE"""),0.6069428871)</f>
        <v>0.6069428871</v>
      </c>
    </row>
    <row r="2366">
      <c r="A2366" s="3">
        <f>IFERROR(__xludf.DUMMYFUNCTION("""COMPUTED_VALUE"""),43102.99861111111)</f>
        <v>43102.99861</v>
      </c>
      <c r="B2366" s="1">
        <f>IFERROR(__xludf.DUMMYFUNCTION("""COMPUTED_VALUE"""),0.6029306554)</f>
        <v>0.6029306554</v>
      </c>
    </row>
    <row r="2367">
      <c r="A2367" s="3">
        <f>IFERROR(__xludf.DUMMYFUNCTION("""COMPUTED_VALUE"""),43103.99861111111)</f>
        <v>43103.99861</v>
      </c>
      <c r="B2367" s="1">
        <f>IFERROR(__xludf.DUMMYFUNCTION("""COMPUTED_VALUE"""),0.6018410816)</f>
        <v>0.6018410816</v>
      </c>
    </row>
    <row r="2368">
      <c r="A2368" s="3">
        <f>IFERROR(__xludf.DUMMYFUNCTION("""COMPUTED_VALUE"""),43104.99861111111)</f>
        <v>43104.99861</v>
      </c>
      <c r="B2368" s="1">
        <f>IFERROR(__xludf.DUMMYFUNCTION("""COMPUTED_VALUE"""),0.5998211388)</f>
        <v>0.5998211388</v>
      </c>
    </row>
    <row r="2369">
      <c r="A2369" s="3">
        <f>IFERROR(__xludf.DUMMYFUNCTION("""COMPUTED_VALUE"""),43105.99861111111)</f>
        <v>43105.99861</v>
      </c>
      <c r="B2369" s="1">
        <f>IFERROR(__xludf.DUMMYFUNCTION("""COMPUTED_VALUE"""),0.59819795)</f>
        <v>0.59819795</v>
      </c>
    </row>
    <row r="2370">
      <c r="A2370" s="3">
        <f>IFERROR(__xludf.DUMMYFUNCTION("""COMPUTED_VALUE"""),43108.99861111111)</f>
        <v>43108.99861</v>
      </c>
      <c r="B2370" s="1">
        <f>IFERROR(__xludf.DUMMYFUNCTION("""COMPUTED_VALUE"""),0.5991521616)</f>
        <v>0.5991521616</v>
      </c>
    </row>
    <row r="2371">
      <c r="A2371" s="3">
        <f>IFERROR(__xludf.DUMMYFUNCTION("""COMPUTED_VALUE"""),43109.99861111111)</f>
        <v>43109.99861</v>
      </c>
      <c r="B2371" s="1">
        <f>IFERROR(__xludf.DUMMYFUNCTION("""COMPUTED_VALUE"""),0.6006798361)</f>
        <v>0.6006798361</v>
      </c>
    </row>
    <row r="2372">
      <c r="A2372" s="3">
        <f>IFERROR(__xludf.DUMMYFUNCTION("""COMPUTED_VALUE"""),43110.99861111111)</f>
        <v>43110.99861</v>
      </c>
      <c r="B2372" s="1">
        <f>IFERROR(__xludf.DUMMYFUNCTION("""COMPUTED_VALUE"""),0.5978560563)</f>
        <v>0.5978560563</v>
      </c>
    </row>
    <row r="2373">
      <c r="A2373" s="3">
        <f>IFERROR(__xludf.DUMMYFUNCTION("""COMPUTED_VALUE"""),43111.99861111111)</f>
        <v>43111.99861</v>
      </c>
      <c r="B2373" s="1">
        <f>IFERROR(__xludf.DUMMYFUNCTION("""COMPUTED_VALUE"""),0.6032339388)</f>
        <v>0.6032339388</v>
      </c>
    </row>
    <row r="2374">
      <c r="A2374" s="3">
        <f>IFERROR(__xludf.DUMMYFUNCTION("""COMPUTED_VALUE"""),43112.99861111111)</f>
        <v>43112.99861</v>
      </c>
      <c r="B2374" s="1">
        <f>IFERROR(__xludf.DUMMYFUNCTION("""COMPUTED_VALUE"""),0.5990285984)</f>
        <v>0.5990285984</v>
      </c>
    </row>
    <row r="2375">
      <c r="A2375" s="3">
        <f>IFERROR(__xludf.DUMMYFUNCTION("""COMPUTED_VALUE"""),43113.99861111111)</f>
        <v>43113.99861</v>
      </c>
      <c r="B2375" s="1">
        <f>IFERROR(__xludf.DUMMYFUNCTION("""COMPUTED_VALUE"""),0.5979042955)</f>
        <v>0.5979042955</v>
      </c>
    </row>
    <row r="2376">
      <c r="A2376" s="3">
        <f>IFERROR(__xludf.DUMMYFUNCTION("""COMPUTED_VALUE"""),43115.99861111111)</f>
        <v>43115.99861</v>
      </c>
      <c r="B2376" s="1">
        <f>IFERROR(__xludf.DUMMYFUNCTION("""COMPUTED_VALUE"""),0.5949027396)</f>
        <v>0.5949027396</v>
      </c>
    </row>
    <row r="2377">
      <c r="A2377" s="3">
        <f>IFERROR(__xludf.DUMMYFUNCTION("""COMPUTED_VALUE"""),43116.99861111111)</f>
        <v>43116.99861</v>
      </c>
      <c r="B2377" s="1">
        <f>IFERROR(__xludf.DUMMYFUNCTION("""COMPUTED_VALUE"""),0.5967083683)</f>
        <v>0.5967083683</v>
      </c>
    </row>
    <row r="2378">
      <c r="A2378" s="3">
        <f>IFERROR(__xludf.DUMMYFUNCTION("""COMPUTED_VALUE"""),43117.99861111111)</f>
        <v>43117.99861</v>
      </c>
      <c r="B2378" s="1">
        <f>IFERROR(__xludf.DUMMYFUNCTION("""COMPUTED_VALUE"""),0.5947199335)</f>
        <v>0.5947199335</v>
      </c>
    </row>
    <row r="2379">
      <c r="A2379" s="3">
        <f>IFERROR(__xludf.DUMMYFUNCTION("""COMPUTED_VALUE"""),43118.99861111111)</f>
        <v>43118.99861</v>
      </c>
      <c r="B2379" s="1">
        <f>IFERROR(__xludf.DUMMYFUNCTION("""COMPUTED_VALUE"""),0.5956667285)</f>
        <v>0.5956667285</v>
      </c>
    </row>
    <row r="2380">
      <c r="A2380" s="3">
        <f>IFERROR(__xludf.DUMMYFUNCTION("""COMPUTED_VALUE"""),43119.99861111111)</f>
        <v>43119.99861</v>
      </c>
      <c r="B2380" s="1">
        <f>IFERROR(__xludf.DUMMYFUNCTION("""COMPUTED_VALUE"""),0.5924360388)</f>
        <v>0.5924360388</v>
      </c>
    </row>
    <row r="2381">
      <c r="A2381" s="3">
        <f>IFERROR(__xludf.DUMMYFUNCTION("""COMPUTED_VALUE"""),43120.99861111111)</f>
        <v>43120.99861</v>
      </c>
      <c r="B2381" s="1">
        <f>IFERROR(__xludf.DUMMYFUNCTION("""COMPUTED_VALUE"""),0.5932516116)</f>
        <v>0.5932516116</v>
      </c>
    </row>
    <row r="2382">
      <c r="A2382" s="3">
        <f>IFERROR(__xludf.DUMMYFUNCTION("""COMPUTED_VALUE"""),43122.99861111111)</f>
        <v>43122.99861</v>
      </c>
      <c r="B2382" s="1">
        <f>IFERROR(__xludf.DUMMYFUNCTION("""COMPUTED_VALUE"""),0.588401319)</f>
        <v>0.588401319</v>
      </c>
    </row>
    <row r="2383">
      <c r="A2383" s="3">
        <f>IFERROR(__xludf.DUMMYFUNCTION("""COMPUTED_VALUE"""),43123.99861111111)</f>
        <v>43123.99861</v>
      </c>
      <c r="B2383" s="1">
        <f>IFERROR(__xludf.DUMMYFUNCTION("""COMPUTED_VALUE"""),0.5881237345)</f>
        <v>0.5881237345</v>
      </c>
    </row>
    <row r="2384">
      <c r="A2384" s="3">
        <f>IFERROR(__xludf.DUMMYFUNCTION("""COMPUTED_VALUE"""),43124.99861111111)</f>
        <v>43124.99861</v>
      </c>
      <c r="B2384" s="1">
        <f>IFERROR(__xludf.DUMMYFUNCTION("""COMPUTED_VALUE"""),0.586447917)</f>
        <v>0.586447917</v>
      </c>
    </row>
    <row r="2385">
      <c r="A2385" s="3">
        <f>IFERROR(__xludf.DUMMYFUNCTION("""COMPUTED_VALUE"""),43125.99861111111)</f>
        <v>43125.99861</v>
      </c>
      <c r="B2385" s="1">
        <f>IFERROR(__xludf.DUMMYFUNCTION("""COMPUTED_VALUE"""),0.5864170244)</f>
        <v>0.5864170244</v>
      </c>
    </row>
    <row r="2386">
      <c r="A2386" s="3">
        <f>IFERROR(__xludf.DUMMYFUNCTION("""COMPUTED_VALUE"""),43126.99861111111)</f>
        <v>43126.99861</v>
      </c>
      <c r="B2386" s="1">
        <f>IFERROR(__xludf.DUMMYFUNCTION("""COMPUTED_VALUE"""),0.5865672898)</f>
        <v>0.5865672898</v>
      </c>
    </row>
    <row r="2387">
      <c r="A2387" s="3">
        <f>IFERROR(__xludf.DUMMYFUNCTION("""COMPUTED_VALUE"""),43129.99861111111)</f>
        <v>43129.99861</v>
      </c>
      <c r="B2387" s="1">
        <f>IFERROR(__xludf.DUMMYFUNCTION("""COMPUTED_VALUE"""),0.5897379244)</f>
        <v>0.5897379244</v>
      </c>
    </row>
    <row r="2388">
      <c r="A2388" s="3">
        <f>IFERROR(__xludf.DUMMYFUNCTION("""COMPUTED_VALUE"""),43130.99861111111)</f>
        <v>43130.99861</v>
      </c>
      <c r="B2388" s="1">
        <f>IFERROR(__xludf.DUMMYFUNCTION("""COMPUTED_VALUE"""),0.5918566113)</f>
        <v>0.5918566113</v>
      </c>
    </row>
    <row r="2389">
      <c r="A2389" s="3">
        <f>IFERROR(__xludf.DUMMYFUNCTION("""COMPUTED_VALUE"""),43131.99861111111)</f>
        <v>43131.99861</v>
      </c>
      <c r="B2389" s="1">
        <f>IFERROR(__xludf.DUMMYFUNCTION("""COMPUTED_VALUE"""),0.5905532603)</f>
        <v>0.5905532603</v>
      </c>
    </row>
    <row r="2390">
      <c r="A2390" s="3">
        <f>IFERROR(__xludf.DUMMYFUNCTION("""COMPUTED_VALUE"""),43132.99861111111)</f>
        <v>43132.99861</v>
      </c>
      <c r="B2390" s="1">
        <f>IFERROR(__xludf.DUMMYFUNCTION("""COMPUTED_VALUE"""),0.5903469892)</f>
        <v>0.5903469892</v>
      </c>
    </row>
    <row r="2391">
      <c r="A2391" s="3">
        <f>IFERROR(__xludf.DUMMYFUNCTION("""COMPUTED_VALUE"""),43133.99861111111)</f>
        <v>43133.99861</v>
      </c>
      <c r="B2391" s="1">
        <f>IFERROR(__xludf.DUMMYFUNCTION("""COMPUTED_VALUE"""),0.5914234504)</f>
        <v>0.5914234504</v>
      </c>
    </row>
    <row r="2392">
      <c r="A2392" s="3">
        <f>IFERROR(__xludf.DUMMYFUNCTION("""COMPUTED_VALUE"""),43136.99861111111)</f>
        <v>43136.99861</v>
      </c>
      <c r="B2392" s="1">
        <f>IFERROR(__xludf.DUMMYFUNCTION("""COMPUTED_VALUE"""),0.5982050214)</f>
        <v>0.5982050214</v>
      </c>
    </row>
    <row r="2393">
      <c r="A2393" s="3">
        <f>IFERROR(__xludf.DUMMYFUNCTION("""COMPUTED_VALUE"""),43137.99861111111)</f>
        <v>43137.99861</v>
      </c>
      <c r="B2393" s="1">
        <f>IFERROR(__xludf.DUMMYFUNCTION("""COMPUTED_VALUE"""),0.5972966302)</f>
        <v>0.5972966302</v>
      </c>
    </row>
    <row r="2394">
      <c r="A2394" s="3">
        <f>IFERROR(__xludf.DUMMYFUNCTION("""COMPUTED_VALUE"""),43138.99861111111)</f>
        <v>43138.99861</v>
      </c>
      <c r="B2394" s="1">
        <f>IFERROR(__xludf.DUMMYFUNCTION("""COMPUTED_VALUE"""),0.6018504141)</f>
        <v>0.6018504141</v>
      </c>
    </row>
    <row r="2395">
      <c r="A2395" s="3">
        <f>IFERROR(__xludf.DUMMYFUNCTION("""COMPUTED_VALUE"""),43139.99861111111)</f>
        <v>43139.99861</v>
      </c>
      <c r="B2395" s="1">
        <f>IFERROR(__xludf.DUMMYFUNCTION("""COMPUTED_VALUE"""),0.6000882523)</f>
        <v>0.6000882523</v>
      </c>
    </row>
    <row r="2396">
      <c r="A2396" s="3">
        <f>IFERROR(__xludf.DUMMYFUNCTION("""COMPUTED_VALUE"""),43140.99861111111)</f>
        <v>43140.99861</v>
      </c>
      <c r="B2396" s="1">
        <f>IFERROR(__xludf.DUMMYFUNCTION("""COMPUTED_VALUE"""),0.6002452757)</f>
        <v>0.6002452757</v>
      </c>
    </row>
    <row r="2397">
      <c r="A2397" s="3">
        <f>IFERROR(__xludf.DUMMYFUNCTION("""COMPUTED_VALUE"""),43143.99861111111)</f>
        <v>43143.99861</v>
      </c>
      <c r="B2397" s="1">
        <f>IFERROR(__xludf.DUMMYFUNCTION("""COMPUTED_VALUE"""),0.601774039)</f>
        <v>0.601774039</v>
      </c>
    </row>
    <row r="2398">
      <c r="A2398" s="3">
        <f>IFERROR(__xludf.DUMMYFUNCTION("""COMPUTED_VALUE"""),43144.99861111111)</f>
        <v>43144.99861</v>
      </c>
      <c r="B2398" s="1">
        <f>IFERROR(__xludf.DUMMYFUNCTION("""COMPUTED_VALUE"""),0.6014639703)</f>
        <v>0.6014639703</v>
      </c>
    </row>
    <row r="2399">
      <c r="A2399" s="3">
        <f>IFERROR(__xludf.DUMMYFUNCTION("""COMPUTED_VALUE"""),43145.99861111111)</f>
        <v>43145.99861</v>
      </c>
      <c r="B2399" s="1">
        <f>IFERROR(__xludf.DUMMYFUNCTION("""COMPUTED_VALUE"""),0.6006570089)</f>
        <v>0.6006570089</v>
      </c>
    </row>
    <row r="2400">
      <c r="A2400" s="3">
        <f>IFERROR(__xludf.DUMMYFUNCTION("""COMPUTED_VALUE"""),43146.99861111111)</f>
        <v>43146.99861</v>
      </c>
      <c r="B2400" s="1">
        <f>IFERROR(__xludf.DUMMYFUNCTION("""COMPUTED_VALUE"""),0.5975703851)</f>
        <v>0.5975703851</v>
      </c>
    </row>
    <row r="2401">
      <c r="A2401" s="3">
        <f>IFERROR(__xludf.DUMMYFUNCTION("""COMPUTED_VALUE"""),43147.99861111111)</f>
        <v>43147.99861</v>
      </c>
      <c r="B2401" s="1">
        <f>IFERROR(__xludf.DUMMYFUNCTION("""COMPUTED_VALUE"""),0.5977285233)</f>
        <v>0.5977285233</v>
      </c>
    </row>
    <row r="2402">
      <c r="A2402" s="3">
        <f>IFERROR(__xludf.DUMMYFUNCTION("""COMPUTED_VALUE"""),43150.99861111111)</f>
        <v>43150.99861</v>
      </c>
      <c r="B2402" s="1">
        <f>IFERROR(__xludf.DUMMYFUNCTION("""COMPUTED_VALUE"""),0.5933286541)</f>
        <v>0.5933286541</v>
      </c>
    </row>
    <row r="2403">
      <c r="A2403" s="3">
        <f>IFERROR(__xludf.DUMMYFUNCTION("""COMPUTED_VALUE"""),43151.99861111111)</f>
        <v>43151.99861</v>
      </c>
      <c r="B2403" s="1">
        <f>IFERROR(__xludf.DUMMYFUNCTION("""COMPUTED_VALUE"""),0.6004765554)</f>
        <v>0.6004765554</v>
      </c>
    </row>
    <row r="2404">
      <c r="A2404" s="3">
        <f>IFERROR(__xludf.DUMMYFUNCTION("""COMPUTED_VALUE"""),43152.99861111111)</f>
        <v>43152.99861</v>
      </c>
      <c r="B2404" s="1">
        <f>IFERROR(__xludf.DUMMYFUNCTION("""COMPUTED_VALUE"""),0.6001075614)</f>
        <v>0.6001075614</v>
      </c>
    </row>
    <row r="2405">
      <c r="A2405" s="3">
        <f>IFERROR(__xludf.DUMMYFUNCTION("""COMPUTED_VALUE"""),43153.99861111111)</f>
        <v>43153.99861</v>
      </c>
      <c r="B2405" s="1">
        <f>IFERROR(__xludf.DUMMYFUNCTION("""COMPUTED_VALUE"""),0.6027962314)</f>
        <v>0.6027962314</v>
      </c>
    </row>
    <row r="2406">
      <c r="A2406" s="3">
        <f>IFERROR(__xludf.DUMMYFUNCTION("""COMPUTED_VALUE"""),43154.99861111111)</f>
        <v>43154.99861</v>
      </c>
      <c r="B2406" s="1">
        <f>IFERROR(__xludf.DUMMYFUNCTION("""COMPUTED_VALUE"""),0.6012640051)</f>
        <v>0.6012640051</v>
      </c>
    </row>
    <row r="2407">
      <c r="A2407" s="3">
        <f>IFERROR(__xludf.DUMMYFUNCTION("""COMPUTED_VALUE"""),43155.99861111111)</f>
        <v>43155.99861</v>
      </c>
      <c r="B2407" s="1">
        <f>IFERROR(__xludf.DUMMYFUNCTION("""COMPUTED_VALUE"""),0.6084592371)</f>
        <v>0.6084592371</v>
      </c>
    </row>
    <row r="2408">
      <c r="A2408" s="3">
        <f>IFERROR(__xludf.DUMMYFUNCTION("""COMPUTED_VALUE"""),43156.99861111111)</f>
        <v>43156.99861</v>
      </c>
      <c r="B2408" s="1">
        <f>IFERROR(__xludf.DUMMYFUNCTION("""COMPUTED_VALUE"""),0.6088692741)</f>
        <v>0.6088692741</v>
      </c>
    </row>
    <row r="2409">
      <c r="A2409" s="3">
        <f>IFERROR(__xludf.DUMMYFUNCTION("""COMPUTED_VALUE"""),43157.99861111111)</f>
        <v>43157.99861</v>
      </c>
      <c r="B2409" s="1">
        <f>IFERROR(__xludf.DUMMYFUNCTION("""COMPUTED_VALUE"""),0.6010611336)</f>
        <v>0.6010611336</v>
      </c>
    </row>
    <row r="2410">
      <c r="A2410" s="3">
        <f>IFERROR(__xludf.DUMMYFUNCTION("""COMPUTED_VALUE"""),43158.99861111111)</f>
        <v>43158.99861</v>
      </c>
      <c r="B2410" s="1">
        <f>IFERROR(__xludf.DUMMYFUNCTION("""COMPUTED_VALUE"""),0.6030128524)</f>
        <v>0.6030128524</v>
      </c>
    </row>
    <row r="2411">
      <c r="A2411" s="3">
        <f>IFERROR(__xludf.DUMMYFUNCTION("""COMPUTED_VALUE"""),43159.99861111111)</f>
        <v>43159.99861</v>
      </c>
      <c r="B2411" s="1">
        <f>IFERROR(__xludf.DUMMYFUNCTION("""COMPUTED_VALUE"""),0.6054897222)</f>
        <v>0.6054897222</v>
      </c>
    </row>
    <row r="2412">
      <c r="A2412" s="3">
        <f>IFERROR(__xludf.DUMMYFUNCTION("""COMPUTED_VALUE"""),43160.99861111111)</f>
        <v>43160.99861</v>
      </c>
      <c r="B2412" s="1">
        <f>IFERROR(__xludf.DUMMYFUNCTION("""COMPUTED_VALUE"""),0.6047309805)</f>
        <v>0.6047309805</v>
      </c>
    </row>
    <row r="2413">
      <c r="A2413" s="3">
        <f>IFERROR(__xludf.DUMMYFUNCTION("""COMPUTED_VALUE"""),43161.99861111111)</f>
        <v>43161.99861</v>
      </c>
      <c r="B2413" s="1">
        <f>IFERROR(__xludf.DUMMYFUNCTION("""COMPUTED_VALUE"""),0.6053708887)</f>
        <v>0.6053708887</v>
      </c>
    </row>
    <row r="2414">
      <c r="A2414" s="3">
        <f>IFERROR(__xludf.DUMMYFUNCTION("""COMPUTED_VALUE"""),43164.99861111111)</f>
        <v>43164.99861</v>
      </c>
      <c r="B2414" s="1">
        <f>IFERROR(__xludf.DUMMYFUNCTION("""COMPUTED_VALUE"""),0.6044884428)</f>
        <v>0.6044884428</v>
      </c>
    </row>
    <row r="2415">
      <c r="A2415" s="3">
        <f>IFERROR(__xludf.DUMMYFUNCTION("""COMPUTED_VALUE"""),43165.99861111111)</f>
        <v>43165.99861</v>
      </c>
      <c r="B2415" s="1">
        <f>IFERROR(__xludf.DUMMYFUNCTION("""COMPUTED_VALUE"""),0.6053233524)</f>
        <v>0.6053233524</v>
      </c>
    </row>
    <row r="2416">
      <c r="A2416" s="3">
        <f>IFERROR(__xludf.DUMMYFUNCTION("""COMPUTED_VALUE"""),43166.99861111111)</f>
        <v>43166.99861</v>
      </c>
      <c r="B2416" s="1">
        <f>IFERROR(__xludf.DUMMYFUNCTION("""COMPUTED_VALUE"""),0.6045744435)</f>
        <v>0.6045744435</v>
      </c>
    </row>
    <row r="2417">
      <c r="A2417" s="3">
        <f>IFERROR(__xludf.DUMMYFUNCTION("""COMPUTED_VALUE"""),43167.99861111111)</f>
        <v>43167.99861</v>
      </c>
      <c r="B2417" s="1">
        <f>IFERROR(__xludf.DUMMYFUNCTION("""COMPUTED_VALUE"""),0.6067113964)</f>
        <v>0.6067113964</v>
      </c>
    </row>
    <row r="2418">
      <c r="A2418" s="3">
        <f>IFERROR(__xludf.DUMMYFUNCTION("""COMPUTED_VALUE"""),43168.99861111111)</f>
        <v>43168.99861</v>
      </c>
      <c r="B2418" s="1">
        <f>IFERROR(__xludf.DUMMYFUNCTION("""COMPUTED_VALUE"""),0.605940588)</f>
        <v>0.605940588</v>
      </c>
    </row>
    <row r="2419">
      <c r="A2419" s="3">
        <f>IFERROR(__xludf.DUMMYFUNCTION("""COMPUTED_VALUE"""),43171.99861111111)</f>
        <v>43171.99861</v>
      </c>
      <c r="B2419" s="1">
        <f>IFERROR(__xludf.DUMMYFUNCTION("""COMPUTED_VALUE"""),0.6053204802)</f>
        <v>0.6053204802</v>
      </c>
    </row>
    <row r="2420">
      <c r="A2420" s="3">
        <f>IFERROR(__xludf.DUMMYFUNCTION("""COMPUTED_VALUE"""),43172.99861111111)</f>
        <v>43172.99861</v>
      </c>
      <c r="B2420" s="1">
        <f>IFERROR(__xludf.DUMMYFUNCTION("""COMPUTED_VALUE"""),0.6045539544)</f>
        <v>0.6045539544</v>
      </c>
    </row>
    <row r="2421">
      <c r="A2421" s="3">
        <f>IFERROR(__xludf.DUMMYFUNCTION("""COMPUTED_VALUE"""),43173.99861111111)</f>
        <v>43173.99861</v>
      </c>
      <c r="B2421" s="1">
        <f>IFERROR(__xludf.DUMMYFUNCTION("""COMPUTED_VALUE"""),0.6037876883)</f>
        <v>0.6037876883</v>
      </c>
    </row>
    <row r="2422">
      <c r="A2422" s="3">
        <f>IFERROR(__xludf.DUMMYFUNCTION("""COMPUTED_VALUE"""),43174.99861111111)</f>
        <v>43174.99861</v>
      </c>
      <c r="B2422" s="1">
        <f>IFERROR(__xludf.DUMMYFUNCTION("""COMPUTED_VALUE"""),0.6051462491)</f>
        <v>0.6051462491</v>
      </c>
    </row>
    <row r="2423">
      <c r="A2423" s="3">
        <f>IFERROR(__xludf.DUMMYFUNCTION("""COMPUTED_VALUE"""),43175.99861111111)</f>
        <v>43175.99861</v>
      </c>
      <c r="B2423" s="1">
        <f>IFERROR(__xludf.DUMMYFUNCTION("""COMPUTED_VALUE"""),0.6042806063)</f>
        <v>0.6042806063</v>
      </c>
    </row>
    <row r="2424">
      <c r="A2424" s="3">
        <f>IFERROR(__xludf.DUMMYFUNCTION("""COMPUTED_VALUE"""),43178.99861111111)</f>
        <v>43178.99861</v>
      </c>
      <c r="B2424" s="1">
        <f>IFERROR(__xludf.DUMMYFUNCTION("""COMPUTED_VALUE"""),0.6062967396)</f>
        <v>0.6062967396</v>
      </c>
    </row>
    <row r="2425">
      <c r="A2425" s="3">
        <f>IFERROR(__xludf.DUMMYFUNCTION("""COMPUTED_VALUE"""),43179.99861111111)</f>
        <v>43179.99861</v>
      </c>
      <c r="B2425" s="1">
        <f>IFERROR(__xludf.DUMMYFUNCTION("""COMPUTED_VALUE"""),0.6043668406)</f>
        <v>0.6043668406</v>
      </c>
    </row>
    <row r="2426">
      <c r="A2426" s="3">
        <f>IFERROR(__xludf.DUMMYFUNCTION("""COMPUTED_VALUE"""),43180.99861111111)</f>
        <v>43180.99861</v>
      </c>
      <c r="B2426" s="1">
        <f>IFERROR(__xludf.DUMMYFUNCTION("""COMPUTED_VALUE"""),0.6028203455)</f>
        <v>0.6028203455</v>
      </c>
    </row>
    <row r="2427">
      <c r="A2427" s="3">
        <f>IFERROR(__xludf.DUMMYFUNCTION("""COMPUTED_VALUE"""),43181.99861111111)</f>
        <v>43181.99861</v>
      </c>
      <c r="B2427" s="1">
        <f>IFERROR(__xludf.DUMMYFUNCTION("""COMPUTED_VALUE"""),0.6048904807)</f>
        <v>0.6048904807</v>
      </c>
    </row>
    <row r="2428">
      <c r="A2428" s="3">
        <f>IFERROR(__xludf.DUMMYFUNCTION("""COMPUTED_VALUE"""),43182.99861111111)</f>
        <v>43182.99861</v>
      </c>
      <c r="B2428" s="1">
        <f>IFERROR(__xludf.DUMMYFUNCTION("""COMPUTED_VALUE"""),0.6050505019)</f>
        <v>0.6050505019</v>
      </c>
    </row>
    <row r="2429">
      <c r="A2429" s="3">
        <f>IFERROR(__xludf.DUMMYFUNCTION("""COMPUTED_VALUE"""),43183.99861111111)</f>
        <v>43183.99861</v>
      </c>
      <c r="B2429" s="1">
        <f>IFERROR(__xludf.DUMMYFUNCTION("""COMPUTED_VALUE"""),0.613538181)</f>
        <v>0.613538181</v>
      </c>
    </row>
    <row r="2430">
      <c r="A2430" s="3">
        <f>IFERROR(__xludf.DUMMYFUNCTION("""COMPUTED_VALUE"""),43185.99861111111)</f>
        <v>43185.99861</v>
      </c>
      <c r="B2430" s="1">
        <f>IFERROR(__xludf.DUMMYFUNCTION("""COMPUTED_VALUE"""),0.6028035305)</f>
        <v>0.6028035305</v>
      </c>
    </row>
    <row r="2431">
      <c r="A2431" s="3">
        <f>IFERROR(__xludf.DUMMYFUNCTION("""COMPUTED_VALUE"""),43186.99861111111)</f>
        <v>43186.99861</v>
      </c>
      <c r="B2431" s="1">
        <f>IFERROR(__xludf.DUMMYFUNCTION("""COMPUTED_VALUE"""),0.603147418)</f>
        <v>0.603147418</v>
      </c>
    </row>
    <row r="2432">
      <c r="A2432" s="3">
        <f>IFERROR(__xludf.DUMMYFUNCTION("""COMPUTED_VALUE"""),43187.99861111111)</f>
        <v>43187.99861</v>
      </c>
      <c r="B2432" s="1">
        <f>IFERROR(__xludf.DUMMYFUNCTION("""COMPUTED_VALUE"""),0.6037570164)</f>
        <v>0.6037570164</v>
      </c>
    </row>
    <row r="2433">
      <c r="A2433" s="3">
        <f>IFERROR(__xludf.DUMMYFUNCTION("""COMPUTED_VALUE"""),43188.99861111111)</f>
        <v>43188.99861</v>
      </c>
      <c r="B2433" s="1">
        <f>IFERROR(__xludf.DUMMYFUNCTION("""COMPUTED_VALUE"""),0.6039626066)</f>
        <v>0.6039626066</v>
      </c>
    </row>
    <row r="2434">
      <c r="A2434" s="3">
        <f>IFERROR(__xludf.DUMMYFUNCTION("""COMPUTED_VALUE"""),43189.99861111111)</f>
        <v>43189.99861</v>
      </c>
      <c r="B2434" s="1">
        <f>IFERROR(__xludf.DUMMYFUNCTION("""COMPUTED_VALUE"""),0.6035414474)</f>
        <v>0.6035414474</v>
      </c>
    </row>
    <row r="2435">
      <c r="A2435" s="3">
        <f>IFERROR(__xludf.DUMMYFUNCTION("""COMPUTED_VALUE"""),43191.99861111111)</f>
        <v>43191.99861</v>
      </c>
      <c r="B2435" s="1">
        <f>IFERROR(__xludf.DUMMYFUNCTION("""COMPUTED_VALUE"""),0.6127008099)</f>
        <v>0.6127008099</v>
      </c>
    </row>
    <row r="2436">
      <c r="A2436" s="3">
        <f>IFERROR(__xludf.DUMMYFUNCTION("""COMPUTED_VALUE"""),43192.99861111111)</f>
        <v>43192.99861</v>
      </c>
      <c r="B2436" s="1">
        <f>IFERROR(__xludf.DUMMYFUNCTION("""COMPUTED_VALUE"""),0.6108864683)</f>
        <v>0.6108864683</v>
      </c>
    </row>
    <row r="2437">
      <c r="A2437" s="3">
        <f>IFERROR(__xludf.DUMMYFUNCTION("""COMPUTED_VALUE"""),43193.99861111111)</f>
        <v>43193.99861</v>
      </c>
      <c r="B2437" s="1">
        <f>IFERROR(__xludf.DUMMYFUNCTION("""COMPUTED_VALUE"""),0.6033369836)</f>
        <v>0.6033369836</v>
      </c>
    </row>
    <row r="2438">
      <c r="A2438" s="3">
        <f>IFERROR(__xludf.DUMMYFUNCTION("""COMPUTED_VALUE"""),43194.99861111111)</f>
        <v>43194.99861</v>
      </c>
      <c r="B2438" s="1">
        <f>IFERROR(__xludf.DUMMYFUNCTION("""COMPUTED_VALUE"""),0.6036302871)</f>
        <v>0.6036302871</v>
      </c>
    </row>
    <row r="2439">
      <c r="A2439" s="3">
        <f>IFERROR(__xludf.DUMMYFUNCTION("""COMPUTED_VALUE"""),43195.99861111111)</f>
        <v>43195.99861</v>
      </c>
      <c r="B2439" s="1">
        <f>IFERROR(__xludf.DUMMYFUNCTION("""COMPUTED_VALUE"""),0.6040916576)</f>
        <v>0.6040916576</v>
      </c>
    </row>
    <row r="2440">
      <c r="A2440" s="3">
        <f>IFERROR(__xludf.DUMMYFUNCTION("""COMPUTED_VALUE"""),43196.99861111111)</f>
        <v>43196.99861</v>
      </c>
      <c r="B2440" s="1">
        <f>IFERROR(__xludf.DUMMYFUNCTION("""COMPUTED_VALUE"""),0.604502023)</f>
        <v>0.604502023</v>
      </c>
    </row>
    <row r="2441">
      <c r="A2441" s="3">
        <f>IFERROR(__xludf.DUMMYFUNCTION("""COMPUTED_VALUE"""),43199.99861111111)</f>
        <v>43199.99861</v>
      </c>
      <c r="B2441" s="1">
        <f>IFERROR(__xludf.DUMMYFUNCTION("""COMPUTED_VALUE"""),0.6153570977)</f>
        <v>0.6153570977</v>
      </c>
    </row>
    <row r="2442">
      <c r="A2442" s="3">
        <f>IFERROR(__xludf.DUMMYFUNCTION("""COMPUTED_VALUE"""),43200.99861111111)</f>
        <v>43200.99861</v>
      </c>
      <c r="B2442" s="1">
        <f>IFERROR(__xludf.DUMMYFUNCTION("""COMPUTED_VALUE"""),0.6038492704)</f>
        <v>0.6038492704</v>
      </c>
    </row>
    <row r="2443">
      <c r="A2443" s="3">
        <f>IFERROR(__xludf.DUMMYFUNCTION("""COMPUTED_VALUE"""),43201.99861111111)</f>
        <v>43201.99861</v>
      </c>
      <c r="B2443" s="1">
        <f>IFERROR(__xludf.DUMMYFUNCTION("""COMPUTED_VALUE"""),0.6044033202)</f>
        <v>0.6044033202</v>
      </c>
    </row>
    <row r="2444">
      <c r="A2444" s="3">
        <f>IFERROR(__xludf.DUMMYFUNCTION("""COMPUTED_VALUE"""),43202.99861111111)</f>
        <v>43202.99861</v>
      </c>
      <c r="B2444" s="1">
        <f>IFERROR(__xludf.DUMMYFUNCTION("""COMPUTED_VALUE"""),0.6050497652)</f>
        <v>0.6050497652</v>
      </c>
    </row>
    <row r="2445">
      <c r="A2445" s="3">
        <f>IFERROR(__xludf.DUMMYFUNCTION("""COMPUTED_VALUE"""),43203.99861111111)</f>
        <v>43203.99861</v>
      </c>
      <c r="B2445" s="1">
        <f>IFERROR(__xludf.DUMMYFUNCTION("""COMPUTED_VALUE"""),0.6051908535)</f>
        <v>0.6051908535</v>
      </c>
    </row>
    <row r="2446">
      <c r="A2446" s="3">
        <f>IFERROR(__xludf.DUMMYFUNCTION("""COMPUTED_VALUE"""),43206.99861111111)</f>
        <v>43206.99861</v>
      </c>
      <c r="B2446" s="1">
        <f>IFERROR(__xludf.DUMMYFUNCTION("""COMPUTED_VALUE"""),0.6052984398)</f>
        <v>0.6052984398</v>
      </c>
    </row>
    <row r="2447">
      <c r="A2447" s="3">
        <f>IFERROR(__xludf.DUMMYFUNCTION("""COMPUTED_VALUE"""),43207.99861111111)</f>
        <v>43207.99861</v>
      </c>
      <c r="B2447" s="1">
        <f>IFERROR(__xludf.DUMMYFUNCTION("""COMPUTED_VALUE"""),0.6050357214)</f>
        <v>0.6050357214</v>
      </c>
    </row>
    <row r="2448">
      <c r="A2448" s="3">
        <f>IFERROR(__xludf.DUMMYFUNCTION("""COMPUTED_VALUE"""),43208.99861111111)</f>
        <v>43208.99861</v>
      </c>
      <c r="B2448" s="1">
        <f>IFERROR(__xludf.DUMMYFUNCTION("""COMPUTED_VALUE"""),0.60552354)</f>
        <v>0.60552354</v>
      </c>
    </row>
    <row r="2449">
      <c r="A2449" s="3">
        <f>IFERROR(__xludf.DUMMYFUNCTION("""COMPUTED_VALUE"""),43209.99861111111)</f>
        <v>43209.99861</v>
      </c>
      <c r="B2449" s="1">
        <f>IFERROR(__xludf.DUMMYFUNCTION("""COMPUTED_VALUE"""),0.6067534182)</f>
        <v>0.6067534182</v>
      </c>
    </row>
    <row r="2450">
      <c r="A2450" s="3">
        <f>IFERROR(__xludf.DUMMYFUNCTION("""COMPUTED_VALUE"""),43210.99861111111)</f>
        <v>43210.99861</v>
      </c>
      <c r="B2450" s="1">
        <f>IFERROR(__xludf.DUMMYFUNCTION("""COMPUTED_VALUE"""),0.6088314193)</f>
        <v>0.6088314193</v>
      </c>
    </row>
    <row r="2451">
      <c r="A2451" s="3">
        <f>IFERROR(__xludf.DUMMYFUNCTION("""COMPUTED_VALUE"""),43211.99861111111)</f>
        <v>43211.99861</v>
      </c>
      <c r="B2451" s="1">
        <f>IFERROR(__xludf.DUMMYFUNCTION("""COMPUTED_VALUE"""),0.6175499342)</f>
        <v>0.6175499342</v>
      </c>
    </row>
    <row r="2452">
      <c r="A2452" s="3">
        <f>IFERROR(__xludf.DUMMYFUNCTION("""COMPUTED_VALUE"""),43213.99861111111)</f>
        <v>43213.99861</v>
      </c>
      <c r="B2452" s="1">
        <f>IFERROR(__xludf.DUMMYFUNCTION("""COMPUTED_VALUE"""),0.6140481987)</f>
        <v>0.6140481987</v>
      </c>
    </row>
    <row r="2453">
      <c r="A2453" s="3">
        <f>IFERROR(__xludf.DUMMYFUNCTION("""COMPUTED_VALUE"""),43214.99861111111)</f>
        <v>43214.99861</v>
      </c>
      <c r="B2453" s="1">
        <f>IFERROR(__xludf.DUMMYFUNCTION("""COMPUTED_VALUE"""),0.6101873726)</f>
        <v>0.6101873726</v>
      </c>
    </row>
    <row r="2454">
      <c r="A2454" s="3">
        <f>IFERROR(__xludf.DUMMYFUNCTION("""COMPUTED_VALUE"""),43215.99861111111)</f>
        <v>43215.99861</v>
      </c>
      <c r="B2454" s="1">
        <f>IFERROR(__xludf.DUMMYFUNCTION("""COMPUTED_VALUE"""),0.6122547607)</f>
        <v>0.6122547607</v>
      </c>
    </row>
    <row r="2455">
      <c r="A2455" s="3">
        <f>IFERROR(__xludf.DUMMYFUNCTION("""COMPUTED_VALUE"""),43216.99861111111)</f>
        <v>43216.99861</v>
      </c>
      <c r="B2455" s="1">
        <f>IFERROR(__xludf.DUMMYFUNCTION("""COMPUTED_VALUE"""),0.6105489932)</f>
        <v>0.6105489932</v>
      </c>
    </row>
    <row r="2456">
      <c r="A2456" s="3">
        <f>IFERROR(__xludf.DUMMYFUNCTION("""COMPUTED_VALUE"""),43217.99861111111)</f>
        <v>43217.99861</v>
      </c>
      <c r="B2456" s="1">
        <f>IFERROR(__xludf.DUMMYFUNCTION("""COMPUTED_VALUE"""),0.6088391209)</f>
        <v>0.6088391209</v>
      </c>
    </row>
    <row r="2457">
      <c r="A2457" s="3">
        <f>IFERROR(__xludf.DUMMYFUNCTION("""COMPUTED_VALUE"""),43220.99861111111)</f>
        <v>43220.99861</v>
      </c>
      <c r="B2457" s="1">
        <f>IFERROR(__xludf.DUMMYFUNCTION("""COMPUTED_VALUE"""),0.6116109712)</f>
        <v>0.6116109712</v>
      </c>
    </row>
    <row r="2458">
      <c r="A2458" s="3">
        <f>IFERROR(__xludf.DUMMYFUNCTION("""COMPUTED_VALUE"""),43221.99861111111)</f>
        <v>43221.99861</v>
      </c>
      <c r="B2458" s="1">
        <f>IFERROR(__xludf.DUMMYFUNCTION("""COMPUTED_VALUE"""),0.6216013095)</f>
        <v>0.6216013095</v>
      </c>
    </row>
    <row r="2459">
      <c r="A2459" s="3">
        <f>IFERROR(__xludf.DUMMYFUNCTION("""COMPUTED_VALUE"""),43222.99861111111)</f>
        <v>43222.99861</v>
      </c>
      <c r="B2459" s="1">
        <f>IFERROR(__xludf.DUMMYFUNCTION("""COMPUTED_VALUE"""),0.6161357016)</f>
        <v>0.6161357016</v>
      </c>
    </row>
    <row r="2460">
      <c r="A2460" s="3">
        <f>IFERROR(__xludf.DUMMYFUNCTION("""COMPUTED_VALUE"""),43223.99861111111)</f>
        <v>43223.99861</v>
      </c>
      <c r="B2460" s="1">
        <f>IFERROR(__xludf.DUMMYFUNCTION("""COMPUTED_VALUE"""),0.6129578703)</f>
        <v>0.6129578703</v>
      </c>
    </row>
    <row r="2461">
      <c r="A2461" s="3">
        <f>IFERROR(__xludf.DUMMYFUNCTION("""COMPUTED_VALUE"""),43224.99861111111)</f>
        <v>43224.99861</v>
      </c>
      <c r="B2461" s="1">
        <f>IFERROR(__xludf.DUMMYFUNCTION("""COMPUTED_VALUE"""),0.6127213101)</f>
        <v>0.6127213101</v>
      </c>
    </row>
    <row r="2462">
      <c r="A2462" s="3">
        <f>IFERROR(__xludf.DUMMYFUNCTION("""COMPUTED_VALUE"""),43225.99861111111)</f>
        <v>43225.99861</v>
      </c>
      <c r="B2462" s="1">
        <f>IFERROR(__xludf.DUMMYFUNCTION("""COMPUTED_VALUE"""),0.6213227138)</f>
        <v>0.6213227138</v>
      </c>
    </row>
    <row r="2463">
      <c r="A2463" s="3">
        <f>IFERROR(__xludf.DUMMYFUNCTION("""COMPUTED_VALUE"""),43227.99861111111)</f>
        <v>43227.99861</v>
      </c>
      <c r="B2463" s="1">
        <f>IFERROR(__xludf.DUMMYFUNCTION("""COMPUTED_VALUE"""),0.6276420217)</f>
        <v>0.6276420217</v>
      </c>
    </row>
    <row r="2464">
      <c r="A2464" s="3">
        <f>IFERROR(__xludf.DUMMYFUNCTION("""COMPUTED_VALUE"""),43228.99861111111)</f>
        <v>43228.99861</v>
      </c>
      <c r="B2464" s="1">
        <f>IFERROR(__xludf.DUMMYFUNCTION("""COMPUTED_VALUE"""),0.6273380849)</f>
        <v>0.6273380849</v>
      </c>
    </row>
    <row r="2465">
      <c r="A2465" s="3">
        <f>IFERROR(__xludf.DUMMYFUNCTION("""COMPUTED_VALUE"""),43229.99861111111)</f>
        <v>43229.99861</v>
      </c>
      <c r="B2465" s="1">
        <f>IFERROR(__xludf.DUMMYFUNCTION("""COMPUTED_VALUE"""),0.6188110039)</f>
        <v>0.6188110039</v>
      </c>
    </row>
    <row r="2466">
      <c r="A2466" s="3">
        <f>IFERROR(__xludf.DUMMYFUNCTION("""COMPUTED_VALUE"""),43230.99861111111)</f>
        <v>43230.99861</v>
      </c>
      <c r="B2466" s="1">
        <f>IFERROR(__xludf.DUMMYFUNCTION("""COMPUTED_VALUE"""),0.62663638)</f>
        <v>0.62663638</v>
      </c>
    </row>
    <row r="2467">
      <c r="A2467" s="3">
        <f>IFERROR(__xludf.DUMMYFUNCTION("""COMPUTED_VALUE"""),43231.99861111111)</f>
        <v>43231.99861</v>
      </c>
      <c r="B2467" s="1">
        <f>IFERROR(__xludf.DUMMYFUNCTION("""COMPUTED_VALUE"""),0.6131515273)</f>
        <v>0.6131515273</v>
      </c>
    </row>
    <row r="2468">
      <c r="A2468" s="3">
        <f>IFERROR(__xludf.DUMMYFUNCTION("""COMPUTED_VALUE"""),43233.99861111111)</f>
        <v>43233.99861</v>
      </c>
      <c r="B2468" s="1">
        <f>IFERROR(__xludf.DUMMYFUNCTION("""COMPUTED_VALUE"""),0.6225109319)</f>
        <v>0.6225109319</v>
      </c>
    </row>
    <row r="2469">
      <c r="A2469" s="3">
        <f>IFERROR(__xludf.DUMMYFUNCTION("""COMPUTED_VALUE"""),43234.99861111111)</f>
        <v>43234.99861</v>
      </c>
      <c r="B2469" s="1">
        <f>IFERROR(__xludf.DUMMYFUNCTION("""COMPUTED_VALUE"""),0.6142307223)</f>
        <v>0.6142307223</v>
      </c>
    </row>
    <row r="2470">
      <c r="A2470" s="3">
        <f>IFERROR(__xludf.DUMMYFUNCTION("""COMPUTED_VALUE"""),43235.99861111111)</f>
        <v>43235.99861</v>
      </c>
      <c r="B2470" s="1">
        <f>IFERROR(__xludf.DUMMYFUNCTION("""COMPUTED_VALUE"""),0.6170966003)</f>
        <v>0.6170966003</v>
      </c>
    </row>
    <row r="2471">
      <c r="A2471" s="3">
        <f>IFERROR(__xludf.DUMMYFUNCTION("""COMPUTED_VALUE"""),43236.99861111111)</f>
        <v>43236.99861</v>
      </c>
      <c r="B2471" s="1">
        <f>IFERROR(__xludf.DUMMYFUNCTION("""COMPUTED_VALUE"""),0.622284759)</f>
        <v>0.622284759</v>
      </c>
    </row>
    <row r="2472">
      <c r="A2472" s="3">
        <f>IFERROR(__xludf.DUMMYFUNCTION("""COMPUTED_VALUE"""),43237.99861111111)</f>
        <v>43237.99861</v>
      </c>
      <c r="B2472" s="1">
        <f>IFERROR(__xludf.DUMMYFUNCTION("""COMPUTED_VALUE"""),0.6224054417)</f>
        <v>0.6224054417</v>
      </c>
    </row>
    <row r="2473">
      <c r="A2473" s="3">
        <f>IFERROR(__xludf.DUMMYFUNCTION("""COMPUTED_VALUE"""),43238.99861111111)</f>
        <v>43238.99861</v>
      </c>
      <c r="B2473" s="1">
        <f>IFERROR(__xludf.DUMMYFUNCTION("""COMPUTED_VALUE"""),0.6212610583)</f>
        <v>0.6212610583</v>
      </c>
    </row>
    <row r="2474">
      <c r="A2474" s="3">
        <f>IFERROR(__xludf.DUMMYFUNCTION("""COMPUTED_VALUE"""),43239.99861111111)</f>
        <v>43239.99861</v>
      </c>
      <c r="B2474" s="1">
        <f>IFERROR(__xludf.DUMMYFUNCTION("""COMPUTED_VALUE"""),0.6301943964)</f>
        <v>0.6301943964</v>
      </c>
    </row>
    <row r="2475">
      <c r="A2475" s="3">
        <f>IFERROR(__xludf.DUMMYFUNCTION("""COMPUTED_VALUE"""),43241.99861111111)</f>
        <v>43241.99861</v>
      </c>
      <c r="B2475" s="1">
        <f>IFERROR(__xludf.DUMMYFUNCTION("""COMPUTED_VALUE"""),0.6254260734)</f>
        <v>0.6254260734</v>
      </c>
    </row>
    <row r="2476">
      <c r="A2476" s="3">
        <f>IFERROR(__xludf.DUMMYFUNCTION("""COMPUTED_VALUE"""),43242.99861111111)</f>
        <v>43242.99861</v>
      </c>
      <c r="B2476" s="1">
        <f>IFERROR(__xludf.DUMMYFUNCTION("""COMPUTED_VALUE"""),0.6246365592)</f>
        <v>0.6246365592</v>
      </c>
    </row>
    <row r="2477">
      <c r="A2477" s="3">
        <f>IFERROR(__xludf.DUMMYFUNCTION("""COMPUTED_VALUE"""),43243.99861111111)</f>
        <v>43243.99861</v>
      </c>
      <c r="B2477" s="1">
        <f>IFERROR(__xludf.DUMMYFUNCTION("""COMPUTED_VALUE"""),0.6231144628)</f>
        <v>0.6231144628</v>
      </c>
    </row>
    <row r="2478">
      <c r="A2478" s="3">
        <f>IFERROR(__xludf.DUMMYFUNCTION("""COMPUTED_VALUE"""),43244.99861111111)</f>
        <v>43244.99861</v>
      </c>
      <c r="B2478" s="1">
        <f>IFERROR(__xludf.DUMMYFUNCTION("""COMPUTED_VALUE"""),0.621026249)</f>
        <v>0.621026249</v>
      </c>
    </row>
    <row r="2479">
      <c r="A2479" s="3">
        <f>IFERROR(__xludf.DUMMYFUNCTION("""COMPUTED_VALUE"""),43245.99861111111)</f>
        <v>43245.99861</v>
      </c>
      <c r="B2479" s="1">
        <f>IFERROR(__xludf.DUMMYFUNCTION("""COMPUTED_VALUE"""),0.620328837)</f>
        <v>0.620328837</v>
      </c>
    </row>
    <row r="2480">
      <c r="A2480" s="3">
        <f>IFERROR(__xludf.DUMMYFUNCTION("""COMPUTED_VALUE"""),43248.99861111111)</f>
        <v>43248.99861</v>
      </c>
      <c r="B2480" s="1">
        <f>IFERROR(__xludf.DUMMYFUNCTION("""COMPUTED_VALUE"""),0.6150266571)</f>
        <v>0.6150266571</v>
      </c>
    </row>
    <row r="2481">
      <c r="A2481" s="3">
        <f>IFERROR(__xludf.DUMMYFUNCTION("""COMPUTED_VALUE"""),43249.99861111111)</f>
        <v>43249.99861</v>
      </c>
      <c r="B2481" s="1">
        <f>IFERROR(__xludf.DUMMYFUNCTION("""COMPUTED_VALUE"""),0.6152395503)</f>
        <v>0.6152395503</v>
      </c>
    </row>
    <row r="2482">
      <c r="A2482" s="3">
        <f>IFERROR(__xludf.DUMMYFUNCTION("""COMPUTED_VALUE"""),43250.99861111111)</f>
        <v>43250.99861</v>
      </c>
      <c r="B2482" s="1">
        <f>IFERROR(__xludf.DUMMYFUNCTION("""COMPUTED_VALUE"""),0.6124890381)</f>
        <v>0.6124890381</v>
      </c>
    </row>
    <row r="2483">
      <c r="A2483" s="3">
        <f>IFERROR(__xludf.DUMMYFUNCTION("""COMPUTED_VALUE"""),43251.99861111111)</f>
        <v>43251.99861</v>
      </c>
      <c r="B2483" s="1">
        <f>IFERROR(__xludf.DUMMYFUNCTION("""COMPUTED_VALUE"""),0.6095472232)</f>
        <v>0.6095472232</v>
      </c>
    </row>
    <row r="2484">
      <c r="A2484" s="3">
        <f>IFERROR(__xludf.DUMMYFUNCTION("""COMPUTED_VALUE"""),43252.99861111111)</f>
        <v>43252.99861</v>
      </c>
      <c r="B2484" s="1">
        <f>IFERROR(__xludf.DUMMYFUNCTION("""COMPUTED_VALUE"""),0.6072401291)</f>
        <v>0.6072401291</v>
      </c>
    </row>
    <row r="2485">
      <c r="A2485" s="3">
        <f>IFERROR(__xludf.DUMMYFUNCTION("""COMPUTED_VALUE"""),43253.99861111111)</f>
        <v>43253.99861</v>
      </c>
      <c r="B2485" s="1">
        <f>IFERROR(__xludf.DUMMYFUNCTION("""COMPUTED_VALUE"""),0.61382194)</f>
        <v>0.61382194</v>
      </c>
    </row>
    <row r="2486">
      <c r="A2486" s="3">
        <f>IFERROR(__xludf.DUMMYFUNCTION("""COMPUTED_VALUE"""),43255.99861111111)</f>
        <v>43255.99861</v>
      </c>
      <c r="B2486" s="1">
        <f>IFERROR(__xludf.DUMMYFUNCTION("""COMPUTED_VALUE"""),0.6151251506)</f>
        <v>0.6151251506</v>
      </c>
    </row>
    <row r="2487">
      <c r="A2487" s="3">
        <f>IFERROR(__xludf.DUMMYFUNCTION("""COMPUTED_VALUE"""),43256.99861111111)</f>
        <v>43256.99861</v>
      </c>
      <c r="B2487" s="1">
        <f>IFERROR(__xludf.DUMMYFUNCTION("""COMPUTED_VALUE"""),0.6084801039)</f>
        <v>0.6084801039</v>
      </c>
    </row>
    <row r="2488">
      <c r="A2488" s="3">
        <f>IFERROR(__xludf.DUMMYFUNCTION("""COMPUTED_VALUE"""),43257.99861111111)</f>
        <v>43257.99861</v>
      </c>
      <c r="B2488" s="1">
        <f>IFERROR(__xludf.DUMMYFUNCTION("""COMPUTED_VALUE"""),0.606933488)</f>
        <v>0.606933488</v>
      </c>
    </row>
    <row r="2489">
      <c r="A2489" s="3">
        <f>IFERROR(__xludf.DUMMYFUNCTION("""COMPUTED_VALUE"""),43258.99861111111)</f>
        <v>43258.99861</v>
      </c>
      <c r="B2489" s="1">
        <f>IFERROR(__xludf.DUMMYFUNCTION("""COMPUTED_VALUE"""),0.6089076265)</f>
        <v>0.6089076265</v>
      </c>
    </row>
    <row r="2490">
      <c r="A2490" s="3">
        <f>IFERROR(__xludf.DUMMYFUNCTION("""COMPUTED_VALUE"""),43259.99861111111)</f>
        <v>43259.99861</v>
      </c>
      <c r="B2490" s="1">
        <f>IFERROR(__xludf.DUMMYFUNCTION("""COMPUTED_VALUE"""),0.6122242683)</f>
        <v>0.6122242683</v>
      </c>
    </row>
    <row r="2491">
      <c r="A2491" s="3">
        <f>IFERROR(__xludf.DUMMYFUNCTION("""COMPUTED_VALUE"""),43260.99861111111)</f>
        <v>43260.99861</v>
      </c>
      <c r="B2491" s="1">
        <f>IFERROR(__xludf.DUMMYFUNCTION("""COMPUTED_VALUE"""),0.6235804257)</f>
        <v>0.6235804257</v>
      </c>
    </row>
    <row r="2492">
      <c r="A2492" s="3">
        <f>IFERROR(__xludf.DUMMYFUNCTION("""COMPUTED_VALUE"""),43262.99861111111)</f>
        <v>43262.99861</v>
      </c>
      <c r="B2492" s="1">
        <f>IFERROR(__xludf.DUMMYFUNCTION("""COMPUTED_VALUE"""),0.6111806042)</f>
        <v>0.6111806042</v>
      </c>
    </row>
    <row r="2493">
      <c r="A2493" s="3">
        <f>IFERROR(__xludf.DUMMYFUNCTION("""COMPUTED_VALUE"""),43263.99861111111)</f>
        <v>43263.99861</v>
      </c>
      <c r="B2493" s="1">
        <f>IFERROR(__xludf.DUMMYFUNCTION("""COMPUTED_VALUE"""),0.6112342773)</f>
        <v>0.6112342773</v>
      </c>
    </row>
    <row r="2494">
      <c r="A2494" s="3">
        <f>IFERROR(__xludf.DUMMYFUNCTION("""COMPUTED_VALUE"""),43264.99861111111)</f>
        <v>43264.99861</v>
      </c>
      <c r="B2494" s="1">
        <f>IFERROR(__xludf.DUMMYFUNCTION("""COMPUTED_VALUE"""),0.611261107)</f>
        <v>0.611261107</v>
      </c>
    </row>
    <row r="2495">
      <c r="A2495" s="3">
        <f>IFERROR(__xludf.DUMMYFUNCTION("""COMPUTED_VALUE"""),43265.99861111111)</f>
        <v>43265.99861</v>
      </c>
      <c r="B2495" s="1">
        <f>IFERROR(__xludf.DUMMYFUNCTION("""COMPUTED_VALUE"""),0.619957844)</f>
        <v>0.619957844</v>
      </c>
    </row>
    <row r="2496">
      <c r="A2496" s="3">
        <f>IFERROR(__xludf.DUMMYFUNCTION("""COMPUTED_VALUE"""),43266.99861111111)</f>
        <v>43266.99861</v>
      </c>
      <c r="B2496" s="1">
        <f>IFERROR(__xludf.DUMMYFUNCTION("""COMPUTED_VALUE"""),0.6176111627)</f>
        <v>0.6176111627</v>
      </c>
    </row>
    <row r="2497">
      <c r="A2497" s="3">
        <f>IFERROR(__xludf.DUMMYFUNCTION("""COMPUTED_VALUE"""),43269.99861111111)</f>
        <v>43269.99861</v>
      </c>
      <c r="B2497" s="1">
        <f>IFERROR(__xludf.DUMMYFUNCTION("""COMPUTED_VALUE"""),0.6106311051)</f>
        <v>0.6106311051</v>
      </c>
    </row>
    <row r="2498">
      <c r="A2498" s="3">
        <f>IFERROR(__xludf.DUMMYFUNCTION("""COMPUTED_VALUE"""),43270.99861111111)</f>
        <v>43270.99861</v>
      </c>
      <c r="B2498" s="1">
        <f>IFERROR(__xludf.DUMMYFUNCTION("""COMPUTED_VALUE"""),0.610162805)</f>
        <v>0.610162805</v>
      </c>
    </row>
    <row r="2499">
      <c r="A2499" s="3">
        <f>IFERROR(__xludf.DUMMYFUNCTION("""COMPUTED_VALUE"""),43271.99861111111)</f>
        <v>43271.99861</v>
      </c>
      <c r="B2499" s="1">
        <f>IFERROR(__xludf.DUMMYFUNCTION("""COMPUTED_VALUE"""),0.6097886662)</f>
        <v>0.6097886662</v>
      </c>
    </row>
    <row r="2500">
      <c r="A2500" s="3">
        <f>IFERROR(__xludf.DUMMYFUNCTION("""COMPUTED_VALUE"""),43272.99861111111)</f>
        <v>43272.99861</v>
      </c>
      <c r="B2500" s="1">
        <f>IFERROR(__xludf.DUMMYFUNCTION("""COMPUTED_VALUE"""),0.6167585942)</f>
        <v>0.6167585942</v>
      </c>
    </row>
    <row r="2501">
      <c r="A2501" s="3">
        <f>IFERROR(__xludf.DUMMYFUNCTION("""COMPUTED_VALUE"""),43273.99861111111)</f>
        <v>43273.99861</v>
      </c>
      <c r="B2501" s="1">
        <f>IFERROR(__xludf.DUMMYFUNCTION("""COMPUTED_VALUE"""),0.616803851)</f>
        <v>0.616803851</v>
      </c>
    </row>
    <row r="2502">
      <c r="A2502" s="3">
        <f>IFERROR(__xludf.DUMMYFUNCTION("""COMPUTED_VALUE"""),43276.99861111111)</f>
        <v>43276.99861</v>
      </c>
      <c r="B2502" s="1">
        <f>IFERROR(__xludf.DUMMYFUNCTION("""COMPUTED_VALUE"""),0.6187622989)</f>
        <v>0.6187622989</v>
      </c>
    </row>
    <row r="2503">
      <c r="A2503" s="3">
        <f>IFERROR(__xludf.DUMMYFUNCTION("""COMPUTED_VALUE"""),43277.99861111111)</f>
        <v>43277.99861</v>
      </c>
      <c r="B2503" s="1">
        <f>IFERROR(__xludf.DUMMYFUNCTION("""COMPUTED_VALUE"""),0.6199423189)</f>
        <v>0.6199423189</v>
      </c>
    </row>
    <row r="2504">
      <c r="A2504" s="3">
        <f>IFERROR(__xludf.DUMMYFUNCTION("""COMPUTED_VALUE"""),43278.99861111111)</f>
        <v>43278.99861</v>
      </c>
      <c r="B2504" s="1">
        <f>IFERROR(__xludf.DUMMYFUNCTION("""COMPUTED_VALUE"""),0.6215750045)</f>
        <v>0.6215750045</v>
      </c>
    </row>
    <row r="2505">
      <c r="A2505" s="3">
        <f>IFERROR(__xludf.DUMMYFUNCTION("""COMPUTED_VALUE"""),43279.99861111111)</f>
        <v>43279.99861</v>
      </c>
      <c r="B2505" s="1">
        <f>IFERROR(__xludf.DUMMYFUNCTION("""COMPUTED_VALUE"""),0.626473401)</f>
        <v>0.626473401</v>
      </c>
    </row>
    <row r="2506">
      <c r="A2506" s="3">
        <f>IFERROR(__xludf.DUMMYFUNCTION("""COMPUTED_VALUE"""),43280.99861111111)</f>
        <v>43280.99861</v>
      </c>
      <c r="B2506" s="1">
        <f>IFERROR(__xludf.DUMMYFUNCTION("""COMPUTED_VALUE"""),0.6226361459)</f>
        <v>0.6226361459</v>
      </c>
    </row>
    <row r="2507">
      <c r="A2507" s="3">
        <f>IFERROR(__xludf.DUMMYFUNCTION("""COMPUTED_VALUE"""),43283.99861111111)</f>
        <v>43283.99861</v>
      </c>
      <c r="B2507" s="1">
        <f>IFERROR(__xludf.DUMMYFUNCTION("""COMPUTED_VALUE"""),0.6259735122)</f>
        <v>0.6259735122</v>
      </c>
    </row>
    <row r="2508">
      <c r="A2508" s="3">
        <f>IFERROR(__xludf.DUMMYFUNCTION("""COMPUTED_VALUE"""),43284.99861111111)</f>
        <v>43284.99861</v>
      </c>
      <c r="B2508" s="1">
        <f>IFERROR(__xludf.DUMMYFUNCTION("""COMPUTED_VALUE"""),0.623745153)</f>
        <v>0.623745153</v>
      </c>
    </row>
    <row r="2509">
      <c r="A2509" s="3">
        <f>IFERROR(__xludf.DUMMYFUNCTION("""COMPUTED_VALUE"""),43285.99861111111)</f>
        <v>43285.99861</v>
      </c>
      <c r="B2509" s="1">
        <f>IFERROR(__xludf.DUMMYFUNCTION("""COMPUTED_VALUE"""),0.62597808)</f>
        <v>0.62597808</v>
      </c>
    </row>
    <row r="2510">
      <c r="A2510" s="3">
        <f>IFERROR(__xludf.DUMMYFUNCTION("""COMPUTED_VALUE"""),43286.99861111111)</f>
        <v>43286.99861</v>
      </c>
      <c r="B2510" s="1">
        <f>IFERROR(__xludf.DUMMYFUNCTION("""COMPUTED_VALUE"""),0.62498859)</f>
        <v>0.62498859</v>
      </c>
    </row>
    <row r="2511">
      <c r="A2511" s="3">
        <f>IFERROR(__xludf.DUMMYFUNCTION("""COMPUTED_VALUE"""),43287.99861111111)</f>
        <v>43287.99861</v>
      </c>
      <c r="B2511" s="1">
        <f>IFERROR(__xludf.DUMMYFUNCTION("""COMPUTED_VALUE"""),0.6233478136)</f>
        <v>0.6233478136</v>
      </c>
    </row>
    <row r="2512">
      <c r="A2512" s="3">
        <f>IFERROR(__xludf.DUMMYFUNCTION("""COMPUTED_VALUE"""),43288.99861111111)</f>
        <v>43288.99861</v>
      </c>
      <c r="B2512" s="1">
        <f>IFERROR(__xludf.DUMMYFUNCTION("""COMPUTED_VALUE"""),0.6343131669)</f>
        <v>0.6343131669</v>
      </c>
    </row>
    <row r="2513">
      <c r="A2513" s="3">
        <f>IFERROR(__xludf.DUMMYFUNCTION("""COMPUTED_VALUE"""),43290.99861111111)</f>
        <v>43290.99861</v>
      </c>
      <c r="B2513" s="1">
        <f>IFERROR(__xludf.DUMMYFUNCTION("""COMPUTED_VALUE"""),0.6220821542)</f>
        <v>0.6220821542</v>
      </c>
    </row>
    <row r="2514">
      <c r="A2514" s="3">
        <f>IFERROR(__xludf.DUMMYFUNCTION("""COMPUTED_VALUE"""),43291.99861111111)</f>
        <v>43291.99861</v>
      </c>
      <c r="B2514" s="1">
        <f>IFERROR(__xludf.DUMMYFUNCTION("""COMPUTED_VALUE"""),0.6248777281)</f>
        <v>0.6248777281</v>
      </c>
    </row>
    <row r="2515">
      <c r="A2515" s="3">
        <f>IFERROR(__xludf.DUMMYFUNCTION("""COMPUTED_VALUE"""),43292.99861111111)</f>
        <v>43292.99861</v>
      </c>
      <c r="B2515" s="1">
        <f>IFERROR(__xludf.DUMMYFUNCTION("""COMPUTED_VALUE"""),0.62488591)</f>
        <v>0.62488591</v>
      </c>
    </row>
    <row r="2516">
      <c r="A2516" s="3">
        <f>IFERROR(__xludf.DUMMYFUNCTION("""COMPUTED_VALUE"""),43293.99861111111)</f>
        <v>43293.99861</v>
      </c>
      <c r="B2516" s="1">
        <f>IFERROR(__xludf.DUMMYFUNCTION("""COMPUTED_VALUE"""),0.6250814745)</f>
        <v>0.6250814745</v>
      </c>
    </row>
    <row r="2517">
      <c r="A2517" s="3">
        <f>IFERROR(__xludf.DUMMYFUNCTION("""COMPUTED_VALUE"""),43294.99861111111)</f>
        <v>43294.99861</v>
      </c>
      <c r="B2517" s="1">
        <f>IFERROR(__xludf.DUMMYFUNCTION("""COMPUTED_VALUE"""),0.6246284153)</f>
        <v>0.6246284153</v>
      </c>
    </row>
    <row r="2518">
      <c r="A2518" s="3">
        <f>IFERROR(__xludf.DUMMYFUNCTION("""COMPUTED_VALUE"""),43297.99861111111)</f>
        <v>43297.99861</v>
      </c>
      <c r="B2518" s="1">
        <f>IFERROR(__xludf.DUMMYFUNCTION("""COMPUTED_VALUE"""),0.6242504034)</f>
        <v>0.6242504034</v>
      </c>
    </row>
    <row r="2519">
      <c r="A2519" s="3">
        <f>IFERROR(__xludf.DUMMYFUNCTION("""COMPUTED_VALUE"""),43298.99861111111)</f>
        <v>43298.99861</v>
      </c>
      <c r="B2519" s="1">
        <f>IFERROR(__xludf.DUMMYFUNCTION("""COMPUTED_VALUE"""),0.6249021995)</f>
        <v>0.6249021995</v>
      </c>
    </row>
    <row r="2520">
      <c r="A2520" s="3">
        <f>IFERROR(__xludf.DUMMYFUNCTION("""COMPUTED_VALUE"""),43299.99861111111)</f>
        <v>43299.99861</v>
      </c>
      <c r="B2520" s="1">
        <f>IFERROR(__xludf.DUMMYFUNCTION("""COMPUTED_VALUE"""),0.6274276291)</f>
        <v>0.6274276291</v>
      </c>
    </row>
    <row r="2521">
      <c r="A2521" s="3">
        <f>IFERROR(__xludf.DUMMYFUNCTION("""COMPUTED_VALUE"""),43300.99861111111)</f>
        <v>43300.99861</v>
      </c>
      <c r="B2521" s="1">
        <f>IFERROR(__xludf.DUMMYFUNCTION("""COMPUTED_VALUE"""),0.6285788692)</f>
        <v>0.6285788692</v>
      </c>
    </row>
    <row r="2522">
      <c r="A2522" s="3">
        <f>IFERROR(__xludf.DUMMYFUNCTION("""COMPUTED_VALUE"""),43301.99861111111)</f>
        <v>43301.99861</v>
      </c>
      <c r="B2522" s="1">
        <f>IFERROR(__xludf.DUMMYFUNCTION("""COMPUTED_VALUE"""),0.6294630418)</f>
        <v>0.6294630418</v>
      </c>
    </row>
    <row r="2523">
      <c r="A2523" s="3">
        <f>IFERROR(__xludf.DUMMYFUNCTION("""COMPUTED_VALUE"""),43302.99861111111)</f>
        <v>43302.99861</v>
      </c>
      <c r="B2523" s="1">
        <f>IFERROR(__xludf.DUMMYFUNCTION("""COMPUTED_VALUE"""),0.6427364192)</f>
        <v>0.6427364192</v>
      </c>
    </row>
    <row r="2524">
      <c r="A2524" s="3">
        <f>IFERROR(__xludf.DUMMYFUNCTION("""COMPUTED_VALUE"""),43303.99861111111)</f>
        <v>43303.99861</v>
      </c>
      <c r="B2524" s="1">
        <f>IFERROR(__xludf.DUMMYFUNCTION("""COMPUTED_VALUE"""),0.6416559828)</f>
        <v>0.6416559828</v>
      </c>
    </row>
    <row r="2525">
      <c r="A2525" s="3">
        <f>IFERROR(__xludf.DUMMYFUNCTION("""COMPUTED_VALUE"""),43304.99861111111)</f>
        <v>43304.99861</v>
      </c>
      <c r="B2525" s="1">
        <f>IFERROR(__xludf.DUMMYFUNCTION("""COMPUTED_VALUE"""),0.6328742721)</f>
        <v>0.6328742721</v>
      </c>
    </row>
    <row r="2526">
      <c r="A2526" s="3">
        <f>IFERROR(__xludf.DUMMYFUNCTION("""COMPUTED_VALUE"""),43305.99861111111)</f>
        <v>43305.99861</v>
      </c>
      <c r="B2526" s="1">
        <f>IFERROR(__xludf.DUMMYFUNCTION("""COMPUTED_VALUE"""),0.626434352)</f>
        <v>0.626434352</v>
      </c>
    </row>
    <row r="2527">
      <c r="A2527" s="3">
        <f>IFERROR(__xludf.DUMMYFUNCTION("""COMPUTED_VALUE"""),43306.99861111111)</f>
        <v>43306.99861</v>
      </c>
      <c r="B2527" s="1">
        <f>IFERROR(__xludf.DUMMYFUNCTION("""COMPUTED_VALUE"""),0.6239620374)</f>
        <v>0.6239620374</v>
      </c>
    </row>
    <row r="2528">
      <c r="A2528" s="3">
        <f>IFERROR(__xludf.DUMMYFUNCTION("""COMPUTED_VALUE"""),43307.99861111111)</f>
        <v>43307.99861</v>
      </c>
      <c r="B2528" s="1">
        <f>IFERROR(__xludf.DUMMYFUNCTION("""COMPUTED_VALUE"""),0.6275653343)</f>
        <v>0.6275653343</v>
      </c>
    </row>
    <row r="2529">
      <c r="A2529" s="3">
        <f>IFERROR(__xludf.DUMMYFUNCTION("""COMPUTED_VALUE"""),43308.99861111111)</f>
        <v>43308.99861</v>
      </c>
      <c r="B2529" s="1">
        <f>IFERROR(__xludf.DUMMYFUNCTION("""COMPUTED_VALUE"""),0.6196443504)</f>
        <v>0.6196443504</v>
      </c>
    </row>
    <row r="2530">
      <c r="A2530" s="3">
        <f>IFERROR(__xludf.DUMMYFUNCTION("""COMPUTED_VALUE"""),43311.99861111111)</f>
        <v>43311.99861</v>
      </c>
      <c r="B2530" s="1">
        <f>IFERROR(__xludf.DUMMYFUNCTION("""COMPUTED_VALUE"""),0.620217449)</f>
        <v>0.620217449</v>
      </c>
    </row>
    <row r="2531">
      <c r="A2531" s="3">
        <f>IFERROR(__xludf.DUMMYFUNCTION("""COMPUTED_VALUE"""),43312.99861111111)</f>
        <v>43312.99861</v>
      </c>
      <c r="B2531" s="1">
        <f>IFERROR(__xludf.DUMMYFUNCTION("""COMPUTED_VALUE"""),0.6198038417)</f>
        <v>0.6198038417</v>
      </c>
    </row>
    <row r="2532">
      <c r="A2532" s="3">
        <f>IFERROR(__xludf.DUMMYFUNCTION("""COMPUTED_VALUE"""),43313.99861111111)</f>
        <v>43313.99861</v>
      </c>
      <c r="B2532" s="1">
        <f>IFERROR(__xludf.DUMMYFUNCTION("""COMPUTED_VALUE"""),0.6230086134)</f>
        <v>0.6230086134</v>
      </c>
    </row>
    <row r="2533">
      <c r="A2533" s="3">
        <f>IFERROR(__xludf.DUMMYFUNCTION("""COMPUTED_VALUE"""),43314.99861111111)</f>
        <v>43314.99861</v>
      </c>
      <c r="B2533" s="1">
        <f>IFERROR(__xludf.DUMMYFUNCTION("""COMPUTED_VALUE"""),0.6246262894)</f>
        <v>0.6246262894</v>
      </c>
    </row>
    <row r="2534">
      <c r="A2534" s="3">
        <f>IFERROR(__xludf.DUMMYFUNCTION("""COMPUTED_VALUE"""),43315.99861111111)</f>
        <v>43315.99861</v>
      </c>
      <c r="B2534" s="1">
        <f>IFERROR(__xludf.DUMMYFUNCTION("""COMPUTED_VALUE"""),0.6219586563)</f>
        <v>0.6219586563</v>
      </c>
    </row>
    <row r="2535">
      <c r="A2535" s="3">
        <f>IFERROR(__xludf.DUMMYFUNCTION("""COMPUTED_VALUE"""),43318.99861111111)</f>
        <v>43318.99861</v>
      </c>
      <c r="B2535" s="1">
        <f>IFERROR(__xludf.DUMMYFUNCTION("""COMPUTED_VALUE"""),0.6249135155)</f>
        <v>0.6249135155</v>
      </c>
    </row>
    <row r="2536">
      <c r="A2536" s="3">
        <f>IFERROR(__xludf.DUMMYFUNCTION("""COMPUTED_VALUE"""),43319.99861111111)</f>
        <v>43319.99861</v>
      </c>
      <c r="B2536" s="1">
        <f>IFERROR(__xludf.DUMMYFUNCTION("""COMPUTED_VALUE"""),0.6198212021)</f>
        <v>0.6198212021</v>
      </c>
    </row>
    <row r="2537">
      <c r="A2537" s="3">
        <f>IFERROR(__xludf.DUMMYFUNCTION("""COMPUTED_VALUE"""),43320.99861111111)</f>
        <v>43320.99861</v>
      </c>
      <c r="B2537" s="1">
        <f>IFERROR(__xludf.DUMMYFUNCTION("""COMPUTED_VALUE"""),0.6192954435)</f>
        <v>0.6192954435</v>
      </c>
    </row>
    <row r="2538">
      <c r="A2538" s="3">
        <f>IFERROR(__xludf.DUMMYFUNCTION("""COMPUTED_VALUE"""),43321.99861111111)</f>
        <v>43321.99861</v>
      </c>
      <c r="B2538" s="1">
        <f>IFERROR(__xludf.DUMMYFUNCTION("""COMPUTED_VALUE"""),0.6226524598)</f>
        <v>0.6226524598</v>
      </c>
    </row>
    <row r="2539">
      <c r="A2539" s="3">
        <f>IFERROR(__xludf.DUMMYFUNCTION("""COMPUTED_VALUE"""),43322.99861111111)</f>
        <v>43322.99861</v>
      </c>
      <c r="B2539" s="1">
        <f>IFERROR(__xludf.DUMMYFUNCTION("""COMPUTED_VALUE"""),0.6229240142)</f>
        <v>0.6229240142</v>
      </c>
    </row>
    <row r="2540">
      <c r="A2540" s="3">
        <f>IFERROR(__xludf.DUMMYFUNCTION("""COMPUTED_VALUE"""),43325.99861111111)</f>
        <v>43325.99861</v>
      </c>
      <c r="B2540" s="1">
        <f>IFERROR(__xludf.DUMMYFUNCTION("""COMPUTED_VALUE"""),0.6268900276)</f>
        <v>0.6268900276</v>
      </c>
    </row>
    <row r="2541">
      <c r="A2541" s="3">
        <f>IFERROR(__xludf.DUMMYFUNCTION("""COMPUTED_VALUE"""),43326.99861111111)</f>
        <v>43326.99861</v>
      </c>
      <c r="B2541" s="1">
        <f>IFERROR(__xludf.DUMMYFUNCTION("""COMPUTED_VALUE"""),0.6289518832)</f>
        <v>0.6289518832</v>
      </c>
    </row>
    <row r="2542">
      <c r="A2542" s="3">
        <f>IFERROR(__xludf.DUMMYFUNCTION("""COMPUTED_VALUE"""),43327.99861111111)</f>
        <v>43327.99861</v>
      </c>
      <c r="B2542" s="1">
        <f>IFERROR(__xludf.DUMMYFUNCTION("""COMPUTED_VALUE"""),0.62531628)</f>
        <v>0.62531628</v>
      </c>
    </row>
    <row r="2543">
      <c r="A2543" s="3">
        <f>IFERROR(__xludf.DUMMYFUNCTION("""COMPUTED_VALUE"""),43328.99861111111)</f>
        <v>43328.99861</v>
      </c>
      <c r="B2543" s="1">
        <f>IFERROR(__xludf.DUMMYFUNCTION("""COMPUTED_VALUE"""),0.6271415055)</f>
        <v>0.6271415055</v>
      </c>
    </row>
    <row r="2544">
      <c r="A2544" s="3">
        <f>IFERROR(__xludf.DUMMYFUNCTION("""COMPUTED_VALUE"""),43329.99861111111)</f>
        <v>43329.99861</v>
      </c>
      <c r="B2544" s="1">
        <f>IFERROR(__xludf.DUMMYFUNCTION("""COMPUTED_VALUE"""),0.626768121)</f>
        <v>0.626768121</v>
      </c>
    </row>
    <row r="2545">
      <c r="A2545" s="3">
        <f>IFERROR(__xludf.DUMMYFUNCTION("""COMPUTED_VALUE"""),43332.99861111111)</f>
        <v>43332.99861</v>
      </c>
      <c r="B2545" s="1">
        <f>IFERROR(__xludf.DUMMYFUNCTION("""COMPUTED_VALUE"""),0.6266460072)</f>
        <v>0.6266460072</v>
      </c>
    </row>
    <row r="2546">
      <c r="A2546" s="3">
        <f>IFERROR(__xludf.DUMMYFUNCTION("""COMPUTED_VALUE"""),43333.99861111111)</f>
        <v>43333.99861</v>
      </c>
      <c r="B2546" s="1">
        <f>IFERROR(__xludf.DUMMYFUNCTION("""COMPUTED_VALUE"""),0.6270982054)</f>
        <v>0.6270982054</v>
      </c>
    </row>
    <row r="2547">
      <c r="A2547" s="3">
        <f>IFERROR(__xludf.DUMMYFUNCTION("""COMPUTED_VALUE"""),43334.99861111111)</f>
        <v>43334.99861</v>
      </c>
      <c r="B2547" s="1">
        <f>IFERROR(__xludf.DUMMYFUNCTION("""COMPUTED_VALUE"""),0.6270223621)</f>
        <v>0.6270223621</v>
      </c>
    </row>
    <row r="2548">
      <c r="A2548" s="3">
        <f>IFERROR(__xludf.DUMMYFUNCTION("""COMPUTED_VALUE"""),43335.99861111111)</f>
        <v>43335.99861</v>
      </c>
      <c r="B2548" s="1">
        <f>IFERROR(__xludf.DUMMYFUNCTION("""COMPUTED_VALUE"""),0.6307910671)</f>
        <v>0.6307910671</v>
      </c>
    </row>
    <row r="2549">
      <c r="A2549" s="3">
        <f>IFERROR(__xludf.DUMMYFUNCTION("""COMPUTED_VALUE"""),43336.99861111111)</f>
        <v>43336.99861</v>
      </c>
      <c r="B2549" s="1">
        <f>IFERROR(__xludf.DUMMYFUNCTION("""COMPUTED_VALUE"""),0.6371434515)</f>
        <v>0.6371434515</v>
      </c>
    </row>
    <row r="2550">
      <c r="A2550" s="3">
        <f>IFERROR(__xludf.DUMMYFUNCTION("""COMPUTED_VALUE"""),43339.99861111111)</f>
        <v>43339.99861</v>
      </c>
      <c r="B2550" s="1">
        <f>IFERROR(__xludf.DUMMYFUNCTION("""COMPUTED_VALUE"""),0.62560728)</f>
        <v>0.62560728</v>
      </c>
    </row>
    <row r="2551">
      <c r="A2551" s="3">
        <f>IFERROR(__xludf.DUMMYFUNCTION("""COMPUTED_VALUE"""),43340.99861111111)</f>
        <v>43340.99861</v>
      </c>
      <c r="B2551" s="1">
        <f>IFERROR(__xludf.DUMMYFUNCTION("""COMPUTED_VALUE"""),0.6299249823)</f>
        <v>0.6299249823</v>
      </c>
    </row>
    <row r="2552">
      <c r="A2552" s="3">
        <f>IFERROR(__xludf.DUMMYFUNCTION("""COMPUTED_VALUE"""),43341.99861111111)</f>
        <v>43341.99861</v>
      </c>
      <c r="B2552" s="1">
        <f>IFERROR(__xludf.DUMMYFUNCTION("""COMPUTED_VALUE"""),0.6282988015)</f>
        <v>0.6282988015</v>
      </c>
    </row>
    <row r="2553">
      <c r="A2553" s="3">
        <f>IFERROR(__xludf.DUMMYFUNCTION("""COMPUTED_VALUE"""),43342.99861111111)</f>
        <v>43342.99861</v>
      </c>
      <c r="B2553" s="1">
        <f>IFERROR(__xludf.DUMMYFUNCTION("""COMPUTED_VALUE"""),0.6339607927)</f>
        <v>0.6339607927</v>
      </c>
    </row>
    <row r="2554">
      <c r="A2554" s="3">
        <f>IFERROR(__xludf.DUMMYFUNCTION("""COMPUTED_VALUE"""),43343.99861111111)</f>
        <v>43343.99861</v>
      </c>
      <c r="B2554" s="1">
        <f>IFERROR(__xludf.DUMMYFUNCTION("""COMPUTED_VALUE"""),0.6325443429)</f>
        <v>0.6325443429</v>
      </c>
    </row>
    <row r="2555">
      <c r="A2555" s="3">
        <f>IFERROR(__xludf.DUMMYFUNCTION("""COMPUTED_VALUE"""),43346.99861111111)</f>
        <v>43346.99861</v>
      </c>
      <c r="B2555" s="1">
        <f>IFERROR(__xludf.DUMMYFUNCTION("""COMPUTED_VALUE"""),0.6373597992)</f>
        <v>0.6373597992</v>
      </c>
    </row>
    <row r="2556">
      <c r="A2556" s="3">
        <f>IFERROR(__xludf.DUMMYFUNCTION("""COMPUTED_VALUE"""),43347.99861111111)</f>
        <v>43347.99861</v>
      </c>
      <c r="B2556" s="1">
        <f>IFERROR(__xludf.DUMMYFUNCTION("""COMPUTED_VALUE"""),0.6410504103)</f>
        <v>0.6410504103</v>
      </c>
    </row>
    <row r="2557">
      <c r="A2557" s="3">
        <f>IFERROR(__xludf.DUMMYFUNCTION("""COMPUTED_VALUE"""),43348.99861111111)</f>
        <v>43348.99861</v>
      </c>
      <c r="B2557" s="1">
        <f>IFERROR(__xludf.DUMMYFUNCTION("""COMPUTED_VALUE"""),0.6434941258)</f>
        <v>0.6434941258</v>
      </c>
    </row>
    <row r="2558">
      <c r="A2558" s="3">
        <f>IFERROR(__xludf.DUMMYFUNCTION("""COMPUTED_VALUE"""),43349.99861111111)</f>
        <v>43349.99861</v>
      </c>
      <c r="B2558" s="1">
        <f>IFERROR(__xludf.DUMMYFUNCTION("""COMPUTED_VALUE"""),0.6397474163)</f>
        <v>0.6397474163</v>
      </c>
    </row>
    <row r="2559">
      <c r="A2559" s="3">
        <f>IFERROR(__xludf.DUMMYFUNCTION("""COMPUTED_VALUE"""),43350.99861111111)</f>
        <v>43350.99861</v>
      </c>
      <c r="B2559" s="1">
        <f>IFERROR(__xludf.DUMMYFUNCTION("""COMPUTED_VALUE"""),0.642916935)</f>
        <v>0.642916935</v>
      </c>
    </row>
    <row r="2560">
      <c r="A2560" s="3">
        <f>IFERROR(__xludf.DUMMYFUNCTION("""COMPUTED_VALUE"""),43353.99861111111)</f>
        <v>43353.99861</v>
      </c>
      <c r="B2560" s="1">
        <f>IFERROR(__xludf.DUMMYFUNCTION("""COMPUTED_VALUE"""),0.6379929033)</f>
        <v>0.6379929033</v>
      </c>
    </row>
    <row r="2561">
      <c r="A2561" s="3">
        <f>IFERROR(__xludf.DUMMYFUNCTION("""COMPUTED_VALUE"""),43354.99861111111)</f>
        <v>43354.99861</v>
      </c>
      <c r="B2561" s="1">
        <f>IFERROR(__xludf.DUMMYFUNCTION("""COMPUTED_VALUE"""),0.6381724861)</f>
        <v>0.6381724861</v>
      </c>
    </row>
    <row r="2562">
      <c r="A2562" s="3">
        <f>IFERROR(__xludf.DUMMYFUNCTION("""COMPUTED_VALUE"""),43355.99861111111)</f>
        <v>43355.99861</v>
      </c>
      <c r="B2562" s="1">
        <f>IFERROR(__xludf.DUMMYFUNCTION("""COMPUTED_VALUE"""),0.636986242)</f>
        <v>0.636986242</v>
      </c>
    </row>
    <row r="2563">
      <c r="A2563" s="3">
        <f>IFERROR(__xludf.DUMMYFUNCTION("""COMPUTED_VALUE"""),43356.99861111111)</f>
        <v>43356.99861</v>
      </c>
      <c r="B2563" s="1">
        <f>IFERROR(__xludf.DUMMYFUNCTION("""COMPUTED_VALUE"""),0.6341967101)</f>
        <v>0.6341967101</v>
      </c>
    </row>
    <row r="2564">
      <c r="A2564" s="3">
        <f>IFERROR(__xludf.DUMMYFUNCTION("""COMPUTED_VALUE"""),43357.99861111111)</f>
        <v>43357.99861</v>
      </c>
      <c r="B2564" s="1">
        <f>IFERROR(__xludf.DUMMYFUNCTION("""COMPUTED_VALUE"""),0.6376031171)</f>
        <v>0.6376031171</v>
      </c>
    </row>
    <row r="2565">
      <c r="A2565" s="3">
        <f>IFERROR(__xludf.DUMMYFUNCTION("""COMPUTED_VALUE"""),43360.99861111111)</f>
        <v>43360.99861</v>
      </c>
      <c r="B2565" s="1">
        <f>IFERROR(__xludf.DUMMYFUNCTION("""COMPUTED_VALUE"""),0.6409863828)</f>
        <v>0.6409863828</v>
      </c>
    </row>
    <row r="2566">
      <c r="A2566" s="3">
        <f>IFERROR(__xludf.DUMMYFUNCTION("""COMPUTED_VALUE"""),43361.99861111111)</f>
        <v>43361.99861</v>
      </c>
      <c r="B2566" s="1">
        <f>IFERROR(__xludf.DUMMYFUNCTION("""COMPUTED_VALUE"""),0.6395371286)</f>
        <v>0.6395371286</v>
      </c>
    </row>
    <row r="2567">
      <c r="A2567" s="3">
        <f>IFERROR(__xludf.DUMMYFUNCTION("""COMPUTED_VALUE"""),43362.99861111111)</f>
        <v>43362.99861</v>
      </c>
      <c r="B2567" s="1">
        <f>IFERROR(__xludf.DUMMYFUNCTION("""COMPUTED_VALUE"""),0.6393812347)</f>
        <v>0.6393812347</v>
      </c>
    </row>
    <row r="2568">
      <c r="A2568" s="3">
        <f>IFERROR(__xludf.DUMMYFUNCTION("""COMPUTED_VALUE"""),43363.99861111111)</f>
        <v>43363.99861</v>
      </c>
      <c r="B2568" s="1">
        <f>IFERROR(__xludf.DUMMYFUNCTION("""COMPUTED_VALUE"""),0.6369082093)</f>
        <v>0.6369082093</v>
      </c>
    </row>
    <row r="2569">
      <c r="A2569" s="3">
        <f>IFERROR(__xludf.DUMMYFUNCTION("""COMPUTED_VALUE"""),43364.99861111111)</f>
        <v>43364.99861</v>
      </c>
      <c r="B2569" s="1">
        <f>IFERROR(__xludf.DUMMYFUNCTION("""COMPUTED_VALUE"""),0.6375946933)</f>
        <v>0.6375946933</v>
      </c>
    </row>
    <row r="2570">
      <c r="A2570" s="3">
        <f>IFERROR(__xludf.DUMMYFUNCTION("""COMPUTED_VALUE"""),43365.99861111111)</f>
        <v>43365.99861</v>
      </c>
      <c r="B2570" s="1">
        <f>IFERROR(__xludf.DUMMYFUNCTION("""COMPUTED_VALUE"""),0.6445913414)</f>
        <v>0.6445913414</v>
      </c>
    </row>
    <row r="2571">
      <c r="A2571" s="3">
        <f>IFERROR(__xludf.DUMMYFUNCTION("""COMPUTED_VALUE"""),43367.99861111111)</f>
        <v>43367.99861</v>
      </c>
      <c r="B2571" s="1">
        <f>IFERROR(__xludf.DUMMYFUNCTION("""COMPUTED_VALUE"""),0.6454372899)</f>
        <v>0.6454372899</v>
      </c>
    </row>
    <row r="2572">
      <c r="A2572" s="3">
        <f>IFERROR(__xludf.DUMMYFUNCTION("""COMPUTED_VALUE"""),43368.99861111111)</f>
        <v>43368.99861</v>
      </c>
      <c r="B2572" s="1">
        <f>IFERROR(__xludf.DUMMYFUNCTION("""COMPUTED_VALUE"""),0.6444091611)</f>
        <v>0.6444091611</v>
      </c>
    </row>
    <row r="2573">
      <c r="A2573" s="3">
        <f>IFERROR(__xludf.DUMMYFUNCTION("""COMPUTED_VALUE"""),43369.99861111111)</f>
        <v>43369.99861</v>
      </c>
      <c r="B2573" s="1">
        <f>IFERROR(__xludf.DUMMYFUNCTION("""COMPUTED_VALUE"""),0.6427606259)</f>
        <v>0.6427606259</v>
      </c>
    </row>
    <row r="2574">
      <c r="A2574" s="3">
        <f>IFERROR(__xludf.DUMMYFUNCTION("""COMPUTED_VALUE"""),43370.99861111111)</f>
        <v>43370.99861</v>
      </c>
      <c r="B2574" s="1">
        <f>IFERROR(__xludf.DUMMYFUNCTION("""COMPUTED_VALUE"""),0.6399485201)</f>
        <v>0.6399485201</v>
      </c>
    </row>
    <row r="2575">
      <c r="A2575" s="3">
        <f>IFERROR(__xludf.DUMMYFUNCTION("""COMPUTED_VALUE"""),43371.99861111111)</f>
        <v>43371.99861</v>
      </c>
      <c r="B2575" s="1">
        <f>IFERROR(__xludf.DUMMYFUNCTION("""COMPUTED_VALUE"""),0.6392615598)</f>
        <v>0.6392615598</v>
      </c>
    </row>
    <row r="2576">
      <c r="A2576" s="3">
        <f>IFERROR(__xludf.DUMMYFUNCTION("""COMPUTED_VALUE"""),43374.99861111111)</f>
        <v>43374.99861</v>
      </c>
      <c r="B2576" s="1">
        <f>IFERROR(__xludf.DUMMYFUNCTION("""COMPUTED_VALUE"""),0.6461753064)</f>
        <v>0.6461753064</v>
      </c>
    </row>
    <row r="2577">
      <c r="A2577" s="3">
        <f>IFERROR(__xludf.DUMMYFUNCTION("""COMPUTED_VALUE"""),43375.99861111111)</f>
        <v>43375.99861</v>
      </c>
      <c r="B2577" s="1">
        <f>IFERROR(__xludf.DUMMYFUNCTION("""COMPUTED_VALUE"""),0.6456155364)</f>
        <v>0.6456155364</v>
      </c>
    </row>
    <row r="2578">
      <c r="A2578" s="3">
        <f>IFERROR(__xludf.DUMMYFUNCTION("""COMPUTED_VALUE"""),43376.99861111111)</f>
        <v>43376.99861</v>
      </c>
      <c r="B2578" s="1">
        <f>IFERROR(__xludf.DUMMYFUNCTION("""COMPUTED_VALUE"""),0.6495419864)</f>
        <v>0.6495419864</v>
      </c>
    </row>
    <row r="2579">
      <c r="A2579" s="3">
        <f>IFERROR(__xludf.DUMMYFUNCTION("""COMPUTED_VALUE"""),43377.99861111111)</f>
        <v>43377.99861</v>
      </c>
      <c r="B2579" s="1">
        <f>IFERROR(__xludf.DUMMYFUNCTION("""COMPUTED_VALUE"""),0.6609999286)</f>
        <v>0.6609999286</v>
      </c>
    </row>
    <row r="2580">
      <c r="A2580" s="3">
        <f>IFERROR(__xludf.DUMMYFUNCTION("""COMPUTED_VALUE"""),43378.99861111111)</f>
        <v>43378.99861</v>
      </c>
      <c r="B2580" s="1">
        <f>IFERROR(__xludf.DUMMYFUNCTION("""COMPUTED_VALUE"""),0.6484879569)</f>
        <v>0.6484879569</v>
      </c>
    </row>
    <row r="2581">
      <c r="A2581" s="3">
        <f>IFERROR(__xludf.DUMMYFUNCTION("""COMPUTED_VALUE"""),43379.99861111111)</f>
        <v>43379.99861</v>
      </c>
      <c r="B2581" s="1">
        <f>IFERROR(__xludf.DUMMYFUNCTION("""COMPUTED_VALUE"""),0.6633476429)</f>
        <v>0.6633476429</v>
      </c>
    </row>
    <row r="2582">
      <c r="A2582" s="3">
        <f>IFERROR(__xludf.DUMMYFUNCTION("""COMPUTED_VALUE"""),43380.99861111111)</f>
        <v>43380.99861</v>
      </c>
      <c r="B2582" s="1">
        <f>IFERROR(__xludf.DUMMYFUNCTION("""COMPUTED_VALUE"""),0.6622756407)</f>
        <v>0.6622756407</v>
      </c>
    </row>
    <row r="2583">
      <c r="A2583" s="3">
        <f>IFERROR(__xludf.DUMMYFUNCTION("""COMPUTED_VALUE"""),43381.99861111111)</f>
        <v>43381.99861</v>
      </c>
      <c r="B2583" s="1">
        <f>IFERROR(__xludf.DUMMYFUNCTION("""COMPUTED_VALUE"""),0.6604481576)</f>
        <v>0.6604481576</v>
      </c>
    </row>
    <row r="2584">
      <c r="A2584" s="3">
        <f>IFERROR(__xludf.DUMMYFUNCTION("""COMPUTED_VALUE"""),43382.99861111111)</f>
        <v>43382.99861</v>
      </c>
      <c r="B2584" s="1">
        <f>IFERROR(__xludf.DUMMYFUNCTION("""COMPUTED_VALUE"""),0.652745312)</f>
        <v>0.652745312</v>
      </c>
    </row>
    <row r="2585">
      <c r="A2585" s="3">
        <f>IFERROR(__xludf.DUMMYFUNCTION("""COMPUTED_VALUE"""),43383.99861111111)</f>
        <v>43383.99861</v>
      </c>
      <c r="B2585" s="1">
        <f>IFERROR(__xludf.DUMMYFUNCTION("""COMPUTED_VALUE"""),0.6517412895)</f>
        <v>0.6517412895</v>
      </c>
    </row>
    <row r="2586">
      <c r="A2586" s="3">
        <f>IFERROR(__xludf.DUMMYFUNCTION("""COMPUTED_VALUE"""),43384.99861111111)</f>
        <v>43384.99861</v>
      </c>
      <c r="B2586" s="1">
        <f>IFERROR(__xludf.DUMMYFUNCTION("""COMPUTED_VALUE"""),0.656308172)</f>
        <v>0.656308172</v>
      </c>
    </row>
    <row r="2587">
      <c r="A2587" s="3">
        <f>IFERROR(__xludf.DUMMYFUNCTION("""COMPUTED_VALUE"""),43385.99861111111)</f>
        <v>43385.99861</v>
      </c>
      <c r="B2587" s="1">
        <f>IFERROR(__xludf.DUMMYFUNCTION("""COMPUTED_VALUE"""),0.6513588188)</f>
        <v>0.6513588188</v>
      </c>
    </row>
    <row r="2588">
      <c r="A2588" s="3">
        <f>IFERROR(__xludf.DUMMYFUNCTION("""COMPUTED_VALUE"""),43388.99861111111)</f>
        <v>43388.99861</v>
      </c>
      <c r="B2588" s="1">
        <f>IFERROR(__xludf.DUMMYFUNCTION("""COMPUTED_VALUE"""),0.652164389)</f>
        <v>0.652164389</v>
      </c>
    </row>
    <row r="2589">
      <c r="A2589" s="3">
        <f>IFERROR(__xludf.DUMMYFUNCTION("""COMPUTED_VALUE"""),43389.99861111111)</f>
        <v>43389.99861</v>
      </c>
      <c r="B2589" s="1">
        <f>IFERROR(__xludf.DUMMYFUNCTION("""COMPUTED_VALUE"""),0.6519481599)</f>
        <v>0.6519481599</v>
      </c>
    </row>
    <row r="2590">
      <c r="A2590" s="3">
        <f>IFERROR(__xludf.DUMMYFUNCTION("""COMPUTED_VALUE"""),43390.99861111111)</f>
        <v>43390.99861</v>
      </c>
      <c r="B2590" s="1">
        <f>IFERROR(__xludf.DUMMYFUNCTION("""COMPUTED_VALUE"""),0.6548391111)</f>
        <v>0.6548391111</v>
      </c>
    </row>
    <row r="2591">
      <c r="A2591" s="3">
        <f>IFERROR(__xludf.DUMMYFUNCTION("""COMPUTED_VALUE"""),43391.99861111111)</f>
        <v>43391.99861</v>
      </c>
      <c r="B2591" s="1">
        <f>IFERROR(__xludf.DUMMYFUNCTION("""COMPUTED_VALUE"""),0.6575227826)</f>
        <v>0.6575227826</v>
      </c>
    </row>
    <row r="2592">
      <c r="A2592" s="3">
        <f>IFERROR(__xludf.DUMMYFUNCTION("""COMPUTED_VALUE"""),43392.99861111111)</f>
        <v>43392.99861</v>
      </c>
      <c r="B2592" s="1">
        <f>IFERROR(__xludf.DUMMYFUNCTION("""COMPUTED_VALUE"""),0.6508077391)</f>
        <v>0.6508077391</v>
      </c>
    </row>
    <row r="2593">
      <c r="A2593" s="3">
        <f>IFERROR(__xludf.DUMMYFUNCTION("""COMPUTED_VALUE"""),43395.99861111111)</f>
        <v>43395.99861</v>
      </c>
      <c r="B2593" s="1">
        <f>IFERROR(__xludf.DUMMYFUNCTION("""COMPUTED_VALUE"""),0.6547579664)</f>
        <v>0.6547579664</v>
      </c>
    </row>
    <row r="2594">
      <c r="A2594" s="3">
        <f>IFERROR(__xludf.DUMMYFUNCTION("""COMPUTED_VALUE"""),43396.99861111111)</f>
        <v>43396.99861</v>
      </c>
      <c r="B2594" s="1">
        <f>IFERROR(__xludf.DUMMYFUNCTION("""COMPUTED_VALUE"""),0.6512535591)</f>
        <v>0.6512535591</v>
      </c>
    </row>
    <row r="2595">
      <c r="A2595" s="3">
        <f>IFERROR(__xludf.DUMMYFUNCTION("""COMPUTED_VALUE"""),43397.99861111111)</f>
        <v>43397.99861</v>
      </c>
      <c r="B2595" s="1">
        <f>IFERROR(__xludf.DUMMYFUNCTION("""COMPUTED_VALUE"""),0.6547363707)</f>
        <v>0.6547363707</v>
      </c>
    </row>
    <row r="2596">
      <c r="A2596" s="3">
        <f>IFERROR(__xludf.DUMMYFUNCTION("""COMPUTED_VALUE"""),43398.99861111111)</f>
        <v>43398.99861</v>
      </c>
      <c r="B2596" s="1">
        <f>IFERROR(__xludf.DUMMYFUNCTION("""COMPUTED_VALUE"""),0.6542581375)</f>
        <v>0.6542581375</v>
      </c>
    </row>
    <row r="2597">
      <c r="A2597" s="3">
        <f>IFERROR(__xludf.DUMMYFUNCTION("""COMPUTED_VALUE"""),43399.99861111111)</f>
        <v>43399.99861</v>
      </c>
      <c r="B2597" s="1">
        <f>IFERROR(__xludf.DUMMYFUNCTION("""COMPUTED_VALUE"""),0.6513699962)</f>
        <v>0.6513699962</v>
      </c>
    </row>
    <row r="2598">
      <c r="A2598" s="3">
        <f>IFERROR(__xludf.DUMMYFUNCTION("""COMPUTED_VALUE"""),43401.99861111111)</f>
        <v>43401.99861</v>
      </c>
      <c r="B2598" s="1">
        <f>IFERROR(__xludf.DUMMYFUNCTION("""COMPUTED_VALUE"""),0.6642327463)</f>
        <v>0.6642327463</v>
      </c>
    </row>
    <row r="2599">
      <c r="A2599" s="3">
        <f>IFERROR(__xludf.DUMMYFUNCTION("""COMPUTED_VALUE"""),43402.99861111111)</f>
        <v>43402.99861</v>
      </c>
      <c r="B2599" s="1">
        <f>IFERROR(__xludf.DUMMYFUNCTION("""COMPUTED_VALUE"""),0.6562621885)</f>
        <v>0.6562621885</v>
      </c>
    </row>
    <row r="2600">
      <c r="A2600" s="3">
        <f>IFERROR(__xludf.DUMMYFUNCTION("""COMPUTED_VALUE"""),43403.99861111111)</f>
        <v>43403.99861</v>
      </c>
      <c r="B2600" s="1">
        <f>IFERROR(__xludf.DUMMYFUNCTION("""COMPUTED_VALUE"""),0.6552166314)</f>
        <v>0.6552166314</v>
      </c>
    </row>
    <row r="2601">
      <c r="A2601" s="3">
        <f>IFERROR(__xludf.DUMMYFUNCTION("""COMPUTED_VALUE"""),43404.99861111111)</f>
        <v>43404.99861</v>
      </c>
      <c r="B2601" s="1">
        <f>IFERROR(__xludf.DUMMYFUNCTION("""COMPUTED_VALUE"""),0.6518782815)</f>
        <v>0.6518782815</v>
      </c>
    </row>
    <row r="2602">
      <c r="A2602" s="3">
        <f>IFERROR(__xludf.DUMMYFUNCTION("""COMPUTED_VALUE"""),43405.99861111111)</f>
        <v>43405.99861</v>
      </c>
      <c r="B2602" s="1">
        <f>IFERROR(__xludf.DUMMYFUNCTION("""COMPUTED_VALUE"""),0.6464922402)</f>
        <v>0.6464922402</v>
      </c>
    </row>
    <row r="2603">
      <c r="A2603" s="3">
        <f>IFERROR(__xludf.DUMMYFUNCTION("""COMPUTED_VALUE"""),43406.99861111111)</f>
        <v>43406.99861</v>
      </c>
      <c r="B2603" s="1">
        <f>IFERROR(__xludf.DUMMYFUNCTION("""COMPUTED_VALUE"""),0.6412665595)</f>
        <v>0.6412665595</v>
      </c>
    </row>
    <row r="2604">
      <c r="A2604" s="3">
        <f>IFERROR(__xludf.DUMMYFUNCTION("""COMPUTED_VALUE"""),43409.99861111111)</f>
        <v>43409.99861</v>
      </c>
      <c r="B2604" s="1">
        <f>IFERROR(__xludf.DUMMYFUNCTION("""COMPUTED_VALUE"""),0.6404120032)</f>
        <v>0.6404120032</v>
      </c>
    </row>
    <row r="2605">
      <c r="A2605" s="3">
        <f>IFERROR(__xludf.DUMMYFUNCTION("""COMPUTED_VALUE"""),43410.99861111111)</f>
        <v>43410.99861</v>
      </c>
      <c r="B2605" s="1">
        <f>IFERROR(__xludf.DUMMYFUNCTION("""COMPUTED_VALUE"""),0.6367266283)</f>
        <v>0.6367266283</v>
      </c>
    </row>
    <row r="2606">
      <c r="A2606" s="3">
        <f>IFERROR(__xludf.DUMMYFUNCTION("""COMPUTED_VALUE"""),43411.99861111111)</f>
        <v>43411.99861</v>
      </c>
      <c r="B2606" s="1">
        <f>IFERROR(__xludf.DUMMYFUNCTION("""COMPUTED_VALUE"""),0.6266967031)</f>
        <v>0.6266967031</v>
      </c>
    </row>
    <row r="2607">
      <c r="A2607" s="3">
        <f>IFERROR(__xludf.DUMMYFUNCTION("""COMPUTED_VALUE"""),43412.99861111111)</f>
        <v>43412.99861</v>
      </c>
      <c r="B2607" s="1">
        <f>IFERROR(__xludf.DUMMYFUNCTION("""COMPUTED_VALUE"""),0.632052615)</f>
        <v>0.632052615</v>
      </c>
    </row>
    <row r="2608">
      <c r="A2608" s="3">
        <f>IFERROR(__xludf.DUMMYFUNCTION("""COMPUTED_VALUE"""),43413.99861111111)</f>
        <v>43413.99861</v>
      </c>
      <c r="B2608" s="1">
        <f>IFERROR(__xludf.DUMMYFUNCTION("""COMPUTED_VALUE"""),0.6310404069)</f>
        <v>0.6310404069</v>
      </c>
    </row>
    <row r="2609">
      <c r="A2609" s="3">
        <f>IFERROR(__xludf.DUMMYFUNCTION("""COMPUTED_VALUE"""),43416.99861111111)</f>
        <v>43416.99861</v>
      </c>
      <c r="B2609" s="1">
        <f>IFERROR(__xludf.DUMMYFUNCTION("""COMPUTED_VALUE"""),0.6364241916)</f>
        <v>0.6364241916</v>
      </c>
    </row>
    <row r="2610">
      <c r="A2610" s="3">
        <f>IFERROR(__xludf.DUMMYFUNCTION("""COMPUTED_VALUE"""),43417.99861111111)</f>
        <v>43417.99861</v>
      </c>
      <c r="B2610" s="1">
        <f>IFERROR(__xludf.DUMMYFUNCTION("""COMPUTED_VALUE"""),0.6354939794)</f>
        <v>0.6354939794</v>
      </c>
    </row>
    <row r="2611">
      <c r="A2611" s="3">
        <f>IFERROR(__xludf.DUMMYFUNCTION("""COMPUTED_VALUE"""),43418.99861111111)</f>
        <v>43418.99861</v>
      </c>
      <c r="B2611" s="1">
        <f>IFERROR(__xludf.DUMMYFUNCTION("""COMPUTED_VALUE"""),0.6363483933)</f>
        <v>0.6363483933</v>
      </c>
    </row>
    <row r="2612">
      <c r="A2612" s="3">
        <f>IFERROR(__xludf.DUMMYFUNCTION("""COMPUTED_VALUE"""),43419.99861111111)</f>
        <v>43419.99861</v>
      </c>
      <c r="B2612" s="1">
        <f>IFERROR(__xludf.DUMMYFUNCTION("""COMPUTED_VALUE"""),0.62568531)</f>
        <v>0.62568531</v>
      </c>
    </row>
    <row r="2613">
      <c r="A2613" s="3">
        <f>IFERROR(__xludf.DUMMYFUNCTION("""COMPUTED_VALUE"""),43420.99861111111)</f>
        <v>43420.99861</v>
      </c>
      <c r="B2613" s="1">
        <f>IFERROR(__xludf.DUMMYFUNCTION("""COMPUTED_VALUE"""),0.6275781936)</f>
        <v>0.6275781936</v>
      </c>
    </row>
    <row r="2614">
      <c r="A2614" s="3">
        <f>IFERROR(__xludf.DUMMYFUNCTION("""COMPUTED_VALUE"""),43421.99861111111)</f>
        <v>43421.99861</v>
      </c>
      <c r="B2614" s="1">
        <f>IFERROR(__xludf.DUMMYFUNCTION("""COMPUTED_VALUE"""),0.6413775234)</f>
        <v>0.6413775234</v>
      </c>
    </row>
    <row r="2615">
      <c r="A2615" s="3">
        <f>IFERROR(__xludf.DUMMYFUNCTION("""COMPUTED_VALUE"""),43423.99861111111)</f>
        <v>43423.99861</v>
      </c>
      <c r="B2615" s="1">
        <f>IFERROR(__xludf.DUMMYFUNCTION("""COMPUTED_VALUE"""),0.629506147)</f>
        <v>0.629506147</v>
      </c>
    </row>
    <row r="2616">
      <c r="A2616" s="3">
        <f>IFERROR(__xludf.DUMMYFUNCTION("""COMPUTED_VALUE"""),43424.99861111111)</f>
        <v>43424.99861</v>
      </c>
      <c r="B2616" s="1">
        <f>IFERROR(__xludf.DUMMYFUNCTION("""COMPUTED_VALUE"""),0.6293150763)</f>
        <v>0.6293150763</v>
      </c>
    </row>
    <row r="2617">
      <c r="A2617" s="3">
        <f>IFERROR(__xludf.DUMMYFUNCTION("""COMPUTED_VALUE"""),43425.99861111111)</f>
        <v>43425.99861</v>
      </c>
      <c r="B2617" s="1">
        <f>IFERROR(__xludf.DUMMYFUNCTION("""COMPUTED_VALUE"""),0.6274122901)</f>
        <v>0.6274122901</v>
      </c>
    </row>
    <row r="2618">
      <c r="A2618" s="3">
        <f>IFERROR(__xludf.DUMMYFUNCTION("""COMPUTED_VALUE"""),43426.99861111111)</f>
        <v>43426.99861</v>
      </c>
      <c r="B2618" s="1">
        <f>IFERROR(__xludf.DUMMYFUNCTION("""COMPUTED_VALUE"""),0.6261257304)</f>
        <v>0.6261257304</v>
      </c>
    </row>
    <row r="2619">
      <c r="A2619" s="3">
        <f>IFERROR(__xludf.DUMMYFUNCTION("""COMPUTED_VALUE"""),43427.99861111111)</f>
        <v>43427.99861</v>
      </c>
      <c r="B2619" s="1">
        <f>IFERROR(__xludf.DUMMYFUNCTION("""COMPUTED_VALUE"""),0.6229985948)</f>
        <v>0.6229985948</v>
      </c>
    </row>
    <row r="2620">
      <c r="A2620" s="3">
        <f>IFERROR(__xludf.DUMMYFUNCTION("""COMPUTED_VALUE"""),43428.99861111111)</f>
        <v>43428.99861</v>
      </c>
      <c r="B2620" s="1">
        <f>IFERROR(__xludf.DUMMYFUNCTION("""COMPUTED_VALUE"""),0.631887276)</f>
        <v>0.631887276</v>
      </c>
    </row>
    <row r="2621">
      <c r="A2621" s="3">
        <f>IFERROR(__xludf.DUMMYFUNCTION("""COMPUTED_VALUE"""),43430.99861111111)</f>
        <v>43430.99861</v>
      </c>
      <c r="B2621" s="1">
        <f>IFERROR(__xludf.DUMMYFUNCTION("""COMPUTED_VALUE"""),0.6233115816)</f>
        <v>0.6233115816</v>
      </c>
    </row>
    <row r="2622">
      <c r="A2622" s="3">
        <f>IFERROR(__xludf.DUMMYFUNCTION("""COMPUTED_VALUE"""),43431.99861111111)</f>
        <v>43431.99861</v>
      </c>
      <c r="B2622" s="1">
        <f>IFERROR(__xludf.DUMMYFUNCTION("""COMPUTED_VALUE"""),0.6252225148)</f>
        <v>0.6252225148</v>
      </c>
    </row>
    <row r="2623">
      <c r="A2623" s="3">
        <f>IFERROR(__xludf.DUMMYFUNCTION("""COMPUTED_VALUE"""),43432.99861111111)</f>
        <v>43432.99861</v>
      </c>
      <c r="B2623" s="1">
        <f>IFERROR(__xludf.DUMMYFUNCTION("""COMPUTED_VALUE"""),0.6205656406)</f>
        <v>0.6205656406</v>
      </c>
    </row>
    <row r="2624">
      <c r="A2624" s="3">
        <f>IFERROR(__xludf.DUMMYFUNCTION("""COMPUTED_VALUE"""),43433.99861111111)</f>
        <v>43433.99861</v>
      </c>
      <c r="B2624" s="1">
        <f>IFERROR(__xludf.DUMMYFUNCTION("""COMPUTED_VALUE"""),0.6163357255)</f>
        <v>0.6163357255</v>
      </c>
    </row>
    <row r="2625">
      <c r="A2625" s="3">
        <f>IFERROR(__xludf.DUMMYFUNCTION("""COMPUTED_VALUE"""),43434.99861111111)</f>
        <v>43434.99861</v>
      </c>
      <c r="B2625" s="1">
        <f>IFERROR(__xludf.DUMMYFUNCTION("""COMPUTED_VALUE"""),0.6148670644)</f>
        <v>0.6148670644</v>
      </c>
    </row>
    <row r="2626">
      <c r="A2626" s="3">
        <f>IFERROR(__xludf.DUMMYFUNCTION("""COMPUTED_VALUE"""),43435.99861111111)</f>
        <v>43435.99861</v>
      </c>
      <c r="B2626" s="1">
        <f>IFERROR(__xludf.DUMMYFUNCTION("""COMPUTED_VALUE"""),0.6237262053)</f>
        <v>0.6237262053</v>
      </c>
    </row>
    <row r="2627">
      <c r="A2627" s="3">
        <f>IFERROR(__xludf.DUMMYFUNCTION("""COMPUTED_VALUE"""),43437.99861111111)</f>
        <v>43437.99861</v>
      </c>
      <c r="B2627" s="1">
        <f>IFERROR(__xludf.DUMMYFUNCTION("""COMPUTED_VALUE"""),0.6162673206)</f>
        <v>0.6162673206</v>
      </c>
    </row>
    <row r="2628">
      <c r="A2628" s="3">
        <f>IFERROR(__xludf.DUMMYFUNCTION("""COMPUTED_VALUE"""),43438.99861111111)</f>
        <v>43438.99861</v>
      </c>
      <c r="B2628" s="1">
        <f>IFERROR(__xludf.DUMMYFUNCTION("""COMPUTED_VALUE"""),0.6212447492)</f>
        <v>0.6212447492</v>
      </c>
    </row>
    <row r="2629">
      <c r="A2629" s="3">
        <f>IFERROR(__xludf.DUMMYFUNCTION("""COMPUTED_VALUE"""),43439.99861111111)</f>
        <v>43439.99861</v>
      </c>
      <c r="B2629" s="1">
        <f>IFERROR(__xludf.DUMMYFUNCTION("""COMPUTED_VALUE"""),0.6201804756)</f>
        <v>0.6201804756</v>
      </c>
    </row>
    <row r="2630">
      <c r="A2630" s="3">
        <f>IFERROR(__xludf.DUMMYFUNCTION("""COMPUTED_VALUE"""),43440.99861111111)</f>
        <v>43440.99861</v>
      </c>
      <c r="B2630" s="1">
        <f>IFERROR(__xludf.DUMMYFUNCTION("""COMPUTED_VALUE"""),0.6235862156)</f>
        <v>0.6235862156</v>
      </c>
    </row>
    <row r="2631">
      <c r="A2631" s="3">
        <f>IFERROR(__xludf.DUMMYFUNCTION("""COMPUTED_VALUE"""),43441.99861111111)</f>
        <v>43441.99861</v>
      </c>
      <c r="B2631" s="1">
        <f>IFERROR(__xludf.DUMMYFUNCTION("""COMPUTED_VALUE"""),0.624667585)</f>
        <v>0.624667585</v>
      </c>
    </row>
    <row r="2632">
      <c r="A2632" s="3">
        <f>IFERROR(__xludf.DUMMYFUNCTION("""COMPUTED_VALUE"""),43442.99861111111)</f>
        <v>43442.99861</v>
      </c>
      <c r="B2632" s="1">
        <f>IFERROR(__xludf.DUMMYFUNCTION("""COMPUTED_VALUE"""),0.6240017455)</f>
        <v>0.6240017455</v>
      </c>
    </row>
    <row r="2633">
      <c r="A2633" s="3">
        <f>IFERROR(__xludf.DUMMYFUNCTION("""COMPUTED_VALUE"""),43443.99861111111)</f>
        <v>43443.99861</v>
      </c>
      <c r="B2633" s="1">
        <f>IFERROR(__xludf.DUMMYFUNCTION("""COMPUTED_VALUE"""),0.62197848)</f>
        <v>0.62197848</v>
      </c>
    </row>
    <row r="2634">
      <c r="A2634" s="3">
        <f>IFERROR(__xludf.DUMMYFUNCTION("""COMPUTED_VALUE"""),43444.99861111111)</f>
        <v>43444.99861</v>
      </c>
      <c r="B2634" s="1">
        <f>IFERROR(__xludf.DUMMYFUNCTION("""COMPUTED_VALUE"""),0.6251557685)</f>
        <v>0.6251557685</v>
      </c>
    </row>
    <row r="2635">
      <c r="A2635" s="3">
        <f>IFERROR(__xludf.DUMMYFUNCTION("""COMPUTED_VALUE"""),43445.99861111111)</f>
        <v>43445.99861</v>
      </c>
      <c r="B2635" s="1">
        <f>IFERROR(__xludf.DUMMYFUNCTION("""COMPUTED_VALUE"""),0.6290244805)</f>
        <v>0.6290244805</v>
      </c>
    </row>
    <row r="2636">
      <c r="A2636" s="3">
        <f>IFERROR(__xludf.DUMMYFUNCTION("""COMPUTED_VALUE"""),43446.99861111111)</f>
        <v>43446.99861</v>
      </c>
      <c r="B2636" s="1">
        <f>IFERROR(__xludf.DUMMYFUNCTION("""COMPUTED_VALUE"""),0.6266003656)</f>
        <v>0.6266003656</v>
      </c>
    </row>
    <row r="2637">
      <c r="A2637" s="3">
        <f>IFERROR(__xludf.DUMMYFUNCTION("""COMPUTED_VALUE"""),43447.99861111111)</f>
        <v>43447.99861</v>
      </c>
      <c r="B2637" s="1">
        <f>IFERROR(__xludf.DUMMYFUNCTION("""COMPUTED_VALUE"""),0.6256718977)</f>
        <v>0.6256718977</v>
      </c>
    </row>
    <row r="2638">
      <c r="A2638" s="3">
        <f>IFERROR(__xludf.DUMMYFUNCTION("""COMPUTED_VALUE"""),43448.99861111111)</f>
        <v>43448.99861</v>
      </c>
      <c r="B2638" s="1">
        <f>IFERROR(__xludf.DUMMYFUNCTION("""COMPUTED_VALUE"""),0.6268008337)</f>
        <v>0.6268008337</v>
      </c>
    </row>
    <row r="2639">
      <c r="A2639" s="3">
        <f>IFERROR(__xludf.DUMMYFUNCTION("""COMPUTED_VALUE"""),43449.99861111111)</f>
        <v>43449.99861</v>
      </c>
      <c r="B2639" s="1">
        <f>IFERROR(__xludf.DUMMYFUNCTION("""COMPUTED_VALUE"""),0.62782591)</f>
        <v>0.62782591</v>
      </c>
    </row>
    <row r="2640">
      <c r="A2640" s="3">
        <f>IFERROR(__xludf.DUMMYFUNCTION("""COMPUTED_VALUE"""),43450.99861111111)</f>
        <v>43450.99861</v>
      </c>
      <c r="B2640" s="1">
        <f>IFERROR(__xludf.DUMMYFUNCTION("""COMPUTED_VALUE"""),0.627607135)</f>
        <v>0.627607135</v>
      </c>
    </row>
    <row r="2641">
      <c r="A2641" s="3">
        <f>IFERROR(__xludf.DUMMYFUNCTION("""COMPUTED_VALUE"""),43451.99861111111)</f>
        <v>43451.99861</v>
      </c>
      <c r="B2641" s="1">
        <f>IFERROR(__xludf.DUMMYFUNCTION("""COMPUTED_VALUE"""),0.6265547143)</f>
        <v>0.6265547143</v>
      </c>
    </row>
    <row r="2642">
      <c r="A2642" s="3">
        <f>IFERROR(__xludf.DUMMYFUNCTION("""COMPUTED_VALUE"""),43452.99861111111)</f>
        <v>43452.99861</v>
      </c>
      <c r="B2642" s="1">
        <f>IFERROR(__xludf.DUMMYFUNCTION("""COMPUTED_VALUE"""),0.6222756582)</f>
        <v>0.6222756582</v>
      </c>
    </row>
    <row r="2643">
      <c r="A2643" s="3">
        <f>IFERROR(__xludf.DUMMYFUNCTION("""COMPUTED_VALUE"""),43453.99861111111)</f>
        <v>43453.99861</v>
      </c>
      <c r="B2643" s="1">
        <f>IFERROR(__xludf.DUMMYFUNCTION("""COMPUTED_VALUE"""),0.6225916563)</f>
        <v>0.6225916563</v>
      </c>
    </row>
    <row r="2644">
      <c r="A2644" s="3">
        <f>IFERROR(__xludf.DUMMYFUNCTION("""COMPUTED_VALUE"""),43454.99861111111)</f>
        <v>43454.99861</v>
      </c>
      <c r="B2644" s="1">
        <f>IFERROR(__xludf.DUMMYFUNCTION("""COMPUTED_VALUE"""),0.6246824919)</f>
        <v>0.6246824919</v>
      </c>
    </row>
    <row r="2645">
      <c r="A2645" s="3">
        <f>IFERROR(__xludf.DUMMYFUNCTION("""COMPUTED_VALUE"""),43455.99861111111)</f>
        <v>43455.99861</v>
      </c>
      <c r="B2645" s="1">
        <f>IFERROR(__xludf.DUMMYFUNCTION("""COMPUTED_VALUE"""),0.6257607907)</f>
        <v>0.6257607907</v>
      </c>
    </row>
    <row r="2646">
      <c r="A2646" s="3">
        <f>IFERROR(__xludf.DUMMYFUNCTION("""COMPUTED_VALUE"""),43456.99861111111)</f>
        <v>43456.99861</v>
      </c>
      <c r="B2646" s="1">
        <f>IFERROR(__xludf.DUMMYFUNCTION("""COMPUTED_VALUE"""),0.6230486075)</f>
        <v>0.6230486075</v>
      </c>
    </row>
    <row r="2647">
      <c r="A2647" s="3">
        <f>IFERROR(__xludf.DUMMYFUNCTION("""COMPUTED_VALUE"""),43457.99861111111)</f>
        <v>43457.99861</v>
      </c>
      <c r="B2647" s="1">
        <f>IFERROR(__xludf.DUMMYFUNCTION("""COMPUTED_VALUE"""),0.622444575)</f>
        <v>0.622444575</v>
      </c>
    </row>
    <row r="2648">
      <c r="A2648" s="3">
        <f>IFERROR(__xludf.DUMMYFUNCTION("""COMPUTED_VALUE"""),43458.99861111111)</f>
        <v>43458.99861</v>
      </c>
      <c r="B2648" s="1">
        <f>IFERROR(__xludf.DUMMYFUNCTION("""COMPUTED_VALUE"""),0.6341788746)</f>
        <v>0.6341788746</v>
      </c>
    </row>
    <row r="2649">
      <c r="A2649" s="3">
        <f>IFERROR(__xludf.DUMMYFUNCTION("""COMPUTED_VALUE"""),43459.99861111111)</f>
        <v>43459.99861</v>
      </c>
      <c r="B2649" s="1">
        <f>IFERROR(__xludf.DUMMYFUNCTION("""COMPUTED_VALUE"""),0.6328650938)</f>
        <v>0.6328650938</v>
      </c>
    </row>
    <row r="2650">
      <c r="A2650" s="3">
        <f>IFERROR(__xludf.DUMMYFUNCTION("""COMPUTED_VALUE"""),43460.99861111111)</f>
        <v>43460.99861</v>
      </c>
      <c r="B2650" s="1">
        <f>IFERROR(__xludf.DUMMYFUNCTION("""COMPUTED_VALUE"""),0.6285505304)</f>
        <v>0.6285505304</v>
      </c>
    </row>
    <row r="2651">
      <c r="A2651" s="3">
        <f>IFERROR(__xludf.DUMMYFUNCTION("""COMPUTED_VALUE"""),43461.99861111111)</f>
        <v>43461.99861</v>
      </c>
      <c r="B2651" s="1">
        <f>IFERROR(__xludf.DUMMYFUNCTION("""COMPUTED_VALUE"""),0.6279935217)</f>
        <v>0.6279935217</v>
      </c>
    </row>
    <row r="2652">
      <c r="A2652" s="3">
        <f>IFERROR(__xludf.DUMMYFUNCTION("""COMPUTED_VALUE"""),43462.99861111111)</f>
        <v>43462.99861</v>
      </c>
      <c r="B2652" s="1">
        <f>IFERROR(__xludf.DUMMYFUNCTION("""COMPUTED_VALUE"""),0.6277485468)</f>
        <v>0.6277485468</v>
      </c>
    </row>
    <row r="2653">
      <c r="A2653" s="3">
        <f>IFERROR(__xludf.DUMMYFUNCTION("""COMPUTED_VALUE"""),43463.99861111111)</f>
        <v>43463.99861</v>
      </c>
      <c r="B2653" s="1">
        <f>IFERROR(__xludf.DUMMYFUNCTION("""COMPUTED_VALUE"""),0.626664715)</f>
        <v>0.626664715</v>
      </c>
    </row>
    <row r="2654">
      <c r="A2654" s="3">
        <f>IFERROR(__xludf.DUMMYFUNCTION("""COMPUTED_VALUE"""),43464.99861111111)</f>
        <v>43464.99861</v>
      </c>
      <c r="B2654" s="1">
        <f>IFERROR(__xludf.DUMMYFUNCTION("""COMPUTED_VALUE"""),0.62650952)</f>
        <v>0.62650952</v>
      </c>
    </row>
    <row r="2655">
      <c r="A2655" s="3">
        <f>IFERROR(__xludf.DUMMYFUNCTION("""COMPUTED_VALUE"""),43465.99861111111)</f>
        <v>43465.99861</v>
      </c>
      <c r="B2655" s="1">
        <f>IFERROR(__xludf.DUMMYFUNCTION("""COMPUTED_VALUE"""),0.6243523183)</f>
        <v>0.6243523183</v>
      </c>
    </row>
    <row r="2656">
      <c r="A2656" s="3">
        <f>IFERROR(__xludf.DUMMYFUNCTION("""COMPUTED_VALUE"""),43466.99861111111)</f>
        <v>43466.99861</v>
      </c>
      <c r="B2656" s="1">
        <f>IFERROR(__xludf.DUMMYFUNCTION("""COMPUTED_VALUE"""),0.623437087)</f>
        <v>0.623437087</v>
      </c>
    </row>
    <row r="2657">
      <c r="A2657" s="3">
        <f>IFERROR(__xludf.DUMMYFUNCTION("""COMPUTED_VALUE"""),43467.99861111111)</f>
        <v>43467.99861</v>
      </c>
      <c r="B2657" s="1">
        <f>IFERROR(__xludf.DUMMYFUNCTION("""COMPUTED_VALUE"""),0.6212684228)</f>
        <v>0.6212684228</v>
      </c>
    </row>
    <row r="2658">
      <c r="A2658" s="3">
        <f>IFERROR(__xludf.DUMMYFUNCTION("""COMPUTED_VALUE"""),43468.99861111111)</f>
        <v>43468.99861</v>
      </c>
      <c r="B2658" s="1">
        <f>IFERROR(__xludf.DUMMYFUNCTION("""COMPUTED_VALUE"""),0.619789592)</f>
        <v>0.619789592</v>
      </c>
    </row>
    <row r="2659">
      <c r="A2659" s="3">
        <f>IFERROR(__xludf.DUMMYFUNCTION("""COMPUTED_VALUE"""),43469.99861111111)</f>
        <v>43469.99861</v>
      </c>
      <c r="B2659" s="1">
        <f>IFERROR(__xludf.DUMMYFUNCTION("""COMPUTED_VALUE"""),0.6133267138)</f>
        <v>0.6133267138</v>
      </c>
    </row>
    <row r="2660">
      <c r="A2660" s="3">
        <f>IFERROR(__xludf.DUMMYFUNCTION("""COMPUTED_VALUE"""),43470.99861111111)</f>
        <v>43470.99861</v>
      </c>
      <c r="B2660" s="1">
        <f>IFERROR(__xludf.DUMMYFUNCTION("""COMPUTED_VALUE"""),0.612464865)</f>
        <v>0.612464865</v>
      </c>
    </row>
    <row r="2661">
      <c r="A2661" s="3">
        <f>IFERROR(__xludf.DUMMYFUNCTION("""COMPUTED_VALUE"""),43471.99861111111)</f>
        <v>43471.99861</v>
      </c>
      <c r="B2661" s="1">
        <f>IFERROR(__xludf.DUMMYFUNCTION("""COMPUTED_VALUE"""),0.615387825)</f>
        <v>0.615387825</v>
      </c>
    </row>
    <row r="2662">
      <c r="A2662" s="3">
        <f>IFERROR(__xludf.DUMMYFUNCTION("""COMPUTED_VALUE"""),43472.99861111111)</f>
        <v>43472.99861</v>
      </c>
      <c r="B2662" s="1">
        <f>IFERROR(__xludf.DUMMYFUNCTION("""COMPUTED_VALUE"""),0.6071828836)</f>
        <v>0.6071828836</v>
      </c>
    </row>
    <row r="2663">
      <c r="A2663" s="3">
        <f>IFERROR(__xludf.DUMMYFUNCTION("""COMPUTED_VALUE"""),43473.99861111111)</f>
        <v>43473.99861</v>
      </c>
      <c r="B2663" s="1">
        <f>IFERROR(__xludf.DUMMYFUNCTION("""COMPUTED_VALUE"""),0.6095541865)</f>
        <v>0.6095541865</v>
      </c>
    </row>
    <row r="2664">
      <c r="A2664" s="3">
        <f>IFERROR(__xludf.DUMMYFUNCTION("""COMPUTED_VALUE"""),43474.99861111111)</f>
        <v>43474.99861</v>
      </c>
      <c r="B2664" s="1">
        <f>IFERROR(__xludf.DUMMYFUNCTION("""COMPUTED_VALUE"""),0.6092092697)</f>
        <v>0.6092092697</v>
      </c>
    </row>
    <row r="2665">
      <c r="A2665" s="3">
        <f>IFERROR(__xludf.DUMMYFUNCTION("""COMPUTED_VALUE"""),43475.99861111111)</f>
        <v>43475.99861</v>
      </c>
      <c r="B2665" s="1">
        <f>IFERROR(__xludf.DUMMYFUNCTION("""COMPUTED_VALUE"""),0.6056738727)</f>
        <v>0.6056738727</v>
      </c>
    </row>
    <row r="2666">
      <c r="A2666" s="3">
        <f>IFERROR(__xludf.DUMMYFUNCTION("""COMPUTED_VALUE"""),43476.99861111111)</f>
        <v>43476.99861</v>
      </c>
      <c r="B2666" s="1">
        <f>IFERROR(__xludf.DUMMYFUNCTION("""COMPUTED_VALUE"""),0.6070750971)</f>
        <v>0.6070750971</v>
      </c>
    </row>
    <row r="2667">
      <c r="A2667" s="3">
        <f>IFERROR(__xludf.DUMMYFUNCTION("""COMPUTED_VALUE"""),43477.99861111111)</f>
        <v>43477.99861</v>
      </c>
      <c r="B2667" s="1">
        <f>IFERROR(__xludf.DUMMYFUNCTION("""COMPUTED_VALUE"""),0.6022706675)</f>
        <v>0.6022706675</v>
      </c>
    </row>
    <row r="2668">
      <c r="A2668" s="3">
        <f>IFERROR(__xludf.DUMMYFUNCTION("""COMPUTED_VALUE"""),43478.99861111111)</f>
        <v>43478.99861</v>
      </c>
      <c r="B2668" s="1">
        <f>IFERROR(__xludf.DUMMYFUNCTION("""COMPUTED_VALUE"""),0.601814205)</f>
        <v>0.601814205</v>
      </c>
    </row>
    <row r="2669">
      <c r="A2669" s="3">
        <f>IFERROR(__xludf.DUMMYFUNCTION("""COMPUTED_VALUE"""),43479.99861111111)</f>
        <v>43479.99861</v>
      </c>
      <c r="B2669" s="1">
        <f>IFERROR(__xludf.DUMMYFUNCTION("""COMPUTED_VALUE"""),0.6086487799)</f>
        <v>0.6086487799</v>
      </c>
    </row>
    <row r="2670">
      <c r="A2670" s="3">
        <f>IFERROR(__xludf.DUMMYFUNCTION("""COMPUTED_VALUE"""),43480.99861111111)</f>
        <v>43480.99861</v>
      </c>
      <c r="B2670" s="1">
        <f>IFERROR(__xludf.DUMMYFUNCTION("""COMPUTED_VALUE"""),0.6083900923)</f>
        <v>0.6083900923</v>
      </c>
    </row>
    <row r="2671">
      <c r="A2671" s="3">
        <f>IFERROR(__xludf.DUMMYFUNCTION("""COMPUTED_VALUE"""),43481.99861111111)</f>
        <v>43481.99861</v>
      </c>
      <c r="B2671" s="1">
        <f>IFERROR(__xludf.DUMMYFUNCTION("""COMPUTED_VALUE"""),0.6096404157)</f>
        <v>0.6096404157</v>
      </c>
    </row>
    <row r="2672">
      <c r="A2672" s="3">
        <f>IFERROR(__xludf.DUMMYFUNCTION("""COMPUTED_VALUE"""),43482.99861111111)</f>
        <v>43482.99861</v>
      </c>
      <c r="B2672" s="1">
        <f>IFERROR(__xludf.DUMMYFUNCTION("""COMPUTED_VALUE"""),0.6110631974)</f>
        <v>0.6110631974</v>
      </c>
    </row>
    <row r="2673">
      <c r="A2673" s="3">
        <f>IFERROR(__xludf.DUMMYFUNCTION("""COMPUTED_VALUE"""),43483.99861111111)</f>
        <v>43483.99861</v>
      </c>
      <c r="B2673" s="1">
        <f>IFERROR(__xludf.DUMMYFUNCTION("""COMPUTED_VALUE"""),0.6135638441)</f>
        <v>0.6135638441</v>
      </c>
    </row>
    <row r="2674">
      <c r="A2674" s="3">
        <f>IFERROR(__xludf.DUMMYFUNCTION("""COMPUTED_VALUE"""),43484.99861111111)</f>
        <v>43484.99861</v>
      </c>
      <c r="B2674" s="1">
        <f>IFERROR(__xludf.DUMMYFUNCTION("""COMPUTED_VALUE"""),0.61183553265)</f>
        <v>0.6118355327</v>
      </c>
    </row>
    <row r="2675">
      <c r="A2675" s="3">
        <f>IFERROR(__xludf.DUMMYFUNCTION("""COMPUTED_VALUE"""),43485.99861111111)</f>
        <v>43485.99861</v>
      </c>
      <c r="B2675" s="1">
        <f>IFERROR(__xludf.DUMMYFUNCTION("""COMPUTED_VALUE"""),0.60915645)</f>
        <v>0.60915645</v>
      </c>
    </row>
    <row r="2676">
      <c r="A2676" s="3">
        <f>IFERROR(__xludf.DUMMYFUNCTION("""COMPUTED_VALUE"""),43486.99861111111)</f>
        <v>43486.99861</v>
      </c>
      <c r="B2676" s="1">
        <f>IFERROR(__xludf.DUMMYFUNCTION("""COMPUTED_VALUE"""),0.6168405535)</f>
        <v>0.6168405535</v>
      </c>
    </row>
    <row r="2677">
      <c r="A2677" s="3">
        <f>IFERROR(__xludf.DUMMYFUNCTION("""COMPUTED_VALUE"""),43487.99861111111)</f>
        <v>43487.99861</v>
      </c>
      <c r="B2677" s="1">
        <f>IFERROR(__xludf.DUMMYFUNCTION("""COMPUTED_VALUE"""),0.6125722083)</f>
        <v>0.6125722083</v>
      </c>
    </row>
    <row r="2678">
      <c r="A2678" s="3">
        <f>IFERROR(__xludf.DUMMYFUNCTION("""COMPUTED_VALUE"""),43488.99861111111)</f>
        <v>43488.99861</v>
      </c>
      <c r="B2678" s="1">
        <f>IFERROR(__xludf.DUMMYFUNCTION("""COMPUTED_VALUE"""),0.6092480728)</f>
        <v>0.6092480728</v>
      </c>
    </row>
    <row r="2679">
      <c r="A2679" s="3">
        <f>IFERROR(__xludf.DUMMYFUNCTION("""COMPUTED_VALUE"""),43489.99861111111)</f>
        <v>43489.99861</v>
      </c>
      <c r="B2679" s="1">
        <f>IFERROR(__xludf.DUMMYFUNCTION("""COMPUTED_VALUE"""),0.611753031)</f>
        <v>0.611753031</v>
      </c>
    </row>
    <row r="2680">
      <c r="A2680" s="3">
        <f>IFERROR(__xludf.DUMMYFUNCTION("""COMPUTED_VALUE"""),43490.99861111111)</f>
        <v>43490.99861</v>
      </c>
      <c r="B2680" s="1">
        <f>IFERROR(__xludf.DUMMYFUNCTION("""COMPUTED_VALUE"""),0.6064283781)</f>
        <v>0.6064283781</v>
      </c>
    </row>
    <row r="2681">
      <c r="A2681" s="3">
        <f>IFERROR(__xludf.DUMMYFUNCTION("""COMPUTED_VALUE"""),43491.99861111111)</f>
        <v>43491.99861</v>
      </c>
      <c r="B2681" s="1">
        <f>IFERROR(__xludf.DUMMYFUNCTION("""COMPUTED_VALUE"""),0.6187285444)</f>
        <v>0.6187285444</v>
      </c>
    </row>
    <row r="2682">
      <c r="A2682" s="3">
        <f>IFERROR(__xludf.DUMMYFUNCTION("""COMPUTED_VALUE"""),43492.99861111111)</f>
        <v>43492.99861</v>
      </c>
      <c r="B2682" s="1">
        <f>IFERROR(__xludf.DUMMYFUNCTION("""COMPUTED_VALUE"""),0.61092279)</f>
        <v>0.61092279</v>
      </c>
    </row>
    <row r="2683">
      <c r="A2683" s="3">
        <f>IFERROR(__xludf.DUMMYFUNCTION("""COMPUTED_VALUE"""),43493.99861111111)</f>
        <v>43493.99861</v>
      </c>
      <c r="B2683" s="1">
        <f>IFERROR(__xludf.DUMMYFUNCTION("""COMPUTED_VALUE"""),0.6063205916)</f>
        <v>0.6063205916</v>
      </c>
    </row>
    <row r="2684">
      <c r="A2684" s="3">
        <f>IFERROR(__xludf.DUMMYFUNCTION("""COMPUTED_VALUE"""),43494.99861111111)</f>
        <v>43494.99861</v>
      </c>
      <c r="B2684" s="1">
        <f>IFERROR(__xludf.DUMMYFUNCTION("""COMPUTED_VALUE"""),0.6067948522)</f>
        <v>0.6067948522</v>
      </c>
    </row>
    <row r="2685">
      <c r="A2685" s="3">
        <f>IFERROR(__xludf.DUMMYFUNCTION("""COMPUTED_VALUE"""),43495.99861111111)</f>
        <v>43495.99861</v>
      </c>
      <c r="B2685" s="1">
        <f>IFERROR(__xludf.DUMMYFUNCTION("""COMPUTED_VALUE"""),0.6050271537)</f>
        <v>0.6050271537</v>
      </c>
    </row>
    <row r="2686">
      <c r="A2686" s="3">
        <f>IFERROR(__xludf.DUMMYFUNCTION("""COMPUTED_VALUE"""),43496.99861111111)</f>
        <v>43496.99861</v>
      </c>
      <c r="B2686" s="1">
        <f>IFERROR(__xludf.DUMMYFUNCTION("""COMPUTED_VALUE"""),0.6019049222)</f>
        <v>0.6019049222</v>
      </c>
    </row>
    <row r="2687">
      <c r="A2687" s="3">
        <f>IFERROR(__xludf.DUMMYFUNCTION("""COMPUTED_VALUE"""),43497.99861111111)</f>
        <v>43497.99861</v>
      </c>
      <c r="B2687" s="1">
        <f>IFERROR(__xludf.DUMMYFUNCTION("""COMPUTED_VALUE"""),0.6003533987)</f>
        <v>0.6003533987</v>
      </c>
    </row>
    <row r="2688">
      <c r="A2688" s="3">
        <f>IFERROR(__xludf.DUMMYFUNCTION("""COMPUTED_VALUE"""),43498.99861111111)</f>
        <v>43498.99861</v>
      </c>
      <c r="B2688" s="1">
        <f>IFERROR(__xludf.DUMMYFUNCTION("""COMPUTED_VALUE"""),0.60019367)</f>
        <v>0.60019367</v>
      </c>
    </row>
    <row r="2689">
      <c r="A2689" s="3">
        <f>IFERROR(__xludf.DUMMYFUNCTION("""COMPUTED_VALUE"""),43499.99861111111)</f>
        <v>43499.99861</v>
      </c>
      <c r="B2689" s="1">
        <f>IFERROR(__xludf.DUMMYFUNCTION("""COMPUTED_VALUE"""),0.60010306)</f>
        <v>0.60010306</v>
      </c>
    </row>
    <row r="2690">
      <c r="A2690" s="3">
        <f>IFERROR(__xludf.DUMMYFUNCTION("""COMPUTED_VALUE"""),43500.99861111111)</f>
        <v>43500.99861</v>
      </c>
      <c r="B2690" s="1">
        <f>IFERROR(__xludf.DUMMYFUNCTION("""COMPUTED_VALUE"""),0.6015385903)</f>
        <v>0.6015385903</v>
      </c>
    </row>
    <row r="2691">
      <c r="A2691" s="3">
        <f>IFERROR(__xludf.DUMMYFUNCTION("""COMPUTED_VALUE"""),43501.99861111111)</f>
        <v>43501.99861</v>
      </c>
      <c r="B2691" s="1">
        <f>IFERROR(__xludf.DUMMYFUNCTION("""COMPUTED_VALUE"""),0.6012369051)</f>
        <v>0.6012369051</v>
      </c>
    </row>
    <row r="2692">
      <c r="A2692" s="3">
        <f>IFERROR(__xludf.DUMMYFUNCTION("""COMPUTED_VALUE"""),43502.99861111111)</f>
        <v>43502.99861</v>
      </c>
      <c r="B2692" s="1">
        <f>IFERROR(__xludf.DUMMYFUNCTION("""COMPUTED_VALUE"""),0.5997069306)</f>
        <v>0.5997069306</v>
      </c>
    </row>
    <row r="2693">
      <c r="A2693" s="3">
        <f>IFERROR(__xludf.DUMMYFUNCTION("""COMPUTED_VALUE"""),43503.99861111111)</f>
        <v>43503.99861</v>
      </c>
      <c r="B2693" s="1">
        <f>IFERROR(__xludf.DUMMYFUNCTION("""COMPUTED_VALUE"""),0.6019049222)</f>
        <v>0.6019049222</v>
      </c>
    </row>
    <row r="2694">
      <c r="A2694" s="3">
        <f>IFERROR(__xludf.DUMMYFUNCTION("""COMPUTED_VALUE"""),43504.99861111111)</f>
        <v>43504.99861</v>
      </c>
      <c r="B2694" s="1">
        <f>IFERROR(__xludf.DUMMYFUNCTION("""COMPUTED_VALUE"""),0.6046933547)</f>
        <v>0.6046933547</v>
      </c>
    </row>
    <row r="2695">
      <c r="A2695" s="3">
        <f>IFERROR(__xludf.DUMMYFUNCTION("""COMPUTED_VALUE"""),43505.99861111111)</f>
        <v>43505.99861</v>
      </c>
      <c r="B2695" s="1">
        <f>IFERROR(__xludf.DUMMYFUNCTION("""COMPUTED_VALUE"""),0.6137652036)</f>
        <v>0.6137652036</v>
      </c>
    </row>
    <row r="2696">
      <c r="A2696" s="3">
        <f>IFERROR(__xludf.DUMMYFUNCTION("""COMPUTED_VALUE"""),43506.99861111111)</f>
        <v>43506.99861</v>
      </c>
      <c r="B2696" s="1">
        <f>IFERROR(__xludf.DUMMYFUNCTION("""COMPUTED_VALUE"""),0.6010536)</f>
        <v>0.6010536</v>
      </c>
    </row>
    <row r="2697">
      <c r="A2697" s="3">
        <f>IFERROR(__xludf.DUMMYFUNCTION("""COMPUTED_VALUE"""),43507.99861111111)</f>
        <v>43507.99861</v>
      </c>
      <c r="B2697" s="1">
        <f>IFERROR(__xludf.DUMMYFUNCTION("""COMPUTED_VALUE"""),0.6047924798)</f>
        <v>0.6047924798</v>
      </c>
    </row>
    <row r="2698">
      <c r="A2698" s="3">
        <f>IFERROR(__xludf.DUMMYFUNCTION("""COMPUTED_VALUE"""),43508.99861111111)</f>
        <v>43508.99861</v>
      </c>
      <c r="B2698" s="1">
        <f>IFERROR(__xludf.DUMMYFUNCTION("""COMPUTED_VALUE"""),0.603917593)</f>
        <v>0.603917593</v>
      </c>
    </row>
    <row r="2699">
      <c r="A2699" s="3">
        <f>IFERROR(__xludf.DUMMYFUNCTION("""COMPUTED_VALUE"""),43509.99861111111)</f>
        <v>43509.99861</v>
      </c>
      <c r="B2699" s="1">
        <f>IFERROR(__xludf.DUMMYFUNCTION("""COMPUTED_VALUE"""),0.6098780291)</f>
        <v>0.6098780291</v>
      </c>
    </row>
    <row r="2700">
      <c r="A2700" s="3">
        <f>IFERROR(__xludf.DUMMYFUNCTION("""COMPUTED_VALUE"""),43510.99861111111)</f>
        <v>43510.99861</v>
      </c>
      <c r="B2700" s="1">
        <f>IFERROR(__xludf.DUMMYFUNCTION("""COMPUTED_VALUE"""),0.6069473736)</f>
        <v>0.6069473736</v>
      </c>
    </row>
    <row r="2701">
      <c r="A2701" s="3">
        <f>IFERROR(__xludf.DUMMYFUNCTION("""COMPUTED_VALUE"""),43511.99861111111)</f>
        <v>43511.99861</v>
      </c>
      <c r="B2701" s="1">
        <f>IFERROR(__xludf.DUMMYFUNCTION("""COMPUTED_VALUE"""),0.6078610485)</f>
        <v>0.6078610485</v>
      </c>
    </row>
    <row r="2702">
      <c r="A2702" s="3">
        <f>IFERROR(__xludf.DUMMYFUNCTION("""COMPUTED_VALUE"""),43512.99861111111)</f>
        <v>43512.99861</v>
      </c>
      <c r="B2702" s="1">
        <f>IFERROR(__xludf.DUMMYFUNCTION("""COMPUTED_VALUE"""),0.6109846715)</f>
        <v>0.6109846715</v>
      </c>
    </row>
    <row r="2703">
      <c r="A2703" s="3">
        <f>IFERROR(__xludf.DUMMYFUNCTION("""COMPUTED_VALUE"""),43513.99861111111)</f>
        <v>43513.99861</v>
      </c>
      <c r="B2703" s="1">
        <f>IFERROR(__xludf.DUMMYFUNCTION("""COMPUTED_VALUE"""),0.6109422425)</f>
        <v>0.6109422425</v>
      </c>
    </row>
    <row r="2704">
      <c r="A2704" s="3">
        <f>IFERROR(__xludf.DUMMYFUNCTION("""COMPUTED_VALUE"""),43514.99861111111)</f>
        <v>43514.99861</v>
      </c>
      <c r="B2704" s="1">
        <f>IFERROR(__xludf.DUMMYFUNCTION("""COMPUTED_VALUE"""),0.6116665909)</f>
        <v>0.6116665909</v>
      </c>
    </row>
    <row r="2705">
      <c r="A2705" s="3">
        <f>IFERROR(__xludf.DUMMYFUNCTION("""COMPUTED_VALUE"""),43515.99861111111)</f>
        <v>43515.99861</v>
      </c>
      <c r="B2705" s="1">
        <f>IFERROR(__xludf.DUMMYFUNCTION("""COMPUTED_VALUE"""),0.6075291949)</f>
        <v>0.6075291949</v>
      </c>
    </row>
    <row r="2706">
      <c r="A2706" s="3">
        <f>IFERROR(__xludf.DUMMYFUNCTION("""COMPUTED_VALUE"""),43516.99861111111)</f>
        <v>43516.99861</v>
      </c>
      <c r="B2706" s="1">
        <f>IFERROR(__xludf.DUMMYFUNCTION("""COMPUTED_VALUE"""),0.6047924798)</f>
        <v>0.6047924798</v>
      </c>
    </row>
    <row r="2707">
      <c r="A2707" s="3">
        <f>IFERROR(__xludf.DUMMYFUNCTION("""COMPUTED_VALUE"""),43517.99861111111)</f>
        <v>43517.99861</v>
      </c>
      <c r="B2707" s="1">
        <f>IFERROR(__xludf.DUMMYFUNCTION("""COMPUTED_VALUE"""),0.608541995)</f>
        <v>0.608541995</v>
      </c>
    </row>
    <row r="2708">
      <c r="A2708" s="3">
        <f>IFERROR(__xludf.DUMMYFUNCTION("""COMPUTED_VALUE"""),43518.99861111111)</f>
        <v>43518.99861</v>
      </c>
      <c r="B2708" s="1">
        <f>IFERROR(__xludf.DUMMYFUNCTION("""COMPUTED_VALUE"""),0.6040037887)</f>
        <v>0.6040037887</v>
      </c>
    </row>
    <row r="2709">
      <c r="A2709" s="3">
        <f>IFERROR(__xludf.DUMMYFUNCTION("""COMPUTED_VALUE"""),43519.99861111111)</f>
        <v>43519.99861</v>
      </c>
      <c r="B2709" s="1">
        <f>IFERROR(__xludf.DUMMYFUNCTION("""COMPUTED_VALUE"""),0.613360167)</f>
        <v>0.613360167</v>
      </c>
    </row>
    <row r="2710">
      <c r="A2710" s="3">
        <f>IFERROR(__xludf.DUMMYFUNCTION("""COMPUTED_VALUE"""),43520.99861111111)</f>
        <v>43520.99861</v>
      </c>
      <c r="B2710" s="1">
        <f>IFERROR(__xludf.DUMMYFUNCTION("""COMPUTED_VALUE"""),0.6148830429)</f>
        <v>0.6148830429</v>
      </c>
    </row>
    <row r="2711">
      <c r="A2711" s="3">
        <f>IFERROR(__xludf.DUMMYFUNCTION("""COMPUTED_VALUE"""),43521.99861111111)</f>
        <v>43521.99861</v>
      </c>
      <c r="B2711" s="1">
        <f>IFERROR(__xludf.DUMMYFUNCTION("""COMPUTED_VALUE"""),0.6038443266)</f>
        <v>0.6038443266</v>
      </c>
    </row>
    <row r="2712">
      <c r="A2712" s="3">
        <f>IFERROR(__xludf.DUMMYFUNCTION("""COMPUTED_VALUE"""),43522.99861111111)</f>
        <v>43522.99861</v>
      </c>
      <c r="B2712" s="1">
        <f>IFERROR(__xludf.DUMMYFUNCTION("""COMPUTED_VALUE"""),0.601646335)</f>
        <v>0.601646335</v>
      </c>
    </row>
    <row r="2713">
      <c r="A2713" s="3">
        <f>IFERROR(__xludf.DUMMYFUNCTION("""COMPUTED_VALUE"""),43523.99861111111)</f>
        <v>43523.99861</v>
      </c>
      <c r="B2713" s="1">
        <f>IFERROR(__xludf.DUMMYFUNCTION("""COMPUTED_VALUE"""),0.6041469034)</f>
        <v>0.6041469034</v>
      </c>
    </row>
    <row r="2714">
      <c r="A2714" s="3">
        <f>IFERROR(__xludf.DUMMYFUNCTION("""COMPUTED_VALUE"""),43524.99861111111)</f>
        <v>43524.99861</v>
      </c>
      <c r="B2714" s="1">
        <f>IFERROR(__xludf.DUMMYFUNCTION("""COMPUTED_VALUE"""),0.6118630858)</f>
        <v>0.6118630858</v>
      </c>
    </row>
    <row r="2715">
      <c r="A2715" s="3">
        <f>IFERROR(__xludf.DUMMYFUNCTION("""COMPUTED_VALUE"""),43525.99861111111)</f>
        <v>43525.99861</v>
      </c>
      <c r="B2715" s="1">
        <f>IFERROR(__xludf.DUMMYFUNCTION("""COMPUTED_VALUE"""),0.6109793889)</f>
        <v>0.6109793889</v>
      </c>
    </row>
    <row r="2716">
      <c r="A2716" s="3">
        <f>IFERROR(__xludf.DUMMYFUNCTION("""COMPUTED_VALUE"""),43526.99861111111)</f>
        <v>43526.99861</v>
      </c>
      <c r="B2716" s="1">
        <f>IFERROR(__xludf.DUMMYFUNCTION("""COMPUTED_VALUE"""),0.60810243)</f>
        <v>0.60810243</v>
      </c>
    </row>
    <row r="2717">
      <c r="A2717" s="3">
        <f>IFERROR(__xludf.DUMMYFUNCTION("""COMPUTED_VALUE"""),43527.99861111111)</f>
        <v>43527.99861</v>
      </c>
      <c r="B2717" s="1">
        <f>IFERROR(__xludf.DUMMYFUNCTION("""COMPUTED_VALUE"""),0.6079965675)</f>
        <v>0.6079965675</v>
      </c>
    </row>
    <row r="2718">
      <c r="A2718" s="3">
        <f>IFERROR(__xludf.DUMMYFUNCTION("""COMPUTED_VALUE"""),43528.99861111111)</f>
        <v>43528.99861</v>
      </c>
      <c r="B2718" s="1">
        <f>IFERROR(__xludf.DUMMYFUNCTION("""COMPUTED_VALUE"""),0.6129567)</f>
        <v>0.6129567</v>
      </c>
    </row>
    <row r="2719">
      <c r="A2719" s="3">
        <f>IFERROR(__xludf.DUMMYFUNCTION("""COMPUTED_VALUE"""),43529.99861111111)</f>
        <v>43529.99861</v>
      </c>
      <c r="B2719" s="1">
        <f>IFERROR(__xludf.DUMMYFUNCTION("""COMPUTED_VALUE"""),0.6087779677)</f>
        <v>0.6087779677</v>
      </c>
    </row>
    <row r="2720">
      <c r="A2720" s="3">
        <f>IFERROR(__xludf.DUMMYFUNCTION("""COMPUTED_VALUE"""),43530.99861111111)</f>
        <v>43530.99861</v>
      </c>
      <c r="B2720" s="1">
        <f>IFERROR(__xludf.DUMMYFUNCTION("""COMPUTED_VALUE"""),0.6135709305)</f>
        <v>0.6135709305</v>
      </c>
    </row>
    <row r="2721">
      <c r="A2721" s="3">
        <f>IFERROR(__xludf.DUMMYFUNCTION("""COMPUTED_VALUE"""),43531.99861111111)</f>
        <v>43531.99861</v>
      </c>
      <c r="B2721" s="1">
        <f>IFERROR(__xludf.DUMMYFUNCTION("""COMPUTED_VALUE"""),0.6080749985)</f>
        <v>0.6080749985</v>
      </c>
    </row>
    <row r="2722">
      <c r="A2722" s="3">
        <f>IFERROR(__xludf.DUMMYFUNCTION("""COMPUTED_VALUE"""),43532.99861111111)</f>
        <v>43532.99861</v>
      </c>
      <c r="B2722" s="1">
        <f>IFERROR(__xludf.DUMMYFUNCTION("""COMPUTED_VALUE"""),0.618299325)</f>
        <v>0.618299325</v>
      </c>
    </row>
    <row r="2723">
      <c r="A2723" s="3">
        <f>IFERROR(__xludf.DUMMYFUNCTION("""COMPUTED_VALUE"""),43533.99861111111)</f>
        <v>43533.99861</v>
      </c>
      <c r="B2723" s="1">
        <f>IFERROR(__xludf.DUMMYFUNCTION("""COMPUTED_VALUE"""),0.618299325)</f>
        <v>0.618299325</v>
      </c>
    </row>
    <row r="2724">
      <c r="A2724" s="3">
        <f>IFERROR(__xludf.DUMMYFUNCTION("""COMPUTED_VALUE"""),43534.99861111111)</f>
        <v>43534.99861</v>
      </c>
      <c r="B2724" s="1">
        <f>IFERROR(__xludf.DUMMYFUNCTION("""COMPUTED_VALUE"""),0.617970195)</f>
        <v>0.617970195</v>
      </c>
    </row>
    <row r="2725">
      <c r="A2725" s="3">
        <f>IFERROR(__xludf.DUMMYFUNCTION("""COMPUTED_VALUE"""),43535.99861111111)</f>
        <v>43535.99861</v>
      </c>
      <c r="B2725" s="1">
        <f>IFERROR(__xludf.DUMMYFUNCTION("""COMPUTED_VALUE"""),0.61697075)</f>
        <v>0.61697075</v>
      </c>
    </row>
    <row r="2726">
      <c r="A2726" s="3">
        <f>IFERROR(__xludf.DUMMYFUNCTION("""COMPUTED_VALUE"""),43536.99861111111)</f>
        <v>43536.99861</v>
      </c>
      <c r="B2726" s="1">
        <f>IFERROR(__xludf.DUMMYFUNCTION("""COMPUTED_VALUE"""),0.6168257325)</f>
        <v>0.6168257325</v>
      </c>
    </row>
    <row r="2727">
      <c r="A2727" s="3">
        <f>IFERROR(__xludf.DUMMYFUNCTION("""COMPUTED_VALUE"""),43537.99861111111)</f>
        <v>43537.99861</v>
      </c>
      <c r="B2727" s="1">
        <f>IFERROR(__xludf.DUMMYFUNCTION("""COMPUTED_VALUE"""),0.616576095)</f>
        <v>0.616576095</v>
      </c>
    </row>
    <row r="2728">
      <c r="A2728" s="3">
        <f>IFERROR(__xludf.DUMMYFUNCTION("""COMPUTED_VALUE"""),43538.99861111111)</f>
        <v>43538.99861</v>
      </c>
      <c r="B2728" s="1">
        <f>IFERROR(__xludf.DUMMYFUNCTION("""COMPUTED_VALUE"""),0.616664601)</f>
        <v>0.616664601</v>
      </c>
    </row>
    <row r="2729">
      <c r="A2729" s="3">
        <f>IFERROR(__xludf.DUMMYFUNCTION("""COMPUTED_VALUE"""),43539.99861111111)</f>
        <v>43539.99861</v>
      </c>
      <c r="B2729" s="1">
        <f>IFERROR(__xludf.DUMMYFUNCTION("""COMPUTED_VALUE"""),0.616620566)</f>
        <v>0.616620566</v>
      </c>
    </row>
    <row r="2730">
      <c r="A2730" s="3">
        <f>IFERROR(__xludf.DUMMYFUNCTION("""COMPUTED_VALUE"""),43540.99861111111)</f>
        <v>43540.99861</v>
      </c>
      <c r="B2730" s="1">
        <f>IFERROR(__xludf.DUMMYFUNCTION("""COMPUTED_VALUE"""),0.61601557)</f>
        <v>0.61601557</v>
      </c>
    </row>
    <row r="2731">
      <c r="A2731" s="3">
        <f>IFERROR(__xludf.DUMMYFUNCTION("""COMPUTED_VALUE"""),43541.99861111111)</f>
        <v>43541.99861</v>
      </c>
      <c r="B2731" s="1">
        <f>IFERROR(__xludf.DUMMYFUNCTION("""COMPUTED_VALUE"""),0.6148266915)</f>
        <v>0.6148266915</v>
      </c>
    </row>
    <row r="2732">
      <c r="A2732" s="3">
        <f>IFERROR(__xludf.DUMMYFUNCTION("""COMPUTED_VALUE"""),43542.99861111111)</f>
        <v>43542.99861</v>
      </c>
      <c r="B2732" s="1">
        <f>IFERROR(__xludf.DUMMYFUNCTION("""COMPUTED_VALUE"""),0.61345045)</f>
        <v>0.61345045</v>
      </c>
    </row>
    <row r="2733">
      <c r="A2733" s="3">
        <f>IFERROR(__xludf.DUMMYFUNCTION("""COMPUTED_VALUE"""),43543.99861111111)</f>
        <v>43543.99861</v>
      </c>
      <c r="B2733" s="1">
        <f>IFERROR(__xludf.DUMMYFUNCTION("""COMPUTED_VALUE"""),0.61327031)</f>
        <v>0.61327031</v>
      </c>
    </row>
    <row r="2734">
      <c r="A2734" s="3">
        <f>IFERROR(__xludf.DUMMYFUNCTION("""COMPUTED_VALUE"""),43544.99861111111)</f>
        <v>43544.99861</v>
      </c>
      <c r="B2734" s="1">
        <f>IFERROR(__xludf.DUMMYFUNCTION("""COMPUTED_VALUE"""),0.609756444)</f>
        <v>0.609756444</v>
      </c>
    </row>
    <row r="2735">
      <c r="A2735" s="3">
        <f>IFERROR(__xludf.DUMMYFUNCTION("""COMPUTED_VALUE"""),43545.99861111111)</f>
        <v>43545.99861</v>
      </c>
      <c r="B2735" s="1">
        <f>IFERROR(__xludf.DUMMYFUNCTION("""COMPUTED_VALUE"""),0.60861388)</f>
        <v>0.60861388</v>
      </c>
    </row>
    <row r="2736">
      <c r="A2736" s="3">
        <f>IFERROR(__xludf.DUMMYFUNCTION("""COMPUTED_VALUE"""),43546.99861111111)</f>
        <v>43546.99861</v>
      </c>
      <c r="B2736" s="1">
        <f>IFERROR(__xludf.DUMMYFUNCTION("""COMPUTED_VALUE"""),0.6179838475)</f>
        <v>0.6179838475</v>
      </c>
    </row>
    <row r="2737">
      <c r="A2737" s="3">
        <f>IFERROR(__xludf.DUMMYFUNCTION("""COMPUTED_VALUE"""),43547.99861111111)</f>
        <v>43547.99861</v>
      </c>
      <c r="B2737" s="1">
        <f>IFERROR(__xludf.DUMMYFUNCTION("""COMPUTED_VALUE"""),0.6179838475)</f>
        <v>0.6179838475</v>
      </c>
    </row>
    <row r="2738">
      <c r="A2738" s="3">
        <f>IFERROR(__xludf.DUMMYFUNCTION("""COMPUTED_VALUE"""),43548.99861111111)</f>
        <v>43548.99861</v>
      </c>
      <c r="B2738" s="1">
        <f>IFERROR(__xludf.DUMMYFUNCTION("""COMPUTED_VALUE"""),0.6105327475)</f>
        <v>0.6105327475</v>
      </c>
    </row>
    <row r="2739">
      <c r="A2739" s="3">
        <f>IFERROR(__xludf.DUMMYFUNCTION("""COMPUTED_VALUE"""),43549.99861111111)</f>
        <v>43549.99861</v>
      </c>
      <c r="B2739" s="1">
        <f>IFERROR(__xludf.DUMMYFUNCTION("""COMPUTED_VALUE"""),0.61168266)</f>
        <v>0.61168266</v>
      </c>
    </row>
    <row r="2740">
      <c r="A2740" s="3">
        <f>IFERROR(__xludf.DUMMYFUNCTION("""COMPUTED_VALUE"""),43550.99861111111)</f>
        <v>43550.99861</v>
      </c>
      <c r="B2740" s="1">
        <f>IFERROR(__xludf.DUMMYFUNCTION("""COMPUTED_VALUE"""),0.60911162)</f>
        <v>0.60911162</v>
      </c>
    </row>
    <row r="2741">
      <c r="A2741" s="3">
        <f>IFERROR(__xludf.DUMMYFUNCTION("""COMPUTED_VALUE"""),43551.99861111111)</f>
        <v>43551.99861</v>
      </c>
      <c r="B2741" s="1">
        <f>IFERROR(__xludf.DUMMYFUNCTION("""COMPUTED_VALUE"""),0.61712175)</f>
        <v>0.61712175</v>
      </c>
    </row>
    <row r="2742">
      <c r="A2742" s="3">
        <f>IFERROR(__xludf.DUMMYFUNCTION("""COMPUTED_VALUE"""),43552.99861111111)</f>
        <v>43552.99861</v>
      </c>
      <c r="B2742" s="1">
        <f>IFERROR(__xludf.DUMMYFUNCTION("""COMPUTED_VALUE"""),0.614143524)</f>
        <v>0.614143524</v>
      </c>
    </row>
    <row r="2743">
      <c r="A2743" s="3">
        <f>IFERROR(__xludf.DUMMYFUNCTION("""COMPUTED_VALUE"""),43553.99861111111)</f>
        <v>43553.99861</v>
      </c>
      <c r="B2743" s="1">
        <f>IFERROR(__xludf.DUMMYFUNCTION("""COMPUTED_VALUE"""),0.617062056)</f>
        <v>0.617062056</v>
      </c>
    </row>
    <row r="2744">
      <c r="A2744" s="3">
        <f>IFERROR(__xludf.DUMMYFUNCTION("""COMPUTED_VALUE"""),43554.99861111111)</f>
        <v>43554.99861</v>
      </c>
      <c r="B2744" s="1">
        <f>IFERROR(__xludf.DUMMYFUNCTION("""COMPUTED_VALUE"""),0.61391488)</f>
        <v>0.61391488</v>
      </c>
    </row>
    <row r="2745">
      <c r="A2745" s="3">
        <f>IFERROR(__xludf.DUMMYFUNCTION("""COMPUTED_VALUE"""),43555.99861111111)</f>
        <v>43555.99861</v>
      </c>
      <c r="B2745" s="1">
        <f>IFERROR(__xludf.DUMMYFUNCTION("""COMPUTED_VALUE"""),0.61348056)</f>
        <v>0.61348056</v>
      </c>
    </row>
    <row r="2746">
      <c r="A2746" s="3">
        <f>IFERROR(__xludf.DUMMYFUNCTION("""COMPUTED_VALUE"""),43556.99861111111)</f>
        <v>43556.99861</v>
      </c>
      <c r="B2746" s="1">
        <f>IFERROR(__xludf.DUMMYFUNCTION("""COMPUTED_VALUE"""),0.612784567)</f>
        <v>0.612784567</v>
      </c>
    </row>
    <row r="2747">
      <c r="A2747" s="3">
        <f>IFERROR(__xludf.DUMMYFUNCTION("""COMPUTED_VALUE"""),43557.99861111111)</f>
        <v>43557.99861</v>
      </c>
      <c r="B2747" s="1">
        <f>IFERROR(__xludf.DUMMYFUNCTION("""COMPUTED_VALUE"""),0.61335126)</f>
        <v>0.61335126</v>
      </c>
    </row>
    <row r="2748">
      <c r="A2748" s="3">
        <f>IFERROR(__xludf.DUMMYFUNCTION("""COMPUTED_VALUE"""),43558.99861111111)</f>
        <v>43558.99861</v>
      </c>
      <c r="B2748" s="1">
        <f>IFERROR(__xludf.DUMMYFUNCTION("""COMPUTED_VALUE"""),0.6132375)</f>
        <v>0.6132375</v>
      </c>
    </row>
    <row r="2749">
      <c r="A2749" s="3">
        <f>IFERROR(__xludf.DUMMYFUNCTION("""COMPUTED_VALUE"""),43559.99861111111)</f>
        <v>43559.99861</v>
      </c>
      <c r="B2749" s="1">
        <f>IFERROR(__xludf.DUMMYFUNCTION("""COMPUTED_VALUE"""),0.610146089)</f>
        <v>0.610146089</v>
      </c>
    </row>
    <row r="2750">
      <c r="A2750" s="3">
        <f>IFERROR(__xludf.DUMMYFUNCTION("""COMPUTED_VALUE"""),43560.99861111111)</f>
        <v>43560.99861</v>
      </c>
      <c r="B2750" s="1">
        <f>IFERROR(__xludf.DUMMYFUNCTION("""COMPUTED_VALUE"""),0.608852093)</f>
        <v>0.608852093</v>
      </c>
    </row>
    <row r="2751">
      <c r="A2751" s="3">
        <f>IFERROR(__xludf.DUMMYFUNCTION("""COMPUTED_VALUE"""),43561.99861111111)</f>
        <v>43561.99861</v>
      </c>
      <c r="B2751" s="1">
        <f>IFERROR(__xludf.DUMMYFUNCTION("""COMPUTED_VALUE"""),0.608852093)</f>
        <v>0.608852093</v>
      </c>
    </row>
    <row r="2752">
      <c r="A2752" s="3">
        <f>IFERROR(__xludf.DUMMYFUNCTION("""COMPUTED_VALUE"""),43562.99861111111)</f>
        <v>43562.99861</v>
      </c>
      <c r="B2752" s="1">
        <f>IFERROR(__xludf.DUMMYFUNCTION("""COMPUTED_VALUE"""),0.608097555)</f>
        <v>0.608097555</v>
      </c>
    </row>
    <row r="2753">
      <c r="A2753" s="3">
        <f>IFERROR(__xludf.DUMMYFUNCTION("""COMPUTED_VALUE"""),43563.99861111111)</f>
        <v>43563.99861</v>
      </c>
      <c r="B2753" s="1">
        <f>IFERROR(__xludf.DUMMYFUNCTION("""COMPUTED_VALUE"""),0.61285667)</f>
        <v>0.61285667</v>
      </c>
    </row>
    <row r="2754">
      <c r="A2754" s="3">
        <f>IFERROR(__xludf.DUMMYFUNCTION("""COMPUTED_VALUE"""),43564.99861111111)</f>
        <v>43564.99861</v>
      </c>
      <c r="B2754" s="1">
        <f>IFERROR(__xludf.DUMMYFUNCTION("""COMPUTED_VALUE"""),0.6091602245)</f>
        <v>0.6091602245</v>
      </c>
    </row>
    <row r="2755">
      <c r="A2755" s="3">
        <f>IFERROR(__xludf.DUMMYFUNCTION("""COMPUTED_VALUE"""),43565.99861111111)</f>
        <v>43565.99861</v>
      </c>
      <c r="B2755" s="1">
        <f>IFERROR(__xludf.DUMMYFUNCTION("""COMPUTED_VALUE"""),0.6115355025)</f>
        <v>0.6115355025</v>
      </c>
    </row>
    <row r="2756">
      <c r="A2756" s="3">
        <f>IFERROR(__xludf.DUMMYFUNCTION("""COMPUTED_VALUE"""),43566.99861111111)</f>
        <v>43566.99861</v>
      </c>
      <c r="B2756" s="1">
        <f>IFERROR(__xludf.DUMMYFUNCTION("""COMPUTED_VALUE"""),0.6086947125)</f>
        <v>0.6086947125</v>
      </c>
    </row>
    <row r="2757">
      <c r="A2757" s="3">
        <f>IFERROR(__xludf.DUMMYFUNCTION("""COMPUTED_VALUE"""),43567.99861111111)</f>
        <v>43567.99861</v>
      </c>
      <c r="B2757" s="1">
        <f>IFERROR(__xludf.DUMMYFUNCTION("""COMPUTED_VALUE"""),0.6088999275)</f>
        <v>0.6088999275</v>
      </c>
    </row>
    <row r="2758">
      <c r="A2758" s="3">
        <f>IFERROR(__xludf.DUMMYFUNCTION("""COMPUTED_VALUE"""),43568.99861111111)</f>
        <v>43568.99861</v>
      </c>
      <c r="B2758" s="1">
        <f>IFERROR(__xludf.DUMMYFUNCTION("""COMPUTED_VALUE"""),0.6079508805)</f>
        <v>0.6079508805</v>
      </c>
    </row>
    <row r="2759">
      <c r="A2759" s="3">
        <f>IFERROR(__xludf.DUMMYFUNCTION("""COMPUTED_VALUE"""),43569.99861111111)</f>
        <v>43569.99861</v>
      </c>
      <c r="B2759" s="1">
        <f>IFERROR(__xludf.DUMMYFUNCTION("""COMPUTED_VALUE"""),0.6070912075)</f>
        <v>0.6070912075</v>
      </c>
    </row>
    <row r="2760">
      <c r="A2760" s="3">
        <f>IFERROR(__xludf.DUMMYFUNCTION("""COMPUTED_VALUE"""),43570.99861111111)</f>
        <v>43570.99861</v>
      </c>
      <c r="B2760" s="1">
        <f>IFERROR(__xludf.DUMMYFUNCTION("""COMPUTED_VALUE"""),0.6099552592)</f>
        <v>0.6099552592</v>
      </c>
    </row>
    <row r="2761">
      <c r="A2761" s="3">
        <f>IFERROR(__xludf.DUMMYFUNCTION("""COMPUTED_VALUE"""),43571.99861111111)</f>
        <v>43571.99861</v>
      </c>
      <c r="B2761" s="1">
        <f>IFERROR(__xludf.DUMMYFUNCTION("""COMPUTED_VALUE"""),0.606429675)</f>
        <v>0.606429675</v>
      </c>
    </row>
    <row r="2762">
      <c r="A2762" s="3">
        <f>IFERROR(__xludf.DUMMYFUNCTION("""COMPUTED_VALUE"""),43572.99861111111)</f>
        <v>43572.99861</v>
      </c>
      <c r="B2762" s="1">
        <f>IFERROR(__xludf.DUMMYFUNCTION("""COMPUTED_VALUE"""),0.6065775675)</f>
        <v>0.6065775675</v>
      </c>
    </row>
    <row r="2763">
      <c r="A2763" s="3">
        <f>IFERROR(__xludf.DUMMYFUNCTION("""COMPUTED_VALUE"""),43573.99861111111)</f>
        <v>43573.99861</v>
      </c>
      <c r="B2763" s="1">
        <f>IFERROR(__xludf.DUMMYFUNCTION("""COMPUTED_VALUE"""),0.604340505)</f>
        <v>0.604340505</v>
      </c>
    </row>
    <row r="2764">
      <c r="A2764" s="3">
        <f>IFERROR(__xludf.DUMMYFUNCTION("""COMPUTED_VALUE"""),43574.99861111111)</f>
        <v>43574.99861</v>
      </c>
      <c r="B2764" s="1">
        <f>IFERROR(__xludf.DUMMYFUNCTION("""COMPUTED_VALUE"""),0.6047364645)</f>
        <v>0.6047364645</v>
      </c>
    </row>
    <row r="2765">
      <c r="A2765" s="3">
        <f>IFERROR(__xludf.DUMMYFUNCTION("""COMPUTED_VALUE"""),43575.99861111111)</f>
        <v>43575.99861</v>
      </c>
      <c r="B2765" s="1">
        <f>IFERROR(__xludf.DUMMYFUNCTION("""COMPUTED_VALUE"""),0.6047364645)</f>
        <v>0.6047364645</v>
      </c>
    </row>
    <row r="2766">
      <c r="A2766" s="3">
        <f>IFERROR(__xludf.DUMMYFUNCTION("""COMPUTED_VALUE"""),43576.99861111111)</f>
        <v>43576.99861</v>
      </c>
      <c r="B2766" s="1">
        <f>IFERROR(__xludf.DUMMYFUNCTION("""COMPUTED_VALUE"""),0.6047969025)</f>
        <v>0.6047969025</v>
      </c>
    </row>
    <row r="2767">
      <c r="A2767" s="3">
        <f>IFERROR(__xludf.DUMMYFUNCTION("""COMPUTED_VALUE"""),43577.99861111111)</f>
        <v>43577.99861</v>
      </c>
      <c r="B2767" s="1">
        <f>IFERROR(__xludf.DUMMYFUNCTION("""COMPUTED_VALUE"""),0.606759874)</f>
        <v>0.606759874</v>
      </c>
    </row>
    <row r="2768">
      <c r="A2768" s="3">
        <f>IFERROR(__xludf.DUMMYFUNCTION("""COMPUTED_VALUE"""),43578.99861111111)</f>
        <v>43578.99861</v>
      </c>
      <c r="B2768" s="1">
        <f>IFERROR(__xludf.DUMMYFUNCTION("""COMPUTED_VALUE"""),0.604530096)</f>
        <v>0.604530096</v>
      </c>
    </row>
    <row r="2769">
      <c r="A2769" s="3">
        <f>IFERROR(__xludf.DUMMYFUNCTION("""COMPUTED_VALUE"""),43579.99861111111)</f>
        <v>43579.99861</v>
      </c>
      <c r="B2769" s="1">
        <f>IFERROR(__xludf.DUMMYFUNCTION("""COMPUTED_VALUE"""),0.6070183455)</f>
        <v>0.6070183455</v>
      </c>
    </row>
    <row r="2770">
      <c r="A2770" s="3">
        <f>IFERROR(__xludf.DUMMYFUNCTION("""COMPUTED_VALUE"""),43580.99861111111)</f>
        <v>43580.99861</v>
      </c>
      <c r="B2770" s="1">
        <f>IFERROR(__xludf.DUMMYFUNCTION("""COMPUTED_VALUE"""),0.616653593)</f>
        <v>0.616653593</v>
      </c>
    </row>
    <row r="2771">
      <c r="A2771" s="3">
        <f>IFERROR(__xludf.DUMMYFUNCTION("""COMPUTED_VALUE"""),43581.99861111111)</f>
        <v>43581.99861</v>
      </c>
      <c r="B2771" s="1">
        <f>IFERROR(__xludf.DUMMYFUNCTION("""COMPUTED_VALUE"""),0.6107217317)</f>
        <v>0.6107217317</v>
      </c>
    </row>
    <row r="2772">
      <c r="A2772" s="3">
        <f>IFERROR(__xludf.DUMMYFUNCTION("""COMPUTED_VALUE"""),43582.99861111111)</f>
        <v>43582.99861</v>
      </c>
      <c r="B2772" s="1">
        <f>IFERROR(__xludf.DUMMYFUNCTION("""COMPUTED_VALUE"""),0.6107217317)</f>
        <v>0.6107217317</v>
      </c>
    </row>
    <row r="2773">
      <c r="A2773" s="3">
        <f>IFERROR(__xludf.DUMMYFUNCTION("""COMPUTED_VALUE"""),43583.99861111111)</f>
        <v>43583.99861</v>
      </c>
      <c r="B2773" s="1">
        <f>IFERROR(__xludf.DUMMYFUNCTION("""COMPUTED_VALUE"""),0.609353484)</f>
        <v>0.609353484</v>
      </c>
    </row>
    <row r="2774">
      <c r="A2774" s="3">
        <f>IFERROR(__xludf.DUMMYFUNCTION("""COMPUTED_VALUE"""),43584.99861111111)</f>
        <v>43584.99861</v>
      </c>
      <c r="B2774" s="1">
        <f>IFERROR(__xludf.DUMMYFUNCTION("""COMPUTED_VALUE"""),0.611600147)</f>
        <v>0.611600147</v>
      </c>
    </row>
    <row r="2775">
      <c r="A2775" s="3">
        <f>IFERROR(__xludf.DUMMYFUNCTION("""COMPUTED_VALUE"""),43585.99861111111)</f>
        <v>43585.99861</v>
      </c>
      <c r="B2775" s="1">
        <f>IFERROR(__xludf.DUMMYFUNCTION("""COMPUTED_VALUE"""),0.61219425)</f>
        <v>0.61219425</v>
      </c>
    </row>
    <row r="2776">
      <c r="A2776" s="3">
        <f>IFERROR(__xludf.DUMMYFUNCTION("""COMPUTED_VALUE"""),43586.99861111111)</f>
        <v>43586.99861</v>
      </c>
      <c r="B2776" s="1">
        <f>IFERROR(__xludf.DUMMYFUNCTION("""COMPUTED_VALUE"""),0.6112052378)</f>
        <v>0.6112052378</v>
      </c>
    </row>
    <row r="2777">
      <c r="A2777" s="3">
        <f>IFERROR(__xludf.DUMMYFUNCTION("""COMPUTED_VALUE"""),43587.99861111111)</f>
        <v>43587.99861</v>
      </c>
      <c r="B2777" s="1">
        <f>IFERROR(__xludf.DUMMYFUNCTION("""COMPUTED_VALUE"""),0.611097)</f>
        <v>0.611097</v>
      </c>
    </row>
    <row r="2778">
      <c r="A2778" s="3">
        <f>IFERROR(__xludf.DUMMYFUNCTION("""COMPUTED_VALUE"""),43588.99861111111)</f>
        <v>43588.99861</v>
      </c>
      <c r="B2778" s="1">
        <f>IFERROR(__xludf.DUMMYFUNCTION("""COMPUTED_VALUE"""),0.614137086)</f>
        <v>0.614137086</v>
      </c>
    </row>
    <row r="2779">
      <c r="A2779" s="3">
        <f>IFERROR(__xludf.DUMMYFUNCTION("""COMPUTED_VALUE"""),43589.99861111111)</f>
        <v>43589.99861</v>
      </c>
      <c r="B2779" s="1">
        <f>IFERROR(__xludf.DUMMYFUNCTION("""COMPUTED_VALUE"""),0.614137086)</f>
        <v>0.614137086</v>
      </c>
    </row>
    <row r="2780">
      <c r="A2780" s="3">
        <f>IFERROR(__xludf.DUMMYFUNCTION("""COMPUTED_VALUE"""),43590.99861111111)</f>
        <v>43590.99861</v>
      </c>
      <c r="B2780" s="1">
        <f>IFERROR(__xludf.DUMMYFUNCTION("""COMPUTED_VALUE"""),0.6139919805)</f>
        <v>0.6139919805</v>
      </c>
    </row>
    <row r="2781">
      <c r="A2781" s="3">
        <f>IFERROR(__xludf.DUMMYFUNCTION("""COMPUTED_VALUE"""),43591.99861111111)</f>
        <v>43591.99861</v>
      </c>
      <c r="B2781" s="1">
        <f>IFERROR(__xludf.DUMMYFUNCTION("""COMPUTED_VALUE"""),0.6143202865)</f>
        <v>0.6143202865</v>
      </c>
    </row>
    <row r="2782">
      <c r="A2782" s="3">
        <f>IFERROR(__xludf.DUMMYFUNCTION("""COMPUTED_VALUE"""),43592.99861111111)</f>
        <v>43592.99861</v>
      </c>
      <c r="B2782" s="1">
        <f>IFERROR(__xludf.DUMMYFUNCTION("""COMPUTED_VALUE"""),0.615865775)</f>
        <v>0.615865775</v>
      </c>
    </row>
    <row r="2783">
      <c r="A2783" s="3">
        <f>IFERROR(__xludf.DUMMYFUNCTION("""COMPUTED_VALUE"""),43593.99861111111)</f>
        <v>43593.99861</v>
      </c>
      <c r="B2783" s="1">
        <f>IFERROR(__xludf.DUMMYFUNCTION("""COMPUTED_VALUE"""),0.61156869)</f>
        <v>0.61156869</v>
      </c>
    </row>
    <row r="2784">
      <c r="A2784" s="3">
        <f>IFERROR(__xludf.DUMMYFUNCTION("""COMPUTED_VALUE"""),43594.99861111111)</f>
        <v>43594.99861</v>
      </c>
      <c r="B2784" s="1">
        <f>IFERROR(__xludf.DUMMYFUNCTION("""COMPUTED_VALUE"""),0.614890325)</f>
        <v>0.614890325</v>
      </c>
    </row>
    <row r="2785">
      <c r="A2785" s="3">
        <f>IFERROR(__xludf.DUMMYFUNCTION("""COMPUTED_VALUE"""),43595.99861111111)</f>
        <v>43595.99861</v>
      </c>
      <c r="B2785" s="1">
        <f>IFERROR(__xludf.DUMMYFUNCTION("""COMPUTED_VALUE"""),0.6135404567)</f>
        <v>0.6135404567</v>
      </c>
    </row>
    <row r="2786">
      <c r="A2786" s="3">
        <f>IFERROR(__xludf.DUMMYFUNCTION("""COMPUTED_VALUE"""),43596.99861111111)</f>
        <v>43596.99861</v>
      </c>
      <c r="B2786" s="1">
        <f>IFERROR(__xludf.DUMMYFUNCTION("""COMPUTED_VALUE"""),0.6135404567)</f>
        <v>0.6135404567</v>
      </c>
    </row>
    <row r="2787">
      <c r="A2787" s="3">
        <f>IFERROR(__xludf.DUMMYFUNCTION("""COMPUTED_VALUE"""),43597.99861111111)</f>
        <v>43597.99861</v>
      </c>
      <c r="B2787" s="1">
        <f>IFERROR(__xludf.DUMMYFUNCTION("""COMPUTED_VALUE"""),0.6138190875)</f>
        <v>0.6138190875</v>
      </c>
    </row>
    <row r="2788">
      <c r="A2788" s="3">
        <f>IFERROR(__xludf.DUMMYFUNCTION("""COMPUTED_VALUE"""),43598.99861111111)</f>
        <v>43598.99861</v>
      </c>
      <c r="B2788" s="1">
        <f>IFERROR(__xludf.DUMMYFUNCTION("""COMPUTED_VALUE"""),0.621689202)</f>
        <v>0.621689202</v>
      </c>
    </row>
    <row r="2789">
      <c r="A2789" s="3">
        <f>IFERROR(__xludf.DUMMYFUNCTION("""COMPUTED_VALUE"""),43599.99861111111)</f>
        <v>43599.99861</v>
      </c>
      <c r="B2789" s="1">
        <f>IFERROR(__xludf.DUMMYFUNCTION("""COMPUTED_VALUE"""),0.615980625)</f>
        <v>0.615980625</v>
      </c>
    </row>
    <row r="2790">
      <c r="A2790" s="3">
        <f>IFERROR(__xludf.DUMMYFUNCTION("""COMPUTED_VALUE"""),43600.99861111111)</f>
        <v>43600.99861</v>
      </c>
      <c r="B2790" s="1">
        <f>IFERROR(__xludf.DUMMYFUNCTION("""COMPUTED_VALUE"""),0.6241928315)</f>
        <v>0.6241928315</v>
      </c>
    </row>
    <row r="2791">
      <c r="A2791" s="3">
        <f>IFERROR(__xludf.DUMMYFUNCTION("""COMPUTED_VALUE"""),43601.99861111111)</f>
        <v>43601.99861</v>
      </c>
      <c r="B2791" s="1">
        <f>IFERROR(__xludf.DUMMYFUNCTION("""COMPUTED_VALUE"""),0.6235062712)</f>
        <v>0.6235062712</v>
      </c>
    </row>
    <row r="2792">
      <c r="A2792" s="3">
        <f>IFERROR(__xludf.DUMMYFUNCTION("""COMPUTED_VALUE"""),43602.99861111111)</f>
        <v>43602.99861</v>
      </c>
      <c r="B2792" s="1">
        <f>IFERROR(__xludf.DUMMYFUNCTION("""COMPUTED_VALUE"""),0.620440345)</f>
        <v>0.620440345</v>
      </c>
    </row>
    <row r="2793">
      <c r="A2793" s="3">
        <f>IFERROR(__xludf.DUMMYFUNCTION("""COMPUTED_VALUE"""),43603.99861111111)</f>
        <v>43603.99861</v>
      </c>
      <c r="B2793" s="1">
        <f>IFERROR(__xludf.DUMMYFUNCTION("""COMPUTED_VALUE"""),0.620440345)</f>
        <v>0.620440345</v>
      </c>
    </row>
    <row r="2794">
      <c r="A2794" s="3">
        <f>IFERROR(__xludf.DUMMYFUNCTION("""COMPUTED_VALUE"""),43604.99861111111)</f>
        <v>43604.99861</v>
      </c>
      <c r="B2794" s="1">
        <f>IFERROR(__xludf.DUMMYFUNCTION("""COMPUTED_VALUE"""),0.617715825)</f>
        <v>0.617715825</v>
      </c>
    </row>
    <row r="2795">
      <c r="A2795" s="3">
        <f>IFERROR(__xludf.DUMMYFUNCTION("""COMPUTED_VALUE"""),43605.99861111111)</f>
        <v>43605.99861</v>
      </c>
      <c r="B2795" s="1">
        <f>IFERROR(__xludf.DUMMYFUNCTION("""COMPUTED_VALUE"""),0.6184788575)</f>
        <v>0.6184788575</v>
      </c>
    </row>
    <row r="2796">
      <c r="A2796" s="3">
        <f>IFERROR(__xludf.DUMMYFUNCTION("""COMPUTED_VALUE"""),43606.99861111111)</f>
        <v>43606.99861</v>
      </c>
      <c r="B2796" s="1">
        <f>IFERROR(__xludf.DUMMYFUNCTION("""COMPUTED_VALUE"""),0.619237216)</f>
        <v>0.619237216</v>
      </c>
    </row>
    <row r="2797">
      <c r="A2797" s="3">
        <f>IFERROR(__xludf.DUMMYFUNCTION("""COMPUTED_VALUE"""),43607.99861111111)</f>
        <v>43607.99861</v>
      </c>
      <c r="B2797" s="1">
        <f>IFERROR(__xludf.DUMMYFUNCTION("""COMPUTED_VALUE"""),0.62076945)</f>
        <v>0.62076945</v>
      </c>
    </row>
    <row r="2798">
      <c r="A2798" s="3">
        <f>IFERROR(__xludf.DUMMYFUNCTION("""COMPUTED_VALUE"""),43608.99861111111)</f>
        <v>43608.99861</v>
      </c>
      <c r="B2798" s="1">
        <f>IFERROR(__xludf.DUMMYFUNCTION("""COMPUTED_VALUE"""),0.62115822)</f>
        <v>0.62115822</v>
      </c>
    </row>
    <row r="2799">
      <c r="A2799" s="3">
        <f>IFERROR(__xludf.DUMMYFUNCTION("""COMPUTED_VALUE"""),43609.99861111111)</f>
        <v>43609.99861</v>
      </c>
      <c r="B2799" s="1">
        <f>IFERROR(__xludf.DUMMYFUNCTION("""COMPUTED_VALUE"""),0.61671059)</f>
        <v>0.61671059</v>
      </c>
    </row>
    <row r="2800">
      <c r="A2800" s="3">
        <f>IFERROR(__xludf.DUMMYFUNCTION("""COMPUTED_VALUE"""),43610.99861111111)</f>
        <v>43610.99861</v>
      </c>
      <c r="B2800" s="1">
        <f>IFERROR(__xludf.DUMMYFUNCTION("""COMPUTED_VALUE"""),0.61671059)</f>
        <v>0.61671059</v>
      </c>
    </row>
    <row r="2801">
      <c r="A2801" s="3">
        <f>IFERROR(__xludf.DUMMYFUNCTION("""COMPUTED_VALUE"""),43611.99861111111)</f>
        <v>43611.99861</v>
      </c>
      <c r="B2801" s="1">
        <f>IFERROR(__xludf.DUMMYFUNCTION("""COMPUTED_VALUE"""),0.616840801)</f>
        <v>0.616840801</v>
      </c>
    </row>
    <row r="2802">
      <c r="A2802" s="3">
        <f>IFERROR(__xludf.DUMMYFUNCTION("""COMPUTED_VALUE"""),43612.99861111111)</f>
        <v>43612.99861</v>
      </c>
      <c r="B2802" s="1">
        <f>IFERROR(__xludf.DUMMYFUNCTION("""COMPUTED_VALUE"""),0.6182764875)</f>
        <v>0.6182764875</v>
      </c>
    </row>
    <row r="2803">
      <c r="A2803" s="3">
        <f>IFERROR(__xludf.DUMMYFUNCTION("""COMPUTED_VALUE"""),43613.99861111111)</f>
        <v>43613.99861</v>
      </c>
      <c r="B2803" s="1">
        <f>IFERROR(__xludf.DUMMYFUNCTION("""COMPUTED_VALUE"""),0.6175861025)</f>
        <v>0.6175861025</v>
      </c>
    </row>
    <row r="2804">
      <c r="A2804" s="3">
        <f>IFERROR(__xludf.DUMMYFUNCTION("""COMPUTED_VALUE"""),43614.99861111111)</f>
        <v>43614.99861</v>
      </c>
      <c r="B2804" s="1">
        <f>IFERROR(__xludf.DUMMYFUNCTION("""COMPUTED_VALUE"""),0.614232)</f>
        <v>0.614232</v>
      </c>
    </row>
    <row r="2805">
      <c r="A2805" s="3">
        <f>IFERROR(__xludf.DUMMYFUNCTION("""COMPUTED_VALUE"""),43615.99861111111)</f>
        <v>43615.99861</v>
      </c>
      <c r="B2805" s="1">
        <f>IFERROR(__xludf.DUMMYFUNCTION("""COMPUTED_VALUE"""),0.615099132)</f>
        <v>0.615099132</v>
      </c>
    </row>
    <row r="2806">
      <c r="A2806" s="3">
        <f>IFERROR(__xludf.DUMMYFUNCTION("""COMPUTED_VALUE"""),43616.99861111111)</f>
        <v>43616.99861</v>
      </c>
      <c r="B2806" s="1">
        <f>IFERROR(__xludf.DUMMYFUNCTION("""COMPUTED_VALUE"""),0.6131765165)</f>
        <v>0.6131765165</v>
      </c>
    </row>
    <row r="2807">
      <c r="A2807" s="3">
        <f>IFERROR(__xludf.DUMMYFUNCTION("""COMPUTED_VALUE"""),43617.99861111111)</f>
        <v>43617.99861</v>
      </c>
      <c r="B2807" s="1">
        <f>IFERROR(__xludf.DUMMYFUNCTION("""COMPUTED_VALUE"""),0.6131765165)</f>
        <v>0.6131765165</v>
      </c>
    </row>
    <row r="2808">
      <c r="A2808" s="3">
        <f>IFERROR(__xludf.DUMMYFUNCTION("""COMPUTED_VALUE"""),43618.99861111111)</f>
        <v>43618.99861</v>
      </c>
      <c r="B2808" s="1">
        <f>IFERROR(__xludf.DUMMYFUNCTION("""COMPUTED_VALUE"""),0.611355425)</f>
        <v>0.611355425</v>
      </c>
    </row>
    <row r="2809">
      <c r="A2809" s="3">
        <f>IFERROR(__xludf.DUMMYFUNCTION("""COMPUTED_VALUE"""),43619.99861111111)</f>
        <v>43619.99861</v>
      </c>
      <c r="B2809" s="1">
        <f>IFERROR(__xludf.DUMMYFUNCTION("""COMPUTED_VALUE"""),0.61222032)</f>
        <v>0.61222032</v>
      </c>
    </row>
    <row r="2810">
      <c r="A2810" s="3">
        <f>IFERROR(__xludf.DUMMYFUNCTION("""COMPUTED_VALUE"""),43620.99861111111)</f>
        <v>43620.99861</v>
      </c>
      <c r="B2810" s="1">
        <f>IFERROR(__xludf.DUMMYFUNCTION("""COMPUTED_VALUE"""),0.609735695)</f>
        <v>0.609735695</v>
      </c>
    </row>
    <row r="2811">
      <c r="A2811" s="3">
        <f>IFERROR(__xludf.DUMMYFUNCTION("""COMPUTED_VALUE"""),43621.99861111111)</f>
        <v>43621.99861</v>
      </c>
      <c r="B2811" s="1">
        <f>IFERROR(__xludf.DUMMYFUNCTION("""COMPUTED_VALUE"""),0.6085977567)</f>
        <v>0.6085977567</v>
      </c>
    </row>
    <row r="2812">
      <c r="A2812" s="3">
        <f>IFERROR(__xludf.DUMMYFUNCTION("""COMPUTED_VALUE"""),43622.99861111111)</f>
        <v>43622.99861</v>
      </c>
      <c r="B2812" s="1">
        <f>IFERROR(__xludf.DUMMYFUNCTION("""COMPUTED_VALUE"""),0.6118541187)</f>
        <v>0.6118541187</v>
      </c>
    </row>
    <row r="2813">
      <c r="A2813" s="3">
        <f>IFERROR(__xludf.DUMMYFUNCTION("""COMPUTED_VALUE"""),43623.99861111111)</f>
        <v>43623.99861</v>
      </c>
      <c r="B2813" s="1">
        <f>IFERROR(__xludf.DUMMYFUNCTION("""COMPUTED_VALUE"""),0.612278433)</f>
        <v>0.612278433</v>
      </c>
    </row>
    <row r="2814">
      <c r="A2814" s="3">
        <f>IFERROR(__xludf.DUMMYFUNCTION("""COMPUTED_VALUE"""),43624.99861111111)</f>
        <v>43624.99861</v>
      </c>
      <c r="B2814" s="1">
        <f>IFERROR(__xludf.DUMMYFUNCTION("""COMPUTED_VALUE"""),0.612278433)</f>
        <v>0.612278433</v>
      </c>
    </row>
    <row r="2815">
      <c r="A2815" s="3">
        <f>IFERROR(__xludf.DUMMYFUNCTION("""COMPUTED_VALUE"""),43625.99861111111)</f>
        <v>43625.99861</v>
      </c>
      <c r="B2815" s="1">
        <f>IFERROR(__xludf.DUMMYFUNCTION("""COMPUTED_VALUE"""),0.6134253)</f>
        <v>0.6134253</v>
      </c>
    </row>
    <row r="2816">
      <c r="A2816" s="3">
        <f>IFERROR(__xludf.DUMMYFUNCTION("""COMPUTED_VALUE"""),43626.99861111111)</f>
        <v>43626.99861</v>
      </c>
      <c r="B2816" s="1">
        <f>IFERROR(__xludf.DUMMYFUNCTION("""COMPUTED_VALUE"""),0.6132476415)</f>
        <v>0.6132476415</v>
      </c>
    </row>
    <row r="2817">
      <c r="A2817" s="3">
        <f>IFERROR(__xludf.DUMMYFUNCTION("""COMPUTED_VALUE"""),43627.99861111111)</f>
        <v>43627.99861</v>
      </c>
      <c r="B2817" s="1">
        <f>IFERROR(__xludf.DUMMYFUNCTION("""COMPUTED_VALUE"""),0.61353432)</f>
        <v>0.61353432</v>
      </c>
    </row>
    <row r="2818">
      <c r="A2818" s="3">
        <f>IFERROR(__xludf.DUMMYFUNCTION("""COMPUTED_VALUE"""),43628.99861111111)</f>
        <v>43628.99861</v>
      </c>
      <c r="B2818" s="1">
        <f>IFERROR(__xludf.DUMMYFUNCTION("""COMPUTED_VALUE"""),0.6103351645)</f>
        <v>0.6103351645</v>
      </c>
    </row>
    <row r="2819">
      <c r="A2819" s="3">
        <f>IFERROR(__xludf.DUMMYFUNCTION("""COMPUTED_VALUE"""),43629.99861111111)</f>
        <v>43629.99861</v>
      </c>
      <c r="B2819" s="1">
        <f>IFERROR(__xludf.DUMMYFUNCTION("""COMPUTED_VALUE"""),0.61211934)</f>
        <v>0.61211934</v>
      </c>
    </row>
    <row r="2820">
      <c r="A2820" s="3">
        <f>IFERROR(__xludf.DUMMYFUNCTION("""COMPUTED_VALUE"""),43630.99861111111)</f>
        <v>43630.99861</v>
      </c>
      <c r="B2820" s="1">
        <f>IFERROR(__xludf.DUMMYFUNCTION("""COMPUTED_VALUE"""),0.6139198312)</f>
        <v>0.6139198312</v>
      </c>
    </row>
    <row r="2821">
      <c r="A2821" s="3">
        <f>IFERROR(__xludf.DUMMYFUNCTION("""COMPUTED_VALUE"""),43631.99861111111)</f>
        <v>43631.99861</v>
      </c>
      <c r="B2821" s="1">
        <f>IFERROR(__xludf.DUMMYFUNCTION("""COMPUTED_VALUE"""),0.6139198312)</f>
        <v>0.6139198312</v>
      </c>
    </row>
    <row r="2822">
      <c r="A2822" s="3">
        <f>IFERROR(__xludf.DUMMYFUNCTION("""COMPUTED_VALUE"""),43632.99861111111)</f>
        <v>43632.99861</v>
      </c>
      <c r="B2822" s="1">
        <f>IFERROR(__xludf.DUMMYFUNCTION("""COMPUTED_VALUE"""),0.6114411375)</f>
        <v>0.6114411375</v>
      </c>
    </row>
    <row r="2823">
      <c r="A2823" s="3">
        <f>IFERROR(__xludf.DUMMYFUNCTION("""COMPUTED_VALUE"""),43633.99861111111)</f>
        <v>43633.99861</v>
      </c>
      <c r="B2823" s="1">
        <f>IFERROR(__xludf.DUMMYFUNCTION("""COMPUTED_VALUE"""),0.617804691)</f>
        <v>0.617804691</v>
      </c>
    </row>
    <row r="2824">
      <c r="A2824" s="3">
        <f>IFERROR(__xludf.DUMMYFUNCTION("""COMPUTED_VALUE"""),43634.99861111111)</f>
        <v>43634.99861</v>
      </c>
      <c r="B2824" s="1">
        <f>IFERROR(__xludf.DUMMYFUNCTION("""COMPUTED_VALUE"""),0.6124479175)</f>
        <v>0.6124479175</v>
      </c>
    </row>
    <row r="2825">
      <c r="A2825" s="3">
        <f>IFERROR(__xludf.DUMMYFUNCTION("""COMPUTED_VALUE"""),43635.99861111111)</f>
        <v>43635.99861</v>
      </c>
      <c r="B2825" s="1">
        <f>IFERROR(__xludf.DUMMYFUNCTION("""COMPUTED_VALUE"""),0.6145700977)</f>
        <v>0.6145700977</v>
      </c>
    </row>
    <row r="2826">
      <c r="A2826" s="3">
        <f>IFERROR(__xludf.DUMMYFUNCTION("""COMPUTED_VALUE"""),43636.99861111111)</f>
        <v>43636.99861</v>
      </c>
      <c r="B2826" s="1">
        <f>IFERROR(__xludf.DUMMYFUNCTION("""COMPUTED_VALUE"""),0.6067709925)</f>
        <v>0.6067709925</v>
      </c>
    </row>
    <row r="2827">
      <c r="A2827" s="3">
        <f>IFERROR(__xludf.DUMMYFUNCTION("""COMPUTED_VALUE"""),43637.99861111111)</f>
        <v>43637.99861</v>
      </c>
      <c r="B2827" s="1">
        <f>IFERROR(__xludf.DUMMYFUNCTION("""COMPUTED_VALUE"""),0.61130175)</f>
        <v>0.61130175</v>
      </c>
    </row>
    <row r="2828">
      <c r="A2828" s="3">
        <f>IFERROR(__xludf.DUMMYFUNCTION("""COMPUTED_VALUE"""),43638.99861111111)</f>
        <v>43638.99861</v>
      </c>
      <c r="B2828" s="1">
        <f>IFERROR(__xludf.DUMMYFUNCTION("""COMPUTED_VALUE"""),0.61130175)</f>
        <v>0.61130175</v>
      </c>
    </row>
    <row r="2829">
      <c r="A2829" s="3">
        <f>IFERROR(__xludf.DUMMYFUNCTION("""COMPUTED_VALUE"""),43639.99861111111)</f>
        <v>43639.99861</v>
      </c>
      <c r="B2829" s="1">
        <f>IFERROR(__xludf.DUMMYFUNCTION("""COMPUTED_VALUE"""),0.6119985025)</f>
        <v>0.6119985025</v>
      </c>
    </row>
    <row r="2830">
      <c r="A2830" s="3">
        <f>IFERROR(__xludf.DUMMYFUNCTION("""COMPUTED_VALUE"""),43640.99861111111)</f>
        <v>43640.99861</v>
      </c>
      <c r="B2830" s="1">
        <f>IFERROR(__xludf.DUMMYFUNCTION("""COMPUTED_VALUE"""),0.609614978)</f>
        <v>0.609614978</v>
      </c>
    </row>
    <row r="2831">
      <c r="A2831" s="3">
        <f>IFERROR(__xludf.DUMMYFUNCTION("""COMPUTED_VALUE"""),43641.99861111111)</f>
        <v>43641.99861</v>
      </c>
      <c r="B2831" s="1">
        <f>IFERROR(__xludf.DUMMYFUNCTION("""COMPUTED_VALUE"""),0.6055740625)</f>
        <v>0.6055740625</v>
      </c>
    </row>
    <row r="2832">
      <c r="A2832" s="3">
        <f>IFERROR(__xludf.DUMMYFUNCTION("""COMPUTED_VALUE"""),43642.99861111111)</f>
        <v>43642.99861</v>
      </c>
      <c r="B2832" s="1">
        <f>IFERROR(__xludf.DUMMYFUNCTION("""COMPUTED_VALUE"""),0.6106632472)</f>
        <v>0.6106632472</v>
      </c>
    </row>
    <row r="2833">
      <c r="A2833" s="3">
        <f>IFERROR(__xludf.DUMMYFUNCTION("""COMPUTED_VALUE"""),43643.99861111111)</f>
        <v>43643.99861</v>
      </c>
      <c r="B2833" s="1">
        <f>IFERROR(__xludf.DUMMYFUNCTION("""COMPUTED_VALUE"""),0.6082606875)</f>
        <v>0.6082606875</v>
      </c>
    </row>
    <row r="2834">
      <c r="A2834" s="3">
        <f>IFERROR(__xludf.DUMMYFUNCTION("""COMPUTED_VALUE"""),43644.99861111111)</f>
        <v>43644.99861</v>
      </c>
      <c r="B2834" s="1">
        <f>IFERROR(__xludf.DUMMYFUNCTION("""COMPUTED_VALUE"""),0.6066070488)</f>
        <v>0.6066070488</v>
      </c>
    </row>
    <row r="2835">
      <c r="A2835" s="3">
        <f>IFERROR(__xludf.DUMMYFUNCTION("""COMPUTED_VALUE"""),43645.99861111111)</f>
        <v>43645.99861</v>
      </c>
      <c r="B2835" s="1">
        <f>IFERROR(__xludf.DUMMYFUNCTION("""COMPUTED_VALUE"""),0.6066070488)</f>
        <v>0.6066070488</v>
      </c>
    </row>
    <row r="2836">
      <c r="A2836" s="3">
        <f>IFERROR(__xludf.DUMMYFUNCTION("""COMPUTED_VALUE"""),43646.99861111111)</f>
        <v>43646.99861</v>
      </c>
      <c r="B2836" s="1">
        <f>IFERROR(__xludf.DUMMYFUNCTION("""COMPUTED_VALUE"""),0.60524352)</f>
        <v>0.60524352</v>
      </c>
    </row>
    <row r="2837">
      <c r="A2837" s="3">
        <f>IFERROR(__xludf.DUMMYFUNCTION("""COMPUTED_VALUE"""),43647.99861111111)</f>
        <v>43647.99861</v>
      </c>
      <c r="B2837" s="1">
        <f>IFERROR(__xludf.DUMMYFUNCTION("""COMPUTED_VALUE"""),0.6059960775)</f>
        <v>0.6059960775</v>
      </c>
    </row>
    <row r="2838">
      <c r="A2838" s="3">
        <f>IFERROR(__xludf.DUMMYFUNCTION("""COMPUTED_VALUE"""),43648.99861111111)</f>
        <v>43648.99861</v>
      </c>
      <c r="B2838" s="1">
        <f>IFERROR(__xludf.DUMMYFUNCTION("""COMPUTED_VALUE"""),0.610656393)</f>
        <v>0.610656393</v>
      </c>
    </row>
    <row r="2839">
      <c r="A2839" s="3">
        <f>IFERROR(__xludf.DUMMYFUNCTION("""COMPUTED_VALUE"""),43649.99861111111)</f>
        <v>43649.99861</v>
      </c>
      <c r="B2839" s="1">
        <f>IFERROR(__xludf.DUMMYFUNCTION("""COMPUTED_VALUE"""),0.6095993062)</f>
        <v>0.6095993062</v>
      </c>
    </row>
    <row r="2840">
      <c r="A2840" s="3">
        <f>IFERROR(__xludf.DUMMYFUNCTION("""COMPUTED_VALUE"""),43650.99861111111)</f>
        <v>43650.99861</v>
      </c>
      <c r="B2840" s="1">
        <f>IFERROR(__xludf.DUMMYFUNCTION("""COMPUTED_VALUE"""),0.609715623)</f>
        <v>0.609715623</v>
      </c>
    </row>
    <row r="2841">
      <c r="A2841" s="3">
        <f>IFERROR(__xludf.DUMMYFUNCTION("""COMPUTED_VALUE"""),43651.99861111111)</f>
        <v>43651.99861</v>
      </c>
      <c r="B2841" s="1">
        <f>IFERROR(__xludf.DUMMYFUNCTION("""COMPUTED_VALUE"""),0.6045479825)</f>
        <v>0.6045479825</v>
      </c>
    </row>
    <row r="2842">
      <c r="A2842" s="3">
        <f>IFERROR(__xludf.DUMMYFUNCTION("""COMPUTED_VALUE"""),43652.99861111111)</f>
        <v>43652.99861</v>
      </c>
      <c r="B2842" s="1">
        <f>IFERROR(__xludf.DUMMYFUNCTION("""COMPUTED_VALUE"""),0.6045479825)</f>
        <v>0.6045479825</v>
      </c>
    </row>
    <row r="2843">
      <c r="A2843" s="3">
        <f>IFERROR(__xludf.DUMMYFUNCTION("""COMPUTED_VALUE"""),43653.99861111111)</f>
        <v>43653.99861</v>
      </c>
      <c r="B2843" s="1">
        <f>IFERROR(__xludf.DUMMYFUNCTION("""COMPUTED_VALUE"""),0.604329696)</f>
        <v>0.604329696</v>
      </c>
    </row>
    <row r="2844">
      <c r="A2844" s="3">
        <f>IFERROR(__xludf.DUMMYFUNCTION("""COMPUTED_VALUE"""),43654.99861111111)</f>
        <v>43654.99861</v>
      </c>
      <c r="B2844" s="1">
        <f>IFERROR(__xludf.DUMMYFUNCTION("""COMPUTED_VALUE"""),0.610681303)</f>
        <v>0.610681303</v>
      </c>
    </row>
    <row r="2845">
      <c r="A2845" s="3">
        <f>IFERROR(__xludf.DUMMYFUNCTION("""COMPUTED_VALUE"""),43655.99861111111)</f>
        <v>43655.99861</v>
      </c>
      <c r="B2845" s="1">
        <f>IFERROR(__xludf.DUMMYFUNCTION("""COMPUTED_VALUE"""),0.6133168)</f>
        <v>0.6133168</v>
      </c>
    </row>
    <row r="2846">
      <c r="A2846" s="3">
        <f>IFERROR(__xludf.DUMMYFUNCTION("""COMPUTED_VALUE"""),43656.99861111111)</f>
        <v>43656.99861</v>
      </c>
      <c r="B2846" s="1">
        <f>IFERROR(__xludf.DUMMYFUNCTION("""COMPUTED_VALUE"""),0.6126437095)</f>
        <v>0.6126437095</v>
      </c>
    </row>
    <row r="2847">
      <c r="A2847" s="3">
        <f>IFERROR(__xludf.DUMMYFUNCTION("""COMPUTED_VALUE"""),43657.99861111111)</f>
        <v>43657.99861</v>
      </c>
      <c r="B2847" s="1">
        <f>IFERROR(__xludf.DUMMYFUNCTION("""COMPUTED_VALUE"""),0.607920776)</f>
        <v>0.607920776</v>
      </c>
    </row>
    <row r="2848">
      <c r="A2848" s="3">
        <f>IFERROR(__xludf.DUMMYFUNCTION("""COMPUTED_VALUE"""),43658.99861111111)</f>
        <v>43658.99861</v>
      </c>
      <c r="B2848" s="1">
        <f>IFERROR(__xludf.DUMMYFUNCTION("""COMPUTED_VALUE"""),0.6042044196)</f>
        <v>0.6042044196</v>
      </c>
    </row>
    <row r="2849">
      <c r="A2849" s="3">
        <f>IFERROR(__xludf.DUMMYFUNCTION("""COMPUTED_VALUE"""),43659.99861111111)</f>
        <v>43659.99861</v>
      </c>
      <c r="B2849" s="1">
        <f>IFERROR(__xludf.DUMMYFUNCTION("""COMPUTED_VALUE"""),0.6042044196)</f>
        <v>0.6042044196</v>
      </c>
    </row>
    <row r="2850">
      <c r="A2850" s="3">
        <f>IFERROR(__xludf.DUMMYFUNCTION("""COMPUTED_VALUE"""),43660.99861111111)</f>
        <v>43660.99861</v>
      </c>
      <c r="B2850" s="1">
        <f>IFERROR(__xludf.DUMMYFUNCTION("""COMPUTED_VALUE"""),0.604598148)</f>
        <v>0.604598148</v>
      </c>
    </row>
    <row r="2851">
      <c r="A2851" s="3">
        <f>IFERROR(__xludf.DUMMYFUNCTION("""COMPUTED_VALUE"""),43661.99861111111)</f>
        <v>43661.99861</v>
      </c>
      <c r="B2851" s="1">
        <f>IFERROR(__xludf.DUMMYFUNCTION("""COMPUTED_VALUE"""),0.602161875)</f>
        <v>0.602161875</v>
      </c>
    </row>
    <row r="2852">
      <c r="A2852" s="3">
        <f>IFERROR(__xludf.DUMMYFUNCTION("""COMPUTED_VALUE"""),43662.99861111111)</f>
        <v>43662.99861</v>
      </c>
      <c r="B2852" s="1">
        <f>IFERROR(__xludf.DUMMYFUNCTION("""COMPUTED_VALUE"""),0.6035113687)</f>
        <v>0.6035113687</v>
      </c>
    </row>
    <row r="2853">
      <c r="A2853" s="3">
        <f>IFERROR(__xludf.DUMMYFUNCTION("""COMPUTED_VALUE"""),43663.99861111111)</f>
        <v>43663.99861</v>
      </c>
      <c r="B2853" s="1">
        <f>IFERROR(__xludf.DUMMYFUNCTION("""COMPUTED_VALUE"""),0.605166861)</f>
        <v>0.605166861</v>
      </c>
    </row>
    <row r="2854">
      <c r="A2854" s="3">
        <f>IFERROR(__xludf.DUMMYFUNCTION("""COMPUTED_VALUE"""),43664.99861111111)</f>
        <v>43664.99861</v>
      </c>
      <c r="B2854" s="1">
        <f>IFERROR(__xludf.DUMMYFUNCTION("""COMPUTED_VALUE"""),0.604606071)</f>
        <v>0.604606071</v>
      </c>
    </row>
    <row r="2855">
      <c r="A2855" s="3">
        <f>IFERROR(__xludf.DUMMYFUNCTION("""COMPUTED_VALUE"""),43665.99861111111)</f>
        <v>43665.99861</v>
      </c>
      <c r="B2855" s="1">
        <f>IFERROR(__xludf.DUMMYFUNCTION("""COMPUTED_VALUE"""),0.5986644)</f>
        <v>0.5986644</v>
      </c>
    </row>
    <row r="2856">
      <c r="A2856" s="3">
        <f>IFERROR(__xludf.DUMMYFUNCTION("""COMPUTED_VALUE"""),43666.99861111111)</f>
        <v>43666.99861</v>
      </c>
      <c r="B2856" s="1">
        <f>IFERROR(__xludf.DUMMYFUNCTION("""COMPUTED_VALUE"""),0.5986644)</f>
        <v>0.5986644</v>
      </c>
    </row>
    <row r="2857">
      <c r="A2857" s="3">
        <f>IFERROR(__xludf.DUMMYFUNCTION("""COMPUTED_VALUE"""),43667.99861111111)</f>
        <v>43667.99861</v>
      </c>
      <c r="B2857" s="1">
        <f>IFERROR(__xludf.DUMMYFUNCTION("""COMPUTED_VALUE"""),0.599017782)</f>
        <v>0.599017782</v>
      </c>
    </row>
    <row r="2858">
      <c r="A2858" s="3">
        <f>IFERROR(__xludf.DUMMYFUNCTION("""COMPUTED_VALUE"""),43668.99861111111)</f>
        <v>43668.99861</v>
      </c>
      <c r="B2858" s="1">
        <f>IFERROR(__xludf.DUMMYFUNCTION("""COMPUTED_VALUE"""),0.600754908)</f>
        <v>0.600754908</v>
      </c>
    </row>
    <row r="2859">
      <c r="A2859" s="3">
        <f>IFERROR(__xludf.DUMMYFUNCTION("""COMPUTED_VALUE"""),43669.99861111111)</f>
        <v>43669.99861</v>
      </c>
      <c r="B2859" s="1">
        <f>IFERROR(__xludf.DUMMYFUNCTION("""COMPUTED_VALUE"""),0.603676011)</f>
        <v>0.603676011</v>
      </c>
    </row>
    <row r="2860">
      <c r="A2860" s="3">
        <f>IFERROR(__xludf.DUMMYFUNCTION("""COMPUTED_VALUE"""),43670.99861111111)</f>
        <v>43670.99861</v>
      </c>
      <c r="B2860" s="1">
        <f>IFERROR(__xludf.DUMMYFUNCTION("""COMPUTED_VALUE"""),0.6037964922)</f>
        <v>0.6037964922</v>
      </c>
    </row>
    <row r="2861">
      <c r="A2861" s="3">
        <f>IFERROR(__xludf.DUMMYFUNCTION("""COMPUTED_VALUE"""),43671.99861111111)</f>
        <v>43671.99861</v>
      </c>
      <c r="B2861" s="1">
        <f>IFERROR(__xludf.DUMMYFUNCTION("""COMPUTED_VALUE"""),0.606124904)</f>
        <v>0.606124904</v>
      </c>
    </row>
    <row r="2862">
      <c r="A2862" s="3">
        <f>IFERROR(__xludf.DUMMYFUNCTION("""COMPUTED_VALUE"""),43672.99861111111)</f>
        <v>43672.99861</v>
      </c>
      <c r="B2862" s="1">
        <f>IFERROR(__xludf.DUMMYFUNCTION("""COMPUTED_VALUE"""),0.6041862078)</f>
        <v>0.6041862078</v>
      </c>
    </row>
    <row r="2863">
      <c r="A2863" s="3">
        <f>IFERROR(__xludf.DUMMYFUNCTION("""COMPUTED_VALUE"""),43673.99861111111)</f>
        <v>43673.99861</v>
      </c>
      <c r="B2863" s="1">
        <f>IFERROR(__xludf.DUMMYFUNCTION("""COMPUTED_VALUE"""),0.6041862078)</f>
        <v>0.6041862078</v>
      </c>
    </row>
    <row r="2864">
      <c r="A2864" s="3">
        <f>IFERROR(__xludf.DUMMYFUNCTION("""COMPUTED_VALUE"""),43674.99861111111)</f>
        <v>43674.99861</v>
      </c>
      <c r="B2864" s="1">
        <f>IFERROR(__xludf.DUMMYFUNCTION("""COMPUTED_VALUE"""),0.603460368)</f>
        <v>0.603460368</v>
      </c>
    </row>
    <row r="2865">
      <c r="A2865" s="3">
        <f>IFERROR(__xludf.DUMMYFUNCTION("""COMPUTED_VALUE"""),43675.99861111111)</f>
        <v>43675.99861</v>
      </c>
      <c r="B2865" s="1">
        <f>IFERROR(__xludf.DUMMYFUNCTION("""COMPUTED_VALUE"""),0.60735969)</f>
        <v>0.60735969</v>
      </c>
    </row>
    <row r="2866">
      <c r="A2866" s="3">
        <f>IFERROR(__xludf.DUMMYFUNCTION("""COMPUTED_VALUE"""),43676.99861111111)</f>
        <v>43676.99861</v>
      </c>
      <c r="B2866" s="1">
        <f>IFERROR(__xludf.DUMMYFUNCTION("""COMPUTED_VALUE"""),0.6071518304)</f>
        <v>0.6071518304</v>
      </c>
    </row>
    <row r="2867">
      <c r="A2867" s="3">
        <f>IFERROR(__xludf.DUMMYFUNCTION("""COMPUTED_VALUE"""),43677.99861111111)</f>
        <v>43677.99861</v>
      </c>
      <c r="B2867" s="1">
        <f>IFERROR(__xludf.DUMMYFUNCTION("""COMPUTED_VALUE"""),0.60631553)</f>
        <v>0.60631553</v>
      </c>
    </row>
    <row r="2868">
      <c r="A2868" s="3">
        <f>IFERROR(__xludf.DUMMYFUNCTION("""COMPUTED_VALUE"""),43678.99861111111)</f>
        <v>43678.99861</v>
      </c>
      <c r="B2868" s="1">
        <f>IFERROR(__xludf.DUMMYFUNCTION("""COMPUTED_VALUE"""),0.620693076)</f>
        <v>0.620693076</v>
      </c>
    </row>
    <row r="2869">
      <c r="A2869" s="3">
        <f>IFERROR(__xludf.DUMMYFUNCTION("""COMPUTED_VALUE"""),43679.99861111111)</f>
        <v>43679.99861</v>
      </c>
      <c r="B2869" s="1">
        <f>IFERROR(__xludf.DUMMYFUNCTION("""COMPUTED_VALUE"""),0.614925454)</f>
        <v>0.614925454</v>
      </c>
    </row>
    <row r="2870">
      <c r="A2870" s="3">
        <f>IFERROR(__xludf.DUMMYFUNCTION("""COMPUTED_VALUE"""),43680.99861111111)</f>
        <v>43680.99861</v>
      </c>
      <c r="B2870" s="1">
        <f>IFERROR(__xludf.DUMMYFUNCTION("""COMPUTED_VALUE"""),0.614925454)</f>
        <v>0.614925454</v>
      </c>
    </row>
    <row r="2871">
      <c r="A2871" s="3">
        <f>IFERROR(__xludf.DUMMYFUNCTION("""COMPUTED_VALUE"""),43681.99861111111)</f>
        <v>43681.99861</v>
      </c>
      <c r="B2871" s="1">
        <f>IFERROR(__xludf.DUMMYFUNCTION("""COMPUTED_VALUE"""),0.61149123)</f>
        <v>0.61149123</v>
      </c>
    </row>
    <row r="2872">
      <c r="A2872" s="3">
        <f>IFERROR(__xludf.DUMMYFUNCTION("""COMPUTED_VALUE"""),43682.99861111111)</f>
        <v>43682.99861</v>
      </c>
      <c r="B2872" s="1">
        <f>IFERROR(__xludf.DUMMYFUNCTION("""COMPUTED_VALUE"""),0.61687087)</f>
        <v>0.61687087</v>
      </c>
    </row>
    <row r="2873">
      <c r="A2873" s="3">
        <f>IFERROR(__xludf.DUMMYFUNCTION("""COMPUTED_VALUE"""),43683.99861111111)</f>
        <v>43683.99861</v>
      </c>
      <c r="B2873" s="1">
        <f>IFERROR(__xludf.DUMMYFUNCTION("""COMPUTED_VALUE"""),0.6136731675)</f>
        <v>0.6136731675</v>
      </c>
    </row>
    <row r="2874">
      <c r="A2874" s="3">
        <f>IFERROR(__xludf.DUMMYFUNCTION("""COMPUTED_VALUE"""),43684.99861111111)</f>
        <v>43684.99861</v>
      </c>
      <c r="B2874" s="1">
        <f>IFERROR(__xludf.DUMMYFUNCTION("""COMPUTED_VALUE"""),0.6163314525)</f>
        <v>0.6163314525</v>
      </c>
    </row>
    <row r="2875">
      <c r="A2875" s="3">
        <f>IFERROR(__xludf.DUMMYFUNCTION("""COMPUTED_VALUE"""),43685.99861111111)</f>
        <v>43685.99861</v>
      </c>
      <c r="B2875" s="1">
        <f>IFERROR(__xludf.DUMMYFUNCTION("""COMPUTED_VALUE"""),0.6125912887)</f>
        <v>0.6125912887</v>
      </c>
    </row>
    <row r="2876">
      <c r="A2876" s="3">
        <f>IFERROR(__xludf.DUMMYFUNCTION("""COMPUTED_VALUE"""),43686.99861111111)</f>
        <v>43686.99861</v>
      </c>
      <c r="B2876" s="1">
        <f>IFERROR(__xludf.DUMMYFUNCTION("""COMPUTED_VALUE"""),0.617442375)</f>
        <v>0.617442375</v>
      </c>
    </row>
    <row r="2877">
      <c r="A2877" s="3">
        <f>IFERROR(__xludf.DUMMYFUNCTION("""COMPUTED_VALUE"""),43687.99861111111)</f>
        <v>43687.99861</v>
      </c>
      <c r="B2877" s="1">
        <f>IFERROR(__xludf.DUMMYFUNCTION("""COMPUTED_VALUE"""),0.617442375)</f>
        <v>0.617442375</v>
      </c>
    </row>
    <row r="2878">
      <c r="A2878" s="3">
        <f>IFERROR(__xludf.DUMMYFUNCTION("""COMPUTED_VALUE"""),43688.99861111111)</f>
        <v>43688.99861</v>
      </c>
      <c r="B2878" s="1">
        <f>IFERROR(__xludf.DUMMYFUNCTION("""COMPUTED_VALUE"""),0.61171671)</f>
        <v>0.61171671</v>
      </c>
    </row>
    <row r="2879">
      <c r="A2879" s="3">
        <f>IFERROR(__xludf.DUMMYFUNCTION("""COMPUTED_VALUE"""),43689.99861111111)</f>
        <v>43689.99861</v>
      </c>
      <c r="B2879" s="1">
        <f>IFERROR(__xludf.DUMMYFUNCTION("""COMPUTED_VALUE"""),0.615342624)</f>
        <v>0.615342624</v>
      </c>
    </row>
    <row r="2880">
      <c r="A2880" s="3">
        <f>IFERROR(__xludf.DUMMYFUNCTION("""COMPUTED_VALUE"""),43690.99861111111)</f>
        <v>43690.99861</v>
      </c>
      <c r="B2880" s="1">
        <f>IFERROR(__xludf.DUMMYFUNCTION("""COMPUTED_VALUE"""),0.611399376)</f>
        <v>0.611399376</v>
      </c>
    </row>
    <row r="2881">
      <c r="A2881" s="3">
        <f>IFERROR(__xludf.DUMMYFUNCTION("""COMPUTED_VALUE"""),43691.99861111111)</f>
        <v>43691.99861</v>
      </c>
      <c r="B2881" s="1">
        <f>IFERROR(__xludf.DUMMYFUNCTION("""COMPUTED_VALUE"""),0.6120150575)</f>
        <v>0.6120150575</v>
      </c>
    </row>
    <row r="2882">
      <c r="A2882" s="3">
        <f>IFERROR(__xludf.DUMMYFUNCTION("""COMPUTED_VALUE"""),43692.99861111111)</f>
        <v>43692.99861</v>
      </c>
      <c r="B2882" s="1">
        <f>IFERROR(__xludf.DUMMYFUNCTION("""COMPUTED_VALUE"""),0.616238751)</f>
        <v>0.616238751</v>
      </c>
    </row>
    <row r="2883">
      <c r="A2883" s="3">
        <f>IFERROR(__xludf.DUMMYFUNCTION("""COMPUTED_VALUE"""),43693.99861111111)</f>
        <v>43693.99861</v>
      </c>
      <c r="B2883" s="1">
        <f>IFERROR(__xludf.DUMMYFUNCTION("""COMPUTED_VALUE"""),0.6138383919)</f>
        <v>0.6138383919</v>
      </c>
    </row>
    <row r="2884">
      <c r="A2884" s="3">
        <f>IFERROR(__xludf.DUMMYFUNCTION("""COMPUTED_VALUE"""),43694.99861111111)</f>
        <v>43694.99861</v>
      </c>
      <c r="B2884" s="1">
        <f>IFERROR(__xludf.DUMMYFUNCTION("""COMPUTED_VALUE"""),0.6138383919)</f>
        <v>0.6138383919</v>
      </c>
    </row>
    <row r="2885">
      <c r="A2885" s="3">
        <f>IFERROR(__xludf.DUMMYFUNCTION("""COMPUTED_VALUE"""),43695.99861111111)</f>
        <v>43695.99861</v>
      </c>
      <c r="B2885" s="1">
        <f>IFERROR(__xludf.DUMMYFUNCTION("""COMPUTED_VALUE"""),0.61424025)</f>
        <v>0.61424025</v>
      </c>
    </row>
    <row r="2886">
      <c r="A2886" s="3">
        <f>IFERROR(__xludf.DUMMYFUNCTION("""COMPUTED_VALUE"""),43696.99861111111)</f>
        <v>43696.99861</v>
      </c>
      <c r="B2886" s="1">
        <f>IFERROR(__xludf.DUMMYFUNCTION("""COMPUTED_VALUE"""),0.6143353733)</f>
        <v>0.6143353733</v>
      </c>
    </row>
    <row r="2887">
      <c r="A2887" s="3">
        <f>IFERROR(__xludf.DUMMYFUNCTION("""COMPUTED_VALUE"""),43697.99861111111)</f>
        <v>43697.99861</v>
      </c>
      <c r="B2887" s="1">
        <f>IFERROR(__xludf.DUMMYFUNCTION("""COMPUTED_VALUE"""),0.6185802616)</f>
        <v>0.6185802616</v>
      </c>
    </row>
    <row r="2888">
      <c r="A2888" s="3">
        <f>IFERROR(__xludf.DUMMYFUNCTION("""COMPUTED_VALUE"""),43698.99861111111)</f>
        <v>43698.99861</v>
      </c>
      <c r="B2888" s="1">
        <f>IFERROR(__xludf.DUMMYFUNCTION("""COMPUTED_VALUE"""),0.6153983437)</f>
        <v>0.6153983437</v>
      </c>
    </row>
    <row r="2889">
      <c r="A2889" s="3">
        <f>IFERROR(__xludf.DUMMYFUNCTION("""COMPUTED_VALUE"""),43699.99861111111)</f>
        <v>43699.99861</v>
      </c>
      <c r="B2889" s="1">
        <f>IFERROR(__xludf.DUMMYFUNCTION("""COMPUTED_VALUE"""),0.614453775)</f>
        <v>0.614453775</v>
      </c>
    </row>
    <row r="2890">
      <c r="A2890" s="3">
        <f>IFERROR(__xludf.DUMMYFUNCTION("""COMPUTED_VALUE"""),43700.99861111111)</f>
        <v>43700.99861</v>
      </c>
      <c r="B2890" s="1">
        <f>IFERROR(__xludf.DUMMYFUNCTION("""COMPUTED_VALUE"""),0.626212752)</f>
        <v>0.626212752</v>
      </c>
    </row>
    <row r="2891">
      <c r="A2891" s="3">
        <f>IFERROR(__xludf.DUMMYFUNCTION("""COMPUTED_VALUE"""),43701.99861111111)</f>
        <v>43701.99861</v>
      </c>
      <c r="B2891" s="1">
        <f>IFERROR(__xludf.DUMMYFUNCTION("""COMPUTED_VALUE"""),0.626212752)</f>
        <v>0.626212752</v>
      </c>
    </row>
    <row r="2892">
      <c r="A2892" s="3">
        <f>IFERROR(__xludf.DUMMYFUNCTION("""COMPUTED_VALUE"""),43702.99861111111)</f>
        <v>43702.99861</v>
      </c>
      <c r="B2892" s="1">
        <f>IFERROR(__xludf.DUMMYFUNCTION("""COMPUTED_VALUE"""),0.6176898735)</f>
        <v>0.6176898735</v>
      </c>
    </row>
    <row r="2893">
      <c r="A2893" s="3">
        <f>IFERROR(__xludf.DUMMYFUNCTION("""COMPUTED_VALUE"""),43703.99861111111)</f>
        <v>43703.99861</v>
      </c>
      <c r="B2893" s="1">
        <f>IFERROR(__xludf.DUMMYFUNCTION("""COMPUTED_VALUE"""),0.6137115319)</f>
        <v>0.6137115319</v>
      </c>
    </row>
    <row r="2894">
      <c r="A2894" s="3">
        <f>IFERROR(__xludf.DUMMYFUNCTION("""COMPUTED_VALUE"""),43704.99861111111)</f>
        <v>43704.99861</v>
      </c>
      <c r="B2894" s="1">
        <f>IFERROR(__xludf.DUMMYFUNCTION("""COMPUTED_VALUE"""),0.6177230073)</f>
        <v>0.6177230073</v>
      </c>
    </row>
    <row r="2895">
      <c r="A2895" s="3">
        <f>IFERROR(__xludf.DUMMYFUNCTION("""COMPUTED_VALUE"""),43705.99861111111)</f>
        <v>43705.99861</v>
      </c>
      <c r="B2895" s="1">
        <f>IFERROR(__xludf.DUMMYFUNCTION("""COMPUTED_VALUE"""),0.616559971)</f>
        <v>0.616559971</v>
      </c>
    </row>
    <row r="2896">
      <c r="A2896" s="3">
        <f>IFERROR(__xludf.DUMMYFUNCTION("""COMPUTED_VALUE"""),43706.99861111111)</f>
        <v>43706.99861</v>
      </c>
      <c r="B2896" s="1">
        <f>IFERROR(__xludf.DUMMYFUNCTION("""COMPUTED_VALUE"""),0.613038447)</f>
        <v>0.613038447</v>
      </c>
    </row>
    <row r="2897">
      <c r="A2897" s="3">
        <f>IFERROR(__xludf.DUMMYFUNCTION("""COMPUTED_VALUE"""),43707.99861111111)</f>
        <v>43707.99861</v>
      </c>
      <c r="B2897" s="1">
        <f>IFERROR(__xludf.DUMMYFUNCTION("""COMPUTED_VALUE"""),0.610353114)</f>
        <v>0.610353114</v>
      </c>
    </row>
    <row r="2898">
      <c r="A2898" s="3">
        <f>IFERROR(__xludf.DUMMYFUNCTION("""COMPUTED_VALUE"""),43708.99861111111)</f>
        <v>43708.99861</v>
      </c>
      <c r="B2898" s="1">
        <f>IFERROR(__xludf.DUMMYFUNCTION("""COMPUTED_VALUE"""),0.610353114)</f>
        <v>0.610353114</v>
      </c>
    </row>
    <row r="2899">
      <c r="A2899" s="3">
        <f>IFERROR(__xludf.DUMMYFUNCTION("""COMPUTED_VALUE"""),43709.99861111111)</f>
        <v>43709.99861</v>
      </c>
      <c r="B2899" s="1">
        <f>IFERROR(__xludf.DUMMYFUNCTION("""COMPUTED_VALUE"""),0.6093237675)</f>
        <v>0.6093237675</v>
      </c>
    </row>
    <row r="2900">
      <c r="A2900" s="3">
        <f>IFERROR(__xludf.DUMMYFUNCTION("""COMPUTED_VALUE"""),43710.99861111111)</f>
        <v>43710.99861</v>
      </c>
      <c r="B2900" s="1">
        <f>IFERROR(__xludf.DUMMYFUNCTION("""COMPUTED_VALUE"""),0.6158096892)</f>
        <v>0.6158096892</v>
      </c>
    </row>
    <row r="2901">
      <c r="A2901" s="3">
        <f>IFERROR(__xludf.DUMMYFUNCTION("""COMPUTED_VALUE"""),43711.99861111111)</f>
        <v>43711.99861</v>
      </c>
      <c r="B2901" s="1">
        <f>IFERROR(__xludf.DUMMYFUNCTION("""COMPUTED_VALUE"""),0.6170124661)</f>
        <v>0.6170124661</v>
      </c>
    </row>
    <row r="2902">
      <c r="A2902" s="3">
        <f>IFERROR(__xludf.DUMMYFUNCTION("""COMPUTED_VALUE"""),43712.99861111111)</f>
        <v>43712.99861</v>
      </c>
      <c r="B2902" s="1">
        <f>IFERROR(__xludf.DUMMYFUNCTION("""COMPUTED_VALUE"""),0.612917305)</f>
        <v>0.612917305</v>
      </c>
    </row>
    <row r="2903">
      <c r="A2903" s="3">
        <f>IFERROR(__xludf.DUMMYFUNCTION("""COMPUTED_VALUE"""),43713.99861111111)</f>
        <v>43713.99861</v>
      </c>
      <c r="B2903" s="1">
        <f>IFERROR(__xludf.DUMMYFUNCTION("""COMPUTED_VALUE"""),0.6099494838)</f>
        <v>0.6099494838</v>
      </c>
    </row>
    <row r="2904">
      <c r="A2904" s="3">
        <f>IFERROR(__xludf.DUMMYFUNCTION("""COMPUTED_VALUE"""),43714.99861111111)</f>
        <v>43714.99861</v>
      </c>
      <c r="B2904" s="1">
        <f>IFERROR(__xludf.DUMMYFUNCTION("""COMPUTED_VALUE"""),0.6121390658)</f>
        <v>0.6121390658</v>
      </c>
    </row>
    <row r="2905">
      <c r="A2905" s="3">
        <f>IFERROR(__xludf.DUMMYFUNCTION("""COMPUTED_VALUE"""),43715.99861111111)</f>
        <v>43715.99861</v>
      </c>
      <c r="B2905" s="1">
        <f>IFERROR(__xludf.DUMMYFUNCTION("""COMPUTED_VALUE"""),0.6121390658)</f>
        <v>0.6121390658</v>
      </c>
    </row>
    <row r="2906">
      <c r="A2906" s="3">
        <f>IFERROR(__xludf.DUMMYFUNCTION("""COMPUTED_VALUE"""),43716.99861111111)</f>
        <v>43716.99861</v>
      </c>
      <c r="B2906" s="1">
        <f>IFERROR(__xludf.DUMMYFUNCTION("""COMPUTED_VALUE"""),0.6072337425)</f>
        <v>0.6072337425</v>
      </c>
    </row>
    <row r="2907">
      <c r="A2907" s="3">
        <f>IFERROR(__xludf.DUMMYFUNCTION("""COMPUTED_VALUE"""),43717.99861111111)</f>
        <v>43717.99861</v>
      </c>
      <c r="B2907" s="1">
        <f>IFERROR(__xludf.DUMMYFUNCTION("""COMPUTED_VALUE"""),0.6061462155)</f>
        <v>0.6061462155</v>
      </c>
    </row>
    <row r="2908">
      <c r="A2908" s="3">
        <f>IFERROR(__xludf.DUMMYFUNCTION("""COMPUTED_VALUE"""),43718.99861111111)</f>
        <v>43718.99861</v>
      </c>
      <c r="B2908" s="1">
        <f>IFERROR(__xludf.DUMMYFUNCTION("""COMPUTED_VALUE"""),0.6084909688)</f>
        <v>0.6084909688</v>
      </c>
    </row>
    <row r="2909">
      <c r="A2909" s="3">
        <f>IFERROR(__xludf.DUMMYFUNCTION("""COMPUTED_VALUE"""),43719.99861111111)</f>
        <v>43719.99861</v>
      </c>
      <c r="B2909" s="1">
        <f>IFERROR(__xludf.DUMMYFUNCTION("""COMPUTED_VALUE"""),0.6087595426)</f>
        <v>0.6087595426</v>
      </c>
    </row>
    <row r="2910">
      <c r="A2910" s="3">
        <f>IFERROR(__xludf.DUMMYFUNCTION("""COMPUTED_VALUE"""),43720.99861111111)</f>
        <v>43720.99861</v>
      </c>
      <c r="B2910" s="1">
        <f>IFERROR(__xludf.DUMMYFUNCTION("""COMPUTED_VALUE"""),0.60474573)</f>
        <v>0.60474573</v>
      </c>
    </row>
    <row r="2911">
      <c r="A2911" s="3">
        <f>IFERROR(__xludf.DUMMYFUNCTION("""COMPUTED_VALUE"""),43721.99861111111)</f>
        <v>43721.99861</v>
      </c>
      <c r="B2911" s="1">
        <f>IFERROR(__xludf.DUMMYFUNCTION("""COMPUTED_VALUE"""),0.6054036975)</f>
        <v>0.6054036975</v>
      </c>
    </row>
    <row r="2912">
      <c r="A2912" s="3">
        <f>IFERROR(__xludf.DUMMYFUNCTION("""COMPUTED_VALUE"""),43722.99861111111)</f>
        <v>43722.99861</v>
      </c>
      <c r="B2912" s="1">
        <f>IFERROR(__xludf.DUMMYFUNCTION("""COMPUTED_VALUE"""),0.6054036975)</f>
        <v>0.6054036975</v>
      </c>
    </row>
    <row r="2913">
      <c r="A2913" s="3">
        <f>IFERROR(__xludf.DUMMYFUNCTION("""COMPUTED_VALUE"""),43723.99861111111)</f>
        <v>43723.99861</v>
      </c>
      <c r="B2913" s="1">
        <f>IFERROR(__xludf.DUMMYFUNCTION("""COMPUTED_VALUE"""),0.6014516025)</f>
        <v>0.6014516025</v>
      </c>
    </row>
    <row r="2914">
      <c r="A2914" s="3">
        <f>IFERROR(__xludf.DUMMYFUNCTION("""COMPUTED_VALUE"""),43724.99861111111)</f>
        <v>43724.99861</v>
      </c>
      <c r="B2914" s="1">
        <f>IFERROR(__xludf.DUMMYFUNCTION("""COMPUTED_VALUE"""),0.6086586163)</f>
        <v>0.6086586163</v>
      </c>
    </row>
    <row r="2915">
      <c r="A2915" s="3">
        <f>IFERROR(__xludf.DUMMYFUNCTION("""COMPUTED_VALUE"""),43725.99861111111)</f>
        <v>43725.99861</v>
      </c>
      <c r="B2915" s="1">
        <f>IFERROR(__xludf.DUMMYFUNCTION("""COMPUTED_VALUE"""),0.6113549312)</f>
        <v>0.6113549312</v>
      </c>
    </row>
    <row r="2916">
      <c r="A2916" s="3">
        <f>IFERROR(__xludf.DUMMYFUNCTION("""COMPUTED_VALUE"""),43726.99861111111)</f>
        <v>43726.99861</v>
      </c>
      <c r="B2916" s="1">
        <f>IFERROR(__xludf.DUMMYFUNCTION("""COMPUTED_VALUE"""),0.608176395)</f>
        <v>0.608176395</v>
      </c>
    </row>
    <row r="2917">
      <c r="A2917" s="3">
        <f>IFERROR(__xludf.DUMMYFUNCTION("""COMPUTED_VALUE"""),43727.99861111111)</f>
        <v>43727.99861</v>
      </c>
      <c r="B2917" s="1">
        <f>IFERROR(__xludf.DUMMYFUNCTION("""COMPUTED_VALUE"""),0.609164268)</f>
        <v>0.609164268</v>
      </c>
    </row>
    <row r="2918">
      <c r="A2918" s="3">
        <f>IFERROR(__xludf.DUMMYFUNCTION("""COMPUTED_VALUE"""),43728.99861111111)</f>
        <v>43728.99861</v>
      </c>
      <c r="B2918" s="1">
        <f>IFERROR(__xludf.DUMMYFUNCTION("""COMPUTED_VALUE"""),0.6064432682)</f>
        <v>0.6064432682</v>
      </c>
    </row>
    <row r="2919">
      <c r="A2919" s="3">
        <f>IFERROR(__xludf.DUMMYFUNCTION("""COMPUTED_VALUE"""),43729.99861111111)</f>
        <v>43729.99861</v>
      </c>
      <c r="B2919" s="1">
        <f>IFERROR(__xludf.DUMMYFUNCTION("""COMPUTED_VALUE"""),0.6064432682)</f>
        <v>0.6064432682</v>
      </c>
    </row>
    <row r="2920">
      <c r="A2920" s="3">
        <f>IFERROR(__xludf.DUMMYFUNCTION("""COMPUTED_VALUE"""),43730.99861111111)</f>
        <v>43730.99861</v>
      </c>
      <c r="B2920" s="1">
        <f>IFERROR(__xludf.DUMMYFUNCTION("""COMPUTED_VALUE"""),0.6044985225)</f>
        <v>0.6044985225</v>
      </c>
    </row>
    <row r="2921">
      <c r="A2921" s="3">
        <f>IFERROR(__xludf.DUMMYFUNCTION("""COMPUTED_VALUE"""),43731.99861111111)</f>
        <v>43731.99861</v>
      </c>
      <c r="B2921" s="1">
        <f>IFERROR(__xludf.DUMMYFUNCTION("""COMPUTED_VALUE"""),0.60773958)</f>
        <v>0.60773958</v>
      </c>
    </row>
    <row r="2922">
      <c r="A2922" s="3">
        <f>IFERROR(__xludf.DUMMYFUNCTION("""COMPUTED_VALUE"""),43732.99861111111)</f>
        <v>43732.99861</v>
      </c>
      <c r="B2922" s="1">
        <f>IFERROR(__xludf.DUMMYFUNCTION("""COMPUTED_VALUE"""),0.6127456104)</f>
        <v>0.6127456104</v>
      </c>
    </row>
    <row r="2923">
      <c r="A2923" s="3">
        <f>IFERROR(__xludf.DUMMYFUNCTION("""COMPUTED_VALUE"""),43733.99861111111)</f>
        <v>43733.99861</v>
      </c>
      <c r="B2923" s="1">
        <f>IFERROR(__xludf.DUMMYFUNCTION("""COMPUTED_VALUE"""),0.60767175)</f>
        <v>0.60767175</v>
      </c>
    </row>
    <row r="2924">
      <c r="A2924" s="3">
        <f>IFERROR(__xludf.DUMMYFUNCTION("""COMPUTED_VALUE"""),43734.99861111111)</f>
        <v>43734.99861</v>
      </c>
      <c r="B2924" s="1">
        <f>IFERROR(__xludf.DUMMYFUNCTION("""COMPUTED_VALUE"""),0.6135862292)</f>
        <v>0.6135862292</v>
      </c>
    </row>
    <row r="2925">
      <c r="A2925" s="3">
        <f>IFERROR(__xludf.DUMMYFUNCTION("""COMPUTED_VALUE"""),43735.99861111111)</f>
        <v>43735.99861</v>
      </c>
      <c r="B2925" s="1">
        <f>IFERROR(__xludf.DUMMYFUNCTION("""COMPUTED_VALUE"""),0.611973315)</f>
        <v>0.611973315</v>
      </c>
    </row>
    <row r="2926">
      <c r="A2926" s="3">
        <f>IFERROR(__xludf.DUMMYFUNCTION("""COMPUTED_VALUE"""),43736.99861111111)</f>
        <v>43736.99861</v>
      </c>
      <c r="B2926" s="1">
        <f>IFERROR(__xludf.DUMMYFUNCTION("""COMPUTED_VALUE"""),0.611973315)</f>
        <v>0.611973315</v>
      </c>
    </row>
    <row r="2927">
      <c r="A2927" s="3">
        <f>IFERROR(__xludf.DUMMYFUNCTION("""COMPUTED_VALUE"""),43737.99861111111)</f>
        <v>43737.99861</v>
      </c>
      <c r="B2927" s="1">
        <f>IFERROR(__xludf.DUMMYFUNCTION("""COMPUTED_VALUE"""),0.6107877175)</f>
        <v>0.6107877175</v>
      </c>
    </row>
    <row r="2928">
      <c r="A2928" s="3">
        <f>IFERROR(__xludf.DUMMYFUNCTION("""COMPUTED_VALUE"""),43738.99861111111)</f>
        <v>43738.99861</v>
      </c>
      <c r="B2928" s="1">
        <f>IFERROR(__xludf.DUMMYFUNCTION("""COMPUTED_VALUE"""),0.611890668)</f>
        <v>0.611890668</v>
      </c>
    </row>
    <row r="2929">
      <c r="A2929" s="3">
        <f>IFERROR(__xludf.DUMMYFUNCTION("""COMPUTED_VALUE"""),43739.99861111111)</f>
        <v>43739.99861</v>
      </c>
      <c r="B2929" s="1">
        <f>IFERROR(__xludf.DUMMYFUNCTION("""COMPUTED_VALUE"""),0.614612759)</f>
        <v>0.614612759</v>
      </c>
    </row>
    <row r="2930">
      <c r="A2930" s="3">
        <f>IFERROR(__xludf.DUMMYFUNCTION("""COMPUTED_VALUE"""),43740.99861111111)</f>
        <v>43740.99861</v>
      </c>
      <c r="B2930" s="1">
        <f>IFERROR(__xludf.DUMMYFUNCTION("""COMPUTED_VALUE"""),0.614231845)</f>
        <v>0.614231845</v>
      </c>
    </row>
    <row r="2931">
      <c r="A2931" s="3">
        <f>IFERROR(__xludf.DUMMYFUNCTION("""COMPUTED_VALUE"""),43741.99861111111)</f>
        <v>43741.99861</v>
      </c>
      <c r="B2931" s="1">
        <f>IFERROR(__xludf.DUMMYFUNCTION("""COMPUTED_VALUE"""),0.6130687542)</f>
        <v>0.6130687542</v>
      </c>
    </row>
    <row r="2932">
      <c r="A2932" s="3">
        <f>IFERROR(__xludf.DUMMYFUNCTION("""COMPUTED_VALUE"""),43742.99861111111)</f>
        <v>43742.99861</v>
      </c>
      <c r="B2932" s="1">
        <f>IFERROR(__xludf.DUMMYFUNCTION("""COMPUTED_VALUE"""),0.608864452)</f>
        <v>0.608864452</v>
      </c>
    </row>
    <row r="2933">
      <c r="A2933" s="3">
        <f>IFERROR(__xludf.DUMMYFUNCTION("""COMPUTED_VALUE"""),43743.99861111111)</f>
        <v>43743.99861</v>
      </c>
      <c r="B2933" s="1">
        <f>IFERROR(__xludf.DUMMYFUNCTION("""COMPUTED_VALUE"""),0.608864452)</f>
        <v>0.608864452</v>
      </c>
    </row>
    <row r="2934">
      <c r="A2934" s="3">
        <f>IFERROR(__xludf.DUMMYFUNCTION("""COMPUTED_VALUE"""),43744.99861111111)</f>
        <v>43744.99861</v>
      </c>
      <c r="B2934" s="1">
        <f>IFERROR(__xludf.DUMMYFUNCTION("""COMPUTED_VALUE"""),0.6091548925)</f>
        <v>0.6091548925</v>
      </c>
    </row>
    <row r="2935">
      <c r="A2935" s="3">
        <f>IFERROR(__xludf.DUMMYFUNCTION("""COMPUTED_VALUE"""),43745.99861111111)</f>
        <v>43745.99861</v>
      </c>
      <c r="B2935" s="1">
        <f>IFERROR(__xludf.DUMMYFUNCTION("""COMPUTED_VALUE"""),0.6138521195)</f>
        <v>0.6138521195</v>
      </c>
    </row>
    <row r="2936">
      <c r="A2936" s="3">
        <f>IFERROR(__xludf.DUMMYFUNCTION("""COMPUTED_VALUE"""),43746.99861111111)</f>
        <v>43746.99861</v>
      </c>
      <c r="B2936" s="1">
        <f>IFERROR(__xludf.DUMMYFUNCTION("""COMPUTED_VALUE"""),0.6112371715)</f>
        <v>0.6112371715</v>
      </c>
    </row>
    <row r="2937">
      <c r="A2937" s="3">
        <f>IFERROR(__xludf.DUMMYFUNCTION("""COMPUTED_VALUE"""),43747.99861111111)</f>
        <v>43747.99861</v>
      </c>
      <c r="B2937" s="1">
        <f>IFERROR(__xludf.DUMMYFUNCTION("""COMPUTED_VALUE"""),0.610521535)</f>
        <v>0.610521535</v>
      </c>
    </row>
    <row r="2938">
      <c r="A2938" s="3">
        <f>IFERROR(__xludf.DUMMYFUNCTION("""COMPUTED_VALUE"""),43748.99861111111)</f>
        <v>43748.99861</v>
      </c>
      <c r="B2938" s="1">
        <f>IFERROR(__xludf.DUMMYFUNCTION("""COMPUTED_VALUE"""),0.6092436)</f>
        <v>0.6092436</v>
      </c>
    </row>
    <row r="2939">
      <c r="A2939" s="3">
        <f>IFERROR(__xludf.DUMMYFUNCTION("""COMPUTED_VALUE"""),43749.99861111111)</f>
        <v>43749.99861</v>
      </c>
      <c r="B2939" s="1">
        <f>IFERROR(__xludf.DUMMYFUNCTION("""COMPUTED_VALUE"""),0.6091980537)</f>
        <v>0.6091980537</v>
      </c>
    </row>
    <row r="2940">
      <c r="A2940" s="3">
        <f>IFERROR(__xludf.DUMMYFUNCTION("""COMPUTED_VALUE"""),43750.99861111111)</f>
        <v>43750.99861</v>
      </c>
      <c r="B2940" s="1">
        <f>IFERROR(__xludf.DUMMYFUNCTION("""COMPUTED_VALUE"""),0.6091938138)</f>
        <v>0.6091938138</v>
      </c>
    </row>
    <row r="2941">
      <c r="A2941" s="3">
        <f>IFERROR(__xludf.DUMMYFUNCTION("""COMPUTED_VALUE"""),43751.99861111111)</f>
        <v>43751.99861</v>
      </c>
      <c r="B2941" s="1">
        <f>IFERROR(__xludf.DUMMYFUNCTION("""COMPUTED_VALUE"""),0.6086175689)</f>
        <v>0.6086175689</v>
      </c>
    </row>
    <row r="2942">
      <c r="A2942" s="3">
        <f>IFERROR(__xludf.DUMMYFUNCTION("""COMPUTED_VALUE"""),43752.99861111111)</f>
        <v>43752.99861</v>
      </c>
      <c r="B2942" s="1">
        <f>IFERROR(__xludf.DUMMYFUNCTION("""COMPUTED_VALUE"""),0.6080528186)</f>
        <v>0.6080528186</v>
      </c>
    </row>
    <row r="2943">
      <c r="A2943" s="3">
        <f>IFERROR(__xludf.DUMMYFUNCTION("""COMPUTED_VALUE"""),43753.99861111111)</f>
        <v>43753.99861</v>
      </c>
      <c r="B2943" s="1">
        <f>IFERROR(__xludf.DUMMYFUNCTION("""COMPUTED_VALUE"""),0.6140656728)</f>
        <v>0.6140656728</v>
      </c>
    </row>
    <row r="2944">
      <c r="A2944" s="3">
        <f>IFERROR(__xludf.DUMMYFUNCTION("""COMPUTED_VALUE"""),43754.99861111111)</f>
        <v>43754.99861</v>
      </c>
      <c r="B2944" s="1">
        <f>IFERROR(__xludf.DUMMYFUNCTION("""COMPUTED_VALUE"""),0.6160780912)</f>
        <v>0.6160780912</v>
      </c>
    </row>
    <row r="2945">
      <c r="A2945" s="3">
        <f>IFERROR(__xludf.DUMMYFUNCTION("""COMPUTED_VALUE"""),43755.99861111111)</f>
        <v>43755.99861</v>
      </c>
      <c r="B2945" s="1">
        <f>IFERROR(__xludf.DUMMYFUNCTION("""COMPUTED_VALUE"""),0.6122085194)</f>
        <v>0.6122085194</v>
      </c>
    </row>
    <row r="2946">
      <c r="A2946" s="3">
        <f>IFERROR(__xludf.DUMMYFUNCTION("""COMPUTED_VALUE"""),43756.99861111111)</f>
        <v>43756.99861</v>
      </c>
      <c r="B2946" s="1">
        <f>IFERROR(__xludf.DUMMYFUNCTION("""COMPUTED_VALUE"""),0.6107829665)</f>
        <v>0.6107829665</v>
      </c>
    </row>
    <row r="2947">
      <c r="A2947" s="3">
        <f>IFERROR(__xludf.DUMMYFUNCTION("""COMPUTED_VALUE"""),43757.99861111111)</f>
        <v>43757.99861</v>
      </c>
      <c r="B2947" s="1">
        <f>IFERROR(__xludf.DUMMYFUNCTION("""COMPUTED_VALUE"""),0.6107829665)</f>
        <v>0.6107829665</v>
      </c>
    </row>
    <row r="2948">
      <c r="A2948" s="3">
        <f>IFERROR(__xludf.DUMMYFUNCTION("""COMPUTED_VALUE"""),43758.99861111111)</f>
        <v>43758.99861</v>
      </c>
      <c r="B2948" s="1">
        <f>IFERROR(__xludf.DUMMYFUNCTION("""COMPUTED_VALUE"""),0.6110055811)</f>
        <v>0.6110055811</v>
      </c>
    </row>
    <row r="2949">
      <c r="A2949" s="3">
        <f>IFERROR(__xludf.DUMMYFUNCTION("""COMPUTED_VALUE"""),43759.99861111111)</f>
        <v>43759.99861</v>
      </c>
      <c r="B2949" s="1">
        <f>IFERROR(__xludf.DUMMYFUNCTION("""COMPUTED_VALUE"""),0.6074131941)</f>
        <v>0.6074131941</v>
      </c>
    </row>
    <row r="2950">
      <c r="A2950" s="3">
        <f>IFERROR(__xludf.DUMMYFUNCTION("""COMPUTED_VALUE"""),43760.99861111111)</f>
        <v>43760.99861</v>
      </c>
      <c r="B2950" s="1">
        <f>IFERROR(__xludf.DUMMYFUNCTION("""COMPUTED_VALUE"""),0.6049753319)</f>
        <v>0.6049753319</v>
      </c>
    </row>
    <row r="2951">
      <c r="A2951" s="3">
        <f>IFERROR(__xludf.DUMMYFUNCTION("""COMPUTED_VALUE"""),43761.99861111111)</f>
        <v>43761.99861</v>
      </c>
      <c r="B2951" s="1">
        <f>IFERROR(__xludf.DUMMYFUNCTION("""COMPUTED_VALUE"""),0.605285752)</f>
        <v>0.605285752</v>
      </c>
    </row>
    <row r="2952">
      <c r="A2952" s="3">
        <f>IFERROR(__xludf.DUMMYFUNCTION("""COMPUTED_VALUE"""),43762.99861111111)</f>
        <v>43762.99861</v>
      </c>
      <c r="B2952" s="1">
        <f>IFERROR(__xludf.DUMMYFUNCTION("""COMPUTED_VALUE"""),0.6061135171)</f>
        <v>0.6061135171</v>
      </c>
    </row>
    <row r="2953">
      <c r="A2953" s="3">
        <f>IFERROR(__xludf.DUMMYFUNCTION("""COMPUTED_VALUE"""),43763.99861111111)</f>
        <v>43763.99861</v>
      </c>
      <c r="B2953" s="1">
        <f>IFERROR(__xludf.DUMMYFUNCTION("""COMPUTED_VALUE"""),0.603266405)</f>
        <v>0.603266405</v>
      </c>
    </row>
    <row r="2954">
      <c r="A2954" s="3">
        <f>IFERROR(__xludf.DUMMYFUNCTION("""COMPUTED_VALUE"""),43764.99861111111)</f>
        <v>43764.99861</v>
      </c>
      <c r="B2954" s="1">
        <f>IFERROR(__xludf.DUMMYFUNCTION("""COMPUTED_VALUE"""),0.603266405)</f>
        <v>0.603266405</v>
      </c>
    </row>
    <row r="2955">
      <c r="A2955" s="3">
        <f>IFERROR(__xludf.DUMMYFUNCTION("""COMPUTED_VALUE"""),43765.99861111111)</f>
        <v>43765.99861</v>
      </c>
      <c r="B2955" s="1">
        <f>IFERROR(__xludf.DUMMYFUNCTION("""COMPUTED_VALUE"""),0.6034842282)</f>
        <v>0.6034842282</v>
      </c>
    </row>
    <row r="2956">
      <c r="A2956" s="3">
        <f>IFERROR(__xludf.DUMMYFUNCTION("""COMPUTED_VALUE"""),43766.99861111111)</f>
        <v>43766.99861</v>
      </c>
      <c r="B2956" s="1">
        <f>IFERROR(__xludf.DUMMYFUNCTION("""COMPUTED_VALUE"""),0.60470751)</f>
        <v>0.60470751</v>
      </c>
    </row>
    <row r="2957">
      <c r="A2957" s="3">
        <f>IFERROR(__xludf.DUMMYFUNCTION("""COMPUTED_VALUE"""),43767.99861111111)</f>
        <v>43767.99861</v>
      </c>
      <c r="B2957" s="1">
        <f>IFERROR(__xludf.DUMMYFUNCTION("""COMPUTED_VALUE"""),0.6084004423)</f>
        <v>0.6084004423</v>
      </c>
    </row>
    <row r="2958">
      <c r="A2958" s="3">
        <f>IFERROR(__xludf.DUMMYFUNCTION("""COMPUTED_VALUE"""),43768.99861111111)</f>
        <v>43768.99861</v>
      </c>
      <c r="B2958" s="1">
        <f>IFERROR(__xludf.DUMMYFUNCTION("""COMPUTED_VALUE"""),0.608438315)</f>
        <v>0.608438315</v>
      </c>
    </row>
    <row r="2959">
      <c r="A2959" s="3">
        <f>IFERROR(__xludf.DUMMYFUNCTION("""COMPUTED_VALUE"""),43769.99861111111)</f>
        <v>43769.99861</v>
      </c>
      <c r="B2959" s="1">
        <f>IFERROR(__xludf.DUMMYFUNCTION("""COMPUTED_VALUE"""),0.6092251271)</f>
        <v>0.6092251271</v>
      </c>
    </row>
    <row r="2960">
      <c r="A2960" s="3">
        <f>IFERROR(__xludf.DUMMYFUNCTION("""COMPUTED_VALUE"""),43770.99861111111)</f>
        <v>43770.99861</v>
      </c>
      <c r="B2960" s="1">
        <f>IFERROR(__xludf.DUMMYFUNCTION("""COMPUTED_VALUE"""),0.605066217)</f>
        <v>0.605066217</v>
      </c>
    </row>
    <row r="2961">
      <c r="A2961" s="3">
        <f>IFERROR(__xludf.DUMMYFUNCTION("""COMPUTED_VALUE"""),43771.99861111111)</f>
        <v>43771.99861</v>
      </c>
      <c r="B2961" s="1">
        <f>IFERROR(__xludf.DUMMYFUNCTION("""COMPUTED_VALUE"""),0.6037145998)</f>
        <v>0.6037145998</v>
      </c>
    </row>
    <row r="2962">
      <c r="A2962" s="3">
        <f>IFERROR(__xludf.DUMMYFUNCTION("""COMPUTED_VALUE"""),43772.99861111111)</f>
        <v>43772.99861</v>
      </c>
      <c r="B2962" s="1">
        <f>IFERROR(__xludf.DUMMYFUNCTION("""COMPUTED_VALUE"""),0.6050414829)</f>
        <v>0.6050414829</v>
      </c>
    </row>
    <row r="2963">
      <c r="A2963" s="3">
        <f>IFERROR(__xludf.DUMMYFUNCTION("""COMPUTED_VALUE"""),43773.99861111111)</f>
        <v>43773.99861</v>
      </c>
      <c r="B2963" s="1">
        <f>IFERROR(__xludf.DUMMYFUNCTION("""COMPUTED_VALUE"""),0.6043328712)</f>
        <v>0.6043328712</v>
      </c>
    </row>
    <row r="2964">
      <c r="A2964" s="3">
        <f>IFERROR(__xludf.DUMMYFUNCTION("""COMPUTED_VALUE"""),43774.99861111111)</f>
        <v>43774.99861</v>
      </c>
      <c r="B2964" s="1">
        <f>IFERROR(__xludf.DUMMYFUNCTION("""COMPUTED_VALUE"""),0.6027155205)</f>
        <v>0.6027155205</v>
      </c>
    </row>
    <row r="2965">
      <c r="A2965" s="3">
        <f>IFERROR(__xludf.DUMMYFUNCTION("""COMPUTED_VALUE"""),43775.99861111111)</f>
        <v>43775.99861</v>
      </c>
      <c r="B2965" s="1">
        <f>IFERROR(__xludf.DUMMYFUNCTION("""COMPUTED_VALUE"""),0.6036061487)</f>
        <v>0.6036061487</v>
      </c>
    </row>
    <row r="2966">
      <c r="A2966" s="3">
        <f>IFERROR(__xludf.DUMMYFUNCTION("""COMPUTED_VALUE"""),43776.99861111111)</f>
        <v>43776.99861</v>
      </c>
      <c r="B2966" s="1">
        <f>IFERROR(__xludf.DUMMYFUNCTION("""COMPUTED_VALUE"""),0.6051284915)</f>
        <v>0.6051284915</v>
      </c>
    </row>
    <row r="2967">
      <c r="A2967" s="3">
        <f>IFERROR(__xludf.DUMMYFUNCTION("""COMPUTED_VALUE"""),43777.99861111111)</f>
        <v>43777.99861</v>
      </c>
      <c r="B2967" s="1">
        <f>IFERROR(__xludf.DUMMYFUNCTION("""COMPUTED_VALUE"""),0.6037006544)</f>
        <v>0.6037006544</v>
      </c>
    </row>
    <row r="2968">
      <c r="A2968" s="3">
        <f>IFERROR(__xludf.DUMMYFUNCTION("""COMPUTED_VALUE"""),43778.99861111111)</f>
        <v>43778.99861</v>
      </c>
      <c r="B2968" s="1">
        <f>IFERROR(__xludf.DUMMYFUNCTION("""COMPUTED_VALUE"""),0.6037006544)</f>
        <v>0.6037006544</v>
      </c>
    </row>
    <row r="2969">
      <c r="A2969" s="3">
        <f>IFERROR(__xludf.DUMMYFUNCTION("""COMPUTED_VALUE"""),43779.99861111111)</f>
        <v>43779.99861</v>
      </c>
      <c r="B2969" s="1">
        <f>IFERROR(__xludf.DUMMYFUNCTION("""COMPUTED_VALUE"""),0.6040708457)</f>
        <v>0.6040708457</v>
      </c>
    </row>
    <row r="2970">
      <c r="A2970" s="3">
        <f>IFERROR(__xludf.DUMMYFUNCTION("""COMPUTED_VALUE"""),43780.99861111111)</f>
        <v>43780.99861</v>
      </c>
      <c r="B2970" s="1">
        <f>IFERROR(__xludf.DUMMYFUNCTION("""COMPUTED_VALUE"""),0.6040889589)</f>
        <v>0.6040889589</v>
      </c>
    </row>
    <row r="2971">
      <c r="A2971" s="3">
        <f>IFERROR(__xludf.DUMMYFUNCTION("""COMPUTED_VALUE"""),43781.99861111111)</f>
        <v>43781.99861</v>
      </c>
      <c r="B2971" s="1">
        <f>IFERROR(__xludf.DUMMYFUNCTION("""COMPUTED_VALUE"""),0.605909039)</f>
        <v>0.605909039</v>
      </c>
    </row>
    <row r="2972">
      <c r="A2972" s="3">
        <f>IFERROR(__xludf.DUMMYFUNCTION("""COMPUTED_VALUE"""),43782.99861111111)</f>
        <v>43782.99861</v>
      </c>
      <c r="B2972" s="1">
        <f>IFERROR(__xludf.DUMMYFUNCTION("""COMPUTED_VALUE"""),0.6070548131)</f>
        <v>0.6070548131</v>
      </c>
    </row>
    <row r="2973">
      <c r="A2973" s="3">
        <f>IFERROR(__xludf.DUMMYFUNCTION("""COMPUTED_VALUE"""),43783.99861111111)</f>
        <v>43783.99861</v>
      </c>
      <c r="B2973" s="1">
        <f>IFERROR(__xludf.DUMMYFUNCTION("""COMPUTED_VALUE"""),0.608877648)</f>
        <v>0.608877648</v>
      </c>
    </row>
    <row r="2974">
      <c r="A2974" s="3">
        <f>IFERROR(__xludf.DUMMYFUNCTION("""COMPUTED_VALUE"""),43784.99861111111)</f>
        <v>43784.99861</v>
      </c>
      <c r="B2974" s="1">
        <f>IFERROR(__xludf.DUMMYFUNCTION("""COMPUTED_VALUE"""),0.607641297)</f>
        <v>0.607641297</v>
      </c>
    </row>
    <row r="2975">
      <c r="A2975" s="3">
        <f>IFERROR(__xludf.DUMMYFUNCTION("""COMPUTED_VALUE"""),43785.99861111111)</f>
        <v>43785.99861</v>
      </c>
      <c r="B2975" s="1">
        <f>IFERROR(__xludf.DUMMYFUNCTION("""COMPUTED_VALUE"""),0.6076874992)</f>
        <v>0.6076874992</v>
      </c>
    </row>
    <row r="2976">
      <c r="A2976" s="3">
        <f>IFERROR(__xludf.DUMMYFUNCTION("""COMPUTED_VALUE"""),43786.99861111111)</f>
        <v>43786.99861</v>
      </c>
      <c r="B2976" s="1">
        <f>IFERROR(__xludf.DUMMYFUNCTION("""COMPUTED_VALUE"""),0.6067793566)</f>
        <v>0.6067793566</v>
      </c>
    </row>
    <row r="2977">
      <c r="A2977" s="3">
        <f>IFERROR(__xludf.DUMMYFUNCTION("""COMPUTED_VALUE"""),43787.99861111111)</f>
        <v>43787.99861</v>
      </c>
      <c r="B2977" s="1">
        <f>IFERROR(__xludf.DUMMYFUNCTION("""COMPUTED_VALUE"""),0.6066934419)</f>
        <v>0.6066934419</v>
      </c>
    </row>
    <row r="2978">
      <c r="A2978" s="3">
        <f>IFERROR(__xludf.DUMMYFUNCTION("""COMPUTED_VALUE"""),43788.99861111111)</f>
        <v>43788.99861</v>
      </c>
      <c r="B2978" s="1">
        <f>IFERROR(__xludf.DUMMYFUNCTION("""COMPUTED_VALUE"""),0.6074500526)</f>
        <v>0.6074500526</v>
      </c>
    </row>
    <row r="2979">
      <c r="A2979" s="3">
        <f>IFERROR(__xludf.DUMMYFUNCTION("""COMPUTED_VALUE"""),43789.99861111111)</f>
        <v>43789.99861</v>
      </c>
      <c r="B2979" s="1">
        <f>IFERROR(__xludf.DUMMYFUNCTION("""COMPUTED_VALUE"""),0.6065086789)</f>
        <v>0.6065086789</v>
      </c>
    </row>
    <row r="2980">
      <c r="A2980" s="3">
        <f>IFERROR(__xludf.DUMMYFUNCTION("""COMPUTED_VALUE"""),43790.99861111111)</f>
        <v>43790.99861</v>
      </c>
      <c r="B2980" s="1">
        <f>IFERROR(__xludf.DUMMYFUNCTION("""COMPUTED_VALUE"""),0.605985429)</f>
        <v>0.605985429</v>
      </c>
    </row>
    <row r="2981">
      <c r="A2981" s="3">
        <f>IFERROR(__xludf.DUMMYFUNCTION("""COMPUTED_VALUE"""),43791.99861111111)</f>
        <v>43791.99861</v>
      </c>
      <c r="B2981" s="1">
        <f>IFERROR(__xludf.DUMMYFUNCTION("""COMPUTED_VALUE"""),0.6052209554)</f>
        <v>0.6052209554</v>
      </c>
    </row>
    <row r="2982">
      <c r="A2982" s="3">
        <f>IFERROR(__xludf.DUMMYFUNCTION("""COMPUTED_VALUE"""),43792.99861111111)</f>
        <v>43792.99861</v>
      </c>
      <c r="B2982" s="1">
        <f>IFERROR(__xludf.DUMMYFUNCTION("""COMPUTED_VALUE"""),0.6052209554)</f>
        <v>0.6052209554</v>
      </c>
    </row>
    <row r="2983">
      <c r="A2983" s="3">
        <f>IFERROR(__xludf.DUMMYFUNCTION("""COMPUTED_VALUE"""),43793.99861111111)</f>
        <v>43793.99861</v>
      </c>
      <c r="B2983" s="1">
        <f>IFERROR(__xludf.DUMMYFUNCTION("""COMPUTED_VALUE"""),0.6052046698)</f>
        <v>0.6052046698</v>
      </c>
    </row>
    <row r="2984">
      <c r="A2984" s="3">
        <f>IFERROR(__xludf.DUMMYFUNCTION("""COMPUTED_VALUE"""),43794.99861111111)</f>
        <v>43794.99861</v>
      </c>
      <c r="B2984" s="1">
        <f>IFERROR(__xludf.DUMMYFUNCTION("""COMPUTED_VALUE"""),0.6062328629)</f>
        <v>0.6062328629</v>
      </c>
    </row>
    <row r="2985">
      <c r="A2985" s="3">
        <f>IFERROR(__xludf.DUMMYFUNCTION("""COMPUTED_VALUE"""),43795.99861111111)</f>
        <v>43795.99861</v>
      </c>
      <c r="B2985" s="1">
        <f>IFERROR(__xludf.DUMMYFUNCTION("""COMPUTED_VALUE"""),0.6077885958)</f>
        <v>0.6077885958</v>
      </c>
    </row>
    <row r="2986">
      <c r="A2986" s="3">
        <f>IFERROR(__xludf.DUMMYFUNCTION("""COMPUTED_VALUE"""),43796.99861111111)</f>
        <v>43796.99861</v>
      </c>
      <c r="B2986" s="1">
        <f>IFERROR(__xludf.DUMMYFUNCTION("""COMPUTED_VALUE"""),0.6073281842)</f>
        <v>0.6073281842</v>
      </c>
    </row>
    <row r="2987">
      <c r="A2987" s="3">
        <f>IFERROR(__xludf.DUMMYFUNCTION("""COMPUTED_VALUE"""),43797.99861111111)</f>
        <v>43797.99861</v>
      </c>
      <c r="B2987" s="1">
        <f>IFERROR(__xludf.DUMMYFUNCTION("""COMPUTED_VALUE"""),0.6074209137)</f>
        <v>0.6074209137</v>
      </c>
    </row>
    <row r="2988">
      <c r="A2988" s="3">
        <f>IFERROR(__xludf.DUMMYFUNCTION("""COMPUTED_VALUE"""),43798.99861111111)</f>
        <v>43798.99861</v>
      </c>
      <c r="B2988" s="1">
        <f>IFERROR(__xludf.DUMMYFUNCTION("""COMPUTED_VALUE"""),0.6090313657)</f>
        <v>0.6090313657</v>
      </c>
    </row>
    <row r="2989">
      <c r="A2989" s="3">
        <f>IFERROR(__xludf.DUMMYFUNCTION("""COMPUTED_VALUE"""),43799.99861111111)</f>
        <v>43799.99861</v>
      </c>
      <c r="B2989" s="1">
        <f>IFERROR(__xludf.DUMMYFUNCTION("""COMPUTED_VALUE"""),0.6090162331)</f>
        <v>0.6090162331</v>
      </c>
    </row>
    <row r="2990">
      <c r="A2990" s="3">
        <f>IFERROR(__xludf.DUMMYFUNCTION("""COMPUTED_VALUE"""),43800.99861111111)</f>
        <v>43800.99861</v>
      </c>
      <c r="B2990" s="1">
        <f>IFERROR(__xludf.DUMMYFUNCTION("""COMPUTED_VALUE"""),0.6086843622)</f>
        <v>0.6086843622</v>
      </c>
    </row>
    <row r="2991">
      <c r="A2991" s="3">
        <f>IFERROR(__xludf.DUMMYFUNCTION("""COMPUTED_VALUE"""),43801.99861111111)</f>
        <v>43801.99861</v>
      </c>
      <c r="B2991" s="1">
        <f>IFERROR(__xludf.DUMMYFUNCTION("""COMPUTED_VALUE"""),0.6134939121)</f>
        <v>0.6134939121</v>
      </c>
    </row>
    <row r="2992">
      <c r="A2992" s="3">
        <f>IFERROR(__xludf.DUMMYFUNCTION("""COMPUTED_VALUE"""),43802.99861111111)</f>
        <v>43802.99861</v>
      </c>
      <c r="B2992" s="1">
        <f>IFERROR(__xludf.DUMMYFUNCTION("""COMPUTED_VALUE"""),0.6092623719)</f>
        <v>0.6092623719</v>
      </c>
    </row>
    <row r="2993">
      <c r="A2993" s="3">
        <f>IFERROR(__xludf.DUMMYFUNCTION("""COMPUTED_VALUE"""),43803.99861111111)</f>
        <v>43803.99861</v>
      </c>
      <c r="B2993" s="1">
        <f>IFERROR(__xludf.DUMMYFUNCTION("""COMPUTED_VALUE"""),0.6050782229)</f>
        <v>0.6050782229</v>
      </c>
    </row>
    <row r="2994">
      <c r="A2994" s="3">
        <f>IFERROR(__xludf.DUMMYFUNCTION("""COMPUTED_VALUE"""),43804.99861111111)</f>
        <v>43804.99861</v>
      </c>
      <c r="B2994" s="1">
        <f>IFERROR(__xludf.DUMMYFUNCTION("""COMPUTED_VALUE"""),0.603931197)</f>
        <v>0.603931197</v>
      </c>
    </row>
    <row r="2995">
      <c r="A2995" s="3">
        <f>IFERROR(__xludf.DUMMYFUNCTION("""COMPUTED_VALUE"""),43805.99861111111)</f>
        <v>43805.99861</v>
      </c>
      <c r="B2995" s="1">
        <f>IFERROR(__xludf.DUMMYFUNCTION("""COMPUTED_VALUE"""),0.6033149094)</f>
        <v>0.6033149094</v>
      </c>
    </row>
    <row r="2996">
      <c r="A2996" s="3">
        <f>IFERROR(__xludf.DUMMYFUNCTION("""COMPUTED_VALUE"""),43806.99861111111)</f>
        <v>43806.99861</v>
      </c>
      <c r="B2996" s="1">
        <f>IFERROR(__xludf.DUMMYFUNCTION("""COMPUTED_VALUE"""),0.6033149094)</f>
        <v>0.6033149094</v>
      </c>
    </row>
    <row r="2997">
      <c r="A2997" s="3">
        <f>IFERROR(__xludf.DUMMYFUNCTION("""COMPUTED_VALUE"""),43807.99861111111)</f>
        <v>43807.99861</v>
      </c>
      <c r="B2997" s="1">
        <f>IFERROR(__xludf.DUMMYFUNCTION("""COMPUTED_VALUE"""),0.6034605226)</f>
        <v>0.6034605226</v>
      </c>
    </row>
    <row r="2998">
      <c r="A2998" s="3">
        <f>IFERROR(__xludf.DUMMYFUNCTION("""COMPUTED_VALUE"""),43808.99861111111)</f>
        <v>43808.99861</v>
      </c>
      <c r="B2998" s="1">
        <f>IFERROR(__xludf.DUMMYFUNCTION("""COMPUTED_VALUE"""),0.6043167329)</f>
        <v>0.6043167329</v>
      </c>
    </row>
    <row r="2999">
      <c r="A2999" s="3">
        <f>IFERROR(__xludf.DUMMYFUNCTION("""COMPUTED_VALUE"""),43809.99861111111)</f>
        <v>43809.99861</v>
      </c>
      <c r="B2999" s="1">
        <f>IFERROR(__xludf.DUMMYFUNCTION("""COMPUTED_VALUE"""),0.605887293)</f>
        <v>0.605887293</v>
      </c>
    </row>
    <row r="3000">
      <c r="A3000" s="3">
        <f>IFERROR(__xludf.DUMMYFUNCTION("""COMPUTED_VALUE"""),43810.99861111111)</f>
        <v>43810.99861</v>
      </c>
      <c r="B3000" s="1">
        <f>IFERROR(__xludf.DUMMYFUNCTION("""COMPUTED_VALUE"""),0.6061670881)</f>
        <v>0.6061670881</v>
      </c>
    </row>
    <row r="3001">
      <c r="A3001" s="3">
        <f>IFERROR(__xludf.DUMMYFUNCTION("""COMPUTED_VALUE"""),43811.99861111111)</f>
        <v>43811.99861</v>
      </c>
      <c r="B3001" s="1">
        <f>IFERROR(__xludf.DUMMYFUNCTION("""COMPUTED_VALUE"""),0.60849987)</f>
        <v>0.60849987</v>
      </c>
    </row>
    <row r="3002">
      <c r="A3002" s="3">
        <f>IFERROR(__xludf.DUMMYFUNCTION("""COMPUTED_VALUE"""),43812.99861111111)</f>
        <v>43812.99861</v>
      </c>
      <c r="B3002" s="1">
        <f>IFERROR(__xludf.DUMMYFUNCTION("""COMPUTED_VALUE"""),0.6001370549)</f>
        <v>0.6001370549</v>
      </c>
    </row>
    <row r="3003">
      <c r="A3003" s="3">
        <f>IFERROR(__xludf.DUMMYFUNCTION("""COMPUTED_VALUE"""),43813.99861111111)</f>
        <v>43813.99861</v>
      </c>
      <c r="B3003" s="1">
        <f>IFERROR(__xludf.DUMMYFUNCTION("""COMPUTED_VALUE"""),0.6001370549)</f>
        <v>0.6001370549</v>
      </c>
    </row>
    <row r="3004">
      <c r="A3004" s="3">
        <f>IFERROR(__xludf.DUMMYFUNCTION("""COMPUTED_VALUE"""),43814.99861111111)</f>
        <v>43814.99861</v>
      </c>
      <c r="B3004" s="1">
        <f>IFERROR(__xludf.DUMMYFUNCTION("""COMPUTED_VALUE"""),0.6003415821)</f>
        <v>0.6003415821</v>
      </c>
    </row>
    <row r="3005">
      <c r="A3005" s="3">
        <f>IFERROR(__xludf.DUMMYFUNCTION("""COMPUTED_VALUE"""),43815.99861111111)</f>
        <v>43815.99861</v>
      </c>
      <c r="B3005" s="1">
        <f>IFERROR(__xludf.DUMMYFUNCTION("""COMPUTED_VALUE"""),0.6043250533)</f>
        <v>0.6043250533</v>
      </c>
    </row>
    <row r="3006">
      <c r="A3006" s="3">
        <f>IFERROR(__xludf.DUMMYFUNCTION("""COMPUTED_VALUE"""),43816.99861111111)</f>
        <v>43816.99861</v>
      </c>
      <c r="B3006" s="1">
        <f>IFERROR(__xludf.DUMMYFUNCTION("""COMPUTED_VALUE"""),0.6048567789)</f>
        <v>0.6048567789</v>
      </c>
    </row>
    <row r="3007">
      <c r="A3007" s="3">
        <f>IFERROR(__xludf.DUMMYFUNCTION("""COMPUTED_VALUE"""),43817.99861111111)</f>
        <v>43817.99861</v>
      </c>
      <c r="B3007" s="1">
        <f>IFERROR(__xludf.DUMMYFUNCTION("""COMPUTED_VALUE"""),0.6023657578)</f>
        <v>0.6023657578</v>
      </c>
    </row>
    <row r="3008">
      <c r="A3008" s="3">
        <f>IFERROR(__xludf.DUMMYFUNCTION("""COMPUTED_VALUE"""),43818.99861111111)</f>
        <v>43818.99861</v>
      </c>
      <c r="B3008" s="1">
        <f>IFERROR(__xludf.DUMMYFUNCTION("""COMPUTED_VALUE"""),0.6033918657)</f>
        <v>0.6033918657</v>
      </c>
    </row>
    <row r="3009">
      <c r="A3009" s="3">
        <f>IFERROR(__xludf.DUMMYFUNCTION("""COMPUTED_VALUE"""),43819.99861111111)</f>
        <v>43819.99861</v>
      </c>
      <c r="B3009" s="1">
        <f>IFERROR(__xludf.DUMMYFUNCTION("""COMPUTED_VALUE"""),0.601848383)</f>
        <v>0.601848383</v>
      </c>
    </row>
    <row r="3010">
      <c r="A3010" s="3">
        <f>IFERROR(__xludf.DUMMYFUNCTION("""COMPUTED_VALUE"""),43820.99861111111)</f>
        <v>43820.99861</v>
      </c>
      <c r="B3010" s="1">
        <f>IFERROR(__xludf.DUMMYFUNCTION("""COMPUTED_VALUE"""),0.601848383)</f>
        <v>0.601848383</v>
      </c>
    </row>
    <row r="3011">
      <c r="A3011" s="3">
        <f>IFERROR(__xludf.DUMMYFUNCTION("""COMPUTED_VALUE"""),43821.99861111111)</f>
        <v>43821.99861</v>
      </c>
      <c r="B3011" s="1">
        <f>IFERROR(__xludf.DUMMYFUNCTION("""COMPUTED_VALUE"""),0.6016217109)</f>
        <v>0.6016217109</v>
      </c>
    </row>
    <row r="3012">
      <c r="A3012" s="3">
        <f>IFERROR(__xludf.DUMMYFUNCTION("""COMPUTED_VALUE"""),43822.99861111111)</f>
        <v>43822.99861</v>
      </c>
      <c r="B3012" s="1">
        <f>IFERROR(__xludf.DUMMYFUNCTION("""COMPUTED_VALUE"""),0.6031555135)</f>
        <v>0.6031555135</v>
      </c>
    </row>
    <row r="3013">
      <c r="A3013" s="3">
        <f>IFERROR(__xludf.DUMMYFUNCTION("""COMPUTED_VALUE"""),43823.99861111111)</f>
        <v>43823.99861</v>
      </c>
      <c r="B3013" s="1">
        <f>IFERROR(__xludf.DUMMYFUNCTION("""COMPUTED_VALUE"""),0.603607006)</f>
        <v>0.603607006</v>
      </c>
    </row>
    <row r="3014">
      <c r="A3014" s="3">
        <f>IFERROR(__xludf.DUMMYFUNCTION("""COMPUTED_VALUE"""),43824.99861111111)</f>
        <v>43824.99861</v>
      </c>
      <c r="B3014" s="1">
        <f>IFERROR(__xludf.DUMMYFUNCTION("""COMPUTED_VALUE"""),0.6027537267)</f>
        <v>0.6027537267</v>
      </c>
    </row>
    <row r="3015">
      <c r="A3015" s="3">
        <f>IFERROR(__xludf.DUMMYFUNCTION("""COMPUTED_VALUE"""),43825.99861111111)</f>
        <v>43825.99861</v>
      </c>
      <c r="B3015" s="1">
        <f>IFERROR(__xludf.DUMMYFUNCTION("""COMPUTED_VALUE"""),0.6048444437)</f>
        <v>0.6048444437</v>
      </c>
    </row>
    <row r="3016">
      <c r="A3016" s="3">
        <f>IFERROR(__xludf.DUMMYFUNCTION("""COMPUTED_VALUE"""),43826.99861111111)</f>
        <v>43826.99861</v>
      </c>
      <c r="B3016" s="1">
        <f>IFERROR(__xludf.DUMMYFUNCTION("""COMPUTED_VALUE"""),0.6038999441)</f>
        <v>0.6038999441</v>
      </c>
    </row>
    <row r="3017">
      <c r="A3017" s="3">
        <f>IFERROR(__xludf.DUMMYFUNCTION("""COMPUTED_VALUE"""),43827.99861111111)</f>
        <v>43827.99861</v>
      </c>
      <c r="B3017" s="1">
        <f>IFERROR(__xludf.DUMMYFUNCTION("""COMPUTED_VALUE"""),0.6038999441)</f>
        <v>0.6038999441</v>
      </c>
    </row>
    <row r="3018">
      <c r="A3018" s="3">
        <f>IFERROR(__xludf.DUMMYFUNCTION("""COMPUTED_VALUE"""),43828.99861111111)</f>
        <v>43828.99861</v>
      </c>
      <c r="B3018" s="1">
        <f>IFERROR(__xludf.DUMMYFUNCTION("""COMPUTED_VALUE"""),0.6044011184)</f>
        <v>0.6044011184</v>
      </c>
    </row>
    <row r="3019">
      <c r="A3019" s="3">
        <f>IFERROR(__xludf.DUMMYFUNCTION("""COMPUTED_VALUE"""),43829.99861111111)</f>
        <v>43829.99861</v>
      </c>
      <c r="B3019" s="1">
        <f>IFERROR(__xludf.DUMMYFUNCTION("""COMPUTED_VALUE"""),0.6017574565)</f>
        <v>0.6017574565</v>
      </c>
    </row>
    <row r="3020">
      <c r="A3020" s="3">
        <f>IFERROR(__xludf.DUMMYFUNCTION("""COMPUTED_VALUE"""),43830.99861111111)</f>
        <v>43830.99861</v>
      </c>
      <c r="B3020" s="1">
        <f>IFERROR(__xludf.DUMMYFUNCTION("""COMPUTED_VALUE"""),0.5990721356)</f>
        <v>0.5990721356</v>
      </c>
    </row>
    <row r="3021">
      <c r="A3021" s="3">
        <f>IFERROR(__xludf.DUMMYFUNCTION("""COMPUTED_VALUE"""),43831.99861111111)</f>
        <v>43831.99861</v>
      </c>
      <c r="B3021" s="1">
        <f>IFERROR(__xludf.DUMMYFUNCTION("""COMPUTED_VALUE"""),0.599205467)</f>
        <v>0.599205467</v>
      </c>
    </row>
    <row r="3022">
      <c r="A3022" s="3">
        <f>IFERROR(__xludf.DUMMYFUNCTION("""COMPUTED_VALUE"""),43832.99861111111)</f>
        <v>43832.99861</v>
      </c>
      <c r="B3022" s="1">
        <f>IFERROR(__xludf.DUMMYFUNCTION("""COMPUTED_VALUE"""),0.5989610038)</f>
        <v>0.5989610038</v>
      </c>
    </row>
    <row r="3023">
      <c r="A3023" s="3">
        <f>IFERROR(__xludf.DUMMYFUNCTION("""COMPUTED_VALUE"""),43833.99861111111)</f>
        <v>43833.99861</v>
      </c>
      <c r="B3023" s="1">
        <f>IFERROR(__xludf.DUMMYFUNCTION("""COMPUTED_VALUE"""),0.6033223474)</f>
        <v>0.6033223474</v>
      </c>
    </row>
    <row r="3024">
      <c r="A3024" s="3">
        <f>IFERROR(__xludf.DUMMYFUNCTION("""COMPUTED_VALUE"""),43834.99861111111)</f>
        <v>43834.99861</v>
      </c>
      <c r="B3024" s="1">
        <f>IFERROR(__xludf.DUMMYFUNCTION("""COMPUTED_VALUE"""),0.6033223474)</f>
        <v>0.6033223474</v>
      </c>
    </row>
    <row r="3025">
      <c r="A3025" s="3">
        <f>IFERROR(__xludf.DUMMYFUNCTION("""COMPUTED_VALUE"""),43835.99861111111)</f>
        <v>43835.99861</v>
      </c>
      <c r="B3025" s="1">
        <f>IFERROR(__xludf.DUMMYFUNCTION("""COMPUTED_VALUE"""),0.6033679992)</f>
        <v>0.6033679992</v>
      </c>
    </row>
    <row r="3026">
      <c r="A3026" s="3">
        <f>IFERROR(__xludf.DUMMYFUNCTION("""COMPUTED_VALUE"""),43836.99861111111)</f>
        <v>43836.99861</v>
      </c>
      <c r="B3026" s="1">
        <f>IFERROR(__xludf.DUMMYFUNCTION("""COMPUTED_VALUE"""),0.5992248166)</f>
        <v>0.5992248166</v>
      </c>
    </row>
    <row r="3027">
      <c r="A3027" s="3">
        <f>IFERROR(__xludf.DUMMYFUNCTION("""COMPUTED_VALUE"""),43837.99861111111)</f>
        <v>43837.99861</v>
      </c>
      <c r="B3027" s="1">
        <f>IFERROR(__xludf.DUMMYFUNCTION("""COMPUTED_VALUE"""),0.5970701108)</f>
        <v>0.5970701108</v>
      </c>
    </row>
    <row r="3028">
      <c r="A3028" s="3">
        <f>IFERROR(__xludf.DUMMYFUNCTION("""COMPUTED_VALUE"""),43838.99861111111)</f>
        <v>43838.99861</v>
      </c>
      <c r="B3028" s="1">
        <f>IFERROR(__xludf.DUMMYFUNCTION("""COMPUTED_VALUE"""),0.5992891512)</f>
        <v>0.5992891512</v>
      </c>
    </row>
    <row r="3029">
      <c r="A3029" s="3">
        <f>IFERROR(__xludf.DUMMYFUNCTION("""COMPUTED_VALUE"""),43839.99861111111)</f>
        <v>43839.99861</v>
      </c>
      <c r="B3029" s="1">
        <f>IFERROR(__xludf.DUMMYFUNCTION("""COMPUTED_VALUE"""),0.5972141291)</f>
        <v>0.5972141291</v>
      </c>
    </row>
    <row r="3030">
      <c r="A3030" s="3">
        <f>IFERROR(__xludf.DUMMYFUNCTION("""COMPUTED_VALUE"""),43840.99861111111)</f>
        <v>43840.99861</v>
      </c>
      <c r="B3030" s="1">
        <f>IFERROR(__xludf.DUMMYFUNCTION("""COMPUTED_VALUE"""),0.5951438229)</f>
        <v>0.5951438229</v>
      </c>
    </row>
    <row r="3031">
      <c r="A3031" s="3">
        <f>IFERROR(__xludf.DUMMYFUNCTION("""COMPUTED_VALUE"""),43841.99861111111)</f>
        <v>43841.99861</v>
      </c>
      <c r="B3031" s="1">
        <f>IFERROR(__xludf.DUMMYFUNCTION("""COMPUTED_VALUE"""),0.5951438229)</f>
        <v>0.5951438229</v>
      </c>
    </row>
    <row r="3032">
      <c r="A3032" s="3">
        <f>IFERROR(__xludf.DUMMYFUNCTION("""COMPUTED_VALUE"""),43842.99861111111)</f>
        <v>43842.99861</v>
      </c>
      <c r="B3032" s="1">
        <f>IFERROR(__xludf.DUMMYFUNCTION("""COMPUTED_VALUE"""),0.5937526228)</f>
        <v>0.5937526228</v>
      </c>
    </row>
    <row r="3033">
      <c r="A3033" s="3">
        <f>IFERROR(__xludf.DUMMYFUNCTION("""COMPUTED_VALUE"""),43843.99861111111)</f>
        <v>43843.99861</v>
      </c>
      <c r="B3033" s="1">
        <f>IFERROR(__xludf.DUMMYFUNCTION("""COMPUTED_VALUE"""),0.5907021205)</f>
        <v>0.5907021205</v>
      </c>
    </row>
    <row r="3034">
      <c r="A3034" s="3">
        <f>IFERROR(__xludf.DUMMYFUNCTION("""COMPUTED_VALUE"""),43844.99861111111)</f>
        <v>43844.99861</v>
      </c>
      <c r="B3034" s="1">
        <f>IFERROR(__xludf.DUMMYFUNCTION("""COMPUTED_VALUE"""),0.589980334)</f>
        <v>0.589980334</v>
      </c>
    </row>
    <row r="3035">
      <c r="A3035" s="3">
        <f>IFERROR(__xludf.DUMMYFUNCTION("""COMPUTED_VALUE"""),43845.99861111111)</f>
        <v>43845.99861</v>
      </c>
      <c r="B3035" s="1">
        <f>IFERROR(__xludf.DUMMYFUNCTION("""COMPUTED_VALUE"""),0.5902625798)</f>
        <v>0.5902625798</v>
      </c>
    </row>
    <row r="3036">
      <c r="A3036" s="3">
        <f>IFERROR(__xludf.DUMMYFUNCTION("""COMPUTED_VALUE"""),43846.99861111111)</f>
        <v>43846.99861</v>
      </c>
      <c r="B3036" s="1">
        <f>IFERROR(__xludf.DUMMYFUNCTION("""COMPUTED_VALUE"""),0.5871561386)</f>
        <v>0.5871561386</v>
      </c>
    </row>
    <row r="3037">
      <c r="A3037" s="3">
        <f>IFERROR(__xludf.DUMMYFUNCTION("""COMPUTED_VALUE"""),43847.99861111111)</f>
        <v>43847.99861</v>
      </c>
      <c r="B3037" s="1">
        <f>IFERROR(__xludf.DUMMYFUNCTION("""COMPUTED_VALUE"""),0.5879301817)</f>
        <v>0.5879301817</v>
      </c>
    </row>
    <row r="3038">
      <c r="A3038" s="3">
        <f>IFERROR(__xludf.DUMMYFUNCTION("""COMPUTED_VALUE"""),43848.99861111111)</f>
        <v>43848.99861</v>
      </c>
      <c r="B3038" s="1">
        <f>IFERROR(__xludf.DUMMYFUNCTION("""COMPUTED_VALUE"""),0.5879301817)</f>
        <v>0.5879301817</v>
      </c>
    </row>
    <row r="3039">
      <c r="A3039" s="3">
        <f>IFERROR(__xludf.DUMMYFUNCTION("""COMPUTED_VALUE"""),43849.99861111111)</f>
        <v>43849.99861</v>
      </c>
      <c r="B3039" s="1">
        <f>IFERROR(__xludf.DUMMYFUNCTION("""COMPUTED_VALUE"""),0.5888130073)</f>
        <v>0.5888130073</v>
      </c>
    </row>
    <row r="3040">
      <c r="A3040" s="3">
        <f>IFERROR(__xludf.DUMMYFUNCTION("""COMPUTED_VALUE"""),43850.99861111111)</f>
        <v>43850.99861</v>
      </c>
      <c r="B3040" s="1">
        <f>IFERROR(__xludf.DUMMYFUNCTION("""COMPUTED_VALUE"""),0.5886183349)</f>
        <v>0.5886183349</v>
      </c>
    </row>
    <row r="3041">
      <c r="A3041" s="3">
        <f>IFERROR(__xludf.DUMMYFUNCTION("""COMPUTED_VALUE"""),43851.99861111111)</f>
        <v>43851.99861</v>
      </c>
      <c r="B3041" s="1">
        <f>IFERROR(__xludf.DUMMYFUNCTION("""COMPUTED_VALUE"""),0.5886006484)</f>
        <v>0.5886006484</v>
      </c>
    </row>
    <row r="3042">
      <c r="A3042" s="3">
        <f>IFERROR(__xludf.DUMMYFUNCTION("""COMPUTED_VALUE"""),43852.99861111111)</f>
        <v>43852.99861</v>
      </c>
      <c r="B3042" s="1">
        <f>IFERROR(__xludf.DUMMYFUNCTION("""COMPUTED_VALUE"""),0.5893166714)</f>
        <v>0.5893166714</v>
      </c>
    </row>
    <row r="3043">
      <c r="A3043" s="3">
        <f>IFERROR(__xludf.DUMMYFUNCTION("""COMPUTED_VALUE"""),43853.99861111111)</f>
        <v>43853.99861</v>
      </c>
      <c r="B3043" s="1">
        <f>IFERROR(__xludf.DUMMYFUNCTION("""COMPUTED_VALUE"""),0.5858091045)</f>
        <v>0.5858091045</v>
      </c>
    </row>
    <row r="3044">
      <c r="A3044" s="3">
        <f>IFERROR(__xludf.DUMMYFUNCTION("""COMPUTED_VALUE"""),43854.99861111111)</f>
        <v>43854.99861</v>
      </c>
      <c r="B3044" s="1">
        <f>IFERROR(__xludf.DUMMYFUNCTION("""COMPUTED_VALUE"""),0.5869669624)</f>
        <v>0.5869669624</v>
      </c>
    </row>
    <row r="3045">
      <c r="A3045" s="3">
        <f>IFERROR(__xludf.DUMMYFUNCTION("""COMPUTED_VALUE"""),43855.99861111111)</f>
        <v>43855.99861</v>
      </c>
      <c r="B3045" s="1">
        <f>IFERROR(__xludf.DUMMYFUNCTION("""COMPUTED_VALUE"""),0.5869669624)</f>
        <v>0.5869669624</v>
      </c>
    </row>
    <row r="3046">
      <c r="A3046" s="3">
        <f>IFERROR(__xludf.DUMMYFUNCTION("""COMPUTED_VALUE"""),43856.99861111111)</f>
        <v>43856.99861</v>
      </c>
      <c r="B3046" s="1">
        <f>IFERROR(__xludf.DUMMYFUNCTION("""COMPUTED_VALUE"""),0.5915908816)</f>
        <v>0.5915908816</v>
      </c>
    </row>
    <row r="3047">
      <c r="A3047" s="3">
        <f>IFERROR(__xludf.DUMMYFUNCTION("""COMPUTED_VALUE"""),43857.99861111111)</f>
        <v>43857.99861</v>
      </c>
      <c r="B3047" s="1">
        <f>IFERROR(__xludf.DUMMYFUNCTION("""COMPUTED_VALUE"""),0.5703749643)</f>
        <v>0.5703749643</v>
      </c>
    </row>
    <row r="3048">
      <c r="A3048" s="3">
        <f>IFERROR(__xludf.DUMMYFUNCTION("""COMPUTED_VALUE"""),43858.99861111111)</f>
        <v>43858.99861</v>
      </c>
      <c r="B3048" s="1">
        <f>IFERROR(__xludf.DUMMYFUNCTION("""COMPUTED_VALUE"""),0.5893175002)</f>
        <v>0.5893175002</v>
      </c>
    </row>
    <row r="3049">
      <c r="A3049" s="3">
        <f>IFERROR(__xludf.DUMMYFUNCTION("""COMPUTED_VALUE"""),43859.99861111111)</f>
        <v>43859.99861</v>
      </c>
      <c r="B3049" s="1">
        <f>IFERROR(__xludf.DUMMYFUNCTION("""COMPUTED_VALUE"""),0.5902479229)</f>
        <v>0.5902479229</v>
      </c>
    </row>
    <row r="3050">
      <c r="A3050" s="3">
        <f>IFERROR(__xludf.DUMMYFUNCTION("""COMPUTED_VALUE"""),43860.99861111111)</f>
        <v>43860.99861</v>
      </c>
      <c r="B3050" s="1">
        <f>IFERROR(__xludf.DUMMYFUNCTION("""COMPUTED_VALUE"""),0.5891214171)</f>
        <v>0.5891214171</v>
      </c>
    </row>
    <row r="3051">
      <c r="A3051" s="3">
        <f>IFERROR(__xludf.DUMMYFUNCTION("""COMPUTED_VALUE"""),43861.99861111111)</f>
        <v>43861.99861</v>
      </c>
      <c r="B3051" s="1">
        <f>IFERROR(__xludf.DUMMYFUNCTION("""COMPUTED_VALUE"""),0.5962474293)</f>
        <v>0.5962474293</v>
      </c>
    </row>
    <row r="3052">
      <c r="A3052" s="3">
        <f>IFERROR(__xludf.DUMMYFUNCTION("""COMPUTED_VALUE"""),43862.99861111111)</f>
        <v>43862.99861</v>
      </c>
      <c r="B3052" s="1">
        <f>IFERROR(__xludf.DUMMYFUNCTION("""COMPUTED_VALUE"""),0.5962474293)</f>
        <v>0.5962474293</v>
      </c>
    </row>
    <row r="3053">
      <c r="A3053" s="3">
        <f>IFERROR(__xludf.DUMMYFUNCTION("""COMPUTED_VALUE"""),43863.99861111111)</f>
        <v>43863.99861</v>
      </c>
      <c r="B3053" s="1">
        <f>IFERROR(__xludf.DUMMYFUNCTION("""COMPUTED_VALUE"""),0.5901474362)</f>
        <v>0.5901474362</v>
      </c>
    </row>
    <row r="3054">
      <c r="A3054" s="3">
        <f>IFERROR(__xludf.DUMMYFUNCTION("""COMPUTED_VALUE"""),43864.99861111111)</f>
        <v>43864.99861</v>
      </c>
      <c r="B3054" s="1">
        <f>IFERROR(__xludf.DUMMYFUNCTION("""COMPUTED_VALUE"""),0.590776313)</f>
        <v>0.590776313</v>
      </c>
    </row>
    <row r="3055">
      <c r="A3055" s="3">
        <f>IFERROR(__xludf.DUMMYFUNCTION("""COMPUTED_VALUE"""),43865.99861111111)</f>
        <v>43865.99861</v>
      </c>
      <c r="B3055" s="1">
        <f>IFERROR(__xludf.DUMMYFUNCTION("""COMPUTED_VALUE"""),0.5895302618)</f>
        <v>0.5895302618</v>
      </c>
    </row>
    <row r="3056">
      <c r="A3056" s="3">
        <f>IFERROR(__xludf.DUMMYFUNCTION("""COMPUTED_VALUE"""),43866.99861111111)</f>
        <v>43866.99861</v>
      </c>
      <c r="B3056" s="1">
        <f>IFERROR(__xludf.DUMMYFUNCTION("""COMPUTED_VALUE"""),0.587864927)</f>
        <v>0.587864927</v>
      </c>
    </row>
    <row r="3057">
      <c r="A3057" s="3">
        <f>IFERROR(__xludf.DUMMYFUNCTION("""COMPUTED_VALUE"""),43867.99861111111)</f>
        <v>43867.99861</v>
      </c>
      <c r="B3057" s="1">
        <f>IFERROR(__xludf.DUMMYFUNCTION("""COMPUTED_VALUE"""),0.5891480454)</f>
        <v>0.5891480454</v>
      </c>
    </row>
    <row r="3058">
      <c r="A3058" s="3">
        <f>IFERROR(__xludf.DUMMYFUNCTION("""COMPUTED_VALUE"""),43868.99861111111)</f>
        <v>43868.99861</v>
      </c>
      <c r="B3058" s="1">
        <f>IFERROR(__xludf.DUMMYFUNCTION("""COMPUTED_VALUE"""),0.588748765)</f>
        <v>0.588748765</v>
      </c>
    </row>
    <row r="3059">
      <c r="A3059" s="3">
        <f>IFERROR(__xludf.DUMMYFUNCTION("""COMPUTED_VALUE"""),43869.99861111111)</f>
        <v>43869.99861</v>
      </c>
      <c r="B3059" s="1">
        <f>IFERROR(__xludf.DUMMYFUNCTION("""COMPUTED_VALUE"""),0.588748765)</f>
        <v>0.588748765</v>
      </c>
    </row>
    <row r="3060">
      <c r="A3060" s="3">
        <f>IFERROR(__xludf.DUMMYFUNCTION("""COMPUTED_VALUE"""),43870.99861111111)</f>
        <v>43870.99861</v>
      </c>
      <c r="B3060" s="1">
        <f>IFERROR(__xludf.DUMMYFUNCTION("""COMPUTED_VALUE"""),0.5888810663)</f>
        <v>0.5888810663</v>
      </c>
    </row>
    <row r="3061">
      <c r="A3061" s="3">
        <f>IFERROR(__xludf.DUMMYFUNCTION("""COMPUTED_VALUE"""),43871.99861111111)</f>
        <v>43871.99861</v>
      </c>
      <c r="B3061" s="1">
        <f>IFERROR(__xludf.DUMMYFUNCTION("""COMPUTED_VALUE"""),0.5871693872)</f>
        <v>0.5871693872</v>
      </c>
    </row>
    <row r="3062">
      <c r="A3062" s="3">
        <f>IFERROR(__xludf.DUMMYFUNCTION("""COMPUTED_VALUE"""),43872.99861111111)</f>
        <v>43872.99861</v>
      </c>
      <c r="B3062" s="1">
        <f>IFERROR(__xludf.DUMMYFUNCTION("""COMPUTED_VALUE"""),0.5882900882)</f>
        <v>0.5882900882</v>
      </c>
    </row>
    <row r="3063">
      <c r="A3063" s="3">
        <f>IFERROR(__xludf.DUMMYFUNCTION("""COMPUTED_VALUE"""),43873.99861111111)</f>
        <v>43873.99861</v>
      </c>
      <c r="B3063" s="1">
        <f>IFERROR(__xludf.DUMMYFUNCTION("""COMPUTED_VALUE"""),0.5882815294)</f>
        <v>0.5882815294</v>
      </c>
    </row>
    <row r="3064">
      <c r="A3064" s="3">
        <f>IFERROR(__xludf.DUMMYFUNCTION("""COMPUTED_VALUE"""),43874.99861111111)</f>
        <v>43874.99861</v>
      </c>
      <c r="B3064" s="1">
        <f>IFERROR(__xludf.DUMMYFUNCTION("""COMPUTED_VALUE"""),0.5908270891)</f>
        <v>0.5908270891</v>
      </c>
    </row>
    <row r="3065">
      <c r="A3065" s="3">
        <f>IFERROR(__xludf.DUMMYFUNCTION("""COMPUTED_VALUE"""),43875.99861111111)</f>
        <v>43875.99861</v>
      </c>
      <c r="B3065" s="1">
        <f>IFERROR(__xludf.DUMMYFUNCTION("""COMPUTED_VALUE"""),0.5888867096)</f>
        <v>0.5888867096</v>
      </c>
    </row>
    <row r="3066">
      <c r="A3066" s="3">
        <f>IFERROR(__xludf.DUMMYFUNCTION("""COMPUTED_VALUE"""),43876.99861111111)</f>
        <v>43876.99861</v>
      </c>
      <c r="B3066" s="1">
        <f>IFERROR(__xludf.DUMMYFUNCTION("""COMPUTED_VALUE"""),0.5888867096)</f>
        <v>0.5888867096</v>
      </c>
    </row>
    <row r="3067">
      <c r="A3067" s="3">
        <f>IFERROR(__xludf.DUMMYFUNCTION("""COMPUTED_VALUE"""),43877.99861111111)</f>
        <v>43877.99861</v>
      </c>
      <c r="B3067" s="1">
        <f>IFERROR(__xludf.DUMMYFUNCTION("""COMPUTED_VALUE"""),0.5891392837)</f>
        <v>0.5891392837</v>
      </c>
    </row>
    <row r="3068">
      <c r="A3068" s="3">
        <f>IFERROR(__xludf.DUMMYFUNCTION("""COMPUTED_VALUE"""),43878.99861111111)</f>
        <v>43878.99861</v>
      </c>
      <c r="B3068" s="1">
        <f>IFERROR(__xludf.DUMMYFUNCTION("""COMPUTED_VALUE"""),0.5910056647)</f>
        <v>0.5910056647</v>
      </c>
    </row>
    <row r="3069">
      <c r="A3069" s="3">
        <f>IFERROR(__xludf.DUMMYFUNCTION("""COMPUTED_VALUE"""),43879.99861111111)</f>
        <v>43879.99861</v>
      </c>
      <c r="B3069" s="1">
        <f>IFERROR(__xludf.DUMMYFUNCTION("""COMPUTED_VALUE"""),0.5910453494)</f>
        <v>0.5910453494</v>
      </c>
    </row>
    <row r="3070">
      <c r="A3070" s="3">
        <f>IFERROR(__xludf.DUMMYFUNCTION("""COMPUTED_VALUE"""),43880.99861111111)</f>
        <v>43880.99861</v>
      </c>
      <c r="B3070" s="1">
        <f>IFERROR(__xludf.DUMMYFUNCTION("""COMPUTED_VALUE"""),0.5895325111)</f>
        <v>0.5895325111</v>
      </c>
    </row>
    <row r="3071">
      <c r="A3071" s="3">
        <f>IFERROR(__xludf.DUMMYFUNCTION("""COMPUTED_VALUE"""),43881.99861111111)</f>
        <v>43881.99861</v>
      </c>
      <c r="B3071" s="1">
        <f>IFERROR(__xludf.DUMMYFUNCTION("""COMPUTED_VALUE"""),0.589661995)</f>
        <v>0.589661995</v>
      </c>
    </row>
    <row r="3072">
      <c r="A3072" s="3">
        <f>IFERROR(__xludf.DUMMYFUNCTION("""COMPUTED_VALUE"""),43882.99861111111)</f>
        <v>43882.99861</v>
      </c>
      <c r="B3072" s="1">
        <f>IFERROR(__xludf.DUMMYFUNCTION("""COMPUTED_VALUE"""),0.5950508892)</f>
        <v>0.5950508892</v>
      </c>
    </row>
    <row r="3073">
      <c r="A3073" s="3">
        <f>IFERROR(__xludf.DUMMYFUNCTION("""COMPUTED_VALUE"""),43883.99861111111)</f>
        <v>43883.99861</v>
      </c>
      <c r="B3073" s="1">
        <f>IFERROR(__xludf.DUMMYFUNCTION("""COMPUTED_VALUE"""),0.5950508892)</f>
        <v>0.5950508892</v>
      </c>
    </row>
    <row r="3074">
      <c r="A3074" s="3">
        <f>IFERROR(__xludf.DUMMYFUNCTION("""COMPUTED_VALUE"""),43884.99861111111)</f>
        <v>43884.99861</v>
      </c>
      <c r="B3074" s="1">
        <f>IFERROR(__xludf.DUMMYFUNCTION("""COMPUTED_VALUE"""),0.5945684858)</f>
        <v>0.5945684858</v>
      </c>
    </row>
    <row r="3075">
      <c r="A3075" s="3">
        <f>IFERROR(__xludf.DUMMYFUNCTION("""COMPUTED_VALUE"""),43885.99861111111)</f>
        <v>43885.99861</v>
      </c>
      <c r="B3075" s="1">
        <f>IFERROR(__xludf.DUMMYFUNCTION("""COMPUTED_VALUE"""),0.5989021166)</f>
        <v>0.5989021166</v>
      </c>
    </row>
    <row r="3076">
      <c r="A3076" s="3">
        <f>IFERROR(__xludf.DUMMYFUNCTION("""COMPUTED_VALUE"""),43886.99861111111)</f>
        <v>43886.99861</v>
      </c>
      <c r="B3076" s="1">
        <f>IFERROR(__xludf.DUMMYFUNCTION("""COMPUTED_VALUE"""),0.6066876563)</f>
        <v>0.6066876563</v>
      </c>
    </row>
    <row r="3077">
      <c r="A3077" s="3">
        <f>IFERROR(__xludf.DUMMYFUNCTION("""COMPUTED_VALUE"""),43887.99861111111)</f>
        <v>43887.99861</v>
      </c>
      <c r="B3077" s="1">
        <f>IFERROR(__xludf.DUMMYFUNCTION("""COMPUTED_VALUE"""),0.5998817634)</f>
        <v>0.5998817634</v>
      </c>
    </row>
    <row r="3078">
      <c r="A3078" s="3">
        <f>IFERROR(__xludf.DUMMYFUNCTION("""COMPUTED_VALUE"""),43888.99861111111)</f>
        <v>43888.99861</v>
      </c>
      <c r="B3078" s="1">
        <f>IFERROR(__xludf.DUMMYFUNCTION("""COMPUTED_VALUE"""),0.619269832)</f>
        <v>0.619269832</v>
      </c>
    </row>
    <row r="3079">
      <c r="A3079" s="3">
        <f>IFERROR(__xludf.DUMMYFUNCTION("""COMPUTED_VALUE"""),43889.99861111111)</f>
        <v>43889.99861</v>
      </c>
      <c r="B3079" s="1">
        <f>IFERROR(__xludf.DUMMYFUNCTION("""COMPUTED_VALUE"""),0.617967157)</f>
        <v>0.617967157</v>
      </c>
    </row>
    <row r="3080">
      <c r="A3080" s="3">
        <f>IFERROR(__xludf.DUMMYFUNCTION("""COMPUTED_VALUE"""),43890.99861111111)</f>
        <v>43890.99861</v>
      </c>
      <c r="B3080" s="1">
        <f>IFERROR(__xludf.DUMMYFUNCTION("""COMPUTED_VALUE"""),0.617967157)</f>
        <v>0.617967157</v>
      </c>
    </row>
    <row r="3081">
      <c r="A3081" s="3">
        <f>IFERROR(__xludf.DUMMYFUNCTION("""COMPUTED_VALUE"""),43891.99861111111)</f>
        <v>43891.99861</v>
      </c>
      <c r="B3081" s="1">
        <f>IFERROR(__xludf.DUMMYFUNCTION("""COMPUTED_VALUE"""),0.6046468705)</f>
        <v>0.6046468705</v>
      </c>
    </row>
    <row r="3082">
      <c r="A3082" s="3">
        <f>IFERROR(__xludf.DUMMYFUNCTION("""COMPUTED_VALUE"""),43892.99861111111)</f>
        <v>43892.99861</v>
      </c>
      <c r="B3082" s="1">
        <f>IFERROR(__xludf.DUMMYFUNCTION("""COMPUTED_VALUE"""),0.6137919818)</f>
        <v>0.6137919818</v>
      </c>
    </row>
    <row r="3083">
      <c r="A3083" s="3">
        <f>IFERROR(__xludf.DUMMYFUNCTION("""COMPUTED_VALUE"""),43893.99861111111)</f>
        <v>43893.99861</v>
      </c>
      <c r="B3083" s="1">
        <f>IFERROR(__xludf.DUMMYFUNCTION("""COMPUTED_VALUE"""),0.6151662526)</f>
        <v>0.6151662526</v>
      </c>
    </row>
    <row r="3084">
      <c r="A3084" s="3">
        <f>IFERROR(__xludf.DUMMYFUNCTION("""COMPUTED_VALUE"""),43894.99861111111)</f>
        <v>43894.99861</v>
      </c>
      <c r="B3084" s="1">
        <f>IFERROR(__xludf.DUMMYFUNCTION("""COMPUTED_VALUE"""),0.6097356341)</f>
        <v>0.6097356341</v>
      </c>
    </row>
    <row r="3085">
      <c r="A3085" s="3">
        <f>IFERROR(__xludf.DUMMYFUNCTION("""COMPUTED_VALUE"""),43895.99861111111)</f>
        <v>43895.99861</v>
      </c>
      <c r="B3085" s="1">
        <f>IFERROR(__xludf.DUMMYFUNCTION("""COMPUTED_VALUE"""),0.6263750214)</f>
        <v>0.6263750214</v>
      </c>
    </row>
    <row r="3086">
      <c r="A3086" s="3">
        <f>IFERROR(__xludf.DUMMYFUNCTION("""COMPUTED_VALUE"""),43896.99861111111)</f>
        <v>43896.99861</v>
      </c>
      <c r="B3086" s="1">
        <f>IFERROR(__xludf.DUMMYFUNCTION("""COMPUTED_VALUE"""),0.6118175613)</f>
        <v>0.6118175613</v>
      </c>
    </row>
    <row r="3087">
      <c r="A3087" s="3">
        <f>IFERROR(__xludf.DUMMYFUNCTION("""COMPUTED_VALUE"""),43897.99861111111)</f>
        <v>43897.99861</v>
      </c>
      <c r="B3087" s="1">
        <f>IFERROR(__xludf.DUMMYFUNCTION("""COMPUTED_VALUE"""),0.6119449848)</f>
        <v>0.6119449848</v>
      </c>
    </row>
    <row r="3088">
      <c r="A3088" s="3">
        <f>IFERROR(__xludf.DUMMYFUNCTION("""COMPUTED_VALUE"""),43898.99861111111)</f>
        <v>43898.99861</v>
      </c>
      <c r="B3088" s="1">
        <f>IFERROR(__xludf.DUMMYFUNCTION("""COMPUTED_VALUE"""),0.6172934801)</f>
        <v>0.6172934801</v>
      </c>
    </row>
    <row r="3089">
      <c r="A3089" s="3">
        <f>IFERROR(__xludf.DUMMYFUNCTION("""COMPUTED_VALUE"""),43899.99861111111)</f>
        <v>43899.99861</v>
      </c>
      <c r="B3089" s="1">
        <f>IFERROR(__xludf.DUMMYFUNCTION("""COMPUTED_VALUE"""),0.6069046474)</f>
        <v>0.6069046474</v>
      </c>
    </row>
    <row r="3090">
      <c r="A3090" s="3">
        <f>IFERROR(__xludf.DUMMYFUNCTION("""COMPUTED_VALUE"""),43900.99861111111)</f>
        <v>43900.99861</v>
      </c>
      <c r="B3090" s="1">
        <f>IFERROR(__xludf.DUMMYFUNCTION("""COMPUTED_VALUE"""),0.6138156366)</f>
        <v>0.6138156366</v>
      </c>
    </row>
    <row r="3091">
      <c r="A3091" s="3">
        <f>IFERROR(__xludf.DUMMYFUNCTION("""COMPUTED_VALUE"""),43901.99861111111)</f>
        <v>43901.99861</v>
      </c>
      <c r="B3091" s="1">
        <f>IFERROR(__xludf.DUMMYFUNCTION("""COMPUTED_VALUE"""),0.623567248)</f>
        <v>0.623567248</v>
      </c>
    </row>
    <row r="3092">
      <c r="A3092" s="3">
        <f>IFERROR(__xludf.DUMMYFUNCTION("""COMPUTED_VALUE"""),43902.99861111111)</f>
        <v>43902.99861</v>
      </c>
      <c r="B3092" s="1">
        <f>IFERROR(__xludf.DUMMYFUNCTION("""COMPUTED_VALUE"""),0.6378018937)</f>
        <v>0.6378018937</v>
      </c>
    </row>
    <row r="3093">
      <c r="A3093" s="3">
        <f>IFERROR(__xludf.DUMMYFUNCTION("""COMPUTED_VALUE"""),43903.99861111111)</f>
        <v>43903.99861</v>
      </c>
      <c r="B3093" s="1">
        <f>IFERROR(__xludf.DUMMYFUNCTION("""COMPUTED_VALUE"""),0.6305947121)</f>
        <v>0.6305947121</v>
      </c>
    </row>
    <row r="3094">
      <c r="A3094" s="3">
        <f>IFERROR(__xludf.DUMMYFUNCTION("""COMPUTED_VALUE"""),43904.99861111111)</f>
        <v>43904.99861</v>
      </c>
      <c r="B3094" s="1">
        <f>IFERROR(__xludf.DUMMYFUNCTION("""COMPUTED_VALUE"""),0.6305947121)</f>
        <v>0.6305947121</v>
      </c>
    </row>
    <row r="3095">
      <c r="A3095" s="3">
        <f>IFERROR(__xludf.DUMMYFUNCTION("""COMPUTED_VALUE"""),43905.99861111111)</f>
        <v>43905.99861</v>
      </c>
      <c r="B3095" s="1">
        <f>IFERROR(__xludf.DUMMYFUNCTION("""COMPUTED_VALUE"""),0.6308192674)</f>
        <v>0.6308192674</v>
      </c>
    </row>
    <row r="3096">
      <c r="A3096" s="3">
        <f>IFERROR(__xludf.DUMMYFUNCTION("""COMPUTED_VALUE"""),43906.99861111111)</f>
        <v>43906.99861</v>
      </c>
      <c r="B3096" s="1">
        <f>IFERROR(__xludf.DUMMYFUNCTION("""COMPUTED_VALUE"""),0.6389086383)</f>
        <v>0.6389086383</v>
      </c>
    </row>
    <row r="3097">
      <c r="A3097" s="3">
        <f>IFERROR(__xludf.DUMMYFUNCTION("""COMPUTED_VALUE"""),43907.99861111111)</f>
        <v>43907.99861</v>
      </c>
      <c r="B3097" s="1">
        <f>IFERROR(__xludf.DUMMYFUNCTION("""COMPUTED_VALUE"""),0.6513570133)</f>
        <v>0.6513570133</v>
      </c>
    </row>
    <row r="3098">
      <c r="A3098" s="3">
        <f>IFERROR(__xludf.DUMMYFUNCTION("""COMPUTED_VALUE"""),43908.99861111111)</f>
        <v>43908.99861</v>
      </c>
      <c r="B3098" s="1">
        <f>IFERROR(__xludf.DUMMYFUNCTION("""COMPUTED_VALUE"""),0.6644375136)</f>
        <v>0.6644375136</v>
      </c>
    </row>
    <row r="3099">
      <c r="A3099" s="3">
        <f>IFERROR(__xludf.DUMMYFUNCTION("""COMPUTED_VALUE"""),43909.99861111111)</f>
        <v>43909.99861</v>
      </c>
      <c r="B3099" s="1">
        <f>IFERROR(__xludf.DUMMYFUNCTION("""COMPUTED_VALUE"""),0.6743143297)</f>
        <v>0.6743143297</v>
      </c>
    </row>
    <row r="3100">
      <c r="A3100" s="3">
        <f>IFERROR(__xludf.DUMMYFUNCTION("""COMPUTED_VALUE"""),43910.99861111111)</f>
        <v>43910.99861</v>
      </c>
      <c r="B3100" s="1">
        <f>IFERROR(__xludf.DUMMYFUNCTION("""COMPUTED_VALUE"""),0.6761030397)</f>
        <v>0.6761030397</v>
      </c>
    </row>
    <row r="3101">
      <c r="A3101" s="3">
        <f>IFERROR(__xludf.DUMMYFUNCTION("""COMPUTED_VALUE"""),43911.99861111111)</f>
        <v>43911.99861</v>
      </c>
      <c r="B3101" s="1">
        <f>IFERROR(__xludf.DUMMYFUNCTION("""COMPUTED_VALUE"""),0.6757392665)</f>
        <v>0.6757392665</v>
      </c>
    </row>
    <row r="3102">
      <c r="A3102" s="3">
        <f>IFERROR(__xludf.DUMMYFUNCTION("""COMPUTED_VALUE"""),43912.99861111111)</f>
        <v>43912.99861</v>
      </c>
      <c r="B3102" s="1">
        <f>IFERROR(__xludf.DUMMYFUNCTION("""COMPUTED_VALUE"""),0.6712128634)</f>
        <v>0.6712128634</v>
      </c>
    </row>
    <row r="3103">
      <c r="A3103" s="3">
        <f>IFERROR(__xludf.DUMMYFUNCTION("""COMPUTED_VALUE"""),43913.99861111111)</f>
        <v>43913.99861</v>
      </c>
      <c r="B3103" s="1">
        <f>IFERROR(__xludf.DUMMYFUNCTION("""COMPUTED_VALUE"""),0.7065603674)</f>
        <v>0.7065603674</v>
      </c>
    </row>
    <row r="3104">
      <c r="A3104" s="3">
        <f>IFERROR(__xludf.DUMMYFUNCTION("""COMPUTED_VALUE"""),43914.99861111111)</f>
        <v>43914.99861</v>
      </c>
      <c r="B3104" s="1">
        <f>IFERROR(__xludf.DUMMYFUNCTION("""COMPUTED_VALUE"""),0.6845086171)</f>
        <v>0.6845086171</v>
      </c>
    </row>
    <row r="3105">
      <c r="A3105" s="3">
        <f>IFERROR(__xludf.DUMMYFUNCTION("""COMPUTED_VALUE"""),43915.99861111111)</f>
        <v>43915.99861</v>
      </c>
      <c r="B3105" s="1">
        <f>IFERROR(__xludf.DUMMYFUNCTION("""COMPUTED_VALUE"""),0.7024117822)</f>
        <v>0.7024117822</v>
      </c>
    </row>
    <row r="3106">
      <c r="A3106" s="3">
        <f>IFERROR(__xludf.DUMMYFUNCTION("""COMPUTED_VALUE"""),43916.99861111111)</f>
        <v>43916.99861</v>
      </c>
      <c r="B3106" s="1">
        <f>IFERROR(__xludf.DUMMYFUNCTION("""COMPUTED_VALUE"""),0.6924574119)</f>
        <v>0.6924574119</v>
      </c>
    </row>
    <row r="3107">
      <c r="A3107" s="3">
        <f>IFERROR(__xludf.DUMMYFUNCTION("""COMPUTED_VALUE"""),43917.99861111111)</f>
        <v>43917.99861</v>
      </c>
      <c r="B3107" s="1">
        <f>IFERROR(__xludf.DUMMYFUNCTION("""COMPUTED_VALUE"""),0.6883392332)</f>
        <v>0.6883392332</v>
      </c>
    </row>
    <row r="3108">
      <c r="A3108" s="3">
        <f>IFERROR(__xludf.DUMMYFUNCTION("""COMPUTED_VALUE"""),43918.99861111111)</f>
        <v>43918.99861</v>
      </c>
      <c r="B3108" s="1">
        <f>IFERROR(__xludf.DUMMYFUNCTION("""COMPUTED_VALUE"""),0.6883392332)</f>
        <v>0.6883392332</v>
      </c>
    </row>
    <row r="3109">
      <c r="A3109" s="3">
        <f>IFERROR(__xludf.DUMMYFUNCTION("""COMPUTED_VALUE"""),43919.99861111111)</f>
        <v>43919.99861</v>
      </c>
      <c r="B3109" s="1">
        <f>IFERROR(__xludf.DUMMYFUNCTION("""COMPUTED_VALUE"""),0.6860243609)</f>
        <v>0.6860243609</v>
      </c>
    </row>
    <row r="3110">
      <c r="A3110" s="3">
        <f>IFERROR(__xludf.DUMMYFUNCTION("""COMPUTED_VALUE"""),43920.99861111111)</f>
        <v>43920.99861</v>
      </c>
      <c r="B3110" s="1">
        <f>IFERROR(__xludf.DUMMYFUNCTION("""COMPUTED_VALUE"""),0.6894072074)</f>
        <v>0.6894072074</v>
      </c>
    </row>
    <row r="3111">
      <c r="A3111" s="3">
        <f>IFERROR(__xludf.DUMMYFUNCTION("""COMPUTED_VALUE"""),43921.99861111111)</f>
        <v>43921.99861</v>
      </c>
      <c r="B3111" s="1">
        <f>IFERROR(__xludf.DUMMYFUNCTION("""COMPUTED_VALUE"""),0.6944121259)</f>
        <v>0.6944121259</v>
      </c>
    </row>
    <row r="3112">
      <c r="A3112" s="3">
        <f>IFERROR(__xludf.DUMMYFUNCTION("""COMPUTED_VALUE"""),43922.99861111111)</f>
        <v>43922.99861</v>
      </c>
      <c r="B3112" s="1">
        <f>IFERROR(__xludf.DUMMYFUNCTION("""COMPUTED_VALUE"""),0.6966341877)</f>
        <v>0.6966341877</v>
      </c>
    </row>
    <row r="3113">
      <c r="A3113" s="3">
        <f>IFERROR(__xludf.DUMMYFUNCTION("""COMPUTED_VALUE"""),43923.99861111111)</f>
        <v>43923.99861</v>
      </c>
      <c r="B3113" s="1">
        <f>IFERROR(__xludf.DUMMYFUNCTION("""COMPUTED_VALUE"""),0.6927334512)</f>
        <v>0.6927334512</v>
      </c>
    </row>
    <row r="3114">
      <c r="A3114" s="3">
        <f>IFERROR(__xludf.DUMMYFUNCTION("""COMPUTED_VALUE"""),43924.99861111111)</f>
        <v>43924.99861</v>
      </c>
      <c r="B3114" s="1">
        <f>IFERROR(__xludf.DUMMYFUNCTION("""COMPUTED_VALUE"""),0.7067382827)</f>
        <v>0.7067382827</v>
      </c>
    </row>
    <row r="3115">
      <c r="A3115" s="3">
        <f>IFERROR(__xludf.DUMMYFUNCTION("""COMPUTED_VALUE"""),43925.99861111111)</f>
        <v>43925.99861</v>
      </c>
      <c r="B3115" s="1">
        <f>IFERROR(__xludf.DUMMYFUNCTION("""COMPUTED_VALUE"""),0.6957675617)</f>
        <v>0.6957675617</v>
      </c>
    </row>
    <row r="3116">
      <c r="A3116" s="3">
        <f>IFERROR(__xludf.DUMMYFUNCTION("""COMPUTED_VALUE"""),43926.99861111111)</f>
        <v>43926.99861</v>
      </c>
      <c r="B3116" s="1">
        <f>IFERROR(__xludf.DUMMYFUNCTION("""COMPUTED_VALUE"""),0.697500765)</f>
        <v>0.697500765</v>
      </c>
    </row>
    <row r="3117">
      <c r="A3117" s="3">
        <f>IFERROR(__xludf.DUMMYFUNCTION("""COMPUTED_VALUE"""),43927.99861111111)</f>
        <v>43927.99861</v>
      </c>
      <c r="B3117" s="1">
        <f>IFERROR(__xludf.DUMMYFUNCTION("""COMPUTED_VALUE"""),0.6982615941)</f>
        <v>0.6982615941</v>
      </c>
    </row>
    <row r="3118">
      <c r="A3118" s="3">
        <f>IFERROR(__xludf.DUMMYFUNCTION("""COMPUTED_VALUE"""),43928.99861111111)</f>
        <v>43928.99861</v>
      </c>
      <c r="B3118" s="1">
        <f>IFERROR(__xludf.DUMMYFUNCTION("""COMPUTED_VALUE"""),0.6944977704)</f>
        <v>0.6944977704</v>
      </c>
    </row>
    <row r="3119">
      <c r="A3119" s="3">
        <f>IFERROR(__xludf.DUMMYFUNCTION("""COMPUTED_VALUE"""),43929.99861111111)</f>
        <v>43929.99861</v>
      </c>
      <c r="B3119" s="1">
        <f>IFERROR(__xludf.DUMMYFUNCTION("""COMPUTED_VALUE"""),0.6872263249)</f>
        <v>0.6872263249</v>
      </c>
    </row>
    <row r="3120">
      <c r="A3120" s="3">
        <f>IFERROR(__xludf.DUMMYFUNCTION("""COMPUTED_VALUE"""),43930.99861111111)</f>
        <v>43930.99861</v>
      </c>
      <c r="B3120" s="1">
        <f>IFERROR(__xludf.DUMMYFUNCTION("""COMPUTED_VALUE"""),0.6815339307)</f>
        <v>0.6815339307</v>
      </c>
    </row>
    <row r="3121">
      <c r="A3121" s="3">
        <f>IFERROR(__xludf.DUMMYFUNCTION("""COMPUTED_VALUE"""),43931.99861111111)</f>
        <v>43931.99861</v>
      </c>
      <c r="B3121" s="1">
        <f>IFERROR(__xludf.DUMMYFUNCTION("""COMPUTED_VALUE"""),0.6776120408)</f>
        <v>0.6776120408</v>
      </c>
    </row>
    <row r="3122">
      <c r="A3122" s="3">
        <f>IFERROR(__xludf.DUMMYFUNCTION("""COMPUTED_VALUE"""),43932.99861111111)</f>
        <v>43932.99861</v>
      </c>
      <c r="B3122" s="1">
        <f>IFERROR(__xludf.DUMMYFUNCTION("""COMPUTED_VALUE"""),0.6776120408)</f>
        <v>0.6776120408</v>
      </c>
    </row>
    <row r="3123">
      <c r="A3123" s="3">
        <f>IFERROR(__xludf.DUMMYFUNCTION("""COMPUTED_VALUE"""),43933.99861111111)</f>
        <v>43933.99861</v>
      </c>
      <c r="B3123" s="1">
        <f>IFERROR(__xludf.DUMMYFUNCTION("""COMPUTED_VALUE"""),0.6775748262)</f>
        <v>0.6775748262</v>
      </c>
    </row>
    <row r="3124">
      <c r="A3124" s="3">
        <f>IFERROR(__xludf.DUMMYFUNCTION("""COMPUTED_VALUE"""),43934.99861111111)</f>
        <v>43934.99861</v>
      </c>
      <c r="B3124" s="1">
        <f>IFERROR(__xludf.DUMMYFUNCTION("""COMPUTED_VALUE"""),0.6734614159)</f>
        <v>0.6734614159</v>
      </c>
    </row>
    <row r="3125">
      <c r="A3125" s="3">
        <f>IFERROR(__xludf.DUMMYFUNCTION("""COMPUTED_VALUE"""),43935.99861111111)</f>
        <v>43935.99861</v>
      </c>
      <c r="B3125" s="1">
        <f>IFERROR(__xludf.DUMMYFUNCTION("""COMPUTED_VALUE"""),0.6665156945)</f>
        <v>0.6665156945</v>
      </c>
    </row>
    <row r="3126">
      <c r="A3126" s="3">
        <f>IFERROR(__xludf.DUMMYFUNCTION("""COMPUTED_VALUE"""),43936.99861111111)</f>
        <v>43936.99861</v>
      </c>
      <c r="B3126" s="1">
        <f>IFERROR(__xludf.DUMMYFUNCTION("""COMPUTED_VALUE"""),0.6785165961)</f>
        <v>0.6785165961</v>
      </c>
    </row>
    <row r="3127">
      <c r="A3127" s="3">
        <f>IFERROR(__xludf.DUMMYFUNCTION("""COMPUTED_VALUE"""),43937.99861111111)</f>
        <v>43937.99861</v>
      </c>
      <c r="B3127" s="1">
        <f>IFERROR(__xludf.DUMMYFUNCTION("""COMPUTED_VALUE"""),0.6633193992)</f>
        <v>0.6633193992</v>
      </c>
    </row>
    <row r="3128">
      <c r="A3128" s="3">
        <f>IFERROR(__xludf.DUMMYFUNCTION("""COMPUTED_VALUE"""),43938.99861111111)</f>
        <v>43938.99861</v>
      </c>
      <c r="B3128" s="1">
        <f>IFERROR(__xludf.DUMMYFUNCTION("""COMPUTED_VALUE"""),0.6619404937)</f>
        <v>0.6619404937</v>
      </c>
    </row>
    <row r="3129">
      <c r="A3129" s="3">
        <f>IFERROR(__xludf.DUMMYFUNCTION("""COMPUTED_VALUE"""),43939.99861111111)</f>
        <v>43939.99861</v>
      </c>
      <c r="B3129" s="1">
        <f>IFERROR(__xludf.DUMMYFUNCTION("""COMPUTED_VALUE"""),0.6618672128)</f>
        <v>0.6618672128</v>
      </c>
    </row>
    <row r="3130">
      <c r="A3130" s="3">
        <f>IFERROR(__xludf.DUMMYFUNCTION("""COMPUTED_VALUE"""),43940.99861111111)</f>
        <v>43940.99861</v>
      </c>
      <c r="B3130" s="1">
        <f>IFERROR(__xludf.DUMMYFUNCTION("""COMPUTED_VALUE"""),0.6608644312)</f>
        <v>0.6608644312</v>
      </c>
    </row>
    <row r="3131">
      <c r="A3131" s="3">
        <f>IFERROR(__xludf.DUMMYFUNCTION("""COMPUTED_VALUE"""),43941.99861111111)</f>
        <v>43941.99861</v>
      </c>
      <c r="B3131" s="1">
        <f>IFERROR(__xludf.DUMMYFUNCTION("""COMPUTED_VALUE"""),0.6561222423)</f>
        <v>0.6561222423</v>
      </c>
    </row>
    <row r="3132">
      <c r="A3132" s="3">
        <f>IFERROR(__xludf.DUMMYFUNCTION("""COMPUTED_VALUE"""),43942.99861111111)</f>
        <v>43942.99861</v>
      </c>
      <c r="B3132" s="1">
        <f>IFERROR(__xludf.DUMMYFUNCTION("""COMPUTED_VALUE"""),0.6581185075)</f>
        <v>0.6581185075</v>
      </c>
    </row>
    <row r="3133">
      <c r="A3133" s="3">
        <f>IFERROR(__xludf.DUMMYFUNCTION("""COMPUTED_VALUE"""),43943.99861111111)</f>
        <v>43943.99861</v>
      </c>
      <c r="B3133" s="1">
        <f>IFERROR(__xludf.DUMMYFUNCTION("""COMPUTED_VALUE"""),0.6522402274)</f>
        <v>0.6522402274</v>
      </c>
    </row>
    <row r="3134">
      <c r="A3134" s="3">
        <f>IFERROR(__xludf.DUMMYFUNCTION("""COMPUTED_VALUE"""),43944.99861111111)</f>
        <v>43944.99861</v>
      </c>
      <c r="B3134" s="1">
        <f>IFERROR(__xludf.DUMMYFUNCTION("""COMPUTED_VALUE"""),0.6559214443)</f>
        <v>0.6559214443</v>
      </c>
    </row>
    <row r="3135">
      <c r="A3135" s="3">
        <f>IFERROR(__xludf.DUMMYFUNCTION("""COMPUTED_VALUE"""),43945.99861111111)</f>
        <v>43945.99861</v>
      </c>
      <c r="B3135" s="1">
        <f>IFERROR(__xludf.DUMMYFUNCTION("""COMPUTED_VALUE"""),0.6654639741)</f>
        <v>0.6654639741</v>
      </c>
    </row>
    <row r="3136">
      <c r="A3136" s="3">
        <f>IFERROR(__xludf.DUMMYFUNCTION("""COMPUTED_VALUE"""),43946.99861111111)</f>
        <v>43946.99861</v>
      </c>
      <c r="B3136" s="1">
        <f>IFERROR(__xludf.DUMMYFUNCTION("""COMPUTED_VALUE"""),0.6644052358)</f>
        <v>0.6644052358</v>
      </c>
    </row>
    <row r="3137">
      <c r="A3137" s="3">
        <f>IFERROR(__xludf.DUMMYFUNCTION("""COMPUTED_VALUE"""),43947.99861111111)</f>
        <v>43947.99861</v>
      </c>
      <c r="B3137" s="1">
        <f>IFERROR(__xludf.DUMMYFUNCTION("""COMPUTED_VALUE"""),0.6552694291)</f>
        <v>0.6552694291</v>
      </c>
    </row>
    <row r="3138">
      <c r="A3138" s="3">
        <f>IFERROR(__xludf.DUMMYFUNCTION("""COMPUTED_VALUE"""),43948.99861111111)</f>
        <v>43948.99861</v>
      </c>
      <c r="B3138" s="1">
        <f>IFERROR(__xludf.DUMMYFUNCTION("""COMPUTED_VALUE"""),0.6515018555)</f>
        <v>0.6515018555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IFERROR(__xludf.DUMMYFUNCTION("googlefinance(""Currency:CNYIDR"",""price"",""01/01/2010"",""28/04/2020"",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IFERROR(__xludf.DUMMYFUNCTION("""COMPUTED_VALUE"""),40182.99861111111)</f>
        <v>40182.99861</v>
      </c>
      <c r="B2" s="1">
        <f>IFERROR(__xludf.DUMMYFUNCTION("""COMPUTED_VALUE"""),1369.701534)</f>
        <v>1369.701534</v>
      </c>
    </row>
    <row r="3">
      <c r="A3" s="3">
        <f>IFERROR(__xludf.DUMMYFUNCTION("""COMPUTED_VALUE"""),40183.99861111111)</f>
        <v>40183.99861</v>
      </c>
      <c r="B3" s="1">
        <f>IFERROR(__xludf.DUMMYFUNCTION("""COMPUTED_VALUE"""),1360.978552)</f>
        <v>1360.978552</v>
      </c>
    </row>
    <row r="4">
      <c r="A4" s="3">
        <f>IFERROR(__xludf.DUMMYFUNCTION("""COMPUTED_VALUE"""),40184.99861111111)</f>
        <v>40184.99861</v>
      </c>
      <c r="B4" s="1">
        <f>IFERROR(__xludf.DUMMYFUNCTION("""COMPUTED_VALUE"""),1348.054944)</f>
        <v>1348.054944</v>
      </c>
    </row>
    <row r="5">
      <c r="A5" s="3">
        <f>IFERROR(__xludf.DUMMYFUNCTION("""COMPUTED_VALUE"""),40185.99861111111)</f>
        <v>40185.99861</v>
      </c>
      <c r="B5" s="1">
        <f>IFERROR(__xludf.DUMMYFUNCTION("""COMPUTED_VALUE"""),1356.103125)</f>
        <v>1356.103125</v>
      </c>
    </row>
    <row r="6">
      <c r="A6" s="3">
        <f>IFERROR(__xludf.DUMMYFUNCTION("""COMPUTED_VALUE"""),40186.99861111111)</f>
        <v>40186.99861</v>
      </c>
      <c r="B6" s="1">
        <f>IFERROR(__xludf.DUMMYFUNCTION("""COMPUTED_VALUE"""),1347.357375)</f>
        <v>1347.357375</v>
      </c>
    </row>
    <row r="7">
      <c r="A7" s="3">
        <f>IFERROR(__xludf.DUMMYFUNCTION("""COMPUTED_VALUE"""),40189.99861111111)</f>
        <v>40189.99861</v>
      </c>
      <c r="B7" s="1">
        <f>IFERROR(__xludf.DUMMYFUNCTION("""COMPUTED_VALUE"""),1338.092587)</f>
        <v>1338.092587</v>
      </c>
    </row>
    <row r="8">
      <c r="A8" s="3">
        <f>IFERROR(__xludf.DUMMYFUNCTION("""COMPUTED_VALUE"""),40190.99861111111)</f>
        <v>40190.99861</v>
      </c>
      <c r="B8" s="1">
        <f>IFERROR(__xludf.DUMMYFUNCTION("""COMPUTED_VALUE"""),1341.44217)</f>
        <v>1341.44217</v>
      </c>
    </row>
    <row r="9">
      <c r="A9" s="3">
        <f>IFERROR(__xludf.DUMMYFUNCTION("""COMPUTED_VALUE"""),40191.99861111111)</f>
        <v>40191.99861</v>
      </c>
      <c r="B9" s="1">
        <f>IFERROR(__xludf.DUMMYFUNCTION("""COMPUTED_VALUE"""),1337.05407)</f>
        <v>1337.05407</v>
      </c>
    </row>
    <row r="10">
      <c r="A10" s="3">
        <f>IFERROR(__xludf.DUMMYFUNCTION("""COMPUTED_VALUE"""),40192.99861111111)</f>
        <v>40192.99861</v>
      </c>
      <c r="B10" s="1">
        <f>IFERROR(__xludf.DUMMYFUNCTION("""COMPUTED_VALUE"""),1339.127308)</f>
        <v>1339.127308</v>
      </c>
    </row>
    <row r="11">
      <c r="A11" s="3">
        <f>IFERROR(__xludf.DUMMYFUNCTION("""COMPUTED_VALUE"""),40193.99861111111)</f>
        <v>40193.99861</v>
      </c>
      <c r="B11" s="1">
        <f>IFERROR(__xludf.DUMMYFUNCTION("""COMPUTED_VALUE"""),1349.409386)</f>
        <v>1349.409386</v>
      </c>
    </row>
    <row r="12">
      <c r="A12" s="3">
        <f>IFERROR(__xludf.DUMMYFUNCTION("""COMPUTED_VALUE"""),40196.99861111111)</f>
        <v>40196.99861</v>
      </c>
      <c r="B12" s="1">
        <f>IFERROR(__xludf.DUMMYFUNCTION("""COMPUTED_VALUE"""),1335.4451)</f>
        <v>1335.4451</v>
      </c>
    </row>
    <row r="13">
      <c r="A13" s="3">
        <f>IFERROR(__xludf.DUMMYFUNCTION("""COMPUTED_VALUE"""),40197.99861111111)</f>
        <v>40197.99861</v>
      </c>
      <c r="B13" s="1">
        <f>IFERROR(__xludf.DUMMYFUNCTION("""COMPUTED_VALUE"""),1350.064786)</f>
        <v>1350.064786</v>
      </c>
    </row>
    <row r="14">
      <c r="A14" s="3">
        <f>IFERROR(__xludf.DUMMYFUNCTION("""COMPUTED_VALUE"""),40198.99861111111)</f>
        <v>40198.99861</v>
      </c>
      <c r="B14" s="1">
        <f>IFERROR(__xludf.DUMMYFUNCTION("""COMPUTED_VALUE"""),1359.479387)</f>
        <v>1359.479387</v>
      </c>
    </row>
    <row r="15">
      <c r="A15" s="3">
        <f>IFERROR(__xludf.DUMMYFUNCTION("""COMPUTED_VALUE"""),40199.99861111111)</f>
        <v>40199.99861</v>
      </c>
      <c r="B15" s="1">
        <f>IFERROR(__xludf.DUMMYFUNCTION("""COMPUTED_VALUE"""),1343.01375)</f>
        <v>1343.01375</v>
      </c>
    </row>
    <row r="16">
      <c r="A16" s="3">
        <f>IFERROR(__xludf.DUMMYFUNCTION("""COMPUTED_VALUE"""),40200.99861111111)</f>
        <v>40200.99861</v>
      </c>
      <c r="B16" s="1">
        <f>IFERROR(__xludf.DUMMYFUNCTION("""COMPUTED_VALUE"""),1351.4424)</f>
        <v>1351.4424</v>
      </c>
    </row>
    <row r="17">
      <c r="A17" s="3">
        <f>IFERROR(__xludf.DUMMYFUNCTION("""COMPUTED_VALUE"""),40203.99861111111)</f>
        <v>40203.99861</v>
      </c>
      <c r="B17" s="1">
        <f>IFERROR(__xludf.DUMMYFUNCTION("""COMPUTED_VALUE"""),1363.229086)</f>
        <v>1363.229086</v>
      </c>
    </row>
    <row r="18">
      <c r="A18" s="3">
        <f>IFERROR(__xludf.DUMMYFUNCTION("""COMPUTED_VALUE"""),40204.99861111111)</f>
        <v>40204.99861</v>
      </c>
      <c r="B18" s="1">
        <f>IFERROR(__xludf.DUMMYFUNCTION("""COMPUTED_VALUE"""),1372.005286)</f>
        <v>1372.005286</v>
      </c>
    </row>
    <row r="19">
      <c r="A19" s="3">
        <f>IFERROR(__xludf.DUMMYFUNCTION("""COMPUTED_VALUE"""),40205.99861111111)</f>
        <v>40205.99861</v>
      </c>
      <c r="B19" s="1">
        <f>IFERROR(__xludf.DUMMYFUNCTION("""COMPUTED_VALUE"""),1374.836687)</f>
        <v>1374.836687</v>
      </c>
    </row>
    <row r="20">
      <c r="A20" s="3">
        <f>IFERROR(__xludf.DUMMYFUNCTION("""COMPUTED_VALUE"""),40206.99861111111)</f>
        <v>40206.99861</v>
      </c>
      <c r="B20" s="1">
        <f>IFERROR(__xludf.DUMMYFUNCTION("""COMPUTED_VALUE"""),1363.960436)</f>
        <v>1363.960436</v>
      </c>
    </row>
    <row r="21">
      <c r="A21" s="3">
        <f>IFERROR(__xludf.DUMMYFUNCTION("""COMPUTED_VALUE"""),40207.99861111111)</f>
        <v>40207.99861</v>
      </c>
      <c r="B21" s="1">
        <f>IFERROR(__xludf.DUMMYFUNCTION("""COMPUTED_VALUE"""),1352.9975)</f>
        <v>1352.9975</v>
      </c>
    </row>
    <row r="22">
      <c r="A22" s="3">
        <f>IFERROR(__xludf.DUMMYFUNCTION("""COMPUTED_VALUE"""),40210.99861111111)</f>
        <v>40210.99861</v>
      </c>
      <c r="B22" s="1">
        <f>IFERROR(__xludf.DUMMYFUNCTION("""COMPUTED_VALUE"""),1353.841064)</f>
        <v>1353.841064</v>
      </c>
    </row>
    <row r="23">
      <c r="A23" s="3">
        <f>IFERROR(__xludf.DUMMYFUNCTION("""COMPUTED_VALUE"""),40211.99861111111)</f>
        <v>40211.99861</v>
      </c>
      <c r="B23" s="1">
        <f>IFERROR(__xludf.DUMMYFUNCTION("""COMPUTED_VALUE"""),1362.687447)</f>
        <v>1362.687447</v>
      </c>
    </row>
    <row r="24">
      <c r="A24" s="3">
        <f>IFERROR(__xludf.DUMMYFUNCTION("""COMPUTED_VALUE"""),40212.99861111111)</f>
        <v>40212.99861</v>
      </c>
      <c r="B24" s="1">
        <f>IFERROR(__xludf.DUMMYFUNCTION("""COMPUTED_VALUE"""),1369.760042)</f>
        <v>1369.760042</v>
      </c>
    </row>
    <row r="25">
      <c r="A25" s="3">
        <f>IFERROR(__xludf.DUMMYFUNCTION("""COMPUTED_VALUE"""),40213.99861111111)</f>
        <v>40213.99861</v>
      </c>
      <c r="B25" s="1">
        <f>IFERROR(__xludf.DUMMYFUNCTION("""COMPUTED_VALUE"""),1373.021863)</f>
        <v>1373.021863</v>
      </c>
    </row>
    <row r="26">
      <c r="A26" s="3">
        <f>IFERROR(__xludf.DUMMYFUNCTION("""COMPUTED_VALUE"""),40214.99861111111)</f>
        <v>40214.99861</v>
      </c>
      <c r="B26" s="1">
        <f>IFERROR(__xludf.DUMMYFUNCTION("""COMPUTED_VALUE"""),1384.520263)</f>
        <v>1384.520263</v>
      </c>
    </row>
    <row r="27">
      <c r="A27" s="3">
        <f>IFERROR(__xludf.DUMMYFUNCTION("""COMPUTED_VALUE"""),40217.99861111111)</f>
        <v>40217.99861</v>
      </c>
      <c r="B27" s="1">
        <f>IFERROR(__xludf.DUMMYFUNCTION("""COMPUTED_VALUE"""),1387.20297)</f>
        <v>1387.20297</v>
      </c>
    </row>
    <row r="28">
      <c r="A28" s="3">
        <f>IFERROR(__xludf.DUMMYFUNCTION("""COMPUTED_VALUE"""),40218.99861111111)</f>
        <v>40218.99861</v>
      </c>
      <c r="B28" s="1">
        <f>IFERROR(__xludf.DUMMYFUNCTION("""COMPUTED_VALUE"""),1366.059411)</f>
        <v>1366.059411</v>
      </c>
    </row>
    <row r="29">
      <c r="A29" s="3">
        <f>IFERROR(__xludf.DUMMYFUNCTION("""COMPUTED_VALUE"""),40219.99861111111)</f>
        <v>40219.99861</v>
      </c>
      <c r="B29" s="1">
        <f>IFERROR(__xludf.DUMMYFUNCTION("""COMPUTED_VALUE"""),1361.951568)</f>
        <v>1361.951568</v>
      </c>
    </row>
    <row r="30">
      <c r="A30" s="3">
        <f>IFERROR(__xludf.DUMMYFUNCTION("""COMPUTED_VALUE"""),40220.99861111111)</f>
        <v>40220.99861</v>
      </c>
      <c r="B30" s="1">
        <f>IFERROR(__xludf.DUMMYFUNCTION("""COMPUTED_VALUE"""),1363.314212)</f>
        <v>1363.314212</v>
      </c>
    </row>
    <row r="31">
      <c r="A31" s="3">
        <f>IFERROR(__xludf.DUMMYFUNCTION("""COMPUTED_VALUE"""),40221.99861111111)</f>
        <v>40221.99861</v>
      </c>
      <c r="B31" s="1">
        <f>IFERROR(__xludf.DUMMYFUNCTION("""COMPUTED_VALUE"""),1362.379044)</f>
        <v>1362.379044</v>
      </c>
    </row>
    <row r="32">
      <c r="A32" s="3">
        <f>IFERROR(__xludf.DUMMYFUNCTION("""COMPUTED_VALUE"""),40224.99861111111)</f>
        <v>40224.99861</v>
      </c>
      <c r="B32" s="1">
        <f>IFERROR(__xludf.DUMMYFUNCTION("""COMPUTED_VALUE"""),1365.555624)</f>
        <v>1365.555624</v>
      </c>
    </row>
    <row r="33">
      <c r="A33" s="3">
        <f>IFERROR(__xludf.DUMMYFUNCTION("""COMPUTED_VALUE"""),40225.99861111111)</f>
        <v>40225.99861</v>
      </c>
      <c r="B33" s="1">
        <f>IFERROR(__xludf.DUMMYFUNCTION("""COMPUTED_VALUE"""),1357.971477)</f>
        <v>1357.971477</v>
      </c>
    </row>
    <row r="34">
      <c r="A34" s="3">
        <f>IFERROR(__xludf.DUMMYFUNCTION("""COMPUTED_VALUE"""),40226.99861111111)</f>
        <v>40226.99861</v>
      </c>
      <c r="B34" s="1">
        <f>IFERROR(__xludf.DUMMYFUNCTION("""COMPUTED_VALUE"""),1373.709678)</f>
        <v>1373.709678</v>
      </c>
    </row>
    <row r="35">
      <c r="A35" s="3">
        <f>IFERROR(__xludf.DUMMYFUNCTION("""COMPUTED_VALUE"""),40227.99861111111)</f>
        <v>40227.99861</v>
      </c>
      <c r="B35" s="1">
        <f>IFERROR(__xludf.DUMMYFUNCTION("""COMPUTED_VALUE"""),1388.205774)</f>
        <v>1388.205774</v>
      </c>
    </row>
    <row r="36">
      <c r="A36" s="3">
        <f>IFERROR(__xludf.DUMMYFUNCTION("""COMPUTED_VALUE"""),40228.99861111111)</f>
        <v>40228.99861</v>
      </c>
      <c r="B36" s="1">
        <f>IFERROR(__xludf.DUMMYFUNCTION("""COMPUTED_VALUE"""),1358.705484)</f>
        <v>1358.705484</v>
      </c>
    </row>
    <row r="37">
      <c r="A37" s="3">
        <f>IFERROR(__xludf.DUMMYFUNCTION("""COMPUTED_VALUE"""),40231.99861111111)</f>
        <v>40231.99861</v>
      </c>
      <c r="B37" s="1">
        <f>IFERROR(__xludf.DUMMYFUNCTION("""COMPUTED_VALUE"""),1357.355808)</f>
        <v>1357.355808</v>
      </c>
    </row>
    <row r="38">
      <c r="A38" s="3">
        <f>IFERROR(__xludf.DUMMYFUNCTION("""COMPUTED_VALUE"""),40232.99861111111)</f>
        <v>40232.99861</v>
      </c>
      <c r="B38" s="1">
        <f>IFERROR(__xludf.DUMMYFUNCTION("""COMPUTED_VALUE"""),1366.144832)</f>
        <v>1366.144832</v>
      </c>
    </row>
    <row r="39">
      <c r="A39" s="3">
        <f>IFERROR(__xludf.DUMMYFUNCTION("""COMPUTED_VALUE"""),40233.99861111111)</f>
        <v>40233.99861</v>
      </c>
      <c r="B39" s="1">
        <f>IFERROR(__xludf.DUMMYFUNCTION("""COMPUTED_VALUE"""),1367.867398)</f>
        <v>1367.867398</v>
      </c>
    </row>
    <row r="40">
      <c r="A40" s="3">
        <f>IFERROR(__xludf.DUMMYFUNCTION("""COMPUTED_VALUE"""),40234.99861111111)</f>
        <v>40234.99861</v>
      </c>
      <c r="B40" s="1">
        <f>IFERROR(__xludf.DUMMYFUNCTION("""COMPUTED_VALUE"""),1365.459704)</f>
        <v>1365.459704</v>
      </c>
    </row>
    <row r="41">
      <c r="A41" s="3">
        <f>IFERROR(__xludf.DUMMYFUNCTION("""COMPUTED_VALUE"""),40235.99861111111)</f>
        <v>40235.99861</v>
      </c>
      <c r="B41" s="1">
        <f>IFERROR(__xludf.DUMMYFUNCTION("""COMPUTED_VALUE"""),1366.1618)</f>
        <v>1366.1618</v>
      </c>
    </row>
    <row r="42">
      <c r="A42" s="3">
        <f>IFERROR(__xludf.DUMMYFUNCTION("""COMPUTED_VALUE"""),40238.99861111111)</f>
        <v>40238.99861</v>
      </c>
      <c r="B42" s="1">
        <f>IFERROR(__xludf.DUMMYFUNCTION("""COMPUTED_VALUE"""),1372.852428)</f>
        <v>1372.852428</v>
      </c>
    </row>
    <row r="43">
      <c r="A43" s="3">
        <f>IFERROR(__xludf.DUMMYFUNCTION("""COMPUTED_VALUE"""),40239.99861111111)</f>
        <v>40239.99861</v>
      </c>
      <c r="B43" s="1">
        <f>IFERROR(__xludf.DUMMYFUNCTION("""COMPUTED_VALUE"""),1343.2185)</f>
        <v>1343.2185</v>
      </c>
    </row>
    <row r="44">
      <c r="A44" s="3">
        <f>IFERROR(__xludf.DUMMYFUNCTION("""COMPUTED_VALUE"""),40240.99861111111)</f>
        <v>40240.99861</v>
      </c>
      <c r="B44" s="1">
        <f>IFERROR(__xludf.DUMMYFUNCTION("""COMPUTED_VALUE"""),1338.451097)</f>
        <v>1338.451097</v>
      </c>
    </row>
    <row r="45">
      <c r="A45" s="3">
        <f>IFERROR(__xludf.DUMMYFUNCTION("""COMPUTED_VALUE"""),40241.99861111111)</f>
        <v>40241.99861</v>
      </c>
      <c r="B45" s="1">
        <f>IFERROR(__xludf.DUMMYFUNCTION("""COMPUTED_VALUE"""),1364.538203)</f>
        <v>1364.538203</v>
      </c>
    </row>
    <row r="46">
      <c r="A46" s="3">
        <f>IFERROR(__xludf.DUMMYFUNCTION("""COMPUTED_VALUE"""),40242.99861111111)</f>
        <v>40242.99861</v>
      </c>
      <c r="B46" s="1">
        <f>IFERROR(__xludf.DUMMYFUNCTION("""COMPUTED_VALUE"""),1345.449968)</f>
        <v>1345.449968</v>
      </c>
    </row>
    <row r="47">
      <c r="A47" s="3">
        <f>IFERROR(__xludf.DUMMYFUNCTION("""COMPUTED_VALUE"""),40245.99861111111)</f>
        <v>40245.99861</v>
      </c>
      <c r="B47" s="1">
        <f>IFERROR(__xludf.DUMMYFUNCTION("""COMPUTED_VALUE"""),1342.6668)</f>
        <v>1342.6668</v>
      </c>
    </row>
    <row r="48">
      <c r="A48" s="3">
        <f>IFERROR(__xludf.DUMMYFUNCTION("""COMPUTED_VALUE"""),40246.99861111111)</f>
        <v>40246.99861</v>
      </c>
      <c r="B48" s="1">
        <f>IFERROR(__xludf.DUMMYFUNCTION("""COMPUTED_VALUE"""),1341.565875)</f>
        <v>1341.565875</v>
      </c>
    </row>
    <row r="49">
      <c r="A49" s="3">
        <f>IFERROR(__xludf.DUMMYFUNCTION("""COMPUTED_VALUE"""),40247.99861111111)</f>
        <v>40247.99861</v>
      </c>
      <c r="B49" s="1">
        <f>IFERROR(__xludf.DUMMYFUNCTION("""COMPUTED_VALUE"""),1341.372972)</f>
        <v>1341.372972</v>
      </c>
    </row>
    <row r="50">
      <c r="A50" s="3">
        <f>IFERROR(__xludf.DUMMYFUNCTION("""COMPUTED_VALUE"""),40248.99861111111)</f>
        <v>40248.99861</v>
      </c>
      <c r="B50" s="1">
        <f>IFERROR(__xludf.DUMMYFUNCTION("""COMPUTED_VALUE"""),1338.886212)</f>
        <v>1338.886212</v>
      </c>
    </row>
    <row r="51">
      <c r="A51" s="3">
        <f>IFERROR(__xludf.DUMMYFUNCTION("""COMPUTED_VALUE"""),40249.99861111111)</f>
        <v>40249.99861</v>
      </c>
      <c r="B51" s="1">
        <f>IFERROR(__xludf.DUMMYFUNCTION("""COMPUTED_VALUE"""),1337.86961)</f>
        <v>1337.86961</v>
      </c>
    </row>
    <row r="52">
      <c r="A52" s="3">
        <f>IFERROR(__xludf.DUMMYFUNCTION("""COMPUTED_VALUE"""),40252.99861111111)</f>
        <v>40252.99861</v>
      </c>
      <c r="B52" s="1">
        <f>IFERROR(__xludf.DUMMYFUNCTION("""COMPUTED_VALUE"""),1346.639052)</f>
        <v>1346.639052</v>
      </c>
    </row>
    <row r="53">
      <c r="A53" s="3">
        <f>IFERROR(__xludf.DUMMYFUNCTION("""COMPUTED_VALUE"""),40253.99861111111)</f>
        <v>40253.99861</v>
      </c>
      <c r="B53" s="1">
        <f>IFERROR(__xludf.DUMMYFUNCTION("""COMPUTED_VALUE"""),1338.725304)</f>
        <v>1338.725304</v>
      </c>
    </row>
    <row r="54">
      <c r="A54" s="3">
        <f>IFERROR(__xludf.DUMMYFUNCTION("""COMPUTED_VALUE"""),40254.99861111111)</f>
        <v>40254.99861</v>
      </c>
      <c r="B54" s="1">
        <f>IFERROR(__xludf.DUMMYFUNCTION("""COMPUTED_VALUE"""),1330.89287)</f>
        <v>1330.89287</v>
      </c>
    </row>
    <row r="55">
      <c r="A55" s="3">
        <f>IFERROR(__xludf.DUMMYFUNCTION("""COMPUTED_VALUE"""),40255.99861111111)</f>
        <v>40255.99861</v>
      </c>
      <c r="B55" s="1">
        <f>IFERROR(__xludf.DUMMYFUNCTION("""COMPUTED_VALUE"""),1333.843875)</f>
        <v>1333.843875</v>
      </c>
    </row>
    <row r="56">
      <c r="A56" s="3">
        <f>IFERROR(__xludf.DUMMYFUNCTION("""COMPUTED_VALUE"""),40256.99861111111)</f>
        <v>40256.99861</v>
      </c>
      <c r="B56" s="1">
        <f>IFERROR(__xludf.DUMMYFUNCTION("""COMPUTED_VALUE"""),1332.578208)</f>
        <v>1332.578208</v>
      </c>
    </row>
    <row r="57">
      <c r="A57" s="3">
        <f>IFERROR(__xludf.DUMMYFUNCTION("""COMPUTED_VALUE"""),40259.99861111111)</f>
        <v>40259.99861</v>
      </c>
      <c r="B57" s="1">
        <f>IFERROR(__xludf.DUMMYFUNCTION("""COMPUTED_VALUE"""),1333.309558)</f>
        <v>1333.309558</v>
      </c>
    </row>
    <row r="58">
      <c r="A58" s="3">
        <f>IFERROR(__xludf.DUMMYFUNCTION("""COMPUTED_VALUE"""),40260.99861111111)</f>
        <v>40260.99861</v>
      </c>
      <c r="B58" s="1">
        <f>IFERROR(__xludf.DUMMYFUNCTION("""COMPUTED_VALUE"""),1337.580642)</f>
        <v>1337.580642</v>
      </c>
    </row>
    <row r="59">
      <c r="A59" s="3">
        <f>IFERROR(__xludf.DUMMYFUNCTION("""COMPUTED_VALUE"""),40261.99861111111)</f>
        <v>40261.99861</v>
      </c>
      <c r="B59" s="1">
        <f>IFERROR(__xludf.DUMMYFUNCTION("""COMPUTED_VALUE"""),1333.116022)</f>
        <v>1333.116022</v>
      </c>
    </row>
    <row r="60">
      <c r="A60" s="3">
        <f>IFERROR(__xludf.DUMMYFUNCTION("""COMPUTED_VALUE"""),40262.99861111111)</f>
        <v>40262.99861</v>
      </c>
      <c r="B60" s="1">
        <f>IFERROR(__xludf.DUMMYFUNCTION("""COMPUTED_VALUE"""),1335.64275)</f>
        <v>1335.64275</v>
      </c>
    </row>
    <row r="61">
      <c r="A61" s="3">
        <f>IFERROR(__xludf.DUMMYFUNCTION("""COMPUTED_VALUE"""),40263.99861111111)</f>
        <v>40263.99861</v>
      </c>
      <c r="B61" s="1">
        <f>IFERROR(__xludf.DUMMYFUNCTION("""COMPUTED_VALUE"""),1332.852754)</f>
        <v>1332.852754</v>
      </c>
    </row>
    <row r="62">
      <c r="A62" s="3">
        <f>IFERROR(__xludf.DUMMYFUNCTION("""COMPUTED_VALUE"""),40266.99861111111)</f>
        <v>40266.99861</v>
      </c>
      <c r="B62" s="1">
        <f>IFERROR(__xludf.DUMMYFUNCTION("""COMPUTED_VALUE"""),1327.10771)</f>
        <v>1327.10771</v>
      </c>
    </row>
    <row r="63">
      <c r="A63" s="3">
        <f>IFERROR(__xludf.DUMMYFUNCTION("""COMPUTED_VALUE"""),40267.99861111111)</f>
        <v>40267.99861</v>
      </c>
      <c r="B63" s="1">
        <f>IFERROR(__xludf.DUMMYFUNCTION("""COMPUTED_VALUE"""),1327.549512)</f>
        <v>1327.549512</v>
      </c>
    </row>
    <row r="64">
      <c r="A64" s="3">
        <f>IFERROR(__xludf.DUMMYFUNCTION("""COMPUTED_VALUE"""),40268.99861111111)</f>
        <v>40268.99861</v>
      </c>
      <c r="B64" s="1">
        <f>IFERROR(__xludf.DUMMYFUNCTION("""COMPUTED_VALUE"""),1331.67787)</f>
        <v>1331.67787</v>
      </c>
    </row>
    <row r="65">
      <c r="A65" s="3">
        <f>IFERROR(__xludf.DUMMYFUNCTION("""COMPUTED_VALUE"""),40269.99861111111)</f>
        <v>40269.99861</v>
      </c>
      <c r="B65" s="1">
        <f>IFERROR(__xludf.DUMMYFUNCTION("""COMPUTED_VALUE"""),1322.575992)</f>
        <v>1322.575992</v>
      </c>
    </row>
    <row r="66">
      <c r="A66" s="3">
        <f>IFERROR(__xludf.DUMMYFUNCTION("""COMPUTED_VALUE"""),40270.99861111111)</f>
        <v>40270.99861</v>
      </c>
      <c r="B66" s="1">
        <f>IFERROR(__xludf.DUMMYFUNCTION("""COMPUTED_VALUE"""),1330.401972)</f>
        <v>1330.401972</v>
      </c>
    </row>
    <row r="67">
      <c r="A67" s="3">
        <f>IFERROR(__xludf.DUMMYFUNCTION("""COMPUTED_VALUE"""),40273.99861111111)</f>
        <v>40273.99861</v>
      </c>
      <c r="B67" s="1">
        <f>IFERROR(__xludf.DUMMYFUNCTION("""COMPUTED_VALUE"""),1324.243584)</f>
        <v>1324.243584</v>
      </c>
    </row>
    <row r="68">
      <c r="A68" s="3">
        <f>IFERROR(__xludf.DUMMYFUNCTION("""COMPUTED_VALUE"""),40274.99861111111)</f>
        <v>40274.99861</v>
      </c>
      <c r="B68" s="1">
        <f>IFERROR(__xludf.DUMMYFUNCTION("""COMPUTED_VALUE"""),1321.976244)</f>
        <v>1321.976244</v>
      </c>
    </row>
    <row r="69">
      <c r="A69" s="3">
        <f>IFERROR(__xludf.DUMMYFUNCTION("""COMPUTED_VALUE"""),40275.99861111111)</f>
        <v>40275.99861</v>
      </c>
      <c r="B69" s="1">
        <f>IFERROR(__xludf.DUMMYFUNCTION("""COMPUTED_VALUE"""),1324.67335)</f>
        <v>1324.67335</v>
      </c>
    </row>
    <row r="70">
      <c r="A70" s="3">
        <f>IFERROR(__xludf.DUMMYFUNCTION("""COMPUTED_VALUE"""),40276.99861111111)</f>
        <v>40276.99861</v>
      </c>
      <c r="B70" s="1">
        <f>IFERROR(__xludf.DUMMYFUNCTION("""COMPUTED_VALUE"""),1325.14151)</f>
        <v>1325.14151</v>
      </c>
    </row>
    <row r="71">
      <c r="A71" s="3">
        <f>IFERROR(__xludf.DUMMYFUNCTION("""COMPUTED_VALUE"""),40277.99861111111)</f>
        <v>40277.99861</v>
      </c>
      <c r="B71" s="1">
        <f>IFERROR(__xludf.DUMMYFUNCTION("""COMPUTED_VALUE"""),1316.020986)</f>
        <v>1316.020986</v>
      </c>
    </row>
    <row r="72">
      <c r="A72" s="3">
        <f>IFERROR(__xludf.DUMMYFUNCTION("""COMPUTED_VALUE"""),40280.99861111111)</f>
        <v>40280.99861</v>
      </c>
      <c r="B72" s="1">
        <f>IFERROR(__xludf.DUMMYFUNCTION("""COMPUTED_VALUE"""),1318.21919)</f>
        <v>1318.21919</v>
      </c>
    </row>
    <row r="73">
      <c r="A73" s="3">
        <f>IFERROR(__xludf.DUMMYFUNCTION("""COMPUTED_VALUE"""),40281.99861111111)</f>
        <v>40281.99861</v>
      </c>
      <c r="B73" s="1">
        <f>IFERROR(__xludf.DUMMYFUNCTION("""COMPUTED_VALUE"""),1317.90966)</f>
        <v>1317.90966</v>
      </c>
    </row>
    <row r="74">
      <c r="A74" s="3">
        <f>IFERROR(__xludf.DUMMYFUNCTION("""COMPUTED_VALUE"""),40282.99861111111)</f>
        <v>40282.99861</v>
      </c>
      <c r="B74" s="1">
        <f>IFERROR(__xludf.DUMMYFUNCTION("""COMPUTED_VALUE"""),1318.277706)</f>
        <v>1318.277706</v>
      </c>
    </row>
    <row r="75">
      <c r="A75" s="3">
        <f>IFERROR(__xludf.DUMMYFUNCTION("""COMPUTED_VALUE"""),40283.99861111111)</f>
        <v>40283.99861</v>
      </c>
      <c r="B75" s="1">
        <f>IFERROR(__xludf.DUMMYFUNCTION("""COMPUTED_VALUE"""),1316.770919)</f>
        <v>1316.770919</v>
      </c>
    </row>
    <row r="76">
      <c r="A76" s="3">
        <f>IFERROR(__xludf.DUMMYFUNCTION("""COMPUTED_VALUE"""),40284.99861111111)</f>
        <v>40284.99861</v>
      </c>
      <c r="B76" s="1">
        <f>IFERROR(__xludf.DUMMYFUNCTION("""COMPUTED_VALUE"""),1317.412308)</f>
        <v>1317.412308</v>
      </c>
    </row>
    <row r="77">
      <c r="A77" s="3">
        <f>IFERROR(__xludf.DUMMYFUNCTION("""COMPUTED_VALUE"""),40287.99861111111)</f>
        <v>40287.99861</v>
      </c>
      <c r="B77" s="1">
        <f>IFERROR(__xludf.DUMMYFUNCTION("""COMPUTED_VALUE"""),1318.918992)</f>
        <v>1318.918992</v>
      </c>
    </row>
    <row r="78">
      <c r="A78" s="3">
        <f>IFERROR(__xludf.DUMMYFUNCTION("""COMPUTED_VALUE"""),40288.99861111111)</f>
        <v>40288.99861</v>
      </c>
      <c r="B78" s="1">
        <f>IFERROR(__xludf.DUMMYFUNCTION("""COMPUTED_VALUE"""),1319.213962)</f>
        <v>1319.213962</v>
      </c>
    </row>
    <row r="79">
      <c r="A79" s="3">
        <f>IFERROR(__xludf.DUMMYFUNCTION("""COMPUTED_VALUE"""),40289.99861111111)</f>
        <v>40289.99861</v>
      </c>
      <c r="B79" s="1">
        <f>IFERROR(__xludf.DUMMYFUNCTION("""COMPUTED_VALUE"""),1319.747858)</f>
        <v>1319.747858</v>
      </c>
    </row>
    <row r="80">
      <c r="A80" s="3">
        <f>IFERROR(__xludf.DUMMYFUNCTION("""COMPUTED_VALUE"""),40290.99861111111)</f>
        <v>40290.99861</v>
      </c>
      <c r="B80" s="1">
        <f>IFERROR(__xludf.DUMMYFUNCTION("""COMPUTED_VALUE"""),1331.777004)</f>
        <v>1331.777004</v>
      </c>
    </row>
    <row r="81">
      <c r="A81" s="3">
        <f>IFERROR(__xludf.DUMMYFUNCTION("""COMPUTED_VALUE"""),40291.99861111111)</f>
        <v>40291.99861</v>
      </c>
      <c r="B81" s="1">
        <f>IFERROR(__xludf.DUMMYFUNCTION("""COMPUTED_VALUE"""),1316.74496)</f>
        <v>1316.74496</v>
      </c>
    </row>
    <row r="82">
      <c r="A82" s="3">
        <f>IFERROR(__xludf.DUMMYFUNCTION("""COMPUTED_VALUE"""),40294.99861111111)</f>
        <v>40294.99861</v>
      </c>
      <c r="B82" s="1">
        <f>IFERROR(__xludf.DUMMYFUNCTION("""COMPUTED_VALUE"""),1310.677875)</f>
        <v>1310.677875</v>
      </c>
    </row>
    <row r="83">
      <c r="A83" s="3">
        <f>IFERROR(__xludf.DUMMYFUNCTION("""COMPUTED_VALUE"""),40295.99861111111)</f>
        <v>40295.99861</v>
      </c>
      <c r="B83" s="1">
        <f>IFERROR(__xludf.DUMMYFUNCTION("""COMPUTED_VALUE"""),1330.486547)</f>
        <v>1330.486547</v>
      </c>
    </row>
    <row r="84">
      <c r="A84" s="3">
        <f>IFERROR(__xludf.DUMMYFUNCTION("""COMPUTED_VALUE"""),40296.99861111111)</f>
        <v>40296.99861</v>
      </c>
      <c r="B84" s="1">
        <f>IFERROR(__xludf.DUMMYFUNCTION("""COMPUTED_VALUE"""),1320.067344)</f>
        <v>1320.067344</v>
      </c>
    </row>
    <row r="85">
      <c r="A85" s="3">
        <f>IFERROR(__xludf.DUMMYFUNCTION("""COMPUTED_VALUE"""),40297.99861111111)</f>
        <v>40297.99861</v>
      </c>
      <c r="B85" s="1">
        <f>IFERROR(__xludf.DUMMYFUNCTION("""COMPUTED_VALUE"""),1316.975725)</f>
        <v>1316.975725</v>
      </c>
    </row>
    <row r="86">
      <c r="A86" s="3">
        <f>IFERROR(__xludf.DUMMYFUNCTION("""COMPUTED_VALUE"""),40298.99861111111)</f>
        <v>40298.99861</v>
      </c>
      <c r="B86" s="1">
        <f>IFERROR(__xludf.DUMMYFUNCTION("""COMPUTED_VALUE"""),1320.718236)</f>
        <v>1320.718236</v>
      </c>
    </row>
    <row r="87">
      <c r="A87" s="3">
        <f>IFERROR(__xludf.DUMMYFUNCTION("""COMPUTED_VALUE"""),40301.99861111111)</f>
        <v>40301.99861</v>
      </c>
      <c r="B87" s="1">
        <f>IFERROR(__xludf.DUMMYFUNCTION("""COMPUTED_VALUE"""),1319.877141)</f>
        <v>1319.877141</v>
      </c>
    </row>
    <row r="88">
      <c r="A88" s="3">
        <f>IFERROR(__xludf.DUMMYFUNCTION("""COMPUTED_VALUE"""),40302.99861111111)</f>
        <v>40302.99861</v>
      </c>
      <c r="B88" s="1">
        <f>IFERROR(__xludf.DUMMYFUNCTION("""COMPUTED_VALUE"""),1326.715716)</f>
        <v>1326.715716</v>
      </c>
    </row>
    <row r="89">
      <c r="A89" s="3">
        <f>IFERROR(__xludf.DUMMYFUNCTION("""COMPUTED_VALUE"""),40303.99861111111)</f>
        <v>40303.99861</v>
      </c>
      <c r="B89" s="1">
        <f>IFERROR(__xludf.DUMMYFUNCTION("""COMPUTED_VALUE"""),1333.37929)</f>
        <v>1333.37929</v>
      </c>
    </row>
    <row r="90">
      <c r="A90" s="3">
        <f>IFERROR(__xludf.DUMMYFUNCTION("""COMPUTED_VALUE"""),40304.99861111111)</f>
        <v>40304.99861</v>
      </c>
      <c r="B90" s="1">
        <f>IFERROR(__xludf.DUMMYFUNCTION("""COMPUTED_VALUE"""),1356.420218)</f>
        <v>1356.420218</v>
      </c>
    </row>
    <row r="91">
      <c r="A91" s="3">
        <f>IFERROR(__xludf.DUMMYFUNCTION("""COMPUTED_VALUE"""),40305.99861111111)</f>
        <v>40305.99861</v>
      </c>
      <c r="B91" s="1">
        <f>IFERROR(__xludf.DUMMYFUNCTION("""COMPUTED_VALUE"""),1348.837687)</f>
        <v>1348.837687</v>
      </c>
    </row>
    <row r="92">
      <c r="A92" s="3">
        <f>IFERROR(__xludf.DUMMYFUNCTION("""COMPUTED_VALUE"""),40308.99861111111)</f>
        <v>40308.99861</v>
      </c>
      <c r="B92" s="1">
        <f>IFERROR(__xludf.DUMMYFUNCTION("""COMPUTED_VALUE"""),1346.152064)</f>
        <v>1346.152064</v>
      </c>
    </row>
    <row r="93">
      <c r="A93" s="3">
        <f>IFERROR(__xludf.DUMMYFUNCTION("""COMPUTED_VALUE"""),40309.99861111111)</f>
        <v>40309.99861</v>
      </c>
      <c r="B93" s="1">
        <f>IFERROR(__xludf.DUMMYFUNCTION("""COMPUTED_VALUE"""),1343.554875)</f>
        <v>1343.554875</v>
      </c>
    </row>
    <row r="94">
      <c r="A94" s="3">
        <f>IFERROR(__xludf.DUMMYFUNCTION("""COMPUTED_VALUE"""),40310.99861111111)</f>
        <v>40310.99861</v>
      </c>
      <c r="B94" s="1">
        <f>IFERROR(__xludf.DUMMYFUNCTION("""COMPUTED_VALUE"""),1342.42875)</f>
        <v>1342.42875</v>
      </c>
    </row>
    <row r="95">
      <c r="A95" s="3">
        <f>IFERROR(__xludf.DUMMYFUNCTION("""COMPUTED_VALUE"""),40311.99861111111)</f>
        <v>40311.99861</v>
      </c>
      <c r="B95" s="1">
        <f>IFERROR(__xludf.DUMMYFUNCTION("""COMPUTED_VALUE"""),1331.416125)</f>
        <v>1331.416125</v>
      </c>
    </row>
    <row r="96">
      <c r="A96" s="3">
        <f>IFERROR(__xludf.DUMMYFUNCTION("""COMPUTED_VALUE"""),40312.99861111111)</f>
        <v>40312.99861</v>
      </c>
      <c r="B96" s="1">
        <f>IFERROR(__xludf.DUMMYFUNCTION("""COMPUTED_VALUE"""),1331.671334)</f>
        <v>1331.671334</v>
      </c>
    </row>
    <row r="97">
      <c r="A97" s="3">
        <f>IFERROR(__xludf.DUMMYFUNCTION("""COMPUTED_VALUE"""),40315.99861111111)</f>
        <v>40315.99861</v>
      </c>
      <c r="B97" s="1">
        <f>IFERROR(__xludf.DUMMYFUNCTION("""COMPUTED_VALUE"""),1327.7745)</f>
        <v>1327.7745</v>
      </c>
    </row>
    <row r="98">
      <c r="A98" s="3">
        <f>IFERROR(__xludf.DUMMYFUNCTION("""COMPUTED_VALUE"""),40316.99861111111)</f>
        <v>40316.99861</v>
      </c>
      <c r="B98" s="1">
        <f>IFERROR(__xludf.DUMMYFUNCTION("""COMPUTED_VALUE"""),1357.80471)</f>
        <v>1357.80471</v>
      </c>
    </row>
    <row r="99">
      <c r="A99" s="3">
        <f>IFERROR(__xludf.DUMMYFUNCTION("""COMPUTED_VALUE"""),40317.99861111111)</f>
        <v>40317.99861</v>
      </c>
      <c r="B99" s="1">
        <f>IFERROR(__xludf.DUMMYFUNCTION("""COMPUTED_VALUE"""),1334.370375)</f>
        <v>1334.370375</v>
      </c>
    </row>
    <row r="100">
      <c r="A100" s="3">
        <f>IFERROR(__xludf.DUMMYFUNCTION("""COMPUTED_VALUE"""),40318.99861111111)</f>
        <v>40318.99861</v>
      </c>
      <c r="B100" s="1">
        <f>IFERROR(__xludf.DUMMYFUNCTION("""COMPUTED_VALUE"""),1333.869664)</f>
        <v>1333.869664</v>
      </c>
    </row>
    <row r="101">
      <c r="A101" s="3">
        <f>IFERROR(__xludf.DUMMYFUNCTION("""COMPUTED_VALUE"""),40319.99861111111)</f>
        <v>40319.99861</v>
      </c>
      <c r="B101" s="1">
        <f>IFERROR(__xludf.DUMMYFUNCTION("""COMPUTED_VALUE"""),1354.640568)</f>
        <v>1354.640568</v>
      </c>
    </row>
    <row r="102">
      <c r="A102" s="3">
        <f>IFERROR(__xludf.DUMMYFUNCTION("""COMPUTED_VALUE"""),40323.99861111111)</f>
        <v>40323.99861</v>
      </c>
      <c r="B102" s="1">
        <f>IFERROR(__xludf.DUMMYFUNCTION("""COMPUTED_VALUE"""),1357.027663)</f>
        <v>1357.027663</v>
      </c>
    </row>
    <row r="103">
      <c r="A103" s="3">
        <f>IFERROR(__xludf.DUMMYFUNCTION("""COMPUTED_VALUE"""),40324.99861111111)</f>
        <v>40324.99861</v>
      </c>
      <c r="B103" s="1">
        <f>IFERROR(__xludf.DUMMYFUNCTION("""COMPUTED_VALUE"""),1371.175488)</f>
        <v>1371.175488</v>
      </c>
    </row>
    <row r="104">
      <c r="A104" s="3">
        <f>IFERROR(__xludf.DUMMYFUNCTION("""COMPUTED_VALUE"""),40325.99861111111)</f>
        <v>40325.99861</v>
      </c>
      <c r="B104" s="1">
        <f>IFERROR(__xludf.DUMMYFUNCTION("""COMPUTED_VALUE"""),1347.14085)</f>
        <v>1347.14085</v>
      </c>
    </row>
    <row r="105">
      <c r="A105" s="3">
        <f>IFERROR(__xludf.DUMMYFUNCTION("""COMPUTED_VALUE"""),40326.99861111111)</f>
        <v>40326.99861</v>
      </c>
      <c r="B105" s="1">
        <f>IFERROR(__xludf.DUMMYFUNCTION("""COMPUTED_VALUE"""),1358.923764)</f>
        <v>1358.923764</v>
      </c>
    </row>
    <row r="106">
      <c r="A106" s="3">
        <f>IFERROR(__xludf.DUMMYFUNCTION("""COMPUTED_VALUE"""),40329.99861111111)</f>
        <v>40329.99861</v>
      </c>
      <c r="B106" s="1">
        <f>IFERROR(__xludf.DUMMYFUNCTION("""COMPUTED_VALUE"""),1357.779904)</f>
        <v>1357.779904</v>
      </c>
    </row>
    <row r="107">
      <c r="A107" s="3">
        <f>IFERROR(__xludf.DUMMYFUNCTION("""COMPUTED_VALUE"""),40330.99861111111)</f>
        <v>40330.99861</v>
      </c>
      <c r="B107" s="1">
        <f>IFERROR(__xludf.DUMMYFUNCTION("""COMPUTED_VALUE"""),1351.818522)</f>
        <v>1351.818522</v>
      </c>
    </row>
    <row r="108">
      <c r="A108" s="3">
        <f>IFERROR(__xludf.DUMMYFUNCTION("""COMPUTED_VALUE"""),40331.99861111111)</f>
        <v>40331.99861</v>
      </c>
      <c r="B108" s="1">
        <f>IFERROR(__xludf.DUMMYFUNCTION("""COMPUTED_VALUE"""),1350.917757)</f>
        <v>1350.917757</v>
      </c>
    </row>
    <row r="109">
      <c r="A109" s="3">
        <f>IFERROR(__xludf.DUMMYFUNCTION("""COMPUTED_VALUE"""),40332.99861111111)</f>
        <v>40332.99861</v>
      </c>
      <c r="B109" s="1">
        <f>IFERROR(__xludf.DUMMYFUNCTION("""COMPUTED_VALUE"""),1350.5225)</f>
        <v>1350.5225</v>
      </c>
    </row>
    <row r="110">
      <c r="A110" s="3">
        <f>IFERROR(__xludf.DUMMYFUNCTION("""COMPUTED_VALUE"""),40333.99861111111)</f>
        <v>40333.99861</v>
      </c>
      <c r="B110" s="1">
        <f>IFERROR(__xludf.DUMMYFUNCTION("""COMPUTED_VALUE"""),1357.409221)</f>
        <v>1357.409221</v>
      </c>
    </row>
    <row r="111">
      <c r="A111" s="3">
        <f>IFERROR(__xludf.DUMMYFUNCTION("""COMPUTED_VALUE"""),40336.99861111111)</f>
        <v>40336.99861</v>
      </c>
      <c r="B111" s="1">
        <f>IFERROR(__xludf.DUMMYFUNCTION("""COMPUTED_VALUE"""),1362.213039)</f>
        <v>1362.213039</v>
      </c>
    </row>
    <row r="112">
      <c r="A112" s="3">
        <f>IFERROR(__xludf.DUMMYFUNCTION("""COMPUTED_VALUE"""),40337.99861111111)</f>
        <v>40337.99861</v>
      </c>
      <c r="B112" s="1">
        <f>IFERROR(__xludf.DUMMYFUNCTION("""COMPUTED_VALUE"""),1348.553314)</f>
        <v>1348.553314</v>
      </c>
    </row>
    <row r="113">
      <c r="A113" s="3">
        <f>IFERROR(__xludf.DUMMYFUNCTION("""COMPUTED_VALUE"""),40338.99861111111)</f>
        <v>40338.99861</v>
      </c>
      <c r="B113" s="1">
        <f>IFERROR(__xludf.DUMMYFUNCTION("""COMPUTED_VALUE"""),1357.097064)</f>
        <v>1357.097064</v>
      </c>
    </row>
    <row r="114">
      <c r="A114" s="3">
        <f>IFERROR(__xludf.DUMMYFUNCTION("""COMPUTED_VALUE"""),40339.99861111111)</f>
        <v>40339.99861</v>
      </c>
      <c r="B114" s="1">
        <f>IFERROR(__xludf.DUMMYFUNCTION("""COMPUTED_VALUE"""),1344.258948)</f>
        <v>1344.258948</v>
      </c>
    </row>
    <row r="115">
      <c r="A115" s="3">
        <f>IFERROR(__xludf.DUMMYFUNCTION("""COMPUTED_VALUE"""),40340.99861111111)</f>
        <v>40340.99861</v>
      </c>
      <c r="B115" s="1">
        <f>IFERROR(__xludf.DUMMYFUNCTION("""COMPUTED_VALUE"""),1344.08309)</f>
        <v>1344.08309</v>
      </c>
    </row>
    <row r="116">
      <c r="A116" s="3">
        <f>IFERROR(__xludf.DUMMYFUNCTION("""COMPUTED_VALUE"""),40343.99861111111)</f>
        <v>40343.99861</v>
      </c>
      <c r="B116" s="1">
        <f>IFERROR(__xludf.DUMMYFUNCTION("""COMPUTED_VALUE"""),1345.155876)</f>
        <v>1345.155876</v>
      </c>
    </row>
    <row r="117">
      <c r="A117" s="3">
        <f>IFERROR(__xludf.DUMMYFUNCTION("""COMPUTED_VALUE"""),40344.99861111111)</f>
        <v>40344.99861</v>
      </c>
      <c r="B117" s="1">
        <f>IFERROR(__xludf.DUMMYFUNCTION("""COMPUTED_VALUE"""),1335.77433)</f>
        <v>1335.77433</v>
      </c>
    </row>
    <row r="118">
      <c r="A118" s="3">
        <f>IFERROR(__xludf.DUMMYFUNCTION("""COMPUTED_VALUE"""),40345.99861111111)</f>
        <v>40345.99861</v>
      </c>
      <c r="B118" s="1">
        <f>IFERROR(__xludf.DUMMYFUNCTION("""COMPUTED_VALUE"""),1339.033029)</f>
        <v>1339.033029</v>
      </c>
    </row>
    <row r="119">
      <c r="A119" s="3">
        <f>IFERROR(__xludf.DUMMYFUNCTION("""COMPUTED_VALUE"""),40346.99861111111)</f>
        <v>40346.99861</v>
      </c>
      <c r="B119" s="1">
        <f>IFERROR(__xludf.DUMMYFUNCTION("""COMPUTED_VALUE"""),1336.783409)</f>
        <v>1336.783409</v>
      </c>
    </row>
    <row r="120">
      <c r="A120" s="3">
        <f>IFERROR(__xludf.DUMMYFUNCTION("""COMPUTED_VALUE"""),40347.99861111111)</f>
        <v>40347.99861</v>
      </c>
      <c r="B120" s="1">
        <f>IFERROR(__xludf.DUMMYFUNCTION("""COMPUTED_VALUE"""),1326.525445)</f>
        <v>1326.525445</v>
      </c>
    </row>
    <row r="121">
      <c r="A121" s="3">
        <f>IFERROR(__xludf.DUMMYFUNCTION("""COMPUTED_VALUE"""),40350.99861111111)</f>
        <v>40350.99861</v>
      </c>
      <c r="B121" s="1">
        <f>IFERROR(__xludf.DUMMYFUNCTION("""COMPUTED_VALUE"""),1321.881489)</f>
        <v>1321.881489</v>
      </c>
    </row>
    <row r="122">
      <c r="A122" s="3">
        <f>IFERROR(__xludf.DUMMYFUNCTION("""COMPUTED_VALUE"""),40351.99861111111)</f>
        <v>40351.99861</v>
      </c>
      <c r="B122" s="1">
        <f>IFERROR(__xludf.DUMMYFUNCTION("""COMPUTED_VALUE"""),1320.97896)</f>
        <v>1320.97896</v>
      </c>
    </row>
    <row r="123">
      <c r="A123" s="3">
        <f>IFERROR(__xludf.DUMMYFUNCTION("""COMPUTED_VALUE"""),40352.99861111111)</f>
        <v>40352.99861</v>
      </c>
      <c r="B123" s="1">
        <f>IFERROR(__xludf.DUMMYFUNCTION("""COMPUTED_VALUE"""),1316.57429)</f>
        <v>1316.57429</v>
      </c>
    </row>
    <row r="124">
      <c r="A124" s="3">
        <f>IFERROR(__xludf.DUMMYFUNCTION("""COMPUTED_VALUE"""),40353.99861111111)</f>
        <v>40353.99861</v>
      </c>
      <c r="B124" s="1">
        <f>IFERROR(__xludf.DUMMYFUNCTION("""COMPUTED_VALUE"""),1330.99671)</f>
        <v>1330.99671</v>
      </c>
    </row>
    <row r="125">
      <c r="A125" s="3">
        <f>IFERROR(__xludf.DUMMYFUNCTION("""COMPUTED_VALUE"""),40354.99861111111)</f>
        <v>40354.99861</v>
      </c>
      <c r="B125" s="1">
        <f>IFERROR(__xludf.DUMMYFUNCTION("""COMPUTED_VALUE"""),1332.733856)</f>
        <v>1332.733856</v>
      </c>
    </row>
    <row r="126">
      <c r="A126" s="3">
        <f>IFERROR(__xludf.DUMMYFUNCTION("""COMPUTED_VALUE"""),40357.99861111111)</f>
        <v>40357.99861</v>
      </c>
      <c r="B126" s="1">
        <f>IFERROR(__xludf.DUMMYFUNCTION("""COMPUTED_VALUE"""),1331.415927)</f>
        <v>1331.415927</v>
      </c>
    </row>
    <row r="127">
      <c r="A127" s="3">
        <f>IFERROR(__xludf.DUMMYFUNCTION("""COMPUTED_VALUE"""),40358.99861111111)</f>
        <v>40358.99861</v>
      </c>
      <c r="B127" s="1">
        <f>IFERROR(__xludf.DUMMYFUNCTION("""COMPUTED_VALUE"""),1333.062906)</f>
        <v>1333.062906</v>
      </c>
    </row>
    <row r="128">
      <c r="A128" s="3">
        <f>IFERROR(__xludf.DUMMYFUNCTION("""COMPUTED_VALUE"""),40359.99861111111)</f>
        <v>40359.99861</v>
      </c>
      <c r="B128" s="1">
        <f>IFERROR(__xludf.DUMMYFUNCTION("""COMPUTED_VALUE"""),1331.665904)</f>
        <v>1331.665904</v>
      </c>
    </row>
    <row r="129">
      <c r="A129" s="3">
        <f>IFERROR(__xludf.DUMMYFUNCTION("""COMPUTED_VALUE"""),40360.99861111111)</f>
        <v>40360.99861</v>
      </c>
      <c r="B129" s="1">
        <f>IFERROR(__xludf.DUMMYFUNCTION("""COMPUTED_VALUE"""),1330.506825)</f>
        <v>1330.506825</v>
      </c>
    </row>
    <row r="130">
      <c r="A130" s="3">
        <f>IFERROR(__xludf.DUMMYFUNCTION("""COMPUTED_VALUE"""),40361.99861111111)</f>
        <v>40361.99861</v>
      </c>
      <c r="B130" s="1">
        <f>IFERROR(__xludf.DUMMYFUNCTION("""COMPUTED_VALUE"""),1336.385742)</f>
        <v>1336.385742</v>
      </c>
    </row>
    <row r="131">
      <c r="A131" s="3">
        <f>IFERROR(__xludf.DUMMYFUNCTION("""COMPUTED_VALUE"""),40364.99861111111)</f>
        <v>40364.99861</v>
      </c>
      <c r="B131" s="1">
        <f>IFERROR(__xludf.DUMMYFUNCTION("""COMPUTED_VALUE"""),1338.689485)</f>
        <v>1338.689485</v>
      </c>
    </row>
    <row r="132">
      <c r="A132" s="3">
        <f>IFERROR(__xludf.DUMMYFUNCTION("""COMPUTED_VALUE"""),40365.99861111111)</f>
        <v>40365.99861</v>
      </c>
      <c r="B132" s="1">
        <f>IFERROR(__xludf.DUMMYFUNCTION("""COMPUTED_VALUE"""),1328.815336)</f>
        <v>1328.815336</v>
      </c>
    </row>
    <row r="133">
      <c r="A133" s="3">
        <f>IFERROR(__xludf.DUMMYFUNCTION("""COMPUTED_VALUE"""),40366.99861111111)</f>
        <v>40366.99861</v>
      </c>
      <c r="B133" s="1">
        <f>IFERROR(__xludf.DUMMYFUNCTION("""COMPUTED_VALUE"""),1334.763396)</f>
        <v>1334.763396</v>
      </c>
    </row>
    <row r="134">
      <c r="A134" s="3">
        <f>IFERROR(__xludf.DUMMYFUNCTION("""COMPUTED_VALUE"""),40367.99861111111)</f>
        <v>40367.99861</v>
      </c>
      <c r="B134" s="1">
        <f>IFERROR(__xludf.DUMMYFUNCTION("""COMPUTED_VALUE"""),1332.946913)</f>
        <v>1332.946913</v>
      </c>
    </row>
    <row r="135">
      <c r="A135" s="3">
        <f>IFERROR(__xludf.DUMMYFUNCTION("""COMPUTED_VALUE"""),40368.99861111111)</f>
        <v>40368.99861</v>
      </c>
      <c r="B135" s="1">
        <f>IFERROR(__xludf.DUMMYFUNCTION("""COMPUTED_VALUE"""),1331.716681)</f>
        <v>1331.716681</v>
      </c>
    </row>
    <row r="136">
      <c r="A136" s="3">
        <f>IFERROR(__xludf.DUMMYFUNCTION("""COMPUTED_VALUE"""),40371.99861111111)</f>
        <v>40371.99861</v>
      </c>
      <c r="B136" s="1">
        <f>IFERROR(__xludf.DUMMYFUNCTION("""COMPUTED_VALUE"""),1337.771866)</f>
        <v>1337.771866</v>
      </c>
    </row>
    <row r="137">
      <c r="A137" s="3">
        <f>IFERROR(__xludf.DUMMYFUNCTION("""COMPUTED_VALUE"""),40372.99861111111)</f>
        <v>40372.99861</v>
      </c>
      <c r="B137" s="1">
        <f>IFERROR(__xludf.DUMMYFUNCTION("""COMPUTED_VALUE"""),1323.701576)</f>
        <v>1323.701576</v>
      </c>
    </row>
    <row r="138">
      <c r="A138" s="3">
        <f>IFERROR(__xludf.DUMMYFUNCTION("""COMPUTED_VALUE"""),40373.99861111111)</f>
        <v>40373.99861</v>
      </c>
      <c r="B138" s="1">
        <f>IFERROR(__xludf.DUMMYFUNCTION("""COMPUTED_VALUE"""),1329.641684)</f>
        <v>1329.641684</v>
      </c>
    </row>
    <row r="139">
      <c r="A139" s="3">
        <f>IFERROR(__xludf.DUMMYFUNCTION("""COMPUTED_VALUE"""),40374.99861111111)</f>
        <v>40374.99861</v>
      </c>
      <c r="B139" s="1">
        <f>IFERROR(__xludf.DUMMYFUNCTION("""COMPUTED_VALUE"""),1331.841638)</f>
        <v>1331.841638</v>
      </c>
    </row>
    <row r="140">
      <c r="A140" s="3">
        <f>IFERROR(__xludf.DUMMYFUNCTION("""COMPUTED_VALUE"""),40375.99861111111)</f>
        <v>40375.99861</v>
      </c>
      <c r="B140" s="1">
        <f>IFERROR(__xludf.DUMMYFUNCTION("""COMPUTED_VALUE"""),1331.52126)</f>
        <v>1331.52126</v>
      </c>
    </row>
    <row r="141">
      <c r="A141" s="3">
        <f>IFERROR(__xludf.DUMMYFUNCTION("""COMPUTED_VALUE"""),40378.99861111111)</f>
        <v>40378.99861</v>
      </c>
      <c r="B141" s="1">
        <f>IFERROR(__xludf.DUMMYFUNCTION("""COMPUTED_VALUE"""),1337.41035)</f>
        <v>1337.41035</v>
      </c>
    </row>
    <row r="142">
      <c r="A142" s="3">
        <f>IFERROR(__xludf.DUMMYFUNCTION("""COMPUTED_VALUE"""),40379.99861111111)</f>
        <v>40379.99861</v>
      </c>
      <c r="B142" s="1">
        <f>IFERROR(__xludf.DUMMYFUNCTION("""COMPUTED_VALUE"""),1331.343587)</f>
        <v>1331.343587</v>
      </c>
    </row>
    <row r="143">
      <c r="A143" s="3">
        <f>IFERROR(__xludf.DUMMYFUNCTION("""COMPUTED_VALUE"""),40380.99861111111)</f>
        <v>40380.99861</v>
      </c>
      <c r="B143" s="1">
        <f>IFERROR(__xludf.DUMMYFUNCTION("""COMPUTED_VALUE"""),1339.136286)</f>
        <v>1339.136286</v>
      </c>
    </row>
    <row r="144">
      <c r="A144" s="3">
        <f>IFERROR(__xludf.DUMMYFUNCTION("""COMPUTED_VALUE"""),40381.99861111111)</f>
        <v>40381.99861</v>
      </c>
      <c r="B144" s="1">
        <f>IFERROR(__xludf.DUMMYFUNCTION("""COMPUTED_VALUE"""),1325.21706)</f>
        <v>1325.21706</v>
      </c>
    </row>
    <row r="145">
      <c r="A145" s="3">
        <f>IFERROR(__xludf.DUMMYFUNCTION("""COMPUTED_VALUE"""),40382.99861111111)</f>
        <v>40382.99861</v>
      </c>
      <c r="B145" s="1">
        <f>IFERROR(__xludf.DUMMYFUNCTION("""COMPUTED_VALUE"""),1322.295975)</f>
        <v>1322.295975</v>
      </c>
    </row>
    <row r="146">
      <c r="A146" s="3">
        <f>IFERROR(__xludf.DUMMYFUNCTION("""COMPUTED_VALUE"""),40385.99861111111)</f>
        <v>40385.99861</v>
      </c>
      <c r="B146" s="1">
        <f>IFERROR(__xludf.DUMMYFUNCTION("""COMPUTED_VALUE"""),1313.310488)</f>
        <v>1313.310488</v>
      </c>
    </row>
    <row r="147">
      <c r="A147" s="3">
        <f>IFERROR(__xludf.DUMMYFUNCTION("""COMPUTED_VALUE"""),40386.99861111111)</f>
        <v>40386.99861</v>
      </c>
      <c r="B147" s="1">
        <f>IFERROR(__xludf.DUMMYFUNCTION("""COMPUTED_VALUE"""),1314.463527)</f>
        <v>1314.463527</v>
      </c>
    </row>
    <row r="148">
      <c r="A148" s="3">
        <f>IFERROR(__xludf.DUMMYFUNCTION("""COMPUTED_VALUE"""),40387.99861111111)</f>
        <v>40387.99861</v>
      </c>
      <c r="B148" s="1">
        <f>IFERROR(__xludf.DUMMYFUNCTION("""COMPUTED_VALUE"""),1329.47275)</f>
        <v>1329.47275</v>
      </c>
    </row>
    <row r="149">
      <c r="A149" s="3">
        <f>IFERROR(__xludf.DUMMYFUNCTION("""COMPUTED_VALUE"""),40388.99861111111)</f>
        <v>40388.99861</v>
      </c>
      <c r="B149" s="1">
        <f>IFERROR(__xludf.DUMMYFUNCTION("""COMPUTED_VALUE"""),1321.728204)</f>
        <v>1321.728204</v>
      </c>
    </row>
    <row r="150">
      <c r="A150" s="3">
        <f>IFERROR(__xludf.DUMMYFUNCTION("""COMPUTED_VALUE"""),40389.99861111111)</f>
        <v>40389.99861</v>
      </c>
      <c r="B150" s="1">
        <f>IFERROR(__xludf.DUMMYFUNCTION("""COMPUTED_VALUE"""),1315.160168)</f>
        <v>1315.160168</v>
      </c>
    </row>
    <row r="151">
      <c r="A151" s="3">
        <f>IFERROR(__xludf.DUMMYFUNCTION("""COMPUTED_VALUE"""),40392.99861111111)</f>
        <v>40392.99861</v>
      </c>
      <c r="B151" s="1">
        <f>IFERROR(__xludf.DUMMYFUNCTION("""COMPUTED_VALUE"""),1301.80732)</f>
        <v>1301.80732</v>
      </c>
    </row>
    <row r="152">
      <c r="A152" s="3">
        <f>IFERROR(__xludf.DUMMYFUNCTION("""COMPUTED_VALUE"""),40393.99861111111)</f>
        <v>40393.99861</v>
      </c>
      <c r="B152" s="1">
        <f>IFERROR(__xludf.DUMMYFUNCTION("""COMPUTED_VALUE"""),1296.957403)</f>
        <v>1296.957403</v>
      </c>
    </row>
    <row r="153">
      <c r="A153" s="3">
        <f>IFERROR(__xludf.DUMMYFUNCTION("""COMPUTED_VALUE"""),40394.99861111111)</f>
        <v>40394.99861</v>
      </c>
      <c r="B153" s="1">
        <f>IFERROR(__xludf.DUMMYFUNCTION("""COMPUTED_VALUE"""),1318.46649)</f>
        <v>1318.46649</v>
      </c>
    </row>
    <row r="154">
      <c r="A154" s="3">
        <f>IFERROR(__xludf.DUMMYFUNCTION("""COMPUTED_VALUE"""),40395.99861111111)</f>
        <v>40395.99861</v>
      </c>
      <c r="B154" s="1">
        <f>IFERROR(__xludf.DUMMYFUNCTION("""COMPUTED_VALUE"""),1316.434404)</f>
        <v>1316.434404</v>
      </c>
    </row>
    <row r="155">
      <c r="A155" s="3">
        <f>IFERROR(__xludf.DUMMYFUNCTION("""COMPUTED_VALUE"""),40396.99861111111)</f>
        <v>40396.99861</v>
      </c>
      <c r="B155" s="1">
        <f>IFERROR(__xludf.DUMMYFUNCTION("""COMPUTED_VALUE"""),1307.85345)</f>
        <v>1307.85345</v>
      </c>
    </row>
    <row r="156">
      <c r="A156" s="3">
        <f>IFERROR(__xludf.DUMMYFUNCTION("""COMPUTED_VALUE"""),40399.99861111111)</f>
        <v>40399.99861</v>
      </c>
      <c r="B156" s="1">
        <f>IFERROR(__xludf.DUMMYFUNCTION("""COMPUTED_VALUE"""),1318.908517)</f>
        <v>1318.908517</v>
      </c>
    </row>
    <row r="157">
      <c r="A157" s="3">
        <f>IFERROR(__xludf.DUMMYFUNCTION("""COMPUTED_VALUE"""),40400.99861111111)</f>
        <v>40400.99861</v>
      </c>
      <c r="B157" s="1">
        <f>IFERROR(__xludf.DUMMYFUNCTION("""COMPUTED_VALUE"""),1309.370059)</f>
        <v>1309.370059</v>
      </c>
    </row>
    <row r="158">
      <c r="A158" s="3">
        <f>IFERROR(__xludf.DUMMYFUNCTION("""COMPUTED_VALUE"""),40401.99861111111)</f>
        <v>40401.99861</v>
      </c>
      <c r="B158" s="1">
        <f>IFERROR(__xludf.DUMMYFUNCTION("""COMPUTED_VALUE"""),1327.633424)</f>
        <v>1327.633424</v>
      </c>
    </row>
    <row r="159">
      <c r="A159" s="3">
        <f>IFERROR(__xludf.DUMMYFUNCTION("""COMPUTED_VALUE"""),40402.99861111111)</f>
        <v>40402.99861</v>
      </c>
      <c r="B159" s="1">
        <f>IFERROR(__xludf.DUMMYFUNCTION("""COMPUTED_VALUE"""),1328.326986)</f>
        <v>1328.326986</v>
      </c>
    </row>
    <row r="160">
      <c r="A160" s="3">
        <f>IFERROR(__xludf.DUMMYFUNCTION("""COMPUTED_VALUE"""),40403.99861111111)</f>
        <v>40403.99861</v>
      </c>
      <c r="B160" s="1">
        <f>IFERROR(__xludf.DUMMYFUNCTION("""COMPUTED_VALUE"""),1317.653547)</f>
        <v>1317.653547</v>
      </c>
    </row>
    <row r="161">
      <c r="A161" s="3">
        <f>IFERROR(__xludf.DUMMYFUNCTION("""COMPUTED_VALUE"""),40406.99861111111)</f>
        <v>40406.99861</v>
      </c>
      <c r="B161" s="1">
        <f>IFERROR(__xludf.DUMMYFUNCTION("""COMPUTED_VALUE"""),1309.552975)</f>
        <v>1309.552975</v>
      </c>
    </row>
    <row r="162">
      <c r="A162" s="3">
        <f>IFERROR(__xludf.DUMMYFUNCTION("""COMPUTED_VALUE"""),40407.99861111111)</f>
        <v>40407.99861</v>
      </c>
      <c r="B162" s="1">
        <f>IFERROR(__xludf.DUMMYFUNCTION("""COMPUTED_VALUE"""),1305.213584)</f>
        <v>1305.213584</v>
      </c>
    </row>
    <row r="163">
      <c r="A163" s="3">
        <f>IFERROR(__xludf.DUMMYFUNCTION("""COMPUTED_VALUE"""),40408.99861111111)</f>
        <v>40408.99861</v>
      </c>
      <c r="B163" s="1">
        <f>IFERROR(__xludf.DUMMYFUNCTION("""COMPUTED_VALUE"""),1308.451644)</f>
        <v>1308.451644</v>
      </c>
    </row>
    <row r="164">
      <c r="A164" s="3">
        <f>IFERROR(__xludf.DUMMYFUNCTION("""COMPUTED_VALUE"""),40409.99861111111)</f>
        <v>40409.99861</v>
      </c>
      <c r="B164" s="1">
        <f>IFERROR(__xludf.DUMMYFUNCTION("""COMPUTED_VALUE"""),1313.039916)</f>
        <v>1313.039916</v>
      </c>
    </row>
    <row r="165">
      <c r="A165" s="3">
        <f>IFERROR(__xludf.DUMMYFUNCTION("""COMPUTED_VALUE"""),40410.99861111111)</f>
        <v>40410.99861</v>
      </c>
      <c r="B165" s="1">
        <f>IFERROR(__xludf.DUMMYFUNCTION("""COMPUTED_VALUE"""),1323.110032)</f>
        <v>1323.110032</v>
      </c>
    </row>
    <row r="166">
      <c r="A166" s="3">
        <f>IFERROR(__xludf.DUMMYFUNCTION("""COMPUTED_VALUE"""),40413.99861111111)</f>
        <v>40413.99861</v>
      </c>
      <c r="B166" s="1">
        <f>IFERROR(__xludf.DUMMYFUNCTION("""COMPUTED_VALUE"""),1302.03028)</f>
        <v>1302.03028</v>
      </c>
    </row>
    <row r="167">
      <c r="A167" s="3">
        <f>IFERROR(__xludf.DUMMYFUNCTION("""COMPUTED_VALUE"""),40414.99861111111)</f>
        <v>40414.99861</v>
      </c>
      <c r="B167" s="1">
        <f>IFERROR(__xludf.DUMMYFUNCTION("""COMPUTED_VALUE"""),1318.877179)</f>
        <v>1318.877179</v>
      </c>
    </row>
    <row r="168">
      <c r="A168" s="3">
        <f>IFERROR(__xludf.DUMMYFUNCTION("""COMPUTED_VALUE"""),40415.99861111111)</f>
        <v>40415.99861</v>
      </c>
      <c r="B168" s="1">
        <f>IFERROR(__xludf.DUMMYFUNCTION("""COMPUTED_VALUE"""),1303.7343)</f>
        <v>1303.7343</v>
      </c>
    </row>
    <row r="169">
      <c r="A169" s="3">
        <f>IFERROR(__xludf.DUMMYFUNCTION("""COMPUTED_VALUE"""),40416.99861111111)</f>
        <v>40416.99861</v>
      </c>
      <c r="B169" s="1">
        <f>IFERROR(__xludf.DUMMYFUNCTION("""COMPUTED_VALUE"""),1319.717158)</f>
        <v>1319.717158</v>
      </c>
    </row>
    <row r="170">
      <c r="A170" s="3">
        <f>IFERROR(__xludf.DUMMYFUNCTION("""COMPUTED_VALUE"""),40417.99861111111)</f>
        <v>40417.99861</v>
      </c>
      <c r="B170" s="1">
        <f>IFERROR(__xludf.DUMMYFUNCTION("""COMPUTED_VALUE"""),1324.206005)</f>
        <v>1324.206005</v>
      </c>
    </row>
    <row r="171">
      <c r="A171" s="3">
        <f>IFERROR(__xludf.DUMMYFUNCTION("""COMPUTED_VALUE"""),40420.99861111111)</f>
        <v>40420.99861</v>
      </c>
      <c r="B171" s="1">
        <f>IFERROR(__xludf.DUMMYFUNCTION("""COMPUTED_VALUE"""),1308.89486)</f>
        <v>1308.89486</v>
      </c>
    </row>
    <row r="172">
      <c r="A172" s="3">
        <f>IFERROR(__xludf.DUMMYFUNCTION("""COMPUTED_VALUE"""),40421.99861111111)</f>
        <v>40421.99861</v>
      </c>
      <c r="B172" s="1">
        <f>IFERROR(__xludf.DUMMYFUNCTION("""COMPUTED_VALUE"""),1321.93243)</f>
        <v>1321.93243</v>
      </c>
    </row>
    <row r="173">
      <c r="A173" s="3">
        <f>IFERROR(__xludf.DUMMYFUNCTION("""COMPUTED_VALUE"""),40422.99861111111)</f>
        <v>40422.99861</v>
      </c>
      <c r="B173" s="1">
        <f>IFERROR(__xludf.DUMMYFUNCTION("""COMPUTED_VALUE"""),1320.486948)</f>
        <v>1320.486948</v>
      </c>
    </row>
    <row r="174">
      <c r="A174" s="3">
        <f>IFERROR(__xludf.DUMMYFUNCTION("""COMPUTED_VALUE"""),40423.99861111111)</f>
        <v>40423.99861</v>
      </c>
      <c r="B174" s="1">
        <f>IFERROR(__xludf.DUMMYFUNCTION("""COMPUTED_VALUE"""),1318.981584)</f>
        <v>1318.981584</v>
      </c>
    </row>
    <row r="175">
      <c r="A175" s="3">
        <f>IFERROR(__xludf.DUMMYFUNCTION("""COMPUTED_VALUE"""),40424.99861111111)</f>
        <v>40424.99861</v>
      </c>
      <c r="B175" s="1">
        <f>IFERROR(__xludf.DUMMYFUNCTION("""COMPUTED_VALUE"""),1318.126693)</f>
        <v>1318.126693</v>
      </c>
    </row>
    <row r="176">
      <c r="A176" s="3">
        <f>IFERROR(__xludf.DUMMYFUNCTION("""COMPUTED_VALUE"""),40427.99861111111)</f>
        <v>40427.99861</v>
      </c>
      <c r="B176" s="1">
        <f>IFERROR(__xludf.DUMMYFUNCTION("""COMPUTED_VALUE"""),1323.829896)</f>
        <v>1323.829896</v>
      </c>
    </row>
    <row r="177">
      <c r="A177" s="3">
        <f>IFERROR(__xludf.DUMMYFUNCTION("""COMPUTED_VALUE"""),40428.99861111111)</f>
        <v>40428.99861</v>
      </c>
      <c r="B177" s="1">
        <f>IFERROR(__xludf.DUMMYFUNCTION("""COMPUTED_VALUE"""),1328.021168)</f>
        <v>1328.021168</v>
      </c>
    </row>
    <row r="178">
      <c r="A178" s="3">
        <f>IFERROR(__xludf.DUMMYFUNCTION("""COMPUTED_VALUE"""),40429.99861111111)</f>
        <v>40429.99861</v>
      </c>
      <c r="B178" s="1">
        <f>IFERROR(__xludf.DUMMYFUNCTION("""COMPUTED_VALUE"""),1322.851095)</f>
        <v>1322.851095</v>
      </c>
    </row>
    <row r="179">
      <c r="A179" s="3">
        <f>IFERROR(__xludf.DUMMYFUNCTION("""COMPUTED_VALUE"""),40430.99861111111)</f>
        <v>40430.99861</v>
      </c>
      <c r="B179" s="1">
        <f>IFERROR(__xludf.DUMMYFUNCTION("""COMPUTED_VALUE"""),1329.3063)</f>
        <v>1329.3063</v>
      </c>
    </row>
    <row r="180">
      <c r="A180" s="3">
        <f>IFERROR(__xludf.DUMMYFUNCTION("""COMPUTED_VALUE"""),40431.99861111111)</f>
        <v>40431.99861</v>
      </c>
      <c r="B180" s="1">
        <f>IFERROR(__xludf.DUMMYFUNCTION("""COMPUTED_VALUE"""),1330.446576)</f>
        <v>1330.446576</v>
      </c>
    </row>
    <row r="181">
      <c r="A181" s="3">
        <f>IFERROR(__xludf.DUMMYFUNCTION("""COMPUTED_VALUE"""),40434.99861111111)</f>
        <v>40434.99861</v>
      </c>
      <c r="B181" s="1">
        <f>IFERROR(__xludf.DUMMYFUNCTION("""COMPUTED_VALUE"""),1329.155016)</f>
        <v>1329.155016</v>
      </c>
    </row>
    <row r="182">
      <c r="A182" s="3">
        <f>IFERROR(__xludf.DUMMYFUNCTION("""COMPUTED_VALUE"""),40435.99861111111)</f>
        <v>40435.99861</v>
      </c>
      <c r="B182" s="1">
        <f>IFERROR(__xludf.DUMMYFUNCTION("""COMPUTED_VALUE"""),1330.300146)</f>
        <v>1330.300146</v>
      </c>
    </row>
    <row r="183">
      <c r="A183" s="3">
        <f>IFERROR(__xludf.DUMMYFUNCTION("""COMPUTED_VALUE"""),40436.99861111111)</f>
        <v>40436.99861</v>
      </c>
      <c r="B183" s="1">
        <f>IFERROR(__xludf.DUMMYFUNCTION("""COMPUTED_VALUE"""),1329.824896)</f>
        <v>1329.824896</v>
      </c>
    </row>
    <row r="184">
      <c r="A184" s="3">
        <f>IFERROR(__xludf.DUMMYFUNCTION("""COMPUTED_VALUE"""),40437.99861111111)</f>
        <v>40437.99861</v>
      </c>
      <c r="B184" s="1">
        <f>IFERROR(__xludf.DUMMYFUNCTION("""COMPUTED_VALUE"""),1326.0157)</f>
        <v>1326.0157</v>
      </c>
    </row>
    <row r="185">
      <c r="A185" s="3">
        <f>IFERROR(__xludf.DUMMYFUNCTION("""COMPUTED_VALUE"""),40438.99861111111)</f>
        <v>40438.99861</v>
      </c>
      <c r="B185" s="1">
        <f>IFERROR(__xludf.DUMMYFUNCTION("""COMPUTED_VALUE"""),1332.367752)</f>
        <v>1332.367752</v>
      </c>
    </row>
    <row r="186">
      <c r="A186" s="3">
        <f>IFERROR(__xludf.DUMMYFUNCTION("""COMPUTED_VALUE"""),40441.99861111111)</f>
        <v>40441.99861</v>
      </c>
      <c r="B186" s="1">
        <f>IFERROR(__xludf.DUMMYFUNCTION("""COMPUTED_VALUE"""),1335.922606)</f>
        <v>1335.922606</v>
      </c>
    </row>
    <row r="187">
      <c r="A187" s="3">
        <f>IFERROR(__xludf.DUMMYFUNCTION("""COMPUTED_VALUE"""),40442.99861111111)</f>
        <v>40442.99861</v>
      </c>
      <c r="B187" s="1">
        <f>IFERROR(__xludf.DUMMYFUNCTION("""COMPUTED_VALUE"""),1321.220672)</f>
        <v>1321.220672</v>
      </c>
    </row>
    <row r="188">
      <c r="A188" s="3">
        <f>IFERROR(__xludf.DUMMYFUNCTION("""COMPUTED_VALUE"""),40443.99861111111)</f>
        <v>40443.99861</v>
      </c>
      <c r="B188" s="1">
        <f>IFERROR(__xludf.DUMMYFUNCTION("""COMPUTED_VALUE"""),1328.306496)</f>
        <v>1328.306496</v>
      </c>
    </row>
    <row r="189">
      <c r="A189" s="3">
        <f>IFERROR(__xludf.DUMMYFUNCTION("""COMPUTED_VALUE"""),40444.99861111111)</f>
        <v>40444.99861</v>
      </c>
      <c r="B189" s="1">
        <f>IFERROR(__xludf.DUMMYFUNCTION("""COMPUTED_VALUE"""),1335.589662)</f>
        <v>1335.589662</v>
      </c>
    </row>
    <row r="190">
      <c r="A190" s="3">
        <f>IFERROR(__xludf.DUMMYFUNCTION("""COMPUTED_VALUE"""),40445.99861111111)</f>
        <v>40445.99861</v>
      </c>
      <c r="B190" s="1">
        <f>IFERROR(__xludf.DUMMYFUNCTION("""COMPUTED_VALUE"""),1318.26794)</f>
        <v>1318.26794</v>
      </c>
    </row>
    <row r="191">
      <c r="A191" s="3">
        <f>IFERROR(__xludf.DUMMYFUNCTION("""COMPUTED_VALUE"""),40448.99861111111)</f>
        <v>40448.99861</v>
      </c>
      <c r="B191" s="1">
        <f>IFERROR(__xludf.DUMMYFUNCTION("""COMPUTED_VALUE"""),1338.2494)</f>
        <v>1338.2494</v>
      </c>
    </row>
    <row r="192">
      <c r="A192" s="3">
        <f>IFERROR(__xludf.DUMMYFUNCTION("""COMPUTED_VALUE"""),40449.99861111111)</f>
        <v>40449.99861</v>
      </c>
      <c r="B192" s="1">
        <f>IFERROR(__xludf.DUMMYFUNCTION("""COMPUTED_VALUE"""),1335.698038)</f>
        <v>1335.698038</v>
      </c>
    </row>
    <row r="193">
      <c r="A193" s="3">
        <f>IFERROR(__xludf.DUMMYFUNCTION("""COMPUTED_VALUE"""),40450.99861111111)</f>
        <v>40450.99861</v>
      </c>
      <c r="B193" s="1">
        <f>IFERROR(__xludf.DUMMYFUNCTION("""COMPUTED_VALUE"""),1333.428422)</f>
        <v>1333.428422</v>
      </c>
    </row>
    <row r="194">
      <c r="A194" s="3">
        <f>IFERROR(__xludf.DUMMYFUNCTION("""COMPUTED_VALUE"""),40451.99861111111)</f>
        <v>40451.99861</v>
      </c>
      <c r="B194" s="1">
        <f>IFERROR(__xludf.DUMMYFUNCTION("""COMPUTED_VALUE"""),1333.027726)</f>
        <v>1333.027726</v>
      </c>
    </row>
    <row r="195">
      <c r="A195" s="3">
        <f>IFERROR(__xludf.DUMMYFUNCTION("""COMPUTED_VALUE"""),40452.99861111111)</f>
        <v>40452.99861</v>
      </c>
      <c r="B195" s="1">
        <f>IFERROR(__xludf.DUMMYFUNCTION("""COMPUTED_VALUE"""),1331.414475)</f>
        <v>1331.414475</v>
      </c>
    </row>
    <row r="196">
      <c r="A196" s="3">
        <f>IFERROR(__xludf.DUMMYFUNCTION("""COMPUTED_VALUE"""),40455.99861111111)</f>
        <v>40455.99861</v>
      </c>
      <c r="B196" s="1">
        <f>IFERROR(__xludf.DUMMYFUNCTION("""COMPUTED_VALUE"""),1333.25025)</f>
        <v>1333.25025</v>
      </c>
    </row>
    <row r="197">
      <c r="A197" s="3">
        <f>IFERROR(__xludf.DUMMYFUNCTION("""COMPUTED_VALUE"""),40456.99861111111)</f>
        <v>40456.99861</v>
      </c>
      <c r="B197" s="1">
        <f>IFERROR(__xludf.DUMMYFUNCTION("""COMPUTED_VALUE"""),1317.743175)</f>
        <v>1317.743175</v>
      </c>
    </row>
    <row r="198">
      <c r="A198" s="3">
        <f>IFERROR(__xludf.DUMMYFUNCTION("""COMPUTED_VALUE"""),40457.99861111111)</f>
        <v>40457.99861</v>
      </c>
      <c r="B198" s="1">
        <f>IFERROR(__xludf.DUMMYFUNCTION("""COMPUTED_VALUE"""),1323.910488)</f>
        <v>1323.910488</v>
      </c>
    </row>
    <row r="199">
      <c r="A199" s="3">
        <f>IFERROR(__xludf.DUMMYFUNCTION("""COMPUTED_VALUE"""),40458.99861111111)</f>
        <v>40458.99861</v>
      </c>
      <c r="B199" s="1">
        <f>IFERROR(__xludf.DUMMYFUNCTION("""COMPUTED_VALUE"""),1330.2354)</f>
        <v>1330.2354</v>
      </c>
    </row>
    <row r="200">
      <c r="A200" s="3">
        <f>IFERROR(__xludf.DUMMYFUNCTION("""COMPUTED_VALUE"""),40459.99861111111)</f>
        <v>40459.99861</v>
      </c>
      <c r="B200" s="1">
        <f>IFERROR(__xludf.DUMMYFUNCTION("""COMPUTED_VALUE"""),1334.652914)</f>
        <v>1334.652914</v>
      </c>
    </row>
    <row r="201">
      <c r="A201" s="3">
        <f>IFERROR(__xludf.DUMMYFUNCTION("""COMPUTED_VALUE"""),40462.99861111111)</f>
        <v>40462.99861</v>
      </c>
      <c r="B201" s="1">
        <f>IFERROR(__xludf.DUMMYFUNCTION("""COMPUTED_VALUE"""),1346.776316)</f>
        <v>1346.776316</v>
      </c>
    </row>
    <row r="202">
      <c r="A202" s="3">
        <f>IFERROR(__xludf.DUMMYFUNCTION("""COMPUTED_VALUE"""),40463.99861111111)</f>
        <v>40463.99861</v>
      </c>
      <c r="B202" s="1">
        <f>IFERROR(__xludf.DUMMYFUNCTION("""COMPUTED_VALUE"""),1332.98088)</f>
        <v>1332.98088</v>
      </c>
    </row>
    <row r="203">
      <c r="A203" s="3">
        <f>IFERROR(__xludf.DUMMYFUNCTION("""COMPUTED_VALUE"""),40464.99861111111)</f>
        <v>40464.99861</v>
      </c>
      <c r="B203" s="1">
        <f>IFERROR(__xludf.DUMMYFUNCTION("""COMPUTED_VALUE"""),1329.940473)</f>
        <v>1329.940473</v>
      </c>
    </row>
    <row r="204">
      <c r="A204" s="3">
        <f>IFERROR(__xludf.DUMMYFUNCTION("""COMPUTED_VALUE"""),40465.99861111111)</f>
        <v>40465.99861</v>
      </c>
      <c r="B204" s="1">
        <f>IFERROR(__xludf.DUMMYFUNCTION("""COMPUTED_VALUE"""),1336.253294)</f>
        <v>1336.253294</v>
      </c>
    </row>
    <row r="205">
      <c r="A205" s="3">
        <f>IFERROR(__xludf.DUMMYFUNCTION("""COMPUTED_VALUE"""),40466.99861111111)</f>
        <v>40466.99861</v>
      </c>
      <c r="B205" s="1">
        <f>IFERROR(__xludf.DUMMYFUNCTION("""COMPUTED_VALUE"""),1344.565015)</f>
        <v>1344.565015</v>
      </c>
    </row>
    <row r="206">
      <c r="A206" s="3">
        <f>IFERROR(__xludf.DUMMYFUNCTION("""COMPUTED_VALUE"""),40469.99861111111)</f>
        <v>40469.99861</v>
      </c>
      <c r="B206" s="1">
        <f>IFERROR(__xludf.DUMMYFUNCTION("""COMPUTED_VALUE"""),1344.510076)</f>
        <v>1344.510076</v>
      </c>
    </row>
    <row r="207">
      <c r="A207" s="3">
        <f>IFERROR(__xludf.DUMMYFUNCTION("""COMPUTED_VALUE"""),40470.99861111111)</f>
        <v>40470.99861</v>
      </c>
      <c r="B207" s="1">
        <f>IFERROR(__xludf.DUMMYFUNCTION("""COMPUTED_VALUE"""),1347.636387)</f>
        <v>1347.636387</v>
      </c>
    </row>
    <row r="208">
      <c r="A208" s="3">
        <f>IFERROR(__xludf.DUMMYFUNCTION("""COMPUTED_VALUE"""),40471.99861111111)</f>
        <v>40471.99861</v>
      </c>
      <c r="B208" s="1">
        <f>IFERROR(__xludf.DUMMYFUNCTION("""COMPUTED_VALUE"""),1323.919506)</f>
        <v>1323.919506</v>
      </c>
    </row>
    <row r="209">
      <c r="A209" s="3">
        <f>IFERROR(__xludf.DUMMYFUNCTION("""COMPUTED_VALUE"""),40472.99861111111)</f>
        <v>40472.99861</v>
      </c>
      <c r="B209" s="1">
        <f>IFERROR(__xludf.DUMMYFUNCTION("""COMPUTED_VALUE"""),1329.01791)</f>
        <v>1329.01791</v>
      </c>
    </row>
    <row r="210">
      <c r="A210" s="3">
        <f>IFERROR(__xludf.DUMMYFUNCTION("""COMPUTED_VALUE"""),40473.99861111111)</f>
        <v>40473.99861</v>
      </c>
      <c r="B210" s="1">
        <f>IFERROR(__xludf.DUMMYFUNCTION("""COMPUTED_VALUE"""),1337.34407)</f>
        <v>1337.34407</v>
      </c>
    </row>
    <row r="211">
      <c r="A211" s="3">
        <f>IFERROR(__xludf.DUMMYFUNCTION("""COMPUTED_VALUE"""),40476.99861111111)</f>
        <v>40476.99861</v>
      </c>
      <c r="B211" s="1">
        <f>IFERROR(__xludf.DUMMYFUNCTION("""COMPUTED_VALUE"""),1338.78219)</f>
        <v>1338.78219</v>
      </c>
    </row>
    <row r="212">
      <c r="A212" s="3">
        <f>IFERROR(__xludf.DUMMYFUNCTION("""COMPUTED_VALUE"""),40477.99861111111)</f>
        <v>40477.99861</v>
      </c>
      <c r="B212" s="1">
        <f>IFERROR(__xludf.DUMMYFUNCTION("""COMPUTED_VALUE"""),1336.224383)</f>
        <v>1336.224383</v>
      </c>
    </row>
    <row r="213">
      <c r="A213" s="3">
        <f>IFERROR(__xludf.DUMMYFUNCTION("""COMPUTED_VALUE"""),40478.99861111111)</f>
        <v>40478.99861</v>
      </c>
      <c r="B213" s="1">
        <f>IFERROR(__xludf.DUMMYFUNCTION("""COMPUTED_VALUE"""),1334.138454)</f>
        <v>1334.138454</v>
      </c>
    </row>
    <row r="214">
      <c r="A214" s="3">
        <f>IFERROR(__xludf.DUMMYFUNCTION("""COMPUTED_VALUE"""),40479.99861111111)</f>
        <v>40479.99861</v>
      </c>
      <c r="B214" s="1">
        <f>IFERROR(__xludf.DUMMYFUNCTION("""COMPUTED_VALUE"""),1318.225508)</f>
        <v>1318.225508</v>
      </c>
    </row>
    <row r="215">
      <c r="A215" s="3">
        <f>IFERROR(__xludf.DUMMYFUNCTION("""COMPUTED_VALUE"""),40480.99861111111)</f>
        <v>40480.99861</v>
      </c>
      <c r="B215" s="1">
        <f>IFERROR(__xludf.DUMMYFUNCTION("""COMPUTED_VALUE"""),1336.94176)</f>
        <v>1336.94176</v>
      </c>
    </row>
    <row r="216">
      <c r="A216" s="3">
        <f>IFERROR(__xludf.DUMMYFUNCTION("""COMPUTED_VALUE"""),40483.99861111111)</f>
        <v>40483.99861</v>
      </c>
      <c r="B216" s="1">
        <f>IFERROR(__xludf.DUMMYFUNCTION("""COMPUTED_VALUE"""),1328.969601)</f>
        <v>1328.969601</v>
      </c>
    </row>
    <row r="217">
      <c r="A217" s="3">
        <f>IFERROR(__xludf.DUMMYFUNCTION("""COMPUTED_VALUE"""),40484.99861111111)</f>
        <v>40484.99861</v>
      </c>
      <c r="B217" s="1">
        <f>IFERROR(__xludf.DUMMYFUNCTION("""COMPUTED_VALUE"""),1319.650015)</f>
        <v>1319.650015</v>
      </c>
    </row>
    <row r="218">
      <c r="A218" s="3">
        <f>IFERROR(__xludf.DUMMYFUNCTION("""COMPUTED_VALUE"""),40485.99861111111)</f>
        <v>40485.99861</v>
      </c>
      <c r="B218" s="1">
        <f>IFERROR(__xludf.DUMMYFUNCTION("""COMPUTED_VALUE"""),1312.070886)</f>
        <v>1312.070886</v>
      </c>
    </row>
    <row r="219">
      <c r="A219" s="3">
        <f>IFERROR(__xludf.DUMMYFUNCTION("""COMPUTED_VALUE"""),40486.99861111111)</f>
        <v>40486.99861</v>
      </c>
      <c r="B219" s="1">
        <f>IFERROR(__xludf.DUMMYFUNCTION("""COMPUTED_VALUE"""),1335.334206)</f>
        <v>1335.334206</v>
      </c>
    </row>
    <row r="220">
      <c r="A220" s="3">
        <f>IFERROR(__xludf.DUMMYFUNCTION("""COMPUTED_VALUE"""),40487.99861111111)</f>
        <v>40487.99861</v>
      </c>
      <c r="B220" s="1">
        <f>IFERROR(__xludf.DUMMYFUNCTION("""COMPUTED_VALUE"""),1335.178)</f>
        <v>1335.178</v>
      </c>
    </row>
    <row r="221">
      <c r="A221" s="3">
        <f>IFERROR(__xludf.DUMMYFUNCTION("""COMPUTED_VALUE"""),40490.99861111111)</f>
        <v>40490.99861</v>
      </c>
      <c r="B221" s="1">
        <f>IFERROR(__xludf.DUMMYFUNCTION("""COMPUTED_VALUE"""),1330.770052)</f>
        <v>1330.770052</v>
      </c>
    </row>
    <row r="222">
      <c r="A222" s="3">
        <f>IFERROR(__xludf.DUMMYFUNCTION("""COMPUTED_VALUE"""),40491.99861111111)</f>
        <v>40491.99861</v>
      </c>
      <c r="B222" s="1">
        <f>IFERROR(__xludf.DUMMYFUNCTION("""COMPUTED_VALUE"""),1323.3915)</f>
        <v>1323.3915</v>
      </c>
    </row>
    <row r="223">
      <c r="A223" s="3">
        <f>IFERROR(__xludf.DUMMYFUNCTION("""COMPUTED_VALUE"""),40492.99861111111)</f>
        <v>40492.99861</v>
      </c>
      <c r="B223" s="1">
        <f>IFERROR(__xludf.DUMMYFUNCTION("""COMPUTED_VALUE"""),1321.3298)</f>
        <v>1321.3298</v>
      </c>
    </row>
    <row r="224">
      <c r="A224" s="3">
        <f>IFERROR(__xludf.DUMMYFUNCTION("""COMPUTED_VALUE"""),40493.99861111111)</f>
        <v>40493.99861</v>
      </c>
      <c r="B224" s="1">
        <f>IFERROR(__xludf.DUMMYFUNCTION("""COMPUTED_VALUE"""),1326.03456)</f>
        <v>1326.03456</v>
      </c>
    </row>
    <row r="225">
      <c r="A225" s="3">
        <f>IFERROR(__xludf.DUMMYFUNCTION("""COMPUTED_VALUE"""),40494.99861111111)</f>
        <v>40494.99861</v>
      </c>
      <c r="B225" s="1">
        <f>IFERROR(__xludf.DUMMYFUNCTION("""COMPUTED_VALUE"""),1342.415769)</f>
        <v>1342.415769</v>
      </c>
    </row>
    <row r="226">
      <c r="A226" s="3">
        <f>IFERROR(__xludf.DUMMYFUNCTION("""COMPUTED_VALUE"""),40497.99861111111)</f>
        <v>40497.99861</v>
      </c>
      <c r="B226" s="1">
        <f>IFERROR(__xludf.DUMMYFUNCTION("""COMPUTED_VALUE"""),1347.897409)</f>
        <v>1347.897409</v>
      </c>
    </row>
    <row r="227">
      <c r="A227" s="3">
        <f>IFERROR(__xludf.DUMMYFUNCTION("""COMPUTED_VALUE"""),40498.99861111111)</f>
        <v>40498.99861</v>
      </c>
      <c r="B227" s="1">
        <f>IFERROR(__xludf.DUMMYFUNCTION("""COMPUTED_VALUE"""),1331.85384)</f>
        <v>1331.85384</v>
      </c>
    </row>
    <row r="228">
      <c r="A228" s="3">
        <f>IFERROR(__xludf.DUMMYFUNCTION("""COMPUTED_VALUE"""),40499.99861111111)</f>
        <v>40499.99861</v>
      </c>
      <c r="B228" s="1">
        <f>IFERROR(__xludf.DUMMYFUNCTION("""COMPUTED_VALUE"""),1329.5538)</f>
        <v>1329.5538</v>
      </c>
    </row>
    <row r="229">
      <c r="A229" s="3">
        <f>IFERROR(__xludf.DUMMYFUNCTION("""COMPUTED_VALUE"""),40500.99861111111)</f>
        <v>40500.99861</v>
      </c>
      <c r="B229" s="1">
        <f>IFERROR(__xludf.DUMMYFUNCTION("""COMPUTED_VALUE"""),1331.13679)</f>
        <v>1331.13679</v>
      </c>
    </row>
    <row r="230">
      <c r="A230" s="3">
        <f>IFERROR(__xludf.DUMMYFUNCTION("""COMPUTED_VALUE"""),40501.99861111111)</f>
        <v>40501.99861</v>
      </c>
      <c r="B230" s="1">
        <f>IFERROR(__xludf.DUMMYFUNCTION("""COMPUTED_VALUE"""),1343.468709)</f>
        <v>1343.468709</v>
      </c>
    </row>
    <row r="231">
      <c r="A231" s="3">
        <f>IFERROR(__xludf.DUMMYFUNCTION("""COMPUTED_VALUE"""),40504.99861111111)</f>
        <v>40504.99861</v>
      </c>
      <c r="B231" s="1">
        <f>IFERROR(__xludf.DUMMYFUNCTION("""COMPUTED_VALUE"""),1342.274924)</f>
        <v>1342.274924</v>
      </c>
    </row>
    <row r="232">
      <c r="A232" s="3">
        <f>IFERROR(__xludf.DUMMYFUNCTION("""COMPUTED_VALUE"""),40505.99861111111)</f>
        <v>40505.99861</v>
      </c>
      <c r="B232" s="1">
        <f>IFERROR(__xludf.DUMMYFUNCTION("""COMPUTED_VALUE"""),1347.455564)</f>
        <v>1347.455564</v>
      </c>
    </row>
    <row r="233">
      <c r="A233" s="3">
        <f>IFERROR(__xludf.DUMMYFUNCTION("""COMPUTED_VALUE"""),40506.99861111111)</f>
        <v>40506.99861</v>
      </c>
      <c r="B233" s="1">
        <f>IFERROR(__xludf.DUMMYFUNCTION("""COMPUTED_VALUE"""),1344.905247)</f>
        <v>1344.905247</v>
      </c>
    </row>
    <row r="234">
      <c r="A234" s="3">
        <f>IFERROR(__xludf.DUMMYFUNCTION("""COMPUTED_VALUE"""),40507.99861111111)</f>
        <v>40507.99861</v>
      </c>
      <c r="B234" s="1">
        <f>IFERROR(__xludf.DUMMYFUNCTION("""COMPUTED_VALUE"""),1346.552292)</f>
        <v>1346.552292</v>
      </c>
    </row>
    <row r="235">
      <c r="A235" s="3">
        <f>IFERROR(__xludf.DUMMYFUNCTION("""COMPUTED_VALUE"""),40508.99861111111)</f>
        <v>40508.99861</v>
      </c>
      <c r="B235" s="1">
        <f>IFERROR(__xludf.DUMMYFUNCTION("""COMPUTED_VALUE"""),1332.4755)</f>
        <v>1332.4755</v>
      </c>
    </row>
    <row r="236">
      <c r="A236" s="3">
        <f>IFERROR(__xludf.DUMMYFUNCTION("""COMPUTED_VALUE"""),40511.99861111111)</f>
        <v>40511.99861</v>
      </c>
      <c r="B236" s="1">
        <f>IFERROR(__xludf.DUMMYFUNCTION("""COMPUTED_VALUE"""),1351.506109)</f>
        <v>1351.506109</v>
      </c>
    </row>
    <row r="237">
      <c r="A237" s="3">
        <f>IFERROR(__xludf.DUMMYFUNCTION("""COMPUTED_VALUE"""),40512.99861111111)</f>
        <v>40512.99861</v>
      </c>
      <c r="B237" s="1">
        <f>IFERROR(__xludf.DUMMYFUNCTION("""COMPUTED_VALUE"""),1353.014691)</f>
        <v>1353.014691</v>
      </c>
    </row>
    <row r="238">
      <c r="A238" s="3">
        <f>IFERROR(__xludf.DUMMYFUNCTION("""COMPUTED_VALUE"""),40513.99861111111)</f>
        <v>40513.99861</v>
      </c>
      <c r="B238" s="1">
        <f>IFERROR(__xludf.DUMMYFUNCTION("""COMPUTED_VALUE"""),1351.414732)</f>
        <v>1351.414732</v>
      </c>
    </row>
    <row r="239">
      <c r="A239" s="3">
        <f>IFERROR(__xludf.DUMMYFUNCTION("""COMPUTED_VALUE"""),40514.99861111111)</f>
        <v>40514.99861</v>
      </c>
      <c r="B239" s="1">
        <f>IFERROR(__xludf.DUMMYFUNCTION("""COMPUTED_VALUE"""),1336.5084)</f>
        <v>1336.5084</v>
      </c>
    </row>
    <row r="240">
      <c r="A240" s="3">
        <f>IFERROR(__xludf.DUMMYFUNCTION("""COMPUTED_VALUE"""),40515.99861111111)</f>
        <v>40515.99861</v>
      </c>
      <c r="B240" s="1">
        <f>IFERROR(__xludf.DUMMYFUNCTION("""COMPUTED_VALUE"""),1346.40225)</f>
        <v>1346.40225</v>
      </c>
    </row>
    <row r="241">
      <c r="A241" s="3">
        <f>IFERROR(__xludf.DUMMYFUNCTION("""COMPUTED_VALUE"""),40518.99861111111)</f>
        <v>40518.99861</v>
      </c>
      <c r="B241" s="1">
        <f>IFERROR(__xludf.DUMMYFUNCTION("""COMPUTED_VALUE"""),1353.29449)</f>
        <v>1353.29449</v>
      </c>
    </row>
    <row r="242">
      <c r="A242" s="3">
        <f>IFERROR(__xludf.DUMMYFUNCTION("""COMPUTED_VALUE"""),40519.99861111111)</f>
        <v>40519.99861</v>
      </c>
      <c r="B242" s="1">
        <f>IFERROR(__xludf.DUMMYFUNCTION("""COMPUTED_VALUE"""),1350.7475)</f>
        <v>1350.7475</v>
      </c>
    </row>
    <row r="243">
      <c r="A243" s="3">
        <f>IFERROR(__xludf.DUMMYFUNCTION("""COMPUTED_VALUE"""),40520.99861111111)</f>
        <v>40520.99861</v>
      </c>
      <c r="B243" s="1">
        <f>IFERROR(__xludf.DUMMYFUNCTION("""COMPUTED_VALUE"""),1352.098)</f>
        <v>1352.098</v>
      </c>
    </row>
    <row r="244">
      <c r="A244" s="3">
        <f>IFERROR(__xludf.DUMMYFUNCTION("""COMPUTED_VALUE"""),40521.99861111111)</f>
        <v>40521.99861</v>
      </c>
      <c r="B244" s="1">
        <f>IFERROR(__xludf.DUMMYFUNCTION("""COMPUTED_VALUE"""),1353.06072)</f>
        <v>1353.06072</v>
      </c>
    </row>
    <row r="245">
      <c r="A245" s="3">
        <f>IFERROR(__xludf.DUMMYFUNCTION("""COMPUTED_VALUE"""),40522.99861111111)</f>
        <v>40522.99861</v>
      </c>
      <c r="B245" s="1">
        <f>IFERROR(__xludf.DUMMYFUNCTION("""COMPUTED_VALUE"""),1352.25)</f>
        <v>1352.25</v>
      </c>
    </row>
    <row r="246">
      <c r="A246" s="3">
        <f>IFERROR(__xludf.DUMMYFUNCTION("""COMPUTED_VALUE"""),40525.99861111111)</f>
        <v>40525.99861</v>
      </c>
      <c r="B246" s="1">
        <f>IFERROR(__xludf.DUMMYFUNCTION("""COMPUTED_VALUE"""),1350.2667)</f>
        <v>1350.2667</v>
      </c>
    </row>
    <row r="247">
      <c r="A247" s="3">
        <f>IFERROR(__xludf.DUMMYFUNCTION("""COMPUTED_VALUE"""),40526.99861111111)</f>
        <v>40526.99861</v>
      </c>
      <c r="B247" s="1">
        <f>IFERROR(__xludf.DUMMYFUNCTION("""COMPUTED_VALUE"""),1351.777878)</f>
        <v>1351.777878</v>
      </c>
    </row>
    <row r="248">
      <c r="A248" s="3">
        <f>IFERROR(__xludf.DUMMYFUNCTION("""COMPUTED_VALUE"""),40527.99861111111)</f>
        <v>40527.99861</v>
      </c>
      <c r="B248" s="1">
        <f>IFERROR(__xludf.DUMMYFUNCTION("""COMPUTED_VALUE"""),1353.728398)</f>
        <v>1353.728398</v>
      </c>
    </row>
    <row r="249">
      <c r="A249" s="3">
        <f>IFERROR(__xludf.DUMMYFUNCTION("""COMPUTED_VALUE"""),40528.99861111111)</f>
        <v>40528.99861</v>
      </c>
      <c r="B249" s="1">
        <f>IFERROR(__xludf.DUMMYFUNCTION("""COMPUTED_VALUE"""),1338.82302)</f>
        <v>1338.82302</v>
      </c>
    </row>
    <row r="250">
      <c r="A250" s="3">
        <f>IFERROR(__xludf.DUMMYFUNCTION("""COMPUTED_VALUE"""),40529.99861111111)</f>
        <v>40529.99861</v>
      </c>
      <c r="B250" s="1">
        <f>IFERROR(__xludf.DUMMYFUNCTION("""COMPUTED_VALUE"""),1355.348189)</f>
        <v>1355.348189</v>
      </c>
    </row>
    <row r="251">
      <c r="A251" s="3">
        <f>IFERROR(__xludf.DUMMYFUNCTION("""COMPUTED_VALUE"""),40532.99861111111)</f>
        <v>40532.99861</v>
      </c>
      <c r="B251" s="1">
        <f>IFERROR(__xludf.DUMMYFUNCTION("""COMPUTED_VALUE"""),1337.78337)</f>
        <v>1337.78337</v>
      </c>
    </row>
    <row r="252">
      <c r="A252" s="3">
        <f>IFERROR(__xludf.DUMMYFUNCTION("""COMPUTED_VALUE"""),40533.99861111111)</f>
        <v>40533.99861</v>
      </c>
      <c r="B252" s="1">
        <f>IFERROR(__xludf.DUMMYFUNCTION("""COMPUTED_VALUE"""),1355.930822)</f>
        <v>1355.930822</v>
      </c>
    </row>
    <row r="253">
      <c r="A253" s="3">
        <f>IFERROR(__xludf.DUMMYFUNCTION("""COMPUTED_VALUE"""),40534.99861111111)</f>
        <v>40534.99861</v>
      </c>
      <c r="B253" s="1">
        <f>IFERROR(__xludf.DUMMYFUNCTION("""COMPUTED_VALUE"""),1358.409984)</f>
        <v>1358.409984</v>
      </c>
    </row>
    <row r="254">
      <c r="A254" s="3">
        <f>IFERROR(__xludf.DUMMYFUNCTION("""COMPUTED_VALUE"""),40535.99861111111)</f>
        <v>40535.99861</v>
      </c>
      <c r="B254" s="1">
        <f>IFERROR(__xludf.DUMMYFUNCTION("""COMPUTED_VALUE"""),1357.733169)</f>
        <v>1357.733169</v>
      </c>
    </row>
    <row r="255">
      <c r="A255" s="3">
        <f>IFERROR(__xludf.DUMMYFUNCTION("""COMPUTED_VALUE"""),40536.99861111111)</f>
        <v>40536.99861</v>
      </c>
      <c r="B255" s="1">
        <f>IFERROR(__xludf.DUMMYFUNCTION("""COMPUTED_VALUE"""),1356.69672)</f>
        <v>1356.69672</v>
      </c>
    </row>
    <row r="256">
      <c r="A256" s="3">
        <f>IFERROR(__xludf.DUMMYFUNCTION("""COMPUTED_VALUE"""),40539.99861111111)</f>
        <v>40539.99861</v>
      </c>
      <c r="B256" s="1">
        <f>IFERROR(__xludf.DUMMYFUNCTION("""COMPUTED_VALUE"""),1345.76645)</f>
        <v>1345.76645</v>
      </c>
    </row>
    <row r="257">
      <c r="A257" s="3">
        <f>IFERROR(__xludf.DUMMYFUNCTION("""COMPUTED_VALUE"""),40540.99861111111)</f>
        <v>40540.99861</v>
      </c>
      <c r="B257" s="1">
        <f>IFERROR(__xludf.DUMMYFUNCTION("""COMPUTED_VALUE"""),1358.83954)</f>
        <v>1358.83954</v>
      </c>
    </row>
    <row r="258">
      <c r="A258" s="3">
        <f>IFERROR(__xludf.DUMMYFUNCTION("""COMPUTED_VALUE"""),40541.99861111111)</f>
        <v>40541.99861</v>
      </c>
      <c r="B258" s="1">
        <f>IFERROR(__xludf.DUMMYFUNCTION("""COMPUTED_VALUE"""),1357.148616)</f>
        <v>1357.148616</v>
      </c>
    </row>
    <row r="259">
      <c r="A259" s="3">
        <f>IFERROR(__xludf.DUMMYFUNCTION("""COMPUTED_VALUE"""),40542.99861111111)</f>
        <v>40542.99861</v>
      </c>
      <c r="B259" s="1">
        <f>IFERROR(__xludf.DUMMYFUNCTION("""COMPUTED_VALUE"""),1344.0075)</f>
        <v>1344.0075</v>
      </c>
    </row>
    <row r="260">
      <c r="A260" s="3">
        <f>IFERROR(__xludf.DUMMYFUNCTION("""COMPUTED_VALUE"""),40546.99861111111)</f>
        <v>40546.99861</v>
      </c>
      <c r="B260" s="1">
        <f>IFERROR(__xludf.DUMMYFUNCTION("""COMPUTED_VALUE"""),1362.157224)</f>
        <v>1362.157224</v>
      </c>
    </row>
    <row r="261">
      <c r="A261" s="3">
        <f>IFERROR(__xludf.DUMMYFUNCTION("""COMPUTED_VALUE"""),40547.99861111111)</f>
        <v>40547.99861</v>
      </c>
      <c r="B261" s="1">
        <f>IFERROR(__xludf.DUMMYFUNCTION("""COMPUTED_VALUE"""),1342.94118)</f>
        <v>1342.94118</v>
      </c>
    </row>
    <row r="262">
      <c r="A262" s="3">
        <f>IFERROR(__xludf.DUMMYFUNCTION("""COMPUTED_VALUE"""),40548.99861111111)</f>
        <v>40548.99861</v>
      </c>
      <c r="B262" s="1">
        <f>IFERROR(__xludf.DUMMYFUNCTION("""COMPUTED_VALUE"""),1361.697301)</f>
        <v>1361.697301</v>
      </c>
    </row>
    <row r="263">
      <c r="A263" s="3">
        <f>IFERROR(__xludf.DUMMYFUNCTION("""COMPUTED_VALUE"""),40549.99861111111)</f>
        <v>40549.99861</v>
      </c>
      <c r="B263" s="1">
        <f>IFERROR(__xludf.DUMMYFUNCTION("""COMPUTED_VALUE"""),1358.500744)</f>
        <v>1358.500744</v>
      </c>
    </row>
    <row r="264">
      <c r="A264" s="3">
        <f>IFERROR(__xludf.DUMMYFUNCTION("""COMPUTED_VALUE"""),40550.99861111111)</f>
        <v>40550.99861</v>
      </c>
      <c r="B264" s="1">
        <f>IFERROR(__xludf.DUMMYFUNCTION("""COMPUTED_VALUE"""),1341.92862)</f>
        <v>1341.92862</v>
      </c>
    </row>
    <row r="265">
      <c r="A265" s="3">
        <f>IFERROR(__xludf.DUMMYFUNCTION("""COMPUTED_VALUE"""),40553.99861111111)</f>
        <v>40553.99861</v>
      </c>
      <c r="B265" s="1">
        <f>IFERROR(__xludf.DUMMYFUNCTION("""COMPUTED_VALUE"""),1361.896446)</f>
        <v>1361.896446</v>
      </c>
    </row>
    <row r="266">
      <c r="A266" s="3">
        <f>IFERROR(__xludf.DUMMYFUNCTION("""COMPUTED_VALUE"""),40554.99861111111)</f>
        <v>40554.99861</v>
      </c>
      <c r="B266" s="1">
        <f>IFERROR(__xludf.DUMMYFUNCTION("""COMPUTED_VALUE"""),1347.771631)</f>
        <v>1347.771631</v>
      </c>
    </row>
    <row r="267">
      <c r="A267" s="3">
        <f>IFERROR(__xludf.DUMMYFUNCTION("""COMPUTED_VALUE"""),40555.99861111111)</f>
        <v>40555.99861</v>
      </c>
      <c r="B267" s="1">
        <f>IFERROR(__xludf.DUMMYFUNCTION("""COMPUTED_VALUE"""),1366.7576)</f>
        <v>1366.7576</v>
      </c>
    </row>
    <row r="268">
      <c r="A268" s="3">
        <f>IFERROR(__xludf.DUMMYFUNCTION("""COMPUTED_VALUE"""),40556.99861111111)</f>
        <v>40556.99861</v>
      </c>
      <c r="B268" s="1">
        <f>IFERROR(__xludf.DUMMYFUNCTION("""COMPUTED_VALUE"""),1367.990442)</f>
        <v>1367.990442</v>
      </c>
    </row>
    <row r="269">
      <c r="A269" s="3">
        <f>IFERROR(__xludf.DUMMYFUNCTION("""COMPUTED_VALUE"""),40557.99861111111)</f>
        <v>40557.99861</v>
      </c>
      <c r="B269" s="1">
        <f>IFERROR(__xludf.DUMMYFUNCTION("""COMPUTED_VALUE"""),1371.641983)</f>
        <v>1371.641983</v>
      </c>
    </row>
    <row r="270">
      <c r="A270" s="3">
        <f>IFERROR(__xludf.DUMMYFUNCTION("""COMPUTED_VALUE"""),40560.99861111111)</f>
        <v>40560.99861</v>
      </c>
      <c r="B270" s="1">
        <f>IFERROR(__xludf.DUMMYFUNCTION("""COMPUTED_VALUE"""),1372.0464)</f>
        <v>1372.0464</v>
      </c>
    </row>
    <row r="271">
      <c r="A271" s="3">
        <f>IFERROR(__xludf.DUMMYFUNCTION("""COMPUTED_VALUE"""),40561.99861111111)</f>
        <v>40561.99861</v>
      </c>
      <c r="B271" s="1">
        <f>IFERROR(__xludf.DUMMYFUNCTION("""COMPUTED_VALUE"""),1372.940978)</f>
        <v>1372.940978</v>
      </c>
    </row>
    <row r="272">
      <c r="A272" s="3">
        <f>IFERROR(__xludf.DUMMYFUNCTION("""COMPUTED_VALUE"""),40562.99861111111)</f>
        <v>40562.99861</v>
      </c>
      <c r="B272" s="1">
        <f>IFERROR(__xludf.DUMMYFUNCTION("""COMPUTED_VALUE"""),1357.23264)</f>
        <v>1357.23264</v>
      </c>
    </row>
    <row r="273">
      <c r="A273" s="3">
        <f>IFERROR(__xludf.DUMMYFUNCTION("""COMPUTED_VALUE"""),40563.99861111111)</f>
        <v>40563.99861</v>
      </c>
      <c r="B273" s="1">
        <f>IFERROR(__xludf.DUMMYFUNCTION("""COMPUTED_VALUE"""),1350.848808)</f>
        <v>1350.848808</v>
      </c>
    </row>
    <row r="274">
      <c r="A274" s="3">
        <f>IFERROR(__xludf.DUMMYFUNCTION("""COMPUTED_VALUE"""),40564.99861111111)</f>
        <v>40564.99861</v>
      </c>
      <c r="B274" s="1">
        <f>IFERROR(__xludf.DUMMYFUNCTION("""COMPUTED_VALUE"""),1338.77865)</f>
        <v>1338.77865</v>
      </c>
    </row>
    <row r="275">
      <c r="A275" s="3">
        <f>IFERROR(__xludf.DUMMYFUNCTION("""COMPUTED_VALUE"""),40567.99861111111)</f>
        <v>40567.99861</v>
      </c>
      <c r="B275" s="1">
        <f>IFERROR(__xludf.DUMMYFUNCTION("""COMPUTED_VALUE"""),1372.7945)</f>
        <v>1372.7945</v>
      </c>
    </row>
    <row r="276">
      <c r="A276" s="3">
        <f>IFERROR(__xludf.DUMMYFUNCTION("""COMPUTED_VALUE"""),40568.99861111111)</f>
        <v>40568.99861</v>
      </c>
      <c r="B276" s="1">
        <f>IFERROR(__xludf.DUMMYFUNCTION("""COMPUTED_VALUE"""),1370.7391)</f>
        <v>1370.7391</v>
      </c>
    </row>
    <row r="277">
      <c r="A277" s="3">
        <f>IFERROR(__xludf.DUMMYFUNCTION("""COMPUTED_VALUE"""),40569.99861111111)</f>
        <v>40569.99861</v>
      </c>
      <c r="B277" s="1">
        <f>IFERROR(__xludf.DUMMYFUNCTION("""COMPUTED_VALUE"""),1353.25502)</f>
        <v>1353.25502</v>
      </c>
    </row>
    <row r="278">
      <c r="A278" s="3">
        <f>IFERROR(__xludf.DUMMYFUNCTION("""COMPUTED_VALUE"""),40570.99861111111)</f>
        <v>40570.99861</v>
      </c>
      <c r="B278" s="1">
        <f>IFERROR(__xludf.DUMMYFUNCTION("""COMPUTED_VALUE"""),1369.388315)</f>
        <v>1369.388315</v>
      </c>
    </row>
    <row r="279">
      <c r="A279" s="3">
        <f>IFERROR(__xludf.DUMMYFUNCTION("""COMPUTED_VALUE"""),40571.99861111111)</f>
        <v>40571.99861</v>
      </c>
      <c r="B279" s="1">
        <f>IFERROR(__xludf.DUMMYFUNCTION("""COMPUTED_VALUE"""),1369.449735)</f>
        <v>1369.449735</v>
      </c>
    </row>
    <row r="280">
      <c r="A280" s="3">
        <f>IFERROR(__xludf.DUMMYFUNCTION("""COMPUTED_VALUE"""),40574.99861111111)</f>
        <v>40574.99861</v>
      </c>
      <c r="B280" s="1">
        <f>IFERROR(__xludf.DUMMYFUNCTION("""COMPUTED_VALUE"""),1354.27044)</f>
        <v>1354.27044</v>
      </c>
    </row>
    <row r="281">
      <c r="A281" s="3">
        <f>IFERROR(__xludf.DUMMYFUNCTION("""COMPUTED_VALUE"""),40575.99861111111)</f>
        <v>40575.99861</v>
      </c>
      <c r="B281" s="1">
        <f>IFERROR(__xludf.DUMMYFUNCTION("""COMPUTED_VALUE"""),1362.69)</f>
        <v>1362.69</v>
      </c>
    </row>
    <row r="282">
      <c r="A282" s="3">
        <f>IFERROR(__xludf.DUMMYFUNCTION("""COMPUTED_VALUE"""),40576.99861111111)</f>
        <v>40576.99861</v>
      </c>
      <c r="B282" s="1">
        <f>IFERROR(__xludf.DUMMYFUNCTION("""COMPUTED_VALUE"""),1373.349428)</f>
        <v>1373.349428</v>
      </c>
    </row>
    <row r="283">
      <c r="A283" s="3">
        <f>IFERROR(__xludf.DUMMYFUNCTION("""COMPUTED_VALUE"""),40577.99861111111)</f>
        <v>40577.99861</v>
      </c>
      <c r="B283" s="1">
        <f>IFERROR(__xludf.DUMMYFUNCTION("""COMPUTED_VALUE"""),1358.13304)</f>
        <v>1358.13304</v>
      </c>
    </row>
    <row r="284">
      <c r="A284" s="3">
        <f>IFERROR(__xludf.DUMMYFUNCTION("""COMPUTED_VALUE"""),40578.99861111111)</f>
        <v>40578.99861</v>
      </c>
      <c r="B284" s="1">
        <f>IFERROR(__xludf.DUMMYFUNCTION("""COMPUTED_VALUE"""),1369.010588)</f>
        <v>1369.010588</v>
      </c>
    </row>
    <row r="285">
      <c r="A285" s="3">
        <f>IFERROR(__xludf.DUMMYFUNCTION("""COMPUTED_VALUE"""),40581.99861111111)</f>
        <v>40581.99861</v>
      </c>
      <c r="B285" s="1">
        <f>IFERROR(__xludf.DUMMYFUNCTION("""COMPUTED_VALUE"""),1342.51074)</f>
        <v>1342.51074</v>
      </c>
    </row>
    <row r="286">
      <c r="A286" s="3">
        <f>IFERROR(__xludf.DUMMYFUNCTION("""COMPUTED_VALUE"""),40582.99861111111)</f>
        <v>40582.99861</v>
      </c>
      <c r="B286" s="1">
        <f>IFERROR(__xludf.DUMMYFUNCTION("""COMPUTED_VALUE"""),1355.737)</f>
        <v>1355.737</v>
      </c>
    </row>
    <row r="287">
      <c r="A287" s="3">
        <f>IFERROR(__xludf.DUMMYFUNCTION("""COMPUTED_VALUE"""),40583.99861111111)</f>
        <v>40583.99861</v>
      </c>
      <c r="B287" s="1">
        <f>IFERROR(__xludf.DUMMYFUNCTION("""COMPUTED_VALUE"""),1352.976724)</f>
        <v>1352.976724</v>
      </c>
    </row>
    <row r="288">
      <c r="A288" s="3">
        <f>IFERROR(__xludf.DUMMYFUNCTION("""COMPUTED_VALUE"""),40584.99861111111)</f>
        <v>40584.99861</v>
      </c>
      <c r="B288" s="1">
        <f>IFERROR(__xludf.DUMMYFUNCTION("""COMPUTED_VALUE"""),1353.387)</f>
        <v>1353.387</v>
      </c>
    </row>
    <row r="289">
      <c r="A289" s="3">
        <f>IFERROR(__xludf.DUMMYFUNCTION("""COMPUTED_VALUE"""),40585.99861111111)</f>
        <v>40585.99861</v>
      </c>
      <c r="B289" s="1">
        <f>IFERROR(__xludf.DUMMYFUNCTION("""COMPUTED_VALUE"""),1352.952384)</f>
        <v>1352.952384</v>
      </c>
    </row>
    <row r="290">
      <c r="A290" s="3">
        <f>IFERROR(__xludf.DUMMYFUNCTION("""COMPUTED_VALUE"""),40588.99861111111)</f>
        <v>40588.99861</v>
      </c>
      <c r="B290" s="1">
        <f>IFERROR(__xludf.DUMMYFUNCTION("""COMPUTED_VALUE"""),1349.558585)</f>
        <v>1349.558585</v>
      </c>
    </row>
    <row r="291">
      <c r="A291" s="3">
        <f>IFERROR(__xludf.DUMMYFUNCTION("""COMPUTED_VALUE"""),40589.99861111111)</f>
        <v>40589.99861</v>
      </c>
      <c r="B291" s="1">
        <f>IFERROR(__xludf.DUMMYFUNCTION("""COMPUTED_VALUE"""),1335.2962)</f>
        <v>1335.2962</v>
      </c>
    </row>
    <row r="292">
      <c r="A292" s="3">
        <f>IFERROR(__xludf.DUMMYFUNCTION("""COMPUTED_VALUE"""),40590.99861111111)</f>
        <v>40590.99861</v>
      </c>
      <c r="B292" s="1">
        <f>IFERROR(__xludf.DUMMYFUNCTION("""COMPUTED_VALUE"""),1348.029672)</f>
        <v>1348.029672</v>
      </c>
    </row>
    <row r="293">
      <c r="A293" s="3">
        <f>IFERROR(__xludf.DUMMYFUNCTION("""COMPUTED_VALUE"""),40591.99861111111)</f>
        <v>40591.99861</v>
      </c>
      <c r="B293" s="1">
        <f>IFERROR(__xludf.DUMMYFUNCTION("""COMPUTED_VALUE"""),1331.5748)</f>
        <v>1331.5748</v>
      </c>
    </row>
    <row r="294">
      <c r="A294" s="3">
        <f>IFERROR(__xludf.DUMMYFUNCTION("""COMPUTED_VALUE"""),40592.99861111111)</f>
        <v>40592.99861</v>
      </c>
      <c r="B294" s="1">
        <f>IFERROR(__xludf.DUMMYFUNCTION("""COMPUTED_VALUE"""),1345.003782)</f>
        <v>1345.003782</v>
      </c>
    </row>
    <row r="295">
      <c r="A295" s="3">
        <f>IFERROR(__xludf.DUMMYFUNCTION("""COMPUTED_VALUE"""),40595.99861111111)</f>
        <v>40595.99861</v>
      </c>
      <c r="B295" s="1">
        <f>IFERROR(__xludf.DUMMYFUNCTION("""COMPUTED_VALUE"""),1329.825)</f>
        <v>1329.825</v>
      </c>
    </row>
    <row r="296">
      <c r="A296" s="3">
        <f>IFERROR(__xludf.DUMMYFUNCTION("""COMPUTED_VALUE"""),40596.99861111111)</f>
        <v>40596.99861</v>
      </c>
      <c r="B296" s="1">
        <f>IFERROR(__xludf.DUMMYFUNCTION("""COMPUTED_VALUE"""),1347.178816)</f>
        <v>1347.178816</v>
      </c>
    </row>
    <row r="297">
      <c r="A297" s="3">
        <f>IFERROR(__xludf.DUMMYFUNCTION("""COMPUTED_VALUE"""),40597.99861111111)</f>
        <v>40597.99861</v>
      </c>
      <c r="B297" s="1">
        <f>IFERROR(__xludf.DUMMYFUNCTION("""COMPUTED_VALUE"""),1347.12448)</f>
        <v>1347.12448</v>
      </c>
    </row>
    <row r="298">
      <c r="A298" s="3">
        <f>IFERROR(__xludf.DUMMYFUNCTION("""COMPUTED_VALUE"""),40598.99861111111)</f>
        <v>40598.99861</v>
      </c>
      <c r="B298" s="1">
        <f>IFERROR(__xludf.DUMMYFUNCTION("""COMPUTED_VALUE"""),1346.32755)</f>
        <v>1346.32755</v>
      </c>
    </row>
    <row r="299">
      <c r="A299" s="3">
        <f>IFERROR(__xludf.DUMMYFUNCTION("""COMPUTED_VALUE"""),40599.99861111111)</f>
        <v>40599.99861</v>
      </c>
      <c r="B299" s="1">
        <f>IFERROR(__xludf.DUMMYFUNCTION("""COMPUTED_VALUE"""),1343.104669)</f>
        <v>1343.104669</v>
      </c>
    </row>
    <row r="300">
      <c r="A300" s="3">
        <f>IFERROR(__xludf.DUMMYFUNCTION("""COMPUTED_VALUE"""),40602.99861111111)</f>
        <v>40602.99861</v>
      </c>
      <c r="B300" s="1">
        <f>IFERROR(__xludf.DUMMYFUNCTION("""COMPUTED_VALUE"""),1340.772185)</f>
        <v>1340.772185</v>
      </c>
    </row>
    <row r="301">
      <c r="A301" s="3">
        <f>IFERROR(__xludf.DUMMYFUNCTION("""COMPUTED_VALUE"""),40603.99861111111)</f>
        <v>40603.99861</v>
      </c>
      <c r="B301" s="1">
        <f>IFERROR(__xludf.DUMMYFUNCTION("""COMPUTED_VALUE"""),1336.8561)</f>
        <v>1336.8561</v>
      </c>
    </row>
    <row r="302">
      <c r="A302" s="3">
        <f>IFERROR(__xludf.DUMMYFUNCTION("""COMPUTED_VALUE"""),40604.99861111111)</f>
        <v>40604.99861</v>
      </c>
      <c r="B302" s="1">
        <f>IFERROR(__xludf.DUMMYFUNCTION("""COMPUTED_VALUE"""),1338.699279)</f>
        <v>1338.699279</v>
      </c>
    </row>
    <row r="303">
      <c r="A303" s="3">
        <f>IFERROR(__xludf.DUMMYFUNCTION("""COMPUTED_VALUE"""),40605.99861111111)</f>
        <v>40605.99861</v>
      </c>
      <c r="B303" s="1">
        <f>IFERROR(__xludf.DUMMYFUNCTION("""COMPUTED_VALUE"""),1337.723964)</f>
        <v>1337.723964</v>
      </c>
    </row>
    <row r="304">
      <c r="A304" s="3">
        <f>IFERROR(__xludf.DUMMYFUNCTION("""COMPUTED_VALUE"""),40606.99861111111)</f>
        <v>40606.99861</v>
      </c>
      <c r="B304" s="1">
        <f>IFERROR(__xludf.DUMMYFUNCTION("""COMPUTED_VALUE"""),1331.9608)</f>
        <v>1331.9608</v>
      </c>
    </row>
    <row r="305">
      <c r="A305" s="3">
        <f>IFERROR(__xludf.DUMMYFUNCTION("""COMPUTED_VALUE"""),40609.99861111111)</f>
        <v>40609.99861</v>
      </c>
      <c r="B305" s="1">
        <f>IFERROR(__xludf.DUMMYFUNCTION("""COMPUTED_VALUE"""),1338.012325)</f>
        <v>1338.012325</v>
      </c>
    </row>
    <row r="306">
      <c r="A306" s="3">
        <f>IFERROR(__xludf.DUMMYFUNCTION("""COMPUTED_VALUE"""),40610.99861111111)</f>
        <v>40610.99861</v>
      </c>
      <c r="B306" s="1">
        <f>IFERROR(__xludf.DUMMYFUNCTION("""COMPUTED_VALUE"""),1335.82344)</f>
        <v>1335.82344</v>
      </c>
    </row>
    <row r="307">
      <c r="A307" s="3">
        <f>IFERROR(__xludf.DUMMYFUNCTION("""COMPUTED_VALUE"""),40611.99861111111)</f>
        <v>40611.99861</v>
      </c>
      <c r="B307" s="1">
        <f>IFERROR(__xludf.DUMMYFUNCTION("""COMPUTED_VALUE"""),1333.272)</f>
        <v>1333.272</v>
      </c>
    </row>
    <row r="308">
      <c r="A308" s="3">
        <f>IFERROR(__xludf.DUMMYFUNCTION("""COMPUTED_VALUE"""),40612.99861111111)</f>
        <v>40612.99861</v>
      </c>
      <c r="B308" s="1">
        <f>IFERROR(__xludf.DUMMYFUNCTION("""COMPUTED_VALUE"""),1334.206055)</f>
        <v>1334.206055</v>
      </c>
    </row>
    <row r="309">
      <c r="A309" s="3">
        <f>IFERROR(__xludf.DUMMYFUNCTION("""COMPUTED_VALUE"""),40613.99861111111)</f>
        <v>40613.99861</v>
      </c>
      <c r="B309" s="1">
        <f>IFERROR(__xludf.DUMMYFUNCTION("""COMPUTED_VALUE"""),1332.779857)</f>
        <v>1332.779857</v>
      </c>
    </row>
    <row r="310">
      <c r="A310" s="3">
        <f>IFERROR(__xludf.DUMMYFUNCTION("""COMPUTED_VALUE"""),40616.99861111111)</f>
        <v>40616.99861</v>
      </c>
      <c r="B310" s="1">
        <f>IFERROR(__xludf.DUMMYFUNCTION("""COMPUTED_VALUE"""),1331.629526)</f>
        <v>1331.629526</v>
      </c>
    </row>
    <row r="311">
      <c r="A311" s="3">
        <f>IFERROR(__xludf.DUMMYFUNCTION("""COMPUTED_VALUE"""),40617.99861111111)</f>
        <v>40617.99861</v>
      </c>
      <c r="B311" s="1">
        <f>IFERROR(__xludf.DUMMYFUNCTION("""COMPUTED_VALUE"""),1333.098)</f>
        <v>1333.098</v>
      </c>
    </row>
    <row r="312">
      <c r="A312" s="3">
        <f>IFERROR(__xludf.DUMMYFUNCTION("""COMPUTED_VALUE"""),40618.99861111111)</f>
        <v>40618.99861</v>
      </c>
      <c r="B312" s="1">
        <f>IFERROR(__xludf.DUMMYFUNCTION("""COMPUTED_VALUE"""),1331.07037)</f>
        <v>1331.07037</v>
      </c>
    </row>
    <row r="313">
      <c r="A313" s="3">
        <f>IFERROR(__xludf.DUMMYFUNCTION("""COMPUTED_VALUE"""),40619.99861111111)</f>
        <v>40619.99861</v>
      </c>
      <c r="B313" s="1">
        <f>IFERROR(__xludf.DUMMYFUNCTION("""COMPUTED_VALUE"""),1331.3737)</f>
        <v>1331.3737</v>
      </c>
    </row>
    <row r="314">
      <c r="A314" s="3">
        <f>IFERROR(__xludf.DUMMYFUNCTION("""COMPUTED_VALUE"""),40620.99861111111)</f>
        <v>40620.99861</v>
      </c>
      <c r="B314" s="1">
        <f>IFERROR(__xludf.DUMMYFUNCTION("""COMPUTED_VALUE"""),1329.15255)</f>
        <v>1329.15255</v>
      </c>
    </row>
    <row r="315">
      <c r="A315" s="3">
        <f>IFERROR(__xludf.DUMMYFUNCTION("""COMPUTED_VALUE"""),40623.99861111111)</f>
        <v>40623.99861</v>
      </c>
      <c r="B315" s="1">
        <f>IFERROR(__xludf.DUMMYFUNCTION("""COMPUTED_VALUE"""),1326.2248)</f>
        <v>1326.2248</v>
      </c>
    </row>
    <row r="316">
      <c r="A316" s="3">
        <f>IFERROR(__xludf.DUMMYFUNCTION("""COMPUTED_VALUE"""),40624.99861111111)</f>
        <v>40624.99861</v>
      </c>
      <c r="B316" s="1">
        <f>IFERROR(__xludf.DUMMYFUNCTION("""COMPUTED_VALUE"""),1328.90598)</f>
        <v>1328.90598</v>
      </c>
    </row>
    <row r="317">
      <c r="A317" s="3">
        <f>IFERROR(__xludf.DUMMYFUNCTION("""COMPUTED_VALUE"""),40625.99861111111)</f>
        <v>40625.99861</v>
      </c>
      <c r="B317" s="1">
        <f>IFERROR(__xludf.DUMMYFUNCTION("""COMPUTED_VALUE"""),1327.840762)</f>
        <v>1327.840762</v>
      </c>
    </row>
    <row r="318">
      <c r="A318" s="3">
        <f>IFERROR(__xludf.DUMMYFUNCTION("""COMPUTED_VALUE"""),40626.99861111111)</f>
        <v>40626.99861</v>
      </c>
      <c r="B318" s="1">
        <f>IFERROR(__xludf.DUMMYFUNCTION("""COMPUTED_VALUE"""),1325.662)</f>
        <v>1325.662</v>
      </c>
    </row>
    <row r="319">
      <c r="A319" s="3">
        <f>IFERROR(__xludf.DUMMYFUNCTION("""COMPUTED_VALUE"""),40627.99861111111)</f>
        <v>40627.99861</v>
      </c>
      <c r="B319" s="1">
        <f>IFERROR(__xludf.DUMMYFUNCTION("""COMPUTED_VALUE"""),1325.018492)</f>
        <v>1325.018492</v>
      </c>
    </row>
    <row r="320">
      <c r="A320" s="3">
        <f>IFERROR(__xludf.DUMMYFUNCTION("""COMPUTED_VALUE"""),40630.99861111111)</f>
        <v>40630.99861</v>
      </c>
      <c r="B320" s="1">
        <f>IFERROR(__xludf.DUMMYFUNCTION("""COMPUTED_VALUE"""),1326.03822)</f>
        <v>1326.03822</v>
      </c>
    </row>
    <row r="321">
      <c r="A321" s="3">
        <f>IFERROR(__xludf.DUMMYFUNCTION("""COMPUTED_VALUE"""),40631.99861111111)</f>
        <v>40631.99861</v>
      </c>
      <c r="B321" s="1">
        <f>IFERROR(__xludf.DUMMYFUNCTION("""COMPUTED_VALUE"""),1321.929246)</f>
        <v>1321.929246</v>
      </c>
    </row>
    <row r="322">
      <c r="A322" s="3">
        <f>IFERROR(__xludf.DUMMYFUNCTION("""COMPUTED_VALUE"""),40632.99861111111)</f>
        <v>40632.99861</v>
      </c>
      <c r="B322" s="1">
        <f>IFERROR(__xludf.DUMMYFUNCTION("""COMPUTED_VALUE"""),1324.442328)</f>
        <v>1324.442328</v>
      </c>
    </row>
    <row r="323">
      <c r="A323" s="3">
        <f>IFERROR(__xludf.DUMMYFUNCTION("""COMPUTED_VALUE"""),40633.99861111111)</f>
        <v>40633.99861</v>
      </c>
      <c r="B323" s="1">
        <f>IFERROR(__xludf.DUMMYFUNCTION("""COMPUTED_VALUE"""),1330.057276)</f>
        <v>1330.057276</v>
      </c>
    </row>
    <row r="324">
      <c r="A324" s="3">
        <f>IFERROR(__xludf.DUMMYFUNCTION("""COMPUTED_VALUE"""),40634.99861111111)</f>
        <v>40634.99861</v>
      </c>
      <c r="B324" s="1">
        <f>IFERROR(__xludf.DUMMYFUNCTION("""COMPUTED_VALUE"""),1321.020162)</f>
        <v>1321.020162</v>
      </c>
    </row>
    <row r="325">
      <c r="A325" s="3">
        <f>IFERROR(__xludf.DUMMYFUNCTION("""COMPUTED_VALUE"""),40636.99861111111)</f>
        <v>40636.99861</v>
      </c>
      <c r="B325" s="1">
        <f>IFERROR(__xludf.DUMMYFUNCTION("""COMPUTED_VALUE"""),1321.44705)</f>
        <v>1321.44705</v>
      </c>
    </row>
    <row r="326">
      <c r="A326" s="3">
        <f>IFERROR(__xludf.DUMMYFUNCTION("""COMPUTED_VALUE"""),40637.99861111111)</f>
        <v>40637.99861</v>
      </c>
      <c r="B326" s="1">
        <f>IFERROR(__xludf.DUMMYFUNCTION("""COMPUTED_VALUE"""),1319.969553)</f>
        <v>1319.969553</v>
      </c>
    </row>
    <row r="327">
      <c r="A327" s="3">
        <f>IFERROR(__xludf.DUMMYFUNCTION("""COMPUTED_VALUE"""),40638.99861111111)</f>
        <v>40638.99861</v>
      </c>
      <c r="B327" s="1">
        <f>IFERROR(__xludf.DUMMYFUNCTION("""COMPUTED_VALUE"""),1321.012778)</f>
        <v>1321.012778</v>
      </c>
    </row>
    <row r="328">
      <c r="A328" s="3">
        <f>IFERROR(__xludf.DUMMYFUNCTION("""COMPUTED_VALUE"""),40639.99861111111)</f>
        <v>40639.99861</v>
      </c>
      <c r="B328" s="1">
        <f>IFERROR(__xludf.DUMMYFUNCTION("""COMPUTED_VALUE"""),1317.503234)</f>
        <v>1317.503234</v>
      </c>
    </row>
    <row r="329">
      <c r="A329" s="3">
        <f>IFERROR(__xludf.DUMMYFUNCTION("""COMPUTED_VALUE"""),40640.99861111111)</f>
        <v>40640.99861</v>
      </c>
      <c r="B329" s="1">
        <f>IFERROR(__xludf.DUMMYFUNCTION("""COMPUTED_VALUE"""),1318.677767)</f>
        <v>1318.677767</v>
      </c>
    </row>
    <row r="330">
      <c r="A330" s="3">
        <f>IFERROR(__xludf.DUMMYFUNCTION("""COMPUTED_VALUE"""),40641.99861111111)</f>
        <v>40641.99861</v>
      </c>
      <c r="B330" s="1">
        <f>IFERROR(__xludf.DUMMYFUNCTION("""COMPUTED_VALUE"""),1315.141392)</f>
        <v>1315.141392</v>
      </c>
    </row>
    <row r="331">
      <c r="A331" s="3">
        <f>IFERROR(__xludf.DUMMYFUNCTION("""COMPUTED_VALUE"""),40642.99861111111)</f>
        <v>40642.99861</v>
      </c>
      <c r="B331" s="1">
        <f>IFERROR(__xludf.DUMMYFUNCTION("""COMPUTED_VALUE"""),1318.609044)</f>
        <v>1318.609044</v>
      </c>
    </row>
    <row r="332">
      <c r="A332" s="3">
        <f>IFERROR(__xludf.DUMMYFUNCTION("""COMPUTED_VALUE"""),40644.99861111111)</f>
        <v>40644.99861</v>
      </c>
      <c r="B332" s="1">
        <f>IFERROR(__xludf.DUMMYFUNCTION("""COMPUTED_VALUE"""),1321.954515)</f>
        <v>1321.954515</v>
      </c>
    </row>
    <row r="333">
      <c r="A333" s="3">
        <f>IFERROR(__xludf.DUMMYFUNCTION("""COMPUTED_VALUE"""),40645.99861111111)</f>
        <v>40645.99861</v>
      </c>
      <c r="B333" s="1">
        <f>IFERROR(__xludf.DUMMYFUNCTION("""COMPUTED_VALUE"""),1315.136395)</f>
        <v>1315.136395</v>
      </c>
    </row>
    <row r="334">
      <c r="A334" s="3">
        <f>IFERROR(__xludf.DUMMYFUNCTION("""COMPUTED_VALUE"""),40646.99861111111)</f>
        <v>40646.99861</v>
      </c>
      <c r="B334" s="1">
        <f>IFERROR(__xludf.DUMMYFUNCTION("""COMPUTED_VALUE"""),1324.72017)</f>
        <v>1324.72017</v>
      </c>
    </row>
    <row r="335">
      <c r="A335" s="3">
        <f>IFERROR(__xludf.DUMMYFUNCTION("""COMPUTED_VALUE"""),40647.99861111111)</f>
        <v>40647.99861</v>
      </c>
      <c r="B335" s="1">
        <f>IFERROR(__xludf.DUMMYFUNCTION("""COMPUTED_VALUE"""),1322.192196)</f>
        <v>1322.192196</v>
      </c>
    </row>
    <row r="336">
      <c r="A336" s="3">
        <f>IFERROR(__xludf.DUMMYFUNCTION("""COMPUTED_VALUE"""),40648.99861111111)</f>
        <v>40648.99861</v>
      </c>
      <c r="B336" s="1">
        <f>IFERROR(__xludf.DUMMYFUNCTION("""COMPUTED_VALUE"""),1325.55126)</f>
        <v>1325.55126</v>
      </c>
    </row>
    <row r="337">
      <c r="A337" s="3">
        <f>IFERROR(__xludf.DUMMYFUNCTION("""COMPUTED_VALUE"""),40650.99861111111)</f>
        <v>40650.99861</v>
      </c>
      <c r="B337" s="1">
        <f>IFERROR(__xludf.DUMMYFUNCTION("""COMPUTED_VALUE"""),1320.84194)</f>
        <v>1320.84194</v>
      </c>
    </row>
    <row r="338">
      <c r="A338" s="3">
        <f>IFERROR(__xludf.DUMMYFUNCTION("""COMPUTED_VALUE"""),40651.99861111111)</f>
        <v>40651.99861</v>
      </c>
      <c r="B338" s="1">
        <f>IFERROR(__xludf.DUMMYFUNCTION("""COMPUTED_VALUE"""),1323.869131)</f>
        <v>1323.869131</v>
      </c>
    </row>
    <row r="339">
      <c r="A339" s="3">
        <f>IFERROR(__xludf.DUMMYFUNCTION("""COMPUTED_VALUE"""),40652.99861111111)</f>
        <v>40652.99861</v>
      </c>
      <c r="B339" s="1">
        <f>IFERROR(__xludf.DUMMYFUNCTION("""COMPUTED_VALUE"""),1324.81209)</f>
        <v>1324.81209</v>
      </c>
    </row>
    <row r="340">
      <c r="A340" s="3">
        <f>IFERROR(__xludf.DUMMYFUNCTION("""COMPUTED_VALUE"""),40653.99861111111)</f>
        <v>40653.99861</v>
      </c>
      <c r="B340" s="1">
        <f>IFERROR(__xludf.DUMMYFUNCTION("""COMPUTED_VALUE"""),1321.113472)</f>
        <v>1321.113472</v>
      </c>
    </row>
    <row r="341">
      <c r="A341" s="3">
        <f>IFERROR(__xludf.DUMMYFUNCTION("""COMPUTED_VALUE"""),40654.99861111111)</f>
        <v>40654.99861</v>
      </c>
      <c r="B341" s="1">
        <f>IFERROR(__xludf.DUMMYFUNCTION("""COMPUTED_VALUE"""),1328.446125)</f>
        <v>1328.446125</v>
      </c>
    </row>
    <row r="342">
      <c r="A342" s="3">
        <f>IFERROR(__xludf.DUMMYFUNCTION("""COMPUTED_VALUE"""),40657.99861111111)</f>
        <v>40657.99861</v>
      </c>
      <c r="B342" s="1">
        <f>IFERROR(__xludf.DUMMYFUNCTION("""COMPUTED_VALUE"""),1325.770875)</f>
        <v>1325.770875</v>
      </c>
    </row>
    <row r="343">
      <c r="A343" s="3">
        <f>IFERROR(__xludf.DUMMYFUNCTION("""COMPUTED_VALUE"""),40659.99861111111)</f>
        <v>40659.99861</v>
      </c>
      <c r="B343" s="1">
        <f>IFERROR(__xludf.DUMMYFUNCTION("""COMPUTED_VALUE"""),1317.93956)</f>
        <v>1317.93956</v>
      </c>
    </row>
    <row r="344">
      <c r="A344" s="3">
        <f>IFERROR(__xludf.DUMMYFUNCTION("""COMPUTED_VALUE"""),40660.99861111111)</f>
        <v>40660.99861</v>
      </c>
      <c r="B344" s="1">
        <f>IFERROR(__xludf.DUMMYFUNCTION("""COMPUTED_VALUE"""),1313.700774)</f>
        <v>1313.700774</v>
      </c>
    </row>
    <row r="345">
      <c r="A345" s="3">
        <f>IFERROR(__xludf.DUMMYFUNCTION("""COMPUTED_VALUE"""),40661.99861111111)</f>
        <v>40661.99861</v>
      </c>
      <c r="B345" s="1">
        <f>IFERROR(__xludf.DUMMYFUNCTION("""COMPUTED_VALUE"""),1315.46678)</f>
        <v>1315.46678</v>
      </c>
    </row>
    <row r="346">
      <c r="A346" s="3">
        <f>IFERROR(__xludf.DUMMYFUNCTION("""COMPUTED_VALUE"""),40662.99861111111)</f>
        <v>40662.99861</v>
      </c>
      <c r="B346" s="1">
        <f>IFERROR(__xludf.DUMMYFUNCTION("""COMPUTED_VALUE"""),1319.905194)</f>
        <v>1319.905194</v>
      </c>
    </row>
    <row r="347">
      <c r="A347" s="3">
        <f>IFERROR(__xludf.DUMMYFUNCTION("""COMPUTED_VALUE"""),40663.99861111111)</f>
        <v>40663.99861</v>
      </c>
      <c r="B347" s="1">
        <f>IFERROR(__xludf.DUMMYFUNCTION("""COMPUTED_VALUE"""),1315.460025)</f>
        <v>1315.460025</v>
      </c>
    </row>
    <row r="348">
      <c r="A348" s="3">
        <f>IFERROR(__xludf.DUMMYFUNCTION("""COMPUTED_VALUE"""),40665.99861111111)</f>
        <v>40665.99861</v>
      </c>
      <c r="B348" s="1">
        <f>IFERROR(__xludf.DUMMYFUNCTION("""COMPUTED_VALUE"""),1318.798056)</f>
        <v>1318.798056</v>
      </c>
    </row>
    <row r="349">
      <c r="A349" s="3">
        <f>IFERROR(__xludf.DUMMYFUNCTION("""COMPUTED_VALUE"""),40666.99861111111)</f>
        <v>40666.99861</v>
      </c>
      <c r="B349" s="1">
        <f>IFERROR(__xludf.DUMMYFUNCTION("""COMPUTED_VALUE"""),1315.59515)</f>
        <v>1315.59515</v>
      </c>
    </row>
    <row r="350">
      <c r="A350" s="3">
        <f>IFERROR(__xludf.DUMMYFUNCTION("""COMPUTED_VALUE"""),40667.99861111111)</f>
        <v>40667.99861</v>
      </c>
      <c r="B350" s="1">
        <f>IFERROR(__xludf.DUMMYFUNCTION("""COMPUTED_VALUE"""),1311.86024)</f>
        <v>1311.86024</v>
      </c>
    </row>
    <row r="351">
      <c r="A351" s="3">
        <f>IFERROR(__xludf.DUMMYFUNCTION("""COMPUTED_VALUE"""),40668.99861111111)</f>
        <v>40668.99861</v>
      </c>
      <c r="B351" s="1">
        <f>IFERROR(__xludf.DUMMYFUNCTION("""COMPUTED_VALUE"""),1319.374875)</f>
        <v>1319.374875</v>
      </c>
    </row>
    <row r="352">
      <c r="A352" s="3">
        <f>IFERROR(__xludf.DUMMYFUNCTION("""COMPUTED_VALUE"""),40669.99861111111)</f>
        <v>40669.99861</v>
      </c>
      <c r="B352" s="1">
        <f>IFERROR(__xludf.DUMMYFUNCTION("""COMPUTED_VALUE"""),1338.389676)</f>
        <v>1338.389676</v>
      </c>
    </row>
    <row r="353">
      <c r="A353" s="3">
        <f>IFERROR(__xludf.DUMMYFUNCTION("""COMPUTED_VALUE"""),40670.99861111111)</f>
        <v>40670.99861</v>
      </c>
      <c r="B353" s="1">
        <f>IFERROR(__xludf.DUMMYFUNCTION("""COMPUTED_VALUE"""),1312.536134)</f>
        <v>1312.536134</v>
      </c>
    </row>
    <row r="354">
      <c r="A354" s="3">
        <f>IFERROR(__xludf.DUMMYFUNCTION("""COMPUTED_VALUE"""),40672.99861111111)</f>
        <v>40672.99861</v>
      </c>
      <c r="B354" s="1">
        <f>IFERROR(__xludf.DUMMYFUNCTION("""COMPUTED_VALUE"""),1312.21756)</f>
        <v>1312.21756</v>
      </c>
    </row>
    <row r="355">
      <c r="A355" s="3">
        <f>IFERROR(__xludf.DUMMYFUNCTION("""COMPUTED_VALUE"""),40673.99861111111)</f>
        <v>40673.99861</v>
      </c>
      <c r="B355" s="1">
        <f>IFERROR(__xludf.DUMMYFUNCTION("""COMPUTED_VALUE"""),1313.001672)</f>
        <v>1313.001672</v>
      </c>
    </row>
    <row r="356">
      <c r="A356" s="3">
        <f>IFERROR(__xludf.DUMMYFUNCTION("""COMPUTED_VALUE"""),40674.99861111111)</f>
        <v>40674.99861</v>
      </c>
      <c r="B356" s="1">
        <f>IFERROR(__xludf.DUMMYFUNCTION("""COMPUTED_VALUE"""),1322.164668)</f>
        <v>1322.164668</v>
      </c>
    </row>
    <row r="357">
      <c r="A357" s="3">
        <f>IFERROR(__xludf.DUMMYFUNCTION("""COMPUTED_VALUE"""),40675.99861111111)</f>
        <v>40675.99861</v>
      </c>
      <c r="B357" s="1">
        <f>IFERROR(__xludf.DUMMYFUNCTION("""COMPUTED_VALUE"""),1315.503)</f>
        <v>1315.503</v>
      </c>
    </row>
    <row r="358">
      <c r="A358" s="3">
        <f>IFERROR(__xludf.DUMMYFUNCTION("""COMPUTED_VALUE"""),40676.99861111111)</f>
        <v>40676.99861</v>
      </c>
      <c r="B358" s="1">
        <f>IFERROR(__xludf.DUMMYFUNCTION("""COMPUTED_VALUE"""),1324.165318)</f>
        <v>1324.165318</v>
      </c>
    </row>
    <row r="359">
      <c r="A359" s="3">
        <f>IFERROR(__xludf.DUMMYFUNCTION("""COMPUTED_VALUE"""),40678.99861111111)</f>
        <v>40678.99861</v>
      </c>
      <c r="B359" s="1">
        <f>IFERROR(__xludf.DUMMYFUNCTION("""COMPUTED_VALUE"""),1314.51057)</f>
        <v>1314.51057</v>
      </c>
    </row>
    <row r="360">
      <c r="A360" s="3">
        <f>IFERROR(__xludf.DUMMYFUNCTION("""COMPUTED_VALUE"""),40679.99861111111)</f>
        <v>40679.99861</v>
      </c>
      <c r="B360" s="1">
        <f>IFERROR(__xludf.DUMMYFUNCTION("""COMPUTED_VALUE"""),1319.878564)</f>
        <v>1319.878564</v>
      </c>
    </row>
    <row r="361">
      <c r="A361" s="3">
        <f>IFERROR(__xludf.DUMMYFUNCTION("""COMPUTED_VALUE"""),40680.99861111111)</f>
        <v>40680.99861</v>
      </c>
      <c r="B361" s="1">
        <f>IFERROR(__xludf.DUMMYFUNCTION("""COMPUTED_VALUE"""),1285.756313)</f>
        <v>1285.756313</v>
      </c>
    </row>
    <row r="362">
      <c r="A362" s="3">
        <f>IFERROR(__xludf.DUMMYFUNCTION("""COMPUTED_VALUE"""),40681.99861111111)</f>
        <v>40681.99861</v>
      </c>
      <c r="B362" s="1">
        <f>IFERROR(__xludf.DUMMYFUNCTION("""COMPUTED_VALUE"""),1312.934344)</f>
        <v>1312.934344</v>
      </c>
    </row>
    <row r="363">
      <c r="A363" s="3">
        <f>IFERROR(__xludf.DUMMYFUNCTION("""COMPUTED_VALUE"""),40682.99861111111)</f>
        <v>40682.99861</v>
      </c>
      <c r="B363" s="1">
        <f>IFERROR(__xludf.DUMMYFUNCTION("""COMPUTED_VALUE"""),1314.4424)</f>
        <v>1314.4424</v>
      </c>
    </row>
    <row r="364">
      <c r="A364" s="3">
        <f>IFERROR(__xludf.DUMMYFUNCTION("""COMPUTED_VALUE"""),40683.99861111111)</f>
        <v>40683.99861</v>
      </c>
      <c r="B364" s="1">
        <f>IFERROR(__xludf.DUMMYFUNCTION("""COMPUTED_VALUE"""),1315.3646)</f>
        <v>1315.3646</v>
      </c>
    </row>
    <row r="365">
      <c r="A365" s="3">
        <f>IFERROR(__xludf.DUMMYFUNCTION("""COMPUTED_VALUE"""),40684.99861111111)</f>
        <v>40684.99861</v>
      </c>
      <c r="B365" s="1">
        <f>IFERROR(__xludf.DUMMYFUNCTION("""COMPUTED_VALUE"""),1294.498125)</f>
        <v>1294.498125</v>
      </c>
    </row>
    <row r="366">
      <c r="A366" s="3">
        <f>IFERROR(__xludf.DUMMYFUNCTION("""COMPUTED_VALUE"""),40686.99861111111)</f>
        <v>40686.99861</v>
      </c>
      <c r="B366" s="1">
        <f>IFERROR(__xludf.DUMMYFUNCTION("""COMPUTED_VALUE"""),1321.82)</f>
        <v>1321.82</v>
      </c>
    </row>
    <row r="367">
      <c r="A367" s="3">
        <f>IFERROR(__xludf.DUMMYFUNCTION("""COMPUTED_VALUE"""),40687.99861111111)</f>
        <v>40687.99861</v>
      </c>
      <c r="B367" s="1">
        <f>IFERROR(__xludf.DUMMYFUNCTION("""COMPUTED_VALUE"""),1291.97146)</f>
        <v>1291.97146</v>
      </c>
    </row>
    <row r="368">
      <c r="A368" s="3">
        <f>IFERROR(__xludf.DUMMYFUNCTION("""COMPUTED_VALUE"""),40688.99861111111)</f>
        <v>40688.99861</v>
      </c>
      <c r="B368" s="1">
        <f>IFERROR(__xludf.DUMMYFUNCTION("""COMPUTED_VALUE"""),1321.957427)</f>
        <v>1321.957427</v>
      </c>
    </row>
    <row r="369">
      <c r="A369" s="3">
        <f>IFERROR(__xludf.DUMMYFUNCTION("""COMPUTED_VALUE"""),40689.99861111111)</f>
        <v>40689.99861</v>
      </c>
      <c r="B369" s="1">
        <f>IFERROR(__xludf.DUMMYFUNCTION("""COMPUTED_VALUE"""),1320.63575)</f>
        <v>1320.63575</v>
      </c>
    </row>
    <row r="370">
      <c r="A370" s="3">
        <f>IFERROR(__xludf.DUMMYFUNCTION("""COMPUTED_VALUE"""),40690.99861111111)</f>
        <v>40690.99861</v>
      </c>
      <c r="B370" s="1">
        <f>IFERROR(__xludf.DUMMYFUNCTION("""COMPUTED_VALUE"""),1318.1467)</f>
        <v>1318.1467</v>
      </c>
    </row>
    <row r="371">
      <c r="A371" s="3">
        <f>IFERROR(__xludf.DUMMYFUNCTION("""COMPUTED_VALUE"""),40691.99861111111)</f>
        <v>40691.99861</v>
      </c>
      <c r="B371" s="1">
        <f>IFERROR(__xludf.DUMMYFUNCTION("""COMPUTED_VALUE"""),1285.996728)</f>
        <v>1285.996728</v>
      </c>
    </row>
    <row r="372">
      <c r="A372" s="3">
        <f>IFERROR(__xludf.DUMMYFUNCTION("""COMPUTED_VALUE"""),40693.99861111111)</f>
        <v>40693.99861</v>
      </c>
      <c r="B372" s="1">
        <f>IFERROR(__xludf.DUMMYFUNCTION("""COMPUTED_VALUE"""),1315.759855)</f>
        <v>1315.759855</v>
      </c>
    </row>
    <row r="373">
      <c r="A373" s="3">
        <f>IFERROR(__xludf.DUMMYFUNCTION("""COMPUTED_VALUE"""),40694.99861111111)</f>
        <v>40694.99861</v>
      </c>
      <c r="B373" s="1">
        <f>IFERROR(__xludf.DUMMYFUNCTION("""COMPUTED_VALUE"""),1314.751221)</f>
        <v>1314.751221</v>
      </c>
    </row>
    <row r="374">
      <c r="A374" s="3">
        <f>IFERROR(__xludf.DUMMYFUNCTION("""COMPUTED_VALUE"""),40695.99861111111)</f>
        <v>40695.99861</v>
      </c>
      <c r="B374" s="1">
        <f>IFERROR(__xludf.DUMMYFUNCTION("""COMPUTED_VALUE"""),1317.8928)</f>
        <v>1317.8928</v>
      </c>
    </row>
    <row r="375">
      <c r="A375" s="3">
        <f>IFERROR(__xludf.DUMMYFUNCTION("""COMPUTED_VALUE"""),40696.99861111111)</f>
        <v>40696.99861</v>
      </c>
      <c r="B375" s="1">
        <f>IFERROR(__xludf.DUMMYFUNCTION("""COMPUTED_VALUE"""),1317.139623)</f>
        <v>1317.139623</v>
      </c>
    </row>
    <row r="376">
      <c r="A376" s="3">
        <f>IFERROR(__xludf.DUMMYFUNCTION("""COMPUTED_VALUE"""),40697.99861111111)</f>
        <v>40697.99861</v>
      </c>
      <c r="B376" s="1">
        <f>IFERROR(__xludf.DUMMYFUNCTION("""COMPUTED_VALUE"""),1314.109003)</f>
        <v>1314.109003</v>
      </c>
    </row>
    <row r="377">
      <c r="A377" s="3">
        <f>IFERROR(__xludf.DUMMYFUNCTION("""COMPUTED_VALUE"""),40699.99861111111)</f>
        <v>40699.99861</v>
      </c>
      <c r="B377" s="1">
        <f>IFERROR(__xludf.DUMMYFUNCTION("""COMPUTED_VALUE"""),1312.91614)</f>
        <v>1312.91614</v>
      </c>
    </row>
    <row r="378">
      <c r="A378" s="3">
        <f>IFERROR(__xludf.DUMMYFUNCTION("""COMPUTED_VALUE"""),40700.99861111111)</f>
        <v>40700.99861</v>
      </c>
      <c r="B378" s="1">
        <f>IFERROR(__xludf.DUMMYFUNCTION("""COMPUTED_VALUE"""),1309.85)</f>
        <v>1309.85</v>
      </c>
    </row>
    <row r="379">
      <c r="A379" s="3">
        <f>IFERROR(__xludf.DUMMYFUNCTION("""COMPUTED_VALUE"""),40701.99861111111)</f>
        <v>40701.99861</v>
      </c>
      <c r="B379" s="1">
        <f>IFERROR(__xludf.DUMMYFUNCTION("""COMPUTED_VALUE"""),1313.508162)</f>
        <v>1313.508162</v>
      </c>
    </row>
    <row r="380">
      <c r="A380" s="3">
        <f>IFERROR(__xludf.DUMMYFUNCTION("""COMPUTED_VALUE"""),40702.99861111111)</f>
        <v>40702.99861</v>
      </c>
      <c r="B380" s="1">
        <f>IFERROR(__xludf.DUMMYFUNCTION("""COMPUTED_VALUE"""),1309.67505)</f>
        <v>1309.67505</v>
      </c>
    </row>
    <row r="381">
      <c r="A381" s="3">
        <f>IFERROR(__xludf.DUMMYFUNCTION("""COMPUTED_VALUE"""),40703.99861111111)</f>
        <v>40703.99861</v>
      </c>
      <c r="B381" s="1">
        <f>IFERROR(__xludf.DUMMYFUNCTION("""COMPUTED_VALUE"""),1315.2324)</f>
        <v>1315.2324</v>
      </c>
    </row>
    <row r="382">
      <c r="A382" s="3">
        <f>IFERROR(__xludf.DUMMYFUNCTION("""COMPUTED_VALUE"""),40704.99861111111)</f>
        <v>40704.99861</v>
      </c>
      <c r="B382" s="1">
        <f>IFERROR(__xludf.DUMMYFUNCTION("""COMPUTED_VALUE"""),1313.706467)</f>
        <v>1313.706467</v>
      </c>
    </row>
    <row r="383">
      <c r="A383" s="3">
        <f>IFERROR(__xludf.DUMMYFUNCTION("""COMPUTED_VALUE"""),40705.99861111111)</f>
        <v>40705.99861</v>
      </c>
      <c r="B383" s="1">
        <f>IFERROR(__xludf.DUMMYFUNCTION("""COMPUTED_VALUE"""),1308.63888)</f>
        <v>1308.63888</v>
      </c>
    </row>
    <row r="384">
      <c r="A384" s="3">
        <f>IFERROR(__xludf.DUMMYFUNCTION("""COMPUTED_VALUE"""),40707.99861111111)</f>
        <v>40707.99861</v>
      </c>
      <c r="B384" s="1">
        <f>IFERROR(__xludf.DUMMYFUNCTION("""COMPUTED_VALUE"""),1316.78319)</f>
        <v>1316.78319</v>
      </c>
    </row>
    <row r="385">
      <c r="A385" s="3">
        <f>IFERROR(__xludf.DUMMYFUNCTION("""COMPUTED_VALUE"""),40708.99861111111)</f>
        <v>40708.99861</v>
      </c>
      <c r="B385" s="1">
        <f>IFERROR(__xludf.DUMMYFUNCTION("""COMPUTED_VALUE"""),1314.996355)</f>
        <v>1314.996355</v>
      </c>
    </row>
    <row r="386">
      <c r="A386" s="3">
        <f>IFERROR(__xludf.DUMMYFUNCTION("""COMPUTED_VALUE"""),40709.99861111111)</f>
        <v>40709.99861</v>
      </c>
      <c r="B386" s="1">
        <f>IFERROR(__xludf.DUMMYFUNCTION("""COMPUTED_VALUE"""),1312.582048)</f>
        <v>1312.582048</v>
      </c>
    </row>
    <row r="387">
      <c r="A387" s="3">
        <f>IFERROR(__xludf.DUMMYFUNCTION("""COMPUTED_VALUE"""),40710.99861111111)</f>
        <v>40710.99861</v>
      </c>
      <c r="B387" s="1">
        <f>IFERROR(__xludf.DUMMYFUNCTION("""COMPUTED_VALUE"""),1327.9203)</f>
        <v>1327.9203</v>
      </c>
    </row>
    <row r="388">
      <c r="A388" s="3">
        <f>IFERROR(__xludf.DUMMYFUNCTION("""COMPUTED_VALUE"""),40711.99861111111)</f>
        <v>40711.99861</v>
      </c>
      <c r="B388" s="1">
        <f>IFERROR(__xludf.DUMMYFUNCTION("""COMPUTED_VALUE"""),1323.2934)</f>
        <v>1323.2934</v>
      </c>
    </row>
    <row r="389">
      <c r="A389" s="3">
        <f>IFERROR(__xludf.DUMMYFUNCTION("""COMPUTED_VALUE"""),40712.99861111111)</f>
        <v>40712.99861</v>
      </c>
      <c r="B389" s="1">
        <f>IFERROR(__xludf.DUMMYFUNCTION("""COMPUTED_VALUE"""),1293.831636)</f>
        <v>1293.831636</v>
      </c>
    </row>
    <row r="390">
      <c r="A390" s="3">
        <f>IFERROR(__xludf.DUMMYFUNCTION("""COMPUTED_VALUE"""),40714.99861111111)</f>
        <v>40714.99861</v>
      </c>
      <c r="B390" s="1">
        <f>IFERROR(__xludf.DUMMYFUNCTION("""COMPUTED_VALUE"""),1329.083476)</f>
        <v>1329.083476</v>
      </c>
    </row>
    <row r="391">
      <c r="A391" s="3">
        <f>IFERROR(__xludf.DUMMYFUNCTION("""COMPUTED_VALUE"""),40715.99861111111)</f>
        <v>40715.99861</v>
      </c>
      <c r="B391" s="1">
        <f>IFERROR(__xludf.DUMMYFUNCTION("""COMPUTED_VALUE"""),1327.324)</f>
        <v>1327.324</v>
      </c>
    </row>
    <row r="392">
      <c r="A392" s="3">
        <f>IFERROR(__xludf.DUMMYFUNCTION("""COMPUTED_VALUE"""),40716.99861111111)</f>
        <v>40716.99861</v>
      </c>
      <c r="B392" s="1">
        <f>IFERROR(__xludf.DUMMYFUNCTION("""COMPUTED_VALUE"""),1326.5538)</f>
        <v>1326.5538</v>
      </c>
    </row>
    <row r="393">
      <c r="A393" s="3">
        <f>IFERROR(__xludf.DUMMYFUNCTION("""COMPUTED_VALUE"""),40717.99861111111)</f>
        <v>40717.99861</v>
      </c>
      <c r="B393" s="1">
        <f>IFERROR(__xludf.DUMMYFUNCTION("""COMPUTED_VALUE"""),1329.380271)</f>
        <v>1329.380271</v>
      </c>
    </row>
    <row r="394">
      <c r="A394" s="3">
        <f>IFERROR(__xludf.DUMMYFUNCTION("""COMPUTED_VALUE"""),40718.99861111111)</f>
        <v>40718.99861</v>
      </c>
      <c r="B394" s="1">
        <f>IFERROR(__xludf.DUMMYFUNCTION("""COMPUTED_VALUE"""),1322.52225)</f>
        <v>1322.52225</v>
      </c>
    </row>
    <row r="395">
      <c r="A395" s="3">
        <f>IFERROR(__xludf.DUMMYFUNCTION("""COMPUTED_VALUE"""),40719.99861111111)</f>
        <v>40719.99861</v>
      </c>
      <c r="B395" s="1">
        <f>IFERROR(__xludf.DUMMYFUNCTION("""COMPUTED_VALUE"""),1302.873348)</f>
        <v>1302.873348</v>
      </c>
    </row>
    <row r="396">
      <c r="A396" s="3">
        <f>IFERROR(__xludf.DUMMYFUNCTION("""COMPUTED_VALUE"""),40721.99861111111)</f>
        <v>40721.99861</v>
      </c>
      <c r="B396" s="1">
        <f>IFERROR(__xludf.DUMMYFUNCTION("""COMPUTED_VALUE"""),1330.4925)</f>
        <v>1330.4925</v>
      </c>
    </row>
    <row r="397">
      <c r="A397" s="3">
        <f>IFERROR(__xludf.DUMMYFUNCTION("""COMPUTED_VALUE"""),40722.99861111111)</f>
        <v>40722.99861</v>
      </c>
      <c r="B397" s="1">
        <f>IFERROR(__xludf.DUMMYFUNCTION("""COMPUTED_VALUE"""),1329.5488)</f>
        <v>1329.5488</v>
      </c>
    </row>
    <row r="398">
      <c r="A398" s="3">
        <f>IFERROR(__xludf.DUMMYFUNCTION("""COMPUTED_VALUE"""),40723.99861111111)</f>
        <v>40723.99861</v>
      </c>
      <c r="B398" s="1">
        <f>IFERROR(__xludf.DUMMYFUNCTION("""COMPUTED_VALUE"""),1331.835792)</f>
        <v>1331.835792</v>
      </c>
    </row>
    <row r="399">
      <c r="A399" s="3">
        <f>IFERROR(__xludf.DUMMYFUNCTION("""COMPUTED_VALUE"""),40724.99861111111)</f>
        <v>40724.99861</v>
      </c>
      <c r="B399" s="1">
        <f>IFERROR(__xludf.DUMMYFUNCTION("""COMPUTED_VALUE"""),1325.29824)</f>
        <v>1325.29824</v>
      </c>
    </row>
    <row r="400">
      <c r="A400" s="3">
        <f>IFERROR(__xludf.DUMMYFUNCTION("""COMPUTED_VALUE"""),40725.99861111111)</f>
        <v>40725.99861</v>
      </c>
      <c r="B400" s="1">
        <f>IFERROR(__xludf.DUMMYFUNCTION("""COMPUTED_VALUE"""),1321.12188)</f>
        <v>1321.12188</v>
      </c>
    </row>
    <row r="401">
      <c r="A401" s="3">
        <f>IFERROR(__xludf.DUMMYFUNCTION("""COMPUTED_VALUE"""),40726.99861111111)</f>
        <v>40726.99861</v>
      </c>
      <c r="B401" s="1">
        <f>IFERROR(__xludf.DUMMYFUNCTION("""COMPUTED_VALUE"""),1293.335807)</f>
        <v>1293.335807</v>
      </c>
    </row>
    <row r="402">
      <c r="A402" s="3">
        <f>IFERROR(__xludf.DUMMYFUNCTION("""COMPUTED_VALUE"""),40728.99861111111)</f>
        <v>40728.99861</v>
      </c>
      <c r="B402" s="1">
        <f>IFERROR(__xludf.DUMMYFUNCTION("""COMPUTED_VALUE"""),1317.059423)</f>
        <v>1317.059423</v>
      </c>
    </row>
    <row r="403">
      <c r="A403" s="3">
        <f>IFERROR(__xludf.DUMMYFUNCTION("""COMPUTED_VALUE"""),40729.99861111111)</f>
        <v>40729.99861</v>
      </c>
      <c r="B403" s="1">
        <f>IFERROR(__xludf.DUMMYFUNCTION("""COMPUTED_VALUE"""),1319.975144)</f>
        <v>1319.975144</v>
      </c>
    </row>
    <row r="404">
      <c r="A404" s="3">
        <f>IFERROR(__xludf.DUMMYFUNCTION("""COMPUTED_VALUE"""),40730.99861111111)</f>
        <v>40730.99861</v>
      </c>
      <c r="B404" s="1">
        <f>IFERROR(__xludf.DUMMYFUNCTION("""COMPUTED_VALUE"""),1319.642733)</f>
        <v>1319.642733</v>
      </c>
    </row>
    <row r="405">
      <c r="A405" s="3">
        <f>IFERROR(__xludf.DUMMYFUNCTION("""COMPUTED_VALUE"""),40731.99861111111)</f>
        <v>40731.99861</v>
      </c>
      <c r="B405" s="1">
        <f>IFERROR(__xludf.DUMMYFUNCTION("""COMPUTED_VALUE"""),1319.612708)</f>
        <v>1319.612708</v>
      </c>
    </row>
    <row r="406">
      <c r="A406" s="3">
        <f>IFERROR(__xludf.DUMMYFUNCTION("""COMPUTED_VALUE"""),40732.99861111111)</f>
        <v>40732.99861</v>
      </c>
      <c r="B406" s="1">
        <f>IFERROR(__xludf.DUMMYFUNCTION("""COMPUTED_VALUE"""),1316.280143)</f>
        <v>1316.280143</v>
      </c>
    </row>
    <row r="407">
      <c r="A407" s="3">
        <f>IFERROR(__xludf.DUMMYFUNCTION("""COMPUTED_VALUE"""),40734.99861111111)</f>
        <v>40734.99861</v>
      </c>
      <c r="B407" s="1">
        <f>IFERROR(__xludf.DUMMYFUNCTION("""COMPUTED_VALUE"""),1314.407404)</f>
        <v>1314.407404</v>
      </c>
    </row>
    <row r="408">
      <c r="A408" s="3">
        <f>IFERROR(__xludf.DUMMYFUNCTION("""COMPUTED_VALUE"""),40735.99861111111)</f>
        <v>40735.99861</v>
      </c>
      <c r="B408" s="1">
        <f>IFERROR(__xludf.DUMMYFUNCTION("""COMPUTED_VALUE"""),1318.282389)</f>
        <v>1318.282389</v>
      </c>
    </row>
    <row r="409">
      <c r="A409" s="3">
        <f>IFERROR(__xludf.DUMMYFUNCTION("""COMPUTED_VALUE"""),40736.99861111111)</f>
        <v>40736.99861</v>
      </c>
      <c r="B409" s="1">
        <f>IFERROR(__xludf.DUMMYFUNCTION("""COMPUTED_VALUE"""),1324.193461)</f>
        <v>1324.193461</v>
      </c>
    </row>
    <row r="410">
      <c r="A410" s="3">
        <f>IFERROR(__xludf.DUMMYFUNCTION("""COMPUTED_VALUE"""),40737.99861111111)</f>
        <v>40737.99861</v>
      </c>
      <c r="B410" s="1">
        <f>IFERROR(__xludf.DUMMYFUNCTION("""COMPUTED_VALUE"""),1319.607)</f>
        <v>1319.607</v>
      </c>
    </row>
    <row r="411">
      <c r="A411" s="3">
        <f>IFERROR(__xludf.DUMMYFUNCTION("""COMPUTED_VALUE"""),40738.99861111111)</f>
        <v>40738.99861</v>
      </c>
      <c r="B411" s="1">
        <f>IFERROR(__xludf.DUMMYFUNCTION("""COMPUTED_VALUE"""),1318.698192)</f>
        <v>1318.698192</v>
      </c>
    </row>
    <row r="412">
      <c r="A412" s="3">
        <f>IFERROR(__xludf.DUMMYFUNCTION("""COMPUTED_VALUE"""),40739.99861111111)</f>
        <v>40739.99861</v>
      </c>
      <c r="B412" s="1">
        <f>IFERROR(__xludf.DUMMYFUNCTION("""COMPUTED_VALUE"""),1320.031386)</f>
        <v>1320.031386</v>
      </c>
    </row>
    <row r="413">
      <c r="A413" s="3">
        <f>IFERROR(__xludf.DUMMYFUNCTION("""COMPUTED_VALUE"""),40740.99861111111)</f>
        <v>40740.99861</v>
      </c>
      <c r="B413" s="1">
        <f>IFERROR(__xludf.DUMMYFUNCTION("""COMPUTED_VALUE"""),1292.646111)</f>
        <v>1292.646111</v>
      </c>
    </row>
    <row r="414">
      <c r="A414" s="3">
        <f>IFERROR(__xludf.DUMMYFUNCTION("""COMPUTED_VALUE"""),40741.99861111111)</f>
        <v>40741.99861</v>
      </c>
      <c r="B414" s="1">
        <f>IFERROR(__xludf.DUMMYFUNCTION("""COMPUTED_VALUE"""),1348.979244)</f>
        <v>1348.979244</v>
      </c>
    </row>
    <row r="415">
      <c r="A415" s="3">
        <f>IFERROR(__xludf.DUMMYFUNCTION("""COMPUTED_VALUE"""),40742.99861111111)</f>
        <v>40742.99861</v>
      </c>
      <c r="B415" s="1">
        <f>IFERROR(__xludf.DUMMYFUNCTION("""COMPUTED_VALUE"""),1323.590016)</f>
        <v>1323.590016</v>
      </c>
    </row>
    <row r="416">
      <c r="A416" s="3">
        <f>IFERROR(__xludf.DUMMYFUNCTION("""COMPUTED_VALUE"""),40743.99861111111)</f>
        <v>40743.99861</v>
      </c>
      <c r="B416" s="1">
        <f>IFERROR(__xludf.DUMMYFUNCTION("""COMPUTED_VALUE"""),1320.1132)</f>
        <v>1320.1132</v>
      </c>
    </row>
    <row r="417">
      <c r="A417" s="3">
        <f>IFERROR(__xludf.DUMMYFUNCTION("""COMPUTED_VALUE"""),40744.99861111111)</f>
        <v>40744.99861</v>
      </c>
      <c r="B417" s="1">
        <f>IFERROR(__xludf.DUMMYFUNCTION("""COMPUTED_VALUE"""),1319.0792)</f>
        <v>1319.0792</v>
      </c>
    </row>
    <row r="418">
      <c r="A418" s="3">
        <f>IFERROR(__xludf.DUMMYFUNCTION("""COMPUTED_VALUE"""),40745.99861111111)</f>
        <v>40745.99861</v>
      </c>
      <c r="B418" s="1">
        <f>IFERROR(__xludf.DUMMYFUNCTION("""COMPUTED_VALUE"""),1322.12519)</f>
        <v>1322.12519</v>
      </c>
    </row>
    <row r="419">
      <c r="A419" s="3">
        <f>IFERROR(__xludf.DUMMYFUNCTION("""COMPUTED_VALUE"""),40746.99861111111)</f>
        <v>40746.99861</v>
      </c>
      <c r="B419" s="1">
        <f>IFERROR(__xludf.DUMMYFUNCTION("""COMPUTED_VALUE"""),1320.60775)</f>
        <v>1320.60775</v>
      </c>
    </row>
    <row r="420">
      <c r="A420" s="3">
        <f>IFERROR(__xludf.DUMMYFUNCTION("""COMPUTED_VALUE"""),40748.99861111111)</f>
        <v>40748.99861</v>
      </c>
      <c r="B420" s="1">
        <f>IFERROR(__xludf.DUMMYFUNCTION("""COMPUTED_VALUE"""),1320.654016)</f>
        <v>1320.654016</v>
      </c>
    </row>
    <row r="421">
      <c r="A421" s="3">
        <f>IFERROR(__xludf.DUMMYFUNCTION("""COMPUTED_VALUE"""),40749.99861111111)</f>
        <v>40749.99861</v>
      </c>
      <c r="B421" s="1">
        <f>IFERROR(__xludf.DUMMYFUNCTION("""COMPUTED_VALUE"""),1321.994774)</f>
        <v>1321.994774</v>
      </c>
    </row>
    <row r="422">
      <c r="A422" s="3">
        <f>IFERROR(__xludf.DUMMYFUNCTION("""COMPUTED_VALUE"""),40750.99861111111)</f>
        <v>40750.99861</v>
      </c>
      <c r="B422" s="1">
        <f>IFERROR(__xludf.DUMMYFUNCTION("""COMPUTED_VALUE"""),1318.435)</f>
        <v>1318.435</v>
      </c>
    </row>
    <row r="423">
      <c r="A423" s="3">
        <f>IFERROR(__xludf.DUMMYFUNCTION("""COMPUTED_VALUE"""),40751.99861111111)</f>
        <v>40751.99861</v>
      </c>
      <c r="B423" s="1">
        <f>IFERROR(__xludf.DUMMYFUNCTION("""COMPUTED_VALUE"""),1316.06712)</f>
        <v>1316.06712</v>
      </c>
    </row>
    <row r="424">
      <c r="A424" s="3">
        <f>IFERROR(__xludf.DUMMYFUNCTION("""COMPUTED_VALUE"""),40752.99861111111)</f>
        <v>40752.99861</v>
      </c>
      <c r="B424" s="1">
        <f>IFERROR(__xludf.DUMMYFUNCTION("""COMPUTED_VALUE"""),1318.2541)</f>
        <v>1318.2541</v>
      </c>
    </row>
    <row r="425">
      <c r="A425" s="3">
        <f>IFERROR(__xludf.DUMMYFUNCTION("""COMPUTED_VALUE"""),40753.99861111111)</f>
        <v>40753.99861</v>
      </c>
      <c r="B425" s="1">
        <f>IFERROR(__xludf.DUMMYFUNCTION("""COMPUTED_VALUE"""),1318.86)</f>
        <v>1318.86</v>
      </c>
    </row>
    <row r="426">
      <c r="A426" s="3">
        <f>IFERROR(__xludf.DUMMYFUNCTION("""COMPUTED_VALUE"""),40754.99861111111)</f>
        <v>40754.99861</v>
      </c>
      <c r="B426" s="1">
        <f>IFERROR(__xludf.DUMMYFUNCTION("""COMPUTED_VALUE"""),1280.335455)</f>
        <v>1280.335455</v>
      </c>
    </row>
    <row r="427">
      <c r="A427" s="3">
        <f>IFERROR(__xludf.DUMMYFUNCTION("""COMPUTED_VALUE"""),40756.99861111111)</f>
        <v>40756.99861</v>
      </c>
      <c r="B427" s="1">
        <f>IFERROR(__xludf.DUMMYFUNCTION("""COMPUTED_VALUE"""),1308.388704)</f>
        <v>1308.388704</v>
      </c>
    </row>
    <row r="428">
      <c r="A428" s="3">
        <f>IFERROR(__xludf.DUMMYFUNCTION("""COMPUTED_VALUE"""),40757.99861111111)</f>
        <v>40757.99861</v>
      </c>
      <c r="B428" s="1">
        <f>IFERROR(__xludf.DUMMYFUNCTION("""COMPUTED_VALUE"""),1312.962797)</f>
        <v>1312.962797</v>
      </c>
    </row>
    <row r="429">
      <c r="A429" s="3">
        <f>IFERROR(__xludf.DUMMYFUNCTION("""COMPUTED_VALUE"""),40758.99861111111)</f>
        <v>40758.99861</v>
      </c>
      <c r="B429" s="1">
        <f>IFERROR(__xludf.DUMMYFUNCTION("""COMPUTED_VALUE"""),1291.321772)</f>
        <v>1291.321772</v>
      </c>
    </row>
    <row r="430">
      <c r="A430" s="3">
        <f>IFERROR(__xludf.DUMMYFUNCTION("""COMPUTED_VALUE"""),40759.99861111111)</f>
        <v>40759.99861</v>
      </c>
      <c r="B430" s="1">
        <f>IFERROR(__xludf.DUMMYFUNCTION("""COMPUTED_VALUE"""),1313.984516)</f>
        <v>1313.984516</v>
      </c>
    </row>
    <row r="431">
      <c r="A431" s="3">
        <f>IFERROR(__xludf.DUMMYFUNCTION("""COMPUTED_VALUE"""),40760.99861111111)</f>
        <v>40760.99861</v>
      </c>
      <c r="B431" s="1">
        <f>IFERROR(__xludf.DUMMYFUNCTION("""COMPUTED_VALUE"""),1319.987549)</f>
        <v>1319.987549</v>
      </c>
    </row>
    <row r="432">
      <c r="A432" s="3">
        <f>IFERROR(__xludf.DUMMYFUNCTION("""COMPUTED_VALUE"""),40761.99861111111)</f>
        <v>40761.99861</v>
      </c>
      <c r="B432" s="1">
        <f>IFERROR(__xludf.DUMMYFUNCTION("""COMPUTED_VALUE"""),1295.455634)</f>
        <v>1295.455634</v>
      </c>
    </row>
    <row r="433">
      <c r="A433" s="3">
        <f>IFERROR(__xludf.DUMMYFUNCTION("""COMPUTED_VALUE"""),40763.99861111111)</f>
        <v>40763.99861</v>
      </c>
      <c r="B433" s="1">
        <f>IFERROR(__xludf.DUMMYFUNCTION("""COMPUTED_VALUE"""),1315.408245)</f>
        <v>1315.408245</v>
      </c>
    </row>
    <row r="434">
      <c r="A434" s="3">
        <f>IFERROR(__xludf.DUMMYFUNCTION("""COMPUTED_VALUE"""),40764.99861111111)</f>
        <v>40764.99861</v>
      </c>
      <c r="B434" s="1">
        <f>IFERROR(__xludf.DUMMYFUNCTION("""COMPUTED_VALUE"""),1322.442576)</f>
        <v>1322.442576</v>
      </c>
    </row>
    <row r="435">
      <c r="A435" s="3">
        <f>IFERROR(__xludf.DUMMYFUNCTION("""COMPUTED_VALUE"""),40765.99861111111)</f>
        <v>40765.99861</v>
      </c>
      <c r="B435" s="1">
        <f>IFERROR(__xludf.DUMMYFUNCTION("""COMPUTED_VALUE"""),1322.476674)</f>
        <v>1322.476674</v>
      </c>
    </row>
    <row r="436">
      <c r="A436" s="3">
        <f>IFERROR(__xludf.DUMMYFUNCTION("""COMPUTED_VALUE"""),40766.99861111111)</f>
        <v>40766.99861</v>
      </c>
      <c r="B436" s="1">
        <f>IFERROR(__xludf.DUMMYFUNCTION("""COMPUTED_VALUE"""),1329.15266)</f>
        <v>1329.15266</v>
      </c>
    </row>
    <row r="437">
      <c r="A437" s="3">
        <f>IFERROR(__xludf.DUMMYFUNCTION("""COMPUTED_VALUE"""),40770.99861111111)</f>
        <v>40770.99861</v>
      </c>
      <c r="B437" s="1">
        <f>IFERROR(__xludf.DUMMYFUNCTION("""COMPUTED_VALUE"""),1295.651448)</f>
        <v>1295.651448</v>
      </c>
    </row>
    <row r="438">
      <c r="A438" s="3">
        <f>IFERROR(__xludf.DUMMYFUNCTION("""COMPUTED_VALUE"""),40771.99861111111)</f>
        <v>40771.99861</v>
      </c>
      <c r="B438" s="1">
        <f>IFERROR(__xludf.DUMMYFUNCTION("""COMPUTED_VALUE"""),1307.384267)</f>
        <v>1307.384267</v>
      </c>
    </row>
    <row r="439">
      <c r="A439" s="3">
        <f>IFERROR(__xludf.DUMMYFUNCTION("""COMPUTED_VALUE"""),40772.99861111111)</f>
        <v>40772.99861</v>
      </c>
      <c r="B439" s="1">
        <f>IFERROR(__xludf.DUMMYFUNCTION("""COMPUTED_VALUE"""),1308.88746)</f>
        <v>1308.88746</v>
      </c>
    </row>
    <row r="440">
      <c r="A440" s="3">
        <f>IFERROR(__xludf.DUMMYFUNCTION("""COMPUTED_VALUE"""),40773.99861111111)</f>
        <v>40773.99861</v>
      </c>
      <c r="B440" s="1">
        <f>IFERROR(__xludf.DUMMYFUNCTION("""COMPUTED_VALUE"""),1329.6248)</f>
        <v>1329.6248</v>
      </c>
    </row>
    <row r="441">
      <c r="A441" s="3">
        <f>IFERROR(__xludf.DUMMYFUNCTION("""COMPUTED_VALUE"""),40774.99861111111)</f>
        <v>40774.99861</v>
      </c>
      <c r="B441" s="1">
        <f>IFERROR(__xludf.DUMMYFUNCTION("""COMPUTED_VALUE"""),1336.02042)</f>
        <v>1336.02042</v>
      </c>
    </row>
    <row r="442">
      <c r="A442" s="3">
        <f>IFERROR(__xludf.DUMMYFUNCTION("""COMPUTED_VALUE"""),40775.99861111111)</f>
        <v>40775.99861</v>
      </c>
      <c r="B442" s="1">
        <f>IFERROR(__xludf.DUMMYFUNCTION("""COMPUTED_VALUE"""),1302.59866)</f>
        <v>1302.59866</v>
      </c>
    </row>
    <row r="443">
      <c r="A443" s="3">
        <f>IFERROR(__xludf.DUMMYFUNCTION("""COMPUTED_VALUE"""),40777.99861111111)</f>
        <v>40777.99861</v>
      </c>
      <c r="B443" s="1">
        <f>IFERROR(__xludf.DUMMYFUNCTION("""COMPUTED_VALUE"""),1333.73551)</f>
        <v>1333.73551</v>
      </c>
    </row>
    <row r="444">
      <c r="A444" s="3">
        <f>IFERROR(__xludf.DUMMYFUNCTION("""COMPUTED_VALUE"""),40778.99861111111)</f>
        <v>40778.99861</v>
      </c>
      <c r="B444" s="1">
        <f>IFERROR(__xludf.DUMMYFUNCTION("""COMPUTED_VALUE"""),1334.67289)</f>
        <v>1334.67289</v>
      </c>
    </row>
    <row r="445">
      <c r="A445" s="3">
        <f>IFERROR(__xludf.DUMMYFUNCTION("""COMPUTED_VALUE"""),40779.99861111111)</f>
        <v>40779.99861</v>
      </c>
      <c r="B445" s="1">
        <f>IFERROR(__xludf.DUMMYFUNCTION("""COMPUTED_VALUE"""),1336.536)</f>
        <v>1336.536</v>
      </c>
    </row>
    <row r="446">
      <c r="A446" s="3">
        <f>IFERROR(__xludf.DUMMYFUNCTION("""COMPUTED_VALUE"""),40780.99861111111)</f>
        <v>40780.99861</v>
      </c>
      <c r="B446" s="1">
        <f>IFERROR(__xludf.DUMMYFUNCTION("""COMPUTED_VALUE"""),1345.47)</f>
        <v>1345.47</v>
      </c>
    </row>
    <row r="447">
      <c r="A447" s="3">
        <f>IFERROR(__xludf.DUMMYFUNCTION("""COMPUTED_VALUE"""),40781.99861111111)</f>
        <v>40781.99861</v>
      </c>
      <c r="B447" s="1">
        <f>IFERROR(__xludf.DUMMYFUNCTION("""COMPUTED_VALUE"""),1336.7088)</f>
        <v>1336.7088</v>
      </c>
    </row>
    <row r="448">
      <c r="A448" s="3">
        <f>IFERROR(__xludf.DUMMYFUNCTION("""COMPUTED_VALUE"""),40782.99861111111)</f>
        <v>40782.99861</v>
      </c>
      <c r="B448" s="1">
        <f>IFERROR(__xludf.DUMMYFUNCTION("""COMPUTED_VALUE"""),1306.877328)</f>
        <v>1306.877328</v>
      </c>
    </row>
    <row r="449">
      <c r="A449" s="3">
        <f>IFERROR(__xludf.DUMMYFUNCTION("""COMPUTED_VALUE"""),40784.99861111111)</f>
        <v>40784.99861</v>
      </c>
      <c r="B449" s="1">
        <f>IFERROR(__xludf.DUMMYFUNCTION("""COMPUTED_VALUE"""),1333.7208)</f>
        <v>1333.7208</v>
      </c>
    </row>
    <row r="450">
      <c r="A450" s="3">
        <f>IFERROR(__xludf.DUMMYFUNCTION("""COMPUTED_VALUE"""),40785.99861111111)</f>
        <v>40785.99861</v>
      </c>
      <c r="B450" s="1">
        <f>IFERROR(__xludf.DUMMYFUNCTION("""COMPUTED_VALUE"""),1337.198594)</f>
        <v>1337.198594</v>
      </c>
    </row>
    <row r="451">
      <c r="A451" s="3">
        <f>IFERROR(__xludf.DUMMYFUNCTION("""COMPUTED_VALUE"""),40786.99861111111)</f>
        <v>40786.99861</v>
      </c>
      <c r="B451" s="1">
        <f>IFERROR(__xludf.DUMMYFUNCTION("""COMPUTED_VALUE"""),1337.198594)</f>
        <v>1337.198594</v>
      </c>
    </row>
    <row r="452">
      <c r="A452" s="3">
        <f>IFERROR(__xludf.DUMMYFUNCTION("""COMPUTED_VALUE"""),40787.99861111111)</f>
        <v>40787.99861</v>
      </c>
      <c r="B452" s="1">
        <f>IFERROR(__xludf.DUMMYFUNCTION("""COMPUTED_VALUE"""),1330.2981)</f>
        <v>1330.2981</v>
      </c>
    </row>
    <row r="453">
      <c r="A453" s="3">
        <f>IFERROR(__xludf.DUMMYFUNCTION("""COMPUTED_VALUE"""),40788.99861111111)</f>
        <v>40788.99861</v>
      </c>
      <c r="B453" s="1">
        <f>IFERROR(__xludf.DUMMYFUNCTION("""COMPUTED_VALUE"""),1331.865)</f>
        <v>1331.865</v>
      </c>
    </row>
    <row r="454">
      <c r="A454" s="3">
        <f>IFERROR(__xludf.DUMMYFUNCTION("""COMPUTED_VALUE"""),40789.99861111111)</f>
        <v>40789.99861</v>
      </c>
      <c r="B454" s="1">
        <f>IFERROR(__xludf.DUMMYFUNCTION("""COMPUTED_VALUE"""),1314.57692)</f>
        <v>1314.57692</v>
      </c>
    </row>
    <row r="455">
      <c r="A455" s="3">
        <f>IFERROR(__xludf.DUMMYFUNCTION("""COMPUTED_VALUE"""),40791.99861111111)</f>
        <v>40791.99861</v>
      </c>
      <c r="B455" s="1">
        <f>IFERROR(__xludf.DUMMYFUNCTION("""COMPUTED_VALUE"""),1309.799645)</f>
        <v>1309.799645</v>
      </c>
    </row>
    <row r="456">
      <c r="A456" s="3">
        <f>IFERROR(__xludf.DUMMYFUNCTION("""COMPUTED_VALUE"""),40792.99861111111)</f>
        <v>40792.99861</v>
      </c>
      <c r="B456" s="1">
        <f>IFERROR(__xludf.DUMMYFUNCTION("""COMPUTED_VALUE"""),1338.280086)</f>
        <v>1338.280086</v>
      </c>
    </row>
    <row r="457">
      <c r="A457" s="3">
        <f>IFERROR(__xludf.DUMMYFUNCTION("""COMPUTED_VALUE"""),40793.99861111111)</f>
        <v>40793.99861</v>
      </c>
      <c r="B457" s="1">
        <f>IFERROR(__xludf.DUMMYFUNCTION("""COMPUTED_VALUE"""),1334.874)</f>
        <v>1334.874</v>
      </c>
    </row>
    <row r="458">
      <c r="A458" s="3">
        <f>IFERROR(__xludf.DUMMYFUNCTION("""COMPUTED_VALUE"""),40794.99861111111)</f>
        <v>40794.99861</v>
      </c>
      <c r="B458" s="1">
        <f>IFERROR(__xludf.DUMMYFUNCTION("""COMPUTED_VALUE"""),1340.02738)</f>
        <v>1340.02738</v>
      </c>
    </row>
    <row r="459">
      <c r="A459" s="3">
        <f>IFERROR(__xludf.DUMMYFUNCTION("""COMPUTED_VALUE"""),40795.99861111111)</f>
        <v>40795.99861</v>
      </c>
      <c r="B459" s="1">
        <f>IFERROR(__xludf.DUMMYFUNCTION("""COMPUTED_VALUE"""),1341.454273)</f>
        <v>1341.454273</v>
      </c>
    </row>
    <row r="460">
      <c r="A460" s="3">
        <f>IFERROR(__xludf.DUMMYFUNCTION("""COMPUTED_VALUE"""),40797.99861111111)</f>
        <v>40797.99861</v>
      </c>
      <c r="B460" s="1">
        <f>IFERROR(__xludf.DUMMYFUNCTION("""COMPUTED_VALUE"""),1327.337627)</f>
        <v>1327.337627</v>
      </c>
    </row>
    <row r="461">
      <c r="A461" s="3">
        <f>IFERROR(__xludf.DUMMYFUNCTION("""COMPUTED_VALUE"""),40798.99861111111)</f>
        <v>40798.99861</v>
      </c>
      <c r="B461" s="1">
        <f>IFERROR(__xludf.DUMMYFUNCTION("""COMPUTED_VALUE"""),1338.564645)</f>
        <v>1338.564645</v>
      </c>
    </row>
    <row r="462">
      <c r="A462" s="3">
        <f>IFERROR(__xludf.DUMMYFUNCTION("""COMPUTED_VALUE"""),40799.99861111111)</f>
        <v>40799.99861</v>
      </c>
      <c r="B462" s="1">
        <f>IFERROR(__xludf.DUMMYFUNCTION("""COMPUTED_VALUE"""),1347.73065)</f>
        <v>1347.73065</v>
      </c>
    </row>
    <row r="463">
      <c r="A463" s="3">
        <f>IFERROR(__xludf.DUMMYFUNCTION("""COMPUTED_VALUE"""),40800.99861111111)</f>
        <v>40800.99861</v>
      </c>
      <c r="B463" s="1">
        <f>IFERROR(__xludf.DUMMYFUNCTION("""COMPUTED_VALUE"""),1362.579387)</f>
        <v>1362.579387</v>
      </c>
    </row>
    <row r="464">
      <c r="A464" s="3">
        <f>IFERROR(__xludf.DUMMYFUNCTION("""COMPUTED_VALUE"""),40801.99861111111)</f>
        <v>40801.99861</v>
      </c>
      <c r="B464" s="1">
        <f>IFERROR(__xludf.DUMMYFUNCTION("""COMPUTED_VALUE"""),1376.8467)</f>
        <v>1376.8467</v>
      </c>
    </row>
    <row r="465">
      <c r="A465" s="3">
        <f>IFERROR(__xludf.DUMMYFUNCTION("""COMPUTED_VALUE"""),40802.99861111111)</f>
        <v>40802.99861</v>
      </c>
      <c r="B465" s="1">
        <f>IFERROR(__xludf.DUMMYFUNCTION("""COMPUTED_VALUE"""),1371.627025)</f>
        <v>1371.627025</v>
      </c>
    </row>
    <row r="466">
      <c r="A466" s="3">
        <f>IFERROR(__xludf.DUMMYFUNCTION("""COMPUTED_VALUE"""),40805.99861111111)</f>
        <v>40805.99861</v>
      </c>
      <c r="B466" s="1">
        <f>IFERROR(__xludf.DUMMYFUNCTION("""COMPUTED_VALUE"""),1378.411776)</f>
        <v>1378.411776</v>
      </c>
    </row>
    <row r="467">
      <c r="A467" s="3">
        <f>IFERROR(__xludf.DUMMYFUNCTION("""COMPUTED_VALUE"""),40806.99861111111)</f>
        <v>40806.99861</v>
      </c>
      <c r="B467" s="1">
        <f>IFERROR(__xludf.DUMMYFUNCTION("""COMPUTED_VALUE"""),1380.421328)</f>
        <v>1380.421328</v>
      </c>
    </row>
    <row r="468">
      <c r="A468" s="3">
        <f>IFERROR(__xludf.DUMMYFUNCTION("""COMPUTED_VALUE"""),40807.99861111111)</f>
        <v>40807.99861</v>
      </c>
      <c r="B468" s="1">
        <f>IFERROR(__xludf.DUMMYFUNCTION("""COMPUTED_VALUE"""),1385.280621)</f>
        <v>1385.280621</v>
      </c>
    </row>
    <row r="469">
      <c r="A469" s="3">
        <f>IFERROR(__xludf.DUMMYFUNCTION("""COMPUTED_VALUE"""),40808.99861111111)</f>
        <v>40808.99861</v>
      </c>
      <c r="B469" s="1">
        <f>IFERROR(__xludf.DUMMYFUNCTION("""COMPUTED_VALUE"""),1369.123308)</f>
        <v>1369.123308</v>
      </c>
    </row>
    <row r="470">
      <c r="A470" s="3">
        <f>IFERROR(__xludf.DUMMYFUNCTION("""COMPUTED_VALUE"""),40809.99861111111)</f>
        <v>40809.99861</v>
      </c>
      <c r="B470" s="1">
        <f>IFERROR(__xludf.DUMMYFUNCTION("""COMPUTED_VALUE"""),1367.59375)</f>
        <v>1367.59375</v>
      </c>
    </row>
    <row r="471">
      <c r="A471" s="3">
        <f>IFERROR(__xludf.DUMMYFUNCTION("""COMPUTED_VALUE"""),40810.99861111111)</f>
        <v>40810.99861</v>
      </c>
      <c r="B471" s="1">
        <f>IFERROR(__xludf.DUMMYFUNCTION("""COMPUTED_VALUE"""),1339.390625)</f>
        <v>1339.390625</v>
      </c>
    </row>
    <row r="472">
      <c r="A472" s="3">
        <f>IFERROR(__xludf.DUMMYFUNCTION("""COMPUTED_VALUE"""),40812.99861111111)</f>
        <v>40812.99861</v>
      </c>
      <c r="B472" s="1">
        <f>IFERROR(__xludf.DUMMYFUNCTION("""COMPUTED_VALUE"""),1418.296)</f>
        <v>1418.296</v>
      </c>
    </row>
    <row r="473">
      <c r="A473" s="3">
        <f>IFERROR(__xludf.DUMMYFUNCTION("""COMPUTED_VALUE"""),40813.99861111111)</f>
        <v>40813.99861</v>
      </c>
      <c r="B473" s="1">
        <f>IFERROR(__xludf.DUMMYFUNCTION("""COMPUTED_VALUE"""),1390.775091)</f>
        <v>1390.775091</v>
      </c>
    </row>
    <row r="474">
      <c r="A474" s="3">
        <f>IFERROR(__xludf.DUMMYFUNCTION("""COMPUTED_VALUE"""),40814.99861111111)</f>
        <v>40814.99861</v>
      </c>
      <c r="B474" s="1">
        <f>IFERROR(__xludf.DUMMYFUNCTION("""COMPUTED_VALUE"""),1389.143587)</f>
        <v>1389.143587</v>
      </c>
    </row>
    <row r="475">
      <c r="A475" s="3">
        <f>IFERROR(__xludf.DUMMYFUNCTION("""COMPUTED_VALUE"""),40815.99861111111)</f>
        <v>40815.99861</v>
      </c>
      <c r="B475" s="1">
        <f>IFERROR(__xludf.DUMMYFUNCTION("""COMPUTED_VALUE"""),1397.232282)</f>
        <v>1397.232282</v>
      </c>
    </row>
    <row r="476">
      <c r="A476" s="3">
        <f>IFERROR(__xludf.DUMMYFUNCTION("""COMPUTED_VALUE"""),40816.99861111111)</f>
        <v>40816.99861</v>
      </c>
      <c r="B476" s="1">
        <f>IFERROR(__xludf.DUMMYFUNCTION("""COMPUTED_VALUE"""),1374.484481)</f>
        <v>1374.484481</v>
      </c>
    </row>
    <row r="477">
      <c r="A477" s="3">
        <f>IFERROR(__xludf.DUMMYFUNCTION("""COMPUTED_VALUE"""),40819.99861111111)</f>
        <v>40819.99861</v>
      </c>
      <c r="B477" s="1">
        <f>IFERROR(__xludf.DUMMYFUNCTION("""COMPUTED_VALUE"""),1390.849384)</f>
        <v>1390.849384</v>
      </c>
    </row>
    <row r="478">
      <c r="A478" s="3">
        <f>IFERROR(__xludf.DUMMYFUNCTION("""COMPUTED_VALUE"""),40820.99861111111)</f>
        <v>40820.99861</v>
      </c>
      <c r="B478" s="1">
        <f>IFERROR(__xludf.DUMMYFUNCTION("""COMPUTED_VALUE"""),1350.37764)</f>
        <v>1350.37764</v>
      </c>
    </row>
    <row r="479">
      <c r="A479" s="3">
        <f>IFERROR(__xludf.DUMMYFUNCTION("""COMPUTED_VALUE"""),40821.99861111111)</f>
        <v>40821.99861</v>
      </c>
      <c r="B479" s="1">
        <f>IFERROR(__xludf.DUMMYFUNCTION("""COMPUTED_VALUE"""),1402.735706)</f>
        <v>1402.735706</v>
      </c>
    </row>
    <row r="480">
      <c r="A480" s="3">
        <f>IFERROR(__xludf.DUMMYFUNCTION("""COMPUTED_VALUE"""),40822.99861111111)</f>
        <v>40822.99861</v>
      </c>
      <c r="B480" s="1">
        <f>IFERROR(__xludf.DUMMYFUNCTION("""COMPUTED_VALUE"""),1391.4628)</f>
        <v>1391.4628</v>
      </c>
    </row>
    <row r="481">
      <c r="A481" s="3">
        <f>IFERROR(__xludf.DUMMYFUNCTION("""COMPUTED_VALUE"""),40823.99861111111)</f>
        <v>40823.99861</v>
      </c>
      <c r="B481" s="1">
        <f>IFERROR(__xludf.DUMMYFUNCTION("""COMPUTED_VALUE"""),1394.586313)</f>
        <v>1394.586313</v>
      </c>
    </row>
    <row r="482">
      <c r="A482" s="3">
        <f>IFERROR(__xludf.DUMMYFUNCTION("""COMPUTED_VALUE"""),40825.99861111111)</f>
        <v>40825.99861</v>
      </c>
      <c r="B482" s="1">
        <f>IFERROR(__xludf.DUMMYFUNCTION("""COMPUTED_VALUE"""),1393.518619)</f>
        <v>1393.518619</v>
      </c>
    </row>
    <row r="483">
      <c r="A483" s="3">
        <f>IFERROR(__xludf.DUMMYFUNCTION("""COMPUTED_VALUE"""),40826.99861111111)</f>
        <v>40826.99861</v>
      </c>
      <c r="B483" s="1">
        <f>IFERROR(__xludf.DUMMYFUNCTION("""COMPUTED_VALUE"""),1398.515611)</f>
        <v>1398.515611</v>
      </c>
    </row>
    <row r="484">
      <c r="A484" s="3">
        <f>IFERROR(__xludf.DUMMYFUNCTION("""COMPUTED_VALUE"""),40827.99861111111)</f>
        <v>40827.99861</v>
      </c>
      <c r="B484" s="1">
        <f>IFERROR(__xludf.DUMMYFUNCTION("""COMPUTED_VALUE"""),1365.0822)</f>
        <v>1365.0822</v>
      </c>
    </row>
    <row r="485">
      <c r="A485" s="3">
        <f>IFERROR(__xludf.DUMMYFUNCTION("""COMPUTED_VALUE"""),40828.99861111111)</f>
        <v>40828.99861</v>
      </c>
      <c r="B485" s="1">
        <f>IFERROR(__xludf.DUMMYFUNCTION("""COMPUTED_VALUE"""),1388.960256)</f>
        <v>1388.960256</v>
      </c>
    </row>
    <row r="486">
      <c r="A486" s="3">
        <f>IFERROR(__xludf.DUMMYFUNCTION("""COMPUTED_VALUE"""),40829.99861111111)</f>
        <v>40829.99861</v>
      </c>
      <c r="B486" s="1">
        <f>IFERROR(__xludf.DUMMYFUNCTION("""COMPUTED_VALUE"""),1389.388968)</f>
        <v>1389.388968</v>
      </c>
    </row>
    <row r="487">
      <c r="A487" s="3">
        <f>IFERROR(__xludf.DUMMYFUNCTION("""COMPUTED_VALUE"""),40830.99861111111)</f>
        <v>40830.99861</v>
      </c>
      <c r="B487" s="1">
        <f>IFERROR(__xludf.DUMMYFUNCTION("""COMPUTED_VALUE"""),1386.138688)</f>
        <v>1386.138688</v>
      </c>
    </row>
    <row r="488">
      <c r="A488" s="3">
        <f>IFERROR(__xludf.DUMMYFUNCTION("""COMPUTED_VALUE"""),40831.99861111111)</f>
        <v>40831.99861</v>
      </c>
      <c r="B488" s="1">
        <f>IFERROR(__xludf.DUMMYFUNCTION("""COMPUTED_VALUE"""),1351.525272)</f>
        <v>1351.525272</v>
      </c>
    </row>
    <row r="489">
      <c r="A489" s="3">
        <f>IFERROR(__xludf.DUMMYFUNCTION("""COMPUTED_VALUE"""),40833.99861111111)</f>
        <v>40833.99861</v>
      </c>
      <c r="B489" s="1">
        <f>IFERROR(__xludf.DUMMYFUNCTION("""COMPUTED_VALUE"""),1392.770568)</f>
        <v>1392.770568</v>
      </c>
    </row>
    <row r="490">
      <c r="A490" s="3">
        <f>IFERROR(__xludf.DUMMYFUNCTION("""COMPUTED_VALUE"""),40834.99861111111)</f>
        <v>40834.99861</v>
      </c>
      <c r="B490" s="1">
        <f>IFERROR(__xludf.DUMMYFUNCTION("""COMPUTED_VALUE"""),1390.7856)</f>
        <v>1390.7856</v>
      </c>
    </row>
    <row r="491">
      <c r="A491" s="3">
        <f>IFERROR(__xludf.DUMMYFUNCTION("""COMPUTED_VALUE"""),40835.99861111111)</f>
        <v>40835.99861</v>
      </c>
      <c r="B491" s="1">
        <f>IFERROR(__xludf.DUMMYFUNCTION("""COMPUTED_VALUE"""),1384.646096)</f>
        <v>1384.646096</v>
      </c>
    </row>
    <row r="492">
      <c r="A492" s="3">
        <f>IFERROR(__xludf.DUMMYFUNCTION("""COMPUTED_VALUE"""),40836.99861111111)</f>
        <v>40836.99861</v>
      </c>
      <c r="B492" s="1">
        <f>IFERROR(__xludf.DUMMYFUNCTION("""COMPUTED_VALUE"""),1380.486928)</f>
        <v>1380.486928</v>
      </c>
    </row>
    <row r="493">
      <c r="A493" s="3">
        <f>IFERROR(__xludf.DUMMYFUNCTION("""COMPUTED_VALUE"""),40837.99861111111)</f>
        <v>40837.99861</v>
      </c>
      <c r="B493" s="1">
        <f>IFERROR(__xludf.DUMMYFUNCTION("""COMPUTED_VALUE"""),1386.7065)</f>
        <v>1386.7065</v>
      </c>
    </row>
    <row r="494">
      <c r="A494" s="3">
        <f>IFERROR(__xludf.DUMMYFUNCTION("""COMPUTED_VALUE"""),40838.99861111111)</f>
        <v>40838.99861</v>
      </c>
      <c r="B494" s="1">
        <f>IFERROR(__xludf.DUMMYFUNCTION("""COMPUTED_VALUE"""),1338.181396)</f>
        <v>1338.181396</v>
      </c>
    </row>
    <row r="495">
      <c r="A495" s="3">
        <f>IFERROR(__xludf.DUMMYFUNCTION("""COMPUTED_VALUE"""),40840.99861111111)</f>
        <v>40840.99861</v>
      </c>
      <c r="B495" s="1">
        <f>IFERROR(__xludf.DUMMYFUNCTION("""COMPUTED_VALUE"""),1384.24777)</f>
        <v>1384.24777</v>
      </c>
    </row>
    <row r="496">
      <c r="A496" s="3">
        <f>IFERROR(__xludf.DUMMYFUNCTION("""COMPUTED_VALUE"""),40841.99861111111)</f>
        <v>40841.99861</v>
      </c>
      <c r="B496" s="1">
        <f>IFERROR(__xludf.DUMMYFUNCTION("""COMPUTED_VALUE"""),1387.141163)</f>
        <v>1387.141163</v>
      </c>
    </row>
    <row r="497">
      <c r="A497" s="3">
        <f>IFERROR(__xludf.DUMMYFUNCTION("""COMPUTED_VALUE"""),40842.99861111111)</f>
        <v>40842.99861</v>
      </c>
      <c r="B497" s="1">
        <f>IFERROR(__xludf.DUMMYFUNCTION("""COMPUTED_VALUE"""),1393.408068)</f>
        <v>1393.408068</v>
      </c>
    </row>
    <row r="498">
      <c r="A498" s="3">
        <f>IFERROR(__xludf.DUMMYFUNCTION("""COMPUTED_VALUE"""),40843.99861111111)</f>
        <v>40843.99861</v>
      </c>
      <c r="B498" s="1">
        <f>IFERROR(__xludf.DUMMYFUNCTION("""COMPUTED_VALUE"""),1391.766028)</f>
        <v>1391.766028</v>
      </c>
    </row>
    <row r="499">
      <c r="A499" s="3">
        <f>IFERROR(__xludf.DUMMYFUNCTION("""COMPUTED_VALUE"""),40844.99861111111)</f>
        <v>40844.99861</v>
      </c>
      <c r="B499" s="1">
        <f>IFERROR(__xludf.DUMMYFUNCTION("""COMPUTED_VALUE"""),1382.736522)</f>
        <v>1382.736522</v>
      </c>
    </row>
    <row r="500">
      <c r="A500" s="3">
        <f>IFERROR(__xludf.DUMMYFUNCTION("""COMPUTED_VALUE"""),40847.99861111111)</f>
        <v>40847.99861</v>
      </c>
      <c r="B500" s="1">
        <f>IFERROR(__xludf.DUMMYFUNCTION("""COMPUTED_VALUE"""),1386.50176)</f>
        <v>1386.50176</v>
      </c>
    </row>
    <row r="501">
      <c r="A501" s="3">
        <f>IFERROR(__xludf.DUMMYFUNCTION("""COMPUTED_VALUE"""),40848.99861111111)</f>
        <v>40848.99861</v>
      </c>
      <c r="B501" s="1">
        <f>IFERROR(__xludf.DUMMYFUNCTION("""COMPUTED_VALUE"""),1392.74982)</f>
        <v>1392.74982</v>
      </c>
    </row>
    <row r="502">
      <c r="A502" s="3">
        <f>IFERROR(__xludf.DUMMYFUNCTION("""COMPUTED_VALUE"""),40849.99861111111)</f>
        <v>40849.99861</v>
      </c>
      <c r="B502" s="1">
        <f>IFERROR(__xludf.DUMMYFUNCTION("""COMPUTED_VALUE"""),1397.943942)</f>
        <v>1397.943942</v>
      </c>
    </row>
    <row r="503">
      <c r="A503" s="3">
        <f>IFERROR(__xludf.DUMMYFUNCTION("""COMPUTED_VALUE"""),40850.99861111111)</f>
        <v>40850.99861</v>
      </c>
      <c r="B503" s="1">
        <f>IFERROR(__xludf.DUMMYFUNCTION("""COMPUTED_VALUE"""),1406.291664)</f>
        <v>1406.291664</v>
      </c>
    </row>
    <row r="504">
      <c r="A504" s="3">
        <f>IFERROR(__xludf.DUMMYFUNCTION("""COMPUTED_VALUE"""),40851.99861111111)</f>
        <v>40851.99861</v>
      </c>
      <c r="B504" s="1">
        <f>IFERROR(__xludf.DUMMYFUNCTION("""COMPUTED_VALUE"""),1404.27555)</f>
        <v>1404.27555</v>
      </c>
    </row>
    <row r="505">
      <c r="A505" s="3">
        <f>IFERROR(__xludf.DUMMYFUNCTION("""COMPUTED_VALUE"""),40852.99861111111)</f>
        <v>40852.99861</v>
      </c>
      <c r="B505" s="1">
        <f>IFERROR(__xludf.DUMMYFUNCTION("""COMPUTED_VALUE"""),1391.467908)</f>
        <v>1391.467908</v>
      </c>
    </row>
    <row r="506">
      <c r="A506" s="3">
        <f>IFERROR(__xludf.DUMMYFUNCTION("""COMPUTED_VALUE"""),40854.99861111111)</f>
        <v>40854.99861</v>
      </c>
      <c r="B506" s="1">
        <f>IFERROR(__xludf.DUMMYFUNCTION("""COMPUTED_VALUE"""),1409.777778)</f>
        <v>1409.777778</v>
      </c>
    </row>
    <row r="507">
      <c r="A507" s="3">
        <f>IFERROR(__xludf.DUMMYFUNCTION("""COMPUTED_VALUE"""),40855.99861111111)</f>
        <v>40855.99861</v>
      </c>
      <c r="B507" s="1">
        <f>IFERROR(__xludf.DUMMYFUNCTION("""COMPUTED_VALUE"""),1403.48845)</f>
        <v>1403.48845</v>
      </c>
    </row>
    <row r="508">
      <c r="A508" s="3">
        <f>IFERROR(__xludf.DUMMYFUNCTION("""COMPUTED_VALUE"""),40856.99861111111)</f>
        <v>40856.99861</v>
      </c>
      <c r="B508" s="1">
        <f>IFERROR(__xludf.DUMMYFUNCTION("""COMPUTED_VALUE"""),1400.256024)</f>
        <v>1400.256024</v>
      </c>
    </row>
    <row r="509">
      <c r="A509" s="3">
        <f>IFERROR(__xludf.DUMMYFUNCTION("""COMPUTED_VALUE"""),40857.99861111111)</f>
        <v>40857.99861</v>
      </c>
      <c r="B509" s="1">
        <f>IFERROR(__xludf.DUMMYFUNCTION("""COMPUTED_VALUE"""),1412.856824)</f>
        <v>1412.856824</v>
      </c>
    </row>
    <row r="510">
      <c r="A510" s="3">
        <f>IFERROR(__xludf.DUMMYFUNCTION("""COMPUTED_VALUE"""),40858.99861111111)</f>
        <v>40858.99861</v>
      </c>
      <c r="B510" s="1">
        <f>IFERROR(__xludf.DUMMYFUNCTION("""COMPUTED_VALUE"""),1409.575068)</f>
        <v>1409.575068</v>
      </c>
    </row>
    <row r="511">
      <c r="A511" s="3">
        <f>IFERROR(__xludf.DUMMYFUNCTION("""COMPUTED_VALUE"""),40860.99861111111)</f>
        <v>40860.99861</v>
      </c>
      <c r="B511" s="1">
        <f>IFERROR(__xludf.DUMMYFUNCTION("""COMPUTED_VALUE"""),1411.645009)</f>
        <v>1411.645009</v>
      </c>
    </row>
    <row r="512">
      <c r="A512" s="3">
        <f>IFERROR(__xludf.DUMMYFUNCTION("""COMPUTED_VALUE"""),40861.99861111111)</f>
        <v>40861.99861</v>
      </c>
      <c r="B512" s="1">
        <f>IFERROR(__xludf.DUMMYFUNCTION("""COMPUTED_VALUE"""),1408.393645)</f>
        <v>1408.393645</v>
      </c>
    </row>
    <row r="513">
      <c r="A513" s="3">
        <f>IFERROR(__xludf.DUMMYFUNCTION("""COMPUTED_VALUE"""),40862.99861111111)</f>
        <v>40862.99861</v>
      </c>
      <c r="B513" s="1">
        <f>IFERROR(__xludf.DUMMYFUNCTION("""COMPUTED_VALUE"""),1414.995584)</f>
        <v>1414.995584</v>
      </c>
    </row>
    <row r="514">
      <c r="A514" s="3">
        <f>IFERROR(__xludf.DUMMYFUNCTION("""COMPUTED_VALUE"""),40863.99861111111)</f>
        <v>40863.99861</v>
      </c>
      <c r="B514" s="1">
        <f>IFERROR(__xludf.DUMMYFUNCTION("""COMPUTED_VALUE"""),1415.029423)</f>
        <v>1415.029423</v>
      </c>
    </row>
    <row r="515">
      <c r="A515" s="3">
        <f>IFERROR(__xludf.DUMMYFUNCTION("""COMPUTED_VALUE"""),40864.99861111111)</f>
        <v>40864.99861</v>
      </c>
      <c r="B515" s="1">
        <f>IFERROR(__xludf.DUMMYFUNCTION("""COMPUTED_VALUE"""),1410.598167)</f>
        <v>1410.598167</v>
      </c>
    </row>
    <row r="516">
      <c r="A516" s="3">
        <f>IFERROR(__xludf.DUMMYFUNCTION("""COMPUTED_VALUE"""),40865.99861111111)</f>
        <v>40865.99861</v>
      </c>
      <c r="B516" s="1">
        <f>IFERROR(__xludf.DUMMYFUNCTION("""COMPUTED_VALUE"""),1412.115075)</f>
        <v>1412.115075</v>
      </c>
    </row>
    <row r="517">
      <c r="A517" s="3">
        <f>IFERROR(__xludf.DUMMYFUNCTION("""COMPUTED_VALUE"""),40866.99861111111)</f>
        <v>40866.99861</v>
      </c>
      <c r="B517" s="1">
        <f>IFERROR(__xludf.DUMMYFUNCTION("""COMPUTED_VALUE"""),1397.792115)</f>
        <v>1397.792115</v>
      </c>
    </row>
    <row r="518">
      <c r="A518" s="3">
        <f>IFERROR(__xludf.DUMMYFUNCTION("""COMPUTED_VALUE"""),40868.99861111111)</f>
        <v>40868.99861</v>
      </c>
      <c r="B518" s="1">
        <f>IFERROR(__xludf.DUMMYFUNCTION("""COMPUTED_VALUE"""),1416.556152)</f>
        <v>1416.556152</v>
      </c>
    </row>
    <row r="519">
      <c r="A519" s="3">
        <f>IFERROR(__xludf.DUMMYFUNCTION("""COMPUTED_VALUE"""),40869.99861111111)</f>
        <v>40869.99861</v>
      </c>
      <c r="B519" s="1">
        <f>IFERROR(__xludf.DUMMYFUNCTION("""COMPUTED_VALUE"""),1419.514453)</f>
        <v>1419.514453</v>
      </c>
    </row>
    <row r="520">
      <c r="A520" s="3">
        <f>IFERROR(__xludf.DUMMYFUNCTION("""COMPUTED_VALUE"""),40870.99861111111)</f>
        <v>40870.99861</v>
      </c>
      <c r="B520" s="1">
        <f>IFERROR(__xludf.DUMMYFUNCTION("""COMPUTED_VALUE"""),1416.104145)</f>
        <v>1416.104145</v>
      </c>
    </row>
    <row r="521">
      <c r="A521" s="3">
        <f>IFERROR(__xludf.DUMMYFUNCTION("""COMPUTED_VALUE"""),40871.99861111111)</f>
        <v>40871.99861</v>
      </c>
      <c r="B521" s="1">
        <f>IFERROR(__xludf.DUMMYFUNCTION("""COMPUTED_VALUE"""),1406.379808)</f>
        <v>1406.379808</v>
      </c>
    </row>
    <row r="522">
      <c r="A522" s="3">
        <f>IFERROR(__xludf.DUMMYFUNCTION("""COMPUTED_VALUE"""),40872.99861111111)</f>
        <v>40872.99861</v>
      </c>
      <c r="B522" s="1">
        <f>IFERROR(__xludf.DUMMYFUNCTION("""COMPUTED_VALUE"""),1412.121304)</f>
        <v>1412.121304</v>
      </c>
    </row>
    <row r="523">
      <c r="A523" s="3">
        <f>IFERROR(__xludf.DUMMYFUNCTION("""COMPUTED_VALUE"""),40873.99861111111)</f>
        <v>40873.99861</v>
      </c>
      <c r="B523" s="1">
        <f>IFERROR(__xludf.DUMMYFUNCTION("""COMPUTED_VALUE"""),1413.20074)</f>
        <v>1413.20074</v>
      </c>
    </row>
    <row r="524">
      <c r="A524" s="3">
        <f>IFERROR(__xludf.DUMMYFUNCTION("""COMPUTED_VALUE"""),40874.99861111111)</f>
        <v>40874.99861</v>
      </c>
      <c r="B524" s="1">
        <f>IFERROR(__xludf.DUMMYFUNCTION("""COMPUTED_VALUE"""),1416.556378)</f>
        <v>1416.556378</v>
      </c>
    </row>
    <row r="525">
      <c r="A525" s="3">
        <f>IFERROR(__xludf.DUMMYFUNCTION("""COMPUTED_VALUE"""),40875.99861111111)</f>
        <v>40875.99861</v>
      </c>
      <c r="B525" s="1">
        <f>IFERROR(__xludf.DUMMYFUNCTION("""COMPUTED_VALUE"""),1425.031283)</f>
        <v>1425.031283</v>
      </c>
    </row>
    <row r="526">
      <c r="A526" s="3">
        <f>IFERROR(__xludf.DUMMYFUNCTION("""COMPUTED_VALUE"""),40876.99861111111)</f>
        <v>40876.99861</v>
      </c>
      <c r="B526" s="1">
        <f>IFERROR(__xludf.DUMMYFUNCTION("""COMPUTED_VALUE"""),1428.361505)</f>
        <v>1428.361505</v>
      </c>
    </row>
    <row r="527">
      <c r="A527" s="3">
        <f>IFERROR(__xludf.DUMMYFUNCTION("""COMPUTED_VALUE"""),40877.99861111111)</f>
        <v>40877.99861</v>
      </c>
      <c r="B527" s="1">
        <f>IFERROR(__xludf.DUMMYFUNCTION("""COMPUTED_VALUE"""),1422.772725)</f>
        <v>1422.772725</v>
      </c>
    </row>
    <row r="528">
      <c r="A528" s="3">
        <f>IFERROR(__xludf.DUMMYFUNCTION("""COMPUTED_VALUE"""),40878.99861111111)</f>
        <v>40878.99861</v>
      </c>
      <c r="B528" s="1">
        <f>IFERROR(__xludf.DUMMYFUNCTION("""COMPUTED_VALUE"""),1409.958412)</f>
        <v>1409.958412</v>
      </c>
    </row>
    <row r="529">
      <c r="A529" s="3">
        <f>IFERROR(__xludf.DUMMYFUNCTION("""COMPUTED_VALUE"""),40879.99861111111)</f>
        <v>40879.99861</v>
      </c>
      <c r="B529" s="1">
        <f>IFERROR(__xludf.DUMMYFUNCTION("""COMPUTED_VALUE"""),1414.8141)</f>
        <v>1414.8141</v>
      </c>
    </row>
    <row r="530">
      <c r="A530" s="3">
        <f>IFERROR(__xludf.DUMMYFUNCTION("""COMPUTED_VALUE"""),40881.99861111111)</f>
        <v>40881.99861</v>
      </c>
      <c r="B530" s="1">
        <f>IFERROR(__xludf.DUMMYFUNCTION("""COMPUTED_VALUE"""),1414.625954)</f>
        <v>1414.625954</v>
      </c>
    </row>
    <row r="531">
      <c r="A531" s="3">
        <f>IFERROR(__xludf.DUMMYFUNCTION("""COMPUTED_VALUE"""),40882.99861111111)</f>
        <v>40882.99861</v>
      </c>
      <c r="B531" s="1">
        <f>IFERROR(__xludf.DUMMYFUNCTION("""COMPUTED_VALUE"""),1420.384998)</f>
        <v>1420.384998</v>
      </c>
    </row>
    <row r="532">
      <c r="A532" s="3">
        <f>IFERROR(__xludf.DUMMYFUNCTION("""COMPUTED_VALUE"""),40883.99861111111)</f>
        <v>40883.99861</v>
      </c>
      <c r="B532" s="1">
        <f>IFERROR(__xludf.DUMMYFUNCTION("""COMPUTED_VALUE"""),1424.630916)</f>
        <v>1424.630916</v>
      </c>
    </row>
    <row r="533">
      <c r="A533" s="3">
        <f>IFERROR(__xludf.DUMMYFUNCTION("""COMPUTED_VALUE"""),40884.99861111111)</f>
        <v>40884.99861</v>
      </c>
      <c r="B533" s="1">
        <f>IFERROR(__xludf.DUMMYFUNCTION("""COMPUTED_VALUE"""),1417.211526)</f>
        <v>1417.211526</v>
      </c>
    </row>
    <row r="534">
      <c r="A534" s="3">
        <f>IFERROR(__xludf.DUMMYFUNCTION("""COMPUTED_VALUE"""),40885.99861111111)</f>
        <v>40885.99861</v>
      </c>
      <c r="B534" s="1">
        <f>IFERROR(__xludf.DUMMYFUNCTION("""COMPUTED_VALUE"""),1412.1172)</f>
        <v>1412.1172</v>
      </c>
    </row>
    <row r="535">
      <c r="A535" s="3">
        <f>IFERROR(__xludf.DUMMYFUNCTION("""COMPUTED_VALUE"""),40886.99861111111)</f>
        <v>40886.99861</v>
      </c>
      <c r="B535" s="1">
        <f>IFERROR(__xludf.DUMMYFUNCTION("""COMPUTED_VALUE"""),1420.307)</f>
        <v>1420.307</v>
      </c>
    </row>
    <row r="536">
      <c r="A536" s="3">
        <f>IFERROR(__xludf.DUMMYFUNCTION("""COMPUTED_VALUE"""),40887.99861111111)</f>
        <v>40887.99861</v>
      </c>
      <c r="B536" s="1">
        <f>IFERROR(__xludf.DUMMYFUNCTION("""COMPUTED_VALUE"""),1396.639888)</f>
        <v>1396.639888</v>
      </c>
    </row>
    <row r="537">
      <c r="A537" s="3">
        <f>IFERROR(__xludf.DUMMYFUNCTION("""COMPUTED_VALUE"""),40889.99861111111)</f>
        <v>40889.99861</v>
      </c>
      <c r="B537" s="1">
        <f>IFERROR(__xludf.DUMMYFUNCTION("""COMPUTED_VALUE"""),1421.294647)</f>
        <v>1421.294647</v>
      </c>
    </row>
    <row r="538">
      <c r="A538" s="3">
        <f>IFERROR(__xludf.DUMMYFUNCTION("""COMPUTED_VALUE"""),40890.99861111111)</f>
        <v>40890.99861</v>
      </c>
      <c r="B538" s="1">
        <f>IFERROR(__xludf.DUMMYFUNCTION("""COMPUTED_VALUE"""),1432.239878)</f>
        <v>1432.239878</v>
      </c>
    </row>
    <row r="539">
      <c r="A539" s="3">
        <f>IFERROR(__xludf.DUMMYFUNCTION("""COMPUTED_VALUE"""),40891.99861111111)</f>
        <v>40891.99861</v>
      </c>
      <c r="B539" s="1">
        <f>IFERROR(__xludf.DUMMYFUNCTION("""COMPUTED_VALUE"""),1427.881)</f>
        <v>1427.881</v>
      </c>
    </row>
    <row r="540">
      <c r="A540" s="3">
        <f>IFERROR(__xludf.DUMMYFUNCTION("""COMPUTED_VALUE"""),40892.99861111111)</f>
        <v>40892.99861</v>
      </c>
      <c r="B540" s="1">
        <f>IFERROR(__xludf.DUMMYFUNCTION("""COMPUTED_VALUE"""),1426.304054)</f>
        <v>1426.304054</v>
      </c>
    </row>
    <row r="541">
      <c r="A541" s="3">
        <f>IFERROR(__xludf.DUMMYFUNCTION("""COMPUTED_VALUE"""),40893.99861111111)</f>
        <v>40893.99861</v>
      </c>
      <c r="B541" s="1">
        <f>IFERROR(__xludf.DUMMYFUNCTION("""COMPUTED_VALUE"""),1423.096664)</f>
        <v>1423.096664</v>
      </c>
    </row>
    <row r="542">
      <c r="A542" s="3">
        <f>IFERROR(__xludf.DUMMYFUNCTION("""COMPUTED_VALUE"""),40895.99861111111)</f>
        <v>40895.99861</v>
      </c>
      <c r="B542" s="1">
        <f>IFERROR(__xludf.DUMMYFUNCTION("""COMPUTED_VALUE"""),1418.024955)</f>
        <v>1418.024955</v>
      </c>
    </row>
    <row r="543">
      <c r="A543" s="3">
        <f>IFERROR(__xludf.DUMMYFUNCTION("""COMPUTED_VALUE"""),40896.99861111111)</f>
        <v>40896.99861</v>
      </c>
      <c r="B543" s="1">
        <f>IFERROR(__xludf.DUMMYFUNCTION("""COMPUTED_VALUE"""),1445.801409)</f>
        <v>1445.801409</v>
      </c>
    </row>
    <row r="544">
      <c r="A544" s="3">
        <f>IFERROR(__xludf.DUMMYFUNCTION("""COMPUTED_VALUE"""),40897.99861111111)</f>
        <v>40897.99861</v>
      </c>
      <c r="B544" s="1">
        <f>IFERROR(__xludf.DUMMYFUNCTION("""COMPUTED_VALUE"""),1425.087476)</f>
        <v>1425.087476</v>
      </c>
    </row>
    <row r="545">
      <c r="A545" s="3">
        <f>IFERROR(__xludf.DUMMYFUNCTION("""COMPUTED_VALUE"""),40898.99861111111)</f>
        <v>40898.99861</v>
      </c>
      <c r="B545" s="1">
        <f>IFERROR(__xludf.DUMMYFUNCTION("""COMPUTED_VALUE"""),1423.899075)</f>
        <v>1423.899075</v>
      </c>
    </row>
    <row r="546">
      <c r="A546" s="3">
        <f>IFERROR(__xludf.DUMMYFUNCTION("""COMPUTED_VALUE"""),40899.99861111111)</f>
        <v>40899.99861</v>
      </c>
      <c r="B546" s="1">
        <f>IFERROR(__xludf.DUMMYFUNCTION("""COMPUTED_VALUE"""),1444.754745)</f>
        <v>1444.754745</v>
      </c>
    </row>
    <row r="547">
      <c r="A547" s="3">
        <f>IFERROR(__xludf.DUMMYFUNCTION("""COMPUTED_VALUE"""),40900.99861111111)</f>
        <v>40900.99861</v>
      </c>
      <c r="B547" s="1">
        <f>IFERROR(__xludf.DUMMYFUNCTION("""COMPUTED_VALUE"""),1425.4272)</f>
        <v>1425.4272</v>
      </c>
    </row>
    <row r="548">
      <c r="A548" s="3">
        <f>IFERROR(__xludf.DUMMYFUNCTION("""COMPUTED_VALUE"""),40901.99861111111)</f>
        <v>40901.99861</v>
      </c>
      <c r="B548" s="1">
        <f>IFERROR(__xludf.DUMMYFUNCTION("""COMPUTED_VALUE"""),1423.909536)</f>
        <v>1423.909536</v>
      </c>
    </row>
    <row r="549">
      <c r="A549" s="3">
        <f>IFERROR(__xludf.DUMMYFUNCTION("""COMPUTED_VALUE"""),40904.99861111111)</f>
        <v>40904.99861</v>
      </c>
      <c r="B549" s="1">
        <f>IFERROR(__xludf.DUMMYFUNCTION("""COMPUTED_VALUE"""),1433.42716)</f>
        <v>1433.42716</v>
      </c>
    </row>
    <row r="550">
      <c r="A550" s="3">
        <f>IFERROR(__xludf.DUMMYFUNCTION("""COMPUTED_VALUE"""),40905.99861111111)</f>
        <v>40905.99861</v>
      </c>
      <c r="B550" s="1">
        <f>IFERROR(__xludf.DUMMYFUNCTION("""COMPUTED_VALUE"""),1431.2763)</f>
        <v>1431.2763</v>
      </c>
    </row>
    <row r="551">
      <c r="A551" s="3">
        <f>IFERROR(__xludf.DUMMYFUNCTION("""COMPUTED_VALUE"""),40906.99861111111)</f>
        <v>40906.99861</v>
      </c>
      <c r="B551" s="1">
        <f>IFERROR(__xludf.DUMMYFUNCTION("""COMPUTED_VALUE"""),1399.0584)</f>
        <v>1399.0584</v>
      </c>
    </row>
    <row r="552">
      <c r="A552" s="3">
        <f>IFERROR(__xludf.DUMMYFUNCTION("""COMPUTED_VALUE"""),40907.99861111111)</f>
        <v>40907.99861</v>
      </c>
      <c r="B552" s="1">
        <f>IFERROR(__xludf.DUMMYFUNCTION("""COMPUTED_VALUE"""),1436.463)</f>
        <v>1436.463</v>
      </c>
    </row>
    <row r="553">
      <c r="A553" s="3">
        <f>IFERROR(__xludf.DUMMYFUNCTION("""COMPUTED_VALUE"""),40908.99861111111)</f>
        <v>40908.99861</v>
      </c>
      <c r="B553" s="1">
        <f>IFERROR(__xludf.DUMMYFUNCTION("""COMPUTED_VALUE"""),1436.123)</f>
        <v>1436.123</v>
      </c>
    </row>
    <row r="554">
      <c r="A554" s="3">
        <f>IFERROR(__xludf.DUMMYFUNCTION("""COMPUTED_VALUE"""),40910.99861111111)</f>
        <v>40910.99861</v>
      </c>
      <c r="B554" s="1">
        <f>IFERROR(__xludf.DUMMYFUNCTION("""COMPUTED_VALUE"""),1412.409794)</f>
        <v>1412.409794</v>
      </c>
    </row>
    <row r="555">
      <c r="A555" s="3">
        <f>IFERROR(__xludf.DUMMYFUNCTION("""COMPUTED_VALUE"""),40911.99861111111)</f>
        <v>40911.99861</v>
      </c>
      <c r="B555" s="1">
        <f>IFERROR(__xludf.DUMMYFUNCTION("""COMPUTED_VALUE"""),1447.0974)</f>
        <v>1447.0974</v>
      </c>
    </row>
    <row r="556">
      <c r="A556" s="3">
        <f>IFERROR(__xludf.DUMMYFUNCTION("""COMPUTED_VALUE"""),40912.99861111111)</f>
        <v>40912.99861</v>
      </c>
      <c r="B556" s="1">
        <f>IFERROR(__xludf.DUMMYFUNCTION("""COMPUTED_VALUE"""),1447.680198)</f>
        <v>1447.680198</v>
      </c>
    </row>
    <row r="557">
      <c r="A557" s="3">
        <f>IFERROR(__xludf.DUMMYFUNCTION("""COMPUTED_VALUE"""),40913.99861111111)</f>
        <v>40913.99861</v>
      </c>
      <c r="B557" s="1">
        <f>IFERROR(__xludf.DUMMYFUNCTION("""COMPUTED_VALUE"""),1443.7528)</f>
        <v>1443.7528</v>
      </c>
    </row>
    <row r="558">
      <c r="A558" s="3">
        <f>IFERROR(__xludf.DUMMYFUNCTION("""COMPUTED_VALUE"""),40914.99861111111)</f>
        <v>40914.99861</v>
      </c>
      <c r="B558" s="1">
        <f>IFERROR(__xludf.DUMMYFUNCTION("""COMPUTED_VALUE"""),1438.947)</f>
        <v>1438.947</v>
      </c>
    </row>
    <row r="559">
      <c r="A559" s="3">
        <f>IFERROR(__xludf.DUMMYFUNCTION("""COMPUTED_VALUE"""),40915.99861111111)</f>
        <v>40915.99861</v>
      </c>
      <c r="B559" s="1">
        <f>IFERROR(__xludf.DUMMYFUNCTION("""COMPUTED_VALUE"""),1433.401216)</f>
        <v>1433.401216</v>
      </c>
    </row>
    <row r="560">
      <c r="A560" s="3">
        <f>IFERROR(__xludf.DUMMYFUNCTION("""COMPUTED_VALUE"""),40917.99861111111)</f>
        <v>40917.99861</v>
      </c>
      <c r="B560" s="1">
        <f>IFERROR(__xludf.DUMMYFUNCTION("""COMPUTED_VALUE"""),1448.2691)</f>
        <v>1448.2691</v>
      </c>
    </row>
    <row r="561">
      <c r="A561" s="3">
        <f>IFERROR(__xludf.DUMMYFUNCTION("""COMPUTED_VALUE"""),40918.99861111111)</f>
        <v>40918.99861</v>
      </c>
      <c r="B561" s="1">
        <f>IFERROR(__xludf.DUMMYFUNCTION("""COMPUTED_VALUE"""),1448.3851)</f>
        <v>1448.3851</v>
      </c>
    </row>
    <row r="562">
      <c r="A562" s="3">
        <f>IFERROR(__xludf.DUMMYFUNCTION("""COMPUTED_VALUE"""),40919.99861111111)</f>
        <v>40919.99861</v>
      </c>
      <c r="B562" s="1">
        <f>IFERROR(__xludf.DUMMYFUNCTION("""COMPUTED_VALUE"""),1454.5932)</f>
        <v>1454.5932</v>
      </c>
    </row>
    <row r="563">
      <c r="A563" s="3">
        <f>IFERROR(__xludf.DUMMYFUNCTION("""COMPUTED_VALUE"""),40920.99861111111)</f>
        <v>40920.99861</v>
      </c>
      <c r="B563" s="1">
        <f>IFERROR(__xludf.DUMMYFUNCTION("""COMPUTED_VALUE"""),1445.9745)</f>
        <v>1445.9745</v>
      </c>
    </row>
    <row r="564">
      <c r="A564" s="3">
        <f>IFERROR(__xludf.DUMMYFUNCTION("""COMPUTED_VALUE"""),40921.99861111111)</f>
        <v>40921.99861</v>
      </c>
      <c r="B564" s="1">
        <f>IFERROR(__xludf.DUMMYFUNCTION("""COMPUTED_VALUE"""),1437.0474)</f>
        <v>1437.0474</v>
      </c>
    </row>
    <row r="565">
      <c r="A565" s="3">
        <f>IFERROR(__xludf.DUMMYFUNCTION("""COMPUTED_VALUE"""),40922.99861111111)</f>
        <v>40922.99861</v>
      </c>
      <c r="B565" s="1">
        <f>IFERROR(__xludf.DUMMYFUNCTION("""COMPUTED_VALUE"""),1433.345657)</f>
        <v>1433.345657</v>
      </c>
    </row>
    <row r="566">
      <c r="A566" s="3">
        <f>IFERROR(__xludf.DUMMYFUNCTION("""COMPUTED_VALUE"""),40924.99861111111)</f>
        <v>40924.99861</v>
      </c>
      <c r="B566" s="1">
        <f>IFERROR(__xludf.DUMMYFUNCTION("""COMPUTED_VALUE"""),1438.512192)</f>
        <v>1438.512192</v>
      </c>
    </row>
    <row r="567">
      <c r="A567" s="3">
        <f>IFERROR(__xludf.DUMMYFUNCTION("""COMPUTED_VALUE"""),40925.99861111111)</f>
        <v>40925.99861</v>
      </c>
      <c r="B567" s="1">
        <f>IFERROR(__xludf.DUMMYFUNCTION("""COMPUTED_VALUE"""),1435.3275)</f>
        <v>1435.3275</v>
      </c>
    </row>
    <row r="568">
      <c r="A568" s="3">
        <f>IFERROR(__xludf.DUMMYFUNCTION("""COMPUTED_VALUE"""),40926.99861111111)</f>
        <v>40926.99861</v>
      </c>
      <c r="B568" s="1">
        <f>IFERROR(__xludf.DUMMYFUNCTION("""COMPUTED_VALUE"""),1427.153283)</f>
        <v>1427.153283</v>
      </c>
    </row>
    <row r="569">
      <c r="A569" s="3">
        <f>IFERROR(__xludf.DUMMYFUNCTION("""COMPUTED_VALUE"""),40927.99861111111)</f>
        <v>40927.99861</v>
      </c>
      <c r="B569" s="1">
        <f>IFERROR(__xludf.DUMMYFUNCTION("""COMPUTED_VALUE"""),1413.75725)</f>
        <v>1413.75725</v>
      </c>
    </row>
    <row r="570">
      <c r="A570" s="3">
        <f>IFERROR(__xludf.DUMMYFUNCTION("""COMPUTED_VALUE"""),40928.99861111111)</f>
        <v>40928.99861</v>
      </c>
      <c r="B570" s="1">
        <f>IFERROR(__xludf.DUMMYFUNCTION("""COMPUTED_VALUE"""),1411.4947)</f>
        <v>1411.4947</v>
      </c>
    </row>
    <row r="571">
      <c r="A571" s="3">
        <f>IFERROR(__xludf.DUMMYFUNCTION("""COMPUTED_VALUE"""),40929.99861111111)</f>
        <v>40929.99861</v>
      </c>
      <c r="B571" s="1">
        <f>IFERROR(__xludf.DUMMYFUNCTION("""COMPUTED_VALUE"""),1405.8812)</f>
        <v>1405.8812</v>
      </c>
    </row>
    <row r="572">
      <c r="A572" s="3">
        <f>IFERROR(__xludf.DUMMYFUNCTION("""COMPUTED_VALUE"""),40931.99861111111)</f>
        <v>40931.99861</v>
      </c>
      <c r="B572" s="1">
        <f>IFERROR(__xludf.DUMMYFUNCTION("""COMPUTED_VALUE"""),1412.3036)</f>
        <v>1412.3036</v>
      </c>
    </row>
    <row r="573">
      <c r="A573" s="3">
        <f>IFERROR(__xludf.DUMMYFUNCTION("""COMPUTED_VALUE"""),40932.99861111111)</f>
        <v>40932.99861</v>
      </c>
      <c r="B573" s="1">
        <f>IFERROR(__xludf.DUMMYFUNCTION("""COMPUTED_VALUE"""),1416.52854)</f>
        <v>1416.52854</v>
      </c>
    </row>
    <row r="574">
      <c r="A574" s="3">
        <f>IFERROR(__xludf.DUMMYFUNCTION("""COMPUTED_VALUE"""),40933.99861111111)</f>
        <v>40933.99861</v>
      </c>
      <c r="B574" s="1">
        <f>IFERROR(__xludf.DUMMYFUNCTION("""COMPUTED_VALUE"""),1433.072004)</f>
        <v>1433.072004</v>
      </c>
    </row>
    <row r="575">
      <c r="A575" s="3">
        <f>IFERROR(__xludf.DUMMYFUNCTION("""COMPUTED_VALUE"""),40934.99861111111)</f>
        <v>40934.99861</v>
      </c>
      <c r="B575" s="1">
        <f>IFERROR(__xludf.DUMMYFUNCTION("""COMPUTED_VALUE"""),1420.837587)</f>
        <v>1420.837587</v>
      </c>
    </row>
    <row r="576">
      <c r="A576" s="3">
        <f>IFERROR(__xludf.DUMMYFUNCTION("""COMPUTED_VALUE"""),40935.99861111111)</f>
        <v>40935.99861</v>
      </c>
      <c r="B576" s="1">
        <f>IFERROR(__xludf.DUMMYFUNCTION("""COMPUTED_VALUE"""),1421.375909)</f>
        <v>1421.375909</v>
      </c>
    </row>
    <row r="577">
      <c r="A577" s="3">
        <f>IFERROR(__xludf.DUMMYFUNCTION("""COMPUTED_VALUE"""),40936.99861111111)</f>
        <v>40936.99861</v>
      </c>
      <c r="B577" s="1">
        <f>IFERROR(__xludf.DUMMYFUNCTION("""COMPUTED_VALUE"""),1411.10376)</f>
        <v>1411.10376</v>
      </c>
    </row>
    <row r="578">
      <c r="A578" s="3">
        <f>IFERROR(__xludf.DUMMYFUNCTION("""COMPUTED_VALUE"""),40938.99861111111)</f>
        <v>40938.99861</v>
      </c>
      <c r="B578" s="1">
        <f>IFERROR(__xludf.DUMMYFUNCTION("""COMPUTED_VALUE"""),1414.52552)</f>
        <v>1414.52552</v>
      </c>
    </row>
    <row r="579">
      <c r="A579" s="3">
        <f>IFERROR(__xludf.DUMMYFUNCTION("""COMPUTED_VALUE"""),40939.99861111111)</f>
        <v>40939.99861</v>
      </c>
      <c r="B579" s="1">
        <f>IFERROR(__xludf.DUMMYFUNCTION("""COMPUTED_VALUE"""),1423.451512)</f>
        <v>1423.451512</v>
      </c>
    </row>
    <row r="580">
      <c r="A580" s="3">
        <f>IFERROR(__xludf.DUMMYFUNCTION("""COMPUTED_VALUE"""),40940.99861111111)</f>
        <v>40940.99861</v>
      </c>
      <c r="B580" s="1">
        <f>IFERROR(__xludf.DUMMYFUNCTION("""COMPUTED_VALUE"""),1423.779)</f>
        <v>1423.779</v>
      </c>
    </row>
    <row r="581">
      <c r="A581" s="3">
        <f>IFERROR(__xludf.DUMMYFUNCTION("""COMPUTED_VALUE"""),40941.99861111111)</f>
        <v>40941.99861</v>
      </c>
      <c r="B581" s="1">
        <f>IFERROR(__xludf.DUMMYFUNCTION("""COMPUTED_VALUE"""),1420.86568)</f>
        <v>1420.86568</v>
      </c>
    </row>
    <row r="582">
      <c r="A582" s="3">
        <f>IFERROR(__xludf.DUMMYFUNCTION("""COMPUTED_VALUE"""),40942.99861111111)</f>
        <v>40942.99861</v>
      </c>
      <c r="B582" s="1">
        <f>IFERROR(__xludf.DUMMYFUNCTION("""COMPUTED_VALUE"""),1420.116495)</f>
        <v>1420.116495</v>
      </c>
    </row>
    <row r="583">
      <c r="A583" s="3">
        <f>IFERROR(__xludf.DUMMYFUNCTION("""COMPUTED_VALUE"""),40943.99861111111)</f>
        <v>40943.99861</v>
      </c>
      <c r="B583" s="1">
        <f>IFERROR(__xludf.DUMMYFUNCTION("""COMPUTED_VALUE"""),1414.032478)</f>
        <v>1414.032478</v>
      </c>
    </row>
    <row r="584">
      <c r="A584" s="3">
        <f>IFERROR(__xludf.DUMMYFUNCTION("""COMPUTED_VALUE"""),40944.99861111111)</f>
        <v>40944.99861</v>
      </c>
      <c r="B584" s="1">
        <f>IFERROR(__xludf.DUMMYFUNCTION("""COMPUTED_VALUE"""),1422.527396)</f>
        <v>1422.527396</v>
      </c>
    </row>
    <row r="585">
      <c r="A585" s="3">
        <f>IFERROR(__xludf.DUMMYFUNCTION("""COMPUTED_VALUE"""),40945.99861111111)</f>
        <v>40945.99861</v>
      </c>
      <c r="B585" s="1">
        <f>IFERROR(__xludf.DUMMYFUNCTION("""COMPUTED_VALUE"""),1420.99928)</f>
        <v>1420.99928</v>
      </c>
    </row>
    <row r="586">
      <c r="A586" s="3">
        <f>IFERROR(__xludf.DUMMYFUNCTION("""COMPUTED_VALUE"""),40946.99861111111)</f>
        <v>40946.99861</v>
      </c>
      <c r="B586" s="1">
        <f>IFERROR(__xludf.DUMMYFUNCTION("""COMPUTED_VALUE"""),1413.7976)</f>
        <v>1413.7976</v>
      </c>
    </row>
    <row r="587">
      <c r="A587" s="3">
        <f>IFERROR(__xludf.DUMMYFUNCTION("""COMPUTED_VALUE"""),40947.99861111111)</f>
        <v>40947.99861</v>
      </c>
      <c r="B587" s="1">
        <f>IFERROR(__xludf.DUMMYFUNCTION("""COMPUTED_VALUE"""),1403.49384)</f>
        <v>1403.49384</v>
      </c>
    </row>
    <row r="588">
      <c r="A588" s="3">
        <f>IFERROR(__xludf.DUMMYFUNCTION("""COMPUTED_VALUE"""),40948.99861111111)</f>
        <v>40948.99861</v>
      </c>
      <c r="B588" s="1">
        <f>IFERROR(__xludf.DUMMYFUNCTION("""COMPUTED_VALUE"""),1414.712)</f>
        <v>1414.712</v>
      </c>
    </row>
    <row r="589">
      <c r="A589" s="3">
        <f>IFERROR(__xludf.DUMMYFUNCTION("""COMPUTED_VALUE"""),40949.99861111111)</f>
        <v>40949.99861</v>
      </c>
      <c r="B589" s="1">
        <f>IFERROR(__xludf.DUMMYFUNCTION("""COMPUTED_VALUE"""),1421.3111)</f>
        <v>1421.3111</v>
      </c>
    </row>
    <row r="590">
      <c r="A590" s="3">
        <f>IFERROR(__xludf.DUMMYFUNCTION("""COMPUTED_VALUE"""),40950.99861111111)</f>
        <v>40950.99861</v>
      </c>
      <c r="B590" s="1">
        <f>IFERROR(__xludf.DUMMYFUNCTION("""COMPUTED_VALUE"""),1421.3111)</f>
        <v>1421.3111</v>
      </c>
    </row>
    <row r="591">
      <c r="A591" s="3">
        <f>IFERROR(__xludf.DUMMYFUNCTION("""COMPUTED_VALUE"""),40951.99861111111)</f>
        <v>40951.99861</v>
      </c>
      <c r="B591" s="1">
        <f>IFERROR(__xludf.DUMMYFUNCTION("""COMPUTED_VALUE"""),1421.3111)</f>
        <v>1421.3111</v>
      </c>
    </row>
    <row r="592">
      <c r="A592" s="3">
        <f>IFERROR(__xludf.DUMMYFUNCTION("""COMPUTED_VALUE"""),40952.99861111111)</f>
        <v>40952.99861</v>
      </c>
      <c r="B592" s="1">
        <f>IFERROR(__xludf.DUMMYFUNCTION("""COMPUTED_VALUE"""),1422.251895)</f>
        <v>1422.251895</v>
      </c>
    </row>
    <row r="593">
      <c r="A593" s="3">
        <f>IFERROR(__xludf.DUMMYFUNCTION("""COMPUTED_VALUE"""),40953.99861111111)</f>
        <v>40953.99861</v>
      </c>
      <c r="B593" s="1">
        <f>IFERROR(__xludf.DUMMYFUNCTION("""COMPUTED_VALUE"""),1425.7331)</f>
        <v>1425.7331</v>
      </c>
    </row>
    <row r="594">
      <c r="A594" s="3">
        <f>IFERROR(__xludf.DUMMYFUNCTION("""COMPUTED_VALUE"""),40954.99861111111)</f>
        <v>40954.99861</v>
      </c>
      <c r="B594" s="1">
        <f>IFERROR(__xludf.DUMMYFUNCTION("""COMPUTED_VALUE"""),1415.1371)</f>
        <v>1415.1371</v>
      </c>
    </row>
    <row r="595">
      <c r="A595" s="3">
        <f>IFERROR(__xludf.DUMMYFUNCTION("""COMPUTED_VALUE"""),40955.99861111111)</f>
        <v>40955.99861</v>
      </c>
      <c r="B595" s="1">
        <f>IFERROR(__xludf.DUMMYFUNCTION("""COMPUTED_VALUE"""),1422.3422)</f>
        <v>1422.3422</v>
      </c>
    </row>
    <row r="596">
      <c r="A596" s="3">
        <f>IFERROR(__xludf.DUMMYFUNCTION("""COMPUTED_VALUE"""),40956.99861111111)</f>
        <v>40956.99861</v>
      </c>
      <c r="B596" s="1">
        <f>IFERROR(__xludf.DUMMYFUNCTION("""COMPUTED_VALUE"""),1427.51568)</f>
        <v>1427.51568</v>
      </c>
    </row>
    <row r="597">
      <c r="A597" s="3">
        <f>IFERROR(__xludf.DUMMYFUNCTION("""COMPUTED_VALUE"""),40957.99861111111)</f>
        <v>40957.99861</v>
      </c>
      <c r="B597" s="1">
        <f>IFERROR(__xludf.DUMMYFUNCTION("""COMPUTED_VALUE"""),1424.376192)</f>
        <v>1424.376192</v>
      </c>
    </row>
    <row r="598">
      <c r="A598" s="3">
        <f>IFERROR(__xludf.DUMMYFUNCTION("""COMPUTED_VALUE"""),40958.99861111111)</f>
        <v>40958.99861</v>
      </c>
      <c r="B598" s="1">
        <f>IFERROR(__xludf.DUMMYFUNCTION("""COMPUTED_VALUE"""),1424.376192)</f>
        <v>1424.376192</v>
      </c>
    </row>
    <row r="599">
      <c r="A599" s="3">
        <f>IFERROR(__xludf.DUMMYFUNCTION("""COMPUTED_VALUE"""),40959.99861111111)</f>
        <v>40959.99861</v>
      </c>
      <c r="B599" s="1">
        <f>IFERROR(__xludf.DUMMYFUNCTION("""COMPUTED_VALUE"""),1421.460304)</f>
        <v>1421.460304</v>
      </c>
    </row>
    <row r="600">
      <c r="A600" s="3">
        <f>IFERROR(__xludf.DUMMYFUNCTION("""COMPUTED_VALUE"""),40960.99861111111)</f>
        <v>40960.99861</v>
      </c>
      <c r="B600" s="1">
        <f>IFERROR(__xludf.DUMMYFUNCTION("""COMPUTED_VALUE"""),1431.7968)</f>
        <v>1431.7968</v>
      </c>
    </row>
    <row r="601">
      <c r="A601" s="3">
        <f>IFERROR(__xludf.DUMMYFUNCTION("""COMPUTED_VALUE"""),40961.99861111111)</f>
        <v>40961.99861</v>
      </c>
      <c r="B601" s="1">
        <f>IFERROR(__xludf.DUMMYFUNCTION("""COMPUTED_VALUE"""),1433.6536)</f>
        <v>1433.6536</v>
      </c>
    </row>
    <row r="602">
      <c r="A602" s="3">
        <f>IFERROR(__xludf.DUMMYFUNCTION("""COMPUTED_VALUE"""),40962.99861111111)</f>
        <v>40962.99861</v>
      </c>
      <c r="B602" s="1">
        <f>IFERROR(__xludf.DUMMYFUNCTION("""COMPUTED_VALUE"""),1432.84)</f>
        <v>1432.84</v>
      </c>
    </row>
    <row r="603">
      <c r="A603" s="3">
        <f>IFERROR(__xludf.DUMMYFUNCTION("""COMPUTED_VALUE"""),40963.99861111111)</f>
        <v>40963.99861</v>
      </c>
      <c r="B603" s="1">
        <f>IFERROR(__xludf.DUMMYFUNCTION("""COMPUTED_VALUE"""),1433.0208)</f>
        <v>1433.0208</v>
      </c>
    </row>
    <row r="604">
      <c r="A604" s="3">
        <f>IFERROR(__xludf.DUMMYFUNCTION("""COMPUTED_VALUE"""),40964.99861111111)</f>
        <v>40964.99861</v>
      </c>
      <c r="B604" s="1">
        <f>IFERROR(__xludf.DUMMYFUNCTION("""COMPUTED_VALUE"""),1429.993068)</f>
        <v>1429.993068</v>
      </c>
    </row>
    <row r="605">
      <c r="A605" s="3">
        <f>IFERROR(__xludf.DUMMYFUNCTION("""COMPUTED_VALUE"""),40965.99861111111)</f>
        <v>40965.99861</v>
      </c>
      <c r="B605" s="1">
        <f>IFERROR(__xludf.DUMMYFUNCTION("""COMPUTED_VALUE"""),1439.739325)</f>
        <v>1439.739325</v>
      </c>
    </row>
    <row r="606">
      <c r="A606" s="3">
        <f>IFERROR(__xludf.DUMMYFUNCTION("""COMPUTED_VALUE"""),40966.99861111111)</f>
        <v>40966.99861</v>
      </c>
      <c r="B606" s="1">
        <f>IFERROR(__xludf.DUMMYFUNCTION("""COMPUTED_VALUE"""),1442.7783)</f>
        <v>1442.7783</v>
      </c>
    </row>
    <row r="607">
      <c r="A607" s="3">
        <f>IFERROR(__xludf.DUMMYFUNCTION("""COMPUTED_VALUE"""),40967.99861111111)</f>
        <v>40967.99861</v>
      </c>
      <c r="B607" s="1">
        <f>IFERROR(__xludf.DUMMYFUNCTION("""COMPUTED_VALUE"""),1427.02235)</f>
        <v>1427.02235</v>
      </c>
    </row>
    <row r="608">
      <c r="A608" s="3">
        <f>IFERROR(__xludf.DUMMYFUNCTION("""COMPUTED_VALUE"""),40968.99861111111)</f>
        <v>40968.99861</v>
      </c>
      <c r="B608" s="1">
        <f>IFERROR(__xludf.DUMMYFUNCTION("""COMPUTED_VALUE"""),1429.2563)</f>
        <v>1429.2563</v>
      </c>
    </row>
    <row r="609">
      <c r="A609" s="3">
        <f>IFERROR(__xludf.DUMMYFUNCTION("""COMPUTED_VALUE"""),40969.99861111111)</f>
        <v>40969.99861</v>
      </c>
      <c r="B609" s="1">
        <f>IFERROR(__xludf.DUMMYFUNCTION("""COMPUTED_VALUE"""),1435.2175)</f>
        <v>1435.2175</v>
      </c>
    </row>
    <row r="610">
      <c r="A610" s="3">
        <f>IFERROR(__xludf.DUMMYFUNCTION("""COMPUTED_VALUE"""),40970.99861111111)</f>
        <v>40970.99861</v>
      </c>
      <c r="B610" s="1">
        <f>IFERROR(__xludf.DUMMYFUNCTION("""COMPUTED_VALUE"""),1435.2175)</f>
        <v>1435.2175</v>
      </c>
    </row>
    <row r="611">
      <c r="A611" s="3">
        <f>IFERROR(__xludf.DUMMYFUNCTION("""COMPUTED_VALUE"""),40971.99861111111)</f>
        <v>40971.99861</v>
      </c>
      <c r="B611" s="1">
        <f>IFERROR(__xludf.DUMMYFUNCTION("""COMPUTED_VALUE"""),1435.2175)</f>
        <v>1435.2175</v>
      </c>
    </row>
    <row r="612">
      <c r="A612" s="3">
        <f>IFERROR(__xludf.DUMMYFUNCTION("""COMPUTED_VALUE"""),40972.99861111111)</f>
        <v>40972.99861</v>
      </c>
      <c r="B612" s="1">
        <f>IFERROR(__xludf.DUMMYFUNCTION("""COMPUTED_VALUE"""),1435.2175)</f>
        <v>1435.2175</v>
      </c>
    </row>
    <row r="613">
      <c r="A613" s="3">
        <f>IFERROR(__xludf.DUMMYFUNCTION("""COMPUTED_VALUE"""),40973.99861111111)</f>
        <v>40973.99861</v>
      </c>
      <c r="B613" s="1">
        <f>IFERROR(__xludf.DUMMYFUNCTION("""COMPUTED_VALUE"""),1443.13468)</f>
        <v>1443.13468</v>
      </c>
    </row>
    <row r="614">
      <c r="A614" s="3">
        <f>IFERROR(__xludf.DUMMYFUNCTION("""COMPUTED_VALUE"""),40974.99861111111)</f>
        <v>40974.99861</v>
      </c>
      <c r="B614" s="1">
        <f>IFERROR(__xludf.DUMMYFUNCTION("""COMPUTED_VALUE"""),1442.3576)</f>
        <v>1442.3576</v>
      </c>
    </row>
    <row r="615">
      <c r="A615" s="3">
        <f>IFERROR(__xludf.DUMMYFUNCTION("""COMPUTED_VALUE"""),40975.99861111111)</f>
        <v>40975.99861</v>
      </c>
      <c r="B615" s="1">
        <f>IFERROR(__xludf.DUMMYFUNCTION("""COMPUTED_VALUE"""),1436.97445)</f>
        <v>1436.97445</v>
      </c>
    </row>
    <row r="616">
      <c r="A616" s="3">
        <f>IFERROR(__xludf.DUMMYFUNCTION("""COMPUTED_VALUE"""),40976.99861111111)</f>
        <v>40976.99861</v>
      </c>
      <c r="B616" s="1">
        <f>IFERROR(__xludf.DUMMYFUNCTION("""COMPUTED_VALUE"""),1439.3184)</f>
        <v>1439.3184</v>
      </c>
    </row>
    <row r="617">
      <c r="A617" s="3">
        <f>IFERROR(__xludf.DUMMYFUNCTION("""COMPUTED_VALUE"""),40977.99861111111)</f>
        <v>40977.99861</v>
      </c>
      <c r="B617" s="1">
        <f>IFERROR(__xludf.DUMMYFUNCTION("""COMPUTED_VALUE"""),1440.50205)</f>
        <v>1440.50205</v>
      </c>
    </row>
    <row r="618">
      <c r="A618" s="3">
        <f>IFERROR(__xludf.DUMMYFUNCTION("""COMPUTED_VALUE"""),40978.99861111111)</f>
        <v>40978.99861</v>
      </c>
      <c r="B618" s="1">
        <f>IFERROR(__xludf.DUMMYFUNCTION("""COMPUTED_VALUE"""),1450.102155)</f>
        <v>1450.102155</v>
      </c>
    </row>
    <row r="619">
      <c r="A619" s="3">
        <f>IFERROR(__xludf.DUMMYFUNCTION("""COMPUTED_VALUE"""),40979.99861111111)</f>
        <v>40979.99861</v>
      </c>
      <c r="B619" s="1">
        <f>IFERROR(__xludf.DUMMYFUNCTION("""COMPUTED_VALUE"""),1447.137342)</f>
        <v>1447.137342</v>
      </c>
    </row>
    <row r="620">
      <c r="A620" s="3">
        <f>IFERROR(__xludf.DUMMYFUNCTION("""COMPUTED_VALUE"""),40980.99861111111)</f>
        <v>40980.99861</v>
      </c>
      <c r="B620" s="1">
        <f>IFERROR(__xludf.DUMMYFUNCTION("""COMPUTED_VALUE"""),1441.46139)</f>
        <v>1441.46139</v>
      </c>
    </row>
    <row r="621">
      <c r="A621" s="3">
        <f>IFERROR(__xludf.DUMMYFUNCTION("""COMPUTED_VALUE"""),40981.99861111111)</f>
        <v>40981.99861</v>
      </c>
      <c r="B621" s="1">
        <f>IFERROR(__xludf.DUMMYFUNCTION("""COMPUTED_VALUE"""),1441.46139)</f>
        <v>1441.46139</v>
      </c>
    </row>
    <row r="622">
      <c r="A622" s="3">
        <f>IFERROR(__xludf.DUMMYFUNCTION("""COMPUTED_VALUE"""),40982.99861111111)</f>
        <v>40982.99861</v>
      </c>
      <c r="B622" s="1">
        <f>IFERROR(__xludf.DUMMYFUNCTION("""COMPUTED_VALUE"""),1444.45532)</f>
        <v>1444.45532</v>
      </c>
    </row>
    <row r="623">
      <c r="A623" s="3">
        <f>IFERROR(__xludf.DUMMYFUNCTION("""COMPUTED_VALUE"""),40983.99861111111)</f>
        <v>40983.99861</v>
      </c>
      <c r="B623" s="1">
        <f>IFERROR(__xludf.DUMMYFUNCTION("""COMPUTED_VALUE"""),1445.09673)</f>
        <v>1445.09673</v>
      </c>
    </row>
    <row r="624">
      <c r="A624" s="3">
        <f>IFERROR(__xludf.DUMMYFUNCTION("""COMPUTED_VALUE"""),40984.99861111111)</f>
        <v>40984.99861</v>
      </c>
      <c r="B624" s="1">
        <f>IFERROR(__xludf.DUMMYFUNCTION("""COMPUTED_VALUE"""),1437.163)</f>
        <v>1437.163</v>
      </c>
    </row>
    <row r="625">
      <c r="A625" s="3">
        <f>IFERROR(__xludf.DUMMYFUNCTION("""COMPUTED_VALUE"""),40985.99861111111)</f>
        <v>40985.99861</v>
      </c>
      <c r="B625" s="1">
        <f>IFERROR(__xludf.DUMMYFUNCTION("""COMPUTED_VALUE"""),1434.967773)</f>
        <v>1434.967773</v>
      </c>
    </row>
    <row r="626">
      <c r="A626" s="3">
        <f>IFERROR(__xludf.DUMMYFUNCTION("""COMPUTED_VALUE"""),40986.99861111111)</f>
        <v>40986.99861</v>
      </c>
      <c r="B626" s="1">
        <f>IFERROR(__xludf.DUMMYFUNCTION("""COMPUTED_VALUE"""),1442.398862)</f>
        <v>1442.398862</v>
      </c>
    </row>
    <row r="627">
      <c r="A627" s="3">
        <f>IFERROR(__xludf.DUMMYFUNCTION("""COMPUTED_VALUE"""),40987.99861111111)</f>
        <v>40987.99861</v>
      </c>
      <c r="B627" s="1">
        <f>IFERROR(__xludf.DUMMYFUNCTION("""COMPUTED_VALUE"""),1438.9245)</f>
        <v>1438.9245</v>
      </c>
    </row>
    <row r="628">
      <c r="A628" s="3">
        <f>IFERROR(__xludf.DUMMYFUNCTION("""COMPUTED_VALUE"""),40988.99861111111)</f>
        <v>40988.99861</v>
      </c>
      <c r="B628" s="1">
        <f>IFERROR(__xludf.DUMMYFUNCTION("""COMPUTED_VALUE"""),1443.8126)</f>
        <v>1443.8126</v>
      </c>
    </row>
    <row r="629">
      <c r="A629" s="3">
        <f>IFERROR(__xludf.DUMMYFUNCTION("""COMPUTED_VALUE"""),40989.99861111111)</f>
        <v>40989.99861</v>
      </c>
      <c r="B629" s="1">
        <f>IFERROR(__xludf.DUMMYFUNCTION("""COMPUTED_VALUE"""),1443.8126)</f>
        <v>1443.8126</v>
      </c>
    </row>
    <row r="630">
      <c r="A630" s="3">
        <f>IFERROR(__xludf.DUMMYFUNCTION("""COMPUTED_VALUE"""),40990.99861111111)</f>
        <v>40990.99861</v>
      </c>
      <c r="B630" s="1">
        <f>IFERROR(__xludf.DUMMYFUNCTION("""COMPUTED_VALUE"""),1460.8168)</f>
        <v>1460.8168</v>
      </c>
    </row>
    <row r="631">
      <c r="A631" s="3">
        <f>IFERROR(__xludf.DUMMYFUNCTION("""COMPUTED_VALUE"""),40991.99861111111)</f>
        <v>40991.99861</v>
      </c>
      <c r="B631" s="1">
        <f>IFERROR(__xludf.DUMMYFUNCTION("""COMPUTED_VALUE"""),1447.4706)</f>
        <v>1447.4706</v>
      </c>
    </row>
    <row r="632">
      <c r="A632" s="3">
        <f>IFERROR(__xludf.DUMMYFUNCTION("""COMPUTED_VALUE"""),40992.99861111111)</f>
        <v>40992.99861</v>
      </c>
      <c r="B632" s="1">
        <f>IFERROR(__xludf.DUMMYFUNCTION("""COMPUTED_VALUE"""),1417.47654)</f>
        <v>1417.47654</v>
      </c>
    </row>
    <row r="633">
      <c r="A633" s="3">
        <f>IFERROR(__xludf.DUMMYFUNCTION("""COMPUTED_VALUE"""),40993.99861111111)</f>
        <v>40993.99861</v>
      </c>
      <c r="B633" s="1">
        <f>IFERROR(__xludf.DUMMYFUNCTION("""COMPUTED_VALUE"""),1451.620507)</f>
        <v>1451.620507</v>
      </c>
    </row>
    <row r="634">
      <c r="A634" s="3">
        <f>IFERROR(__xludf.DUMMYFUNCTION("""COMPUTED_VALUE"""),40994.99861111111)</f>
        <v>40994.99861</v>
      </c>
      <c r="B634" s="1">
        <f>IFERROR(__xludf.DUMMYFUNCTION("""COMPUTED_VALUE"""),1446.615)</f>
        <v>1446.615</v>
      </c>
    </row>
    <row r="635">
      <c r="A635" s="3">
        <f>IFERROR(__xludf.DUMMYFUNCTION("""COMPUTED_VALUE"""),40995.99861111111)</f>
        <v>40995.99861</v>
      </c>
      <c r="B635" s="1">
        <f>IFERROR(__xludf.DUMMYFUNCTION("""COMPUTED_VALUE"""),1448.811)</f>
        <v>1448.811</v>
      </c>
    </row>
    <row r="636">
      <c r="A636" s="3">
        <f>IFERROR(__xludf.DUMMYFUNCTION("""COMPUTED_VALUE"""),40996.99861111111)</f>
        <v>40996.99861</v>
      </c>
      <c r="B636" s="1">
        <f>IFERROR(__xludf.DUMMYFUNCTION("""COMPUTED_VALUE"""),1448.7195)</f>
        <v>1448.7195</v>
      </c>
    </row>
    <row r="637">
      <c r="A637" s="3">
        <f>IFERROR(__xludf.DUMMYFUNCTION("""COMPUTED_VALUE"""),40997.99861111111)</f>
        <v>40997.99861</v>
      </c>
      <c r="B637" s="1">
        <f>IFERROR(__xludf.DUMMYFUNCTION("""COMPUTED_VALUE"""),1448.7195)</f>
        <v>1448.7195</v>
      </c>
    </row>
    <row r="638">
      <c r="A638" s="3">
        <f>IFERROR(__xludf.DUMMYFUNCTION("""COMPUTED_VALUE"""),40998.99861111111)</f>
        <v>40998.99861</v>
      </c>
      <c r="B638" s="1">
        <f>IFERROR(__xludf.DUMMYFUNCTION("""COMPUTED_VALUE"""),1445.3376)</f>
        <v>1445.3376</v>
      </c>
    </row>
    <row r="639">
      <c r="A639" s="3">
        <f>IFERROR(__xludf.DUMMYFUNCTION("""COMPUTED_VALUE"""),40999.99861111111)</f>
        <v>40999.99861</v>
      </c>
      <c r="B639" s="1">
        <f>IFERROR(__xludf.DUMMYFUNCTION("""COMPUTED_VALUE"""),1444.06976)</f>
        <v>1444.06976</v>
      </c>
    </row>
    <row r="640">
      <c r="A640" s="3">
        <f>IFERROR(__xludf.DUMMYFUNCTION("""COMPUTED_VALUE"""),41000.99861111111)</f>
        <v>41000.99861</v>
      </c>
      <c r="B640" s="1">
        <f>IFERROR(__xludf.DUMMYFUNCTION("""COMPUTED_VALUE"""),1455.875576)</f>
        <v>1455.875576</v>
      </c>
    </row>
    <row r="641">
      <c r="A641" s="3">
        <f>IFERROR(__xludf.DUMMYFUNCTION("""COMPUTED_VALUE"""),41001.99861111111)</f>
        <v>41001.99861</v>
      </c>
      <c r="B641" s="1">
        <f>IFERROR(__xludf.DUMMYFUNCTION("""COMPUTED_VALUE"""),1445.38536)</f>
        <v>1445.38536</v>
      </c>
    </row>
    <row r="642">
      <c r="A642" s="3">
        <f>IFERROR(__xludf.DUMMYFUNCTION("""COMPUTED_VALUE"""),41002.99861111111)</f>
        <v>41002.99861</v>
      </c>
      <c r="B642" s="1">
        <f>IFERROR(__xludf.DUMMYFUNCTION("""COMPUTED_VALUE"""),1448.23872)</f>
        <v>1448.23872</v>
      </c>
    </row>
    <row r="643">
      <c r="A643" s="3">
        <f>IFERROR(__xludf.DUMMYFUNCTION("""COMPUTED_VALUE"""),41003.99861111111)</f>
        <v>41003.99861</v>
      </c>
      <c r="B643" s="1">
        <f>IFERROR(__xludf.DUMMYFUNCTION("""COMPUTED_VALUE"""),1447.85449)</f>
        <v>1447.85449</v>
      </c>
    </row>
    <row r="644">
      <c r="A644" s="3">
        <f>IFERROR(__xludf.DUMMYFUNCTION("""COMPUTED_VALUE"""),41004.99861111111)</f>
        <v>41004.99861</v>
      </c>
      <c r="B644" s="1">
        <f>IFERROR(__xludf.DUMMYFUNCTION("""COMPUTED_VALUE"""),1436.97445)</f>
        <v>1436.97445</v>
      </c>
    </row>
    <row r="645">
      <c r="A645" s="3">
        <f>IFERROR(__xludf.DUMMYFUNCTION("""COMPUTED_VALUE"""),41005.99861111111)</f>
        <v>41005.99861</v>
      </c>
      <c r="B645" s="1">
        <f>IFERROR(__xludf.DUMMYFUNCTION("""COMPUTED_VALUE"""),1458.123849)</f>
        <v>1458.123849</v>
      </c>
    </row>
    <row r="646">
      <c r="A646" s="3">
        <f>IFERROR(__xludf.DUMMYFUNCTION("""COMPUTED_VALUE"""),41006.99861111111)</f>
        <v>41006.99861</v>
      </c>
      <c r="B646" s="1">
        <f>IFERROR(__xludf.DUMMYFUNCTION("""COMPUTED_VALUE"""),1436.942816)</f>
        <v>1436.942816</v>
      </c>
    </row>
    <row r="647">
      <c r="A647" s="3">
        <f>IFERROR(__xludf.DUMMYFUNCTION("""COMPUTED_VALUE"""),41007.99861111111)</f>
        <v>41007.99861</v>
      </c>
      <c r="B647" s="1">
        <f>IFERROR(__xludf.DUMMYFUNCTION("""COMPUTED_VALUE"""),1436.97445)</f>
        <v>1436.97445</v>
      </c>
    </row>
    <row r="648">
      <c r="A648" s="3">
        <f>IFERROR(__xludf.DUMMYFUNCTION("""COMPUTED_VALUE"""),41008.99861111111)</f>
        <v>41008.99861</v>
      </c>
      <c r="B648" s="1">
        <f>IFERROR(__xludf.DUMMYFUNCTION("""COMPUTED_VALUE"""),1450.970325)</f>
        <v>1450.970325</v>
      </c>
    </row>
    <row r="649">
      <c r="A649" s="3">
        <f>IFERROR(__xludf.DUMMYFUNCTION("""COMPUTED_VALUE"""),41009.99861111111)</f>
        <v>41009.99861</v>
      </c>
      <c r="B649" s="1">
        <f>IFERROR(__xludf.DUMMYFUNCTION("""COMPUTED_VALUE"""),1447.09733)</f>
        <v>1447.09733</v>
      </c>
    </row>
    <row r="650">
      <c r="A650" s="3">
        <f>IFERROR(__xludf.DUMMYFUNCTION("""COMPUTED_VALUE"""),41010.99861111111)</f>
        <v>41010.99861</v>
      </c>
      <c r="B650" s="1">
        <f>IFERROR(__xludf.DUMMYFUNCTION("""COMPUTED_VALUE"""),1447.82925)</f>
        <v>1447.82925</v>
      </c>
    </row>
    <row r="651">
      <c r="A651" s="3">
        <f>IFERROR(__xludf.DUMMYFUNCTION("""COMPUTED_VALUE"""),41011.99861111111)</f>
        <v>41011.99861</v>
      </c>
      <c r="B651" s="1">
        <f>IFERROR(__xludf.DUMMYFUNCTION("""COMPUTED_VALUE"""),1448.2867)</f>
        <v>1448.2867</v>
      </c>
    </row>
    <row r="652">
      <c r="A652" s="3">
        <f>IFERROR(__xludf.DUMMYFUNCTION("""COMPUTED_VALUE"""),41012.99861111111)</f>
        <v>41012.99861</v>
      </c>
      <c r="B652" s="1">
        <f>IFERROR(__xludf.DUMMYFUNCTION("""COMPUTED_VALUE"""),1443.816)</f>
        <v>1443.816</v>
      </c>
    </row>
    <row r="653">
      <c r="A653" s="3">
        <f>IFERROR(__xludf.DUMMYFUNCTION("""COMPUTED_VALUE"""),41013.99861111111)</f>
        <v>41013.99861</v>
      </c>
      <c r="B653" s="1">
        <f>IFERROR(__xludf.DUMMYFUNCTION("""COMPUTED_VALUE"""),1429.76592)</f>
        <v>1429.76592</v>
      </c>
    </row>
    <row r="654">
      <c r="A654" s="3">
        <f>IFERROR(__xludf.DUMMYFUNCTION("""COMPUTED_VALUE"""),41014.99861111111)</f>
        <v>41014.99861</v>
      </c>
      <c r="B654" s="1">
        <f>IFERROR(__xludf.DUMMYFUNCTION("""COMPUTED_VALUE"""),1451.200314)</f>
        <v>1451.200314</v>
      </c>
    </row>
    <row r="655">
      <c r="A655" s="3">
        <f>IFERROR(__xludf.DUMMYFUNCTION("""COMPUTED_VALUE"""),41015.99861111111)</f>
        <v>41015.99861</v>
      </c>
      <c r="B655" s="1">
        <f>IFERROR(__xludf.DUMMYFUNCTION("""COMPUTED_VALUE"""),1447.4055)</f>
        <v>1447.4055</v>
      </c>
    </row>
    <row r="656">
      <c r="A656" s="3">
        <f>IFERROR(__xludf.DUMMYFUNCTION("""COMPUTED_VALUE"""),41016.99861111111)</f>
        <v>41016.99861</v>
      </c>
      <c r="B656" s="1">
        <f>IFERROR(__xludf.DUMMYFUNCTION("""COMPUTED_VALUE"""),1450.79285)</f>
        <v>1450.79285</v>
      </c>
    </row>
    <row r="657">
      <c r="A657" s="3">
        <f>IFERROR(__xludf.DUMMYFUNCTION("""COMPUTED_VALUE"""),41017.99861111111)</f>
        <v>41017.99861</v>
      </c>
      <c r="B657" s="1">
        <f>IFERROR(__xludf.DUMMYFUNCTION("""COMPUTED_VALUE"""),1450.152)</f>
        <v>1450.152</v>
      </c>
    </row>
    <row r="658">
      <c r="A658" s="3">
        <f>IFERROR(__xludf.DUMMYFUNCTION("""COMPUTED_VALUE"""),41018.99861111111)</f>
        <v>41018.99861</v>
      </c>
      <c r="B658" s="1">
        <f>IFERROR(__xludf.DUMMYFUNCTION("""COMPUTED_VALUE"""),1449.81052)</f>
        <v>1449.81052</v>
      </c>
    </row>
    <row r="659">
      <c r="A659" s="3">
        <f>IFERROR(__xludf.DUMMYFUNCTION("""COMPUTED_VALUE"""),41019.99861111111)</f>
        <v>41019.99861</v>
      </c>
      <c r="B659" s="1">
        <f>IFERROR(__xludf.DUMMYFUNCTION("""COMPUTED_VALUE"""),1448.80358)</f>
        <v>1448.80358</v>
      </c>
    </row>
    <row r="660">
      <c r="A660" s="3">
        <f>IFERROR(__xludf.DUMMYFUNCTION("""COMPUTED_VALUE"""),41020.99861111111)</f>
        <v>41020.99861</v>
      </c>
      <c r="B660" s="1">
        <f>IFERROR(__xludf.DUMMYFUNCTION("""COMPUTED_VALUE"""),1459.147283)</f>
        <v>1459.147283</v>
      </c>
    </row>
    <row r="661">
      <c r="A661" s="3">
        <f>IFERROR(__xludf.DUMMYFUNCTION("""COMPUTED_VALUE"""),41021.99861111111)</f>
        <v>41021.99861</v>
      </c>
      <c r="B661" s="1">
        <f>IFERROR(__xludf.DUMMYFUNCTION("""COMPUTED_VALUE"""),1447.173399)</f>
        <v>1447.173399</v>
      </c>
    </row>
    <row r="662">
      <c r="A662" s="3">
        <f>IFERROR(__xludf.DUMMYFUNCTION("""COMPUTED_VALUE"""),41022.99861111111)</f>
        <v>41022.99861</v>
      </c>
      <c r="B662" s="1">
        <f>IFERROR(__xludf.DUMMYFUNCTION("""COMPUTED_VALUE"""),1450.22801)</f>
        <v>1450.22801</v>
      </c>
    </row>
    <row r="663">
      <c r="A663" s="3">
        <f>IFERROR(__xludf.DUMMYFUNCTION("""COMPUTED_VALUE"""),41023.99861111111)</f>
        <v>41023.99861</v>
      </c>
      <c r="B663" s="1">
        <f>IFERROR(__xludf.DUMMYFUNCTION("""COMPUTED_VALUE"""),1450.22801)</f>
        <v>1450.22801</v>
      </c>
    </row>
    <row r="664">
      <c r="A664" s="3">
        <f>IFERROR(__xludf.DUMMYFUNCTION("""COMPUTED_VALUE"""),41024.99861111111)</f>
        <v>41024.99861</v>
      </c>
      <c r="B664" s="1">
        <f>IFERROR(__xludf.DUMMYFUNCTION("""COMPUTED_VALUE"""),1451.23594)</f>
        <v>1451.23594</v>
      </c>
    </row>
    <row r="665">
      <c r="A665" s="3">
        <f>IFERROR(__xludf.DUMMYFUNCTION("""COMPUTED_VALUE"""),41025.99861111111)</f>
        <v>41025.99861</v>
      </c>
      <c r="B665" s="1">
        <f>IFERROR(__xludf.DUMMYFUNCTION("""COMPUTED_VALUE"""),1449.871878)</f>
        <v>1449.871878</v>
      </c>
    </row>
    <row r="666">
      <c r="A666" s="3">
        <f>IFERROR(__xludf.DUMMYFUNCTION("""COMPUTED_VALUE"""),41026.99861111111)</f>
        <v>41026.99861</v>
      </c>
      <c r="B666" s="1">
        <f>IFERROR(__xludf.DUMMYFUNCTION("""COMPUTED_VALUE"""),1454.335116)</f>
        <v>1454.335116</v>
      </c>
    </row>
    <row r="667">
      <c r="A667" s="3">
        <f>IFERROR(__xludf.DUMMYFUNCTION("""COMPUTED_VALUE"""),41029.99861111111)</f>
        <v>41029.99861</v>
      </c>
      <c r="B667" s="1">
        <f>IFERROR(__xludf.DUMMYFUNCTION("""COMPUTED_VALUE"""),1453.967558)</f>
        <v>1453.967558</v>
      </c>
    </row>
    <row r="668">
      <c r="A668" s="3">
        <f>IFERROR(__xludf.DUMMYFUNCTION("""COMPUTED_VALUE"""),41030.99861111111)</f>
        <v>41030.99861</v>
      </c>
      <c r="B668" s="1">
        <f>IFERROR(__xludf.DUMMYFUNCTION("""COMPUTED_VALUE"""),1461.846586)</f>
        <v>1461.846586</v>
      </c>
    </row>
    <row r="669">
      <c r="A669" s="3">
        <f>IFERROR(__xludf.DUMMYFUNCTION("""COMPUTED_VALUE"""),41031.99861111111)</f>
        <v>41031.99861</v>
      </c>
      <c r="B669" s="1">
        <f>IFERROR(__xludf.DUMMYFUNCTION("""COMPUTED_VALUE"""),1450.8195)</f>
        <v>1450.8195</v>
      </c>
    </row>
    <row r="670">
      <c r="A670" s="3">
        <f>IFERROR(__xludf.DUMMYFUNCTION("""COMPUTED_VALUE"""),41032.99861111111)</f>
        <v>41032.99861</v>
      </c>
      <c r="B670" s="1">
        <f>IFERROR(__xludf.DUMMYFUNCTION("""COMPUTED_VALUE"""),1451.46105)</f>
        <v>1451.46105</v>
      </c>
    </row>
    <row r="671">
      <c r="A671" s="3">
        <f>IFERROR(__xludf.DUMMYFUNCTION("""COMPUTED_VALUE"""),41033.99861111111)</f>
        <v>41033.99861</v>
      </c>
      <c r="B671" s="1">
        <f>IFERROR(__xludf.DUMMYFUNCTION("""COMPUTED_VALUE"""),1455.412381)</f>
        <v>1455.412381</v>
      </c>
    </row>
    <row r="672">
      <c r="A672" s="3">
        <f>IFERROR(__xludf.DUMMYFUNCTION("""COMPUTED_VALUE"""),41034.99861111111)</f>
        <v>41034.99861</v>
      </c>
      <c r="B672" s="1">
        <f>IFERROR(__xludf.DUMMYFUNCTION("""COMPUTED_VALUE"""),1438.268775)</f>
        <v>1438.268775</v>
      </c>
    </row>
    <row r="673">
      <c r="A673" s="3">
        <f>IFERROR(__xludf.DUMMYFUNCTION("""COMPUTED_VALUE"""),41035.99861111111)</f>
        <v>41035.99861</v>
      </c>
      <c r="B673" s="1">
        <f>IFERROR(__xludf.DUMMYFUNCTION("""COMPUTED_VALUE"""),1432.868412)</f>
        <v>1432.868412</v>
      </c>
    </row>
    <row r="674">
      <c r="A674" s="3">
        <f>IFERROR(__xludf.DUMMYFUNCTION("""COMPUTED_VALUE"""),41036.99861111111)</f>
        <v>41036.99861</v>
      </c>
      <c r="B674" s="1">
        <f>IFERROR(__xludf.DUMMYFUNCTION("""COMPUTED_VALUE"""),1451.2442)</f>
        <v>1451.2442</v>
      </c>
    </row>
    <row r="675">
      <c r="A675" s="3">
        <f>IFERROR(__xludf.DUMMYFUNCTION("""COMPUTED_VALUE"""),41037.99861111111)</f>
        <v>41037.99861</v>
      </c>
      <c r="B675" s="1">
        <f>IFERROR(__xludf.DUMMYFUNCTION("""COMPUTED_VALUE"""),1450.61116)</f>
        <v>1450.61116</v>
      </c>
    </row>
    <row r="676">
      <c r="A676" s="3">
        <f>IFERROR(__xludf.DUMMYFUNCTION("""COMPUTED_VALUE"""),41038.99861111111)</f>
        <v>41038.99861</v>
      </c>
      <c r="B676" s="1">
        <f>IFERROR(__xludf.DUMMYFUNCTION("""COMPUTED_VALUE"""),1458.04938)</f>
        <v>1458.04938</v>
      </c>
    </row>
    <row r="677">
      <c r="A677" s="3">
        <f>IFERROR(__xludf.DUMMYFUNCTION("""COMPUTED_VALUE"""),41039.99861111111)</f>
        <v>41039.99861</v>
      </c>
      <c r="B677" s="1">
        <f>IFERROR(__xludf.DUMMYFUNCTION("""COMPUTED_VALUE"""),1450.5106)</f>
        <v>1450.5106</v>
      </c>
    </row>
    <row r="678">
      <c r="A678" s="3">
        <f>IFERROR(__xludf.DUMMYFUNCTION("""COMPUTED_VALUE"""),41040.99861111111)</f>
        <v>41040.99861</v>
      </c>
      <c r="B678" s="1">
        <f>IFERROR(__xludf.DUMMYFUNCTION("""COMPUTED_VALUE"""),1452.7506)</f>
        <v>1452.7506</v>
      </c>
    </row>
    <row r="679">
      <c r="A679" s="3">
        <f>IFERROR(__xludf.DUMMYFUNCTION("""COMPUTED_VALUE"""),41041.99861111111)</f>
        <v>41041.99861</v>
      </c>
      <c r="B679" s="1">
        <f>IFERROR(__xludf.DUMMYFUNCTION("""COMPUTED_VALUE"""),1452.1969)</f>
        <v>1452.1969</v>
      </c>
    </row>
    <row r="680">
      <c r="A680" s="3">
        <f>IFERROR(__xludf.DUMMYFUNCTION("""COMPUTED_VALUE"""),41042.99861111111)</f>
        <v>41042.99861</v>
      </c>
      <c r="B680" s="1">
        <f>IFERROR(__xludf.DUMMYFUNCTION("""COMPUTED_VALUE"""),1450.0863)</f>
        <v>1450.0863</v>
      </c>
    </row>
    <row r="681">
      <c r="A681" s="3">
        <f>IFERROR(__xludf.DUMMYFUNCTION("""COMPUTED_VALUE"""),41043.99861111111)</f>
        <v>41043.99861</v>
      </c>
      <c r="B681" s="1">
        <f>IFERROR(__xludf.DUMMYFUNCTION("""COMPUTED_VALUE"""),1458.95734)</f>
        <v>1458.95734</v>
      </c>
    </row>
    <row r="682">
      <c r="A682" s="3">
        <f>IFERROR(__xludf.DUMMYFUNCTION("""COMPUTED_VALUE"""),41044.99861111111)</f>
        <v>41044.99861</v>
      </c>
      <c r="B682" s="1">
        <f>IFERROR(__xludf.DUMMYFUNCTION("""COMPUTED_VALUE"""),1459.51162)</f>
        <v>1459.51162</v>
      </c>
    </row>
    <row r="683">
      <c r="A683" s="3">
        <f>IFERROR(__xludf.DUMMYFUNCTION("""COMPUTED_VALUE"""),41045.99861111111)</f>
        <v>41045.99861</v>
      </c>
      <c r="B683" s="1">
        <f>IFERROR(__xludf.DUMMYFUNCTION("""COMPUTED_VALUE"""),1458.86496)</f>
        <v>1458.86496</v>
      </c>
    </row>
    <row r="684">
      <c r="A684" s="3">
        <f>IFERROR(__xludf.DUMMYFUNCTION("""COMPUTED_VALUE"""),41046.99861111111)</f>
        <v>41046.99861</v>
      </c>
      <c r="B684" s="1">
        <f>IFERROR(__xludf.DUMMYFUNCTION("""COMPUTED_VALUE"""),1454.71911)</f>
        <v>1454.71911</v>
      </c>
    </row>
    <row r="685">
      <c r="A685" s="3">
        <f>IFERROR(__xludf.DUMMYFUNCTION("""COMPUTED_VALUE"""),41047.99861111111)</f>
        <v>41047.99861</v>
      </c>
      <c r="B685" s="1">
        <f>IFERROR(__xludf.DUMMYFUNCTION("""COMPUTED_VALUE"""),1452.15185)</f>
        <v>1452.15185</v>
      </c>
    </row>
    <row r="686">
      <c r="A686" s="3">
        <f>IFERROR(__xludf.DUMMYFUNCTION("""COMPUTED_VALUE"""),41048.99861111111)</f>
        <v>41048.99861</v>
      </c>
      <c r="B686" s="1">
        <f>IFERROR(__xludf.DUMMYFUNCTION("""COMPUTED_VALUE"""),1418.9928)</f>
        <v>1418.9928</v>
      </c>
    </row>
    <row r="687">
      <c r="A687" s="3">
        <f>IFERROR(__xludf.DUMMYFUNCTION("""COMPUTED_VALUE"""),41049.99861111111)</f>
        <v>41049.99861</v>
      </c>
      <c r="B687" s="1">
        <f>IFERROR(__xludf.DUMMYFUNCTION("""COMPUTED_VALUE"""),1466.375283)</f>
        <v>1466.375283</v>
      </c>
    </row>
    <row r="688">
      <c r="A688" s="3">
        <f>IFERROR(__xludf.DUMMYFUNCTION("""COMPUTED_VALUE"""),41050.99861111111)</f>
        <v>41050.99861</v>
      </c>
      <c r="B688" s="1">
        <f>IFERROR(__xludf.DUMMYFUNCTION("""COMPUTED_VALUE"""),1458.5454)</f>
        <v>1458.5454</v>
      </c>
    </row>
    <row r="689">
      <c r="A689" s="3">
        <f>IFERROR(__xludf.DUMMYFUNCTION("""COMPUTED_VALUE"""),41051.99861111111)</f>
        <v>41051.99861</v>
      </c>
      <c r="B689" s="1">
        <f>IFERROR(__xludf.DUMMYFUNCTION("""COMPUTED_VALUE"""),1454.8116)</f>
        <v>1454.8116</v>
      </c>
    </row>
    <row r="690">
      <c r="A690" s="3">
        <f>IFERROR(__xludf.DUMMYFUNCTION("""COMPUTED_VALUE"""),41052.99861111111)</f>
        <v>41052.99861</v>
      </c>
      <c r="B690" s="1">
        <f>IFERROR(__xludf.DUMMYFUNCTION("""COMPUTED_VALUE"""),1458.9582)</f>
        <v>1458.9582</v>
      </c>
    </row>
    <row r="691">
      <c r="A691" s="3">
        <f>IFERROR(__xludf.DUMMYFUNCTION("""COMPUTED_VALUE"""),41053.99861111111)</f>
        <v>41053.99861</v>
      </c>
      <c r="B691" s="1">
        <f>IFERROR(__xludf.DUMMYFUNCTION("""COMPUTED_VALUE"""),1455.90405)</f>
        <v>1455.90405</v>
      </c>
    </row>
    <row r="692">
      <c r="A692" s="3">
        <f>IFERROR(__xludf.DUMMYFUNCTION("""COMPUTED_VALUE"""),41054.99861111111)</f>
        <v>41054.99861</v>
      </c>
      <c r="B692" s="1">
        <f>IFERROR(__xludf.DUMMYFUNCTION("""COMPUTED_VALUE"""),1457.66245)</f>
        <v>1457.66245</v>
      </c>
    </row>
    <row r="693">
      <c r="A693" s="3">
        <f>IFERROR(__xludf.DUMMYFUNCTION("""COMPUTED_VALUE"""),41055.99861111111)</f>
        <v>41055.99861</v>
      </c>
      <c r="B693" s="1">
        <f>IFERROR(__xludf.DUMMYFUNCTION("""COMPUTED_VALUE"""),1469.513721)</f>
        <v>1469.513721</v>
      </c>
    </row>
    <row r="694">
      <c r="A694" s="3">
        <f>IFERROR(__xludf.DUMMYFUNCTION("""COMPUTED_VALUE"""),41056.99861111111)</f>
        <v>41056.99861</v>
      </c>
      <c r="B694" s="1">
        <f>IFERROR(__xludf.DUMMYFUNCTION("""COMPUTED_VALUE"""),1461.194508)</f>
        <v>1461.194508</v>
      </c>
    </row>
    <row r="695">
      <c r="A695" s="3">
        <f>IFERROR(__xludf.DUMMYFUNCTION("""COMPUTED_VALUE"""),41057.99861111111)</f>
        <v>41057.99861</v>
      </c>
      <c r="B695" s="1">
        <f>IFERROR(__xludf.DUMMYFUNCTION("""COMPUTED_VALUE"""),1457.66245)</f>
        <v>1457.66245</v>
      </c>
    </row>
    <row r="696">
      <c r="A696" s="3">
        <f>IFERROR(__xludf.DUMMYFUNCTION("""COMPUTED_VALUE"""),41058.99861111111)</f>
        <v>41058.99861</v>
      </c>
      <c r="B696" s="1">
        <f>IFERROR(__xludf.DUMMYFUNCTION("""COMPUTED_VALUE"""),1473.8073)</f>
        <v>1473.8073</v>
      </c>
    </row>
    <row r="697">
      <c r="A697" s="3">
        <f>IFERROR(__xludf.DUMMYFUNCTION("""COMPUTED_VALUE"""),41059.99861111111)</f>
        <v>41059.99861</v>
      </c>
      <c r="B697" s="1">
        <f>IFERROR(__xludf.DUMMYFUNCTION("""COMPUTED_VALUE"""),1477.8405)</f>
        <v>1477.8405</v>
      </c>
    </row>
    <row r="698">
      <c r="A698" s="3">
        <f>IFERROR(__xludf.DUMMYFUNCTION("""COMPUTED_VALUE"""),41060.99861111111)</f>
        <v>41060.99861</v>
      </c>
      <c r="B698" s="1">
        <f>IFERROR(__xludf.DUMMYFUNCTION("""COMPUTED_VALUE"""),1469.90625)</f>
        <v>1469.90625</v>
      </c>
    </row>
    <row r="699">
      <c r="A699" s="3">
        <f>IFERROR(__xludf.DUMMYFUNCTION("""COMPUTED_VALUE"""),41061.99861111111)</f>
        <v>41061.99861</v>
      </c>
      <c r="B699" s="1">
        <f>IFERROR(__xludf.DUMMYFUNCTION("""COMPUTED_VALUE"""),1468.875)</f>
        <v>1468.875</v>
      </c>
    </row>
    <row r="700">
      <c r="A700" s="3">
        <f>IFERROR(__xludf.DUMMYFUNCTION("""COMPUTED_VALUE"""),41062.99861111111)</f>
        <v>41062.99861</v>
      </c>
      <c r="B700" s="1">
        <f>IFERROR(__xludf.DUMMYFUNCTION("""COMPUTED_VALUE"""),1479.69565)</f>
        <v>1479.69565</v>
      </c>
    </row>
    <row r="701">
      <c r="A701" s="3">
        <f>IFERROR(__xludf.DUMMYFUNCTION("""COMPUTED_VALUE"""),41063.99861111111)</f>
        <v>41063.99861</v>
      </c>
      <c r="B701" s="1">
        <f>IFERROR(__xludf.DUMMYFUNCTION("""COMPUTED_VALUE"""),1470.825666)</f>
        <v>1470.825666</v>
      </c>
    </row>
    <row r="702">
      <c r="A702" s="3">
        <f>IFERROR(__xludf.DUMMYFUNCTION("""COMPUTED_VALUE"""),41064.99861111111)</f>
        <v>41064.99861</v>
      </c>
      <c r="B702" s="1">
        <f>IFERROR(__xludf.DUMMYFUNCTION("""COMPUTED_VALUE"""),1470.75)</f>
        <v>1470.75</v>
      </c>
    </row>
    <row r="703">
      <c r="A703" s="3">
        <f>IFERROR(__xludf.DUMMYFUNCTION("""COMPUTED_VALUE"""),41065.99861111111)</f>
        <v>41065.99861</v>
      </c>
      <c r="B703" s="1">
        <f>IFERROR(__xludf.DUMMYFUNCTION("""COMPUTED_VALUE"""),1470.4704)</f>
        <v>1470.4704</v>
      </c>
    </row>
    <row r="704">
      <c r="A704" s="3">
        <f>IFERROR(__xludf.DUMMYFUNCTION("""COMPUTED_VALUE"""),41066.99861111111)</f>
        <v>41066.99861</v>
      </c>
      <c r="B704" s="1">
        <f>IFERROR(__xludf.DUMMYFUNCTION("""COMPUTED_VALUE"""),1455.71125)</f>
        <v>1455.71125</v>
      </c>
    </row>
    <row r="705">
      <c r="A705" s="3">
        <f>IFERROR(__xludf.DUMMYFUNCTION("""COMPUTED_VALUE"""),41067.99861111111)</f>
        <v>41067.99861</v>
      </c>
      <c r="B705" s="1">
        <f>IFERROR(__xludf.DUMMYFUNCTION("""COMPUTED_VALUE"""),1467.7995)</f>
        <v>1467.7995</v>
      </c>
    </row>
    <row r="706">
      <c r="A706" s="3">
        <f>IFERROR(__xludf.DUMMYFUNCTION("""COMPUTED_VALUE"""),41068.99861111111)</f>
        <v>41068.99861</v>
      </c>
      <c r="B706" s="1">
        <f>IFERROR(__xludf.DUMMYFUNCTION("""COMPUTED_VALUE"""),1466.9928)</f>
        <v>1466.9928</v>
      </c>
    </row>
    <row r="707">
      <c r="A707" s="3">
        <f>IFERROR(__xludf.DUMMYFUNCTION("""COMPUTED_VALUE"""),41069.99861111111)</f>
        <v>41069.99861</v>
      </c>
      <c r="B707" s="1">
        <f>IFERROR(__xludf.DUMMYFUNCTION("""COMPUTED_VALUE"""),1436.547872)</f>
        <v>1436.547872</v>
      </c>
    </row>
    <row r="708">
      <c r="A708" s="3">
        <f>IFERROR(__xludf.DUMMYFUNCTION("""COMPUTED_VALUE"""),41070.99861111111)</f>
        <v>41070.99861</v>
      </c>
      <c r="B708" s="1">
        <f>IFERROR(__xludf.DUMMYFUNCTION("""COMPUTED_VALUE"""),1470.903213)</f>
        <v>1470.903213</v>
      </c>
    </row>
    <row r="709">
      <c r="A709" s="3">
        <f>IFERROR(__xludf.DUMMYFUNCTION("""COMPUTED_VALUE"""),41071.99861111111)</f>
        <v>41071.99861</v>
      </c>
      <c r="B709" s="1">
        <f>IFERROR(__xludf.DUMMYFUNCTION("""COMPUTED_VALUE"""),1470.4088)</f>
        <v>1470.4088</v>
      </c>
    </row>
    <row r="710">
      <c r="A710" s="3">
        <f>IFERROR(__xludf.DUMMYFUNCTION("""COMPUTED_VALUE"""),41072.99861111111)</f>
        <v>41072.99861</v>
      </c>
      <c r="B710" s="1">
        <f>IFERROR(__xludf.DUMMYFUNCTION("""COMPUTED_VALUE"""),1474.42185)</f>
        <v>1474.42185</v>
      </c>
    </row>
    <row r="711">
      <c r="A711" s="3">
        <f>IFERROR(__xludf.DUMMYFUNCTION("""COMPUTED_VALUE"""),41073.99861111111)</f>
        <v>41073.99861</v>
      </c>
      <c r="B711" s="1">
        <f>IFERROR(__xludf.DUMMYFUNCTION("""COMPUTED_VALUE"""),1472.85415)</f>
        <v>1472.85415</v>
      </c>
    </row>
    <row r="712">
      <c r="A712" s="3">
        <f>IFERROR(__xludf.DUMMYFUNCTION("""COMPUTED_VALUE"""),41074.99861111111)</f>
        <v>41074.99861</v>
      </c>
      <c r="B712" s="1">
        <f>IFERROR(__xludf.DUMMYFUNCTION("""COMPUTED_VALUE"""),1472.47835)</f>
        <v>1472.47835</v>
      </c>
    </row>
    <row r="713">
      <c r="A713" s="3">
        <f>IFERROR(__xludf.DUMMYFUNCTION("""COMPUTED_VALUE"""),41075.99861111111)</f>
        <v>41075.99861</v>
      </c>
      <c r="B713" s="1">
        <f>IFERROR(__xludf.DUMMYFUNCTION("""COMPUTED_VALUE"""),1469.08755)</f>
        <v>1469.08755</v>
      </c>
    </row>
    <row r="714">
      <c r="A714" s="3">
        <f>IFERROR(__xludf.DUMMYFUNCTION("""COMPUTED_VALUE"""),41076.99861111111)</f>
        <v>41076.99861</v>
      </c>
      <c r="B714" s="1">
        <f>IFERROR(__xludf.DUMMYFUNCTION("""COMPUTED_VALUE"""),1457.79291)</f>
        <v>1457.79291</v>
      </c>
    </row>
    <row r="715">
      <c r="A715" s="3">
        <f>IFERROR(__xludf.DUMMYFUNCTION("""COMPUTED_VALUE"""),41077.99861111111)</f>
        <v>41077.99861</v>
      </c>
      <c r="B715" s="1">
        <f>IFERROR(__xludf.DUMMYFUNCTION("""COMPUTED_VALUE"""),1504.404492)</f>
        <v>1504.404492</v>
      </c>
    </row>
    <row r="716">
      <c r="A716" s="3">
        <f>IFERROR(__xludf.DUMMYFUNCTION("""COMPUTED_VALUE"""),41078.99861111111)</f>
        <v>41078.99861</v>
      </c>
      <c r="B716" s="1">
        <f>IFERROR(__xludf.DUMMYFUNCTION("""COMPUTED_VALUE"""),1469.563965)</f>
        <v>1469.563965</v>
      </c>
    </row>
    <row r="717">
      <c r="A717" s="3">
        <f>IFERROR(__xludf.DUMMYFUNCTION("""COMPUTED_VALUE"""),41079.99861111111)</f>
        <v>41079.99861</v>
      </c>
      <c r="B717" s="1">
        <f>IFERROR(__xludf.DUMMYFUNCTION("""COMPUTED_VALUE"""),1473.125696)</f>
        <v>1473.125696</v>
      </c>
    </row>
    <row r="718">
      <c r="A718" s="3">
        <f>IFERROR(__xludf.DUMMYFUNCTION("""COMPUTED_VALUE"""),41080.99861111111)</f>
        <v>41080.99861</v>
      </c>
      <c r="B718" s="1">
        <f>IFERROR(__xludf.DUMMYFUNCTION("""COMPUTED_VALUE"""),1474.183197)</f>
        <v>1474.183197</v>
      </c>
    </row>
    <row r="719">
      <c r="A719" s="3">
        <f>IFERROR(__xludf.DUMMYFUNCTION("""COMPUTED_VALUE"""),41081.99861111111)</f>
        <v>41081.99861</v>
      </c>
      <c r="B719" s="1">
        <f>IFERROR(__xludf.DUMMYFUNCTION("""COMPUTED_VALUE"""),1474.562313)</f>
        <v>1474.562313</v>
      </c>
    </row>
    <row r="720">
      <c r="A720" s="3">
        <f>IFERROR(__xludf.DUMMYFUNCTION("""COMPUTED_VALUE"""),41082.99861111111)</f>
        <v>41082.99861</v>
      </c>
      <c r="B720" s="1">
        <f>IFERROR(__xludf.DUMMYFUNCTION("""COMPUTED_VALUE"""),1476.61731)</f>
        <v>1476.61731</v>
      </c>
    </row>
    <row r="721">
      <c r="A721" s="3">
        <f>IFERROR(__xludf.DUMMYFUNCTION("""COMPUTED_VALUE"""),41083.99861111111)</f>
        <v>41083.99861</v>
      </c>
      <c r="B721" s="1">
        <f>IFERROR(__xludf.DUMMYFUNCTION("""COMPUTED_VALUE"""),1462.49901)</f>
        <v>1462.49901</v>
      </c>
    </row>
    <row r="722">
      <c r="A722" s="3">
        <f>IFERROR(__xludf.DUMMYFUNCTION("""COMPUTED_VALUE"""),41084.99861111111)</f>
        <v>41084.99861</v>
      </c>
      <c r="B722" s="1">
        <f>IFERROR(__xludf.DUMMYFUNCTION("""COMPUTED_VALUE"""),1480.452781)</f>
        <v>1480.452781</v>
      </c>
    </row>
    <row r="723">
      <c r="A723" s="3">
        <f>IFERROR(__xludf.DUMMYFUNCTION("""COMPUTED_VALUE"""),41085.99861111111)</f>
        <v>41085.99861</v>
      </c>
      <c r="B723" s="1">
        <f>IFERROR(__xludf.DUMMYFUNCTION("""COMPUTED_VALUE"""),1476.50745)</f>
        <v>1476.50745</v>
      </c>
    </row>
    <row r="724">
      <c r="A724" s="3">
        <f>IFERROR(__xludf.DUMMYFUNCTION("""COMPUTED_VALUE"""),41086.99861111111)</f>
        <v>41086.99861</v>
      </c>
      <c r="B724" s="1">
        <f>IFERROR(__xludf.DUMMYFUNCTION("""COMPUTED_VALUE"""),1476.554482)</f>
        <v>1476.554482</v>
      </c>
    </row>
    <row r="725">
      <c r="A725" s="3">
        <f>IFERROR(__xludf.DUMMYFUNCTION("""COMPUTED_VALUE"""),41087.99861111111)</f>
        <v>41087.99861</v>
      </c>
      <c r="B725" s="1">
        <f>IFERROR(__xludf.DUMMYFUNCTION("""COMPUTED_VALUE"""),1478.704194)</f>
        <v>1478.704194</v>
      </c>
    </row>
    <row r="726">
      <c r="A726" s="3">
        <f>IFERROR(__xludf.DUMMYFUNCTION("""COMPUTED_VALUE"""),41088.99861111111)</f>
        <v>41088.99861</v>
      </c>
      <c r="B726" s="1">
        <f>IFERROR(__xludf.DUMMYFUNCTION("""COMPUTED_VALUE"""),1478.56293)</f>
        <v>1478.56293</v>
      </c>
    </row>
    <row r="727">
      <c r="A727" s="3">
        <f>IFERROR(__xludf.DUMMYFUNCTION("""COMPUTED_VALUE"""),41089.99861111111)</f>
        <v>41089.99861</v>
      </c>
      <c r="B727" s="1">
        <f>IFERROR(__xludf.DUMMYFUNCTION("""COMPUTED_VALUE"""),1472.08752)</f>
        <v>1472.08752</v>
      </c>
    </row>
    <row r="728">
      <c r="A728" s="3">
        <f>IFERROR(__xludf.DUMMYFUNCTION("""COMPUTED_VALUE"""),41090.99861111111)</f>
        <v>41090.99861</v>
      </c>
      <c r="B728" s="1">
        <f>IFERROR(__xludf.DUMMYFUNCTION("""COMPUTED_VALUE"""),1472.08752)</f>
        <v>1472.08752</v>
      </c>
    </row>
    <row r="729">
      <c r="A729" s="3">
        <f>IFERROR(__xludf.DUMMYFUNCTION("""COMPUTED_VALUE"""),41091.99861111111)</f>
        <v>41091.99861</v>
      </c>
      <c r="B729" s="1">
        <f>IFERROR(__xludf.DUMMYFUNCTION("""COMPUTED_VALUE"""),1481.838565)</f>
        <v>1481.838565</v>
      </c>
    </row>
    <row r="730">
      <c r="A730" s="3">
        <f>IFERROR(__xludf.DUMMYFUNCTION("""COMPUTED_VALUE"""),41092.99861111111)</f>
        <v>41092.99861</v>
      </c>
      <c r="B730" s="1">
        <f>IFERROR(__xludf.DUMMYFUNCTION("""COMPUTED_VALUE"""),1475.484087)</f>
        <v>1475.484087</v>
      </c>
    </row>
    <row r="731">
      <c r="A731" s="3">
        <f>IFERROR(__xludf.DUMMYFUNCTION("""COMPUTED_VALUE"""),41093.99861111111)</f>
        <v>41093.99861</v>
      </c>
      <c r="B731" s="1">
        <f>IFERROR(__xludf.DUMMYFUNCTION("""COMPUTED_VALUE"""),1463.755644)</f>
        <v>1463.755644</v>
      </c>
    </row>
    <row r="732">
      <c r="A732" s="3">
        <f>IFERROR(__xludf.DUMMYFUNCTION("""COMPUTED_VALUE"""),41094.99861111111)</f>
        <v>41094.99861</v>
      </c>
      <c r="B732" s="1">
        <f>IFERROR(__xludf.DUMMYFUNCTION("""COMPUTED_VALUE"""),1467.846009)</f>
        <v>1467.846009</v>
      </c>
    </row>
    <row r="733">
      <c r="A733" s="3">
        <f>IFERROR(__xludf.DUMMYFUNCTION("""COMPUTED_VALUE"""),41095.99861111111)</f>
        <v>41095.99861</v>
      </c>
      <c r="B733" s="1">
        <f>IFERROR(__xludf.DUMMYFUNCTION("""COMPUTED_VALUE"""),1470.614376)</f>
        <v>1470.614376</v>
      </c>
    </row>
    <row r="734">
      <c r="A734" s="3">
        <f>IFERROR(__xludf.DUMMYFUNCTION("""COMPUTED_VALUE"""),41096.99861111111)</f>
        <v>41096.99861</v>
      </c>
      <c r="B734" s="1">
        <f>IFERROR(__xludf.DUMMYFUNCTION("""COMPUTED_VALUE"""),1477.33896)</f>
        <v>1477.33896</v>
      </c>
    </row>
    <row r="735">
      <c r="A735" s="3">
        <f>IFERROR(__xludf.DUMMYFUNCTION("""COMPUTED_VALUE"""),41097.99861111111)</f>
        <v>41097.99861</v>
      </c>
      <c r="B735" s="1">
        <f>IFERROR(__xludf.DUMMYFUNCTION("""COMPUTED_VALUE"""),1458.293728)</f>
        <v>1458.293728</v>
      </c>
    </row>
    <row r="736">
      <c r="A736" s="3">
        <f>IFERROR(__xludf.DUMMYFUNCTION("""COMPUTED_VALUE"""),41098.99861111111)</f>
        <v>41098.99861</v>
      </c>
      <c r="B736" s="1">
        <f>IFERROR(__xludf.DUMMYFUNCTION("""COMPUTED_VALUE"""),1483.463665)</f>
        <v>1483.463665</v>
      </c>
    </row>
    <row r="737">
      <c r="A737" s="3">
        <f>IFERROR(__xludf.DUMMYFUNCTION("""COMPUTED_VALUE"""),41099.99861111111)</f>
        <v>41099.99861</v>
      </c>
      <c r="B737" s="1">
        <f>IFERROR(__xludf.DUMMYFUNCTION("""COMPUTED_VALUE"""),1469.814432)</f>
        <v>1469.814432</v>
      </c>
    </row>
    <row r="738">
      <c r="A738" s="3">
        <f>IFERROR(__xludf.DUMMYFUNCTION("""COMPUTED_VALUE"""),41100.99861111111)</f>
        <v>41100.99861</v>
      </c>
      <c r="B738" s="1">
        <f>IFERROR(__xludf.DUMMYFUNCTION("""COMPUTED_VALUE"""),1474.076424)</f>
        <v>1474.076424</v>
      </c>
    </row>
    <row r="739">
      <c r="A739" s="3">
        <f>IFERROR(__xludf.DUMMYFUNCTION("""COMPUTED_VALUE"""),41101.99861111111)</f>
        <v>41101.99861</v>
      </c>
      <c r="B739" s="1">
        <f>IFERROR(__xludf.DUMMYFUNCTION("""COMPUTED_VALUE"""),1471.239198)</f>
        <v>1471.239198</v>
      </c>
    </row>
    <row r="740">
      <c r="A740" s="3">
        <f>IFERROR(__xludf.DUMMYFUNCTION("""COMPUTED_VALUE"""),41102.99861111111)</f>
        <v>41102.99861</v>
      </c>
      <c r="B740" s="1">
        <f>IFERROR(__xludf.DUMMYFUNCTION("""COMPUTED_VALUE"""),1474.76576)</f>
        <v>1474.76576</v>
      </c>
    </row>
    <row r="741">
      <c r="A741" s="3">
        <f>IFERROR(__xludf.DUMMYFUNCTION("""COMPUTED_VALUE"""),41103.99861111111)</f>
        <v>41103.99861</v>
      </c>
      <c r="B741" s="1">
        <f>IFERROR(__xludf.DUMMYFUNCTION("""COMPUTED_VALUE"""),1474.79373)</f>
        <v>1474.79373</v>
      </c>
    </row>
    <row r="742">
      <c r="A742" s="3">
        <f>IFERROR(__xludf.DUMMYFUNCTION("""COMPUTED_VALUE"""),41104.99861111111)</f>
        <v>41104.99861</v>
      </c>
      <c r="B742" s="1">
        <f>IFERROR(__xludf.DUMMYFUNCTION("""COMPUTED_VALUE"""),1474.79373)</f>
        <v>1474.79373</v>
      </c>
    </row>
    <row r="743">
      <c r="A743" s="3">
        <f>IFERROR(__xludf.DUMMYFUNCTION("""COMPUTED_VALUE"""),41105.99861111111)</f>
        <v>41105.99861</v>
      </c>
      <c r="B743" s="1">
        <f>IFERROR(__xludf.DUMMYFUNCTION("""COMPUTED_VALUE"""),1481.213768)</f>
        <v>1481.213768</v>
      </c>
    </row>
    <row r="744">
      <c r="A744" s="3">
        <f>IFERROR(__xludf.DUMMYFUNCTION("""COMPUTED_VALUE"""),41106.99861111111)</f>
        <v>41106.99861</v>
      </c>
      <c r="B744" s="1">
        <f>IFERROR(__xludf.DUMMYFUNCTION("""COMPUTED_VALUE"""),1474.559559)</f>
        <v>1474.559559</v>
      </c>
    </row>
    <row r="745">
      <c r="A745" s="3">
        <f>IFERROR(__xludf.DUMMYFUNCTION("""COMPUTED_VALUE"""),41107.99861111111)</f>
        <v>41107.99861</v>
      </c>
      <c r="B745" s="1">
        <f>IFERROR(__xludf.DUMMYFUNCTION("""COMPUTED_VALUE"""),1474.233366)</f>
        <v>1474.233366</v>
      </c>
    </row>
    <row r="746">
      <c r="A746" s="3">
        <f>IFERROR(__xludf.DUMMYFUNCTION("""COMPUTED_VALUE"""),41108.99861111111)</f>
        <v>41108.99861</v>
      </c>
      <c r="B746" s="1">
        <f>IFERROR(__xludf.DUMMYFUNCTION("""COMPUTED_VALUE"""),1476.42825)</f>
        <v>1476.42825</v>
      </c>
    </row>
    <row r="747">
      <c r="A747" s="3">
        <f>IFERROR(__xludf.DUMMYFUNCTION("""COMPUTED_VALUE"""),41109.99861111111)</f>
        <v>41109.99861</v>
      </c>
      <c r="B747" s="1">
        <f>IFERROR(__xludf.DUMMYFUNCTION("""COMPUTED_VALUE"""),1475.330056)</f>
        <v>1475.330056</v>
      </c>
    </row>
    <row r="748">
      <c r="A748" s="3">
        <f>IFERROR(__xludf.DUMMYFUNCTION("""COMPUTED_VALUE"""),41110.99861111111)</f>
        <v>41110.99861</v>
      </c>
      <c r="B748" s="1">
        <f>IFERROR(__xludf.DUMMYFUNCTION("""COMPUTED_VALUE"""),1476.42625)</f>
        <v>1476.42625</v>
      </c>
    </row>
    <row r="749">
      <c r="A749" s="3">
        <f>IFERROR(__xludf.DUMMYFUNCTION("""COMPUTED_VALUE"""),41111.99861111111)</f>
        <v>41111.99861</v>
      </c>
      <c r="B749" s="1">
        <f>IFERROR(__xludf.DUMMYFUNCTION("""COMPUTED_VALUE"""),1476.42625)</f>
        <v>1476.42625</v>
      </c>
    </row>
    <row r="750">
      <c r="A750" s="3">
        <f>IFERROR(__xludf.DUMMYFUNCTION("""COMPUTED_VALUE"""),41112.99861111111)</f>
        <v>41112.99861</v>
      </c>
      <c r="B750" s="1">
        <f>IFERROR(__xludf.DUMMYFUNCTION("""COMPUTED_VALUE"""),1487.130366)</f>
        <v>1487.130366</v>
      </c>
    </row>
    <row r="751">
      <c r="A751" s="3">
        <f>IFERROR(__xludf.DUMMYFUNCTION("""COMPUTED_VALUE"""),41113.99861111111)</f>
        <v>41113.99861</v>
      </c>
      <c r="B751" s="1">
        <f>IFERROR(__xludf.DUMMYFUNCTION("""COMPUTED_VALUE"""),1473.4424)</f>
        <v>1473.4424</v>
      </c>
    </row>
    <row r="752">
      <c r="A752" s="3">
        <f>IFERROR(__xludf.DUMMYFUNCTION("""COMPUTED_VALUE"""),41114.99861111111)</f>
        <v>41114.99861</v>
      </c>
      <c r="B752" s="1">
        <f>IFERROR(__xludf.DUMMYFUNCTION("""COMPUTED_VALUE"""),1475.19352)</f>
        <v>1475.19352</v>
      </c>
    </row>
    <row r="753">
      <c r="A753" s="3">
        <f>IFERROR(__xludf.DUMMYFUNCTION("""COMPUTED_VALUE"""),41115.99861111111)</f>
        <v>41115.99861</v>
      </c>
      <c r="B753" s="1">
        <f>IFERROR(__xludf.DUMMYFUNCTION("""COMPUTED_VALUE"""),1477.487515)</f>
        <v>1477.487515</v>
      </c>
    </row>
    <row r="754">
      <c r="A754" s="3">
        <f>IFERROR(__xludf.DUMMYFUNCTION("""COMPUTED_VALUE"""),41116.99861111111)</f>
        <v>41116.99861</v>
      </c>
      <c r="B754" s="1">
        <f>IFERROR(__xludf.DUMMYFUNCTION("""COMPUTED_VALUE"""),1477.353774)</f>
        <v>1477.353774</v>
      </c>
    </row>
    <row r="755">
      <c r="A755" s="3">
        <f>IFERROR(__xludf.DUMMYFUNCTION("""COMPUTED_VALUE"""),41117.99861111111)</f>
        <v>41117.99861</v>
      </c>
      <c r="B755" s="1">
        <f>IFERROR(__xludf.DUMMYFUNCTION("""COMPUTED_VALUE"""),1475.5121)</f>
        <v>1475.5121</v>
      </c>
    </row>
    <row r="756">
      <c r="A756" s="3">
        <f>IFERROR(__xludf.DUMMYFUNCTION("""COMPUTED_VALUE"""),41118.99861111111)</f>
        <v>41118.99861</v>
      </c>
      <c r="B756" s="1">
        <f>IFERROR(__xludf.DUMMYFUNCTION("""COMPUTED_VALUE"""),1485.522215)</f>
        <v>1485.522215</v>
      </c>
    </row>
    <row r="757">
      <c r="A757" s="3">
        <f>IFERROR(__xludf.DUMMYFUNCTION("""COMPUTED_VALUE"""),41119.99861111111)</f>
        <v>41119.99861</v>
      </c>
      <c r="B757" s="1">
        <f>IFERROR(__xludf.DUMMYFUNCTION("""COMPUTED_VALUE"""),1475.5121)</f>
        <v>1475.5121</v>
      </c>
    </row>
    <row r="758">
      <c r="A758" s="3">
        <f>IFERROR(__xludf.DUMMYFUNCTION("""COMPUTED_VALUE"""),41120.99861111111)</f>
        <v>41120.99861</v>
      </c>
      <c r="B758" s="1">
        <f>IFERROR(__xludf.DUMMYFUNCTION("""COMPUTED_VALUE"""),1474.95024)</f>
        <v>1474.95024</v>
      </c>
    </row>
    <row r="759">
      <c r="A759" s="3">
        <f>IFERROR(__xludf.DUMMYFUNCTION("""COMPUTED_VALUE"""),41121.99861111111)</f>
        <v>41121.99861</v>
      </c>
      <c r="B759" s="1">
        <f>IFERROR(__xludf.DUMMYFUNCTION("""COMPUTED_VALUE"""),1477.495936)</f>
        <v>1477.495936</v>
      </c>
    </row>
    <row r="760">
      <c r="A760" s="3">
        <f>IFERROR(__xludf.DUMMYFUNCTION("""COMPUTED_VALUE"""),41122.99861111111)</f>
        <v>41122.99861</v>
      </c>
      <c r="B760" s="1">
        <f>IFERROR(__xludf.DUMMYFUNCTION("""COMPUTED_VALUE"""),1475.707428)</f>
        <v>1475.707428</v>
      </c>
    </row>
    <row r="761">
      <c r="A761" s="3">
        <f>IFERROR(__xludf.DUMMYFUNCTION("""COMPUTED_VALUE"""),41123.99861111111)</f>
        <v>41123.99861</v>
      </c>
      <c r="B761" s="1">
        <f>IFERROR(__xludf.DUMMYFUNCTION("""COMPUTED_VALUE"""),1479.50208)</f>
        <v>1479.50208</v>
      </c>
    </row>
    <row r="762">
      <c r="A762" s="3">
        <f>IFERROR(__xludf.DUMMYFUNCTION("""COMPUTED_VALUE"""),41124.99861111111)</f>
        <v>41124.99861</v>
      </c>
      <c r="B762" s="1">
        <f>IFERROR(__xludf.DUMMYFUNCTION("""COMPUTED_VALUE"""),1479.52924)</f>
        <v>1479.52924</v>
      </c>
    </row>
    <row r="763">
      <c r="A763" s="3">
        <f>IFERROR(__xludf.DUMMYFUNCTION("""COMPUTED_VALUE"""),41125.99861111111)</f>
        <v>41125.99861</v>
      </c>
      <c r="B763" s="1">
        <f>IFERROR(__xludf.DUMMYFUNCTION("""COMPUTED_VALUE"""),1477.633412)</f>
        <v>1477.633412</v>
      </c>
    </row>
    <row r="764">
      <c r="A764" s="3">
        <f>IFERROR(__xludf.DUMMYFUNCTION("""COMPUTED_VALUE"""),41126.99861111111)</f>
        <v>41126.99861</v>
      </c>
      <c r="B764" s="1">
        <f>IFERROR(__xludf.DUMMYFUNCTION("""COMPUTED_VALUE"""),1489.078837)</f>
        <v>1489.078837</v>
      </c>
    </row>
    <row r="765">
      <c r="A765" s="3">
        <f>IFERROR(__xludf.DUMMYFUNCTION("""COMPUTED_VALUE"""),41127.99861111111)</f>
        <v>41127.99861</v>
      </c>
      <c r="B765" s="1">
        <f>IFERROR(__xludf.DUMMYFUNCTION("""COMPUTED_VALUE"""),1477.82008)</f>
        <v>1477.82008</v>
      </c>
    </row>
    <row r="766">
      <c r="A766" s="3">
        <f>IFERROR(__xludf.DUMMYFUNCTION("""COMPUTED_VALUE"""),41128.99861111111)</f>
        <v>41128.99861</v>
      </c>
      <c r="B766" s="1">
        <f>IFERROR(__xludf.DUMMYFUNCTION("""COMPUTED_VALUE"""),1485.0854)</f>
        <v>1485.0854</v>
      </c>
    </row>
    <row r="767">
      <c r="A767" s="3">
        <f>IFERROR(__xludf.DUMMYFUNCTION("""COMPUTED_VALUE"""),41129.99861111111)</f>
        <v>41129.99861</v>
      </c>
      <c r="B767" s="1">
        <f>IFERROR(__xludf.DUMMYFUNCTION("""COMPUTED_VALUE"""),1481.497906)</f>
        <v>1481.497906</v>
      </c>
    </row>
    <row r="768">
      <c r="A768" s="3">
        <f>IFERROR(__xludf.DUMMYFUNCTION("""COMPUTED_VALUE"""),41130.99861111111)</f>
        <v>41130.99861</v>
      </c>
      <c r="B768" s="1">
        <f>IFERROR(__xludf.DUMMYFUNCTION("""COMPUTED_VALUE"""),1482.2213)</f>
        <v>1482.2213</v>
      </c>
    </row>
    <row r="769">
      <c r="A769" s="3">
        <f>IFERROR(__xludf.DUMMYFUNCTION("""COMPUTED_VALUE"""),41131.99861111111)</f>
        <v>41131.99861</v>
      </c>
      <c r="B769" s="1">
        <f>IFERROR(__xludf.DUMMYFUNCTION("""COMPUTED_VALUE"""),1483.194134)</f>
        <v>1483.194134</v>
      </c>
    </row>
    <row r="770">
      <c r="A770" s="3">
        <f>IFERROR(__xludf.DUMMYFUNCTION("""COMPUTED_VALUE"""),41132.99861111111)</f>
        <v>41132.99861</v>
      </c>
      <c r="B770" s="1">
        <f>IFERROR(__xludf.DUMMYFUNCTION("""COMPUTED_VALUE"""),1483.93194)</f>
        <v>1483.93194</v>
      </c>
    </row>
    <row r="771">
      <c r="A771" s="3">
        <f>IFERROR(__xludf.DUMMYFUNCTION("""COMPUTED_VALUE"""),41133.99861111111)</f>
        <v>41133.99861</v>
      </c>
      <c r="B771" s="1">
        <f>IFERROR(__xludf.DUMMYFUNCTION("""COMPUTED_VALUE"""),1490.305603)</f>
        <v>1490.305603</v>
      </c>
    </row>
    <row r="772">
      <c r="A772" s="3">
        <f>IFERROR(__xludf.DUMMYFUNCTION("""COMPUTED_VALUE"""),41134.99861111111)</f>
        <v>41134.99861</v>
      </c>
      <c r="B772" s="1">
        <f>IFERROR(__xludf.DUMMYFUNCTION("""COMPUTED_VALUE"""),1483.773536)</f>
        <v>1483.773536</v>
      </c>
    </row>
    <row r="773">
      <c r="A773" s="3">
        <f>IFERROR(__xludf.DUMMYFUNCTION("""COMPUTED_VALUE"""),41135.99861111111)</f>
        <v>41135.99861</v>
      </c>
      <c r="B773" s="1">
        <f>IFERROR(__xludf.DUMMYFUNCTION("""COMPUTED_VALUE"""),1484.168742)</f>
        <v>1484.168742</v>
      </c>
    </row>
    <row r="774">
      <c r="A774" s="3">
        <f>IFERROR(__xludf.DUMMYFUNCTION("""COMPUTED_VALUE"""),41136.99861111111)</f>
        <v>41136.99861</v>
      </c>
      <c r="B774" s="1">
        <f>IFERROR(__xludf.DUMMYFUNCTION("""COMPUTED_VALUE"""),1485.750468)</f>
        <v>1485.750468</v>
      </c>
    </row>
    <row r="775">
      <c r="A775" s="3">
        <f>IFERROR(__xludf.DUMMYFUNCTION("""COMPUTED_VALUE"""),41137.99861111111)</f>
        <v>41137.99861</v>
      </c>
      <c r="B775" s="1">
        <f>IFERROR(__xludf.DUMMYFUNCTION("""COMPUTED_VALUE"""),1483.565244)</f>
        <v>1483.565244</v>
      </c>
    </row>
    <row r="776">
      <c r="A776" s="3">
        <f>IFERROR(__xludf.DUMMYFUNCTION("""COMPUTED_VALUE"""),41138.99861111111)</f>
        <v>41138.99861</v>
      </c>
      <c r="B776" s="1">
        <f>IFERROR(__xludf.DUMMYFUNCTION("""COMPUTED_VALUE"""),1486.28895)</f>
        <v>1486.28895</v>
      </c>
    </row>
    <row r="777">
      <c r="A777" s="3">
        <f>IFERROR(__xludf.DUMMYFUNCTION("""COMPUTED_VALUE"""),41139.99861111111)</f>
        <v>41139.99861</v>
      </c>
      <c r="B777" s="1">
        <f>IFERROR(__xludf.DUMMYFUNCTION("""COMPUTED_VALUE"""),1486.28895)</f>
        <v>1486.28895</v>
      </c>
    </row>
    <row r="778">
      <c r="A778" s="3">
        <f>IFERROR(__xludf.DUMMYFUNCTION("""COMPUTED_VALUE"""),41140.99861111111)</f>
        <v>41140.99861</v>
      </c>
      <c r="B778" s="1">
        <f>IFERROR(__xludf.DUMMYFUNCTION("""COMPUTED_VALUE"""),1490.206848)</f>
        <v>1490.206848</v>
      </c>
    </row>
    <row r="779">
      <c r="A779" s="3">
        <f>IFERROR(__xludf.DUMMYFUNCTION("""COMPUTED_VALUE"""),41141.99861111111)</f>
        <v>41141.99861</v>
      </c>
      <c r="B779" s="1">
        <f>IFERROR(__xludf.DUMMYFUNCTION("""COMPUTED_VALUE"""),1485.1258)</f>
        <v>1485.1258</v>
      </c>
    </row>
    <row r="780">
      <c r="A780" s="3">
        <f>IFERROR(__xludf.DUMMYFUNCTION("""COMPUTED_VALUE"""),41143.99861111111)</f>
        <v>41143.99861</v>
      </c>
      <c r="B780" s="1">
        <f>IFERROR(__xludf.DUMMYFUNCTION("""COMPUTED_VALUE"""),1487.80335)</f>
        <v>1487.80335</v>
      </c>
    </row>
    <row r="781">
      <c r="A781" s="3">
        <f>IFERROR(__xludf.DUMMYFUNCTION("""COMPUTED_VALUE"""),41144.99861111111)</f>
        <v>41144.99861</v>
      </c>
      <c r="B781" s="1">
        <f>IFERROR(__xludf.DUMMYFUNCTION("""COMPUTED_VALUE"""),1487.157246)</f>
        <v>1487.157246</v>
      </c>
    </row>
    <row r="782">
      <c r="A782" s="3">
        <f>IFERROR(__xludf.DUMMYFUNCTION("""COMPUTED_VALUE"""),41145.99861111111)</f>
        <v>41145.99861</v>
      </c>
      <c r="B782" s="1">
        <f>IFERROR(__xludf.DUMMYFUNCTION("""COMPUTED_VALUE"""),1489.4976)</f>
        <v>1489.4976</v>
      </c>
    </row>
    <row r="783">
      <c r="A783" s="3">
        <f>IFERROR(__xludf.DUMMYFUNCTION("""COMPUTED_VALUE"""),41146.99861111111)</f>
        <v>41146.99861</v>
      </c>
      <c r="B783" s="1">
        <f>IFERROR(__xludf.DUMMYFUNCTION("""COMPUTED_VALUE"""),1489.4976)</f>
        <v>1489.4976</v>
      </c>
    </row>
    <row r="784">
      <c r="A784" s="3">
        <f>IFERROR(__xludf.DUMMYFUNCTION("""COMPUTED_VALUE"""),41147.99861111111)</f>
        <v>41147.99861</v>
      </c>
      <c r="B784" s="1">
        <f>IFERROR(__xludf.DUMMYFUNCTION("""COMPUTED_VALUE"""),1500.10822)</f>
        <v>1500.10822</v>
      </c>
    </row>
    <row r="785">
      <c r="A785" s="3">
        <f>IFERROR(__xludf.DUMMYFUNCTION("""COMPUTED_VALUE"""),41148.99861111111)</f>
        <v>41148.99861</v>
      </c>
      <c r="B785" s="1">
        <f>IFERROR(__xludf.DUMMYFUNCTION("""COMPUTED_VALUE"""),1489.7141)</f>
        <v>1489.7141</v>
      </c>
    </row>
    <row r="786">
      <c r="A786" s="3">
        <f>IFERROR(__xludf.DUMMYFUNCTION("""COMPUTED_VALUE"""),41149.99861111111)</f>
        <v>41149.99861</v>
      </c>
      <c r="B786" s="1">
        <f>IFERROR(__xludf.DUMMYFUNCTION("""COMPUTED_VALUE"""),1493.790084)</f>
        <v>1493.790084</v>
      </c>
    </row>
    <row r="787">
      <c r="A787" s="3">
        <f>IFERROR(__xludf.DUMMYFUNCTION("""COMPUTED_VALUE"""),41150.99861111111)</f>
        <v>41150.99861</v>
      </c>
      <c r="B787" s="1">
        <f>IFERROR(__xludf.DUMMYFUNCTION("""COMPUTED_VALUE"""),1496.04096)</f>
        <v>1496.04096</v>
      </c>
    </row>
    <row r="788">
      <c r="A788" s="3">
        <f>IFERROR(__xludf.DUMMYFUNCTION("""COMPUTED_VALUE"""),41151.99861111111)</f>
        <v>41151.99861</v>
      </c>
      <c r="B788" s="1">
        <f>IFERROR(__xludf.DUMMYFUNCTION("""COMPUTED_VALUE"""),1496.075704)</f>
        <v>1496.075704</v>
      </c>
    </row>
    <row r="789">
      <c r="A789" s="3">
        <f>IFERROR(__xludf.DUMMYFUNCTION("""COMPUTED_VALUE"""),41152.99861111111)</f>
        <v>41152.99861</v>
      </c>
      <c r="B789" s="1">
        <f>IFERROR(__xludf.DUMMYFUNCTION("""COMPUTED_VALUE"""),1495.6377)</f>
        <v>1495.6377</v>
      </c>
    </row>
    <row r="790">
      <c r="A790" s="3">
        <f>IFERROR(__xludf.DUMMYFUNCTION("""COMPUTED_VALUE"""),41153.99861111111)</f>
        <v>41153.99861</v>
      </c>
      <c r="B790" s="1">
        <f>IFERROR(__xludf.DUMMYFUNCTION("""COMPUTED_VALUE"""),1495.6377)</f>
        <v>1495.6377</v>
      </c>
    </row>
    <row r="791">
      <c r="A791" s="3">
        <f>IFERROR(__xludf.DUMMYFUNCTION("""COMPUTED_VALUE"""),41154.99861111111)</f>
        <v>41154.99861</v>
      </c>
      <c r="B791" s="1">
        <f>IFERROR(__xludf.DUMMYFUNCTION("""COMPUTED_VALUE"""),1499.561586)</f>
        <v>1499.561586</v>
      </c>
    </row>
    <row r="792">
      <c r="A792" s="3">
        <f>IFERROR(__xludf.DUMMYFUNCTION("""COMPUTED_VALUE"""),41155.99861111111)</f>
        <v>41155.99861</v>
      </c>
      <c r="B792" s="1">
        <f>IFERROR(__xludf.DUMMYFUNCTION("""COMPUTED_VALUE"""),1496.831085)</f>
        <v>1496.831085</v>
      </c>
    </row>
    <row r="793">
      <c r="A793" s="3">
        <f>IFERROR(__xludf.DUMMYFUNCTION("""COMPUTED_VALUE"""),41156.99861111111)</f>
        <v>41156.99861</v>
      </c>
      <c r="B793" s="1">
        <f>IFERROR(__xludf.DUMMYFUNCTION("""COMPUTED_VALUE"""),1500.878979)</f>
        <v>1500.878979</v>
      </c>
    </row>
    <row r="794">
      <c r="A794" s="3">
        <f>IFERROR(__xludf.DUMMYFUNCTION("""COMPUTED_VALUE"""),41157.99861111111)</f>
        <v>41157.99861</v>
      </c>
      <c r="B794" s="1">
        <f>IFERROR(__xludf.DUMMYFUNCTION("""COMPUTED_VALUE"""),1500.25935)</f>
        <v>1500.25935</v>
      </c>
    </row>
    <row r="795">
      <c r="A795" s="3">
        <f>IFERROR(__xludf.DUMMYFUNCTION("""COMPUTED_VALUE"""),41158.99861111111)</f>
        <v>41158.99861</v>
      </c>
      <c r="B795" s="1">
        <f>IFERROR(__xludf.DUMMYFUNCTION("""COMPUTED_VALUE"""),1500.888609)</f>
        <v>1500.888609</v>
      </c>
    </row>
    <row r="796">
      <c r="A796" s="3">
        <f>IFERROR(__xludf.DUMMYFUNCTION("""COMPUTED_VALUE"""),41159.99861111111)</f>
        <v>41159.99861</v>
      </c>
      <c r="B796" s="1">
        <f>IFERROR(__xludf.DUMMYFUNCTION("""COMPUTED_VALUE"""),1502.47845)</f>
        <v>1502.47845</v>
      </c>
    </row>
    <row r="797">
      <c r="A797" s="3">
        <f>IFERROR(__xludf.DUMMYFUNCTION("""COMPUTED_VALUE"""),41160.99861111111)</f>
        <v>41160.99861</v>
      </c>
      <c r="B797" s="1">
        <f>IFERROR(__xludf.DUMMYFUNCTION("""COMPUTED_VALUE"""),1501.990479)</f>
        <v>1501.990479</v>
      </c>
    </row>
    <row r="798">
      <c r="A798" s="3">
        <f>IFERROR(__xludf.DUMMYFUNCTION("""COMPUTED_VALUE"""),41161.99861111111)</f>
        <v>41161.99861</v>
      </c>
      <c r="B798" s="1">
        <f>IFERROR(__xludf.DUMMYFUNCTION("""COMPUTED_VALUE"""),1515.976441)</f>
        <v>1515.976441</v>
      </c>
    </row>
    <row r="799">
      <c r="A799" s="3">
        <f>IFERROR(__xludf.DUMMYFUNCTION("""COMPUTED_VALUE"""),41162.99861111111)</f>
        <v>41162.99861</v>
      </c>
      <c r="B799" s="1">
        <f>IFERROR(__xludf.DUMMYFUNCTION("""COMPUTED_VALUE"""),1504.143699)</f>
        <v>1504.143699</v>
      </c>
    </row>
    <row r="800">
      <c r="A800" s="3">
        <f>IFERROR(__xludf.DUMMYFUNCTION("""COMPUTED_VALUE"""),41163.99861111111)</f>
        <v>41163.99861</v>
      </c>
      <c r="B800" s="1">
        <f>IFERROR(__xludf.DUMMYFUNCTION("""COMPUTED_VALUE"""),1504.74904)</f>
        <v>1504.74904</v>
      </c>
    </row>
    <row r="801">
      <c r="A801" s="3">
        <f>IFERROR(__xludf.DUMMYFUNCTION("""COMPUTED_VALUE"""),41164.99861111111)</f>
        <v>41164.99861</v>
      </c>
      <c r="B801" s="1">
        <f>IFERROR(__xludf.DUMMYFUNCTION("""COMPUTED_VALUE"""),1505.207561)</f>
        <v>1505.207561</v>
      </c>
    </row>
    <row r="802">
      <c r="A802" s="3">
        <f>IFERROR(__xludf.DUMMYFUNCTION("""COMPUTED_VALUE"""),41165.99861111111)</f>
        <v>41165.99861</v>
      </c>
      <c r="B802" s="1">
        <f>IFERROR(__xludf.DUMMYFUNCTION("""COMPUTED_VALUE"""),1506.243486)</f>
        <v>1506.243486</v>
      </c>
    </row>
    <row r="803">
      <c r="A803" s="3">
        <f>IFERROR(__xludf.DUMMYFUNCTION("""COMPUTED_VALUE"""),41166.99861111111)</f>
        <v>41166.99861</v>
      </c>
      <c r="B803" s="1">
        <f>IFERROR(__xludf.DUMMYFUNCTION("""COMPUTED_VALUE"""),1498.8828)</f>
        <v>1498.8828</v>
      </c>
    </row>
    <row r="804">
      <c r="A804" s="3">
        <f>IFERROR(__xludf.DUMMYFUNCTION("""COMPUTED_VALUE"""),41167.99861111111)</f>
        <v>41167.99861</v>
      </c>
      <c r="B804" s="1">
        <f>IFERROR(__xludf.DUMMYFUNCTION("""COMPUTED_VALUE"""),1471.577203)</f>
        <v>1471.577203</v>
      </c>
    </row>
    <row r="805">
      <c r="A805" s="3">
        <f>IFERROR(__xludf.DUMMYFUNCTION("""COMPUTED_VALUE"""),41168.99861111111)</f>
        <v>41168.99861</v>
      </c>
      <c r="B805" s="1">
        <f>IFERROR(__xludf.DUMMYFUNCTION("""COMPUTED_VALUE"""),1531.291639)</f>
        <v>1531.291639</v>
      </c>
    </row>
    <row r="806">
      <c r="A806" s="3">
        <f>IFERROR(__xludf.DUMMYFUNCTION("""COMPUTED_VALUE"""),41169.99861111111)</f>
        <v>41169.99861</v>
      </c>
      <c r="B806" s="1">
        <f>IFERROR(__xludf.DUMMYFUNCTION("""COMPUTED_VALUE"""),1490.87034)</f>
        <v>1490.87034</v>
      </c>
    </row>
    <row r="807">
      <c r="A807" s="3">
        <f>IFERROR(__xludf.DUMMYFUNCTION("""COMPUTED_VALUE"""),41170.99861111111)</f>
        <v>41170.99861</v>
      </c>
      <c r="B807" s="1">
        <f>IFERROR(__xludf.DUMMYFUNCTION("""COMPUTED_VALUE"""),1496.891934)</f>
        <v>1496.891934</v>
      </c>
    </row>
    <row r="808">
      <c r="A808" s="3">
        <f>IFERROR(__xludf.DUMMYFUNCTION("""COMPUTED_VALUE"""),41171.99861111111)</f>
        <v>41171.99861</v>
      </c>
      <c r="B808" s="1">
        <f>IFERROR(__xludf.DUMMYFUNCTION("""COMPUTED_VALUE"""),1504.751775)</f>
        <v>1504.751775</v>
      </c>
    </row>
    <row r="809">
      <c r="A809" s="3">
        <f>IFERROR(__xludf.DUMMYFUNCTION("""COMPUTED_VALUE"""),41172.99861111111)</f>
        <v>41172.99861</v>
      </c>
      <c r="B809" s="1">
        <f>IFERROR(__xludf.DUMMYFUNCTION("""COMPUTED_VALUE"""),1506.399694)</f>
        <v>1506.399694</v>
      </c>
    </row>
    <row r="810">
      <c r="A810" s="3">
        <f>IFERROR(__xludf.DUMMYFUNCTION("""COMPUTED_VALUE"""),41173.99861111111)</f>
        <v>41173.99861</v>
      </c>
      <c r="B810" s="1">
        <f>IFERROR(__xludf.DUMMYFUNCTION("""COMPUTED_VALUE"""),1507.492)</f>
        <v>1507.492</v>
      </c>
    </row>
    <row r="811">
      <c r="A811" s="3">
        <f>IFERROR(__xludf.DUMMYFUNCTION("""COMPUTED_VALUE"""),41174.99861111111)</f>
        <v>41174.99861</v>
      </c>
      <c r="B811" s="1">
        <f>IFERROR(__xludf.DUMMYFUNCTION("""COMPUTED_VALUE"""),1507.492)</f>
        <v>1507.492</v>
      </c>
    </row>
    <row r="812">
      <c r="A812" s="3">
        <f>IFERROR(__xludf.DUMMYFUNCTION("""COMPUTED_VALUE"""),41175.99861111111)</f>
        <v>41175.99861</v>
      </c>
      <c r="B812" s="1">
        <f>IFERROR(__xludf.DUMMYFUNCTION("""COMPUTED_VALUE"""),1518.836676)</f>
        <v>1518.836676</v>
      </c>
    </row>
    <row r="813">
      <c r="A813" s="3">
        <f>IFERROR(__xludf.DUMMYFUNCTION("""COMPUTED_VALUE"""),41176.99861111111)</f>
        <v>41176.99861</v>
      </c>
      <c r="B813" s="1">
        <f>IFERROR(__xludf.DUMMYFUNCTION("""COMPUTED_VALUE"""),1508.66055)</f>
        <v>1508.66055</v>
      </c>
    </row>
    <row r="814">
      <c r="A814" s="3">
        <f>IFERROR(__xludf.DUMMYFUNCTION("""COMPUTED_VALUE"""),41177.99861111111)</f>
        <v>41177.99861</v>
      </c>
      <c r="B814" s="1">
        <f>IFERROR(__xludf.DUMMYFUNCTION("""COMPUTED_VALUE"""),1511.354384)</f>
        <v>1511.354384</v>
      </c>
    </row>
    <row r="815">
      <c r="A815" s="3">
        <f>IFERROR(__xludf.DUMMYFUNCTION("""COMPUTED_VALUE"""),41178.99861111111)</f>
        <v>41178.99861</v>
      </c>
      <c r="B815" s="1">
        <f>IFERROR(__xludf.DUMMYFUNCTION("""COMPUTED_VALUE"""),1513.893708)</f>
        <v>1513.893708</v>
      </c>
    </row>
    <row r="816">
      <c r="A816" s="3">
        <f>IFERROR(__xludf.DUMMYFUNCTION("""COMPUTED_VALUE"""),41179.99861111111)</f>
        <v>41179.99861</v>
      </c>
      <c r="B816" s="1">
        <f>IFERROR(__xludf.DUMMYFUNCTION("""COMPUTED_VALUE"""),1512.372372)</f>
        <v>1512.372372</v>
      </c>
    </row>
    <row r="817">
      <c r="A817" s="3">
        <f>IFERROR(__xludf.DUMMYFUNCTION("""COMPUTED_VALUE"""),41180.99861111111)</f>
        <v>41180.99861</v>
      </c>
      <c r="B817" s="1">
        <f>IFERROR(__xludf.DUMMYFUNCTION("""COMPUTED_VALUE"""),1516.41415)</f>
        <v>1516.41415</v>
      </c>
    </row>
    <row r="818">
      <c r="A818" s="3">
        <f>IFERROR(__xludf.DUMMYFUNCTION("""COMPUTED_VALUE"""),41181.99861111111)</f>
        <v>41181.99861</v>
      </c>
      <c r="B818" s="1">
        <f>IFERROR(__xludf.DUMMYFUNCTION("""COMPUTED_VALUE"""),1516.41415)</f>
        <v>1516.41415</v>
      </c>
    </row>
    <row r="819">
      <c r="A819" s="3">
        <f>IFERROR(__xludf.DUMMYFUNCTION("""COMPUTED_VALUE"""),41182.99861111111)</f>
        <v>41182.99861</v>
      </c>
      <c r="B819" s="1">
        <f>IFERROR(__xludf.DUMMYFUNCTION("""COMPUTED_VALUE"""),1522.737714)</f>
        <v>1522.737714</v>
      </c>
    </row>
    <row r="820">
      <c r="A820" s="3">
        <f>IFERROR(__xludf.DUMMYFUNCTION("""COMPUTED_VALUE"""),41183.99861111111)</f>
        <v>41183.99861</v>
      </c>
      <c r="B820" s="1">
        <f>IFERROR(__xludf.DUMMYFUNCTION("""COMPUTED_VALUE"""),1517.287935)</f>
        <v>1517.287935</v>
      </c>
    </row>
    <row r="821">
      <c r="A821" s="3">
        <f>IFERROR(__xludf.DUMMYFUNCTION("""COMPUTED_VALUE"""),41184.99861111111)</f>
        <v>41184.99861</v>
      </c>
      <c r="B821" s="1">
        <f>IFERROR(__xludf.DUMMYFUNCTION("""COMPUTED_VALUE"""),1517.36737)</f>
        <v>1517.36737</v>
      </c>
    </row>
    <row r="822">
      <c r="A822" s="3">
        <f>IFERROR(__xludf.DUMMYFUNCTION("""COMPUTED_VALUE"""),41185.99861111111)</f>
        <v>41185.99861</v>
      </c>
      <c r="B822" s="1">
        <f>IFERROR(__xludf.DUMMYFUNCTION("""COMPUTED_VALUE"""),1518.145833)</f>
        <v>1518.145833</v>
      </c>
    </row>
    <row r="823">
      <c r="A823" s="3">
        <f>IFERROR(__xludf.DUMMYFUNCTION("""COMPUTED_VALUE"""),41186.99861111111)</f>
        <v>41186.99861</v>
      </c>
      <c r="B823" s="1">
        <f>IFERROR(__xludf.DUMMYFUNCTION("""COMPUTED_VALUE"""),1519.003731)</f>
        <v>1519.003731</v>
      </c>
    </row>
    <row r="824">
      <c r="A824" s="3">
        <f>IFERROR(__xludf.DUMMYFUNCTION("""COMPUTED_VALUE"""),41187.99861111111)</f>
        <v>41187.99861</v>
      </c>
      <c r="B824" s="1">
        <f>IFERROR(__xludf.DUMMYFUNCTION("""COMPUTED_VALUE"""),1519.43268)</f>
        <v>1519.43268</v>
      </c>
    </row>
    <row r="825">
      <c r="A825" s="3">
        <f>IFERROR(__xludf.DUMMYFUNCTION("""COMPUTED_VALUE"""),41188.99861111111)</f>
        <v>41188.99861</v>
      </c>
      <c r="B825" s="1">
        <f>IFERROR(__xludf.DUMMYFUNCTION("""COMPUTED_VALUE"""),1520.699614)</f>
        <v>1520.699614</v>
      </c>
    </row>
    <row r="826">
      <c r="A826" s="3">
        <f>IFERROR(__xludf.DUMMYFUNCTION("""COMPUTED_VALUE"""),41189.99861111111)</f>
        <v>41189.99861</v>
      </c>
      <c r="B826" s="1">
        <f>IFERROR(__xludf.DUMMYFUNCTION("""COMPUTED_VALUE"""),1494.521864)</f>
        <v>1494.521864</v>
      </c>
    </row>
    <row r="827">
      <c r="A827" s="3">
        <f>IFERROR(__xludf.DUMMYFUNCTION("""COMPUTED_VALUE"""),41190.99861111111)</f>
        <v>41190.99861</v>
      </c>
      <c r="B827" s="1">
        <f>IFERROR(__xludf.DUMMYFUNCTION("""COMPUTED_VALUE"""),1518.222948)</f>
        <v>1518.222948</v>
      </c>
    </row>
    <row r="828">
      <c r="A828" s="3">
        <f>IFERROR(__xludf.DUMMYFUNCTION("""COMPUTED_VALUE"""),41191.99861111111)</f>
        <v>41191.99861</v>
      </c>
      <c r="B828" s="1">
        <f>IFERROR(__xludf.DUMMYFUNCTION("""COMPUTED_VALUE"""),1518.619923)</f>
        <v>1518.619923</v>
      </c>
    </row>
    <row r="829">
      <c r="A829" s="3">
        <f>IFERROR(__xludf.DUMMYFUNCTION("""COMPUTED_VALUE"""),41192.99861111111)</f>
        <v>41192.99861</v>
      </c>
      <c r="B829" s="1">
        <f>IFERROR(__xludf.DUMMYFUNCTION("""COMPUTED_VALUE"""),1519.49714)</f>
        <v>1519.49714</v>
      </c>
    </row>
    <row r="830">
      <c r="A830" s="3">
        <f>IFERROR(__xludf.DUMMYFUNCTION("""COMPUTED_VALUE"""),41193.99861111111)</f>
        <v>41193.99861</v>
      </c>
      <c r="B830" s="1">
        <f>IFERROR(__xludf.DUMMYFUNCTION("""COMPUTED_VALUE"""),1519.675146)</f>
        <v>1519.675146</v>
      </c>
    </row>
    <row r="831">
      <c r="A831" s="3">
        <f>IFERROR(__xludf.DUMMYFUNCTION("""COMPUTED_VALUE"""),41194.99861111111)</f>
        <v>41194.99861</v>
      </c>
      <c r="B831" s="1">
        <f>IFERROR(__xludf.DUMMYFUNCTION("""COMPUTED_VALUE"""),1521.88843)</f>
        <v>1521.88843</v>
      </c>
    </row>
    <row r="832">
      <c r="A832" s="3">
        <f>IFERROR(__xludf.DUMMYFUNCTION("""COMPUTED_VALUE"""),41195.99861111111)</f>
        <v>41195.99861</v>
      </c>
      <c r="B832" s="1">
        <f>IFERROR(__xludf.DUMMYFUNCTION("""COMPUTED_VALUE"""),1521.88843)</f>
        <v>1521.88843</v>
      </c>
    </row>
    <row r="833">
      <c r="A833" s="3">
        <f>IFERROR(__xludf.DUMMYFUNCTION("""COMPUTED_VALUE"""),41196.99861111111)</f>
        <v>41196.99861</v>
      </c>
      <c r="B833" s="1">
        <f>IFERROR(__xludf.DUMMYFUNCTION("""COMPUTED_VALUE"""),1525.783559)</f>
        <v>1525.783559</v>
      </c>
    </row>
    <row r="834">
      <c r="A834" s="3">
        <f>IFERROR(__xludf.DUMMYFUNCTION("""COMPUTED_VALUE"""),41197.99861111111)</f>
        <v>41197.99861</v>
      </c>
      <c r="B834" s="1">
        <f>IFERROR(__xludf.DUMMYFUNCTION("""COMPUTED_VALUE"""),1522.334338)</f>
        <v>1522.334338</v>
      </c>
    </row>
    <row r="835">
      <c r="A835" s="3">
        <f>IFERROR(__xludf.DUMMYFUNCTION("""COMPUTED_VALUE"""),41198.99861111111)</f>
        <v>41198.99861</v>
      </c>
      <c r="B835" s="1">
        <f>IFERROR(__xludf.DUMMYFUNCTION("""COMPUTED_VALUE"""),1523.067084)</f>
        <v>1523.067084</v>
      </c>
    </row>
    <row r="836">
      <c r="A836" s="3">
        <f>IFERROR(__xludf.DUMMYFUNCTION("""COMPUTED_VALUE"""),41199.99861111111)</f>
        <v>41199.99861</v>
      </c>
      <c r="B836" s="1">
        <f>IFERROR(__xludf.DUMMYFUNCTION("""COMPUTED_VALUE"""),1524.30687)</f>
        <v>1524.30687</v>
      </c>
    </row>
    <row r="837">
      <c r="A837" s="3">
        <f>IFERROR(__xludf.DUMMYFUNCTION("""COMPUTED_VALUE"""),41200.99861111111)</f>
        <v>41200.99861</v>
      </c>
      <c r="B837" s="1">
        <f>IFERROR(__xludf.DUMMYFUNCTION("""COMPUTED_VALUE"""),1527.018556)</f>
        <v>1527.018556</v>
      </c>
    </row>
    <row r="838">
      <c r="A838" s="3">
        <f>IFERROR(__xludf.DUMMYFUNCTION("""COMPUTED_VALUE"""),41201.99861111111)</f>
        <v>41201.99861</v>
      </c>
      <c r="B838" s="1">
        <f>IFERROR(__xludf.DUMMYFUNCTION("""COMPUTED_VALUE"""),1527.5312)</f>
        <v>1527.5312</v>
      </c>
    </row>
    <row r="839">
      <c r="A839" s="3">
        <f>IFERROR(__xludf.DUMMYFUNCTION("""COMPUTED_VALUE"""),41202.99861111111)</f>
        <v>41202.99861</v>
      </c>
      <c r="B839" s="1">
        <f>IFERROR(__xludf.DUMMYFUNCTION("""COMPUTED_VALUE"""),1526.86067)</f>
        <v>1526.86067</v>
      </c>
    </row>
    <row r="840">
      <c r="A840" s="3">
        <f>IFERROR(__xludf.DUMMYFUNCTION("""COMPUTED_VALUE"""),41203.99861111111)</f>
        <v>41203.99861</v>
      </c>
      <c r="B840" s="1">
        <f>IFERROR(__xludf.DUMMYFUNCTION("""COMPUTED_VALUE"""),1531.434642)</f>
        <v>1531.434642</v>
      </c>
    </row>
    <row r="841">
      <c r="A841" s="3">
        <f>IFERROR(__xludf.DUMMYFUNCTION("""COMPUTED_VALUE"""),41204.99861111111)</f>
        <v>41204.99861</v>
      </c>
      <c r="B841" s="1">
        <f>IFERROR(__xludf.DUMMYFUNCTION("""COMPUTED_VALUE"""),1528.61688)</f>
        <v>1528.61688</v>
      </c>
    </row>
    <row r="842">
      <c r="A842" s="3">
        <f>IFERROR(__xludf.DUMMYFUNCTION("""COMPUTED_VALUE"""),41205.99861111111)</f>
        <v>41205.99861</v>
      </c>
      <c r="B842" s="1">
        <f>IFERROR(__xludf.DUMMYFUNCTION("""COMPUTED_VALUE"""),1530.5644)</f>
        <v>1530.5644</v>
      </c>
    </row>
    <row r="843">
      <c r="A843" s="3">
        <f>IFERROR(__xludf.DUMMYFUNCTION("""COMPUTED_VALUE"""),41206.99861111111)</f>
        <v>41206.99861</v>
      </c>
      <c r="B843" s="1">
        <f>IFERROR(__xludf.DUMMYFUNCTION("""COMPUTED_VALUE"""),1530.94792)</f>
        <v>1530.94792</v>
      </c>
    </row>
    <row r="844">
      <c r="A844" s="3">
        <f>IFERROR(__xludf.DUMMYFUNCTION("""COMPUTED_VALUE"""),41207.99861111111)</f>
        <v>41207.99861</v>
      </c>
      <c r="B844" s="1">
        <f>IFERROR(__xludf.DUMMYFUNCTION("""COMPUTED_VALUE"""),1531.744968)</f>
        <v>1531.744968</v>
      </c>
    </row>
    <row r="845">
      <c r="A845" s="3">
        <f>IFERROR(__xludf.DUMMYFUNCTION("""COMPUTED_VALUE"""),41208.99861111111)</f>
        <v>41208.99861</v>
      </c>
      <c r="B845" s="1">
        <f>IFERROR(__xludf.DUMMYFUNCTION("""COMPUTED_VALUE"""),1530.6924)</f>
        <v>1530.6924</v>
      </c>
    </row>
    <row r="846">
      <c r="A846" s="3">
        <f>IFERROR(__xludf.DUMMYFUNCTION("""COMPUTED_VALUE"""),41209.99861111111)</f>
        <v>41209.99861</v>
      </c>
      <c r="B846" s="1">
        <f>IFERROR(__xludf.DUMMYFUNCTION("""COMPUTED_VALUE"""),1530.6924)</f>
        <v>1530.6924</v>
      </c>
    </row>
    <row r="847">
      <c r="A847" s="3">
        <f>IFERROR(__xludf.DUMMYFUNCTION("""COMPUTED_VALUE"""),41210.99861111111)</f>
        <v>41210.99861</v>
      </c>
      <c r="B847" s="1">
        <f>IFERROR(__xludf.DUMMYFUNCTION("""COMPUTED_VALUE"""),1533.748959)</f>
        <v>1533.748959</v>
      </c>
    </row>
    <row r="848">
      <c r="A848" s="3">
        <f>IFERROR(__xludf.DUMMYFUNCTION("""COMPUTED_VALUE"""),41211.99861111111)</f>
        <v>41211.99861</v>
      </c>
      <c r="B848" s="1">
        <f>IFERROR(__xludf.DUMMYFUNCTION("""COMPUTED_VALUE"""),1531.13844)</f>
        <v>1531.13844</v>
      </c>
    </row>
    <row r="849">
      <c r="A849" s="3">
        <f>IFERROR(__xludf.DUMMYFUNCTION("""COMPUTED_VALUE"""),41212.99861111111)</f>
        <v>41212.99861</v>
      </c>
      <c r="B849" s="1">
        <f>IFERROR(__xludf.DUMMYFUNCTION("""COMPUTED_VALUE"""),1533.744)</f>
        <v>1533.744</v>
      </c>
    </row>
    <row r="850">
      <c r="A850" s="3">
        <f>IFERROR(__xludf.DUMMYFUNCTION("""COMPUTED_VALUE"""),41213.99861111111)</f>
        <v>41213.99861</v>
      </c>
      <c r="B850" s="1">
        <f>IFERROR(__xludf.DUMMYFUNCTION("""COMPUTED_VALUE"""),1532.83032)</f>
        <v>1532.83032</v>
      </c>
    </row>
    <row r="851">
      <c r="A851" s="3">
        <f>IFERROR(__xludf.DUMMYFUNCTION("""COMPUTED_VALUE"""),41214.99861111111)</f>
        <v>41214.99861</v>
      </c>
      <c r="B851" s="1">
        <f>IFERROR(__xludf.DUMMYFUNCTION("""COMPUTED_VALUE"""),1534.352255)</f>
        <v>1534.352255</v>
      </c>
    </row>
    <row r="852">
      <c r="A852" s="3">
        <f>IFERROR(__xludf.DUMMYFUNCTION("""COMPUTED_VALUE"""),41215.99861111111)</f>
        <v>41215.99861</v>
      </c>
      <c r="B852" s="1">
        <f>IFERROR(__xludf.DUMMYFUNCTION("""COMPUTED_VALUE"""),1533.248592)</f>
        <v>1533.248592</v>
      </c>
    </row>
    <row r="853">
      <c r="A853" s="3">
        <f>IFERROR(__xludf.DUMMYFUNCTION("""COMPUTED_VALUE"""),41216.99861111111)</f>
        <v>41216.99861</v>
      </c>
      <c r="B853" s="1">
        <f>IFERROR(__xludf.DUMMYFUNCTION("""COMPUTED_VALUE"""),1534.0164)</f>
        <v>1534.0164</v>
      </c>
    </row>
    <row r="854">
      <c r="A854" s="3">
        <f>IFERROR(__xludf.DUMMYFUNCTION("""COMPUTED_VALUE"""),41217.99861111111)</f>
        <v>41217.99861</v>
      </c>
      <c r="B854" s="1">
        <f>IFERROR(__xludf.DUMMYFUNCTION("""COMPUTED_VALUE"""),1530.689232)</f>
        <v>1530.689232</v>
      </c>
    </row>
    <row r="855">
      <c r="A855" s="3">
        <f>IFERROR(__xludf.DUMMYFUNCTION("""COMPUTED_VALUE"""),41218.99861111111)</f>
        <v>41218.99861</v>
      </c>
      <c r="B855" s="1">
        <f>IFERROR(__xludf.DUMMYFUNCTION("""COMPUTED_VALUE"""),1533.281204)</f>
        <v>1533.281204</v>
      </c>
    </row>
    <row r="856">
      <c r="A856" s="3">
        <f>IFERROR(__xludf.DUMMYFUNCTION("""COMPUTED_VALUE"""),41219.99861111111)</f>
        <v>41219.99861</v>
      </c>
      <c r="B856" s="1">
        <f>IFERROR(__xludf.DUMMYFUNCTION("""COMPUTED_VALUE"""),1533.153316)</f>
        <v>1533.153316</v>
      </c>
    </row>
    <row r="857">
      <c r="A857" s="3">
        <f>IFERROR(__xludf.DUMMYFUNCTION("""COMPUTED_VALUE"""),41220.99861111111)</f>
        <v>41220.99861</v>
      </c>
      <c r="B857" s="1">
        <f>IFERROR(__xludf.DUMMYFUNCTION("""COMPUTED_VALUE"""),1531.250187)</f>
        <v>1531.250187</v>
      </c>
    </row>
    <row r="858">
      <c r="A858" s="3">
        <f>IFERROR(__xludf.DUMMYFUNCTION("""COMPUTED_VALUE"""),41221.99861111111)</f>
        <v>41221.99861</v>
      </c>
      <c r="B858" s="1">
        <f>IFERROR(__xludf.DUMMYFUNCTION("""COMPUTED_VALUE"""),1535.615874)</f>
        <v>1535.615874</v>
      </c>
    </row>
    <row r="859">
      <c r="A859" s="3">
        <f>IFERROR(__xludf.DUMMYFUNCTION("""COMPUTED_VALUE"""),41222.99861111111)</f>
        <v>41222.99861</v>
      </c>
      <c r="B859" s="1">
        <f>IFERROR(__xludf.DUMMYFUNCTION("""COMPUTED_VALUE"""),1533.329157)</f>
        <v>1533.329157</v>
      </c>
    </row>
    <row r="860">
      <c r="A860" s="3">
        <f>IFERROR(__xludf.DUMMYFUNCTION("""COMPUTED_VALUE"""),41223.99861111111)</f>
        <v>41223.99861</v>
      </c>
      <c r="B860" s="1">
        <f>IFERROR(__xludf.DUMMYFUNCTION("""COMPUTED_VALUE"""),1533.95265)</f>
        <v>1533.95265</v>
      </c>
    </row>
    <row r="861">
      <c r="A861" s="3">
        <f>IFERROR(__xludf.DUMMYFUNCTION("""COMPUTED_VALUE"""),41224.99861111111)</f>
        <v>41224.99861</v>
      </c>
      <c r="B861" s="1">
        <f>IFERROR(__xludf.DUMMYFUNCTION("""COMPUTED_VALUE"""),1544.285504)</f>
        <v>1544.285504</v>
      </c>
    </row>
    <row r="862">
      <c r="A862" s="3">
        <f>IFERROR(__xludf.DUMMYFUNCTION("""COMPUTED_VALUE"""),41225.99861111111)</f>
        <v>41225.99861</v>
      </c>
      <c r="B862" s="1">
        <f>IFERROR(__xludf.DUMMYFUNCTION("""COMPUTED_VALUE"""),1537.101228)</f>
        <v>1537.101228</v>
      </c>
    </row>
    <row r="863">
      <c r="A863" s="3">
        <f>IFERROR(__xludf.DUMMYFUNCTION("""COMPUTED_VALUE"""),41226.99861111111)</f>
        <v>41226.99861</v>
      </c>
      <c r="B863" s="1">
        <f>IFERROR(__xludf.DUMMYFUNCTION("""COMPUTED_VALUE"""),1538.718344)</f>
        <v>1538.718344</v>
      </c>
    </row>
    <row r="864">
      <c r="A864" s="3">
        <f>IFERROR(__xludf.DUMMYFUNCTION("""COMPUTED_VALUE"""),41227.99861111111)</f>
        <v>41227.99861</v>
      </c>
      <c r="B864" s="1">
        <f>IFERROR(__xludf.DUMMYFUNCTION("""COMPUTED_VALUE"""),1538.894214)</f>
        <v>1538.894214</v>
      </c>
    </row>
    <row r="865">
      <c r="A865" s="3">
        <f>IFERROR(__xludf.DUMMYFUNCTION("""COMPUTED_VALUE"""),41228.99861111111)</f>
        <v>41228.99861</v>
      </c>
      <c r="B865" s="1">
        <f>IFERROR(__xludf.DUMMYFUNCTION("""COMPUTED_VALUE"""),1536.911235)</f>
        <v>1536.911235</v>
      </c>
    </row>
    <row r="866">
      <c r="A866" s="3">
        <f>IFERROR(__xludf.DUMMYFUNCTION("""COMPUTED_VALUE"""),41229.99861111111)</f>
        <v>41229.99861</v>
      </c>
      <c r="B866" s="1">
        <f>IFERROR(__xludf.DUMMYFUNCTION("""COMPUTED_VALUE"""),1536.623703)</f>
        <v>1536.623703</v>
      </c>
    </row>
    <row r="867">
      <c r="A867" s="3">
        <f>IFERROR(__xludf.DUMMYFUNCTION("""COMPUTED_VALUE"""),41230.99861111111)</f>
        <v>41230.99861</v>
      </c>
      <c r="B867" s="1">
        <f>IFERROR(__xludf.DUMMYFUNCTION("""COMPUTED_VALUE"""),1537.056)</f>
        <v>1537.056</v>
      </c>
    </row>
    <row r="868">
      <c r="A868" s="3">
        <f>IFERROR(__xludf.DUMMYFUNCTION("""COMPUTED_VALUE"""),41231.99861111111)</f>
        <v>41231.99861</v>
      </c>
      <c r="B868" s="1">
        <f>IFERROR(__xludf.DUMMYFUNCTION("""COMPUTED_VALUE"""),1542.509309)</f>
        <v>1542.509309</v>
      </c>
    </row>
    <row r="869">
      <c r="A869" s="3">
        <f>IFERROR(__xludf.DUMMYFUNCTION("""COMPUTED_VALUE"""),41232.99861111111)</f>
        <v>41232.99861</v>
      </c>
      <c r="B869" s="1">
        <f>IFERROR(__xludf.DUMMYFUNCTION("""COMPUTED_VALUE"""),1537.392042)</f>
        <v>1537.392042</v>
      </c>
    </row>
    <row r="870">
      <c r="A870" s="3">
        <f>IFERROR(__xludf.DUMMYFUNCTION("""COMPUTED_VALUE"""),41233.99861111111)</f>
        <v>41233.99861</v>
      </c>
      <c r="B870" s="1">
        <f>IFERROR(__xludf.DUMMYFUNCTION("""COMPUTED_VALUE"""),1538.448741)</f>
        <v>1538.448741</v>
      </c>
    </row>
    <row r="871">
      <c r="A871" s="3">
        <f>IFERROR(__xludf.DUMMYFUNCTION("""COMPUTED_VALUE"""),41234.99861111111)</f>
        <v>41234.99861</v>
      </c>
      <c r="B871" s="1">
        <f>IFERROR(__xludf.DUMMYFUNCTION("""COMPUTED_VALUE"""),1539.281375)</f>
        <v>1539.281375</v>
      </c>
    </row>
    <row r="872">
      <c r="A872" s="3">
        <f>IFERROR(__xludf.DUMMYFUNCTION("""COMPUTED_VALUE"""),41235.99861111111)</f>
        <v>41235.99861</v>
      </c>
      <c r="B872" s="1">
        <f>IFERROR(__xludf.DUMMYFUNCTION("""COMPUTED_VALUE"""),1538.36744)</f>
        <v>1538.36744</v>
      </c>
    </row>
    <row r="873">
      <c r="A873" s="3">
        <f>IFERROR(__xludf.DUMMYFUNCTION("""COMPUTED_VALUE"""),41236.99861111111)</f>
        <v>41236.99861</v>
      </c>
      <c r="B873" s="1">
        <f>IFERROR(__xludf.DUMMYFUNCTION("""COMPUTED_VALUE"""),1535.594229)</f>
        <v>1535.594229</v>
      </c>
    </row>
    <row r="874">
      <c r="A874" s="3">
        <f>IFERROR(__xludf.DUMMYFUNCTION("""COMPUTED_VALUE"""),41237.99861111111)</f>
        <v>41237.99861</v>
      </c>
      <c r="B874" s="1">
        <f>IFERROR(__xludf.DUMMYFUNCTION("""COMPUTED_VALUE"""),1535.41791)</f>
        <v>1535.41791</v>
      </c>
    </row>
    <row r="875">
      <c r="A875" s="3">
        <f>IFERROR(__xludf.DUMMYFUNCTION("""COMPUTED_VALUE"""),41238.99861111111)</f>
        <v>41238.99861</v>
      </c>
      <c r="B875" s="1">
        <f>IFERROR(__xludf.DUMMYFUNCTION("""COMPUTED_VALUE"""),1542.607417)</f>
        <v>1542.607417</v>
      </c>
    </row>
    <row r="876">
      <c r="A876" s="3">
        <f>IFERROR(__xludf.DUMMYFUNCTION("""COMPUTED_VALUE"""),41239.99861111111)</f>
        <v>41239.99861</v>
      </c>
      <c r="B876" s="1">
        <f>IFERROR(__xludf.DUMMYFUNCTION("""COMPUTED_VALUE"""),1534.917307)</f>
        <v>1534.917307</v>
      </c>
    </row>
    <row r="877">
      <c r="A877" s="3">
        <f>IFERROR(__xludf.DUMMYFUNCTION("""COMPUTED_VALUE"""),41240.99861111111)</f>
        <v>41240.99861</v>
      </c>
      <c r="B877" s="1">
        <f>IFERROR(__xludf.DUMMYFUNCTION("""COMPUTED_VALUE"""),1535.779265)</f>
        <v>1535.779265</v>
      </c>
    </row>
    <row r="878">
      <c r="A878" s="3">
        <f>IFERROR(__xludf.DUMMYFUNCTION("""COMPUTED_VALUE"""),41241.99861111111)</f>
        <v>41241.99861</v>
      </c>
      <c r="B878" s="1">
        <f>IFERROR(__xludf.DUMMYFUNCTION("""COMPUTED_VALUE"""),1534.50288)</f>
        <v>1534.50288</v>
      </c>
    </row>
    <row r="879">
      <c r="A879" s="3">
        <f>IFERROR(__xludf.DUMMYFUNCTION("""COMPUTED_VALUE"""),41242.99861111111)</f>
        <v>41242.99861</v>
      </c>
      <c r="B879" s="1">
        <f>IFERROR(__xludf.DUMMYFUNCTION("""COMPUTED_VALUE"""),1534.29542)</f>
        <v>1534.29542</v>
      </c>
    </row>
    <row r="880">
      <c r="A880" s="3">
        <f>IFERROR(__xludf.DUMMYFUNCTION("""COMPUTED_VALUE"""),41243.99861111111)</f>
        <v>41243.99861</v>
      </c>
      <c r="B880" s="1">
        <f>IFERROR(__xludf.DUMMYFUNCTION("""COMPUTED_VALUE"""),1535.97703)</f>
        <v>1535.97703</v>
      </c>
    </row>
    <row r="881">
      <c r="A881" s="3">
        <f>IFERROR(__xludf.DUMMYFUNCTION("""COMPUTED_VALUE"""),41244.99861111111)</f>
        <v>41244.99861</v>
      </c>
      <c r="B881" s="1">
        <f>IFERROR(__xludf.DUMMYFUNCTION("""COMPUTED_VALUE"""),1534.29346)</f>
        <v>1534.29346</v>
      </c>
    </row>
    <row r="882">
      <c r="A882" s="3">
        <f>IFERROR(__xludf.DUMMYFUNCTION("""COMPUTED_VALUE"""),41245.99861111111)</f>
        <v>41245.99861</v>
      </c>
      <c r="B882" s="1">
        <f>IFERROR(__xludf.DUMMYFUNCTION("""COMPUTED_VALUE"""),1544.218266)</f>
        <v>1544.218266</v>
      </c>
    </row>
    <row r="883">
      <c r="A883" s="3">
        <f>IFERROR(__xludf.DUMMYFUNCTION("""COMPUTED_VALUE"""),41246.99861111111)</f>
        <v>41246.99861</v>
      </c>
      <c r="B883" s="1">
        <f>IFERROR(__xludf.DUMMYFUNCTION("""COMPUTED_VALUE"""),1533.461336)</f>
        <v>1533.461336</v>
      </c>
    </row>
    <row r="884">
      <c r="A884" s="3">
        <f>IFERROR(__xludf.DUMMYFUNCTION("""COMPUTED_VALUE"""),41247.99861111111)</f>
        <v>41247.99861</v>
      </c>
      <c r="B884" s="1">
        <f>IFERROR(__xludf.DUMMYFUNCTION("""COMPUTED_VALUE"""),1535.318232)</f>
        <v>1535.318232</v>
      </c>
    </row>
    <row r="885">
      <c r="A885" s="3">
        <f>IFERROR(__xludf.DUMMYFUNCTION("""COMPUTED_VALUE"""),41248.99861111111)</f>
        <v>41248.99861</v>
      </c>
      <c r="B885" s="1">
        <f>IFERROR(__xludf.DUMMYFUNCTION("""COMPUTED_VALUE"""),1534.964904)</f>
        <v>1534.964904</v>
      </c>
    </row>
    <row r="886">
      <c r="A886" s="3">
        <f>IFERROR(__xludf.DUMMYFUNCTION("""COMPUTED_VALUE"""),41249.99861111111)</f>
        <v>41249.99861</v>
      </c>
      <c r="B886" s="1">
        <f>IFERROR(__xludf.DUMMYFUNCTION("""COMPUTED_VALUE"""),1535.81827)</f>
        <v>1535.81827</v>
      </c>
    </row>
    <row r="887">
      <c r="A887" s="3">
        <f>IFERROR(__xludf.DUMMYFUNCTION("""COMPUTED_VALUE"""),41250.99861111111)</f>
        <v>41250.99861</v>
      </c>
      <c r="B887" s="1">
        <f>IFERROR(__xludf.DUMMYFUNCTION("""COMPUTED_VALUE"""),1537.166075)</f>
        <v>1537.166075</v>
      </c>
    </row>
    <row r="888">
      <c r="A888" s="3">
        <f>IFERROR(__xludf.DUMMYFUNCTION("""COMPUTED_VALUE"""),41251.99861111111)</f>
        <v>41251.99861</v>
      </c>
      <c r="B888" s="1">
        <f>IFERROR(__xludf.DUMMYFUNCTION("""COMPUTED_VALUE"""),1537.59875)</f>
        <v>1537.59875</v>
      </c>
    </row>
    <row r="889">
      <c r="A889" s="3">
        <f>IFERROR(__xludf.DUMMYFUNCTION("""COMPUTED_VALUE"""),41252.99861111111)</f>
        <v>41252.99861</v>
      </c>
      <c r="B889" s="1">
        <f>IFERROR(__xludf.DUMMYFUNCTION("""COMPUTED_VALUE"""),1544.317472)</f>
        <v>1544.317472</v>
      </c>
    </row>
    <row r="890">
      <c r="A890" s="3">
        <f>IFERROR(__xludf.DUMMYFUNCTION("""COMPUTED_VALUE"""),41253.99861111111)</f>
        <v>41253.99861</v>
      </c>
      <c r="B890" s="1">
        <f>IFERROR(__xludf.DUMMYFUNCTION("""COMPUTED_VALUE"""),1538.624208)</f>
        <v>1538.624208</v>
      </c>
    </row>
    <row r="891">
      <c r="A891" s="3">
        <f>IFERROR(__xludf.DUMMYFUNCTION("""COMPUTED_VALUE"""),41254.99861111111)</f>
        <v>41254.99861</v>
      </c>
      <c r="B891" s="1">
        <f>IFERROR(__xludf.DUMMYFUNCTION("""COMPUTED_VALUE"""),1535.263048)</f>
        <v>1535.263048</v>
      </c>
    </row>
    <row r="892">
      <c r="A892" s="3">
        <f>IFERROR(__xludf.DUMMYFUNCTION("""COMPUTED_VALUE"""),41255.99861111111)</f>
        <v>41255.99861</v>
      </c>
      <c r="B892" s="1">
        <f>IFERROR(__xludf.DUMMYFUNCTION("""COMPUTED_VALUE"""),1533.503478)</f>
        <v>1533.503478</v>
      </c>
    </row>
    <row r="893">
      <c r="A893" s="3">
        <f>IFERROR(__xludf.DUMMYFUNCTION("""COMPUTED_VALUE"""),41256.99861111111)</f>
        <v>41256.99861</v>
      </c>
      <c r="B893" s="1">
        <f>IFERROR(__xludf.DUMMYFUNCTION("""COMPUTED_VALUE"""),1538.89722)</f>
        <v>1538.89722</v>
      </c>
    </row>
    <row r="894">
      <c r="A894" s="3">
        <f>IFERROR(__xludf.DUMMYFUNCTION("""COMPUTED_VALUE"""),41257.99861111111)</f>
        <v>41257.99861</v>
      </c>
      <c r="B894" s="1">
        <f>IFERROR(__xludf.DUMMYFUNCTION("""COMPUTED_VALUE"""),1537.05564)</f>
        <v>1537.05564</v>
      </c>
    </row>
    <row r="895">
      <c r="A895" s="3">
        <f>IFERROR(__xludf.DUMMYFUNCTION("""COMPUTED_VALUE"""),41258.99861111111)</f>
        <v>41258.99861</v>
      </c>
      <c r="B895" s="1">
        <f>IFERROR(__xludf.DUMMYFUNCTION("""COMPUTED_VALUE"""),1537.023648)</f>
        <v>1537.023648</v>
      </c>
    </row>
    <row r="896">
      <c r="A896" s="3">
        <f>IFERROR(__xludf.DUMMYFUNCTION("""COMPUTED_VALUE"""),41259.99861111111)</f>
        <v>41259.99861</v>
      </c>
      <c r="B896" s="1">
        <f>IFERROR(__xludf.DUMMYFUNCTION("""COMPUTED_VALUE"""),1539.174042)</f>
        <v>1539.174042</v>
      </c>
    </row>
    <row r="897">
      <c r="A897" s="3">
        <f>IFERROR(__xludf.DUMMYFUNCTION("""COMPUTED_VALUE"""),41260.99861111111)</f>
        <v>41260.99861</v>
      </c>
      <c r="B897" s="1">
        <f>IFERROR(__xludf.DUMMYFUNCTION("""COMPUTED_VALUE"""),1538.656944)</f>
        <v>1538.656944</v>
      </c>
    </row>
    <row r="898">
      <c r="A898" s="3">
        <f>IFERROR(__xludf.DUMMYFUNCTION("""COMPUTED_VALUE"""),41261.99861111111)</f>
        <v>41261.99861</v>
      </c>
      <c r="B898" s="1">
        <f>IFERROR(__xludf.DUMMYFUNCTION("""COMPUTED_VALUE"""),1540.338983)</f>
        <v>1540.338983</v>
      </c>
    </row>
    <row r="899">
      <c r="A899" s="3">
        <f>IFERROR(__xludf.DUMMYFUNCTION("""COMPUTED_VALUE"""),41262.99861111111)</f>
        <v>41262.99861</v>
      </c>
      <c r="B899" s="1">
        <f>IFERROR(__xludf.DUMMYFUNCTION("""COMPUTED_VALUE"""),1541.973575)</f>
        <v>1541.973575</v>
      </c>
    </row>
    <row r="900">
      <c r="A900" s="3">
        <f>IFERROR(__xludf.DUMMYFUNCTION("""COMPUTED_VALUE"""),41263.99861111111)</f>
        <v>41263.99861</v>
      </c>
      <c r="B900" s="1">
        <f>IFERROR(__xludf.DUMMYFUNCTION("""COMPUTED_VALUE"""),1542.246)</f>
        <v>1542.246</v>
      </c>
    </row>
    <row r="901">
      <c r="A901" s="3">
        <f>IFERROR(__xludf.DUMMYFUNCTION("""COMPUTED_VALUE"""),41264.99861111111)</f>
        <v>41264.99861</v>
      </c>
      <c r="B901" s="1">
        <f>IFERROR(__xludf.DUMMYFUNCTION("""COMPUTED_VALUE"""),1543.031685)</f>
        <v>1543.031685</v>
      </c>
    </row>
    <row r="902">
      <c r="A902" s="3">
        <f>IFERROR(__xludf.DUMMYFUNCTION("""COMPUTED_VALUE"""),41265.99861111111)</f>
        <v>41265.99861</v>
      </c>
      <c r="B902" s="1">
        <f>IFERROR(__xludf.DUMMYFUNCTION("""COMPUTED_VALUE"""),1541.496855)</f>
        <v>1541.496855</v>
      </c>
    </row>
    <row r="903">
      <c r="A903" s="3">
        <f>IFERROR(__xludf.DUMMYFUNCTION("""COMPUTED_VALUE"""),41266.99861111111)</f>
        <v>41266.99861</v>
      </c>
      <c r="B903" s="1">
        <f>IFERROR(__xludf.DUMMYFUNCTION("""COMPUTED_VALUE"""),1554.241977)</f>
        <v>1554.241977</v>
      </c>
    </row>
    <row r="904">
      <c r="A904" s="3">
        <f>IFERROR(__xludf.DUMMYFUNCTION("""COMPUTED_VALUE"""),41267.99861111111)</f>
        <v>41267.99861</v>
      </c>
      <c r="B904" s="1">
        <f>IFERROR(__xludf.DUMMYFUNCTION("""COMPUTED_VALUE"""),1542.789248)</f>
        <v>1542.789248</v>
      </c>
    </row>
    <row r="905">
      <c r="A905" s="3">
        <f>IFERROR(__xludf.DUMMYFUNCTION("""COMPUTED_VALUE"""),41268.99861111111)</f>
        <v>41268.99861</v>
      </c>
      <c r="B905" s="1">
        <f>IFERROR(__xludf.DUMMYFUNCTION("""COMPUTED_VALUE"""),1542.42088)</f>
        <v>1542.42088</v>
      </c>
    </row>
    <row r="906">
      <c r="A906" s="3">
        <f>IFERROR(__xludf.DUMMYFUNCTION("""COMPUTED_VALUE"""),41269.99861111111)</f>
        <v>41269.99861</v>
      </c>
      <c r="B906" s="1">
        <f>IFERROR(__xludf.DUMMYFUNCTION("""COMPUTED_VALUE"""),1541.79548)</f>
        <v>1541.79548</v>
      </c>
    </row>
    <row r="907">
      <c r="A907" s="3">
        <f>IFERROR(__xludf.DUMMYFUNCTION("""COMPUTED_VALUE"""),41270.99861111111)</f>
        <v>41270.99861</v>
      </c>
      <c r="B907" s="1">
        <f>IFERROR(__xludf.DUMMYFUNCTION("""COMPUTED_VALUE"""),1542.38739)</f>
        <v>1542.38739</v>
      </c>
    </row>
    <row r="908">
      <c r="A908" s="3">
        <f>IFERROR(__xludf.DUMMYFUNCTION("""COMPUTED_VALUE"""),41271.99861111111)</f>
        <v>41271.99861</v>
      </c>
      <c r="B908" s="1">
        <f>IFERROR(__xludf.DUMMYFUNCTION("""COMPUTED_VALUE"""),1542.8223)</f>
        <v>1542.8223</v>
      </c>
    </row>
    <row r="909">
      <c r="A909" s="3">
        <f>IFERROR(__xludf.DUMMYFUNCTION("""COMPUTED_VALUE"""),41272.99861111111)</f>
        <v>41272.99861</v>
      </c>
      <c r="B909" s="1">
        <f>IFERROR(__xludf.DUMMYFUNCTION("""COMPUTED_VALUE"""),1540.034646)</f>
        <v>1540.034646</v>
      </c>
    </row>
    <row r="910">
      <c r="A910" s="3">
        <f>IFERROR(__xludf.DUMMYFUNCTION("""COMPUTED_VALUE"""),41273.99861111111)</f>
        <v>41273.99861</v>
      </c>
      <c r="B910" s="1">
        <f>IFERROR(__xludf.DUMMYFUNCTION("""COMPUTED_VALUE"""),1541.741432)</f>
        <v>1541.741432</v>
      </c>
    </row>
    <row r="911">
      <c r="A911" s="3">
        <f>IFERROR(__xludf.DUMMYFUNCTION("""COMPUTED_VALUE"""),41274.99861111111)</f>
        <v>41274.99861</v>
      </c>
      <c r="B911" s="1">
        <f>IFERROR(__xludf.DUMMYFUNCTION("""COMPUTED_VALUE"""),1539.84225)</f>
        <v>1539.84225</v>
      </c>
    </row>
    <row r="912">
      <c r="A912" s="3">
        <f>IFERROR(__xludf.DUMMYFUNCTION("""COMPUTED_VALUE"""),41275.99861111111)</f>
        <v>41275.99861</v>
      </c>
      <c r="B912" s="1">
        <f>IFERROR(__xludf.DUMMYFUNCTION("""COMPUTED_VALUE"""),1539.84225)</f>
        <v>1539.84225</v>
      </c>
    </row>
    <row r="913">
      <c r="A913" s="3">
        <f>IFERROR(__xludf.DUMMYFUNCTION("""COMPUTED_VALUE"""),41276.99861111111)</f>
        <v>41276.99861</v>
      </c>
      <c r="B913" s="1">
        <f>IFERROR(__xludf.DUMMYFUNCTION("""COMPUTED_VALUE"""),1542.005625)</f>
        <v>1542.005625</v>
      </c>
    </row>
    <row r="914">
      <c r="A914" s="3">
        <f>IFERROR(__xludf.DUMMYFUNCTION("""COMPUTED_VALUE"""),41277.99861111111)</f>
        <v>41277.99861</v>
      </c>
      <c r="B914" s="1">
        <f>IFERROR(__xludf.DUMMYFUNCTION("""COMPUTED_VALUE"""),1542.614575)</f>
        <v>1542.614575</v>
      </c>
    </row>
    <row r="915">
      <c r="A915" s="3">
        <f>IFERROR(__xludf.DUMMYFUNCTION("""COMPUTED_VALUE"""),41278.99861111111)</f>
        <v>41278.99861</v>
      </c>
      <c r="B915" s="1">
        <f>IFERROR(__xludf.DUMMYFUNCTION("""COMPUTED_VALUE"""),1543.864328)</f>
        <v>1543.864328</v>
      </c>
    </row>
    <row r="916">
      <c r="A916" s="3">
        <f>IFERROR(__xludf.DUMMYFUNCTION("""COMPUTED_VALUE"""),41279.99861111111)</f>
        <v>41279.99861</v>
      </c>
      <c r="B916" s="1">
        <f>IFERROR(__xludf.DUMMYFUNCTION("""COMPUTED_VALUE"""),1567.9873)</f>
        <v>1567.9873</v>
      </c>
    </row>
    <row r="917">
      <c r="A917" s="3">
        <f>IFERROR(__xludf.DUMMYFUNCTION("""COMPUTED_VALUE"""),41280.99861111111)</f>
        <v>41280.99861</v>
      </c>
      <c r="B917" s="1">
        <f>IFERROR(__xludf.DUMMYFUNCTION("""COMPUTED_VALUE"""),1570.457403)</f>
        <v>1570.457403</v>
      </c>
    </row>
    <row r="918">
      <c r="A918" s="3">
        <f>IFERROR(__xludf.DUMMYFUNCTION("""COMPUTED_VALUE"""),41281.99861111111)</f>
        <v>41281.99861</v>
      </c>
      <c r="B918" s="1">
        <f>IFERROR(__xludf.DUMMYFUNCTION("""COMPUTED_VALUE"""),1544.858557)</f>
        <v>1544.858557</v>
      </c>
    </row>
    <row r="919">
      <c r="A919" s="3">
        <f>IFERROR(__xludf.DUMMYFUNCTION("""COMPUTED_VALUE"""),41282.99861111111)</f>
        <v>41282.99861</v>
      </c>
      <c r="B919" s="1">
        <f>IFERROR(__xludf.DUMMYFUNCTION("""COMPUTED_VALUE"""),1546.544892)</f>
        <v>1546.544892</v>
      </c>
    </row>
    <row r="920">
      <c r="A920" s="3">
        <f>IFERROR(__xludf.DUMMYFUNCTION("""COMPUTED_VALUE"""),41283.99861111111)</f>
        <v>41283.99861</v>
      </c>
      <c r="B920" s="1">
        <f>IFERROR(__xludf.DUMMYFUNCTION("""COMPUTED_VALUE"""),1544.507235)</f>
        <v>1544.507235</v>
      </c>
    </row>
    <row r="921">
      <c r="A921" s="3">
        <f>IFERROR(__xludf.DUMMYFUNCTION("""COMPUTED_VALUE"""),41284.99861111111)</f>
        <v>41284.99861</v>
      </c>
      <c r="B921" s="1">
        <f>IFERROR(__xludf.DUMMYFUNCTION("""COMPUTED_VALUE"""),1545.16544)</f>
        <v>1545.16544</v>
      </c>
    </row>
    <row r="922">
      <c r="A922" s="3">
        <f>IFERROR(__xludf.DUMMYFUNCTION("""COMPUTED_VALUE"""),41285.99861111111)</f>
        <v>41285.99861</v>
      </c>
      <c r="B922" s="1">
        <f>IFERROR(__xludf.DUMMYFUNCTION("""COMPUTED_VALUE"""),1542.723294)</f>
        <v>1542.723294</v>
      </c>
    </row>
    <row r="923">
      <c r="A923" s="3">
        <f>IFERROR(__xludf.DUMMYFUNCTION("""COMPUTED_VALUE"""),41286.99861111111)</f>
        <v>41286.99861</v>
      </c>
      <c r="B923" s="1">
        <f>IFERROR(__xludf.DUMMYFUNCTION("""COMPUTED_VALUE"""),1542.546623)</f>
        <v>1542.546623</v>
      </c>
    </row>
    <row r="924">
      <c r="A924" s="3">
        <f>IFERROR(__xludf.DUMMYFUNCTION("""COMPUTED_VALUE"""),41287.99861111111)</f>
        <v>41287.99861</v>
      </c>
      <c r="B924" s="1">
        <f>IFERROR(__xludf.DUMMYFUNCTION("""COMPUTED_VALUE"""),1546.354639)</f>
        <v>1546.354639</v>
      </c>
    </row>
    <row r="925">
      <c r="A925" s="3">
        <f>IFERROR(__xludf.DUMMYFUNCTION("""COMPUTED_VALUE"""),41288.99861111111)</f>
        <v>41288.99861</v>
      </c>
      <c r="B925" s="1">
        <f>IFERROR(__xludf.DUMMYFUNCTION("""COMPUTED_VALUE"""),1542.179604)</f>
        <v>1542.179604</v>
      </c>
    </row>
    <row r="926">
      <c r="A926" s="3">
        <f>IFERROR(__xludf.DUMMYFUNCTION("""COMPUTED_VALUE"""),41289.99861111111)</f>
        <v>41289.99861</v>
      </c>
      <c r="B926" s="1">
        <f>IFERROR(__xludf.DUMMYFUNCTION("""COMPUTED_VALUE"""),1545.998688)</f>
        <v>1545.998688</v>
      </c>
    </row>
    <row r="927">
      <c r="A927" s="3">
        <f>IFERROR(__xludf.DUMMYFUNCTION("""COMPUTED_VALUE"""),41290.99861111111)</f>
        <v>41290.99861</v>
      </c>
      <c r="B927" s="1">
        <f>IFERROR(__xludf.DUMMYFUNCTION("""COMPUTED_VALUE"""),1545.96772)</f>
        <v>1545.96772</v>
      </c>
    </row>
    <row r="928">
      <c r="A928" s="3">
        <f>IFERROR(__xludf.DUMMYFUNCTION("""COMPUTED_VALUE"""),41291.99861111111)</f>
        <v>41291.99861</v>
      </c>
      <c r="B928" s="1">
        <f>IFERROR(__xludf.DUMMYFUNCTION("""COMPUTED_VALUE"""),1545.453516)</f>
        <v>1545.453516</v>
      </c>
    </row>
    <row r="929">
      <c r="A929" s="3">
        <f>IFERROR(__xludf.DUMMYFUNCTION("""COMPUTED_VALUE"""),41292.99861111111)</f>
        <v>41292.99861</v>
      </c>
      <c r="B929" s="1">
        <f>IFERROR(__xludf.DUMMYFUNCTION("""COMPUTED_VALUE"""),1542.481701)</f>
        <v>1542.481701</v>
      </c>
    </row>
    <row r="930">
      <c r="A930" s="3">
        <f>IFERROR(__xludf.DUMMYFUNCTION("""COMPUTED_VALUE"""),41293.99861111111)</f>
        <v>41293.99861</v>
      </c>
      <c r="B930" s="1">
        <f>IFERROR(__xludf.DUMMYFUNCTION("""COMPUTED_VALUE"""),1542.015874)</f>
        <v>1542.015874</v>
      </c>
    </row>
    <row r="931">
      <c r="A931" s="3">
        <f>IFERROR(__xludf.DUMMYFUNCTION("""COMPUTED_VALUE"""),41295.99861111111)</f>
        <v>41295.99861</v>
      </c>
      <c r="B931" s="1">
        <f>IFERROR(__xludf.DUMMYFUNCTION("""COMPUTED_VALUE"""),1538.906912)</f>
        <v>1538.906912</v>
      </c>
    </row>
    <row r="932">
      <c r="A932" s="3">
        <f>IFERROR(__xludf.DUMMYFUNCTION("""COMPUTED_VALUE"""),41296.99861111111)</f>
        <v>41296.99861</v>
      </c>
      <c r="B932" s="1">
        <f>IFERROR(__xludf.DUMMYFUNCTION("""COMPUTED_VALUE"""),1539.643632)</f>
        <v>1539.643632</v>
      </c>
    </row>
    <row r="933">
      <c r="A933" s="3">
        <f>IFERROR(__xludf.DUMMYFUNCTION("""COMPUTED_VALUE"""),41297.99861111111)</f>
        <v>41297.99861</v>
      </c>
      <c r="B933" s="1">
        <f>IFERROR(__xludf.DUMMYFUNCTION("""COMPUTED_VALUE"""),1540.974233)</f>
        <v>1540.974233</v>
      </c>
    </row>
    <row r="934">
      <c r="A934" s="3">
        <f>IFERROR(__xludf.DUMMYFUNCTION("""COMPUTED_VALUE"""),41298.99861111111)</f>
        <v>41298.99861</v>
      </c>
      <c r="B934" s="1">
        <f>IFERROR(__xludf.DUMMYFUNCTION("""COMPUTED_VALUE"""),1540.9746)</f>
        <v>1540.9746</v>
      </c>
    </row>
    <row r="935">
      <c r="A935" s="3">
        <f>IFERROR(__xludf.DUMMYFUNCTION("""COMPUTED_VALUE"""),41299.99861111111)</f>
        <v>41299.99861</v>
      </c>
      <c r="B935" s="1">
        <f>IFERROR(__xludf.DUMMYFUNCTION("""COMPUTED_VALUE"""),1544.3952)</f>
        <v>1544.3952</v>
      </c>
    </row>
    <row r="936">
      <c r="A936" s="3">
        <f>IFERROR(__xludf.DUMMYFUNCTION("""COMPUTED_VALUE"""),41300.99861111111)</f>
        <v>41300.99861</v>
      </c>
      <c r="B936" s="1">
        <f>IFERROR(__xludf.DUMMYFUNCTION("""COMPUTED_VALUE"""),1537.9752)</f>
        <v>1537.9752</v>
      </c>
    </row>
    <row r="937">
      <c r="A937" s="3">
        <f>IFERROR(__xludf.DUMMYFUNCTION("""COMPUTED_VALUE"""),41301.99861111111)</f>
        <v>41301.99861</v>
      </c>
      <c r="B937" s="1">
        <f>IFERROR(__xludf.DUMMYFUNCTION("""COMPUTED_VALUE"""),1545.53412)</f>
        <v>1545.53412</v>
      </c>
    </row>
    <row r="938">
      <c r="A938" s="3">
        <f>IFERROR(__xludf.DUMMYFUNCTION("""COMPUTED_VALUE"""),41302.99861111111)</f>
        <v>41302.99861</v>
      </c>
      <c r="B938" s="1">
        <f>IFERROR(__xludf.DUMMYFUNCTION("""COMPUTED_VALUE"""),1548.31041)</f>
        <v>1548.31041</v>
      </c>
    </row>
    <row r="939">
      <c r="A939" s="3">
        <f>IFERROR(__xludf.DUMMYFUNCTION("""COMPUTED_VALUE"""),41303.99861111111)</f>
        <v>41303.99861</v>
      </c>
      <c r="B939" s="1">
        <f>IFERROR(__xludf.DUMMYFUNCTION("""COMPUTED_VALUE"""),1547.86)</f>
        <v>1547.86</v>
      </c>
    </row>
    <row r="940">
      <c r="A940" s="3">
        <f>IFERROR(__xludf.DUMMYFUNCTION("""COMPUTED_VALUE"""),41304.99861111111)</f>
        <v>41304.99861</v>
      </c>
      <c r="B940" s="1">
        <f>IFERROR(__xludf.DUMMYFUNCTION("""COMPUTED_VALUE"""),1550.38185)</f>
        <v>1550.38185</v>
      </c>
    </row>
    <row r="941">
      <c r="A941" s="3">
        <f>IFERROR(__xludf.DUMMYFUNCTION("""COMPUTED_VALUE"""),41305.99861111111)</f>
        <v>41305.99861</v>
      </c>
      <c r="B941" s="1">
        <f>IFERROR(__xludf.DUMMYFUNCTION("""COMPUTED_VALUE"""),1552.405746)</f>
        <v>1552.405746</v>
      </c>
    </row>
    <row r="942">
      <c r="A942" s="3">
        <f>IFERROR(__xludf.DUMMYFUNCTION("""COMPUTED_VALUE"""),41306.99861111111)</f>
        <v>41306.99861</v>
      </c>
      <c r="B942" s="1">
        <f>IFERROR(__xludf.DUMMYFUNCTION("""COMPUTED_VALUE"""),1554.06192)</f>
        <v>1554.06192</v>
      </c>
    </row>
    <row r="943">
      <c r="A943" s="3">
        <f>IFERROR(__xludf.DUMMYFUNCTION("""COMPUTED_VALUE"""),41307.99861111111)</f>
        <v>41307.99861</v>
      </c>
      <c r="B943" s="1">
        <f>IFERROR(__xludf.DUMMYFUNCTION("""COMPUTED_VALUE"""),1564.309635)</f>
        <v>1564.309635</v>
      </c>
    </row>
    <row r="944">
      <c r="A944" s="3">
        <f>IFERROR(__xludf.DUMMYFUNCTION("""COMPUTED_VALUE"""),41308.99861111111)</f>
        <v>41308.99861</v>
      </c>
      <c r="B944" s="1">
        <f>IFERROR(__xludf.DUMMYFUNCTION("""COMPUTED_VALUE"""),1541.067984)</f>
        <v>1541.067984</v>
      </c>
    </row>
    <row r="945">
      <c r="A945" s="3">
        <f>IFERROR(__xludf.DUMMYFUNCTION("""COMPUTED_VALUE"""),41309.99861111111)</f>
        <v>41309.99861</v>
      </c>
      <c r="B945" s="1">
        <f>IFERROR(__xludf.DUMMYFUNCTION("""COMPUTED_VALUE"""),1544.567686)</f>
        <v>1544.567686</v>
      </c>
    </row>
    <row r="946">
      <c r="A946" s="3">
        <f>IFERROR(__xludf.DUMMYFUNCTION("""COMPUTED_VALUE"""),41310.99861111111)</f>
        <v>41310.99861</v>
      </c>
      <c r="B946" s="1">
        <f>IFERROR(__xludf.DUMMYFUNCTION("""COMPUTED_VALUE"""),1548.970345)</f>
        <v>1548.970345</v>
      </c>
    </row>
    <row r="947">
      <c r="A947" s="3">
        <f>IFERROR(__xludf.DUMMYFUNCTION("""COMPUTED_VALUE"""),41311.99861111111)</f>
        <v>41311.99861</v>
      </c>
      <c r="B947" s="1">
        <f>IFERROR(__xludf.DUMMYFUNCTION("""COMPUTED_VALUE"""),1553.97705)</f>
        <v>1553.97705</v>
      </c>
    </row>
    <row r="948">
      <c r="A948" s="3">
        <f>IFERROR(__xludf.DUMMYFUNCTION("""COMPUTED_VALUE"""),41312.99861111111)</f>
        <v>41312.99861</v>
      </c>
      <c r="B948" s="1">
        <f>IFERROR(__xludf.DUMMYFUNCTION("""COMPUTED_VALUE"""),1550.71638)</f>
        <v>1550.71638</v>
      </c>
    </row>
    <row r="949">
      <c r="A949" s="3">
        <f>IFERROR(__xludf.DUMMYFUNCTION("""COMPUTED_VALUE"""),41313.99861111111)</f>
        <v>41313.99861</v>
      </c>
      <c r="B949" s="1">
        <f>IFERROR(__xludf.DUMMYFUNCTION("""COMPUTED_VALUE"""),1546.529157)</f>
        <v>1546.529157</v>
      </c>
    </row>
    <row r="950">
      <c r="A950" s="3">
        <f>IFERROR(__xludf.DUMMYFUNCTION("""COMPUTED_VALUE"""),41314.99861111111)</f>
        <v>41314.99861</v>
      </c>
      <c r="B950" s="1">
        <f>IFERROR(__xludf.DUMMYFUNCTION("""COMPUTED_VALUE"""),1546.401055)</f>
        <v>1546.401055</v>
      </c>
    </row>
    <row r="951">
      <c r="A951" s="3">
        <f>IFERROR(__xludf.DUMMYFUNCTION("""COMPUTED_VALUE"""),41315.99861111111)</f>
        <v>41315.99861</v>
      </c>
      <c r="B951" s="1">
        <f>IFERROR(__xludf.DUMMYFUNCTION("""COMPUTED_VALUE"""),1537.126879)</f>
        <v>1537.126879</v>
      </c>
    </row>
    <row r="952">
      <c r="A952" s="3">
        <f>IFERROR(__xludf.DUMMYFUNCTION("""COMPUTED_VALUE"""),41316.99861111111)</f>
        <v>41316.99861</v>
      </c>
      <c r="B952" s="1">
        <f>IFERROR(__xludf.DUMMYFUNCTION("""COMPUTED_VALUE"""),1539.116964)</f>
        <v>1539.116964</v>
      </c>
    </row>
    <row r="953">
      <c r="A953" s="3">
        <f>IFERROR(__xludf.DUMMYFUNCTION("""COMPUTED_VALUE"""),41317.99861111111)</f>
        <v>41317.99861</v>
      </c>
      <c r="B953" s="1">
        <f>IFERROR(__xludf.DUMMYFUNCTION("""COMPUTED_VALUE"""),1540.659363)</f>
        <v>1540.659363</v>
      </c>
    </row>
    <row r="954">
      <c r="A954" s="3">
        <f>IFERROR(__xludf.DUMMYFUNCTION("""COMPUTED_VALUE"""),41318.99861111111)</f>
        <v>41318.99861</v>
      </c>
      <c r="B954" s="1">
        <f>IFERROR(__xludf.DUMMYFUNCTION("""COMPUTED_VALUE"""),1542.8074)</f>
        <v>1542.8074</v>
      </c>
    </row>
    <row r="955">
      <c r="A955" s="3">
        <f>IFERROR(__xludf.DUMMYFUNCTION("""COMPUTED_VALUE"""),41319.99861111111)</f>
        <v>41319.99861</v>
      </c>
      <c r="B955" s="1">
        <f>IFERROR(__xludf.DUMMYFUNCTION("""COMPUTED_VALUE"""),1545.004956)</f>
        <v>1545.004956</v>
      </c>
    </row>
    <row r="956">
      <c r="A956" s="3">
        <f>IFERROR(__xludf.DUMMYFUNCTION("""COMPUTED_VALUE"""),41320.99861111111)</f>
        <v>41320.99861</v>
      </c>
      <c r="B956" s="1">
        <f>IFERROR(__xludf.DUMMYFUNCTION("""COMPUTED_VALUE"""),1546.834718)</f>
        <v>1546.834718</v>
      </c>
    </row>
    <row r="957">
      <c r="A957" s="3">
        <f>IFERROR(__xludf.DUMMYFUNCTION("""COMPUTED_VALUE"""),41321.99861111111)</f>
        <v>41321.99861</v>
      </c>
      <c r="B957" s="1">
        <f>IFERROR(__xludf.DUMMYFUNCTION("""COMPUTED_VALUE"""),1545.99705)</f>
        <v>1545.99705</v>
      </c>
    </row>
    <row r="958">
      <c r="A958" s="3">
        <f>IFERROR(__xludf.DUMMYFUNCTION("""COMPUTED_VALUE"""),41322.99861111111)</f>
        <v>41322.99861</v>
      </c>
      <c r="B958" s="1">
        <f>IFERROR(__xludf.DUMMYFUNCTION("""COMPUTED_VALUE"""),1558.001932)</f>
        <v>1558.001932</v>
      </c>
    </row>
    <row r="959">
      <c r="A959" s="3">
        <f>IFERROR(__xludf.DUMMYFUNCTION("""COMPUTED_VALUE"""),41323.99861111111)</f>
        <v>41323.99861</v>
      </c>
      <c r="B959" s="1">
        <f>IFERROR(__xludf.DUMMYFUNCTION("""COMPUTED_VALUE"""),1545.348288)</f>
        <v>1545.348288</v>
      </c>
    </row>
    <row r="960">
      <c r="A960" s="3">
        <f>IFERROR(__xludf.DUMMYFUNCTION("""COMPUTED_VALUE"""),41324.99861111111)</f>
        <v>41324.99861</v>
      </c>
      <c r="B960" s="1">
        <f>IFERROR(__xludf.DUMMYFUNCTION("""COMPUTED_VALUE"""),1549.338486)</f>
        <v>1549.338486</v>
      </c>
    </row>
    <row r="961">
      <c r="A961" s="3">
        <f>IFERROR(__xludf.DUMMYFUNCTION("""COMPUTED_VALUE"""),41325.99861111111)</f>
        <v>41325.99861</v>
      </c>
      <c r="B961" s="1">
        <f>IFERROR(__xludf.DUMMYFUNCTION("""COMPUTED_VALUE"""),1547.58354)</f>
        <v>1547.58354</v>
      </c>
    </row>
    <row r="962">
      <c r="A962" s="3">
        <f>IFERROR(__xludf.DUMMYFUNCTION("""COMPUTED_VALUE"""),41326.99861111111)</f>
        <v>41326.99861</v>
      </c>
      <c r="B962" s="1">
        <f>IFERROR(__xludf.DUMMYFUNCTION("""COMPUTED_VALUE"""),1550.43537)</f>
        <v>1550.43537</v>
      </c>
    </row>
    <row r="963">
      <c r="A963" s="3">
        <f>IFERROR(__xludf.DUMMYFUNCTION("""COMPUTED_VALUE"""),41327.99861111111)</f>
        <v>41327.99861</v>
      </c>
      <c r="B963" s="1">
        <f>IFERROR(__xludf.DUMMYFUNCTION("""COMPUTED_VALUE"""),1552.433975)</f>
        <v>1552.433975</v>
      </c>
    </row>
    <row r="964">
      <c r="A964" s="3">
        <f>IFERROR(__xludf.DUMMYFUNCTION("""COMPUTED_VALUE"""),41328.99861111111)</f>
        <v>41328.99861</v>
      </c>
      <c r="B964" s="1">
        <f>IFERROR(__xludf.DUMMYFUNCTION("""COMPUTED_VALUE"""),1552.92624)</f>
        <v>1552.92624</v>
      </c>
    </row>
    <row r="965">
      <c r="A965" s="3">
        <f>IFERROR(__xludf.DUMMYFUNCTION("""COMPUTED_VALUE"""),41329.99861111111)</f>
        <v>41329.99861</v>
      </c>
      <c r="B965" s="1">
        <f>IFERROR(__xludf.DUMMYFUNCTION("""COMPUTED_VALUE"""),1564.751648)</f>
        <v>1564.751648</v>
      </c>
    </row>
    <row r="966">
      <c r="A966" s="3">
        <f>IFERROR(__xludf.DUMMYFUNCTION("""COMPUTED_VALUE"""),41330.99861111111)</f>
        <v>41330.99861</v>
      </c>
      <c r="B966" s="1">
        <f>IFERROR(__xludf.DUMMYFUNCTION("""COMPUTED_VALUE"""),1551.417212)</f>
        <v>1551.417212</v>
      </c>
    </row>
    <row r="967">
      <c r="A967" s="3">
        <f>IFERROR(__xludf.DUMMYFUNCTION("""COMPUTED_VALUE"""),41331.99861111111)</f>
        <v>41331.99861</v>
      </c>
      <c r="B967" s="1">
        <f>IFERROR(__xludf.DUMMYFUNCTION("""COMPUTED_VALUE"""),1553.689605)</f>
        <v>1553.689605</v>
      </c>
    </row>
    <row r="968">
      <c r="A968" s="3">
        <f>IFERROR(__xludf.DUMMYFUNCTION("""COMPUTED_VALUE"""),41332.99861111111)</f>
        <v>41332.99861</v>
      </c>
      <c r="B968" s="1">
        <f>IFERROR(__xludf.DUMMYFUNCTION("""COMPUTED_VALUE"""),1551.831537)</f>
        <v>1551.831537</v>
      </c>
    </row>
    <row r="969">
      <c r="A969" s="3">
        <f>IFERROR(__xludf.DUMMYFUNCTION("""COMPUTED_VALUE"""),41333.99861111111)</f>
        <v>41333.99861</v>
      </c>
      <c r="B969" s="1">
        <f>IFERROR(__xludf.DUMMYFUNCTION("""COMPUTED_VALUE"""),1547.862646)</f>
        <v>1547.862646</v>
      </c>
    </row>
    <row r="970">
      <c r="A970" s="3">
        <f>IFERROR(__xludf.DUMMYFUNCTION("""COMPUTED_VALUE"""),41334.99861111111)</f>
        <v>41334.99861</v>
      </c>
      <c r="B970" s="1">
        <f>IFERROR(__xludf.DUMMYFUNCTION("""COMPUTED_VALUE"""),1550.771298)</f>
        <v>1550.771298</v>
      </c>
    </row>
    <row r="971">
      <c r="A971" s="3">
        <f>IFERROR(__xludf.DUMMYFUNCTION("""COMPUTED_VALUE"""),41335.99861111111)</f>
        <v>41335.99861</v>
      </c>
      <c r="B971" s="1">
        <f>IFERROR(__xludf.DUMMYFUNCTION("""COMPUTED_VALUE"""),1551.62322)</f>
        <v>1551.62322</v>
      </c>
    </row>
    <row r="972">
      <c r="A972" s="3">
        <f>IFERROR(__xludf.DUMMYFUNCTION("""COMPUTED_VALUE"""),41336.99861111111)</f>
        <v>41336.99861</v>
      </c>
      <c r="B972" s="1">
        <f>IFERROR(__xludf.DUMMYFUNCTION("""COMPUTED_VALUE"""),1545.105213)</f>
        <v>1545.105213</v>
      </c>
    </row>
    <row r="973">
      <c r="A973" s="3">
        <f>IFERROR(__xludf.DUMMYFUNCTION("""COMPUTED_VALUE"""),41337.99861111111)</f>
        <v>41337.99861</v>
      </c>
      <c r="B973" s="1">
        <f>IFERROR(__xludf.DUMMYFUNCTION("""COMPUTED_VALUE"""),1554.883925)</f>
        <v>1554.883925</v>
      </c>
    </row>
    <row r="974">
      <c r="A974" s="3">
        <f>IFERROR(__xludf.DUMMYFUNCTION("""COMPUTED_VALUE"""),41338.99861111111)</f>
        <v>41338.99861</v>
      </c>
      <c r="B974" s="1">
        <f>IFERROR(__xludf.DUMMYFUNCTION("""COMPUTED_VALUE"""),1553.165936)</f>
        <v>1553.165936</v>
      </c>
    </row>
    <row r="975">
      <c r="A975" s="3">
        <f>IFERROR(__xludf.DUMMYFUNCTION("""COMPUTED_VALUE"""),41339.99861111111)</f>
        <v>41339.99861</v>
      </c>
      <c r="B975" s="1">
        <f>IFERROR(__xludf.DUMMYFUNCTION("""COMPUTED_VALUE"""),1552.845276)</f>
        <v>1552.845276</v>
      </c>
    </row>
    <row r="976">
      <c r="A976" s="3">
        <f>IFERROR(__xludf.DUMMYFUNCTION("""COMPUTED_VALUE"""),41340.99861111111)</f>
        <v>41340.99861</v>
      </c>
      <c r="B976" s="1">
        <f>IFERROR(__xludf.DUMMYFUNCTION("""COMPUTED_VALUE"""),1553.085369)</f>
        <v>1553.085369</v>
      </c>
    </row>
    <row r="977">
      <c r="A977" s="3">
        <f>IFERROR(__xludf.DUMMYFUNCTION("""COMPUTED_VALUE"""),41341.99861111111)</f>
        <v>41341.99861</v>
      </c>
      <c r="B977" s="1">
        <f>IFERROR(__xludf.DUMMYFUNCTION("""COMPUTED_VALUE"""),1553.698391)</f>
        <v>1553.698391</v>
      </c>
    </row>
    <row r="978">
      <c r="A978" s="3">
        <f>IFERROR(__xludf.DUMMYFUNCTION("""COMPUTED_VALUE"""),41342.99861111111)</f>
        <v>41342.99861</v>
      </c>
      <c r="B978" s="1">
        <f>IFERROR(__xludf.DUMMYFUNCTION("""COMPUTED_VALUE"""),1552.508088)</f>
        <v>1552.508088</v>
      </c>
    </row>
    <row r="979">
      <c r="A979" s="3">
        <f>IFERROR(__xludf.DUMMYFUNCTION("""COMPUTED_VALUE"""),41343.99861111111)</f>
        <v>41343.99861</v>
      </c>
      <c r="B979" s="1">
        <f>IFERROR(__xludf.DUMMYFUNCTION("""COMPUTED_VALUE"""),1532.416779)</f>
        <v>1532.416779</v>
      </c>
    </row>
    <row r="980">
      <c r="A980" s="3">
        <f>IFERROR(__xludf.DUMMYFUNCTION("""COMPUTED_VALUE"""),41344.99861111111)</f>
        <v>41344.99861</v>
      </c>
      <c r="B980" s="1">
        <f>IFERROR(__xludf.DUMMYFUNCTION("""COMPUTED_VALUE"""),1554.614194)</f>
        <v>1554.614194</v>
      </c>
    </row>
    <row r="981">
      <c r="A981" s="3">
        <f>IFERROR(__xludf.DUMMYFUNCTION("""COMPUTED_VALUE"""),41345.99861111111)</f>
        <v>41345.99861</v>
      </c>
      <c r="B981" s="1">
        <f>IFERROR(__xludf.DUMMYFUNCTION("""COMPUTED_VALUE"""),1555.87124)</f>
        <v>1555.87124</v>
      </c>
    </row>
    <row r="982">
      <c r="A982" s="3">
        <f>IFERROR(__xludf.DUMMYFUNCTION("""COMPUTED_VALUE"""),41346.99861111111)</f>
        <v>41346.99861</v>
      </c>
      <c r="B982" s="1">
        <f>IFERROR(__xludf.DUMMYFUNCTION("""COMPUTED_VALUE"""),1554.873474)</f>
        <v>1554.873474</v>
      </c>
    </row>
    <row r="983">
      <c r="A983" s="3">
        <f>IFERROR(__xludf.DUMMYFUNCTION("""COMPUTED_VALUE"""),41347.99861111111)</f>
        <v>41347.99861</v>
      </c>
      <c r="B983" s="1">
        <f>IFERROR(__xludf.DUMMYFUNCTION("""COMPUTED_VALUE"""),1556.353326)</f>
        <v>1556.353326</v>
      </c>
    </row>
    <row r="984">
      <c r="A984" s="3">
        <f>IFERROR(__xludf.DUMMYFUNCTION("""COMPUTED_VALUE"""),41348.99861111111)</f>
        <v>41348.99861</v>
      </c>
      <c r="B984" s="1">
        <f>IFERROR(__xludf.DUMMYFUNCTION("""COMPUTED_VALUE"""),1557.432036)</f>
        <v>1557.432036</v>
      </c>
    </row>
    <row r="985">
      <c r="A985" s="3">
        <f>IFERROR(__xludf.DUMMYFUNCTION("""COMPUTED_VALUE"""),41349.99861111111)</f>
        <v>41349.99861</v>
      </c>
      <c r="B985" s="1">
        <f>IFERROR(__xludf.DUMMYFUNCTION("""COMPUTED_VALUE"""),1559.158412)</f>
        <v>1559.158412</v>
      </c>
    </row>
    <row r="986">
      <c r="A986" s="3">
        <f>IFERROR(__xludf.DUMMYFUNCTION("""COMPUTED_VALUE"""),41350.99861111111)</f>
        <v>41350.99861</v>
      </c>
      <c r="B986" s="1">
        <f>IFERROR(__xludf.DUMMYFUNCTION("""COMPUTED_VALUE"""),1548.490694)</f>
        <v>1548.490694</v>
      </c>
    </row>
    <row r="987">
      <c r="A987" s="3">
        <f>IFERROR(__xludf.DUMMYFUNCTION("""COMPUTED_VALUE"""),41351.99861111111)</f>
        <v>41351.99861</v>
      </c>
      <c r="B987" s="1">
        <f>IFERROR(__xludf.DUMMYFUNCTION("""COMPUTED_VALUE"""),1557.93062)</f>
        <v>1557.93062</v>
      </c>
    </row>
    <row r="988">
      <c r="A988" s="3">
        <f>IFERROR(__xludf.DUMMYFUNCTION("""COMPUTED_VALUE"""),41352.99861111111)</f>
        <v>41352.99861</v>
      </c>
      <c r="B988" s="1">
        <f>IFERROR(__xludf.DUMMYFUNCTION("""COMPUTED_VALUE"""),1558.043257)</f>
        <v>1558.043257</v>
      </c>
    </row>
    <row r="989">
      <c r="A989" s="3">
        <f>IFERROR(__xludf.DUMMYFUNCTION("""COMPUTED_VALUE"""),41353.99861111111)</f>
        <v>41353.99861</v>
      </c>
      <c r="B989" s="1">
        <f>IFERROR(__xludf.DUMMYFUNCTION("""COMPUTED_VALUE"""),1561.41196)</f>
        <v>1561.41196</v>
      </c>
    </row>
    <row r="990">
      <c r="A990" s="3">
        <f>IFERROR(__xludf.DUMMYFUNCTION("""COMPUTED_VALUE"""),41354.99861111111)</f>
        <v>41354.99861</v>
      </c>
      <c r="B990" s="1">
        <f>IFERROR(__xludf.DUMMYFUNCTION("""COMPUTED_VALUE"""),1561.535976)</f>
        <v>1561.535976</v>
      </c>
    </row>
    <row r="991">
      <c r="A991" s="3">
        <f>IFERROR(__xludf.DUMMYFUNCTION("""COMPUTED_VALUE"""),41355.99861111111)</f>
        <v>41355.99861</v>
      </c>
      <c r="B991" s="1">
        <f>IFERROR(__xludf.DUMMYFUNCTION("""COMPUTED_VALUE"""),1563.40392)</f>
        <v>1563.40392</v>
      </c>
    </row>
    <row r="992">
      <c r="A992" s="3">
        <f>IFERROR(__xludf.DUMMYFUNCTION("""COMPUTED_VALUE"""),41356.99861111111)</f>
        <v>41356.99861</v>
      </c>
      <c r="B992" s="1">
        <f>IFERROR(__xludf.DUMMYFUNCTION("""COMPUTED_VALUE"""),1568.9711)</f>
        <v>1568.9711</v>
      </c>
    </row>
    <row r="993">
      <c r="A993" s="3">
        <f>IFERROR(__xludf.DUMMYFUNCTION("""COMPUTED_VALUE"""),41357.99861111111)</f>
        <v>41357.99861</v>
      </c>
      <c r="B993" s="1">
        <f>IFERROR(__xludf.DUMMYFUNCTION("""COMPUTED_VALUE"""),1557.985896)</f>
        <v>1557.985896</v>
      </c>
    </row>
    <row r="994">
      <c r="A994" s="3">
        <f>IFERROR(__xludf.DUMMYFUNCTION("""COMPUTED_VALUE"""),41358.99861111111)</f>
        <v>41358.99861</v>
      </c>
      <c r="B994" s="1">
        <f>IFERROR(__xludf.DUMMYFUNCTION("""COMPUTED_VALUE"""),1562.60205)</f>
        <v>1562.60205</v>
      </c>
    </row>
    <row r="995">
      <c r="A995" s="3">
        <f>IFERROR(__xludf.DUMMYFUNCTION("""COMPUTED_VALUE"""),41359.99861111111)</f>
        <v>41359.99861</v>
      </c>
      <c r="B995" s="1">
        <f>IFERROR(__xludf.DUMMYFUNCTION("""COMPUTED_VALUE"""),1561.762688)</f>
        <v>1561.762688</v>
      </c>
    </row>
    <row r="996">
      <c r="A996" s="3">
        <f>IFERROR(__xludf.DUMMYFUNCTION("""COMPUTED_VALUE"""),41360.99861111111)</f>
        <v>41360.99861</v>
      </c>
      <c r="B996" s="1">
        <f>IFERROR(__xludf.DUMMYFUNCTION("""COMPUTED_VALUE"""),1559.89332)</f>
        <v>1559.89332</v>
      </c>
    </row>
    <row r="997">
      <c r="A997" s="3">
        <f>IFERROR(__xludf.DUMMYFUNCTION("""COMPUTED_VALUE"""),41361.99861111111)</f>
        <v>41361.99861</v>
      </c>
      <c r="B997" s="1">
        <f>IFERROR(__xludf.DUMMYFUNCTION("""COMPUTED_VALUE"""),1559.477056)</f>
        <v>1559.477056</v>
      </c>
    </row>
    <row r="998">
      <c r="A998" s="3">
        <f>IFERROR(__xludf.DUMMYFUNCTION("""COMPUTED_VALUE"""),41362.99861111111)</f>
        <v>41362.99861</v>
      </c>
      <c r="B998" s="1">
        <f>IFERROR(__xludf.DUMMYFUNCTION("""COMPUTED_VALUE"""),1558.963)</f>
        <v>1558.963</v>
      </c>
    </row>
    <row r="999">
      <c r="A999" s="3">
        <f>IFERROR(__xludf.DUMMYFUNCTION("""COMPUTED_VALUE"""),41363.99861111111)</f>
        <v>41363.99861</v>
      </c>
      <c r="B999" s="1">
        <f>IFERROR(__xludf.DUMMYFUNCTION("""COMPUTED_VALUE"""),1561.25151)</f>
        <v>1561.25151</v>
      </c>
    </row>
    <row r="1000">
      <c r="A1000" s="3">
        <f>IFERROR(__xludf.DUMMYFUNCTION("""COMPUTED_VALUE"""),41364.99861111111)</f>
        <v>41364.99861</v>
      </c>
      <c r="B1000" s="1">
        <f>IFERROR(__xludf.DUMMYFUNCTION("""COMPUTED_VALUE"""),1546.066458)</f>
        <v>1546.066458</v>
      </c>
    </row>
    <row r="1001">
      <c r="A1001" s="3">
        <f>IFERROR(__xludf.DUMMYFUNCTION("""COMPUTED_VALUE"""),41365.99861111111)</f>
        <v>41365.99861</v>
      </c>
      <c r="B1001" s="1">
        <f>IFERROR(__xludf.DUMMYFUNCTION("""COMPUTED_VALUE"""),1567.6124)</f>
        <v>1567.6124</v>
      </c>
    </row>
    <row r="1002">
      <c r="A1002" s="3">
        <f>IFERROR(__xludf.DUMMYFUNCTION("""COMPUTED_VALUE"""),41366.99861111111)</f>
        <v>41366.99861</v>
      </c>
      <c r="B1002" s="1">
        <f>IFERROR(__xludf.DUMMYFUNCTION("""COMPUTED_VALUE"""),1566.078135)</f>
        <v>1566.078135</v>
      </c>
    </row>
    <row r="1003">
      <c r="A1003" s="3">
        <f>IFERROR(__xludf.DUMMYFUNCTION("""COMPUTED_VALUE"""),41367.99861111111)</f>
        <v>41367.99861</v>
      </c>
      <c r="B1003" s="1">
        <f>IFERROR(__xludf.DUMMYFUNCTION("""COMPUTED_VALUE"""),1567.173479)</f>
        <v>1567.173479</v>
      </c>
    </row>
    <row r="1004">
      <c r="A1004" s="3">
        <f>IFERROR(__xludf.DUMMYFUNCTION("""COMPUTED_VALUE"""),41368.99861111111)</f>
        <v>41368.99861</v>
      </c>
      <c r="B1004" s="1">
        <f>IFERROR(__xludf.DUMMYFUNCTION("""COMPUTED_VALUE"""),1566.686205)</f>
        <v>1566.686205</v>
      </c>
    </row>
    <row r="1005">
      <c r="A1005" s="3">
        <f>IFERROR(__xludf.DUMMYFUNCTION("""COMPUTED_VALUE"""),41369.99861111111)</f>
        <v>41369.99861</v>
      </c>
      <c r="B1005" s="1">
        <f>IFERROR(__xludf.DUMMYFUNCTION("""COMPUTED_VALUE"""),1576.388754)</f>
        <v>1576.388754</v>
      </c>
    </row>
    <row r="1006">
      <c r="A1006" s="3">
        <f>IFERROR(__xludf.DUMMYFUNCTION("""COMPUTED_VALUE"""),41370.99861111111)</f>
        <v>41370.99861</v>
      </c>
      <c r="B1006" s="1">
        <f>IFERROR(__xludf.DUMMYFUNCTION("""COMPUTED_VALUE"""),1586.417212)</f>
        <v>1586.417212</v>
      </c>
    </row>
    <row r="1007">
      <c r="A1007" s="3">
        <f>IFERROR(__xludf.DUMMYFUNCTION("""COMPUTED_VALUE"""),41371.99861111111)</f>
        <v>41371.99861</v>
      </c>
      <c r="B1007" s="1">
        <f>IFERROR(__xludf.DUMMYFUNCTION("""COMPUTED_VALUE"""),1578.708524)</f>
        <v>1578.708524</v>
      </c>
    </row>
    <row r="1008">
      <c r="A1008" s="3">
        <f>IFERROR(__xludf.DUMMYFUNCTION("""COMPUTED_VALUE"""),41372.99861111111)</f>
        <v>41372.99861</v>
      </c>
      <c r="B1008" s="1">
        <f>IFERROR(__xludf.DUMMYFUNCTION("""COMPUTED_VALUE"""),1567.139477)</f>
        <v>1567.139477</v>
      </c>
    </row>
    <row r="1009">
      <c r="A1009" s="3">
        <f>IFERROR(__xludf.DUMMYFUNCTION("""COMPUTED_VALUE"""),41373.99861111111)</f>
        <v>41373.99861</v>
      </c>
      <c r="B1009" s="1">
        <f>IFERROR(__xludf.DUMMYFUNCTION("""COMPUTED_VALUE"""),1562.85129)</f>
        <v>1562.85129</v>
      </c>
    </row>
    <row r="1010">
      <c r="A1010" s="3">
        <f>IFERROR(__xludf.DUMMYFUNCTION("""COMPUTED_VALUE"""),41374.99861111111)</f>
        <v>41374.99861</v>
      </c>
      <c r="B1010" s="1">
        <f>IFERROR(__xludf.DUMMYFUNCTION("""COMPUTED_VALUE"""),1559.784848)</f>
        <v>1559.784848</v>
      </c>
    </row>
    <row r="1011">
      <c r="A1011" s="3">
        <f>IFERROR(__xludf.DUMMYFUNCTION("""COMPUTED_VALUE"""),41375.99861111111)</f>
        <v>41375.99861</v>
      </c>
      <c r="B1011" s="1">
        <f>IFERROR(__xludf.DUMMYFUNCTION("""COMPUTED_VALUE"""),1561.335362)</f>
        <v>1561.335362</v>
      </c>
    </row>
    <row r="1012">
      <c r="A1012" s="3">
        <f>IFERROR(__xludf.DUMMYFUNCTION("""COMPUTED_VALUE"""),41376.99861111111)</f>
        <v>41376.99861</v>
      </c>
      <c r="B1012" s="1">
        <f>IFERROR(__xludf.DUMMYFUNCTION("""COMPUTED_VALUE"""),1563.9338)</f>
        <v>1563.9338</v>
      </c>
    </row>
    <row r="1013">
      <c r="A1013" s="3">
        <f>IFERROR(__xludf.DUMMYFUNCTION("""COMPUTED_VALUE"""),41377.99861111111)</f>
        <v>41377.99861</v>
      </c>
      <c r="B1013" s="1">
        <f>IFERROR(__xludf.DUMMYFUNCTION("""COMPUTED_VALUE"""),1564.03072)</f>
        <v>1564.03072</v>
      </c>
    </row>
    <row r="1014">
      <c r="A1014" s="3">
        <f>IFERROR(__xludf.DUMMYFUNCTION("""COMPUTED_VALUE"""),41378.99861111111)</f>
        <v>41378.99861</v>
      </c>
      <c r="B1014" s="1">
        <f>IFERROR(__xludf.DUMMYFUNCTION("""COMPUTED_VALUE"""),1562.820065)</f>
        <v>1562.820065</v>
      </c>
    </row>
    <row r="1015">
      <c r="A1015" s="3">
        <f>IFERROR(__xludf.DUMMYFUNCTION("""COMPUTED_VALUE"""),41379.99861111111)</f>
        <v>41379.99861</v>
      </c>
      <c r="B1015" s="1">
        <f>IFERROR(__xludf.DUMMYFUNCTION("""COMPUTED_VALUE"""),1565.030964)</f>
        <v>1565.030964</v>
      </c>
    </row>
    <row r="1016">
      <c r="A1016" s="3">
        <f>IFERROR(__xludf.DUMMYFUNCTION("""COMPUTED_VALUE"""),41380.99861111111)</f>
        <v>41380.99861</v>
      </c>
      <c r="B1016" s="1">
        <f>IFERROR(__xludf.DUMMYFUNCTION("""COMPUTED_VALUE"""),1566.340092)</f>
        <v>1566.340092</v>
      </c>
    </row>
    <row r="1017">
      <c r="A1017" s="3">
        <f>IFERROR(__xludf.DUMMYFUNCTION("""COMPUTED_VALUE"""),41381.99861111111)</f>
        <v>41381.99861</v>
      </c>
      <c r="B1017" s="1">
        <f>IFERROR(__xludf.DUMMYFUNCTION("""COMPUTED_VALUE"""),1567.64532)</f>
        <v>1567.64532</v>
      </c>
    </row>
    <row r="1018">
      <c r="A1018" s="3">
        <f>IFERROR(__xludf.DUMMYFUNCTION("""COMPUTED_VALUE"""),41382.99861111111)</f>
        <v>41382.99861</v>
      </c>
      <c r="B1018" s="1">
        <f>IFERROR(__xludf.DUMMYFUNCTION("""COMPUTED_VALUE"""),1559.559447)</f>
        <v>1559.559447</v>
      </c>
    </row>
    <row r="1019">
      <c r="A1019" s="3">
        <f>IFERROR(__xludf.DUMMYFUNCTION("""COMPUTED_VALUE"""),41383.99861111111)</f>
        <v>41383.99861</v>
      </c>
      <c r="B1019" s="1">
        <f>IFERROR(__xludf.DUMMYFUNCTION("""COMPUTED_VALUE"""),1567.29188)</f>
        <v>1567.29188</v>
      </c>
    </row>
    <row r="1020">
      <c r="A1020" s="3">
        <f>IFERROR(__xludf.DUMMYFUNCTION("""COMPUTED_VALUE"""),41384.99861111111)</f>
        <v>41384.99861</v>
      </c>
      <c r="B1020" s="1">
        <f>IFERROR(__xludf.DUMMYFUNCTION("""COMPUTED_VALUE"""),1576.997938)</f>
        <v>1576.997938</v>
      </c>
    </row>
    <row r="1021">
      <c r="A1021" s="3">
        <f>IFERROR(__xludf.DUMMYFUNCTION("""COMPUTED_VALUE"""),41385.99861111111)</f>
        <v>41385.99861</v>
      </c>
      <c r="B1021" s="1">
        <f>IFERROR(__xludf.DUMMYFUNCTION("""COMPUTED_VALUE"""),1565.29016)</f>
        <v>1565.29016</v>
      </c>
    </row>
    <row r="1022">
      <c r="A1022" s="3">
        <f>IFERROR(__xludf.DUMMYFUNCTION("""COMPUTED_VALUE"""),41386.99861111111)</f>
        <v>41386.99861</v>
      </c>
      <c r="B1022" s="1">
        <f>IFERROR(__xludf.DUMMYFUNCTION("""COMPUTED_VALUE"""),1567.470415)</f>
        <v>1567.470415</v>
      </c>
    </row>
    <row r="1023">
      <c r="A1023" s="3">
        <f>IFERROR(__xludf.DUMMYFUNCTION("""COMPUTED_VALUE"""),41387.99861111111)</f>
        <v>41387.99861</v>
      </c>
      <c r="B1023" s="1">
        <f>IFERROR(__xludf.DUMMYFUNCTION("""COMPUTED_VALUE"""),1568.893301)</f>
        <v>1568.893301</v>
      </c>
    </row>
    <row r="1024">
      <c r="A1024" s="3">
        <f>IFERROR(__xludf.DUMMYFUNCTION("""COMPUTED_VALUE"""),41388.99861111111)</f>
        <v>41388.99861</v>
      </c>
      <c r="B1024" s="1">
        <f>IFERROR(__xludf.DUMMYFUNCTION("""COMPUTED_VALUE"""),1567.938504)</f>
        <v>1567.938504</v>
      </c>
    </row>
    <row r="1025">
      <c r="A1025" s="3">
        <f>IFERROR(__xludf.DUMMYFUNCTION("""COMPUTED_VALUE"""),41389.99861111111)</f>
        <v>41389.99861</v>
      </c>
      <c r="B1025" s="1">
        <f>IFERROR(__xludf.DUMMYFUNCTION("""COMPUTED_VALUE"""),1570.118988)</f>
        <v>1570.118988</v>
      </c>
    </row>
    <row r="1026">
      <c r="A1026" s="3">
        <f>IFERROR(__xludf.DUMMYFUNCTION("""COMPUTED_VALUE"""),41390.99861111111)</f>
        <v>41390.99861</v>
      </c>
      <c r="B1026" s="1">
        <f>IFERROR(__xludf.DUMMYFUNCTION("""COMPUTED_VALUE"""),1572.88512)</f>
        <v>1572.88512</v>
      </c>
    </row>
    <row r="1027">
      <c r="A1027" s="3">
        <f>IFERROR(__xludf.DUMMYFUNCTION("""COMPUTED_VALUE"""),41391.99861111111)</f>
        <v>41391.99861</v>
      </c>
      <c r="B1027" s="1">
        <f>IFERROR(__xludf.DUMMYFUNCTION("""COMPUTED_VALUE"""),1575.176344)</f>
        <v>1575.176344</v>
      </c>
    </row>
    <row r="1028">
      <c r="A1028" s="3">
        <f>IFERROR(__xludf.DUMMYFUNCTION("""COMPUTED_VALUE"""),41392.99861111111)</f>
        <v>41392.99861</v>
      </c>
      <c r="B1028" s="1">
        <f>IFERROR(__xludf.DUMMYFUNCTION("""COMPUTED_VALUE"""),1561.158004)</f>
        <v>1561.158004</v>
      </c>
    </row>
    <row r="1029">
      <c r="A1029" s="3">
        <f>IFERROR(__xludf.DUMMYFUNCTION("""COMPUTED_VALUE"""),41393.99861111111)</f>
        <v>41393.99861</v>
      </c>
      <c r="B1029" s="1">
        <f>IFERROR(__xludf.DUMMYFUNCTION("""COMPUTED_VALUE"""),1572.041994)</f>
        <v>1572.041994</v>
      </c>
    </row>
    <row r="1030">
      <c r="A1030" s="3">
        <f>IFERROR(__xludf.DUMMYFUNCTION("""COMPUTED_VALUE"""),41394.99861111111)</f>
        <v>41394.99861</v>
      </c>
      <c r="B1030" s="1">
        <f>IFERROR(__xludf.DUMMYFUNCTION("""COMPUTED_VALUE"""),1572.447519)</f>
        <v>1572.447519</v>
      </c>
    </row>
    <row r="1031">
      <c r="A1031" s="3">
        <f>IFERROR(__xludf.DUMMYFUNCTION("""COMPUTED_VALUE"""),41395.99861111111)</f>
        <v>41395.99861</v>
      </c>
      <c r="B1031" s="1">
        <f>IFERROR(__xludf.DUMMYFUNCTION("""COMPUTED_VALUE"""),1572.415077)</f>
        <v>1572.415077</v>
      </c>
    </row>
    <row r="1032">
      <c r="A1032" s="3">
        <f>IFERROR(__xludf.DUMMYFUNCTION("""COMPUTED_VALUE"""),41396.99861111111)</f>
        <v>41396.99861</v>
      </c>
      <c r="B1032" s="1">
        <f>IFERROR(__xludf.DUMMYFUNCTION("""COMPUTED_VALUE"""),1576.709466)</f>
        <v>1576.709466</v>
      </c>
    </row>
    <row r="1033">
      <c r="A1033" s="3">
        <f>IFERROR(__xludf.DUMMYFUNCTION("""COMPUTED_VALUE"""),41397.99861111111)</f>
        <v>41397.99861</v>
      </c>
      <c r="B1033" s="1">
        <f>IFERROR(__xludf.DUMMYFUNCTION("""COMPUTED_VALUE"""),1576.44729)</f>
        <v>1576.44729</v>
      </c>
    </row>
    <row r="1034">
      <c r="A1034" s="3">
        <f>IFERROR(__xludf.DUMMYFUNCTION("""COMPUTED_VALUE"""),41398.99861111111)</f>
        <v>41398.99861</v>
      </c>
      <c r="B1034" s="1">
        <f>IFERROR(__xludf.DUMMYFUNCTION("""COMPUTED_VALUE"""),1577.2924)</f>
        <v>1577.2924</v>
      </c>
    </row>
    <row r="1035">
      <c r="A1035" s="3">
        <f>IFERROR(__xludf.DUMMYFUNCTION("""COMPUTED_VALUE"""),41399.99861111111)</f>
        <v>41399.99861</v>
      </c>
      <c r="B1035" s="1">
        <f>IFERROR(__xludf.DUMMYFUNCTION("""COMPUTED_VALUE"""),1560.581257)</f>
        <v>1560.581257</v>
      </c>
    </row>
    <row r="1036">
      <c r="A1036" s="3">
        <f>IFERROR(__xludf.DUMMYFUNCTION("""COMPUTED_VALUE"""),41400.99861111111)</f>
        <v>41400.99861</v>
      </c>
      <c r="B1036" s="1">
        <f>IFERROR(__xludf.DUMMYFUNCTION("""COMPUTED_VALUE"""),1573.84388)</f>
        <v>1573.84388</v>
      </c>
    </row>
    <row r="1037">
      <c r="A1037" s="3">
        <f>IFERROR(__xludf.DUMMYFUNCTION("""COMPUTED_VALUE"""),41401.99861111111)</f>
        <v>41401.99861</v>
      </c>
      <c r="B1037" s="1">
        <f>IFERROR(__xludf.DUMMYFUNCTION("""COMPUTED_VALUE"""),1576.853415)</f>
        <v>1576.853415</v>
      </c>
    </row>
    <row r="1038">
      <c r="A1038" s="3">
        <f>IFERROR(__xludf.DUMMYFUNCTION("""COMPUTED_VALUE"""),41402.99861111111)</f>
        <v>41402.99861</v>
      </c>
      <c r="B1038" s="1">
        <f>IFERROR(__xludf.DUMMYFUNCTION("""COMPUTED_VALUE"""),1584.14715)</f>
        <v>1584.14715</v>
      </c>
    </row>
    <row r="1039">
      <c r="A1039" s="3">
        <f>IFERROR(__xludf.DUMMYFUNCTION("""COMPUTED_VALUE"""),41403.99861111111)</f>
        <v>41403.99861</v>
      </c>
      <c r="B1039" s="1">
        <f>IFERROR(__xludf.DUMMYFUNCTION("""COMPUTED_VALUE"""),1582.119781)</f>
        <v>1582.119781</v>
      </c>
    </row>
    <row r="1040">
      <c r="A1040" s="3">
        <f>IFERROR(__xludf.DUMMYFUNCTION("""COMPUTED_VALUE"""),41404.99861111111)</f>
        <v>41404.99861</v>
      </c>
      <c r="B1040" s="1">
        <f>IFERROR(__xludf.DUMMYFUNCTION("""COMPUTED_VALUE"""),1580.52811)</f>
        <v>1580.52811</v>
      </c>
    </row>
    <row r="1041">
      <c r="A1041" s="3">
        <f>IFERROR(__xludf.DUMMYFUNCTION("""COMPUTED_VALUE"""),41405.99861111111)</f>
        <v>41405.99861</v>
      </c>
      <c r="B1041" s="1">
        <f>IFERROR(__xludf.DUMMYFUNCTION("""COMPUTED_VALUE"""),1580.04266)</f>
        <v>1580.04266</v>
      </c>
    </row>
    <row r="1042">
      <c r="A1042" s="3">
        <f>IFERROR(__xludf.DUMMYFUNCTION("""COMPUTED_VALUE"""),41406.99861111111)</f>
        <v>41406.99861</v>
      </c>
      <c r="B1042" s="1">
        <f>IFERROR(__xludf.DUMMYFUNCTION("""COMPUTED_VALUE"""),1584.877957)</f>
        <v>1584.877957</v>
      </c>
    </row>
    <row r="1043">
      <c r="A1043" s="3">
        <f>IFERROR(__xludf.DUMMYFUNCTION("""COMPUTED_VALUE"""),41407.99861111111)</f>
        <v>41407.99861</v>
      </c>
      <c r="B1043" s="1">
        <f>IFERROR(__xludf.DUMMYFUNCTION("""COMPUTED_VALUE"""),1579.62176)</f>
        <v>1579.62176</v>
      </c>
    </row>
    <row r="1044">
      <c r="A1044" s="3">
        <f>IFERROR(__xludf.DUMMYFUNCTION("""COMPUTED_VALUE"""),41408.99861111111)</f>
        <v>41408.99861</v>
      </c>
      <c r="B1044" s="1">
        <f>IFERROR(__xludf.DUMMYFUNCTION("""COMPUTED_VALUE"""),1580.39728)</f>
        <v>1580.39728</v>
      </c>
    </row>
    <row r="1045">
      <c r="A1045" s="3">
        <f>IFERROR(__xludf.DUMMYFUNCTION("""COMPUTED_VALUE"""),41409.99861111111)</f>
        <v>41409.99861</v>
      </c>
      <c r="B1045" s="1">
        <f>IFERROR(__xludf.DUMMYFUNCTION("""COMPUTED_VALUE"""),1580.859594)</f>
        <v>1580.859594</v>
      </c>
    </row>
    <row r="1046">
      <c r="A1046" s="3">
        <f>IFERROR(__xludf.DUMMYFUNCTION("""COMPUTED_VALUE"""),41410.99861111111)</f>
        <v>41410.99861</v>
      </c>
      <c r="B1046" s="1">
        <f>IFERROR(__xludf.DUMMYFUNCTION("""COMPUTED_VALUE"""),1580.942493)</f>
        <v>1580.942493</v>
      </c>
    </row>
    <row r="1047">
      <c r="A1047" s="3">
        <f>IFERROR(__xludf.DUMMYFUNCTION("""COMPUTED_VALUE"""),41411.99861111111)</f>
        <v>41411.99861</v>
      </c>
      <c r="B1047" s="1">
        <f>IFERROR(__xludf.DUMMYFUNCTION("""COMPUTED_VALUE"""),1585.47183)</f>
        <v>1585.47183</v>
      </c>
    </row>
    <row r="1048">
      <c r="A1048" s="3">
        <f>IFERROR(__xludf.DUMMYFUNCTION("""COMPUTED_VALUE"""),41412.99861111111)</f>
        <v>41412.99861</v>
      </c>
      <c r="B1048" s="1">
        <f>IFERROR(__xludf.DUMMYFUNCTION("""COMPUTED_VALUE"""),1585.27721)</f>
        <v>1585.27721</v>
      </c>
    </row>
    <row r="1049">
      <c r="A1049" s="3">
        <f>IFERROR(__xludf.DUMMYFUNCTION("""COMPUTED_VALUE"""),41413.99861111111)</f>
        <v>41413.99861</v>
      </c>
      <c r="B1049" s="1">
        <f>IFERROR(__xludf.DUMMYFUNCTION("""COMPUTED_VALUE"""),1585.27721)</f>
        <v>1585.27721</v>
      </c>
    </row>
    <row r="1050">
      <c r="A1050" s="3">
        <f>IFERROR(__xludf.DUMMYFUNCTION("""COMPUTED_VALUE"""),41414.99861111111)</f>
        <v>41414.99861</v>
      </c>
      <c r="B1050" s="1">
        <f>IFERROR(__xludf.DUMMYFUNCTION("""COMPUTED_VALUE"""),1584.383935)</f>
        <v>1584.383935</v>
      </c>
    </row>
    <row r="1051">
      <c r="A1051" s="3">
        <f>IFERROR(__xludf.DUMMYFUNCTION("""COMPUTED_VALUE"""),41415.99861111111)</f>
        <v>41415.99861</v>
      </c>
      <c r="B1051" s="1">
        <f>IFERROR(__xludf.DUMMYFUNCTION("""COMPUTED_VALUE"""),1586.852982)</f>
        <v>1586.852982</v>
      </c>
    </row>
    <row r="1052">
      <c r="A1052" s="3">
        <f>IFERROR(__xludf.DUMMYFUNCTION("""COMPUTED_VALUE"""),41416.99861111111)</f>
        <v>41416.99861</v>
      </c>
      <c r="B1052" s="1">
        <f>IFERROR(__xludf.DUMMYFUNCTION("""COMPUTED_VALUE"""),1587.0169)</f>
        <v>1587.0169</v>
      </c>
    </row>
    <row r="1053">
      <c r="A1053" s="3">
        <f>IFERROR(__xludf.DUMMYFUNCTION("""COMPUTED_VALUE"""),41417.99861111111)</f>
        <v>41417.99861</v>
      </c>
      <c r="B1053" s="1">
        <f>IFERROR(__xludf.DUMMYFUNCTION("""COMPUTED_VALUE"""),1588.238652)</f>
        <v>1588.238652</v>
      </c>
    </row>
    <row r="1054">
      <c r="A1054" s="3">
        <f>IFERROR(__xludf.DUMMYFUNCTION("""COMPUTED_VALUE"""),41418.99861111111)</f>
        <v>41418.99861</v>
      </c>
      <c r="B1054" s="1">
        <f>IFERROR(__xludf.DUMMYFUNCTION("""COMPUTED_VALUE"""),1589.60636)</f>
        <v>1589.60636</v>
      </c>
    </row>
    <row r="1055">
      <c r="A1055" s="3">
        <f>IFERROR(__xludf.DUMMYFUNCTION("""COMPUTED_VALUE"""),41419.99861111111)</f>
        <v>41419.99861</v>
      </c>
      <c r="B1055" s="1">
        <f>IFERROR(__xludf.DUMMYFUNCTION("""COMPUTED_VALUE"""),1588.95408)</f>
        <v>1588.95408</v>
      </c>
    </row>
    <row r="1056">
      <c r="A1056" s="3">
        <f>IFERROR(__xludf.DUMMYFUNCTION("""COMPUTED_VALUE"""),41420.99861111111)</f>
        <v>41420.99861</v>
      </c>
      <c r="B1056" s="1">
        <f>IFERROR(__xludf.DUMMYFUNCTION("""COMPUTED_VALUE"""),1596.764613)</f>
        <v>1596.764613</v>
      </c>
    </row>
    <row r="1057">
      <c r="A1057" s="3">
        <f>IFERROR(__xludf.DUMMYFUNCTION("""COMPUTED_VALUE"""),41421.99861111111)</f>
        <v>41421.99861</v>
      </c>
      <c r="B1057" s="1">
        <f>IFERROR(__xludf.DUMMYFUNCTION("""COMPUTED_VALUE"""),1594.215131)</f>
        <v>1594.215131</v>
      </c>
    </row>
    <row r="1058">
      <c r="A1058" s="3">
        <f>IFERROR(__xludf.DUMMYFUNCTION("""COMPUTED_VALUE"""),41422.99861111111)</f>
        <v>41422.99861</v>
      </c>
      <c r="B1058" s="1">
        <f>IFERROR(__xludf.DUMMYFUNCTION("""COMPUTED_VALUE"""),1595.274604)</f>
        <v>1595.274604</v>
      </c>
    </row>
    <row r="1059">
      <c r="A1059" s="3">
        <f>IFERROR(__xludf.DUMMYFUNCTION("""COMPUTED_VALUE"""),41423.99861111111)</f>
        <v>41423.99861</v>
      </c>
      <c r="B1059" s="1">
        <f>IFERROR(__xludf.DUMMYFUNCTION("""COMPUTED_VALUE"""),1595.311872)</f>
        <v>1595.311872</v>
      </c>
    </row>
    <row r="1060">
      <c r="A1060" s="3">
        <f>IFERROR(__xludf.DUMMYFUNCTION("""COMPUTED_VALUE"""),41424.99861111111)</f>
        <v>41424.99861</v>
      </c>
      <c r="B1060" s="1">
        <f>IFERROR(__xludf.DUMMYFUNCTION("""COMPUTED_VALUE"""),1594.710056)</f>
        <v>1594.710056</v>
      </c>
    </row>
    <row r="1061">
      <c r="A1061" s="3">
        <f>IFERROR(__xludf.DUMMYFUNCTION("""COMPUTED_VALUE"""),41425.99861111111)</f>
        <v>41425.99861</v>
      </c>
      <c r="B1061" s="1">
        <f>IFERROR(__xludf.DUMMYFUNCTION("""COMPUTED_VALUE"""),1592.6077)</f>
        <v>1592.6077</v>
      </c>
    </row>
    <row r="1062">
      <c r="A1062" s="3">
        <f>IFERROR(__xludf.DUMMYFUNCTION("""COMPUTED_VALUE"""),41426.99861111111)</f>
        <v>41426.99861</v>
      </c>
      <c r="B1062" s="1">
        <f>IFERROR(__xludf.DUMMYFUNCTION("""COMPUTED_VALUE"""),1601.276897)</f>
        <v>1601.276897</v>
      </c>
    </row>
    <row r="1063">
      <c r="A1063" s="3">
        <f>IFERROR(__xludf.DUMMYFUNCTION("""COMPUTED_VALUE"""),41427.99861111111)</f>
        <v>41427.99861</v>
      </c>
      <c r="B1063" s="1">
        <f>IFERROR(__xludf.DUMMYFUNCTION("""COMPUTED_VALUE"""),1566.637101)</f>
        <v>1566.637101</v>
      </c>
    </row>
    <row r="1064">
      <c r="A1064" s="3">
        <f>IFERROR(__xludf.DUMMYFUNCTION("""COMPUTED_VALUE"""),41428.99861111111)</f>
        <v>41428.99861</v>
      </c>
      <c r="B1064" s="1">
        <f>IFERROR(__xludf.DUMMYFUNCTION("""COMPUTED_VALUE"""),1594.595982)</f>
        <v>1594.595982</v>
      </c>
    </row>
    <row r="1065">
      <c r="A1065" s="3">
        <f>IFERROR(__xludf.DUMMYFUNCTION("""COMPUTED_VALUE"""),41429.99861111111)</f>
        <v>41429.99861</v>
      </c>
      <c r="B1065" s="1">
        <f>IFERROR(__xludf.DUMMYFUNCTION("""COMPUTED_VALUE"""),1594.187412)</f>
        <v>1594.187412</v>
      </c>
    </row>
    <row r="1066">
      <c r="A1066" s="3">
        <f>IFERROR(__xludf.DUMMYFUNCTION("""COMPUTED_VALUE"""),41430.99861111111)</f>
        <v>41430.99861</v>
      </c>
      <c r="B1066" s="1">
        <f>IFERROR(__xludf.DUMMYFUNCTION("""COMPUTED_VALUE"""),1593.273202)</f>
        <v>1593.273202</v>
      </c>
    </row>
    <row r="1067">
      <c r="A1067" s="3">
        <f>IFERROR(__xludf.DUMMYFUNCTION("""COMPUTED_VALUE"""),41431.99861111111)</f>
        <v>41431.99861</v>
      </c>
      <c r="B1067" s="1">
        <f>IFERROR(__xludf.DUMMYFUNCTION("""COMPUTED_VALUE"""),1591.125144)</f>
        <v>1591.125144</v>
      </c>
    </row>
    <row r="1068">
      <c r="A1068" s="3">
        <f>IFERROR(__xludf.DUMMYFUNCTION("""COMPUTED_VALUE"""),41432.99861111111)</f>
        <v>41432.99861</v>
      </c>
      <c r="B1068" s="1">
        <f>IFERROR(__xludf.DUMMYFUNCTION("""COMPUTED_VALUE"""),1594.5312)</f>
        <v>1594.5312</v>
      </c>
    </row>
    <row r="1069">
      <c r="A1069" s="3">
        <f>IFERROR(__xludf.DUMMYFUNCTION("""COMPUTED_VALUE"""),41433.99861111111)</f>
        <v>41433.99861</v>
      </c>
      <c r="B1069" s="1">
        <f>IFERROR(__xludf.DUMMYFUNCTION("""COMPUTED_VALUE"""),1601.75617)</f>
        <v>1601.75617</v>
      </c>
    </row>
    <row r="1070">
      <c r="A1070" s="3">
        <f>IFERROR(__xludf.DUMMYFUNCTION("""COMPUTED_VALUE"""),41434.99861111111)</f>
        <v>41434.99861</v>
      </c>
      <c r="B1070" s="1">
        <f>IFERROR(__xludf.DUMMYFUNCTION("""COMPUTED_VALUE"""),1589.5434)</f>
        <v>1589.5434</v>
      </c>
    </row>
    <row r="1071">
      <c r="A1071" s="3">
        <f>IFERROR(__xludf.DUMMYFUNCTION("""COMPUTED_VALUE"""),41435.99861111111)</f>
        <v>41435.99861</v>
      </c>
      <c r="B1071" s="1">
        <f>IFERROR(__xludf.DUMMYFUNCTION("""COMPUTED_VALUE"""),1595.118126)</f>
        <v>1595.118126</v>
      </c>
    </row>
    <row r="1072">
      <c r="A1072" s="3">
        <f>IFERROR(__xludf.DUMMYFUNCTION("""COMPUTED_VALUE"""),41436.99861111111)</f>
        <v>41436.99861</v>
      </c>
      <c r="B1072" s="1">
        <f>IFERROR(__xludf.DUMMYFUNCTION("""COMPUTED_VALUE"""),1597.057873)</f>
        <v>1597.057873</v>
      </c>
    </row>
    <row r="1073">
      <c r="A1073" s="3">
        <f>IFERROR(__xludf.DUMMYFUNCTION("""COMPUTED_VALUE"""),41437.99861111111)</f>
        <v>41437.99861</v>
      </c>
      <c r="B1073" s="1">
        <f>IFERROR(__xludf.DUMMYFUNCTION("""COMPUTED_VALUE"""),1603.288404)</f>
        <v>1603.288404</v>
      </c>
    </row>
    <row r="1074">
      <c r="A1074" s="3">
        <f>IFERROR(__xludf.DUMMYFUNCTION("""COMPUTED_VALUE"""),41438.99861111111)</f>
        <v>41438.99861</v>
      </c>
      <c r="B1074" s="1">
        <f>IFERROR(__xludf.DUMMYFUNCTION("""COMPUTED_VALUE"""),1606.382045)</f>
        <v>1606.382045</v>
      </c>
    </row>
    <row r="1075">
      <c r="A1075" s="3">
        <f>IFERROR(__xludf.DUMMYFUNCTION("""COMPUTED_VALUE"""),41439.99861111111)</f>
        <v>41439.99861</v>
      </c>
      <c r="B1075" s="1">
        <f>IFERROR(__xludf.DUMMYFUNCTION("""COMPUTED_VALUE"""),1606.11032)</f>
        <v>1606.11032</v>
      </c>
    </row>
    <row r="1076">
      <c r="A1076" s="3">
        <f>IFERROR(__xludf.DUMMYFUNCTION("""COMPUTED_VALUE"""),41440.99861111111)</f>
        <v>41440.99861</v>
      </c>
      <c r="B1076" s="1">
        <f>IFERROR(__xludf.DUMMYFUNCTION("""COMPUTED_VALUE"""),1590.696943)</f>
        <v>1590.696943</v>
      </c>
    </row>
    <row r="1077">
      <c r="A1077" s="3">
        <f>IFERROR(__xludf.DUMMYFUNCTION("""COMPUTED_VALUE"""),41441.99861111111)</f>
        <v>41441.99861</v>
      </c>
      <c r="B1077" s="1">
        <f>IFERROR(__xludf.DUMMYFUNCTION("""COMPUTED_VALUE"""),1571.251077)</f>
        <v>1571.251077</v>
      </c>
    </row>
    <row r="1078">
      <c r="A1078" s="3">
        <f>IFERROR(__xludf.DUMMYFUNCTION("""COMPUTED_VALUE"""),41442.99861111111)</f>
        <v>41442.99861</v>
      </c>
      <c r="B1078" s="1">
        <f>IFERROR(__xludf.DUMMYFUNCTION("""COMPUTED_VALUE"""),1609.464123)</f>
        <v>1609.464123</v>
      </c>
    </row>
    <row r="1079">
      <c r="A1079" s="3">
        <f>IFERROR(__xludf.DUMMYFUNCTION("""COMPUTED_VALUE"""),41443.99861111111)</f>
        <v>41443.99861</v>
      </c>
      <c r="B1079" s="1">
        <f>IFERROR(__xludf.DUMMYFUNCTION("""COMPUTED_VALUE"""),1610.872548)</f>
        <v>1610.872548</v>
      </c>
    </row>
    <row r="1080">
      <c r="A1080" s="3">
        <f>IFERROR(__xludf.DUMMYFUNCTION("""COMPUTED_VALUE"""),41444.99861111111)</f>
        <v>41444.99861</v>
      </c>
      <c r="B1080" s="1">
        <f>IFERROR(__xludf.DUMMYFUNCTION("""COMPUTED_VALUE"""),1612.053432)</f>
        <v>1612.053432</v>
      </c>
    </row>
    <row r="1081">
      <c r="A1081" s="3">
        <f>IFERROR(__xludf.DUMMYFUNCTION("""COMPUTED_VALUE"""),41445.99861111111)</f>
        <v>41445.99861</v>
      </c>
      <c r="B1081" s="1">
        <f>IFERROR(__xludf.DUMMYFUNCTION("""COMPUTED_VALUE"""),1614.76081)</f>
        <v>1614.76081</v>
      </c>
    </row>
    <row r="1082">
      <c r="A1082" s="3">
        <f>IFERROR(__xludf.DUMMYFUNCTION("""COMPUTED_VALUE"""),41446.99861111111)</f>
        <v>41446.99861</v>
      </c>
      <c r="B1082" s="1">
        <f>IFERROR(__xludf.DUMMYFUNCTION("""COMPUTED_VALUE"""),1616.96)</f>
        <v>1616.96</v>
      </c>
    </row>
    <row r="1083">
      <c r="A1083" s="3">
        <f>IFERROR(__xludf.DUMMYFUNCTION("""COMPUTED_VALUE"""),41447.99861111111)</f>
        <v>41447.99861</v>
      </c>
      <c r="B1083" s="1">
        <f>IFERROR(__xludf.DUMMYFUNCTION("""COMPUTED_VALUE"""),1613.389113)</f>
        <v>1613.389113</v>
      </c>
    </row>
    <row r="1084">
      <c r="A1084" s="3">
        <f>IFERROR(__xludf.DUMMYFUNCTION("""COMPUTED_VALUE"""),41448.99861111111)</f>
        <v>41448.99861</v>
      </c>
      <c r="B1084" s="1">
        <f>IFERROR(__xludf.DUMMYFUNCTION("""COMPUTED_VALUE"""),1564.90686)</f>
        <v>1564.90686</v>
      </c>
    </row>
    <row r="1085">
      <c r="A1085" s="3">
        <f>IFERROR(__xludf.DUMMYFUNCTION("""COMPUTED_VALUE"""),41449.99861111111)</f>
        <v>41449.99861</v>
      </c>
      <c r="B1085" s="1">
        <f>IFERROR(__xludf.DUMMYFUNCTION("""COMPUTED_VALUE"""),1611.715986)</f>
        <v>1611.715986</v>
      </c>
    </row>
    <row r="1086">
      <c r="A1086" s="3">
        <f>IFERROR(__xludf.DUMMYFUNCTION("""COMPUTED_VALUE"""),41450.99861111111)</f>
        <v>41450.99861</v>
      </c>
      <c r="B1086" s="1">
        <f>IFERROR(__xludf.DUMMYFUNCTION("""COMPUTED_VALUE"""),1609.62624)</f>
        <v>1609.62624</v>
      </c>
    </row>
    <row r="1087">
      <c r="A1087" s="3">
        <f>IFERROR(__xludf.DUMMYFUNCTION("""COMPUTED_VALUE"""),41451.99861111111)</f>
        <v>41451.99861</v>
      </c>
      <c r="B1087" s="1">
        <f>IFERROR(__xludf.DUMMYFUNCTION("""COMPUTED_VALUE"""),1610.442492)</f>
        <v>1610.442492</v>
      </c>
    </row>
    <row r="1088">
      <c r="A1088" s="3">
        <f>IFERROR(__xludf.DUMMYFUNCTION("""COMPUTED_VALUE"""),41452.99861111111)</f>
        <v>41452.99861</v>
      </c>
      <c r="B1088" s="1">
        <f>IFERROR(__xludf.DUMMYFUNCTION("""COMPUTED_VALUE"""),1609.185748)</f>
        <v>1609.185748</v>
      </c>
    </row>
    <row r="1089">
      <c r="A1089" s="3">
        <f>IFERROR(__xludf.DUMMYFUNCTION("""COMPUTED_VALUE"""),41453.99861111111)</f>
        <v>41453.99861</v>
      </c>
      <c r="B1089" s="1">
        <f>IFERROR(__xludf.DUMMYFUNCTION("""COMPUTED_VALUE"""),1612.017)</f>
        <v>1612.017</v>
      </c>
    </row>
    <row r="1090">
      <c r="A1090" s="3">
        <f>IFERROR(__xludf.DUMMYFUNCTION("""COMPUTED_VALUE"""),41454.99861111111)</f>
        <v>41454.99861</v>
      </c>
      <c r="B1090" s="1">
        <f>IFERROR(__xludf.DUMMYFUNCTION("""COMPUTED_VALUE"""),1619.541)</f>
        <v>1619.541</v>
      </c>
    </row>
    <row r="1091">
      <c r="A1091" s="3">
        <f>IFERROR(__xludf.DUMMYFUNCTION("""COMPUTED_VALUE"""),41455.99861111111)</f>
        <v>41455.99861</v>
      </c>
      <c r="B1091" s="1">
        <f>IFERROR(__xludf.DUMMYFUNCTION("""COMPUTED_VALUE"""),1559.331639)</f>
        <v>1559.331639</v>
      </c>
    </row>
    <row r="1092">
      <c r="A1092" s="3">
        <f>IFERROR(__xludf.DUMMYFUNCTION("""COMPUTED_VALUE"""),41456.99861111111)</f>
        <v>41456.99861</v>
      </c>
      <c r="B1092" s="1">
        <f>IFERROR(__xludf.DUMMYFUNCTION("""COMPUTED_VALUE"""),1613.90151)</f>
        <v>1613.90151</v>
      </c>
    </row>
    <row r="1093">
      <c r="A1093" s="3">
        <f>IFERROR(__xludf.DUMMYFUNCTION("""COMPUTED_VALUE"""),41457.99861111111)</f>
        <v>41457.99861</v>
      </c>
      <c r="B1093" s="1">
        <f>IFERROR(__xludf.DUMMYFUNCTION("""COMPUTED_VALUE"""),1614.220362)</f>
        <v>1614.220362</v>
      </c>
    </row>
    <row r="1094">
      <c r="A1094" s="3">
        <f>IFERROR(__xludf.DUMMYFUNCTION("""COMPUTED_VALUE"""),41458.99861111111)</f>
        <v>41458.99861</v>
      </c>
      <c r="B1094" s="1">
        <f>IFERROR(__xludf.DUMMYFUNCTION("""COMPUTED_VALUE"""),1616.930705)</f>
        <v>1616.930705</v>
      </c>
    </row>
    <row r="1095">
      <c r="A1095" s="3">
        <f>IFERROR(__xludf.DUMMYFUNCTION("""COMPUTED_VALUE"""),41459.99861111111)</f>
        <v>41459.99861</v>
      </c>
      <c r="B1095" s="1">
        <f>IFERROR(__xludf.DUMMYFUNCTION("""COMPUTED_VALUE"""),1618.16897)</f>
        <v>1618.16897</v>
      </c>
    </row>
    <row r="1096">
      <c r="A1096" s="3">
        <f>IFERROR(__xludf.DUMMYFUNCTION("""COMPUTED_VALUE"""),41460.99861111111)</f>
        <v>41460.99861</v>
      </c>
      <c r="B1096" s="1">
        <f>IFERROR(__xludf.DUMMYFUNCTION("""COMPUTED_VALUE"""),1617.03072)</f>
        <v>1617.03072</v>
      </c>
    </row>
    <row r="1097">
      <c r="A1097" s="3">
        <f>IFERROR(__xludf.DUMMYFUNCTION("""COMPUTED_VALUE"""),41461.99861111111)</f>
        <v>41461.99861</v>
      </c>
      <c r="B1097" s="1">
        <f>IFERROR(__xludf.DUMMYFUNCTION("""COMPUTED_VALUE"""),1616.93154)</f>
        <v>1616.93154</v>
      </c>
    </row>
    <row r="1098">
      <c r="A1098" s="3">
        <f>IFERROR(__xludf.DUMMYFUNCTION("""COMPUTED_VALUE"""),41462.99861111111)</f>
        <v>41462.99861</v>
      </c>
      <c r="B1098" s="1">
        <f>IFERROR(__xludf.DUMMYFUNCTION("""COMPUTED_VALUE"""),1610.38566)</f>
        <v>1610.38566</v>
      </c>
    </row>
    <row r="1099">
      <c r="A1099" s="3">
        <f>IFERROR(__xludf.DUMMYFUNCTION("""COMPUTED_VALUE"""),41463.99861111111)</f>
        <v>41463.99861</v>
      </c>
      <c r="B1099" s="1">
        <f>IFERROR(__xludf.DUMMYFUNCTION("""COMPUTED_VALUE"""),1618.167668)</f>
        <v>1618.167668</v>
      </c>
    </row>
    <row r="1100">
      <c r="A1100" s="3">
        <f>IFERROR(__xludf.DUMMYFUNCTION("""COMPUTED_VALUE"""),41464.99861111111)</f>
        <v>41464.99861</v>
      </c>
      <c r="B1100" s="1">
        <f>IFERROR(__xludf.DUMMYFUNCTION("""COMPUTED_VALUE"""),1619.089416)</f>
        <v>1619.089416</v>
      </c>
    </row>
    <row r="1101">
      <c r="A1101" s="3">
        <f>IFERROR(__xludf.DUMMYFUNCTION("""COMPUTED_VALUE"""),41465.99861111111)</f>
        <v>41465.99861</v>
      </c>
      <c r="B1101" s="1">
        <f>IFERROR(__xludf.DUMMYFUNCTION("""COMPUTED_VALUE"""),1619.203565)</f>
        <v>1619.203565</v>
      </c>
    </row>
    <row r="1102">
      <c r="A1102" s="3">
        <f>IFERROR(__xludf.DUMMYFUNCTION("""COMPUTED_VALUE"""),41466.99861111111)</f>
        <v>41466.99861</v>
      </c>
      <c r="B1102" s="1">
        <f>IFERROR(__xludf.DUMMYFUNCTION("""COMPUTED_VALUE"""),1620.117364)</f>
        <v>1620.117364</v>
      </c>
    </row>
    <row r="1103">
      <c r="A1103" s="3">
        <f>IFERROR(__xludf.DUMMYFUNCTION("""COMPUTED_VALUE"""),41467.99861111111)</f>
        <v>41467.99861</v>
      </c>
      <c r="B1103" s="1">
        <f>IFERROR(__xludf.DUMMYFUNCTION("""COMPUTED_VALUE"""),1623.58784)</f>
        <v>1623.58784</v>
      </c>
    </row>
    <row r="1104">
      <c r="A1104" s="3">
        <f>IFERROR(__xludf.DUMMYFUNCTION("""COMPUTED_VALUE"""),41468.99861111111)</f>
        <v>41468.99861</v>
      </c>
      <c r="B1104" s="1">
        <f>IFERROR(__xludf.DUMMYFUNCTION("""COMPUTED_VALUE"""),1616.615046)</f>
        <v>1616.615046</v>
      </c>
    </row>
    <row r="1105">
      <c r="A1105" s="3">
        <f>IFERROR(__xludf.DUMMYFUNCTION("""COMPUTED_VALUE"""),41469.99861111111)</f>
        <v>41469.99861</v>
      </c>
      <c r="B1105" s="1">
        <f>IFERROR(__xludf.DUMMYFUNCTION("""COMPUTED_VALUE"""),1564.618486)</f>
        <v>1564.618486</v>
      </c>
    </row>
    <row r="1106">
      <c r="A1106" s="3">
        <f>IFERROR(__xludf.DUMMYFUNCTION("""COMPUTED_VALUE"""),41470.99861111111)</f>
        <v>41470.99861</v>
      </c>
      <c r="B1106" s="1">
        <f>IFERROR(__xludf.DUMMYFUNCTION("""COMPUTED_VALUE"""),1627.340572)</f>
        <v>1627.340572</v>
      </c>
    </row>
    <row r="1107">
      <c r="A1107" s="3">
        <f>IFERROR(__xludf.DUMMYFUNCTION("""COMPUTED_VALUE"""),41471.99861111111)</f>
        <v>41471.99861</v>
      </c>
      <c r="B1107" s="1">
        <f>IFERROR(__xludf.DUMMYFUNCTION("""COMPUTED_VALUE"""),1630.74072)</f>
        <v>1630.74072</v>
      </c>
    </row>
    <row r="1108">
      <c r="A1108" s="3">
        <f>IFERROR(__xludf.DUMMYFUNCTION("""COMPUTED_VALUE"""),41472.99861111111)</f>
        <v>41472.99861</v>
      </c>
      <c r="B1108" s="1">
        <f>IFERROR(__xludf.DUMMYFUNCTION("""COMPUTED_VALUE"""),1632.57066)</f>
        <v>1632.57066</v>
      </c>
    </row>
    <row r="1109">
      <c r="A1109" s="3">
        <f>IFERROR(__xludf.DUMMYFUNCTION("""COMPUTED_VALUE"""),41473.99861111111)</f>
        <v>41473.99861</v>
      </c>
      <c r="B1109" s="1">
        <f>IFERROR(__xludf.DUMMYFUNCTION("""COMPUTED_VALUE"""),1633.41024)</f>
        <v>1633.41024</v>
      </c>
    </row>
    <row r="1110">
      <c r="A1110" s="3">
        <f>IFERROR(__xludf.DUMMYFUNCTION("""COMPUTED_VALUE"""),41474.99861111111)</f>
        <v>41474.99861</v>
      </c>
      <c r="B1110" s="1">
        <f>IFERROR(__xludf.DUMMYFUNCTION("""COMPUTED_VALUE"""),1642.6368)</f>
        <v>1642.6368</v>
      </c>
    </row>
    <row r="1111">
      <c r="A1111" s="3">
        <f>IFERROR(__xludf.DUMMYFUNCTION("""COMPUTED_VALUE"""),41475.99861111111)</f>
        <v>41475.99861</v>
      </c>
      <c r="B1111" s="1">
        <f>IFERROR(__xludf.DUMMYFUNCTION("""COMPUTED_VALUE"""),1634.11515)</f>
        <v>1634.11515</v>
      </c>
    </row>
    <row r="1112">
      <c r="A1112" s="3">
        <f>IFERROR(__xludf.DUMMYFUNCTION("""COMPUTED_VALUE"""),41476.99861111111)</f>
        <v>41476.99861</v>
      </c>
      <c r="B1112" s="1">
        <f>IFERROR(__xludf.DUMMYFUNCTION("""COMPUTED_VALUE"""),1638.33741)</f>
        <v>1638.33741</v>
      </c>
    </row>
    <row r="1113">
      <c r="A1113" s="3">
        <f>IFERROR(__xludf.DUMMYFUNCTION("""COMPUTED_VALUE"""),41477.99861111111)</f>
        <v>41477.99861</v>
      </c>
      <c r="B1113" s="1">
        <f>IFERROR(__xludf.DUMMYFUNCTION("""COMPUTED_VALUE"""),1634.12397)</f>
        <v>1634.12397</v>
      </c>
    </row>
    <row r="1114">
      <c r="A1114" s="3">
        <f>IFERROR(__xludf.DUMMYFUNCTION("""COMPUTED_VALUE"""),41478.99861111111)</f>
        <v>41478.99861</v>
      </c>
      <c r="B1114" s="1">
        <f>IFERROR(__xludf.DUMMYFUNCTION("""COMPUTED_VALUE"""),1657.73084)</f>
        <v>1657.73084</v>
      </c>
    </row>
    <row r="1115">
      <c r="A1115" s="3">
        <f>IFERROR(__xludf.DUMMYFUNCTION("""COMPUTED_VALUE"""),41479.99861111111)</f>
        <v>41479.99861</v>
      </c>
      <c r="B1115" s="1">
        <f>IFERROR(__xludf.DUMMYFUNCTION("""COMPUTED_VALUE"""),1667.44838)</f>
        <v>1667.44838</v>
      </c>
    </row>
    <row r="1116">
      <c r="A1116" s="3">
        <f>IFERROR(__xludf.DUMMYFUNCTION("""COMPUTED_VALUE"""),41480.99861111111)</f>
        <v>41480.99861</v>
      </c>
      <c r="B1116" s="1">
        <f>IFERROR(__xludf.DUMMYFUNCTION("""COMPUTED_VALUE"""),1669.05939)</f>
        <v>1669.05939</v>
      </c>
    </row>
    <row r="1117">
      <c r="A1117" s="3">
        <f>IFERROR(__xludf.DUMMYFUNCTION("""COMPUTED_VALUE"""),41481.99861111111)</f>
        <v>41481.99861</v>
      </c>
      <c r="B1117" s="1">
        <f>IFERROR(__xludf.DUMMYFUNCTION("""COMPUTED_VALUE"""),1669.10463)</f>
        <v>1669.10463</v>
      </c>
    </row>
    <row r="1118">
      <c r="A1118" s="3">
        <f>IFERROR(__xludf.DUMMYFUNCTION("""COMPUTED_VALUE"""),41482.99861111111)</f>
        <v>41482.99861</v>
      </c>
      <c r="B1118" s="1">
        <f>IFERROR(__xludf.DUMMYFUNCTION("""COMPUTED_VALUE"""),1669.8368)</f>
        <v>1669.8368</v>
      </c>
    </row>
    <row r="1119">
      <c r="A1119" s="3">
        <f>IFERROR(__xludf.DUMMYFUNCTION("""COMPUTED_VALUE"""),41483.99861111111)</f>
        <v>41483.99861</v>
      </c>
      <c r="B1119" s="1">
        <f>IFERROR(__xludf.DUMMYFUNCTION("""COMPUTED_VALUE"""),1675.9008)</f>
        <v>1675.9008</v>
      </c>
    </row>
    <row r="1120">
      <c r="A1120" s="3">
        <f>IFERROR(__xludf.DUMMYFUNCTION("""COMPUTED_VALUE"""),41484.99861111111)</f>
        <v>41484.99861</v>
      </c>
      <c r="B1120" s="1">
        <f>IFERROR(__xludf.DUMMYFUNCTION("""COMPUTED_VALUE"""),1670.07932)</f>
        <v>1670.07932</v>
      </c>
    </row>
    <row r="1121">
      <c r="A1121" s="3">
        <f>IFERROR(__xludf.DUMMYFUNCTION("""COMPUTED_VALUE"""),41485.99861111111)</f>
        <v>41485.99861</v>
      </c>
      <c r="B1121" s="1">
        <f>IFERROR(__xludf.DUMMYFUNCTION("""COMPUTED_VALUE"""),1670.2842)</f>
        <v>1670.2842</v>
      </c>
    </row>
    <row r="1122">
      <c r="A1122" s="3">
        <f>IFERROR(__xludf.DUMMYFUNCTION("""COMPUTED_VALUE"""),41486.99861111111)</f>
        <v>41486.99861</v>
      </c>
      <c r="B1122" s="1">
        <f>IFERROR(__xludf.DUMMYFUNCTION("""COMPUTED_VALUE"""),1671.57)</f>
        <v>1671.57</v>
      </c>
    </row>
    <row r="1123">
      <c r="A1123" s="3">
        <f>IFERROR(__xludf.DUMMYFUNCTION("""COMPUTED_VALUE"""),41487.99861111111)</f>
        <v>41487.99861</v>
      </c>
      <c r="B1123" s="1">
        <f>IFERROR(__xludf.DUMMYFUNCTION("""COMPUTED_VALUE"""),1672.30624)</f>
        <v>1672.30624</v>
      </c>
    </row>
    <row r="1124">
      <c r="A1124" s="3">
        <f>IFERROR(__xludf.DUMMYFUNCTION("""COMPUTED_VALUE"""),41488.99861111111)</f>
        <v>41488.99861</v>
      </c>
      <c r="B1124" s="1">
        <f>IFERROR(__xludf.DUMMYFUNCTION("""COMPUTED_VALUE"""),1675.5505)</f>
        <v>1675.5505</v>
      </c>
    </row>
    <row r="1125">
      <c r="A1125" s="3">
        <f>IFERROR(__xludf.DUMMYFUNCTION("""COMPUTED_VALUE"""),41489.99861111111)</f>
        <v>41489.99861</v>
      </c>
      <c r="B1125" s="1">
        <f>IFERROR(__xludf.DUMMYFUNCTION("""COMPUTED_VALUE"""),1673.7138)</f>
        <v>1673.7138</v>
      </c>
    </row>
    <row r="1126">
      <c r="A1126" s="3">
        <f>IFERROR(__xludf.DUMMYFUNCTION("""COMPUTED_VALUE"""),41490.99861111111)</f>
        <v>41490.99861</v>
      </c>
      <c r="B1126" s="1">
        <f>IFERROR(__xludf.DUMMYFUNCTION("""COMPUTED_VALUE"""),1678.5789)</f>
        <v>1678.5789</v>
      </c>
    </row>
    <row r="1127">
      <c r="A1127" s="3">
        <f>IFERROR(__xludf.DUMMYFUNCTION("""COMPUTED_VALUE"""),41491.99861111111)</f>
        <v>41491.99861</v>
      </c>
      <c r="B1127" s="1">
        <f>IFERROR(__xludf.DUMMYFUNCTION("""COMPUTED_VALUE"""),1674.08688)</f>
        <v>1674.08688</v>
      </c>
    </row>
    <row r="1128">
      <c r="A1128" s="3">
        <f>IFERROR(__xludf.DUMMYFUNCTION("""COMPUTED_VALUE"""),41492.99861111111)</f>
        <v>41492.99861</v>
      </c>
      <c r="B1128" s="1">
        <f>IFERROR(__xludf.DUMMYFUNCTION("""COMPUTED_VALUE"""),1675.48095)</f>
        <v>1675.48095</v>
      </c>
    </row>
    <row r="1129">
      <c r="A1129" s="3">
        <f>IFERROR(__xludf.DUMMYFUNCTION("""COMPUTED_VALUE"""),41493.99861111111)</f>
        <v>41493.99861</v>
      </c>
      <c r="B1129" s="1">
        <f>IFERROR(__xludf.DUMMYFUNCTION("""COMPUTED_VALUE"""),1676.77268)</f>
        <v>1676.77268</v>
      </c>
    </row>
    <row r="1130">
      <c r="A1130" s="3">
        <f>IFERROR(__xludf.DUMMYFUNCTION("""COMPUTED_VALUE"""),41494.99861111111)</f>
        <v>41494.99861</v>
      </c>
      <c r="B1130" s="1">
        <f>IFERROR(__xludf.DUMMYFUNCTION("""COMPUTED_VALUE"""),1675.58352)</f>
        <v>1675.58352</v>
      </c>
    </row>
    <row r="1131">
      <c r="A1131" s="3">
        <f>IFERROR(__xludf.DUMMYFUNCTION("""COMPUTED_VALUE"""),41495.99861111111)</f>
        <v>41495.99861</v>
      </c>
      <c r="B1131" s="1">
        <f>IFERROR(__xludf.DUMMYFUNCTION("""COMPUTED_VALUE"""),1675.971)</f>
        <v>1675.971</v>
      </c>
    </row>
    <row r="1132">
      <c r="A1132" s="3">
        <f>IFERROR(__xludf.DUMMYFUNCTION("""COMPUTED_VALUE"""),41496.99861111111)</f>
        <v>41496.99861</v>
      </c>
      <c r="B1132" s="1">
        <f>IFERROR(__xludf.DUMMYFUNCTION("""COMPUTED_VALUE"""),1677.6045)</f>
        <v>1677.6045</v>
      </c>
    </row>
    <row r="1133">
      <c r="A1133" s="3">
        <f>IFERROR(__xludf.DUMMYFUNCTION("""COMPUTED_VALUE"""),41497.99861111111)</f>
        <v>41497.99861</v>
      </c>
      <c r="B1133" s="1">
        <f>IFERROR(__xludf.DUMMYFUNCTION("""COMPUTED_VALUE"""),1676.41425)</f>
        <v>1676.41425</v>
      </c>
    </row>
    <row r="1134">
      <c r="A1134" s="3">
        <f>IFERROR(__xludf.DUMMYFUNCTION("""COMPUTED_VALUE"""),41498.99861111111)</f>
        <v>41498.99861</v>
      </c>
      <c r="B1134" s="1">
        <f>IFERROR(__xludf.DUMMYFUNCTION("""COMPUTED_VALUE"""),1676.2977)</f>
        <v>1676.2977</v>
      </c>
    </row>
    <row r="1135">
      <c r="A1135" s="3">
        <f>IFERROR(__xludf.DUMMYFUNCTION("""COMPUTED_VALUE"""),41499.99861111111)</f>
        <v>41499.99861</v>
      </c>
      <c r="B1135" s="1">
        <f>IFERROR(__xludf.DUMMYFUNCTION("""COMPUTED_VALUE"""),1683.26144)</f>
        <v>1683.26144</v>
      </c>
    </row>
    <row r="1136">
      <c r="A1136" s="3">
        <f>IFERROR(__xludf.DUMMYFUNCTION("""COMPUTED_VALUE"""),41500.99861111111)</f>
        <v>41500.99861</v>
      </c>
      <c r="B1136" s="1">
        <f>IFERROR(__xludf.DUMMYFUNCTION("""COMPUTED_VALUE"""),1682.75361)</f>
        <v>1682.75361</v>
      </c>
    </row>
    <row r="1137">
      <c r="A1137" s="3">
        <f>IFERROR(__xludf.DUMMYFUNCTION("""COMPUTED_VALUE"""),41501.99861111111)</f>
        <v>41501.99861</v>
      </c>
      <c r="B1137" s="1">
        <f>IFERROR(__xludf.DUMMYFUNCTION("""COMPUTED_VALUE"""),1688.32665)</f>
        <v>1688.32665</v>
      </c>
    </row>
    <row r="1138">
      <c r="A1138" s="3">
        <f>IFERROR(__xludf.DUMMYFUNCTION("""COMPUTED_VALUE"""),41502.99861111111)</f>
        <v>41502.99861</v>
      </c>
      <c r="B1138" s="1">
        <f>IFERROR(__xludf.DUMMYFUNCTION("""COMPUTED_VALUE"""),1693.86)</f>
        <v>1693.86</v>
      </c>
    </row>
    <row r="1139">
      <c r="A1139" s="3">
        <f>IFERROR(__xludf.DUMMYFUNCTION("""COMPUTED_VALUE"""),41503.99861111111)</f>
        <v>41503.99861</v>
      </c>
      <c r="B1139" s="1">
        <f>IFERROR(__xludf.DUMMYFUNCTION("""COMPUTED_VALUE"""),1693.30956)</f>
        <v>1693.30956</v>
      </c>
    </row>
    <row r="1140">
      <c r="A1140" s="3">
        <f>IFERROR(__xludf.DUMMYFUNCTION("""COMPUTED_VALUE"""),41504.99861111111)</f>
        <v>41504.99861</v>
      </c>
      <c r="B1140" s="1">
        <f>IFERROR(__xludf.DUMMYFUNCTION("""COMPUTED_VALUE"""),1695.06432)</f>
        <v>1695.06432</v>
      </c>
    </row>
    <row r="1141">
      <c r="A1141" s="3">
        <f>IFERROR(__xludf.DUMMYFUNCTION("""COMPUTED_VALUE"""),41505.99861111111)</f>
        <v>41505.99861</v>
      </c>
      <c r="B1141" s="1">
        <f>IFERROR(__xludf.DUMMYFUNCTION("""COMPUTED_VALUE"""),1708.49052)</f>
        <v>1708.49052</v>
      </c>
    </row>
    <row r="1142">
      <c r="A1142" s="3">
        <f>IFERROR(__xludf.DUMMYFUNCTION("""COMPUTED_VALUE"""),41506.99861111111)</f>
        <v>41506.99861</v>
      </c>
      <c r="B1142" s="1">
        <f>IFERROR(__xludf.DUMMYFUNCTION("""COMPUTED_VALUE"""),1740.07496)</f>
        <v>1740.07496</v>
      </c>
    </row>
    <row r="1143">
      <c r="A1143" s="3">
        <f>IFERROR(__xludf.DUMMYFUNCTION("""COMPUTED_VALUE"""),41507.99861111111)</f>
        <v>41507.99861</v>
      </c>
      <c r="B1143" s="1">
        <f>IFERROR(__xludf.DUMMYFUNCTION("""COMPUTED_VALUE"""),1754.93344)</f>
        <v>1754.93344</v>
      </c>
    </row>
    <row r="1144">
      <c r="A1144" s="3">
        <f>IFERROR(__xludf.DUMMYFUNCTION("""COMPUTED_VALUE"""),41508.99861111111)</f>
        <v>41508.99861</v>
      </c>
      <c r="B1144" s="1">
        <f>IFERROR(__xludf.DUMMYFUNCTION("""COMPUTED_VALUE"""),1802.73912)</f>
        <v>1802.73912</v>
      </c>
    </row>
    <row r="1145">
      <c r="A1145" s="3">
        <f>IFERROR(__xludf.DUMMYFUNCTION("""COMPUTED_VALUE"""),41509.99861111111)</f>
        <v>41509.99861</v>
      </c>
      <c r="B1145" s="1">
        <f>IFERROR(__xludf.DUMMYFUNCTION("""COMPUTED_VALUE"""),1756.765)</f>
        <v>1756.765</v>
      </c>
    </row>
    <row r="1146">
      <c r="A1146" s="3">
        <f>IFERROR(__xludf.DUMMYFUNCTION("""COMPUTED_VALUE"""),41510.99861111111)</f>
        <v>41510.99861</v>
      </c>
      <c r="B1146" s="1">
        <f>IFERROR(__xludf.DUMMYFUNCTION("""COMPUTED_VALUE"""),1759.56)</f>
        <v>1759.56</v>
      </c>
    </row>
    <row r="1147">
      <c r="A1147" s="3">
        <f>IFERROR(__xludf.DUMMYFUNCTION("""COMPUTED_VALUE"""),41511.99861111111)</f>
        <v>41511.99861</v>
      </c>
      <c r="B1147" s="1">
        <f>IFERROR(__xludf.DUMMYFUNCTION("""COMPUTED_VALUE"""),1798.10695)</f>
        <v>1798.10695</v>
      </c>
    </row>
    <row r="1148">
      <c r="A1148" s="3">
        <f>IFERROR(__xludf.DUMMYFUNCTION("""COMPUTED_VALUE"""),41512.99861111111)</f>
        <v>41512.99861</v>
      </c>
      <c r="B1148" s="1">
        <f>IFERROR(__xludf.DUMMYFUNCTION("""COMPUTED_VALUE"""),1813.94944)</f>
        <v>1813.94944</v>
      </c>
    </row>
    <row r="1149">
      <c r="A1149" s="3">
        <f>IFERROR(__xludf.DUMMYFUNCTION("""COMPUTED_VALUE"""),41513.99861111111)</f>
        <v>41513.99861</v>
      </c>
      <c r="B1149" s="1">
        <f>IFERROR(__xludf.DUMMYFUNCTION("""COMPUTED_VALUE"""),1780.35186)</f>
        <v>1780.35186</v>
      </c>
    </row>
    <row r="1150">
      <c r="A1150" s="3">
        <f>IFERROR(__xludf.DUMMYFUNCTION("""COMPUTED_VALUE"""),41514.99861111111)</f>
        <v>41514.99861</v>
      </c>
      <c r="B1150" s="1">
        <f>IFERROR(__xludf.DUMMYFUNCTION("""COMPUTED_VALUE"""),1783.72863)</f>
        <v>1783.72863</v>
      </c>
    </row>
    <row r="1151">
      <c r="A1151" s="3">
        <f>IFERROR(__xludf.DUMMYFUNCTION("""COMPUTED_VALUE"""),41515.99861111111)</f>
        <v>41515.99861</v>
      </c>
      <c r="B1151" s="1">
        <f>IFERROR(__xludf.DUMMYFUNCTION("""COMPUTED_VALUE"""),1782.2038)</f>
        <v>1782.2038</v>
      </c>
    </row>
    <row r="1152">
      <c r="A1152" s="3">
        <f>IFERROR(__xludf.DUMMYFUNCTION("""COMPUTED_VALUE"""),41516.99861111111)</f>
        <v>41516.99861</v>
      </c>
      <c r="B1152" s="1">
        <f>IFERROR(__xludf.DUMMYFUNCTION("""COMPUTED_VALUE"""),1779.69789)</f>
        <v>1779.69789</v>
      </c>
    </row>
    <row r="1153">
      <c r="A1153" s="3">
        <f>IFERROR(__xludf.DUMMYFUNCTION("""COMPUTED_VALUE"""),41517.99861111111)</f>
        <v>41517.99861</v>
      </c>
      <c r="B1153" s="1">
        <f>IFERROR(__xludf.DUMMYFUNCTION("""COMPUTED_VALUE"""),1780.243)</f>
        <v>1780.243</v>
      </c>
    </row>
    <row r="1154">
      <c r="A1154" s="3">
        <f>IFERROR(__xludf.DUMMYFUNCTION("""COMPUTED_VALUE"""),41518.99861111111)</f>
        <v>41518.99861</v>
      </c>
      <c r="B1154" s="1">
        <f>IFERROR(__xludf.DUMMYFUNCTION("""COMPUTED_VALUE"""),1775.2313)</f>
        <v>1775.2313</v>
      </c>
    </row>
    <row r="1155">
      <c r="A1155" s="3">
        <f>IFERROR(__xludf.DUMMYFUNCTION("""COMPUTED_VALUE"""),41519.99861111111)</f>
        <v>41519.99861</v>
      </c>
      <c r="B1155" s="1">
        <f>IFERROR(__xludf.DUMMYFUNCTION("""COMPUTED_VALUE"""),1789.01268)</f>
        <v>1789.01268</v>
      </c>
    </row>
    <row r="1156">
      <c r="A1156" s="3">
        <f>IFERROR(__xludf.DUMMYFUNCTION("""COMPUTED_VALUE"""),41520.99861111111)</f>
        <v>41520.99861</v>
      </c>
      <c r="B1156" s="1">
        <f>IFERROR(__xludf.DUMMYFUNCTION("""COMPUTED_VALUE"""),1803.11469)</f>
        <v>1803.11469</v>
      </c>
    </row>
    <row r="1157">
      <c r="A1157" s="3">
        <f>IFERROR(__xludf.DUMMYFUNCTION("""COMPUTED_VALUE"""),41521.99861111111)</f>
        <v>41521.99861</v>
      </c>
      <c r="B1157" s="1">
        <f>IFERROR(__xludf.DUMMYFUNCTION("""COMPUTED_VALUE"""),1812.91689)</f>
        <v>1812.91689</v>
      </c>
    </row>
    <row r="1158">
      <c r="A1158" s="3">
        <f>IFERROR(__xludf.DUMMYFUNCTION("""COMPUTED_VALUE"""),41522.99861111111)</f>
        <v>41522.99861</v>
      </c>
      <c r="B1158" s="1">
        <f>IFERROR(__xludf.DUMMYFUNCTION("""COMPUTED_VALUE"""),1813.13883)</f>
        <v>1813.13883</v>
      </c>
    </row>
    <row r="1159">
      <c r="A1159" s="3">
        <f>IFERROR(__xludf.DUMMYFUNCTION("""COMPUTED_VALUE"""),41523.99861111111)</f>
        <v>41523.99861</v>
      </c>
      <c r="B1159" s="1">
        <f>IFERROR(__xludf.DUMMYFUNCTION("""COMPUTED_VALUE"""),1820.63951)</f>
        <v>1820.63951</v>
      </c>
    </row>
    <row r="1160">
      <c r="A1160" s="3">
        <f>IFERROR(__xludf.DUMMYFUNCTION("""COMPUTED_VALUE"""),41524.99861111111)</f>
        <v>41524.99861</v>
      </c>
      <c r="B1160" s="1">
        <f>IFERROR(__xludf.DUMMYFUNCTION("""COMPUTED_VALUE"""),1811.206)</f>
        <v>1811.206</v>
      </c>
    </row>
    <row r="1161">
      <c r="A1161" s="3">
        <f>IFERROR(__xludf.DUMMYFUNCTION("""COMPUTED_VALUE"""),41525.99861111111)</f>
        <v>41525.99861</v>
      </c>
      <c r="B1161" s="1">
        <f>IFERROR(__xludf.DUMMYFUNCTION("""COMPUTED_VALUE"""),1830.4955)</f>
        <v>1830.4955</v>
      </c>
    </row>
    <row r="1162">
      <c r="A1162" s="3">
        <f>IFERROR(__xludf.DUMMYFUNCTION("""COMPUTED_VALUE"""),41526.99861111111)</f>
        <v>41526.99861</v>
      </c>
      <c r="B1162" s="1">
        <f>IFERROR(__xludf.DUMMYFUNCTION("""COMPUTED_VALUE"""),1818.4122)</f>
        <v>1818.4122</v>
      </c>
    </row>
    <row r="1163">
      <c r="A1163" s="3">
        <f>IFERROR(__xludf.DUMMYFUNCTION("""COMPUTED_VALUE"""),41527.99861111111)</f>
        <v>41527.99861</v>
      </c>
      <c r="B1163" s="1">
        <f>IFERROR(__xludf.DUMMYFUNCTION("""COMPUTED_VALUE"""),1831.6019)</f>
        <v>1831.6019</v>
      </c>
    </row>
    <row r="1164">
      <c r="A1164" s="3">
        <f>IFERROR(__xludf.DUMMYFUNCTION("""COMPUTED_VALUE"""),41528.99861111111)</f>
        <v>41528.99861</v>
      </c>
      <c r="B1164" s="1">
        <f>IFERROR(__xludf.DUMMYFUNCTION("""COMPUTED_VALUE"""),1849.37388)</f>
        <v>1849.37388</v>
      </c>
    </row>
    <row r="1165">
      <c r="A1165" s="3">
        <f>IFERROR(__xludf.DUMMYFUNCTION("""COMPUTED_VALUE"""),41529.99861111111)</f>
        <v>41529.99861</v>
      </c>
      <c r="B1165" s="1">
        <f>IFERROR(__xludf.DUMMYFUNCTION("""COMPUTED_VALUE"""),1850.46768)</f>
        <v>1850.46768</v>
      </c>
    </row>
    <row r="1166">
      <c r="A1166" s="3">
        <f>IFERROR(__xludf.DUMMYFUNCTION("""COMPUTED_VALUE"""),41530.99861111111)</f>
        <v>41530.99861</v>
      </c>
      <c r="B1166" s="1">
        <f>IFERROR(__xludf.DUMMYFUNCTION("""COMPUTED_VALUE"""),1859.99683)</f>
        <v>1859.99683</v>
      </c>
    </row>
    <row r="1167">
      <c r="A1167" s="3">
        <f>IFERROR(__xludf.DUMMYFUNCTION("""COMPUTED_VALUE"""),41531.99861111111)</f>
        <v>41531.99861</v>
      </c>
      <c r="B1167" s="1">
        <f>IFERROR(__xludf.DUMMYFUNCTION("""COMPUTED_VALUE"""),1859.6554)</f>
        <v>1859.6554</v>
      </c>
    </row>
    <row r="1168">
      <c r="A1168" s="3">
        <f>IFERROR(__xludf.DUMMYFUNCTION("""COMPUTED_VALUE"""),41532.99861111111)</f>
        <v>41532.99861</v>
      </c>
      <c r="B1168" s="1">
        <f>IFERROR(__xludf.DUMMYFUNCTION("""COMPUTED_VALUE"""),1870.58116)</f>
        <v>1870.58116</v>
      </c>
    </row>
    <row r="1169">
      <c r="A1169" s="3">
        <f>IFERROR(__xludf.DUMMYFUNCTION("""COMPUTED_VALUE"""),41533.99861111111)</f>
        <v>41533.99861</v>
      </c>
      <c r="B1169" s="1">
        <f>IFERROR(__xludf.DUMMYFUNCTION("""COMPUTED_VALUE"""),1854.4266)</f>
        <v>1854.4266</v>
      </c>
    </row>
    <row r="1170">
      <c r="A1170" s="3">
        <f>IFERROR(__xludf.DUMMYFUNCTION("""COMPUTED_VALUE"""),41534.99861111111)</f>
        <v>41534.99861</v>
      </c>
      <c r="B1170" s="1">
        <f>IFERROR(__xludf.DUMMYFUNCTION("""COMPUTED_VALUE"""),1865.08112)</f>
        <v>1865.08112</v>
      </c>
    </row>
    <row r="1171">
      <c r="A1171" s="3">
        <f>IFERROR(__xludf.DUMMYFUNCTION("""COMPUTED_VALUE"""),41535.99861111111)</f>
        <v>41535.99861</v>
      </c>
      <c r="B1171" s="1">
        <f>IFERROR(__xludf.DUMMYFUNCTION("""COMPUTED_VALUE"""),1870.14528)</f>
        <v>1870.14528</v>
      </c>
    </row>
    <row r="1172">
      <c r="A1172" s="3">
        <f>IFERROR(__xludf.DUMMYFUNCTION("""COMPUTED_VALUE"""),41536.99861111111)</f>
        <v>41536.99861</v>
      </c>
      <c r="B1172" s="1">
        <f>IFERROR(__xludf.DUMMYFUNCTION("""COMPUTED_VALUE"""),1837.82895)</f>
        <v>1837.82895</v>
      </c>
    </row>
    <row r="1173">
      <c r="A1173" s="3">
        <f>IFERROR(__xludf.DUMMYFUNCTION("""COMPUTED_VALUE"""),41537.99861111111)</f>
        <v>41537.99861</v>
      </c>
      <c r="B1173" s="1">
        <f>IFERROR(__xludf.DUMMYFUNCTION("""COMPUTED_VALUE"""),1849.56192)</f>
        <v>1849.56192</v>
      </c>
    </row>
    <row r="1174">
      <c r="A1174" s="3">
        <f>IFERROR(__xludf.DUMMYFUNCTION("""COMPUTED_VALUE"""),41538.99861111111)</f>
        <v>41538.99861</v>
      </c>
      <c r="B1174" s="1">
        <f>IFERROR(__xludf.DUMMYFUNCTION("""COMPUTED_VALUE"""),1851.75075)</f>
        <v>1851.75075</v>
      </c>
    </row>
    <row r="1175">
      <c r="A1175" s="3">
        <f>IFERROR(__xludf.DUMMYFUNCTION("""COMPUTED_VALUE"""),41539.99861111111)</f>
        <v>41539.99861</v>
      </c>
      <c r="B1175" s="1">
        <f>IFERROR(__xludf.DUMMYFUNCTION("""COMPUTED_VALUE"""),1854.59)</f>
        <v>1854.59</v>
      </c>
    </row>
    <row r="1176">
      <c r="A1176" s="3">
        <f>IFERROR(__xludf.DUMMYFUNCTION("""COMPUTED_VALUE"""),41540.99861111111)</f>
        <v>41540.99861</v>
      </c>
      <c r="B1176" s="1">
        <f>IFERROR(__xludf.DUMMYFUNCTION("""COMPUTED_VALUE"""),1864.96695)</f>
        <v>1864.96695</v>
      </c>
    </row>
    <row r="1177">
      <c r="A1177" s="3">
        <f>IFERROR(__xludf.DUMMYFUNCTION("""COMPUTED_VALUE"""),41541.99861111111)</f>
        <v>41541.99861</v>
      </c>
      <c r="B1177" s="1">
        <f>IFERROR(__xludf.DUMMYFUNCTION("""COMPUTED_VALUE"""),1869.6552)</f>
        <v>1869.6552</v>
      </c>
    </row>
    <row r="1178">
      <c r="A1178" s="3">
        <f>IFERROR(__xludf.DUMMYFUNCTION("""COMPUTED_VALUE"""),41542.99861111111)</f>
        <v>41542.99861</v>
      </c>
      <c r="B1178" s="1">
        <f>IFERROR(__xludf.DUMMYFUNCTION("""COMPUTED_VALUE"""),1872.00804)</f>
        <v>1872.00804</v>
      </c>
    </row>
    <row r="1179">
      <c r="A1179" s="3">
        <f>IFERROR(__xludf.DUMMYFUNCTION("""COMPUTED_VALUE"""),41543.99861111111)</f>
        <v>41543.99861</v>
      </c>
      <c r="B1179" s="1">
        <f>IFERROR(__xludf.DUMMYFUNCTION("""COMPUTED_VALUE"""),1867.0905)</f>
        <v>1867.0905</v>
      </c>
    </row>
    <row r="1180">
      <c r="A1180" s="3">
        <f>IFERROR(__xludf.DUMMYFUNCTION("""COMPUTED_VALUE"""),41544.99861111111)</f>
        <v>41544.99861</v>
      </c>
      <c r="B1180" s="1">
        <f>IFERROR(__xludf.DUMMYFUNCTION("""COMPUTED_VALUE"""),1880.5706)</f>
        <v>1880.5706</v>
      </c>
    </row>
    <row r="1181">
      <c r="A1181" s="3">
        <f>IFERROR(__xludf.DUMMYFUNCTION("""COMPUTED_VALUE"""),41545.99861111111)</f>
        <v>41545.99861</v>
      </c>
      <c r="B1181" s="1">
        <f>IFERROR(__xludf.DUMMYFUNCTION("""COMPUTED_VALUE"""),1889.016746)</f>
        <v>1889.016746</v>
      </c>
    </row>
    <row r="1182">
      <c r="A1182" s="3">
        <f>IFERROR(__xludf.DUMMYFUNCTION("""COMPUTED_VALUE"""),41546.99861111111)</f>
        <v>41546.99861</v>
      </c>
      <c r="B1182" s="1">
        <f>IFERROR(__xludf.DUMMYFUNCTION("""COMPUTED_VALUE"""),1876.54245)</f>
        <v>1876.54245</v>
      </c>
    </row>
    <row r="1183">
      <c r="A1183" s="3">
        <f>IFERROR(__xludf.DUMMYFUNCTION("""COMPUTED_VALUE"""),41547.99861111111)</f>
        <v>41547.99861</v>
      </c>
      <c r="B1183" s="1">
        <f>IFERROR(__xludf.DUMMYFUNCTION("""COMPUTED_VALUE"""),1886.55712)</f>
        <v>1886.55712</v>
      </c>
    </row>
    <row r="1184">
      <c r="A1184" s="3">
        <f>IFERROR(__xludf.DUMMYFUNCTION("""COMPUTED_VALUE"""),41548.99861111111)</f>
        <v>41548.99861</v>
      </c>
      <c r="B1184" s="1">
        <f>IFERROR(__xludf.DUMMYFUNCTION("""COMPUTED_VALUE"""),1874.53841)</f>
        <v>1874.53841</v>
      </c>
    </row>
    <row r="1185">
      <c r="A1185" s="3">
        <f>IFERROR(__xludf.DUMMYFUNCTION("""COMPUTED_VALUE"""),41549.99861111111)</f>
        <v>41549.99861</v>
      </c>
      <c r="B1185" s="1">
        <f>IFERROR(__xludf.DUMMYFUNCTION("""COMPUTED_VALUE"""),1879.19676)</f>
        <v>1879.19676</v>
      </c>
    </row>
    <row r="1186">
      <c r="A1186" s="3">
        <f>IFERROR(__xludf.DUMMYFUNCTION("""COMPUTED_VALUE"""),41550.99861111111)</f>
        <v>41550.99861</v>
      </c>
      <c r="B1186" s="1">
        <f>IFERROR(__xludf.DUMMYFUNCTION("""COMPUTED_VALUE"""),1879.70523)</f>
        <v>1879.70523</v>
      </c>
    </row>
    <row r="1187">
      <c r="A1187" s="3">
        <f>IFERROR(__xludf.DUMMYFUNCTION("""COMPUTED_VALUE"""),41551.99861111111)</f>
        <v>41551.99861</v>
      </c>
      <c r="B1187" s="1">
        <f>IFERROR(__xludf.DUMMYFUNCTION("""COMPUTED_VALUE"""),1877.6294)</f>
        <v>1877.6294</v>
      </c>
    </row>
    <row r="1188">
      <c r="A1188" s="3">
        <f>IFERROR(__xludf.DUMMYFUNCTION("""COMPUTED_VALUE"""),41552.99861111111)</f>
        <v>41552.99861</v>
      </c>
      <c r="B1188" s="1">
        <f>IFERROR(__xludf.DUMMYFUNCTION("""COMPUTED_VALUE"""),1878.65822)</f>
        <v>1878.65822</v>
      </c>
    </row>
    <row r="1189">
      <c r="A1189" s="3">
        <f>IFERROR(__xludf.DUMMYFUNCTION("""COMPUTED_VALUE"""),41553.99861111111)</f>
        <v>41553.99861</v>
      </c>
      <c r="B1189" s="1">
        <f>IFERROR(__xludf.DUMMYFUNCTION("""COMPUTED_VALUE"""),1873.4445)</f>
        <v>1873.4445</v>
      </c>
    </row>
    <row r="1190">
      <c r="A1190" s="3">
        <f>IFERROR(__xludf.DUMMYFUNCTION("""COMPUTED_VALUE"""),41554.99861111111)</f>
        <v>41554.99861</v>
      </c>
      <c r="B1190" s="1">
        <f>IFERROR(__xludf.DUMMYFUNCTION("""COMPUTED_VALUE"""),1878.03495)</f>
        <v>1878.03495</v>
      </c>
    </row>
    <row r="1191">
      <c r="A1191" s="3">
        <f>IFERROR(__xludf.DUMMYFUNCTION("""COMPUTED_VALUE"""),41555.99861111111)</f>
        <v>41555.99861</v>
      </c>
      <c r="B1191" s="1">
        <f>IFERROR(__xludf.DUMMYFUNCTION("""COMPUTED_VALUE"""),1876.33504)</f>
        <v>1876.33504</v>
      </c>
    </row>
    <row r="1192">
      <c r="A1192" s="3">
        <f>IFERROR(__xludf.DUMMYFUNCTION("""COMPUTED_VALUE"""),41556.99861111111)</f>
        <v>41556.99861</v>
      </c>
      <c r="B1192" s="1">
        <f>IFERROR(__xludf.DUMMYFUNCTION("""COMPUTED_VALUE"""),1878.9966)</f>
        <v>1878.9966</v>
      </c>
    </row>
    <row r="1193">
      <c r="A1193" s="3">
        <f>IFERROR(__xludf.DUMMYFUNCTION("""COMPUTED_VALUE"""),41557.99861111111)</f>
        <v>41557.99861</v>
      </c>
      <c r="B1193" s="1">
        <f>IFERROR(__xludf.DUMMYFUNCTION("""COMPUTED_VALUE"""),1873.97124)</f>
        <v>1873.97124</v>
      </c>
    </row>
    <row r="1194">
      <c r="A1194" s="3">
        <f>IFERROR(__xludf.DUMMYFUNCTION("""COMPUTED_VALUE"""),41558.99861111111)</f>
        <v>41558.99861</v>
      </c>
      <c r="B1194" s="1">
        <f>IFERROR(__xludf.DUMMYFUNCTION("""COMPUTED_VALUE"""),1852.6158)</f>
        <v>1852.6158</v>
      </c>
    </row>
    <row r="1195">
      <c r="A1195" s="3">
        <f>IFERROR(__xludf.DUMMYFUNCTION("""COMPUTED_VALUE"""),41559.99861111111)</f>
        <v>41559.99861</v>
      </c>
      <c r="B1195" s="1">
        <f>IFERROR(__xludf.DUMMYFUNCTION("""COMPUTED_VALUE"""),1852.5024)</f>
        <v>1852.5024</v>
      </c>
    </row>
    <row r="1196">
      <c r="A1196" s="3">
        <f>IFERROR(__xludf.DUMMYFUNCTION("""COMPUTED_VALUE"""),41560.99861111111)</f>
        <v>41560.99861</v>
      </c>
      <c r="B1196" s="1">
        <f>IFERROR(__xludf.DUMMYFUNCTION("""COMPUTED_VALUE"""),1854.657)</f>
        <v>1854.657</v>
      </c>
    </row>
    <row r="1197">
      <c r="A1197" s="3">
        <f>IFERROR(__xludf.DUMMYFUNCTION("""COMPUTED_VALUE"""),41561.99861111111)</f>
        <v>41561.99861</v>
      </c>
      <c r="B1197" s="1">
        <f>IFERROR(__xludf.DUMMYFUNCTION("""COMPUTED_VALUE"""),1855.98027)</f>
        <v>1855.98027</v>
      </c>
    </row>
    <row r="1198">
      <c r="A1198" s="3">
        <f>IFERROR(__xludf.DUMMYFUNCTION("""COMPUTED_VALUE"""),41562.99861111111)</f>
        <v>41562.99861</v>
      </c>
      <c r="B1198" s="1">
        <f>IFERROR(__xludf.DUMMYFUNCTION("""COMPUTED_VALUE"""),1857.56745)</f>
        <v>1857.56745</v>
      </c>
    </row>
    <row r="1199">
      <c r="A1199" s="3">
        <f>IFERROR(__xludf.DUMMYFUNCTION("""COMPUTED_VALUE"""),41563.99861111111)</f>
        <v>41563.99861</v>
      </c>
      <c r="B1199" s="1">
        <f>IFERROR(__xludf.DUMMYFUNCTION("""COMPUTED_VALUE"""),1858.08376)</f>
        <v>1858.08376</v>
      </c>
    </row>
    <row r="1200">
      <c r="A1200" s="3">
        <f>IFERROR(__xludf.DUMMYFUNCTION("""COMPUTED_VALUE"""),41564.99861111111)</f>
        <v>41564.99861</v>
      </c>
      <c r="B1200" s="1">
        <f>IFERROR(__xludf.DUMMYFUNCTION("""COMPUTED_VALUE"""),1853.30196)</f>
        <v>1853.30196</v>
      </c>
    </row>
    <row r="1201">
      <c r="A1201" s="3">
        <f>IFERROR(__xludf.DUMMYFUNCTION("""COMPUTED_VALUE"""),41565.99861111111)</f>
        <v>41565.99861</v>
      </c>
      <c r="B1201" s="1">
        <f>IFERROR(__xludf.DUMMYFUNCTION("""COMPUTED_VALUE"""),1852.872)</f>
        <v>1852.872</v>
      </c>
    </row>
    <row r="1202">
      <c r="A1202" s="3">
        <f>IFERROR(__xludf.DUMMYFUNCTION("""COMPUTED_VALUE"""),41566.99861111111)</f>
        <v>41566.99861</v>
      </c>
      <c r="B1202" s="1">
        <f>IFERROR(__xludf.DUMMYFUNCTION("""COMPUTED_VALUE"""),1852.53306)</f>
        <v>1852.53306</v>
      </c>
    </row>
    <row r="1203">
      <c r="A1203" s="3">
        <f>IFERROR(__xludf.DUMMYFUNCTION("""COMPUTED_VALUE"""),41567.99861111111)</f>
        <v>41567.99861</v>
      </c>
      <c r="B1203" s="1">
        <f>IFERROR(__xludf.DUMMYFUNCTION("""COMPUTED_VALUE"""),1852.98498)</f>
        <v>1852.98498</v>
      </c>
    </row>
    <row r="1204">
      <c r="A1204" s="3">
        <f>IFERROR(__xludf.DUMMYFUNCTION("""COMPUTED_VALUE"""),41568.99861111111)</f>
        <v>41568.99861</v>
      </c>
      <c r="B1204" s="1">
        <f>IFERROR(__xludf.DUMMYFUNCTION("""COMPUTED_VALUE"""),1855.98204)</f>
        <v>1855.98204</v>
      </c>
    </row>
    <row r="1205">
      <c r="A1205" s="3">
        <f>IFERROR(__xludf.DUMMYFUNCTION("""COMPUTED_VALUE"""),41569.99861111111)</f>
        <v>41569.99861</v>
      </c>
      <c r="B1205" s="1">
        <f>IFERROR(__xludf.DUMMYFUNCTION("""COMPUTED_VALUE"""),1848.64768)</f>
        <v>1848.64768</v>
      </c>
    </row>
    <row r="1206">
      <c r="A1206" s="3">
        <f>IFERROR(__xludf.DUMMYFUNCTION("""COMPUTED_VALUE"""),41570.99861111111)</f>
        <v>41570.99861</v>
      </c>
      <c r="B1206" s="1">
        <f>IFERROR(__xludf.DUMMYFUNCTION("""COMPUTED_VALUE"""),1848.17628)</f>
        <v>1848.17628</v>
      </c>
    </row>
    <row r="1207">
      <c r="A1207" s="3">
        <f>IFERROR(__xludf.DUMMYFUNCTION("""COMPUTED_VALUE"""),41571.99861111111)</f>
        <v>41571.99861</v>
      </c>
      <c r="B1207" s="1">
        <f>IFERROR(__xludf.DUMMYFUNCTION("""COMPUTED_VALUE"""),1829.66576)</f>
        <v>1829.66576</v>
      </c>
    </row>
    <row r="1208">
      <c r="A1208" s="3">
        <f>IFERROR(__xludf.DUMMYFUNCTION("""COMPUTED_VALUE"""),41572.99861111111)</f>
        <v>41572.99861</v>
      </c>
      <c r="B1208" s="1">
        <f>IFERROR(__xludf.DUMMYFUNCTION("""COMPUTED_VALUE"""),1806.756)</f>
        <v>1806.756</v>
      </c>
    </row>
    <row r="1209">
      <c r="A1209" s="3">
        <f>IFERROR(__xludf.DUMMYFUNCTION("""COMPUTED_VALUE"""),41573.99861111111)</f>
        <v>41573.99861</v>
      </c>
      <c r="B1209" s="1">
        <f>IFERROR(__xludf.DUMMYFUNCTION("""COMPUTED_VALUE"""),1805.9867)</f>
        <v>1805.9867</v>
      </c>
    </row>
    <row r="1210">
      <c r="A1210" s="3">
        <f>IFERROR(__xludf.DUMMYFUNCTION("""COMPUTED_VALUE"""),41574.99861111111)</f>
        <v>41574.99861</v>
      </c>
      <c r="B1210" s="1">
        <f>IFERROR(__xludf.DUMMYFUNCTION("""COMPUTED_VALUE"""),1806.8659)</f>
        <v>1806.8659</v>
      </c>
    </row>
    <row r="1211">
      <c r="A1211" s="3">
        <f>IFERROR(__xludf.DUMMYFUNCTION("""COMPUTED_VALUE"""),41575.99861111111)</f>
        <v>41575.99861</v>
      </c>
      <c r="B1211" s="1">
        <f>IFERROR(__xludf.DUMMYFUNCTION("""COMPUTED_VALUE"""),1811.73825)</f>
        <v>1811.73825</v>
      </c>
    </row>
    <row r="1212">
      <c r="A1212" s="3">
        <f>IFERROR(__xludf.DUMMYFUNCTION("""COMPUTED_VALUE"""),41576.99861111111)</f>
        <v>41576.99861</v>
      </c>
      <c r="B1212" s="1">
        <f>IFERROR(__xludf.DUMMYFUNCTION("""COMPUTED_VALUE"""),1817.629)</f>
        <v>1817.629</v>
      </c>
    </row>
    <row r="1213">
      <c r="A1213" s="3">
        <f>IFERROR(__xludf.DUMMYFUNCTION("""COMPUTED_VALUE"""),41577.99861111111)</f>
        <v>41577.99861</v>
      </c>
      <c r="B1213" s="1">
        <f>IFERROR(__xludf.DUMMYFUNCTION("""COMPUTED_VALUE"""),1829.2227)</f>
        <v>1829.2227</v>
      </c>
    </row>
    <row r="1214">
      <c r="A1214" s="3">
        <f>IFERROR(__xludf.DUMMYFUNCTION("""COMPUTED_VALUE"""),41578.99861111111)</f>
        <v>41578.99861</v>
      </c>
      <c r="B1214" s="1">
        <f>IFERROR(__xludf.DUMMYFUNCTION("""COMPUTED_VALUE"""),1844.6298)</f>
        <v>1844.6298</v>
      </c>
    </row>
    <row r="1215">
      <c r="A1215" s="3">
        <f>IFERROR(__xludf.DUMMYFUNCTION("""COMPUTED_VALUE"""),41579.99861111111)</f>
        <v>41579.99861</v>
      </c>
      <c r="B1215" s="1">
        <f>IFERROR(__xludf.DUMMYFUNCTION("""COMPUTED_VALUE"""),1853.83352)</f>
        <v>1853.83352</v>
      </c>
    </row>
    <row r="1216">
      <c r="A1216" s="3">
        <f>IFERROR(__xludf.DUMMYFUNCTION("""COMPUTED_VALUE"""),41580.99861111111)</f>
        <v>41580.99861</v>
      </c>
      <c r="B1216" s="1">
        <f>IFERROR(__xludf.DUMMYFUNCTION("""COMPUTED_VALUE"""),1853.83352)</f>
        <v>1853.83352</v>
      </c>
    </row>
    <row r="1217">
      <c r="A1217" s="3">
        <f>IFERROR(__xludf.DUMMYFUNCTION("""COMPUTED_VALUE"""),41581.99861111111)</f>
        <v>41581.99861</v>
      </c>
      <c r="B1217" s="1">
        <f>IFERROR(__xludf.DUMMYFUNCTION("""COMPUTED_VALUE"""),1860.112594)</f>
        <v>1860.112594</v>
      </c>
    </row>
    <row r="1218">
      <c r="A1218" s="3">
        <f>IFERROR(__xludf.DUMMYFUNCTION("""COMPUTED_VALUE"""),41582.99861111111)</f>
        <v>41582.99861</v>
      </c>
      <c r="B1218" s="1">
        <f>IFERROR(__xludf.DUMMYFUNCTION("""COMPUTED_VALUE"""),1857.96781)</f>
        <v>1857.96781</v>
      </c>
    </row>
    <row r="1219">
      <c r="A1219" s="3">
        <f>IFERROR(__xludf.DUMMYFUNCTION("""COMPUTED_VALUE"""),41583.99861111111)</f>
        <v>41583.99861</v>
      </c>
      <c r="B1219" s="1">
        <f>IFERROR(__xludf.DUMMYFUNCTION("""COMPUTED_VALUE"""),1858.0067)</f>
        <v>1858.0067</v>
      </c>
    </row>
    <row r="1220">
      <c r="A1220" s="3">
        <f>IFERROR(__xludf.DUMMYFUNCTION("""COMPUTED_VALUE"""),41584.99861111111)</f>
        <v>41584.99861</v>
      </c>
      <c r="B1220" s="1">
        <f>IFERROR(__xludf.DUMMYFUNCTION("""COMPUTED_VALUE"""),1867.6856)</f>
        <v>1867.6856</v>
      </c>
    </row>
    <row r="1221">
      <c r="A1221" s="3">
        <f>IFERROR(__xludf.DUMMYFUNCTION("""COMPUTED_VALUE"""),41585.99861111111)</f>
        <v>41585.99861</v>
      </c>
      <c r="B1221" s="1">
        <f>IFERROR(__xludf.DUMMYFUNCTION("""COMPUTED_VALUE"""),1864.84506)</f>
        <v>1864.84506</v>
      </c>
    </row>
    <row r="1222">
      <c r="A1222" s="3">
        <f>IFERROR(__xludf.DUMMYFUNCTION("""COMPUTED_VALUE"""),41586.99861111111)</f>
        <v>41586.99861</v>
      </c>
      <c r="B1222" s="1">
        <f>IFERROR(__xludf.DUMMYFUNCTION("""COMPUTED_VALUE"""),1869.37968)</f>
        <v>1869.37968</v>
      </c>
    </row>
    <row r="1223">
      <c r="A1223" s="3">
        <f>IFERROR(__xludf.DUMMYFUNCTION("""COMPUTED_VALUE"""),41587.99861111111)</f>
        <v>41587.99861</v>
      </c>
      <c r="B1223" s="1">
        <f>IFERROR(__xludf.DUMMYFUNCTION("""COMPUTED_VALUE"""),1879.174953)</f>
        <v>1879.174953</v>
      </c>
    </row>
    <row r="1224">
      <c r="A1224" s="3">
        <f>IFERROR(__xludf.DUMMYFUNCTION("""COMPUTED_VALUE"""),41588.99861111111)</f>
        <v>41588.99861</v>
      </c>
      <c r="B1224" s="1">
        <f>IFERROR(__xludf.DUMMYFUNCTION("""COMPUTED_VALUE"""),1858.07691)</f>
        <v>1858.07691</v>
      </c>
    </row>
    <row r="1225">
      <c r="A1225" s="3">
        <f>IFERROR(__xludf.DUMMYFUNCTION("""COMPUTED_VALUE"""),41589.99861111111)</f>
        <v>41589.99861</v>
      </c>
      <c r="B1225" s="1">
        <f>IFERROR(__xludf.DUMMYFUNCTION("""COMPUTED_VALUE"""),1892.86248)</f>
        <v>1892.86248</v>
      </c>
    </row>
    <row r="1226">
      <c r="A1226" s="3">
        <f>IFERROR(__xludf.DUMMYFUNCTION("""COMPUTED_VALUE"""),41590.99861111111)</f>
        <v>41590.99861</v>
      </c>
      <c r="B1226" s="1">
        <f>IFERROR(__xludf.DUMMYFUNCTION("""COMPUTED_VALUE"""),1898.0478)</f>
        <v>1898.0478</v>
      </c>
    </row>
    <row r="1227">
      <c r="A1227" s="3">
        <f>IFERROR(__xludf.DUMMYFUNCTION("""COMPUTED_VALUE"""),41591.99861111111)</f>
        <v>41591.99861</v>
      </c>
      <c r="B1227" s="1">
        <f>IFERROR(__xludf.DUMMYFUNCTION("""COMPUTED_VALUE"""),1898.74377)</f>
        <v>1898.74377</v>
      </c>
    </row>
    <row r="1228">
      <c r="A1228" s="3">
        <f>IFERROR(__xludf.DUMMYFUNCTION("""COMPUTED_VALUE"""),41592.99861111111)</f>
        <v>41592.99861</v>
      </c>
      <c r="B1228" s="1">
        <f>IFERROR(__xludf.DUMMYFUNCTION("""COMPUTED_VALUE"""),1889.4474)</f>
        <v>1889.4474</v>
      </c>
    </row>
    <row r="1229">
      <c r="A1229" s="3">
        <f>IFERROR(__xludf.DUMMYFUNCTION("""COMPUTED_VALUE"""),41593.99861111111)</f>
        <v>41593.99861</v>
      </c>
      <c r="B1229" s="1">
        <f>IFERROR(__xludf.DUMMYFUNCTION("""COMPUTED_VALUE"""),1902.7395)</f>
        <v>1902.7395</v>
      </c>
    </row>
    <row r="1230">
      <c r="A1230" s="3">
        <f>IFERROR(__xludf.DUMMYFUNCTION("""COMPUTED_VALUE"""),41594.99861111111)</f>
        <v>41594.99861</v>
      </c>
      <c r="B1230" s="1">
        <f>IFERROR(__xludf.DUMMYFUNCTION("""COMPUTED_VALUE"""),1910.360304)</f>
        <v>1910.360304</v>
      </c>
    </row>
    <row r="1231">
      <c r="A1231" s="3">
        <f>IFERROR(__xludf.DUMMYFUNCTION("""COMPUTED_VALUE"""),41595.99861111111)</f>
        <v>41595.99861</v>
      </c>
      <c r="B1231" s="1">
        <f>IFERROR(__xludf.DUMMYFUNCTION("""COMPUTED_VALUE"""),1907.8413)</f>
        <v>1907.8413</v>
      </c>
    </row>
    <row r="1232">
      <c r="A1232" s="3">
        <f>IFERROR(__xludf.DUMMYFUNCTION("""COMPUTED_VALUE"""),41596.99861111111)</f>
        <v>41596.99861</v>
      </c>
      <c r="B1232" s="1">
        <f>IFERROR(__xludf.DUMMYFUNCTION("""COMPUTED_VALUE"""),1904.6126)</f>
        <v>1904.6126</v>
      </c>
    </row>
    <row r="1233">
      <c r="A1233" s="3">
        <f>IFERROR(__xludf.DUMMYFUNCTION("""COMPUTED_VALUE"""),41597.99861111111)</f>
        <v>41597.99861</v>
      </c>
      <c r="B1233" s="1">
        <f>IFERROR(__xludf.DUMMYFUNCTION("""COMPUTED_VALUE"""),1898.5213)</f>
        <v>1898.5213</v>
      </c>
    </row>
    <row r="1234">
      <c r="A1234" s="3">
        <f>IFERROR(__xludf.DUMMYFUNCTION("""COMPUTED_VALUE"""),41598.99861111111)</f>
        <v>41598.99861</v>
      </c>
      <c r="B1234" s="1">
        <f>IFERROR(__xludf.DUMMYFUNCTION("""COMPUTED_VALUE"""),1908.55148)</f>
        <v>1908.55148</v>
      </c>
    </row>
    <row r="1235">
      <c r="A1235" s="3">
        <f>IFERROR(__xludf.DUMMYFUNCTION("""COMPUTED_VALUE"""),41599.99861111111)</f>
        <v>41599.99861</v>
      </c>
      <c r="B1235" s="1">
        <f>IFERROR(__xludf.DUMMYFUNCTION("""COMPUTED_VALUE"""),1915.46992)</f>
        <v>1915.46992</v>
      </c>
    </row>
    <row r="1236">
      <c r="A1236" s="3">
        <f>IFERROR(__xludf.DUMMYFUNCTION("""COMPUTED_VALUE"""),41600.99861111111)</f>
        <v>41600.99861</v>
      </c>
      <c r="B1236" s="1">
        <f>IFERROR(__xludf.DUMMYFUNCTION("""COMPUTED_VALUE"""),1914.67137)</f>
        <v>1914.67137</v>
      </c>
    </row>
    <row r="1237">
      <c r="A1237" s="3">
        <f>IFERROR(__xludf.DUMMYFUNCTION("""COMPUTED_VALUE"""),41601.99861111111)</f>
        <v>41601.99861</v>
      </c>
      <c r="B1237" s="1">
        <f>IFERROR(__xludf.DUMMYFUNCTION("""COMPUTED_VALUE"""),1914.5547)</f>
        <v>1914.5547</v>
      </c>
    </row>
    <row r="1238">
      <c r="A1238" s="3">
        <f>IFERROR(__xludf.DUMMYFUNCTION("""COMPUTED_VALUE"""),41602.99861111111)</f>
        <v>41602.99861</v>
      </c>
      <c r="B1238" s="1">
        <f>IFERROR(__xludf.DUMMYFUNCTION("""COMPUTED_VALUE"""),1913.85468)</f>
        <v>1913.85468</v>
      </c>
    </row>
    <row r="1239">
      <c r="A1239" s="3">
        <f>IFERROR(__xludf.DUMMYFUNCTION("""COMPUTED_VALUE"""),41603.99861111111)</f>
        <v>41603.99861</v>
      </c>
      <c r="B1239" s="1">
        <f>IFERROR(__xludf.DUMMYFUNCTION("""COMPUTED_VALUE"""),1923.0879)</f>
        <v>1923.0879</v>
      </c>
    </row>
    <row r="1240">
      <c r="A1240" s="3">
        <f>IFERROR(__xludf.DUMMYFUNCTION("""COMPUTED_VALUE"""),41604.99861111111)</f>
        <v>41604.99861</v>
      </c>
      <c r="B1240" s="1">
        <f>IFERROR(__xludf.DUMMYFUNCTION("""COMPUTED_VALUE"""),1928.41)</f>
        <v>1928.41</v>
      </c>
    </row>
    <row r="1241">
      <c r="A1241" s="3">
        <f>IFERROR(__xludf.DUMMYFUNCTION("""COMPUTED_VALUE"""),41605.99861111111)</f>
        <v>41605.99861</v>
      </c>
      <c r="B1241" s="1">
        <f>IFERROR(__xludf.DUMMYFUNCTION("""COMPUTED_VALUE"""),1949.8644)</f>
        <v>1949.8644</v>
      </c>
    </row>
    <row r="1242">
      <c r="A1242" s="3">
        <f>IFERROR(__xludf.DUMMYFUNCTION("""COMPUTED_VALUE"""),41606.99861111111)</f>
        <v>41606.99861</v>
      </c>
      <c r="B1242" s="1">
        <f>IFERROR(__xludf.DUMMYFUNCTION("""COMPUTED_VALUE"""),1950.2208)</f>
        <v>1950.2208</v>
      </c>
    </row>
    <row r="1243">
      <c r="A1243" s="3">
        <f>IFERROR(__xludf.DUMMYFUNCTION("""COMPUTED_VALUE"""),41607.99861111111)</f>
        <v>41607.99861</v>
      </c>
      <c r="B1243" s="1">
        <f>IFERROR(__xludf.DUMMYFUNCTION("""COMPUTED_VALUE"""),1946.25354)</f>
        <v>1946.25354</v>
      </c>
    </row>
    <row r="1244">
      <c r="A1244" s="3">
        <f>IFERROR(__xludf.DUMMYFUNCTION("""COMPUTED_VALUE"""),41608.99861111111)</f>
        <v>41608.99861</v>
      </c>
      <c r="B1244" s="1">
        <f>IFERROR(__xludf.DUMMYFUNCTION("""COMPUTED_VALUE"""),1907.77875)</f>
        <v>1907.77875</v>
      </c>
    </row>
    <row r="1245">
      <c r="A1245" s="3">
        <f>IFERROR(__xludf.DUMMYFUNCTION("""COMPUTED_VALUE"""),41609.99861111111)</f>
        <v>41609.99861</v>
      </c>
      <c r="B1245" s="1">
        <f>IFERROR(__xludf.DUMMYFUNCTION("""COMPUTED_VALUE"""),1907.1975)</f>
        <v>1907.1975</v>
      </c>
    </row>
    <row r="1246">
      <c r="A1246" s="3">
        <f>IFERROR(__xludf.DUMMYFUNCTION("""COMPUTED_VALUE"""),41610.99861111111)</f>
        <v>41610.99861</v>
      </c>
      <c r="B1246" s="1">
        <f>IFERROR(__xludf.DUMMYFUNCTION("""COMPUTED_VALUE"""),1950.68505)</f>
        <v>1950.68505</v>
      </c>
    </row>
    <row r="1247">
      <c r="A1247" s="3">
        <f>IFERROR(__xludf.DUMMYFUNCTION("""COMPUTED_VALUE"""),41611.99861111111)</f>
        <v>41611.99861</v>
      </c>
      <c r="B1247" s="1">
        <f>IFERROR(__xludf.DUMMYFUNCTION("""COMPUTED_VALUE"""),1950.92275)</f>
        <v>1950.92275</v>
      </c>
    </row>
    <row r="1248">
      <c r="A1248" s="3">
        <f>IFERROR(__xludf.DUMMYFUNCTION("""COMPUTED_VALUE"""),41612.99861111111)</f>
        <v>41612.99861</v>
      </c>
      <c r="B1248" s="1">
        <f>IFERROR(__xludf.DUMMYFUNCTION("""COMPUTED_VALUE"""),1965.44324)</f>
        <v>1965.44324</v>
      </c>
    </row>
    <row r="1249">
      <c r="A1249" s="3">
        <f>IFERROR(__xludf.DUMMYFUNCTION("""COMPUTED_VALUE"""),41613.99861111111)</f>
        <v>41613.99861</v>
      </c>
      <c r="B1249" s="1">
        <f>IFERROR(__xludf.DUMMYFUNCTION("""COMPUTED_VALUE"""),1965.21725)</f>
        <v>1965.21725</v>
      </c>
    </row>
    <row r="1250">
      <c r="A1250" s="3">
        <f>IFERROR(__xludf.DUMMYFUNCTION("""COMPUTED_VALUE"""),41614.99861111111)</f>
        <v>41614.99861</v>
      </c>
      <c r="B1250" s="1">
        <f>IFERROR(__xludf.DUMMYFUNCTION("""COMPUTED_VALUE"""),1965.536)</f>
        <v>1965.536</v>
      </c>
    </row>
    <row r="1251">
      <c r="A1251" s="3">
        <f>IFERROR(__xludf.DUMMYFUNCTION("""COMPUTED_VALUE"""),41615.99861111111)</f>
        <v>41615.99861</v>
      </c>
      <c r="B1251" s="1">
        <f>IFERROR(__xludf.DUMMYFUNCTION("""COMPUTED_VALUE"""),1920.68066)</f>
        <v>1920.68066</v>
      </c>
    </row>
    <row r="1252">
      <c r="A1252" s="3">
        <f>IFERROR(__xludf.DUMMYFUNCTION("""COMPUTED_VALUE"""),41616.99861111111)</f>
        <v>41616.99861</v>
      </c>
      <c r="B1252" s="1">
        <f>IFERROR(__xludf.DUMMYFUNCTION("""COMPUTED_VALUE"""),1920.56388)</f>
        <v>1920.56388</v>
      </c>
    </row>
    <row r="1253">
      <c r="A1253" s="3">
        <f>IFERROR(__xludf.DUMMYFUNCTION("""COMPUTED_VALUE"""),41617.99861111111)</f>
        <v>41617.99861</v>
      </c>
      <c r="B1253" s="1">
        <f>IFERROR(__xludf.DUMMYFUNCTION("""COMPUTED_VALUE"""),1945.6011)</f>
        <v>1945.6011</v>
      </c>
    </row>
    <row r="1254">
      <c r="A1254" s="3">
        <f>IFERROR(__xludf.DUMMYFUNCTION("""COMPUTED_VALUE"""),41618.99861111111)</f>
        <v>41618.99861</v>
      </c>
      <c r="B1254" s="1">
        <f>IFERROR(__xludf.DUMMYFUNCTION("""COMPUTED_VALUE"""),1949.29648)</f>
        <v>1949.29648</v>
      </c>
    </row>
    <row r="1255">
      <c r="A1255" s="3">
        <f>IFERROR(__xludf.DUMMYFUNCTION("""COMPUTED_VALUE"""),41619.99861111111)</f>
        <v>41619.99861</v>
      </c>
      <c r="B1255" s="1">
        <f>IFERROR(__xludf.DUMMYFUNCTION("""COMPUTED_VALUE"""),1956.18782)</f>
        <v>1956.18782</v>
      </c>
    </row>
    <row r="1256">
      <c r="A1256" s="3">
        <f>IFERROR(__xludf.DUMMYFUNCTION("""COMPUTED_VALUE"""),41620.99861111111)</f>
        <v>41620.99861</v>
      </c>
      <c r="B1256" s="1">
        <f>IFERROR(__xludf.DUMMYFUNCTION("""COMPUTED_VALUE"""),1976.35529)</f>
        <v>1976.35529</v>
      </c>
    </row>
    <row r="1257">
      <c r="A1257" s="3">
        <f>IFERROR(__xludf.DUMMYFUNCTION("""COMPUTED_VALUE"""),41621.99861111111)</f>
        <v>41621.99861</v>
      </c>
      <c r="B1257" s="1">
        <f>IFERROR(__xludf.DUMMYFUNCTION("""COMPUTED_VALUE"""),1980.37063)</f>
        <v>1980.37063</v>
      </c>
    </row>
    <row r="1258">
      <c r="A1258" s="3">
        <f>IFERROR(__xludf.DUMMYFUNCTION("""COMPUTED_VALUE"""),41622.99861111111)</f>
        <v>41622.99861</v>
      </c>
      <c r="B1258" s="1">
        <f>IFERROR(__xludf.DUMMYFUNCTION("""COMPUTED_VALUE"""),1979.326796)</f>
        <v>1979.326796</v>
      </c>
    </row>
    <row r="1259">
      <c r="A1259" s="3">
        <f>IFERROR(__xludf.DUMMYFUNCTION("""COMPUTED_VALUE"""),41623.99861111111)</f>
        <v>41623.99861</v>
      </c>
      <c r="B1259" s="1">
        <f>IFERROR(__xludf.DUMMYFUNCTION("""COMPUTED_VALUE"""),1974.90312)</f>
        <v>1974.90312</v>
      </c>
    </row>
    <row r="1260">
      <c r="A1260" s="3">
        <f>IFERROR(__xludf.DUMMYFUNCTION("""COMPUTED_VALUE"""),41624.99861111111)</f>
        <v>41624.99861</v>
      </c>
      <c r="B1260" s="1">
        <f>IFERROR(__xludf.DUMMYFUNCTION("""COMPUTED_VALUE"""),1970.71008)</f>
        <v>1970.71008</v>
      </c>
    </row>
    <row r="1261">
      <c r="A1261" s="3">
        <f>IFERROR(__xludf.DUMMYFUNCTION("""COMPUTED_VALUE"""),41625.99861111111)</f>
        <v>41625.99861</v>
      </c>
      <c r="B1261" s="1">
        <f>IFERROR(__xludf.DUMMYFUNCTION("""COMPUTED_VALUE"""),1973.7648)</f>
        <v>1973.7648</v>
      </c>
    </row>
    <row r="1262">
      <c r="A1262" s="3">
        <f>IFERROR(__xludf.DUMMYFUNCTION("""COMPUTED_VALUE"""),41626.99861111111)</f>
        <v>41626.99861</v>
      </c>
      <c r="B1262" s="1">
        <f>IFERROR(__xludf.DUMMYFUNCTION("""COMPUTED_VALUE"""),1978.85688)</f>
        <v>1978.85688</v>
      </c>
    </row>
    <row r="1263">
      <c r="A1263" s="3">
        <f>IFERROR(__xludf.DUMMYFUNCTION("""COMPUTED_VALUE"""),41627.99861111111)</f>
        <v>41627.99861</v>
      </c>
      <c r="B1263" s="1">
        <f>IFERROR(__xludf.DUMMYFUNCTION("""COMPUTED_VALUE"""),1995.8346)</f>
        <v>1995.8346</v>
      </c>
    </row>
    <row r="1264">
      <c r="A1264" s="3">
        <f>IFERROR(__xludf.DUMMYFUNCTION("""COMPUTED_VALUE"""),41628.99861111111)</f>
        <v>41628.99861</v>
      </c>
      <c r="B1264" s="1">
        <f>IFERROR(__xludf.DUMMYFUNCTION("""COMPUTED_VALUE"""),2001.23451)</f>
        <v>2001.23451</v>
      </c>
    </row>
    <row r="1265">
      <c r="A1265" s="3">
        <f>IFERROR(__xludf.DUMMYFUNCTION("""COMPUTED_VALUE"""),41629.99861111111)</f>
        <v>41629.99861</v>
      </c>
      <c r="B1265" s="1">
        <f>IFERROR(__xludf.DUMMYFUNCTION("""COMPUTED_VALUE"""),2000.727675)</f>
        <v>2000.727675</v>
      </c>
    </row>
    <row r="1266">
      <c r="A1266" s="3">
        <f>IFERROR(__xludf.DUMMYFUNCTION("""COMPUTED_VALUE"""),41630.99861111111)</f>
        <v>41630.99861</v>
      </c>
      <c r="B1266" s="1">
        <f>IFERROR(__xludf.DUMMYFUNCTION("""COMPUTED_VALUE"""),2002.08522)</f>
        <v>2002.08522</v>
      </c>
    </row>
    <row r="1267">
      <c r="A1267" s="3">
        <f>IFERROR(__xludf.DUMMYFUNCTION("""COMPUTED_VALUE"""),41631.99861111111)</f>
        <v>41631.99861</v>
      </c>
      <c r="B1267" s="1">
        <f>IFERROR(__xludf.DUMMYFUNCTION("""COMPUTED_VALUE"""),2001.21825)</f>
        <v>2001.21825</v>
      </c>
    </row>
    <row r="1268">
      <c r="A1268" s="3">
        <f>IFERROR(__xludf.DUMMYFUNCTION("""COMPUTED_VALUE"""),41632.99861111111)</f>
        <v>41632.99861</v>
      </c>
      <c r="B1268" s="1">
        <f>IFERROR(__xludf.DUMMYFUNCTION("""COMPUTED_VALUE"""),2001.383)</f>
        <v>2001.383</v>
      </c>
    </row>
    <row r="1269">
      <c r="A1269" s="3">
        <f>IFERROR(__xludf.DUMMYFUNCTION("""COMPUTED_VALUE"""),41633.99861111111)</f>
        <v>41633.99861</v>
      </c>
      <c r="B1269" s="1">
        <f>IFERROR(__xludf.DUMMYFUNCTION("""COMPUTED_VALUE"""),1999.19636)</f>
        <v>1999.19636</v>
      </c>
    </row>
    <row r="1270">
      <c r="A1270" s="3">
        <f>IFERROR(__xludf.DUMMYFUNCTION("""COMPUTED_VALUE"""),41634.99861111111)</f>
        <v>41634.99861</v>
      </c>
      <c r="B1270" s="1">
        <f>IFERROR(__xludf.DUMMYFUNCTION("""COMPUTED_VALUE"""),2003.2052)</f>
        <v>2003.2052</v>
      </c>
    </row>
    <row r="1271">
      <c r="A1271" s="3">
        <f>IFERROR(__xludf.DUMMYFUNCTION("""COMPUTED_VALUE"""),41635.99861111111)</f>
        <v>41635.99861</v>
      </c>
      <c r="B1271" s="1">
        <f>IFERROR(__xludf.DUMMYFUNCTION("""COMPUTED_VALUE"""),2001.12302)</f>
        <v>2001.12302</v>
      </c>
    </row>
    <row r="1272">
      <c r="A1272" s="3">
        <f>IFERROR(__xludf.DUMMYFUNCTION("""COMPUTED_VALUE"""),41636.99861111111)</f>
        <v>41636.99861</v>
      </c>
      <c r="B1272" s="1">
        <f>IFERROR(__xludf.DUMMYFUNCTION("""COMPUTED_VALUE"""),2002.550274)</f>
        <v>2002.550274</v>
      </c>
    </row>
    <row r="1273">
      <c r="A1273" s="3">
        <f>IFERROR(__xludf.DUMMYFUNCTION("""COMPUTED_VALUE"""),41637.99861111111)</f>
        <v>41637.99861</v>
      </c>
      <c r="B1273" s="1">
        <f>IFERROR(__xludf.DUMMYFUNCTION("""COMPUTED_VALUE"""),2002.2158)</f>
        <v>2002.2158</v>
      </c>
    </row>
    <row r="1274">
      <c r="A1274" s="3">
        <f>IFERROR(__xludf.DUMMYFUNCTION("""COMPUTED_VALUE"""),41638.99861111111)</f>
        <v>41638.99861</v>
      </c>
      <c r="B1274" s="1">
        <f>IFERROR(__xludf.DUMMYFUNCTION("""COMPUTED_VALUE"""),2013.83168)</f>
        <v>2013.83168</v>
      </c>
    </row>
    <row r="1275">
      <c r="A1275" s="3">
        <f>IFERROR(__xludf.DUMMYFUNCTION("""COMPUTED_VALUE"""),41639.99861111111)</f>
        <v>41639.99861</v>
      </c>
      <c r="B1275" s="1">
        <f>IFERROR(__xludf.DUMMYFUNCTION("""COMPUTED_VALUE"""),2007.77212)</f>
        <v>2007.77212</v>
      </c>
    </row>
    <row r="1276">
      <c r="A1276" s="3">
        <f>IFERROR(__xludf.DUMMYFUNCTION("""COMPUTED_VALUE"""),41640.99861111111)</f>
        <v>41640.99861</v>
      </c>
      <c r="B1276" s="1">
        <f>IFERROR(__xludf.DUMMYFUNCTION("""COMPUTED_VALUE"""),2010.56846)</f>
        <v>2010.56846</v>
      </c>
    </row>
    <row r="1277">
      <c r="A1277" s="3">
        <f>IFERROR(__xludf.DUMMYFUNCTION("""COMPUTED_VALUE"""),41641.99861111111)</f>
        <v>41641.99861</v>
      </c>
      <c r="B1277" s="1">
        <f>IFERROR(__xludf.DUMMYFUNCTION("""COMPUTED_VALUE"""),2000.09754)</f>
        <v>2000.09754</v>
      </c>
    </row>
    <row r="1278">
      <c r="A1278" s="3">
        <f>IFERROR(__xludf.DUMMYFUNCTION("""COMPUTED_VALUE"""),41642.99861111111)</f>
        <v>41642.99861</v>
      </c>
      <c r="B1278" s="1">
        <f>IFERROR(__xludf.DUMMYFUNCTION("""COMPUTED_VALUE"""),2000.72592)</f>
        <v>2000.72592</v>
      </c>
    </row>
    <row r="1279">
      <c r="A1279" s="3">
        <f>IFERROR(__xludf.DUMMYFUNCTION("""COMPUTED_VALUE"""),41643.99861111111)</f>
        <v>41643.99861</v>
      </c>
      <c r="B1279" s="1">
        <f>IFERROR(__xludf.DUMMYFUNCTION("""COMPUTED_VALUE"""),2000.361951)</f>
        <v>2000.361951</v>
      </c>
    </row>
    <row r="1280">
      <c r="A1280" s="3">
        <f>IFERROR(__xludf.DUMMYFUNCTION("""COMPUTED_VALUE"""),41644.99861111111)</f>
        <v>41644.99861</v>
      </c>
      <c r="B1280" s="1">
        <f>IFERROR(__xludf.DUMMYFUNCTION("""COMPUTED_VALUE"""),2002.35584)</f>
        <v>2002.35584</v>
      </c>
    </row>
    <row r="1281">
      <c r="A1281" s="3">
        <f>IFERROR(__xludf.DUMMYFUNCTION("""COMPUTED_VALUE"""),41645.99861111111)</f>
        <v>41645.99861</v>
      </c>
      <c r="B1281" s="1">
        <f>IFERROR(__xludf.DUMMYFUNCTION("""COMPUTED_VALUE"""),2004.61426)</f>
        <v>2004.61426</v>
      </c>
    </row>
    <row r="1282">
      <c r="A1282" s="3">
        <f>IFERROR(__xludf.DUMMYFUNCTION("""COMPUTED_VALUE"""),41646.99861111111)</f>
        <v>41646.99861</v>
      </c>
      <c r="B1282" s="1">
        <f>IFERROR(__xludf.DUMMYFUNCTION("""COMPUTED_VALUE"""),1993.3793)</f>
        <v>1993.3793</v>
      </c>
    </row>
    <row r="1283">
      <c r="A1283" s="3">
        <f>IFERROR(__xludf.DUMMYFUNCTION("""COMPUTED_VALUE"""),41647.99861111111)</f>
        <v>41647.99861</v>
      </c>
      <c r="B1283" s="1">
        <f>IFERROR(__xludf.DUMMYFUNCTION("""COMPUTED_VALUE"""),1994.99963)</f>
        <v>1994.99963</v>
      </c>
    </row>
    <row r="1284">
      <c r="A1284" s="3">
        <f>IFERROR(__xludf.DUMMYFUNCTION("""COMPUTED_VALUE"""),41648.99861111111)</f>
        <v>41648.99861</v>
      </c>
      <c r="B1284" s="1">
        <f>IFERROR(__xludf.DUMMYFUNCTION("""COMPUTED_VALUE"""),1987.80672)</f>
        <v>1987.80672</v>
      </c>
    </row>
    <row r="1285">
      <c r="A1285" s="3">
        <f>IFERROR(__xludf.DUMMYFUNCTION("""COMPUTED_VALUE"""),41649.99861111111)</f>
        <v>41649.99861</v>
      </c>
      <c r="B1285" s="1">
        <f>IFERROR(__xludf.DUMMYFUNCTION("""COMPUTED_VALUE"""),1954.62544)</f>
        <v>1954.62544</v>
      </c>
    </row>
    <row r="1286">
      <c r="A1286" s="3">
        <f>IFERROR(__xludf.DUMMYFUNCTION("""COMPUTED_VALUE"""),41650.99861111111)</f>
        <v>41650.99861</v>
      </c>
      <c r="B1286" s="1">
        <f>IFERROR(__xludf.DUMMYFUNCTION("""COMPUTED_VALUE"""),1953.782345)</f>
        <v>1953.782345</v>
      </c>
    </row>
    <row r="1287">
      <c r="A1287" s="3">
        <f>IFERROR(__xludf.DUMMYFUNCTION("""COMPUTED_VALUE"""),41651.99861111111)</f>
        <v>41651.99861</v>
      </c>
      <c r="B1287" s="1">
        <f>IFERROR(__xludf.DUMMYFUNCTION("""COMPUTED_VALUE"""),1986.89078)</f>
        <v>1986.89078</v>
      </c>
    </row>
    <row r="1288">
      <c r="A1288" s="3">
        <f>IFERROR(__xludf.DUMMYFUNCTION("""COMPUTED_VALUE"""),41652.99861111111)</f>
        <v>41652.99861</v>
      </c>
      <c r="B1288" s="1">
        <f>IFERROR(__xludf.DUMMYFUNCTION("""COMPUTED_VALUE"""),1954.41352)</f>
        <v>1954.41352</v>
      </c>
    </row>
    <row r="1289">
      <c r="A1289" s="3">
        <f>IFERROR(__xludf.DUMMYFUNCTION("""COMPUTED_VALUE"""),41653.99861111111)</f>
        <v>41653.99861</v>
      </c>
      <c r="B1289" s="1">
        <f>IFERROR(__xludf.DUMMYFUNCTION("""COMPUTED_VALUE"""),1953.53754)</f>
        <v>1953.53754</v>
      </c>
    </row>
    <row r="1290">
      <c r="A1290" s="3">
        <f>IFERROR(__xludf.DUMMYFUNCTION("""COMPUTED_VALUE"""),41654.99861111111)</f>
        <v>41654.99861</v>
      </c>
      <c r="B1290" s="1">
        <f>IFERROR(__xludf.DUMMYFUNCTION("""COMPUTED_VALUE"""),1954.69528)</f>
        <v>1954.69528</v>
      </c>
    </row>
    <row r="1291">
      <c r="A1291" s="3">
        <f>IFERROR(__xludf.DUMMYFUNCTION("""COMPUTED_VALUE"""),41655.99861111111)</f>
        <v>41655.99861</v>
      </c>
      <c r="B1291" s="1">
        <f>IFERROR(__xludf.DUMMYFUNCTION("""COMPUTED_VALUE"""),1961.29536)</f>
        <v>1961.29536</v>
      </c>
    </row>
    <row r="1292">
      <c r="A1292" s="3">
        <f>IFERROR(__xludf.DUMMYFUNCTION("""COMPUTED_VALUE"""),41656.99861111111)</f>
        <v>41656.99861</v>
      </c>
      <c r="B1292" s="1">
        <f>IFERROR(__xludf.DUMMYFUNCTION("""COMPUTED_VALUE"""),1960.36456)</f>
        <v>1960.36456</v>
      </c>
    </row>
    <row r="1293">
      <c r="A1293" s="3">
        <f>IFERROR(__xludf.DUMMYFUNCTION("""COMPUTED_VALUE"""),41657.99861111111)</f>
        <v>41657.99861</v>
      </c>
      <c r="B1293" s="1">
        <f>IFERROR(__xludf.DUMMYFUNCTION("""COMPUTED_VALUE"""),1960.853067)</f>
        <v>1960.853067</v>
      </c>
    </row>
    <row r="1294">
      <c r="A1294" s="3">
        <f>IFERROR(__xludf.DUMMYFUNCTION("""COMPUTED_VALUE"""),41658.99861111111)</f>
        <v>41658.99861</v>
      </c>
      <c r="B1294" s="1">
        <f>IFERROR(__xludf.DUMMYFUNCTION("""COMPUTED_VALUE"""),1949.4552)</f>
        <v>1949.4552</v>
      </c>
    </row>
    <row r="1295">
      <c r="A1295" s="3">
        <f>IFERROR(__xludf.DUMMYFUNCTION("""COMPUTED_VALUE"""),41659.99861111111)</f>
        <v>41659.99861</v>
      </c>
      <c r="B1295" s="1">
        <f>IFERROR(__xludf.DUMMYFUNCTION("""COMPUTED_VALUE"""),1965.62234)</f>
        <v>1965.62234</v>
      </c>
    </row>
    <row r="1296">
      <c r="A1296" s="3">
        <f>IFERROR(__xludf.DUMMYFUNCTION("""COMPUTED_VALUE"""),41660.99861111111)</f>
        <v>41660.99861</v>
      </c>
      <c r="B1296" s="1">
        <f>IFERROR(__xludf.DUMMYFUNCTION("""COMPUTED_VALUE"""),1993.00426)</f>
        <v>1993.00426</v>
      </c>
    </row>
    <row r="1297">
      <c r="A1297" s="3">
        <f>IFERROR(__xludf.DUMMYFUNCTION("""COMPUTED_VALUE"""),41661.99861111111)</f>
        <v>41661.99861</v>
      </c>
      <c r="B1297" s="1">
        <f>IFERROR(__xludf.DUMMYFUNCTION("""COMPUTED_VALUE"""),1990.74936)</f>
        <v>1990.74936</v>
      </c>
    </row>
    <row r="1298">
      <c r="A1298" s="3">
        <f>IFERROR(__xludf.DUMMYFUNCTION("""COMPUTED_VALUE"""),41662.99861111111)</f>
        <v>41662.99861</v>
      </c>
      <c r="B1298" s="1">
        <f>IFERROR(__xludf.DUMMYFUNCTION("""COMPUTED_VALUE"""),1997.88453)</f>
        <v>1997.88453</v>
      </c>
    </row>
    <row r="1299">
      <c r="A1299" s="3">
        <f>IFERROR(__xludf.DUMMYFUNCTION("""COMPUTED_VALUE"""),41663.99861111111)</f>
        <v>41663.99861</v>
      </c>
      <c r="B1299" s="1">
        <f>IFERROR(__xludf.DUMMYFUNCTION("""COMPUTED_VALUE"""),2004.71437)</f>
        <v>2004.71437</v>
      </c>
    </row>
    <row r="1300">
      <c r="A1300" s="3">
        <f>IFERROR(__xludf.DUMMYFUNCTION("""COMPUTED_VALUE"""),41664.99861111111)</f>
        <v>41664.99861</v>
      </c>
      <c r="B1300" s="1">
        <f>IFERROR(__xludf.DUMMYFUNCTION("""COMPUTED_VALUE"""),1999.999616)</f>
        <v>1999.999616</v>
      </c>
    </row>
    <row r="1301">
      <c r="A1301" s="3">
        <f>IFERROR(__xludf.DUMMYFUNCTION("""COMPUTED_VALUE"""),41665.99861111111)</f>
        <v>41665.99861</v>
      </c>
      <c r="B1301" s="1">
        <f>IFERROR(__xludf.DUMMYFUNCTION("""COMPUTED_VALUE"""),2006.53342)</f>
        <v>2006.53342</v>
      </c>
    </row>
    <row r="1302">
      <c r="A1302" s="3">
        <f>IFERROR(__xludf.DUMMYFUNCTION("""COMPUTED_VALUE"""),41666.99861111111)</f>
        <v>41666.99861</v>
      </c>
      <c r="B1302" s="1">
        <f>IFERROR(__xludf.DUMMYFUNCTION("""COMPUTED_VALUE"""),2017.01789)</f>
        <v>2017.01789</v>
      </c>
    </row>
    <row r="1303">
      <c r="A1303" s="3">
        <f>IFERROR(__xludf.DUMMYFUNCTION("""COMPUTED_VALUE"""),41667.99861111111)</f>
        <v>41667.99861</v>
      </c>
      <c r="B1303" s="1">
        <f>IFERROR(__xludf.DUMMYFUNCTION("""COMPUTED_VALUE"""),1998.24732)</f>
        <v>1998.24732</v>
      </c>
    </row>
    <row r="1304">
      <c r="A1304" s="3">
        <f>IFERROR(__xludf.DUMMYFUNCTION("""COMPUTED_VALUE"""),41668.99861111111)</f>
        <v>41668.99861</v>
      </c>
      <c r="B1304" s="1">
        <f>IFERROR(__xludf.DUMMYFUNCTION("""COMPUTED_VALUE"""),1995.5637)</f>
        <v>1995.5637</v>
      </c>
    </row>
    <row r="1305">
      <c r="A1305" s="3">
        <f>IFERROR(__xludf.DUMMYFUNCTION("""COMPUTED_VALUE"""),41669.99861111111)</f>
        <v>41669.99861</v>
      </c>
      <c r="B1305" s="1">
        <f>IFERROR(__xludf.DUMMYFUNCTION("""COMPUTED_VALUE"""),2003.47357)</f>
        <v>2003.47357</v>
      </c>
    </row>
    <row r="1306">
      <c r="A1306" s="3">
        <f>IFERROR(__xludf.DUMMYFUNCTION("""COMPUTED_VALUE"""),41670.99861111111)</f>
        <v>41670.99861</v>
      </c>
      <c r="B1306" s="1">
        <f>IFERROR(__xludf.DUMMYFUNCTION("""COMPUTED_VALUE"""),2004.3855)</f>
        <v>2004.3855</v>
      </c>
    </row>
    <row r="1307">
      <c r="A1307" s="3">
        <f>IFERROR(__xludf.DUMMYFUNCTION("""COMPUTED_VALUE"""),41671.99861111111)</f>
        <v>41671.99861</v>
      </c>
      <c r="B1307" s="1">
        <f>IFERROR(__xludf.DUMMYFUNCTION("""COMPUTED_VALUE"""),2018.878095)</f>
        <v>2018.878095</v>
      </c>
    </row>
    <row r="1308">
      <c r="A1308" s="3">
        <f>IFERROR(__xludf.DUMMYFUNCTION("""COMPUTED_VALUE"""),41672.99861111111)</f>
        <v>41672.99861</v>
      </c>
      <c r="B1308" s="1">
        <f>IFERROR(__xludf.DUMMYFUNCTION("""COMPUTED_VALUE"""),1995.1515)</f>
        <v>1995.1515</v>
      </c>
    </row>
    <row r="1309">
      <c r="A1309" s="3">
        <f>IFERROR(__xludf.DUMMYFUNCTION("""COMPUTED_VALUE"""),41673.99861111111)</f>
        <v>41673.99861</v>
      </c>
      <c r="B1309" s="1">
        <f>IFERROR(__xludf.DUMMYFUNCTION("""COMPUTED_VALUE"""),1995.22407)</f>
        <v>1995.22407</v>
      </c>
    </row>
    <row r="1310">
      <c r="A1310" s="3">
        <f>IFERROR(__xludf.DUMMYFUNCTION("""COMPUTED_VALUE"""),41674.99861111111)</f>
        <v>41674.99861</v>
      </c>
      <c r="B1310" s="1">
        <f>IFERROR(__xludf.DUMMYFUNCTION("""COMPUTED_VALUE"""),1976.38576)</f>
        <v>1976.38576</v>
      </c>
    </row>
    <row r="1311">
      <c r="A1311" s="3">
        <f>IFERROR(__xludf.DUMMYFUNCTION("""COMPUTED_VALUE"""),41675.99861111111)</f>
        <v>41675.99861</v>
      </c>
      <c r="B1311" s="1">
        <f>IFERROR(__xludf.DUMMYFUNCTION("""COMPUTED_VALUE"""),1982.9394)</f>
        <v>1982.9394</v>
      </c>
    </row>
    <row r="1312">
      <c r="A1312" s="3">
        <f>IFERROR(__xludf.DUMMYFUNCTION("""COMPUTED_VALUE"""),41676.99861111111)</f>
        <v>41676.99861</v>
      </c>
      <c r="B1312" s="1">
        <f>IFERROR(__xludf.DUMMYFUNCTION("""COMPUTED_VALUE"""),1969.9806)</f>
        <v>1969.9806</v>
      </c>
    </row>
    <row r="1313">
      <c r="A1313" s="3">
        <f>IFERROR(__xludf.DUMMYFUNCTION("""COMPUTED_VALUE"""),41677.99861111111)</f>
        <v>41677.99861</v>
      </c>
      <c r="B1313" s="1">
        <f>IFERROR(__xludf.DUMMYFUNCTION("""COMPUTED_VALUE"""),1978.60487)</f>
        <v>1978.60487</v>
      </c>
    </row>
    <row r="1314">
      <c r="A1314" s="3">
        <f>IFERROR(__xludf.DUMMYFUNCTION("""COMPUTED_VALUE"""),41678.99861111111)</f>
        <v>41678.99861</v>
      </c>
      <c r="B1314" s="1">
        <f>IFERROR(__xludf.DUMMYFUNCTION("""COMPUTED_VALUE"""),1971.995066)</f>
        <v>1971.995066</v>
      </c>
    </row>
    <row r="1315">
      <c r="A1315" s="3">
        <f>IFERROR(__xludf.DUMMYFUNCTION("""COMPUTED_VALUE"""),41679.99861111111)</f>
        <v>41679.99861</v>
      </c>
      <c r="B1315" s="1">
        <f>IFERROR(__xludf.DUMMYFUNCTION("""COMPUTED_VALUE"""),1976.80472)</f>
        <v>1976.80472</v>
      </c>
    </row>
    <row r="1316">
      <c r="A1316" s="3">
        <f>IFERROR(__xludf.DUMMYFUNCTION("""COMPUTED_VALUE"""),41680.99861111111)</f>
        <v>41680.99861</v>
      </c>
      <c r="B1316" s="1">
        <f>IFERROR(__xludf.DUMMYFUNCTION("""COMPUTED_VALUE"""),1984.41026)</f>
        <v>1984.41026</v>
      </c>
    </row>
    <row r="1317">
      <c r="A1317" s="3">
        <f>IFERROR(__xludf.DUMMYFUNCTION("""COMPUTED_VALUE"""),41681.99861111111)</f>
        <v>41681.99861</v>
      </c>
      <c r="B1317" s="1">
        <f>IFERROR(__xludf.DUMMYFUNCTION("""COMPUTED_VALUE"""),1977.9903)</f>
        <v>1977.9903</v>
      </c>
    </row>
    <row r="1318">
      <c r="A1318" s="3">
        <f>IFERROR(__xludf.DUMMYFUNCTION("""COMPUTED_VALUE"""),41682.99861111111)</f>
        <v>41682.99861</v>
      </c>
      <c r="B1318" s="1">
        <f>IFERROR(__xludf.DUMMYFUNCTION("""COMPUTED_VALUE"""),1968.25707)</f>
        <v>1968.25707</v>
      </c>
    </row>
    <row r="1319">
      <c r="A1319" s="3">
        <f>IFERROR(__xludf.DUMMYFUNCTION("""COMPUTED_VALUE"""),41683.99861111111)</f>
        <v>41683.99861</v>
      </c>
      <c r="B1319" s="1">
        <f>IFERROR(__xludf.DUMMYFUNCTION("""COMPUTED_VALUE"""),1958.47116)</f>
        <v>1958.47116</v>
      </c>
    </row>
    <row r="1320">
      <c r="A1320" s="3">
        <f>IFERROR(__xludf.DUMMYFUNCTION("""COMPUTED_VALUE"""),41684.99861111111)</f>
        <v>41684.99861</v>
      </c>
      <c r="B1320" s="1">
        <f>IFERROR(__xludf.DUMMYFUNCTION("""COMPUTED_VALUE"""),1912.43668)</f>
        <v>1912.43668</v>
      </c>
    </row>
    <row r="1321">
      <c r="A1321" s="3">
        <f>IFERROR(__xludf.DUMMYFUNCTION("""COMPUTED_VALUE"""),41685.99861111111)</f>
        <v>41685.99861</v>
      </c>
      <c r="B1321" s="1">
        <f>IFERROR(__xludf.DUMMYFUNCTION("""COMPUTED_VALUE"""),1916.045362)</f>
        <v>1916.045362</v>
      </c>
    </row>
    <row r="1322">
      <c r="A1322" s="3">
        <f>IFERROR(__xludf.DUMMYFUNCTION("""COMPUTED_VALUE"""),41686.99861111111)</f>
        <v>41686.99861</v>
      </c>
      <c r="B1322" s="1">
        <f>IFERROR(__xludf.DUMMYFUNCTION("""COMPUTED_VALUE"""),1926.55396)</f>
        <v>1926.55396</v>
      </c>
    </row>
    <row r="1323">
      <c r="A1323" s="3">
        <f>IFERROR(__xludf.DUMMYFUNCTION("""COMPUTED_VALUE"""),41687.99861111111)</f>
        <v>41687.99861</v>
      </c>
      <c r="B1323" s="1">
        <f>IFERROR(__xludf.DUMMYFUNCTION("""COMPUTED_VALUE"""),1917.83559)</f>
        <v>1917.83559</v>
      </c>
    </row>
    <row r="1324">
      <c r="A1324" s="3">
        <f>IFERROR(__xludf.DUMMYFUNCTION("""COMPUTED_VALUE"""),41688.99861111111)</f>
        <v>41688.99861</v>
      </c>
      <c r="B1324" s="1">
        <f>IFERROR(__xludf.DUMMYFUNCTION("""COMPUTED_VALUE"""),1951.232)</f>
        <v>1951.232</v>
      </c>
    </row>
    <row r="1325">
      <c r="A1325" s="3">
        <f>IFERROR(__xludf.DUMMYFUNCTION("""COMPUTED_VALUE"""),41689.99861111111)</f>
        <v>41689.99861</v>
      </c>
      <c r="B1325" s="1">
        <f>IFERROR(__xludf.DUMMYFUNCTION("""COMPUTED_VALUE"""),1919.99621)</f>
        <v>1919.99621</v>
      </c>
    </row>
    <row r="1326">
      <c r="A1326" s="3">
        <f>IFERROR(__xludf.DUMMYFUNCTION("""COMPUTED_VALUE"""),41690.99861111111)</f>
        <v>41690.99861</v>
      </c>
      <c r="B1326" s="1">
        <f>IFERROR(__xludf.DUMMYFUNCTION("""COMPUTED_VALUE"""),1933.15557)</f>
        <v>1933.15557</v>
      </c>
    </row>
    <row r="1327">
      <c r="A1327" s="3">
        <f>IFERROR(__xludf.DUMMYFUNCTION("""COMPUTED_VALUE"""),41691.99861111111)</f>
        <v>41691.99861</v>
      </c>
      <c r="B1327" s="1">
        <f>IFERROR(__xludf.DUMMYFUNCTION("""COMPUTED_VALUE"""),1917.55296)</f>
        <v>1917.55296</v>
      </c>
    </row>
    <row r="1328">
      <c r="A1328" s="3">
        <f>IFERROR(__xludf.DUMMYFUNCTION("""COMPUTED_VALUE"""),41692.99861111111)</f>
        <v>41692.99861</v>
      </c>
      <c r="B1328" s="1">
        <f>IFERROR(__xludf.DUMMYFUNCTION("""COMPUTED_VALUE"""),1919.648067)</f>
        <v>1919.648067</v>
      </c>
    </row>
    <row r="1329">
      <c r="A1329" s="3">
        <f>IFERROR(__xludf.DUMMYFUNCTION("""COMPUTED_VALUE"""),41693.99861111111)</f>
        <v>41693.99861</v>
      </c>
      <c r="B1329" s="1">
        <f>IFERROR(__xludf.DUMMYFUNCTION("""COMPUTED_VALUE"""),1917.31934)</f>
        <v>1917.31934</v>
      </c>
    </row>
    <row r="1330">
      <c r="A1330" s="3">
        <f>IFERROR(__xludf.DUMMYFUNCTION("""COMPUTED_VALUE"""),41694.99861111111)</f>
        <v>41694.99861</v>
      </c>
      <c r="B1330" s="1">
        <f>IFERROR(__xludf.DUMMYFUNCTION("""COMPUTED_VALUE"""),1898.34824)</f>
        <v>1898.34824</v>
      </c>
    </row>
    <row r="1331">
      <c r="A1331" s="3">
        <f>IFERROR(__xludf.DUMMYFUNCTION("""COMPUTED_VALUE"""),41695.99861111111)</f>
        <v>41695.99861</v>
      </c>
      <c r="B1331" s="1">
        <f>IFERROR(__xludf.DUMMYFUNCTION("""COMPUTED_VALUE"""),1897.3136)</f>
        <v>1897.3136</v>
      </c>
    </row>
    <row r="1332">
      <c r="A1332" s="3">
        <f>IFERROR(__xludf.DUMMYFUNCTION("""COMPUTED_VALUE"""),41696.99861111111)</f>
        <v>41696.99861</v>
      </c>
      <c r="B1332" s="1">
        <f>IFERROR(__xludf.DUMMYFUNCTION("""COMPUTED_VALUE"""),1904.59116)</f>
        <v>1904.59116</v>
      </c>
    </row>
    <row r="1333">
      <c r="A1333" s="3">
        <f>IFERROR(__xludf.DUMMYFUNCTION("""COMPUTED_VALUE"""),41697.99861111111)</f>
        <v>41697.99861</v>
      </c>
      <c r="B1333" s="1">
        <f>IFERROR(__xludf.DUMMYFUNCTION("""COMPUTED_VALUE"""),1892.93517)</f>
        <v>1892.93517</v>
      </c>
    </row>
    <row r="1334">
      <c r="A1334" s="3">
        <f>IFERROR(__xludf.DUMMYFUNCTION("""COMPUTED_VALUE"""),41698.99861111111)</f>
        <v>41698.99861</v>
      </c>
      <c r="B1334" s="1">
        <f>IFERROR(__xludf.DUMMYFUNCTION("""COMPUTED_VALUE"""),1881.92923)</f>
        <v>1881.92923</v>
      </c>
    </row>
    <row r="1335">
      <c r="A1335" s="3">
        <f>IFERROR(__xludf.DUMMYFUNCTION("""COMPUTED_VALUE"""),41699.99861111111)</f>
        <v>41699.99861</v>
      </c>
      <c r="B1335" s="1">
        <f>IFERROR(__xludf.DUMMYFUNCTION("""COMPUTED_VALUE"""),1884.703622)</f>
        <v>1884.703622</v>
      </c>
    </row>
    <row r="1336">
      <c r="A1336" s="3">
        <f>IFERROR(__xludf.DUMMYFUNCTION("""COMPUTED_VALUE"""),41700.99861111111)</f>
        <v>41700.99861</v>
      </c>
      <c r="B1336" s="1">
        <f>IFERROR(__xludf.DUMMYFUNCTION("""COMPUTED_VALUE"""),1878.11146)</f>
        <v>1878.11146</v>
      </c>
    </row>
    <row r="1337">
      <c r="A1337" s="3">
        <f>IFERROR(__xludf.DUMMYFUNCTION("""COMPUTED_VALUE"""),41701.99861111111)</f>
        <v>41701.99861</v>
      </c>
      <c r="B1337" s="1">
        <f>IFERROR(__xludf.DUMMYFUNCTION("""COMPUTED_VALUE"""),1896.4312)</f>
        <v>1896.4312</v>
      </c>
    </row>
    <row r="1338">
      <c r="A1338" s="3">
        <f>IFERROR(__xludf.DUMMYFUNCTION("""COMPUTED_VALUE"""),41702.99861111111)</f>
        <v>41702.99861</v>
      </c>
      <c r="B1338" s="1">
        <f>IFERROR(__xludf.DUMMYFUNCTION("""COMPUTED_VALUE"""),1882.48216)</f>
        <v>1882.48216</v>
      </c>
    </row>
    <row r="1339">
      <c r="A1339" s="3">
        <f>IFERROR(__xludf.DUMMYFUNCTION("""COMPUTED_VALUE"""),41703.99861111111)</f>
        <v>41703.99861</v>
      </c>
      <c r="B1339" s="1">
        <f>IFERROR(__xludf.DUMMYFUNCTION("""COMPUTED_VALUE"""),1887.69294)</f>
        <v>1887.69294</v>
      </c>
    </row>
    <row r="1340">
      <c r="A1340" s="3">
        <f>IFERROR(__xludf.DUMMYFUNCTION("""COMPUTED_VALUE"""),41704.99861111111)</f>
        <v>41704.99861</v>
      </c>
      <c r="B1340" s="1">
        <f>IFERROR(__xludf.DUMMYFUNCTION("""COMPUTED_VALUE"""),1864.5081)</f>
        <v>1864.5081</v>
      </c>
    </row>
    <row r="1341">
      <c r="A1341" s="3">
        <f>IFERROR(__xludf.DUMMYFUNCTION("""COMPUTED_VALUE"""),41705.99861111111)</f>
        <v>41705.99861</v>
      </c>
      <c r="B1341" s="1">
        <f>IFERROR(__xludf.DUMMYFUNCTION("""COMPUTED_VALUE"""),1859.21994)</f>
        <v>1859.21994</v>
      </c>
    </row>
    <row r="1342">
      <c r="A1342" s="3">
        <f>IFERROR(__xludf.DUMMYFUNCTION("""COMPUTED_VALUE"""),41706.99861111111)</f>
        <v>41706.99861</v>
      </c>
      <c r="B1342" s="1">
        <f>IFERROR(__xludf.DUMMYFUNCTION("""COMPUTED_VALUE"""),1861.8002)</f>
        <v>1861.8002</v>
      </c>
    </row>
    <row r="1343">
      <c r="A1343" s="3">
        <f>IFERROR(__xludf.DUMMYFUNCTION("""COMPUTED_VALUE"""),41707.99861111111)</f>
        <v>41707.99861</v>
      </c>
      <c r="B1343" s="1">
        <f>IFERROR(__xludf.DUMMYFUNCTION("""COMPUTED_VALUE"""),1859.21994)</f>
        <v>1859.21994</v>
      </c>
    </row>
    <row r="1344">
      <c r="A1344" s="3">
        <f>IFERROR(__xludf.DUMMYFUNCTION("""COMPUTED_VALUE"""),41708.99861111111)</f>
        <v>41708.99861</v>
      </c>
      <c r="B1344" s="1">
        <f>IFERROR(__xludf.DUMMYFUNCTION("""COMPUTED_VALUE"""),1861.947)</f>
        <v>1861.947</v>
      </c>
    </row>
    <row r="1345">
      <c r="A1345" s="3">
        <f>IFERROR(__xludf.DUMMYFUNCTION("""COMPUTED_VALUE"""),41709.99861111111)</f>
        <v>41709.99861</v>
      </c>
      <c r="B1345" s="1">
        <f>IFERROR(__xludf.DUMMYFUNCTION("""COMPUTED_VALUE"""),1870.56195)</f>
        <v>1870.56195</v>
      </c>
    </row>
    <row r="1346">
      <c r="A1346" s="3">
        <f>IFERROR(__xludf.DUMMYFUNCTION("""COMPUTED_VALUE"""),41710.99861111111)</f>
        <v>41710.99861</v>
      </c>
      <c r="B1346" s="1">
        <f>IFERROR(__xludf.DUMMYFUNCTION("""COMPUTED_VALUE"""),1860.4745)</f>
        <v>1860.4745</v>
      </c>
    </row>
    <row r="1347">
      <c r="A1347" s="3">
        <f>IFERROR(__xludf.DUMMYFUNCTION("""COMPUTED_VALUE"""),41711.99861111111)</f>
        <v>41711.99861</v>
      </c>
      <c r="B1347" s="1">
        <f>IFERROR(__xludf.DUMMYFUNCTION("""COMPUTED_VALUE"""),1860.13827)</f>
        <v>1860.13827</v>
      </c>
    </row>
    <row r="1348">
      <c r="A1348" s="3">
        <f>IFERROR(__xludf.DUMMYFUNCTION("""COMPUTED_VALUE"""),41712.99861111111)</f>
        <v>41712.99861</v>
      </c>
      <c r="B1348" s="1">
        <f>IFERROR(__xludf.DUMMYFUNCTION("""COMPUTED_VALUE"""),1836.50368)</f>
        <v>1836.50368</v>
      </c>
    </row>
    <row r="1349">
      <c r="A1349" s="3">
        <f>IFERROR(__xludf.DUMMYFUNCTION("""COMPUTED_VALUE"""),41713.99861111111)</f>
        <v>41713.99861</v>
      </c>
      <c r="B1349" s="1">
        <f>IFERROR(__xludf.DUMMYFUNCTION("""COMPUTED_VALUE"""),1842.872131)</f>
        <v>1842.872131</v>
      </c>
    </row>
    <row r="1350">
      <c r="A1350" s="3">
        <f>IFERROR(__xludf.DUMMYFUNCTION("""COMPUTED_VALUE"""),41714.99861111111)</f>
        <v>41714.99861</v>
      </c>
      <c r="B1350" s="1">
        <f>IFERROR(__xludf.DUMMYFUNCTION("""COMPUTED_VALUE"""),1839.89248)</f>
        <v>1839.89248</v>
      </c>
    </row>
    <row r="1351">
      <c r="A1351" s="3">
        <f>IFERROR(__xludf.DUMMYFUNCTION("""COMPUTED_VALUE"""),41715.99861111111)</f>
        <v>41715.99861</v>
      </c>
      <c r="B1351" s="1">
        <f>IFERROR(__xludf.DUMMYFUNCTION("""COMPUTED_VALUE"""),1826.75196)</f>
        <v>1826.75196</v>
      </c>
    </row>
    <row r="1352">
      <c r="A1352" s="3">
        <f>IFERROR(__xludf.DUMMYFUNCTION("""COMPUTED_VALUE"""),41716.99861111111)</f>
        <v>41716.99861</v>
      </c>
      <c r="B1352" s="1">
        <f>IFERROR(__xludf.DUMMYFUNCTION("""COMPUTED_VALUE"""),1828.761)</f>
        <v>1828.761</v>
      </c>
    </row>
    <row r="1353">
      <c r="A1353" s="3">
        <f>IFERROR(__xludf.DUMMYFUNCTION("""COMPUTED_VALUE"""),41717.99861111111)</f>
        <v>41717.99861</v>
      </c>
      <c r="B1353" s="1">
        <f>IFERROR(__xludf.DUMMYFUNCTION("""COMPUTED_VALUE"""),1825.3209)</f>
        <v>1825.3209</v>
      </c>
    </row>
    <row r="1354">
      <c r="A1354" s="3">
        <f>IFERROR(__xludf.DUMMYFUNCTION("""COMPUTED_VALUE"""),41718.99861111111)</f>
        <v>41718.99861</v>
      </c>
      <c r="B1354" s="1">
        <f>IFERROR(__xludf.DUMMYFUNCTION("""COMPUTED_VALUE"""),1836.461)</f>
        <v>1836.461</v>
      </c>
    </row>
    <row r="1355">
      <c r="A1355" s="3">
        <f>IFERROR(__xludf.DUMMYFUNCTION("""COMPUTED_VALUE"""),41719.99861111111)</f>
        <v>41719.99861</v>
      </c>
      <c r="B1355" s="1">
        <f>IFERROR(__xludf.DUMMYFUNCTION("""COMPUTED_VALUE"""),1831.34263)</f>
        <v>1831.34263</v>
      </c>
    </row>
    <row r="1356">
      <c r="A1356" s="3">
        <f>IFERROR(__xludf.DUMMYFUNCTION("""COMPUTED_VALUE"""),41720.99861111111)</f>
        <v>41720.99861</v>
      </c>
      <c r="B1356" s="1">
        <f>IFERROR(__xludf.DUMMYFUNCTION("""COMPUTED_VALUE"""),1833.446667)</f>
        <v>1833.446667</v>
      </c>
    </row>
    <row r="1357">
      <c r="A1357" s="3">
        <f>IFERROR(__xludf.DUMMYFUNCTION("""COMPUTED_VALUE"""),41721.99861111111)</f>
        <v>41721.99861</v>
      </c>
      <c r="B1357" s="1">
        <f>IFERROR(__xludf.DUMMYFUNCTION("""COMPUTED_VALUE"""),1831.11461)</f>
        <v>1831.11461</v>
      </c>
    </row>
    <row r="1358">
      <c r="A1358" s="3">
        <f>IFERROR(__xludf.DUMMYFUNCTION("""COMPUTED_VALUE"""),41722.99861111111)</f>
        <v>41722.99861</v>
      </c>
      <c r="B1358" s="1">
        <f>IFERROR(__xludf.DUMMYFUNCTION("""COMPUTED_VALUE"""),1833.21096)</f>
        <v>1833.21096</v>
      </c>
    </row>
    <row r="1359">
      <c r="A1359" s="3">
        <f>IFERROR(__xludf.DUMMYFUNCTION("""COMPUTED_VALUE"""),41723.99861111111)</f>
        <v>41723.99861</v>
      </c>
      <c r="B1359" s="1">
        <f>IFERROR(__xludf.DUMMYFUNCTION("""COMPUTED_VALUE"""),1834.38958)</f>
        <v>1834.38958</v>
      </c>
    </row>
    <row r="1360">
      <c r="A1360" s="3">
        <f>IFERROR(__xludf.DUMMYFUNCTION("""COMPUTED_VALUE"""),41724.99861111111)</f>
        <v>41724.99861</v>
      </c>
      <c r="B1360" s="1">
        <f>IFERROR(__xludf.DUMMYFUNCTION("""COMPUTED_VALUE"""),1840.92065)</f>
        <v>1840.92065</v>
      </c>
    </row>
    <row r="1361">
      <c r="A1361" s="3">
        <f>IFERROR(__xludf.DUMMYFUNCTION("""COMPUTED_VALUE"""),41725.99861111111)</f>
        <v>41725.99861</v>
      </c>
      <c r="B1361" s="1">
        <f>IFERROR(__xludf.DUMMYFUNCTION("""COMPUTED_VALUE"""),1831.54433)</f>
        <v>1831.54433</v>
      </c>
    </row>
    <row r="1362">
      <c r="A1362" s="3">
        <f>IFERROR(__xludf.DUMMYFUNCTION("""COMPUTED_VALUE"""),41726.99861111111)</f>
        <v>41726.99861</v>
      </c>
      <c r="B1362" s="1">
        <f>IFERROR(__xludf.DUMMYFUNCTION("""COMPUTED_VALUE"""),1819.6528)</f>
        <v>1819.6528</v>
      </c>
    </row>
    <row r="1363">
      <c r="A1363" s="3">
        <f>IFERROR(__xludf.DUMMYFUNCTION("""COMPUTED_VALUE"""),41727.99861111111)</f>
        <v>41727.99861</v>
      </c>
      <c r="B1363" s="1">
        <f>IFERROR(__xludf.DUMMYFUNCTION("""COMPUTED_VALUE"""),1822.761969)</f>
        <v>1822.761969</v>
      </c>
    </row>
    <row r="1364">
      <c r="A1364" s="3">
        <f>IFERROR(__xludf.DUMMYFUNCTION("""COMPUTED_VALUE"""),41728.99861111111)</f>
        <v>41728.99861</v>
      </c>
      <c r="B1364" s="1">
        <f>IFERROR(__xludf.DUMMYFUNCTION("""COMPUTED_VALUE"""),1821.57465)</f>
        <v>1821.57465</v>
      </c>
    </row>
    <row r="1365">
      <c r="A1365" s="3">
        <f>IFERROR(__xludf.DUMMYFUNCTION("""COMPUTED_VALUE"""),41729.99861111111)</f>
        <v>41729.99861</v>
      </c>
      <c r="B1365" s="1">
        <f>IFERROR(__xludf.DUMMYFUNCTION("""COMPUTED_VALUE"""),1810.14165)</f>
        <v>1810.14165</v>
      </c>
    </row>
    <row r="1366">
      <c r="A1366" s="3">
        <f>IFERROR(__xludf.DUMMYFUNCTION("""COMPUTED_VALUE"""),41730.99861111111)</f>
        <v>41730.99861</v>
      </c>
      <c r="B1366" s="1">
        <f>IFERROR(__xludf.DUMMYFUNCTION("""COMPUTED_VALUE"""),1813.77638)</f>
        <v>1813.77638</v>
      </c>
    </row>
    <row r="1367">
      <c r="A1367" s="3">
        <f>IFERROR(__xludf.DUMMYFUNCTION("""COMPUTED_VALUE"""),41731.99861111111)</f>
        <v>41731.99861</v>
      </c>
      <c r="B1367" s="1">
        <f>IFERROR(__xludf.DUMMYFUNCTION("""COMPUTED_VALUE"""),1816.74075)</f>
        <v>1816.74075</v>
      </c>
    </row>
    <row r="1368">
      <c r="A1368" s="3">
        <f>IFERROR(__xludf.DUMMYFUNCTION("""COMPUTED_VALUE"""),41732.99861111111)</f>
        <v>41732.99861</v>
      </c>
      <c r="B1368" s="1">
        <f>IFERROR(__xludf.DUMMYFUNCTION("""COMPUTED_VALUE"""),1824.82165)</f>
        <v>1824.82165</v>
      </c>
    </row>
    <row r="1369">
      <c r="A1369" s="3">
        <f>IFERROR(__xludf.DUMMYFUNCTION("""COMPUTED_VALUE"""),41733.99861111111)</f>
        <v>41733.99861</v>
      </c>
      <c r="B1369" s="1">
        <f>IFERROR(__xludf.DUMMYFUNCTION("""COMPUTED_VALUE"""),1821.3624)</f>
        <v>1821.3624</v>
      </c>
    </row>
    <row r="1370">
      <c r="A1370" s="3">
        <f>IFERROR(__xludf.DUMMYFUNCTION("""COMPUTED_VALUE"""),41734.99861111111)</f>
        <v>41734.99861</v>
      </c>
      <c r="B1370" s="1">
        <f>IFERROR(__xludf.DUMMYFUNCTION("""COMPUTED_VALUE"""),1822.875219)</f>
        <v>1822.875219</v>
      </c>
    </row>
    <row r="1371">
      <c r="A1371" s="3">
        <f>IFERROR(__xludf.DUMMYFUNCTION("""COMPUTED_VALUE"""),41735.99861111111)</f>
        <v>41735.99861</v>
      </c>
      <c r="B1371" s="1">
        <f>IFERROR(__xludf.DUMMYFUNCTION("""COMPUTED_VALUE"""),1819.779)</f>
        <v>1819.779</v>
      </c>
    </row>
    <row r="1372">
      <c r="A1372" s="3">
        <f>IFERROR(__xludf.DUMMYFUNCTION("""COMPUTED_VALUE"""),41736.99861111111)</f>
        <v>41736.99861</v>
      </c>
      <c r="B1372" s="1">
        <f>IFERROR(__xludf.DUMMYFUNCTION("""COMPUTED_VALUE"""),1818.15615)</f>
        <v>1818.15615</v>
      </c>
    </row>
    <row r="1373">
      <c r="A1373" s="3">
        <f>IFERROR(__xludf.DUMMYFUNCTION("""COMPUTED_VALUE"""),41737.99861111111)</f>
        <v>41737.99861</v>
      </c>
      <c r="B1373" s="1">
        <f>IFERROR(__xludf.DUMMYFUNCTION("""COMPUTED_VALUE"""),1816.5758)</f>
        <v>1816.5758</v>
      </c>
    </row>
    <row r="1374">
      <c r="A1374" s="3">
        <f>IFERROR(__xludf.DUMMYFUNCTION("""COMPUTED_VALUE"""),41738.99861111111)</f>
        <v>41738.99861</v>
      </c>
      <c r="B1374" s="1">
        <f>IFERROR(__xludf.DUMMYFUNCTION("""COMPUTED_VALUE"""),1817.5129)</f>
        <v>1817.5129</v>
      </c>
    </row>
    <row r="1375">
      <c r="A1375" s="3">
        <f>IFERROR(__xludf.DUMMYFUNCTION("""COMPUTED_VALUE"""),41739.99861111111)</f>
        <v>41739.99861</v>
      </c>
      <c r="B1375" s="1">
        <f>IFERROR(__xludf.DUMMYFUNCTION("""COMPUTED_VALUE"""),1826.0912)</f>
        <v>1826.0912</v>
      </c>
    </row>
    <row r="1376">
      <c r="A1376" s="3">
        <f>IFERROR(__xludf.DUMMYFUNCTION("""COMPUTED_VALUE"""),41740.99861111111)</f>
        <v>41740.99861</v>
      </c>
      <c r="B1376" s="1">
        <f>IFERROR(__xludf.DUMMYFUNCTION("""COMPUTED_VALUE"""),1834.48105)</f>
        <v>1834.48105</v>
      </c>
    </row>
    <row r="1377">
      <c r="A1377" s="3">
        <f>IFERROR(__xludf.DUMMYFUNCTION("""COMPUTED_VALUE"""),41741.99861111111)</f>
        <v>41741.99861</v>
      </c>
      <c r="B1377" s="1">
        <f>IFERROR(__xludf.DUMMYFUNCTION("""COMPUTED_VALUE"""),1837.784564)</f>
        <v>1837.784564</v>
      </c>
    </row>
    <row r="1378">
      <c r="A1378" s="3">
        <f>IFERROR(__xludf.DUMMYFUNCTION("""COMPUTED_VALUE"""),41742.99861111111)</f>
        <v>41742.99861</v>
      </c>
      <c r="B1378" s="1">
        <f>IFERROR(__xludf.DUMMYFUNCTION("""COMPUTED_VALUE"""),1828.2138)</f>
        <v>1828.2138</v>
      </c>
    </row>
    <row r="1379">
      <c r="A1379" s="3">
        <f>IFERROR(__xludf.DUMMYFUNCTION("""COMPUTED_VALUE"""),41743.99861111111)</f>
        <v>41743.99861</v>
      </c>
      <c r="B1379" s="1">
        <f>IFERROR(__xludf.DUMMYFUNCTION("""COMPUTED_VALUE"""),1838.337)</f>
        <v>1838.337</v>
      </c>
    </row>
    <row r="1380">
      <c r="A1380" s="3">
        <f>IFERROR(__xludf.DUMMYFUNCTION("""COMPUTED_VALUE"""),41744.99861111111)</f>
        <v>41744.99861</v>
      </c>
      <c r="B1380" s="1">
        <f>IFERROR(__xludf.DUMMYFUNCTION("""COMPUTED_VALUE"""),1840.3585)</f>
        <v>1840.3585</v>
      </c>
    </row>
    <row r="1381">
      <c r="A1381" s="3">
        <f>IFERROR(__xludf.DUMMYFUNCTION("""COMPUTED_VALUE"""),41745.99861111111)</f>
        <v>41745.99861</v>
      </c>
      <c r="B1381" s="1">
        <f>IFERROR(__xludf.DUMMYFUNCTION("""COMPUTED_VALUE"""),1833.35375)</f>
        <v>1833.35375</v>
      </c>
    </row>
    <row r="1382">
      <c r="A1382" s="3">
        <f>IFERROR(__xludf.DUMMYFUNCTION("""COMPUTED_VALUE"""),41746.99861111111)</f>
        <v>41746.99861</v>
      </c>
      <c r="B1382" s="1">
        <f>IFERROR(__xludf.DUMMYFUNCTION("""COMPUTED_VALUE"""),1839.78375)</f>
        <v>1839.78375</v>
      </c>
    </row>
    <row r="1383">
      <c r="A1383" s="3">
        <f>IFERROR(__xludf.DUMMYFUNCTION("""COMPUTED_VALUE"""),41747.99861111111)</f>
        <v>41747.99861</v>
      </c>
      <c r="B1383" s="1">
        <f>IFERROR(__xludf.DUMMYFUNCTION("""COMPUTED_VALUE"""),1840.01265)</f>
        <v>1840.01265</v>
      </c>
    </row>
    <row r="1384">
      <c r="A1384" s="3">
        <f>IFERROR(__xludf.DUMMYFUNCTION("""COMPUTED_VALUE"""),41748.99861111111)</f>
        <v>41748.99861</v>
      </c>
      <c r="B1384" s="1">
        <f>IFERROR(__xludf.DUMMYFUNCTION("""COMPUTED_VALUE"""),1838.874558)</f>
        <v>1838.874558</v>
      </c>
    </row>
    <row r="1385">
      <c r="A1385" s="3">
        <f>IFERROR(__xludf.DUMMYFUNCTION("""COMPUTED_VALUE"""),41749.99861111111)</f>
        <v>41749.99861</v>
      </c>
      <c r="B1385" s="1">
        <f>IFERROR(__xludf.DUMMYFUNCTION("""COMPUTED_VALUE"""),1835.3202)</f>
        <v>1835.3202</v>
      </c>
    </row>
    <row r="1386">
      <c r="A1386" s="3">
        <f>IFERROR(__xludf.DUMMYFUNCTION("""COMPUTED_VALUE"""),41750.99861111111)</f>
        <v>41750.99861</v>
      </c>
      <c r="B1386" s="1">
        <f>IFERROR(__xludf.DUMMYFUNCTION("""COMPUTED_VALUE"""),1835.5462)</f>
        <v>1835.5462</v>
      </c>
    </row>
    <row r="1387">
      <c r="A1387" s="3">
        <f>IFERROR(__xludf.DUMMYFUNCTION("""COMPUTED_VALUE"""),41751.99861111111)</f>
        <v>41751.99861</v>
      </c>
      <c r="B1387" s="1">
        <f>IFERROR(__xludf.DUMMYFUNCTION("""COMPUTED_VALUE"""),1849.9774)</f>
        <v>1849.9774</v>
      </c>
    </row>
    <row r="1388">
      <c r="A1388" s="3">
        <f>IFERROR(__xludf.DUMMYFUNCTION("""COMPUTED_VALUE"""),41752.99861111111)</f>
        <v>41752.99861</v>
      </c>
      <c r="B1388" s="1">
        <f>IFERROR(__xludf.DUMMYFUNCTION("""COMPUTED_VALUE"""),1863.0346)</f>
        <v>1863.0346</v>
      </c>
    </row>
    <row r="1389">
      <c r="A1389" s="3">
        <f>IFERROR(__xludf.DUMMYFUNCTION("""COMPUTED_VALUE"""),41753.99861111111)</f>
        <v>41753.99861</v>
      </c>
      <c r="B1389" s="1">
        <f>IFERROR(__xludf.DUMMYFUNCTION("""COMPUTED_VALUE"""),1855.4319)</f>
        <v>1855.4319</v>
      </c>
    </row>
    <row r="1390">
      <c r="A1390" s="3">
        <f>IFERROR(__xludf.DUMMYFUNCTION("""COMPUTED_VALUE"""),41754.99861111111)</f>
        <v>41754.99861</v>
      </c>
      <c r="B1390" s="1">
        <f>IFERROR(__xludf.DUMMYFUNCTION("""COMPUTED_VALUE"""),1849.0122)</f>
        <v>1849.0122</v>
      </c>
    </row>
    <row r="1391">
      <c r="A1391" s="3">
        <f>IFERROR(__xludf.DUMMYFUNCTION("""COMPUTED_VALUE"""),41755.99861111111)</f>
        <v>41755.99861</v>
      </c>
      <c r="B1391" s="1">
        <f>IFERROR(__xludf.DUMMYFUNCTION("""COMPUTED_VALUE"""),1848.323117)</f>
        <v>1848.323117</v>
      </c>
    </row>
    <row r="1392">
      <c r="A1392" s="3">
        <f>IFERROR(__xludf.DUMMYFUNCTION("""COMPUTED_VALUE"""),41756.99861111111)</f>
        <v>41756.99861</v>
      </c>
      <c r="B1392" s="1">
        <f>IFERROR(__xludf.DUMMYFUNCTION("""COMPUTED_VALUE"""),1850.05305)</f>
        <v>1850.05305</v>
      </c>
    </row>
    <row r="1393">
      <c r="A1393" s="3">
        <f>IFERROR(__xludf.DUMMYFUNCTION("""COMPUTED_VALUE"""),41757.99861111111)</f>
        <v>41757.99861</v>
      </c>
      <c r="B1393" s="1">
        <f>IFERROR(__xludf.DUMMYFUNCTION("""COMPUTED_VALUE"""),1852.78905)</f>
        <v>1852.78905</v>
      </c>
    </row>
    <row r="1394">
      <c r="A1394" s="3">
        <f>IFERROR(__xludf.DUMMYFUNCTION("""COMPUTED_VALUE"""),41758.99861111111)</f>
        <v>41758.99861</v>
      </c>
      <c r="B1394" s="1">
        <f>IFERROR(__xludf.DUMMYFUNCTION("""COMPUTED_VALUE"""),1844.4292)</f>
        <v>1844.4292</v>
      </c>
    </row>
    <row r="1395">
      <c r="A1395" s="3">
        <f>IFERROR(__xludf.DUMMYFUNCTION("""COMPUTED_VALUE"""),41759.99861111111)</f>
        <v>41759.99861</v>
      </c>
      <c r="B1395" s="1">
        <f>IFERROR(__xludf.DUMMYFUNCTION("""COMPUTED_VALUE"""),1844.31375)</f>
        <v>1844.31375</v>
      </c>
    </row>
    <row r="1396">
      <c r="A1396" s="3">
        <f>IFERROR(__xludf.DUMMYFUNCTION("""COMPUTED_VALUE"""),41760.99861111111)</f>
        <v>41760.99861</v>
      </c>
      <c r="B1396" s="1">
        <f>IFERROR(__xludf.DUMMYFUNCTION("""COMPUTED_VALUE"""),1844.4292)</f>
        <v>1844.4292</v>
      </c>
    </row>
    <row r="1397">
      <c r="A1397" s="3">
        <f>IFERROR(__xludf.DUMMYFUNCTION("""COMPUTED_VALUE"""),41761.99861111111)</f>
        <v>41761.99861</v>
      </c>
      <c r="B1397" s="1">
        <f>IFERROR(__xludf.DUMMYFUNCTION("""COMPUTED_VALUE"""),1839.98185)</f>
        <v>1839.98185</v>
      </c>
    </row>
    <row r="1398">
      <c r="A1398" s="3">
        <f>IFERROR(__xludf.DUMMYFUNCTION("""COMPUTED_VALUE"""),41762.99861111111)</f>
        <v>41762.99861</v>
      </c>
      <c r="B1398" s="1">
        <f>IFERROR(__xludf.DUMMYFUNCTION("""COMPUTED_VALUE"""),1843.021055)</f>
        <v>1843.021055</v>
      </c>
    </row>
    <row r="1399">
      <c r="A1399" s="3">
        <f>IFERROR(__xludf.DUMMYFUNCTION("""COMPUTED_VALUE"""),41763.99861111111)</f>
        <v>41763.99861</v>
      </c>
      <c r="B1399" s="1">
        <f>IFERROR(__xludf.DUMMYFUNCTION("""COMPUTED_VALUE"""),1839.98185)</f>
        <v>1839.98185</v>
      </c>
    </row>
    <row r="1400">
      <c r="A1400" s="3">
        <f>IFERROR(__xludf.DUMMYFUNCTION("""COMPUTED_VALUE"""),41764.99861111111)</f>
        <v>41764.99861</v>
      </c>
      <c r="B1400" s="1">
        <f>IFERROR(__xludf.DUMMYFUNCTION("""COMPUTED_VALUE"""),1842.1806)</f>
        <v>1842.1806</v>
      </c>
    </row>
    <row r="1401">
      <c r="A1401" s="3">
        <f>IFERROR(__xludf.DUMMYFUNCTION("""COMPUTED_VALUE"""),41765.99861111111)</f>
        <v>41765.99861</v>
      </c>
      <c r="B1401" s="1">
        <f>IFERROR(__xludf.DUMMYFUNCTION("""COMPUTED_VALUE"""),1848.3909)</f>
        <v>1848.3909</v>
      </c>
    </row>
    <row r="1402">
      <c r="A1402" s="3">
        <f>IFERROR(__xludf.DUMMYFUNCTION("""COMPUTED_VALUE"""),41766.99861111111)</f>
        <v>41766.99861</v>
      </c>
      <c r="B1402" s="1">
        <f>IFERROR(__xludf.DUMMYFUNCTION("""COMPUTED_VALUE"""),1855.3652)</f>
        <v>1855.3652</v>
      </c>
    </row>
    <row r="1403">
      <c r="A1403" s="3">
        <f>IFERROR(__xludf.DUMMYFUNCTION("""COMPUTED_VALUE"""),41767.99861111111)</f>
        <v>41767.99861</v>
      </c>
      <c r="B1403" s="1">
        <f>IFERROR(__xludf.DUMMYFUNCTION("""COMPUTED_VALUE"""),1850.56925)</f>
        <v>1850.56925</v>
      </c>
    </row>
    <row r="1404">
      <c r="A1404" s="3">
        <f>IFERROR(__xludf.DUMMYFUNCTION("""COMPUTED_VALUE"""),41768.99861111111)</f>
        <v>41768.99861</v>
      </c>
      <c r="B1404" s="1">
        <f>IFERROR(__xludf.DUMMYFUNCTION("""COMPUTED_VALUE"""),1852.0596)</f>
        <v>1852.0596</v>
      </c>
    </row>
    <row r="1405">
      <c r="A1405" s="3">
        <f>IFERROR(__xludf.DUMMYFUNCTION("""COMPUTED_VALUE"""),41769.99861111111)</f>
        <v>41769.99861</v>
      </c>
      <c r="B1405" s="1">
        <f>IFERROR(__xludf.DUMMYFUNCTION("""COMPUTED_VALUE"""),1856.068779)</f>
        <v>1856.068779</v>
      </c>
    </row>
    <row r="1406">
      <c r="A1406" s="3">
        <f>IFERROR(__xludf.DUMMYFUNCTION("""COMPUTED_VALUE"""),41770.99861111111)</f>
        <v>41770.99861</v>
      </c>
      <c r="B1406" s="1">
        <f>IFERROR(__xludf.DUMMYFUNCTION("""COMPUTED_VALUE"""),1840.70575)</f>
        <v>1840.70575</v>
      </c>
    </row>
    <row r="1407">
      <c r="A1407" s="3">
        <f>IFERROR(__xludf.DUMMYFUNCTION("""COMPUTED_VALUE"""),41771.99861111111)</f>
        <v>41771.99861</v>
      </c>
      <c r="B1407" s="1">
        <f>IFERROR(__xludf.DUMMYFUNCTION("""COMPUTED_VALUE"""),1846.7712)</f>
        <v>1846.7712</v>
      </c>
    </row>
    <row r="1408">
      <c r="A1408" s="3">
        <f>IFERROR(__xludf.DUMMYFUNCTION("""COMPUTED_VALUE"""),41772.99861111111)</f>
        <v>41772.99861</v>
      </c>
      <c r="B1408" s="1">
        <f>IFERROR(__xludf.DUMMYFUNCTION("""COMPUTED_VALUE"""),1843.8019)</f>
        <v>1843.8019</v>
      </c>
    </row>
    <row r="1409">
      <c r="A1409" s="3">
        <f>IFERROR(__xludf.DUMMYFUNCTION("""COMPUTED_VALUE"""),41773.99861111111)</f>
        <v>41773.99861</v>
      </c>
      <c r="B1409" s="1">
        <f>IFERROR(__xludf.DUMMYFUNCTION("""COMPUTED_VALUE"""),1831.07275)</f>
        <v>1831.07275</v>
      </c>
    </row>
    <row r="1410">
      <c r="A1410" s="3">
        <f>IFERROR(__xludf.DUMMYFUNCTION("""COMPUTED_VALUE"""),41774.99861111111)</f>
        <v>41774.99861</v>
      </c>
      <c r="B1410" s="1">
        <f>IFERROR(__xludf.DUMMYFUNCTION("""COMPUTED_VALUE"""),1827.2925)</f>
        <v>1827.2925</v>
      </c>
    </row>
    <row r="1411">
      <c r="A1411" s="3">
        <f>IFERROR(__xludf.DUMMYFUNCTION("""COMPUTED_VALUE"""),41775.99861111111)</f>
        <v>41775.99861</v>
      </c>
      <c r="B1411" s="1">
        <f>IFERROR(__xludf.DUMMYFUNCTION("""COMPUTED_VALUE"""),1815.728)</f>
        <v>1815.728</v>
      </c>
    </row>
    <row r="1412">
      <c r="A1412" s="3">
        <f>IFERROR(__xludf.DUMMYFUNCTION("""COMPUTED_VALUE"""),41776.99861111111)</f>
        <v>41776.99861</v>
      </c>
      <c r="B1412" s="1">
        <f>IFERROR(__xludf.DUMMYFUNCTION("""COMPUTED_VALUE"""),1820.543584)</f>
        <v>1820.543584</v>
      </c>
    </row>
    <row r="1413">
      <c r="A1413" s="3">
        <f>IFERROR(__xludf.DUMMYFUNCTION("""COMPUTED_VALUE"""),41777.99861111111)</f>
        <v>41777.99861</v>
      </c>
      <c r="B1413" s="1">
        <f>IFERROR(__xludf.DUMMYFUNCTION("""COMPUTED_VALUE"""),1827.7533)</f>
        <v>1827.7533</v>
      </c>
    </row>
    <row r="1414">
      <c r="A1414" s="3">
        <f>IFERROR(__xludf.DUMMYFUNCTION("""COMPUTED_VALUE"""),41778.99861111111)</f>
        <v>41778.99861</v>
      </c>
      <c r="B1414" s="1">
        <f>IFERROR(__xludf.DUMMYFUNCTION("""COMPUTED_VALUE"""),1830.5118)</f>
        <v>1830.5118</v>
      </c>
    </row>
    <row r="1415">
      <c r="A1415" s="3">
        <f>IFERROR(__xludf.DUMMYFUNCTION("""COMPUTED_VALUE"""),41779.99861111111)</f>
        <v>41779.99861</v>
      </c>
      <c r="B1415" s="1">
        <f>IFERROR(__xludf.DUMMYFUNCTION("""COMPUTED_VALUE"""),1837.1526)</f>
        <v>1837.1526</v>
      </c>
    </row>
    <row r="1416">
      <c r="A1416" s="3">
        <f>IFERROR(__xludf.DUMMYFUNCTION("""COMPUTED_VALUE"""),41780.99861111111)</f>
        <v>41780.99861</v>
      </c>
      <c r="B1416" s="1">
        <f>IFERROR(__xludf.DUMMYFUNCTION("""COMPUTED_VALUE"""),1843.91295)</f>
        <v>1843.91295</v>
      </c>
    </row>
    <row r="1417">
      <c r="A1417" s="3">
        <f>IFERROR(__xludf.DUMMYFUNCTION("""COMPUTED_VALUE"""),41781.99861111111)</f>
        <v>41781.99861</v>
      </c>
      <c r="B1417" s="1">
        <f>IFERROR(__xludf.DUMMYFUNCTION("""COMPUTED_VALUE"""),1845.8587)</f>
        <v>1845.8587</v>
      </c>
    </row>
    <row r="1418">
      <c r="A1418" s="3">
        <f>IFERROR(__xludf.DUMMYFUNCTION("""COMPUTED_VALUE"""),41782.99861111111)</f>
        <v>41782.99861</v>
      </c>
      <c r="B1418" s="1">
        <f>IFERROR(__xludf.DUMMYFUNCTION("""COMPUTED_VALUE"""),1859.6061)</f>
        <v>1859.6061</v>
      </c>
    </row>
    <row r="1419">
      <c r="A1419" s="3">
        <f>IFERROR(__xludf.DUMMYFUNCTION("""COMPUTED_VALUE"""),41783.99861111111)</f>
        <v>41783.99861</v>
      </c>
      <c r="B1419" s="1">
        <f>IFERROR(__xludf.DUMMYFUNCTION("""COMPUTED_VALUE"""),1854.103462)</f>
        <v>1854.103462</v>
      </c>
    </row>
    <row r="1420">
      <c r="A1420" s="3">
        <f>IFERROR(__xludf.DUMMYFUNCTION("""COMPUTED_VALUE"""),41784.99861111111)</f>
        <v>41784.99861</v>
      </c>
      <c r="B1420" s="1">
        <f>IFERROR(__xludf.DUMMYFUNCTION("""COMPUTED_VALUE"""),1858.79445)</f>
        <v>1858.79445</v>
      </c>
    </row>
    <row r="1421">
      <c r="A1421" s="3">
        <f>IFERROR(__xludf.DUMMYFUNCTION("""COMPUTED_VALUE"""),41785.99861111111)</f>
        <v>41785.99861</v>
      </c>
      <c r="B1421" s="1">
        <f>IFERROR(__xludf.DUMMYFUNCTION("""COMPUTED_VALUE"""),1852.6056)</f>
        <v>1852.6056</v>
      </c>
    </row>
    <row r="1422">
      <c r="A1422" s="3">
        <f>IFERROR(__xludf.DUMMYFUNCTION("""COMPUTED_VALUE"""),41786.99861111111)</f>
        <v>41786.99861</v>
      </c>
      <c r="B1422" s="1">
        <f>IFERROR(__xludf.DUMMYFUNCTION("""COMPUTED_VALUE"""),1850.0624)</f>
        <v>1850.0624</v>
      </c>
    </row>
    <row r="1423">
      <c r="A1423" s="3">
        <f>IFERROR(__xludf.DUMMYFUNCTION("""COMPUTED_VALUE"""),41787.99861111111)</f>
        <v>41787.99861</v>
      </c>
      <c r="B1423" s="1">
        <f>IFERROR(__xludf.DUMMYFUNCTION("""COMPUTED_VALUE"""),1859.9859)</f>
        <v>1859.9859</v>
      </c>
    </row>
    <row r="1424">
      <c r="A1424" s="3">
        <f>IFERROR(__xludf.DUMMYFUNCTION("""COMPUTED_VALUE"""),41788.99861111111)</f>
        <v>41788.99861</v>
      </c>
      <c r="B1424" s="1">
        <f>IFERROR(__xludf.DUMMYFUNCTION("""COMPUTED_VALUE"""),1858.9104)</f>
        <v>1858.9104</v>
      </c>
    </row>
    <row r="1425">
      <c r="A1425" s="3">
        <f>IFERROR(__xludf.DUMMYFUNCTION("""COMPUTED_VALUE"""),41789.99861111111)</f>
        <v>41789.99861</v>
      </c>
      <c r="B1425" s="1">
        <f>IFERROR(__xludf.DUMMYFUNCTION("""COMPUTED_VALUE"""),1866.0664)</f>
        <v>1866.0664</v>
      </c>
    </row>
    <row r="1426">
      <c r="A1426" s="3">
        <f>IFERROR(__xludf.DUMMYFUNCTION("""COMPUTED_VALUE"""),41790.99861111111)</f>
        <v>41790.99861</v>
      </c>
      <c r="B1426" s="1">
        <f>IFERROR(__xludf.DUMMYFUNCTION("""COMPUTED_VALUE"""),1871.811836)</f>
        <v>1871.811836</v>
      </c>
    </row>
    <row r="1427">
      <c r="A1427" s="3">
        <f>IFERROR(__xludf.DUMMYFUNCTION("""COMPUTED_VALUE"""),41791.99861111111)</f>
        <v>41791.99861</v>
      </c>
      <c r="B1427" s="1">
        <f>IFERROR(__xludf.DUMMYFUNCTION("""COMPUTED_VALUE"""),1871.344)</f>
        <v>1871.344</v>
      </c>
    </row>
    <row r="1428">
      <c r="A1428" s="3">
        <f>IFERROR(__xludf.DUMMYFUNCTION("""COMPUTED_VALUE"""),41792.99861111111)</f>
        <v>41792.99861</v>
      </c>
      <c r="B1428" s="1">
        <f>IFERROR(__xludf.DUMMYFUNCTION("""COMPUTED_VALUE"""),1882.0704)</f>
        <v>1882.0704</v>
      </c>
    </row>
    <row r="1429">
      <c r="A1429" s="3">
        <f>IFERROR(__xludf.DUMMYFUNCTION("""COMPUTED_VALUE"""),41793.99861111111)</f>
        <v>41793.99861</v>
      </c>
      <c r="B1429" s="1">
        <f>IFERROR(__xludf.DUMMYFUNCTION("""COMPUTED_VALUE"""),1882.1407)</f>
        <v>1882.1407</v>
      </c>
    </row>
    <row r="1430">
      <c r="A1430" s="3">
        <f>IFERROR(__xludf.DUMMYFUNCTION("""COMPUTED_VALUE"""),41794.99861111111)</f>
        <v>41794.99861</v>
      </c>
      <c r="B1430" s="1">
        <f>IFERROR(__xludf.DUMMYFUNCTION("""COMPUTED_VALUE"""),1900.0)</f>
        <v>1900</v>
      </c>
    </row>
    <row r="1431">
      <c r="A1431" s="3">
        <f>IFERROR(__xludf.DUMMYFUNCTION("""COMPUTED_VALUE"""),41795.99861111111)</f>
        <v>41795.99861</v>
      </c>
      <c r="B1431" s="1">
        <f>IFERROR(__xludf.DUMMYFUNCTION("""COMPUTED_VALUE"""),1893.18635)</f>
        <v>1893.18635</v>
      </c>
    </row>
    <row r="1432">
      <c r="A1432" s="3">
        <f>IFERROR(__xludf.DUMMYFUNCTION("""COMPUTED_VALUE"""),41796.99861111111)</f>
        <v>41796.99861</v>
      </c>
      <c r="B1432" s="1">
        <f>IFERROR(__xludf.DUMMYFUNCTION("""COMPUTED_VALUE"""),1889.80925)</f>
        <v>1889.80925</v>
      </c>
    </row>
    <row r="1433">
      <c r="A1433" s="3">
        <f>IFERROR(__xludf.DUMMYFUNCTION("""COMPUTED_VALUE"""),41797.99861111111)</f>
        <v>41797.99861</v>
      </c>
      <c r="B1433" s="1">
        <f>IFERROR(__xludf.DUMMYFUNCTION("""COMPUTED_VALUE"""),1892.779541)</f>
        <v>1892.779541</v>
      </c>
    </row>
    <row r="1434">
      <c r="A1434" s="3">
        <f>IFERROR(__xludf.DUMMYFUNCTION("""COMPUTED_VALUE"""),41798.99861111111)</f>
        <v>41798.99861</v>
      </c>
      <c r="B1434" s="1">
        <f>IFERROR(__xludf.DUMMYFUNCTION("""COMPUTED_VALUE"""),1894.554687)</f>
        <v>1894.554687</v>
      </c>
    </row>
    <row r="1435">
      <c r="A1435" s="3">
        <f>IFERROR(__xludf.DUMMYFUNCTION("""COMPUTED_VALUE"""),41799.99861111111)</f>
        <v>41799.99861</v>
      </c>
      <c r="B1435" s="1">
        <f>IFERROR(__xludf.DUMMYFUNCTION("""COMPUTED_VALUE"""),1886.826)</f>
        <v>1886.826</v>
      </c>
    </row>
    <row r="1436">
      <c r="A1436" s="3">
        <f>IFERROR(__xludf.DUMMYFUNCTION("""COMPUTED_VALUE"""),41800.99861111111)</f>
        <v>41800.99861</v>
      </c>
      <c r="B1436" s="1">
        <f>IFERROR(__xludf.DUMMYFUNCTION("""COMPUTED_VALUE"""),1898.07975)</f>
        <v>1898.07975</v>
      </c>
    </row>
    <row r="1437">
      <c r="A1437" s="3">
        <f>IFERROR(__xludf.DUMMYFUNCTION("""COMPUTED_VALUE"""),41801.99861111111)</f>
        <v>41801.99861</v>
      </c>
      <c r="B1437" s="1">
        <f>IFERROR(__xludf.DUMMYFUNCTION("""COMPUTED_VALUE"""),1895.4108)</f>
        <v>1895.4108</v>
      </c>
    </row>
    <row r="1438">
      <c r="A1438" s="3">
        <f>IFERROR(__xludf.DUMMYFUNCTION("""COMPUTED_VALUE"""),41802.99861111111)</f>
        <v>41802.99861</v>
      </c>
      <c r="B1438" s="1">
        <f>IFERROR(__xludf.DUMMYFUNCTION("""COMPUTED_VALUE"""),1894.1062)</f>
        <v>1894.1062</v>
      </c>
    </row>
    <row r="1439">
      <c r="A1439" s="3">
        <f>IFERROR(__xludf.DUMMYFUNCTION("""COMPUTED_VALUE"""),41803.99861111111)</f>
        <v>41803.99861</v>
      </c>
      <c r="B1439" s="1">
        <f>IFERROR(__xludf.DUMMYFUNCTION("""COMPUTED_VALUE"""),1897.73855)</f>
        <v>1897.73855</v>
      </c>
    </row>
    <row r="1440">
      <c r="A1440" s="3">
        <f>IFERROR(__xludf.DUMMYFUNCTION("""COMPUTED_VALUE"""),41804.99861111111)</f>
        <v>41804.99861</v>
      </c>
      <c r="B1440" s="1">
        <f>IFERROR(__xludf.DUMMYFUNCTION("""COMPUTED_VALUE"""),1901.061697)</f>
        <v>1901.061697</v>
      </c>
    </row>
    <row r="1441">
      <c r="A1441" s="3">
        <f>IFERROR(__xludf.DUMMYFUNCTION("""COMPUTED_VALUE"""),41805.99861111111)</f>
        <v>41805.99861</v>
      </c>
      <c r="B1441" s="1">
        <f>IFERROR(__xludf.DUMMYFUNCTION("""COMPUTED_VALUE"""),1900.117187)</f>
        <v>1900.117187</v>
      </c>
    </row>
    <row r="1442">
      <c r="A1442" s="3">
        <f>IFERROR(__xludf.DUMMYFUNCTION("""COMPUTED_VALUE"""),41806.99861111111)</f>
        <v>41806.99861</v>
      </c>
      <c r="B1442" s="1">
        <f>IFERROR(__xludf.DUMMYFUNCTION("""COMPUTED_VALUE"""),1897.13455)</f>
        <v>1897.13455</v>
      </c>
    </row>
    <row r="1443">
      <c r="A1443" s="3">
        <f>IFERROR(__xludf.DUMMYFUNCTION("""COMPUTED_VALUE"""),41807.99861111111)</f>
        <v>41807.99861</v>
      </c>
      <c r="B1443" s="1">
        <f>IFERROR(__xludf.DUMMYFUNCTION("""COMPUTED_VALUE"""),1908.4933)</f>
        <v>1908.4933</v>
      </c>
    </row>
    <row r="1444">
      <c r="A1444" s="3">
        <f>IFERROR(__xludf.DUMMYFUNCTION("""COMPUTED_VALUE"""),41808.99861111111)</f>
        <v>41808.99861</v>
      </c>
      <c r="B1444" s="1">
        <f>IFERROR(__xludf.DUMMYFUNCTION("""COMPUTED_VALUE"""),1926.20225)</f>
        <v>1926.20225</v>
      </c>
    </row>
    <row r="1445">
      <c r="A1445" s="3">
        <f>IFERROR(__xludf.DUMMYFUNCTION("""COMPUTED_VALUE"""),41809.99861111111)</f>
        <v>41809.99861</v>
      </c>
      <c r="B1445" s="1">
        <f>IFERROR(__xludf.DUMMYFUNCTION("""COMPUTED_VALUE"""),1912.8341)</f>
        <v>1912.8341</v>
      </c>
    </row>
    <row r="1446">
      <c r="A1446" s="3">
        <f>IFERROR(__xludf.DUMMYFUNCTION("""COMPUTED_VALUE"""),41810.99861111111)</f>
        <v>41810.99861</v>
      </c>
      <c r="B1446" s="1">
        <f>IFERROR(__xludf.DUMMYFUNCTION("""COMPUTED_VALUE"""),1919.887)</f>
        <v>1919.887</v>
      </c>
    </row>
    <row r="1447">
      <c r="A1447" s="3">
        <f>IFERROR(__xludf.DUMMYFUNCTION("""COMPUTED_VALUE"""),41811.99861111111)</f>
        <v>41811.99861</v>
      </c>
      <c r="B1447" s="1">
        <f>IFERROR(__xludf.DUMMYFUNCTION("""COMPUTED_VALUE"""),1923.950826)</f>
        <v>1923.950826</v>
      </c>
    </row>
    <row r="1448">
      <c r="A1448" s="3">
        <f>IFERROR(__xludf.DUMMYFUNCTION("""COMPUTED_VALUE"""),41812.99861111111)</f>
        <v>41812.99861</v>
      </c>
      <c r="B1448" s="1">
        <f>IFERROR(__xludf.DUMMYFUNCTION("""COMPUTED_VALUE"""),1923.471784)</f>
        <v>1923.471784</v>
      </c>
    </row>
    <row r="1449">
      <c r="A1449" s="3">
        <f>IFERROR(__xludf.DUMMYFUNCTION("""COMPUTED_VALUE"""),41813.99861111111)</f>
        <v>41813.99861</v>
      </c>
      <c r="B1449" s="1">
        <f>IFERROR(__xludf.DUMMYFUNCTION("""COMPUTED_VALUE"""),1925.63244)</f>
        <v>1925.63244</v>
      </c>
    </row>
    <row r="1450">
      <c r="A1450" s="3">
        <f>IFERROR(__xludf.DUMMYFUNCTION("""COMPUTED_VALUE"""),41814.99861111111)</f>
        <v>41814.99861</v>
      </c>
      <c r="B1450" s="1">
        <f>IFERROR(__xludf.DUMMYFUNCTION("""COMPUTED_VALUE"""),1924.4778)</f>
        <v>1924.4778</v>
      </c>
    </row>
    <row r="1451">
      <c r="A1451" s="3">
        <f>IFERROR(__xludf.DUMMYFUNCTION("""COMPUTED_VALUE"""),41815.99861111111)</f>
        <v>41815.99861</v>
      </c>
      <c r="B1451" s="1">
        <f>IFERROR(__xludf.DUMMYFUNCTION("""COMPUTED_VALUE"""),1939.5987)</f>
        <v>1939.5987</v>
      </c>
    </row>
    <row r="1452">
      <c r="A1452" s="3">
        <f>IFERROR(__xludf.DUMMYFUNCTION("""COMPUTED_VALUE"""),41816.99861111111)</f>
        <v>41816.99861</v>
      </c>
      <c r="B1452" s="1">
        <f>IFERROR(__xludf.DUMMYFUNCTION("""COMPUTED_VALUE"""),1942.2585)</f>
        <v>1942.2585</v>
      </c>
    </row>
    <row r="1453">
      <c r="A1453" s="3">
        <f>IFERROR(__xludf.DUMMYFUNCTION("""COMPUTED_VALUE"""),41817.99861111111)</f>
        <v>41817.99861</v>
      </c>
      <c r="B1453" s="1">
        <f>IFERROR(__xludf.DUMMYFUNCTION("""COMPUTED_VALUE"""),1933.0564)</f>
        <v>1933.0564</v>
      </c>
    </row>
    <row r="1454">
      <c r="A1454" s="3">
        <f>IFERROR(__xludf.DUMMYFUNCTION("""COMPUTED_VALUE"""),41818.99861111111)</f>
        <v>41818.99861</v>
      </c>
      <c r="B1454" s="1">
        <f>IFERROR(__xludf.DUMMYFUNCTION("""COMPUTED_VALUE"""),1932.932568)</f>
        <v>1932.932568</v>
      </c>
    </row>
    <row r="1455">
      <c r="A1455" s="3">
        <f>IFERROR(__xludf.DUMMYFUNCTION("""COMPUTED_VALUE"""),41819.99861111111)</f>
        <v>41819.99861</v>
      </c>
      <c r="B1455" s="1">
        <f>IFERROR(__xludf.DUMMYFUNCTION("""COMPUTED_VALUE"""),1932.451799)</f>
        <v>1932.451799</v>
      </c>
    </row>
    <row r="1456">
      <c r="A1456" s="3">
        <f>IFERROR(__xludf.DUMMYFUNCTION("""COMPUTED_VALUE"""),41820.99861111111)</f>
        <v>41820.99861</v>
      </c>
      <c r="B1456" s="1">
        <f>IFERROR(__xludf.DUMMYFUNCTION("""COMPUTED_VALUE"""),1915.50545)</f>
        <v>1915.50545</v>
      </c>
    </row>
    <row r="1457">
      <c r="A1457" s="3">
        <f>IFERROR(__xludf.DUMMYFUNCTION("""COMPUTED_VALUE"""),41821.99861111111)</f>
        <v>41821.99861</v>
      </c>
      <c r="B1457" s="1">
        <f>IFERROR(__xludf.DUMMYFUNCTION("""COMPUTED_VALUE"""),1919.232)</f>
        <v>1919.232</v>
      </c>
    </row>
    <row r="1458">
      <c r="A1458" s="3">
        <f>IFERROR(__xludf.DUMMYFUNCTION("""COMPUTED_VALUE"""),41822.99861111111)</f>
        <v>41822.99861</v>
      </c>
      <c r="B1458" s="1">
        <f>IFERROR(__xludf.DUMMYFUNCTION("""COMPUTED_VALUE"""),1916.138)</f>
        <v>1916.138</v>
      </c>
    </row>
    <row r="1459">
      <c r="A1459" s="3">
        <f>IFERROR(__xludf.DUMMYFUNCTION("""COMPUTED_VALUE"""),41823.99861111111)</f>
        <v>41823.99861</v>
      </c>
      <c r="B1459" s="1">
        <f>IFERROR(__xludf.DUMMYFUNCTION("""COMPUTED_VALUE"""),1916.34785)</f>
        <v>1916.34785</v>
      </c>
    </row>
    <row r="1460">
      <c r="A1460" s="3">
        <f>IFERROR(__xludf.DUMMYFUNCTION("""COMPUTED_VALUE"""),41824.99861111111)</f>
        <v>41824.99861</v>
      </c>
      <c r="B1460" s="1">
        <f>IFERROR(__xludf.DUMMYFUNCTION("""COMPUTED_VALUE"""),1911.7134)</f>
        <v>1911.7134</v>
      </c>
    </row>
    <row r="1461">
      <c r="A1461" s="3">
        <f>IFERROR(__xludf.DUMMYFUNCTION("""COMPUTED_VALUE"""),41825.99861111111)</f>
        <v>41825.99861</v>
      </c>
      <c r="B1461" s="1">
        <f>IFERROR(__xludf.DUMMYFUNCTION("""COMPUTED_VALUE"""),1914.251046)</f>
        <v>1914.251046</v>
      </c>
    </row>
    <row r="1462">
      <c r="A1462" s="3">
        <f>IFERROR(__xludf.DUMMYFUNCTION("""COMPUTED_VALUE"""),41826.99861111111)</f>
        <v>41826.99861</v>
      </c>
      <c r="B1462" s="1">
        <f>IFERROR(__xludf.DUMMYFUNCTION("""COMPUTED_VALUE"""),1913.657222)</f>
        <v>1913.657222</v>
      </c>
    </row>
    <row r="1463">
      <c r="A1463" s="3">
        <f>IFERROR(__xludf.DUMMYFUNCTION("""COMPUTED_VALUE"""),41827.99861111111)</f>
        <v>41827.99861</v>
      </c>
      <c r="B1463" s="1">
        <f>IFERROR(__xludf.DUMMYFUNCTION("""COMPUTED_VALUE"""),1889.71825)</f>
        <v>1889.71825</v>
      </c>
    </row>
    <row r="1464">
      <c r="A1464" s="3">
        <f>IFERROR(__xludf.DUMMYFUNCTION("""COMPUTED_VALUE"""),41828.99861111111)</f>
        <v>41828.99861</v>
      </c>
      <c r="B1464" s="1">
        <f>IFERROR(__xludf.DUMMYFUNCTION("""COMPUTED_VALUE"""),1881.0979)</f>
        <v>1881.0979</v>
      </c>
    </row>
    <row r="1465">
      <c r="A1465" s="3">
        <f>IFERROR(__xludf.DUMMYFUNCTION("""COMPUTED_VALUE"""),41829.99861111111)</f>
        <v>41829.99861</v>
      </c>
      <c r="B1465" s="1">
        <f>IFERROR(__xludf.DUMMYFUNCTION("""COMPUTED_VALUE"""),1873.2672)</f>
        <v>1873.2672</v>
      </c>
    </row>
    <row r="1466">
      <c r="A1466" s="3">
        <f>IFERROR(__xludf.DUMMYFUNCTION("""COMPUTED_VALUE"""),41830.99861111111)</f>
        <v>41830.99861</v>
      </c>
      <c r="B1466" s="1">
        <f>IFERROR(__xludf.DUMMYFUNCTION("""COMPUTED_VALUE"""),1865.3154)</f>
        <v>1865.3154</v>
      </c>
    </row>
    <row r="1467">
      <c r="A1467" s="3">
        <f>IFERROR(__xludf.DUMMYFUNCTION("""COMPUTED_VALUE"""),41831.99861111111)</f>
        <v>41831.99861</v>
      </c>
      <c r="B1467" s="1">
        <f>IFERROR(__xludf.DUMMYFUNCTION("""COMPUTED_VALUE"""),1870.726)</f>
        <v>1870.726</v>
      </c>
    </row>
    <row r="1468">
      <c r="A1468" s="3">
        <f>IFERROR(__xludf.DUMMYFUNCTION("""COMPUTED_VALUE"""),41832.99861111111)</f>
        <v>41832.99861</v>
      </c>
      <c r="B1468" s="1">
        <f>IFERROR(__xludf.DUMMYFUNCTION("""COMPUTED_VALUE"""),1876.367299)</f>
        <v>1876.367299</v>
      </c>
    </row>
    <row r="1469">
      <c r="A1469" s="3">
        <f>IFERROR(__xludf.DUMMYFUNCTION("""COMPUTED_VALUE"""),41833.99861111111)</f>
        <v>41833.99861</v>
      </c>
      <c r="B1469" s="1">
        <f>IFERROR(__xludf.DUMMYFUNCTION("""COMPUTED_VALUE"""),1875.901641)</f>
        <v>1875.901641</v>
      </c>
    </row>
    <row r="1470">
      <c r="A1470" s="3">
        <f>IFERROR(__xludf.DUMMYFUNCTION("""COMPUTED_VALUE"""),41834.99861111111)</f>
        <v>41834.99861</v>
      </c>
      <c r="B1470" s="1">
        <f>IFERROR(__xludf.DUMMYFUNCTION("""COMPUTED_VALUE"""),1878.7758)</f>
        <v>1878.7758</v>
      </c>
    </row>
    <row r="1471">
      <c r="A1471" s="3">
        <f>IFERROR(__xludf.DUMMYFUNCTION("""COMPUTED_VALUE"""),41835.99861111111)</f>
        <v>41835.99861</v>
      </c>
      <c r="B1471" s="1">
        <f>IFERROR(__xludf.DUMMYFUNCTION("""COMPUTED_VALUE"""),1887.3888)</f>
        <v>1887.3888</v>
      </c>
    </row>
    <row r="1472">
      <c r="A1472" s="3">
        <f>IFERROR(__xludf.DUMMYFUNCTION("""COMPUTED_VALUE"""),41836.99861111111)</f>
        <v>41836.99861</v>
      </c>
      <c r="B1472" s="1">
        <f>IFERROR(__xludf.DUMMYFUNCTION("""COMPUTED_VALUE"""),1876.57398)</f>
        <v>1876.57398</v>
      </c>
    </row>
    <row r="1473">
      <c r="A1473" s="3">
        <f>IFERROR(__xludf.DUMMYFUNCTION("""COMPUTED_VALUE"""),41837.99861111111)</f>
        <v>41837.99861</v>
      </c>
      <c r="B1473" s="1">
        <f>IFERROR(__xludf.DUMMYFUNCTION("""COMPUTED_VALUE"""),1879.1256)</f>
        <v>1879.1256</v>
      </c>
    </row>
    <row r="1474">
      <c r="A1474" s="3">
        <f>IFERROR(__xludf.DUMMYFUNCTION("""COMPUTED_VALUE"""),41838.99861111111)</f>
        <v>41838.99861</v>
      </c>
      <c r="B1474" s="1">
        <f>IFERROR(__xludf.DUMMYFUNCTION("""COMPUTED_VALUE"""),1870.4796)</f>
        <v>1870.4796</v>
      </c>
    </row>
    <row r="1475">
      <c r="A1475" s="3">
        <f>IFERROR(__xludf.DUMMYFUNCTION("""COMPUTED_VALUE"""),41839.99861111111)</f>
        <v>41839.99861</v>
      </c>
      <c r="B1475" s="1">
        <f>IFERROR(__xludf.DUMMYFUNCTION("""COMPUTED_VALUE"""),1874.621083)</f>
        <v>1874.621083</v>
      </c>
    </row>
    <row r="1476">
      <c r="A1476" s="3">
        <f>IFERROR(__xludf.DUMMYFUNCTION("""COMPUTED_VALUE"""),41840.99861111111)</f>
        <v>41840.99861</v>
      </c>
      <c r="B1476" s="1">
        <f>IFERROR(__xludf.DUMMYFUNCTION("""COMPUTED_VALUE"""),1876.250884)</f>
        <v>1876.250884</v>
      </c>
    </row>
    <row r="1477">
      <c r="A1477" s="3">
        <f>IFERROR(__xludf.DUMMYFUNCTION("""COMPUTED_VALUE"""),41841.99861111111)</f>
        <v>41841.99861</v>
      </c>
      <c r="B1477" s="1">
        <f>IFERROR(__xludf.DUMMYFUNCTION("""COMPUTED_VALUE"""),1861.738)</f>
        <v>1861.738</v>
      </c>
    </row>
    <row r="1478">
      <c r="A1478" s="3">
        <f>IFERROR(__xludf.DUMMYFUNCTION("""COMPUTED_VALUE"""),41842.99861111111)</f>
        <v>41842.99861</v>
      </c>
      <c r="B1478" s="1">
        <f>IFERROR(__xludf.DUMMYFUNCTION("""COMPUTED_VALUE"""),1866.8118)</f>
        <v>1866.8118</v>
      </c>
    </row>
    <row r="1479">
      <c r="A1479" s="3">
        <f>IFERROR(__xludf.DUMMYFUNCTION("""COMPUTED_VALUE"""),41843.99861111111)</f>
        <v>41843.99861</v>
      </c>
      <c r="B1479" s="1">
        <f>IFERROR(__xludf.DUMMYFUNCTION("""COMPUTED_VALUE"""),1852.41565)</f>
        <v>1852.41565</v>
      </c>
    </row>
    <row r="1480">
      <c r="A1480" s="3">
        <f>IFERROR(__xludf.DUMMYFUNCTION("""COMPUTED_VALUE"""),41844.99861111111)</f>
        <v>41844.99861</v>
      </c>
      <c r="B1480" s="1">
        <f>IFERROR(__xludf.DUMMYFUNCTION("""COMPUTED_VALUE"""),1864.83936)</f>
        <v>1864.83936</v>
      </c>
    </row>
    <row r="1481">
      <c r="A1481" s="3">
        <f>IFERROR(__xludf.DUMMYFUNCTION("""COMPUTED_VALUE"""),41845.99861111111)</f>
        <v>41845.99861</v>
      </c>
      <c r="B1481" s="1">
        <f>IFERROR(__xludf.DUMMYFUNCTION("""COMPUTED_VALUE"""),1866.98589)</f>
        <v>1866.98589</v>
      </c>
    </row>
    <row r="1482">
      <c r="A1482" s="3">
        <f>IFERROR(__xludf.DUMMYFUNCTION("""COMPUTED_VALUE"""),41846.99861111111)</f>
        <v>41846.99861</v>
      </c>
      <c r="B1482" s="1">
        <f>IFERROR(__xludf.DUMMYFUNCTION("""COMPUTED_VALUE"""),1871.262145)</f>
        <v>1871.262145</v>
      </c>
    </row>
    <row r="1483">
      <c r="A1483" s="3">
        <f>IFERROR(__xludf.DUMMYFUNCTION("""COMPUTED_VALUE"""),41847.99861111111)</f>
        <v>41847.99861</v>
      </c>
      <c r="B1483" s="1">
        <f>IFERROR(__xludf.DUMMYFUNCTION("""COMPUTED_VALUE"""),1871.493894)</f>
        <v>1871.493894</v>
      </c>
    </row>
    <row r="1484">
      <c r="A1484" s="3">
        <f>IFERROR(__xludf.DUMMYFUNCTION("""COMPUTED_VALUE"""),41848.99861111111)</f>
        <v>41848.99861</v>
      </c>
      <c r="B1484" s="1">
        <f>IFERROR(__xludf.DUMMYFUNCTION("""COMPUTED_VALUE"""),1868.37321)</f>
        <v>1868.37321</v>
      </c>
    </row>
    <row r="1485">
      <c r="A1485" s="3">
        <f>IFERROR(__xludf.DUMMYFUNCTION("""COMPUTED_VALUE"""),41849.99861111111)</f>
        <v>41849.99861</v>
      </c>
      <c r="B1485" s="1">
        <f>IFERROR(__xludf.DUMMYFUNCTION("""COMPUTED_VALUE"""),1870.5698)</f>
        <v>1870.5698</v>
      </c>
    </row>
    <row r="1486">
      <c r="A1486" s="3">
        <f>IFERROR(__xludf.DUMMYFUNCTION("""COMPUTED_VALUE"""),41850.99861111111)</f>
        <v>41850.99861</v>
      </c>
      <c r="B1486" s="1">
        <f>IFERROR(__xludf.DUMMYFUNCTION("""COMPUTED_VALUE"""),1872.882)</f>
        <v>1872.882</v>
      </c>
    </row>
    <row r="1487">
      <c r="A1487" s="3">
        <f>IFERROR(__xludf.DUMMYFUNCTION("""COMPUTED_VALUE"""),41851.99861111111)</f>
        <v>41851.99861</v>
      </c>
      <c r="B1487" s="1">
        <f>IFERROR(__xludf.DUMMYFUNCTION("""COMPUTED_VALUE"""),1904.92917)</f>
        <v>1904.92917</v>
      </c>
    </row>
    <row r="1488">
      <c r="A1488" s="3">
        <f>IFERROR(__xludf.DUMMYFUNCTION("""COMPUTED_VALUE"""),41852.99861111111)</f>
        <v>41852.99861</v>
      </c>
      <c r="B1488" s="1">
        <f>IFERROR(__xludf.DUMMYFUNCTION("""COMPUTED_VALUE"""),1919.58424)</f>
        <v>1919.58424</v>
      </c>
    </row>
    <row r="1489">
      <c r="A1489" s="3">
        <f>IFERROR(__xludf.DUMMYFUNCTION("""COMPUTED_VALUE"""),41853.99861111111)</f>
        <v>41853.99861</v>
      </c>
      <c r="B1489" s="1">
        <f>IFERROR(__xludf.DUMMYFUNCTION("""COMPUTED_VALUE"""),1910.506793)</f>
        <v>1910.506793</v>
      </c>
    </row>
    <row r="1490">
      <c r="A1490" s="3">
        <f>IFERROR(__xludf.DUMMYFUNCTION("""COMPUTED_VALUE"""),41854.99861111111)</f>
        <v>41854.99861</v>
      </c>
      <c r="B1490" s="1">
        <f>IFERROR(__xludf.DUMMYFUNCTION("""COMPUTED_VALUE"""),1921.02064)</f>
        <v>1921.02064</v>
      </c>
    </row>
    <row r="1491">
      <c r="A1491" s="3">
        <f>IFERROR(__xludf.DUMMYFUNCTION("""COMPUTED_VALUE"""),41855.99861111111)</f>
        <v>41855.99861</v>
      </c>
      <c r="B1491" s="1">
        <f>IFERROR(__xludf.DUMMYFUNCTION("""COMPUTED_VALUE"""),1902.4292)</f>
        <v>1902.4292</v>
      </c>
    </row>
    <row r="1492">
      <c r="A1492" s="3">
        <f>IFERROR(__xludf.DUMMYFUNCTION("""COMPUTED_VALUE"""),41856.99861111111)</f>
        <v>41856.99861</v>
      </c>
      <c r="B1492" s="1">
        <f>IFERROR(__xludf.DUMMYFUNCTION("""COMPUTED_VALUE"""),1891.70025)</f>
        <v>1891.70025</v>
      </c>
    </row>
    <row r="1493">
      <c r="A1493" s="3">
        <f>IFERROR(__xludf.DUMMYFUNCTION("""COMPUTED_VALUE"""),41857.99861111111)</f>
        <v>41857.99861</v>
      </c>
      <c r="B1493" s="1">
        <f>IFERROR(__xludf.DUMMYFUNCTION("""COMPUTED_VALUE"""),1907.97066)</f>
        <v>1907.97066</v>
      </c>
    </row>
    <row r="1494">
      <c r="A1494" s="3">
        <f>IFERROR(__xludf.DUMMYFUNCTION("""COMPUTED_VALUE"""),41858.99861111111)</f>
        <v>41858.99861</v>
      </c>
      <c r="B1494" s="1">
        <f>IFERROR(__xludf.DUMMYFUNCTION("""COMPUTED_VALUE"""),1916.15803)</f>
        <v>1916.15803</v>
      </c>
    </row>
    <row r="1495">
      <c r="A1495" s="3">
        <f>IFERROR(__xludf.DUMMYFUNCTION("""COMPUTED_VALUE"""),41859.99861111111)</f>
        <v>41859.99861</v>
      </c>
      <c r="B1495" s="1">
        <f>IFERROR(__xludf.DUMMYFUNCTION("""COMPUTED_VALUE"""),1907.388)</f>
        <v>1907.388</v>
      </c>
    </row>
    <row r="1496">
      <c r="A1496" s="3">
        <f>IFERROR(__xludf.DUMMYFUNCTION("""COMPUTED_VALUE"""),41860.99861111111)</f>
        <v>41860.99861</v>
      </c>
      <c r="B1496" s="1">
        <f>IFERROR(__xludf.DUMMYFUNCTION("""COMPUTED_VALUE"""),1917.354488)</f>
        <v>1917.354488</v>
      </c>
    </row>
    <row r="1497">
      <c r="A1497" s="3">
        <f>IFERROR(__xludf.DUMMYFUNCTION("""COMPUTED_VALUE"""),41861.99861111111)</f>
        <v>41861.99861</v>
      </c>
      <c r="B1497" s="1">
        <f>IFERROR(__xludf.DUMMYFUNCTION("""COMPUTED_VALUE"""),1919.266982)</f>
        <v>1919.266982</v>
      </c>
    </row>
    <row r="1498">
      <c r="A1498" s="3">
        <f>IFERROR(__xludf.DUMMYFUNCTION("""COMPUTED_VALUE"""),41862.99861111111)</f>
        <v>41862.99861</v>
      </c>
      <c r="B1498" s="1">
        <f>IFERROR(__xludf.DUMMYFUNCTION("""COMPUTED_VALUE"""),1901.484)</f>
        <v>1901.484</v>
      </c>
    </row>
    <row r="1499">
      <c r="A1499" s="3">
        <f>IFERROR(__xludf.DUMMYFUNCTION("""COMPUTED_VALUE"""),41863.99861111111)</f>
        <v>41863.99861</v>
      </c>
      <c r="B1499" s="1">
        <f>IFERROR(__xludf.DUMMYFUNCTION("""COMPUTED_VALUE"""),1896.7152)</f>
        <v>1896.7152</v>
      </c>
    </row>
    <row r="1500">
      <c r="A1500" s="3">
        <f>IFERROR(__xludf.DUMMYFUNCTION("""COMPUTED_VALUE"""),41864.99861111111)</f>
        <v>41864.99861</v>
      </c>
      <c r="B1500" s="1">
        <f>IFERROR(__xludf.DUMMYFUNCTION("""COMPUTED_VALUE"""),1898.72116)</f>
        <v>1898.72116</v>
      </c>
    </row>
    <row r="1501">
      <c r="A1501" s="3">
        <f>IFERROR(__xludf.DUMMYFUNCTION("""COMPUTED_VALUE"""),41865.99861111111)</f>
        <v>41865.99861</v>
      </c>
      <c r="B1501" s="1">
        <f>IFERROR(__xludf.DUMMYFUNCTION("""COMPUTED_VALUE"""),1896.8418)</f>
        <v>1896.8418</v>
      </c>
    </row>
    <row r="1502">
      <c r="A1502" s="3">
        <f>IFERROR(__xludf.DUMMYFUNCTION("""COMPUTED_VALUE"""),41866.99861111111)</f>
        <v>41866.99861</v>
      </c>
      <c r="B1502" s="1">
        <f>IFERROR(__xludf.DUMMYFUNCTION("""COMPUTED_VALUE"""),1898.2209)</f>
        <v>1898.2209</v>
      </c>
    </row>
    <row r="1503">
      <c r="A1503" s="3">
        <f>IFERROR(__xludf.DUMMYFUNCTION("""COMPUTED_VALUE"""),41867.99861111111)</f>
        <v>41867.99861</v>
      </c>
      <c r="B1503" s="1">
        <f>IFERROR(__xludf.DUMMYFUNCTION("""COMPUTED_VALUE"""),1900.700448)</f>
        <v>1900.700448</v>
      </c>
    </row>
    <row r="1504">
      <c r="A1504" s="3">
        <f>IFERROR(__xludf.DUMMYFUNCTION("""COMPUTED_VALUE"""),41868.99861111111)</f>
        <v>41868.99861</v>
      </c>
      <c r="B1504" s="1">
        <f>IFERROR(__xludf.DUMMYFUNCTION("""COMPUTED_VALUE"""),1899.181756)</f>
        <v>1899.181756</v>
      </c>
    </row>
    <row r="1505">
      <c r="A1505" s="3">
        <f>IFERROR(__xludf.DUMMYFUNCTION("""COMPUTED_VALUE"""),41869.99861111111)</f>
        <v>41869.99861</v>
      </c>
      <c r="B1505" s="1">
        <f>IFERROR(__xludf.DUMMYFUNCTION("""COMPUTED_VALUE"""),1901.0368)</f>
        <v>1901.0368</v>
      </c>
    </row>
    <row r="1506">
      <c r="A1506" s="3">
        <f>IFERROR(__xludf.DUMMYFUNCTION("""COMPUTED_VALUE"""),41870.99861111111)</f>
        <v>41870.99861</v>
      </c>
      <c r="B1506" s="1">
        <f>IFERROR(__xludf.DUMMYFUNCTION("""COMPUTED_VALUE"""),1899.31955)</f>
        <v>1899.31955</v>
      </c>
    </row>
    <row r="1507">
      <c r="A1507" s="3">
        <f>IFERROR(__xludf.DUMMYFUNCTION("""COMPUTED_VALUE"""),41871.99861111111)</f>
        <v>41871.99861</v>
      </c>
      <c r="B1507" s="1">
        <f>IFERROR(__xludf.DUMMYFUNCTION("""COMPUTED_VALUE"""),1905.462)</f>
        <v>1905.462</v>
      </c>
    </row>
    <row r="1508">
      <c r="A1508" s="3">
        <f>IFERROR(__xludf.DUMMYFUNCTION("""COMPUTED_VALUE"""),41872.99861111111)</f>
        <v>41872.99861</v>
      </c>
      <c r="B1508" s="1">
        <f>IFERROR(__xludf.DUMMYFUNCTION("""COMPUTED_VALUE"""),1899.8844)</f>
        <v>1899.8844</v>
      </c>
    </row>
    <row r="1509">
      <c r="A1509" s="3">
        <f>IFERROR(__xludf.DUMMYFUNCTION("""COMPUTED_VALUE"""),41873.99861111111)</f>
        <v>41873.99861</v>
      </c>
      <c r="B1509" s="1">
        <f>IFERROR(__xludf.DUMMYFUNCTION("""COMPUTED_VALUE"""),1895.4496)</f>
        <v>1895.4496</v>
      </c>
    </row>
    <row r="1510">
      <c r="A1510" s="3">
        <f>IFERROR(__xludf.DUMMYFUNCTION("""COMPUTED_VALUE"""),41874.99861111111)</f>
        <v>41874.99861</v>
      </c>
      <c r="B1510" s="1">
        <f>IFERROR(__xludf.DUMMYFUNCTION("""COMPUTED_VALUE"""),1899.064934)</f>
        <v>1899.064934</v>
      </c>
    </row>
    <row r="1511">
      <c r="A1511" s="3">
        <f>IFERROR(__xludf.DUMMYFUNCTION("""COMPUTED_VALUE"""),41875.99861111111)</f>
        <v>41875.99861</v>
      </c>
      <c r="B1511" s="1">
        <f>IFERROR(__xludf.DUMMYFUNCTION("""COMPUTED_VALUE"""),1891.237833)</f>
        <v>1891.237833</v>
      </c>
    </row>
    <row r="1512">
      <c r="A1512" s="3">
        <f>IFERROR(__xludf.DUMMYFUNCTION("""COMPUTED_VALUE"""),41876.99861111111)</f>
        <v>41876.99861</v>
      </c>
      <c r="B1512" s="1">
        <f>IFERROR(__xludf.DUMMYFUNCTION("""COMPUTED_VALUE"""),1900.57406)</f>
        <v>1900.57406</v>
      </c>
    </row>
    <row r="1513">
      <c r="A1513" s="3">
        <f>IFERROR(__xludf.DUMMYFUNCTION("""COMPUTED_VALUE"""),41877.99861111111)</f>
        <v>41877.99861</v>
      </c>
      <c r="B1513" s="1">
        <f>IFERROR(__xludf.DUMMYFUNCTION("""COMPUTED_VALUE"""),1901.15896)</f>
        <v>1901.15896</v>
      </c>
    </row>
    <row r="1514">
      <c r="A1514" s="3">
        <f>IFERROR(__xludf.DUMMYFUNCTION("""COMPUTED_VALUE"""),41878.99861111111)</f>
        <v>41878.99861</v>
      </c>
      <c r="B1514" s="1">
        <f>IFERROR(__xludf.DUMMYFUNCTION("""COMPUTED_VALUE"""),1898.8287)</f>
        <v>1898.8287</v>
      </c>
    </row>
    <row r="1515">
      <c r="A1515" s="3">
        <f>IFERROR(__xludf.DUMMYFUNCTION("""COMPUTED_VALUE"""),41879.99861111111)</f>
        <v>41879.99861</v>
      </c>
      <c r="B1515" s="1">
        <f>IFERROR(__xludf.DUMMYFUNCTION("""COMPUTED_VALUE"""),1906.9677)</f>
        <v>1906.9677</v>
      </c>
    </row>
    <row r="1516">
      <c r="A1516" s="3">
        <f>IFERROR(__xludf.DUMMYFUNCTION("""COMPUTED_VALUE"""),41880.99861111111)</f>
        <v>41880.99861</v>
      </c>
      <c r="B1516" s="1">
        <f>IFERROR(__xludf.DUMMYFUNCTION("""COMPUTED_VALUE"""),1896.7668)</f>
        <v>1896.7668</v>
      </c>
    </row>
    <row r="1517">
      <c r="A1517" s="3">
        <f>IFERROR(__xludf.DUMMYFUNCTION("""COMPUTED_VALUE"""),41881.99861111111)</f>
        <v>41881.99861</v>
      </c>
      <c r="B1517" s="1">
        <f>IFERROR(__xludf.DUMMYFUNCTION("""COMPUTED_VALUE"""),1899.29712)</f>
        <v>1899.29712</v>
      </c>
    </row>
    <row r="1518">
      <c r="A1518" s="3">
        <f>IFERROR(__xludf.DUMMYFUNCTION("""COMPUTED_VALUE"""),41882.99861111111)</f>
        <v>41882.99861</v>
      </c>
      <c r="B1518" s="1">
        <f>IFERROR(__xludf.DUMMYFUNCTION("""COMPUTED_VALUE"""),1891.451688)</f>
        <v>1891.451688</v>
      </c>
    </row>
    <row r="1519">
      <c r="A1519" s="3">
        <f>IFERROR(__xludf.DUMMYFUNCTION("""COMPUTED_VALUE"""),41883.99861111111)</f>
        <v>41883.99861</v>
      </c>
      <c r="B1519" s="1">
        <f>IFERROR(__xludf.DUMMYFUNCTION("""COMPUTED_VALUE"""),1906.17948)</f>
        <v>1906.17948</v>
      </c>
    </row>
    <row r="1520">
      <c r="A1520" s="3">
        <f>IFERROR(__xludf.DUMMYFUNCTION("""COMPUTED_VALUE"""),41884.99861111111)</f>
        <v>41884.99861</v>
      </c>
      <c r="B1520" s="1">
        <f>IFERROR(__xludf.DUMMYFUNCTION("""COMPUTED_VALUE"""),1909.99895)</f>
        <v>1909.99895</v>
      </c>
    </row>
    <row r="1521">
      <c r="A1521" s="3">
        <f>IFERROR(__xludf.DUMMYFUNCTION("""COMPUTED_VALUE"""),41885.99861111111)</f>
        <v>41885.99861</v>
      </c>
      <c r="B1521" s="1">
        <f>IFERROR(__xludf.DUMMYFUNCTION("""COMPUTED_VALUE"""),1916.02061)</f>
        <v>1916.02061</v>
      </c>
    </row>
    <row r="1522">
      <c r="A1522" s="3">
        <f>IFERROR(__xludf.DUMMYFUNCTION("""COMPUTED_VALUE"""),41886.99861111111)</f>
        <v>41886.99861</v>
      </c>
      <c r="B1522" s="1">
        <f>IFERROR(__xludf.DUMMYFUNCTION("""COMPUTED_VALUE"""),1912.49149)</f>
        <v>1912.49149</v>
      </c>
    </row>
    <row r="1523">
      <c r="A1523" s="3">
        <f>IFERROR(__xludf.DUMMYFUNCTION("""COMPUTED_VALUE"""),41887.99861111111)</f>
        <v>41887.99861</v>
      </c>
      <c r="B1523" s="1">
        <f>IFERROR(__xludf.DUMMYFUNCTION("""COMPUTED_VALUE"""),1899.5501)</f>
        <v>1899.5501</v>
      </c>
    </row>
    <row r="1524">
      <c r="A1524" s="3">
        <f>IFERROR(__xludf.DUMMYFUNCTION("""COMPUTED_VALUE"""),41888.99861111111)</f>
        <v>41888.99861</v>
      </c>
      <c r="B1524" s="1">
        <f>IFERROR(__xludf.DUMMYFUNCTION("""COMPUTED_VALUE"""),1901.993814)</f>
        <v>1901.993814</v>
      </c>
    </row>
    <row r="1525">
      <c r="A1525" s="3">
        <f>IFERROR(__xludf.DUMMYFUNCTION("""COMPUTED_VALUE"""),41889.99861111111)</f>
        <v>41889.99861</v>
      </c>
      <c r="B1525" s="1">
        <f>IFERROR(__xludf.DUMMYFUNCTION("""COMPUTED_VALUE"""),1901.52433)</f>
        <v>1901.52433</v>
      </c>
    </row>
    <row r="1526">
      <c r="A1526" s="3">
        <f>IFERROR(__xludf.DUMMYFUNCTION("""COMPUTED_VALUE"""),41890.99861111111)</f>
        <v>41890.99861</v>
      </c>
      <c r="B1526" s="1">
        <f>IFERROR(__xludf.DUMMYFUNCTION("""COMPUTED_VALUE"""),1907.34492)</f>
        <v>1907.34492</v>
      </c>
    </row>
    <row r="1527">
      <c r="A1527" s="3">
        <f>IFERROR(__xludf.DUMMYFUNCTION("""COMPUTED_VALUE"""),41891.99861111111)</f>
        <v>41891.99861</v>
      </c>
      <c r="B1527" s="1">
        <f>IFERROR(__xludf.DUMMYFUNCTION("""COMPUTED_VALUE"""),1923.60798)</f>
        <v>1923.60798</v>
      </c>
    </row>
    <row r="1528">
      <c r="A1528" s="3">
        <f>IFERROR(__xludf.DUMMYFUNCTION("""COMPUTED_VALUE"""),41892.99861111111)</f>
        <v>41892.99861</v>
      </c>
      <c r="B1528" s="1">
        <f>IFERROR(__xludf.DUMMYFUNCTION("""COMPUTED_VALUE"""),1927.7354)</f>
        <v>1927.7354</v>
      </c>
    </row>
    <row r="1529">
      <c r="A1529" s="3">
        <f>IFERROR(__xludf.DUMMYFUNCTION("""COMPUTED_VALUE"""),41893.99861111111)</f>
        <v>41893.99861</v>
      </c>
      <c r="B1529" s="1">
        <f>IFERROR(__xludf.DUMMYFUNCTION("""COMPUTED_VALUE"""),1929.8279)</f>
        <v>1929.8279</v>
      </c>
    </row>
    <row r="1530">
      <c r="A1530" s="3">
        <f>IFERROR(__xludf.DUMMYFUNCTION("""COMPUTED_VALUE"""),41894.99861111111)</f>
        <v>41894.99861</v>
      </c>
      <c r="B1530" s="1">
        <f>IFERROR(__xludf.DUMMYFUNCTION("""COMPUTED_VALUE"""),1933.4518)</f>
        <v>1933.4518</v>
      </c>
    </row>
    <row r="1531">
      <c r="A1531" s="3">
        <f>IFERROR(__xludf.DUMMYFUNCTION("""COMPUTED_VALUE"""),41895.99861111111)</f>
        <v>41895.99861</v>
      </c>
      <c r="B1531" s="1">
        <f>IFERROR(__xludf.DUMMYFUNCTION("""COMPUTED_VALUE"""),1936.547309)</f>
        <v>1936.547309</v>
      </c>
    </row>
    <row r="1532">
      <c r="A1532" s="3">
        <f>IFERROR(__xludf.DUMMYFUNCTION("""COMPUTED_VALUE"""),41896.99861111111)</f>
        <v>41896.99861</v>
      </c>
      <c r="B1532" s="1">
        <f>IFERROR(__xludf.DUMMYFUNCTION("""COMPUTED_VALUE"""),1942.023498)</f>
        <v>1942.023498</v>
      </c>
    </row>
    <row r="1533">
      <c r="A1533" s="3">
        <f>IFERROR(__xludf.DUMMYFUNCTION("""COMPUTED_VALUE"""),41897.99861111111)</f>
        <v>41897.99861</v>
      </c>
      <c r="B1533" s="1">
        <f>IFERROR(__xludf.DUMMYFUNCTION("""COMPUTED_VALUE"""),1943.13735)</f>
        <v>1943.13735</v>
      </c>
    </row>
    <row r="1534">
      <c r="A1534" s="3">
        <f>IFERROR(__xludf.DUMMYFUNCTION("""COMPUTED_VALUE"""),41898.99861111111)</f>
        <v>41898.99861</v>
      </c>
      <c r="B1534" s="1">
        <f>IFERROR(__xludf.DUMMYFUNCTION("""COMPUTED_VALUE"""),1949.36025)</f>
        <v>1949.36025</v>
      </c>
    </row>
    <row r="1535">
      <c r="A1535" s="3">
        <f>IFERROR(__xludf.DUMMYFUNCTION("""COMPUTED_VALUE"""),41899.99861111111)</f>
        <v>41899.99861</v>
      </c>
      <c r="B1535" s="1">
        <f>IFERROR(__xludf.DUMMYFUNCTION("""COMPUTED_VALUE"""),1947.53322)</f>
        <v>1947.53322</v>
      </c>
    </row>
    <row r="1536">
      <c r="A1536" s="3">
        <f>IFERROR(__xludf.DUMMYFUNCTION("""COMPUTED_VALUE"""),41900.99861111111)</f>
        <v>41900.99861</v>
      </c>
      <c r="B1536" s="1">
        <f>IFERROR(__xludf.DUMMYFUNCTION("""COMPUTED_VALUE"""),1949.39103)</f>
        <v>1949.39103</v>
      </c>
    </row>
    <row r="1537">
      <c r="A1537" s="3">
        <f>IFERROR(__xludf.DUMMYFUNCTION("""COMPUTED_VALUE"""),41901.99861111111)</f>
        <v>41901.99861</v>
      </c>
      <c r="B1537" s="1">
        <f>IFERROR(__xludf.DUMMYFUNCTION("""COMPUTED_VALUE"""),1949.75393)</f>
        <v>1949.75393</v>
      </c>
    </row>
    <row r="1538">
      <c r="A1538" s="3">
        <f>IFERROR(__xludf.DUMMYFUNCTION("""COMPUTED_VALUE"""),41902.99861111111)</f>
        <v>41902.99861</v>
      </c>
      <c r="B1538" s="1">
        <f>IFERROR(__xludf.DUMMYFUNCTION("""COMPUTED_VALUE"""),1953.18096)</f>
        <v>1953.18096</v>
      </c>
    </row>
    <row r="1539">
      <c r="A1539" s="3">
        <f>IFERROR(__xludf.DUMMYFUNCTION("""COMPUTED_VALUE"""),41903.99861111111)</f>
        <v>41903.99861</v>
      </c>
      <c r="B1539" s="1">
        <f>IFERROR(__xludf.DUMMYFUNCTION("""COMPUTED_VALUE"""),1949.219376)</f>
        <v>1949.219376</v>
      </c>
    </row>
    <row r="1540">
      <c r="A1540" s="3">
        <f>IFERROR(__xludf.DUMMYFUNCTION("""COMPUTED_VALUE"""),41904.99861111111)</f>
        <v>41904.99861</v>
      </c>
      <c r="B1540" s="1">
        <f>IFERROR(__xludf.DUMMYFUNCTION("""COMPUTED_VALUE"""),1952.2458)</f>
        <v>1952.2458</v>
      </c>
    </row>
    <row r="1541">
      <c r="A1541" s="3">
        <f>IFERROR(__xludf.DUMMYFUNCTION("""COMPUTED_VALUE"""),41905.99861111111)</f>
        <v>41905.99861</v>
      </c>
      <c r="B1541" s="1">
        <f>IFERROR(__xludf.DUMMYFUNCTION("""COMPUTED_VALUE"""),1950.5115)</f>
        <v>1950.5115</v>
      </c>
    </row>
    <row r="1542">
      <c r="A1542" s="3">
        <f>IFERROR(__xludf.DUMMYFUNCTION("""COMPUTED_VALUE"""),41906.99861111111)</f>
        <v>41906.99861</v>
      </c>
      <c r="B1542" s="1">
        <f>IFERROR(__xludf.DUMMYFUNCTION("""COMPUTED_VALUE"""),1946.11185)</f>
        <v>1946.11185</v>
      </c>
    </row>
    <row r="1543">
      <c r="A1543" s="3">
        <f>IFERROR(__xludf.DUMMYFUNCTION("""COMPUTED_VALUE"""),41907.99861111111)</f>
        <v>41907.99861</v>
      </c>
      <c r="B1543" s="1">
        <f>IFERROR(__xludf.DUMMYFUNCTION("""COMPUTED_VALUE"""),1952.414)</f>
        <v>1952.414</v>
      </c>
    </row>
    <row r="1544">
      <c r="A1544" s="3">
        <f>IFERROR(__xludf.DUMMYFUNCTION("""COMPUTED_VALUE"""),41908.99861111111)</f>
        <v>41908.99861</v>
      </c>
      <c r="B1544" s="1">
        <f>IFERROR(__xludf.DUMMYFUNCTION("""COMPUTED_VALUE"""),1966.6805)</f>
        <v>1966.6805</v>
      </c>
    </row>
    <row r="1545">
      <c r="A1545" s="3">
        <f>IFERROR(__xludf.DUMMYFUNCTION("""COMPUTED_VALUE"""),41909.99861111111)</f>
        <v>41909.99861</v>
      </c>
      <c r="B1545" s="1">
        <f>IFERROR(__xludf.DUMMYFUNCTION("""COMPUTED_VALUE"""),1960.795136)</f>
        <v>1960.795136</v>
      </c>
    </row>
    <row r="1546">
      <c r="A1546" s="3">
        <f>IFERROR(__xludf.DUMMYFUNCTION("""COMPUTED_VALUE"""),41910.99861111111)</f>
        <v>41910.99861</v>
      </c>
      <c r="B1546" s="1">
        <f>IFERROR(__xludf.DUMMYFUNCTION("""COMPUTED_VALUE"""),1950.300569)</f>
        <v>1950.300569</v>
      </c>
    </row>
    <row r="1547">
      <c r="A1547" s="3">
        <f>IFERROR(__xludf.DUMMYFUNCTION("""COMPUTED_VALUE"""),41911.99861111111)</f>
        <v>41911.99861</v>
      </c>
      <c r="B1547" s="1">
        <f>IFERROR(__xludf.DUMMYFUNCTION("""COMPUTED_VALUE"""),1974.04636)</f>
        <v>1974.04636</v>
      </c>
    </row>
    <row r="1548">
      <c r="A1548" s="3">
        <f>IFERROR(__xludf.DUMMYFUNCTION("""COMPUTED_VALUE"""),41912.99861111111)</f>
        <v>41912.99861</v>
      </c>
      <c r="B1548" s="1">
        <f>IFERROR(__xludf.DUMMYFUNCTION("""COMPUTED_VALUE"""),1983.7945)</f>
        <v>1983.7945</v>
      </c>
    </row>
    <row r="1549">
      <c r="A1549" s="3">
        <f>IFERROR(__xludf.DUMMYFUNCTION("""COMPUTED_VALUE"""),41913.99861111111)</f>
        <v>41913.99861</v>
      </c>
      <c r="B1549" s="1">
        <f>IFERROR(__xludf.DUMMYFUNCTION("""COMPUTED_VALUE"""),1975.977)</f>
        <v>1975.977</v>
      </c>
    </row>
    <row r="1550">
      <c r="A1550" s="3">
        <f>IFERROR(__xludf.DUMMYFUNCTION("""COMPUTED_VALUE"""),41914.99861111111)</f>
        <v>41914.99861</v>
      </c>
      <c r="B1550" s="1">
        <f>IFERROR(__xludf.DUMMYFUNCTION("""COMPUTED_VALUE"""),1972.92368)</f>
        <v>1972.92368</v>
      </c>
    </row>
    <row r="1551">
      <c r="A1551" s="3">
        <f>IFERROR(__xludf.DUMMYFUNCTION("""COMPUTED_VALUE"""),41915.99861111111)</f>
        <v>41915.99861</v>
      </c>
      <c r="B1551" s="1">
        <f>IFERROR(__xludf.DUMMYFUNCTION("""COMPUTED_VALUE"""),1978.80345)</f>
        <v>1978.80345</v>
      </c>
    </row>
    <row r="1552">
      <c r="A1552" s="3">
        <f>IFERROR(__xludf.DUMMYFUNCTION("""COMPUTED_VALUE"""),41916.99861111111)</f>
        <v>41916.99861</v>
      </c>
      <c r="B1552" s="1">
        <f>IFERROR(__xludf.DUMMYFUNCTION("""COMPUTED_VALUE"""),1965.48749)</f>
        <v>1965.48749</v>
      </c>
    </row>
    <row r="1553">
      <c r="A1553" s="3">
        <f>IFERROR(__xludf.DUMMYFUNCTION("""COMPUTED_VALUE"""),41917.99861111111)</f>
        <v>41917.99861</v>
      </c>
      <c r="B1553" s="1">
        <f>IFERROR(__xludf.DUMMYFUNCTION("""COMPUTED_VALUE"""),1964.755783)</f>
        <v>1964.755783</v>
      </c>
    </row>
    <row r="1554">
      <c r="A1554" s="3">
        <f>IFERROR(__xludf.DUMMYFUNCTION("""COMPUTED_VALUE"""),41918.99861111111)</f>
        <v>41918.99861</v>
      </c>
      <c r="B1554" s="1">
        <f>IFERROR(__xludf.DUMMYFUNCTION("""COMPUTED_VALUE"""),1978.86777)</f>
        <v>1978.86777</v>
      </c>
    </row>
    <row r="1555">
      <c r="A1555" s="3">
        <f>IFERROR(__xludf.DUMMYFUNCTION("""COMPUTED_VALUE"""),41919.99861111111)</f>
        <v>41919.99861</v>
      </c>
      <c r="B1555" s="1">
        <f>IFERROR(__xludf.DUMMYFUNCTION("""COMPUTED_VALUE"""),1989.94566)</f>
        <v>1989.94566</v>
      </c>
    </row>
    <row r="1556">
      <c r="A1556" s="3">
        <f>IFERROR(__xludf.DUMMYFUNCTION("""COMPUTED_VALUE"""),41920.99861111111)</f>
        <v>41920.99861</v>
      </c>
      <c r="B1556" s="1">
        <f>IFERROR(__xludf.DUMMYFUNCTION("""COMPUTED_VALUE"""),1988.8869)</f>
        <v>1988.8869</v>
      </c>
    </row>
    <row r="1557">
      <c r="A1557" s="3">
        <f>IFERROR(__xludf.DUMMYFUNCTION("""COMPUTED_VALUE"""),41921.99861111111)</f>
        <v>41921.99861</v>
      </c>
      <c r="B1557" s="1">
        <f>IFERROR(__xludf.DUMMYFUNCTION("""COMPUTED_VALUE"""),1989.24672)</f>
        <v>1989.24672</v>
      </c>
    </row>
    <row r="1558">
      <c r="A1558" s="3">
        <f>IFERROR(__xludf.DUMMYFUNCTION("""COMPUTED_VALUE"""),41922.99861111111)</f>
        <v>41922.99861</v>
      </c>
      <c r="B1558" s="1">
        <f>IFERROR(__xludf.DUMMYFUNCTION("""COMPUTED_VALUE"""),1986.4449)</f>
        <v>1986.4449</v>
      </c>
    </row>
    <row r="1559">
      <c r="A1559" s="3">
        <f>IFERROR(__xludf.DUMMYFUNCTION("""COMPUTED_VALUE"""),41923.99861111111)</f>
        <v>41923.99861</v>
      </c>
      <c r="B1559" s="1">
        <f>IFERROR(__xludf.DUMMYFUNCTION("""COMPUTED_VALUE"""),2001.710038)</f>
        <v>2001.710038</v>
      </c>
    </row>
    <row r="1560">
      <c r="A1560" s="3">
        <f>IFERROR(__xludf.DUMMYFUNCTION("""COMPUTED_VALUE"""),41924.99861111111)</f>
        <v>41924.99861</v>
      </c>
      <c r="B1560" s="1">
        <f>IFERROR(__xludf.DUMMYFUNCTION("""COMPUTED_VALUE"""),1984.961884)</f>
        <v>1984.961884</v>
      </c>
    </row>
    <row r="1561">
      <c r="A1561" s="3">
        <f>IFERROR(__xludf.DUMMYFUNCTION("""COMPUTED_VALUE"""),41925.99861111111)</f>
        <v>41925.99861</v>
      </c>
      <c r="B1561" s="1">
        <f>IFERROR(__xludf.DUMMYFUNCTION("""COMPUTED_VALUE"""),1991.162)</f>
        <v>1991.162</v>
      </c>
    </row>
    <row r="1562">
      <c r="A1562" s="3">
        <f>IFERROR(__xludf.DUMMYFUNCTION("""COMPUTED_VALUE"""),41926.99861111111)</f>
        <v>41926.99861</v>
      </c>
      <c r="B1562" s="1">
        <f>IFERROR(__xludf.DUMMYFUNCTION("""COMPUTED_VALUE"""),1989.85974)</f>
        <v>1989.85974</v>
      </c>
    </row>
    <row r="1563">
      <c r="A1563" s="3">
        <f>IFERROR(__xludf.DUMMYFUNCTION("""COMPUTED_VALUE"""),41927.99861111111)</f>
        <v>41927.99861</v>
      </c>
      <c r="B1563" s="1">
        <f>IFERROR(__xludf.DUMMYFUNCTION("""COMPUTED_VALUE"""),1996.91364)</f>
        <v>1996.91364</v>
      </c>
    </row>
    <row r="1564">
      <c r="A1564" s="3">
        <f>IFERROR(__xludf.DUMMYFUNCTION("""COMPUTED_VALUE"""),41928.99861111111)</f>
        <v>41928.99861</v>
      </c>
      <c r="B1564" s="1">
        <f>IFERROR(__xludf.DUMMYFUNCTION("""COMPUTED_VALUE"""),1995.114)</f>
        <v>1995.114</v>
      </c>
    </row>
    <row r="1565">
      <c r="A1565" s="3">
        <f>IFERROR(__xludf.DUMMYFUNCTION("""COMPUTED_VALUE"""),41929.99861111111)</f>
        <v>41929.99861</v>
      </c>
      <c r="B1565" s="1">
        <f>IFERROR(__xludf.DUMMYFUNCTION("""COMPUTED_VALUE"""),1976.13558)</f>
        <v>1976.13558</v>
      </c>
    </row>
    <row r="1566">
      <c r="A1566" s="3">
        <f>IFERROR(__xludf.DUMMYFUNCTION("""COMPUTED_VALUE"""),41930.99861111111)</f>
        <v>41930.99861</v>
      </c>
      <c r="B1566" s="1">
        <f>IFERROR(__xludf.DUMMYFUNCTION("""COMPUTED_VALUE"""),1979.27238)</f>
        <v>1979.27238</v>
      </c>
    </row>
    <row r="1567">
      <c r="A1567" s="3">
        <f>IFERROR(__xludf.DUMMYFUNCTION("""COMPUTED_VALUE"""),41931.99861111111)</f>
        <v>41931.99861</v>
      </c>
      <c r="B1567" s="1">
        <f>IFERROR(__xludf.DUMMYFUNCTION("""COMPUTED_VALUE"""),1977.090563)</f>
        <v>1977.090563</v>
      </c>
    </row>
    <row r="1568">
      <c r="A1568" s="3">
        <f>IFERROR(__xludf.DUMMYFUNCTION("""COMPUTED_VALUE"""),41932.99861111111)</f>
        <v>41932.99861</v>
      </c>
      <c r="B1568" s="1">
        <f>IFERROR(__xludf.DUMMYFUNCTION("""COMPUTED_VALUE"""),1963.02012)</f>
        <v>1963.02012</v>
      </c>
    </row>
    <row r="1569">
      <c r="A1569" s="3">
        <f>IFERROR(__xludf.DUMMYFUNCTION("""COMPUTED_VALUE"""),41933.99861111111)</f>
        <v>41933.99861</v>
      </c>
      <c r="B1569" s="1">
        <f>IFERROR(__xludf.DUMMYFUNCTION("""COMPUTED_VALUE"""),1958.31619)</f>
        <v>1958.31619</v>
      </c>
    </row>
    <row r="1570">
      <c r="A1570" s="3">
        <f>IFERROR(__xludf.DUMMYFUNCTION("""COMPUTED_VALUE"""),41934.99861111111)</f>
        <v>41934.99861</v>
      </c>
      <c r="B1570" s="1">
        <f>IFERROR(__xludf.DUMMYFUNCTION("""COMPUTED_VALUE"""),1957.532)</f>
        <v>1957.532</v>
      </c>
    </row>
    <row r="1571">
      <c r="A1571" s="3">
        <f>IFERROR(__xludf.DUMMYFUNCTION("""COMPUTED_VALUE"""),41935.99861111111)</f>
        <v>41935.99861</v>
      </c>
      <c r="B1571" s="1">
        <f>IFERROR(__xludf.DUMMYFUNCTION("""COMPUTED_VALUE"""),1970.2692)</f>
        <v>1970.2692</v>
      </c>
    </row>
    <row r="1572">
      <c r="A1572" s="3">
        <f>IFERROR(__xludf.DUMMYFUNCTION("""COMPUTED_VALUE"""),41936.99861111111)</f>
        <v>41936.99861</v>
      </c>
      <c r="B1572" s="1">
        <f>IFERROR(__xludf.DUMMYFUNCTION("""COMPUTED_VALUE"""),1967.0175)</f>
        <v>1967.0175</v>
      </c>
    </row>
    <row r="1573">
      <c r="A1573" s="3">
        <f>IFERROR(__xludf.DUMMYFUNCTION("""COMPUTED_VALUE"""),41937.99861111111)</f>
        <v>41937.99861</v>
      </c>
      <c r="B1573" s="1">
        <f>IFERROR(__xludf.DUMMYFUNCTION("""COMPUTED_VALUE"""),1966.866827)</f>
        <v>1966.866827</v>
      </c>
    </row>
    <row r="1574">
      <c r="A1574" s="3">
        <f>IFERROR(__xludf.DUMMYFUNCTION("""COMPUTED_VALUE"""),41938.99861111111)</f>
        <v>41938.99861</v>
      </c>
      <c r="B1574" s="1">
        <f>IFERROR(__xludf.DUMMYFUNCTION("""COMPUTED_VALUE"""),1970.857151)</f>
        <v>1970.857151</v>
      </c>
    </row>
    <row r="1575">
      <c r="A1575" s="3">
        <f>IFERROR(__xludf.DUMMYFUNCTION("""COMPUTED_VALUE"""),41939.99861111111)</f>
        <v>41939.99861</v>
      </c>
      <c r="B1575" s="1">
        <f>IFERROR(__xludf.DUMMYFUNCTION("""COMPUTED_VALUE"""),1978.108)</f>
        <v>1978.108</v>
      </c>
    </row>
    <row r="1576">
      <c r="A1576" s="3">
        <f>IFERROR(__xludf.DUMMYFUNCTION("""COMPUTED_VALUE"""),41940.99861111111)</f>
        <v>41940.99861</v>
      </c>
      <c r="B1576" s="1">
        <f>IFERROR(__xludf.DUMMYFUNCTION("""COMPUTED_VALUE"""),1985.37046)</f>
        <v>1985.37046</v>
      </c>
    </row>
    <row r="1577">
      <c r="A1577" s="3">
        <f>IFERROR(__xludf.DUMMYFUNCTION("""COMPUTED_VALUE"""),41941.99861111111)</f>
        <v>41941.99861</v>
      </c>
      <c r="B1577" s="1">
        <f>IFERROR(__xludf.DUMMYFUNCTION("""COMPUTED_VALUE"""),1977.6466)</f>
        <v>1977.6466</v>
      </c>
    </row>
    <row r="1578">
      <c r="A1578" s="3">
        <f>IFERROR(__xludf.DUMMYFUNCTION("""COMPUTED_VALUE"""),41942.99861111111)</f>
        <v>41942.99861</v>
      </c>
      <c r="B1578" s="1">
        <f>IFERROR(__xludf.DUMMYFUNCTION("""COMPUTED_VALUE"""),1987.254)</f>
        <v>1987.254</v>
      </c>
    </row>
    <row r="1579">
      <c r="A1579" s="3">
        <f>IFERROR(__xludf.DUMMYFUNCTION("""COMPUTED_VALUE"""),41943.99861111111)</f>
        <v>41943.99861</v>
      </c>
      <c r="B1579" s="1">
        <f>IFERROR(__xludf.DUMMYFUNCTION("""COMPUTED_VALUE"""),1963.5476)</f>
        <v>1963.5476</v>
      </c>
    </row>
    <row r="1580">
      <c r="A1580" s="3">
        <f>IFERROR(__xludf.DUMMYFUNCTION("""COMPUTED_VALUE"""),41944.99861111111)</f>
        <v>41944.99861</v>
      </c>
      <c r="B1580" s="1">
        <f>IFERROR(__xludf.DUMMYFUNCTION("""COMPUTED_VALUE"""),1967.108665)</f>
        <v>1967.108665</v>
      </c>
    </row>
    <row r="1581">
      <c r="A1581" s="3">
        <f>IFERROR(__xludf.DUMMYFUNCTION("""COMPUTED_VALUE"""),41945.99861111111)</f>
        <v>41945.99861</v>
      </c>
      <c r="B1581" s="1">
        <f>IFERROR(__xludf.DUMMYFUNCTION("""COMPUTED_VALUE"""),1954.774937)</f>
        <v>1954.774937</v>
      </c>
    </row>
    <row r="1582">
      <c r="A1582" s="3">
        <f>IFERROR(__xludf.DUMMYFUNCTION("""COMPUTED_VALUE"""),41946.99861111111)</f>
        <v>41946.99861</v>
      </c>
      <c r="B1582" s="1">
        <f>IFERROR(__xludf.DUMMYFUNCTION("""COMPUTED_VALUE"""),1979.13129)</f>
        <v>1979.13129</v>
      </c>
    </row>
    <row r="1583">
      <c r="A1583" s="3">
        <f>IFERROR(__xludf.DUMMYFUNCTION("""COMPUTED_VALUE"""),41947.99861111111)</f>
        <v>41947.99861</v>
      </c>
      <c r="B1583" s="1">
        <f>IFERROR(__xludf.DUMMYFUNCTION("""COMPUTED_VALUE"""),1980.1061)</f>
        <v>1980.1061</v>
      </c>
    </row>
    <row r="1584">
      <c r="A1584" s="3">
        <f>IFERROR(__xludf.DUMMYFUNCTION("""COMPUTED_VALUE"""),41948.99861111111)</f>
        <v>41948.99861</v>
      </c>
      <c r="B1584" s="1">
        <f>IFERROR(__xludf.DUMMYFUNCTION("""COMPUTED_VALUE"""),1991.70825)</f>
        <v>1991.70825</v>
      </c>
    </row>
    <row r="1585">
      <c r="A1585" s="3">
        <f>IFERROR(__xludf.DUMMYFUNCTION("""COMPUTED_VALUE"""),41949.99861111111)</f>
        <v>41949.99861</v>
      </c>
      <c r="B1585" s="1">
        <f>IFERROR(__xludf.DUMMYFUNCTION("""COMPUTED_VALUE"""),1987.254)</f>
        <v>1987.254</v>
      </c>
    </row>
    <row r="1586">
      <c r="A1586" s="3">
        <f>IFERROR(__xludf.DUMMYFUNCTION("""COMPUTED_VALUE"""),41950.99861111111)</f>
        <v>41950.99861</v>
      </c>
      <c r="B1586" s="1">
        <f>IFERROR(__xludf.DUMMYFUNCTION("""COMPUTED_VALUE"""),1976.246)</f>
        <v>1976.246</v>
      </c>
    </row>
    <row r="1587">
      <c r="A1587" s="3">
        <f>IFERROR(__xludf.DUMMYFUNCTION("""COMPUTED_VALUE"""),41951.99861111111)</f>
        <v>41951.99861</v>
      </c>
      <c r="B1587" s="1">
        <f>IFERROR(__xludf.DUMMYFUNCTION("""COMPUTED_VALUE"""),1979.511878)</f>
        <v>1979.511878</v>
      </c>
    </row>
    <row r="1588">
      <c r="A1588" s="3">
        <f>IFERROR(__xludf.DUMMYFUNCTION("""COMPUTED_VALUE"""),41952.99861111111)</f>
        <v>41952.99861</v>
      </c>
      <c r="B1588" s="1">
        <f>IFERROR(__xludf.DUMMYFUNCTION("""COMPUTED_VALUE"""),1990.243584)</f>
        <v>1990.243584</v>
      </c>
    </row>
    <row r="1589">
      <c r="A1589" s="3">
        <f>IFERROR(__xludf.DUMMYFUNCTION("""COMPUTED_VALUE"""),41953.99861111111)</f>
        <v>41953.99861</v>
      </c>
      <c r="B1589" s="1">
        <f>IFERROR(__xludf.DUMMYFUNCTION("""COMPUTED_VALUE"""),1987.22095)</f>
        <v>1987.22095</v>
      </c>
    </row>
    <row r="1590">
      <c r="A1590" s="3">
        <f>IFERROR(__xludf.DUMMYFUNCTION("""COMPUTED_VALUE"""),41954.99861111111)</f>
        <v>41954.99861</v>
      </c>
      <c r="B1590" s="1">
        <f>IFERROR(__xludf.DUMMYFUNCTION("""COMPUTED_VALUE"""),1980.62368)</f>
        <v>1980.62368</v>
      </c>
    </row>
    <row r="1591">
      <c r="A1591" s="3">
        <f>IFERROR(__xludf.DUMMYFUNCTION("""COMPUTED_VALUE"""),41955.99861111111)</f>
        <v>41955.99861</v>
      </c>
      <c r="B1591" s="1">
        <f>IFERROR(__xludf.DUMMYFUNCTION("""COMPUTED_VALUE"""),1988.30905)</f>
        <v>1988.30905</v>
      </c>
    </row>
    <row r="1592">
      <c r="A1592" s="3">
        <f>IFERROR(__xludf.DUMMYFUNCTION("""COMPUTED_VALUE"""),41956.99861111111)</f>
        <v>41956.99861</v>
      </c>
      <c r="B1592" s="1">
        <f>IFERROR(__xludf.DUMMYFUNCTION("""COMPUTED_VALUE"""),1989.28401)</f>
        <v>1989.28401</v>
      </c>
    </row>
    <row r="1593">
      <c r="A1593" s="3">
        <f>IFERROR(__xludf.DUMMYFUNCTION("""COMPUTED_VALUE"""),41957.99861111111)</f>
        <v>41957.99861</v>
      </c>
      <c r="B1593" s="1">
        <f>IFERROR(__xludf.DUMMYFUNCTION("""COMPUTED_VALUE"""),1986.77)</f>
        <v>1986.77</v>
      </c>
    </row>
    <row r="1594">
      <c r="A1594" s="3">
        <f>IFERROR(__xludf.DUMMYFUNCTION("""COMPUTED_VALUE"""),41958.99861111111)</f>
        <v>41958.99861</v>
      </c>
      <c r="B1594" s="1">
        <f>IFERROR(__xludf.DUMMYFUNCTION("""COMPUTED_VALUE"""),1990.707601)</f>
        <v>1990.707601</v>
      </c>
    </row>
    <row r="1595">
      <c r="A1595" s="3">
        <f>IFERROR(__xludf.DUMMYFUNCTION("""COMPUTED_VALUE"""),41959.99861111111)</f>
        <v>41959.99861</v>
      </c>
      <c r="B1595" s="1">
        <f>IFERROR(__xludf.DUMMYFUNCTION("""COMPUTED_VALUE"""),2002.688032)</f>
        <v>2002.688032</v>
      </c>
    </row>
    <row r="1596">
      <c r="A1596" s="3">
        <f>IFERROR(__xludf.DUMMYFUNCTION("""COMPUTED_VALUE"""),41960.99861111111)</f>
        <v>41960.99861</v>
      </c>
      <c r="B1596" s="1">
        <f>IFERROR(__xludf.DUMMYFUNCTION("""COMPUTED_VALUE"""),1991.4435)</f>
        <v>1991.4435</v>
      </c>
    </row>
    <row r="1597">
      <c r="A1597" s="3">
        <f>IFERROR(__xludf.DUMMYFUNCTION("""COMPUTED_VALUE"""),41961.99861111111)</f>
        <v>41961.99861</v>
      </c>
      <c r="B1597" s="1">
        <f>IFERROR(__xludf.DUMMYFUNCTION("""COMPUTED_VALUE"""),1980.255)</f>
        <v>1980.255</v>
      </c>
    </row>
    <row r="1598">
      <c r="A1598" s="3">
        <f>IFERROR(__xludf.DUMMYFUNCTION("""COMPUTED_VALUE"""),41962.99861111111)</f>
        <v>41962.99861</v>
      </c>
      <c r="B1598" s="1">
        <f>IFERROR(__xludf.DUMMYFUNCTION("""COMPUTED_VALUE"""),1977.58782)</f>
        <v>1977.58782</v>
      </c>
    </row>
    <row r="1599">
      <c r="A1599" s="3">
        <f>IFERROR(__xludf.DUMMYFUNCTION("""COMPUTED_VALUE"""),41963.99861111111)</f>
        <v>41963.99861</v>
      </c>
      <c r="B1599" s="1">
        <f>IFERROR(__xludf.DUMMYFUNCTION("""COMPUTED_VALUE"""),1981.68289)</f>
        <v>1981.68289</v>
      </c>
    </row>
    <row r="1600">
      <c r="A1600" s="3">
        <f>IFERROR(__xludf.DUMMYFUNCTION("""COMPUTED_VALUE"""),41964.99861111111)</f>
        <v>41964.99861</v>
      </c>
      <c r="B1600" s="1">
        <f>IFERROR(__xludf.DUMMYFUNCTION("""COMPUTED_VALUE"""),1980.71225)</f>
        <v>1980.71225</v>
      </c>
    </row>
    <row r="1601">
      <c r="A1601" s="3">
        <f>IFERROR(__xludf.DUMMYFUNCTION("""COMPUTED_VALUE"""),41965.99861111111)</f>
        <v>41965.99861</v>
      </c>
      <c r="B1601" s="1">
        <f>IFERROR(__xludf.DUMMYFUNCTION("""COMPUTED_VALUE"""),2000.612425)</f>
        <v>2000.612425</v>
      </c>
    </row>
    <row r="1602">
      <c r="A1602" s="3">
        <f>IFERROR(__xludf.DUMMYFUNCTION("""COMPUTED_VALUE"""),41966.99861111111)</f>
        <v>41966.99861</v>
      </c>
      <c r="B1602" s="1">
        <f>IFERROR(__xludf.DUMMYFUNCTION("""COMPUTED_VALUE"""),1980.800593)</f>
        <v>1980.800593</v>
      </c>
    </row>
    <row r="1603">
      <c r="A1603" s="3">
        <f>IFERROR(__xludf.DUMMYFUNCTION("""COMPUTED_VALUE"""),41967.99861111111)</f>
        <v>41967.99861</v>
      </c>
      <c r="B1603" s="1">
        <f>IFERROR(__xludf.DUMMYFUNCTION("""COMPUTED_VALUE"""),1975.37373)</f>
        <v>1975.37373</v>
      </c>
    </row>
    <row r="1604">
      <c r="A1604" s="3">
        <f>IFERROR(__xludf.DUMMYFUNCTION("""COMPUTED_VALUE"""),41968.99861111111)</f>
        <v>41968.99861</v>
      </c>
      <c r="B1604" s="1">
        <f>IFERROR(__xludf.DUMMYFUNCTION("""COMPUTED_VALUE"""),1977.55767)</f>
        <v>1977.55767</v>
      </c>
    </row>
    <row r="1605">
      <c r="A1605" s="3">
        <f>IFERROR(__xludf.DUMMYFUNCTION("""COMPUTED_VALUE"""),41969.99861111111)</f>
        <v>41969.99861</v>
      </c>
      <c r="B1605" s="1">
        <f>IFERROR(__xludf.DUMMYFUNCTION("""COMPUTED_VALUE"""),1982.94225)</f>
        <v>1982.94225</v>
      </c>
    </row>
    <row r="1606">
      <c r="A1606" s="3">
        <f>IFERROR(__xludf.DUMMYFUNCTION("""COMPUTED_VALUE"""),41970.99861111111)</f>
        <v>41970.99861</v>
      </c>
      <c r="B1606" s="1">
        <f>IFERROR(__xludf.DUMMYFUNCTION("""COMPUTED_VALUE"""),1982.8205)</f>
        <v>1982.8205</v>
      </c>
    </row>
    <row r="1607">
      <c r="A1607" s="3">
        <f>IFERROR(__xludf.DUMMYFUNCTION("""COMPUTED_VALUE"""),41971.99861111111)</f>
        <v>41971.99861</v>
      </c>
      <c r="B1607" s="1">
        <f>IFERROR(__xludf.DUMMYFUNCTION("""COMPUTED_VALUE"""),1983.91625)</f>
        <v>1983.91625</v>
      </c>
    </row>
    <row r="1608">
      <c r="A1608" s="3">
        <f>IFERROR(__xludf.DUMMYFUNCTION("""COMPUTED_VALUE"""),41972.99861111111)</f>
        <v>41972.99861</v>
      </c>
      <c r="B1608" s="1">
        <f>IFERROR(__xludf.DUMMYFUNCTION("""COMPUTED_VALUE"""),1987.194804)</f>
        <v>1987.194804</v>
      </c>
    </row>
    <row r="1609">
      <c r="A1609" s="3">
        <f>IFERROR(__xludf.DUMMYFUNCTION("""COMPUTED_VALUE"""),41973.99861111111)</f>
        <v>41973.99861</v>
      </c>
      <c r="B1609" s="1">
        <f>IFERROR(__xludf.DUMMYFUNCTION("""COMPUTED_VALUE"""),1981.828951)</f>
        <v>1981.828951</v>
      </c>
    </row>
    <row r="1610">
      <c r="A1610" s="3">
        <f>IFERROR(__xludf.DUMMYFUNCTION("""COMPUTED_VALUE"""),41974.99861111111)</f>
        <v>41974.99861</v>
      </c>
      <c r="B1610" s="1">
        <f>IFERROR(__xludf.DUMMYFUNCTION("""COMPUTED_VALUE"""),1995.8211)</f>
        <v>1995.8211</v>
      </c>
    </row>
    <row r="1611">
      <c r="A1611" s="3">
        <f>IFERROR(__xludf.DUMMYFUNCTION("""COMPUTED_VALUE"""),41975.99861111111)</f>
        <v>41975.99861</v>
      </c>
      <c r="B1611" s="1">
        <f>IFERROR(__xludf.DUMMYFUNCTION("""COMPUTED_VALUE"""),1998.2781)</f>
        <v>1998.2781</v>
      </c>
    </row>
    <row r="1612">
      <c r="A1612" s="3">
        <f>IFERROR(__xludf.DUMMYFUNCTION("""COMPUTED_VALUE"""),41976.99861111111)</f>
        <v>41976.99861</v>
      </c>
      <c r="B1612" s="1">
        <f>IFERROR(__xludf.DUMMYFUNCTION("""COMPUTED_VALUE"""),1997.7867)</f>
        <v>1997.7867</v>
      </c>
    </row>
    <row r="1613">
      <c r="A1613" s="3">
        <f>IFERROR(__xludf.DUMMYFUNCTION("""COMPUTED_VALUE"""),41977.99861111111)</f>
        <v>41977.99861</v>
      </c>
      <c r="B1613" s="1">
        <f>IFERROR(__xludf.DUMMYFUNCTION("""COMPUTED_VALUE"""),1996.3125)</f>
        <v>1996.3125</v>
      </c>
    </row>
    <row r="1614">
      <c r="A1614" s="3">
        <f>IFERROR(__xludf.DUMMYFUNCTION("""COMPUTED_VALUE"""),41978.99861111111)</f>
        <v>41978.99861</v>
      </c>
      <c r="B1614" s="1">
        <f>IFERROR(__xludf.DUMMYFUNCTION("""COMPUTED_VALUE"""),1997.2953)</f>
        <v>1997.2953</v>
      </c>
    </row>
    <row r="1615">
      <c r="A1615" s="3">
        <f>IFERROR(__xludf.DUMMYFUNCTION("""COMPUTED_VALUE"""),41979.99861111111)</f>
        <v>41979.99861</v>
      </c>
      <c r="B1615" s="1">
        <f>IFERROR(__xludf.DUMMYFUNCTION("""COMPUTED_VALUE"""),2017.120305)</f>
        <v>2017.120305</v>
      </c>
    </row>
    <row r="1616">
      <c r="A1616" s="3">
        <f>IFERROR(__xludf.DUMMYFUNCTION("""COMPUTED_VALUE"""),41980.99861111111)</f>
        <v>41980.99861</v>
      </c>
      <c r="B1616" s="1">
        <f>IFERROR(__xludf.DUMMYFUNCTION("""COMPUTED_VALUE"""),2002.090532)</f>
        <v>2002.090532</v>
      </c>
    </row>
    <row r="1617">
      <c r="A1617" s="3">
        <f>IFERROR(__xludf.DUMMYFUNCTION("""COMPUTED_VALUE"""),41981.99861111111)</f>
        <v>41981.99861</v>
      </c>
      <c r="B1617" s="1">
        <f>IFERROR(__xludf.DUMMYFUNCTION("""COMPUTED_VALUE"""),1989.4329)</f>
        <v>1989.4329</v>
      </c>
    </row>
    <row r="1618">
      <c r="A1618" s="3">
        <f>IFERROR(__xludf.DUMMYFUNCTION("""COMPUTED_VALUE"""),41982.99861111111)</f>
        <v>41982.99861</v>
      </c>
      <c r="B1618" s="1">
        <f>IFERROR(__xludf.DUMMYFUNCTION("""COMPUTED_VALUE"""),1985.7474)</f>
        <v>1985.7474</v>
      </c>
    </row>
    <row r="1619">
      <c r="A1619" s="3">
        <f>IFERROR(__xludf.DUMMYFUNCTION("""COMPUTED_VALUE"""),41983.99861111111)</f>
        <v>41983.99861</v>
      </c>
      <c r="B1619" s="1">
        <f>IFERROR(__xludf.DUMMYFUNCTION("""COMPUTED_VALUE"""),1988.81865)</f>
        <v>1988.81865</v>
      </c>
    </row>
    <row r="1620">
      <c r="A1620" s="3">
        <f>IFERROR(__xludf.DUMMYFUNCTION("""COMPUTED_VALUE"""),41984.99861111111)</f>
        <v>41984.99861</v>
      </c>
      <c r="B1620" s="1">
        <f>IFERROR(__xludf.DUMMYFUNCTION("""COMPUTED_VALUE"""),2012.27598)</f>
        <v>2012.27598</v>
      </c>
    </row>
    <row r="1621">
      <c r="A1621" s="3">
        <f>IFERROR(__xludf.DUMMYFUNCTION("""COMPUTED_VALUE"""),41985.99861111111)</f>
        <v>41985.99861</v>
      </c>
      <c r="B1621" s="1">
        <f>IFERROR(__xludf.DUMMYFUNCTION("""COMPUTED_VALUE"""),2039.48652)</f>
        <v>2039.48652</v>
      </c>
    </row>
    <row r="1622">
      <c r="A1622" s="3">
        <f>IFERROR(__xludf.DUMMYFUNCTION("""COMPUTED_VALUE"""),41986.99861111111)</f>
        <v>41986.99861</v>
      </c>
      <c r="B1622" s="1">
        <f>IFERROR(__xludf.DUMMYFUNCTION("""COMPUTED_VALUE"""),2041.539979)</f>
        <v>2041.539979</v>
      </c>
    </row>
    <row r="1623">
      <c r="A1623" s="3">
        <f>IFERROR(__xludf.DUMMYFUNCTION("""COMPUTED_VALUE"""),41987.99861111111)</f>
        <v>41987.99861</v>
      </c>
      <c r="B1623" s="1">
        <f>IFERROR(__xludf.DUMMYFUNCTION("""COMPUTED_VALUE"""),2041.034929)</f>
        <v>2041.034929</v>
      </c>
    </row>
    <row r="1624">
      <c r="A1624" s="3">
        <f>IFERROR(__xludf.DUMMYFUNCTION("""COMPUTED_VALUE"""),41988.99861111111)</f>
        <v>41988.99861</v>
      </c>
      <c r="B1624" s="1">
        <f>IFERROR(__xludf.DUMMYFUNCTION("""COMPUTED_VALUE"""),2075.1465)</f>
        <v>2075.1465</v>
      </c>
    </row>
    <row r="1625">
      <c r="A1625" s="3">
        <f>IFERROR(__xludf.DUMMYFUNCTION("""COMPUTED_VALUE"""),41989.99861111111)</f>
        <v>41989.99861</v>
      </c>
      <c r="B1625" s="1">
        <f>IFERROR(__xludf.DUMMYFUNCTION("""COMPUTED_VALUE"""),2053.128)</f>
        <v>2053.128</v>
      </c>
    </row>
    <row r="1626">
      <c r="A1626" s="3">
        <f>IFERROR(__xludf.DUMMYFUNCTION("""COMPUTED_VALUE"""),41990.99861111111)</f>
        <v>41990.99861</v>
      </c>
      <c r="B1626" s="1">
        <f>IFERROR(__xludf.DUMMYFUNCTION("""COMPUTED_VALUE"""),2045.54893)</f>
        <v>2045.54893</v>
      </c>
    </row>
    <row r="1627">
      <c r="A1627" s="3">
        <f>IFERROR(__xludf.DUMMYFUNCTION("""COMPUTED_VALUE"""),41991.99861111111)</f>
        <v>41991.99861</v>
      </c>
      <c r="B1627" s="1">
        <f>IFERROR(__xludf.DUMMYFUNCTION("""COMPUTED_VALUE"""),2008.656)</f>
        <v>2008.656</v>
      </c>
    </row>
    <row r="1628">
      <c r="A1628" s="3">
        <f>IFERROR(__xludf.DUMMYFUNCTION("""COMPUTED_VALUE"""),41992.99861111111)</f>
        <v>41992.99861</v>
      </c>
      <c r="B1628" s="1">
        <f>IFERROR(__xludf.DUMMYFUNCTION("""COMPUTED_VALUE"""),1987.25323)</f>
        <v>1987.25323</v>
      </c>
    </row>
    <row r="1629">
      <c r="A1629" s="3">
        <f>IFERROR(__xludf.DUMMYFUNCTION("""COMPUTED_VALUE"""),41993.99861111111)</f>
        <v>41993.99861</v>
      </c>
      <c r="B1629" s="1">
        <f>IFERROR(__xludf.DUMMYFUNCTION("""COMPUTED_VALUE"""),1996.149028)</f>
        <v>1996.149028</v>
      </c>
    </row>
    <row r="1630">
      <c r="A1630" s="3">
        <f>IFERROR(__xludf.DUMMYFUNCTION("""COMPUTED_VALUE"""),41994.99861111111)</f>
        <v>41994.99861</v>
      </c>
      <c r="B1630" s="1">
        <f>IFERROR(__xludf.DUMMYFUNCTION("""COMPUTED_VALUE"""),1995.652134)</f>
        <v>1995.652134</v>
      </c>
    </row>
    <row r="1631">
      <c r="A1631" s="3">
        <f>IFERROR(__xludf.DUMMYFUNCTION("""COMPUTED_VALUE"""),41995.99861111111)</f>
        <v>41995.99861</v>
      </c>
      <c r="B1631" s="1">
        <f>IFERROR(__xludf.DUMMYFUNCTION("""COMPUTED_VALUE"""),2002.1974)</f>
        <v>2002.1974</v>
      </c>
    </row>
    <row r="1632">
      <c r="A1632" s="3">
        <f>IFERROR(__xludf.DUMMYFUNCTION("""COMPUTED_VALUE"""),41996.99861111111)</f>
        <v>41996.99861</v>
      </c>
      <c r="B1632" s="1">
        <f>IFERROR(__xludf.DUMMYFUNCTION("""COMPUTED_VALUE"""),1993.97315)</f>
        <v>1993.97315</v>
      </c>
    </row>
    <row r="1633">
      <c r="A1633" s="3">
        <f>IFERROR(__xludf.DUMMYFUNCTION("""COMPUTED_VALUE"""),41997.99861111111)</f>
        <v>41997.99861</v>
      </c>
      <c r="B1633" s="1">
        <f>IFERROR(__xludf.DUMMYFUNCTION("""COMPUTED_VALUE"""),2004.9266)</f>
        <v>2004.9266</v>
      </c>
    </row>
    <row r="1634">
      <c r="A1634" s="3">
        <f>IFERROR(__xludf.DUMMYFUNCTION("""COMPUTED_VALUE"""),41998.99861111111)</f>
        <v>41998.99861</v>
      </c>
      <c r="B1634" s="1">
        <f>IFERROR(__xludf.DUMMYFUNCTION("""COMPUTED_VALUE"""),2006.7971)</f>
        <v>2006.7971</v>
      </c>
    </row>
    <row r="1635">
      <c r="A1635" s="3">
        <f>IFERROR(__xludf.DUMMYFUNCTION("""COMPUTED_VALUE"""),41999.99861111111)</f>
        <v>41999.99861</v>
      </c>
      <c r="B1635" s="1">
        <f>IFERROR(__xludf.DUMMYFUNCTION("""COMPUTED_VALUE"""),1995.0316)</f>
        <v>1995.0316</v>
      </c>
    </row>
    <row r="1636">
      <c r="A1636" s="3">
        <f>IFERROR(__xludf.DUMMYFUNCTION("""COMPUTED_VALUE"""),42000.99861111111)</f>
        <v>42000.99861</v>
      </c>
      <c r="B1636" s="1">
        <f>IFERROR(__xludf.DUMMYFUNCTION("""COMPUTED_VALUE"""),1995.09615)</f>
        <v>1995.09615</v>
      </c>
    </row>
    <row r="1637">
      <c r="A1637" s="3">
        <f>IFERROR(__xludf.DUMMYFUNCTION("""COMPUTED_VALUE"""),42001.99861111111)</f>
        <v>42001.99861</v>
      </c>
      <c r="B1637" s="1">
        <f>IFERROR(__xludf.DUMMYFUNCTION("""COMPUTED_VALUE"""),1997.882919)</f>
        <v>1997.882919</v>
      </c>
    </row>
    <row r="1638">
      <c r="A1638" s="3">
        <f>IFERROR(__xludf.DUMMYFUNCTION("""COMPUTED_VALUE"""),42002.99861111111)</f>
        <v>42002.99861</v>
      </c>
      <c r="B1638" s="1">
        <f>IFERROR(__xludf.DUMMYFUNCTION("""COMPUTED_VALUE"""),1993.5424)</f>
        <v>1993.5424</v>
      </c>
    </row>
    <row r="1639">
      <c r="A1639" s="3">
        <f>IFERROR(__xludf.DUMMYFUNCTION("""COMPUTED_VALUE"""),42003.99861111111)</f>
        <v>42003.99861</v>
      </c>
      <c r="B1639" s="1">
        <f>IFERROR(__xludf.DUMMYFUNCTION("""COMPUTED_VALUE"""),2001.9798)</f>
        <v>2001.9798</v>
      </c>
    </row>
    <row r="1640">
      <c r="A1640" s="3">
        <f>IFERROR(__xludf.DUMMYFUNCTION("""COMPUTED_VALUE"""),42004.99861111111)</f>
        <v>42004.99861</v>
      </c>
      <c r="B1640" s="1">
        <f>IFERROR(__xludf.DUMMYFUNCTION("""COMPUTED_VALUE"""),1996.1529)</f>
        <v>1996.1529</v>
      </c>
    </row>
    <row r="1641">
      <c r="A1641" s="3">
        <f>IFERROR(__xludf.DUMMYFUNCTION("""COMPUTED_VALUE"""),42005.99861111111)</f>
        <v>42005.99861</v>
      </c>
      <c r="B1641" s="1">
        <f>IFERROR(__xludf.DUMMYFUNCTION("""COMPUTED_VALUE"""),1994.5422)</f>
        <v>1994.5422</v>
      </c>
    </row>
    <row r="1642">
      <c r="A1642" s="3">
        <f>IFERROR(__xludf.DUMMYFUNCTION("""COMPUTED_VALUE"""),42006.99861111111)</f>
        <v>42006.99861</v>
      </c>
      <c r="B1642" s="1">
        <f>IFERROR(__xludf.DUMMYFUNCTION("""COMPUTED_VALUE"""),2010.6528)</f>
        <v>2010.6528</v>
      </c>
    </row>
    <row r="1643">
      <c r="A1643" s="3">
        <f>IFERROR(__xludf.DUMMYFUNCTION("""COMPUTED_VALUE"""),42007.99861111111)</f>
        <v>42007.99861</v>
      </c>
      <c r="B1643" s="1">
        <f>IFERROR(__xludf.DUMMYFUNCTION("""COMPUTED_VALUE"""),2021.455225)</f>
        <v>2021.455225</v>
      </c>
    </row>
    <row r="1644">
      <c r="A1644" s="3">
        <f>IFERROR(__xludf.DUMMYFUNCTION("""COMPUTED_VALUE"""),42008.99861111111)</f>
        <v>42008.99861</v>
      </c>
      <c r="B1644" s="1">
        <f>IFERROR(__xludf.DUMMYFUNCTION("""COMPUTED_VALUE"""),2012.044938)</f>
        <v>2012.044938</v>
      </c>
    </row>
    <row r="1645">
      <c r="A1645" s="3">
        <f>IFERROR(__xludf.DUMMYFUNCTION("""COMPUTED_VALUE"""),42009.99861111111)</f>
        <v>42009.99861</v>
      </c>
      <c r="B1645" s="1">
        <f>IFERROR(__xludf.DUMMYFUNCTION("""COMPUTED_VALUE"""),2029.21625)</f>
        <v>2029.21625</v>
      </c>
    </row>
    <row r="1646">
      <c r="A1646" s="3">
        <f>IFERROR(__xludf.DUMMYFUNCTION("""COMPUTED_VALUE"""),42010.99861111111)</f>
        <v>42010.99861</v>
      </c>
      <c r="B1646" s="1">
        <f>IFERROR(__xludf.DUMMYFUNCTION("""COMPUTED_VALUE"""),2035.7512)</f>
        <v>2035.7512</v>
      </c>
    </row>
    <row r="1647">
      <c r="A1647" s="3">
        <f>IFERROR(__xludf.DUMMYFUNCTION("""COMPUTED_VALUE"""),42011.99861111111)</f>
        <v>42011.99861</v>
      </c>
      <c r="B1647" s="1">
        <f>IFERROR(__xludf.DUMMYFUNCTION("""COMPUTED_VALUE"""),2047.1568)</f>
        <v>2047.1568</v>
      </c>
    </row>
    <row r="1648">
      <c r="A1648" s="3">
        <f>IFERROR(__xludf.DUMMYFUNCTION("""COMPUTED_VALUE"""),42012.99861111111)</f>
        <v>42012.99861</v>
      </c>
      <c r="B1648" s="1">
        <f>IFERROR(__xludf.DUMMYFUNCTION("""COMPUTED_VALUE"""),2029.8317)</f>
        <v>2029.8317</v>
      </c>
    </row>
    <row r="1649">
      <c r="A1649" s="3">
        <f>IFERROR(__xludf.DUMMYFUNCTION("""COMPUTED_VALUE"""),42013.99861111111)</f>
        <v>42013.99861</v>
      </c>
      <c r="B1649" s="1">
        <f>IFERROR(__xludf.DUMMYFUNCTION("""COMPUTED_VALUE"""),2024.59845)</f>
        <v>2024.59845</v>
      </c>
    </row>
    <row r="1650">
      <c r="A1650" s="3">
        <f>IFERROR(__xludf.DUMMYFUNCTION("""COMPUTED_VALUE"""),42014.99861111111)</f>
        <v>42014.99861</v>
      </c>
      <c r="B1650" s="1">
        <f>IFERROR(__xludf.DUMMYFUNCTION("""COMPUTED_VALUE"""),2063.123021)</f>
        <v>2063.123021</v>
      </c>
    </row>
    <row r="1651">
      <c r="A1651" s="3">
        <f>IFERROR(__xludf.DUMMYFUNCTION("""COMPUTED_VALUE"""),42015.99861111111)</f>
        <v>42015.99861</v>
      </c>
      <c r="B1651" s="1">
        <f>IFERROR(__xludf.DUMMYFUNCTION("""COMPUTED_VALUE"""),2065.472534)</f>
        <v>2065.472534</v>
      </c>
    </row>
    <row r="1652">
      <c r="A1652" s="3">
        <f>IFERROR(__xludf.DUMMYFUNCTION("""COMPUTED_VALUE"""),42016.99861111111)</f>
        <v>42016.99861</v>
      </c>
      <c r="B1652" s="1">
        <f>IFERROR(__xludf.DUMMYFUNCTION("""COMPUTED_VALUE"""),2023.34496)</f>
        <v>2023.34496</v>
      </c>
    </row>
    <row r="1653">
      <c r="A1653" s="3">
        <f>IFERROR(__xludf.DUMMYFUNCTION("""COMPUTED_VALUE"""),42017.99861111111)</f>
        <v>42017.99861</v>
      </c>
      <c r="B1653" s="1">
        <f>IFERROR(__xludf.DUMMYFUNCTION("""COMPUTED_VALUE"""),2032.29702)</f>
        <v>2032.29702</v>
      </c>
    </row>
    <row r="1654">
      <c r="A1654" s="3">
        <f>IFERROR(__xludf.DUMMYFUNCTION("""COMPUTED_VALUE"""),42018.99861111111)</f>
        <v>42018.99861</v>
      </c>
      <c r="B1654" s="1">
        <f>IFERROR(__xludf.DUMMYFUNCTION("""COMPUTED_VALUE"""),2026.25145)</f>
        <v>2026.25145</v>
      </c>
    </row>
    <row r="1655">
      <c r="A1655" s="3">
        <f>IFERROR(__xludf.DUMMYFUNCTION("""COMPUTED_VALUE"""),42019.99861111111)</f>
        <v>42019.99861</v>
      </c>
      <c r="B1655" s="1">
        <f>IFERROR(__xludf.DUMMYFUNCTION("""COMPUTED_VALUE"""),2015.86323)</f>
        <v>2015.86323</v>
      </c>
    </row>
    <row r="1656">
      <c r="A1656" s="3">
        <f>IFERROR(__xludf.DUMMYFUNCTION("""COMPUTED_VALUE"""),42020.99861111111)</f>
        <v>42020.99861</v>
      </c>
      <c r="B1656" s="1">
        <f>IFERROR(__xludf.DUMMYFUNCTION("""COMPUTED_VALUE"""),2026.638)</f>
        <v>2026.638</v>
      </c>
    </row>
    <row r="1657">
      <c r="A1657" s="3">
        <f>IFERROR(__xludf.DUMMYFUNCTION("""COMPUTED_VALUE"""),42021.99861111111)</f>
        <v>42021.99861</v>
      </c>
      <c r="B1657" s="1">
        <f>IFERROR(__xludf.DUMMYFUNCTION("""COMPUTED_VALUE"""),2065.384161)</f>
        <v>2065.384161</v>
      </c>
    </row>
    <row r="1658">
      <c r="A1658" s="3">
        <f>IFERROR(__xludf.DUMMYFUNCTION("""COMPUTED_VALUE"""),42022.99861111111)</f>
        <v>42022.99861</v>
      </c>
      <c r="B1658" s="1">
        <f>IFERROR(__xludf.DUMMYFUNCTION("""COMPUTED_VALUE"""),2063.251062)</f>
        <v>2063.251062</v>
      </c>
    </row>
    <row r="1659">
      <c r="A1659" s="3">
        <f>IFERROR(__xludf.DUMMYFUNCTION("""COMPUTED_VALUE"""),42023.99861111111)</f>
        <v>42023.99861</v>
      </c>
      <c r="B1659" s="1">
        <f>IFERROR(__xludf.DUMMYFUNCTION("""COMPUTED_VALUE"""),2031.1566)</f>
        <v>2031.1566</v>
      </c>
    </row>
    <row r="1660">
      <c r="A1660" s="3">
        <f>IFERROR(__xludf.DUMMYFUNCTION("""COMPUTED_VALUE"""),42024.99861111111)</f>
        <v>42024.99861</v>
      </c>
      <c r="B1660" s="1">
        <f>IFERROR(__xludf.DUMMYFUNCTION("""COMPUTED_VALUE"""),2021.10018)</f>
        <v>2021.10018</v>
      </c>
    </row>
    <row r="1661">
      <c r="A1661" s="3">
        <f>IFERROR(__xludf.DUMMYFUNCTION("""COMPUTED_VALUE"""),42025.99861111111)</f>
        <v>42025.99861</v>
      </c>
      <c r="B1661" s="1">
        <f>IFERROR(__xludf.DUMMYFUNCTION("""COMPUTED_VALUE"""),2005.24455)</f>
        <v>2005.24455</v>
      </c>
    </row>
    <row r="1662">
      <c r="A1662" s="3">
        <f>IFERROR(__xludf.DUMMYFUNCTION("""COMPUTED_VALUE"""),42026.99861111111)</f>
        <v>42026.99861</v>
      </c>
      <c r="B1662" s="1">
        <f>IFERROR(__xludf.DUMMYFUNCTION("""COMPUTED_VALUE"""),1998.32145)</f>
        <v>1998.32145</v>
      </c>
    </row>
    <row r="1663">
      <c r="A1663" s="3">
        <f>IFERROR(__xludf.DUMMYFUNCTION("""COMPUTED_VALUE"""),42027.99861111111)</f>
        <v>42027.99861</v>
      </c>
      <c r="B1663" s="1">
        <f>IFERROR(__xludf.DUMMYFUNCTION("""COMPUTED_VALUE"""),1993.51881)</f>
        <v>1993.51881</v>
      </c>
    </row>
    <row r="1664">
      <c r="A1664" s="3">
        <f>IFERROR(__xludf.DUMMYFUNCTION("""COMPUTED_VALUE"""),42028.99861111111)</f>
        <v>42028.99861</v>
      </c>
      <c r="B1664" s="1">
        <f>IFERROR(__xludf.DUMMYFUNCTION("""COMPUTED_VALUE"""),2008.38475)</f>
        <v>2008.38475</v>
      </c>
    </row>
    <row r="1665">
      <c r="A1665" s="3">
        <f>IFERROR(__xludf.DUMMYFUNCTION("""COMPUTED_VALUE"""),42029.99861111111)</f>
        <v>42029.99861</v>
      </c>
      <c r="B1665" s="1">
        <f>IFERROR(__xludf.DUMMYFUNCTION("""COMPUTED_VALUE"""),1993.11567)</f>
        <v>1993.11567</v>
      </c>
    </row>
    <row r="1666">
      <c r="A1666" s="3">
        <f>IFERROR(__xludf.DUMMYFUNCTION("""COMPUTED_VALUE"""),42030.99861111111)</f>
        <v>42030.99861</v>
      </c>
      <c r="B1666" s="1">
        <f>IFERROR(__xludf.DUMMYFUNCTION("""COMPUTED_VALUE"""),1995.92208)</f>
        <v>1995.92208</v>
      </c>
    </row>
    <row r="1667">
      <c r="A1667" s="3">
        <f>IFERROR(__xludf.DUMMYFUNCTION("""COMPUTED_VALUE"""),42031.99861111111)</f>
        <v>42031.99861</v>
      </c>
      <c r="B1667" s="1">
        <f>IFERROR(__xludf.DUMMYFUNCTION("""COMPUTED_VALUE"""),1994.8635)</f>
        <v>1994.8635</v>
      </c>
    </row>
    <row r="1668">
      <c r="A1668" s="3">
        <f>IFERROR(__xludf.DUMMYFUNCTION("""COMPUTED_VALUE"""),42032.99861111111)</f>
        <v>42032.99861</v>
      </c>
      <c r="B1668" s="1">
        <f>IFERROR(__xludf.DUMMYFUNCTION("""COMPUTED_VALUE"""),1992.42635)</f>
        <v>1992.42635</v>
      </c>
    </row>
    <row r="1669">
      <c r="A1669" s="3">
        <f>IFERROR(__xludf.DUMMYFUNCTION("""COMPUTED_VALUE"""),42033.99861111111)</f>
        <v>42033.99861</v>
      </c>
      <c r="B1669" s="1">
        <f>IFERROR(__xludf.DUMMYFUNCTION("""COMPUTED_VALUE"""),2012.8341)</f>
        <v>2012.8341</v>
      </c>
    </row>
    <row r="1670">
      <c r="A1670" s="3">
        <f>IFERROR(__xludf.DUMMYFUNCTION("""COMPUTED_VALUE"""),42034.99861111111)</f>
        <v>42034.99861</v>
      </c>
      <c r="B1670" s="1">
        <f>IFERROR(__xludf.DUMMYFUNCTION("""COMPUTED_VALUE"""),2036.6727)</f>
        <v>2036.6727</v>
      </c>
    </row>
    <row r="1671">
      <c r="A1671" s="3">
        <f>IFERROR(__xludf.DUMMYFUNCTION("""COMPUTED_VALUE"""),42035.99861111111)</f>
        <v>42035.99861</v>
      </c>
      <c r="B1671" s="1">
        <f>IFERROR(__xludf.DUMMYFUNCTION("""COMPUTED_VALUE"""),2045.779445)</f>
        <v>2045.779445</v>
      </c>
    </row>
    <row r="1672">
      <c r="A1672" s="3">
        <f>IFERROR(__xludf.DUMMYFUNCTION("""COMPUTED_VALUE"""),42036.99861111111)</f>
        <v>42036.99861</v>
      </c>
      <c r="B1672" s="1">
        <f>IFERROR(__xludf.DUMMYFUNCTION("""COMPUTED_VALUE"""),2049.23213)</f>
        <v>2049.23213</v>
      </c>
    </row>
    <row r="1673">
      <c r="A1673" s="3">
        <f>IFERROR(__xludf.DUMMYFUNCTION("""COMPUTED_VALUE"""),42037.99861111111)</f>
        <v>42037.99861</v>
      </c>
      <c r="B1673" s="1">
        <f>IFERROR(__xludf.DUMMYFUNCTION("""COMPUTED_VALUE"""),2018.77425)</f>
        <v>2018.77425</v>
      </c>
    </row>
    <row r="1674">
      <c r="A1674" s="3">
        <f>IFERROR(__xludf.DUMMYFUNCTION("""COMPUTED_VALUE"""),42038.99861111111)</f>
        <v>42038.99861</v>
      </c>
      <c r="B1674" s="1">
        <f>IFERROR(__xludf.DUMMYFUNCTION("""COMPUTED_VALUE"""),2009.10775)</f>
        <v>2009.10775</v>
      </c>
    </row>
    <row r="1675">
      <c r="A1675" s="3">
        <f>IFERROR(__xludf.DUMMYFUNCTION("""COMPUTED_VALUE"""),42039.99861111111)</f>
        <v>42039.99861</v>
      </c>
      <c r="B1675" s="1">
        <f>IFERROR(__xludf.DUMMYFUNCTION("""COMPUTED_VALUE"""),2020.37875)</f>
        <v>2020.37875</v>
      </c>
    </row>
    <row r="1676">
      <c r="A1676" s="3">
        <f>IFERROR(__xludf.DUMMYFUNCTION("""COMPUTED_VALUE"""),42040.99861111111)</f>
        <v>42040.99861</v>
      </c>
      <c r="B1676" s="1">
        <f>IFERROR(__xludf.DUMMYFUNCTION("""COMPUTED_VALUE"""),2012.53543)</f>
        <v>2012.53543</v>
      </c>
    </row>
    <row r="1677">
      <c r="A1677" s="3">
        <f>IFERROR(__xludf.DUMMYFUNCTION("""COMPUTED_VALUE"""),42041.99861111111)</f>
        <v>42041.99861</v>
      </c>
      <c r="B1677" s="1">
        <f>IFERROR(__xludf.DUMMYFUNCTION("""COMPUTED_VALUE"""),2022.79596)</f>
        <v>2022.79596</v>
      </c>
    </row>
    <row r="1678">
      <c r="A1678" s="3">
        <f>IFERROR(__xludf.DUMMYFUNCTION("""COMPUTED_VALUE"""),42042.99861111111)</f>
        <v>42042.99861</v>
      </c>
      <c r="B1678" s="1">
        <f>IFERROR(__xludf.DUMMYFUNCTION("""COMPUTED_VALUE"""),2074.092003)</f>
        <v>2074.092003</v>
      </c>
    </row>
    <row r="1679">
      <c r="A1679" s="3">
        <f>IFERROR(__xludf.DUMMYFUNCTION("""COMPUTED_VALUE"""),42043.99861111111)</f>
        <v>42043.99861</v>
      </c>
      <c r="B1679" s="1">
        <f>IFERROR(__xludf.DUMMYFUNCTION("""COMPUTED_VALUE"""),2073.573868)</f>
        <v>2073.573868</v>
      </c>
    </row>
    <row r="1680">
      <c r="A1680" s="3">
        <f>IFERROR(__xludf.DUMMYFUNCTION("""COMPUTED_VALUE"""),42044.99861111111)</f>
        <v>42044.99861</v>
      </c>
      <c r="B1680" s="1">
        <f>IFERROR(__xludf.DUMMYFUNCTION("""COMPUTED_VALUE"""),2026.9066)</f>
        <v>2026.9066</v>
      </c>
    </row>
    <row r="1681">
      <c r="A1681" s="3">
        <f>IFERROR(__xludf.DUMMYFUNCTION("""COMPUTED_VALUE"""),42045.99861111111)</f>
        <v>42045.99861</v>
      </c>
      <c r="B1681" s="1">
        <f>IFERROR(__xludf.DUMMYFUNCTION("""COMPUTED_VALUE"""),2040.1381)</f>
        <v>2040.1381</v>
      </c>
    </row>
    <row r="1682">
      <c r="A1682" s="3">
        <f>IFERROR(__xludf.DUMMYFUNCTION("""COMPUTED_VALUE"""),42046.99861111111)</f>
        <v>42046.99861</v>
      </c>
      <c r="B1682" s="1">
        <f>IFERROR(__xludf.DUMMYFUNCTION("""COMPUTED_VALUE"""),2050.3366)</f>
        <v>2050.3366</v>
      </c>
    </row>
    <row r="1683">
      <c r="A1683" s="3">
        <f>IFERROR(__xludf.DUMMYFUNCTION("""COMPUTED_VALUE"""),42047.99861111111)</f>
        <v>42047.99861</v>
      </c>
      <c r="B1683" s="1">
        <f>IFERROR(__xludf.DUMMYFUNCTION("""COMPUTED_VALUE"""),2043.7108)</f>
        <v>2043.7108</v>
      </c>
    </row>
    <row r="1684">
      <c r="A1684" s="3">
        <f>IFERROR(__xludf.DUMMYFUNCTION("""COMPUTED_VALUE"""),42048.99861111111)</f>
        <v>42048.99861</v>
      </c>
      <c r="B1684" s="1">
        <f>IFERROR(__xludf.DUMMYFUNCTION("""COMPUTED_VALUE"""),2031.48925)</f>
        <v>2031.48925</v>
      </c>
    </row>
    <row r="1685">
      <c r="A1685" s="3">
        <f>IFERROR(__xludf.DUMMYFUNCTION("""COMPUTED_VALUE"""),42049.99861111111)</f>
        <v>42049.99861</v>
      </c>
      <c r="B1685" s="1">
        <f>IFERROR(__xludf.DUMMYFUNCTION("""COMPUTED_VALUE"""),2051.855422)</f>
        <v>2051.855422</v>
      </c>
    </row>
    <row r="1686">
      <c r="A1686" s="3">
        <f>IFERROR(__xludf.DUMMYFUNCTION("""COMPUTED_VALUE"""),42050.99861111111)</f>
        <v>42050.99861</v>
      </c>
      <c r="B1686" s="1">
        <f>IFERROR(__xludf.DUMMYFUNCTION("""COMPUTED_VALUE"""),2051.150288)</f>
        <v>2051.150288</v>
      </c>
    </row>
    <row r="1687">
      <c r="A1687" s="3">
        <f>IFERROR(__xludf.DUMMYFUNCTION("""COMPUTED_VALUE"""),42051.99861111111)</f>
        <v>42051.99861</v>
      </c>
      <c r="B1687" s="1">
        <f>IFERROR(__xludf.DUMMYFUNCTION("""COMPUTED_VALUE"""),2018.77845)</f>
        <v>2018.77845</v>
      </c>
    </row>
    <row r="1688">
      <c r="A1688" s="3">
        <f>IFERROR(__xludf.DUMMYFUNCTION("""COMPUTED_VALUE"""),42052.99861111111)</f>
        <v>42052.99861</v>
      </c>
      <c r="B1688" s="1">
        <f>IFERROR(__xludf.DUMMYFUNCTION("""COMPUTED_VALUE"""),2040.9656)</f>
        <v>2040.9656</v>
      </c>
    </row>
    <row r="1689">
      <c r="A1689" s="3">
        <f>IFERROR(__xludf.DUMMYFUNCTION("""COMPUTED_VALUE"""),42053.99861111111)</f>
        <v>42053.99861</v>
      </c>
      <c r="B1689" s="1">
        <f>IFERROR(__xludf.DUMMYFUNCTION("""COMPUTED_VALUE"""),2048.0628)</f>
        <v>2048.0628</v>
      </c>
    </row>
    <row r="1690">
      <c r="A1690" s="3">
        <f>IFERROR(__xludf.DUMMYFUNCTION("""COMPUTED_VALUE"""),42054.99861111111)</f>
        <v>42054.99861</v>
      </c>
      <c r="B1690" s="1">
        <f>IFERROR(__xludf.DUMMYFUNCTION("""COMPUTED_VALUE"""),2059.66725)</f>
        <v>2059.66725</v>
      </c>
    </row>
    <row r="1691">
      <c r="A1691" s="3">
        <f>IFERROR(__xludf.DUMMYFUNCTION("""COMPUTED_VALUE"""),42055.99861111111)</f>
        <v>42055.99861</v>
      </c>
      <c r="B1691" s="1">
        <f>IFERROR(__xludf.DUMMYFUNCTION("""COMPUTED_VALUE"""),2048.28618)</f>
        <v>2048.28618</v>
      </c>
    </row>
    <row r="1692">
      <c r="A1692" s="3">
        <f>IFERROR(__xludf.DUMMYFUNCTION("""COMPUTED_VALUE"""),42056.99861111111)</f>
        <v>42056.99861</v>
      </c>
      <c r="B1692" s="1">
        <f>IFERROR(__xludf.DUMMYFUNCTION("""COMPUTED_VALUE"""),2057.399798)</f>
        <v>2057.399798</v>
      </c>
    </row>
    <row r="1693">
      <c r="A1693" s="3">
        <f>IFERROR(__xludf.DUMMYFUNCTION("""COMPUTED_VALUE"""),42057.99861111111)</f>
        <v>42057.99861</v>
      </c>
      <c r="B1693" s="1">
        <f>IFERROR(__xludf.DUMMYFUNCTION("""COMPUTED_VALUE"""),2057.528498)</f>
        <v>2057.528498</v>
      </c>
    </row>
    <row r="1694">
      <c r="A1694" s="3">
        <f>IFERROR(__xludf.DUMMYFUNCTION("""COMPUTED_VALUE"""),42058.99861111111)</f>
        <v>42058.99861</v>
      </c>
      <c r="B1694" s="1">
        <f>IFERROR(__xludf.DUMMYFUNCTION("""COMPUTED_VALUE"""),2054.7708)</f>
        <v>2054.7708</v>
      </c>
    </row>
    <row r="1695">
      <c r="A1695" s="3">
        <f>IFERROR(__xludf.DUMMYFUNCTION("""COMPUTED_VALUE"""),42059.99861111111)</f>
        <v>42059.99861</v>
      </c>
      <c r="B1695" s="1">
        <f>IFERROR(__xludf.DUMMYFUNCTION("""COMPUTED_VALUE"""),2047.77594)</f>
        <v>2047.77594</v>
      </c>
    </row>
    <row r="1696">
      <c r="A1696" s="3">
        <f>IFERROR(__xludf.DUMMYFUNCTION("""COMPUTED_VALUE"""),42060.99861111111)</f>
        <v>42060.99861</v>
      </c>
      <c r="B1696" s="1">
        <f>IFERROR(__xludf.DUMMYFUNCTION("""COMPUTED_VALUE"""),2053.9719)</f>
        <v>2053.9719</v>
      </c>
    </row>
    <row r="1697">
      <c r="A1697" s="3">
        <f>IFERROR(__xludf.DUMMYFUNCTION("""COMPUTED_VALUE"""),42061.99861111111)</f>
        <v>42061.99861</v>
      </c>
      <c r="B1697" s="1">
        <f>IFERROR(__xludf.DUMMYFUNCTION("""COMPUTED_VALUE"""),2053.90575)</f>
        <v>2053.90575</v>
      </c>
    </row>
    <row r="1698">
      <c r="A1698" s="3">
        <f>IFERROR(__xludf.DUMMYFUNCTION("""COMPUTED_VALUE"""),42062.99861111111)</f>
        <v>42062.99861</v>
      </c>
      <c r="B1698" s="1">
        <f>IFERROR(__xludf.DUMMYFUNCTION("""COMPUTED_VALUE"""),2070.51012)</f>
        <v>2070.51012</v>
      </c>
    </row>
    <row r="1699">
      <c r="A1699" s="3">
        <f>IFERROR(__xludf.DUMMYFUNCTION("""COMPUTED_VALUE"""),42063.99861111111)</f>
        <v>42063.99861</v>
      </c>
      <c r="B1699" s="1">
        <f>IFERROR(__xludf.DUMMYFUNCTION("""COMPUTED_VALUE"""),2074.642206)</f>
        <v>2074.642206</v>
      </c>
    </row>
    <row r="1700">
      <c r="A1700" s="3">
        <f>IFERROR(__xludf.DUMMYFUNCTION("""COMPUTED_VALUE"""),42064.99861111111)</f>
        <v>42064.99861</v>
      </c>
      <c r="B1700" s="1">
        <f>IFERROR(__xludf.DUMMYFUNCTION("""COMPUTED_VALUE"""),2068.400334)</f>
        <v>2068.400334</v>
      </c>
    </row>
    <row r="1701">
      <c r="A1701" s="3">
        <f>IFERROR(__xludf.DUMMYFUNCTION("""COMPUTED_VALUE"""),42065.99861111111)</f>
        <v>42065.99861</v>
      </c>
      <c r="B1701" s="1">
        <f>IFERROR(__xludf.DUMMYFUNCTION("""COMPUTED_VALUE"""),2070.23345)</f>
        <v>2070.23345</v>
      </c>
    </row>
    <row r="1702">
      <c r="A1702" s="3">
        <f>IFERROR(__xludf.DUMMYFUNCTION("""COMPUTED_VALUE"""),42066.99861111111)</f>
        <v>42066.99861</v>
      </c>
      <c r="B1702" s="1">
        <f>IFERROR(__xludf.DUMMYFUNCTION("""COMPUTED_VALUE"""),2067.0289)</f>
        <v>2067.0289</v>
      </c>
    </row>
    <row r="1703">
      <c r="A1703" s="3">
        <f>IFERROR(__xludf.DUMMYFUNCTION("""COMPUTED_VALUE"""),42067.99861111111)</f>
        <v>42067.99861</v>
      </c>
      <c r="B1703" s="1">
        <f>IFERROR(__xludf.DUMMYFUNCTION("""COMPUTED_VALUE"""),2074.591)</f>
        <v>2074.591</v>
      </c>
    </row>
    <row r="1704">
      <c r="A1704" s="3">
        <f>IFERROR(__xludf.DUMMYFUNCTION("""COMPUTED_VALUE"""),42068.99861111111)</f>
        <v>42068.99861</v>
      </c>
      <c r="B1704" s="1">
        <f>IFERROR(__xludf.DUMMYFUNCTION("""COMPUTED_VALUE"""),2057.937)</f>
        <v>2057.937</v>
      </c>
    </row>
    <row r="1705">
      <c r="A1705" s="3">
        <f>IFERROR(__xludf.DUMMYFUNCTION("""COMPUTED_VALUE"""),42069.99861111111)</f>
        <v>42069.99861</v>
      </c>
      <c r="B1705" s="1">
        <f>IFERROR(__xludf.DUMMYFUNCTION("""COMPUTED_VALUE"""),2079.9789)</f>
        <v>2079.9789</v>
      </c>
    </row>
    <row r="1706">
      <c r="A1706" s="3">
        <f>IFERROR(__xludf.DUMMYFUNCTION("""COMPUTED_VALUE"""),42070.99861111111)</f>
        <v>42070.99861</v>
      </c>
      <c r="B1706" s="1">
        <f>IFERROR(__xludf.DUMMYFUNCTION("""COMPUTED_VALUE"""),2111.507421)</f>
        <v>2111.507421</v>
      </c>
    </row>
    <row r="1707">
      <c r="A1707" s="3">
        <f>IFERROR(__xludf.DUMMYFUNCTION("""COMPUTED_VALUE"""),42071.99861111111)</f>
        <v>42071.99861</v>
      </c>
      <c r="B1707" s="1">
        <f>IFERROR(__xludf.DUMMYFUNCTION("""COMPUTED_VALUE"""),2111.242871)</f>
        <v>2111.242871</v>
      </c>
    </row>
    <row r="1708">
      <c r="A1708" s="3">
        <f>IFERROR(__xludf.DUMMYFUNCTION("""COMPUTED_VALUE"""),42072.99861111111)</f>
        <v>42072.99861</v>
      </c>
      <c r="B1708" s="1">
        <f>IFERROR(__xludf.DUMMYFUNCTION("""COMPUTED_VALUE"""),2086.71226)</f>
        <v>2086.71226</v>
      </c>
    </row>
    <row r="1709">
      <c r="A1709" s="3">
        <f>IFERROR(__xludf.DUMMYFUNCTION("""COMPUTED_VALUE"""),42073.99861111111)</f>
        <v>42073.99861</v>
      </c>
      <c r="B1709" s="1">
        <f>IFERROR(__xludf.DUMMYFUNCTION("""COMPUTED_VALUE"""),2086.2334)</f>
        <v>2086.2334</v>
      </c>
    </row>
    <row r="1710">
      <c r="A1710" s="3">
        <f>IFERROR(__xludf.DUMMYFUNCTION("""COMPUTED_VALUE"""),42074.99861111111)</f>
        <v>42074.99861</v>
      </c>
      <c r="B1710" s="1">
        <f>IFERROR(__xludf.DUMMYFUNCTION("""COMPUTED_VALUE"""),2103.784)</f>
        <v>2103.784</v>
      </c>
    </row>
    <row r="1711">
      <c r="A1711" s="3">
        <f>IFERROR(__xludf.DUMMYFUNCTION("""COMPUTED_VALUE"""),42075.99861111111)</f>
        <v>42075.99861</v>
      </c>
      <c r="B1711" s="1">
        <f>IFERROR(__xludf.DUMMYFUNCTION("""COMPUTED_VALUE"""),2102.1954)</f>
        <v>2102.1954</v>
      </c>
    </row>
    <row r="1712">
      <c r="A1712" s="3">
        <f>IFERROR(__xludf.DUMMYFUNCTION("""COMPUTED_VALUE"""),42076.99861111111)</f>
        <v>42076.99861</v>
      </c>
      <c r="B1712" s="1">
        <f>IFERROR(__xludf.DUMMYFUNCTION("""COMPUTED_VALUE"""),2106.4356)</f>
        <v>2106.4356</v>
      </c>
    </row>
    <row r="1713">
      <c r="A1713" s="3">
        <f>IFERROR(__xludf.DUMMYFUNCTION("""COMPUTED_VALUE"""),42077.99861111111)</f>
        <v>42077.99861</v>
      </c>
      <c r="B1713" s="1">
        <f>IFERROR(__xludf.DUMMYFUNCTION("""COMPUTED_VALUE"""),2121.646349)</f>
        <v>2121.646349</v>
      </c>
    </row>
    <row r="1714">
      <c r="A1714" s="3">
        <f>IFERROR(__xludf.DUMMYFUNCTION("""COMPUTED_VALUE"""),42078.99861111111)</f>
        <v>42078.99861</v>
      </c>
      <c r="B1714" s="1">
        <f>IFERROR(__xludf.DUMMYFUNCTION("""COMPUTED_VALUE"""),2118.724703)</f>
        <v>2118.724703</v>
      </c>
    </row>
    <row r="1715">
      <c r="A1715" s="3">
        <f>IFERROR(__xludf.DUMMYFUNCTION("""COMPUTED_VALUE"""),42079.99861111111)</f>
        <v>42079.99861</v>
      </c>
      <c r="B1715" s="1">
        <f>IFERROR(__xludf.DUMMYFUNCTION("""COMPUTED_VALUE"""),2106.7137)</f>
        <v>2106.7137</v>
      </c>
    </row>
    <row r="1716">
      <c r="A1716" s="3">
        <f>IFERROR(__xludf.DUMMYFUNCTION("""COMPUTED_VALUE"""),42080.99861111111)</f>
        <v>42080.99861</v>
      </c>
      <c r="B1716" s="1">
        <f>IFERROR(__xludf.DUMMYFUNCTION("""COMPUTED_VALUE"""),2099.3312)</f>
        <v>2099.3312</v>
      </c>
    </row>
    <row r="1717">
      <c r="A1717" s="3">
        <f>IFERROR(__xludf.DUMMYFUNCTION("""COMPUTED_VALUE"""),42081.99861111111)</f>
        <v>42081.99861</v>
      </c>
      <c r="B1717" s="1">
        <f>IFERROR(__xludf.DUMMYFUNCTION("""COMPUTED_VALUE"""),2067.884)</f>
        <v>2067.884</v>
      </c>
    </row>
    <row r="1718">
      <c r="A1718" s="3">
        <f>IFERROR(__xludf.DUMMYFUNCTION("""COMPUTED_VALUE"""),42082.99861111111)</f>
        <v>42082.99861</v>
      </c>
      <c r="B1718" s="1">
        <f>IFERROR(__xludf.DUMMYFUNCTION("""COMPUTED_VALUE"""),2107.43062)</f>
        <v>2107.43062</v>
      </c>
    </row>
    <row r="1719">
      <c r="A1719" s="3">
        <f>IFERROR(__xludf.DUMMYFUNCTION("""COMPUTED_VALUE"""),42083.99861111111)</f>
        <v>42083.99861</v>
      </c>
      <c r="B1719" s="1">
        <f>IFERROR(__xludf.DUMMYFUNCTION("""COMPUTED_VALUE"""),2099.23925)</f>
        <v>2099.23925</v>
      </c>
    </row>
    <row r="1720">
      <c r="A1720" s="3">
        <f>IFERROR(__xludf.DUMMYFUNCTION("""COMPUTED_VALUE"""),42084.99861111111)</f>
        <v>42084.99861</v>
      </c>
      <c r="B1720" s="1">
        <f>IFERROR(__xludf.DUMMYFUNCTION("""COMPUTED_VALUE"""),2101.302226)</f>
        <v>2101.302226</v>
      </c>
    </row>
    <row r="1721">
      <c r="A1721" s="3">
        <f>IFERROR(__xludf.DUMMYFUNCTION("""COMPUTED_VALUE"""),42085.99861111111)</f>
        <v>42085.99861</v>
      </c>
      <c r="B1721" s="1">
        <f>IFERROR(__xludf.DUMMYFUNCTION("""COMPUTED_VALUE"""),2102.084494)</f>
        <v>2102.084494</v>
      </c>
    </row>
    <row r="1722">
      <c r="A1722" s="3">
        <f>IFERROR(__xludf.DUMMYFUNCTION("""COMPUTED_VALUE"""),42086.99861111111)</f>
        <v>42086.99861</v>
      </c>
      <c r="B1722" s="1">
        <f>IFERROR(__xludf.DUMMYFUNCTION("""COMPUTED_VALUE"""),2082.14041)</f>
        <v>2082.14041</v>
      </c>
    </row>
    <row r="1723">
      <c r="A1723" s="3">
        <f>IFERROR(__xludf.DUMMYFUNCTION("""COMPUTED_VALUE"""),42087.99861111111)</f>
        <v>42087.99861</v>
      </c>
      <c r="B1723" s="1">
        <f>IFERROR(__xludf.DUMMYFUNCTION("""COMPUTED_VALUE"""),2078.4793)</f>
        <v>2078.4793</v>
      </c>
    </row>
    <row r="1724">
      <c r="A1724" s="3">
        <f>IFERROR(__xludf.DUMMYFUNCTION("""COMPUTED_VALUE"""),42088.99861111111)</f>
        <v>42088.99861</v>
      </c>
      <c r="B1724" s="1">
        <f>IFERROR(__xludf.DUMMYFUNCTION("""COMPUTED_VALUE"""),2080.3077)</f>
        <v>2080.3077</v>
      </c>
    </row>
    <row r="1725">
      <c r="A1725" s="3">
        <f>IFERROR(__xludf.DUMMYFUNCTION("""COMPUTED_VALUE"""),42089.99861111111)</f>
        <v>42089.99861</v>
      </c>
      <c r="B1725" s="1">
        <f>IFERROR(__xludf.DUMMYFUNCTION("""COMPUTED_VALUE"""),2095.3906)</f>
        <v>2095.3906</v>
      </c>
    </row>
    <row r="1726">
      <c r="A1726" s="3">
        <f>IFERROR(__xludf.DUMMYFUNCTION("""COMPUTED_VALUE"""),42090.99861111111)</f>
        <v>42090.99861</v>
      </c>
      <c r="B1726" s="1">
        <f>IFERROR(__xludf.DUMMYFUNCTION("""COMPUTED_VALUE"""),2096.8101)</f>
        <v>2096.8101</v>
      </c>
    </row>
    <row r="1727">
      <c r="A1727" s="3">
        <f>IFERROR(__xludf.DUMMYFUNCTION("""COMPUTED_VALUE"""),42091.99861111111)</f>
        <v>42091.99861</v>
      </c>
      <c r="B1727" s="1">
        <f>IFERROR(__xludf.DUMMYFUNCTION("""COMPUTED_VALUE"""),2113.796916)</f>
        <v>2113.796916</v>
      </c>
    </row>
    <row r="1728">
      <c r="A1728" s="3">
        <f>IFERROR(__xludf.DUMMYFUNCTION("""COMPUTED_VALUE"""),42092.99861111111)</f>
        <v>42092.99861</v>
      </c>
      <c r="B1728" s="1">
        <f>IFERROR(__xludf.DUMMYFUNCTION("""COMPUTED_VALUE"""),2113.00848)</f>
        <v>2113.00848</v>
      </c>
    </row>
    <row r="1729">
      <c r="A1729" s="3">
        <f>IFERROR(__xludf.DUMMYFUNCTION("""COMPUTED_VALUE"""),42093.99861111111)</f>
        <v>42093.99861</v>
      </c>
      <c r="B1729" s="1">
        <f>IFERROR(__xludf.DUMMYFUNCTION("""COMPUTED_VALUE"""),2107.92309)</f>
        <v>2107.92309</v>
      </c>
    </row>
    <row r="1730">
      <c r="A1730" s="3">
        <f>IFERROR(__xludf.DUMMYFUNCTION("""COMPUTED_VALUE"""),42094.99861111111)</f>
        <v>42094.99861</v>
      </c>
      <c r="B1730" s="1">
        <f>IFERROR(__xludf.DUMMYFUNCTION("""COMPUTED_VALUE"""),2105.925)</f>
        <v>2105.925</v>
      </c>
    </row>
    <row r="1731">
      <c r="A1731" s="3">
        <f>IFERROR(__xludf.DUMMYFUNCTION("""COMPUTED_VALUE"""),42095.99861111111)</f>
        <v>42095.99861</v>
      </c>
      <c r="B1731" s="1">
        <f>IFERROR(__xludf.DUMMYFUNCTION("""COMPUTED_VALUE"""),2091.16204)</f>
        <v>2091.16204</v>
      </c>
    </row>
    <row r="1732">
      <c r="A1732" s="3">
        <f>IFERROR(__xludf.DUMMYFUNCTION("""COMPUTED_VALUE"""),42096.99861111111)</f>
        <v>42096.99861</v>
      </c>
      <c r="B1732" s="1">
        <f>IFERROR(__xludf.DUMMYFUNCTION("""COMPUTED_VALUE"""),2092.27305)</f>
        <v>2092.27305</v>
      </c>
    </row>
    <row r="1733">
      <c r="A1733" s="3">
        <f>IFERROR(__xludf.DUMMYFUNCTION("""COMPUTED_VALUE"""),42097.99861111111)</f>
        <v>42097.99861</v>
      </c>
      <c r="B1733" s="1">
        <f>IFERROR(__xludf.DUMMYFUNCTION("""COMPUTED_VALUE"""),2091.5138)</f>
        <v>2091.5138</v>
      </c>
    </row>
    <row r="1734">
      <c r="A1734" s="3">
        <f>IFERROR(__xludf.DUMMYFUNCTION("""COMPUTED_VALUE"""),42098.99861111111)</f>
        <v>42098.99861</v>
      </c>
      <c r="B1734" s="1">
        <f>IFERROR(__xludf.DUMMYFUNCTION("""COMPUTED_VALUE"""),2097.789148)</f>
        <v>2097.789148</v>
      </c>
    </row>
    <row r="1735">
      <c r="A1735" s="3">
        <f>IFERROR(__xludf.DUMMYFUNCTION("""COMPUTED_VALUE"""),42099.99861111111)</f>
        <v>42099.99861</v>
      </c>
      <c r="B1735" s="1">
        <f>IFERROR(__xludf.DUMMYFUNCTION("""COMPUTED_VALUE"""),2114.914289)</f>
        <v>2114.914289</v>
      </c>
    </row>
    <row r="1736">
      <c r="A1736" s="3">
        <f>IFERROR(__xludf.DUMMYFUNCTION("""COMPUTED_VALUE"""),42100.99861111111)</f>
        <v>42100.99861</v>
      </c>
      <c r="B1736" s="1">
        <f>IFERROR(__xludf.DUMMYFUNCTION("""COMPUTED_VALUE"""),2098.51395)</f>
        <v>2098.51395</v>
      </c>
    </row>
    <row r="1737">
      <c r="A1737" s="3">
        <f>IFERROR(__xludf.DUMMYFUNCTION("""COMPUTED_VALUE"""),42101.99861111111)</f>
        <v>42101.99861</v>
      </c>
      <c r="B1737" s="1">
        <f>IFERROR(__xludf.DUMMYFUNCTION("""COMPUTED_VALUE"""),2097.1331)</f>
        <v>2097.1331</v>
      </c>
    </row>
    <row r="1738">
      <c r="A1738" s="3">
        <f>IFERROR(__xludf.DUMMYFUNCTION("""COMPUTED_VALUE"""),42102.99861111111)</f>
        <v>42102.99861</v>
      </c>
      <c r="B1738" s="1">
        <f>IFERROR(__xludf.DUMMYFUNCTION("""COMPUTED_VALUE"""),2082.993)</f>
        <v>2082.993</v>
      </c>
    </row>
    <row r="1739">
      <c r="A1739" s="3">
        <f>IFERROR(__xludf.DUMMYFUNCTION("""COMPUTED_VALUE"""),42103.99861111111)</f>
        <v>42103.99861</v>
      </c>
      <c r="B1739" s="1">
        <f>IFERROR(__xludf.DUMMYFUNCTION("""COMPUTED_VALUE"""),2084.73395)</f>
        <v>2084.73395</v>
      </c>
    </row>
    <row r="1740">
      <c r="A1740" s="3">
        <f>IFERROR(__xludf.DUMMYFUNCTION("""COMPUTED_VALUE"""),42104.99861111111)</f>
        <v>42104.99861</v>
      </c>
      <c r="B1740" s="1">
        <f>IFERROR(__xludf.DUMMYFUNCTION("""COMPUTED_VALUE"""),2075.5478)</f>
        <v>2075.5478</v>
      </c>
    </row>
    <row r="1741">
      <c r="A1741" s="3">
        <f>IFERROR(__xludf.DUMMYFUNCTION("""COMPUTED_VALUE"""),42105.99861111111)</f>
        <v>42105.99861</v>
      </c>
      <c r="B1741" s="1">
        <f>IFERROR(__xludf.DUMMYFUNCTION("""COMPUTED_VALUE"""),2083.052942)</f>
        <v>2083.052942</v>
      </c>
    </row>
    <row r="1742">
      <c r="A1742" s="3">
        <f>IFERROR(__xludf.DUMMYFUNCTION("""COMPUTED_VALUE"""),42106.99861111111)</f>
        <v>42106.99861</v>
      </c>
      <c r="B1742" s="1">
        <f>IFERROR(__xludf.DUMMYFUNCTION("""COMPUTED_VALUE"""),2084.087871)</f>
        <v>2084.087871</v>
      </c>
    </row>
    <row r="1743">
      <c r="A1743" s="3">
        <f>IFERROR(__xludf.DUMMYFUNCTION("""COMPUTED_VALUE"""),42107.99861111111)</f>
        <v>42107.99861</v>
      </c>
      <c r="B1743" s="1">
        <f>IFERROR(__xludf.DUMMYFUNCTION("""COMPUTED_VALUE"""),2098.1578)</f>
        <v>2098.1578</v>
      </c>
    </row>
    <row r="1744">
      <c r="A1744" s="3">
        <f>IFERROR(__xludf.DUMMYFUNCTION("""COMPUTED_VALUE"""),42108.99861111111)</f>
        <v>42108.99861</v>
      </c>
      <c r="B1744" s="1">
        <f>IFERROR(__xludf.DUMMYFUNCTION("""COMPUTED_VALUE"""),2089.10475)</f>
        <v>2089.10475</v>
      </c>
    </row>
    <row r="1745">
      <c r="A1745" s="3">
        <f>IFERROR(__xludf.DUMMYFUNCTION("""COMPUTED_VALUE"""),42109.99861111111)</f>
        <v>42109.99861</v>
      </c>
      <c r="B1745" s="1">
        <f>IFERROR(__xludf.DUMMYFUNCTION("""COMPUTED_VALUE"""),2078.86743)</f>
        <v>2078.86743</v>
      </c>
    </row>
    <row r="1746">
      <c r="A1746" s="3">
        <f>IFERROR(__xludf.DUMMYFUNCTION("""COMPUTED_VALUE"""),42110.99861111111)</f>
        <v>42110.99861</v>
      </c>
      <c r="B1746" s="1">
        <f>IFERROR(__xludf.DUMMYFUNCTION("""COMPUTED_VALUE"""),2068.2506)</f>
        <v>2068.2506</v>
      </c>
    </row>
    <row r="1747">
      <c r="A1747" s="3">
        <f>IFERROR(__xludf.DUMMYFUNCTION("""COMPUTED_VALUE"""),42111.99861111111)</f>
        <v>42111.99861</v>
      </c>
      <c r="B1747" s="1">
        <f>IFERROR(__xludf.DUMMYFUNCTION("""COMPUTED_VALUE"""),2065.152)</f>
        <v>2065.152</v>
      </c>
    </row>
    <row r="1748">
      <c r="A1748" s="3">
        <f>IFERROR(__xludf.DUMMYFUNCTION("""COMPUTED_VALUE"""),42112.99861111111)</f>
        <v>42112.99861</v>
      </c>
      <c r="B1748" s="1">
        <f>IFERROR(__xludf.DUMMYFUNCTION("""COMPUTED_VALUE"""),2071.116739)</f>
        <v>2071.116739</v>
      </c>
    </row>
    <row r="1749">
      <c r="A1749" s="3">
        <f>IFERROR(__xludf.DUMMYFUNCTION("""COMPUTED_VALUE"""),42113.99861111111)</f>
        <v>42113.99861</v>
      </c>
      <c r="B1749" s="1">
        <f>IFERROR(__xludf.DUMMYFUNCTION("""COMPUTED_VALUE"""),2079.76676)</f>
        <v>2079.76676</v>
      </c>
    </row>
    <row r="1750">
      <c r="A1750" s="3">
        <f>IFERROR(__xludf.DUMMYFUNCTION("""COMPUTED_VALUE"""),42114.99861111111)</f>
        <v>42114.99861</v>
      </c>
      <c r="B1750" s="1">
        <f>IFERROR(__xludf.DUMMYFUNCTION("""COMPUTED_VALUE"""),2091.4125)</f>
        <v>2091.4125</v>
      </c>
    </row>
    <row r="1751">
      <c r="A1751" s="3">
        <f>IFERROR(__xludf.DUMMYFUNCTION("""COMPUTED_VALUE"""),42115.99861111111)</f>
        <v>42115.99861</v>
      </c>
      <c r="B1751" s="1">
        <f>IFERROR(__xludf.DUMMYFUNCTION("""COMPUTED_VALUE"""),2085.19025)</f>
        <v>2085.19025</v>
      </c>
    </row>
    <row r="1752">
      <c r="A1752" s="3">
        <f>IFERROR(__xludf.DUMMYFUNCTION("""COMPUTED_VALUE"""),42116.99861111111)</f>
        <v>42116.99861</v>
      </c>
      <c r="B1752" s="1">
        <f>IFERROR(__xludf.DUMMYFUNCTION("""COMPUTED_VALUE"""),2082.576)</f>
        <v>2082.576</v>
      </c>
    </row>
    <row r="1753">
      <c r="A1753" s="3">
        <f>IFERROR(__xludf.DUMMYFUNCTION("""COMPUTED_VALUE"""),42117.99861111111)</f>
        <v>42117.99861</v>
      </c>
      <c r="B1753" s="1">
        <f>IFERROR(__xludf.DUMMYFUNCTION("""COMPUTED_VALUE"""),2086.3848)</f>
        <v>2086.3848</v>
      </c>
    </row>
    <row r="1754">
      <c r="A1754" s="3">
        <f>IFERROR(__xludf.DUMMYFUNCTION("""COMPUTED_VALUE"""),42118.99861111111)</f>
        <v>42118.99861</v>
      </c>
      <c r="B1754" s="1">
        <f>IFERROR(__xludf.DUMMYFUNCTION("""COMPUTED_VALUE"""),2088.1917)</f>
        <v>2088.1917</v>
      </c>
    </row>
    <row r="1755">
      <c r="A1755" s="3">
        <f>IFERROR(__xludf.DUMMYFUNCTION("""COMPUTED_VALUE"""),42119.99861111111)</f>
        <v>42119.99861</v>
      </c>
      <c r="B1755" s="1">
        <f>IFERROR(__xludf.DUMMYFUNCTION("""COMPUTED_VALUE"""),2092.735316)</f>
        <v>2092.735316</v>
      </c>
    </row>
    <row r="1756">
      <c r="A1756" s="3">
        <f>IFERROR(__xludf.DUMMYFUNCTION("""COMPUTED_VALUE"""),42120.99861111111)</f>
        <v>42120.99861</v>
      </c>
      <c r="B1756" s="1">
        <f>IFERROR(__xludf.DUMMYFUNCTION("""COMPUTED_VALUE"""),2091.568001)</f>
        <v>2091.568001</v>
      </c>
    </row>
    <row r="1757">
      <c r="A1757" s="3">
        <f>IFERROR(__xludf.DUMMYFUNCTION("""COMPUTED_VALUE"""),42121.99861111111)</f>
        <v>42121.99861</v>
      </c>
      <c r="B1757" s="1">
        <f>IFERROR(__xludf.DUMMYFUNCTION("""COMPUTED_VALUE"""),2079.04941)</f>
        <v>2079.04941</v>
      </c>
    </row>
    <row r="1758">
      <c r="A1758" s="3">
        <f>IFERROR(__xludf.DUMMYFUNCTION("""COMPUTED_VALUE"""),42122.99861111111)</f>
        <v>42122.99861</v>
      </c>
      <c r="B1758" s="1">
        <f>IFERROR(__xludf.DUMMYFUNCTION("""COMPUTED_VALUE"""),2084.73395)</f>
        <v>2084.73395</v>
      </c>
    </row>
    <row r="1759">
      <c r="A1759" s="3">
        <f>IFERROR(__xludf.DUMMYFUNCTION("""COMPUTED_VALUE"""),42123.99861111111)</f>
        <v>42123.99861</v>
      </c>
      <c r="B1759" s="1">
        <f>IFERROR(__xludf.DUMMYFUNCTION("""COMPUTED_VALUE"""),2084.09355)</f>
        <v>2084.09355</v>
      </c>
    </row>
    <row r="1760">
      <c r="A1760" s="3">
        <f>IFERROR(__xludf.DUMMYFUNCTION("""COMPUTED_VALUE"""),42124.99861111111)</f>
        <v>42124.99861</v>
      </c>
      <c r="B1760" s="1">
        <f>IFERROR(__xludf.DUMMYFUNCTION("""COMPUTED_VALUE"""),2088.27969)</f>
        <v>2088.27969</v>
      </c>
    </row>
    <row r="1761">
      <c r="A1761" s="3">
        <f>IFERROR(__xludf.DUMMYFUNCTION("""COMPUTED_VALUE"""),42125.99861111111)</f>
        <v>42125.99861</v>
      </c>
      <c r="B1761" s="1">
        <f>IFERROR(__xludf.DUMMYFUNCTION("""COMPUTED_VALUE"""),2092.3485)</f>
        <v>2092.3485</v>
      </c>
    </row>
    <row r="1762">
      <c r="A1762" s="3">
        <f>IFERROR(__xludf.DUMMYFUNCTION("""COMPUTED_VALUE"""),42126.99861111111)</f>
        <v>42126.99861</v>
      </c>
      <c r="B1762" s="1">
        <f>IFERROR(__xludf.DUMMYFUNCTION("""COMPUTED_VALUE"""),2107.972981)</f>
        <v>2107.972981</v>
      </c>
    </row>
    <row r="1763">
      <c r="A1763" s="3">
        <f>IFERROR(__xludf.DUMMYFUNCTION("""COMPUTED_VALUE"""),42127.99861111111)</f>
        <v>42127.99861</v>
      </c>
      <c r="B1763" s="1">
        <f>IFERROR(__xludf.DUMMYFUNCTION("""COMPUTED_VALUE"""),2095.695972)</f>
        <v>2095.695972</v>
      </c>
    </row>
    <row r="1764">
      <c r="A1764" s="3">
        <f>IFERROR(__xludf.DUMMYFUNCTION("""COMPUTED_VALUE"""),42128.99861111111)</f>
        <v>42128.99861</v>
      </c>
      <c r="B1764" s="1">
        <f>IFERROR(__xludf.DUMMYFUNCTION("""COMPUTED_VALUE"""),2071.6174)</f>
        <v>2071.6174</v>
      </c>
    </row>
    <row r="1765">
      <c r="A1765" s="3">
        <f>IFERROR(__xludf.DUMMYFUNCTION("""COMPUTED_VALUE"""),42129.99861111111)</f>
        <v>42129.99861</v>
      </c>
      <c r="B1765" s="1">
        <f>IFERROR(__xludf.DUMMYFUNCTION("""COMPUTED_VALUE"""),2096.79615)</f>
        <v>2096.79615</v>
      </c>
    </row>
    <row r="1766">
      <c r="A1766" s="3">
        <f>IFERROR(__xludf.DUMMYFUNCTION("""COMPUTED_VALUE"""),42130.99861111111)</f>
        <v>42130.99861</v>
      </c>
      <c r="B1766" s="1">
        <f>IFERROR(__xludf.DUMMYFUNCTION("""COMPUTED_VALUE"""),2097.15508)</f>
        <v>2097.15508</v>
      </c>
    </row>
    <row r="1767">
      <c r="A1767" s="3">
        <f>IFERROR(__xludf.DUMMYFUNCTION("""COMPUTED_VALUE"""),42131.99861111111)</f>
        <v>42131.99861</v>
      </c>
      <c r="B1767" s="1">
        <f>IFERROR(__xludf.DUMMYFUNCTION("""COMPUTED_VALUE"""),2109.3426)</f>
        <v>2109.3426</v>
      </c>
    </row>
    <row r="1768">
      <c r="A1768" s="3">
        <f>IFERROR(__xludf.DUMMYFUNCTION("""COMPUTED_VALUE"""),42132.99861111111)</f>
        <v>42132.99861</v>
      </c>
      <c r="B1768" s="1">
        <f>IFERROR(__xludf.DUMMYFUNCTION("""COMPUTED_VALUE"""),2102.13264)</f>
        <v>2102.13264</v>
      </c>
    </row>
    <row r="1769">
      <c r="A1769" s="3">
        <f>IFERROR(__xludf.DUMMYFUNCTION("""COMPUTED_VALUE"""),42133.99861111111)</f>
        <v>42133.99861</v>
      </c>
      <c r="B1769" s="1">
        <f>IFERROR(__xludf.DUMMYFUNCTION("""COMPUTED_VALUE"""),2119.999236)</f>
        <v>2119.999236</v>
      </c>
    </row>
    <row r="1770">
      <c r="A1770" s="3">
        <f>IFERROR(__xludf.DUMMYFUNCTION("""COMPUTED_VALUE"""),42134.99861111111)</f>
        <v>42134.99861</v>
      </c>
      <c r="B1770" s="1">
        <f>IFERROR(__xludf.DUMMYFUNCTION("""COMPUTED_VALUE"""),2117.104501)</f>
        <v>2117.104501</v>
      </c>
    </row>
    <row r="1771">
      <c r="A1771" s="3">
        <f>IFERROR(__xludf.DUMMYFUNCTION("""COMPUTED_VALUE"""),42135.99861111111)</f>
        <v>42135.99861</v>
      </c>
      <c r="B1771" s="1">
        <f>IFERROR(__xludf.DUMMYFUNCTION("""COMPUTED_VALUE"""),2120.8968)</f>
        <v>2120.8968</v>
      </c>
    </row>
    <row r="1772">
      <c r="A1772" s="3">
        <f>IFERROR(__xludf.DUMMYFUNCTION("""COMPUTED_VALUE"""),42136.99861111111)</f>
        <v>42136.99861</v>
      </c>
      <c r="B1772" s="1">
        <f>IFERROR(__xludf.DUMMYFUNCTION("""COMPUTED_VALUE"""),2117.26515)</f>
        <v>2117.26515</v>
      </c>
    </row>
    <row r="1773">
      <c r="A1773" s="3">
        <f>IFERROR(__xludf.DUMMYFUNCTION("""COMPUTED_VALUE"""),42137.99861111111)</f>
        <v>42137.99861</v>
      </c>
      <c r="B1773" s="1">
        <f>IFERROR(__xludf.DUMMYFUNCTION("""COMPUTED_VALUE"""),2112.82852)</f>
        <v>2112.82852</v>
      </c>
    </row>
    <row r="1774">
      <c r="A1774" s="3">
        <f>IFERROR(__xludf.DUMMYFUNCTION("""COMPUTED_VALUE"""),42138.99861111111)</f>
        <v>42138.99861</v>
      </c>
      <c r="B1774" s="1">
        <f>IFERROR(__xludf.DUMMYFUNCTION("""COMPUTED_VALUE"""),2098.73664)</f>
        <v>2098.73664</v>
      </c>
    </row>
    <row r="1775">
      <c r="A1775" s="3">
        <f>IFERROR(__xludf.DUMMYFUNCTION("""COMPUTED_VALUE"""),42139.99861111111)</f>
        <v>42139.99861</v>
      </c>
      <c r="B1775" s="1">
        <f>IFERROR(__xludf.DUMMYFUNCTION("""COMPUTED_VALUE"""),2102.39358)</f>
        <v>2102.39358</v>
      </c>
    </row>
    <row r="1776">
      <c r="A1776" s="3">
        <f>IFERROR(__xludf.DUMMYFUNCTION("""COMPUTED_VALUE"""),42140.99861111111)</f>
        <v>42140.99861</v>
      </c>
      <c r="B1776" s="1">
        <f>IFERROR(__xludf.DUMMYFUNCTION("""COMPUTED_VALUE"""),2106.404354)</f>
        <v>2106.404354</v>
      </c>
    </row>
    <row r="1777">
      <c r="A1777" s="3">
        <f>IFERROR(__xludf.DUMMYFUNCTION("""COMPUTED_VALUE"""),42141.99861111111)</f>
        <v>42141.99861</v>
      </c>
      <c r="B1777" s="1">
        <f>IFERROR(__xludf.DUMMYFUNCTION("""COMPUTED_VALUE"""),2105.75076)</f>
        <v>2105.75076</v>
      </c>
    </row>
    <row r="1778">
      <c r="A1778" s="3">
        <f>IFERROR(__xludf.DUMMYFUNCTION("""COMPUTED_VALUE"""),42142.99861111111)</f>
        <v>42142.99861</v>
      </c>
      <c r="B1778" s="1">
        <f>IFERROR(__xludf.DUMMYFUNCTION("""COMPUTED_VALUE"""),2122.3725)</f>
        <v>2122.3725</v>
      </c>
    </row>
    <row r="1779">
      <c r="A1779" s="3">
        <f>IFERROR(__xludf.DUMMYFUNCTION("""COMPUTED_VALUE"""),42143.99861111111)</f>
        <v>42143.99861</v>
      </c>
      <c r="B1779" s="1">
        <f>IFERROR(__xludf.DUMMYFUNCTION("""COMPUTED_VALUE"""),2120.96976)</f>
        <v>2120.96976</v>
      </c>
    </row>
    <row r="1780">
      <c r="A1780" s="3">
        <f>IFERROR(__xludf.DUMMYFUNCTION("""COMPUTED_VALUE"""),42144.99861111111)</f>
        <v>42144.99861</v>
      </c>
      <c r="B1780" s="1">
        <f>IFERROR(__xludf.DUMMYFUNCTION("""COMPUTED_VALUE"""),2099.0592)</f>
        <v>2099.0592</v>
      </c>
    </row>
    <row r="1781">
      <c r="A1781" s="3">
        <f>IFERROR(__xludf.DUMMYFUNCTION("""COMPUTED_VALUE"""),42145.99861111111)</f>
        <v>42145.99861</v>
      </c>
      <c r="B1781" s="1">
        <f>IFERROR(__xludf.DUMMYFUNCTION("""COMPUTED_VALUE"""),2114.9758)</f>
        <v>2114.9758</v>
      </c>
    </row>
    <row r="1782">
      <c r="A1782" s="3">
        <f>IFERROR(__xludf.DUMMYFUNCTION("""COMPUTED_VALUE"""),42146.99861111111)</f>
        <v>42146.99861</v>
      </c>
      <c r="B1782" s="1">
        <f>IFERROR(__xludf.DUMMYFUNCTION("""COMPUTED_VALUE"""),2120.2704)</f>
        <v>2120.2704</v>
      </c>
    </row>
    <row r="1783">
      <c r="A1783" s="3">
        <f>IFERROR(__xludf.DUMMYFUNCTION("""COMPUTED_VALUE"""),42147.99861111111)</f>
        <v>42147.99861</v>
      </c>
      <c r="B1783" s="1">
        <f>IFERROR(__xludf.DUMMYFUNCTION("""COMPUTED_VALUE"""),2125.955112)</f>
        <v>2125.955112</v>
      </c>
    </row>
    <row r="1784">
      <c r="A1784" s="3">
        <f>IFERROR(__xludf.DUMMYFUNCTION("""COMPUTED_VALUE"""),42149.99861111111)</f>
        <v>42149.99861</v>
      </c>
      <c r="B1784" s="1">
        <f>IFERROR(__xludf.DUMMYFUNCTION("""COMPUTED_VALUE"""),2122.96068)</f>
        <v>2122.96068</v>
      </c>
    </row>
    <row r="1785">
      <c r="A1785" s="3">
        <f>IFERROR(__xludf.DUMMYFUNCTION("""COMPUTED_VALUE"""),42150.99861111111)</f>
        <v>42150.99861</v>
      </c>
      <c r="B1785" s="1">
        <f>IFERROR(__xludf.DUMMYFUNCTION("""COMPUTED_VALUE"""),2130.44823)</f>
        <v>2130.44823</v>
      </c>
    </row>
    <row r="1786">
      <c r="A1786" s="3">
        <f>IFERROR(__xludf.DUMMYFUNCTION("""COMPUTED_VALUE"""),42151.99861111111)</f>
        <v>42151.99861</v>
      </c>
      <c r="B1786" s="1">
        <f>IFERROR(__xludf.DUMMYFUNCTION("""COMPUTED_VALUE"""),2123.2674)</f>
        <v>2123.2674</v>
      </c>
    </row>
    <row r="1787">
      <c r="A1787" s="3">
        <f>IFERROR(__xludf.DUMMYFUNCTION("""COMPUTED_VALUE"""),42152.99861111111)</f>
        <v>42152.99861</v>
      </c>
      <c r="B1787" s="1">
        <f>IFERROR(__xludf.DUMMYFUNCTION("""COMPUTED_VALUE"""),2120.8815)</f>
        <v>2120.8815</v>
      </c>
    </row>
    <row r="1788">
      <c r="A1788" s="3">
        <f>IFERROR(__xludf.DUMMYFUNCTION("""COMPUTED_VALUE"""),42153.99861111111)</f>
        <v>42153.99861</v>
      </c>
      <c r="B1788" s="1">
        <f>IFERROR(__xludf.DUMMYFUNCTION("""COMPUTED_VALUE"""),2128.104)</f>
        <v>2128.104</v>
      </c>
    </row>
    <row r="1789">
      <c r="A1789" s="3">
        <f>IFERROR(__xludf.DUMMYFUNCTION("""COMPUTED_VALUE"""),42156.99861111111)</f>
        <v>42156.99861</v>
      </c>
      <c r="B1789" s="1">
        <f>IFERROR(__xludf.DUMMYFUNCTION("""COMPUTED_VALUE"""),2127.09252)</f>
        <v>2127.09252</v>
      </c>
    </row>
    <row r="1790">
      <c r="A1790" s="3">
        <f>IFERROR(__xludf.DUMMYFUNCTION("""COMPUTED_VALUE"""),42157.99861111111)</f>
        <v>42157.99861</v>
      </c>
      <c r="B1790" s="1">
        <f>IFERROR(__xludf.DUMMYFUNCTION("""COMPUTED_VALUE"""),2120.306)</f>
        <v>2120.306</v>
      </c>
    </row>
    <row r="1791">
      <c r="A1791" s="3">
        <f>IFERROR(__xludf.DUMMYFUNCTION("""COMPUTED_VALUE"""),42158.99861111111)</f>
        <v>42158.99861</v>
      </c>
      <c r="B1791" s="1">
        <f>IFERROR(__xludf.DUMMYFUNCTION("""COMPUTED_VALUE"""),2133.8667)</f>
        <v>2133.8667</v>
      </c>
    </row>
    <row r="1792">
      <c r="A1792" s="3">
        <f>IFERROR(__xludf.DUMMYFUNCTION("""COMPUTED_VALUE"""),42159.99861111111)</f>
        <v>42159.99861</v>
      </c>
      <c r="B1792" s="1">
        <f>IFERROR(__xludf.DUMMYFUNCTION("""COMPUTED_VALUE"""),2140.59375)</f>
        <v>2140.59375</v>
      </c>
    </row>
    <row r="1793">
      <c r="A1793" s="3">
        <f>IFERROR(__xludf.DUMMYFUNCTION("""COMPUTED_VALUE"""),42160.99861111111)</f>
        <v>42160.99861</v>
      </c>
      <c r="B1793" s="1">
        <f>IFERROR(__xludf.DUMMYFUNCTION("""COMPUTED_VALUE"""),2157.74396)</f>
        <v>2157.74396</v>
      </c>
    </row>
    <row r="1794">
      <c r="A1794" s="3">
        <f>IFERROR(__xludf.DUMMYFUNCTION("""COMPUTED_VALUE"""),42163.99861111111)</f>
        <v>42163.99861</v>
      </c>
      <c r="B1794" s="1">
        <f>IFERROR(__xludf.DUMMYFUNCTION("""COMPUTED_VALUE"""),2144.5072)</f>
        <v>2144.5072</v>
      </c>
    </row>
    <row r="1795">
      <c r="A1795" s="3">
        <f>IFERROR(__xludf.DUMMYFUNCTION("""COMPUTED_VALUE"""),42164.99861111111)</f>
        <v>42164.99861</v>
      </c>
      <c r="B1795" s="1">
        <f>IFERROR(__xludf.DUMMYFUNCTION("""COMPUTED_VALUE"""),2151.7478)</f>
        <v>2151.7478</v>
      </c>
    </row>
    <row r="1796">
      <c r="A1796" s="3">
        <f>IFERROR(__xludf.DUMMYFUNCTION("""COMPUTED_VALUE"""),42165.99861111111)</f>
        <v>42165.99861</v>
      </c>
      <c r="B1796" s="1">
        <f>IFERROR(__xludf.DUMMYFUNCTION("""COMPUTED_VALUE"""),2127.0614)</f>
        <v>2127.0614</v>
      </c>
    </row>
    <row r="1797">
      <c r="A1797" s="3">
        <f>IFERROR(__xludf.DUMMYFUNCTION("""COMPUTED_VALUE"""),42166.99861111111)</f>
        <v>42166.99861</v>
      </c>
      <c r="B1797" s="1">
        <f>IFERROR(__xludf.DUMMYFUNCTION("""COMPUTED_VALUE"""),2130.6915)</f>
        <v>2130.6915</v>
      </c>
    </row>
    <row r="1798">
      <c r="A1798" s="3">
        <f>IFERROR(__xludf.DUMMYFUNCTION("""COMPUTED_VALUE"""),42167.99861111111)</f>
        <v>42167.99861</v>
      </c>
      <c r="B1798" s="1">
        <f>IFERROR(__xludf.DUMMYFUNCTION("""COMPUTED_VALUE"""),2145.44595)</f>
        <v>2145.44595</v>
      </c>
    </row>
    <row r="1799">
      <c r="A1799" s="3">
        <f>IFERROR(__xludf.DUMMYFUNCTION("""COMPUTED_VALUE"""),42170.99861111111)</f>
        <v>42170.99861</v>
      </c>
      <c r="B1799" s="1">
        <f>IFERROR(__xludf.DUMMYFUNCTION("""COMPUTED_VALUE"""),2144.9196)</f>
        <v>2144.9196</v>
      </c>
    </row>
    <row r="1800">
      <c r="A1800" s="3">
        <f>IFERROR(__xludf.DUMMYFUNCTION("""COMPUTED_VALUE"""),42171.99861111111)</f>
        <v>42171.99861</v>
      </c>
      <c r="B1800" s="1">
        <f>IFERROR(__xludf.DUMMYFUNCTION("""COMPUTED_VALUE"""),2147.8734)</f>
        <v>2147.8734</v>
      </c>
    </row>
    <row r="1801">
      <c r="A1801" s="3">
        <f>IFERROR(__xludf.DUMMYFUNCTION("""COMPUTED_VALUE"""),42172.99861111111)</f>
        <v>42172.99861</v>
      </c>
      <c r="B1801" s="1">
        <f>IFERROR(__xludf.DUMMYFUNCTION("""COMPUTED_VALUE"""),2145.7301)</f>
        <v>2145.7301</v>
      </c>
    </row>
    <row r="1802">
      <c r="A1802" s="3">
        <f>IFERROR(__xludf.DUMMYFUNCTION("""COMPUTED_VALUE"""),42173.99861111111)</f>
        <v>42173.99861</v>
      </c>
      <c r="B1802" s="1">
        <f>IFERROR(__xludf.DUMMYFUNCTION("""COMPUTED_VALUE"""),2140.3545)</f>
        <v>2140.3545</v>
      </c>
    </row>
    <row r="1803">
      <c r="A1803" s="3">
        <f>IFERROR(__xludf.DUMMYFUNCTION("""COMPUTED_VALUE"""),42174.99861111111)</f>
        <v>42174.99861</v>
      </c>
      <c r="B1803" s="1">
        <f>IFERROR(__xludf.DUMMYFUNCTION("""COMPUTED_VALUE"""),2143.5755)</f>
        <v>2143.5755</v>
      </c>
    </row>
    <row r="1804">
      <c r="A1804" s="3">
        <f>IFERROR(__xludf.DUMMYFUNCTION("""COMPUTED_VALUE"""),42177.99861111111)</f>
        <v>42177.99861</v>
      </c>
      <c r="B1804" s="1">
        <f>IFERROR(__xludf.DUMMYFUNCTION("""COMPUTED_VALUE"""),2142.15408)</f>
        <v>2142.15408</v>
      </c>
    </row>
    <row r="1805">
      <c r="A1805" s="3">
        <f>IFERROR(__xludf.DUMMYFUNCTION("""COMPUTED_VALUE"""),42178.99861111111)</f>
        <v>42178.99861</v>
      </c>
      <c r="B1805" s="1">
        <f>IFERROR(__xludf.DUMMYFUNCTION("""COMPUTED_VALUE"""),2134.9725)</f>
        <v>2134.9725</v>
      </c>
    </row>
    <row r="1806">
      <c r="A1806" s="3">
        <f>IFERROR(__xludf.DUMMYFUNCTION("""COMPUTED_VALUE"""),42179.99861111111)</f>
        <v>42179.99861</v>
      </c>
      <c r="B1806" s="1">
        <f>IFERROR(__xludf.DUMMYFUNCTION("""COMPUTED_VALUE"""),2140.8861)</f>
        <v>2140.8861</v>
      </c>
    </row>
    <row r="1807">
      <c r="A1807" s="3">
        <f>IFERROR(__xludf.DUMMYFUNCTION("""COMPUTED_VALUE"""),42180.99861111111)</f>
        <v>42180.99861</v>
      </c>
      <c r="B1807" s="1">
        <f>IFERROR(__xludf.DUMMYFUNCTION("""COMPUTED_VALUE"""),2141.51694)</f>
        <v>2141.51694</v>
      </c>
    </row>
    <row r="1808">
      <c r="A1808" s="3">
        <f>IFERROR(__xludf.DUMMYFUNCTION("""COMPUTED_VALUE"""),42181.99861111111)</f>
        <v>42181.99861</v>
      </c>
      <c r="B1808" s="1">
        <f>IFERROR(__xludf.DUMMYFUNCTION("""COMPUTED_VALUE"""),2146.70708)</f>
        <v>2146.70708</v>
      </c>
    </row>
    <row r="1809">
      <c r="A1809" s="3">
        <f>IFERROR(__xludf.DUMMYFUNCTION("""COMPUTED_VALUE"""),42184.99861111111)</f>
        <v>42184.99861</v>
      </c>
      <c r="B1809" s="1">
        <f>IFERROR(__xludf.DUMMYFUNCTION("""COMPUTED_VALUE"""),2144.70878)</f>
        <v>2144.70878</v>
      </c>
    </row>
    <row r="1810">
      <c r="A1810" s="3">
        <f>IFERROR(__xludf.DUMMYFUNCTION("""COMPUTED_VALUE"""),42185.99861111111)</f>
        <v>42185.99861</v>
      </c>
      <c r="B1810" s="1">
        <f>IFERROR(__xludf.DUMMYFUNCTION("""COMPUTED_VALUE"""),2148.59568)</f>
        <v>2148.59568</v>
      </c>
    </row>
    <row r="1811">
      <c r="A1811" s="3">
        <f>IFERROR(__xludf.DUMMYFUNCTION("""COMPUTED_VALUE"""),42186.99861111111)</f>
        <v>42186.99861</v>
      </c>
      <c r="B1811" s="1">
        <f>IFERROR(__xludf.DUMMYFUNCTION("""COMPUTED_VALUE"""),2146.8616)</f>
        <v>2146.8616</v>
      </c>
    </row>
    <row r="1812">
      <c r="A1812" s="3">
        <f>IFERROR(__xludf.DUMMYFUNCTION("""COMPUTED_VALUE"""),42187.99861111111)</f>
        <v>42187.99861</v>
      </c>
      <c r="B1812" s="1">
        <f>IFERROR(__xludf.DUMMYFUNCTION("""COMPUTED_VALUE"""),2136.9816)</f>
        <v>2136.9816</v>
      </c>
    </row>
    <row r="1813">
      <c r="A1813" s="3">
        <f>IFERROR(__xludf.DUMMYFUNCTION("""COMPUTED_VALUE"""),42188.99861111111)</f>
        <v>42188.99861</v>
      </c>
      <c r="B1813" s="1">
        <f>IFERROR(__xludf.DUMMYFUNCTION("""COMPUTED_VALUE"""),2149.074)</f>
        <v>2149.074</v>
      </c>
    </row>
    <row r="1814">
      <c r="A1814" s="3">
        <f>IFERROR(__xludf.DUMMYFUNCTION("""COMPUTED_VALUE"""),42191.99861111111)</f>
        <v>42191.99861</v>
      </c>
      <c r="B1814" s="1">
        <f>IFERROR(__xludf.DUMMYFUNCTION("""COMPUTED_VALUE"""),2148.407)</f>
        <v>2148.407</v>
      </c>
    </row>
    <row r="1815">
      <c r="A1815" s="3">
        <f>IFERROR(__xludf.DUMMYFUNCTION("""COMPUTED_VALUE"""),42192.99861111111)</f>
        <v>42192.99861</v>
      </c>
      <c r="B1815" s="1">
        <f>IFERROR(__xludf.DUMMYFUNCTION("""COMPUTED_VALUE"""),2145.325)</f>
        <v>2145.325</v>
      </c>
    </row>
    <row r="1816">
      <c r="A1816" s="3">
        <f>IFERROR(__xludf.DUMMYFUNCTION("""COMPUTED_VALUE"""),42193.99861111111)</f>
        <v>42193.99861</v>
      </c>
      <c r="B1816" s="1">
        <f>IFERROR(__xludf.DUMMYFUNCTION("""COMPUTED_VALUE"""),2147.2017)</f>
        <v>2147.2017</v>
      </c>
    </row>
    <row r="1817">
      <c r="A1817" s="3">
        <f>IFERROR(__xludf.DUMMYFUNCTION("""COMPUTED_VALUE"""),42194.99861111111)</f>
        <v>42194.99861</v>
      </c>
      <c r="B1817" s="1">
        <f>IFERROR(__xludf.DUMMYFUNCTION("""COMPUTED_VALUE"""),2142.71421)</f>
        <v>2142.71421</v>
      </c>
    </row>
    <row r="1818">
      <c r="A1818" s="3">
        <f>IFERROR(__xludf.DUMMYFUNCTION("""COMPUTED_VALUE"""),42195.99861111111)</f>
        <v>42195.99861</v>
      </c>
      <c r="B1818" s="1">
        <f>IFERROR(__xludf.DUMMYFUNCTION("""COMPUTED_VALUE"""),2138.68746)</f>
        <v>2138.68746</v>
      </c>
    </row>
    <row r="1819">
      <c r="A1819" s="3">
        <f>IFERROR(__xludf.DUMMYFUNCTION("""COMPUTED_VALUE"""),42198.99861111111)</f>
        <v>42198.99861</v>
      </c>
      <c r="B1819" s="1">
        <f>IFERROR(__xludf.DUMMYFUNCTION("""COMPUTED_VALUE"""),2138.6112)</f>
        <v>2138.6112</v>
      </c>
    </row>
    <row r="1820">
      <c r="A1820" s="3">
        <f>IFERROR(__xludf.DUMMYFUNCTION("""COMPUTED_VALUE"""),42199.99861111111)</f>
        <v>42199.99861</v>
      </c>
      <c r="B1820" s="1">
        <f>IFERROR(__xludf.DUMMYFUNCTION("""COMPUTED_VALUE"""),2142.77025)</f>
        <v>2142.77025</v>
      </c>
    </row>
    <row r="1821">
      <c r="A1821" s="3">
        <f>IFERROR(__xludf.DUMMYFUNCTION("""COMPUTED_VALUE"""),42200.99861111111)</f>
        <v>42200.99861</v>
      </c>
      <c r="B1821" s="1">
        <f>IFERROR(__xludf.DUMMYFUNCTION("""COMPUTED_VALUE"""),2147.28462)</f>
        <v>2147.28462</v>
      </c>
    </row>
    <row r="1822">
      <c r="A1822" s="3">
        <f>IFERROR(__xludf.DUMMYFUNCTION("""COMPUTED_VALUE"""),42201.99861111111)</f>
        <v>42201.99861</v>
      </c>
      <c r="B1822" s="1">
        <f>IFERROR(__xludf.DUMMYFUNCTION("""COMPUTED_VALUE"""),2147.35748)</f>
        <v>2147.35748</v>
      </c>
    </row>
    <row r="1823">
      <c r="A1823" s="3">
        <f>IFERROR(__xludf.DUMMYFUNCTION("""COMPUTED_VALUE"""),42202.99861111111)</f>
        <v>42202.99861</v>
      </c>
      <c r="B1823" s="1">
        <f>IFERROR(__xludf.DUMMYFUNCTION("""COMPUTED_VALUE"""),2149.2165)</f>
        <v>2149.2165</v>
      </c>
    </row>
    <row r="1824">
      <c r="A1824" s="3">
        <f>IFERROR(__xludf.DUMMYFUNCTION("""COMPUTED_VALUE"""),42205.99861111111)</f>
        <v>42205.99861</v>
      </c>
      <c r="B1824" s="1">
        <f>IFERROR(__xludf.DUMMYFUNCTION("""COMPUTED_VALUE"""),2148.2736)</f>
        <v>2148.2736</v>
      </c>
    </row>
    <row r="1825">
      <c r="A1825" s="3">
        <f>IFERROR(__xludf.DUMMYFUNCTION("""COMPUTED_VALUE"""),42206.99861111111)</f>
        <v>42206.99861</v>
      </c>
      <c r="B1825" s="1">
        <f>IFERROR(__xludf.DUMMYFUNCTION("""COMPUTED_VALUE"""),2147.33505)</f>
        <v>2147.33505</v>
      </c>
    </row>
    <row r="1826">
      <c r="A1826" s="3">
        <f>IFERROR(__xludf.DUMMYFUNCTION("""COMPUTED_VALUE"""),42207.99861111111)</f>
        <v>42207.99861</v>
      </c>
      <c r="B1826" s="1">
        <f>IFERROR(__xludf.DUMMYFUNCTION("""COMPUTED_VALUE"""),2157.534)</f>
        <v>2157.534</v>
      </c>
    </row>
    <row r="1827">
      <c r="A1827" s="3">
        <f>IFERROR(__xludf.DUMMYFUNCTION("""COMPUTED_VALUE"""),42208.99861111111)</f>
        <v>42208.99861</v>
      </c>
      <c r="B1827" s="1">
        <f>IFERROR(__xludf.DUMMYFUNCTION("""COMPUTED_VALUE"""),2162.23)</f>
        <v>2162.23</v>
      </c>
    </row>
    <row r="1828">
      <c r="A1828" s="3">
        <f>IFERROR(__xludf.DUMMYFUNCTION("""COMPUTED_VALUE"""),42209.99861111111)</f>
        <v>42209.99861</v>
      </c>
      <c r="B1828" s="1">
        <f>IFERROR(__xludf.DUMMYFUNCTION("""COMPUTED_VALUE"""),2164.3788)</f>
        <v>2164.3788</v>
      </c>
    </row>
    <row r="1829">
      <c r="A1829" s="3">
        <f>IFERROR(__xludf.DUMMYFUNCTION("""COMPUTED_VALUE"""),42212.99861111111)</f>
        <v>42212.99861</v>
      </c>
      <c r="B1829" s="1">
        <f>IFERROR(__xludf.DUMMYFUNCTION("""COMPUTED_VALUE"""),2168.53825)</f>
        <v>2168.53825</v>
      </c>
    </row>
    <row r="1830">
      <c r="A1830" s="3">
        <f>IFERROR(__xludf.DUMMYFUNCTION("""COMPUTED_VALUE"""),42213.99861111111)</f>
        <v>42213.99861</v>
      </c>
      <c r="B1830" s="1">
        <f>IFERROR(__xludf.DUMMYFUNCTION("""COMPUTED_VALUE"""),2140.7532)</f>
        <v>2140.7532</v>
      </c>
    </row>
    <row r="1831">
      <c r="A1831" s="3">
        <f>IFERROR(__xludf.DUMMYFUNCTION("""COMPUTED_VALUE"""),42214.99861111111)</f>
        <v>42214.99861</v>
      </c>
      <c r="B1831" s="1">
        <f>IFERROR(__xludf.DUMMYFUNCTION("""COMPUTED_VALUE"""),2167.5984)</f>
        <v>2167.5984</v>
      </c>
    </row>
    <row r="1832">
      <c r="A1832" s="3">
        <f>IFERROR(__xludf.DUMMYFUNCTION("""COMPUTED_VALUE"""),42215.99861111111)</f>
        <v>42215.99861</v>
      </c>
      <c r="B1832" s="1">
        <f>IFERROR(__xludf.DUMMYFUNCTION("""COMPUTED_VALUE"""),2172.75168)</f>
        <v>2172.75168</v>
      </c>
    </row>
    <row r="1833">
      <c r="A1833" s="3">
        <f>IFERROR(__xludf.DUMMYFUNCTION("""COMPUTED_VALUE"""),42216.99861111111)</f>
        <v>42216.99861</v>
      </c>
      <c r="B1833" s="1">
        <f>IFERROR(__xludf.DUMMYFUNCTION("""COMPUTED_VALUE"""),2162.63325)</f>
        <v>2162.63325</v>
      </c>
    </row>
    <row r="1834">
      <c r="A1834" s="3">
        <f>IFERROR(__xludf.DUMMYFUNCTION("""COMPUTED_VALUE"""),42219.99861111111)</f>
        <v>42219.99861</v>
      </c>
      <c r="B1834" s="1">
        <f>IFERROR(__xludf.DUMMYFUNCTION("""COMPUTED_VALUE"""),2164.1088)</f>
        <v>2164.1088</v>
      </c>
    </row>
    <row r="1835">
      <c r="A1835" s="3">
        <f>IFERROR(__xludf.DUMMYFUNCTION("""COMPUTED_VALUE"""),42220.99861111111)</f>
        <v>42220.99861</v>
      </c>
      <c r="B1835" s="1">
        <f>IFERROR(__xludf.DUMMYFUNCTION("""COMPUTED_VALUE"""),2170.68045)</f>
        <v>2170.68045</v>
      </c>
    </row>
    <row r="1836">
      <c r="A1836" s="3">
        <f>IFERROR(__xludf.DUMMYFUNCTION("""COMPUTED_VALUE"""),42221.99861111111)</f>
        <v>42221.99861</v>
      </c>
      <c r="B1836" s="1">
        <f>IFERROR(__xludf.DUMMYFUNCTION("""COMPUTED_VALUE"""),2176.50734)</f>
        <v>2176.50734</v>
      </c>
    </row>
    <row r="1837">
      <c r="A1837" s="3">
        <f>IFERROR(__xludf.DUMMYFUNCTION("""COMPUTED_VALUE"""),42222.99861111111)</f>
        <v>42222.99861</v>
      </c>
      <c r="B1837" s="1">
        <f>IFERROR(__xludf.DUMMYFUNCTION("""COMPUTED_VALUE"""),2168.26895)</f>
        <v>2168.26895</v>
      </c>
    </row>
    <row r="1838">
      <c r="A1838" s="3">
        <f>IFERROR(__xludf.DUMMYFUNCTION("""COMPUTED_VALUE"""),42223.99861111111)</f>
        <v>42223.99861</v>
      </c>
      <c r="B1838" s="1">
        <f>IFERROR(__xludf.DUMMYFUNCTION("""COMPUTED_VALUE"""),2172.1113)</f>
        <v>2172.1113</v>
      </c>
    </row>
    <row r="1839">
      <c r="A1839" s="3">
        <f>IFERROR(__xludf.DUMMYFUNCTION("""COMPUTED_VALUE"""),42226.99861111111)</f>
        <v>42226.99861</v>
      </c>
      <c r="B1839" s="1">
        <f>IFERROR(__xludf.DUMMYFUNCTION("""COMPUTED_VALUE"""),2167.91766)</f>
        <v>2167.91766</v>
      </c>
    </row>
    <row r="1840">
      <c r="A1840" s="3">
        <f>IFERROR(__xludf.DUMMYFUNCTION("""COMPUTED_VALUE"""),42227.99861111111)</f>
        <v>42227.99861</v>
      </c>
      <c r="B1840" s="1">
        <f>IFERROR(__xludf.DUMMYFUNCTION("""COMPUTED_VALUE"""),2150.54235)</f>
        <v>2150.54235</v>
      </c>
    </row>
    <row r="1841">
      <c r="A1841" s="3">
        <f>IFERROR(__xludf.DUMMYFUNCTION("""COMPUTED_VALUE"""),42228.99861111111)</f>
        <v>42228.99861</v>
      </c>
      <c r="B1841" s="1">
        <f>IFERROR(__xludf.DUMMYFUNCTION("""COMPUTED_VALUE"""),2152.467)</f>
        <v>2152.467</v>
      </c>
    </row>
    <row r="1842">
      <c r="A1842" s="3">
        <f>IFERROR(__xludf.DUMMYFUNCTION("""COMPUTED_VALUE"""),42229.99861111111)</f>
        <v>42229.99861</v>
      </c>
      <c r="B1842" s="1">
        <f>IFERROR(__xludf.DUMMYFUNCTION("""COMPUTED_VALUE"""),2138.08625)</f>
        <v>2138.08625</v>
      </c>
    </row>
    <row r="1843">
      <c r="A1843" s="3">
        <f>IFERROR(__xludf.DUMMYFUNCTION("""COMPUTED_VALUE"""),42230.99861111111)</f>
        <v>42230.99861</v>
      </c>
      <c r="B1843" s="1">
        <f>IFERROR(__xludf.DUMMYFUNCTION("""COMPUTED_VALUE"""),2144.88885)</f>
        <v>2144.88885</v>
      </c>
    </row>
    <row r="1844">
      <c r="A1844" s="3">
        <f>IFERROR(__xludf.DUMMYFUNCTION("""COMPUTED_VALUE"""),42233.99861111111)</f>
        <v>42233.99861</v>
      </c>
      <c r="B1844" s="1">
        <f>IFERROR(__xludf.DUMMYFUNCTION("""COMPUTED_VALUE"""),2162.8737)</f>
        <v>2162.8737</v>
      </c>
    </row>
    <row r="1845">
      <c r="A1845" s="3">
        <f>IFERROR(__xludf.DUMMYFUNCTION("""COMPUTED_VALUE"""),42234.99861111111)</f>
        <v>42234.99861</v>
      </c>
      <c r="B1845" s="1">
        <f>IFERROR(__xludf.DUMMYFUNCTION("""COMPUTED_VALUE"""),2162.28436)</f>
        <v>2162.28436</v>
      </c>
    </row>
    <row r="1846">
      <c r="A1846" s="3">
        <f>IFERROR(__xludf.DUMMYFUNCTION("""COMPUTED_VALUE"""),42235.99861111111)</f>
        <v>42235.99861</v>
      </c>
      <c r="B1846" s="1">
        <f>IFERROR(__xludf.DUMMYFUNCTION("""COMPUTED_VALUE"""),2148.94988)</f>
        <v>2148.94988</v>
      </c>
    </row>
    <row r="1847">
      <c r="A1847" s="3">
        <f>IFERROR(__xludf.DUMMYFUNCTION("""COMPUTED_VALUE"""),42236.99861111111)</f>
        <v>42236.99861</v>
      </c>
      <c r="B1847" s="1">
        <f>IFERROR(__xludf.DUMMYFUNCTION("""COMPUTED_VALUE"""),2172.30825)</f>
        <v>2172.30825</v>
      </c>
    </row>
    <row r="1848">
      <c r="A1848" s="3">
        <f>IFERROR(__xludf.DUMMYFUNCTION("""COMPUTED_VALUE"""),42237.99861111111)</f>
        <v>42237.99861</v>
      </c>
      <c r="B1848" s="1">
        <f>IFERROR(__xludf.DUMMYFUNCTION("""COMPUTED_VALUE"""),2163.29085)</f>
        <v>2163.29085</v>
      </c>
    </row>
    <row r="1849">
      <c r="A1849" s="3">
        <f>IFERROR(__xludf.DUMMYFUNCTION("""COMPUTED_VALUE"""),42240.99861111111)</f>
        <v>42240.99861</v>
      </c>
      <c r="B1849" s="1">
        <f>IFERROR(__xludf.DUMMYFUNCTION("""COMPUTED_VALUE"""),2171.99235)</f>
        <v>2171.99235</v>
      </c>
    </row>
    <row r="1850">
      <c r="A1850" s="3">
        <f>IFERROR(__xludf.DUMMYFUNCTION("""COMPUTED_VALUE"""),42241.99861111111)</f>
        <v>42241.99861</v>
      </c>
      <c r="B1850" s="1">
        <f>IFERROR(__xludf.DUMMYFUNCTION("""COMPUTED_VALUE"""),2151.42)</f>
        <v>2151.42</v>
      </c>
    </row>
    <row r="1851">
      <c r="A1851" s="3">
        <f>IFERROR(__xludf.DUMMYFUNCTION("""COMPUTED_VALUE"""),42242.99861111111)</f>
        <v>42242.99861</v>
      </c>
      <c r="B1851" s="1">
        <f>IFERROR(__xludf.DUMMYFUNCTION("""COMPUTED_VALUE"""),2178.0392)</f>
        <v>2178.0392</v>
      </c>
    </row>
    <row r="1852">
      <c r="A1852" s="3">
        <f>IFERROR(__xludf.DUMMYFUNCTION("""COMPUTED_VALUE"""),42243.99861111111)</f>
        <v>42243.99861</v>
      </c>
      <c r="B1852" s="1">
        <f>IFERROR(__xludf.DUMMYFUNCTION("""COMPUTED_VALUE"""),2152.8477)</f>
        <v>2152.8477</v>
      </c>
    </row>
    <row r="1853">
      <c r="A1853" s="3">
        <f>IFERROR(__xludf.DUMMYFUNCTION("""COMPUTED_VALUE"""),42244.99861111111)</f>
        <v>42244.99861</v>
      </c>
      <c r="B1853" s="1">
        <f>IFERROR(__xludf.DUMMYFUNCTION("""COMPUTED_VALUE"""),2175.2458)</f>
        <v>2175.2458</v>
      </c>
    </row>
    <row r="1854">
      <c r="A1854" s="3">
        <f>IFERROR(__xludf.DUMMYFUNCTION("""COMPUTED_VALUE"""),42247.99861111111)</f>
        <v>42247.99861</v>
      </c>
      <c r="B1854" s="1">
        <f>IFERROR(__xludf.DUMMYFUNCTION("""COMPUTED_VALUE"""),2194.64)</f>
        <v>2194.64</v>
      </c>
    </row>
    <row r="1855">
      <c r="A1855" s="3">
        <f>IFERROR(__xludf.DUMMYFUNCTION("""COMPUTED_VALUE"""),42248.99861111111)</f>
        <v>42248.99861</v>
      </c>
      <c r="B1855" s="1">
        <f>IFERROR(__xludf.DUMMYFUNCTION("""COMPUTED_VALUE"""),2197.23504)</f>
        <v>2197.23504</v>
      </c>
    </row>
    <row r="1856">
      <c r="A1856" s="3">
        <f>IFERROR(__xludf.DUMMYFUNCTION("""COMPUTED_VALUE"""),42249.99861111111)</f>
        <v>42249.99861</v>
      </c>
      <c r="B1856" s="1">
        <f>IFERROR(__xludf.DUMMYFUNCTION("""COMPUTED_VALUE"""),2210.065)</f>
        <v>2210.065</v>
      </c>
    </row>
    <row r="1857">
      <c r="A1857" s="3">
        <f>IFERROR(__xludf.DUMMYFUNCTION("""COMPUTED_VALUE"""),42250.99861111111)</f>
        <v>42250.99861</v>
      </c>
      <c r="B1857" s="1">
        <f>IFERROR(__xludf.DUMMYFUNCTION("""COMPUTED_VALUE"""),2213.5497)</f>
        <v>2213.5497</v>
      </c>
    </row>
    <row r="1858">
      <c r="A1858" s="3">
        <f>IFERROR(__xludf.DUMMYFUNCTION("""COMPUTED_VALUE"""),42251.99861111111)</f>
        <v>42251.99861</v>
      </c>
      <c r="B1858" s="1">
        <f>IFERROR(__xludf.DUMMYFUNCTION("""COMPUTED_VALUE"""),2232.087)</f>
        <v>2232.087</v>
      </c>
    </row>
    <row r="1859">
      <c r="A1859" s="3">
        <f>IFERROR(__xludf.DUMMYFUNCTION("""COMPUTED_VALUE"""),42254.99861111111)</f>
        <v>42254.99861</v>
      </c>
      <c r="B1859" s="1">
        <f>IFERROR(__xludf.DUMMYFUNCTION("""COMPUTED_VALUE"""),2241.746)</f>
        <v>2241.746</v>
      </c>
    </row>
    <row r="1860">
      <c r="A1860" s="3">
        <f>IFERROR(__xludf.DUMMYFUNCTION("""COMPUTED_VALUE"""),42255.99861111111)</f>
        <v>42255.99861</v>
      </c>
      <c r="B1860" s="1">
        <f>IFERROR(__xludf.DUMMYFUNCTION("""COMPUTED_VALUE"""),2223.4032)</f>
        <v>2223.4032</v>
      </c>
    </row>
    <row r="1861">
      <c r="A1861" s="3">
        <f>IFERROR(__xludf.DUMMYFUNCTION("""COMPUTED_VALUE"""),42256.99861111111)</f>
        <v>42256.99861</v>
      </c>
      <c r="B1861" s="1">
        <f>IFERROR(__xludf.DUMMYFUNCTION("""COMPUTED_VALUE"""),2233.9725)</f>
        <v>2233.9725</v>
      </c>
    </row>
    <row r="1862">
      <c r="A1862" s="3">
        <f>IFERROR(__xludf.DUMMYFUNCTION("""COMPUTED_VALUE"""),42257.99861111111)</f>
        <v>42257.99861</v>
      </c>
      <c r="B1862" s="1">
        <f>IFERROR(__xludf.DUMMYFUNCTION("""COMPUTED_VALUE"""),2233.04445)</f>
        <v>2233.04445</v>
      </c>
    </row>
    <row r="1863">
      <c r="A1863" s="3">
        <f>IFERROR(__xludf.DUMMYFUNCTION("""COMPUTED_VALUE"""),42258.99861111111)</f>
        <v>42258.99861</v>
      </c>
      <c r="B1863" s="1">
        <f>IFERROR(__xludf.DUMMYFUNCTION("""COMPUTED_VALUE"""),2239.5338)</f>
        <v>2239.5338</v>
      </c>
    </row>
    <row r="1864">
      <c r="A1864" s="3">
        <f>IFERROR(__xludf.DUMMYFUNCTION("""COMPUTED_VALUE"""),42261.99861111111)</f>
        <v>42261.99861</v>
      </c>
      <c r="B1864" s="1">
        <f>IFERROR(__xludf.DUMMYFUNCTION("""COMPUTED_VALUE"""),2246.8131)</f>
        <v>2246.8131</v>
      </c>
    </row>
    <row r="1865">
      <c r="A1865" s="3">
        <f>IFERROR(__xludf.DUMMYFUNCTION("""COMPUTED_VALUE"""),42262.99861111111)</f>
        <v>42262.99861</v>
      </c>
      <c r="B1865" s="1">
        <f>IFERROR(__xludf.DUMMYFUNCTION("""COMPUTED_VALUE"""),2260.08)</f>
        <v>2260.08</v>
      </c>
    </row>
    <row r="1866">
      <c r="A1866" s="3">
        <f>IFERROR(__xludf.DUMMYFUNCTION("""COMPUTED_VALUE"""),42263.99861111111)</f>
        <v>42263.99861</v>
      </c>
      <c r="B1866" s="1">
        <f>IFERROR(__xludf.DUMMYFUNCTION("""COMPUTED_VALUE"""),2256.32638)</f>
        <v>2256.32638</v>
      </c>
    </row>
    <row r="1867">
      <c r="A1867" s="3">
        <f>IFERROR(__xludf.DUMMYFUNCTION("""COMPUTED_VALUE"""),42264.99861111111)</f>
        <v>42264.99861</v>
      </c>
      <c r="B1867" s="1">
        <f>IFERROR(__xludf.DUMMYFUNCTION("""COMPUTED_VALUE"""),2235.3165)</f>
        <v>2235.3165</v>
      </c>
    </row>
    <row r="1868">
      <c r="A1868" s="3">
        <f>IFERROR(__xludf.DUMMYFUNCTION("""COMPUTED_VALUE"""),42265.99861111111)</f>
        <v>42265.99861</v>
      </c>
      <c r="B1868" s="1">
        <f>IFERROR(__xludf.DUMMYFUNCTION("""COMPUTED_VALUE"""),2262.99936)</f>
        <v>2262.99936</v>
      </c>
    </row>
    <row r="1869">
      <c r="A1869" s="3">
        <f>IFERROR(__xludf.DUMMYFUNCTION("""COMPUTED_VALUE"""),42268.99861111111)</f>
        <v>42268.99861</v>
      </c>
      <c r="B1869" s="1">
        <f>IFERROR(__xludf.DUMMYFUNCTION("""COMPUTED_VALUE"""),2271.6453)</f>
        <v>2271.6453</v>
      </c>
    </row>
    <row r="1870">
      <c r="A1870" s="3">
        <f>IFERROR(__xludf.DUMMYFUNCTION("""COMPUTED_VALUE"""),42269.99861111111)</f>
        <v>42269.99861</v>
      </c>
      <c r="B1870" s="1">
        <f>IFERROR(__xludf.DUMMYFUNCTION("""COMPUTED_VALUE"""),2287.76625)</f>
        <v>2287.76625</v>
      </c>
    </row>
    <row r="1871">
      <c r="A1871" s="3">
        <f>IFERROR(__xludf.DUMMYFUNCTION("""COMPUTED_VALUE"""),42270.99861111111)</f>
        <v>42270.99861</v>
      </c>
      <c r="B1871" s="1">
        <f>IFERROR(__xludf.DUMMYFUNCTION("""COMPUTED_VALUE"""),2293.0632)</f>
        <v>2293.0632</v>
      </c>
    </row>
    <row r="1872">
      <c r="A1872" s="3">
        <f>IFERROR(__xludf.DUMMYFUNCTION("""COMPUTED_VALUE"""),42271.99861111111)</f>
        <v>42271.99861</v>
      </c>
      <c r="B1872" s="1">
        <f>IFERROR(__xludf.DUMMYFUNCTION("""COMPUTED_VALUE"""),2298.2022)</f>
        <v>2298.2022</v>
      </c>
    </row>
    <row r="1873">
      <c r="A1873" s="3">
        <f>IFERROR(__xludf.DUMMYFUNCTION("""COMPUTED_VALUE"""),42272.99861111111)</f>
        <v>42272.99861</v>
      </c>
      <c r="B1873" s="1">
        <f>IFERROR(__xludf.DUMMYFUNCTION("""COMPUTED_VALUE"""),2292.23794)</f>
        <v>2292.23794</v>
      </c>
    </row>
    <row r="1874">
      <c r="A1874" s="3">
        <f>IFERROR(__xludf.DUMMYFUNCTION("""COMPUTED_VALUE"""),42275.99861111111)</f>
        <v>42275.99861</v>
      </c>
      <c r="B1874" s="1">
        <f>IFERROR(__xludf.DUMMYFUNCTION("""COMPUTED_VALUE"""),2307.57597)</f>
        <v>2307.57597</v>
      </c>
    </row>
    <row r="1875">
      <c r="A1875" s="3">
        <f>IFERROR(__xludf.DUMMYFUNCTION("""COMPUTED_VALUE"""),42276.99861111111)</f>
        <v>42276.99861</v>
      </c>
      <c r="B1875" s="1">
        <f>IFERROR(__xludf.DUMMYFUNCTION("""COMPUTED_VALUE"""),2306.5216)</f>
        <v>2306.5216</v>
      </c>
    </row>
    <row r="1876">
      <c r="A1876" s="3">
        <f>IFERROR(__xludf.DUMMYFUNCTION("""COMPUTED_VALUE"""),42277.99861111111)</f>
        <v>42277.99861</v>
      </c>
      <c r="B1876" s="1">
        <f>IFERROR(__xludf.DUMMYFUNCTION("""COMPUTED_VALUE"""),2289.17512)</f>
        <v>2289.17512</v>
      </c>
    </row>
    <row r="1877">
      <c r="A1877" s="3">
        <f>IFERROR(__xludf.DUMMYFUNCTION("""COMPUTED_VALUE"""),42278.99861111111)</f>
        <v>42278.99861</v>
      </c>
      <c r="B1877" s="1">
        <f>IFERROR(__xludf.DUMMYFUNCTION("""COMPUTED_VALUE"""),2307.3911)</f>
        <v>2307.3911</v>
      </c>
    </row>
    <row r="1878">
      <c r="A1878" s="3">
        <f>IFERROR(__xludf.DUMMYFUNCTION("""COMPUTED_VALUE"""),42279.99861111111)</f>
        <v>42279.99861</v>
      </c>
      <c r="B1878" s="1">
        <f>IFERROR(__xludf.DUMMYFUNCTION("""COMPUTED_VALUE"""),2297.6586)</f>
        <v>2297.6586</v>
      </c>
    </row>
    <row r="1879">
      <c r="A1879" s="3">
        <f>IFERROR(__xludf.DUMMYFUNCTION("""COMPUTED_VALUE"""),42282.99861111111)</f>
        <v>42282.99861</v>
      </c>
      <c r="B1879" s="1">
        <f>IFERROR(__xludf.DUMMYFUNCTION("""COMPUTED_VALUE"""),2271.17688)</f>
        <v>2271.17688</v>
      </c>
    </row>
    <row r="1880">
      <c r="A1880" s="3">
        <f>IFERROR(__xludf.DUMMYFUNCTION("""COMPUTED_VALUE"""),42283.99861111111)</f>
        <v>42283.99861</v>
      </c>
      <c r="B1880" s="1">
        <f>IFERROR(__xludf.DUMMYFUNCTION("""COMPUTED_VALUE"""),2211.9192)</f>
        <v>2211.9192</v>
      </c>
    </row>
    <row r="1881">
      <c r="A1881" s="3">
        <f>IFERROR(__xludf.DUMMYFUNCTION("""COMPUTED_VALUE"""),42284.99861111111)</f>
        <v>42284.99861</v>
      </c>
      <c r="B1881" s="1">
        <f>IFERROR(__xludf.DUMMYFUNCTION("""COMPUTED_VALUE"""),2181.10315)</f>
        <v>2181.10315</v>
      </c>
    </row>
    <row r="1882">
      <c r="A1882" s="3">
        <f>IFERROR(__xludf.DUMMYFUNCTION("""COMPUTED_VALUE"""),42285.99861111111)</f>
        <v>42285.99861</v>
      </c>
      <c r="B1882" s="1">
        <f>IFERROR(__xludf.DUMMYFUNCTION("""COMPUTED_VALUE"""),2109.9294)</f>
        <v>2109.9294</v>
      </c>
    </row>
    <row r="1883">
      <c r="A1883" s="3">
        <f>IFERROR(__xludf.DUMMYFUNCTION("""COMPUTED_VALUE"""),42286.99861111111)</f>
        <v>42286.99861</v>
      </c>
      <c r="B1883" s="1">
        <f>IFERROR(__xludf.DUMMYFUNCTION("""COMPUTED_VALUE"""),2098.4328)</f>
        <v>2098.4328</v>
      </c>
    </row>
    <row r="1884">
      <c r="A1884" s="3">
        <f>IFERROR(__xludf.DUMMYFUNCTION("""COMPUTED_VALUE"""),42289.99861111111)</f>
        <v>42289.99861</v>
      </c>
      <c r="B1884" s="1">
        <f>IFERROR(__xludf.DUMMYFUNCTION("""COMPUTED_VALUE"""),2135.20628)</f>
        <v>2135.20628</v>
      </c>
    </row>
    <row r="1885">
      <c r="A1885" s="3">
        <f>IFERROR(__xludf.DUMMYFUNCTION("""COMPUTED_VALUE"""),42290.99861111111)</f>
        <v>42290.99861</v>
      </c>
      <c r="B1885" s="1">
        <f>IFERROR(__xludf.DUMMYFUNCTION("""COMPUTED_VALUE"""),2152.059)</f>
        <v>2152.059</v>
      </c>
    </row>
    <row r="1886">
      <c r="A1886" s="3">
        <f>IFERROR(__xludf.DUMMYFUNCTION("""COMPUTED_VALUE"""),42291.99861111111)</f>
        <v>42291.99861</v>
      </c>
      <c r="B1886" s="1">
        <f>IFERROR(__xludf.DUMMYFUNCTION("""COMPUTED_VALUE"""),2089.2456)</f>
        <v>2089.2456</v>
      </c>
    </row>
    <row r="1887">
      <c r="A1887" s="3">
        <f>IFERROR(__xludf.DUMMYFUNCTION("""COMPUTED_VALUE"""),42292.99861111111)</f>
        <v>42292.99861</v>
      </c>
      <c r="B1887" s="1">
        <f>IFERROR(__xludf.DUMMYFUNCTION("""COMPUTED_VALUE"""),2110.902)</f>
        <v>2110.902</v>
      </c>
    </row>
    <row r="1888">
      <c r="A1888" s="3">
        <f>IFERROR(__xludf.DUMMYFUNCTION("""COMPUTED_VALUE"""),42293.99861111111)</f>
        <v>42293.99861</v>
      </c>
      <c r="B1888" s="1">
        <f>IFERROR(__xludf.DUMMYFUNCTION("""COMPUTED_VALUE"""),2121.504)</f>
        <v>2121.504</v>
      </c>
    </row>
    <row r="1889">
      <c r="A1889" s="3">
        <f>IFERROR(__xludf.DUMMYFUNCTION("""COMPUTED_VALUE"""),42296.99861111111)</f>
        <v>42296.99861</v>
      </c>
      <c r="B1889" s="1">
        <f>IFERROR(__xludf.DUMMYFUNCTION("""COMPUTED_VALUE"""),2146.053)</f>
        <v>2146.053</v>
      </c>
    </row>
    <row r="1890">
      <c r="A1890" s="3">
        <f>IFERROR(__xludf.DUMMYFUNCTION("""COMPUTED_VALUE"""),42297.99861111111)</f>
        <v>42297.99861</v>
      </c>
      <c r="B1890" s="1">
        <f>IFERROR(__xludf.DUMMYFUNCTION("""COMPUTED_VALUE"""),2163.08483)</f>
        <v>2163.08483</v>
      </c>
    </row>
    <row r="1891">
      <c r="A1891" s="3">
        <f>IFERROR(__xludf.DUMMYFUNCTION("""COMPUTED_VALUE"""),42298.99861111111)</f>
        <v>42298.99861</v>
      </c>
      <c r="B1891" s="1">
        <f>IFERROR(__xludf.DUMMYFUNCTION("""COMPUTED_VALUE"""),2157.613)</f>
        <v>2157.613</v>
      </c>
    </row>
    <row r="1892">
      <c r="A1892" s="3">
        <f>IFERROR(__xludf.DUMMYFUNCTION("""COMPUTED_VALUE"""),42299.99861111111)</f>
        <v>42299.99861</v>
      </c>
      <c r="B1892" s="1">
        <f>IFERROR(__xludf.DUMMYFUNCTION("""COMPUTED_VALUE"""),2119.4155)</f>
        <v>2119.4155</v>
      </c>
    </row>
    <row r="1893">
      <c r="A1893" s="3">
        <f>IFERROR(__xludf.DUMMYFUNCTION("""COMPUTED_VALUE"""),42300.99861111111)</f>
        <v>42300.99861</v>
      </c>
      <c r="B1893" s="1">
        <f>IFERROR(__xludf.DUMMYFUNCTION("""COMPUTED_VALUE"""),2128.4536)</f>
        <v>2128.4536</v>
      </c>
    </row>
    <row r="1894">
      <c r="A1894" s="3">
        <f>IFERROR(__xludf.DUMMYFUNCTION("""COMPUTED_VALUE"""),42303.99861111111)</f>
        <v>42303.99861</v>
      </c>
      <c r="B1894" s="1">
        <f>IFERROR(__xludf.DUMMYFUNCTION("""COMPUTED_VALUE"""),2142.8945)</f>
        <v>2142.8945</v>
      </c>
    </row>
    <row r="1895">
      <c r="A1895" s="3">
        <f>IFERROR(__xludf.DUMMYFUNCTION("""COMPUTED_VALUE"""),42304.99861111111)</f>
        <v>42304.99861</v>
      </c>
      <c r="B1895" s="1">
        <f>IFERROR(__xludf.DUMMYFUNCTION("""COMPUTED_VALUE"""),2148.51)</f>
        <v>2148.51</v>
      </c>
    </row>
    <row r="1896">
      <c r="A1896" s="3">
        <f>IFERROR(__xludf.DUMMYFUNCTION("""COMPUTED_VALUE"""),42305.99861111111)</f>
        <v>42305.99861</v>
      </c>
      <c r="B1896" s="1">
        <f>IFERROR(__xludf.DUMMYFUNCTION("""COMPUTED_VALUE"""),2138.64246)</f>
        <v>2138.64246</v>
      </c>
    </row>
    <row r="1897">
      <c r="A1897" s="3">
        <f>IFERROR(__xludf.DUMMYFUNCTION("""COMPUTED_VALUE"""),42306.99861111111)</f>
        <v>42306.99861</v>
      </c>
      <c r="B1897" s="1">
        <f>IFERROR(__xludf.DUMMYFUNCTION("""COMPUTED_VALUE"""),2140.68276)</f>
        <v>2140.68276</v>
      </c>
    </row>
    <row r="1898">
      <c r="A1898" s="3">
        <f>IFERROR(__xludf.DUMMYFUNCTION("""COMPUTED_VALUE"""),42307.99861111111)</f>
        <v>42307.99861</v>
      </c>
      <c r="B1898" s="1">
        <f>IFERROR(__xludf.DUMMYFUNCTION("""COMPUTED_VALUE"""),2157.0838)</f>
        <v>2157.0838</v>
      </c>
    </row>
    <row r="1899">
      <c r="A1899" s="3">
        <f>IFERROR(__xludf.DUMMYFUNCTION("""COMPUTED_VALUE"""),42308.99861111111)</f>
        <v>42308.99861</v>
      </c>
      <c r="B1899" s="1">
        <f>IFERROR(__xludf.DUMMYFUNCTION("""COMPUTED_VALUE"""),2182.896006)</f>
        <v>2182.896006</v>
      </c>
    </row>
    <row r="1900">
      <c r="A1900" s="3">
        <f>IFERROR(__xludf.DUMMYFUNCTION("""COMPUTED_VALUE"""),42310.99861111111)</f>
        <v>42310.99861</v>
      </c>
      <c r="B1900" s="1">
        <f>IFERROR(__xludf.DUMMYFUNCTION("""COMPUTED_VALUE"""),2142.3808)</f>
        <v>2142.3808</v>
      </c>
    </row>
    <row r="1901">
      <c r="A1901" s="3">
        <f>IFERROR(__xludf.DUMMYFUNCTION("""COMPUTED_VALUE"""),42311.99861111111)</f>
        <v>42311.99861</v>
      </c>
      <c r="B1901" s="1">
        <f>IFERROR(__xludf.DUMMYFUNCTION("""COMPUTED_VALUE"""),2112.9273)</f>
        <v>2112.9273</v>
      </c>
    </row>
    <row r="1902">
      <c r="A1902" s="3">
        <f>IFERROR(__xludf.DUMMYFUNCTION("""COMPUTED_VALUE"""),42312.99861111111)</f>
        <v>42312.99861</v>
      </c>
      <c r="B1902" s="1">
        <f>IFERROR(__xludf.DUMMYFUNCTION("""COMPUTED_VALUE"""),2124.0063)</f>
        <v>2124.0063</v>
      </c>
    </row>
    <row r="1903">
      <c r="A1903" s="3">
        <f>IFERROR(__xludf.DUMMYFUNCTION("""COMPUTED_VALUE"""),42313.99861111111)</f>
        <v>42313.99861</v>
      </c>
      <c r="B1903" s="1">
        <f>IFERROR(__xludf.DUMMYFUNCTION("""COMPUTED_VALUE"""),2131.40475)</f>
        <v>2131.40475</v>
      </c>
    </row>
    <row r="1904">
      <c r="A1904" s="3">
        <f>IFERROR(__xludf.DUMMYFUNCTION("""COMPUTED_VALUE"""),42314.99861111111)</f>
        <v>42314.99861</v>
      </c>
      <c r="B1904" s="1">
        <f>IFERROR(__xludf.DUMMYFUNCTION("""COMPUTED_VALUE"""),2142.6223)</f>
        <v>2142.6223</v>
      </c>
    </row>
    <row r="1905">
      <c r="A1905" s="3">
        <f>IFERROR(__xludf.DUMMYFUNCTION("""COMPUTED_VALUE"""),42315.99861111111)</f>
        <v>42315.99861</v>
      </c>
      <c r="B1905" s="1">
        <f>IFERROR(__xludf.DUMMYFUNCTION("""COMPUTED_VALUE"""),2159.53343)</f>
        <v>2159.53343</v>
      </c>
    </row>
    <row r="1906">
      <c r="A1906" s="3">
        <f>IFERROR(__xludf.DUMMYFUNCTION("""COMPUTED_VALUE"""),42317.99861111111)</f>
        <v>42317.99861</v>
      </c>
      <c r="B1906" s="1">
        <f>IFERROR(__xludf.DUMMYFUNCTION("""COMPUTED_VALUE"""),2144.4482)</f>
        <v>2144.4482</v>
      </c>
    </row>
    <row r="1907">
      <c r="A1907" s="3">
        <f>IFERROR(__xludf.DUMMYFUNCTION("""COMPUTED_VALUE"""),42318.99861111111)</f>
        <v>42318.99861</v>
      </c>
      <c r="B1907" s="1">
        <f>IFERROR(__xludf.DUMMYFUNCTION("""COMPUTED_VALUE"""),2131.4964)</f>
        <v>2131.4964</v>
      </c>
    </row>
    <row r="1908">
      <c r="A1908" s="3">
        <f>IFERROR(__xludf.DUMMYFUNCTION("""COMPUTED_VALUE"""),42319.99861111111)</f>
        <v>42319.99861</v>
      </c>
      <c r="B1908" s="1">
        <f>IFERROR(__xludf.DUMMYFUNCTION("""COMPUTED_VALUE"""),2123.6955)</f>
        <v>2123.6955</v>
      </c>
    </row>
    <row r="1909">
      <c r="A1909" s="3">
        <f>IFERROR(__xludf.DUMMYFUNCTION("""COMPUTED_VALUE"""),42320.99861111111)</f>
        <v>42320.99861</v>
      </c>
      <c r="B1909" s="1">
        <f>IFERROR(__xludf.DUMMYFUNCTION("""COMPUTED_VALUE"""),2137.1783)</f>
        <v>2137.1783</v>
      </c>
    </row>
    <row r="1910">
      <c r="A1910" s="3">
        <f>IFERROR(__xludf.DUMMYFUNCTION("""COMPUTED_VALUE"""),42321.99861111111)</f>
        <v>42321.99861</v>
      </c>
      <c r="B1910" s="1">
        <f>IFERROR(__xludf.DUMMYFUNCTION("""COMPUTED_VALUE"""),2157.23871)</f>
        <v>2157.23871</v>
      </c>
    </row>
    <row r="1911">
      <c r="A1911" s="3">
        <f>IFERROR(__xludf.DUMMYFUNCTION("""COMPUTED_VALUE"""),42322.99861111111)</f>
        <v>42322.99861</v>
      </c>
      <c r="B1911" s="1">
        <f>IFERROR(__xludf.DUMMYFUNCTION("""COMPUTED_VALUE"""),2138.55457)</f>
        <v>2138.55457</v>
      </c>
    </row>
    <row r="1912">
      <c r="A1912" s="3">
        <f>IFERROR(__xludf.DUMMYFUNCTION("""COMPUTED_VALUE"""),42324.99861111111)</f>
        <v>42324.99861</v>
      </c>
      <c r="B1912" s="1">
        <f>IFERROR(__xludf.DUMMYFUNCTION("""COMPUTED_VALUE"""),2151.60768)</f>
        <v>2151.60768</v>
      </c>
    </row>
    <row r="1913">
      <c r="A1913" s="3">
        <f>IFERROR(__xludf.DUMMYFUNCTION("""COMPUTED_VALUE"""),42325.99861111111)</f>
        <v>42325.99861</v>
      </c>
      <c r="B1913" s="1">
        <f>IFERROR(__xludf.DUMMYFUNCTION("""COMPUTED_VALUE"""),2151.0216)</f>
        <v>2151.0216</v>
      </c>
    </row>
    <row r="1914">
      <c r="A1914" s="3">
        <f>IFERROR(__xludf.DUMMYFUNCTION("""COMPUTED_VALUE"""),42326.99861111111)</f>
        <v>42326.99861</v>
      </c>
      <c r="B1914" s="1">
        <f>IFERROR(__xludf.DUMMYFUNCTION("""COMPUTED_VALUE"""),2146.06595)</f>
        <v>2146.06595</v>
      </c>
    </row>
    <row r="1915">
      <c r="A1915" s="3">
        <f>IFERROR(__xludf.DUMMYFUNCTION("""COMPUTED_VALUE"""),42327.99861111111)</f>
        <v>42327.99861</v>
      </c>
      <c r="B1915" s="1">
        <f>IFERROR(__xludf.DUMMYFUNCTION("""COMPUTED_VALUE"""),2139.4654)</f>
        <v>2139.4654</v>
      </c>
    </row>
    <row r="1916">
      <c r="A1916" s="3">
        <f>IFERROR(__xludf.DUMMYFUNCTION("""COMPUTED_VALUE"""),42328.99861111111)</f>
        <v>42328.99861</v>
      </c>
      <c r="B1916" s="1">
        <f>IFERROR(__xludf.DUMMYFUNCTION("""COMPUTED_VALUE"""),2122.5304)</f>
        <v>2122.5304</v>
      </c>
    </row>
    <row r="1917">
      <c r="A1917" s="3">
        <f>IFERROR(__xludf.DUMMYFUNCTION("""COMPUTED_VALUE"""),42330.99861111111)</f>
        <v>42330.99861</v>
      </c>
      <c r="B1917" s="1">
        <f>IFERROR(__xludf.DUMMYFUNCTION("""COMPUTED_VALUE"""),2153.296117)</f>
        <v>2153.296117</v>
      </c>
    </row>
    <row r="1918">
      <c r="A1918" s="3">
        <f>IFERROR(__xludf.DUMMYFUNCTION("""COMPUTED_VALUE"""),42331.99861111111)</f>
        <v>42331.99861</v>
      </c>
      <c r="B1918" s="1">
        <f>IFERROR(__xludf.DUMMYFUNCTION("""COMPUTED_VALUE"""),2138.98245)</f>
        <v>2138.98245</v>
      </c>
    </row>
    <row r="1919">
      <c r="A1919" s="3">
        <f>IFERROR(__xludf.DUMMYFUNCTION("""COMPUTED_VALUE"""),42332.99861111111)</f>
        <v>42332.99861</v>
      </c>
      <c r="B1919" s="1">
        <f>IFERROR(__xludf.DUMMYFUNCTION("""COMPUTED_VALUE"""),2131.9386)</f>
        <v>2131.9386</v>
      </c>
    </row>
    <row r="1920">
      <c r="A1920" s="3">
        <f>IFERROR(__xludf.DUMMYFUNCTION("""COMPUTED_VALUE"""),42333.99861111111)</f>
        <v>42333.99861</v>
      </c>
      <c r="B1920" s="1">
        <f>IFERROR(__xludf.DUMMYFUNCTION("""COMPUTED_VALUE"""),2127.5145)</f>
        <v>2127.5145</v>
      </c>
    </row>
    <row r="1921">
      <c r="A1921" s="3">
        <f>IFERROR(__xludf.DUMMYFUNCTION("""COMPUTED_VALUE"""),42334.99861111111)</f>
        <v>42334.99861</v>
      </c>
      <c r="B1921" s="1">
        <f>IFERROR(__xludf.DUMMYFUNCTION("""COMPUTED_VALUE"""),2149.39015)</f>
        <v>2149.39015</v>
      </c>
    </row>
    <row r="1922">
      <c r="A1922" s="3">
        <f>IFERROR(__xludf.DUMMYFUNCTION("""COMPUTED_VALUE"""),42335.99861111111)</f>
        <v>42335.99861</v>
      </c>
      <c r="B1922" s="1">
        <f>IFERROR(__xludf.DUMMYFUNCTION("""COMPUTED_VALUE"""),2133.39234)</f>
        <v>2133.39234</v>
      </c>
    </row>
    <row r="1923">
      <c r="A1923" s="3">
        <f>IFERROR(__xludf.DUMMYFUNCTION("""COMPUTED_VALUE"""),42336.99861111111)</f>
        <v>42336.99861</v>
      </c>
      <c r="B1923" s="1">
        <f>IFERROR(__xludf.DUMMYFUNCTION("""COMPUTED_VALUE"""),2187.831544)</f>
        <v>2187.831544</v>
      </c>
    </row>
    <row r="1924">
      <c r="A1924" s="3">
        <f>IFERROR(__xludf.DUMMYFUNCTION("""COMPUTED_VALUE"""),42338.99861111111)</f>
        <v>42338.99861</v>
      </c>
      <c r="B1924" s="1">
        <f>IFERROR(__xludf.DUMMYFUNCTION("""COMPUTED_VALUE"""),2168.94109)</f>
        <v>2168.94109</v>
      </c>
    </row>
    <row r="1925">
      <c r="A1925" s="3">
        <f>IFERROR(__xludf.DUMMYFUNCTION("""COMPUTED_VALUE"""),42339.99861111111)</f>
        <v>42339.99861</v>
      </c>
      <c r="B1925" s="1">
        <f>IFERROR(__xludf.DUMMYFUNCTION("""COMPUTED_VALUE"""),2159.375)</f>
        <v>2159.375</v>
      </c>
    </row>
    <row r="1926">
      <c r="A1926" s="3">
        <f>IFERROR(__xludf.DUMMYFUNCTION("""COMPUTED_VALUE"""),42340.99861111111)</f>
        <v>42340.99861</v>
      </c>
      <c r="B1926" s="1">
        <f>IFERROR(__xludf.DUMMYFUNCTION("""COMPUTED_VALUE"""),2157.75796)</f>
        <v>2157.75796</v>
      </c>
    </row>
    <row r="1927">
      <c r="A1927" s="3">
        <f>IFERROR(__xludf.DUMMYFUNCTION("""COMPUTED_VALUE"""),42341.99861111111)</f>
        <v>42341.99861</v>
      </c>
      <c r="B1927" s="1">
        <f>IFERROR(__xludf.DUMMYFUNCTION("""COMPUTED_VALUE"""),2139.84375)</f>
        <v>2139.84375</v>
      </c>
    </row>
    <row r="1928">
      <c r="A1928" s="3">
        <f>IFERROR(__xludf.DUMMYFUNCTION("""COMPUTED_VALUE"""),42342.99861111111)</f>
        <v>42342.99861</v>
      </c>
      <c r="B1928" s="1">
        <f>IFERROR(__xludf.DUMMYFUNCTION("""COMPUTED_VALUE"""),2154.64038)</f>
        <v>2154.64038</v>
      </c>
    </row>
    <row r="1929">
      <c r="A1929" s="3">
        <f>IFERROR(__xludf.DUMMYFUNCTION("""COMPUTED_VALUE"""),42343.99861111111)</f>
        <v>42343.99861</v>
      </c>
      <c r="B1929" s="1">
        <f>IFERROR(__xludf.DUMMYFUNCTION("""COMPUTED_VALUE"""),2169.11271)</f>
        <v>2169.11271</v>
      </c>
    </row>
    <row r="1930">
      <c r="A1930" s="3">
        <f>IFERROR(__xludf.DUMMYFUNCTION("""COMPUTED_VALUE"""),42345.99861111111)</f>
        <v>42345.99861</v>
      </c>
      <c r="B1930" s="1">
        <f>IFERROR(__xludf.DUMMYFUNCTION("""COMPUTED_VALUE"""),2163.5813)</f>
        <v>2163.5813</v>
      </c>
    </row>
    <row r="1931">
      <c r="A1931" s="3">
        <f>IFERROR(__xludf.DUMMYFUNCTION("""COMPUTED_VALUE"""),42346.99861111111)</f>
        <v>42346.99861</v>
      </c>
      <c r="B1931" s="1">
        <f>IFERROR(__xludf.DUMMYFUNCTION("""COMPUTED_VALUE"""),2178.62715)</f>
        <v>2178.62715</v>
      </c>
    </row>
    <row r="1932">
      <c r="A1932" s="3">
        <f>IFERROR(__xludf.DUMMYFUNCTION("""COMPUTED_VALUE"""),42347.99861111111)</f>
        <v>42347.99861</v>
      </c>
      <c r="B1932" s="1">
        <f>IFERROR(__xludf.DUMMYFUNCTION("""COMPUTED_VALUE"""),2165.1168)</f>
        <v>2165.1168</v>
      </c>
    </row>
    <row r="1933">
      <c r="A1933" s="3">
        <f>IFERROR(__xludf.DUMMYFUNCTION("""COMPUTED_VALUE"""),42348.99861111111)</f>
        <v>42348.99861</v>
      </c>
      <c r="B1933" s="1">
        <f>IFERROR(__xludf.DUMMYFUNCTION("""COMPUTED_VALUE"""),2163.388)</f>
        <v>2163.388</v>
      </c>
    </row>
    <row r="1934">
      <c r="A1934" s="3">
        <f>IFERROR(__xludf.DUMMYFUNCTION("""COMPUTED_VALUE"""),42349.99861111111)</f>
        <v>42349.99861</v>
      </c>
      <c r="B1934" s="1">
        <f>IFERROR(__xludf.DUMMYFUNCTION("""COMPUTED_VALUE"""),2195.2368)</f>
        <v>2195.2368</v>
      </c>
    </row>
    <row r="1935">
      <c r="A1935" s="3">
        <f>IFERROR(__xludf.DUMMYFUNCTION("""COMPUTED_VALUE"""),42350.99861111111)</f>
        <v>42350.99861</v>
      </c>
      <c r="B1935" s="1">
        <f>IFERROR(__xludf.DUMMYFUNCTION("""COMPUTED_VALUE"""),2206.817334)</f>
        <v>2206.817334</v>
      </c>
    </row>
    <row r="1936">
      <c r="A1936" s="3">
        <f>IFERROR(__xludf.DUMMYFUNCTION("""COMPUTED_VALUE"""),42352.99861111111)</f>
        <v>42352.99861</v>
      </c>
      <c r="B1936" s="1">
        <f>IFERROR(__xludf.DUMMYFUNCTION("""COMPUTED_VALUE"""),2166.87557)</f>
        <v>2166.87557</v>
      </c>
    </row>
    <row r="1937">
      <c r="A1937" s="3">
        <f>IFERROR(__xludf.DUMMYFUNCTION("""COMPUTED_VALUE"""),42353.99861111111)</f>
        <v>42353.99861</v>
      </c>
      <c r="B1937" s="1">
        <f>IFERROR(__xludf.DUMMYFUNCTION("""COMPUTED_VALUE"""),2161.9972)</f>
        <v>2161.9972</v>
      </c>
    </row>
    <row r="1938">
      <c r="A1938" s="3">
        <f>IFERROR(__xludf.DUMMYFUNCTION("""COMPUTED_VALUE"""),42354.99861111111)</f>
        <v>42354.99861</v>
      </c>
      <c r="B1938" s="1">
        <f>IFERROR(__xludf.DUMMYFUNCTION("""COMPUTED_VALUE"""),2125.92)</f>
        <v>2125.92</v>
      </c>
    </row>
    <row r="1939">
      <c r="A1939" s="3">
        <f>IFERROR(__xludf.DUMMYFUNCTION("""COMPUTED_VALUE"""),42355.99861111111)</f>
        <v>42355.99861</v>
      </c>
      <c r="B1939" s="1">
        <f>IFERROR(__xludf.DUMMYFUNCTION("""COMPUTED_VALUE"""),2161.6036)</f>
        <v>2161.6036</v>
      </c>
    </row>
    <row r="1940">
      <c r="A1940" s="3">
        <f>IFERROR(__xludf.DUMMYFUNCTION("""COMPUTED_VALUE"""),42356.99861111111)</f>
        <v>42356.99861</v>
      </c>
      <c r="B1940" s="1">
        <f>IFERROR(__xludf.DUMMYFUNCTION("""COMPUTED_VALUE"""),2138.39895)</f>
        <v>2138.39895</v>
      </c>
    </row>
    <row r="1941">
      <c r="A1941" s="3">
        <f>IFERROR(__xludf.DUMMYFUNCTION("""COMPUTED_VALUE"""),42357.99861111111)</f>
        <v>42357.99861</v>
      </c>
      <c r="B1941" s="1">
        <f>IFERROR(__xludf.DUMMYFUNCTION("""COMPUTED_VALUE"""),2151.04581)</f>
        <v>2151.04581</v>
      </c>
    </row>
    <row r="1942">
      <c r="A1942" s="3">
        <f>IFERROR(__xludf.DUMMYFUNCTION("""COMPUTED_VALUE"""),42359.99861111111)</f>
        <v>42359.99861</v>
      </c>
      <c r="B1942" s="1">
        <f>IFERROR(__xludf.DUMMYFUNCTION("""COMPUTED_VALUE"""),2122.7552)</f>
        <v>2122.7552</v>
      </c>
    </row>
    <row r="1943">
      <c r="A1943" s="3">
        <f>IFERROR(__xludf.DUMMYFUNCTION("""COMPUTED_VALUE"""),42360.99861111111)</f>
        <v>42360.99861</v>
      </c>
      <c r="B1943" s="1">
        <f>IFERROR(__xludf.DUMMYFUNCTION("""COMPUTED_VALUE"""),2106.10575)</f>
        <v>2106.10575</v>
      </c>
    </row>
    <row r="1944">
      <c r="A1944" s="3">
        <f>IFERROR(__xludf.DUMMYFUNCTION("""COMPUTED_VALUE"""),42361.99861111111)</f>
        <v>42361.99861</v>
      </c>
      <c r="B1944" s="1">
        <f>IFERROR(__xludf.DUMMYFUNCTION("""COMPUTED_VALUE"""),2103.4275)</f>
        <v>2103.4275</v>
      </c>
    </row>
    <row r="1945">
      <c r="A1945" s="3">
        <f>IFERROR(__xludf.DUMMYFUNCTION("""COMPUTED_VALUE"""),42362.99861111111)</f>
        <v>42362.99861</v>
      </c>
      <c r="B1945" s="1">
        <f>IFERROR(__xludf.DUMMYFUNCTION("""COMPUTED_VALUE"""),2108.561)</f>
        <v>2108.561</v>
      </c>
    </row>
    <row r="1946">
      <c r="A1946" s="3">
        <f>IFERROR(__xludf.DUMMYFUNCTION("""COMPUTED_VALUE"""),42363.99861111111)</f>
        <v>42363.99861</v>
      </c>
      <c r="B1946" s="1">
        <f>IFERROR(__xludf.DUMMYFUNCTION("""COMPUTED_VALUE"""),2108.6973)</f>
        <v>2108.6973</v>
      </c>
    </row>
    <row r="1947">
      <c r="A1947" s="3">
        <f>IFERROR(__xludf.DUMMYFUNCTION("""COMPUTED_VALUE"""),42366.99861111111)</f>
        <v>42366.99861</v>
      </c>
      <c r="B1947" s="1">
        <f>IFERROR(__xludf.DUMMYFUNCTION("""COMPUTED_VALUE"""),2079.98435)</f>
        <v>2079.98435</v>
      </c>
    </row>
    <row r="1948">
      <c r="A1948" s="3">
        <f>IFERROR(__xludf.DUMMYFUNCTION("""COMPUTED_VALUE"""),42367.99861111111)</f>
        <v>42367.99861</v>
      </c>
      <c r="B1948" s="1">
        <f>IFERROR(__xludf.DUMMYFUNCTION("""COMPUTED_VALUE"""),2109.7644)</f>
        <v>2109.7644</v>
      </c>
    </row>
    <row r="1949">
      <c r="A1949" s="3">
        <f>IFERROR(__xludf.DUMMYFUNCTION("""COMPUTED_VALUE"""),42368.99861111111)</f>
        <v>42368.99861</v>
      </c>
      <c r="B1949" s="1">
        <f>IFERROR(__xludf.DUMMYFUNCTION("""COMPUTED_VALUE"""),2132.6838)</f>
        <v>2132.6838</v>
      </c>
    </row>
    <row r="1950">
      <c r="A1950" s="3">
        <f>IFERROR(__xludf.DUMMYFUNCTION("""COMPUTED_VALUE"""),42369.99861111111)</f>
        <v>42369.99861</v>
      </c>
      <c r="B1950" s="1">
        <f>IFERROR(__xludf.DUMMYFUNCTION("""COMPUTED_VALUE"""),2121.35)</f>
        <v>2121.35</v>
      </c>
    </row>
    <row r="1951">
      <c r="A1951" s="3">
        <f>IFERROR(__xludf.DUMMYFUNCTION("""COMPUTED_VALUE"""),42370.99861111111)</f>
        <v>42370.99861</v>
      </c>
      <c r="B1951" s="1">
        <f>IFERROR(__xludf.DUMMYFUNCTION("""COMPUTED_VALUE"""),2121.0745)</f>
        <v>2121.0745</v>
      </c>
    </row>
    <row r="1952">
      <c r="A1952" s="3">
        <f>IFERROR(__xludf.DUMMYFUNCTION("""COMPUTED_VALUE"""),42372.99861111111)</f>
        <v>42372.99861</v>
      </c>
      <c r="B1952" s="1">
        <f>IFERROR(__xludf.DUMMYFUNCTION("""COMPUTED_VALUE"""),2118.921931)</f>
        <v>2118.921931</v>
      </c>
    </row>
    <row r="1953">
      <c r="A1953" s="3">
        <f>IFERROR(__xludf.DUMMYFUNCTION("""COMPUTED_VALUE"""),42373.99861111111)</f>
        <v>42373.99861</v>
      </c>
      <c r="B1953" s="1">
        <f>IFERROR(__xludf.DUMMYFUNCTION("""COMPUTED_VALUE"""),2134.86272)</f>
        <v>2134.86272</v>
      </c>
    </row>
    <row r="1954">
      <c r="A1954" s="3">
        <f>IFERROR(__xludf.DUMMYFUNCTION("""COMPUTED_VALUE"""),42374.99861111111)</f>
        <v>42374.99861</v>
      </c>
      <c r="B1954" s="1">
        <f>IFERROR(__xludf.DUMMYFUNCTION("""COMPUTED_VALUE"""),2116.16845)</f>
        <v>2116.16845</v>
      </c>
    </row>
    <row r="1955">
      <c r="A1955" s="3">
        <f>IFERROR(__xludf.DUMMYFUNCTION("""COMPUTED_VALUE"""),42375.99861111111)</f>
        <v>42375.99861</v>
      </c>
      <c r="B1955" s="1">
        <f>IFERROR(__xludf.DUMMYFUNCTION("""COMPUTED_VALUE"""),2120.37345)</f>
        <v>2120.37345</v>
      </c>
    </row>
    <row r="1956">
      <c r="A1956" s="3">
        <f>IFERROR(__xludf.DUMMYFUNCTION("""COMPUTED_VALUE"""),42376.99861111111)</f>
        <v>42376.99861</v>
      </c>
      <c r="B1956" s="1">
        <f>IFERROR(__xludf.DUMMYFUNCTION("""COMPUTED_VALUE"""),2112.3452)</f>
        <v>2112.3452</v>
      </c>
    </row>
    <row r="1957">
      <c r="A1957" s="3">
        <f>IFERROR(__xludf.DUMMYFUNCTION("""COMPUTED_VALUE"""),42377.99861111111)</f>
        <v>42377.99861</v>
      </c>
      <c r="B1957" s="1">
        <f>IFERROR(__xludf.DUMMYFUNCTION("""COMPUTED_VALUE"""),2114.7525)</f>
        <v>2114.7525</v>
      </c>
    </row>
    <row r="1958">
      <c r="A1958" s="3">
        <f>IFERROR(__xludf.DUMMYFUNCTION("""COMPUTED_VALUE"""),42379.99861111111)</f>
        <v>42379.99861</v>
      </c>
      <c r="B1958" s="1">
        <f>IFERROR(__xludf.DUMMYFUNCTION("""COMPUTED_VALUE"""),2152.106156)</f>
        <v>2152.106156</v>
      </c>
    </row>
    <row r="1959">
      <c r="A1959" s="3">
        <f>IFERROR(__xludf.DUMMYFUNCTION("""COMPUTED_VALUE"""),42380.99861111111)</f>
        <v>42380.99861</v>
      </c>
      <c r="B1959" s="1">
        <f>IFERROR(__xludf.DUMMYFUNCTION("""COMPUTED_VALUE"""),2101.25905)</f>
        <v>2101.25905</v>
      </c>
    </row>
    <row r="1960">
      <c r="A1960" s="3">
        <f>IFERROR(__xludf.DUMMYFUNCTION("""COMPUTED_VALUE"""),42381.99861111111)</f>
        <v>42381.99861</v>
      </c>
      <c r="B1960" s="1">
        <f>IFERROR(__xludf.DUMMYFUNCTION("""COMPUTED_VALUE"""),2097.9436)</f>
        <v>2097.9436</v>
      </c>
    </row>
    <row r="1961">
      <c r="A1961" s="3">
        <f>IFERROR(__xludf.DUMMYFUNCTION("""COMPUTED_VALUE"""),42382.99861111111)</f>
        <v>42382.99861</v>
      </c>
      <c r="B1961" s="1">
        <f>IFERROR(__xludf.DUMMYFUNCTION("""COMPUTED_VALUE"""),2106.1287)</f>
        <v>2106.1287</v>
      </c>
    </row>
    <row r="1962">
      <c r="A1962" s="3">
        <f>IFERROR(__xludf.DUMMYFUNCTION("""COMPUTED_VALUE"""),42383.99861111111)</f>
        <v>42383.99861</v>
      </c>
      <c r="B1962" s="1">
        <f>IFERROR(__xludf.DUMMYFUNCTION("""COMPUTED_VALUE"""),2098.3585)</f>
        <v>2098.3585</v>
      </c>
    </row>
    <row r="1963">
      <c r="A1963" s="3">
        <f>IFERROR(__xludf.DUMMYFUNCTION("""COMPUTED_VALUE"""),42384.99861111111)</f>
        <v>42384.99861</v>
      </c>
      <c r="B1963" s="1">
        <f>IFERROR(__xludf.DUMMYFUNCTION("""COMPUTED_VALUE"""),2127.66871)</f>
        <v>2127.66871</v>
      </c>
    </row>
    <row r="1964">
      <c r="A1964" s="3">
        <f>IFERROR(__xludf.DUMMYFUNCTION("""COMPUTED_VALUE"""),42386.99861111111)</f>
        <v>42386.99861</v>
      </c>
      <c r="B1964" s="1">
        <f>IFERROR(__xludf.DUMMYFUNCTION("""COMPUTED_VALUE"""),2134.125265)</f>
        <v>2134.125265</v>
      </c>
    </row>
    <row r="1965">
      <c r="A1965" s="3">
        <f>IFERROR(__xludf.DUMMYFUNCTION("""COMPUTED_VALUE"""),42387.99861111111)</f>
        <v>42387.99861</v>
      </c>
      <c r="B1965" s="1">
        <f>IFERROR(__xludf.DUMMYFUNCTION("""COMPUTED_VALUE"""),2116.043)</f>
        <v>2116.043</v>
      </c>
    </row>
    <row r="1966">
      <c r="A1966" s="3">
        <f>IFERROR(__xludf.DUMMYFUNCTION("""COMPUTED_VALUE"""),42388.99861111111)</f>
        <v>42388.99861</v>
      </c>
      <c r="B1966" s="1">
        <f>IFERROR(__xludf.DUMMYFUNCTION("""COMPUTED_VALUE"""),2102.8515)</f>
        <v>2102.8515</v>
      </c>
    </row>
    <row r="1967">
      <c r="A1967" s="3">
        <f>IFERROR(__xludf.DUMMYFUNCTION("""COMPUTED_VALUE"""),42389.99861111111)</f>
        <v>42389.99861</v>
      </c>
      <c r="B1967" s="1">
        <f>IFERROR(__xludf.DUMMYFUNCTION("""COMPUTED_VALUE"""),2101.1235)</f>
        <v>2101.1235</v>
      </c>
    </row>
    <row r="1968">
      <c r="A1968" s="3">
        <f>IFERROR(__xludf.DUMMYFUNCTION("""COMPUTED_VALUE"""),42390.99861111111)</f>
        <v>42390.99861</v>
      </c>
      <c r="B1968" s="1">
        <f>IFERROR(__xludf.DUMMYFUNCTION("""COMPUTED_VALUE"""),2090.54727)</f>
        <v>2090.54727</v>
      </c>
    </row>
    <row r="1969">
      <c r="A1969" s="3">
        <f>IFERROR(__xludf.DUMMYFUNCTION("""COMPUTED_VALUE"""),42391.99861111111)</f>
        <v>42391.99861</v>
      </c>
      <c r="B1969" s="1">
        <f>IFERROR(__xludf.DUMMYFUNCTION("""COMPUTED_VALUE"""),2094.08051)</f>
        <v>2094.08051</v>
      </c>
    </row>
    <row r="1970">
      <c r="A1970" s="3">
        <f>IFERROR(__xludf.DUMMYFUNCTION("""COMPUTED_VALUE"""),42392.99861111111)</f>
        <v>42392.99861</v>
      </c>
      <c r="B1970" s="1">
        <f>IFERROR(__xludf.DUMMYFUNCTION("""COMPUTED_VALUE"""),2109.971459)</f>
        <v>2109.971459</v>
      </c>
    </row>
    <row r="1971">
      <c r="A1971" s="3">
        <f>IFERROR(__xludf.DUMMYFUNCTION("""COMPUTED_VALUE"""),42393.99861111111)</f>
        <v>42393.99861</v>
      </c>
      <c r="B1971" s="1">
        <f>IFERROR(__xludf.DUMMYFUNCTION("""COMPUTED_VALUE"""),2104.985311)</f>
        <v>2104.985311</v>
      </c>
    </row>
    <row r="1972">
      <c r="A1972" s="3">
        <f>IFERROR(__xludf.DUMMYFUNCTION("""COMPUTED_VALUE"""),42394.99861111111)</f>
        <v>42394.99861</v>
      </c>
      <c r="B1972" s="1">
        <f>IFERROR(__xludf.DUMMYFUNCTION("""COMPUTED_VALUE"""),2102.4366)</f>
        <v>2102.4366</v>
      </c>
    </row>
    <row r="1973">
      <c r="A1973" s="3">
        <f>IFERROR(__xludf.DUMMYFUNCTION("""COMPUTED_VALUE"""),42395.99861111111)</f>
        <v>42395.99861</v>
      </c>
      <c r="B1973" s="1">
        <f>IFERROR(__xludf.DUMMYFUNCTION("""COMPUTED_VALUE"""),2107.8168)</f>
        <v>2107.8168</v>
      </c>
    </row>
    <row r="1974">
      <c r="A1974" s="3">
        <f>IFERROR(__xludf.DUMMYFUNCTION("""COMPUTED_VALUE"""),42396.99861111111)</f>
        <v>42396.99861</v>
      </c>
      <c r="B1974" s="1">
        <f>IFERROR(__xludf.DUMMYFUNCTION("""COMPUTED_VALUE"""),2097.76598)</f>
        <v>2097.76598</v>
      </c>
    </row>
    <row r="1975">
      <c r="A1975" s="3">
        <f>IFERROR(__xludf.DUMMYFUNCTION("""COMPUTED_VALUE"""),42397.99861111111)</f>
        <v>42397.99861</v>
      </c>
      <c r="B1975" s="1">
        <f>IFERROR(__xludf.DUMMYFUNCTION("""COMPUTED_VALUE"""),2092.0047)</f>
        <v>2092.0047</v>
      </c>
    </row>
    <row r="1976">
      <c r="A1976" s="3">
        <f>IFERROR(__xludf.DUMMYFUNCTION("""COMPUTED_VALUE"""),42398.99861111111)</f>
        <v>42398.99861</v>
      </c>
      <c r="B1976" s="1">
        <f>IFERROR(__xludf.DUMMYFUNCTION("""COMPUTED_VALUE"""),2088.446)</f>
        <v>2088.446</v>
      </c>
    </row>
    <row r="1977">
      <c r="A1977" s="3">
        <f>IFERROR(__xludf.DUMMYFUNCTION("""COMPUTED_VALUE"""),42400.99861111111)</f>
        <v>42400.99861</v>
      </c>
      <c r="B1977" s="1">
        <f>IFERROR(__xludf.DUMMYFUNCTION("""COMPUTED_VALUE"""),2134.696399)</f>
        <v>2134.696399</v>
      </c>
    </row>
    <row r="1978">
      <c r="A1978" s="3">
        <f>IFERROR(__xludf.DUMMYFUNCTION("""COMPUTED_VALUE"""),42401.99861111111)</f>
        <v>42401.99861</v>
      </c>
      <c r="B1978" s="1">
        <f>IFERROR(__xludf.DUMMYFUNCTION("""COMPUTED_VALUE"""),2070.9422)</f>
        <v>2070.9422</v>
      </c>
    </row>
    <row r="1979">
      <c r="A1979" s="3">
        <f>IFERROR(__xludf.DUMMYFUNCTION("""COMPUTED_VALUE"""),42402.99861111111)</f>
        <v>42402.99861</v>
      </c>
      <c r="B1979" s="1">
        <f>IFERROR(__xludf.DUMMYFUNCTION("""COMPUTED_VALUE"""),2085.7243)</f>
        <v>2085.7243</v>
      </c>
    </row>
    <row r="1980">
      <c r="A1980" s="3">
        <f>IFERROR(__xludf.DUMMYFUNCTION("""COMPUTED_VALUE"""),42403.99861111111)</f>
        <v>42403.99861</v>
      </c>
      <c r="B1980" s="1">
        <f>IFERROR(__xludf.DUMMYFUNCTION("""COMPUTED_VALUE"""),2065.55056)</f>
        <v>2065.55056</v>
      </c>
    </row>
    <row r="1981">
      <c r="A1981" s="3">
        <f>IFERROR(__xludf.DUMMYFUNCTION("""COMPUTED_VALUE"""),42404.99861111111)</f>
        <v>42404.99861</v>
      </c>
      <c r="B1981" s="1">
        <f>IFERROR(__xludf.DUMMYFUNCTION("""COMPUTED_VALUE"""),2072.427)</f>
        <v>2072.427</v>
      </c>
    </row>
    <row r="1982">
      <c r="A1982" s="3">
        <f>IFERROR(__xludf.DUMMYFUNCTION("""COMPUTED_VALUE"""),42405.99861111111)</f>
        <v>42405.99861</v>
      </c>
      <c r="B1982" s="1">
        <f>IFERROR(__xludf.DUMMYFUNCTION("""COMPUTED_VALUE"""),2065.1917)</f>
        <v>2065.1917</v>
      </c>
    </row>
    <row r="1983">
      <c r="A1983" s="3">
        <f>IFERROR(__xludf.DUMMYFUNCTION("""COMPUTED_VALUE"""),42406.99861111111)</f>
        <v>42406.99861</v>
      </c>
      <c r="B1983" s="1">
        <f>IFERROR(__xludf.DUMMYFUNCTION("""COMPUTED_VALUE"""),2069.387424)</f>
        <v>2069.387424</v>
      </c>
    </row>
    <row r="1984">
      <c r="A1984" s="3">
        <f>IFERROR(__xludf.DUMMYFUNCTION("""COMPUTED_VALUE"""),42407.99861111111)</f>
        <v>42407.99861</v>
      </c>
      <c r="B1984" s="1">
        <f>IFERROR(__xludf.DUMMYFUNCTION("""COMPUTED_VALUE"""),2068.527365)</f>
        <v>2068.527365</v>
      </c>
    </row>
    <row r="1985">
      <c r="A1985" s="3">
        <f>IFERROR(__xludf.DUMMYFUNCTION("""COMPUTED_VALUE"""),42408.99861111111)</f>
        <v>42408.99861</v>
      </c>
      <c r="B1985" s="1">
        <f>IFERROR(__xludf.DUMMYFUNCTION("""COMPUTED_VALUE"""),2080.1196)</f>
        <v>2080.1196</v>
      </c>
    </row>
    <row r="1986">
      <c r="A1986" s="3">
        <f>IFERROR(__xludf.DUMMYFUNCTION("""COMPUTED_VALUE"""),42409.99861111111)</f>
        <v>42409.99861</v>
      </c>
      <c r="B1986" s="1">
        <f>IFERROR(__xludf.DUMMYFUNCTION("""COMPUTED_VALUE"""),2062.476)</f>
        <v>2062.476</v>
      </c>
    </row>
    <row r="1987">
      <c r="A1987" s="3">
        <f>IFERROR(__xludf.DUMMYFUNCTION("""COMPUTED_VALUE"""),42410.99861111111)</f>
        <v>42410.99861</v>
      </c>
      <c r="B1987" s="1">
        <f>IFERROR(__xludf.DUMMYFUNCTION("""COMPUTED_VALUE"""),2046.10185)</f>
        <v>2046.10185</v>
      </c>
    </row>
    <row r="1988">
      <c r="A1988" s="3">
        <f>IFERROR(__xludf.DUMMYFUNCTION("""COMPUTED_VALUE"""),42411.99861111111)</f>
        <v>42411.99861</v>
      </c>
      <c r="B1988" s="1">
        <f>IFERROR(__xludf.DUMMYFUNCTION("""COMPUTED_VALUE"""),2050.4428)</f>
        <v>2050.4428</v>
      </c>
    </row>
    <row r="1989">
      <c r="A1989" s="3">
        <f>IFERROR(__xludf.DUMMYFUNCTION("""COMPUTED_VALUE"""),42412.99861111111)</f>
        <v>42412.99861</v>
      </c>
      <c r="B1989" s="1">
        <f>IFERROR(__xludf.DUMMYFUNCTION("""COMPUTED_VALUE"""),2060.6836)</f>
        <v>2060.6836</v>
      </c>
    </row>
    <row r="1990">
      <c r="A1990" s="3">
        <f>IFERROR(__xludf.DUMMYFUNCTION("""COMPUTED_VALUE"""),42414.99861111111)</f>
        <v>42414.99861</v>
      </c>
      <c r="B1990" s="1">
        <f>IFERROR(__xludf.DUMMYFUNCTION("""COMPUTED_VALUE"""),2064.091302)</f>
        <v>2064.091302</v>
      </c>
    </row>
    <row r="1991">
      <c r="A1991" s="3">
        <f>IFERROR(__xludf.DUMMYFUNCTION("""COMPUTED_VALUE"""),42415.99861111111)</f>
        <v>42415.99861</v>
      </c>
      <c r="B1991" s="1">
        <f>IFERROR(__xludf.DUMMYFUNCTION("""COMPUTED_VALUE"""),2043.68625)</f>
        <v>2043.68625</v>
      </c>
    </row>
    <row r="1992">
      <c r="A1992" s="3">
        <f>IFERROR(__xludf.DUMMYFUNCTION("""COMPUTED_VALUE"""),42416.99861111111)</f>
        <v>42416.99861</v>
      </c>
      <c r="B1992" s="1">
        <f>IFERROR(__xludf.DUMMYFUNCTION("""COMPUTED_VALUE"""),2055.0998)</f>
        <v>2055.0998</v>
      </c>
    </row>
    <row r="1993">
      <c r="A1993" s="3">
        <f>IFERROR(__xludf.DUMMYFUNCTION("""COMPUTED_VALUE"""),42417.99861111111)</f>
        <v>42417.99861</v>
      </c>
      <c r="B1993" s="1">
        <f>IFERROR(__xludf.DUMMYFUNCTION("""COMPUTED_VALUE"""),2066.58)</f>
        <v>2066.58</v>
      </c>
    </row>
    <row r="1994">
      <c r="A1994" s="3">
        <f>IFERROR(__xludf.DUMMYFUNCTION("""COMPUTED_VALUE"""),42418.99861111111)</f>
        <v>42418.99861</v>
      </c>
      <c r="B1994" s="1">
        <f>IFERROR(__xludf.DUMMYFUNCTION("""COMPUTED_VALUE"""),2057.72685)</f>
        <v>2057.72685</v>
      </c>
    </row>
    <row r="1995">
      <c r="A1995" s="3">
        <f>IFERROR(__xludf.DUMMYFUNCTION("""COMPUTED_VALUE"""),42419.99861111111)</f>
        <v>42419.99861</v>
      </c>
      <c r="B1995" s="1">
        <f>IFERROR(__xludf.DUMMYFUNCTION("""COMPUTED_VALUE"""),2058.09056)</f>
        <v>2058.09056</v>
      </c>
    </row>
    <row r="1996">
      <c r="A1996" s="3">
        <f>IFERROR(__xludf.DUMMYFUNCTION("""COMPUTED_VALUE"""),42420.99861111111)</f>
        <v>42420.99861</v>
      </c>
      <c r="B1996" s="1">
        <f>IFERROR(__xludf.DUMMYFUNCTION("""COMPUTED_VALUE"""),2081.459937)</f>
        <v>2081.459937</v>
      </c>
    </row>
    <row r="1997">
      <c r="A1997" s="3">
        <f>IFERROR(__xludf.DUMMYFUNCTION("""COMPUTED_VALUE"""),42421.99861111111)</f>
        <v>42421.99861</v>
      </c>
      <c r="B1997" s="1">
        <f>IFERROR(__xludf.DUMMYFUNCTION("""COMPUTED_VALUE"""),2072.393638)</f>
        <v>2072.393638</v>
      </c>
    </row>
    <row r="1998">
      <c r="A1998" s="3">
        <f>IFERROR(__xludf.DUMMYFUNCTION("""COMPUTED_VALUE"""),42422.99861111111)</f>
        <v>42422.99861</v>
      </c>
      <c r="B1998" s="1">
        <f>IFERROR(__xludf.DUMMYFUNCTION("""COMPUTED_VALUE"""),2051.9205)</f>
        <v>2051.9205</v>
      </c>
    </row>
    <row r="1999">
      <c r="A1999" s="3">
        <f>IFERROR(__xludf.DUMMYFUNCTION("""COMPUTED_VALUE"""),42423.99861111111)</f>
        <v>42423.99861</v>
      </c>
      <c r="B1999" s="1">
        <f>IFERROR(__xludf.DUMMYFUNCTION("""COMPUTED_VALUE"""),2054.9484)</f>
        <v>2054.9484</v>
      </c>
    </row>
    <row r="2000">
      <c r="A2000" s="3">
        <f>IFERROR(__xludf.DUMMYFUNCTION("""COMPUTED_VALUE"""),42424.99861111111)</f>
        <v>42424.99861</v>
      </c>
      <c r="B2000" s="1">
        <f>IFERROR(__xludf.DUMMYFUNCTION("""COMPUTED_VALUE"""),2048.1727)</f>
        <v>2048.1727</v>
      </c>
    </row>
    <row r="2001">
      <c r="A2001" s="3">
        <f>IFERROR(__xludf.DUMMYFUNCTION("""COMPUTED_VALUE"""),42425.99861111111)</f>
        <v>42425.99861</v>
      </c>
      <c r="B2001" s="1">
        <f>IFERROR(__xludf.DUMMYFUNCTION("""COMPUTED_VALUE"""),2055.9987)</f>
        <v>2055.9987</v>
      </c>
    </row>
    <row r="2002">
      <c r="A2002" s="3">
        <f>IFERROR(__xludf.DUMMYFUNCTION("""COMPUTED_VALUE"""),42426.99861111111)</f>
        <v>42426.99861</v>
      </c>
      <c r="B2002" s="1">
        <f>IFERROR(__xludf.DUMMYFUNCTION("""COMPUTED_VALUE"""),2052.1455)</f>
        <v>2052.1455</v>
      </c>
    </row>
    <row r="2003">
      <c r="A2003" s="3">
        <f>IFERROR(__xludf.DUMMYFUNCTION("""COMPUTED_VALUE"""),42428.99861111111)</f>
        <v>42428.99861</v>
      </c>
      <c r="B2003" s="1">
        <f>IFERROR(__xludf.DUMMYFUNCTION("""COMPUTED_VALUE"""),2038.709644)</f>
        <v>2038.709644</v>
      </c>
    </row>
    <row r="2004">
      <c r="A2004" s="3">
        <f>IFERROR(__xludf.DUMMYFUNCTION("""COMPUTED_VALUE"""),42429.99861111111)</f>
        <v>42429.99861</v>
      </c>
      <c r="B2004" s="1">
        <f>IFERROR(__xludf.DUMMYFUNCTION("""COMPUTED_VALUE"""),2039.499)</f>
        <v>2039.499</v>
      </c>
    </row>
    <row r="2005">
      <c r="A2005" s="3">
        <f>IFERROR(__xludf.DUMMYFUNCTION("""COMPUTED_VALUE"""),42430.99861111111)</f>
        <v>42430.99861</v>
      </c>
      <c r="B2005" s="1">
        <f>IFERROR(__xludf.DUMMYFUNCTION("""COMPUTED_VALUE"""),2021.60452)</f>
        <v>2021.60452</v>
      </c>
    </row>
    <row r="2006">
      <c r="A2006" s="3">
        <f>IFERROR(__xludf.DUMMYFUNCTION("""COMPUTED_VALUE"""),42431.99861111111)</f>
        <v>42431.99861</v>
      </c>
      <c r="B2006" s="1">
        <f>IFERROR(__xludf.DUMMYFUNCTION("""COMPUTED_VALUE"""),2022.19487)</f>
        <v>2022.19487</v>
      </c>
    </row>
    <row r="2007">
      <c r="A2007" s="3">
        <f>IFERROR(__xludf.DUMMYFUNCTION("""COMPUTED_VALUE"""),42432.99861111111)</f>
        <v>42432.99861</v>
      </c>
      <c r="B2007" s="1">
        <f>IFERROR(__xludf.DUMMYFUNCTION("""COMPUTED_VALUE"""),2011.2084)</f>
        <v>2011.2084</v>
      </c>
    </row>
    <row r="2008">
      <c r="A2008" s="3">
        <f>IFERROR(__xludf.DUMMYFUNCTION("""COMPUTED_VALUE"""),42433.99861111111)</f>
        <v>42433.99861</v>
      </c>
      <c r="B2008" s="1">
        <f>IFERROR(__xludf.DUMMYFUNCTION("""COMPUTED_VALUE"""),1996.541)</f>
        <v>1996.541</v>
      </c>
    </row>
    <row r="2009">
      <c r="A2009" s="3">
        <f>IFERROR(__xludf.DUMMYFUNCTION("""COMPUTED_VALUE"""),42435.99861111111)</f>
        <v>42435.99861</v>
      </c>
      <c r="B2009" s="1">
        <f>IFERROR(__xludf.DUMMYFUNCTION("""COMPUTED_VALUE"""),2043.732822)</f>
        <v>2043.732822</v>
      </c>
    </row>
    <row r="2010">
      <c r="A2010" s="3">
        <f>IFERROR(__xludf.DUMMYFUNCTION("""COMPUTED_VALUE"""),42436.99861111111)</f>
        <v>42436.99861</v>
      </c>
      <c r="B2010" s="1">
        <f>IFERROR(__xludf.DUMMYFUNCTION("""COMPUTED_VALUE"""),1993.94)</f>
        <v>1993.94</v>
      </c>
    </row>
    <row r="2011">
      <c r="A2011" s="3">
        <f>IFERROR(__xludf.DUMMYFUNCTION("""COMPUTED_VALUE"""),42437.99861111111)</f>
        <v>42437.99861</v>
      </c>
      <c r="B2011" s="1">
        <f>IFERROR(__xludf.DUMMYFUNCTION("""COMPUTED_VALUE"""),2027.10599)</f>
        <v>2027.10599</v>
      </c>
    </row>
    <row r="2012">
      <c r="A2012" s="3">
        <f>IFERROR(__xludf.DUMMYFUNCTION("""COMPUTED_VALUE"""),42438.99861111111)</f>
        <v>42438.99861</v>
      </c>
      <c r="B2012" s="1">
        <f>IFERROR(__xludf.DUMMYFUNCTION("""COMPUTED_VALUE"""),2010.326)</f>
        <v>2010.326</v>
      </c>
    </row>
    <row r="2013">
      <c r="A2013" s="3">
        <f>IFERROR(__xludf.DUMMYFUNCTION("""COMPUTED_VALUE"""),42439.99861111111)</f>
        <v>42439.99861</v>
      </c>
      <c r="B2013" s="1">
        <f>IFERROR(__xludf.DUMMYFUNCTION("""COMPUTED_VALUE"""),2015.9802)</f>
        <v>2015.9802</v>
      </c>
    </row>
    <row r="2014">
      <c r="A2014" s="3">
        <f>IFERROR(__xludf.DUMMYFUNCTION("""COMPUTED_VALUE"""),42440.99861111111)</f>
        <v>42440.99861</v>
      </c>
      <c r="B2014" s="1">
        <f>IFERROR(__xludf.DUMMYFUNCTION("""COMPUTED_VALUE"""),1993.73972)</f>
        <v>1993.73972</v>
      </c>
    </row>
    <row r="2015">
      <c r="A2015" s="3">
        <f>IFERROR(__xludf.DUMMYFUNCTION("""COMPUTED_VALUE"""),42442.99861111111)</f>
        <v>42442.99861</v>
      </c>
      <c r="B2015" s="1">
        <f>IFERROR(__xludf.DUMMYFUNCTION("""COMPUTED_VALUE"""),2019.033708)</f>
        <v>2019.033708</v>
      </c>
    </row>
    <row r="2016">
      <c r="A2016" s="3">
        <f>IFERROR(__xludf.DUMMYFUNCTION("""COMPUTED_VALUE"""),42443.99861111111)</f>
        <v>42443.99861</v>
      </c>
      <c r="B2016" s="1">
        <f>IFERROR(__xludf.DUMMYFUNCTION("""COMPUTED_VALUE"""),1996.1942)</f>
        <v>1996.1942</v>
      </c>
    </row>
    <row r="2017">
      <c r="A2017" s="3">
        <f>IFERROR(__xludf.DUMMYFUNCTION("""COMPUTED_VALUE"""),42444.99861111111)</f>
        <v>42444.99861</v>
      </c>
      <c r="B2017" s="1">
        <f>IFERROR(__xludf.DUMMYFUNCTION("""COMPUTED_VALUE"""),2014.3805)</f>
        <v>2014.3805</v>
      </c>
    </row>
    <row r="2018">
      <c r="A2018" s="3">
        <f>IFERROR(__xludf.DUMMYFUNCTION("""COMPUTED_VALUE"""),42445.99861111111)</f>
        <v>42445.99861</v>
      </c>
      <c r="B2018" s="1">
        <f>IFERROR(__xludf.DUMMYFUNCTION("""COMPUTED_VALUE"""),1958.4072)</f>
        <v>1958.4072</v>
      </c>
    </row>
    <row r="2019">
      <c r="A2019" s="3">
        <f>IFERROR(__xludf.DUMMYFUNCTION("""COMPUTED_VALUE"""),42446.99861111111)</f>
        <v>42446.99861</v>
      </c>
      <c r="B2019" s="1">
        <f>IFERROR(__xludf.DUMMYFUNCTION("""COMPUTED_VALUE"""),1997.29335)</f>
        <v>1997.29335</v>
      </c>
    </row>
    <row r="2020">
      <c r="A2020" s="3">
        <f>IFERROR(__xludf.DUMMYFUNCTION("""COMPUTED_VALUE"""),42447.99861111111)</f>
        <v>42447.99861</v>
      </c>
      <c r="B2020" s="1">
        <f>IFERROR(__xludf.DUMMYFUNCTION("""COMPUTED_VALUE"""),2017.10898)</f>
        <v>2017.10898</v>
      </c>
    </row>
    <row r="2021">
      <c r="A2021" s="3">
        <f>IFERROR(__xludf.DUMMYFUNCTION("""COMPUTED_VALUE"""),42448.99861111111)</f>
        <v>42448.99861</v>
      </c>
      <c r="B2021" s="1">
        <f>IFERROR(__xludf.DUMMYFUNCTION("""COMPUTED_VALUE"""),2031.799572)</f>
        <v>2031.799572</v>
      </c>
    </row>
    <row r="2022">
      <c r="A2022" s="3">
        <f>IFERROR(__xludf.DUMMYFUNCTION("""COMPUTED_VALUE"""),42449.99861111111)</f>
        <v>42449.99861</v>
      </c>
      <c r="B2022" s="1">
        <f>IFERROR(__xludf.DUMMYFUNCTION("""COMPUTED_VALUE"""),2031.53676)</f>
        <v>2031.53676</v>
      </c>
    </row>
    <row r="2023">
      <c r="A2023" s="3">
        <f>IFERROR(__xludf.DUMMYFUNCTION("""COMPUTED_VALUE"""),42450.99861111111)</f>
        <v>42450.99861</v>
      </c>
      <c r="B2023" s="1">
        <f>IFERROR(__xludf.DUMMYFUNCTION("""COMPUTED_VALUE"""),2032.15945)</f>
        <v>2032.15945</v>
      </c>
    </row>
    <row r="2024">
      <c r="A2024" s="3">
        <f>IFERROR(__xludf.DUMMYFUNCTION("""COMPUTED_VALUE"""),42451.99861111111)</f>
        <v>42451.99861</v>
      </c>
      <c r="B2024" s="1">
        <f>IFERROR(__xludf.DUMMYFUNCTION("""COMPUTED_VALUE"""),2018.07804)</f>
        <v>2018.07804</v>
      </c>
    </row>
    <row r="2025">
      <c r="A2025" s="3">
        <f>IFERROR(__xludf.DUMMYFUNCTION("""COMPUTED_VALUE"""),42452.99861111111)</f>
        <v>42452.99861</v>
      </c>
      <c r="B2025" s="1">
        <f>IFERROR(__xludf.DUMMYFUNCTION("""COMPUTED_VALUE"""),2030.48475)</f>
        <v>2030.48475</v>
      </c>
    </row>
    <row r="2026">
      <c r="A2026" s="3">
        <f>IFERROR(__xludf.DUMMYFUNCTION("""COMPUTED_VALUE"""),42453.99861111111)</f>
        <v>42453.99861</v>
      </c>
      <c r="B2026" s="1">
        <f>IFERROR(__xludf.DUMMYFUNCTION("""COMPUTED_VALUE"""),2027.95725)</f>
        <v>2027.95725</v>
      </c>
    </row>
    <row r="2027">
      <c r="A2027" s="3">
        <f>IFERROR(__xludf.DUMMYFUNCTION("""COMPUTED_VALUE"""),42454.99861111111)</f>
        <v>42454.99861</v>
      </c>
      <c r="B2027" s="1">
        <f>IFERROR(__xludf.DUMMYFUNCTION("""COMPUTED_VALUE"""),2021.0682)</f>
        <v>2021.0682</v>
      </c>
    </row>
    <row r="2028">
      <c r="A2028" s="3">
        <f>IFERROR(__xludf.DUMMYFUNCTION("""COMPUTED_VALUE"""),42456.99861111111)</f>
        <v>42456.99861</v>
      </c>
      <c r="B2028" s="1">
        <f>IFERROR(__xludf.DUMMYFUNCTION("""COMPUTED_VALUE"""),2033.996963)</f>
        <v>2033.996963</v>
      </c>
    </row>
    <row r="2029">
      <c r="A2029" s="3">
        <f>IFERROR(__xludf.DUMMYFUNCTION("""COMPUTED_VALUE"""),42457.99861111111)</f>
        <v>42457.99861</v>
      </c>
      <c r="B2029" s="1">
        <f>IFERROR(__xludf.DUMMYFUNCTION("""COMPUTED_VALUE"""),2041.75806)</f>
        <v>2041.75806</v>
      </c>
    </row>
    <row r="2030">
      <c r="A2030" s="3">
        <f>IFERROR(__xludf.DUMMYFUNCTION("""COMPUTED_VALUE"""),42458.99861111111)</f>
        <v>42458.99861</v>
      </c>
      <c r="B2030" s="1">
        <f>IFERROR(__xludf.DUMMYFUNCTION("""COMPUTED_VALUE"""),2025.5024)</f>
        <v>2025.5024</v>
      </c>
    </row>
    <row r="2031">
      <c r="A2031" s="3">
        <f>IFERROR(__xludf.DUMMYFUNCTION("""COMPUTED_VALUE"""),42459.99861111111)</f>
        <v>42459.99861</v>
      </c>
      <c r="B2031" s="1">
        <f>IFERROR(__xludf.DUMMYFUNCTION("""COMPUTED_VALUE"""),2047.4336)</f>
        <v>2047.4336</v>
      </c>
    </row>
    <row r="2032">
      <c r="A2032" s="3">
        <f>IFERROR(__xludf.DUMMYFUNCTION("""COMPUTED_VALUE"""),42460.99861111111)</f>
        <v>42460.99861</v>
      </c>
      <c r="B2032" s="1">
        <f>IFERROR(__xludf.DUMMYFUNCTION("""COMPUTED_VALUE"""),2039.75316)</f>
        <v>2039.75316</v>
      </c>
    </row>
    <row r="2033">
      <c r="A2033" s="3">
        <f>IFERROR(__xludf.DUMMYFUNCTION("""COMPUTED_VALUE"""),42461.99861111111)</f>
        <v>42461.99861</v>
      </c>
      <c r="B2033" s="1">
        <f>IFERROR(__xludf.DUMMYFUNCTION("""COMPUTED_VALUE"""),2024.70848)</f>
        <v>2024.70848</v>
      </c>
    </row>
    <row r="2034">
      <c r="A2034" s="3">
        <f>IFERROR(__xludf.DUMMYFUNCTION("""COMPUTED_VALUE"""),42462.99861111111)</f>
        <v>42462.99861</v>
      </c>
      <c r="B2034" s="1">
        <f>IFERROR(__xludf.DUMMYFUNCTION("""COMPUTED_VALUE"""),2026.93755)</f>
        <v>2026.93755</v>
      </c>
    </row>
    <row r="2035">
      <c r="A2035" s="3">
        <f>IFERROR(__xludf.DUMMYFUNCTION("""COMPUTED_VALUE"""),42463.99861111111)</f>
        <v>42463.99861</v>
      </c>
      <c r="B2035" s="1">
        <f>IFERROR(__xludf.DUMMYFUNCTION("""COMPUTED_VALUE"""),2027.857392)</f>
        <v>2027.857392</v>
      </c>
    </row>
    <row r="2036">
      <c r="A2036" s="3">
        <f>IFERROR(__xludf.DUMMYFUNCTION("""COMPUTED_VALUE"""),42464.99861111111)</f>
        <v>42464.99861</v>
      </c>
      <c r="B2036" s="1">
        <f>IFERROR(__xludf.DUMMYFUNCTION("""COMPUTED_VALUE"""),2027.502)</f>
        <v>2027.502</v>
      </c>
    </row>
    <row r="2037">
      <c r="A2037" s="3">
        <f>IFERROR(__xludf.DUMMYFUNCTION("""COMPUTED_VALUE"""),42465.99861111111)</f>
        <v>42465.99861</v>
      </c>
      <c r="B2037" s="1">
        <f>IFERROR(__xludf.DUMMYFUNCTION("""COMPUTED_VALUE"""),2038.4351)</f>
        <v>2038.4351</v>
      </c>
    </row>
    <row r="2038">
      <c r="A2038" s="3">
        <f>IFERROR(__xludf.DUMMYFUNCTION("""COMPUTED_VALUE"""),42466.99861111111)</f>
        <v>42466.99861</v>
      </c>
      <c r="B2038" s="1">
        <f>IFERROR(__xludf.DUMMYFUNCTION("""COMPUTED_VALUE"""),2032.70304)</f>
        <v>2032.70304</v>
      </c>
    </row>
    <row r="2039">
      <c r="A2039" s="3">
        <f>IFERROR(__xludf.DUMMYFUNCTION("""COMPUTED_VALUE"""),42467.99861111111)</f>
        <v>42467.99861</v>
      </c>
      <c r="B2039" s="1">
        <f>IFERROR(__xludf.DUMMYFUNCTION("""COMPUTED_VALUE"""),2035.074)</f>
        <v>2035.074</v>
      </c>
    </row>
    <row r="2040">
      <c r="A2040" s="3">
        <f>IFERROR(__xludf.DUMMYFUNCTION("""COMPUTED_VALUE"""),42468.99861111111)</f>
        <v>42468.99861</v>
      </c>
      <c r="B2040" s="1">
        <f>IFERROR(__xludf.DUMMYFUNCTION("""COMPUTED_VALUE"""),2028.3659)</f>
        <v>2028.3659</v>
      </c>
    </row>
    <row r="2041">
      <c r="A2041" s="3">
        <f>IFERROR(__xludf.DUMMYFUNCTION("""COMPUTED_VALUE"""),42469.99861111111)</f>
        <v>42469.99861</v>
      </c>
      <c r="B2041" s="1">
        <f>IFERROR(__xludf.DUMMYFUNCTION("""COMPUTED_VALUE"""),2032.456602)</f>
        <v>2032.456602</v>
      </c>
    </row>
    <row r="2042">
      <c r="A2042" s="3">
        <f>IFERROR(__xludf.DUMMYFUNCTION("""COMPUTED_VALUE"""),42470.99861111111)</f>
        <v>42470.99861</v>
      </c>
      <c r="B2042" s="1">
        <f>IFERROR(__xludf.DUMMYFUNCTION("""COMPUTED_VALUE"""),2032.325196)</f>
        <v>2032.325196</v>
      </c>
    </row>
    <row r="2043">
      <c r="A2043" s="3">
        <f>IFERROR(__xludf.DUMMYFUNCTION("""COMPUTED_VALUE"""),42471.99861111111)</f>
        <v>42471.99861</v>
      </c>
      <c r="B2043" s="1">
        <f>IFERROR(__xludf.DUMMYFUNCTION("""COMPUTED_VALUE"""),2026.71315)</f>
        <v>2026.71315</v>
      </c>
    </row>
    <row r="2044">
      <c r="A2044" s="3">
        <f>IFERROR(__xludf.DUMMYFUNCTION("""COMPUTED_VALUE"""),42472.99861111111)</f>
        <v>42472.99861</v>
      </c>
      <c r="B2044" s="1">
        <f>IFERROR(__xludf.DUMMYFUNCTION("""COMPUTED_VALUE"""),2021.73945)</f>
        <v>2021.73945</v>
      </c>
    </row>
    <row r="2045">
      <c r="A2045" s="3">
        <f>IFERROR(__xludf.DUMMYFUNCTION("""COMPUTED_VALUE"""),42473.99861111111)</f>
        <v>42473.99861</v>
      </c>
      <c r="B2045" s="1">
        <f>IFERROR(__xludf.DUMMYFUNCTION("""COMPUTED_VALUE"""),2028.93075)</f>
        <v>2028.93075</v>
      </c>
    </row>
    <row r="2046">
      <c r="A2046" s="3">
        <f>IFERROR(__xludf.DUMMYFUNCTION("""COMPUTED_VALUE"""),42474.99861111111)</f>
        <v>42474.99861</v>
      </c>
      <c r="B2046" s="1">
        <f>IFERROR(__xludf.DUMMYFUNCTION("""COMPUTED_VALUE"""),2032.17616)</f>
        <v>2032.17616</v>
      </c>
    </row>
    <row r="2047">
      <c r="A2047" s="3">
        <f>IFERROR(__xludf.DUMMYFUNCTION("""COMPUTED_VALUE"""),42475.99861111111)</f>
        <v>42475.99861</v>
      </c>
      <c r="B2047" s="1">
        <f>IFERROR(__xludf.DUMMYFUNCTION("""COMPUTED_VALUE"""),2026.2216)</f>
        <v>2026.2216</v>
      </c>
    </row>
    <row r="2048">
      <c r="A2048" s="3">
        <f>IFERROR(__xludf.DUMMYFUNCTION("""COMPUTED_VALUE"""),42477.99861111111)</f>
        <v>42477.99861</v>
      </c>
      <c r="B2048" s="1">
        <f>IFERROR(__xludf.DUMMYFUNCTION("""COMPUTED_VALUE"""),2043.650295)</f>
        <v>2043.650295</v>
      </c>
    </row>
    <row r="2049">
      <c r="A2049" s="3">
        <f>IFERROR(__xludf.DUMMYFUNCTION("""COMPUTED_VALUE"""),42478.99861111111)</f>
        <v>42478.99861</v>
      </c>
      <c r="B2049" s="1">
        <f>IFERROR(__xludf.DUMMYFUNCTION("""COMPUTED_VALUE"""),2023.38864)</f>
        <v>2023.38864</v>
      </c>
    </row>
    <row r="2050">
      <c r="A2050" s="3">
        <f>IFERROR(__xludf.DUMMYFUNCTION("""COMPUTED_VALUE"""),42479.99861111111)</f>
        <v>42479.99861</v>
      </c>
      <c r="B2050" s="1">
        <f>IFERROR(__xludf.DUMMYFUNCTION("""COMPUTED_VALUE"""),2026.62882)</f>
        <v>2026.62882</v>
      </c>
    </row>
    <row r="2051">
      <c r="A2051" s="3">
        <f>IFERROR(__xludf.DUMMYFUNCTION("""COMPUTED_VALUE"""),42480.99861111111)</f>
        <v>42480.99861</v>
      </c>
      <c r="B2051" s="1">
        <f>IFERROR(__xludf.DUMMYFUNCTION("""COMPUTED_VALUE"""),2035.20028)</f>
        <v>2035.20028</v>
      </c>
    </row>
    <row r="2052">
      <c r="A2052" s="3">
        <f>IFERROR(__xludf.DUMMYFUNCTION("""COMPUTED_VALUE"""),42481.99861111111)</f>
        <v>42481.99861</v>
      </c>
      <c r="B2052" s="1">
        <f>IFERROR(__xludf.DUMMYFUNCTION("""COMPUTED_VALUE"""),2031.781)</f>
        <v>2031.781</v>
      </c>
    </row>
    <row r="2053">
      <c r="A2053" s="3">
        <f>IFERROR(__xludf.DUMMYFUNCTION("""COMPUTED_VALUE"""),42482.99861111111)</f>
        <v>42482.99861</v>
      </c>
      <c r="B2053" s="1">
        <f>IFERROR(__xludf.DUMMYFUNCTION("""COMPUTED_VALUE"""),2030.05075)</f>
        <v>2030.05075</v>
      </c>
    </row>
    <row r="2054">
      <c r="A2054" s="3">
        <f>IFERROR(__xludf.DUMMYFUNCTION("""COMPUTED_VALUE"""),42484.99861111111)</f>
        <v>42484.99861</v>
      </c>
      <c r="B2054" s="1">
        <f>IFERROR(__xludf.DUMMYFUNCTION("""COMPUTED_VALUE"""),2032.627316)</f>
        <v>2032.627316</v>
      </c>
    </row>
    <row r="2055">
      <c r="A2055" s="3">
        <f>IFERROR(__xludf.DUMMYFUNCTION("""COMPUTED_VALUE"""),42485.99861111111)</f>
        <v>42485.99861</v>
      </c>
      <c r="B2055" s="1">
        <f>IFERROR(__xludf.DUMMYFUNCTION("""COMPUTED_VALUE"""),2030.8643)</f>
        <v>2030.8643</v>
      </c>
    </row>
    <row r="2056">
      <c r="A2056" s="3">
        <f>IFERROR(__xludf.DUMMYFUNCTION("""COMPUTED_VALUE"""),42486.99861111111)</f>
        <v>42486.99861</v>
      </c>
      <c r="B2056" s="1">
        <f>IFERROR(__xludf.DUMMYFUNCTION("""COMPUTED_VALUE"""),2025.7188)</f>
        <v>2025.7188</v>
      </c>
    </row>
    <row r="2057">
      <c r="A2057" s="3">
        <f>IFERROR(__xludf.DUMMYFUNCTION("""COMPUTED_VALUE"""),42487.99861111111)</f>
        <v>42487.99861</v>
      </c>
      <c r="B2057" s="1">
        <f>IFERROR(__xludf.DUMMYFUNCTION("""COMPUTED_VALUE"""),2025.87)</f>
        <v>2025.87</v>
      </c>
    </row>
    <row r="2058">
      <c r="A2058" s="3">
        <f>IFERROR(__xludf.DUMMYFUNCTION("""COMPUTED_VALUE"""),42488.99861111111)</f>
        <v>42488.99861</v>
      </c>
      <c r="B2058" s="1">
        <f>IFERROR(__xludf.DUMMYFUNCTION("""COMPUTED_VALUE"""),2033.5797)</f>
        <v>2033.5797</v>
      </c>
    </row>
    <row r="2059">
      <c r="A2059" s="3">
        <f>IFERROR(__xludf.DUMMYFUNCTION("""COMPUTED_VALUE"""),42489.99861111111)</f>
        <v>42489.99861</v>
      </c>
      <c r="B2059" s="1">
        <f>IFERROR(__xludf.DUMMYFUNCTION("""COMPUTED_VALUE"""),2034.747)</f>
        <v>2034.747</v>
      </c>
    </row>
    <row r="2060">
      <c r="A2060" s="3">
        <f>IFERROR(__xludf.DUMMYFUNCTION("""COMPUTED_VALUE"""),42490.99861111111)</f>
        <v>42490.99861</v>
      </c>
      <c r="B2060" s="1">
        <f>IFERROR(__xludf.DUMMYFUNCTION("""COMPUTED_VALUE"""),2040.289133)</f>
        <v>2040.289133</v>
      </c>
    </row>
    <row r="2061">
      <c r="A2061" s="3">
        <f>IFERROR(__xludf.DUMMYFUNCTION("""COMPUTED_VALUE"""),42491.99861111111)</f>
        <v>42491.99861</v>
      </c>
      <c r="B2061" s="1">
        <f>IFERROR(__xludf.DUMMYFUNCTION("""COMPUTED_VALUE"""),2041.478036)</f>
        <v>2041.478036</v>
      </c>
    </row>
    <row r="2062">
      <c r="A2062" s="3">
        <f>IFERROR(__xludf.DUMMYFUNCTION("""COMPUTED_VALUE"""),42492.99861111111)</f>
        <v>42492.99861</v>
      </c>
      <c r="B2062" s="1">
        <f>IFERROR(__xludf.DUMMYFUNCTION("""COMPUTED_VALUE"""),2022.52275)</f>
        <v>2022.52275</v>
      </c>
    </row>
    <row r="2063">
      <c r="A2063" s="3">
        <f>IFERROR(__xludf.DUMMYFUNCTION("""COMPUTED_VALUE"""),42493.99861111111)</f>
        <v>42493.99861</v>
      </c>
      <c r="B2063" s="1">
        <f>IFERROR(__xludf.DUMMYFUNCTION("""COMPUTED_VALUE"""),2027.72115)</f>
        <v>2027.72115</v>
      </c>
    </row>
    <row r="2064">
      <c r="A2064" s="3">
        <f>IFERROR(__xludf.DUMMYFUNCTION("""COMPUTED_VALUE"""),42494.99861111111)</f>
        <v>42494.99861</v>
      </c>
      <c r="B2064" s="1">
        <f>IFERROR(__xludf.DUMMYFUNCTION("""COMPUTED_VALUE"""),2054.832)</f>
        <v>2054.832</v>
      </c>
    </row>
    <row r="2065">
      <c r="A2065" s="3">
        <f>IFERROR(__xludf.DUMMYFUNCTION("""COMPUTED_VALUE"""),42495.99861111111)</f>
        <v>42495.99861</v>
      </c>
      <c r="B2065" s="1">
        <f>IFERROR(__xludf.DUMMYFUNCTION("""COMPUTED_VALUE"""),2051.6603)</f>
        <v>2051.6603</v>
      </c>
    </row>
    <row r="2066">
      <c r="A2066" s="3">
        <f>IFERROR(__xludf.DUMMYFUNCTION("""COMPUTED_VALUE"""),42496.99861111111)</f>
        <v>42496.99861</v>
      </c>
      <c r="B2066" s="1">
        <f>IFERROR(__xludf.DUMMYFUNCTION("""COMPUTED_VALUE"""),2047.8766)</f>
        <v>2047.8766</v>
      </c>
    </row>
    <row r="2067">
      <c r="A2067" s="3">
        <f>IFERROR(__xludf.DUMMYFUNCTION("""COMPUTED_VALUE"""),42498.99861111111)</f>
        <v>42498.99861</v>
      </c>
      <c r="B2067" s="1">
        <f>IFERROR(__xludf.DUMMYFUNCTION("""COMPUTED_VALUE"""),2058.846303)</f>
        <v>2058.846303</v>
      </c>
    </row>
    <row r="2068">
      <c r="A2068" s="3">
        <f>IFERROR(__xludf.DUMMYFUNCTION("""COMPUTED_VALUE"""),42499.99861111111)</f>
        <v>42499.99861</v>
      </c>
      <c r="B2068" s="1">
        <f>IFERROR(__xludf.DUMMYFUNCTION("""COMPUTED_VALUE"""),2052.43311)</f>
        <v>2052.43311</v>
      </c>
    </row>
    <row r="2069">
      <c r="A2069" s="3">
        <f>IFERROR(__xludf.DUMMYFUNCTION("""COMPUTED_VALUE"""),42500.99861111111)</f>
        <v>42500.99861</v>
      </c>
      <c r="B2069" s="1">
        <f>IFERROR(__xludf.DUMMYFUNCTION("""COMPUTED_VALUE"""),2040.04618)</f>
        <v>2040.04618</v>
      </c>
    </row>
    <row r="2070">
      <c r="A2070" s="3">
        <f>IFERROR(__xludf.DUMMYFUNCTION("""COMPUTED_VALUE"""),42501.99861111111)</f>
        <v>42501.99861</v>
      </c>
      <c r="B2070" s="1">
        <f>IFERROR(__xludf.DUMMYFUNCTION("""COMPUTED_VALUE"""),2040.30294)</f>
        <v>2040.30294</v>
      </c>
    </row>
    <row r="2071">
      <c r="A2071" s="3">
        <f>IFERROR(__xludf.DUMMYFUNCTION("""COMPUTED_VALUE"""),42502.99861111111)</f>
        <v>42502.99861</v>
      </c>
      <c r="B2071" s="1">
        <f>IFERROR(__xludf.DUMMYFUNCTION("""COMPUTED_VALUE"""),2033.8472)</f>
        <v>2033.8472</v>
      </c>
    </row>
    <row r="2072">
      <c r="A2072" s="3">
        <f>IFERROR(__xludf.DUMMYFUNCTION("""COMPUTED_VALUE"""),42503.99861111111)</f>
        <v>42503.99861</v>
      </c>
      <c r="B2072" s="1">
        <f>IFERROR(__xludf.DUMMYFUNCTION("""COMPUTED_VALUE"""),2040.32928)</f>
        <v>2040.32928</v>
      </c>
    </row>
    <row r="2073">
      <c r="A2073" s="3">
        <f>IFERROR(__xludf.DUMMYFUNCTION("""COMPUTED_VALUE"""),42505.99861111111)</f>
        <v>42505.99861</v>
      </c>
      <c r="B2073" s="1">
        <f>IFERROR(__xludf.DUMMYFUNCTION("""COMPUTED_VALUE"""),2039.545856)</f>
        <v>2039.545856</v>
      </c>
    </row>
    <row r="2074">
      <c r="A2074" s="3">
        <f>IFERROR(__xludf.DUMMYFUNCTION("""COMPUTED_VALUE"""),42506.99861111111)</f>
        <v>42506.99861</v>
      </c>
      <c r="B2074" s="1">
        <f>IFERROR(__xludf.DUMMYFUNCTION("""COMPUTED_VALUE"""),2041.8228)</f>
        <v>2041.8228</v>
      </c>
    </row>
    <row r="2075">
      <c r="A2075" s="3">
        <f>IFERROR(__xludf.DUMMYFUNCTION("""COMPUTED_VALUE"""),42507.99861111111)</f>
        <v>42507.99861</v>
      </c>
      <c r="B2075" s="1">
        <f>IFERROR(__xludf.DUMMYFUNCTION("""COMPUTED_VALUE"""),2041.6494)</f>
        <v>2041.6494</v>
      </c>
    </row>
    <row r="2076">
      <c r="A2076" s="3">
        <f>IFERROR(__xludf.DUMMYFUNCTION("""COMPUTED_VALUE"""),42508.99861111111)</f>
        <v>42508.99861</v>
      </c>
      <c r="B2076" s="1">
        <f>IFERROR(__xludf.DUMMYFUNCTION("""COMPUTED_VALUE"""),2054.7489)</f>
        <v>2054.7489</v>
      </c>
    </row>
    <row r="2077">
      <c r="A2077" s="3">
        <f>IFERROR(__xludf.DUMMYFUNCTION("""COMPUTED_VALUE"""),42509.99861111111)</f>
        <v>42509.99861</v>
      </c>
      <c r="B2077" s="1">
        <f>IFERROR(__xludf.DUMMYFUNCTION("""COMPUTED_VALUE"""),2076.5003)</f>
        <v>2076.5003</v>
      </c>
    </row>
    <row r="2078">
      <c r="A2078" s="3">
        <f>IFERROR(__xludf.DUMMYFUNCTION("""COMPUTED_VALUE"""),42510.99861111111)</f>
        <v>42510.99861</v>
      </c>
      <c r="B2078" s="1">
        <f>IFERROR(__xludf.DUMMYFUNCTION("""COMPUTED_VALUE"""),2077.4835)</f>
        <v>2077.4835</v>
      </c>
    </row>
    <row r="2079">
      <c r="A2079" s="3">
        <f>IFERROR(__xludf.DUMMYFUNCTION("""COMPUTED_VALUE"""),42512.99861111111)</f>
        <v>42512.99861</v>
      </c>
      <c r="B2079" s="1">
        <f>IFERROR(__xludf.DUMMYFUNCTION("""COMPUTED_VALUE"""),2080.380219)</f>
        <v>2080.380219</v>
      </c>
    </row>
    <row r="2080">
      <c r="A2080" s="3">
        <f>IFERROR(__xludf.DUMMYFUNCTION("""COMPUTED_VALUE"""),42513.99861111111)</f>
        <v>42513.99861</v>
      </c>
      <c r="B2080" s="1">
        <f>IFERROR(__xludf.DUMMYFUNCTION("""COMPUTED_VALUE"""),2064.9854)</f>
        <v>2064.9854</v>
      </c>
    </row>
    <row r="2081">
      <c r="A2081" s="3">
        <f>IFERROR(__xludf.DUMMYFUNCTION("""COMPUTED_VALUE"""),42514.99861111111)</f>
        <v>42514.99861</v>
      </c>
      <c r="B2081" s="1">
        <f>IFERROR(__xludf.DUMMYFUNCTION("""COMPUTED_VALUE"""),2069.425)</f>
        <v>2069.425</v>
      </c>
    </row>
    <row r="2082">
      <c r="A2082" s="3">
        <f>IFERROR(__xludf.DUMMYFUNCTION("""COMPUTED_VALUE"""),42515.99861111111)</f>
        <v>42515.99861</v>
      </c>
      <c r="B2082" s="1">
        <f>IFERROR(__xludf.DUMMYFUNCTION("""COMPUTED_VALUE"""),2076.5808)</f>
        <v>2076.5808</v>
      </c>
    </row>
    <row r="2083">
      <c r="A2083" s="3">
        <f>IFERROR(__xludf.DUMMYFUNCTION("""COMPUTED_VALUE"""),42516.99861111111)</f>
        <v>42516.99861</v>
      </c>
      <c r="B2083" s="1">
        <f>IFERROR(__xludf.DUMMYFUNCTION("""COMPUTED_VALUE"""),2066.2225)</f>
        <v>2066.2225</v>
      </c>
    </row>
    <row r="2084">
      <c r="A2084" s="3">
        <f>IFERROR(__xludf.DUMMYFUNCTION("""COMPUTED_VALUE"""),42517.99861111111)</f>
        <v>42517.99861</v>
      </c>
      <c r="B2084" s="1">
        <f>IFERROR(__xludf.DUMMYFUNCTION("""COMPUTED_VALUE"""),2064.9168)</f>
        <v>2064.9168</v>
      </c>
    </row>
    <row r="2085">
      <c r="A2085" s="3">
        <f>IFERROR(__xludf.DUMMYFUNCTION("""COMPUTED_VALUE"""),42519.99861111111)</f>
        <v>42519.99861</v>
      </c>
      <c r="B2085" s="1">
        <f>IFERROR(__xludf.DUMMYFUNCTION("""COMPUTED_VALUE"""),2090.521409)</f>
        <v>2090.521409</v>
      </c>
    </row>
    <row r="2086">
      <c r="A2086" s="3">
        <f>IFERROR(__xludf.DUMMYFUNCTION("""COMPUTED_VALUE"""),42520.99861111111)</f>
        <v>42520.99861</v>
      </c>
      <c r="B2086" s="1">
        <f>IFERROR(__xludf.DUMMYFUNCTION("""COMPUTED_VALUE"""),2070.68521)</f>
        <v>2070.68521</v>
      </c>
    </row>
    <row r="2087">
      <c r="A2087" s="3">
        <f>IFERROR(__xludf.DUMMYFUNCTION("""COMPUTED_VALUE"""),42521.99861111111)</f>
        <v>42521.99861</v>
      </c>
      <c r="B2087" s="1">
        <f>IFERROR(__xludf.DUMMYFUNCTION("""COMPUTED_VALUE"""),2072.64456)</f>
        <v>2072.64456</v>
      </c>
    </row>
    <row r="2088">
      <c r="A2088" s="3">
        <f>IFERROR(__xludf.DUMMYFUNCTION("""COMPUTED_VALUE"""),42522.99861111111)</f>
        <v>42522.99861</v>
      </c>
      <c r="B2088" s="1">
        <f>IFERROR(__xludf.DUMMYFUNCTION("""COMPUTED_VALUE"""),2069.2644)</f>
        <v>2069.2644</v>
      </c>
    </row>
    <row r="2089">
      <c r="A2089" s="3">
        <f>IFERROR(__xludf.DUMMYFUNCTION("""COMPUTED_VALUE"""),42523.99861111111)</f>
        <v>42523.99861</v>
      </c>
      <c r="B2089" s="1">
        <f>IFERROR(__xludf.DUMMYFUNCTION("""COMPUTED_VALUE"""),2065.8619)</f>
        <v>2065.8619</v>
      </c>
    </row>
    <row r="2090">
      <c r="A2090" s="3">
        <f>IFERROR(__xludf.DUMMYFUNCTION("""COMPUTED_VALUE"""),42524.99861111111)</f>
        <v>42524.99861</v>
      </c>
      <c r="B2090" s="1">
        <f>IFERROR(__xludf.DUMMYFUNCTION("""COMPUTED_VALUE"""),2042.8905)</f>
        <v>2042.8905</v>
      </c>
    </row>
    <row r="2091">
      <c r="A2091" s="3">
        <f>IFERROR(__xludf.DUMMYFUNCTION("""COMPUTED_VALUE"""),42526.99861111111)</f>
        <v>42526.99861</v>
      </c>
      <c r="B2091" s="1">
        <f>IFERROR(__xludf.DUMMYFUNCTION("""COMPUTED_VALUE"""),2048.65093)</f>
        <v>2048.65093</v>
      </c>
    </row>
    <row r="2092">
      <c r="A2092" s="3">
        <f>IFERROR(__xludf.DUMMYFUNCTION("""COMPUTED_VALUE"""),42527.99861111111)</f>
        <v>42527.99861</v>
      </c>
      <c r="B2092" s="1">
        <f>IFERROR(__xludf.DUMMYFUNCTION("""COMPUTED_VALUE"""),2034.0828)</f>
        <v>2034.0828</v>
      </c>
    </row>
    <row r="2093">
      <c r="A2093" s="3">
        <f>IFERROR(__xludf.DUMMYFUNCTION("""COMPUTED_VALUE"""),42528.99861111111)</f>
        <v>42528.99861</v>
      </c>
      <c r="B2093" s="1">
        <f>IFERROR(__xludf.DUMMYFUNCTION("""COMPUTED_VALUE"""),2012.22351)</f>
        <v>2012.22351</v>
      </c>
    </row>
    <row r="2094">
      <c r="A2094" s="3">
        <f>IFERROR(__xludf.DUMMYFUNCTION("""COMPUTED_VALUE"""),42529.99861111111)</f>
        <v>42529.99861</v>
      </c>
      <c r="B2094" s="1">
        <f>IFERROR(__xludf.DUMMYFUNCTION("""COMPUTED_VALUE"""),2012.30995)</f>
        <v>2012.30995</v>
      </c>
    </row>
    <row r="2095">
      <c r="A2095" s="3">
        <f>IFERROR(__xludf.DUMMYFUNCTION("""COMPUTED_VALUE"""),42530.99861111111)</f>
        <v>42530.99861</v>
      </c>
      <c r="B2095" s="1">
        <f>IFERROR(__xludf.DUMMYFUNCTION("""COMPUTED_VALUE"""),2018.9025)</f>
        <v>2018.9025</v>
      </c>
    </row>
    <row r="2096">
      <c r="A2096" s="3">
        <f>IFERROR(__xludf.DUMMYFUNCTION("""COMPUTED_VALUE"""),42531.99861111111)</f>
        <v>42531.99861</v>
      </c>
      <c r="B2096" s="1">
        <f>IFERROR(__xludf.DUMMYFUNCTION("""COMPUTED_VALUE"""),2029.81632)</f>
        <v>2029.81632</v>
      </c>
    </row>
    <row r="2097">
      <c r="A2097" s="3">
        <f>IFERROR(__xludf.DUMMYFUNCTION("""COMPUTED_VALUE"""),42533.99861111111)</f>
        <v>42533.99861</v>
      </c>
      <c r="B2097" s="1">
        <f>IFERROR(__xludf.DUMMYFUNCTION("""COMPUTED_VALUE"""),2034.357686)</f>
        <v>2034.357686</v>
      </c>
    </row>
    <row r="2098">
      <c r="A2098" s="3">
        <f>IFERROR(__xludf.DUMMYFUNCTION("""COMPUTED_VALUE"""),42534.99861111111)</f>
        <v>42534.99861</v>
      </c>
      <c r="B2098" s="1">
        <f>IFERROR(__xludf.DUMMYFUNCTION("""COMPUTED_VALUE"""),2021.46175)</f>
        <v>2021.46175</v>
      </c>
    </row>
    <row r="2099">
      <c r="A2099" s="3">
        <f>IFERROR(__xludf.DUMMYFUNCTION("""COMPUTED_VALUE"""),42535.99861111111)</f>
        <v>42535.99861</v>
      </c>
      <c r="B2099" s="1">
        <f>IFERROR(__xludf.DUMMYFUNCTION("""COMPUTED_VALUE"""),2023.593)</f>
        <v>2023.593</v>
      </c>
    </row>
    <row r="2100">
      <c r="A2100" s="3">
        <f>IFERROR(__xludf.DUMMYFUNCTION("""COMPUTED_VALUE"""),42536.99861111111)</f>
        <v>42536.99861</v>
      </c>
      <c r="B2100" s="1">
        <f>IFERROR(__xludf.DUMMYFUNCTION("""COMPUTED_VALUE"""),2023.1748)</f>
        <v>2023.1748</v>
      </c>
    </row>
    <row r="2101">
      <c r="A2101" s="3">
        <f>IFERROR(__xludf.DUMMYFUNCTION("""COMPUTED_VALUE"""),42537.99861111111)</f>
        <v>42537.99861</v>
      </c>
      <c r="B2101" s="1">
        <f>IFERROR(__xludf.DUMMYFUNCTION("""COMPUTED_VALUE"""),2031.45936)</f>
        <v>2031.45936</v>
      </c>
    </row>
    <row r="2102">
      <c r="A2102" s="3">
        <f>IFERROR(__xludf.DUMMYFUNCTION("""COMPUTED_VALUE"""),42538.99861111111)</f>
        <v>42538.99861</v>
      </c>
      <c r="B2102" s="1">
        <f>IFERROR(__xludf.DUMMYFUNCTION("""COMPUTED_VALUE"""),2028.73044)</f>
        <v>2028.73044</v>
      </c>
    </row>
    <row r="2103">
      <c r="A2103" s="3">
        <f>IFERROR(__xludf.DUMMYFUNCTION("""COMPUTED_VALUE"""),42540.99861111111)</f>
        <v>42540.99861</v>
      </c>
      <c r="B2103" s="1">
        <f>IFERROR(__xludf.DUMMYFUNCTION("""COMPUTED_VALUE"""),2040.666156)</f>
        <v>2040.666156</v>
      </c>
    </row>
    <row r="2104">
      <c r="A2104" s="3">
        <f>IFERROR(__xludf.DUMMYFUNCTION("""COMPUTED_VALUE"""),42541.99861111111)</f>
        <v>42541.99861</v>
      </c>
      <c r="B2104" s="1">
        <f>IFERROR(__xludf.DUMMYFUNCTION("""COMPUTED_VALUE"""),2014.53)</f>
        <v>2014.53</v>
      </c>
    </row>
    <row r="2105">
      <c r="A2105" s="3">
        <f>IFERROR(__xludf.DUMMYFUNCTION("""COMPUTED_VALUE"""),42542.99861111111)</f>
        <v>42542.99861</v>
      </c>
      <c r="B2105" s="1">
        <f>IFERROR(__xludf.DUMMYFUNCTION("""COMPUTED_VALUE"""),2010.91605)</f>
        <v>2010.91605</v>
      </c>
    </row>
    <row r="2106">
      <c r="A2106" s="3">
        <f>IFERROR(__xludf.DUMMYFUNCTION("""COMPUTED_VALUE"""),42543.99861111111)</f>
        <v>42543.99861</v>
      </c>
      <c r="B2106" s="1">
        <f>IFERROR(__xludf.DUMMYFUNCTION("""COMPUTED_VALUE"""),2005.3761)</f>
        <v>2005.3761</v>
      </c>
    </row>
    <row r="2107">
      <c r="A2107" s="3">
        <f>IFERROR(__xludf.DUMMYFUNCTION("""COMPUTED_VALUE"""),42544.99861111111)</f>
        <v>42544.99861</v>
      </c>
      <c r="B2107" s="1">
        <f>IFERROR(__xludf.DUMMYFUNCTION("""COMPUTED_VALUE"""),2013.735)</f>
        <v>2013.735</v>
      </c>
    </row>
    <row r="2108">
      <c r="A2108" s="3">
        <f>IFERROR(__xludf.DUMMYFUNCTION("""COMPUTED_VALUE"""),42545.99861111111)</f>
        <v>42545.99861</v>
      </c>
      <c r="B2108" s="1">
        <f>IFERROR(__xludf.DUMMYFUNCTION("""COMPUTED_VALUE"""),2045.17125)</f>
        <v>2045.17125</v>
      </c>
    </row>
    <row r="2109">
      <c r="A2109" s="3">
        <f>IFERROR(__xludf.DUMMYFUNCTION("""COMPUTED_VALUE"""),42547.99861111111)</f>
        <v>42547.99861</v>
      </c>
      <c r="B2109" s="1">
        <f>IFERROR(__xludf.DUMMYFUNCTION("""COMPUTED_VALUE"""),2064.217356)</f>
        <v>2064.217356</v>
      </c>
    </row>
    <row r="2110">
      <c r="A2110" s="3">
        <f>IFERROR(__xludf.DUMMYFUNCTION("""COMPUTED_VALUE"""),42548.99861111111)</f>
        <v>42548.99861</v>
      </c>
      <c r="B2110" s="1">
        <f>IFERROR(__xludf.DUMMYFUNCTION("""COMPUTED_VALUE"""),2011.7655)</f>
        <v>2011.7655</v>
      </c>
    </row>
    <row r="2111">
      <c r="A2111" s="3">
        <f>IFERROR(__xludf.DUMMYFUNCTION("""COMPUTED_VALUE"""),42549.99861111111)</f>
        <v>42549.99861</v>
      </c>
      <c r="B2111" s="1">
        <f>IFERROR(__xludf.DUMMYFUNCTION("""COMPUTED_VALUE"""),1979.3956)</f>
        <v>1979.3956</v>
      </c>
    </row>
    <row r="2112">
      <c r="A2112" s="3">
        <f>IFERROR(__xludf.DUMMYFUNCTION("""COMPUTED_VALUE"""),42550.99861111111)</f>
        <v>42550.99861</v>
      </c>
      <c r="B2112" s="1">
        <f>IFERROR(__xludf.DUMMYFUNCTION("""COMPUTED_VALUE"""),1979.39035)</f>
        <v>1979.39035</v>
      </c>
    </row>
    <row r="2113">
      <c r="A2113" s="3">
        <f>IFERROR(__xludf.DUMMYFUNCTION("""COMPUTED_VALUE"""),42551.99861111111)</f>
        <v>42551.99861</v>
      </c>
      <c r="B2113" s="1">
        <f>IFERROR(__xludf.DUMMYFUNCTION("""COMPUTED_VALUE"""),1979.97602)</f>
        <v>1979.97602</v>
      </c>
    </row>
    <row r="2114">
      <c r="A2114" s="3">
        <f>IFERROR(__xludf.DUMMYFUNCTION("""COMPUTED_VALUE"""),42552.99861111111)</f>
        <v>42552.99861</v>
      </c>
      <c r="B2114" s="1">
        <f>IFERROR(__xludf.DUMMYFUNCTION("""COMPUTED_VALUE"""),1974.0698)</f>
        <v>1974.0698</v>
      </c>
    </row>
    <row r="2115">
      <c r="A2115" s="3">
        <f>IFERROR(__xludf.DUMMYFUNCTION("""COMPUTED_VALUE"""),42553.99861111111)</f>
        <v>42553.99861</v>
      </c>
      <c r="B2115" s="1">
        <f>IFERROR(__xludf.DUMMYFUNCTION("""COMPUTED_VALUE"""),1968.633733)</f>
        <v>1968.633733</v>
      </c>
    </row>
    <row r="2116">
      <c r="A2116" s="3">
        <f>IFERROR(__xludf.DUMMYFUNCTION("""COMPUTED_VALUE"""),42554.99861111111)</f>
        <v>42554.99861</v>
      </c>
      <c r="B2116" s="1">
        <f>IFERROR(__xludf.DUMMYFUNCTION("""COMPUTED_VALUE"""),1974.014307)</f>
        <v>1974.014307</v>
      </c>
    </row>
    <row r="2117">
      <c r="A2117" s="3">
        <f>IFERROR(__xludf.DUMMYFUNCTION("""COMPUTED_VALUE"""),42555.99861111111)</f>
        <v>42555.99861</v>
      </c>
      <c r="B2117" s="1">
        <f>IFERROR(__xludf.DUMMYFUNCTION("""COMPUTED_VALUE"""),1959.1306)</f>
        <v>1959.1306</v>
      </c>
    </row>
    <row r="2118">
      <c r="A2118" s="3">
        <f>IFERROR(__xludf.DUMMYFUNCTION("""COMPUTED_VALUE"""),42556.99861111111)</f>
        <v>42556.99861</v>
      </c>
      <c r="B2118" s="1">
        <f>IFERROR(__xludf.DUMMYFUNCTION("""COMPUTED_VALUE"""),1970.1836)</f>
        <v>1970.1836</v>
      </c>
    </row>
    <row r="2119">
      <c r="A2119" s="3">
        <f>IFERROR(__xludf.DUMMYFUNCTION("""COMPUTED_VALUE"""),42557.99861111111)</f>
        <v>42557.99861</v>
      </c>
      <c r="B2119" s="1">
        <f>IFERROR(__xludf.DUMMYFUNCTION("""COMPUTED_VALUE"""),1974.40128)</f>
        <v>1974.40128</v>
      </c>
    </row>
    <row r="2120">
      <c r="A2120" s="3">
        <f>IFERROR(__xludf.DUMMYFUNCTION("""COMPUTED_VALUE"""),42558.99861111111)</f>
        <v>42558.99861</v>
      </c>
      <c r="B2120" s="1">
        <f>IFERROR(__xludf.DUMMYFUNCTION("""COMPUTED_VALUE"""),1960.546)</f>
        <v>1960.546</v>
      </c>
    </row>
    <row r="2121">
      <c r="A2121" s="3">
        <f>IFERROR(__xludf.DUMMYFUNCTION("""COMPUTED_VALUE"""),42559.99861111111)</f>
        <v>42559.99861</v>
      </c>
      <c r="B2121" s="1">
        <f>IFERROR(__xludf.DUMMYFUNCTION("""COMPUTED_VALUE"""),1957.1007)</f>
        <v>1957.1007</v>
      </c>
    </row>
    <row r="2122">
      <c r="A2122" s="3">
        <f>IFERROR(__xludf.DUMMYFUNCTION("""COMPUTED_VALUE"""),42560.99861111111)</f>
        <v>42560.99861</v>
      </c>
      <c r="B2122" s="1">
        <f>IFERROR(__xludf.DUMMYFUNCTION("""COMPUTED_VALUE"""),1962.680016)</f>
        <v>1962.680016</v>
      </c>
    </row>
    <row r="2123">
      <c r="A2123" s="3">
        <f>IFERROR(__xludf.DUMMYFUNCTION("""COMPUTED_VALUE"""),42561.99861111111)</f>
        <v>42561.99861</v>
      </c>
      <c r="B2123" s="1">
        <f>IFERROR(__xludf.DUMMYFUNCTION("""COMPUTED_VALUE"""),1962.811422)</f>
        <v>1962.811422</v>
      </c>
    </row>
    <row r="2124">
      <c r="A2124" s="3">
        <f>IFERROR(__xludf.DUMMYFUNCTION("""COMPUTED_VALUE"""),42562.99861111111)</f>
        <v>42562.99861</v>
      </c>
      <c r="B2124" s="1">
        <f>IFERROR(__xludf.DUMMYFUNCTION("""COMPUTED_VALUE"""),1959.6032)</f>
        <v>1959.6032</v>
      </c>
    </row>
    <row r="2125">
      <c r="A2125" s="3">
        <f>IFERROR(__xludf.DUMMYFUNCTION("""COMPUTED_VALUE"""),42563.99861111111)</f>
        <v>42563.99861</v>
      </c>
      <c r="B2125" s="1">
        <f>IFERROR(__xludf.DUMMYFUNCTION("""COMPUTED_VALUE"""),1953.928)</f>
        <v>1953.928</v>
      </c>
    </row>
    <row r="2126">
      <c r="A2126" s="3">
        <f>IFERROR(__xludf.DUMMYFUNCTION("""COMPUTED_VALUE"""),42564.99861111111)</f>
        <v>42564.99861</v>
      </c>
      <c r="B2126" s="1">
        <f>IFERROR(__xludf.DUMMYFUNCTION("""COMPUTED_VALUE"""),1946.2631)</f>
        <v>1946.2631</v>
      </c>
    </row>
    <row r="2127">
      <c r="A2127" s="3">
        <f>IFERROR(__xludf.DUMMYFUNCTION("""COMPUTED_VALUE"""),42565.99861111111)</f>
        <v>42565.99861</v>
      </c>
      <c r="B2127" s="1">
        <f>IFERROR(__xludf.DUMMYFUNCTION("""COMPUTED_VALUE"""),1947.5316)</f>
        <v>1947.5316</v>
      </c>
    </row>
    <row r="2128">
      <c r="A2128" s="3">
        <f>IFERROR(__xludf.DUMMYFUNCTION("""COMPUTED_VALUE"""),42566.99861111111)</f>
        <v>42566.99861</v>
      </c>
      <c r="B2128" s="1">
        <f>IFERROR(__xludf.DUMMYFUNCTION("""COMPUTED_VALUE"""),1936.31088)</f>
        <v>1936.31088</v>
      </c>
    </row>
    <row r="2129">
      <c r="A2129" s="3">
        <f>IFERROR(__xludf.DUMMYFUNCTION("""COMPUTED_VALUE"""),42567.99861111111)</f>
        <v>42567.99861</v>
      </c>
      <c r="B2129" s="1">
        <f>IFERROR(__xludf.DUMMYFUNCTION("""COMPUTED_VALUE"""),1966.578239)</f>
        <v>1966.578239</v>
      </c>
    </row>
    <row r="2130">
      <c r="A2130" s="3">
        <f>IFERROR(__xludf.DUMMYFUNCTION("""COMPUTED_VALUE"""),42568.99861111111)</f>
        <v>42568.99861</v>
      </c>
      <c r="B2130" s="1">
        <f>IFERROR(__xludf.DUMMYFUNCTION("""COMPUTED_VALUE"""),1970.262448)</f>
        <v>1970.262448</v>
      </c>
    </row>
    <row r="2131">
      <c r="A2131" s="3">
        <f>IFERROR(__xludf.DUMMYFUNCTION("""COMPUTED_VALUE"""),42569.99861111111)</f>
        <v>42569.99861</v>
      </c>
      <c r="B2131" s="1">
        <f>IFERROR(__xludf.DUMMYFUNCTION("""COMPUTED_VALUE"""),1949.9298)</f>
        <v>1949.9298</v>
      </c>
    </row>
    <row r="2132">
      <c r="A2132" s="3">
        <f>IFERROR(__xludf.DUMMYFUNCTION("""COMPUTED_VALUE"""),42570.99861111111)</f>
        <v>42570.99861</v>
      </c>
      <c r="B2132" s="1">
        <f>IFERROR(__xludf.DUMMYFUNCTION("""COMPUTED_VALUE"""),1954.91583)</f>
        <v>1954.91583</v>
      </c>
    </row>
    <row r="2133">
      <c r="A2133" s="3">
        <f>IFERROR(__xludf.DUMMYFUNCTION("""COMPUTED_VALUE"""),42571.99861111111)</f>
        <v>42571.99861</v>
      </c>
      <c r="B2133" s="1">
        <f>IFERROR(__xludf.DUMMYFUNCTION("""COMPUTED_VALUE"""),1962.21165)</f>
        <v>1962.21165</v>
      </c>
    </row>
    <row r="2134">
      <c r="A2134" s="3">
        <f>IFERROR(__xludf.DUMMYFUNCTION("""COMPUTED_VALUE"""),42572.99861111111)</f>
        <v>42572.99861</v>
      </c>
      <c r="B2134" s="1">
        <f>IFERROR(__xludf.DUMMYFUNCTION("""COMPUTED_VALUE"""),1963.76558)</f>
        <v>1963.76558</v>
      </c>
    </row>
    <row r="2135">
      <c r="A2135" s="3">
        <f>IFERROR(__xludf.DUMMYFUNCTION("""COMPUTED_VALUE"""),42573.99861111111)</f>
        <v>42573.99861</v>
      </c>
      <c r="B2135" s="1">
        <f>IFERROR(__xludf.DUMMYFUNCTION("""COMPUTED_VALUE"""),1959.0822)</f>
        <v>1959.0822</v>
      </c>
    </row>
    <row r="2136">
      <c r="A2136" s="3">
        <f>IFERROR(__xludf.DUMMYFUNCTION("""COMPUTED_VALUE"""),42575.99861111111)</f>
        <v>42575.99861</v>
      </c>
      <c r="B2136" s="1">
        <f>IFERROR(__xludf.DUMMYFUNCTION("""COMPUTED_VALUE"""),1959.841089)</f>
        <v>1959.841089</v>
      </c>
    </row>
    <row r="2137">
      <c r="A2137" s="3">
        <f>IFERROR(__xludf.DUMMYFUNCTION("""COMPUTED_VALUE"""),42576.99861111111)</f>
        <v>42576.99861</v>
      </c>
      <c r="B2137" s="1">
        <f>IFERROR(__xludf.DUMMYFUNCTION("""COMPUTED_VALUE"""),1959.92865)</f>
        <v>1959.92865</v>
      </c>
    </row>
    <row r="2138">
      <c r="A2138" s="3">
        <f>IFERROR(__xludf.DUMMYFUNCTION("""COMPUTED_VALUE"""),42577.99861111111)</f>
        <v>42577.99861</v>
      </c>
      <c r="B2138" s="1">
        <f>IFERROR(__xludf.DUMMYFUNCTION("""COMPUTED_VALUE"""),1972.72056)</f>
        <v>1972.72056</v>
      </c>
    </row>
    <row r="2139">
      <c r="A2139" s="3">
        <f>IFERROR(__xludf.DUMMYFUNCTION("""COMPUTED_VALUE"""),42578.99861111111)</f>
        <v>42578.99861</v>
      </c>
      <c r="B2139" s="1">
        <f>IFERROR(__xludf.DUMMYFUNCTION("""COMPUTED_VALUE"""),1964.0451)</f>
        <v>1964.0451</v>
      </c>
    </row>
    <row r="2140">
      <c r="A2140" s="3">
        <f>IFERROR(__xludf.DUMMYFUNCTION("""COMPUTED_VALUE"""),42579.99861111111)</f>
        <v>42579.99861</v>
      </c>
      <c r="B2140" s="1">
        <f>IFERROR(__xludf.DUMMYFUNCTION("""COMPUTED_VALUE"""),1961.18102)</f>
        <v>1961.18102</v>
      </c>
    </row>
    <row r="2141">
      <c r="A2141" s="3">
        <f>IFERROR(__xludf.DUMMYFUNCTION("""COMPUTED_VALUE"""),42580.99861111111)</f>
        <v>42580.99861</v>
      </c>
      <c r="B2141" s="1">
        <f>IFERROR(__xludf.DUMMYFUNCTION("""COMPUTED_VALUE"""),1967.973)</f>
        <v>1967.973</v>
      </c>
    </row>
    <row r="2142">
      <c r="A2142" s="3">
        <f>IFERROR(__xludf.DUMMYFUNCTION("""COMPUTED_VALUE"""),42581.99861111111)</f>
        <v>42581.99861</v>
      </c>
      <c r="B2142" s="1">
        <f>IFERROR(__xludf.DUMMYFUNCTION("""COMPUTED_VALUE"""),1983.856819)</f>
        <v>1983.856819</v>
      </c>
    </row>
    <row r="2143">
      <c r="A2143" s="3">
        <f>IFERROR(__xludf.DUMMYFUNCTION("""COMPUTED_VALUE"""),42582.99861111111)</f>
        <v>42582.99861</v>
      </c>
      <c r="B2143" s="1">
        <f>IFERROR(__xludf.DUMMYFUNCTION("""COMPUTED_VALUE"""),1975.064175)</f>
        <v>1975.064175</v>
      </c>
    </row>
    <row r="2144">
      <c r="A2144" s="3">
        <f>IFERROR(__xludf.DUMMYFUNCTION("""COMPUTED_VALUE"""),42583.99861111111)</f>
        <v>42583.99861</v>
      </c>
      <c r="B2144" s="1">
        <f>IFERROR(__xludf.DUMMYFUNCTION("""COMPUTED_VALUE"""),1958.2652)</f>
        <v>1958.2652</v>
      </c>
    </row>
    <row r="2145">
      <c r="A2145" s="3">
        <f>IFERROR(__xludf.DUMMYFUNCTION("""COMPUTED_VALUE"""),42584.99861111111)</f>
        <v>42584.99861</v>
      </c>
      <c r="B2145" s="1">
        <f>IFERROR(__xludf.DUMMYFUNCTION("""COMPUTED_VALUE"""),1974.40452)</f>
        <v>1974.40452</v>
      </c>
    </row>
    <row r="2146">
      <c r="A2146" s="3">
        <f>IFERROR(__xludf.DUMMYFUNCTION("""COMPUTED_VALUE"""),42585.99861111111)</f>
        <v>42585.99861</v>
      </c>
      <c r="B2146" s="1">
        <f>IFERROR(__xludf.DUMMYFUNCTION("""COMPUTED_VALUE"""),1980.9864)</f>
        <v>1980.9864</v>
      </c>
    </row>
    <row r="2147">
      <c r="A2147" s="3">
        <f>IFERROR(__xludf.DUMMYFUNCTION("""COMPUTED_VALUE"""),42586.99861111111)</f>
        <v>42586.99861</v>
      </c>
      <c r="B2147" s="1">
        <f>IFERROR(__xludf.DUMMYFUNCTION("""COMPUTED_VALUE"""),1973.04974)</f>
        <v>1973.04974</v>
      </c>
    </row>
    <row r="2148">
      <c r="A2148" s="3">
        <f>IFERROR(__xludf.DUMMYFUNCTION("""COMPUTED_VALUE"""),42587.99861111111)</f>
        <v>42587.99861</v>
      </c>
      <c r="B2148" s="1">
        <f>IFERROR(__xludf.DUMMYFUNCTION("""COMPUTED_VALUE"""),1964.88828)</f>
        <v>1964.88828</v>
      </c>
    </row>
    <row r="2149">
      <c r="A2149" s="3">
        <f>IFERROR(__xludf.DUMMYFUNCTION("""COMPUTED_VALUE"""),42589.99861111111)</f>
        <v>42589.99861</v>
      </c>
      <c r="B2149" s="1">
        <f>IFERROR(__xludf.DUMMYFUNCTION("""COMPUTED_VALUE"""),1968.330474)</f>
        <v>1968.330474</v>
      </c>
    </row>
    <row r="2150">
      <c r="A2150" s="3">
        <f>IFERROR(__xludf.DUMMYFUNCTION("""COMPUTED_VALUE"""),42590.99861111111)</f>
        <v>42590.99861</v>
      </c>
      <c r="B2150" s="1">
        <f>IFERROR(__xludf.DUMMYFUNCTION("""COMPUTED_VALUE"""),1966.92945)</f>
        <v>1966.92945</v>
      </c>
    </row>
    <row r="2151">
      <c r="A2151" s="3">
        <f>IFERROR(__xludf.DUMMYFUNCTION("""COMPUTED_VALUE"""),42591.99861111111)</f>
        <v>42591.99861</v>
      </c>
      <c r="B2151" s="1">
        <f>IFERROR(__xludf.DUMMYFUNCTION("""COMPUTED_VALUE"""),1967.90121)</f>
        <v>1967.90121</v>
      </c>
    </row>
    <row r="2152">
      <c r="A2152" s="3">
        <f>IFERROR(__xludf.DUMMYFUNCTION("""COMPUTED_VALUE"""),42592.99861111111)</f>
        <v>42592.99861</v>
      </c>
      <c r="B2152" s="1">
        <f>IFERROR(__xludf.DUMMYFUNCTION("""COMPUTED_VALUE"""),1969.90731)</f>
        <v>1969.90731</v>
      </c>
    </row>
    <row r="2153">
      <c r="A2153" s="3">
        <f>IFERROR(__xludf.DUMMYFUNCTION("""COMPUTED_VALUE"""),42593.99861111111)</f>
        <v>42593.99861</v>
      </c>
      <c r="B2153" s="1">
        <f>IFERROR(__xludf.DUMMYFUNCTION("""COMPUTED_VALUE"""),1976.09526)</f>
        <v>1976.09526</v>
      </c>
    </row>
    <row r="2154">
      <c r="A2154" s="3">
        <f>IFERROR(__xludf.DUMMYFUNCTION("""COMPUTED_VALUE"""),42594.99861111111)</f>
        <v>42594.99861</v>
      </c>
      <c r="B2154" s="1">
        <f>IFERROR(__xludf.DUMMYFUNCTION("""COMPUTED_VALUE"""),1972.02551)</f>
        <v>1972.02551</v>
      </c>
    </row>
    <row r="2155">
      <c r="A2155" s="3">
        <f>IFERROR(__xludf.DUMMYFUNCTION("""COMPUTED_VALUE"""),42596.99861111111)</f>
        <v>42596.99861</v>
      </c>
      <c r="B2155" s="1">
        <f>IFERROR(__xludf.DUMMYFUNCTION("""COMPUTED_VALUE"""),1971.66664)</f>
        <v>1971.66664</v>
      </c>
    </row>
    <row r="2156">
      <c r="A2156" s="3">
        <f>IFERROR(__xludf.DUMMYFUNCTION("""COMPUTED_VALUE"""),42597.99861111111)</f>
        <v>42597.99861</v>
      </c>
      <c r="B2156" s="1">
        <f>IFERROR(__xludf.DUMMYFUNCTION("""COMPUTED_VALUE"""),1967.92092)</f>
        <v>1967.92092</v>
      </c>
    </row>
    <row r="2157">
      <c r="A2157" s="3">
        <f>IFERROR(__xludf.DUMMYFUNCTION("""COMPUTED_VALUE"""),42598.99861111111)</f>
        <v>42598.99861</v>
      </c>
      <c r="B2157" s="1">
        <f>IFERROR(__xludf.DUMMYFUNCTION("""COMPUTED_VALUE"""),1978.97434)</f>
        <v>1978.97434</v>
      </c>
    </row>
    <row r="2158">
      <c r="A2158" s="3">
        <f>IFERROR(__xludf.DUMMYFUNCTION("""COMPUTED_VALUE"""),42599.99861111111)</f>
        <v>42599.99861</v>
      </c>
      <c r="B2158" s="1">
        <f>IFERROR(__xludf.DUMMYFUNCTION("""COMPUTED_VALUE"""),1976.82395)</f>
        <v>1976.82395</v>
      </c>
    </row>
    <row r="2159">
      <c r="A2159" s="3">
        <f>IFERROR(__xludf.DUMMYFUNCTION("""COMPUTED_VALUE"""),42600.99861111111)</f>
        <v>42600.99861</v>
      </c>
      <c r="B2159" s="1">
        <f>IFERROR(__xludf.DUMMYFUNCTION("""COMPUTED_VALUE"""),1981.94971)</f>
        <v>1981.94971</v>
      </c>
    </row>
    <row r="2160">
      <c r="A2160" s="3">
        <f>IFERROR(__xludf.DUMMYFUNCTION("""COMPUTED_VALUE"""),42601.99861111111)</f>
        <v>42601.99861</v>
      </c>
      <c r="B2160" s="1">
        <f>IFERROR(__xludf.DUMMYFUNCTION("""COMPUTED_VALUE"""),1984.797)</f>
        <v>1984.797</v>
      </c>
    </row>
    <row r="2161">
      <c r="A2161" s="3">
        <f>IFERROR(__xludf.DUMMYFUNCTION("""COMPUTED_VALUE"""),42603.99861111111)</f>
        <v>42603.99861</v>
      </c>
      <c r="B2161" s="1">
        <f>IFERROR(__xludf.DUMMYFUNCTION("""COMPUTED_VALUE"""),1985.81172)</f>
        <v>1985.81172</v>
      </c>
    </row>
    <row r="2162">
      <c r="A2162" s="3">
        <f>IFERROR(__xludf.DUMMYFUNCTION("""COMPUTED_VALUE"""),42604.99861111111)</f>
        <v>42604.99861</v>
      </c>
      <c r="B2162" s="1">
        <f>IFERROR(__xludf.DUMMYFUNCTION("""COMPUTED_VALUE"""),1986.36942)</f>
        <v>1986.36942</v>
      </c>
    </row>
    <row r="2163">
      <c r="A2163" s="3">
        <f>IFERROR(__xludf.DUMMYFUNCTION("""COMPUTED_VALUE"""),42605.99861111111)</f>
        <v>42605.99861</v>
      </c>
      <c r="B2163" s="1">
        <f>IFERROR(__xludf.DUMMYFUNCTION("""COMPUTED_VALUE"""),1992.3787)</f>
        <v>1992.3787</v>
      </c>
    </row>
    <row r="2164">
      <c r="A2164" s="3">
        <f>IFERROR(__xludf.DUMMYFUNCTION("""COMPUTED_VALUE"""),42606.99861111111)</f>
        <v>42606.99861</v>
      </c>
      <c r="B2164" s="1">
        <f>IFERROR(__xludf.DUMMYFUNCTION("""COMPUTED_VALUE"""),1990.6887)</f>
        <v>1990.6887</v>
      </c>
    </row>
    <row r="2165">
      <c r="A2165" s="3">
        <f>IFERROR(__xludf.DUMMYFUNCTION("""COMPUTED_VALUE"""),42607.99861111111)</f>
        <v>42607.99861</v>
      </c>
      <c r="B2165" s="1">
        <f>IFERROR(__xludf.DUMMYFUNCTION("""COMPUTED_VALUE"""),1988.48952)</f>
        <v>1988.48952</v>
      </c>
    </row>
    <row r="2166">
      <c r="A2166" s="3">
        <f>IFERROR(__xludf.DUMMYFUNCTION("""COMPUTED_VALUE"""),42608.99861111111)</f>
        <v>42608.99861</v>
      </c>
      <c r="B2166" s="1">
        <f>IFERROR(__xludf.DUMMYFUNCTION("""COMPUTED_VALUE"""),1991.30826)</f>
        <v>1991.30826</v>
      </c>
    </row>
    <row r="2167">
      <c r="A2167" s="3">
        <f>IFERROR(__xludf.DUMMYFUNCTION("""COMPUTED_VALUE"""),42609.99861111111)</f>
        <v>42609.99861</v>
      </c>
      <c r="B2167" s="1">
        <f>IFERROR(__xludf.DUMMYFUNCTION("""COMPUTED_VALUE"""),1994.672386)</f>
        <v>1994.672386</v>
      </c>
    </row>
    <row r="2168">
      <c r="A2168" s="3">
        <f>IFERROR(__xludf.DUMMYFUNCTION("""COMPUTED_VALUE"""),42610.99861111111)</f>
        <v>42610.99861</v>
      </c>
      <c r="B2168" s="1">
        <f>IFERROR(__xludf.DUMMYFUNCTION("""COMPUTED_VALUE"""),1984.9203)</f>
        <v>1984.9203</v>
      </c>
    </row>
    <row r="2169">
      <c r="A2169" s="3">
        <f>IFERROR(__xludf.DUMMYFUNCTION("""COMPUTED_VALUE"""),42611.99861111111)</f>
        <v>42611.99861</v>
      </c>
      <c r="B2169" s="1">
        <f>IFERROR(__xludf.DUMMYFUNCTION("""COMPUTED_VALUE"""),1984.28544)</f>
        <v>1984.28544</v>
      </c>
    </row>
    <row r="2170">
      <c r="A2170" s="3">
        <f>IFERROR(__xludf.DUMMYFUNCTION("""COMPUTED_VALUE"""),42612.99861111111)</f>
        <v>42612.99861</v>
      </c>
      <c r="B2170" s="1">
        <f>IFERROR(__xludf.DUMMYFUNCTION("""COMPUTED_VALUE"""),1984.61303)</f>
        <v>1984.61303</v>
      </c>
    </row>
    <row r="2171">
      <c r="A2171" s="3">
        <f>IFERROR(__xludf.DUMMYFUNCTION("""COMPUTED_VALUE"""),42613.99861111111)</f>
        <v>42613.99861</v>
      </c>
      <c r="B2171" s="1">
        <f>IFERROR(__xludf.DUMMYFUNCTION("""COMPUTED_VALUE"""),1988.1488)</f>
        <v>1988.1488</v>
      </c>
    </row>
    <row r="2172">
      <c r="A2172" s="3">
        <f>IFERROR(__xludf.DUMMYFUNCTION("""COMPUTED_VALUE"""),42614.99861111111)</f>
        <v>42614.99861</v>
      </c>
      <c r="B2172" s="1">
        <f>IFERROR(__xludf.DUMMYFUNCTION("""COMPUTED_VALUE"""),1990.15362)</f>
        <v>1990.15362</v>
      </c>
    </row>
    <row r="2173">
      <c r="A2173" s="3">
        <f>IFERROR(__xludf.DUMMYFUNCTION("""COMPUTED_VALUE"""),42615.99861111111)</f>
        <v>42615.99861</v>
      </c>
      <c r="B2173" s="1">
        <f>IFERROR(__xludf.DUMMYFUNCTION("""COMPUTED_VALUE"""),1974.36785)</f>
        <v>1974.36785</v>
      </c>
    </row>
    <row r="2174">
      <c r="A2174" s="3">
        <f>IFERROR(__xludf.DUMMYFUNCTION("""COMPUTED_VALUE"""),42616.99861111111)</f>
        <v>42616.99861</v>
      </c>
      <c r="B2174" s="1">
        <f>IFERROR(__xludf.DUMMYFUNCTION("""COMPUTED_VALUE"""),1974.63175)</f>
        <v>1974.63175</v>
      </c>
    </row>
    <row r="2175">
      <c r="A2175" s="3">
        <f>IFERROR(__xludf.DUMMYFUNCTION("""COMPUTED_VALUE"""),42617.99861111111)</f>
        <v>42617.99861</v>
      </c>
      <c r="B2175" s="1">
        <f>IFERROR(__xludf.DUMMYFUNCTION("""COMPUTED_VALUE"""),1975.0276)</f>
        <v>1975.0276</v>
      </c>
    </row>
    <row r="2176">
      <c r="A2176" s="3">
        <f>IFERROR(__xludf.DUMMYFUNCTION("""COMPUTED_VALUE"""),42618.99861111111)</f>
        <v>42618.99861</v>
      </c>
      <c r="B2176" s="1">
        <f>IFERROR(__xludf.DUMMYFUNCTION("""COMPUTED_VALUE"""),1965.99375)</f>
        <v>1965.99375</v>
      </c>
    </row>
    <row r="2177">
      <c r="A2177" s="3">
        <f>IFERROR(__xludf.DUMMYFUNCTION("""COMPUTED_VALUE"""),42619.99861111111)</f>
        <v>42619.99861</v>
      </c>
      <c r="B2177" s="1">
        <f>IFERROR(__xludf.DUMMYFUNCTION("""COMPUTED_VALUE"""),1956.0884)</f>
        <v>1956.0884</v>
      </c>
    </row>
    <row r="2178">
      <c r="A2178" s="3">
        <f>IFERROR(__xludf.DUMMYFUNCTION("""COMPUTED_VALUE"""),42620.99861111111)</f>
        <v>42620.99861</v>
      </c>
      <c r="B2178" s="1">
        <f>IFERROR(__xludf.DUMMYFUNCTION("""COMPUTED_VALUE"""),1961.0228)</f>
        <v>1961.0228</v>
      </c>
    </row>
    <row r="2179">
      <c r="A2179" s="3">
        <f>IFERROR(__xludf.DUMMYFUNCTION("""COMPUTED_VALUE"""),42621.99861111111)</f>
        <v>42621.99861</v>
      </c>
      <c r="B2179" s="1">
        <f>IFERROR(__xludf.DUMMYFUNCTION("""COMPUTED_VALUE"""),1961.17284)</f>
        <v>1961.17284</v>
      </c>
    </row>
    <row r="2180">
      <c r="A2180" s="3">
        <f>IFERROR(__xludf.DUMMYFUNCTION("""COMPUTED_VALUE"""),42622.99861111111)</f>
        <v>42622.99861</v>
      </c>
      <c r="B2180" s="1">
        <f>IFERROR(__xludf.DUMMYFUNCTION("""COMPUTED_VALUE"""),1967.3261)</f>
        <v>1967.3261</v>
      </c>
    </row>
    <row r="2181">
      <c r="A2181" s="3">
        <f>IFERROR(__xludf.DUMMYFUNCTION("""COMPUTED_VALUE"""),42623.99861111111)</f>
        <v>42623.99861</v>
      </c>
      <c r="B2181" s="1">
        <f>IFERROR(__xludf.DUMMYFUNCTION("""COMPUTED_VALUE"""),1966.22811)</f>
        <v>1966.22811</v>
      </c>
    </row>
    <row r="2182">
      <c r="A2182" s="3">
        <f>IFERROR(__xludf.DUMMYFUNCTION("""COMPUTED_VALUE"""),42624.99861111111)</f>
        <v>42624.99861</v>
      </c>
      <c r="B2182" s="1">
        <f>IFERROR(__xludf.DUMMYFUNCTION("""COMPUTED_VALUE"""),1971.7884)</f>
        <v>1971.7884</v>
      </c>
    </row>
    <row r="2183">
      <c r="A2183" s="3">
        <f>IFERROR(__xludf.DUMMYFUNCTION("""COMPUTED_VALUE"""),42625.99861111111)</f>
        <v>42625.99861</v>
      </c>
      <c r="B2183" s="1">
        <f>IFERROR(__xludf.DUMMYFUNCTION("""COMPUTED_VALUE"""),1971.58496)</f>
        <v>1971.58496</v>
      </c>
    </row>
    <row r="2184">
      <c r="A2184" s="3">
        <f>IFERROR(__xludf.DUMMYFUNCTION("""COMPUTED_VALUE"""),42626.99861111111)</f>
        <v>42626.99861</v>
      </c>
      <c r="B2184" s="1">
        <f>IFERROR(__xludf.DUMMYFUNCTION("""COMPUTED_VALUE"""),1982.97216)</f>
        <v>1982.97216</v>
      </c>
    </row>
    <row r="2185">
      <c r="A2185" s="3">
        <f>IFERROR(__xludf.DUMMYFUNCTION("""COMPUTED_VALUE"""),42627.99861111111)</f>
        <v>42627.99861</v>
      </c>
      <c r="B2185" s="1">
        <f>IFERROR(__xludf.DUMMYFUNCTION("""COMPUTED_VALUE"""),1976.53944)</f>
        <v>1976.53944</v>
      </c>
    </row>
    <row r="2186">
      <c r="A2186" s="3">
        <f>IFERROR(__xludf.DUMMYFUNCTION("""COMPUTED_VALUE"""),42628.99861111111)</f>
        <v>42628.99861</v>
      </c>
      <c r="B2186" s="1">
        <f>IFERROR(__xludf.DUMMYFUNCTION("""COMPUTED_VALUE"""),1970.15416)</f>
        <v>1970.15416</v>
      </c>
    </row>
    <row r="2187">
      <c r="A2187" s="3">
        <f>IFERROR(__xludf.DUMMYFUNCTION("""COMPUTED_VALUE"""),42629.99861111111)</f>
        <v>42629.99861</v>
      </c>
      <c r="B2187" s="1">
        <f>IFERROR(__xludf.DUMMYFUNCTION("""COMPUTED_VALUE"""),1955.49528)</f>
        <v>1955.49528</v>
      </c>
    </row>
    <row r="2188">
      <c r="A2188" s="3">
        <f>IFERROR(__xludf.DUMMYFUNCTION("""COMPUTED_VALUE"""),42630.99861111111)</f>
        <v>42630.99861</v>
      </c>
      <c r="B2188" s="1">
        <f>IFERROR(__xludf.DUMMYFUNCTION("""COMPUTED_VALUE"""),1957.312168)</f>
        <v>1957.312168</v>
      </c>
    </row>
    <row r="2189">
      <c r="A2189" s="3">
        <f>IFERROR(__xludf.DUMMYFUNCTION("""COMPUTED_VALUE"""),42631.99861111111)</f>
        <v>42631.99861</v>
      </c>
      <c r="B2189" s="1">
        <f>IFERROR(__xludf.DUMMYFUNCTION("""COMPUTED_VALUE"""),1972.60718)</f>
        <v>1972.60718</v>
      </c>
    </row>
    <row r="2190">
      <c r="A2190" s="3">
        <f>IFERROR(__xludf.DUMMYFUNCTION("""COMPUTED_VALUE"""),42632.99861111111)</f>
        <v>42632.99861</v>
      </c>
      <c r="B2190" s="1">
        <f>IFERROR(__xludf.DUMMYFUNCTION("""COMPUTED_VALUE"""),1970.58722)</f>
        <v>1970.58722</v>
      </c>
    </row>
    <row r="2191">
      <c r="A2191" s="3">
        <f>IFERROR(__xludf.DUMMYFUNCTION("""COMPUTED_VALUE"""),42633.99861111111)</f>
        <v>42633.99861</v>
      </c>
      <c r="B2191" s="1">
        <f>IFERROR(__xludf.DUMMYFUNCTION("""COMPUTED_VALUE"""),1972.25262)</f>
        <v>1972.25262</v>
      </c>
    </row>
    <row r="2192">
      <c r="A2192" s="3">
        <f>IFERROR(__xludf.DUMMYFUNCTION("""COMPUTED_VALUE"""),42634.99861111111)</f>
        <v>42634.99861</v>
      </c>
      <c r="B2192" s="1">
        <f>IFERROR(__xludf.DUMMYFUNCTION("""COMPUTED_VALUE"""),1956.0884)</f>
        <v>1956.0884</v>
      </c>
    </row>
    <row r="2193">
      <c r="A2193" s="3">
        <f>IFERROR(__xludf.DUMMYFUNCTION("""COMPUTED_VALUE"""),42635.99861111111)</f>
        <v>42635.99861</v>
      </c>
      <c r="B2193" s="1">
        <f>IFERROR(__xludf.DUMMYFUNCTION("""COMPUTED_VALUE"""),1959.82248)</f>
        <v>1959.82248</v>
      </c>
    </row>
    <row r="2194">
      <c r="A2194" s="3">
        <f>IFERROR(__xludf.DUMMYFUNCTION("""COMPUTED_VALUE"""),42636.99861111111)</f>
        <v>42636.99861</v>
      </c>
      <c r="B2194" s="1">
        <f>IFERROR(__xludf.DUMMYFUNCTION("""COMPUTED_VALUE"""),1962.15)</f>
        <v>1962.15</v>
      </c>
    </row>
    <row r="2195">
      <c r="A2195" s="3">
        <f>IFERROR(__xludf.DUMMYFUNCTION("""COMPUTED_VALUE"""),42637.99861111111)</f>
        <v>42637.99861</v>
      </c>
      <c r="B2195" s="1">
        <f>IFERROR(__xludf.DUMMYFUNCTION("""COMPUTED_VALUE"""),1961.30766)</f>
        <v>1961.30766</v>
      </c>
    </row>
    <row r="2196">
      <c r="A2196" s="3">
        <f>IFERROR(__xludf.DUMMYFUNCTION("""COMPUTED_VALUE"""),42638.99861111111)</f>
        <v>42638.99861</v>
      </c>
      <c r="B2196" s="1">
        <f>IFERROR(__xludf.DUMMYFUNCTION("""COMPUTED_VALUE"""),1960.03848)</f>
        <v>1960.03848</v>
      </c>
    </row>
    <row r="2197">
      <c r="A2197" s="3">
        <f>IFERROR(__xludf.DUMMYFUNCTION("""COMPUTED_VALUE"""),42639.99861111111)</f>
        <v>42639.99861</v>
      </c>
      <c r="B2197" s="1">
        <f>IFERROR(__xludf.DUMMYFUNCTION("""COMPUTED_VALUE"""),1955.45883)</f>
        <v>1955.45883</v>
      </c>
    </row>
    <row r="2198">
      <c r="A2198" s="3">
        <f>IFERROR(__xludf.DUMMYFUNCTION("""COMPUTED_VALUE"""),42640.99861111111)</f>
        <v>42640.99861</v>
      </c>
      <c r="B2198" s="1">
        <f>IFERROR(__xludf.DUMMYFUNCTION("""COMPUTED_VALUE"""),1936.51664)</f>
        <v>1936.51664</v>
      </c>
    </row>
    <row r="2199">
      <c r="A2199" s="3">
        <f>IFERROR(__xludf.DUMMYFUNCTION("""COMPUTED_VALUE"""),42641.99861111111)</f>
        <v>42641.99861</v>
      </c>
      <c r="B2199" s="1">
        <f>IFERROR(__xludf.DUMMYFUNCTION("""COMPUTED_VALUE"""),1935.04896)</f>
        <v>1935.04896</v>
      </c>
    </row>
    <row r="2200">
      <c r="A2200" s="3">
        <f>IFERROR(__xludf.DUMMYFUNCTION("""COMPUTED_VALUE"""),42642.99861111111)</f>
        <v>42642.99861</v>
      </c>
      <c r="B2200" s="1">
        <f>IFERROR(__xludf.DUMMYFUNCTION("""COMPUTED_VALUE"""),1949.27973)</f>
        <v>1949.27973</v>
      </c>
    </row>
    <row r="2201">
      <c r="A2201" s="3">
        <f>IFERROR(__xludf.DUMMYFUNCTION("""COMPUTED_VALUE"""),42643.99861111111)</f>
        <v>42643.99861</v>
      </c>
      <c r="B2201" s="1">
        <f>IFERROR(__xludf.DUMMYFUNCTION("""COMPUTED_VALUE"""),1961.73036)</f>
        <v>1961.73036</v>
      </c>
    </row>
    <row r="2202">
      <c r="A2202" s="3">
        <f>IFERROR(__xludf.DUMMYFUNCTION("""COMPUTED_VALUE"""),42644.99861111111)</f>
        <v>42644.99861</v>
      </c>
      <c r="B2202" s="1">
        <f>IFERROR(__xludf.DUMMYFUNCTION("""COMPUTED_VALUE"""),1961.559)</f>
        <v>1961.559</v>
      </c>
    </row>
    <row r="2203">
      <c r="A2203" s="3">
        <f>IFERROR(__xludf.DUMMYFUNCTION("""COMPUTED_VALUE"""),42645.99861111111)</f>
        <v>42645.99861</v>
      </c>
      <c r="B2203" s="1">
        <f>IFERROR(__xludf.DUMMYFUNCTION("""COMPUTED_VALUE"""),1952.6796)</f>
        <v>1952.6796</v>
      </c>
    </row>
    <row r="2204">
      <c r="A2204" s="3">
        <f>IFERROR(__xludf.DUMMYFUNCTION("""COMPUTED_VALUE"""),42646.99861111111)</f>
        <v>42646.99861</v>
      </c>
      <c r="B2204" s="1">
        <f>IFERROR(__xludf.DUMMYFUNCTION("""COMPUTED_VALUE"""),1941.7076)</f>
        <v>1941.7076</v>
      </c>
    </row>
    <row r="2205">
      <c r="A2205" s="3">
        <f>IFERROR(__xludf.DUMMYFUNCTION("""COMPUTED_VALUE"""),42647.99861111111)</f>
        <v>42647.99861</v>
      </c>
      <c r="B2205" s="1">
        <f>IFERROR(__xludf.DUMMYFUNCTION("""COMPUTED_VALUE"""),1953.3469)</f>
        <v>1953.3469</v>
      </c>
    </row>
    <row r="2206">
      <c r="A2206" s="3">
        <f>IFERROR(__xludf.DUMMYFUNCTION("""COMPUTED_VALUE"""),42648.99861111111)</f>
        <v>42648.99861</v>
      </c>
      <c r="B2206" s="1">
        <f>IFERROR(__xludf.DUMMYFUNCTION("""COMPUTED_VALUE"""),1949.62734)</f>
        <v>1949.62734</v>
      </c>
    </row>
    <row r="2207">
      <c r="A2207" s="3">
        <f>IFERROR(__xludf.DUMMYFUNCTION("""COMPUTED_VALUE"""),42649.99861111111)</f>
        <v>42649.99861</v>
      </c>
      <c r="B2207" s="1">
        <f>IFERROR(__xludf.DUMMYFUNCTION("""COMPUTED_VALUE"""),1948.01895)</f>
        <v>1948.01895</v>
      </c>
    </row>
    <row r="2208">
      <c r="A2208" s="3">
        <f>IFERROR(__xludf.DUMMYFUNCTION("""COMPUTED_VALUE"""),42650.99861111111)</f>
        <v>42650.99861</v>
      </c>
      <c r="B2208" s="1">
        <f>IFERROR(__xludf.DUMMYFUNCTION("""COMPUTED_VALUE"""),1942.79638)</f>
        <v>1942.79638</v>
      </c>
    </row>
    <row r="2209">
      <c r="A2209" s="3">
        <f>IFERROR(__xludf.DUMMYFUNCTION("""COMPUTED_VALUE"""),42652.99861111111)</f>
        <v>42652.99861</v>
      </c>
      <c r="B2209" s="1">
        <f>IFERROR(__xludf.DUMMYFUNCTION("""COMPUTED_VALUE"""),1941.28957)</f>
        <v>1941.28957</v>
      </c>
    </row>
    <row r="2210">
      <c r="A2210" s="3">
        <f>IFERROR(__xludf.DUMMYFUNCTION("""COMPUTED_VALUE"""),42653.99861111111)</f>
        <v>42653.99861</v>
      </c>
      <c r="B2210" s="1">
        <f>IFERROR(__xludf.DUMMYFUNCTION("""COMPUTED_VALUE"""),1926.36178)</f>
        <v>1926.36178</v>
      </c>
    </row>
    <row r="2211">
      <c r="A2211" s="3">
        <f>IFERROR(__xludf.DUMMYFUNCTION("""COMPUTED_VALUE"""),42654.99861111111)</f>
        <v>42654.99861</v>
      </c>
      <c r="B2211" s="1">
        <f>IFERROR(__xludf.DUMMYFUNCTION("""COMPUTED_VALUE"""),1943.47296)</f>
        <v>1943.47296</v>
      </c>
    </row>
    <row r="2212">
      <c r="A2212" s="3">
        <f>IFERROR(__xludf.DUMMYFUNCTION("""COMPUTED_VALUE"""),42655.99861111111)</f>
        <v>42655.99861</v>
      </c>
      <c r="B2212" s="1">
        <f>IFERROR(__xludf.DUMMYFUNCTION("""COMPUTED_VALUE"""),1937.09701)</f>
        <v>1937.09701</v>
      </c>
    </row>
    <row r="2213">
      <c r="A2213" s="3">
        <f>IFERROR(__xludf.DUMMYFUNCTION("""COMPUTED_VALUE"""),42656.99861111111)</f>
        <v>42656.99861</v>
      </c>
      <c r="B2213" s="1">
        <f>IFERROR(__xludf.DUMMYFUNCTION("""COMPUTED_VALUE"""),1937.6862)</f>
        <v>1937.6862</v>
      </c>
    </row>
    <row r="2214">
      <c r="A2214" s="3">
        <f>IFERROR(__xludf.DUMMYFUNCTION("""COMPUTED_VALUE"""),42657.99861111111)</f>
        <v>42657.99861</v>
      </c>
      <c r="B2214" s="1">
        <f>IFERROR(__xludf.DUMMYFUNCTION("""COMPUTED_VALUE"""),1941.53064)</f>
        <v>1941.53064</v>
      </c>
    </row>
    <row r="2215">
      <c r="A2215" s="3">
        <f>IFERROR(__xludf.DUMMYFUNCTION("""COMPUTED_VALUE"""),42658.99861111111)</f>
        <v>42658.99861</v>
      </c>
      <c r="B2215" s="1">
        <f>IFERROR(__xludf.DUMMYFUNCTION("""COMPUTED_VALUE"""),1950.5837)</f>
        <v>1950.5837</v>
      </c>
    </row>
    <row r="2216">
      <c r="A2216" s="3">
        <f>IFERROR(__xludf.DUMMYFUNCTION("""COMPUTED_VALUE"""),42659.99861111111)</f>
        <v>42659.99861</v>
      </c>
      <c r="B2216" s="1">
        <f>IFERROR(__xludf.DUMMYFUNCTION("""COMPUTED_VALUE"""),1944.42384)</f>
        <v>1944.42384</v>
      </c>
    </row>
    <row r="2217">
      <c r="A2217" s="3">
        <f>IFERROR(__xludf.DUMMYFUNCTION("""COMPUTED_VALUE"""),42660.99861111111)</f>
        <v>42660.99861</v>
      </c>
      <c r="B2217" s="1">
        <f>IFERROR(__xludf.DUMMYFUNCTION("""COMPUTED_VALUE"""),1938.20401)</f>
        <v>1938.20401</v>
      </c>
    </row>
    <row r="2218">
      <c r="A2218" s="3">
        <f>IFERROR(__xludf.DUMMYFUNCTION("""COMPUTED_VALUE"""),42661.99861111111)</f>
        <v>42661.99861</v>
      </c>
      <c r="B2218" s="1">
        <f>IFERROR(__xludf.DUMMYFUNCTION("""COMPUTED_VALUE"""),1930.7358)</f>
        <v>1930.7358</v>
      </c>
    </row>
    <row r="2219">
      <c r="A2219" s="3">
        <f>IFERROR(__xludf.DUMMYFUNCTION("""COMPUTED_VALUE"""),42662.99861111111)</f>
        <v>42662.99861</v>
      </c>
      <c r="B2219" s="1">
        <f>IFERROR(__xludf.DUMMYFUNCTION("""COMPUTED_VALUE"""),1925.30424)</f>
        <v>1925.30424</v>
      </c>
    </row>
    <row r="2220">
      <c r="A2220" s="3">
        <f>IFERROR(__xludf.DUMMYFUNCTION("""COMPUTED_VALUE"""),42663.99861111111)</f>
        <v>42663.99861</v>
      </c>
      <c r="B2220" s="1">
        <f>IFERROR(__xludf.DUMMYFUNCTION("""COMPUTED_VALUE"""),1928.1213)</f>
        <v>1928.1213</v>
      </c>
    </row>
    <row r="2221">
      <c r="A2221" s="3">
        <f>IFERROR(__xludf.DUMMYFUNCTION("""COMPUTED_VALUE"""),42664.99861111111)</f>
        <v>42664.99861</v>
      </c>
      <c r="B2221" s="1">
        <f>IFERROR(__xludf.DUMMYFUNCTION("""COMPUTED_VALUE"""),1926.1017)</f>
        <v>1926.1017</v>
      </c>
    </row>
    <row r="2222">
      <c r="A2222" s="3">
        <f>IFERROR(__xludf.DUMMYFUNCTION("""COMPUTED_VALUE"""),42665.99861111111)</f>
        <v>42665.99861</v>
      </c>
      <c r="B2222" s="1">
        <f>IFERROR(__xludf.DUMMYFUNCTION("""COMPUTED_VALUE"""),1928.59018)</f>
        <v>1928.59018</v>
      </c>
    </row>
    <row r="2223">
      <c r="A2223" s="3">
        <f>IFERROR(__xludf.DUMMYFUNCTION("""COMPUTED_VALUE"""),42666.99861111111)</f>
        <v>42666.99861</v>
      </c>
      <c r="B2223" s="1">
        <f>IFERROR(__xludf.DUMMYFUNCTION("""COMPUTED_VALUE"""),1928.007)</f>
        <v>1928.007</v>
      </c>
    </row>
    <row r="2224">
      <c r="A2224" s="3">
        <f>IFERROR(__xludf.DUMMYFUNCTION("""COMPUTED_VALUE"""),42667.99861111111)</f>
        <v>42667.99861</v>
      </c>
      <c r="B2224" s="1">
        <f>IFERROR(__xludf.DUMMYFUNCTION("""COMPUTED_VALUE"""),1920.18084)</f>
        <v>1920.18084</v>
      </c>
    </row>
    <row r="2225">
      <c r="A2225" s="3">
        <f>IFERROR(__xludf.DUMMYFUNCTION("""COMPUTED_VALUE"""),42668.99861111111)</f>
        <v>42668.99861</v>
      </c>
      <c r="B2225" s="1">
        <f>IFERROR(__xludf.DUMMYFUNCTION("""COMPUTED_VALUE"""),1913.05168)</f>
        <v>1913.05168</v>
      </c>
    </row>
    <row r="2226">
      <c r="A2226" s="3">
        <f>IFERROR(__xludf.DUMMYFUNCTION("""COMPUTED_VALUE"""),42669.99861111111)</f>
        <v>42669.99861</v>
      </c>
      <c r="B2226" s="1">
        <f>IFERROR(__xludf.DUMMYFUNCTION("""COMPUTED_VALUE"""),1923.25408)</f>
        <v>1923.25408</v>
      </c>
    </row>
    <row r="2227">
      <c r="A2227" s="3">
        <f>IFERROR(__xludf.DUMMYFUNCTION("""COMPUTED_VALUE"""),42670.99861111111)</f>
        <v>42670.99861</v>
      </c>
      <c r="B2227" s="1">
        <f>IFERROR(__xludf.DUMMYFUNCTION("""COMPUTED_VALUE"""),1923.75114)</f>
        <v>1923.75114</v>
      </c>
    </row>
    <row r="2228">
      <c r="A2228" s="3">
        <f>IFERROR(__xludf.DUMMYFUNCTION("""COMPUTED_VALUE"""),42671.99861111111)</f>
        <v>42671.99861</v>
      </c>
      <c r="B2228" s="1">
        <f>IFERROR(__xludf.DUMMYFUNCTION("""COMPUTED_VALUE"""),1936.98164)</f>
        <v>1936.98164</v>
      </c>
    </row>
    <row r="2229">
      <c r="A2229" s="3">
        <f>IFERROR(__xludf.DUMMYFUNCTION("""COMPUTED_VALUE"""),42672.99861111111)</f>
        <v>42672.99861</v>
      </c>
      <c r="B2229" s="1">
        <f>IFERROR(__xludf.DUMMYFUNCTION("""COMPUTED_VALUE"""),1937.2429)</f>
        <v>1937.2429</v>
      </c>
    </row>
    <row r="2230">
      <c r="A2230" s="3">
        <f>IFERROR(__xludf.DUMMYFUNCTION("""COMPUTED_VALUE"""),42673.99861111111)</f>
        <v>42673.99861</v>
      </c>
      <c r="B2230" s="1">
        <f>IFERROR(__xludf.DUMMYFUNCTION("""COMPUTED_VALUE"""),1937.2429)</f>
        <v>1937.2429</v>
      </c>
    </row>
    <row r="2231">
      <c r="A2231" s="3">
        <f>IFERROR(__xludf.DUMMYFUNCTION("""COMPUTED_VALUE"""),42674.99861111111)</f>
        <v>42674.99861</v>
      </c>
      <c r="B2231" s="1">
        <f>IFERROR(__xludf.DUMMYFUNCTION("""COMPUTED_VALUE"""),1920.19828)</f>
        <v>1920.19828</v>
      </c>
    </row>
    <row r="2232">
      <c r="A2232" s="3">
        <f>IFERROR(__xludf.DUMMYFUNCTION("""COMPUTED_VALUE"""),42675.99861111111)</f>
        <v>42675.99861</v>
      </c>
      <c r="B2232" s="1">
        <f>IFERROR(__xludf.DUMMYFUNCTION("""COMPUTED_VALUE"""),1926.49488)</f>
        <v>1926.49488</v>
      </c>
    </row>
    <row r="2233">
      <c r="A2233" s="3">
        <f>IFERROR(__xludf.DUMMYFUNCTION("""COMPUTED_VALUE"""),42676.99861111111)</f>
        <v>42676.99861</v>
      </c>
      <c r="B2233" s="1">
        <f>IFERROR(__xludf.DUMMYFUNCTION("""COMPUTED_VALUE"""),1930.28616)</f>
        <v>1930.28616</v>
      </c>
    </row>
    <row r="2234">
      <c r="A2234" s="3">
        <f>IFERROR(__xludf.DUMMYFUNCTION("""COMPUTED_VALUE"""),42677.99861111111)</f>
        <v>42677.99861</v>
      </c>
      <c r="B2234" s="1">
        <f>IFERROR(__xludf.DUMMYFUNCTION("""COMPUTED_VALUE"""),1931.05836)</f>
        <v>1931.05836</v>
      </c>
    </row>
    <row r="2235">
      <c r="A2235" s="3">
        <f>IFERROR(__xludf.DUMMYFUNCTION("""COMPUTED_VALUE"""),42678.99861111111)</f>
        <v>42678.99861</v>
      </c>
      <c r="B2235" s="1">
        <f>IFERROR(__xludf.DUMMYFUNCTION("""COMPUTED_VALUE"""),1940.46174)</f>
        <v>1940.46174</v>
      </c>
    </row>
    <row r="2236">
      <c r="A2236" s="3">
        <f>IFERROR(__xludf.DUMMYFUNCTION("""COMPUTED_VALUE"""),42679.99861111111)</f>
        <v>42679.99861</v>
      </c>
      <c r="B2236" s="1">
        <f>IFERROR(__xludf.DUMMYFUNCTION("""COMPUTED_VALUE"""),1940.59287)</f>
        <v>1940.59287</v>
      </c>
    </row>
    <row r="2237">
      <c r="A2237" s="3">
        <f>IFERROR(__xludf.DUMMYFUNCTION("""COMPUTED_VALUE"""),42680.99861111111)</f>
        <v>42680.99861</v>
      </c>
      <c r="B2237" s="1">
        <f>IFERROR(__xludf.DUMMYFUNCTION("""COMPUTED_VALUE"""),1932.23295)</f>
        <v>1932.23295</v>
      </c>
    </row>
    <row r="2238">
      <c r="A2238" s="3">
        <f>IFERROR(__xludf.DUMMYFUNCTION("""COMPUTED_VALUE"""),42681.99861111111)</f>
        <v>42681.99861</v>
      </c>
      <c r="B2238" s="1">
        <f>IFERROR(__xludf.DUMMYFUNCTION("""COMPUTED_VALUE"""),1931.37946)</f>
        <v>1931.37946</v>
      </c>
    </row>
    <row r="2239">
      <c r="A2239" s="3">
        <f>IFERROR(__xludf.DUMMYFUNCTION("""COMPUTED_VALUE"""),42682.99861111111)</f>
        <v>42682.99861</v>
      </c>
      <c r="B2239" s="1">
        <f>IFERROR(__xludf.DUMMYFUNCTION("""COMPUTED_VALUE"""),1921.46094)</f>
        <v>1921.46094</v>
      </c>
    </row>
    <row r="2240">
      <c r="A2240" s="3">
        <f>IFERROR(__xludf.DUMMYFUNCTION("""COMPUTED_VALUE"""),42683.99861111111)</f>
        <v>42683.99861</v>
      </c>
      <c r="B2240" s="1">
        <f>IFERROR(__xludf.DUMMYFUNCTION("""COMPUTED_VALUE"""),1937.44476)</f>
        <v>1937.44476</v>
      </c>
    </row>
    <row r="2241">
      <c r="A2241" s="3">
        <f>IFERROR(__xludf.DUMMYFUNCTION("""COMPUTED_VALUE"""),42684.99861111111)</f>
        <v>42684.99861</v>
      </c>
      <c r="B2241" s="1">
        <f>IFERROR(__xludf.DUMMYFUNCTION("""COMPUTED_VALUE"""),1997.16424)</f>
        <v>1997.16424</v>
      </c>
    </row>
    <row r="2242">
      <c r="A2242" s="3">
        <f>IFERROR(__xludf.DUMMYFUNCTION("""COMPUTED_VALUE"""),42685.99861111111)</f>
        <v>42685.99861</v>
      </c>
      <c r="B2242" s="1">
        <f>IFERROR(__xludf.DUMMYFUNCTION("""COMPUTED_VALUE"""),1957.34774)</f>
        <v>1957.34774</v>
      </c>
    </row>
    <row r="2243">
      <c r="A2243" s="3">
        <f>IFERROR(__xludf.DUMMYFUNCTION("""COMPUTED_VALUE"""),42686.99861111111)</f>
        <v>42686.99861</v>
      </c>
      <c r="B2243" s="1">
        <f>IFERROR(__xludf.DUMMYFUNCTION("""COMPUTED_VALUE"""),1985.269754)</f>
        <v>1985.269754</v>
      </c>
    </row>
    <row r="2244">
      <c r="A2244" s="3">
        <f>IFERROR(__xludf.DUMMYFUNCTION("""COMPUTED_VALUE"""),42687.99861111111)</f>
        <v>42687.99861</v>
      </c>
      <c r="B2244" s="1">
        <f>IFERROR(__xludf.DUMMYFUNCTION("""COMPUTED_VALUE"""),1951.13408)</f>
        <v>1951.13408</v>
      </c>
    </row>
    <row r="2245">
      <c r="A2245" s="3">
        <f>IFERROR(__xludf.DUMMYFUNCTION("""COMPUTED_VALUE"""),42688.99861111111)</f>
        <v>42688.99861</v>
      </c>
      <c r="B2245" s="1">
        <f>IFERROR(__xludf.DUMMYFUNCTION("""COMPUTED_VALUE"""),1965.55236)</f>
        <v>1965.55236</v>
      </c>
    </row>
    <row r="2246">
      <c r="A2246" s="3">
        <f>IFERROR(__xludf.DUMMYFUNCTION("""COMPUTED_VALUE"""),42689.99861111111)</f>
        <v>42689.99861</v>
      </c>
      <c r="B2246" s="1">
        <f>IFERROR(__xludf.DUMMYFUNCTION("""COMPUTED_VALUE"""),1940.63601)</f>
        <v>1940.63601</v>
      </c>
    </row>
    <row r="2247">
      <c r="A2247" s="3">
        <f>IFERROR(__xludf.DUMMYFUNCTION("""COMPUTED_VALUE"""),42690.99861111111)</f>
        <v>42690.99861</v>
      </c>
      <c r="B2247" s="1">
        <f>IFERROR(__xludf.DUMMYFUNCTION("""COMPUTED_VALUE"""),1968.30432)</f>
        <v>1968.30432</v>
      </c>
    </row>
    <row r="2248">
      <c r="A2248" s="3">
        <f>IFERROR(__xludf.DUMMYFUNCTION("""COMPUTED_VALUE"""),42691.99861111111)</f>
        <v>42691.99861</v>
      </c>
      <c r="B2248" s="1">
        <f>IFERROR(__xludf.DUMMYFUNCTION("""COMPUTED_VALUE"""),1949.69118)</f>
        <v>1949.69118</v>
      </c>
    </row>
    <row r="2249">
      <c r="A2249" s="3">
        <f>IFERROR(__xludf.DUMMYFUNCTION("""COMPUTED_VALUE"""),42692.99861111111)</f>
        <v>42692.99861</v>
      </c>
      <c r="B2249" s="1">
        <f>IFERROR(__xludf.DUMMYFUNCTION("""COMPUTED_VALUE"""),1939.23856)</f>
        <v>1939.23856</v>
      </c>
    </row>
    <row r="2250">
      <c r="A2250" s="3">
        <f>IFERROR(__xludf.DUMMYFUNCTION("""COMPUTED_VALUE"""),42693.99861111111)</f>
        <v>42693.99861</v>
      </c>
      <c r="B2250" s="1">
        <f>IFERROR(__xludf.DUMMYFUNCTION("""COMPUTED_VALUE"""),1940.240067)</f>
        <v>1940.240067</v>
      </c>
    </row>
    <row r="2251">
      <c r="A2251" s="3">
        <f>IFERROR(__xludf.DUMMYFUNCTION("""COMPUTED_VALUE"""),42694.99861111111)</f>
        <v>42694.99861</v>
      </c>
      <c r="B2251" s="1">
        <f>IFERROR(__xludf.DUMMYFUNCTION("""COMPUTED_VALUE"""),1954.99416)</f>
        <v>1954.99416</v>
      </c>
    </row>
    <row r="2252">
      <c r="A2252" s="3">
        <f>IFERROR(__xludf.DUMMYFUNCTION("""COMPUTED_VALUE"""),42695.99861111111)</f>
        <v>42695.99861</v>
      </c>
      <c r="B2252" s="1">
        <f>IFERROR(__xludf.DUMMYFUNCTION("""COMPUTED_VALUE"""),1946.48356)</f>
        <v>1946.48356</v>
      </c>
    </row>
    <row r="2253">
      <c r="A2253" s="3">
        <f>IFERROR(__xludf.DUMMYFUNCTION("""COMPUTED_VALUE"""),42696.99861111111)</f>
        <v>42696.99861</v>
      </c>
      <c r="B2253" s="1">
        <f>IFERROR(__xludf.DUMMYFUNCTION("""COMPUTED_VALUE"""),1949.11752)</f>
        <v>1949.11752</v>
      </c>
    </row>
    <row r="2254">
      <c r="A2254" s="3">
        <f>IFERROR(__xludf.DUMMYFUNCTION("""COMPUTED_VALUE"""),42697.99861111111)</f>
        <v>42697.99861</v>
      </c>
      <c r="B2254" s="1">
        <f>IFERROR(__xludf.DUMMYFUNCTION("""COMPUTED_VALUE"""),1966.07543)</f>
        <v>1966.07543</v>
      </c>
    </row>
    <row r="2255">
      <c r="A2255" s="3">
        <f>IFERROR(__xludf.DUMMYFUNCTION("""COMPUTED_VALUE"""),42698.99861111111)</f>
        <v>42698.99861</v>
      </c>
      <c r="B2255" s="1">
        <f>IFERROR(__xludf.DUMMYFUNCTION("""COMPUTED_VALUE"""),1959.40216)</f>
        <v>1959.40216</v>
      </c>
    </row>
    <row r="2256">
      <c r="A2256" s="3">
        <f>IFERROR(__xludf.DUMMYFUNCTION("""COMPUTED_VALUE"""),42699.99861111111)</f>
        <v>42699.99861</v>
      </c>
      <c r="B2256" s="1">
        <f>IFERROR(__xludf.DUMMYFUNCTION("""COMPUTED_VALUE"""),1956.04136)</f>
        <v>1956.04136</v>
      </c>
    </row>
    <row r="2257">
      <c r="A2257" s="3">
        <f>IFERROR(__xludf.DUMMYFUNCTION("""COMPUTED_VALUE"""),42700.99861111111)</f>
        <v>42700.99861</v>
      </c>
      <c r="B2257" s="1">
        <f>IFERROR(__xludf.DUMMYFUNCTION("""COMPUTED_VALUE"""),1953.04325)</f>
        <v>1953.04325</v>
      </c>
    </row>
    <row r="2258">
      <c r="A2258" s="3">
        <f>IFERROR(__xludf.DUMMYFUNCTION("""COMPUTED_VALUE"""),42701.99861111111)</f>
        <v>42701.99861</v>
      </c>
      <c r="B2258" s="1">
        <f>IFERROR(__xludf.DUMMYFUNCTION("""COMPUTED_VALUE"""),1953.1172)</f>
        <v>1953.1172</v>
      </c>
    </row>
    <row r="2259">
      <c r="A2259" s="3">
        <f>IFERROR(__xludf.DUMMYFUNCTION("""COMPUTED_VALUE"""),42702.99861111111)</f>
        <v>42702.99861</v>
      </c>
      <c r="B2259" s="1">
        <f>IFERROR(__xludf.DUMMYFUNCTION("""COMPUTED_VALUE"""),1951.08525)</f>
        <v>1951.08525</v>
      </c>
    </row>
    <row r="2260">
      <c r="A2260" s="3">
        <f>IFERROR(__xludf.DUMMYFUNCTION("""COMPUTED_VALUE"""),42703.99861111111)</f>
        <v>42703.99861</v>
      </c>
      <c r="B2260" s="1">
        <f>IFERROR(__xludf.DUMMYFUNCTION("""COMPUTED_VALUE"""),1956.97988)</f>
        <v>1956.97988</v>
      </c>
    </row>
    <row r="2261">
      <c r="A2261" s="3">
        <f>IFERROR(__xludf.DUMMYFUNCTION("""COMPUTED_VALUE"""),42704.99861111111)</f>
        <v>42704.99861</v>
      </c>
      <c r="B2261" s="1">
        <f>IFERROR(__xludf.DUMMYFUNCTION("""COMPUTED_VALUE"""),1971.333)</f>
        <v>1971.333</v>
      </c>
    </row>
    <row r="2262">
      <c r="A2262" s="3">
        <f>IFERROR(__xludf.DUMMYFUNCTION("""COMPUTED_VALUE"""),42705.99861111111)</f>
        <v>42705.99861</v>
      </c>
      <c r="B2262" s="1">
        <f>IFERROR(__xludf.DUMMYFUNCTION("""COMPUTED_VALUE"""),1962.00252)</f>
        <v>1962.00252</v>
      </c>
    </row>
    <row r="2263">
      <c r="A2263" s="3">
        <f>IFERROR(__xludf.DUMMYFUNCTION("""COMPUTED_VALUE"""),42706.99861111111)</f>
        <v>42706.99861</v>
      </c>
      <c r="B2263" s="1">
        <f>IFERROR(__xludf.DUMMYFUNCTION("""COMPUTED_VALUE"""),1960.8528)</f>
        <v>1960.8528</v>
      </c>
    </row>
    <row r="2264">
      <c r="A2264" s="3">
        <f>IFERROR(__xludf.DUMMYFUNCTION("""COMPUTED_VALUE"""),42708.99861111111)</f>
        <v>42708.99861</v>
      </c>
      <c r="B2264" s="1">
        <f>IFERROR(__xludf.DUMMYFUNCTION("""COMPUTED_VALUE"""),1970.1616)</f>
        <v>1970.1616</v>
      </c>
    </row>
    <row r="2265">
      <c r="A2265" s="3">
        <f>IFERROR(__xludf.DUMMYFUNCTION("""COMPUTED_VALUE"""),42709.99861111111)</f>
        <v>42709.99861</v>
      </c>
      <c r="B2265" s="1">
        <f>IFERROR(__xludf.DUMMYFUNCTION("""COMPUTED_VALUE"""),1795.99012)</f>
        <v>1795.99012</v>
      </c>
    </row>
    <row r="2266">
      <c r="A2266" s="3">
        <f>IFERROR(__xludf.DUMMYFUNCTION("""COMPUTED_VALUE"""),42710.99861111111)</f>
        <v>42710.99861</v>
      </c>
      <c r="B2266" s="1">
        <f>IFERROR(__xludf.DUMMYFUNCTION("""COMPUTED_VALUE"""),1850.67024)</f>
        <v>1850.67024</v>
      </c>
    </row>
    <row r="2267">
      <c r="A2267" s="3">
        <f>IFERROR(__xludf.DUMMYFUNCTION("""COMPUTED_VALUE"""),42711.99861111111)</f>
        <v>42711.99861</v>
      </c>
      <c r="B2267" s="1">
        <f>IFERROR(__xludf.DUMMYFUNCTION("""COMPUTED_VALUE"""),1932.464827)</f>
        <v>1932.464827</v>
      </c>
    </row>
    <row r="2268">
      <c r="A2268" s="3">
        <f>IFERROR(__xludf.DUMMYFUNCTION("""COMPUTED_VALUE"""),42712.99861111111)</f>
        <v>42712.99861</v>
      </c>
      <c r="B2268" s="1">
        <f>IFERROR(__xludf.DUMMYFUNCTION("""COMPUTED_VALUE"""),1936.854891)</f>
        <v>1936.854891</v>
      </c>
    </row>
    <row r="2269">
      <c r="A2269" s="3">
        <f>IFERROR(__xludf.DUMMYFUNCTION("""COMPUTED_VALUE"""),42713.99861111111)</f>
        <v>42713.99861</v>
      </c>
      <c r="B2269" s="1">
        <f>IFERROR(__xludf.DUMMYFUNCTION("""COMPUTED_VALUE"""),1934.702851)</f>
        <v>1934.702851</v>
      </c>
    </row>
    <row r="2270">
      <c r="A2270" s="3">
        <f>IFERROR(__xludf.DUMMYFUNCTION("""COMPUTED_VALUE"""),42714.99861111111)</f>
        <v>42714.99861</v>
      </c>
      <c r="B2270" s="1">
        <f>IFERROR(__xludf.DUMMYFUNCTION("""COMPUTED_VALUE"""),1935.591553)</f>
        <v>1935.591553</v>
      </c>
    </row>
    <row r="2271">
      <c r="A2271" s="3">
        <f>IFERROR(__xludf.DUMMYFUNCTION("""COMPUTED_VALUE"""),42715.99861111111)</f>
        <v>42715.99861</v>
      </c>
      <c r="B2271" s="1">
        <f>IFERROR(__xludf.DUMMYFUNCTION("""COMPUTED_VALUE"""),1933.919157)</f>
        <v>1933.919157</v>
      </c>
    </row>
    <row r="2272">
      <c r="A2272" s="3">
        <f>IFERROR(__xludf.DUMMYFUNCTION("""COMPUTED_VALUE"""),42716.99861111111)</f>
        <v>42716.99861</v>
      </c>
      <c r="B2272" s="1">
        <f>IFERROR(__xludf.DUMMYFUNCTION("""COMPUTED_VALUE"""),1925.212672)</f>
        <v>1925.212672</v>
      </c>
    </row>
    <row r="2273">
      <c r="A2273" s="3">
        <f>IFERROR(__xludf.DUMMYFUNCTION("""COMPUTED_VALUE"""),42717.99861111111)</f>
        <v>42717.99861</v>
      </c>
      <c r="B2273" s="1">
        <f>IFERROR(__xludf.DUMMYFUNCTION("""COMPUTED_VALUE"""),1926.955489)</f>
        <v>1926.955489</v>
      </c>
    </row>
    <row r="2274">
      <c r="A2274" s="3">
        <f>IFERROR(__xludf.DUMMYFUNCTION("""COMPUTED_VALUE"""),42718.99861111111)</f>
        <v>42718.99861</v>
      </c>
      <c r="B2274" s="1">
        <f>IFERROR(__xludf.DUMMYFUNCTION("""COMPUTED_VALUE"""),1943.567243)</f>
        <v>1943.567243</v>
      </c>
    </row>
    <row r="2275">
      <c r="A2275" s="3">
        <f>IFERROR(__xludf.DUMMYFUNCTION("""COMPUTED_VALUE"""),42719.99861111111)</f>
        <v>42719.99861</v>
      </c>
      <c r="B2275" s="1">
        <f>IFERROR(__xludf.DUMMYFUNCTION("""COMPUTED_VALUE"""),1934.009161)</f>
        <v>1934.009161</v>
      </c>
    </row>
    <row r="2276">
      <c r="A2276" s="3">
        <f>IFERROR(__xludf.DUMMYFUNCTION("""COMPUTED_VALUE"""),42720.99861111111)</f>
        <v>42720.99861</v>
      </c>
      <c r="B2276" s="1">
        <f>IFERROR(__xludf.DUMMYFUNCTION("""COMPUTED_VALUE"""),1927.051103)</f>
        <v>1927.051103</v>
      </c>
    </row>
    <row r="2277">
      <c r="A2277" s="3">
        <f>IFERROR(__xludf.DUMMYFUNCTION("""COMPUTED_VALUE"""),42721.99861111111)</f>
        <v>42721.99861</v>
      </c>
      <c r="B2277" s="1">
        <f>IFERROR(__xludf.DUMMYFUNCTION("""COMPUTED_VALUE"""),1927.051103)</f>
        <v>1927.051103</v>
      </c>
    </row>
    <row r="2278">
      <c r="A2278" s="3">
        <f>IFERROR(__xludf.DUMMYFUNCTION("""COMPUTED_VALUE"""),42722.99861111111)</f>
        <v>42722.99861</v>
      </c>
      <c r="B2278" s="1">
        <f>IFERROR(__xludf.DUMMYFUNCTION("""COMPUTED_VALUE"""),1923.314558)</f>
        <v>1923.314558</v>
      </c>
    </row>
    <row r="2279">
      <c r="A2279" s="3">
        <f>IFERROR(__xludf.DUMMYFUNCTION("""COMPUTED_VALUE"""),42723.99861111111)</f>
        <v>42723.99861</v>
      </c>
      <c r="B2279" s="1">
        <f>IFERROR(__xludf.DUMMYFUNCTION("""COMPUTED_VALUE"""),1922.910969)</f>
        <v>1922.910969</v>
      </c>
    </row>
    <row r="2280">
      <c r="A2280" s="3">
        <f>IFERROR(__xludf.DUMMYFUNCTION("""COMPUTED_VALUE"""),42724.99861111111)</f>
        <v>42724.99861</v>
      </c>
      <c r="B2280" s="1">
        <f>IFERROR(__xludf.DUMMYFUNCTION("""COMPUTED_VALUE"""),1931.134671)</f>
        <v>1931.134671</v>
      </c>
    </row>
    <row r="2281">
      <c r="A2281" s="3">
        <f>IFERROR(__xludf.DUMMYFUNCTION("""COMPUTED_VALUE"""),42725.99861111111)</f>
        <v>42725.99861</v>
      </c>
      <c r="B2281" s="1">
        <f>IFERROR(__xludf.DUMMYFUNCTION("""COMPUTED_VALUE"""),1936.064672)</f>
        <v>1936.064672</v>
      </c>
    </row>
    <row r="2282">
      <c r="A2282" s="3">
        <f>IFERROR(__xludf.DUMMYFUNCTION("""COMPUTED_VALUE"""),42726.99861111111)</f>
        <v>42726.99861</v>
      </c>
      <c r="B2282" s="1">
        <f>IFERROR(__xludf.DUMMYFUNCTION("""COMPUTED_VALUE"""),1937.784505)</f>
        <v>1937.784505</v>
      </c>
    </row>
    <row r="2283">
      <c r="A2283" s="3">
        <f>IFERROR(__xludf.DUMMYFUNCTION("""COMPUTED_VALUE"""),42727.99861111111)</f>
        <v>42727.99861</v>
      </c>
      <c r="B2283" s="1">
        <f>IFERROR(__xludf.DUMMYFUNCTION("""COMPUTED_VALUE"""),1936.595311)</f>
        <v>1936.595311</v>
      </c>
    </row>
    <row r="2284">
      <c r="A2284" s="3">
        <f>IFERROR(__xludf.DUMMYFUNCTION("""COMPUTED_VALUE"""),42728.99861111111)</f>
        <v>42728.99861</v>
      </c>
      <c r="B2284" s="1">
        <f>IFERROR(__xludf.DUMMYFUNCTION("""COMPUTED_VALUE"""),1934.113698)</f>
        <v>1934.113698</v>
      </c>
    </row>
    <row r="2285">
      <c r="A2285" s="3">
        <f>IFERROR(__xludf.DUMMYFUNCTION("""COMPUTED_VALUE"""),42729.99861111111)</f>
        <v>42729.99861</v>
      </c>
      <c r="B2285" s="1">
        <f>IFERROR(__xludf.DUMMYFUNCTION("""COMPUTED_VALUE"""),1935.409538)</f>
        <v>1935.409538</v>
      </c>
    </row>
    <row r="2286">
      <c r="A2286" s="3">
        <f>IFERROR(__xludf.DUMMYFUNCTION("""COMPUTED_VALUE"""),42730.99861111111)</f>
        <v>42730.99861</v>
      </c>
      <c r="B2286" s="1">
        <f>IFERROR(__xludf.DUMMYFUNCTION("""COMPUTED_VALUE"""),1935.576757)</f>
        <v>1935.576757</v>
      </c>
    </row>
    <row r="2287">
      <c r="A2287" s="3">
        <f>IFERROR(__xludf.DUMMYFUNCTION("""COMPUTED_VALUE"""),42731.99861111111)</f>
        <v>42731.99861</v>
      </c>
      <c r="B2287" s="1">
        <f>IFERROR(__xludf.DUMMYFUNCTION("""COMPUTED_VALUE"""),1934.317591)</f>
        <v>1934.317591</v>
      </c>
    </row>
    <row r="2288">
      <c r="A2288" s="3">
        <f>IFERROR(__xludf.DUMMYFUNCTION("""COMPUTED_VALUE"""),42732.99861111111)</f>
        <v>42732.99861</v>
      </c>
      <c r="B2288" s="1">
        <f>IFERROR(__xludf.DUMMYFUNCTION("""COMPUTED_VALUE"""),1938.747591)</f>
        <v>1938.747591</v>
      </c>
    </row>
    <row r="2289">
      <c r="A2289" s="3">
        <f>IFERROR(__xludf.DUMMYFUNCTION("""COMPUTED_VALUE"""),42733.99861111111)</f>
        <v>42733.99861</v>
      </c>
      <c r="B2289" s="1">
        <f>IFERROR(__xludf.DUMMYFUNCTION("""COMPUTED_VALUE"""),1938.865113)</f>
        <v>1938.865113</v>
      </c>
    </row>
    <row r="2290">
      <c r="A2290" s="3">
        <f>IFERROR(__xludf.DUMMYFUNCTION("""COMPUTED_VALUE"""),42734.99861111111)</f>
        <v>42734.99861</v>
      </c>
      <c r="B2290" s="1">
        <f>IFERROR(__xludf.DUMMYFUNCTION("""COMPUTED_VALUE"""),1949.242879)</f>
        <v>1949.242879</v>
      </c>
    </row>
    <row r="2291">
      <c r="A2291" s="3">
        <f>IFERROR(__xludf.DUMMYFUNCTION("""COMPUTED_VALUE"""),42735.99861111111)</f>
        <v>42735.99861</v>
      </c>
      <c r="B2291" s="1">
        <f>IFERROR(__xludf.DUMMYFUNCTION("""COMPUTED_VALUE"""),1946.7726)</f>
        <v>1946.7726</v>
      </c>
    </row>
    <row r="2292">
      <c r="A2292" s="3">
        <f>IFERROR(__xludf.DUMMYFUNCTION("""COMPUTED_VALUE"""),42736.99861111111)</f>
        <v>42736.99861</v>
      </c>
      <c r="B2292" s="1">
        <f>IFERROR(__xludf.DUMMYFUNCTION("""COMPUTED_VALUE"""),1945.90852)</f>
        <v>1945.90852</v>
      </c>
    </row>
    <row r="2293">
      <c r="A2293" s="3">
        <f>IFERROR(__xludf.DUMMYFUNCTION("""COMPUTED_VALUE"""),42737.99861111111)</f>
        <v>42737.99861</v>
      </c>
      <c r="B2293" s="1">
        <f>IFERROR(__xludf.DUMMYFUNCTION("""COMPUTED_VALUE"""),1944.98839)</f>
        <v>1944.98839</v>
      </c>
    </row>
    <row r="2294">
      <c r="A2294" s="3">
        <f>IFERROR(__xludf.DUMMYFUNCTION("""COMPUTED_VALUE"""),42738.99861111111)</f>
        <v>42738.99861</v>
      </c>
      <c r="B2294" s="1">
        <f>IFERROR(__xludf.DUMMYFUNCTION("""COMPUTED_VALUE"""),1931.52089)</f>
        <v>1931.52089</v>
      </c>
    </row>
    <row r="2295">
      <c r="A2295" s="3">
        <f>IFERROR(__xludf.DUMMYFUNCTION("""COMPUTED_VALUE"""),42739.99861111111)</f>
        <v>42739.99861</v>
      </c>
      <c r="B2295" s="1">
        <f>IFERROR(__xludf.DUMMYFUNCTION("""COMPUTED_VALUE"""),1927.481099)</f>
        <v>1927.481099</v>
      </c>
    </row>
    <row r="2296">
      <c r="A2296" s="3">
        <f>IFERROR(__xludf.DUMMYFUNCTION("""COMPUTED_VALUE"""),42740.99861111111)</f>
        <v>42740.99861</v>
      </c>
      <c r="B2296" s="1">
        <f>IFERROR(__xludf.DUMMYFUNCTION("""COMPUTED_VALUE"""),1933.680789)</f>
        <v>1933.680789</v>
      </c>
    </row>
    <row r="2297">
      <c r="A2297" s="3">
        <f>IFERROR(__xludf.DUMMYFUNCTION("""COMPUTED_VALUE"""),42741.99861111111)</f>
        <v>42741.99861</v>
      </c>
      <c r="B2297" s="1">
        <f>IFERROR(__xludf.DUMMYFUNCTION("""COMPUTED_VALUE"""),1930.629293)</f>
        <v>1930.629293</v>
      </c>
    </row>
    <row r="2298">
      <c r="A2298" s="3">
        <f>IFERROR(__xludf.DUMMYFUNCTION("""COMPUTED_VALUE"""),42742.99861111111)</f>
        <v>42742.99861</v>
      </c>
      <c r="B2298" s="1">
        <f>IFERROR(__xludf.DUMMYFUNCTION("""COMPUTED_VALUE"""),1928.731394)</f>
        <v>1928.731394</v>
      </c>
    </row>
    <row r="2299">
      <c r="A2299" s="3">
        <f>IFERROR(__xludf.DUMMYFUNCTION("""COMPUTED_VALUE"""),42743.99861111111)</f>
        <v>42743.99861</v>
      </c>
      <c r="B2299" s="1">
        <f>IFERROR(__xludf.DUMMYFUNCTION("""COMPUTED_VALUE"""),1930.032442)</f>
        <v>1930.032442</v>
      </c>
    </row>
    <row r="2300">
      <c r="A2300" s="3">
        <f>IFERROR(__xludf.DUMMYFUNCTION("""COMPUTED_VALUE"""),42744.99861111111)</f>
        <v>42744.99861</v>
      </c>
      <c r="B2300" s="1">
        <f>IFERROR(__xludf.DUMMYFUNCTION("""COMPUTED_VALUE"""),1919.356358)</f>
        <v>1919.356358</v>
      </c>
    </row>
    <row r="2301">
      <c r="A2301" s="3">
        <f>IFERROR(__xludf.DUMMYFUNCTION("""COMPUTED_VALUE"""),42745.99861111111)</f>
        <v>42745.99861</v>
      </c>
      <c r="B2301" s="1">
        <f>IFERROR(__xludf.DUMMYFUNCTION("""COMPUTED_VALUE"""),1920.33166)</f>
        <v>1920.33166</v>
      </c>
    </row>
    <row r="2302">
      <c r="A2302" s="3">
        <f>IFERROR(__xludf.DUMMYFUNCTION("""COMPUTED_VALUE"""),42746.99861111111)</f>
        <v>42746.99861</v>
      </c>
      <c r="B2302" s="1">
        <f>IFERROR(__xludf.DUMMYFUNCTION("""COMPUTED_VALUE"""),1908.997738)</f>
        <v>1908.997738</v>
      </c>
    </row>
    <row r="2303">
      <c r="A2303" s="3">
        <f>IFERROR(__xludf.DUMMYFUNCTION("""COMPUTED_VALUE"""),42747.99861111111)</f>
        <v>42747.99861</v>
      </c>
      <c r="B2303" s="1">
        <f>IFERROR(__xludf.DUMMYFUNCTION("""COMPUTED_VALUE"""),1922.87045)</f>
        <v>1922.87045</v>
      </c>
    </row>
    <row r="2304">
      <c r="A2304" s="3">
        <f>IFERROR(__xludf.DUMMYFUNCTION("""COMPUTED_VALUE"""),42748.99861111111)</f>
        <v>42748.99861</v>
      </c>
      <c r="B2304" s="1">
        <f>IFERROR(__xludf.DUMMYFUNCTION("""COMPUTED_VALUE"""),1932.080277)</f>
        <v>1932.080277</v>
      </c>
    </row>
    <row r="2305">
      <c r="A2305" s="3">
        <f>IFERROR(__xludf.DUMMYFUNCTION("""COMPUTED_VALUE"""),42749.99861111111)</f>
        <v>42749.99861</v>
      </c>
      <c r="B2305" s="1">
        <f>IFERROR(__xludf.DUMMYFUNCTION("""COMPUTED_VALUE"""),1929.755827)</f>
        <v>1929.755827</v>
      </c>
    </row>
    <row r="2306">
      <c r="A2306" s="3">
        <f>IFERROR(__xludf.DUMMYFUNCTION("""COMPUTED_VALUE"""),42750.99861111111)</f>
        <v>42750.99861</v>
      </c>
      <c r="B2306" s="1">
        <f>IFERROR(__xludf.DUMMYFUNCTION("""COMPUTED_VALUE"""),1929.755827)</f>
        <v>1929.755827</v>
      </c>
    </row>
    <row r="2307">
      <c r="A2307" s="3">
        <f>IFERROR(__xludf.DUMMYFUNCTION("""COMPUTED_VALUE"""),42751.99861111111)</f>
        <v>42751.99861</v>
      </c>
      <c r="B2307" s="1">
        <f>IFERROR(__xludf.DUMMYFUNCTION("""COMPUTED_VALUE"""),1937.164296)</f>
        <v>1937.164296</v>
      </c>
    </row>
    <row r="2308">
      <c r="A2308" s="3">
        <f>IFERROR(__xludf.DUMMYFUNCTION("""COMPUTED_VALUE"""),42752.99861111111)</f>
        <v>42752.99861</v>
      </c>
      <c r="B2308" s="1">
        <f>IFERROR(__xludf.DUMMYFUNCTION("""COMPUTED_VALUE"""),1942.553178)</f>
        <v>1942.553178</v>
      </c>
    </row>
    <row r="2309">
      <c r="A2309" s="3">
        <f>IFERROR(__xludf.DUMMYFUNCTION("""COMPUTED_VALUE"""),42753.99861111111)</f>
        <v>42753.99861</v>
      </c>
      <c r="B2309" s="1">
        <f>IFERROR(__xludf.DUMMYFUNCTION("""COMPUTED_VALUE"""),1955.250058)</f>
        <v>1955.250058</v>
      </c>
    </row>
    <row r="2310">
      <c r="A2310" s="3">
        <f>IFERROR(__xludf.DUMMYFUNCTION("""COMPUTED_VALUE"""),42754.99861111111)</f>
        <v>42754.99861</v>
      </c>
      <c r="B2310" s="1">
        <f>IFERROR(__xludf.DUMMYFUNCTION("""COMPUTED_VALUE"""),1949.776208)</f>
        <v>1949.776208</v>
      </c>
    </row>
    <row r="2311">
      <c r="A2311" s="3">
        <f>IFERROR(__xludf.DUMMYFUNCTION("""COMPUTED_VALUE"""),42755.99861111111)</f>
        <v>42755.99861</v>
      </c>
      <c r="B2311" s="1">
        <f>IFERROR(__xludf.DUMMYFUNCTION("""COMPUTED_VALUE"""),1950.484197)</f>
        <v>1950.484197</v>
      </c>
    </row>
    <row r="2312">
      <c r="A2312" s="3">
        <f>IFERROR(__xludf.DUMMYFUNCTION("""COMPUTED_VALUE"""),42756.99861111111)</f>
        <v>42756.99861</v>
      </c>
      <c r="B2312" s="1">
        <f>IFERROR(__xludf.DUMMYFUNCTION("""COMPUTED_VALUE"""),1947.930956)</f>
        <v>1947.930956</v>
      </c>
    </row>
    <row r="2313">
      <c r="A2313" s="3">
        <f>IFERROR(__xludf.DUMMYFUNCTION("""COMPUTED_VALUE"""),42757.99861111111)</f>
        <v>42757.99861</v>
      </c>
      <c r="B2313" s="1">
        <f>IFERROR(__xludf.DUMMYFUNCTION("""COMPUTED_VALUE"""),1949.821727)</f>
        <v>1949.821727</v>
      </c>
    </row>
    <row r="2314">
      <c r="A2314" s="3">
        <f>IFERROR(__xludf.DUMMYFUNCTION("""COMPUTED_VALUE"""),42758.99861111111)</f>
        <v>42758.99861</v>
      </c>
      <c r="B2314" s="1">
        <f>IFERROR(__xludf.DUMMYFUNCTION("""COMPUTED_VALUE"""),1949.883056)</f>
        <v>1949.883056</v>
      </c>
    </row>
    <row r="2315">
      <c r="A2315" s="3">
        <f>IFERROR(__xludf.DUMMYFUNCTION("""COMPUTED_VALUE"""),42759.99861111111)</f>
        <v>42759.99861</v>
      </c>
      <c r="B2315" s="1">
        <f>IFERROR(__xludf.DUMMYFUNCTION("""COMPUTED_VALUE"""),1948.021524)</f>
        <v>1948.021524</v>
      </c>
    </row>
    <row r="2316">
      <c r="A2316" s="3">
        <f>IFERROR(__xludf.DUMMYFUNCTION("""COMPUTED_VALUE"""),42760.99861111111)</f>
        <v>42760.99861</v>
      </c>
      <c r="B2316" s="1">
        <f>IFERROR(__xludf.DUMMYFUNCTION("""COMPUTED_VALUE"""),1937.267207)</f>
        <v>1937.267207</v>
      </c>
    </row>
    <row r="2317">
      <c r="A2317" s="3">
        <f>IFERROR(__xludf.DUMMYFUNCTION("""COMPUTED_VALUE"""),42761.99861111111)</f>
        <v>42761.99861</v>
      </c>
      <c r="B2317" s="1">
        <f>IFERROR(__xludf.DUMMYFUNCTION("""COMPUTED_VALUE"""),1946.237401)</f>
        <v>1946.237401</v>
      </c>
    </row>
    <row r="2318">
      <c r="A2318" s="3">
        <f>IFERROR(__xludf.DUMMYFUNCTION("""COMPUTED_VALUE"""),42762.99861111111)</f>
        <v>42762.99861</v>
      </c>
      <c r="B2318" s="1">
        <f>IFERROR(__xludf.DUMMYFUNCTION("""COMPUTED_VALUE"""),1943.769277)</f>
        <v>1943.769277</v>
      </c>
    </row>
    <row r="2319">
      <c r="A2319" s="3">
        <f>IFERROR(__xludf.DUMMYFUNCTION("""COMPUTED_VALUE"""),42763.99861111111)</f>
        <v>42763.99861</v>
      </c>
      <c r="B2319" s="1">
        <f>IFERROR(__xludf.DUMMYFUNCTION("""COMPUTED_VALUE"""),1945.512659)</f>
        <v>1945.512659</v>
      </c>
    </row>
    <row r="2320">
      <c r="A2320" s="3">
        <f>IFERROR(__xludf.DUMMYFUNCTION("""COMPUTED_VALUE"""),42764.99861111111)</f>
        <v>42764.99861</v>
      </c>
      <c r="B2320" s="1">
        <f>IFERROR(__xludf.DUMMYFUNCTION("""COMPUTED_VALUE"""),1936.074306)</f>
        <v>1936.074306</v>
      </c>
    </row>
    <row r="2321">
      <c r="A2321" s="3">
        <f>IFERROR(__xludf.DUMMYFUNCTION("""COMPUTED_VALUE"""),42765.99861111111)</f>
        <v>42765.99861</v>
      </c>
      <c r="B2321" s="1">
        <f>IFERROR(__xludf.DUMMYFUNCTION("""COMPUTED_VALUE"""),1938.465558)</f>
        <v>1938.465558</v>
      </c>
    </row>
    <row r="2322">
      <c r="A2322" s="3">
        <f>IFERROR(__xludf.DUMMYFUNCTION("""COMPUTED_VALUE"""),42766.99861111111)</f>
        <v>42766.99861</v>
      </c>
      <c r="B2322" s="1">
        <f>IFERROR(__xludf.DUMMYFUNCTION("""COMPUTED_VALUE"""),1939.96265)</f>
        <v>1939.96265</v>
      </c>
    </row>
    <row r="2323">
      <c r="A2323" s="3">
        <f>IFERROR(__xludf.DUMMYFUNCTION("""COMPUTED_VALUE"""),42767.99861111111)</f>
        <v>42767.99861</v>
      </c>
      <c r="B2323" s="1">
        <f>IFERROR(__xludf.DUMMYFUNCTION("""COMPUTED_VALUE"""),1941.208)</f>
        <v>1941.208</v>
      </c>
    </row>
    <row r="2324">
      <c r="A2324" s="3">
        <f>IFERROR(__xludf.DUMMYFUNCTION("""COMPUTED_VALUE"""),42768.99861111111)</f>
        <v>42768.99861</v>
      </c>
      <c r="B2324" s="1">
        <f>IFERROR(__xludf.DUMMYFUNCTION("""COMPUTED_VALUE"""),1939.44072)</f>
        <v>1939.44072</v>
      </c>
    </row>
    <row r="2325">
      <c r="A2325" s="3">
        <f>IFERROR(__xludf.DUMMYFUNCTION("""COMPUTED_VALUE"""),42769.99861111111)</f>
        <v>42769.99861</v>
      </c>
      <c r="B2325" s="1">
        <f>IFERROR(__xludf.DUMMYFUNCTION("""COMPUTED_VALUE"""),1938.16854)</f>
        <v>1938.16854</v>
      </c>
    </row>
    <row r="2326">
      <c r="A2326" s="3">
        <f>IFERROR(__xludf.DUMMYFUNCTION("""COMPUTED_VALUE"""),42770.99861111111)</f>
        <v>42770.99861</v>
      </c>
      <c r="B2326" s="1">
        <f>IFERROR(__xludf.DUMMYFUNCTION("""COMPUTED_VALUE"""),1930.93285)</f>
        <v>1930.93285</v>
      </c>
    </row>
    <row r="2327">
      <c r="A2327" s="3">
        <f>IFERROR(__xludf.DUMMYFUNCTION("""COMPUTED_VALUE"""),42771.99861111111)</f>
        <v>42771.99861</v>
      </c>
      <c r="B2327" s="1">
        <f>IFERROR(__xludf.DUMMYFUNCTION("""COMPUTED_VALUE"""),1940.41224)</f>
        <v>1940.41224</v>
      </c>
    </row>
    <row r="2328">
      <c r="A2328" s="3">
        <f>IFERROR(__xludf.DUMMYFUNCTION("""COMPUTED_VALUE"""),42772.99861111111)</f>
        <v>42772.99861</v>
      </c>
      <c r="B2328" s="1">
        <f>IFERROR(__xludf.DUMMYFUNCTION("""COMPUTED_VALUE"""),1941.19842)</f>
        <v>1941.19842</v>
      </c>
    </row>
    <row r="2329">
      <c r="A2329" s="3">
        <f>IFERROR(__xludf.DUMMYFUNCTION("""COMPUTED_VALUE"""),42773.99861111111)</f>
        <v>42773.99861</v>
      </c>
      <c r="B2329" s="1">
        <f>IFERROR(__xludf.DUMMYFUNCTION("""COMPUTED_VALUE"""),1932.8782)</f>
        <v>1932.8782</v>
      </c>
    </row>
    <row r="2330">
      <c r="A2330" s="3">
        <f>IFERROR(__xludf.DUMMYFUNCTION("""COMPUTED_VALUE"""),42774.99861111111)</f>
        <v>42774.99861</v>
      </c>
      <c r="B2330" s="1">
        <f>IFERROR(__xludf.DUMMYFUNCTION("""COMPUTED_VALUE"""),1935.17496)</f>
        <v>1935.17496</v>
      </c>
    </row>
    <row r="2331">
      <c r="A2331" s="3">
        <f>IFERROR(__xludf.DUMMYFUNCTION("""COMPUTED_VALUE"""),42775.99861111111)</f>
        <v>42775.99861</v>
      </c>
      <c r="B2331" s="1">
        <f>IFERROR(__xludf.DUMMYFUNCTION("""COMPUTED_VALUE"""),1934.20128)</f>
        <v>1934.20128</v>
      </c>
    </row>
    <row r="2332">
      <c r="A2332" s="3">
        <f>IFERROR(__xludf.DUMMYFUNCTION("""COMPUTED_VALUE"""),42776.99861111111)</f>
        <v>42776.99861</v>
      </c>
      <c r="B2332" s="1">
        <f>IFERROR(__xludf.DUMMYFUNCTION("""COMPUTED_VALUE"""),1934.51203)</f>
        <v>1934.51203</v>
      </c>
    </row>
    <row r="2333">
      <c r="A2333" s="3">
        <f>IFERROR(__xludf.DUMMYFUNCTION("""COMPUTED_VALUE"""),42777.99861111111)</f>
        <v>42777.99861</v>
      </c>
      <c r="B2333" s="1">
        <f>IFERROR(__xludf.DUMMYFUNCTION("""COMPUTED_VALUE"""),1937.332849)</f>
        <v>1937.332849</v>
      </c>
    </row>
    <row r="2334">
      <c r="A2334" s="3">
        <f>IFERROR(__xludf.DUMMYFUNCTION("""COMPUTED_VALUE"""),42778.99861111111)</f>
        <v>42778.99861</v>
      </c>
      <c r="B2334" s="1">
        <f>IFERROR(__xludf.DUMMYFUNCTION("""COMPUTED_VALUE"""),1933.575)</f>
        <v>1933.575</v>
      </c>
    </row>
    <row r="2335">
      <c r="A2335" s="3">
        <f>IFERROR(__xludf.DUMMYFUNCTION("""COMPUTED_VALUE"""),42779.99861111111)</f>
        <v>42779.99861</v>
      </c>
      <c r="B2335" s="1">
        <f>IFERROR(__xludf.DUMMYFUNCTION("""COMPUTED_VALUE"""),1936.23159)</f>
        <v>1936.23159</v>
      </c>
    </row>
    <row r="2336">
      <c r="A2336" s="3">
        <f>IFERROR(__xludf.DUMMYFUNCTION("""COMPUTED_VALUE"""),42780.99861111111)</f>
        <v>42780.99861</v>
      </c>
      <c r="B2336" s="1">
        <f>IFERROR(__xludf.DUMMYFUNCTION("""COMPUTED_VALUE"""),1939.5376)</f>
        <v>1939.5376</v>
      </c>
    </row>
    <row r="2337">
      <c r="A2337" s="3">
        <f>IFERROR(__xludf.DUMMYFUNCTION("""COMPUTED_VALUE"""),42781.99861111111)</f>
        <v>42781.99861</v>
      </c>
      <c r="B2337" s="1">
        <f>IFERROR(__xludf.DUMMYFUNCTION("""COMPUTED_VALUE"""),1938.41012)</f>
        <v>1938.41012</v>
      </c>
    </row>
    <row r="2338">
      <c r="A2338" s="3">
        <f>IFERROR(__xludf.DUMMYFUNCTION("""COMPUTED_VALUE"""),42782.99861111111)</f>
        <v>42782.99861</v>
      </c>
      <c r="B2338" s="1">
        <f>IFERROR(__xludf.DUMMYFUNCTION("""COMPUTED_VALUE"""),1943.5339)</f>
        <v>1943.5339</v>
      </c>
    </row>
    <row r="2339">
      <c r="A2339" s="3">
        <f>IFERROR(__xludf.DUMMYFUNCTION("""COMPUTED_VALUE"""),42783.99861111111)</f>
        <v>42783.99861</v>
      </c>
      <c r="B2339" s="1">
        <f>IFERROR(__xludf.DUMMYFUNCTION("""COMPUTED_VALUE"""),1942.27956)</f>
        <v>1942.27956</v>
      </c>
    </row>
    <row r="2340">
      <c r="A2340" s="3">
        <f>IFERROR(__xludf.DUMMYFUNCTION("""COMPUTED_VALUE"""),42784.99861111111)</f>
        <v>42784.99861</v>
      </c>
      <c r="B2340" s="1">
        <f>IFERROR(__xludf.DUMMYFUNCTION("""COMPUTED_VALUE"""),1950.600093)</f>
        <v>1950.600093</v>
      </c>
    </row>
    <row r="2341">
      <c r="A2341" s="3">
        <f>IFERROR(__xludf.DUMMYFUNCTION("""COMPUTED_VALUE"""),42785.99861111111)</f>
        <v>42785.99861</v>
      </c>
      <c r="B2341" s="1">
        <f>IFERROR(__xludf.DUMMYFUNCTION("""COMPUTED_VALUE"""),1946.964)</f>
        <v>1946.964</v>
      </c>
    </row>
    <row r="2342">
      <c r="A2342" s="3">
        <f>IFERROR(__xludf.DUMMYFUNCTION("""COMPUTED_VALUE"""),42786.99861111111)</f>
        <v>42786.99861</v>
      </c>
      <c r="B2342" s="1">
        <f>IFERROR(__xludf.DUMMYFUNCTION("""COMPUTED_VALUE"""),1940.11992)</f>
        <v>1940.11992</v>
      </c>
    </row>
    <row r="2343">
      <c r="A2343" s="3">
        <f>IFERROR(__xludf.DUMMYFUNCTION("""COMPUTED_VALUE"""),42787.99861111111)</f>
        <v>42787.99861</v>
      </c>
      <c r="B2343" s="1">
        <f>IFERROR(__xludf.DUMMYFUNCTION("""COMPUTED_VALUE"""),1940.38308)</f>
        <v>1940.38308</v>
      </c>
    </row>
    <row r="2344">
      <c r="A2344" s="3">
        <f>IFERROR(__xludf.DUMMYFUNCTION("""COMPUTED_VALUE"""),42788.99861111111)</f>
        <v>42788.99861</v>
      </c>
      <c r="B2344" s="1">
        <f>IFERROR(__xludf.DUMMYFUNCTION("""COMPUTED_VALUE"""),1940.0121)</f>
        <v>1940.0121</v>
      </c>
    </row>
    <row r="2345">
      <c r="A2345" s="3">
        <f>IFERROR(__xludf.DUMMYFUNCTION("""COMPUTED_VALUE"""),42789.99861111111)</f>
        <v>42789.99861</v>
      </c>
      <c r="B2345" s="1">
        <f>IFERROR(__xludf.DUMMYFUNCTION("""COMPUTED_VALUE"""),1940.51975)</f>
        <v>1940.51975</v>
      </c>
    </row>
    <row r="2346">
      <c r="A2346" s="3">
        <f>IFERROR(__xludf.DUMMYFUNCTION("""COMPUTED_VALUE"""),42790.99861111111)</f>
        <v>42790.99861</v>
      </c>
      <c r="B2346" s="1">
        <f>IFERROR(__xludf.DUMMYFUNCTION("""COMPUTED_VALUE"""),1940.49495)</f>
        <v>1940.49495</v>
      </c>
    </row>
    <row r="2347">
      <c r="A2347" s="3">
        <f>IFERROR(__xludf.DUMMYFUNCTION("""COMPUTED_VALUE"""),42791.99861111111)</f>
        <v>42791.99861</v>
      </c>
      <c r="B2347" s="1">
        <f>IFERROR(__xludf.DUMMYFUNCTION("""COMPUTED_VALUE"""),1940.49495)</f>
        <v>1940.49495</v>
      </c>
    </row>
    <row r="2348">
      <c r="A2348" s="3">
        <f>IFERROR(__xludf.DUMMYFUNCTION("""COMPUTED_VALUE"""),42792.99861111111)</f>
        <v>42792.99861</v>
      </c>
      <c r="B2348" s="1">
        <f>IFERROR(__xludf.DUMMYFUNCTION("""COMPUTED_VALUE"""),1930.38112)</f>
        <v>1930.38112</v>
      </c>
    </row>
    <row r="2349">
      <c r="A2349" s="3">
        <f>IFERROR(__xludf.DUMMYFUNCTION("""COMPUTED_VALUE"""),42793.99861111111)</f>
        <v>42793.99861</v>
      </c>
      <c r="B2349" s="1">
        <f>IFERROR(__xludf.DUMMYFUNCTION("""COMPUTED_VALUE"""),1941.22467)</f>
        <v>1941.22467</v>
      </c>
    </row>
    <row r="2350">
      <c r="A2350" s="3">
        <f>IFERROR(__xludf.DUMMYFUNCTION("""COMPUTED_VALUE"""),42794.99861111111)</f>
        <v>42794.99861</v>
      </c>
      <c r="B2350" s="1">
        <f>IFERROR(__xludf.DUMMYFUNCTION("""COMPUTED_VALUE"""),1949.86351)</f>
        <v>1949.86351</v>
      </c>
    </row>
    <row r="2351">
      <c r="A2351" s="3">
        <f>IFERROR(__xludf.DUMMYFUNCTION("""COMPUTED_VALUE"""),42795.99861111111)</f>
        <v>42795.99861</v>
      </c>
      <c r="B2351" s="1">
        <f>IFERROR(__xludf.DUMMYFUNCTION("""COMPUTED_VALUE"""),1945.58976)</f>
        <v>1945.58976</v>
      </c>
    </row>
    <row r="2352">
      <c r="A2352" s="3">
        <f>IFERROR(__xludf.DUMMYFUNCTION("""COMPUTED_VALUE"""),42796.99861111111)</f>
        <v>42796.99861</v>
      </c>
      <c r="B2352" s="1">
        <f>IFERROR(__xludf.DUMMYFUNCTION("""COMPUTED_VALUE"""),1941.22468)</f>
        <v>1941.22468</v>
      </c>
    </row>
    <row r="2353">
      <c r="A2353" s="3">
        <f>IFERROR(__xludf.DUMMYFUNCTION("""COMPUTED_VALUE"""),42797.99861111111)</f>
        <v>42797.99861</v>
      </c>
      <c r="B2353" s="1">
        <f>IFERROR(__xludf.DUMMYFUNCTION("""COMPUTED_VALUE"""),1931.4858)</f>
        <v>1931.4858</v>
      </c>
    </row>
    <row r="2354">
      <c r="A2354" s="3">
        <f>IFERROR(__xludf.DUMMYFUNCTION("""COMPUTED_VALUE"""),42798.99861111111)</f>
        <v>42798.99861</v>
      </c>
      <c r="B2354" s="1">
        <f>IFERROR(__xludf.DUMMYFUNCTION("""COMPUTED_VALUE"""),1933.866183)</f>
        <v>1933.866183</v>
      </c>
    </row>
    <row r="2355">
      <c r="A2355" s="3">
        <f>IFERROR(__xludf.DUMMYFUNCTION("""COMPUTED_VALUE"""),42799.99861111111)</f>
        <v>42799.99861</v>
      </c>
      <c r="B2355" s="1">
        <f>IFERROR(__xludf.DUMMYFUNCTION("""COMPUTED_VALUE"""),1925.04444)</f>
        <v>1925.04444</v>
      </c>
    </row>
    <row r="2356">
      <c r="A2356" s="3">
        <f>IFERROR(__xludf.DUMMYFUNCTION("""COMPUTED_VALUE"""),42800.99861111111)</f>
        <v>42800.99861</v>
      </c>
      <c r="B2356" s="1">
        <f>IFERROR(__xludf.DUMMYFUNCTION("""COMPUTED_VALUE"""),1934.45658)</f>
        <v>1934.45658</v>
      </c>
    </row>
    <row r="2357">
      <c r="A2357" s="3">
        <f>IFERROR(__xludf.DUMMYFUNCTION("""COMPUTED_VALUE"""),42801.99861111111)</f>
        <v>42801.99861</v>
      </c>
      <c r="B2357" s="1">
        <f>IFERROR(__xludf.DUMMYFUNCTION("""COMPUTED_VALUE"""),1931.98632)</f>
        <v>1931.98632</v>
      </c>
    </row>
    <row r="2358">
      <c r="A2358" s="3">
        <f>IFERROR(__xludf.DUMMYFUNCTION("""COMPUTED_VALUE"""),42802.99861111111)</f>
        <v>42802.99861</v>
      </c>
      <c r="B2358" s="1">
        <f>IFERROR(__xludf.DUMMYFUNCTION("""COMPUTED_VALUE"""),1933.94856)</f>
        <v>1933.94856</v>
      </c>
    </row>
    <row r="2359">
      <c r="A2359" s="3">
        <f>IFERROR(__xludf.DUMMYFUNCTION("""COMPUTED_VALUE"""),42803.99861111111)</f>
        <v>42803.99861</v>
      </c>
      <c r="B2359" s="1">
        <f>IFERROR(__xludf.DUMMYFUNCTION("""COMPUTED_VALUE"""),1939.54813)</f>
        <v>1939.54813</v>
      </c>
    </row>
    <row r="2360">
      <c r="A2360" s="3">
        <f>IFERROR(__xludf.DUMMYFUNCTION("""COMPUTED_VALUE"""),42804.99861111111)</f>
        <v>42804.99861</v>
      </c>
      <c r="B2360" s="1">
        <f>IFERROR(__xludf.DUMMYFUNCTION("""COMPUTED_VALUE"""),1942.81346)</f>
        <v>1942.81346</v>
      </c>
    </row>
    <row r="2361">
      <c r="A2361" s="3">
        <f>IFERROR(__xludf.DUMMYFUNCTION("""COMPUTED_VALUE"""),42806.99861111111)</f>
        <v>42806.99861</v>
      </c>
      <c r="B2361" s="1">
        <f>IFERROR(__xludf.DUMMYFUNCTION("""COMPUTED_VALUE"""),1945.98026)</f>
        <v>1945.98026</v>
      </c>
    </row>
    <row r="2362">
      <c r="A2362" s="3">
        <f>IFERROR(__xludf.DUMMYFUNCTION("""COMPUTED_VALUE"""),42807.99861111111)</f>
        <v>42807.99861</v>
      </c>
      <c r="B2362" s="1">
        <f>IFERROR(__xludf.DUMMYFUNCTION("""COMPUTED_VALUE"""),1934.2598)</f>
        <v>1934.2598</v>
      </c>
    </row>
    <row r="2363">
      <c r="A2363" s="3">
        <f>IFERROR(__xludf.DUMMYFUNCTION("""COMPUTED_VALUE"""),42808.99861111111)</f>
        <v>42808.99861</v>
      </c>
      <c r="B2363" s="1">
        <f>IFERROR(__xludf.DUMMYFUNCTION("""COMPUTED_VALUE"""),1936.4618)</f>
        <v>1936.4618</v>
      </c>
    </row>
    <row r="2364">
      <c r="A2364" s="3">
        <f>IFERROR(__xludf.DUMMYFUNCTION("""COMPUTED_VALUE"""),42809.99861111111)</f>
        <v>42809.99861</v>
      </c>
      <c r="B2364" s="1">
        <f>IFERROR(__xludf.DUMMYFUNCTION("""COMPUTED_VALUE"""),1911.31037)</f>
        <v>1911.31037</v>
      </c>
    </row>
    <row r="2365">
      <c r="A2365" s="3">
        <f>IFERROR(__xludf.DUMMYFUNCTION("""COMPUTED_VALUE"""),42810.99861111111)</f>
        <v>42810.99861</v>
      </c>
      <c r="B2365" s="1">
        <f>IFERROR(__xludf.DUMMYFUNCTION("""COMPUTED_VALUE"""),1925.63651)</f>
        <v>1925.63651</v>
      </c>
    </row>
    <row r="2366">
      <c r="A2366" s="3">
        <f>IFERROR(__xludf.DUMMYFUNCTION("""COMPUTED_VALUE"""),42811.99861111111)</f>
        <v>42811.99861</v>
      </c>
      <c r="B2366" s="1">
        <f>IFERROR(__xludf.DUMMYFUNCTION("""COMPUTED_VALUE"""),1932.299)</f>
        <v>1932.299</v>
      </c>
    </row>
    <row r="2367">
      <c r="A2367" s="3">
        <f>IFERROR(__xludf.DUMMYFUNCTION("""COMPUTED_VALUE"""),42812.99861111111)</f>
        <v>42812.99861</v>
      </c>
      <c r="B2367" s="1">
        <f>IFERROR(__xludf.DUMMYFUNCTION("""COMPUTED_VALUE"""),1930.6982)</f>
        <v>1930.6982</v>
      </c>
    </row>
    <row r="2368">
      <c r="A2368" s="3">
        <f>IFERROR(__xludf.DUMMYFUNCTION("""COMPUTED_VALUE"""),42813.99861111111)</f>
        <v>42813.99861</v>
      </c>
      <c r="B2368" s="1">
        <f>IFERROR(__xludf.DUMMYFUNCTION("""COMPUTED_VALUE"""),1930.3173)</f>
        <v>1930.3173</v>
      </c>
    </row>
    <row r="2369">
      <c r="A2369" s="3">
        <f>IFERROR(__xludf.DUMMYFUNCTION("""COMPUTED_VALUE"""),42814.99861111111)</f>
        <v>42814.99861</v>
      </c>
      <c r="B2369" s="1">
        <f>IFERROR(__xludf.DUMMYFUNCTION("""COMPUTED_VALUE"""),1930.34028)</f>
        <v>1930.34028</v>
      </c>
    </row>
    <row r="2370">
      <c r="A2370" s="3">
        <f>IFERROR(__xludf.DUMMYFUNCTION("""COMPUTED_VALUE"""),42815.99861111111)</f>
        <v>42815.99861</v>
      </c>
      <c r="B2370" s="1">
        <f>IFERROR(__xludf.DUMMYFUNCTION("""COMPUTED_VALUE"""),1932.85392)</f>
        <v>1932.85392</v>
      </c>
    </row>
    <row r="2371">
      <c r="A2371" s="3">
        <f>IFERROR(__xludf.DUMMYFUNCTION("""COMPUTED_VALUE"""),42816.99861111111)</f>
        <v>42816.99861</v>
      </c>
      <c r="B2371" s="1">
        <f>IFERROR(__xludf.DUMMYFUNCTION("""COMPUTED_VALUE"""),1936.14656)</f>
        <v>1936.14656</v>
      </c>
    </row>
    <row r="2372">
      <c r="A2372" s="3">
        <f>IFERROR(__xludf.DUMMYFUNCTION("""COMPUTED_VALUE"""),42817.99861111111)</f>
        <v>42817.99861</v>
      </c>
      <c r="B2372" s="1">
        <f>IFERROR(__xludf.DUMMYFUNCTION("""COMPUTED_VALUE"""),1934.03996)</f>
        <v>1934.03996</v>
      </c>
    </row>
    <row r="2373">
      <c r="A2373" s="3">
        <f>IFERROR(__xludf.DUMMYFUNCTION("""COMPUTED_VALUE"""),42818.99861111111)</f>
        <v>42818.99861</v>
      </c>
      <c r="B2373" s="1">
        <f>IFERROR(__xludf.DUMMYFUNCTION("""COMPUTED_VALUE"""),1930.94118)</f>
        <v>1930.94118</v>
      </c>
    </row>
    <row r="2374">
      <c r="A2374" s="3">
        <f>IFERROR(__xludf.DUMMYFUNCTION("""COMPUTED_VALUE"""),42819.99861111111)</f>
        <v>42819.99861</v>
      </c>
      <c r="B2374" s="1">
        <f>IFERROR(__xludf.DUMMYFUNCTION("""COMPUTED_VALUE"""),1932.00462)</f>
        <v>1932.00462</v>
      </c>
    </row>
    <row r="2375">
      <c r="A2375" s="3">
        <f>IFERROR(__xludf.DUMMYFUNCTION("""COMPUTED_VALUE"""),42820.99861111111)</f>
        <v>42820.99861</v>
      </c>
      <c r="B2375" s="1">
        <f>IFERROR(__xludf.DUMMYFUNCTION("""COMPUTED_VALUE"""),1943.1216)</f>
        <v>1943.1216</v>
      </c>
    </row>
    <row r="2376">
      <c r="A2376" s="3">
        <f>IFERROR(__xludf.DUMMYFUNCTION("""COMPUTED_VALUE"""),42821.99861111111)</f>
        <v>42821.99861</v>
      </c>
      <c r="B2376" s="1">
        <f>IFERROR(__xludf.DUMMYFUNCTION("""COMPUTED_VALUE"""),1936.44708)</f>
        <v>1936.44708</v>
      </c>
    </row>
    <row r="2377">
      <c r="A2377" s="3">
        <f>IFERROR(__xludf.DUMMYFUNCTION("""COMPUTED_VALUE"""),42822.99861111111)</f>
        <v>42822.99861</v>
      </c>
      <c r="B2377" s="1">
        <f>IFERROR(__xludf.DUMMYFUNCTION("""COMPUTED_VALUE"""),1934.59624)</f>
        <v>1934.59624</v>
      </c>
    </row>
    <row r="2378">
      <c r="A2378" s="3">
        <f>IFERROR(__xludf.DUMMYFUNCTION("""COMPUTED_VALUE"""),42823.99861111111)</f>
        <v>42823.99861</v>
      </c>
      <c r="B2378" s="1">
        <f>IFERROR(__xludf.DUMMYFUNCTION("""COMPUTED_VALUE"""),1931.06348)</f>
        <v>1931.06348</v>
      </c>
    </row>
    <row r="2379">
      <c r="A2379" s="3">
        <f>IFERROR(__xludf.DUMMYFUNCTION("""COMPUTED_VALUE"""),42824.99861111111)</f>
        <v>42824.99861</v>
      </c>
      <c r="B2379" s="1">
        <f>IFERROR(__xludf.DUMMYFUNCTION("""COMPUTED_VALUE"""),1930.08387)</f>
        <v>1930.08387</v>
      </c>
    </row>
    <row r="2380">
      <c r="A2380" s="3">
        <f>IFERROR(__xludf.DUMMYFUNCTION("""COMPUTED_VALUE"""),42825.99861111111)</f>
        <v>42825.99861</v>
      </c>
      <c r="B2380" s="1">
        <f>IFERROR(__xludf.DUMMYFUNCTION("""COMPUTED_VALUE"""),1932.74389)</f>
        <v>1932.74389</v>
      </c>
    </row>
    <row r="2381">
      <c r="A2381" s="3">
        <f>IFERROR(__xludf.DUMMYFUNCTION("""COMPUTED_VALUE"""),42827.99861111111)</f>
        <v>42827.99861</v>
      </c>
      <c r="B2381" s="1">
        <f>IFERROR(__xludf.DUMMYFUNCTION("""COMPUTED_VALUE"""),1937.70885)</f>
        <v>1937.70885</v>
      </c>
    </row>
    <row r="2382">
      <c r="A2382" s="3">
        <f>IFERROR(__xludf.DUMMYFUNCTION("""COMPUTED_VALUE"""),42828.99861111111)</f>
        <v>42828.99861</v>
      </c>
      <c r="B2382" s="1">
        <f>IFERROR(__xludf.DUMMYFUNCTION("""COMPUTED_VALUE"""),1934.28216)</f>
        <v>1934.28216</v>
      </c>
    </row>
    <row r="2383">
      <c r="A2383" s="3">
        <f>IFERROR(__xludf.DUMMYFUNCTION("""COMPUTED_VALUE"""),42829.99861111111)</f>
        <v>42829.99861</v>
      </c>
      <c r="B2383" s="1">
        <f>IFERROR(__xludf.DUMMYFUNCTION("""COMPUTED_VALUE"""),1935.93972)</f>
        <v>1935.93972</v>
      </c>
    </row>
    <row r="2384">
      <c r="A2384" s="3">
        <f>IFERROR(__xludf.DUMMYFUNCTION("""COMPUTED_VALUE"""),42830.99861111111)</f>
        <v>42830.99861</v>
      </c>
      <c r="B2384" s="1">
        <f>IFERROR(__xludf.DUMMYFUNCTION("""COMPUTED_VALUE"""),1932.50115)</f>
        <v>1932.50115</v>
      </c>
    </row>
    <row r="2385">
      <c r="A2385" s="3">
        <f>IFERROR(__xludf.DUMMYFUNCTION("""COMPUTED_VALUE"""),42831.99861111111)</f>
        <v>42831.99861</v>
      </c>
      <c r="B2385" s="1">
        <f>IFERROR(__xludf.DUMMYFUNCTION("""COMPUTED_VALUE"""),1935.78441)</f>
        <v>1935.78441</v>
      </c>
    </row>
    <row r="2386">
      <c r="A2386" s="3">
        <f>IFERROR(__xludf.DUMMYFUNCTION("""COMPUTED_VALUE"""),42832.99861111111)</f>
        <v>42832.99861</v>
      </c>
      <c r="B2386" s="1">
        <f>IFERROR(__xludf.DUMMYFUNCTION("""COMPUTED_VALUE"""),1932.37485)</f>
        <v>1932.37485</v>
      </c>
    </row>
    <row r="2387">
      <c r="A2387" s="3">
        <f>IFERROR(__xludf.DUMMYFUNCTION("""COMPUTED_VALUE"""),42833.99861111111)</f>
        <v>42833.99861</v>
      </c>
      <c r="B2387" s="1">
        <f>IFERROR(__xludf.DUMMYFUNCTION("""COMPUTED_VALUE"""),1934.578737)</f>
        <v>1934.578737</v>
      </c>
    </row>
    <row r="2388">
      <c r="A2388" s="3">
        <f>IFERROR(__xludf.DUMMYFUNCTION("""COMPUTED_VALUE"""),42834.99861111111)</f>
        <v>42834.99861</v>
      </c>
      <c r="B2388" s="1">
        <f>IFERROR(__xludf.DUMMYFUNCTION("""COMPUTED_VALUE"""),1936.14294)</f>
        <v>1936.14294</v>
      </c>
    </row>
    <row r="2389">
      <c r="A2389" s="3">
        <f>IFERROR(__xludf.DUMMYFUNCTION("""COMPUTED_VALUE"""),42835.99861111111)</f>
        <v>42835.99861</v>
      </c>
      <c r="B2389" s="1">
        <f>IFERROR(__xludf.DUMMYFUNCTION("""COMPUTED_VALUE"""),1922.30435)</f>
        <v>1922.30435</v>
      </c>
    </row>
    <row r="2390">
      <c r="A2390" s="3">
        <f>IFERROR(__xludf.DUMMYFUNCTION("""COMPUTED_VALUE"""),42836.99861111111)</f>
        <v>42836.99861</v>
      </c>
      <c r="B2390" s="1">
        <f>IFERROR(__xludf.DUMMYFUNCTION("""COMPUTED_VALUE"""),1928.39119)</f>
        <v>1928.39119</v>
      </c>
    </row>
    <row r="2391">
      <c r="A2391" s="3">
        <f>IFERROR(__xludf.DUMMYFUNCTION("""COMPUTED_VALUE"""),42837.99861111111)</f>
        <v>42837.99861</v>
      </c>
      <c r="B2391" s="1">
        <f>IFERROR(__xludf.DUMMYFUNCTION("""COMPUTED_VALUE"""),1926.35993)</f>
        <v>1926.35993</v>
      </c>
    </row>
    <row r="2392">
      <c r="A2392" s="3">
        <f>IFERROR(__xludf.DUMMYFUNCTION("""COMPUTED_VALUE"""),42838.99861111111)</f>
        <v>42838.99861</v>
      </c>
      <c r="B2392" s="1">
        <f>IFERROR(__xludf.DUMMYFUNCTION("""COMPUTED_VALUE"""),1927.40968)</f>
        <v>1927.40968</v>
      </c>
    </row>
    <row r="2393">
      <c r="A2393" s="3">
        <f>IFERROR(__xludf.DUMMYFUNCTION("""COMPUTED_VALUE"""),42839.99861111111)</f>
        <v>42839.99861</v>
      </c>
      <c r="B2393" s="1">
        <f>IFERROR(__xludf.DUMMYFUNCTION("""COMPUTED_VALUE"""),1928.00277)</f>
        <v>1928.00277</v>
      </c>
    </row>
    <row r="2394">
      <c r="A2394" s="3">
        <f>IFERROR(__xludf.DUMMYFUNCTION("""COMPUTED_VALUE"""),42840.99861111111)</f>
        <v>42840.99861</v>
      </c>
      <c r="B2394" s="1">
        <f>IFERROR(__xludf.DUMMYFUNCTION("""COMPUTED_VALUE"""),1927.8823)</f>
        <v>1927.8823</v>
      </c>
    </row>
    <row r="2395">
      <c r="A2395" s="3">
        <f>IFERROR(__xludf.DUMMYFUNCTION("""COMPUTED_VALUE"""),42841.99861111111)</f>
        <v>42841.99861</v>
      </c>
      <c r="B2395" s="1">
        <f>IFERROR(__xludf.DUMMYFUNCTION("""COMPUTED_VALUE"""),1927.67796)</f>
        <v>1927.67796</v>
      </c>
    </row>
    <row r="2396">
      <c r="A2396" s="3">
        <f>IFERROR(__xludf.DUMMYFUNCTION("""COMPUTED_VALUE"""),42842.99861111111)</f>
        <v>42842.99861</v>
      </c>
      <c r="B2396" s="1">
        <f>IFERROR(__xludf.DUMMYFUNCTION("""COMPUTED_VALUE"""),1932.89124)</f>
        <v>1932.89124</v>
      </c>
    </row>
    <row r="2397">
      <c r="A2397" s="3">
        <f>IFERROR(__xludf.DUMMYFUNCTION("""COMPUTED_VALUE"""),42843.99861111111)</f>
        <v>42843.99861</v>
      </c>
      <c r="B2397" s="1">
        <f>IFERROR(__xludf.DUMMYFUNCTION("""COMPUTED_VALUE"""),1931.9088)</f>
        <v>1931.9088</v>
      </c>
    </row>
    <row r="2398">
      <c r="A2398" s="3">
        <f>IFERROR(__xludf.DUMMYFUNCTION("""COMPUTED_VALUE"""),42844.99861111111)</f>
        <v>42844.99861</v>
      </c>
      <c r="B2398" s="1">
        <f>IFERROR(__xludf.DUMMYFUNCTION("""COMPUTED_VALUE"""),1937.27017)</f>
        <v>1937.27017</v>
      </c>
    </row>
    <row r="2399">
      <c r="A2399" s="3">
        <f>IFERROR(__xludf.DUMMYFUNCTION("""COMPUTED_VALUE"""),42845.99861111111)</f>
        <v>42845.99861</v>
      </c>
      <c r="B2399" s="1">
        <f>IFERROR(__xludf.DUMMYFUNCTION("""COMPUTED_VALUE"""),1934.82693)</f>
        <v>1934.82693</v>
      </c>
    </row>
    <row r="2400">
      <c r="A2400" s="3">
        <f>IFERROR(__xludf.DUMMYFUNCTION("""COMPUTED_VALUE"""),42846.99861111111)</f>
        <v>42846.99861</v>
      </c>
      <c r="B2400" s="1">
        <f>IFERROR(__xludf.DUMMYFUNCTION("""COMPUTED_VALUE"""),1930.663)</f>
        <v>1930.663</v>
      </c>
    </row>
    <row r="2401">
      <c r="A2401" s="3">
        <f>IFERROR(__xludf.DUMMYFUNCTION("""COMPUTED_VALUE"""),42848.99861111111)</f>
        <v>42848.99861</v>
      </c>
      <c r="B2401" s="1">
        <f>IFERROR(__xludf.DUMMYFUNCTION("""COMPUTED_VALUE"""),1929.056)</f>
        <v>1929.056</v>
      </c>
    </row>
    <row r="2402">
      <c r="A2402" s="3">
        <f>IFERROR(__xludf.DUMMYFUNCTION("""COMPUTED_VALUE"""),42849.99861111111)</f>
        <v>42849.99861</v>
      </c>
      <c r="B2402" s="1">
        <f>IFERROR(__xludf.DUMMYFUNCTION("""COMPUTED_VALUE"""),1906.52348)</f>
        <v>1906.52348</v>
      </c>
    </row>
    <row r="2403">
      <c r="A2403" s="3">
        <f>IFERROR(__xludf.DUMMYFUNCTION("""COMPUTED_VALUE"""),42850.99861111111)</f>
        <v>42850.99861</v>
      </c>
      <c r="B2403" s="1">
        <f>IFERROR(__xludf.DUMMYFUNCTION("""COMPUTED_VALUE"""),1932.9259)</f>
        <v>1932.9259</v>
      </c>
    </row>
    <row r="2404">
      <c r="A2404" s="3">
        <f>IFERROR(__xludf.DUMMYFUNCTION("""COMPUTED_VALUE"""),42851.99861111111)</f>
        <v>42851.99861</v>
      </c>
      <c r="B2404" s="1">
        <f>IFERROR(__xludf.DUMMYFUNCTION("""COMPUTED_VALUE"""),1923.90588)</f>
        <v>1923.90588</v>
      </c>
    </row>
    <row r="2405">
      <c r="A2405" s="3">
        <f>IFERROR(__xludf.DUMMYFUNCTION("""COMPUTED_VALUE"""),42852.99861111111)</f>
        <v>42852.99861</v>
      </c>
      <c r="B2405" s="1">
        <f>IFERROR(__xludf.DUMMYFUNCTION("""COMPUTED_VALUE"""),1935.36096)</f>
        <v>1935.36096</v>
      </c>
    </row>
    <row r="2406">
      <c r="A2406" s="3">
        <f>IFERROR(__xludf.DUMMYFUNCTION("""COMPUTED_VALUE"""),42853.99861111111)</f>
        <v>42853.99861</v>
      </c>
      <c r="B2406" s="1">
        <f>IFERROR(__xludf.DUMMYFUNCTION("""COMPUTED_VALUE"""),1928.208)</f>
        <v>1928.208</v>
      </c>
    </row>
    <row r="2407">
      <c r="A2407" s="3">
        <f>IFERROR(__xludf.DUMMYFUNCTION("""COMPUTED_VALUE"""),42854.99861111111)</f>
        <v>42854.99861</v>
      </c>
      <c r="B2407" s="1">
        <f>IFERROR(__xludf.DUMMYFUNCTION("""COMPUTED_VALUE"""),1929.238285)</f>
        <v>1929.238285</v>
      </c>
    </row>
    <row r="2408">
      <c r="A2408" s="3">
        <f>IFERROR(__xludf.DUMMYFUNCTION("""COMPUTED_VALUE"""),42855.99861111111)</f>
        <v>42855.99861</v>
      </c>
      <c r="B2408" s="1">
        <f>IFERROR(__xludf.DUMMYFUNCTION("""COMPUTED_VALUE"""),1926.89408)</f>
        <v>1926.89408</v>
      </c>
    </row>
    <row r="2409">
      <c r="A2409" s="3">
        <f>IFERROR(__xludf.DUMMYFUNCTION("""COMPUTED_VALUE"""),42856.99861111111)</f>
        <v>42856.99861</v>
      </c>
      <c r="B2409" s="1">
        <f>IFERROR(__xludf.DUMMYFUNCTION("""COMPUTED_VALUE"""),1932.658)</f>
        <v>1932.658</v>
      </c>
    </row>
    <row r="2410">
      <c r="A2410" s="3">
        <f>IFERROR(__xludf.DUMMYFUNCTION("""COMPUTED_VALUE"""),42857.99861111111)</f>
        <v>42857.99861</v>
      </c>
      <c r="B2410" s="1">
        <f>IFERROR(__xludf.DUMMYFUNCTION("""COMPUTED_VALUE"""),1928.3068)</f>
        <v>1928.3068</v>
      </c>
    </row>
    <row r="2411">
      <c r="A2411" s="3">
        <f>IFERROR(__xludf.DUMMYFUNCTION("""COMPUTED_VALUE"""),42858.99861111111)</f>
        <v>42858.99861</v>
      </c>
      <c r="B2411" s="1">
        <f>IFERROR(__xludf.DUMMYFUNCTION("""COMPUTED_VALUE"""),1928.68088)</f>
        <v>1928.68088</v>
      </c>
    </row>
    <row r="2412">
      <c r="A2412" s="3">
        <f>IFERROR(__xludf.DUMMYFUNCTION("""COMPUTED_VALUE"""),42859.99861111111)</f>
        <v>42859.99861</v>
      </c>
      <c r="B2412" s="1">
        <f>IFERROR(__xludf.DUMMYFUNCTION("""COMPUTED_VALUE"""),1934.1666)</f>
        <v>1934.1666</v>
      </c>
    </row>
    <row r="2413">
      <c r="A2413" s="3">
        <f>IFERROR(__xludf.DUMMYFUNCTION("""COMPUTED_VALUE"""),42860.99861111111)</f>
        <v>42860.99861</v>
      </c>
      <c r="B2413" s="1">
        <f>IFERROR(__xludf.DUMMYFUNCTION("""COMPUTED_VALUE"""),1939.59605)</f>
        <v>1939.59605</v>
      </c>
    </row>
    <row r="2414">
      <c r="A2414" s="3">
        <f>IFERROR(__xludf.DUMMYFUNCTION("""COMPUTED_VALUE"""),42862.99861111111)</f>
        <v>42862.99861</v>
      </c>
      <c r="B2414" s="1">
        <f>IFERROR(__xludf.DUMMYFUNCTION("""COMPUTED_VALUE"""),1936.266182)</f>
        <v>1936.266182</v>
      </c>
    </row>
    <row r="2415">
      <c r="A2415" s="3">
        <f>IFERROR(__xludf.DUMMYFUNCTION("""COMPUTED_VALUE"""),42863.99861111111)</f>
        <v>42863.99861</v>
      </c>
      <c r="B2415" s="1">
        <f>IFERROR(__xludf.DUMMYFUNCTION("""COMPUTED_VALUE"""),1929.58168)</f>
        <v>1929.58168</v>
      </c>
    </row>
    <row r="2416">
      <c r="A2416" s="3">
        <f>IFERROR(__xludf.DUMMYFUNCTION("""COMPUTED_VALUE"""),42864.99861111111)</f>
        <v>42864.99861</v>
      </c>
      <c r="B2416" s="1">
        <f>IFERROR(__xludf.DUMMYFUNCTION("""COMPUTED_VALUE"""),1933.98243)</f>
        <v>1933.98243</v>
      </c>
    </row>
    <row r="2417">
      <c r="A2417" s="3">
        <f>IFERROR(__xludf.DUMMYFUNCTION("""COMPUTED_VALUE"""),42865.99861111111)</f>
        <v>42865.99861</v>
      </c>
      <c r="B2417" s="1">
        <f>IFERROR(__xludf.DUMMYFUNCTION("""COMPUTED_VALUE"""),1934.18205)</f>
        <v>1934.18205</v>
      </c>
    </row>
    <row r="2418">
      <c r="A2418" s="3">
        <f>IFERROR(__xludf.DUMMYFUNCTION("""COMPUTED_VALUE"""),42866.99861111111)</f>
        <v>42866.99861</v>
      </c>
      <c r="B2418" s="1">
        <f>IFERROR(__xludf.DUMMYFUNCTION("""COMPUTED_VALUE"""),1928.11008)</f>
        <v>1928.11008</v>
      </c>
    </row>
    <row r="2419">
      <c r="A2419" s="3">
        <f>IFERROR(__xludf.DUMMYFUNCTION("""COMPUTED_VALUE"""),42867.99861111111)</f>
        <v>42867.99861</v>
      </c>
      <c r="B2419" s="1">
        <f>IFERROR(__xludf.DUMMYFUNCTION("""COMPUTED_VALUE"""),1929.47665)</f>
        <v>1929.47665</v>
      </c>
    </row>
    <row r="2420">
      <c r="A2420" s="3">
        <f>IFERROR(__xludf.DUMMYFUNCTION("""COMPUTED_VALUE"""),42869.99861111111)</f>
        <v>42869.99861</v>
      </c>
      <c r="B2420" s="1">
        <f>IFERROR(__xludf.DUMMYFUNCTION("""COMPUTED_VALUE"""),1929.96978)</f>
        <v>1929.96978</v>
      </c>
    </row>
    <row r="2421">
      <c r="A2421" s="3">
        <f>IFERROR(__xludf.DUMMYFUNCTION("""COMPUTED_VALUE"""),42870.99861111111)</f>
        <v>42870.99861</v>
      </c>
      <c r="B2421" s="1">
        <f>IFERROR(__xludf.DUMMYFUNCTION("""COMPUTED_VALUE"""),1926.72355)</f>
        <v>1926.72355</v>
      </c>
    </row>
    <row r="2422">
      <c r="A2422" s="3">
        <f>IFERROR(__xludf.DUMMYFUNCTION("""COMPUTED_VALUE"""),42871.99861111111)</f>
        <v>42871.99861</v>
      </c>
      <c r="B2422" s="1">
        <f>IFERROR(__xludf.DUMMYFUNCTION("""COMPUTED_VALUE"""),1926.85384)</f>
        <v>1926.85384</v>
      </c>
    </row>
    <row r="2423">
      <c r="A2423" s="3">
        <f>IFERROR(__xludf.DUMMYFUNCTION("""COMPUTED_VALUE"""),42872.99861111111)</f>
        <v>42872.99861</v>
      </c>
      <c r="B2423" s="1">
        <f>IFERROR(__xludf.DUMMYFUNCTION("""COMPUTED_VALUE"""),1934.97222)</f>
        <v>1934.97222</v>
      </c>
    </row>
    <row r="2424">
      <c r="A2424" s="3">
        <f>IFERROR(__xludf.DUMMYFUNCTION("""COMPUTED_VALUE"""),42873.99861111111)</f>
        <v>42873.99861</v>
      </c>
      <c r="B2424" s="1">
        <f>IFERROR(__xludf.DUMMYFUNCTION("""COMPUTED_VALUE"""),1944.86485)</f>
        <v>1944.86485</v>
      </c>
    </row>
    <row r="2425">
      <c r="A2425" s="3">
        <f>IFERROR(__xludf.DUMMYFUNCTION("""COMPUTED_VALUE"""),42874.99861111111)</f>
        <v>42874.99861</v>
      </c>
      <c r="B2425" s="1">
        <f>IFERROR(__xludf.DUMMYFUNCTION("""COMPUTED_VALUE"""),1934.22118)</f>
        <v>1934.22118</v>
      </c>
    </row>
    <row r="2426">
      <c r="A2426" s="3">
        <f>IFERROR(__xludf.DUMMYFUNCTION("""COMPUTED_VALUE"""),42875.99861111111)</f>
        <v>42875.99861</v>
      </c>
      <c r="B2426" s="1">
        <f>IFERROR(__xludf.DUMMYFUNCTION("""COMPUTED_VALUE"""),1945.332847)</f>
        <v>1945.332847</v>
      </c>
    </row>
    <row r="2427">
      <c r="A2427" s="3">
        <f>IFERROR(__xludf.DUMMYFUNCTION("""COMPUTED_VALUE"""),42876.99861111111)</f>
        <v>42876.99861</v>
      </c>
      <c r="B2427" s="1">
        <f>IFERROR(__xludf.DUMMYFUNCTION("""COMPUTED_VALUE"""),1944.15536)</f>
        <v>1944.15536</v>
      </c>
    </row>
    <row r="2428">
      <c r="A2428" s="3">
        <f>IFERROR(__xludf.DUMMYFUNCTION("""COMPUTED_VALUE"""),42877.99861111111)</f>
        <v>42877.99861</v>
      </c>
      <c r="B2428" s="1">
        <f>IFERROR(__xludf.DUMMYFUNCTION("""COMPUTED_VALUE"""),1930.97808)</f>
        <v>1930.97808</v>
      </c>
    </row>
    <row r="2429">
      <c r="A2429" s="3">
        <f>IFERROR(__xludf.DUMMYFUNCTION("""COMPUTED_VALUE"""),42878.99861111111)</f>
        <v>42878.99861</v>
      </c>
      <c r="B2429" s="1">
        <f>IFERROR(__xludf.DUMMYFUNCTION("""COMPUTED_VALUE"""),1929.11664)</f>
        <v>1929.11664</v>
      </c>
    </row>
    <row r="2430">
      <c r="A2430" s="3">
        <f>IFERROR(__xludf.DUMMYFUNCTION("""COMPUTED_VALUE"""),42879.99861111111)</f>
        <v>42879.99861</v>
      </c>
      <c r="B2430" s="1">
        <f>IFERROR(__xludf.DUMMYFUNCTION("""COMPUTED_VALUE"""),1930.25322)</f>
        <v>1930.25322</v>
      </c>
    </row>
    <row r="2431">
      <c r="A2431" s="3">
        <f>IFERROR(__xludf.DUMMYFUNCTION("""COMPUTED_VALUE"""),42880.99861111111)</f>
        <v>42880.99861</v>
      </c>
      <c r="B2431" s="1">
        <f>IFERROR(__xludf.DUMMYFUNCTION("""COMPUTED_VALUE"""),1936.50516)</f>
        <v>1936.50516</v>
      </c>
    </row>
    <row r="2432">
      <c r="A2432" s="3">
        <f>IFERROR(__xludf.DUMMYFUNCTION("""COMPUTED_VALUE"""),42881.99861111111)</f>
        <v>42881.99861</v>
      </c>
      <c r="B2432" s="1">
        <f>IFERROR(__xludf.DUMMYFUNCTION("""COMPUTED_VALUE"""),1939.7405)</f>
        <v>1939.7405</v>
      </c>
    </row>
    <row r="2433">
      <c r="A2433" s="3">
        <f>IFERROR(__xludf.DUMMYFUNCTION("""COMPUTED_VALUE"""),42882.99861111111)</f>
        <v>42882.99861</v>
      </c>
      <c r="B2433" s="1">
        <f>IFERROR(__xludf.DUMMYFUNCTION("""COMPUTED_VALUE"""),1938.85208)</f>
        <v>1938.85208</v>
      </c>
    </row>
    <row r="2434">
      <c r="A2434" s="3">
        <f>IFERROR(__xludf.DUMMYFUNCTION("""COMPUTED_VALUE"""),42883.99861111111)</f>
        <v>42883.99861</v>
      </c>
      <c r="B2434" s="1">
        <f>IFERROR(__xludf.DUMMYFUNCTION("""COMPUTED_VALUE"""),1937.52328)</f>
        <v>1937.52328</v>
      </c>
    </row>
    <row r="2435">
      <c r="A2435" s="3">
        <f>IFERROR(__xludf.DUMMYFUNCTION("""COMPUTED_VALUE"""),42884.99861111111)</f>
        <v>42884.99861</v>
      </c>
      <c r="B2435" s="1">
        <f>IFERROR(__xludf.DUMMYFUNCTION("""COMPUTED_VALUE"""),1941.8596)</f>
        <v>1941.8596</v>
      </c>
    </row>
    <row r="2436">
      <c r="A2436" s="3">
        <f>IFERROR(__xludf.DUMMYFUNCTION("""COMPUTED_VALUE"""),42885.99861111111)</f>
        <v>42885.99861</v>
      </c>
      <c r="B2436" s="1">
        <f>IFERROR(__xludf.DUMMYFUNCTION("""COMPUTED_VALUE"""),1942.30977)</f>
        <v>1942.30977</v>
      </c>
    </row>
    <row r="2437">
      <c r="A2437" s="3">
        <f>IFERROR(__xludf.DUMMYFUNCTION("""COMPUTED_VALUE"""),42886.99861111111)</f>
        <v>42886.99861</v>
      </c>
      <c r="B2437" s="1">
        <f>IFERROR(__xludf.DUMMYFUNCTION("""COMPUTED_VALUE"""),1951.42626)</f>
        <v>1951.42626</v>
      </c>
    </row>
    <row r="2438">
      <c r="A2438" s="3">
        <f>IFERROR(__xludf.DUMMYFUNCTION("""COMPUTED_VALUE"""),42887.99861111111)</f>
        <v>42887.99861</v>
      </c>
      <c r="B2438" s="1">
        <f>IFERROR(__xludf.DUMMYFUNCTION("""COMPUTED_VALUE"""),1951.20992)</f>
        <v>1951.20992</v>
      </c>
    </row>
    <row r="2439">
      <c r="A2439" s="3">
        <f>IFERROR(__xludf.DUMMYFUNCTION("""COMPUTED_VALUE"""),42888.99861111111)</f>
        <v>42888.99861</v>
      </c>
      <c r="B2439" s="1">
        <f>IFERROR(__xludf.DUMMYFUNCTION("""COMPUTED_VALUE"""),1950.11908)</f>
        <v>1950.11908</v>
      </c>
    </row>
    <row r="2440">
      <c r="A2440" s="3">
        <f>IFERROR(__xludf.DUMMYFUNCTION("""COMPUTED_VALUE"""),42889.99861111111)</f>
        <v>42889.99861</v>
      </c>
      <c r="B2440" s="1">
        <f>IFERROR(__xludf.DUMMYFUNCTION("""COMPUTED_VALUE"""),1952.76112)</f>
        <v>1952.76112</v>
      </c>
    </row>
    <row r="2441">
      <c r="A2441" s="3">
        <f>IFERROR(__xludf.DUMMYFUNCTION("""COMPUTED_VALUE"""),42890.99861111111)</f>
        <v>42890.99861</v>
      </c>
      <c r="B2441" s="1">
        <f>IFERROR(__xludf.DUMMYFUNCTION("""COMPUTED_VALUE"""),1952.62808)</f>
        <v>1952.62808</v>
      </c>
    </row>
    <row r="2442">
      <c r="A2442" s="3">
        <f>IFERROR(__xludf.DUMMYFUNCTION("""COMPUTED_VALUE"""),42891.99861111111)</f>
        <v>42891.99861</v>
      </c>
      <c r="B2442" s="1">
        <f>IFERROR(__xludf.DUMMYFUNCTION("""COMPUTED_VALUE"""),1952.20251)</f>
        <v>1952.20251</v>
      </c>
    </row>
    <row r="2443">
      <c r="A2443" s="3">
        <f>IFERROR(__xludf.DUMMYFUNCTION("""COMPUTED_VALUE"""),42892.99861111111)</f>
        <v>42892.99861</v>
      </c>
      <c r="B2443" s="1">
        <f>IFERROR(__xludf.DUMMYFUNCTION("""COMPUTED_VALUE"""),1950.92926)</f>
        <v>1950.92926</v>
      </c>
    </row>
    <row r="2444">
      <c r="A2444" s="3">
        <f>IFERROR(__xludf.DUMMYFUNCTION("""COMPUTED_VALUE"""),42893.99861111111)</f>
        <v>42893.99861</v>
      </c>
      <c r="B2444" s="1">
        <f>IFERROR(__xludf.DUMMYFUNCTION("""COMPUTED_VALUE"""),1958.3423)</f>
        <v>1958.3423</v>
      </c>
    </row>
    <row r="2445">
      <c r="A2445" s="3">
        <f>IFERROR(__xludf.DUMMYFUNCTION("""COMPUTED_VALUE"""),42894.99861111111)</f>
        <v>42894.99861</v>
      </c>
      <c r="B2445" s="1">
        <f>IFERROR(__xludf.DUMMYFUNCTION("""COMPUTED_VALUE"""),1954.73565)</f>
        <v>1954.73565</v>
      </c>
    </row>
    <row r="2446">
      <c r="A2446" s="3">
        <f>IFERROR(__xludf.DUMMYFUNCTION("""COMPUTED_VALUE"""),42895.99861111111)</f>
        <v>42895.99861</v>
      </c>
      <c r="B2446" s="1">
        <f>IFERROR(__xludf.DUMMYFUNCTION("""COMPUTED_VALUE"""),1957.60259)</f>
        <v>1957.60259</v>
      </c>
    </row>
    <row r="2447">
      <c r="A2447" s="3">
        <f>IFERROR(__xludf.DUMMYFUNCTION("""COMPUTED_VALUE"""),42896.99861111111)</f>
        <v>42896.99861</v>
      </c>
      <c r="B2447" s="1">
        <f>IFERROR(__xludf.DUMMYFUNCTION("""COMPUTED_VALUE"""),1956.55692)</f>
        <v>1956.55692</v>
      </c>
    </row>
    <row r="2448">
      <c r="A2448" s="3">
        <f>IFERROR(__xludf.DUMMYFUNCTION("""COMPUTED_VALUE"""),42897.99861111111)</f>
        <v>42897.99861</v>
      </c>
      <c r="B2448" s="1">
        <f>IFERROR(__xludf.DUMMYFUNCTION("""COMPUTED_VALUE"""),1959.1512)</f>
        <v>1959.1512</v>
      </c>
    </row>
    <row r="2449">
      <c r="A2449" s="3">
        <f>IFERROR(__xludf.DUMMYFUNCTION("""COMPUTED_VALUE"""),42898.99861111111)</f>
        <v>42898.99861</v>
      </c>
      <c r="B2449" s="1">
        <f>IFERROR(__xludf.DUMMYFUNCTION("""COMPUTED_VALUE"""),1958.4894)</f>
        <v>1958.4894</v>
      </c>
    </row>
    <row r="2450">
      <c r="A2450" s="3">
        <f>IFERROR(__xludf.DUMMYFUNCTION("""COMPUTED_VALUE"""),42899.99861111111)</f>
        <v>42899.99861</v>
      </c>
      <c r="B2450" s="1">
        <f>IFERROR(__xludf.DUMMYFUNCTION("""COMPUTED_VALUE"""),1953.51656)</f>
        <v>1953.51656</v>
      </c>
    </row>
    <row r="2451">
      <c r="A2451" s="3">
        <f>IFERROR(__xludf.DUMMYFUNCTION("""COMPUTED_VALUE"""),42900.99861111111)</f>
        <v>42900.99861</v>
      </c>
      <c r="B2451" s="1">
        <f>IFERROR(__xludf.DUMMYFUNCTION("""COMPUTED_VALUE"""),1956.23064)</f>
        <v>1956.23064</v>
      </c>
    </row>
    <row r="2452">
      <c r="A2452" s="3">
        <f>IFERROR(__xludf.DUMMYFUNCTION("""COMPUTED_VALUE"""),42901.99861111111)</f>
        <v>42901.99861</v>
      </c>
      <c r="B2452" s="1">
        <f>IFERROR(__xludf.DUMMYFUNCTION("""COMPUTED_VALUE"""),1952.48978)</f>
        <v>1952.48978</v>
      </c>
    </row>
    <row r="2453">
      <c r="A2453" s="3">
        <f>IFERROR(__xludf.DUMMYFUNCTION("""COMPUTED_VALUE"""),42902.99861111111)</f>
        <v>42902.99861</v>
      </c>
      <c r="B2453" s="1">
        <f>IFERROR(__xludf.DUMMYFUNCTION("""COMPUTED_VALUE"""),1951.6365)</f>
        <v>1951.6365</v>
      </c>
    </row>
    <row r="2454">
      <c r="A2454" s="3">
        <f>IFERROR(__xludf.DUMMYFUNCTION("""COMPUTED_VALUE"""),42903.99861111111)</f>
        <v>42903.99861</v>
      </c>
      <c r="B2454" s="1">
        <f>IFERROR(__xludf.DUMMYFUNCTION("""COMPUTED_VALUE"""),1951.3428)</f>
        <v>1951.3428</v>
      </c>
    </row>
    <row r="2455">
      <c r="A2455" s="3">
        <f>IFERROR(__xludf.DUMMYFUNCTION("""COMPUTED_VALUE"""),42904.99861111111)</f>
        <v>42904.99861</v>
      </c>
      <c r="B2455" s="1">
        <f>IFERROR(__xludf.DUMMYFUNCTION("""COMPUTED_VALUE"""),1951.18792)</f>
        <v>1951.18792</v>
      </c>
    </row>
    <row r="2456">
      <c r="A2456" s="3">
        <f>IFERROR(__xludf.DUMMYFUNCTION("""COMPUTED_VALUE"""),42905.99861111111)</f>
        <v>42905.99861</v>
      </c>
      <c r="B2456" s="1">
        <f>IFERROR(__xludf.DUMMYFUNCTION("""COMPUTED_VALUE"""),1948.12618)</f>
        <v>1948.12618</v>
      </c>
    </row>
    <row r="2457">
      <c r="A2457" s="3">
        <f>IFERROR(__xludf.DUMMYFUNCTION("""COMPUTED_VALUE"""),42906.99861111111)</f>
        <v>42906.99861</v>
      </c>
      <c r="B2457" s="1">
        <f>IFERROR(__xludf.DUMMYFUNCTION("""COMPUTED_VALUE"""),1946.73277)</f>
        <v>1946.73277</v>
      </c>
    </row>
    <row r="2458">
      <c r="A2458" s="3">
        <f>IFERROR(__xludf.DUMMYFUNCTION("""COMPUTED_VALUE"""),42907.99861111111)</f>
        <v>42907.99861</v>
      </c>
      <c r="B2458" s="1">
        <f>IFERROR(__xludf.DUMMYFUNCTION("""COMPUTED_VALUE"""),1947.79844)</f>
        <v>1947.79844</v>
      </c>
    </row>
    <row r="2459">
      <c r="A2459" s="3">
        <f>IFERROR(__xludf.DUMMYFUNCTION("""COMPUTED_VALUE"""),42908.99861111111)</f>
        <v>42908.99861</v>
      </c>
      <c r="B2459" s="1">
        <f>IFERROR(__xludf.DUMMYFUNCTION("""COMPUTED_VALUE"""),1951.7883)</f>
        <v>1951.7883</v>
      </c>
    </row>
    <row r="2460">
      <c r="A2460" s="3">
        <f>IFERROR(__xludf.DUMMYFUNCTION("""COMPUTED_VALUE"""),42909.99861111111)</f>
        <v>42909.99861</v>
      </c>
      <c r="B2460" s="1">
        <f>IFERROR(__xludf.DUMMYFUNCTION("""COMPUTED_VALUE"""),1946.44125)</f>
        <v>1946.44125</v>
      </c>
    </row>
    <row r="2461">
      <c r="A2461" s="3">
        <f>IFERROR(__xludf.DUMMYFUNCTION("""COMPUTED_VALUE"""),42910.99861111111)</f>
        <v>42910.99861</v>
      </c>
      <c r="B2461" s="1">
        <f>IFERROR(__xludf.DUMMYFUNCTION("""COMPUTED_VALUE"""),1951.130472)</f>
        <v>1951.130472</v>
      </c>
    </row>
    <row r="2462">
      <c r="A2462" s="3">
        <f>IFERROR(__xludf.DUMMYFUNCTION("""COMPUTED_VALUE"""),42911.99861111111)</f>
        <v>42911.99861</v>
      </c>
      <c r="B2462" s="1">
        <f>IFERROR(__xludf.DUMMYFUNCTION("""COMPUTED_VALUE"""),1943.58204)</f>
        <v>1943.58204</v>
      </c>
    </row>
    <row r="2463">
      <c r="A2463" s="3">
        <f>IFERROR(__xludf.DUMMYFUNCTION("""COMPUTED_VALUE"""),42912.99861111111)</f>
        <v>42912.99861</v>
      </c>
      <c r="B2463" s="1">
        <f>IFERROR(__xludf.DUMMYFUNCTION("""COMPUTED_VALUE"""),1946.95842)</f>
        <v>1946.95842</v>
      </c>
    </row>
    <row r="2464">
      <c r="A2464" s="3">
        <f>IFERROR(__xludf.DUMMYFUNCTION("""COMPUTED_VALUE"""),42913.99861111111)</f>
        <v>42913.99861</v>
      </c>
      <c r="B2464" s="1">
        <f>IFERROR(__xludf.DUMMYFUNCTION("""COMPUTED_VALUE"""),1953.34824)</f>
        <v>1953.34824</v>
      </c>
    </row>
    <row r="2465">
      <c r="A2465" s="3">
        <f>IFERROR(__xludf.DUMMYFUNCTION("""COMPUTED_VALUE"""),42914.99861111111)</f>
        <v>42914.99861</v>
      </c>
      <c r="B2465" s="1">
        <f>IFERROR(__xludf.DUMMYFUNCTION("""COMPUTED_VALUE"""),1954.91088)</f>
        <v>1954.91088</v>
      </c>
    </row>
    <row r="2466">
      <c r="A2466" s="3">
        <f>IFERROR(__xludf.DUMMYFUNCTION("""COMPUTED_VALUE"""),42915.99861111111)</f>
        <v>42915.99861</v>
      </c>
      <c r="B2466" s="1">
        <f>IFERROR(__xludf.DUMMYFUNCTION("""COMPUTED_VALUE"""),1956.38052)</f>
        <v>1956.38052</v>
      </c>
    </row>
    <row r="2467">
      <c r="A2467" s="3">
        <f>IFERROR(__xludf.DUMMYFUNCTION("""COMPUTED_VALUE"""),42916.99861111111)</f>
        <v>42916.99861</v>
      </c>
      <c r="B2467" s="1">
        <f>IFERROR(__xludf.DUMMYFUNCTION("""COMPUTED_VALUE"""),1964.06689)</f>
        <v>1964.06689</v>
      </c>
    </row>
    <row r="2468">
      <c r="A2468" s="3">
        <f>IFERROR(__xludf.DUMMYFUNCTION("""COMPUTED_VALUE"""),42917.99861111111)</f>
        <v>42917.99861</v>
      </c>
      <c r="B2468" s="1">
        <f>IFERROR(__xludf.DUMMYFUNCTION("""COMPUTED_VALUE"""),1961.927196)</f>
        <v>1961.927196</v>
      </c>
    </row>
    <row r="2469">
      <c r="A2469" s="3">
        <f>IFERROR(__xludf.DUMMYFUNCTION("""COMPUTED_VALUE"""),42918.99861111111)</f>
        <v>42918.99861</v>
      </c>
      <c r="B2469" s="1">
        <f>IFERROR(__xludf.DUMMYFUNCTION("""COMPUTED_VALUE"""),1961.72096)</f>
        <v>1961.72096</v>
      </c>
    </row>
    <row r="2470">
      <c r="A2470" s="3">
        <f>IFERROR(__xludf.DUMMYFUNCTION("""COMPUTED_VALUE"""),42919.99861111111)</f>
        <v>42919.99861</v>
      </c>
      <c r="B2470" s="1">
        <f>IFERROR(__xludf.DUMMYFUNCTION("""COMPUTED_VALUE"""),1965.04256)</f>
        <v>1965.04256</v>
      </c>
    </row>
    <row r="2471">
      <c r="A2471" s="3">
        <f>IFERROR(__xludf.DUMMYFUNCTION("""COMPUTED_VALUE"""),42920.99861111111)</f>
        <v>42920.99861</v>
      </c>
      <c r="B2471" s="1">
        <f>IFERROR(__xludf.DUMMYFUNCTION("""COMPUTED_VALUE"""),1963.39806)</f>
        <v>1963.39806</v>
      </c>
    </row>
    <row r="2472">
      <c r="A2472" s="3">
        <f>IFERROR(__xludf.DUMMYFUNCTION("""COMPUTED_VALUE"""),42921.99861111111)</f>
        <v>42921.99861</v>
      </c>
      <c r="B2472" s="1">
        <f>IFERROR(__xludf.DUMMYFUNCTION("""COMPUTED_VALUE"""),1964.49463)</f>
        <v>1964.49463</v>
      </c>
    </row>
    <row r="2473">
      <c r="A2473" s="3">
        <f>IFERROR(__xludf.DUMMYFUNCTION("""COMPUTED_VALUE"""),42922.99861111111)</f>
        <v>42922.99861</v>
      </c>
      <c r="B2473" s="1">
        <f>IFERROR(__xludf.DUMMYFUNCTION("""COMPUTED_VALUE"""),1967.70249)</f>
        <v>1967.70249</v>
      </c>
    </row>
    <row r="2474">
      <c r="A2474" s="3">
        <f>IFERROR(__xludf.DUMMYFUNCTION("""COMPUTED_VALUE"""),42923.99861111111)</f>
        <v>42923.99861</v>
      </c>
      <c r="B2474" s="1">
        <f>IFERROR(__xludf.DUMMYFUNCTION("""COMPUTED_VALUE"""),1969.4626)</f>
        <v>1969.4626</v>
      </c>
    </row>
    <row r="2475">
      <c r="A2475" s="3">
        <f>IFERROR(__xludf.DUMMYFUNCTION("""COMPUTED_VALUE"""),42924.99861111111)</f>
        <v>42924.99861</v>
      </c>
      <c r="B2475" s="1">
        <f>IFERROR(__xludf.DUMMYFUNCTION("""COMPUTED_VALUE"""),1972.213473)</f>
        <v>1972.213473</v>
      </c>
    </row>
    <row r="2476">
      <c r="A2476" s="3">
        <f>IFERROR(__xludf.DUMMYFUNCTION("""COMPUTED_VALUE"""),42925.99861111111)</f>
        <v>42925.99861</v>
      </c>
      <c r="B2476" s="1">
        <f>IFERROR(__xludf.DUMMYFUNCTION("""COMPUTED_VALUE"""),1970.57376)</f>
        <v>1970.57376</v>
      </c>
    </row>
    <row r="2477">
      <c r="A2477" s="3">
        <f>IFERROR(__xludf.DUMMYFUNCTION("""COMPUTED_VALUE"""),42926.99861111111)</f>
        <v>42926.99861</v>
      </c>
      <c r="B2477" s="1">
        <f>IFERROR(__xludf.DUMMYFUNCTION("""COMPUTED_VALUE"""),1967.63436)</f>
        <v>1967.63436</v>
      </c>
    </row>
    <row r="2478">
      <c r="A2478" s="3">
        <f>IFERROR(__xludf.DUMMYFUNCTION("""COMPUTED_VALUE"""),42927.99861111111)</f>
        <v>42927.99861</v>
      </c>
      <c r="B2478" s="1">
        <f>IFERROR(__xludf.DUMMYFUNCTION("""COMPUTED_VALUE"""),1962.16951)</f>
        <v>1962.16951</v>
      </c>
    </row>
    <row r="2479">
      <c r="A2479" s="3">
        <f>IFERROR(__xludf.DUMMYFUNCTION("""COMPUTED_VALUE"""),42928.99861111111)</f>
        <v>42928.99861</v>
      </c>
      <c r="B2479" s="1">
        <f>IFERROR(__xludf.DUMMYFUNCTION("""COMPUTED_VALUE"""),1968.50353)</f>
        <v>1968.50353</v>
      </c>
    </row>
    <row r="2480">
      <c r="A2480" s="3">
        <f>IFERROR(__xludf.DUMMYFUNCTION("""COMPUTED_VALUE"""),42929.99861111111)</f>
        <v>42929.99861</v>
      </c>
      <c r="B2480" s="1">
        <f>IFERROR(__xludf.DUMMYFUNCTION("""COMPUTED_VALUE"""),1966.86363)</f>
        <v>1966.86363</v>
      </c>
    </row>
    <row r="2481">
      <c r="A2481" s="3">
        <f>IFERROR(__xludf.DUMMYFUNCTION("""COMPUTED_VALUE"""),42930.99861111111)</f>
        <v>42930.99861</v>
      </c>
      <c r="B2481" s="1">
        <f>IFERROR(__xludf.DUMMYFUNCTION("""COMPUTED_VALUE"""),1961.67725)</f>
        <v>1961.67725</v>
      </c>
    </row>
    <row r="2482">
      <c r="A2482" s="3">
        <f>IFERROR(__xludf.DUMMYFUNCTION("""COMPUTED_VALUE"""),42932.99861111111)</f>
        <v>42932.99861</v>
      </c>
      <c r="B2482" s="1">
        <f>IFERROR(__xludf.DUMMYFUNCTION("""COMPUTED_VALUE"""),1977.53556)</f>
        <v>1977.53556</v>
      </c>
    </row>
    <row r="2483">
      <c r="A2483" s="3">
        <f>IFERROR(__xludf.DUMMYFUNCTION("""COMPUTED_VALUE"""),42933.99861111111)</f>
        <v>42933.99861</v>
      </c>
      <c r="B2483" s="1">
        <f>IFERROR(__xludf.DUMMYFUNCTION("""COMPUTED_VALUE"""),1967.64491)</f>
        <v>1967.64491</v>
      </c>
    </row>
    <row r="2484">
      <c r="A2484" s="3">
        <f>IFERROR(__xludf.DUMMYFUNCTION("""COMPUTED_VALUE"""),42934.99861111111)</f>
        <v>42934.99861</v>
      </c>
      <c r="B2484" s="1">
        <f>IFERROR(__xludf.DUMMYFUNCTION("""COMPUTED_VALUE"""),1971.62244)</f>
        <v>1971.62244</v>
      </c>
    </row>
    <row r="2485">
      <c r="A2485" s="3">
        <f>IFERROR(__xludf.DUMMYFUNCTION("""COMPUTED_VALUE"""),42935.99861111111)</f>
        <v>42935.99861</v>
      </c>
      <c r="B2485" s="1">
        <f>IFERROR(__xludf.DUMMYFUNCTION("""COMPUTED_VALUE"""),1970.92981)</f>
        <v>1970.92981</v>
      </c>
    </row>
    <row r="2486">
      <c r="A2486" s="3">
        <f>IFERROR(__xludf.DUMMYFUNCTION("""COMPUTED_VALUE"""),42936.99861111111)</f>
        <v>42936.99861</v>
      </c>
      <c r="B2486" s="1">
        <f>IFERROR(__xludf.DUMMYFUNCTION("""COMPUTED_VALUE"""),1967.91279)</f>
        <v>1967.91279</v>
      </c>
    </row>
    <row r="2487">
      <c r="A2487" s="3">
        <f>IFERROR(__xludf.DUMMYFUNCTION("""COMPUTED_VALUE"""),42937.99861111111)</f>
        <v>42937.99861</v>
      </c>
      <c r="B2487" s="1">
        <f>IFERROR(__xludf.DUMMYFUNCTION("""COMPUTED_VALUE"""),1978.83455)</f>
        <v>1978.83455</v>
      </c>
    </row>
    <row r="2488">
      <c r="A2488" s="3">
        <f>IFERROR(__xludf.DUMMYFUNCTION("""COMPUTED_VALUE"""),42938.99861111111)</f>
        <v>42938.99861</v>
      </c>
      <c r="B2488" s="1">
        <f>IFERROR(__xludf.DUMMYFUNCTION("""COMPUTED_VALUE"""),1979.11632)</f>
        <v>1979.11632</v>
      </c>
    </row>
    <row r="2489">
      <c r="A2489" s="3">
        <f>IFERROR(__xludf.DUMMYFUNCTION("""COMPUTED_VALUE"""),42939.99861111111)</f>
        <v>42939.99861</v>
      </c>
      <c r="B2489" s="1">
        <f>IFERROR(__xludf.DUMMYFUNCTION("""COMPUTED_VALUE"""),1973.43405)</f>
        <v>1973.43405</v>
      </c>
    </row>
    <row r="2490">
      <c r="A2490" s="3">
        <f>IFERROR(__xludf.DUMMYFUNCTION("""COMPUTED_VALUE"""),42940.99861111111)</f>
        <v>42940.99861</v>
      </c>
      <c r="B2490" s="1">
        <f>IFERROR(__xludf.DUMMYFUNCTION("""COMPUTED_VALUE"""),1972.23276)</f>
        <v>1972.23276</v>
      </c>
    </row>
    <row r="2491">
      <c r="A2491" s="3">
        <f>IFERROR(__xludf.DUMMYFUNCTION("""COMPUTED_VALUE"""),42941.99861111111)</f>
        <v>42941.99861</v>
      </c>
      <c r="B2491" s="1">
        <f>IFERROR(__xludf.DUMMYFUNCTION("""COMPUTED_VALUE"""),1974.14336)</f>
        <v>1974.14336</v>
      </c>
    </row>
    <row r="2492">
      <c r="A2492" s="3">
        <f>IFERROR(__xludf.DUMMYFUNCTION("""COMPUTED_VALUE"""),42942.99861111111)</f>
        <v>42942.99861</v>
      </c>
      <c r="B2492" s="1">
        <f>IFERROR(__xludf.DUMMYFUNCTION("""COMPUTED_VALUE"""),1973.09187)</f>
        <v>1973.09187</v>
      </c>
    </row>
    <row r="2493">
      <c r="A2493" s="3">
        <f>IFERROR(__xludf.DUMMYFUNCTION("""COMPUTED_VALUE"""),42943.99861111111)</f>
        <v>42943.99861</v>
      </c>
      <c r="B2493" s="1">
        <f>IFERROR(__xludf.DUMMYFUNCTION("""COMPUTED_VALUE"""),1974.55374)</f>
        <v>1974.55374</v>
      </c>
    </row>
    <row r="2494">
      <c r="A2494" s="3">
        <f>IFERROR(__xludf.DUMMYFUNCTION("""COMPUTED_VALUE"""),42944.99861111111)</f>
        <v>42944.99861</v>
      </c>
      <c r="B2494" s="1">
        <f>IFERROR(__xludf.DUMMYFUNCTION("""COMPUTED_VALUE"""),1978.78065)</f>
        <v>1978.78065</v>
      </c>
    </row>
    <row r="2495">
      <c r="A2495" s="3">
        <f>IFERROR(__xludf.DUMMYFUNCTION("""COMPUTED_VALUE"""),42945.99861111111)</f>
        <v>42945.99861</v>
      </c>
      <c r="B2495" s="1">
        <f>IFERROR(__xludf.DUMMYFUNCTION("""COMPUTED_VALUE"""),1976.8212)</f>
        <v>1976.8212</v>
      </c>
    </row>
    <row r="2496">
      <c r="A2496" s="3">
        <f>IFERROR(__xludf.DUMMYFUNCTION("""COMPUTED_VALUE"""),42946.99861111111)</f>
        <v>42946.99861</v>
      </c>
      <c r="B2496" s="1">
        <f>IFERROR(__xludf.DUMMYFUNCTION("""COMPUTED_VALUE"""),1976.4216)</f>
        <v>1976.4216</v>
      </c>
    </row>
    <row r="2497">
      <c r="A2497" s="3">
        <f>IFERROR(__xludf.DUMMYFUNCTION("""COMPUTED_VALUE"""),42947.99861111111)</f>
        <v>42947.99861</v>
      </c>
      <c r="B2497" s="1">
        <f>IFERROR(__xludf.DUMMYFUNCTION("""COMPUTED_VALUE"""),1979.85388)</f>
        <v>1979.85388</v>
      </c>
    </row>
    <row r="2498">
      <c r="A2498" s="3">
        <f>IFERROR(__xludf.DUMMYFUNCTION("""COMPUTED_VALUE"""),42948.99861111111)</f>
        <v>42948.99861</v>
      </c>
      <c r="B2498" s="1">
        <f>IFERROR(__xludf.DUMMYFUNCTION("""COMPUTED_VALUE"""),1983.16764)</f>
        <v>1983.16764</v>
      </c>
    </row>
    <row r="2499">
      <c r="A2499" s="3">
        <f>IFERROR(__xludf.DUMMYFUNCTION("""COMPUTED_VALUE"""),42949.99861111111)</f>
        <v>42949.99861</v>
      </c>
      <c r="B2499" s="1">
        <f>IFERROR(__xludf.DUMMYFUNCTION("""COMPUTED_VALUE"""),1980.77058)</f>
        <v>1980.77058</v>
      </c>
    </row>
    <row r="2500">
      <c r="A2500" s="3">
        <f>IFERROR(__xludf.DUMMYFUNCTION("""COMPUTED_VALUE"""),42950.99861111111)</f>
        <v>42950.99861</v>
      </c>
      <c r="B2500" s="1">
        <f>IFERROR(__xludf.DUMMYFUNCTION("""COMPUTED_VALUE"""),1982.53315)</f>
        <v>1982.53315</v>
      </c>
    </row>
    <row r="2501">
      <c r="A2501" s="3">
        <f>IFERROR(__xludf.DUMMYFUNCTION("""COMPUTED_VALUE"""),42951.99861111111)</f>
        <v>42951.99861</v>
      </c>
      <c r="B2501" s="1">
        <f>IFERROR(__xludf.DUMMYFUNCTION("""COMPUTED_VALUE"""),1966.04928)</f>
        <v>1966.04928</v>
      </c>
    </row>
    <row r="2502">
      <c r="A2502" s="3">
        <f>IFERROR(__xludf.DUMMYFUNCTION("""COMPUTED_VALUE"""),42953.99861111111)</f>
        <v>42953.99861</v>
      </c>
      <c r="B2502" s="1">
        <f>IFERROR(__xludf.DUMMYFUNCTION("""COMPUTED_VALUE"""),1966.80402)</f>
        <v>1966.80402</v>
      </c>
    </row>
    <row r="2503">
      <c r="A2503" s="3">
        <f>IFERROR(__xludf.DUMMYFUNCTION("""COMPUTED_VALUE"""),42954.99861111111)</f>
        <v>42954.99861</v>
      </c>
      <c r="B2503" s="1">
        <f>IFERROR(__xludf.DUMMYFUNCTION("""COMPUTED_VALUE"""),1980.87255)</f>
        <v>1980.87255</v>
      </c>
    </row>
    <row r="2504">
      <c r="A2504" s="3">
        <f>IFERROR(__xludf.DUMMYFUNCTION("""COMPUTED_VALUE"""),42955.99861111111)</f>
        <v>42955.99861</v>
      </c>
      <c r="B2504" s="1">
        <f>IFERROR(__xludf.DUMMYFUNCTION("""COMPUTED_VALUE"""),1982.99318)</f>
        <v>1982.99318</v>
      </c>
    </row>
    <row r="2505">
      <c r="A2505" s="3">
        <f>IFERROR(__xludf.DUMMYFUNCTION("""COMPUTED_VALUE"""),42956.99861111111)</f>
        <v>42956.99861</v>
      </c>
      <c r="B2505" s="1">
        <f>IFERROR(__xludf.DUMMYFUNCTION("""COMPUTED_VALUE"""),1997.03436)</f>
        <v>1997.03436</v>
      </c>
    </row>
    <row r="2506">
      <c r="A2506" s="3">
        <f>IFERROR(__xludf.DUMMYFUNCTION("""COMPUTED_VALUE"""),42957.99861111111)</f>
        <v>42957.99861</v>
      </c>
      <c r="B2506" s="1">
        <f>IFERROR(__xludf.DUMMYFUNCTION("""COMPUTED_VALUE"""),2004.91388)</f>
        <v>2004.91388</v>
      </c>
    </row>
    <row r="2507">
      <c r="A2507" s="3">
        <f>IFERROR(__xludf.DUMMYFUNCTION("""COMPUTED_VALUE"""),42958.99861111111)</f>
        <v>42958.99861</v>
      </c>
      <c r="B2507" s="1">
        <f>IFERROR(__xludf.DUMMYFUNCTION("""COMPUTED_VALUE"""),2002.48349)</f>
        <v>2002.48349</v>
      </c>
    </row>
    <row r="2508">
      <c r="A2508" s="3">
        <f>IFERROR(__xludf.DUMMYFUNCTION("""COMPUTED_VALUE"""),42959.99861111111)</f>
        <v>42959.99861</v>
      </c>
      <c r="B2508" s="1">
        <f>IFERROR(__xludf.DUMMYFUNCTION("""COMPUTED_VALUE"""),2002.91702)</f>
        <v>2002.91702</v>
      </c>
    </row>
    <row r="2509">
      <c r="A2509" s="3">
        <f>IFERROR(__xludf.DUMMYFUNCTION("""COMPUTED_VALUE"""),42960.99861111111)</f>
        <v>42960.99861</v>
      </c>
      <c r="B2509" s="1">
        <f>IFERROR(__xludf.DUMMYFUNCTION("""COMPUTED_VALUE"""),2003.9851)</f>
        <v>2003.9851</v>
      </c>
    </row>
    <row r="2510">
      <c r="A2510" s="3">
        <f>IFERROR(__xludf.DUMMYFUNCTION("""COMPUTED_VALUE"""),42961.99861111111)</f>
        <v>42961.99861</v>
      </c>
      <c r="B2510" s="1">
        <f>IFERROR(__xludf.DUMMYFUNCTION("""COMPUTED_VALUE"""),2000.36606)</f>
        <v>2000.36606</v>
      </c>
    </row>
    <row r="2511">
      <c r="A2511" s="3">
        <f>IFERROR(__xludf.DUMMYFUNCTION("""COMPUTED_VALUE"""),42962.99861111111)</f>
        <v>42962.99861</v>
      </c>
      <c r="B2511" s="1">
        <f>IFERROR(__xludf.DUMMYFUNCTION("""COMPUTED_VALUE"""),1997.22424)</f>
        <v>1997.22424</v>
      </c>
    </row>
    <row r="2512">
      <c r="A2512" s="3">
        <f>IFERROR(__xludf.DUMMYFUNCTION("""COMPUTED_VALUE"""),42963.99861111111)</f>
        <v>42963.99861</v>
      </c>
      <c r="B2512" s="1">
        <f>IFERROR(__xludf.DUMMYFUNCTION("""COMPUTED_VALUE"""),1995.1575)</f>
        <v>1995.1575</v>
      </c>
    </row>
    <row r="2513">
      <c r="A2513" s="3">
        <f>IFERROR(__xludf.DUMMYFUNCTION("""COMPUTED_VALUE"""),42964.99861111111)</f>
        <v>42964.99861</v>
      </c>
      <c r="B2513" s="1">
        <f>IFERROR(__xludf.DUMMYFUNCTION("""COMPUTED_VALUE"""),2002.18956)</f>
        <v>2002.18956</v>
      </c>
    </row>
    <row r="2514">
      <c r="A2514" s="3">
        <f>IFERROR(__xludf.DUMMYFUNCTION("""COMPUTED_VALUE"""),42965.99861111111)</f>
        <v>42965.99861</v>
      </c>
      <c r="B2514" s="1">
        <f>IFERROR(__xludf.DUMMYFUNCTION("""COMPUTED_VALUE"""),2003.0321)</f>
        <v>2003.0321</v>
      </c>
    </row>
    <row r="2515">
      <c r="A2515" s="3">
        <f>IFERROR(__xludf.DUMMYFUNCTION("""COMPUTED_VALUE"""),42966.99861111111)</f>
        <v>42966.99861</v>
      </c>
      <c r="B2515" s="1">
        <f>IFERROR(__xludf.DUMMYFUNCTION("""COMPUTED_VALUE"""),2002.9829)</f>
        <v>2002.9829</v>
      </c>
    </row>
    <row r="2516">
      <c r="A2516" s="3">
        <f>IFERROR(__xludf.DUMMYFUNCTION("""COMPUTED_VALUE"""),42967.99861111111)</f>
        <v>42967.99861</v>
      </c>
      <c r="B2516" s="1">
        <f>IFERROR(__xludf.DUMMYFUNCTION("""COMPUTED_VALUE"""),2002.31515)</f>
        <v>2002.31515</v>
      </c>
    </row>
    <row r="2517">
      <c r="A2517" s="3">
        <f>IFERROR(__xludf.DUMMYFUNCTION("""COMPUTED_VALUE"""),42968.99861111111)</f>
        <v>42968.99861</v>
      </c>
      <c r="B2517" s="1">
        <f>IFERROR(__xludf.DUMMYFUNCTION("""COMPUTED_VALUE"""),2001.46656)</f>
        <v>2001.46656</v>
      </c>
    </row>
    <row r="2518">
      <c r="A2518" s="3">
        <f>IFERROR(__xludf.DUMMYFUNCTION("""COMPUTED_VALUE"""),42969.99861111111)</f>
        <v>42969.99861</v>
      </c>
      <c r="B2518" s="1">
        <f>IFERROR(__xludf.DUMMYFUNCTION("""COMPUTED_VALUE"""),1999.816)</f>
        <v>1999.816</v>
      </c>
    </row>
    <row r="2519">
      <c r="A2519" s="3">
        <f>IFERROR(__xludf.DUMMYFUNCTION("""COMPUTED_VALUE"""),42970.99861111111)</f>
        <v>42970.99861</v>
      </c>
      <c r="B2519" s="1">
        <f>IFERROR(__xludf.DUMMYFUNCTION("""COMPUTED_VALUE"""),2004.78616)</f>
        <v>2004.78616</v>
      </c>
    </row>
    <row r="2520">
      <c r="A2520" s="3">
        <f>IFERROR(__xludf.DUMMYFUNCTION("""COMPUTED_VALUE"""),42971.99861111111)</f>
        <v>42971.99861</v>
      </c>
      <c r="B2520" s="1">
        <f>IFERROR(__xludf.DUMMYFUNCTION("""COMPUTED_VALUE"""),2001.14997)</f>
        <v>2001.14997</v>
      </c>
    </row>
    <row r="2521">
      <c r="A2521" s="3">
        <f>IFERROR(__xludf.DUMMYFUNCTION("""COMPUTED_VALUE"""),42972.99861111111)</f>
        <v>42972.99861</v>
      </c>
      <c r="B2521" s="1">
        <f>IFERROR(__xludf.DUMMYFUNCTION("""COMPUTED_VALUE"""),2021.69514)</f>
        <v>2021.69514</v>
      </c>
    </row>
    <row r="2522">
      <c r="A2522" s="3">
        <f>IFERROR(__xludf.DUMMYFUNCTION("""COMPUTED_VALUE"""),42973.99861111111)</f>
        <v>42973.99861</v>
      </c>
      <c r="B2522" s="1">
        <f>IFERROR(__xludf.DUMMYFUNCTION("""COMPUTED_VALUE"""),2021.96196)</f>
        <v>2021.96196</v>
      </c>
    </row>
    <row r="2523">
      <c r="A2523" s="3">
        <f>IFERROR(__xludf.DUMMYFUNCTION("""COMPUTED_VALUE"""),42974.99861111111)</f>
        <v>42974.99861</v>
      </c>
      <c r="B2523" s="1">
        <f>IFERROR(__xludf.DUMMYFUNCTION("""COMPUTED_VALUE"""),2026.1941)</f>
        <v>2026.1941</v>
      </c>
    </row>
    <row r="2524">
      <c r="A2524" s="3">
        <f>IFERROR(__xludf.DUMMYFUNCTION("""COMPUTED_VALUE"""),42975.99861111111)</f>
        <v>42975.99861</v>
      </c>
      <c r="B2524" s="1">
        <f>IFERROR(__xludf.DUMMYFUNCTION("""COMPUTED_VALUE"""),2013.27602)</f>
        <v>2013.27602</v>
      </c>
    </row>
    <row r="2525">
      <c r="A2525" s="3">
        <f>IFERROR(__xludf.DUMMYFUNCTION("""COMPUTED_VALUE"""),42976.99861111111)</f>
        <v>42976.99861</v>
      </c>
      <c r="B2525" s="1">
        <f>IFERROR(__xludf.DUMMYFUNCTION("""COMPUTED_VALUE"""),2021.14947)</f>
        <v>2021.14947</v>
      </c>
    </row>
    <row r="2526">
      <c r="A2526" s="3">
        <f>IFERROR(__xludf.DUMMYFUNCTION("""COMPUTED_VALUE"""),42977.99861111111)</f>
        <v>42977.99861</v>
      </c>
      <c r="B2526" s="1">
        <f>IFERROR(__xludf.DUMMYFUNCTION("""COMPUTED_VALUE"""),2021.4344)</f>
        <v>2021.4344</v>
      </c>
    </row>
    <row r="2527">
      <c r="A2527" s="3">
        <f>IFERROR(__xludf.DUMMYFUNCTION("""COMPUTED_VALUE"""),42978.99861111111)</f>
        <v>42978.99861</v>
      </c>
      <c r="B2527" s="1">
        <f>IFERROR(__xludf.DUMMYFUNCTION("""COMPUTED_VALUE"""),2021.32854)</f>
        <v>2021.32854</v>
      </c>
    </row>
    <row r="2528">
      <c r="A2528" s="3">
        <f>IFERROR(__xludf.DUMMYFUNCTION("""COMPUTED_VALUE"""),42979.99861111111)</f>
        <v>42979.99861</v>
      </c>
      <c r="B2528" s="1">
        <f>IFERROR(__xludf.DUMMYFUNCTION("""COMPUTED_VALUE"""),2031.54921)</f>
        <v>2031.54921</v>
      </c>
    </row>
    <row r="2529">
      <c r="A2529" s="3">
        <f>IFERROR(__xludf.DUMMYFUNCTION("""COMPUTED_VALUE"""),42980.99861111111)</f>
        <v>42980.99861</v>
      </c>
      <c r="B2529" s="1">
        <f>IFERROR(__xludf.DUMMYFUNCTION("""COMPUTED_VALUE"""),2032.5207)</f>
        <v>2032.5207</v>
      </c>
    </row>
    <row r="2530">
      <c r="A2530" s="3">
        <f>IFERROR(__xludf.DUMMYFUNCTION("""COMPUTED_VALUE"""),42981.99861111111)</f>
        <v>42981.99861</v>
      </c>
      <c r="B2530" s="1">
        <f>IFERROR(__xludf.DUMMYFUNCTION("""COMPUTED_VALUE"""),2035.91032)</f>
        <v>2035.91032</v>
      </c>
    </row>
    <row r="2531">
      <c r="A2531" s="3">
        <f>IFERROR(__xludf.DUMMYFUNCTION("""COMPUTED_VALUE"""),42982.99861111111)</f>
        <v>42982.99861</v>
      </c>
      <c r="B2531" s="1">
        <f>IFERROR(__xludf.DUMMYFUNCTION("""COMPUTED_VALUE"""),2044.74489)</f>
        <v>2044.74489</v>
      </c>
    </row>
    <row r="2532">
      <c r="A2532" s="3">
        <f>IFERROR(__xludf.DUMMYFUNCTION("""COMPUTED_VALUE"""),42983.99861111111)</f>
        <v>42983.99861</v>
      </c>
      <c r="B2532" s="1">
        <f>IFERROR(__xludf.DUMMYFUNCTION("""COMPUTED_VALUE"""),2039.01569)</f>
        <v>2039.01569</v>
      </c>
    </row>
    <row r="2533">
      <c r="A2533" s="3">
        <f>IFERROR(__xludf.DUMMYFUNCTION("""COMPUTED_VALUE"""),42984.99861111111)</f>
        <v>42984.99861</v>
      </c>
      <c r="B2533" s="1">
        <f>IFERROR(__xludf.DUMMYFUNCTION("""COMPUTED_VALUE"""),2045.00209)</f>
        <v>2045.00209</v>
      </c>
    </row>
    <row r="2534">
      <c r="A2534" s="3">
        <f>IFERROR(__xludf.DUMMYFUNCTION("""COMPUTED_VALUE"""),42985.99861111111)</f>
        <v>42985.99861</v>
      </c>
      <c r="B2534" s="1">
        <f>IFERROR(__xludf.DUMMYFUNCTION("""COMPUTED_VALUE"""),2049.1638)</f>
        <v>2049.1638</v>
      </c>
    </row>
    <row r="2535">
      <c r="A2535" s="3">
        <f>IFERROR(__xludf.DUMMYFUNCTION("""COMPUTED_VALUE"""),42986.99861111111)</f>
        <v>42986.99861</v>
      </c>
      <c r="B2535" s="1">
        <f>IFERROR(__xludf.DUMMYFUNCTION("""COMPUTED_VALUE"""),2022.96813)</f>
        <v>2022.96813</v>
      </c>
    </row>
    <row r="2536">
      <c r="A2536" s="3">
        <f>IFERROR(__xludf.DUMMYFUNCTION("""COMPUTED_VALUE"""),42987.99861111111)</f>
        <v>42987.99861</v>
      </c>
      <c r="B2536" s="1">
        <f>IFERROR(__xludf.DUMMYFUNCTION("""COMPUTED_VALUE"""),2023.18935)</f>
        <v>2023.18935</v>
      </c>
    </row>
    <row r="2537">
      <c r="A2537" s="3">
        <f>IFERROR(__xludf.DUMMYFUNCTION("""COMPUTED_VALUE"""),42988.99861111111)</f>
        <v>42988.99861</v>
      </c>
      <c r="B2537" s="1">
        <f>IFERROR(__xludf.DUMMYFUNCTION("""COMPUTED_VALUE"""),2020.59267)</f>
        <v>2020.59267</v>
      </c>
    </row>
    <row r="2538">
      <c r="A2538" s="3">
        <f>IFERROR(__xludf.DUMMYFUNCTION("""COMPUTED_VALUE"""),42989.99861111111)</f>
        <v>42989.99861</v>
      </c>
      <c r="B2538" s="1">
        <f>IFERROR(__xludf.DUMMYFUNCTION("""COMPUTED_VALUE"""),2017.2456)</f>
        <v>2017.2456</v>
      </c>
    </row>
    <row r="2539">
      <c r="A2539" s="3">
        <f>IFERROR(__xludf.DUMMYFUNCTION("""COMPUTED_VALUE"""),42990.99861111111)</f>
        <v>42990.99861</v>
      </c>
      <c r="B2539" s="1">
        <f>IFERROR(__xludf.DUMMYFUNCTION("""COMPUTED_VALUE"""),2020.69192)</f>
        <v>2020.69192</v>
      </c>
    </row>
    <row r="2540">
      <c r="A2540" s="3">
        <f>IFERROR(__xludf.DUMMYFUNCTION("""COMPUTED_VALUE"""),42991.99861111111)</f>
        <v>42991.99861</v>
      </c>
      <c r="B2540" s="1">
        <f>IFERROR(__xludf.DUMMYFUNCTION("""COMPUTED_VALUE"""),2023.90728)</f>
        <v>2023.90728</v>
      </c>
    </row>
    <row r="2541">
      <c r="A2541" s="3">
        <f>IFERROR(__xludf.DUMMYFUNCTION("""COMPUTED_VALUE"""),42992.99861111111)</f>
        <v>42992.99861</v>
      </c>
      <c r="B2541" s="1">
        <f>IFERROR(__xludf.DUMMYFUNCTION("""COMPUTED_VALUE"""),2023.1181)</f>
        <v>2023.1181</v>
      </c>
    </row>
    <row r="2542">
      <c r="A2542" s="3">
        <f>IFERROR(__xludf.DUMMYFUNCTION("""COMPUTED_VALUE"""),42993.99861111111)</f>
        <v>42993.99861</v>
      </c>
      <c r="B2542" s="1">
        <f>IFERROR(__xludf.DUMMYFUNCTION("""COMPUTED_VALUE"""),2020.6773)</f>
        <v>2020.6773</v>
      </c>
    </row>
    <row r="2543">
      <c r="A2543" s="3">
        <f>IFERROR(__xludf.DUMMYFUNCTION("""COMPUTED_VALUE"""),42995.99861111111)</f>
        <v>42995.99861</v>
      </c>
      <c r="B2543" s="1">
        <f>IFERROR(__xludf.DUMMYFUNCTION("""COMPUTED_VALUE"""),2022.65276)</f>
        <v>2022.65276</v>
      </c>
    </row>
    <row r="2544">
      <c r="A2544" s="3">
        <f>IFERROR(__xludf.DUMMYFUNCTION("""COMPUTED_VALUE"""),42996.99861111111)</f>
        <v>42996.99861</v>
      </c>
      <c r="B2544" s="1">
        <f>IFERROR(__xludf.DUMMYFUNCTION("""COMPUTED_VALUE"""),2018.0628)</f>
        <v>2018.0628</v>
      </c>
    </row>
    <row r="2545">
      <c r="A2545" s="3">
        <f>IFERROR(__xludf.DUMMYFUNCTION("""COMPUTED_VALUE"""),42997.99861111111)</f>
        <v>42997.99861</v>
      </c>
      <c r="B2545" s="1">
        <f>IFERROR(__xludf.DUMMYFUNCTION("""COMPUTED_VALUE"""),2013.18872)</f>
        <v>2013.18872</v>
      </c>
    </row>
    <row r="2546">
      <c r="A2546" s="3">
        <f>IFERROR(__xludf.DUMMYFUNCTION("""COMPUTED_VALUE"""),42998.99861111111)</f>
        <v>42998.99861</v>
      </c>
      <c r="B2546" s="1">
        <f>IFERROR(__xludf.DUMMYFUNCTION("""COMPUTED_VALUE"""),2018.29238)</f>
        <v>2018.29238</v>
      </c>
    </row>
    <row r="2547">
      <c r="A2547" s="3">
        <f>IFERROR(__xludf.DUMMYFUNCTION("""COMPUTED_VALUE"""),42999.99861111111)</f>
        <v>42999.99861</v>
      </c>
      <c r="B2547" s="1">
        <f>IFERROR(__xludf.DUMMYFUNCTION("""COMPUTED_VALUE"""),2013.64683)</f>
        <v>2013.64683</v>
      </c>
    </row>
    <row r="2548">
      <c r="A2548" s="3">
        <f>IFERROR(__xludf.DUMMYFUNCTION("""COMPUTED_VALUE"""),43000.99861111111)</f>
        <v>43000.99861</v>
      </c>
      <c r="B2548" s="1">
        <f>IFERROR(__xludf.DUMMYFUNCTION("""COMPUTED_VALUE"""),2014.8969)</f>
        <v>2014.8969</v>
      </c>
    </row>
    <row r="2549">
      <c r="A2549" s="3">
        <f>IFERROR(__xludf.DUMMYFUNCTION("""COMPUTED_VALUE"""),43002.99861111111)</f>
        <v>43002.99861</v>
      </c>
      <c r="B2549" s="1">
        <f>IFERROR(__xludf.DUMMYFUNCTION("""COMPUTED_VALUE"""),2014.12922)</f>
        <v>2014.12922</v>
      </c>
    </row>
    <row r="2550">
      <c r="A2550" s="3">
        <f>IFERROR(__xludf.DUMMYFUNCTION("""COMPUTED_VALUE"""),43003.99861111111)</f>
        <v>43003.99861</v>
      </c>
      <c r="B2550" s="1">
        <f>IFERROR(__xludf.DUMMYFUNCTION("""COMPUTED_VALUE"""),2011.70176)</f>
        <v>2011.70176</v>
      </c>
    </row>
    <row r="2551">
      <c r="A2551" s="3">
        <f>IFERROR(__xludf.DUMMYFUNCTION("""COMPUTED_VALUE"""),43004.99861111111)</f>
        <v>43004.99861</v>
      </c>
      <c r="B2551" s="1">
        <f>IFERROR(__xludf.DUMMYFUNCTION("""COMPUTED_VALUE"""),2014.0075)</f>
        <v>2014.0075</v>
      </c>
    </row>
    <row r="2552">
      <c r="A2552" s="3">
        <f>IFERROR(__xludf.DUMMYFUNCTION("""COMPUTED_VALUE"""),43005.99861111111)</f>
        <v>43005.99861</v>
      </c>
      <c r="B2552" s="1">
        <f>IFERROR(__xludf.DUMMYFUNCTION("""COMPUTED_VALUE"""),2022.47248)</f>
        <v>2022.47248</v>
      </c>
    </row>
    <row r="2553">
      <c r="A2553" s="3">
        <f>IFERROR(__xludf.DUMMYFUNCTION("""COMPUTED_VALUE"""),43006.99861111111)</f>
        <v>43006.99861</v>
      </c>
      <c r="B2553" s="1">
        <f>IFERROR(__xludf.DUMMYFUNCTION("""COMPUTED_VALUE"""),2026.60524)</f>
        <v>2026.60524</v>
      </c>
    </row>
    <row r="2554">
      <c r="A2554" s="3">
        <f>IFERROR(__xludf.DUMMYFUNCTION("""COMPUTED_VALUE"""),43007.99861111111)</f>
        <v>43007.99861</v>
      </c>
      <c r="B2554" s="1">
        <f>IFERROR(__xludf.DUMMYFUNCTION("""COMPUTED_VALUE"""),2022.7688)</f>
        <v>2022.7688</v>
      </c>
    </row>
    <row r="2555">
      <c r="A2555" s="3">
        <f>IFERROR(__xludf.DUMMYFUNCTION("""COMPUTED_VALUE"""),43009.99861111111)</f>
        <v>43009.99861</v>
      </c>
      <c r="B2555" s="1">
        <f>IFERROR(__xludf.DUMMYFUNCTION("""COMPUTED_VALUE"""),2022.03905)</f>
        <v>2022.03905</v>
      </c>
    </row>
    <row r="2556">
      <c r="A2556" s="3">
        <f>IFERROR(__xludf.DUMMYFUNCTION("""COMPUTED_VALUE"""),43010.99861111111)</f>
        <v>43010.99861</v>
      </c>
      <c r="B2556" s="1">
        <f>IFERROR(__xludf.DUMMYFUNCTION("""COMPUTED_VALUE"""),2033.84461)</f>
        <v>2033.84461</v>
      </c>
    </row>
    <row r="2557">
      <c r="A2557" s="3">
        <f>IFERROR(__xludf.DUMMYFUNCTION("""COMPUTED_VALUE"""),43011.99861111111)</f>
        <v>43011.99861</v>
      </c>
      <c r="B2557" s="1">
        <f>IFERROR(__xludf.DUMMYFUNCTION("""COMPUTED_VALUE"""),2035.00224)</f>
        <v>2035.00224</v>
      </c>
    </row>
    <row r="2558">
      <c r="A2558" s="3">
        <f>IFERROR(__xludf.DUMMYFUNCTION("""COMPUTED_VALUE"""),43012.99861111111)</f>
        <v>43012.99861</v>
      </c>
      <c r="B2558" s="1">
        <f>IFERROR(__xludf.DUMMYFUNCTION("""COMPUTED_VALUE"""),2024.2716)</f>
        <v>2024.2716</v>
      </c>
    </row>
    <row r="2559">
      <c r="A2559" s="3">
        <f>IFERROR(__xludf.DUMMYFUNCTION("""COMPUTED_VALUE"""),43013.99861111111)</f>
        <v>43013.99861</v>
      </c>
      <c r="B2559" s="1">
        <f>IFERROR(__xludf.DUMMYFUNCTION("""COMPUTED_VALUE"""),2021.41628)</f>
        <v>2021.41628</v>
      </c>
    </row>
    <row r="2560">
      <c r="A2560" s="3">
        <f>IFERROR(__xludf.DUMMYFUNCTION("""COMPUTED_VALUE"""),43014.99861111111)</f>
        <v>43014.99861</v>
      </c>
      <c r="B2560" s="1">
        <f>IFERROR(__xludf.DUMMYFUNCTION("""COMPUTED_VALUE"""),2028.81052)</f>
        <v>2028.81052</v>
      </c>
    </row>
    <row r="2561">
      <c r="A2561" s="3">
        <f>IFERROR(__xludf.DUMMYFUNCTION("""COMPUTED_VALUE"""),43015.99861111111)</f>
        <v>43015.99861</v>
      </c>
      <c r="B2561" s="1">
        <f>IFERROR(__xludf.DUMMYFUNCTION("""COMPUTED_VALUE"""),2027.92425)</f>
        <v>2027.92425</v>
      </c>
    </row>
    <row r="2562">
      <c r="A2562" s="3">
        <f>IFERROR(__xludf.DUMMYFUNCTION("""COMPUTED_VALUE"""),43016.99861111111)</f>
        <v>43016.99861</v>
      </c>
      <c r="B2562" s="1">
        <f>IFERROR(__xludf.DUMMYFUNCTION("""COMPUTED_VALUE"""),2029.54389)</f>
        <v>2029.54389</v>
      </c>
    </row>
    <row r="2563">
      <c r="A2563" s="3">
        <f>IFERROR(__xludf.DUMMYFUNCTION("""COMPUTED_VALUE"""),43017.99861111111)</f>
        <v>43017.99861</v>
      </c>
      <c r="B2563" s="1">
        <f>IFERROR(__xludf.DUMMYFUNCTION("""COMPUTED_VALUE"""),2039.0643)</f>
        <v>2039.0643</v>
      </c>
    </row>
    <row r="2564">
      <c r="A2564" s="3">
        <f>IFERROR(__xludf.DUMMYFUNCTION("""COMPUTED_VALUE"""),43018.99861111111)</f>
        <v>43018.99861</v>
      </c>
      <c r="B2564" s="1">
        <f>IFERROR(__xludf.DUMMYFUNCTION("""COMPUTED_VALUE"""),2055.6816)</f>
        <v>2055.6816</v>
      </c>
    </row>
    <row r="2565">
      <c r="A2565" s="3">
        <f>IFERROR(__xludf.DUMMYFUNCTION("""COMPUTED_VALUE"""),43019.99861111111)</f>
        <v>43019.99861</v>
      </c>
      <c r="B2565" s="1">
        <f>IFERROR(__xludf.DUMMYFUNCTION("""COMPUTED_VALUE"""),2050.1425)</f>
        <v>2050.1425</v>
      </c>
    </row>
    <row r="2566">
      <c r="A2566" s="3">
        <f>IFERROR(__xludf.DUMMYFUNCTION("""COMPUTED_VALUE"""),43020.99861111111)</f>
        <v>43020.99861</v>
      </c>
      <c r="B2566" s="1">
        <f>IFERROR(__xludf.DUMMYFUNCTION("""COMPUTED_VALUE"""),2048.72644)</f>
        <v>2048.72644</v>
      </c>
    </row>
    <row r="2567">
      <c r="A2567" s="3">
        <f>IFERROR(__xludf.DUMMYFUNCTION("""COMPUTED_VALUE"""),43021.99861111111)</f>
        <v>43021.99861</v>
      </c>
      <c r="B2567" s="1">
        <f>IFERROR(__xludf.DUMMYFUNCTION("""COMPUTED_VALUE"""),2041.0914)</f>
        <v>2041.0914</v>
      </c>
    </row>
    <row r="2568">
      <c r="A2568" s="3">
        <f>IFERROR(__xludf.DUMMYFUNCTION("""COMPUTED_VALUE"""),43022.99861111111)</f>
        <v>43022.99861</v>
      </c>
      <c r="B2568" s="1">
        <f>IFERROR(__xludf.DUMMYFUNCTION("""COMPUTED_VALUE"""),2050.64908)</f>
        <v>2050.64908</v>
      </c>
    </row>
    <row r="2569">
      <c r="A2569" s="3">
        <f>IFERROR(__xludf.DUMMYFUNCTION("""COMPUTED_VALUE"""),43023.99861111111)</f>
        <v>43023.99861</v>
      </c>
      <c r="B2569" s="1">
        <f>IFERROR(__xludf.DUMMYFUNCTION("""COMPUTED_VALUE"""),2049.03004)</f>
        <v>2049.03004</v>
      </c>
    </row>
    <row r="2570">
      <c r="A2570" s="3">
        <f>IFERROR(__xludf.DUMMYFUNCTION("""COMPUTED_VALUE"""),43024.99861111111)</f>
        <v>43024.99861</v>
      </c>
      <c r="B2570" s="1">
        <f>IFERROR(__xludf.DUMMYFUNCTION("""COMPUTED_VALUE"""),2044.983)</f>
        <v>2044.983</v>
      </c>
    </row>
    <row r="2571">
      <c r="A2571" s="3">
        <f>IFERROR(__xludf.DUMMYFUNCTION("""COMPUTED_VALUE"""),43025.99861111111)</f>
        <v>43025.99861</v>
      </c>
      <c r="B2571" s="1">
        <f>IFERROR(__xludf.DUMMYFUNCTION("""COMPUTED_VALUE"""),2037.61005)</f>
        <v>2037.61005</v>
      </c>
    </row>
    <row r="2572">
      <c r="A2572" s="3">
        <f>IFERROR(__xludf.DUMMYFUNCTION("""COMPUTED_VALUE"""),43026.99861111111)</f>
        <v>43026.99861</v>
      </c>
      <c r="B2572" s="1">
        <f>IFERROR(__xludf.DUMMYFUNCTION("""COMPUTED_VALUE"""),2037.9835)</f>
        <v>2037.9835</v>
      </c>
    </row>
    <row r="2573">
      <c r="A2573" s="3">
        <f>IFERROR(__xludf.DUMMYFUNCTION("""COMPUTED_VALUE"""),43027.99861111111)</f>
        <v>43027.99861</v>
      </c>
      <c r="B2573" s="1">
        <f>IFERROR(__xludf.DUMMYFUNCTION("""COMPUTED_VALUE"""),2039.4182)</f>
        <v>2039.4182</v>
      </c>
    </row>
    <row r="2574">
      <c r="A2574" s="3">
        <f>IFERROR(__xludf.DUMMYFUNCTION("""COMPUTED_VALUE"""),43028.99861111111)</f>
        <v>43028.99861</v>
      </c>
      <c r="B2574" s="1">
        <f>IFERROR(__xludf.DUMMYFUNCTION("""COMPUTED_VALUE"""),2041.99728)</f>
        <v>2041.99728</v>
      </c>
    </row>
    <row r="2575">
      <c r="A2575" s="3">
        <f>IFERROR(__xludf.DUMMYFUNCTION("""COMPUTED_VALUE"""),43029.99861111111)</f>
        <v>43029.99861</v>
      </c>
      <c r="B2575" s="1">
        <f>IFERROR(__xludf.DUMMYFUNCTION("""COMPUTED_VALUE"""),2040.51052)</f>
        <v>2040.51052</v>
      </c>
    </row>
    <row r="2576">
      <c r="A2576" s="3">
        <f>IFERROR(__xludf.DUMMYFUNCTION("""COMPUTED_VALUE"""),43030.99861111111)</f>
        <v>43030.99861</v>
      </c>
      <c r="B2576" s="1">
        <f>IFERROR(__xludf.DUMMYFUNCTION("""COMPUTED_VALUE"""),2035.5096)</f>
        <v>2035.5096</v>
      </c>
    </row>
    <row r="2577">
      <c r="A2577" s="3">
        <f>IFERROR(__xludf.DUMMYFUNCTION("""COMPUTED_VALUE"""),43031.99861111111)</f>
        <v>43031.99861</v>
      </c>
      <c r="B2577" s="1">
        <f>IFERROR(__xludf.DUMMYFUNCTION("""COMPUTED_VALUE"""),2038.6417)</f>
        <v>2038.6417</v>
      </c>
    </row>
    <row r="2578">
      <c r="A2578" s="3">
        <f>IFERROR(__xludf.DUMMYFUNCTION("""COMPUTED_VALUE"""),43032.99861111111)</f>
        <v>43032.99861</v>
      </c>
      <c r="B2578" s="1">
        <f>IFERROR(__xludf.DUMMYFUNCTION("""COMPUTED_VALUE"""),2037.81175)</f>
        <v>2037.81175</v>
      </c>
    </row>
    <row r="2579">
      <c r="A2579" s="3">
        <f>IFERROR(__xludf.DUMMYFUNCTION("""COMPUTED_VALUE"""),43033.99861111111)</f>
        <v>43033.99861</v>
      </c>
      <c r="B2579" s="1">
        <f>IFERROR(__xludf.DUMMYFUNCTION("""COMPUTED_VALUE"""),2044.35036)</f>
        <v>2044.35036</v>
      </c>
    </row>
    <row r="2580">
      <c r="A2580" s="3">
        <f>IFERROR(__xludf.DUMMYFUNCTION("""COMPUTED_VALUE"""),43034.99861111111)</f>
        <v>43034.99861</v>
      </c>
      <c r="B2580" s="1">
        <f>IFERROR(__xludf.DUMMYFUNCTION("""COMPUTED_VALUE"""),2053.95365)</f>
        <v>2053.95365</v>
      </c>
    </row>
    <row r="2581">
      <c r="A2581" s="3">
        <f>IFERROR(__xludf.DUMMYFUNCTION("""COMPUTED_VALUE"""),43035.99861111111)</f>
        <v>43035.99861</v>
      </c>
      <c r="B2581" s="1">
        <f>IFERROR(__xludf.DUMMYFUNCTION("""COMPUTED_VALUE"""),2043.27094)</f>
        <v>2043.27094</v>
      </c>
    </row>
    <row r="2582">
      <c r="A2582" s="3">
        <f>IFERROR(__xludf.DUMMYFUNCTION("""COMPUTED_VALUE"""),43037.99861111111)</f>
        <v>43037.99861</v>
      </c>
      <c r="B2582" s="1">
        <f>IFERROR(__xludf.DUMMYFUNCTION("""COMPUTED_VALUE"""),2040.2382)</f>
        <v>2040.2382</v>
      </c>
    </row>
    <row r="2583">
      <c r="A2583" s="3">
        <f>IFERROR(__xludf.DUMMYFUNCTION("""COMPUTED_VALUE"""),43038.99861111111)</f>
        <v>43038.99861</v>
      </c>
      <c r="B2583" s="1">
        <f>IFERROR(__xludf.DUMMYFUNCTION("""COMPUTED_VALUE"""),2043.15848)</f>
        <v>2043.15848</v>
      </c>
    </row>
    <row r="2584">
      <c r="A2584" s="3">
        <f>IFERROR(__xludf.DUMMYFUNCTION("""COMPUTED_VALUE"""),43039.99861111111)</f>
        <v>43039.99861</v>
      </c>
      <c r="B2584" s="1">
        <f>IFERROR(__xludf.DUMMYFUNCTION("""COMPUTED_VALUE"""),2042.04564)</f>
        <v>2042.04564</v>
      </c>
    </row>
    <row r="2585">
      <c r="A2585" s="3">
        <f>IFERROR(__xludf.DUMMYFUNCTION("""COMPUTED_VALUE"""),43040.99861111111)</f>
        <v>43040.99861</v>
      </c>
      <c r="B2585" s="1">
        <f>IFERROR(__xludf.DUMMYFUNCTION("""COMPUTED_VALUE"""),2053.2795)</f>
        <v>2053.2795</v>
      </c>
    </row>
    <row r="2586">
      <c r="A2586" s="3">
        <f>IFERROR(__xludf.DUMMYFUNCTION("""COMPUTED_VALUE"""),43041.99861111111)</f>
        <v>43041.99861</v>
      </c>
      <c r="B2586" s="1">
        <f>IFERROR(__xludf.DUMMYFUNCTION("""COMPUTED_VALUE"""),2049.0559)</f>
        <v>2049.0559</v>
      </c>
    </row>
    <row r="2587">
      <c r="A2587" s="3">
        <f>IFERROR(__xludf.DUMMYFUNCTION("""COMPUTED_VALUE"""),43042.99861111111)</f>
        <v>43042.99861</v>
      </c>
      <c r="B2587" s="1">
        <f>IFERROR(__xludf.DUMMYFUNCTION("""COMPUTED_VALUE"""),2029.9532)</f>
        <v>2029.9532</v>
      </c>
    </row>
    <row r="2588">
      <c r="A2588" s="3">
        <f>IFERROR(__xludf.DUMMYFUNCTION("""COMPUTED_VALUE"""),43043.99861111111)</f>
        <v>43043.99861</v>
      </c>
      <c r="B2588" s="1">
        <f>IFERROR(__xludf.DUMMYFUNCTION("""COMPUTED_VALUE"""),2033.3232)</f>
        <v>2033.3232</v>
      </c>
    </row>
    <row r="2589">
      <c r="A2589" s="3">
        <f>IFERROR(__xludf.DUMMYFUNCTION("""COMPUTED_VALUE"""),43044.99861111111)</f>
        <v>43044.99861</v>
      </c>
      <c r="B2589" s="1">
        <f>IFERROR(__xludf.DUMMYFUNCTION("""COMPUTED_VALUE"""),2034.132)</f>
        <v>2034.132</v>
      </c>
    </row>
    <row r="2590">
      <c r="A2590" s="3">
        <f>IFERROR(__xludf.DUMMYFUNCTION("""COMPUTED_VALUE"""),43045.99861111111)</f>
        <v>43045.99861</v>
      </c>
      <c r="B2590" s="1">
        <f>IFERROR(__xludf.DUMMYFUNCTION("""COMPUTED_VALUE"""),2032.15776)</f>
        <v>2032.15776</v>
      </c>
    </row>
    <row r="2591">
      <c r="A2591" s="3">
        <f>IFERROR(__xludf.DUMMYFUNCTION("""COMPUTED_VALUE"""),43046.99861111111)</f>
        <v>43046.99861</v>
      </c>
      <c r="B2591" s="1">
        <f>IFERROR(__xludf.DUMMYFUNCTION("""COMPUTED_VALUE"""),2034.93812)</f>
        <v>2034.93812</v>
      </c>
    </row>
    <row r="2592">
      <c r="A2592" s="3">
        <f>IFERROR(__xludf.DUMMYFUNCTION("""COMPUTED_VALUE"""),43047.99861111111)</f>
        <v>43047.99861</v>
      </c>
      <c r="B2592" s="1">
        <f>IFERROR(__xludf.DUMMYFUNCTION("""COMPUTED_VALUE"""),2037.33264)</f>
        <v>2037.33264</v>
      </c>
    </row>
    <row r="2593">
      <c r="A2593" s="3">
        <f>IFERROR(__xludf.DUMMYFUNCTION("""COMPUTED_VALUE"""),43048.99861111111)</f>
        <v>43048.99861</v>
      </c>
      <c r="B2593" s="1">
        <f>IFERROR(__xludf.DUMMYFUNCTION("""COMPUTED_VALUE"""),2037.70728)</f>
        <v>2037.70728</v>
      </c>
    </row>
    <row r="2594">
      <c r="A2594" s="3">
        <f>IFERROR(__xludf.DUMMYFUNCTION("""COMPUTED_VALUE"""),43049.99861111111)</f>
        <v>43049.99861</v>
      </c>
      <c r="B2594" s="1">
        <f>IFERROR(__xludf.DUMMYFUNCTION("""COMPUTED_VALUE"""),2038.88352)</f>
        <v>2038.88352</v>
      </c>
    </row>
    <row r="2595">
      <c r="A2595" s="3">
        <f>IFERROR(__xludf.DUMMYFUNCTION("""COMPUTED_VALUE"""),43050.99861111111)</f>
        <v>43050.99861</v>
      </c>
      <c r="B2595" s="1">
        <f>IFERROR(__xludf.DUMMYFUNCTION("""COMPUTED_VALUE"""),2039.972071)</f>
        <v>2039.972071</v>
      </c>
    </row>
    <row r="2596">
      <c r="A2596" s="3">
        <f>IFERROR(__xludf.DUMMYFUNCTION("""COMPUTED_VALUE"""),43051.99861111111)</f>
        <v>43051.99861</v>
      </c>
      <c r="B2596" s="1">
        <f>IFERROR(__xludf.DUMMYFUNCTION("""COMPUTED_VALUE"""),2034.9072)</f>
        <v>2034.9072</v>
      </c>
    </row>
    <row r="2597">
      <c r="A2597" s="3">
        <f>IFERROR(__xludf.DUMMYFUNCTION("""COMPUTED_VALUE"""),43052.99861111111)</f>
        <v>43052.99861</v>
      </c>
      <c r="B2597" s="1">
        <f>IFERROR(__xludf.DUMMYFUNCTION("""COMPUTED_VALUE"""),2041.21733)</f>
        <v>2041.21733</v>
      </c>
    </row>
    <row r="2598">
      <c r="A2598" s="3">
        <f>IFERROR(__xludf.DUMMYFUNCTION("""COMPUTED_VALUE"""),43053.99861111111)</f>
        <v>43053.99861</v>
      </c>
      <c r="B2598" s="1">
        <f>IFERROR(__xludf.DUMMYFUNCTION("""COMPUTED_VALUE"""),2040.9606)</f>
        <v>2040.9606</v>
      </c>
    </row>
    <row r="2599">
      <c r="A2599" s="3">
        <f>IFERROR(__xludf.DUMMYFUNCTION("""COMPUTED_VALUE"""),43054.99861111111)</f>
        <v>43054.99861</v>
      </c>
      <c r="B2599" s="1">
        <f>IFERROR(__xludf.DUMMYFUNCTION("""COMPUTED_VALUE"""),2043.785)</f>
        <v>2043.785</v>
      </c>
    </row>
    <row r="2600">
      <c r="A2600" s="3">
        <f>IFERROR(__xludf.DUMMYFUNCTION("""COMPUTED_VALUE"""),43055.99861111111)</f>
        <v>43055.99861</v>
      </c>
      <c r="B2600" s="1">
        <f>IFERROR(__xludf.DUMMYFUNCTION("""COMPUTED_VALUE"""),2038.5869)</f>
        <v>2038.5869</v>
      </c>
    </row>
    <row r="2601">
      <c r="A2601" s="3">
        <f>IFERROR(__xludf.DUMMYFUNCTION("""COMPUTED_VALUE"""),43056.99861111111)</f>
        <v>43056.99861</v>
      </c>
      <c r="B2601" s="1">
        <f>IFERROR(__xludf.DUMMYFUNCTION("""COMPUTED_VALUE"""),2037.54672)</f>
        <v>2037.54672</v>
      </c>
    </row>
    <row r="2602">
      <c r="A2602" s="3">
        <f>IFERROR(__xludf.DUMMYFUNCTION("""COMPUTED_VALUE"""),43057.99861111111)</f>
        <v>43057.99861</v>
      </c>
      <c r="B2602" s="1">
        <f>IFERROR(__xludf.DUMMYFUNCTION("""COMPUTED_VALUE"""),2038.918388)</f>
        <v>2038.918388</v>
      </c>
    </row>
    <row r="2603">
      <c r="A2603" s="3">
        <f>IFERROR(__xludf.DUMMYFUNCTION("""COMPUTED_VALUE"""),43058.99861111111)</f>
        <v>43058.99861</v>
      </c>
      <c r="B2603" s="1">
        <f>IFERROR(__xludf.DUMMYFUNCTION("""COMPUTED_VALUE"""),2027.28064)</f>
        <v>2027.28064</v>
      </c>
    </row>
    <row r="2604">
      <c r="A2604" s="3">
        <f>IFERROR(__xludf.DUMMYFUNCTION("""COMPUTED_VALUE"""),43059.99861111111)</f>
        <v>43059.99861</v>
      </c>
      <c r="B2604" s="1">
        <f>IFERROR(__xludf.DUMMYFUNCTION("""COMPUTED_VALUE"""),2038.488)</f>
        <v>2038.488</v>
      </c>
    </row>
    <row r="2605">
      <c r="A2605" s="3">
        <f>IFERROR(__xludf.DUMMYFUNCTION("""COMPUTED_VALUE"""),43060.99861111111)</f>
        <v>43060.99861</v>
      </c>
      <c r="B2605" s="1">
        <f>IFERROR(__xludf.DUMMYFUNCTION("""COMPUTED_VALUE"""),2038.93558)</f>
        <v>2038.93558</v>
      </c>
    </row>
    <row r="2606">
      <c r="A2606" s="3">
        <f>IFERROR(__xludf.DUMMYFUNCTION("""COMPUTED_VALUE"""),43061.99861111111)</f>
        <v>43061.99861</v>
      </c>
      <c r="B2606" s="1">
        <f>IFERROR(__xludf.DUMMYFUNCTION("""COMPUTED_VALUE"""),2040.51375)</f>
        <v>2040.51375</v>
      </c>
    </row>
    <row r="2607">
      <c r="A2607" s="3">
        <f>IFERROR(__xludf.DUMMYFUNCTION("""COMPUTED_VALUE"""),43062.99861111111)</f>
        <v>43062.99861</v>
      </c>
      <c r="B2607" s="1">
        <f>IFERROR(__xludf.DUMMYFUNCTION("""COMPUTED_VALUE"""),2048.84421)</f>
        <v>2048.84421</v>
      </c>
    </row>
    <row r="2608">
      <c r="A2608" s="3">
        <f>IFERROR(__xludf.DUMMYFUNCTION("""COMPUTED_VALUE"""),43063.99861111111)</f>
        <v>43063.99861</v>
      </c>
      <c r="B2608" s="1">
        <f>IFERROR(__xludf.DUMMYFUNCTION("""COMPUTED_VALUE"""),2044.40708)</f>
        <v>2044.40708</v>
      </c>
    </row>
    <row r="2609">
      <c r="A2609" s="3">
        <f>IFERROR(__xludf.DUMMYFUNCTION("""COMPUTED_VALUE"""),43064.99861111111)</f>
        <v>43064.99861</v>
      </c>
      <c r="B2609" s="1">
        <f>IFERROR(__xludf.DUMMYFUNCTION("""COMPUTED_VALUE"""),2063.97918)</f>
        <v>2063.97918</v>
      </c>
    </row>
    <row r="2610">
      <c r="A2610" s="3">
        <f>IFERROR(__xludf.DUMMYFUNCTION("""COMPUTED_VALUE"""),43065.99861111111)</f>
        <v>43065.99861</v>
      </c>
      <c r="B2610" s="1">
        <f>IFERROR(__xludf.DUMMYFUNCTION("""COMPUTED_VALUE"""),2063.1693)</f>
        <v>2063.1693</v>
      </c>
    </row>
    <row r="2611">
      <c r="A2611" s="3">
        <f>IFERROR(__xludf.DUMMYFUNCTION("""COMPUTED_VALUE"""),43066.99861111111)</f>
        <v>43066.99861</v>
      </c>
      <c r="B2611" s="1">
        <f>IFERROR(__xludf.DUMMYFUNCTION("""COMPUTED_VALUE"""),2048.2676)</f>
        <v>2048.2676</v>
      </c>
    </row>
    <row r="2612">
      <c r="A2612" s="3">
        <f>IFERROR(__xludf.DUMMYFUNCTION("""COMPUTED_VALUE"""),43067.99861111111)</f>
        <v>43067.99861</v>
      </c>
      <c r="B2612" s="1">
        <f>IFERROR(__xludf.DUMMYFUNCTION("""COMPUTED_VALUE"""),2042.145)</f>
        <v>2042.145</v>
      </c>
    </row>
    <row r="2613">
      <c r="A2613" s="3">
        <f>IFERROR(__xludf.DUMMYFUNCTION("""COMPUTED_VALUE"""),43068.99861111111)</f>
        <v>43068.99861</v>
      </c>
      <c r="B2613" s="1">
        <f>IFERROR(__xludf.DUMMYFUNCTION("""COMPUTED_VALUE"""),2043.02016)</f>
        <v>2043.02016</v>
      </c>
    </row>
    <row r="2614">
      <c r="A2614" s="3">
        <f>IFERROR(__xludf.DUMMYFUNCTION("""COMPUTED_VALUE"""),43069.99861111111)</f>
        <v>43069.99861</v>
      </c>
      <c r="B2614" s="1">
        <f>IFERROR(__xludf.DUMMYFUNCTION("""COMPUTED_VALUE"""),2047.67002)</f>
        <v>2047.67002</v>
      </c>
    </row>
    <row r="2615">
      <c r="A2615" s="3">
        <f>IFERROR(__xludf.DUMMYFUNCTION("""COMPUTED_VALUE"""),43070.99861111111)</f>
        <v>43070.99861</v>
      </c>
      <c r="B2615" s="1">
        <f>IFERROR(__xludf.DUMMYFUNCTION("""COMPUTED_VALUE"""),2044.59016)</f>
        <v>2044.59016</v>
      </c>
    </row>
    <row r="2616">
      <c r="A2616" s="3">
        <f>IFERROR(__xludf.DUMMYFUNCTION("""COMPUTED_VALUE"""),43071.99861111111)</f>
        <v>43071.99861</v>
      </c>
      <c r="B2616" s="1">
        <f>IFERROR(__xludf.DUMMYFUNCTION("""COMPUTED_VALUE"""),2046.277283)</f>
        <v>2046.277283</v>
      </c>
    </row>
    <row r="2617">
      <c r="A2617" s="3">
        <f>IFERROR(__xludf.DUMMYFUNCTION("""COMPUTED_VALUE"""),43072.99861111111)</f>
        <v>43072.99861</v>
      </c>
      <c r="B2617" s="1">
        <f>IFERROR(__xludf.DUMMYFUNCTION("""COMPUTED_VALUE"""),2043.492)</f>
        <v>2043.492</v>
      </c>
    </row>
    <row r="2618">
      <c r="A2618" s="3">
        <f>IFERROR(__xludf.DUMMYFUNCTION("""COMPUTED_VALUE"""),43073.99861111111)</f>
        <v>43073.99861</v>
      </c>
      <c r="B2618" s="1">
        <f>IFERROR(__xludf.DUMMYFUNCTION("""COMPUTED_VALUE"""),2038.2687)</f>
        <v>2038.2687</v>
      </c>
    </row>
    <row r="2619">
      <c r="A2619" s="3">
        <f>IFERROR(__xludf.DUMMYFUNCTION("""COMPUTED_VALUE"""),43074.99861111111)</f>
        <v>43074.99861</v>
      </c>
      <c r="B2619" s="1">
        <f>IFERROR(__xludf.DUMMYFUNCTION("""COMPUTED_VALUE"""),2041.8143)</f>
        <v>2041.8143</v>
      </c>
    </row>
    <row r="2620">
      <c r="A2620" s="3">
        <f>IFERROR(__xludf.DUMMYFUNCTION("""COMPUTED_VALUE"""),43075.99861111111)</f>
        <v>43075.99861</v>
      </c>
      <c r="B2620" s="1">
        <f>IFERROR(__xludf.DUMMYFUNCTION("""COMPUTED_VALUE"""),2045.79944)</f>
        <v>2045.79944</v>
      </c>
    </row>
    <row r="2621">
      <c r="A2621" s="3">
        <f>IFERROR(__xludf.DUMMYFUNCTION("""COMPUTED_VALUE"""),43076.99861111111)</f>
        <v>43076.99861</v>
      </c>
      <c r="B2621" s="1">
        <f>IFERROR(__xludf.DUMMYFUNCTION("""COMPUTED_VALUE"""),2047.45171)</f>
        <v>2047.45171</v>
      </c>
    </row>
    <row r="2622">
      <c r="A2622" s="3">
        <f>IFERROR(__xludf.DUMMYFUNCTION("""COMPUTED_VALUE"""),43077.99861111111)</f>
        <v>43077.99861</v>
      </c>
      <c r="B2622" s="1">
        <f>IFERROR(__xludf.DUMMYFUNCTION("""COMPUTED_VALUE"""),2045.99794)</f>
        <v>2045.99794</v>
      </c>
    </row>
    <row r="2623">
      <c r="A2623" s="3">
        <f>IFERROR(__xludf.DUMMYFUNCTION("""COMPUTED_VALUE"""),43078.99861111111)</f>
        <v>43078.99861</v>
      </c>
      <c r="B2623" s="1">
        <f>IFERROR(__xludf.DUMMYFUNCTION("""COMPUTED_VALUE"""),2040.31198)</f>
        <v>2040.31198</v>
      </c>
    </row>
    <row r="2624">
      <c r="A2624" s="3">
        <f>IFERROR(__xludf.DUMMYFUNCTION("""COMPUTED_VALUE"""),43079.99861111111)</f>
        <v>43079.99861</v>
      </c>
      <c r="B2624" s="1">
        <f>IFERROR(__xludf.DUMMYFUNCTION("""COMPUTED_VALUE"""),2040.50249)</f>
        <v>2040.50249</v>
      </c>
    </row>
    <row r="2625">
      <c r="A2625" s="3">
        <f>IFERROR(__xludf.DUMMYFUNCTION("""COMPUTED_VALUE"""),43080.99861111111)</f>
        <v>43080.99861</v>
      </c>
      <c r="B2625" s="1">
        <f>IFERROR(__xludf.DUMMYFUNCTION("""COMPUTED_VALUE"""),2047.43616)</f>
        <v>2047.43616</v>
      </c>
    </row>
    <row r="2626">
      <c r="A2626" s="3">
        <f>IFERROR(__xludf.DUMMYFUNCTION("""COMPUTED_VALUE"""),43081.99861111111)</f>
        <v>43081.99861</v>
      </c>
      <c r="B2626" s="1">
        <f>IFERROR(__xludf.DUMMYFUNCTION("""COMPUTED_VALUE"""),2046.47202)</f>
        <v>2046.47202</v>
      </c>
    </row>
    <row r="2627">
      <c r="A2627" s="3">
        <f>IFERROR(__xludf.DUMMYFUNCTION("""COMPUTED_VALUE"""),43082.99861111111)</f>
        <v>43082.99861</v>
      </c>
      <c r="B2627" s="1">
        <f>IFERROR(__xludf.DUMMYFUNCTION("""COMPUTED_VALUE"""),2045.3524)</f>
        <v>2045.3524</v>
      </c>
    </row>
    <row r="2628">
      <c r="A2628" s="3">
        <f>IFERROR(__xludf.DUMMYFUNCTION("""COMPUTED_VALUE"""),43083.99861111111)</f>
        <v>43083.99861</v>
      </c>
      <c r="B2628" s="1">
        <f>IFERROR(__xludf.DUMMYFUNCTION("""COMPUTED_VALUE"""),2050.58466)</f>
        <v>2050.58466</v>
      </c>
    </row>
    <row r="2629">
      <c r="A2629" s="3">
        <f>IFERROR(__xludf.DUMMYFUNCTION("""COMPUTED_VALUE"""),43084.99861111111)</f>
        <v>43084.99861</v>
      </c>
      <c r="B2629" s="1">
        <f>IFERROR(__xludf.DUMMYFUNCTION("""COMPUTED_VALUE"""),2052.16)</f>
        <v>2052.16</v>
      </c>
    </row>
    <row r="2630">
      <c r="A2630" s="3">
        <f>IFERROR(__xludf.DUMMYFUNCTION("""COMPUTED_VALUE"""),43086.99861111111)</f>
        <v>43086.99861</v>
      </c>
      <c r="B2630" s="1">
        <f>IFERROR(__xludf.DUMMYFUNCTION("""COMPUTED_VALUE"""),2050.8032)</f>
        <v>2050.8032</v>
      </c>
    </row>
    <row r="2631">
      <c r="A2631" s="3">
        <f>IFERROR(__xludf.DUMMYFUNCTION("""COMPUTED_VALUE"""),43087.99861111111)</f>
        <v>43087.99861</v>
      </c>
      <c r="B2631" s="1">
        <f>IFERROR(__xludf.DUMMYFUNCTION("""COMPUTED_VALUE"""),2052.7528)</f>
        <v>2052.7528</v>
      </c>
    </row>
    <row r="2632">
      <c r="A2632" s="3">
        <f>IFERROR(__xludf.DUMMYFUNCTION("""COMPUTED_VALUE"""),43088.99861111111)</f>
        <v>43088.99861</v>
      </c>
      <c r="B2632" s="1">
        <f>IFERROR(__xludf.DUMMYFUNCTION("""COMPUTED_VALUE"""),2054.84775)</f>
        <v>2054.84775</v>
      </c>
    </row>
    <row r="2633">
      <c r="A2633" s="3">
        <f>IFERROR(__xludf.DUMMYFUNCTION("""COMPUTED_VALUE"""),43089.99861111111)</f>
        <v>43089.99861</v>
      </c>
      <c r="B2633" s="1">
        <f>IFERROR(__xludf.DUMMYFUNCTION("""COMPUTED_VALUE"""),2062.41735)</f>
        <v>2062.41735</v>
      </c>
    </row>
    <row r="2634">
      <c r="A2634" s="3">
        <f>IFERROR(__xludf.DUMMYFUNCTION("""COMPUTED_VALUE"""),43090.99861111111)</f>
        <v>43090.99861</v>
      </c>
      <c r="B2634" s="1">
        <f>IFERROR(__xludf.DUMMYFUNCTION("""COMPUTED_VALUE"""),2057.89788)</f>
        <v>2057.89788</v>
      </c>
    </row>
    <row r="2635">
      <c r="A2635" s="3">
        <f>IFERROR(__xludf.DUMMYFUNCTION("""COMPUTED_VALUE"""),43091.99861111111)</f>
        <v>43091.99861</v>
      </c>
      <c r="B2635" s="1">
        <f>IFERROR(__xludf.DUMMYFUNCTION("""COMPUTED_VALUE"""),2059.68588)</f>
        <v>2059.68588</v>
      </c>
    </row>
    <row r="2636">
      <c r="A2636" s="3">
        <f>IFERROR(__xludf.DUMMYFUNCTION("""COMPUTED_VALUE"""),43092.99861111111)</f>
        <v>43092.99861</v>
      </c>
      <c r="B2636" s="1">
        <f>IFERROR(__xludf.DUMMYFUNCTION("""COMPUTED_VALUE"""),2060.22776)</f>
        <v>2060.22776</v>
      </c>
    </row>
    <row r="2637">
      <c r="A2637" s="3">
        <f>IFERROR(__xludf.DUMMYFUNCTION("""COMPUTED_VALUE"""),43093.99861111111)</f>
        <v>43093.99861</v>
      </c>
      <c r="B2637" s="1">
        <f>IFERROR(__xludf.DUMMYFUNCTION("""COMPUTED_VALUE"""),2059.48098)</f>
        <v>2059.48098</v>
      </c>
    </row>
    <row r="2638">
      <c r="A2638" s="3">
        <f>IFERROR(__xludf.DUMMYFUNCTION("""COMPUTED_VALUE"""),43094.99861111111)</f>
        <v>43094.99861</v>
      </c>
      <c r="B2638" s="1">
        <f>IFERROR(__xludf.DUMMYFUNCTION("""COMPUTED_VALUE"""),2058.35252)</f>
        <v>2058.35252</v>
      </c>
    </row>
    <row r="2639">
      <c r="A2639" s="3">
        <f>IFERROR(__xludf.DUMMYFUNCTION("""COMPUTED_VALUE"""),43095.99861111111)</f>
        <v>43095.99861</v>
      </c>
      <c r="B2639" s="1">
        <f>IFERROR(__xludf.DUMMYFUNCTION("""COMPUTED_VALUE"""),2070.7456)</f>
        <v>2070.7456</v>
      </c>
    </row>
    <row r="2640">
      <c r="A2640" s="3">
        <f>IFERROR(__xludf.DUMMYFUNCTION("""COMPUTED_VALUE"""),43096.99861111111)</f>
        <v>43096.99861</v>
      </c>
      <c r="B2640" s="1">
        <f>IFERROR(__xludf.DUMMYFUNCTION("""COMPUTED_VALUE"""),2068.00174)</f>
        <v>2068.00174</v>
      </c>
    </row>
    <row r="2641">
      <c r="A2641" s="3">
        <f>IFERROR(__xludf.DUMMYFUNCTION("""COMPUTED_VALUE"""),43097.99861111111)</f>
        <v>43097.99861</v>
      </c>
      <c r="B2641" s="1">
        <f>IFERROR(__xludf.DUMMYFUNCTION("""COMPUTED_VALUE"""),2075.32306)</f>
        <v>2075.32306</v>
      </c>
    </row>
    <row r="2642">
      <c r="A2642" s="3">
        <f>IFERROR(__xludf.DUMMYFUNCTION("""COMPUTED_VALUE"""),43098.99861111111)</f>
        <v>43098.99861</v>
      </c>
      <c r="B2642" s="1">
        <f>IFERROR(__xludf.DUMMYFUNCTION("""COMPUTED_VALUE"""),2075.355)</f>
        <v>2075.355</v>
      </c>
    </row>
    <row r="2643">
      <c r="A2643" s="3">
        <f>IFERROR(__xludf.DUMMYFUNCTION("""COMPUTED_VALUE"""),43099.99861111111)</f>
        <v>43099.99861</v>
      </c>
      <c r="B2643" s="1">
        <f>IFERROR(__xludf.DUMMYFUNCTION("""COMPUTED_VALUE"""),2064.27209)</f>
        <v>2064.27209</v>
      </c>
    </row>
    <row r="2644">
      <c r="A2644" s="3">
        <f>IFERROR(__xludf.DUMMYFUNCTION("""COMPUTED_VALUE"""),43100.99861111111)</f>
        <v>43100.99861</v>
      </c>
      <c r="B2644" s="1">
        <f>IFERROR(__xludf.DUMMYFUNCTION("""COMPUTED_VALUE"""),2075.44692)</f>
        <v>2075.44692</v>
      </c>
    </row>
    <row r="2645">
      <c r="A2645" s="3">
        <f>IFERROR(__xludf.DUMMYFUNCTION("""COMPUTED_VALUE"""),43101.99861111111)</f>
        <v>43101.99861</v>
      </c>
      <c r="B2645" s="1">
        <f>IFERROR(__xludf.DUMMYFUNCTION("""COMPUTED_VALUE"""),2077.8925)</f>
        <v>2077.8925</v>
      </c>
    </row>
    <row r="2646">
      <c r="A2646" s="3">
        <f>IFERROR(__xludf.DUMMYFUNCTION("""COMPUTED_VALUE"""),43102.99861111111)</f>
        <v>43102.99861</v>
      </c>
      <c r="B2646" s="1">
        <f>IFERROR(__xludf.DUMMYFUNCTION("""COMPUTED_VALUE"""),2077.84416)</f>
        <v>2077.84416</v>
      </c>
    </row>
    <row r="2647">
      <c r="A2647" s="3">
        <f>IFERROR(__xludf.DUMMYFUNCTION("""COMPUTED_VALUE"""),43103.99861111111)</f>
        <v>43103.99861</v>
      </c>
      <c r="B2647" s="1">
        <f>IFERROR(__xludf.DUMMYFUNCTION("""COMPUTED_VALUE"""),2070.57032)</f>
        <v>2070.57032</v>
      </c>
    </row>
    <row r="2648">
      <c r="A2648" s="3">
        <f>IFERROR(__xludf.DUMMYFUNCTION("""COMPUTED_VALUE"""),43104.99861111111)</f>
        <v>43104.99861</v>
      </c>
      <c r="B2648" s="1">
        <f>IFERROR(__xludf.DUMMYFUNCTION("""COMPUTED_VALUE"""),2065.6417)</f>
        <v>2065.6417</v>
      </c>
    </row>
    <row r="2649">
      <c r="A2649" s="3">
        <f>IFERROR(__xludf.DUMMYFUNCTION("""COMPUTED_VALUE"""),43105.99861111111)</f>
        <v>43105.99861</v>
      </c>
      <c r="B2649" s="1">
        <f>IFERROR(__xludf.DUMMYFUNCTION("""COMPUTED_VALUE"""),2066.23277)</f>
        <v>2066.23277</v>
      </c>
    </row>
    <row r="2650">
      <c r="A2650" s="3">
        <f>IFERROR(__xludf.DUMMYFUNCTION("""COMPUTED_VALUE"""),43107.99861111111)</f>
        <v>43107.99861</v>
      </c>
      <c r="B2650" s="1">
        <f>IFERROR(__xludf.DUMMYFUNCTION("""COMPUTED_VALUE"""),2065.87822)</f>
        <v>2065.87822</v>
      </c>
    </row>
    <row r="2651">
      <c r="A2651" s="3">
        <f>IFERROR(__xludf.DUMMYFUNCTION("""COMPUTED_VALUE"""),43108.99861111111)</f>
        <v>43108.99861</v>
      </c>
      <c r="B2651" s="1">
        <f>IFERROR(__xludf.DUMMYFUNCTION("""COMPUTED_VALUE"""),2066.01249)</f>
        <v>2066.01249</v>
      </c>
    </row>
    <row r="2652">
      <c r="A2652" s="3">
        <f>IFERROR(__xludf.DUMMYFUNCTION("""COMPUTED_VALUE"""),43109.99861111111)</f>
        <v>43109.99861</v>
      </c>
      <c r="B2652" s="1">
        <f>IFERROR(__xludf.DUMMYFUNCTION("""COMPUTED_VALUE"""),2056.5359)</f>
        <v>2056.5359</v>
      </c>
    </row>
    <row r="2653">
      <c r="A2653" s="3">
        <f>IFERROR(__xludf.DUMMYFUNCTION("""COMPUTED_VALUE"""),43110.99861111111)</f>
        <v>43110.99861</v>
      </c>
      <c r="B2653" s="1">
        <f>IFERROR(__xludf.DUMMYFUNCTION("""COMPUTED_VALUE"""),2065.20965)</f>
        <v>2065.20965</v>
      </c>
    </row>
    <row r="2654">
      <c r="A2654" s="3">
        <f>IFERROR(__xludf.DUMMYFUNCTION("""COMPUTED_VALUE"""),43111.99861111111)</f>
        <v>43111.99861</v>
      </c>
      <c r="B2654" s="1">
        <f>IFERROR(__xludf.DUMMYFUNCTION("""COMPUTED_VALUE"""),2063.19165)</f>
        <v>2063.19165</v>
      </c>
    </row>
    <row r="2655">
      <c r="A2655" s="3">
        <f>IFERROR(__xludf.DUMMYFUNCTION("""COMPUTED_VALUE"""),43112.99861111111)</f>
        <v>43112.99861</v>
      </c>
      <c r="B2655" s="1">
        <f>IFERROR(__xludf.DUMMYFUNCTION("""COMPUTED_VALUE"""),2063.934)</f>
        <v>2063.934</v>
      </c>
    </row>
    <row r="2656">
      <c r="A2656" s="3">
        <f>IFERROR(__xludf.DUMMYFUNCTION("""COMPUTED_VALUE"""),43113.99861111111)</f>
        <v>43113.99861</v>
      </c>
      <c r="B2656" s="1">
        <f>IFERROR(__xludf.DUMMYFUNCTION("""COMPUTED_VALUE"""),2059.26255)</f>
        <v>2059.26255</v>
      </c>
    </row>
    <row r="2657">
      <c r="A2657" s="3">
        <f>IFERROR(__xludf.DUMMYFUNCTION("""COMPUTED_VALUE"""),43114.99861111111)</f>
        <v>43114.99861</v>
      </c>
      <c r="B2657" s="1">
        <f>IFERROR(__xludf.DUMMYFUNCTION("""COMPUTED_VALUE"""),2058.8637)</f>
        <v>2058.8637</v>
      </c>
    </row>
    <row r="2658">
      <c r="A2658" s="3">
        <f>IFERROR(__xludf.DUMMYFUNCTION("""COMPUTED_VALUE"""),43115.99861111111)</f>
        <v>43115.99861</v>
      </c>
      <c r="B2658" s="1">
        <f>IFERROR(__xludf.DUMMYFUNCTION("""COMPUTED_VALUE"""),2067.19785)</f>
        <v>2067.19785</v>
      </c>
    </row>
    <row r="2659">
      <c r="A2659" s="3">
        <f>IFERROR(__xludf.DUMMYFUNCTION("""COMPUTED_VALUE"""),43116.99861111111)</f>
        <v>43116.99861</v>
      </c>
      <c r="B2659" s="1">
        <f>IFERROR(__xludf.DUMMYFUNCTION("""COMPUTED_VALUE"""),2064.95814)</f>
        <v>2064.95814</v>
      </c>
    </row>
    <row r="2660">
      <c r="A2660" s="3">
        <f>IFERROR(__xludf.DUMMYFUNCTION("""COMPUTED_VALUE"""),43117.99861111111)</f>
        <v>43117.99861</v>
      </c>
      <c r="B2660" s="1">
        <f>IFERROR(__xludf.DUMMYFUNCTION("""COMPUTED_VALUE"""),2072.94784)</f>
        <v>2072.94784</v>
      </c>
    </row>
    <row r="2661">
      <c r="A2661" s="3">
        <f>IFERROR(__xludf.DUMMYFUNCTION("""COMPUTED_VALUE"""),43118.99861111111)</f>
        <v>43118.99861</v>
      </c>
      <c r="B2661" s="1">
        <f>IFERROR(__xludf.DUMMYFUNCTION("""COMPUTED_VALUE"""),2076.37048)</f>
        <v>2076.37048</v>
      </c>
    </row>
    <row r="2662">
      <c r="A2662" s="3">
        <f>IFERROR(__xludf.DUMMYFUNCTION("""COMPUTED_VALUE"""),43119.99861111111)</f>
        <v>43119.99861</v>
      </c>
      <c r="B2662" s="1">
        <f>IFERROR(__xludf.DUMMYFUNCTION("""COMPUTED_VALUE"""),2078.60465)</f>
        <v>2078.60465</v>
      </c>
    </row>
    <row r="2663">
      <c r="A2663" s="3">
        <f>IFERROR(__xludf.DUMMYFUNCTION("""COMPUTED_VALUE"""),43120.99861111111)</f>
        <v>43120.99861</v>
      </c>
      <c r="B2663" s="1">
        <f>IFERROR(__xludf.DUMMYFUNCTION("""COMPUTED_VALUE"""),2068.799482)</f>
        <v>2068.799482</v>
      </c>
    </row>
    <row r="2664">
      <c r="A2664" s="3">
        <f>IFERROR(__xludf.DUMMYFUNCTION("""COMPUTED_VALUE"""),43121.99861111111)</f>
        <v>43121.99861</v>
      </c>
      <c r="B2664" s="1">
        <f>IFERROR(__xludf.DUMMYFUNCTION("""COMPUTED_VALUE"""),2086.82825)</f>
        <v>2086.82825</v>
      </c>
    </row>
    <row r="2665">
      <c r="A2665" s="3">
        <f>IFERROR(__xludf.DUMMYFUNCTION("""COMPUTED_VALUE"""),43122.99861111111)</f>
        <v>43122.99861</v>
      </c>
      <c r="B2665" s="1">
        <f>IFERROR(__xludf.DUMMYFUNCTION("""COMPUTED_VALUE"""),2082.81962)</f>
        <v>2082.81962</v>
      </c>
    </row>
    <row r="2666">
      <c r="A2666" s="3">
        <f>IFERROR(__xludf.DUMMYFUNCTION("""COMPUTED_VALUE"""),43123.99861111111)</f>
        <v>43123.99861</v>
      </c>
      <c r="B2666" s="1">
        <f>IFERROR(__xludf.DUMMYFUNCTION("""COMPUTED_VALUE"""),2082.54976)</f>
        <v>2082.54976</v>
      </c>
    </row>
    <row r="2667">
      <c r="A2667" s="3">
        <f>IFERROR(__xludf.DUMMYFUNCTION("""COMPUTED_VALUE"""),43124.99861111111)</f>
        <v>43124.99861</v>
      </c>
      <c r="B2667" s="1">
        <f>IFERROR(__xludf.DUMMYFUNCTION("""COMPUTED_VALUE"""),2087.38706)</f>
        <v>2087.38706</v>
      </c>
    </row>
    <row r="2668">
      <c r="A2668" s="3">
        <f>IFERROR(__xludf.DUMMYFUNCTION("""COMPUTED_VALUE"""),43125.99861111111)</f>
        <v>43125.99861</v>
      </c>
      <c r="B2668" s="1">
        <f>IFERROR(__xludf.DUMMYFUNCTION("""COMPUTED_VALUE"""),2102.97087)</f>
        <v>2102.97087</v>
      </c>
    </row>
    <row r="2669">
      <c r="A2669" s="3">
        <f>IFERROR(__xludf.DUMMYFUNCTION("""COMPUTED_VALUE"""),43126.99861111111)</f>
        <v>43126.99861</v>
      </c>
      <c r="B2669" s="1">
        <f>IFERROR(__xludf.DUMMYFUNCTION("""COMPUTED_VALUE"""),2105.5483)</f>
        <v>2105.5483</v>
      </c>
    </row>
    <row r="2670">
      <c r="A2670" s="3">
        <f>IFERROR(__xludf.DUMMYFUNCTION("""COMPUTED_VALUE"""),43128.99861111111)</f>
        <v>43128.99861</v>
      </c>
      <c r="B2670" s="1">
        <f>IFERROR(__xludf.DUMMYFUNCTION("""COMPUTED_VALUE"""),2104.7568)</f>
        <v>2104.7568</v>
      </c>
    </row>
    <row r="2671">
      <c r="A2671" s="3">
        <f>IFERROR(__xludf.DUMMYFUNCTION("""COMPUTED_VALUE"""),43129.99861111111)</f>
        <v>43129.99861</v>
      </c>
      <c r="B2671" s="1">
        <f>IFERROR(__xludf.DUMMYFUNCTION("""COMPUTED_VALUE"""),2109.3126)</f>
        <v>2109.3126</v>
      </c>
    </row>
    <row r="2672">
      <c r="A2672" s="3">
        <f>IFERROR(__xludf.DUMMYFUNCTION("""COMPUTED_VALUE"""),43130.99861111111)</f>
        <v>43130.99861</v>
      </c>
      <c r="B2672" s="1">
        <f>IFERROR(__xludf.DUMMYFUNCTION("""COMPUTED_VALUE"""),2123.47062)</f>
        <v>2123.47062</v>
      </c>
    </row>
    <row r="2673">
      <c r="A2673" s="3">
        <f>IFERROR(__xludf.DUMMYFUNCTION("""COMPUTED_VALUE"""),43131.99861111111)</f>
        <v>43131.99861</v>
      </c>
      <c r="B2673" s="1">
        <f>IFERROR(__xludf.DUMMYFUNCTION("""COMPUTED_VALUE"""),2127.76317)</f>
        <v>2127.76317</v>
      </c>
    </row>
    <row r="2674">
      <c r="A2674" s="3">
        <f>IFERROR(__xludf.DUMMYFUNCTION("""COMPUTED_VALUE"""),43132.99861111111)</f>
        <v>43132.99861</v>
      </c>
      <c r="B2674" s="1">
        <f>IFERROR(__xludf.DUMMYFUNCTION("""COMPUTED_VALUE"""),2124.89364)</f>
        <v>2124.89364</v>
      </c>
    </row>
    <row r="2675">
      <c r="A2675" s="3">
        <f>IFERROR(__xludf.DUMMYFUNCTION("""COMPUTED_VALUE"""),43133.99861111111)</f>
        <v>43133.99861</v>
      </c>
      <c r="B2675" s="1">
        <f>IFERROR(__xludf.DUMMYFUNCTION("""COMPUTED_VALUE"""),2128.3257)</f>
        <v>2128.3257</v>
      </c>
    </row>
    <row r="2676">
      <c r="A2676" s="3">
        <f>IFERROR(__xludf.DUMMYFUNCTION("""COMPUTED_VALUE"""),43134.99861111111)</f>
        <v>43134.99861</v>
      </c>
      <c r="B2676" s="1">
        <f>IFERROR(__xludf.DUMMYFUNCTION("""COMPUTED_VALUE"""),2128.3257)</f>
        <v>2128.3257</v>
      </c>
    </row>
    <row r="2677">
      <c r="A2677" s="3">
        <f>IFERROR(__xludf.DUMMYFUNCTION("""COMPUTED_VALUE"""),43135.99861111111)</f>
        <v>43135.99861</v>
      </c>
      <c r="B2677" s="1">
        <f>IFERROR(__xludf.DUMMYFUNCTION("""COMPUTED_VALUE"""),2125.77761)</f>
        <v>2125.77761</v>
      </c>
    </row>
    <row r="2678">
      <c r="A2678" s="3">
        <f>IFERROR(__xludf.DUMMYFUNCTION("""COMPUTED_VALUE"""),43136.99861111111)</f>
        <v>43136.99861</v>
      </c>
      <c r="B2678" s="1">
        <f>IFERROR(__xludf.DUMMYFUNCTION("""COMPUTED_VALUE"""),2155.45524)</f>
        <v>2155.45524</v>
      </c>
    </row>
    <row r="2679">
      <c r="A2679" s="3">
        <f>IFERROR(__xludf.DUMMYFUNCTION("""COMPUTED_VALUE"""),43137.99861111111)</f>
        <v>43137.99861</v>
      </c>
      <c r="B2679" s="1">
        <f>IFERROR(__xludf.DUMMYFUNCTION("""COMPUTED_VALUE"""),2155.39216)</f>
        <v>2155.39216</v>
      </c>
    </row>
    <row r="2680">
      <c r="A2680" s="3">
        <f>IFERROR(__xludf.DUMMYFUNCTION("""COMPUTED_VALUE"""),43138.99861111111)</f>
        <v>43138.99861</v>
      </c>
      <c r="B2680" s="1">
        <f>IFERROR(__xludf.DUMMYFUNCTION("""COMPUTED_VALUE"""),2176.28514)</f>
        <v>2176.28514</v>
      </c>
    </row>
    <row r="2681">
      <c r="A2681" s="3">
        <f>IFERROR(__xludf.DUMMYFUNCTION("""COMPUTED_VALUE"""),43139.99861111111)</f>
        <v>43139.99861</v>
      </c>
      <c r="B2681" s="1">
        <f>IFERROR(__xludf.DUMMYFUNCTION("""COMPUTED_VALUE"""),2148.89194)</f>
        <v>2148.89194</v>
      </c>
    </row>
    <row r="2682">
      <c r="A2682" s="3">
        <f>IFERROR(__xludf.DUMMYFUNCTION("""COMPUTED_VALUE"""),43140.99861111111)</f>
        <v>43140.99861</v>
      </c>
      <c r="B2682" s="1">
        <f>IFERROR(__xludf.DUMMYFUNCTION("""COMPUTED_VALUE"""),2164.0343)</f>
        <v>2164.0343</v>
      </c>
    </row>
    <row r="2683">
      <c r="A2683" s="3">
        <f>IFERROR(__xludf.DUMMYFUNCTION("""COMPUTED_VALUE"""),43141.99861111111)</f>
        <v>43141.99861</v>
      </c>
      <c r="B2683" s="1">
        <f>IFERROR(__xludf.DUMMYFUNCTION("""COMPUTED_VALUE"""),2164.17036)</f>
        <v>2164.17036</v>
      </c>
    </row>
    <row r="2684">
      <c r="A2684" s="3">
        <f>IFERROR(__xludf.DUMMYFUNCTION("""COMPUTED_VALUE"""),43142.99861111111)</f>
        <v>43142.99861</v>
      </c>
      <c r="B2684" s="1">
        <f>IFERROR(__xludf.DUMMYFUNCTION("""COMPUTED_VALUE"""),2164.3983)</f>
        <v>2164.3983</v>
      </c>
    </row>
    <row r="2685">
      <c r="A2685" s="3">
        <f>IFERROR(__xludf.DUMMYFUNCTION("""COMPUTED_VALUE"""),43143.99861111111)</f>
        <v>43143.99861</v>
      </c>
      <c r="B2685" s="1">
        <f>IFERROR(__xludf.DUMMYFUNCTION("""COMPUTED_VALUE"""),2156.13972)</f>
        <v>2156.13972</v>
      </c>
    </row>
    <row r="2686">
      <c r="A2686" s="3">
        <f>IFERROR(__xludf.DUMMYFUNCTION("""COMPUTED_VALUE"""),43144.99861111111)</f>
        <v>43144.99861</v>
      </c>
      <c r="B2686" s="1">
        <f>IFERROR(__xludf.DUMMYFUNCTION("""COMPUTED_VALUE"""),2151.028)</f>
        <v>2151.028</v>
      </c>
    </row>
    <row r="2687">
      <c r="A2687" s="3">
        <f>IFERROR(__xludf.DUMMYFUNCTION("""COMPUTED_VALUE"""),43145.99861111111)</f>
        <v>43145.99861</v>
      </c>
      <c r="B2687" s="1">
        <f>IFERROR(__xludf.DUMMYFUNCTION("""COMPUTED_VALUE"""),2146.55476)</f>
        <v>2146.55476</v>
      </c>
    </row>
    <row r="2688">
      <c r="A2688" s="3">
        <f>IFERROR(__xludf.DUMMYFUNCTION("""COMPUTED_VALUE"""),43146.99861111111)</f>
        <v>43146.99861</v>
      </c>
      <c r="B2688" s="1">
        <f>IFERROR(__xludf.DUMMYFUNCTION("""COMPUTED_VALUE"""),2134.57552)</f>
        <v>2134.57552</v>
      </c>
    </row>
    <row r="2689">
      <c r="A2689" s="3">
        <f>IFERROR(__xludf.DUMMYFUNCTION("""COMPUTED_VALUE"""),43147.99861111111)</f>
        <v>43147.99861</v>
      </c>
      <c r="B2689" s="1">
        <f>IFERROR(__xludf.DUMMYFUNCTION("""COMPUTED_VALUE"""),2134.98208)</f>
        <v>2134.98208</v>
      </c>
    </row>
    <row r="2690">
      <c r="A2690" s="3">
        <f>IFERROR(__xludf.DUMMYFUNCTION("""COMPUTED_VALUE"""),43148.99861111111)</f>
        <v>43148.99861</v>
      </c>
      <c r="B2690" s="1">
        <f>IFERROR(__xludf.DUMMYFUNCTION("""COMPUTED_VALUE"""),2134.98208)</f>
        <v>2134.98208</v>
      </c>
    </row>
    <row r="2691">
      <c r="A2691" s="3">
        <f>IFERROR(__xludf.DUMMYFUNCTION("""COMPUTED_VALUE"""),43149.99861111111)</f>
        <v>43149.99861</v>
      </c>
      <c r="B2691" s="1">
        <f>IFERROR(__xludf.DUMMYFUNCTION("""COMPUTED_VALUE"""),2137.1504)</f>
        <v>2137.1504</v>
      </c>
    </row>
    <row r="2692">
      <c r="A2692" s="3">
        <f>IFERROR(__xludf.DUMMYFUNCTION("""COMPUTED_VALUE"""),43150.99861111111)</f>
        <v>43150.99861</v>
      </c>
      <c r="B2692" s="1">
        <f>IFERROR(__xludf.DUMMYFUNCTION("""COMPUTED_VALUE"""),2134.755)</f>
        <v>2134.755</v>
      </c>
    </row>
    <row r="2693">
      <c r="A2693" s="3">
        <f>IFERROR(__xludf.DUMMYFUNCTION("""COMPUTED_VALUE"""),43151.99861111111)</f>
        <v>43151.99861</v>
      </c>
      <c r="B2693" s="1">
        <f>IFERROR(__xludf.DUMMYFUNCTION("""COMPUTED_VALUE"""),2144.34864)</f>
        <v>2144.34864</v>
      </c>
    </row>
    <row r="2694">
      <c r="A2694" s="3">
        <f>IFERROR(__xludf.DUMMYFUNCTION("""COMPUTED_VALUE"""),43152.99861111111)</f>
        <v>43152.99861</v>
      </c>
      <c r="B2694" s="1">
        <f>IFERROR(__xludf.DUMMYFUNCTION("""COMPUTED_VALUE"""),2144.5706)</f>
        <v>2144.5706</v>
      </c>
    </row>
    <row r="2695">
      <c r="A2695" s="3">
        <f>IFERROR(__xludf.DUMMYFUNCTION("""COMPUTED_VALUE"""),43153.99861111111)</f>
        <v>43153.99861</v>
      </c>
      <c r="B2695" s="1">
        <f>IFERROR(__xludf.DUMMYFUNCTION("""COMPUTED_VALUE"""),2152.46564)</f>
        <v>2152.46564</v>
      </c>
    </row>
    <row r="2696">
      <c r="A2696" s="3">
        <f>IFERROR(__xludf.DUMMYFUNCTION("""COMPUTED_VALUE"""),43154.99861111111)</f>
        <v>43154.99861</v>
      </c>
      <c r="B2696" s="1">
        <f>IFERROR(__xludf.DUMMYFUNCTION("""COMPUTED_VALUE"""),2154.42212)</f>
        <v>2154.42212</v>
      </c>
    </row>
    <row r="2697">
      <c r="A2697" s="3">
        <f>IFERROR(__xludf.DUMMYFUNCTION("""COMPUTED_VALUE"""),43155.99861111111)</f>
        <v>43155.99861</v>
      </c>
      <c r="B2697" s="1">
        <f>IFERROR(__xludf.DUMMYFUNCTION("""COMPUTED_VALUE"""),2154.01256)</f>
        <v>2154.01256</v>
      </c>
    </row>
    <row r="2698">
      <c r="A2698" s="3">
        <f>IFERROR(__xludf.DUMMYFUNCTION("""COMPUTED_VALUE"""),43156.99861111111)</f>
        <v>43156.99861</v>
      </c>
      <c r="B2698" s="1">
        <f>IFERROR(__xludf.DUMMYFUNCTION("""COMPUTED_VALUE"""),2148.2237)</f>
        <v>2148.2237</v>
      </c>
    </row>
    <row r="2699">
      <c r="A2699" s="3">
        <f>IFERROR(__xludf.DUMMYFUNCTION("""COMPUTED_VALUE"""),43157.99861111111)</f>
        <v>43157.99861</v>
      </c>
      <c r="B2699" s="1">
        <f>IFERROR(__xludf.DUMMYFUNCTION("""COMPUTED_VALUE"""),2161.90887)</f>
        <v>2161.90887</v>
      </c>
    </row>
    <row r="2700">
      <c r="A2700" s="3">
        <f>IFERROR(__xludf.DUMMYFUNCTION("""COMPUTED_VALUE"""),43158.99861111111)</f>
        <v>43158.99861</v>
      </c>
      <c r="B2700" s="1">
        <f>IFERROR(__xludf.DUMMYFUNCTION("""COMPUTED_VALUE"""),2166.66468)</f>
        <v>2166.66468</v>
      </c>
    </row>
    <row r="2701">
      <c r="A2701" s="3">
        <f>IFERROR(__xludf.DUMMYFUNCTION("""COMPUTED_VALUE"""),43159.99861111111)</f>
        <v>43159.99861</v>
      </c>
      <c r="B2701" s="1">
        <f>IFERROR(__xludf.DUMMYFUNCTION("""COMPUTED_VALUE"""),2172.34752)</f>
        <v>2172.34752</v>
      </c>
    </row>
    <row r="2702">
      <c r="A2702" s="3">
        <f>IFERROR(__xludf.DUMMYFUNCTION("""COMPUTED_VALUE"""),43160.99861111111)</f>
        <v>43160.99861</v>
      </c>
      <c r="B2702" s="1">
        <f>IFERROR(__xludf.DUMMYFUNCTION("""COMPUTED_VALUE"""),2160.90966)</f>
        <v>2160.90966</v>
      </c>
    </row>
    <row r="2703">
      <c r="A2703" s="3">
        <f>IFERROR(__xludf.DUMMYFUNCTION("""COMPUTED_VALUE"""),43161.99861111111)</f>
        <v>43161.99861</v>
      </c>
      <c r="B2703" s="1">
        <f>IFERROR(__xludf.DUMMYFUNCTION("""COMPUTED_VALUE"""),2165.7825)</f>
        <v>2165.7825</v>
      </c>
    </row>
    <row r="2704">
      <c r="A2704" s="3">
        <f>IFERROR(__xludf.DUMMYFUNCTION("""COMPUTED_VALUE"""),43162.99861111111)</f>
        <v>43162.99861</v>
      </c>
      <c r="B2704" s="1">
        <f>IFERROR(__xludf.DUMMYFUNCTION("""COMPUTED_VALUE"""),2165.92001)</f>
        <v>2165.92001</v>
      </c>
    </row>
    <row r="2705">
      <c r="A2705" s="3">
        <f>IFERROR(__xludf.DUMMYFUNCTION("""COMPUTED_VALUE"""),43163.99861111111)</f>
        <v>43163.99861</v>
      </c>
      <c r="B2705" s="1">
        <f>IFERROR(__xludf.DUMMYFUNCTION("""COMPUTED_VALUE"""),2164.95744)</f>
        <v>2164.95744</v>
      </c>
    </row>
    <row r="2706">
      <c r="A2706" s="3">
        <f>IFERROR(__xludf.DUMMYFUNCTION("""COMPUTED_VALUE"""),43164.99861111111)</f>
        <v>43164.99861</v>
      </c>
      <c r="B2706" s="1">
        <f>IFERROR(__xludf.DUMMYFUNCTION("""COMPUTED_VALUE"""),2163.30276)</f>
        <v>2163.30276</v>
      </c>
    </row>
    <row r="2707">
      <c r="A2707" s="3">
        <f>IFERROR(__xludf.DUMMYFUNCTION("""COMPUTED_VALUE"""),43165.99861111111)</f>
        <v>43165.99861</v>
      </c>
      <c r="B2707" s="1">
        <f>IFERROR(__xludf.DUMMYFUNCTION("""COMPUTED_VALUE"""),2179.83837)</f>
        <v>2179.83837</v>
      </c>
    </row>
    <row r="2708">
      <c r="A2708" s="3">
        <f>IFERROR(__xludf.DUMMYFUNCTION("""COMPUTED_VALUE"""),43166.99861111111)</f>
        <v>43166.99861</v>
      </c>
      <c r="B2708" s="1">
        <f>IFERROR(__xludf.DUMMYFUNCTION("""COMPUTED_VALUE"""),2172.67215)</f>
        <v>2172.67215</v>
      </c>
    </row>
    <row r="2709">
      <c r="A2709" s="3">
        <f>IFERROR(__xludf.DUMMYFUNCTION("""COMPUTED_VALUE"""),43167.99861111111)</f>
        <v>43167.99861</v>
      </c>
      <c r="B2709" s="1">
        <f>IFERROR(__xludf.DUMMYFUNCTION("""COMPUTED_VALUE"""),2173.3629)</f>
        <v>2173.3629</v>
      </c>
    </row>
    <row r="2710">
      <c r="A2710" s="3">
        <f>IFERROR(__xludf.DUMMYFUNCTION("""COMPUTED_VALUE"""),43168.99861111111)</f>
        <v>43168.99861</v>
      </c>
      <c r="B2710" s="1">
        <f>IFERROR(__xludf.DUMMYFUNCTION("""COMPUTED_VALUE"""),2174.8338)</f>
        <v>2174.8338</v>
      </c>
    </row>
    <row r="2711">
      <c r="A2711" s="3">
        <f>IFERROR(__xludf.DUMMYFUNCTION("""COMPUTED_VALUE"""),43170.99861111111)</f>
        <v>43170.99861</v>
      </c>
      <c r="B2711" s="1">
        <f>IFERROR(__xludf.DUMMYFUNCTION("""COMPUTED_VALUE"""),2175.83828)</f>
        <v>2175.83828</v>
      </c>
    </row>
    <row r="2712">
      <c r="A2712" s="3">
        <f>IFERROR(__xludf.DUMMYFUNCTION("""COMPUTED_VALUE"""),43171.99861111111)</f>
        <v>43171.99861</v>
      </c>
      <c r="B2712" s="1">
        <f>IFERROR(__xludf.DUMMYFUNCTION("""COMPUTED_VALUE"""),2172.87735)</f>
        <v>2172.87735</v>
      </c>
    </row>
    <row r="2713">
      <c r="A2713" s="3">
        <f>IFERROR(__xludf.DUMMYFUNCTION("""COMPUTED_VALUE"""),43172.99861111111)</f>
        <v>43172.99861</v>
      </c>
      <c r="B2713" s="1">
        <f>IFERROR(__xludf.DUMMYFUNCTION("""COMPUTED_VALUE"""),2173.5306)</f>
        <v>2173.5306</v>
      </c>
    </row>
    <row r="2714">
      <c r="A2714" s="3">
        <f>IFERROR(__xludf.DUMMYFUNCTION("""COMPUTED_VALUE"""),43173.99861111111)</f>
        <v>43173.99861</v>
      </c>
      <c r="B2714" s="1">
        <f>IFERROR(__xludf.DUMMYFUNCTION("""COMPUTED_VALUE"""),2173.07925)</f>
        <v>2173.07925</v>
      </c>
    </row>
    <row r="2715">
      <c r="A2715" s="3">
        <f>IFERROR(__xludf.DUMMYFUNCTION("""COMPUTED_VALUE"""),43174.99861111111)</f>
        <v>43174.99861</v>
      </c>
      <c r="B2715" s="1">
        <f>IFERROR(__xludf.DUMMYFUNCTION("""COMPUTED_VALUE"""),2176.24044)</f>
        <v>2176.24044</v>
      </c>
    </row>
    <row r="2716">
      <c r="A2716" s="3">
        <f>IFERROR(__xludf.DUMMYFUNCTION("""COMPUTED_VALUE"""),43175.99861111111)</f>
        <v>43175.99861</v>
      </c>
      <c r="B2716" s="1">
        <f>IFERROR(__xludf.DUMMYFUNCTION("""COMPUTED_VALUE"""),2170.72736)</f>
        <v>2170.72736</v>
      </c>
    </row>
    <row r="2717">
      <c r="A2717" s="3">
        <f>IFERROR(__xludf.DUMMYFUNCTION("""COMPUTED_VALUE"""),43177.99861111111)</f>
        <v>43177.99861</v>
      </c>
      <c r="B2717" s="1">
        <f>IFERROR(__xludf.DUMMYFUNCTION("""COMPUTED_VALUE"""),2168.747)</f>
        <v>2168.747</v>
      </c>
    </row>
    <row r="2718">
      <c r="A2718" s="3">
        <f>IFERROR(__xludf.DUMMYFUNCTION("""COMPUTED_VALUE"""),43178.99861111111)</f>
        <v>43178.99861</v>
      </c>
      <c r="B2718" s="1">
        <f>IFERROR(__xludf.DUMMYFUNCTION("""COMPUTED_VALUE"""),2174.4409)</f>
        <v>2174.4409</v>
      </c>
    </row>
    <row r="2719">
      <c r="A2719" s="3">
        <f>IFERROR(__xludf.DUMMYFUNCTION("""COMPUTED_VALUE"""),43179.99861111111)</f>
        <v>43179.99861</v>
      </c>
      <c r="B2719" s="1">
        <f>IFERROR(__xludf.DUMMYFUNCTION("""COMPUTED_VALUE"""),2169.74484)</f>
        <v>2169.74484</v>
      </c>
    </row>
    <row r="2720">
      <c r="A2720" s="3">
        <f>IFERROR(__xludf.DUMMYFUNCTION("""COMPUTED_VALUE"""),43180.99861111111)</f>
        <v>43180.99861</v>
      </c>
      <c r="B2720" s="1">
        <f>IFERROR(__xludf.DUMMYFUNCTION("""COMPUTED_VALUE"""),2167.8569)</f>
        <v>2167.8569</v>
      </c>
    </row>
    <row r="2721">
      <c r="A2721" s="3">
        <f>IFERROR(__xludf.DUMMYFUNCTION("""COMPUTED_VALUE"""),43181.99861111111)</f>
        <v>43181.99861</v>
      </c>
      <c r="B2721" s="1">
        <f>IFERROR(__xludf.DUMMYFUNCTION("""COMPUTED_VALUE"""),2170.51874)</f>
        <v>2170.51874</v>
      </c>
    </row>
    <row r="2722">
      <c r="A2722" s="3">
        <f>IFERROR(__xludf.DUMMYFUNCTION("""COMPUTED_VALUE"""),43182.99861111111)</f>
        <v>43182.99861</v>
      </c>
      <c r="B2722" s="1">
        <f>IFERROR(__xludf.DUMMYFUNCTION("""COMPUTED_VALUE"""),2181.58795)</f>
        <v>2181.58795</v>
      </c>
    </row>
    <row r="2723">
      <c r="A2723" s="3">
        <f>IFERROR(__xludf.DUMMYFUNCTION("""COMPUTED_VALUE"""),43183.99861111111)</f>
        <v>43183.99861</v>
      </c>
      <c r="B2723" s="1">
        <f>IFERROR(__xludf.DUMMYFUNCTION("""COMPUTED_VALUE"""),2178.69478)</f>
        <v>2178.69478</v>
      </c>
    </row>
    <row r="2724">
      <c r="A2724" s="3">
        <f>IFERROR(__xludf.DUMMYFUNCTION("""COMPUTED_VALUE"""),43184.99861111111)</f>
        <v>43184.99861</v>
      </c>
      <c r="B2724" s="1">
        <f>IFERROR(__xludf.DUMMYFUNCTION("""COMPUTED_VALUE"""),2177.1484)</f>
        <v>2177.1484</v>
      </c>
    </row>
    <row r="2725">
      <c r="A2725" s="3">
        <f>IFERROR(__xludf.DUMMYFUNCTION("""COMPUTED_VALUE"""),43185.99861111111)</f>
        <v>43185.99861</v>
      </c>
      <c r="B2725" s="1">
        <f>IFERROR(__xludf.DUMMYFUNCTION("""COMPUTED_VALUE"""),2186.78638)</f>
        <v>2186.78638</v>
      </c>
    </row>
    <row r="2726">
      <c r="A2726" s="3">
        <f>IFERROR(__xludf.DUMMYFUNCTION("""COMPUTED_VALUE"""),43186.99861111111)</f>
        <v>43186.99861</v>
      </c>
      <c r="B2726" s="1">
        <f>IFERROR(__xludf.DUMMYFUNCTION("""COMPUTED_VALUE"""),2186.8584)</f>
        <v>2186.8584</v>
      </c>
    </row>
    <row r="2727">
      <c r="A2727" s="3">
        <f>IFERROR(__xludf.DUMMYFUNCTION("""COMPUTED_VALUE"""),43187.99861111111)</f>
        <v>43187.99861</v>
      </c>
      <c r="B2727" s="1">
        <f>IFERROR(__xludf.DUMMYFUNCTION("""COMPUTED_VALUE"""),2184.59036)</f>
        <v>2184.59036</v>
      </c>
    </row>
    <row r="2728">
      <c r="A2728" s="3">
        <f>IFERROR(__xludf.DUMMYFUNCTION("""COMPUTED_VALUE"""),43188.99861111111)</f>
        <v>43188.99861</v>
      </c>
      <c r="B2728" s="1">
        <f>IFERROR(__xludf.DUMMYFUNCTION("""COMPUTED_VALUE"""),2187.08786)</f>
        <v>2187.08786</v>
      </c>
    </row>
    <row r="2729">
      <c r="A2729" s="3">
        <f>IFERROR(__xludf.DUMMYFUNCTION("""COMPUTED_VALUE"""),43189.99861111111)</f>
        <v>43189.99861</v>
      </c>
      <c r="B2729" s="1">
        <f>IFERROR(__xludf.DUMMYFUNCTION("""COMPUTED_VALUE"""),2184.84816)</f>
        <v>2184.84816</v>
      </c>
    </row>
    <row r="2730">
      <c r="A2730" s="3">
        <f>IFERROR(__xludf.DUMMYFUNCTION("""COMPUTED_VALUE"""),43190.99861111111)</f>
        <v>43190.99861</v>
      </c>
      <c r="B2730" s="1">
        <f>IFERROR(__xludf.DUMMYFUNCTION("""COMPUTED_VALUE"""),2186.89436)</f>
        <v>2186.89436</v>
      </c>
    </row>
    <row r="2731">
      <c r="A2731" s="3">
        <f>IFERROR(__xludf.DUMMYFUNCTION("""COMPUTED_VALUE"""),43191.99861111111)</f>
        <v>43191.99861</v>
      </c>
      <c r="B2731" s="1">
        <f>IFERROR(__xludf.DUMMYFUNCTION("""COMPUTED_VALUE"""),2191.1772)</f>
        <v>2191.1772</v>
      </c>
    </row>
    <row r="2732">
      <c r="A2732" s="3">
        <f>IFERROR(__xludf.DUMMYFUNCTION("""COMPUTED_VALUE"""),43192.99861111111)</f>
        <v>43192.99861</v>
      </c>
      <c r="B2732" s="1">
        <f>IFERROR(__xludf.DUMMYFUNCTION("""COMPUTED_VALUE"""),2188.95656)</f>
        <v>2188.95656</v>
      </c>
    </row>
    <row r="2733">
      <c r="A2733" s="3">
        <f>IFERROR(__xludf.DUMMYFUNCTION("""COMPUTED_VALUE"""),43193.99861111111)</f>
        <v>43193.99861</v>
      </c>
      <c r="B2733" s="1">
        <f>IFERROR(__xludf.DUMMYFUNCTION("""COMPUTED_VALUE"""),2184.819)</f>
        <v>2184.819</v>
      </c>
    </row>
    <row r="2734">
      <c r="A2734" s="3">
        <f>IFERROR(__xludf.DUMMYFUNCTION("""COMPUTED_VALUE"""),43194.99861111111)</f>
        <v>43194.99861</v>
      </c>
      <c r="B2734" s="1">
        <f>IFERROR(__xludf.DUMMYFUNCTION("""COMPUTED_VALUE"""),2180.35856)</f>
        <v>2180.35856</v>
      </c>
    </row>
    <row r="2735">
      <c r="A2735" s="3">
        <f>IFERROR(__xludf.DUMMYFUNCTION("""COMPUTED_VALUE"""),43195.99861111111)</f>
        <v>43195.99861</v>
      </c>
      <c r="B2735" s="1">
        <f>IFERROR(__xludf.DUMMYFUNCTION("""COMPUTED_VALUE"""),2182.8864)</f>
        <v>2182.8864</v>
      </c>
    </row>
    <row r="2736">
      <c r="A2736" s="3">
        <f>IFERROR(__xludf.DUMMYFUNCTION("""COMPUTED_VALUE"""),43196.99861111111)</f>
        <v>43196.99861</v>
      </c>
      <c r="B2736" s="1">
        <f>IFERROR(__xludf.DUMMYFUNCTION("""COMPUTED_VALUE"""),2183.77521)</f>
        <v>2183.77521</v>
      </c>
    </row>
    <row r="2737">
      <c r="A2737" s="3">
        <f>IFERROR(__xludf.DUMMYFUNCTION("""COMPUTED_VALUE"""),43197.99861111111)</f>
        <v>43197.99861</v>
      </c>
      <c r="B2737" s="1">
        <f>IFERROR(__xludf.DUMMYFUNCTION("""COMPUTED_VALUE"""),2185.97729)</f>
        <v>2185.97729</v>
      </c>
    </row>
    <row r="2738">
      <c r="A2738" s="3">
        <f>IFERROR(__xludf.DUMMYFUNCTION("""COMPUTED_VALUE"""),43198.99861111111)</f>
        <v>43198.99861</v>
      </c>
      <c r="B2738" s="1">
        <f>IFERROR(__xludf.DUMMYFUNCTION("""COMPUTED_VALUE"""),2181.16024)</f>
        <v>2181.16024</v>
      </c>
    </row>
    <row r="2739">
      <c r="A2739" s="3">
        <f>IFERROR(__xludf.DUMMYFUNCTION("""COMPUTED_VALUE"""),43199.99861111111)</f>
        <v>43199.99861</v>
      </c>
      <c r="B2739" s="1">
        <f>IFERROR(__xludf.DUMMYFUNCTION("""COMPUTED_VALUE"""),2183.19176)</f>
        <v>2183.19176</v>
      </c>
    </row>
    <row r="2740">
      <c r="A2740" s="3">
        <f>IFERROR(__xludf.DUMMYFUNCTION("""COMPUTED_VALUE"""),43200.99861111111)</f>
        <v>43200.99861</v>
      </c>
      <c r="B2740" s="1">
        <f>IFERROR(__xludf.DUMMYFUNCTION("""COMPUTED_VALUE"""),2187.330057)</f>
        <v>2187.330057</v>
      </c>
    </row>
    <row r="2741">
      <c r="A2741" s="3">
        <f>IFERROR(__xludf.DUMMYFUNCTION("""COMPUTED_VALUE"""),43201.99861111111)</f>
        <v>43201.99861</v>
      </c>
      <c r="B2741" s="1">
        <f>IFERROR(__xludf.DUMMYFUNCTION("""COMPUTED_VALUE"""),2193.545715)</f>
        <v>2193.545715</v>
      </c>
    </row>
    <row r="2742">
      <c r="A2742" s="3">
        <f>IFERROR(__xludf.DUMMYFUNCTION("""COMPUTED_VALUE"""),43202.99861111111)</f>
        <v>43202.99861</v>
      </c>
      <c r="B2742" s="1">
        <f>IFERROR(__xludf.DUMMYFUNCTION("""COMPUTED_VALUE"""),2187.98931)</f>
        <v>2187.98931</v>
      </c>
    </row>
    <row r="2743">
      <c r="A2743" s="3">
        <f>IFERROR(__xludf.DUMMYFUNCTION("""COMPUTED_VALUE"""),43203.99861111111)</f>
        <v>43203.99861</v>
      </c>
      <c r="B2743" s="1">
        <f>IFERROR(__xludf.DUMMYFUNCTION("""COMPUTED_VALUE"""),2194.22784)</f>
        <v>2194.22784</v>
      </c>
    </row>
    <row r="2744">
      <c r="A2744" s="3">
        <f>IFERROR(__xludf.DUMMYFUNCTION("""COMPUTED_VALUE"""),43205.99861111111)</f>
        <v>43205.99861</v>
      </c>
      <c r="B2744" s="1">
        <f>IFERROR(__xludf.DUMMYFUNCTION("""COMPUTED_VALUE"""),2188.35355)</f>
        <v>2188.35355</v>
      </c>
    </row>
    <row r="2745">
      <c r="A2745" s="3">
        <f>IFERROR(__xludf.DUMMYFUNCTION("""COMPUTED_VALUE"""),43206.99861111111)</f>
        <v>43206.99861</v>
      </c>
      <c r="B2745" s="1">
        <f>IFERROR(__xludf.DUMMYFUNCTION("""COMPUTED_VALUE"""),2193.06146)</f>
        <v>2193.06146</v>
      </c>
    </row>
    <row r="2746">
      <c r="A2746" s="3">
        <f>IFERROR(__xludf.DUMMYFUNCTION("""COMPUTED_VALUE"""),43207.99861111111)</f>
        <v>43207.99861</v>
      </c>
      <c r="B2746" s="1">
        <f>IFERROR(__xludf.DUMMYFUNCTION("""COMPUTED_VALUE"""),2189.97683)</f>
        <v>2189.97683</v>
      </c>
    </row>
    <row r="2747">
      <c r="A2747" s="3">
        <f>IFERROR(__xludf.DUMMYFUNCTION("""COMPUTED_VALUE"""),43208.99861111111)</f>
        <v>43208.99861</v>
      </c>
      <c r="B2747" s="1">
        <f>IFERROR(__xludf.DUMMYFUNCTION("""COMPUTED_VALUE"""),2194.50322)</f>
        <v>2194.50322</v>
      </c>
    </row>
    <row r="2748">
      <c r="A2748" s="3">
        <f>IFERROR(__xludf.DUMMYFUNCTION("""COMPUTED_VALUE"""),43209.99861111111)</f>
        <v>43209.99861</v>
      </c>
      <c r="B2748" s="1">
        <f>IFERROR(__xludf.DUMMYFUNCTION("""COMPUTED_VALUE"""),2197.926)</f>
        <v>2197.926</v>
      </c>
    </row>
    <row r="2749">
      <c r="A2749" s="3">
        <f>IFERROR(__xludf.DUMMYFUNCTION("""COMPUTED_VALUE"""),43210.99861111111)</f>
        <v>43210.99861</v>
      </c>
      <c r="B2749" s="1">
        <f>IFERROR(__xludf.DUMMYFUNCTION("""COMPUTED_VALUE"""),2198.82212)</f>
        <v>2198.82212</v>
      </c>
    </row>
    <row r="2750">
      <c r="A2750" s="3">
        <f>IFERROR(__xludf.DUMMYFUNCTION("""COMPUTED_VALUE"""),43211.99861111111)</f>
        <v>43211.99861</v>
      </c>
      <c r="B2750" s="1">
        <f>IFERROR(__xludf.DUMMYFUNCTION("""COMPUTED_VALUE"""),2202.076685)</f>
        <v>2202.076685</v>
      </c>
    </row>
    <row r="2751">
      <c r="A2751" s="3">
        <f>IFERROR(__xludf.DUMMYFUNCTION("""COMPUTED_VALUE"""),43212.99861111111)</f>
        <v>43212.99861</v>
      </c>
      <c r="B2751" s="1">
        <f>IFERROR(__xludf.DUMMYFUNCTION("""COMPUTED_VALUE"""),2204.52039)</f>
        <v>2204.52039</v>
      </c>
    </row>
    <row r="2752">
      <c r="A2752" s="3">
        <f>IFERROR(__xludf.DUMMYFUNCTION("""COMPUTED_VALUE"""),43213.99861111111)</f>
        <v>43213.99861</v>
      </c>
      <c r="B2752" s="1">
        <f>IFERROR(__xludf.DUMMYFUNCTION("""COMPUTED_VALUE"""),2209.88669)</f>
        <v>2209.88669</v>
      </c>
    </row>
    <row r="2753">
      <c r="A2753" s="3">
        <f>IFERROR(__xludf.DUMMYFUNCTION("""COMPUTED_VALUE"""),43214.99861111111)</f>
        <v>43214.99861</v>
      </c>
      <c r="B2753" s="1">
        <f>IFERROR(__xludf.DUMMYFUNCTION("""COMPUTED_VALUE"""),2199.4056)</f>
        <v>2199.4056</v>
      </c>
    </row>
    <row r="2754">
      <c r="A2754" s="3">
        <f>IFERROR(__xludf.DUMMYFUNCTION("""COMPUTED_VALUE"""),43215.99861111111)</f>
        <v>43215.99861</v>
      </c>
      <c r="B2754" s="1">
        <f>IFERROR(__xludf.DUMMYFUNCTION("""COMPUTED_VALUE"""),2200.31552)</f>
        <v>2200.31552</v>
      </c>
    </row>
    <row r="2755">
      <c r="A2755" s="3">
        <f>IFERROR(__xludf.DUMMYFUNCTION("""COMPUTED_VALUE"""),43216.99861111111)</f>
        <v>43216.99861</v>
      </c>
      <c r="B2755" s="1">
        <f>IFERROR(__xludf.DUMMYFUNCTION("""COMPUTED_VALUE"""),2190.24499)</f>
        <v>2190.24499</v>
      </c>
    </row>
    <row r="2756">
      <c r="A2756" s="3">
        <f>IFERROR(__xludf.DUMMYFUNCTION("""COMPUTED_VALUE"""),43217.99861111111)</f>
        <v>43217.99861</v>
      </c>
      <c r="B2756" s="1">
        <f>IFERROR(__xludf.DUMMYFUNCTION("""COMPUTED_VALUE"""),2185.43534)</f>
        <v>2185.43534</v>
      </c>
    </row>
    <row r="2757">
      <c r="A2757" s="3">
        <f>IFERROR(__xludf.DUMMYFUNCTION("""COMPUTED_VALUE"""),43219.99861111111)</f>
        <v>43219.99861</v>
      </c>
      <c r="B2757" s="1">
        <f>IFERROR(__xludf.DUMMYFUNCTION("""COMPUTED_VALUE"""),2188.2699)</f>
        <v>2188.2699</v>
      </c>
    </row>
    <row r="2758">
      <c r="A2758" s="3">
        <f>IFERROR(__xludf.DUMMYFUNCTION("""COMPUTED_VALUE"""),43220.99861111111)</f>
        <v>43220.99861</v>
      </c>
      <c r="B2758" s="1">
        <f>IFERROR(__xludf.DUMMYFUNCTION("""COMPUTED_VALUE"""),2194.82889)</f>
        <v>2194.82889</v>
      </c>
    </row>
    <row r="2759">
      <c r="A2759" s="3">
        <f>IFERROR(__xludf.DUMMYFUNCTION("""COMPUTED_VALUE"""),43221.99861111111)</f>
        <v>43221.99861</v>
      </c>
      <c r="B2759" s="1">
        <f>IFERROR(__xludf.DUMMYFUNCTION("""COMPUTED_VALUE"""),2203.61048)</f>
        <v>2203.61048</v>
      </c>
    </row>
    <row r="2760">
      <c r="A2760" s="3">
        <f>IFERROR(__xludf.DUMMYFUNCTION("""COMPUTED_VALUE"""),43222.99861111111)</f>
        <v>43222.99861</v>
      </c>
      <c r="B2760" s="1">
        <f>IFERROR(__xludf.DUMMYFUNCTION("""COMPUTED_VALUE"""),2200.881514)</f>
        <v>2200.881514</v>
      </c>
    </row>
    <row r="2761">
      <c r="A2761" s="3">
        <f>IFERROR(__xludf.DUMMYFUNCTION("""COMPUTED_VALUE"""),43223.99861111111)</f>
        <v>43223.99861</v>
      </c>
      <c r="B2761" s="1">
        <f>IFERROR(__xludf.DUMMYFUNCTION("""COMPUTED_VALUE"""),2192.32147)</f>
        <v>2192.32147</v>
      </c>
    </row>
    <row r="2762">
      <c r="A2762" s="3">
        <f>IFERROR(__xludf.DUMMYFUNCTION("""COMPUTED_VALUE"""),43224.99861111111)</f>
        <v>43224.99861</v>
      </c>
      <c r="B2762" s="1">
        <f>IFERROR(__xludf.DUMMYFUNCTION("""COMPUTED_VALUE"""),2191.357476)</f>
        <v>2191.357476</v>
      </c>
    </row>
    <row r="2763">
      <c r="A2763" s="3">
        <f>IFERROR(__xludf.DUMMYFUNCTION("""COMPUTED_VALUE"""),43225.99861111111)</f>
        <v>43225.99861</v>
      </c>
      <c r="B2763" s="1">
        <f>IFERROR(__xludf.DUMMYFUNCTION("""COMPUTED_VALUE"""),2188.021247)</f>
        <v>2188.021247</v>
      </c>
    </row>
    <row r="2764">
      <c r="A2764" s="3">
        <f>IFERROR(__xludf.DUMMYFUNCTION("""COMPUTED_VALUE"""),43226.99861111111)</f>
        <v>43226.99861</v>
      </c>
      <c r="B2764" s="1">
        <f>IFERROR(__xludf.DUMMYFUNCTION("""COMPUTED_VALUE"""),2190.96425)</f>
        <v>2190.96425</v>
      </c>
    </row>
    <row r="2765">
      <c r="A2765" s="3">
        <f>IFERROR(__xludf.DUMMYFUNCTION("""COMPUTED_VALUE"""),43227.99861111111)</f>
        <v>43227.99861</v>
      </c>
      <c r="B2765" s="1">
        <f>IFERROR(__xludf.DUMMYFUNCTION("""COMPUTED_VALUE"""),2240.72524)</f>
        <v>2240.72524</v>
      </c>
    </row>
    <row r="2766">
      <c r="A2766" s="3">
        <f>IFERROR(__xludf.DUMMYFUNCTION("""COMPUTED_VALUE"""),43228.99861111111)</f>
        <v>43228.99861</v>
      </c>
      <c r="B2766" s="1">
        <f>IFERROR(__xludf.DUMMYFUNCTION("""COMPUTED_VALUE"""),2238.750495)</f>
        <v>2238.750495</v>
      </c>
    </row>
    <row r="2767">
      <c r="A2767" s="3">
        <f>IFERROR(__xludf.DUMMYFUNCTION("""COMPUTED_VALUE"""),43229.99861111111)</f>
        <v>43229.99861</v>
      </c>
      <c r="B2767" s="1">
        <f>IFERROR(__xludf.DUMMYFUNCTION("""COMPUTED_VALUE"""),2211.71268)</f>
        <v>2211.71268</v>
      </c>
    </row>
    <row r="2768">
      <c r="A2768" s="3">
        <f>IFERROR(__xludf.DUMMYFUNCTION("""COMPUTED_VALUE"""),43230.99861111111)</f>
        <v>43230.99861</v>
      </c>
      <c r="B2768" s="1">
        <f>IFERROR(__xludf.DUMMYFUNCTION("""COMPUTED_VALUE"""),2216.21604)</f>
        <v>2216.21604</v>
      </c>
    </row>
    <row r="2769">
      <c r="A2769" s="3">
        <f>IFERROR(__xludf.DUMMYFUNCTION("""COMPUTED_VALUE"""),43231.99861111111)</f>
        <v>43231.99861</v>
      </c>
      <c r="B2769" s="1">
        <f>IFERROR(__xludf.DUMMYFUNCTION("""COMPUTED_VALUE"""),2204.0534)</f>
        <v>2204.0534</v>
      </c>
    </row>
    <row r="2770">
      <c r="A2770" s="3">
        <f>IFERROR(__xludf.DUMMYFUNCTION("""COMPUTED_VALUE"""),43232.99861111111)</f>
        <v>43232.99861</v>
      </c>
      <c r="B2770" s="1">
        <f>IFERROR(__xludf.DUMMYFUNCTION("""COMPUTED_VALUE"""),2204.52773)</f>
        <v>2204.52773</v>
      </c>
    </row>
    <row r="2771">
      <c r="A2771" s="3">
        <f>IFERROR(__xludf.DUMMYFUNCTION("""COMPUTED_VALUE"""),43233.99861111111)</f>
        <v>43233.99861</v>
      </c>
      <c r="B2771" s="1">
        <f>IFERROR(__xludf.DUMMYFUNCTION("""COMPUTED_VALUE"""),2196.99851)</f>
        <v>2196.99851</v>
      </c>
    </row>
    <row r="2772">
      <c r="A2772" s="3">
        <f>IFERROR(__xludf.DUMMYFUNCTION("""COMPUTED_VALUE"""),43234.99861111111)</f>
        <v>43234.99861</v>
      </c>
      <c r="B2772" s="1">
        <f>IFERROR(__xludf.DUMMYFUNCTION("""COMPUTED_VALUE"""),2202.38399)</f>
        <v>2202.38399</v>
      </c>
    </row>
    <row r="2773">
      <c r="A2773" s="3">
        <f>IFERROR(__xludf.DUMMYFUNCTION("""COMPUTED_VALUE"""),43235.99861111111)</f>
        <v>43235.99861</v>
      </c>
      <c r="B2773" s="1">
        <f>IFERROR(__xludf.DUMMYFUNCTION("""COMPUTED_VALUE"""),2198.3607)</f>
        <v>2198.3607</v>
      </c>
    </row>
    <row r="2774">
      <c r="A2774" s="3">
        <f>IFERROR(__xludf.DUMMYFUNCTION("""COMPUTED_VALUE"""),43236.99861111111)</f>
        <v>43236.99861</v>
      </c>
      <c r="B2774" s="1">
        <f>IFERROR(__xludf.DUMMYFUNCTION("""COMPUTED_VALUE"""),2220.71694)</f>
        <v>2220.71694</v>
      </c>
    </row>
    <row r="2775">
      <c r="A2775" s="3">
        <f>IFERROR(__xludf.DUMMYFUNCTION("""COMPUTED_VALUE"""),43237.99861111111)</f>
        <v>43237.99861</v>
      </c>
      <c r="B2775" s="1">
        <f>IFERROR(__xludf.DUMMYFUNCTION("""COMPUTED_VALUE"""),2222.66564)</f>
        <v>2222.66564</v>
      </c>
    </row>
    <row r="2776">
      <c r="A2776" s="3">
        <f>IFERROR(__xludf.DUMMYFUNCTION("""COMPUTED_VALUE"""),43238.99861111111)</f>
        <v>43238.99861</v>
      </c>
      <c r="B2776" s="1">
        <f>IFERROR(__xludf.DUMMYFUNCTION("""COMPUTED_VALUE"""),2215.92852)</f>
        <v>2215.92852</v>
      </c>
    </row>
    <row r="2777">
      <c r="A2777" s="3">
        <f>IFERROR(__xludf.DUMMYFUNCTION("""COMPUTED_VALUE"""),43239.99861111111)</f>
        <v>43239.99861</v>
      </c>
      <c r="B2777" s="1">
        <f>IFERROR(__xludf.DUMMYFUNCTION("""COMPUTED_VALUE"""),2214.51512)</f>
        <v>2214.51512</v>
      </c>
    </row>
    <row r="2778">
      <c r="A2778" s="3">
        <f>IFERROR(__xludf.DUMMYFUNCTION("""COMPUTED_VALUE"""),43240.99861111111)</f>
        <v>43240.99861</v>
      </c>
      <c r="B2778" s="1">
        <f>IFERROR(__xludf.DUMMYFUNCTION("""COMPUTED_VALUE"""),2218.49232)</f>
        <v>2218.49232</v>
      </c>
    </row>
    <row r="2779">
      <c r="A2779" s="3">
        <f>IFERROR(__xludf.DUMMYFUNCTION("""COMPUTED_VALUE"""),43241.99861111111)</f>
        <v>43241.99861</v>
      </c>
      <c r="B2779" s="1">
        <f>IFERROR(__xludf.DUMMYFUNCTION("""COMPUTED_VALUE"""),2227.9896)</f>
        <v>2227.9896</v>
      </c>
    </row>
    <row r="2780">
      <c r="A2780" s="3">
        <f>IFERROR(__xludf.DUMMYFUNCTION("""COMPUTED_VALUE"""),43242.99861111111)</f>
        <v>43242.99861</v>
      </c>
      <c r="B2780" s="1">
        <f>IFERROR(__xludf.DUMMYFUNCTION("""COMPUTED_VALUE"""),2230.94568)</f>
        <v>2230.94568</v>
      </c>
    </row>
    <row r="2781">
      <c r="A2781" s="3">
        <f>IFERROR(__xludf.DUMMYFUNCTION("""COMPUTED_VALUE"""),43243.99861111111)</f>
        <v>43243.99861</v>
      </c>
      <c r="B2781" s="1">
        <f>IFERROR(__xludf.DUMMYFUNCTION("""COMPUTED_VALUE"""),2217.87357)</f>
        <v>2217.87357</v>
      </c>
    </row>
    <row r="2782">
      <c r="A2782" s="3">
        <f>IFERROR(__xludf.DUMMYFUNCTION("""COMPUTED_VALUE"""),43244.99861111111)</f>
        <v>43244.99861</v>
      </c>
      <c r="B2782" s="1">
        <f>IFERROR(__xludf.DUMMYFUNCTION("""COMPUTED_VALUE"""),2214.6432)</f>
        <v>2214.6432</v>
      </c>
    </row>
    <row r="2783">
      <c r="A2783" s="3">
        <f>IFERROR(__xludf.DUMMYFUNCTION("""COMPUTED_VALUE"""),43245.99861111111)</f>
        <v>43245.99861</v>
      </c>
      <c r="B2783" s="1">
        <f>IFERROR(__xludf.DUMMYFUNCTION("""COMPUTED_VALUE"""),2208.4972)</f>
        <v>2208.4972</v>
      </c>
    </row>
    <row r="2784">
      <c r="A2784" s="3">
        <f>IFERROR(__xludf.DUMMYFUNCTION("""COMPUTED_VALUE"""),43246.99861111111)</f>
        <v>43246.99861</v>
      </c>
      <c r="B2784" s="1">
        <f>IFERROR(__xludf.DUMMYFUNCTION("""COMPUTED_VALUE"""),2199.04176)</f>
        <v>2199.04176</v>
      </c>
    </row>
    <row r="2785">
      <c r="A2785" s="3">
        <f>IFERROR(__xludf.DUMMYFUNCTION("""COMPUTED_VALUE"""),43247.99861111111)</f>
        <v>43247.99861</v>
      </c>
      <c r="B2785" s="1">
        <f>IFERROR(__xludf.DUMMYFUNCTION("""COMPUTED_VALUE"""),2210.10522)</f>
        <v>2210.10522</v>
      </c>
    </row>
    <row r="2786">
      <c r="A2786" s="3">
        <f>IFERROR(__xludf.DUMMYFUNCTION("""COMPUTED_VALUE"""),43248.99861111111)</f>
        <v>43248.99861</v>
      </c>
      <c r="B2786" s="1">
        <f>IFERROR(__xludf.DUMMYFUNCTION("""COMPUTED_VALUE"""),2189.3427)</f>
        <v>2189.3427</v>
      </c>
    </row>
    <row r="2787">
      <c r="A2787" s="3">
        <f>IFERROR(__xludf.DUMMYFUNCTION("""COMPUTED_VALUE"""),43249.99861111111)</f>
        <v>43249.99861</v>
      </c>
      <c r="B2787" s="1">
        <f>IFERROR(__xludf.DUMMYFUNCTION("""COMPUTED_VALUE"""),2185.43762)</f>
        <v>2185.43762</v>
      </c>
    </row>
    <row r="2788">
      <c r="A2788" s="3">
        <f>IFERROR(__xludf.DUMMYFUNCTION("""COMPUTED_VALUE"""),43250.99861111111)</f>
        <v>43250.99861</v>
      </c>
      <c r="B2788" s="1">
        <f>IFERROR(__xludf.DUMMYFUNCTION("""COMPUTED_VALUE"""),2177.19729)</f>
        <v>2177.19729</v>
      </c>
    </row>
    <row r="2789">
      <c r="A2789" s="3">
        <f>IFERROR(__xludf.DUMMYFUNCTION("""COMPUTED_VALUE"""),43251.99861111111)</f>
        <v>43251.99861</v>
      </c>
      <c r="B2789" s="1">
        <f>IFERROR(__xludf.DUMMYFUNCTION("""COMPUTED_VALUE"""),2164.7248)</f>
        <v>2164.7248</v>
      </c>
    </row>
    <row r="2790">
      <c r="A2790" s="3">
        <f>IFERROR(__xludf.DUMMYFUNCTION("""COMPUTED_VALUE"""),43252.99861111111)</f>
        <v>43252.99861</v>
      </c>
      <c r="B2790" s="1">
        <f>IFERROR(__xludf.DUMMYFUNCTION("""COMPUTED_VALUE"""),2153.630284)</f>
        <v>2153.630284</v>
      </c>
    </row>
    <row r="2791">
      <c r="A2791" s="3">
        <f>IFERROR(__xludf.DUMMYFUNCTION("""COMPUTED_VALUE"""),43253.99861111111)</f>
        <v>43253.99861</v>
      </c>
      <c r="B2791" s="1">
        <f>IFERROR(__xludf.DUMMYFUNCTION("""COMPUTED_VALUE"""),2155.738625)</f>
        <v>2155.738625</v>
      </c>
    </row>
    <row r="2792">
      <c r="A2792" s="3">
        <f>IFERROR(__xludf.DUMMYFUNCTION("""COMPUTED_VALUE"""),43254.99861111111)</f>
        <v>43254.99861</v>
      </c>
      <c r="B2792" s="1">
        <f>IFERROR(__xludf.DUMMYFUNCTION("""COMPUTED_VALUE"""),2167.21962)</f>
        <v>2167.21962</v>
      </c>
    </row>
    <row r="2793">
      <c r="A2793" s="3">
        <f>IFERROR(__xludf.DUMMYFUNCTION("""COMPUTED_VALUE"""),43255.99861111111)</f>
        <v>43255.99861</v>
      </c>
      <c r="B2793" s="1">
        <f>IFERROR(__xludf.DUMMYFUNCTION("""COMPUTED_VALUE"""),2162.853)</f>
        <v>2162.853</v>
      </c>
    </row>
    <row r="2794">
      <c r="A2794" s="3">
        <f>IFERROR(__xludf.DUMMYFUNCTION("""COMPUTED_VALUE"""),43256.99861111111)</f>
        <v>43256.99861</v>
      </c>
      <c r="B2794" s="1">
        <f>IFERROR(__xludf.DUMMYFUNCTION("""COMPUTED_VALUE"""),2164.9683)</f>
        <v>2164.9683</v>
      </c>
    </row>
    <row r="2795">
      <c r="A2795" s="3">
        <f>IFERROR(__xludf.DUMMYFUNCTION("""COMPUTED_VALUE"""),43257.99861111111)</f>
        <v>43257.99861</v>
      </c>
      <c r="B2795" s="1">
        <f>IFERROR(__xludf.DUMMYFUNCTION("""COMPUTED_VALUE"""),2163.69588)</f>
        <v>2163.69588</v>
      </c>
    </row>
    <row r="2796">
      <c r="A2796" s="3">
        <f>IFERROR(__xludf.DUMMYFUNCTION("""COMPUTED_VALUE"""),43258.99861111111)</f>
        <v>43258.99861</v>
      </c>
      <c r="B2796" s="1">
        <f>IFERROR(__xludf.DUMMYFUNCTION("""COMPUTED_VALUE"""),2168.31183)</f>
        <v>2168.31183</v>
      </c>
    </row>
    <row r="2797">
      <c r="A2797" s="3">
        <f>IFERROR(__xludf.DUMMYFUNCTION("""COMPUTED_VALUE"""),43259.99861111111)</f>
        <v>43259.99861</v>
      </c>
      <c r="B2797" s="1">
        <f>IFERROR(__xludf.DUMMYFUNCTION("""COMPUTED_VALUE"""),2176.61326)</f>
        <v>2176.61326</v>
      </c>
    </row>
    <row r="2798">
      <c r="A2798" s="3">
        <f>IFERROR(__xludf.DUMMYFUNCTION("""COMPUTED_VALUE"""),43260.99861111111)</f>
        <v>43260.99861</v>
      </c>
      <c r="B2798" s="1">
        <f>IFERROR(__xludf.DUMMYFUNCTION("""COMPUTED_VALUE"""),2170.43214)</f>
        <v>2170.43214</v>
      </c>
    </row>
    <row r="2799">
      <c r="A2799" s="3">
        <f>IFERROR(__xludf.DUMMYFUNCTION("""COMPUTED_VALUE"""),43261.99861111111)</f>
        <v>43261.99861</v>
      </c>
      <c r="B2799" s="1">
        <f>IFERROR(__xludf.DUMMYFUNCTION("""COMPUTED_VALUE"""),2175.29808)</f>
        <v>2175.29808</v>
      </c>
    </row>
    <row r="2800">
      <c r="A2800" s="3">
        <f>IFERROR(__xludf.DUMMYFUNCTION("""COMPUTED_VALUE"""),43262.99861111111)</f>
        <v>43262.99861</v>
      </c>
      <c r="B2800" s="1">
        <f>IFERROR(__xludf.DUMMYFUNCTION("""COMPUTED_VALUE"""),2174.7726)</f>
        <v>2174.7726</v>
      </c>
    </row>
    <row r="2801">
      <c r="A2801" s="3">
        <f>IFERROR(__xludf.DUMMYFUNCTION("""COMPUTED_VALUE"""),43263.99861111111)</f>
        <v>43263.99861</v>
      </c>
      <c r="B2801" s="1">
        <f>IFERROR(__xludf.DUMMYFUNCTION("""COMPUTED_VALUE"""),2174.35491)</f>
        <v>2174.35491</v>
      </c>
    </row>
    <row r="2802">
      <c r="A2802" s="3">
        <f>IFERROR(__xludf.DUMMYFUNCTION("""COMPUTED_VALUE"""),43264.99861111111)</f>
        <v>43264.99861</v>
      </c>
      <c r="B2802" s="1">
        <f>IFERROR(__xludf.DUMMYFUNCTION("""COMPUTED_VALUE"""),2176.02567)</f>
        <v>2176.02567</v>
      </c>
    </row>
    <row r="2803">
      <c r="A2803" s="3">
        <f>IFERROR(__xludf.DUMMYFUNCTION("""COMPUTED_VALUE"""),43265.99861111111)</f>
        <v>43265.99861</v>
      </c>
      <c r="B2803" s="1">
        <f>IFERROR(__xludf.DUMMYFUNCTION("""COMPUTED_VALUE"""),2206.609964)</f>
        <v>2206.609964</v>
      </c>
    </row>
    <row r="2804">
      <c r="A2804" s="3">
        <f>IFERROR(__xludf.DUMMYFUNCTION("""COMPUTED_VALUE"""),43266.99861111111)</f>
        <v>43266.99861</v>
      </c>
      <c r="B2804" s="1">
        <f>IFERROR(__xludf.DUMMYFUNCTION("""COMPUTED_VALUE"""),2186.165524)</f>
        <v>2186.165524</v>
      </c>
    </row>
    <row r="2805">
      <c r="A2805" s="3">
        <f>IFERROR(__xludf.DUMMYFUNCTION("""COMPUTED_VALUE"""),43268.99861111111)</f>
        <v>43268.99861</v>
      </c>
      <c r="B2805" s="1">
        <f>IFERROR(__xludf.DUMMYFUNCTION("""COMPUTED_VALUE"""),2159.4573)</f>
        <v>2159.4573</v>
      </c>
    </row>
    <row r="2806">
      <c r="A2806" s="3">
        <f>IFERROR(__xludf.DUMMYFUNCTION("""COMPUTED_VALUE"""),43269.99861111111)</f>
        <v>43269.99861</v>
      </c>
      <c r="B2806" s="1">
        <f>IFERROR(__xludf.DUMMYFUNCTION("""COMPUTED_VALUE"""),2161.96344)</f>
        <v>2161.96344</v>
      </c>
    </row>
    <row r="2807">
      <c r="A2807" s="3">
        <f>IFERROR(__xludf.DUMMYFUNCTION("""COMPUTED_VALUE"""),43270.99861111111)</f>
        <v>43270.99861</v>
      </c>
      <c r="B2807" s="1">
        <f>IFERROR(__xludf.DUMMYFUNCTION("""COMPUTED_VALUE"""),2146.23045)</f>
        <v>2146.23045</v>
      </c>
    </row>
    <row r="2808">
      <c r="A2808" s="3">
        <f>IFERROR(__xludf.DUMMYFUNCTION("""COMPUTED_VALUE"""),43271.99861111111)</f>
        <v>43271.99861</v>
      </c>
      <c r="B2808" s="1">
        <f>IFERROR(__xludf.DUMMYFUNCTION("""COMPUTED_VALUE"""),2150.96427)</f>
        <v>2150.96427</v>
      </c>
    </row>
    <row r="2809">
      <c r="A2809" s="3">
        <f>IFERROR(__xludf.DUMMYFUNCTION("""COMPUTED_VALUE"""),43272.99861111111)</f>
        <v>43272.99861</v>
      </c>
      <c r="B2809" s="1">
        <f>IFERROR(__xludf.DUMMYFUNCTION("""COMPUTED_VALUE"""),2169.552)</f>
        <v>2169.552</v>
      </c>
    </row>
    <row r="2810">
      <c r="A2810" s="3">
        <f>IFERROR(__xludf.DUMMYFUNCTION("""COMPUTED_VALUE"""),43273.99861111111)</f>
        <v>43273.99861</v>
      </c>
      <c r="B2810" s="1">
        <f>IFERROR(__xludf.DUMMYFUNCTION("""COMPUTED_VALUE"""),2165.576616)</f>
        <v>2165.576616</v>
      </c>
    </row>
    <row r="2811">
      <c r="A2811" s="3">
        <f>IFERROR(__xludf.DUMMYFUNCTION("""COMPUTED_VALUE"""),43275.99861111111)</f>
        <v>43275.99861</v>
      </c>
      <c r="B2811" s="1">
        <f>IFERROR(__xludf.DUMMYFUNCTION("""COMPUTED_VALUE"""),2163.30156)</f>
        <v>2163.30156</v>
      </c>
    </row>
    <row r="2812">
      <c r="A2812" s="3">
        <f>IFERROR(__xludf.DUMMYFUNCTION("""COMPUTED_VALUE"""),43276.99861111111)</f>
        <v>43276.99861</v>
      </c>
      <c r="B2812" s="1">
        <f>IFERROR(__xludf.DUMMYFUNCTION("""COMPUTED_VALUE"""),2163.2292)</f>
        <v>2163.2292</v>
      </c>
    </row>
    <row r="2813">
      <c r="A2813" s="3">
        <f>IFERROR(__xludf.DUMMYFUNCTION("""COMPUTED_VALUE"""),43277.99861111111)</f>
        <v>43277.99861</v>
      </c>
      <c r="B2813" s="1">
        <f>IFERROR(__xludf.DUMMYFUNCTION("""COMPUTED_VALUE"""),2156.576)</f>
        <v>2156.576</v>
      </c>
    </row>
    <row r="2814">
      <c r="A2814" s="3">
        <f>IFERROR(__xludf.DUMMYFUNCTION("""COMPUTED_VALUE"""),43278.99861111111)</f>
        <v>43278.99861</v>
      </c>
      <c r="B2814" s="1">
        <f>IFERROR(__xludf.DUMMYFUNCTION("""COMPUTED_VALUE"""),2155.7484)</f>
        <v>2155.7484</v>
      </c>
    </row>
    <row r="2815">
      <c r="A2815" s="3">
        <f>IFERROR(__xludf.DUMMYFUNCTION("""COMPUTED_VALUE"""),43279.99861111111)</f>
        <v>43279.99861</v>
      </c>
      <c r="B2815" s="1">
        <f>IFERROR(__xludf.DUMMYFUNCTION("""COMPUTED_VALUE"""),2164.9845)</f>
        <v>2164.9845</v>
      </c>
    </row>
    <row r="2816">
      <c r="A2816" s="3">
        <f>IFERROR(__xludf.DUMMYFUNCTION("""COMPUTED_VALUE"""),43280.99861111111)</f>
        <v>43280.99861</v>
      </c>
      <c r="B2816" s="1">
        <f>IFERROR(__xludf.DUMMYFUNCTION("""COMPUTED_VALUE"""),2158.93398)</f>
        <v>2158.93398</v>
      </c>
    </row>
    <row r="2817">
      <c r="A2817" s="3">
        <f>IFERROR(__xludf.DUMMYFUNCTION("""COMPUTED_VALUE"""),43281.99861111111)</f>
        <v>43281.99861</v>
      </c>
      <c r="B2817" s="1">
        <f>IFERROR(__xludf.DUMMYFUNCTION("""COMPUTED_VALUE"""),2158.93398)</f>
        <v>2158.93398</v>
      </c>
    </row>
    <row r="2818">
      <c r="A2818" s="3">
        <f>IFERROR(__xludf.DUMMYFUNCTION("""COMPUTED_VALUE"""),43282.99861111111)</f>
        <v>43282.99861</v>
      </c>
      <c r="B2818" s="1">
        <f>IFERROR(__xludf.DUMMYFUNCTION("""COMPUTED_VALUE"""),2160.86481)</f>
        <v>2160.86481</v>
      </c>
    </row>
    <row r="2819">
      <c r="A2819" s="3">
        <f>IFERROR(__xludf.DUMMYFUNCTION("""COMPUTED_VALUE"""),43283.99861111111)</f>
        <v>43283.99861</v>
      </c>
      <c r="B2819" s="1">
        <f>IFERROR(__xludf.DUMMYFUNCTION("""COMPUTED_VALUE"""),2151.76306)</f>
        <v>2151.76306</v>
      </c>
    </row>
    <row r="2820">
      <c r="A2820" s="3">
        <f>IFERROR(__xludf.DUMMYFUNCTION("""COMPUTED_VALUE"""),43284.99861111111)</f>
        <v>43284.99861</v>
      </c>
      <c r="B2820" s="1">
        <f>IFERROR(__xludf.DUMMYFUNCTION("""COMPUTED_VALUE"""),2160.84415)</f>
        <v>2160.84415</v>
      </c>
    </row>
    <row r="2821">
      <c r="A2821" s="3">
        <f>IFERROR(__xludf.DUMMYFUNCTION("""COMPUTED_VALUE"""),43285.99861111111)</f>
        <v>43285.99861</v>
      </c>
      <c r="B2821" s="1">
        <f>IFERROR(__xludf.DUMMYFUNCTION("""COMPUTED_VALUE"""),2171.088)</f>
        <v>2171.088</v>
      </c>
    </row>
    <row r="2822">
      <c r="A2822" s="3">
        <f>IFERROR(__xludf.DUMMYFUNCTION("""COMPUTED_VALUE"""),43286.99861111111)</f>
        <v>43286.99861</v>
      </c>
      <c r="B2822" s="1">
        <f>IFERROR(__xludf.DUMMYFUNCTION("""COMPUTED_VALUE"""),2166.16622)</f>
        <v>2166.16622</v>
      </c>
    </row>
    <row r="2823">
      <c r="A2823" s="3">
        <f>IFERROR(__xludf.DUMMYFUNCTION("""COMPUTED_VALUE"""),43287.99861111111)</f>
        <v>43287.99861</v>
      </c>
      <c r="B2823" s="1">
        <f>IFERROR(__xludf.DUMMYFUNCTION("""COMPUTED_VALUE"""),2158.29198)</f>
        <v>2158.29198</v>
      </c>
    </row>
    <row r="2824">
      <c r="A2824" s="3">
        <f>IFERROR(__xludf.DUMMYFUNCTION("""COMPUTED_VALUE"""),43288.99861111111)</f>
        <v>43288.99861</v>
      </c>
      <c r="B2824" s="1">
        <f>IFERROR(__xludf.DUMMYFUNCTION("""COMPUTED_VALUE"""),2159.43894)</f>
        <v>2159.43894</v>
      </c>
    </row>
    <row r="2825">
      <c r="A2825" s="3">
        <f>IFERROR(__xludf.DUMMYFUNCTION("""COMPUTED_VALUE"""),43289.99861111111)</f>
        <v>43289.99861</v>
      </c>
      <c r="B2825" s="1">
        <f>IFERROR(__xludf.DUMMYFUNCTION("""COMPUTED_VALUE"""),2154.49113)</f>
        <v>2154.49113</v>
      </c>
    </row>
    <row r="2826">
      <c r="A2826" s="3">
        <f>IFERROR(__xludf.DUMMYFUNCTION("""COMPUTED_VALUE"""),43290.99861111111)</f>
        <v>43290.99861</v>
      </c>
      <c r="B2826" s="1">
        <f>IFERROR(__xludf.DUMMYFUNCTION("""COMPUTED_VALUE"""),2162.96454)</f>
        <v>2162.96454</v>
      </c>
    </row>
    <row r="2827">
      <c r="A2827" s="3">
        <f>IFERROR(__xludf.DUMMYFUNCTION("""COMPUTED_VALUE"""),43291.99861111111)</f>
        <v>43291.99861</v>
      </c>
      <c r="B2827" s="1">
        <f>IFERROR(__xludf.DUMMYFUNCTION("""COMPUTED_VALUE"""),2167.31875)</f>
        <v>2167.31875</v>
      </c>
    </row>
    <row r="2828">
      <c r="A2828" s="3">
        <f>IFERROR(__xludf.DUMMYFUNCTION("""COMPUTED_VALUE"""),43292.99861111111)</f>
        <v>43292.99861</v>
      </c>
      <c r="B2828" s="1">
        <f>IFERROR(__xludf.DUMMYFUNCTION("""COMPUTED_VALUE"""),2151.09258)</f>
        <v>2151.09258</v>
      </c>
    </row>
    <row r="2829">
      <c r="A2829" s="3">
        <f>IFERROR(__xludf.DUMMYFUNCTION("""COMPUTED_VALUE"""),43293.99861111111)</f>
        <v>43293.99861</v>
      </c>
      <c r="B2829" s="1">
        <f>IFERROR(__xludf.DUMMYFUNCTION("""COMPUTED_VALUE"""),2157.75)</f>
        <v>2157.75</v>
      </c>
    </row>
    <row r="2830">
      <c r="A2830" s="3">
        <f>IFERROR(__xludf.DUMMYFUNCTION("""COMPUTED_VALUE"""),43294.99861111111)</f>
        <v>43294.99861</v>
      </c>
      <c r="B2830" s="1">
        <f>IFERROR(__xludf.DUMMYFUNCTION("""COMPUTED_VALUE"""),2148.862377)</f>
        <v>2148.862377</v>
      </c>
    </row>
    <row r="2831">
      <c r="A2831" s="3">
        <f>IFERROR(__xludf.DUMMYFUNCTION("""COMPUTED_VALUE"""),43295.99861111111)</f>
        <v>43295.99861</v>
      </c>
      <c r="B2831" s="1">
        <f>IFERROR(__xludf.DUMMYFUNCTION("""COMPUTED_VALUE"""),2150.91945)</f>
        <v>2150.91945</v>
      </c>
    </row>
    <row r="2832">
      <c r="A2832" s="3">
        <f>IFERROR(__xludf.DUMMYFUNCTION("""COMPUTED_VALUE"""),43296.99861111111)</f>
        <v>43296.99861</v>
      </c>
      <c r="B2832" s="1">
        <f>IFERROR(__xludf.DUMMYFUNCTION("""COMPUTED_VALUE"""),2146.60755)</f>
        <v>2146.60755</v>
      </c>
    </row>
    <row r="2833">
      <c r="A2833" s="3">
        <f>IFERROR(__xludf.DUMMYFUNCTION("""COMPUTED_VALUE"""),43297.99861111111)</f>
        <v>43297.99861</v>
      </c>
      <c r="B2833" s="1">
        <f>IFERROR(__xludf.DUMMYFUNCTION("""COMPUTED_VALUE"""),2147.06763)</f>
        <v>2147.06763</v>
      </c>
    </row>
    <row r="2834">
      <c r="A2834" s="3">
        <f>IFERROR(__xludf.DUMMYFUNCTION("""COMPUTED_VALUE"""),43298.99861111111)</f>
        <v>43298.99861</v>
      </c>
      <c r="B2834" s="1">
        <f>IFERROR(__xludf.DUMMYFUNCTION("""COMPUTED_VALUE"""),2143.32316)</f>
        <v>2143.32316</v>
      </c>
    </row>
    <row r="2835">
      <c r="A2835" s="3">
        <f>IFERROR(__xludf.DUMMYFUNCTION("""COMPUTED_VALUE"""),43299.99861111111)</f>
        <v>43299.99861</v>
      </c>
      <c r="B2835" s="1">
        <f>IFERROR(__xludf.DUMMYFUNCTION("""COMPUTED_VALUE"""),2149.39844)</f>
        <v>2149.39844</v>
      </c>
    </row>
    <row r="2836">
      <c r="A2836" s="3">
        <f>IFERROR(__xludf.DUMMYFUNCTION("""COMPUTED_VALUE"""),43300.99861111111)</f>
        <v>43300.99861</v>
      </c>
      <c r="B2836" s="1">
        <f>IFERROR(__xludf.DUMMYFUNCTION("""COMPUTED_VALUE"""),2136.2002)</f>
        <v>2136.2002</v>
      </c>
    </row>
    <row r="2837">
      <c r="A2837" s="3">
        <f>IFERROR(__xludf.DUMMYFUNCTION("""COMPUTED_VALUE"""),43301.99861111111)</f>
        <v>43301.99861</v>
      </c>
      <c r="B2837" s="1">
        <f>IFERROR(__xludf.DUMMYFUNCTION("""COMPUTED_VALUE"""),2139.39019)</f>
        <v>2139.39019</v>
      </c>
    </row>
    <row r="2838">
      <c r="A2838" s="3">
        <f>IFERROR(__xludf.DUMMYFUNCTION("""COMPUTED_VALUE"""),43302.99861111111)</f>
        <v>43302.99861</v>
      </c>
      <c r="B2838" s="1">
        <f>IFERROR(__xludf.DUMMYFUNCTION("""COMPUTED_VALUE"""),2140.826627)</f>
        <v>2140.826627</v>
      </c>
    </row>
    <row r="2839">
      <c r="A2839" s="3">
        <f>IFERROR(__xludf.DUMMYFUNCTION("""COMPUTED_VALUE"""),43303.99861111111)</f>
        <v>43303.99861</v>
      </c>
      <c r="B2839" s="1">
        <f>IFERROR(__xludf.DUMMYFUNCTION("""COMPUTED_VALUE"""),2141.28035)</f>
        <v>2141.28035</v>
      </c>
    </row>
    <row r="2840">
      <c r="A2840" s="3">
        <f>IFERROR(__xludf.DUMMYFUNCTION("""COMPUTED_VALUE"""),43304.99861111111)</f>
        <v>43304.99861</v>
      </c>
      <c r="B2840" s="1">
        <f>IFERROR(__xludf.DUMMYFUNCTION("""COMPUTED_VALUE"""),2144.62735)</f>
        <v>2144.62735</v>
      </c>
    </row>
    <row r="2841">
      <c r="A2841" s="3">
        <f>IFERROR(__xludf.DUMMYFUNCTION("""COMPUTED_VALUE"""),43305.99861111111)</f>
        <v>43305.99861</v>
      </c>
      <c r="B2841" s="1">
        <f>IFERROR(__xludf.DUMMYFUNCTION("""COMPUTED_VALUE"""),2141.210059)</f>
        <v>2141.210059</v>
      </c>
    </row>
    <row r="2842">
      <c r="A2842" s="3">
        <f>IFERROR(__xludf.DUMMYFUNCTION("""COMPUTED_VALUE"""),43306.99861111111)</f>
        <v>43306.99861</v>
      </c>
      <c r="B2842" s="1">
        <f>IFERROR(__xludf.DUMMYFUNCTION("""COMPUTED_VALUE"""),2136.91445)</f>
        <v>2136.91445</v>
      </c>
    </row>
    <row r="2843">
      <c r="A2843" s="3">
        <f>IFERROR(__xludf.DUMMYFUNCTION("""COMPUTED_VALUE"""),43307.99861111111)</f>
        <v>43307.99861</v>
      </c>
      <c r="B2843" s="1">
        <f>IFERROR(__xludf.DUMMYFUNCTION("""COMPUTED_VALUE"""),2138.08)</f>
        <v>2138.08</v>
      </c>
    </row>
    <row r="2844">
      <c r="A2844" s="3">
        <f>IFERROR(__xludf.DUMMYFUNCTION("""COMPUTED_VALUE"""),43308.99861111111)</f>
        <v>43308.99861</v>
      </c>
      <c r="B2844" s="1">
        <f>IFERROR(__xludf.DUMMYFUNCTION("""COMPUTED_VALUE"""),2110.13256)</f>
        <v>2110.13256</v>
      </c>
    </row>
    <row r="2845">
      <c r="A2845" s="3">
        <f>IFERROR(__xludf.DUMMYFUNCTION("""COMPUTED_VALUE"""),43310.99861111111)</f>
        <v>43310.99861</v>
      </c>
      <c r="B2845" s="1">
        <f>IFERROR(__xludf.DUMMYFUNCTION("""COMPUTED_VALUE"""),2115.82302)</f>
        <v>2115.82302</v>
      </c>
    </row>
    <row r="2846">
      <c r="A2846" s="3">
        <f>IFERROR(__xludf.DUMMYFUNCTION("""COMPUTED_VALUE"""),43311.99861111111)</f>
        <v>43311.99861</v>
      </c>
      <c r="B2846" s="1">
        <f>IFERROR(__xludf.DUMMYFUNCTION("""COMPUTED_VALUE"""),2112.9201)</f>
        <v>2112.9201</v>
      </c>
    </row>
    <row r="2847">
      <c r="A2847" s="3">
        <f>IFERROR(__xludf.DUMMYFUNCTION("""COMPUTED_VALUE"""),43312.99861111111)</f>
        <v>43312.99861</v>
      </c>
      <c r="B2847" s="1">
        <f>IFERROR(__xludf.DUMMYFUNCTION("""COMPUTED_VALUE"""),2115.126468)</f>
        <v>2115.126468</v>
      </c>
    </row>
    <row r="2848">
      <c r="A2848" s="3">
        <f>IFERROR(__xludf.DUMMYFUNCTION("""COMPUTED_VALUE"""),43313.99861111111)</f>
        <v>43313.99861</v>
      </c>
      <c r="B2848" s="1">
        <f>IFERROR(__xludf.DUMMYFUNCTION("""COMPUTED_VALUE"""),2123.36295)</f>
        <v>2123.36295</v>
      </c>
    </row>
    <row r="2849">
      <c r="A2849" s="3">
        <f>IFERROR(__xludf.DUMMYFUNCTION("""COMPUTED_VALUE"""),43314.99861111111)</f>
        <v>43314.99861</v>
      </c>
      <c r="B2849" s="1">
        <f>IFERROR(__xludf.DUMMYFUNCTION("""COMPUTED_VALUE"""),2121.80852)</f>
        <v>2121.80852</v>
      </c>
    </row>
    <row r="2850">
      <c r="A2850" s="3">
        <f>IFERROR(__xludf.DUMMYFUNCTION("""COMPUTED_VALUE"""),43315.99861111111)</f>
        <v>43315.99861</v>
      </c>
      <c r="B2850" s="1">
        <f>IFERROR(__xludf.DUMMYFUNCTION("""COMPUTED_VALUE"""),2119.803456)</f>
        <v>2119.803456</v>
      </c>
    </row>
    <row r="2851">
      <c r="A2851" s="3">
        <f>IFERROR(__xludf.DUMMYFUNCTION("""COMPUTED_VALUE"""),43317.99861111111)</f>
        <v>43317.99861</v>
      </c>
      <c r="B2851" s="1">
        <f>IFERROR(__xludf.DUMMYFUNCTION("""COMPUTED_VALUE"""),2119.59152)</f>
        <v>2119.59152</v>
      </c>
    </row>
    <row r="2852">
      <c r="A2852" s="3">
        <f>IFERROR(__xludf.DUMMYFUNCTION("""COMPUTED_VALUE"""),43318.99861111111)</f>
        <v>43318.99861</v>
      </c>
      <c r="B2852" s="1">
        <f>IFERROR(__xludf.DUMMYFUNCTION("""COMPUTED_VALUE"""),2121.431171)</f>
        <v>2121.431171</v>
      </c>
    </row>
    <row r="2853">
      <c r="A2853" s="3">
        <f>IFERROR(__xludf.DUMMYFUNCTION("""COMPUTED_VALUE"""),43319.99861111111)</f>
        <v>43319.99861</v>
      </c>
      <c r="B2853" s="1">
        <f>IFERROR(__xludf.DUMMYFUNCTION("""COMPUTED_VALUE"""),2110.08282)</f>
        <v>2110.08282</v>
      </c>
    </row>
    <row r="2854">
      <c r="A2854" s="3">
        <f>IFERROR(__xludf.DUMMYFUNCTION("""COMPUTED_VALUE"""),43320.99861111111)</f>
        <v>43320.99861</v>
      </c>
      <c r="B2854" s="1">
        <f>IFERROR(__xludf.DUMMYFUNCTION("""COMPUTED_VALUE"""),2106.13944)</f>
        <v>2106.13944</v>
      </c>
    </row>
    <row r="2855">
      <c r="A2855" s="3">
        <f>IFERROR(__xludf.DUMMYFUNCTION("""COMPUTED_VALUE"""),43321.99861111111)</f>
        <v>43321.99861</v>
      </c>
      <c r="B2855" s="1">
        <f>IFERROR(__xludf.DUMMYFUNCTION("""COMPUTED_VALUE"""),2122.3188)</f>
        <v>2122.3188</v>
      </c>
    </row>
    <row r="2856">
      <c r="A2856" s="3">
        <f>IFERROR(__xludf.DUMMYFUNCTION("""COMPUTED_VALUE"""),43322.99861111111)</f>
        <v>43322.99861</v>
      </c>
      <c r="B2856" s="1">
        <f>IFERROR(__xludf.DUMMYFUNCTION("""COMPUTED_VALUE"""),2115.38058)</f>
        <v>2115.38058</v>
      </c>
    </row>
    <row r="2857">
      <c r="A2857" s="3">
        <f>IFERROR(__xludf.DUMMYFUNCTION("""COMPUTED_VALUE"""),43324.99861111111)</f>
        <v>43324.99861</v>
      </c>
      <c r="B2857" s="1">
        <f>IFERROR(__xludf.DUMMYFUNCTION("""COMPUTED_VALUE"""),2110.74232)</f>
        <v>2110.74232</v>
      </c>
    </row>
    <row r="2858">
      <c r="A2858" s="3">
        <f>IFERROR(__xludf.DUMMYFUNCTION("""COMPUTED_VALUE"""),43325.99861111111)</f>
        <v>43325.99861</v>
      </c>
      <c r="B2858" s="1">
        <f>IFERROR(__xludf.DUMMYFUNCTION("""COMPUTED_VALUE"""),2118.17316)</f>
        <v>2118.17316</v>
      </c>
    </row>
    <row r="2859">
      <c r="A2859" s="3">
        <f>IFERROR(__xludf.DUMMYFUNCTION("""COMPUTED_VALUE"""),43326.99861111111)</f>
        <v>43326.99861</v>
      </c>
      <c r="B2859" s="1">
        <f>IFERROR(__xludf.DUMMYFUNCTION("""COMPUTED_VALUE"""),2126.16482)</f>
        <v>2126.16482</v>
      </c>
    </row>
    <row r="2860">
      <c r="A2860" s="3">
        <f>IFERROR(__xludf.DUMMYFUNCTION("""COMPUTED_VALUE"""),43327.99861111111)</f>
        <v>43327.99861</v>
      </c>
      <c r="B2860" s="1">
        <f>IFERROR(__xludf.DUMMYFUNCTION("""COMPUTED_VALUE"""),2098.509686)</f>
        <v>2098.509686</v>
      </c>
    </row>
    <row r="2861">
      <c r="A2861" s="3">
        <f>IFERROR(__xludf.DUMMYFUNCTION("""COMPUTED_VALUE"""),43328.99861111111)</f>
        <v>43328.99861</v>
      </c>
      <c r="B2861" s="1">
        <f>IFERROR(__xludf.DUMMYFUNCTION("""COMPUTED_VALUE"""),2120.592636)</f>
        <v>2120.592636</v>
      </c>
    </row>
    <row r="2862">
      <c r="A2862" s="3">
        <f>IFERROR(__xludf.DUMMYFUNCTION("""COMPUTED_VALUE"""),43329.99861111111)</f>
        <v>43329.99861</v>
      </c>
      <c r="B2862" s="1">
        <f>IFERROR(__xludf.DUMMYFUNCTION("""COMPUTED_VALUE"""),2120.80744)</f>
        <v>2120.80744</v>
      </c>
    </row>
    <row r="2863">
      <c r="A2863" s="3">
        <f>IFERROR(__xludf.DUMMYFUNCTION("""COMPUTED_VALUE"""),43331.99861111111)</f>
        <v>43331.99861</v>
      </c>
      <c r="B2863" s="1">
        <f>IFERROR(__xludf.DUMMYFUNCTION("""COMPUTED_VALUE"""),2118.18592)</f>
        <v>2118.18592</v>
      </c>
    </row>
    <row r="2864">
      <c r="A2864" s="3">
        <f>IFERROR(__xludf.DUMMYFUNCTION("""COMPUTED_VALUE"""),43332.99861111111)</f>
        <v>43332.99861</v>
      </c>
      <c r="B2864" s="1">
        <f>IFERROR(__xludf.DUMMYFUNCTION("""COMPUTED_VALUE"""),2124.30456)</f>
        <v>2124.30456</v>
      </c>
    </row>
    <row r="2865">
      <c r="A2865" s="3">
        <f>IFERROR(__xludf.DUMMYFUNCTION("""COMPUTED_VALUE"""),43333.99861111111)</f>
        <v>43333.99861</v>
      </c>
      <c r="B2865" s="1">
        <f>IFERROR(__xludf.DUMMYFUNCTION("""COMPUTED_VALUE"""),2127.8028)</f>
        <v>2127.8028</v>
      </c>
    </row>
    <row r="2866">
      <c r="A2866" s="3">
        <f>IFERROR(__xludf.DUMMYFUNCTION("""COMPUTED_VALUE"""),43334.99861111111)</f>
        <v>43334.99861</v>
      </c>
      <c r="B2866" s="1">
        <f>IFERROR(__xludf.DUMMYFUNCTION("""COMPUTED_VALUE"""),2129.6978)</f>
        <v>2129.6978</v>
      </c>
    </row>
    <row r="2867">
      <c r="A2867" s="3">
        <f>IFERROR(__xludf.DUMMYFUNCTION("""COMPUTED_VALUE"""),43335.99861111111)</f>
        <v>43335.99861</v>
      </c>
      <c r="B2867" s="1">
        <f>IFERROR(__xludf.DUMMYFUNCTION("""COMPUTED_VALUE"""),2131.85232)</f>
        <v>2131.85232</v>
      </c>
    </row>
    <row r="2868">
      <c r="A2868" s="3">
        <f>IFERROR(__xludf.DUMMYFUNCTION("""COMPUTED_VALUE"""),43336.99861111111)</f>
        <v>43336.99861</v>
      </c>
      <c r="B2868" s="1">
        <f>IFERROR(__xludf.DUMMYFUNCTION("""COMPUTED_VALUE"""),2141.50235)</f>
        <v>2141.50235</v>
      </c>
    </row>
    <row r="2869">
      <c r="A2869" s="3">
        <f>IFERROR(__xludf.DUMMYFUNCTION("""COMPUTED_VALUE"""),43338.99861111111)</f>
        <v>43338.99861</v>
      </c>
      <c r="B2869" s="1">
        <f>IFERROR(__xludf.DUMMYFUNCTION("""COMPUTED_VALUE"""),2144.39511)</f>
        <v>2144.39511</v>
      </c>
    </row>
    <row r="2870">
      <c r="A2870" s="3">
        <f>IFERROR(__xludf.DUMMYFUNCTION("""COMPUTED_VALUE"""),43339.99861111111)</f>
        <v>43339.99861</v>
      </c>
      <c r="B2870" s="1">
        <f>IFERROR(__xludf.DUMMYFUNCTION("""COMPUTED_VALUE"""),2135.35925)</f>
        <v>2135.35925</v>
      </c>
    </row>
    <row r="2871">
      <c r="A2871" s="3">
        <f>IFERROR(__xludf.DUMMYFUNCTION("""COMPUTED_VALUE"""),43340.99861111111)</f>
        <v>43340.99861</v>
      </c>
      <c r="B2871" s="1">
        <f>IFERROR(__xludf.DUMMYFUNCTION("""COMPUTED_VALUE"""),2153.11182)</f>
        <v>2153.11182</v>
      </c>
    </row>
    <row r="2872">
      <c r="A2872" s="3">
        <f>IFERROR(__xludf.DUMMYFUNCTION("""COMPUTED_VALUE"""),43341.99861111111)</f>
        <v>43341.99861</v>
      </c>
      <c r="B2872" s="1">
        <f>IFERROR(__xludf.DUMMYFUNCTION("""COMPUTED_VALUE"""),2143.43734)</f>
        <v>2143.43734</v>
      </c>
    </row>
    <row r="2873">
      <c r="A2873" s="3">
        <f>IFERROR(__xludf.DUMMYFUNCTION("""COMPUTED_VALUE"""),43342.99861111111)</f>
        <v>43342.99861</v>
      </c>
      <c r="B2873" s="1">
        <f>IFERROR(__xludf.DUMMYFUNCTION("""COMPUTED_VALUE"""),2154.82608)</f>
        <v>2154.82608</v>
      </c>
    </row>
    <row r="2874">
      <c r="A2874" s="3">
        <f>IFERROR(__xludf.DUMMYFUNCTION("""COMPUTED_VALUE"""),43343.99861111111)</f>
        <v>43343.99861</v>
      </c>
      <c r="B2874" s="1">
        <f>IFERROR(__xludf.DUMMYFUNCTION("""COMPUTED_VALUE"""),2154.562)</f>
        <v>2154.562</v>
      </c>
    </row>
    <row r="2875">
      <c r="A2875" s="3">
        <f>IFERROR(__xludf.DUMMYFUNCTION("""COMPUTED_VALUE"""),43344.99861111111)</f>
        <v>43344.99861</v>
      </c>
      <c r="B2875" s="1">
        <f>IFERROR(__xludf.DUMMYFUNCTION("""COMPUTED_VALUE"""),2157.95011)</f>
        <v>2157.95011</v>
      </c>
    </row>
    <row r="2876">
      <c r="A2876" s="3">
        <f>IFERROR(__xludf.DUMMYFUNCTION("""COMPUTED_VALUE"""),43345.99861111111)</f>
        <v>43345.99861</v>
      </c>
      <c r="B2876" s="1">
        <f>IFERROR(__xludf.DUMMYFUNCTION("""COMPUTED_VALUE"""),2153.82767)</f>
        <v>2153.82767</v>
      </c>
    </row>
    <row r="2877">
      <c r="A2877" s="3">
        <f>IFERROR(__xludf.DUMMYFUNCTION("""COMPUTED_VALUE"""),43346.99861111111)</f>
        <v>43346.99861</v>
      </c>
      <c r="B2877" s="1">
        <f>IFERROR(__xludf.DUMMYFUNCTION("""COMPUTED_VALUE"""),2173.77792)</f>
        <v>2173.77792</v>
      </c>
    </row>
    <row r="2878">
      <c r="A2878" s="3">
        <f>IFERROR(__xludf.DUMMYFUNCTION("""COMPUTED_VALUE"""),43347.99861111111)</f>
        <v>43347.99861</v>
      </c>
      <c r="B2878" s="1">
        <f>IFERROR(__xludf.DUMMYFUNCTION("""COMPUTED_VALUE"""),2181.4223)</f>
        <v>2181.4223</v>
      </c>
    </row>
    <row r="2879">
      <c r="A2879" s="3">
        <f>IFERROR(__xludf.DUMMYFUNCTION("""COMPUTED_VALUE"""),43348.99861111111)</f>
        <v>43348.99861</v>
      </c>
      <c r="B2879" s="1">
        <f>IFERROR(__xludf.DUMMYFUNCTION("""COMPUTED_VALUE"""),2192.907561)</f>
        <v>2192.907561</v>
      </c>
    </row>
    <row r="2880">
      <c r="A2880" s="3">
        <f>IFERROR(__xludf.DUMMYFUNCTION("""COMPUTED_VALUE"""),43349.99861111111)</f>
        <v>43349.99861</v>
      </c>
      <c r="B2880" s="1">
        <f>IFERROR(__xludf.DUMMYFUNCTION("""COMPUTED_VALUE"""),2178.25018)</f>
        <v>2178.25018</v>
      </c>
    </row>
    <row r="2881">
      <c r="A2881" s="3">
        <f>IFERROR(__xludf.DUMMYFUNCTION("""COMPUTED_VALUE"""),43350.99861111111)</f>
        <v>43350.99861</v>
      </c>
      <c r="B2881" s="1">
        <f>IFERROR(__xludf.DUMMYFUNCTION("""COMPUTED_VALUE"""),2188.37343)</f>
        <v>2188.37343</v>
      </c>
    </row>
    <row r="2882">
      <c r="A2882" s="3">
        <f>IFERROR(__xludf.DUMMYFUNCTION("""COMPUTED_VALUE"""),43351.99861111111)</f>
        <v>43351.99861</v>
      </c>
      <c r="B2882" s="1">
        <f>IFERROR(__xludf.DUMMYFUNCTION("""COMPUTED_VALUE"""),2167.73442)</f>
        <v>2167.73442</v>
      </c>
    </row>
    <row r="2883">
      <c r="A2883" s="3">
        <f>IFERROR(__xludf.DUMMYFUNCTION("""COMPUTED_VALUE"""),43352.99861111111)</f>
        <v>43352.99861</v>
      </c>
      <c r="B2883" s="1">
        <f>IFERROR(__xludf.DUMMYFUNCTION("""COMPUTED_VALUE"""),2165.51247)</f>
        <v>2165.51247</v>
      </c>
    </row>
    <row r="2884">
      <c r="A2884" s="3">
        <f>IFERROR(__xludf.DUMMYFUNCTION("""COMPUTED_VALUE"""),43353.99861111111)</f>
        <v>43353.99861</v>
      </c>
      <c r="B2884" s="1">
        <f>IFERROR(__xludf.DUMMYFUNCTION("""COMPUTED_VALUE"""),2164.92188)</f>
        <v>2164.92188</v>
      </c>
    </row>
    <row r="2885">
      <c r="A2885" s="3">
        <f>IFERROR(__xludf.DUMMYFUNCTION("""COMPUTED_VALUE"""),43354.99861111111)</f>
        <v>43354.99861</v>
      </c>
      <c r="B2885" s="1">
        <f>IFERROR(__xludf.DUMMYFUNCTION("""COMPUTED_VALUE"""),2157.89328)</f>
        <v>2157.89328</v>
      </c>
    </row>
    <row r="2886">
      <c r="A2886" s="3">
        <f>IFERROR(__xludf.DUMMYFUNCTION("""COMPUTED_VALUE"""),43355.99861111111)</f>
        <v>43355.99861</v>
      </c>
      <c r="B2886" s="1">
        <f>IFERROR(__xludf.DUMMYFUNCTION("""COMPUTED_VALUE"""),2158.12025)</f>
        <v>2158.12025</v>
      </c>
    </row>
    <row r="2887">
      <c r="A2887" s="3">
        <f>IFERROR(__xludf.DUMMYFUNCTION("""COMPUTED_VALUE"""),43356.99861111111)</f>
        <v>43356.99861</v>
      </c>
      <c r="B2887" s="1">
        <f>IFERROR(__xludf.DUMMYFUNCTION("""COMPUTED_VALUE"""),2153.8088)</f>
        <v>2153.8088</v>
      </c>
    </row>
    <row r="2888">
      <c r="A2888" s="3">
        <f>IFERROR(__xludf.DUMMYFUNCTION("""COMPUTED_VALUE"""),43357.99861111111)</f>
        <v>43357.99861</v>
      </c>
      <c r="B2888" s="1">
        <f>IFERROR(__xludf.DUMMYFUNCTION("""COMPUTED_VALUE"""),2156.5057)</f>
        <v>2156.5057</v>
      </c>
    </row>
    <row r="2889">
      <c r="A2889" s="3">
        <f>IFERROR(__xludf.DUMMYFUNCTION("""COMPUTED_VALUE"""),43359.99861111111)</f>
        <v>43359.99861</v>
      </c>
      <c r="B2889" s="1">
        <f>IFERROR(__xludf.DUMMYFUNCTION("""COMPUTED_VALUE"""),2156.34341)</f>
        <v>2156.34341</v>
      </c>
    </row>
    <row r="2890">
      <c r="A2890" s="3">
        <f>IFERROR(__xludf.DUMMYFUNCTION("""COMPUTED_VALUE"""),43360.99861111111)</f>
        <v>43360.99861</v>
      </c>
      <c r="B2890" s="1">
        <f>IFERROR(__xludf.DUMMYFUNCTION("""COMPUTED_VALUE"""),2174.051464)</f>
        <v>2174.051464</v>
      </c>
    </row>
    <row r="2891">
      <c r="A2891" s="3">
        <f>IFERROR(__xludf.DUMMYFUNCTION("""COMPUTED_VALUE"""),43361.99861111111)</f>
        <v>43361.99861</v>
      </c>
      <c r="B2891" s="1">
        <f>IFERROR(__xludf.DUMMYFUNCTION("""COMPUTED_VALUE"""),2166.71658)</f>
        <v>2166.71658</v>
      </c>
    </row>
    <row r="2892">
      <c r="A2892" s="3">
        <f>IFERROR(__xludf.DUMMYFUNCTION("""COMPUTED_VALUE"""),43362.99861111111)</f>
        <v>43362.99861</v>
      </c>
      <c r="B2892" s="1">
        <f>IFERROR(__xludf.DUMMYFUNCTION("""COMPUTED_VALUE"""),2172.7776)</f>
        <v>2172.7776</v>
      </c>
    </row>
    <row r="2893">
      <c r="A2893" s="3">
        <f>IFERROR(__xludf.DUMMYFUNCTION("""COMPUTED_VALUE"""),43363.99861111111)</f>
        <v>43363.99861</v>
      </c>
      <c r="B2893" s="1">
        <f>IFERROR(__xludf.DUMMYFUNCTION("""COMPUTED_VALUE"""),2166.06528)</f>
        <v>2166.06528</v>
      </c>
    </row>
    <row r="2894">
      <c r="A2894" s="3">
        <f>IFERROR(__xludf.DUMMYFUNCTION("""COMPUTED_VALUE"""),43364.99861111111)</f>
        <v>43364.99861</v>
      </c>
      <c r="B2894" s="1">
        <f>IFERROR(__xludf.DUMMYFUNCTION("""COMPUTED_VALUE"""),2168.08725)</f>
        <v>2168.08725</v>
      </c>
    </row>
    <row r="2895">
      <c r="A2895" s="3">
        <f>IFERROR(__xludf.DUMMYFUNCTION("""COMPUTED_VALUE"""),43365.99861111111)</f>
        <v>43365.99861</v>
      </c>
      <c r="B2895" s="1">
        <f>IFERROR(__xludf.DUMMYFUNCTION("""COMPUTED_VALUE"""),2164.62568)</f>
        <v>2164.62568</v>
      </c>
    </row>
    <row r="2896">
      <c r="A2896" s="3">
        <f>IFERROR(__xludf.DUMMYFUNCTION("""COMPUTED_VALUE"""),43366.99861111111)</f>
        <v>43366.99861</v>
      </c>
      <c r="B2896" s="1">
        <f>IFERROR(__xludf.DUMMYFUNCTION("""COMPUTED_VALUE"""),2164.32944)</f>
        <v>2164.32944</v>
      </c>
    </row>
    <row r="2897">
      <c r="A2897" s="3">
        <f>IFERROR(__xludf.DUMMYFUNCTION("""COMPUTED_VALUE"""),43367.99861111111)</f>
        <v>43367.99861</v>
      </c>
      <c r="B2897" s="1">
        <f>IFERROR(__xludf.DUMMYFUNCTION("""COMPUTED_VALUE"""),2167.17963)</f>
        <v>2167.17963</v>
      </c>
    </row>
    <row r="2898">
      <c r="A2898" s="3">
        <f>IFERROR(__xludf.DUMMYFUNCTION("""COMPUTED_VALUE"""),43368.99861111111)</f>
        <v>43368.99861</v>
      </c>
      <c r="B2898" s="1">
        <f>IFERROR(__xludf.DUMMYFUNCTION("""COMPUTED_VALUE"""),2187.1304)</f>
        <v>2187.1304</v>
      </c>
    </row>
    <row r="2899">
      <c r="A2899" s="3">
        <f>IFERROR(__xludf.DUMMYFUNCTION("""COMPUTED_VALUE"""),43369.99861111111)</f>
        <v>43369.99861</v>
      </c>
      <c r="B2899" s="1">
        <f>IFERROR(__xludf.DUMMYFUNCTION("""COMPUTED_VALUE"""),2178.96885)</f>
        <v>2178.96885</v>
      </c>
    </row>
    <row r="2900">
      <c r="A2900" s="3">
        <f>IFERROR(__xludf.DUMMYFUNCTION("""COMPUTED_VALUE"""),43370.99861111111)</f>
        <v>43370.99861</v>
      </c>
      <c r="B2900" s="1">
        <f>IFERROR(__xludf.DUMMYFUNCTION("""COMPUTED_VALUE"""),2167.254076)</f>
        <v>2167.254076</v>
      </c>
    </row>
    <row r="2901">
      <c r="A2901" s="3">
        <f>IFERROR(__xludf.DUMMYFUNCTION("""COMPUTED_VALUE"""),43371.99861111111)</f>
        <v>43371.99861</v>
      </c>
      <c r="B2901" s="1">
        <f>IFERROR(__xludf.DUMMYFUNCTION("""COMPUTED_VALUE"""),2168.025543)</f>
        <v>2168.025543</v>
      </c>
    </row>
    <row r="2902">
      <c r="A2902" s="3">
        <f>IFERROR(__xludf.DUMMYFUNCTION("""COMPUTED_VALUE"""),43373.99861111111)</f>
        <v>43373.99861</v>
      </c>
      <c r="B2902" s="1">
        <f>IFERROR(__xludf.DUMMYFUNCTION("""COMPUTED_VALUE"""),2169.804368)</f>
        <v>2169.804368</v>
      </c>
    </row>
    <row r="2903">
      <c r="A2903" s="3">
        <f>IFERROR(__xludf.DUMMYFUNCTION("""COMPUTED_VALUE"""),43374.99861111111)</f>
        <v>43374.99861</v>
      </c>
      <c r="B2903" s="1">
        <f>IFERROR(__xludf.DUMMYFUNCTION("""COMPUTED_VALUE"""),2191.834391)</f>
        <v>2191.834391</v>
      </c>
    </row>
    <row r="2904">
      <c r="A2904" s="3">
        <f>IFERROR(__xludf.DUMMYFUNCTION("""COMPUTED_VALUE"""),43375.99861111111)</f>
        <v>43375.99861</v>
      </c>
      <c r="B2904" s="1">
        <f>IFERROR(__xludf.DUMMYFUNCTION("""COMPUTED_VALUE"""),2189.606636)</f>
        <v>2189.606636</v>
      </c>
    </row>
    <row r="2905">
      <c r="A2905" s="3">
        <f>IFERROR(__xludf.DUMMYFUNCTION("""COMPUTED_VALUE"""),43376.99861111111)</f>
        <v>43376.99861</v>
      </c>
      <c r="B2905" s="1">
        <f>IFERROR(__xludf.DUMMYFUNCTION("""COMPUTED_VALUE"""),2204.373948)</f>
        <v>2204.373948</v>
      </c>
    </row>
    <row r="2906">
      <c r="A2906" s="3">
        <f>IFERROR(__xludf.DUMMYFUNCTION("""COMPUTED_VALUE"""),43377.99861111111)</f>
        <v>43377.99861</v>
      </c>
      <c r="B2906" s="1">
        <f>IFERROR(__xludf.DUMMYFUNCTION("""COMPUTED_VALUE"""),2243.611497)</f>
        <v>2243.611497</v>
      </c>
    </row>
    <row r="2907">
      <c r="A2907" s="3">
        <f>IFERROR(__xludf.DUMMYFUNCTION("""COMPUTED_VALUE"""),43378.99861111111)</f>
        <v>43378.99861</v>
      </c>
      <c r="B2907" s="1">
        <f>IFERROR(__xludf.DUMMYFUNCTION("""COMPUTED_VALUE"""),2199.726177)</f>
        <v>2199.726177</v>
      </c>
    </row>
    <row r="2908">
      <c r="A2908" s="3">
        <f>IFERROR(__xludf.DUMMYFUNCTION("""COMPUTED_VALUE"""),43379.99861111111)</f>
        <v>43379.99861</v>
      </c>
      <c r="B2908" s="1">
        <f>IFERROR(__xludf.DUMMYFUNCTION("""COMPUTED_VALUE"""),2215.743001)</f>
        <v>2215.743001</v>
      </c>
    </row>
    <row r="2909">
      <c r="A2909" s="3">
        <f>IFERROR(__xludf.DUMMYFUNCTION("""COMPUTED_VALUE"""),43380.99861111111)</f>
        <v>43380.99861</v>
      </c>
      <c r="B2909" s="1">
        <f>IFERROR(__xludf.DUMMYFUNCTION("""COMPUTED_VALUE"""),2212.162252)</f>
        <v>2212.162252</v>
      </c>
    </row>
    <row r="2910">
      <c r="A2910" s="3">
        <f>IFERROR(__xludf.DUMMYFUNCTION("""COMPUTED_VALUE"""),43381.99861111111)</f>
        <v>43381.99861</v>
      </c>
      <c r="B2910" s="1">
        <f>IFERROR(__xludf.DUMMYFUNCTION("""COMPUTED_VALUE"""),2222.28622)</f>
        <v>2222.28622</v>
      </c>
    </row>
    <row r="2911">
      <c r="A2911" s="3">
        <f>IFERROR(__xludf.DUMMYFUNCTION("""COMPUTED_VALUE"""),43382.99861111111)</f>
        <v>43382.99861</v>
      </c>
      <c r="B2911" s="1">
        <f>IFERROR(__xludf.DUMMYFUNCTION("""COMPUTED_VALUE"""),2199.283403)</f>
        <v>2199.283403</v>
      </c>
    </row>
    <row r="2912">
      <c r="A2912" s="3">
        <f>IFERROR(__xludf.DUMMYFUNCTION("""COMPUTED_VALUE"""),43383.99861111111)</f>
        <v>43383.99861</v>
      </c>
      <c r="B2912" s="1">
        <f>IFERROR(__xludf.DUMMYFUNCTION("""COMPUTED_VALUE"""),2194.907048)</f>
        <v>2194.907048</v>
      </c>
    </row>
    <row r="2913">
      <c r="A2913" s="3">
        <f>IFERROR(__xludf.DUMMYFUNCTION("""COMPUTED_VALUE"""),43384.99861111111)</f>
        <v>43384.99861</v>
      </c>
      <c r="B2913" s="1">
        <f>IFERROR(__xludf.DUMMYFUNCTION("""COMPUTED_VALUE"""),2220.944627)</f>
        <v>2220.944627</v>
      </c>
    </row>
    <row r="2914">
      <c r="A2914" s="3">
        <f>IFERROR(__xludf.DUMMYFUNCTION("""COMPUTED_VALUE"""),43385.99861111111)</f>
        <v>43385.99861</v>
      </c>
      <c r="B2914" s="1">
        <f>IFERROR(__xludf.DUMMYFUNCTION("""COMPUTED_VALUE"""),2193.766892)</f>
        <v>2193.766892</v>
      </c>
    </row>
    <row r="2915">
      <c r="A2915" s="3">
        <f>IFERROR(__xludf.DUMMYFUNCTION("""COMPUTED_VALUE"""),43387.99861111111)</f>
        <v>43387.99861</v>
      </c>
      <c r="B2915" s="1">
        <f>IFERROR(__xludf.DUMMYFUNCTION("""COMPUTED_VALUE"""),2195.861904)</f>
        <v>2195.861904</v>
      </c>
    </row>
    <row r="2916">
      <c r="A2916" s="3">
        <f>IFERROR(__xludf.DUMMYFUNCTION("""COMPUTED_VALUE"""),43388.99861111111)</f>
        <v>43388.99861</v>
      </c>
      <c r="B2916" s="1">
        <f>IFERROR(__xludf.DUMMYFUNCTION("""COMPUTED_VALUE"""),2196.937483)</f>
        <v>2196.937483</v>
      </c>
    </row>
    <row r="2917">
      <c r="A2917" s="3">
        <f>IFERROR(__xludf.DUMMYFUNCTION("""COMPUTED_VALUE"""),43389.99861111111)</f>
        <v>43389.99861</v>
      </c>
      <c r="B2917" s="1">
        <f>IFERROR(__xludf.DUMMYFUNCTION("""COMPUTED_VALUE"""),2197.66745)</f>
        <v>2197.66745</v>
      </c>
    </row>
    <row r="2918">
      <c r="A2918" s="3">
        <f>IFERROR(__xludf.DUMMYFUNCTION("""COMPUTED_VALUE"""),43390.99861111111)</f>
        <v>43390.99861</v>
      </c>
      <c r="B2918" s="1">
        <f>IFERROR(__xludf.DUMMYFUNCTION("""COMPUTED_VALUE"""),2203.249062)</f>
        <v>2203.249062</v>
      </c>
    </row>
    <row r="2919">
      <c r="A2919" s="3">
        <f>IFERROR(__xludf.DUMMYFUNCTION("""COMPUTED_VALUE"""),43391.99861111111)</f>
        <v>43391.99861</v>
      </c>
      <c r="B2919" s="1">
        <f>IFERROR(__xludf.DUMMYFUNCTION("""COMPUTED_VALUE"""),2209.14342)</f>
        <v>2209.14342</v>
      </c>
    </row>
    <row r="2920">
      <c r="A2920" s="3">
        <f>IFERROR(__xludf.DUMMYFUNCTION("""COMPUTED_VALUE"""),43392.99861111111)</f>
        <v>43392.99861</v>
      </c>
      <c r="B2920" s="1">
        <f>IFERROR(__xludf.DUMMYFUNCTION("""COMPUTED_VALUE"""),2189.095735)</f>
        <v>2189.095735</v>
      </c>
    </row>
    <row r="2921">
      <c r="A2921" s="3">
        <f>IFERROR(__xludf.DUMMYFUNCTION("""COMPUTED_VALUE"""),43394.99861111111)</f>
        <v>43394.99861</v>
      </c>
      <c r="B2921" s="1">
        <f>IFERROR(__xludf.DUMMYFUNCTION("""COMPUTED_VALUE"""),2190.46649)</f>
        <v>2190.46649</v>
      </c>
    </row>
    <row r="2922">
      <c r="A2922" s="3">
        <f>IFERROR(__xludf.DUMMYFUNCTION("""COMPUTED_VALUE"""),43395.99861111111)</f>
        <v>43395.99861</v>
      </c>
      <c r="B2922" s="1">
        <f>IFERROR(__xludf.DUMMYFUNCTION("""COMPUTED_VALUE"""),2196.895624)</f>
        <v>2196.895624</v>
      </c>
    </row>
    <row r="2923">
      <c r="A2923" s="3">
        <f>IFERROR(__xludf.DUMMYFUNCTION("""COMPUTED_VALUE"""),43396.99861111111)</f>
        <v>43396.99861</v>
      </c>
      <c r="B2923" s="1">
        <f>IFERROR(__xludf.DUMMYFUNCTION("""COMPUTED_VALUE"""),2187.8703)</f>
        <v>2187.8703</v>
      </c>
    </row>
    <row r="2924">
      <c r="A2924" s="3">
        <f>IFERROR(__xludf.DUMMYFUNCTION("""COMPUTED_VALUE"""),43397.99861111111)</f>
        <v>43397.99861</v>
      </c>
      <c r="B2924" s="1">
        <f>IFERROR(__xludf.DUMMYFUNCTION("""COMPUTED_VALUE"""),2198.655305)</f>
        <v>2198.655305</v>
      </c>
    </row>
    <row r="2925">
      <c r="A2925" s="3">
        <f>IFERROR(__xludf.DUMMYFUNCTION("""COMPUTED_VALUE"""),43398.99861111111)</f>
        <v>43398.99861</v>
      </c>
      <c r="B2925" s="1">
        <f>IFERROR(__xludf.DUMMYFUNCTION("""COMPUTED_VALUE"""),2195.220324)</f>
        <v>2195.220324</v>
      </c>
    </row>
    <row r="2926">
      <c r="A2926" s="3">
        <f>IFERROR(__xludf.DUMMYFUNCTION("""COMPUTED_VALUE"""),43399.99861111111)</f>
        <v>43399.99861</v>
      </c>
      <c r="B2926" s="1">
        <f>IFERROR(__xludf.DUMMYFUNCTION("""COMPUTED_VALUE"""),2187.4464)</f>
        <v>2187.4464</v>
      </c>
    </row>
    <row r="2927">
      <c r="A2927" s="3">
        <f>IFERROR(__xludf.DUMMYFUNCTION("""COMPUTED_VALUE"""),43400.99861111111)</f>
        <v>43400.99861</v>
      </c>
      <c r="B2927" s="1">
        <f>IFERROR(__xludf.DUMMYFUNCTION("""COMPUTED_VALUE"""),2190.24)</f>
        <v>2190.24</v>
      </c>
    </row>
    <row r="2928">
      <c r="A2928" s="3">
        <f>IFERROR(__xludf.DUMMYFUNCTION("""COMPUTED_VALUE"""),43401.99861111111)</f>
        <v>43401.99861</v>
      </c>
      <c r="B2928" s="1">
        <f>IFERROR(__xludf.DUMMYFUNCTION("""COMPUTED_VALUE"""),2190.24)</f>
        <v>2190.24</v>
      </c>
    </row>
    <row r="2929">
      <c r="A2929" s="3">
        <f>IFERROR(__xludf.DUMMYFUNCTION("""COMPUTED_VALUE"""),43402.99861111111)</f>
        <v>43402.99861</v>
      </c>
      <c r="B2929" s="1">
        <f>IFERROR(__xludf.DUMMYFUNCTION("""COMPUTED_VALUE"""),2194.163454)</f>
        <v>2194.163454</v>
      </c>
    </row>
    <row r="2930">
      <c r="A2930" s="3">
        <f>IFERROR(__xludf.DUMMYFUNCTION("""COMPUTED_VALUE"""),43403.99861111111)</f>
        <v>43403.99861</v>
      </c>
      <c r="B2930" s="1">
        <f>IFERROR(__xludf.DUMMYFUNCTION("""COMPUTED_VALUE"""),2191.842581)</f>
        <v>2191.842581</v>
      </c>
    </row>
    <row r="2931">
      <c r="A2931" s="3">
        <f>IFERROR(__xludf.DUMMYFUNCTION("""COMPUTED_VALUE"""),43404.99861111111)</f>
        <v>43404.99861</v>
      </c>
      <c r="B2931" s="1">
        <f>IFERROR(__xludf.DUMMYFUNCTION("""COMPUTED_VALUE"""),2178.04268)</f>
        <v>2178.04268</v>
      </c>
    </row>
    <row r="2932">
      <c r="A2932" s="3">
        <f>IFERROR(__xludf.DUMMYFUNCTION("""COMPUTED_VALUE"""),43405.99861111111)</f>
        <v>43405.99861</v>
      </c>
      <c r="B2932" s="1">
        <f>IFERROR(__xludf.DUMMYFUNCTION("""COMPUTED_VALUE"""),2176.221654)</f>
        <v>2176.221654</v>
      </c>
    </row>
    <row r="2933">
      <c r="A2933" s="3">
        <f>IFERROR(__xludf.DUMMYFUNCTION("""COMPUTED_VALUE"""),43406.99861111111)</f>
        <v>43406.99861</v>
      </c>
      <c r="B2933" s="1">
        <f>IFERROR(__xludf.DUMMYFUNCTION("""COMPUTED_VALUE"""),2168.6646)</f>
        <v>2168.6646</v>
      </c>
    </row>
    <row r="2934">
      <c r="A2934" s="3">
        <f>IFERROR(__xludf.DUMMYFUNCTION("""COMPUTED_VALUE"""),43408.99861111111)</f>
        <v>43408.99861</v>
      </c>
      <c r="B2934" s="1">
        <f>IFERROR(__xludf.DUMMYFUNCTION("""COMPUTED_VALUE"""),2168.6646)</f>
        <v>2168.6646</v>
      </c>
    </row>
    <row r="2935">
      <c r="A2935" s="3">
        <f>IFERROR(__xludf.DUMMYFUNCTION("""COMPUTED_VALUE"""),43409.99861111111)</f>
        <v>43409.99861</v>
      </c>
      <c r="B2935" s="1">
        <f>IFERROR(__xludf.DUMMYFUNCTION("""COMPUTED_VALUE"""),2154.231392)</f>
        <v>2154.231392</v>
      </c>
    </row>
    <row r="2936">
      <c r="A2936" s="3">
        <f>IFERROR(__xludf.DUMMYFUNCTION("""COMPUTED_VALUE"""),43410.99861111111)</f>
        <v>43410.99861</v>
      </c>
      <c r="B2936" s="1">
        <f>IFERROR(__xludf.DUMMYFUNCTION("""COMPUTED_VALUE"""),2142.935)</f>
        <v>2142.935</v>
      </c>
    </row>
    <row r="2937">
      <c r="A2937" s="3">
        <f>IFERROR(__xludf.DUMMYFUNCTION("""COMPUTED_VALUE"""),43411.99861111111)</f>
        <v>43411.99861</v>
      </c>
      <c r="B2937" s="1">
        <f>IFERROR(__xludf.DUMMYFUNCTION("""COMPUTED_VALUE"""),2106.62127)</f>
        <v>2106.62127</v>
      </c>
    </row>
    <row r="2938">
      <c r="A2938" s="3">
        <f>IFERROR(__xludf.DUMMYFUNCTION("""COMPUTED_VALUE"""),43412.99861111111)</f>
        <v>43412.99861</v>
      </c>
      <c r="B2938" s="1">
        <f>IFERROR(__xludf.DUMMYFUNCTION("""COMPUTED_VALUE"""),2122.4768)</f>
        <v>2122.4768</v>
      </c>
    </row>
    <row r="2939">
      <c r="A2939" s="3">
        <f>IFERROR(__xludf.DUMMYFUNCTION("""COMPUTED_VALUE"""),43413.99861111111)</f>
        <v>43413.99861</v>
      </c>
      <c r="B2939" s="1">
        <f>IFERROR(__xludf.DUMMYFUNCTION("""COMPUTED_VALUE"""),2109.52216)</f>
        <v>2109.52216</v>
      </c>
    </row>
    <row r="2940">
      <c r="A2940" s="3">
        <f>IFERROR(__xludf.DUMMYFUNCTION("""COMPUTED_VALUE"""),43414.99861111111)</f>
        <v>43414.99861</v>
      </c>
      <c r="B2940" s="1">
        <f>IFERROR(__xludf.DUMMYFUNCTION("""COMPUTED_VALUE"""),2109.52216)</f>
        <v>2109.52216</v>
      </c>
    </row>
    <row r="2941">
      <c r="A2941" s="3">
        <f>IFERROR(__xludf.DUMMYFUNCTION("""COMPUTED_VALUE"""),43415.99861111111)</f>
        <v>43415.99861</v>
      </c>
      <c r="B2941" s="1">
        <f>IFERROR(__xludf.DUMMYFUNCTION("""COMPUTED_VALUE"""),2109.52216)</f>
        <v>2109.52216</v>
      </c>
    </row>
    <row r="2942">
      <c r="A2942" s="3">
        <f>IFERROR(__xludf.DUMMYFUNCTION("""COMPUTED_VALUE"""),43416.99861111111)</f>
        <v>43416.99861</v>
      </c>
      <c r="B2942" s="1">
        <f>IFERROR(__xludf.DUMMYFUNCTION("""COMPUTED_VALUE"""),2126.28072)</f>
        <v>2126.28072</v>
      </c>
    </row>
    <row r="2943">
      <c r="A2943" s="3">
        <f>IFERROR(__xludf.DUMMYFUNCTION("""COMPUTED_VALUE"""),43417.99861111111)</f>
        <v>43417.99861</v>
      </c>
      <c r="B2943" s="1">
        <f>IFERROR(__xludf.DUMMYFUNCTION("""COMPUTED_VALUE"""),2126.532682)</f>
        <v>2126.532682</v>
      </c>
    </row>
    <row r="2944">
      <c r="A2944" s="3">
        <f>IFERROR(__xludf.DUMMYFUNCTION("""COMPUTED_VALUE"""),43418.99861111111)</f>
        <v>43418.99861</v>
      </c>
      <c r="B2944" s="1">
        <f>IFERROR(__xludf.DUMMYFUNCTION("""COMPUTED_VALUE"""),2130.893205)</f>
        <v>2130.893205</v>
      </c>
    </row>
    <row r="2945">
      <c r="A2945" s="3">
        <f>IFERROR(__xludf.DUMMYFUNCTION("""COMPUTED_VALUE"""),43419.99861111111)</f>
        <v>43419.99861</v>
      </c>
      <c r="B2945" s="1">
        <f>IFERROR(__xludf.DUMMYFUNCTION("""COMPUTED_VALUE"""),2098.267398)</f>
        <v>2098.267398</v>
      </c>
    </row>
    <row r="2946">
      <c r="A2946" s="3">
        <f>IFERROR(__xludf.DUMMYFUNCTION("""COMPUTED_VALUE"""),43420.99861111111)</f>
        <v>43420.99861</v>
      </c>
      <c r="B2946" s="1">
        <f>IFERROR(__xludf.DUMMYFUNCTION("""COMPUTED_VALUE"""),2104.72655)</f>
        <v>2104.72655</v>
      </c>
    </row>
    <row r="2947">
      <c r="A2947" s="3">
        <f>IFERROR(__xludf.DUMMYFUNCTION("""COMPUTED_VALUE"""),43421.99861111111)</f>
        <v>43421.99861</v>
      </c>
      <c r="B2947" s="1">
        <f>IFERROR(__xludf.DUMMYFUNCTION("""COMPUTED_VALUE"""),2102.09765)</f>
        <v>2102.09765</v>
      </c>
    </row>
    <row r="2948">
      <c r="A2948" s="3">
        <f>IFERROR(__xludf.DUMMYFUNCTION("""COMPUTED_VALUE"""),43422.99861111111)</f>
        <v>43422.99861</v>
      </c>
      <c r="B2948" s="1">
        <f>IFERROR(__xludf.DUMMYFUNCTION("""COMPUTED_VALUE"""),2104.72655)</f>
        <v>2104.72655</v>
      </c>
    </row>
    <row r="2949">
      <c r="A2949" s="3">
        <f>IFERROR(__xludf.DUMMYFUNCTION("""COMPUTED_VALUE"""),43423.99861111111)</f>
        <v>43423.99861</v>
      </c>
      <c r="B2949" s="1">
        <f>IFERROR(__xludf.DUMMYFUNCTION("""COMPUTED_VALUE"""),2110.428381)</f>
        <v>2110.428381</v>
      </c>
    </row>
    <row r="2950">
      <c r="A2950" s="3">
        <f>IFERROR(__xludf.DUMMYFUNCTION("""COMPUTED_VALUE"""),43424.99861111111)</f>
        <v>43424.99861</v>
      </c>
      <c r="B2950" s="1">
        <f>IFERROR(__xludf.DUMMYFUNCTION("""COMPUTED_VALUE"""),2111.072628)</f>
        <v>2111.072628</v>
      </c>
    </row>
    <row r="2951">
      <c r="A2951" s="3">
        <f>IFERROR(__xludf.DUMMYFUNCTION("""COMPUTED_VALUE"""),43425.99861111111)</f>
        <v>43425.99861</v>
      </c>
      <c r="B2951" s="1">
        <f>IFERROR(__xludf.DUMMYFUNCTION("""COMPUTED_VALUE"""),2111.6942)</f>
        <v>2111.6942</v>
      </c>
    </row>
    <row r="2952">
      <c r="A2952" s="3">
        <f>IFERROR(__xludf.DUMMYFUNCTION("""COMPUTED_VALUE"""),43426.99861111111)</f>
        <v>43426.99861</v>
      </c>
      <c r="B2952" s="1">
        <f>IFERROR(__xludf.DUMMYFUNCTION("""COMPUTED_VALUE"""),2105.904)</f>
        <v>2105.904</v>
      </c>
    </row>
    <row r="2953">
      <c r="A2953" s="3">
        <f>IFERROR(__xludf.DUMMYFUNCTION("""COMPUTED_VALUE"""),43427.99861111111)</f>
        <v>43427.99861</v>
      </c>
      <c r="B2953" s="1">
        <f>IFERROR(__xludf.DUMMYFUNCTION("""COMPUTED_VALUE"""),2091.2987)</f>
        <v>2091.2987</v>
      </c>
    </row>
    <row r="2954">
      <c r="A2954" s="3">
        <f>IFERROR(__xludf.DUMMYFUNCTION("""COMPUTED_VALUE"""),43428.99861111111)</f>
        <v>43428.99861</v>
      </c>
      <c r="B2954" s="1">
        <f>IFERROR(__xludf.DUMMYFUNCTION("""COMPUTED_VALUE"""),2090.53931)</f>
        <v>2090.53931</v>
      </c>
    </row>
    <row r="2955">
      <c r="A2955" s="3">
        <f>IFERROR(__xludf.DUMMYFUNCTION("""COMPUTED_VALUE"""),43429.99861111111)</f>
        <v>43429.99861</v>
      </c>
      <c r="B2955" s="1">
        <f>IFERROR(__xludf.DUMMYFUNCTION("""COMPUTED_VALUE"""),2091.2987)</f>
        <v>2091.2987</v>
      </c>
    </row>
    <row r="2956">
      <c r="A2956" s="3">
        <f>IFERROR(__xludf.DUMMYFUNCTION("""COMPUTED_VALUE"""),43430.99861111111)</f>
        <v>43430.99861</v>
      </c>
      <c r="B2956" s="1">
        <f>IFERROR(__xludf.DUMMYFUNCTION("""COMPUTED_VALUE"""),2089.985103)</f>
        <v>2089.985103</v>
      </c>
    </row>
    <row r="2957">
      <c r="A2957" s="3">
        <f>IFERROR(__xludf.DUMMYFUNCTION("""COMPUTED_VALUE"""),43431.99861111111)</f>
        <v>43431.99861</v>
      </c>
      <c r="B2957" s="1">
        <f>IFERROR(__xludf.DUMMYFUNCTION("""COMPUTED_VALUE"""),2096.394165)</f>
        <v>2096.394165</v>
      </c>
    </row>
    <row r="2958">
      <c r="A2958" s="3">
        <f>IFERROR(__xludf.DUMMYFUNCTION("""COMPUTED_VALUE"""),43432.99861111111)</f>
        <v>43432.99861</v>
      </c>
      <c r="B2958" s="1">
        <f>IFERROR(__xludf.DUMMYFUNCTION("""COMPUTED_VALUE"""),2079.030044)</f>
        <v>2079.030044</v>
      </c>
    </row>
    <row r="2959">
      <c r="A2959" s="3">
        <f>IFERROR(__xludf.DUMMYFUNCTION("""COMPUTED_VALUE"""),43433.99861111111)</f>
        <v>43433.99861</v>
      </c>
      <c r="B2959" s="1">
        <f>IFERROR(__xludf.DUMMYFUNCTION("""COMPUTED_VALUE"""),2067.55112)</f>
        <v>2067.55112</v>
      </c>
    </row>
    <row r="2960">
      <c r="A2960" s="3">
        <f>IFERROR(__xludf.DUMMYFUNCTION("""COMPUTED_VALUE"""),43434.99861111111)</f>
        <v>43434.99861</v>
      </c>
      <c r="B2960" s="1">
        <f>IFERROR(__xludf.DUMMYFUNCTION("""COMPUTED_VALUE"""),2057.56944)</f>
        <v>2057.56944</v>
      </c>
    </row>
    <row r="2961">
      <c r="A2961" s="3">
        <f>IFERROR(__xludf.DUMMYFUNCTION("""COMPUTED_VALUE"""),43435.99861111111)</f>
        <v>43435.99861</v>
      </c>
      <c r="B2961" s="1">
        <f>IFERROR(__xludf.DUMMYFUNCTION("""COMPUTED_VALUE"""),2064.736573)</f>
        <v>2064.736573</v>
      </c>
    </row>
    <row r="2962">
      <c r="A2962" s="3">
        <f>IFERROR(__xludf.DUMMYFUNCTION("""COMPUTED_VALUE"""),43436.99861111111)</f>
        <v>43436.99861</v>
      </c>
      <c r="B2962" s="1">
        <f>IFERROR(__xludf.DUMMYFUNCTION("""COMPUTED_VALUE"""),2054.04928)</f>
        <v>2054.04928</v>
      </c>
    </row>
    <row r="2963">
      <c r="A2963" s="3">
        <f>IFERROR(__xludf.DUMMYFUNCTION("""COMPUTED_VALUE"""),43437.99861111111)</f>
        <v>43437.99861</v>
      </c>
      <c r="B2963" s="1">
        <f>IFERROR(__xludf.DUMMYFUNCTION("""COMPUTED_VALUE"""),2068.25)</f>
        <v>2068.25</v>
      </c>
    </row>
    <row r="2964">
      <c r="A2964" s="3">
        <f>IFERROR(__xludf.DUMMYFUNCTION("""COMPUTED_VALUE"""),43438.99861111111)</f>
        <v>43438.99861</v>
      </c>
      <c r="B2964" s="1">
        <f>IFERROR(__xludf.DUMMYFUNCTION("""COMPUTED_VALUE"""),2099.45)</f>
        <v>2099.45</v>
      </c>
    </row>
    <row r="2965">
      <c r="A2965" s="3">
        <f>IFERROR(__xludf.DUMMYFUNCTION("""COMPUTED_VALUE"""),43439.99861111111)</f>
        <v>43439.99861</v>
      </c>
      <c r="B2965" s="1">
        <f>IFERROR(__xludf.DUMMYFUNCTION("""COMPUTED_VALUE"""),2077.65)</f>
        <v>2077.65</v>
      </c>
    </row>
    <row r="2966">
      <c r="A2966" s="3">
        <f>IFERROR(__xludf.DUMMYFUNCTION("""COMPUTED_VALUE"""),43440.99861111111)</f>
        <v>43440.99861</v>
      </c>
      <c r="B2966" s="1">
        <f>IFERROR(__xludf.DUMMYFUNCTION("""COMPUTED_VALUE"""),2111.55)</f>
        <v>2111.55</v>
      </c>
    </row>
    <row r="2967">
      <c r="A2967" s="3">
        <f>IFERROR(__xludf.DUMMYFUNCTION("""COMPUTED_VALUE"""),43441.99861111111)</f>
        <v>43441.99861</v>
      </c>
      <c r="B2967" s="1">
        <f>IFERROR(__xludf.DUMMYFUNCTION("""COMPUTED_VALUE"""),2105.25)</f>
        <v>2105.25</v>
      </c>
    </row>
    <row r="2968">
      <c r="A2968" s="3">
        <f>IFERROR(__xludf.DUMMYFUNCTION("""COMPUTED_VALUE"""),43442.99861111111)</f>
        <v>43442.99861</v>
      </c>
      <c r="B2968" s="1">
        <f>IFERROR(__xludf.DUMMYFUNCTION("""COMPUTED_VALUE"""),2105.25)</f>
        <v>2105.25</v>
      </c>
    </row>
    <row r="2969">
      <c r="A2969" s="3">
        <f>IFERROR(__xludf.DUMMYFUNCTION("""COMPUTED_VALUE"""),43443.99861111111)</f>
        <v>43443.99861</v>
      </c>
      <c r="B2969" s="1">
        <f>IFERROR(__xludf.DUMMYFUNCTION("""COMPUTED_VALUE"""),2105.25)</f>
        <v>2105.25</v>
      </c>
    </row>
    <row r="2970">
      <c r="A2970" s="3">
        <f>IFERROR(__xludf.DUMMYFUNCTION("""COMPUTED_VALUE"""),43444.99861111111)</f>
        <v>43444.99861</v>
      </c>
      <c r="B2970" s="1">
        <f>IFERROR(__xludf.DUMMYFUNCTION("""COMPUTED_VALUE"""),2107.55)</f>
        <v>2107.55</v>
      </c>
    </row>
    <row r="2971">
      <c r="A2971" s="3">
        <f>IFERROR(__xludf.DUMMYFUNCTION("""COMPUTED_VALUE"""),43445.99861111111)</f>
        <v>43445.99861</v>
      </c>
      <c r="B2971" s="1">
        <f>IFERROR(__xludf.DUMMYFUNCTION("""COMPUTED_VALUE"""),2114.85)</f>
        <v>2114.85</v>
      </c>
    </row>
    <row r="2972">
      <c r="A2972" s="3">
        <f>IFERROR(__xludf.DUMMYFUNCTION("""COMPUTED_VALUE"""),43446.99861111111)</f>
        <v>43446.99861</v>
      </c>
      <c r="B2972" s="1">
        <f>IFERROR(__xludf.DUMMYFUNCTION("""COMPUTED_VALUE"""),2119.3)</f>
        <v>2119.3</v>
      </c>
    </row>
    <row r="2973">
      <c r="A2973" s="3">
        <f>IFERROR(__xludf.DUMMYFUNCTION("""COMPUTED_VALUE"""),43447.99861111111)</f>
        <v>43447.99861</v>
      </c>
      <c r="B2973" s="1">
        <f>IFERROR(__xludf.DUMMYFUNCTION("""COMPUTED_VALUE"""),2121.25)</f>
        <v>2121.25</v>
      </c>
    </row>
    <row r="2974">
      <c r="A2974" s="3">
        <f>IFERROR(__xludf.DUMMYFUNCTION("""COMPUTED_VALUE"""),43448.99861111111)</f>
        <v>43448.99861</v>
      </c>
      <c r="B2974" s="1">
        <f>IFERROR(__xludf.DUMMYFUNCTION("""COMPUTED_VALUE"""),2110.85)</f>
        <v>2110.85</v>
      </c>
    </row>
    <row r="2975">
      <c r="A2975" s="3">
        <f>IFERROR(__xludf.DUMMYFUNCTION("""COMPUTED_VALUE"""),43449.99861111111)</f>
        <v>43449.99861</v>
      </c>
      <c r="B2975" s="1">
        <f>IFERROR(__xludf.DUMMYFUNCTION("""COMPUTED_VALUE"""),2110.85)</f>
        <v>2110.85</v>
      </c>
    </row>
    <row r="2976">
      <c r="A2976" s="3">
        <f>IFERROR(__xludf.DUMMYFUNCTION("""COMPUTED_VALUE"""),43450.99861111111)</f>
        <v>43450.99861</v>
      </c>
      <c r="B2976" s="1">
        <f>IFERROR(__xludf.DUMMYFUNCTION("""COMPUTED_VALUE"""),2110.85)</f>
        <v>2110.85</v>
      </c>
    </row>
    <row r="2977">
      <c r="A2977" s="3">
        <f>IFERROR(__xludf.DUMMYFUNCTION("""COMPUTED_VALUE"""),43451.99861111111)</f>
        <v>43451.99861</v>
      </c>
      <c r="B2977" s="1">
        <f>IFERROR(__xludf.DUMMYFUNCTION("""COMPUTED_VALUE"""),2113.7)</f>
        <v>2113.7</v>
      </c>
    </row>
    <row r="2978">
      <c r="A2978" s="3">
        <f>IFERROR(__xludf.DUMMYFUNCTION("""COMPUTED_VALUE"""),43452.99861111111)</f>
        <v>43452.99861</v>
      </c>
      <c r="B2978" s="1">
        <f>IFERROR(__xludf.DUMMYFUNCTION("""COMPUTED_VALUE"""),2101.15)</f>
        <v>2101.15</v>
      </c>
    </row>
    <row r="2979">
      <c r="A2979" s="3">
        <f>IFERROR(__xludf.DUMMYFUNCTION("""COMPUTED_VALUE"""),43453.99861111111)</f>
        <v>43453.99861</v>
      </c>
      <c r="B2979" s="1">
        <f>IFERROR(__xludf.DUMMYFUNCTION("""COMPUTED_VALUE"""),2102.35)</f>
        <v>2102.35</v>
      </c>
    </row>
    <row r="2980">
      <c r="A2980" s="3">
        <f>IFERROR(__xludf.DUMMYFUNCTION("""COMPUTED_VALUE"""),43454.99861111111)</f>
        <v>43454.99861</v>
      </c>
      <c r="B2980" s="1">
        <f>IFERROR(__xludf.DUMMYFUNCTION("""COMPUTED_VALUE"""),2095.05)</f>
        <v>2095.05</v>
      </c>
    </row>
    <row r="2981">
      <c r="A2981" s="3">
        <f>IFERROR(__xludf.DUMMYFUNCTION("""COMPUTED_VALUE"""),43455.99861111111)</f>
        <v>43455.99861</v>
      </c>
      <c r="B2981" s="1">
        <f>IFERROR(__xludf.DUMMYFUNCTION("""COMPUTED_VALUE"""),2110.95)</f>
        <v>2110.95</v>
      </c>
    </row>
    <row r="2982">
      <c r="A2982" s="3">
        <f>IFERROR(__xludf.DUMMYFUNCTION("""COMPUTED_VALUE"""),43456.99861111111)</f>
        <v>43456.99861</v>
      </c>
      <c r="B2982" s="1">
        <f>IFERROR(__xludf.DUMMYFUNCTION("""COMPUTED_VALUE"""),2110.95)</f>
        <v>2110.95</v>
      </c>
    </row>
    <row r="2983">
      <c r="A2983" s="3">
        <f>IFERROR(__xludf.DUMMYFUNCTION("""COMPUTED_VALUE"""),43457.99861111111)</f>
        <v>43457.99861</v>
      </c>
      <c r="B2983" s="1">
        <f>IFERROR(__xludf.DUMMYFUNCTION("""COMPUTED_VALUE"""),2110.95)</f>
        <v>2110.95</v>
      </c>
    </row>
    <row r="2984">
      <c r="A2984" s="3">
        <f>IFERROR(__xludf.DUMMYFUNCTION("""COMPUTED_VALUE"""),43458.99861111111)</f>
        <v>43458.99861</v>
      </c>
      <c r="B2984" s="1">
        <f>IFERROR(__xludf.DUMMYFUNCTION("""COMPUTED_VALUE"""),2109.0)</f>
        <v>2109</v>
      </c>
    </row>
    <row r="2985">
      <c r="A2985" s="3">
        <f>IFERROR(__xludf.DUMMYFUNCTION("""COMPUTED_VALUE"""),43459.99861111111)</f>
        <v>43459.99861</v>
      </c>
      <c r="B2985" s="1">
        <f>IFERROR(__xludf.DUMMYFUNCTION("""COMPUTED_VALUE"""),2109.05)</f>
        <v>2109.05</v>
      </c>
    </row>
    <row r="2986">
      <c r="A2986" s="3">
        <f>IFERROR(__xludf.DUMMYFUNCTION("""COMPUTED_VALUE"""),43460.99861111111)</f>
        <v>43460.99861</v>
      </c>
      <c r="B2986" s="1">
        <f>IFERROR(__xludf.DUMMYFUNCTION("""COMPUTED_VALUE"""),2103.05)</f>
        <v>2103.05</v>
      </c>
    </row>
    <row r="2987">
      <c r="A2987" s="3">
        <f>IFERROR(__xludf.DUMMYFUNCTION("""COMPUTED_VALUE"""),43461.99861111111)</f>
        <v>43461.99861</v>
      </c>
      <c r="B2987" s="1">
        <f>IFERROR(__xludf.DUMMYFUNCTION("""COMPUTED_VALUE"""),2123.85)</f>
        <v>2123.85</v>
      </c>
    </row>
    <row r="2988">
      <c r="A2988" s="3">
        <f>IFERROR(__xludf.DUMMYFUNCTION("""COMPUTED_VALUE"""),43462.99861111111)</f>
        <v>43462.99861</v>
      </c>
      <c r="B2988" s="1">
        <f>IFERROR(__xludf.DUMMYFUNCTION("""COMPUTED_VALUE"""),2116.4)</f>
        <v>2116.4</v>
      </c>
    </row>
    <row r="2989">
      <c r="A2989" s="3">
        <f>IFERROR(__xludf.DUMMYFUNCTION("""COMPUTED_VALUE"""),43463.99861111111)</f>
        <v>43463.99861</v>
      </c>
      <c r="B2989" s="1">
        <f>IFERROR(__xludf.DUMMYFUNCTION("""COMPUTED_VALUE"""),2116.4)</f>
        <v>2116.4</v>
      </c>
    </row>
    <row r="2990">
      <c r="A2990" s="3">
        <f>IFERROR(__xludf.DUMMYFUNCTION("""COMPUTED_VALUE"""),43464.99861111111)</f>
        <v>43464.99861</v>
      </c>
      <c r="B2990" s="1">
        <f>IFERROR(__xludf.DUMMYFUNCTION("""COMPUTED_VALUE"""),2116.4)</f>
        <v>2116.4</v>
      </c>
    </row>
    <row r="2991">
      <c r="A2991" s="3">
        <f>IFERROR(__xludf.DUMMYFUNCTION("""COMPUTED_VALUE"""),43465.99861111111)</f>
        <v>43465.99861</v>
      </c>
      <c r="B2991" s="1">
        <f>IFERROR(__xludf.DUMMYFUNCTION("""COMPUTED_VALUE"""),2100.8)</f>
        <v>2100.8</v>
      </c>
    </row>
    <row r="2992">
      <c r="A2992" s="3">
        <f>IFERROR(__xludf.DUMMYFUNCTION("""COMPUTED_VALUE"""),43466.99861111111)</f>
        <v>43466.99861</v>
      </c>
      <c r="B2992" s="1">
        <f>IFERROR(__xludf.DUMMYFUNCTION("""COMPUTED_VALUE"""),2072.95)</f>
        <v>2072.95</v>
      </c>
    </row>
    <row r="2993">
      <c r="A2993" s="3">
        <f>IFERROR(__xludf.DUMMYFUNCTION("""COMPUTED_VALUE"""),43467.99861111111)</f>
        <v>43467.99861</v>
      </c>
      <c r="B2993" s="1">
        <f>IFERROR(__xludf.DUMMYFUNCTION("""COMPUTED_VALUE"""),2109.8)</f>
        <v>2109.8</v>
      </c>
    </row>
    <row r="2994">
      <c r="A2994" s="3">
        <f>IFERROR(__xludf.DUMMYFUNCTION("""COMPUTED_VALUE"""),43468.99861111111)</f>
        <v>43468.99861</v>
      </c>
      <c r="B2994" s="1">
        <f>IFERROR(__xludf.DUMMYFUNCTION("""COMPUTED_VALUE"""),2095.9)</f>
        <v>2095.9</v>
      </c>
    </row>
    <row r="2995">
      <c r="A2995" s="3">
        <f>IFERROR(__xludf.DUMMYFUNCTION("""COMPUTED_VALUE"""),43469.99861111111)</f>
        <v>43469.99861</v>
      </c>
      <c r="B2995" s="1">
        <f>IFERROR(__xludf.DUMMYFUNCTION("""COMPUTED_VALUE"""),2088.15)</f>
        <v>2088.15</v>
      </c>
    </row>
    <row r="2996">
      <c r="A2996" s="3">
        <f>IFERROR(__xludf.DUMMYFUNCTION("""COMPUTED_VALUE"""),43470.99861111111)</f>
        <v>43470.99861</v>
      </c>
      <c r="B2996" s="1">
        <f>IFERROR(__xludf.DUMMYFUNCTION("""COMPUTED_VALUE"""),2088.15)</f>
        <v>2088.15</v>
      </c>
    </row>
    <row r="2997">
      <c r="A2997" s="3">
        <f>IFERROR(__xludf.DUMMYFUNCTION("""COMPUTED_VALUE"""),43471.99861111111)</f>
        <v>43471.99861</v>
      </c>
      <c r="B2997" s="1">
        <f>IFERROR(__xludf.DUMMYFUNCTION("""COMPUTED_VALUE"""),2088.15)</f>
        <v>2088.15</v>
      </c>
    </row>
    <row r="2998">
      <c r="A2998" s="3">
        <f>IFERROR(__xludf.DUMMYFUNCTION("""COMPUTED_VALUE"""),43472.99861111111)</f>
        <v>43472.99861</v>
      </c>
      <c r="B2998" s="1">
        <f>IFERROR(__xludf.DUMMYFUNCTION("""COMPUTED_VALUE"""),2055.5)</f>
        <v>2055.5</v>
      </c>
    </row>
    <row r="2999">
      <c r="A2999" s="3">
        <f>IFERROR(__xludf.DUMMYFUNCTION("""COMPUTED_VALUE"""),43473.99861111111)</f>
        <v>43473.99861</v>
      </c>
      <c r="B2999" s="1">
        <f>IFERROR(__xludf.DUMMYFUNCTION("""COMPUTED_VALUE"""),2063.45)</f>
        <v>2063.45</v>
      </c>
    </row>
    <row r="3000">
      <c r="A3000" s="3">
        <f>IFERROR(__xludf.DUMMYFUNCTION("""COMPUTED_VALUE"""),43474.99861111111)</f>
        <v>43474.99861</v>
      </c>
      <c r="B3000" s="1">
        <f>IFERROR(__xludf.DUMMYFUNCTION("""COMPUTED_VALUE"""),2055.4)</f>
        <v>2055.4</v>
      </c>
    </row>
    <row r="3001">
      <c r="A3001" s="3">
        <f>IFERROR(__xludf.DUMMYFUNCTION("""COMPUTED_VALUE"""),43475.99861111111)</f>
        <v>43475.99861</v>
      </c>
      <c r="B3001" s="1">
        <f>IFERROR(__xludf.DUMMYFUNCTION("""COMPUTED_VALUE"""),2071.95)</f>
        <v>2071.95</v>
      </c>
    </row>
    <row r="3002">
      <c r="A3002" s="3">
        <f>IFERROR(__xludf.DUMMYFUNCTION("""COMPUTED_VALUE"""),43476.99861111111)</f>
        <v>43476.99861</v>
      </c>
      <c r="B3002" s="1">
        <f>IFERROR(__xludf.DUMMYFUNCTION("""COMPUTED_VALUE"""),2086.75)</f>
        <v>2086.75</v>
      </c>
    </row>
    <row r="3003">
      <c r="A3003" s="3">
        <f>IFERROR(__xludf.DUMMYFUNCTION("""COMPUTED_VALUE"""),43477.99861111111)</f>
        <v>43477.99861</v>
      </c>
      <c r="B3003" s="1">
        <f>IFERROR(__xludf.DUMMYFUNCTION("""COMPUTED_VALUE"""),2086.75)</f>
        <v>2086.75</v>
      </c>
    </row>
    <row r="3004">
      <c r="A3004" s="3">
        <f>IFERROR(__xludf.DUMMYFUNCTION("""COMPUTED_VALUE"""),43478.99861111111)</f>
        <v>43478.99861</v>
      </c>
      <c r="B3004" s="1">
        <f>IFERROR(__xludf.DUMMYFUNCTION("""COMPUTED_VALUE"""),2086.75)</f>
        <v>2086.75</v>
      </c>
    </row>
    <row r="3005">
      <c r="A3005" s="3">
        <f>IFERROR(__xludf.DUMMYFUNCTION("""COMPUTED_VALUE"""),43479.99861111111)</f>
        <v>43479.99861</v>
      </c>
      <c r="B3005" s="1">
        <f>IFERROR(__xludf.DUMMYFUNCTION("""COMPUTED_VALUE"""),2087.75)</f>
        <v>2087.75</v>
      </c>
    </row>
    <row r="3006">
      <c r="A3006" s="3">
        <f>IFERROR(__xludf.DUMMYFUNCTION("""COMPUTED_VALUE"""),43480.99861111111)</f>
        <v>43480.99861</v>
      </c>
      <c r="B3006" s="1">
        <f>IFERROR(__xludf.DUMMYFUNCTION("""COMPUTED_VALUE"""),2084.55)</f>
        <v>2084.55</v>
      </c>
    </row>
    <row r="3007">
      <c r="A3007" s="3">
        <f>IFERROR(__xludf.DUMMYFUNCTION("""COMPUTED_VALUE"""),43481.99861111111)</f>
        <v>43481.99861</v>
      </c>
      <c r="B3007" s="1">
        <f>IFERROR(__xludf.DUMMYFUNCTION("""COMPUTED_VALUE"""),2090.75)</f>
        <v>2090.75</v>
      </c>
    </row>
    <row r="3008">
      <c r="A3008" s="3">
        <f>IFERROR(__xludf.DUMMYFUNCTION("""COMPUTED_VALUE"""),43482.99861111111)</f>
        <v>43482.99861</v>
      </c>
      <c r="B3008" s="1">
        <f>IFERROR(__xludf.DUMMYFUNCTION("""COMPUTED_VALUE"""),2091.9)</f>
        <v>2091.9</v>
      </c>
    </row>
    <row r="3009">
      <c r="A3009" s="3">
        <f>IFERROR(__xludf.DUMMYFUNCTION("""COMPUTED_VALUE"""),43483.99861111111)</f>
        <v>43483.99861</v>
      </c>
      <c r="B3009" s="1">
        <f>IFERROR(__xludf.DUMMYFUNCTION("""COMPUTED_VALUE"""),2089.95)</f>
        <v>2089.95</v>
      </c>
    </row>
    <row r="3010">
      <c r="A3010" s="3">
        <f>IFERROR(__xludf.DUMMYFUNCTION("""COMPUTED_VALUE"""),43484.99861111111)</f>
        <v>43484.99861</v>
      </c>
      <c r="B3010" s="1">
        <f>IFERROR(__xludf.DUMMYFUNCTION("""COMPUTED_VALUE"""),2089.95)</f>
        <v>2089.95</v>
      </c>
    </row>
    <row r="3011">
      <c r="A3011" s="3">
        <f>IFERROR(__xludf.DUMMYFUNCTION("""COMPUTED_VALUE"""),43485.99861111111)</f>
        <v>43485.99861</v>
      </c>
      <c r="B3011" s="1">
        <f>IFERROR(__xludf.DUMMYFUNCTION("""COMPUTED_VALUE"""),2089.95)</f>
        <v>2089.95</v>
      </c>
    </row>
    <row r="3012">
      <c r="A3012" s="3">
        <f>IFERROR(__xludf.DUMMYFUNCTION("""COMPUTED_VALUE"""),43486.99861111111)</f>
        <v>43486.99861</v>
      </c>
      <c r="B3012" s="1">
        <f>IFERROR(__xludf.DUMMYFUNCTION("""COMPUTED_VALUE"""),2092.2)</f>
        <v>2092.2</v>
      </c>
    </row>
    <row r="3013">
      <c r="A3013" s="3">
        <f>IFERROR(__xludf.DUMMYFUNCTION("""COMPUTED_VALUE"""),43487.99861111111)</f>
        <v>43487.99861</v>
      </c>
      <c r="B3013" s="1">
        <f>IFERROR(__xludf.DUMMYFUNCTION("""COMPUTED_VALUE"""),2088.85)</f>
        <v>2088.85</v>
      </c>
    </row>
    <row r="3014">
      <c r="A3014" s="3">
        <f>IFERROR(__xludf.DUMMYFUNCTION("""COMPUTED_VALUE"""),43488.99861111111)</f>
        <v>43488.99861</v>
      </c>
      <c r="B3014" s="1">
        <f>IFERROR(__xludf.DUMMYFUNCTION("""COMPUTED_VALUE"""),2088.95)</f>
        <v>2088.95</v>
      </c>
    </row>
    <row r="3015">
      <c r="A3015" s="3">
        <f>IFERROR(__xludf.DUMMYFUNCTION("""COMPUTED_VALUE"""),43489.99861111111)</f>
        <v>43489.99861</v>
      </c>
      <c r="B3015" s="1">
        <f>IFERROR(__xludf.DUMMYFUNCTION("""COMPUTED_VALUE"""),2084.25)</f>
        <v>2084.25</v>
      </c>
    </row>
    <row r="3016">
      <c r="A3016" s="3">
        <f>IFERROR(__xludf.DUMMYFUNCTION("""COMPUTED_VALUE"""),43490.99861111111)</f>
        <v>43490.99861</v>
      </c>
      <c r="B3016" s="1">
        <f>IFERROR(__xludf.DUMMYFUNCTION("""COMPUTED_VALUE"""),2078.35)</f>
        <v>2078.35</v>
      </c>
    </row>
    <row r="3017">
      <c r="A3017" s="3">
        <f>IFERROR(__xludf.DUMMYFUNCTION("""COMPUTED_VALUE"""),43491.99861111111)</f>
        <v>43491.99861</v>
      </c>
      <c r="B3017" s="1">
        <f>IFERROR(__xludf.DUMMYFUNCTION("""COMPUTED_VALUE"""),2075.5)</f>
        <v>2075.5</v>
      </c>
    </row>
    <row r="3018">
      <c r="A3018" s="3">
        <f>IFERROR(__xludf.DUMMYFUNCTION("""COMPUTED_VALUE"""),43492.99861111111)</f>
        <v>43492.99861</v>
      </c>
      <c r="B3018" s="1">
        <f>IFERROR(__xludf.DUMMYFUNCTION("""COMPUTED_VALUE"""),2075.5)</f>
        <v>2075.5</v>
      </c>
    </row>
    <row r="3019">
      <c r="A3019" s="3">
        <f>IFERROR(__xludf.DUMMYFUNCTION("""COMPUTED_VALUE"""),43493.99861111111)</f>
        <v>43493.99861</v>
      </c>
      <c r="B3019" s="1">
        <f>IFERROR(__xludf.DUMMYFUNCTION("""COMPUTED_VALUE"""),2085.65)</f>
        <v>2085.65</v>
      </c>
    </row>
    <row r="3020">
      <c r="A3020" s="3">
        <f>IFERROR(__xludf.DUMMYFUNCTION("""COMPUTED_VALUE"""),43494.99861111111)</f>
        <v>43494.99861</v>
      </c>
      <c r="B3020" s="1">
        <f>IFERROR(__xludf.DUMMYFUNCTION("""COMPUTED_VALUE"""),2091.65)</f>
        <v>2091.65</v>
      </c>
    </row>
    <row r="3021">
      <c r="A3021" s="3">
        <f>IFERROR(__xludf.DUMMYFUNCTION("""COMPUTED_VALUE"""),43495.99861111111)</f>
        <v>43495.99861</v>
      </c>
      <c r="B3021" s="1">
        <f>IFERROR(__xludf.DUMMYFUNCTION("""COMPUTED_VALUE"""),2102.95)</f>
        <v>2102.95</v>
      </c>
    </row>
    <row r="3022">
      <c r="A3022" s="3">
        <f>IFERROR(__xludf.DUMMYFUNCTION("""COMPUTED_VALUE"""),43496.99861111111)</f>
        <v>43496.99861</v>
      </c>
      <c r="B3022" s="1">
        <f>IFERROR(__xludf.DUMMYFUNCTION("""COMPUTED_VALUE"""),2092.25)</f>
        <v>2092.25</v>
      </c>
    </row>
    <row r="3023">
      <c r="A3023" s="3">
        <f>IFERROR(__xludf.DUMMYFUNCTION("""COMPUTED_VALUE"""),43497.99861111111)</f>
        <v>43497.99861</v>
      </c>
      <c r="B3023" s="1">
        <f>IFERROR(__xludf.DUMMYFUNCTION("""COMPUTED_VALUE"""),2068.95)</f>
        <v>2068.95</v>
      </c>
    </row>
    <row r="3024">
      <c r="A3024" s="3">
        <f>IFERROR(__xludf.DUMMYFUNCTION("""COMPUTED_VALUE"""),43498.99861111111)</f>
        <v>43498.99861</v>
      </c>
      <c r="B3024" s="1">
        <f>IFERROR(__xludf.DUMMYFUNCTION("""COMPUTED_VALUE"""),2068.95)</f>
        <v>2068.95</v>
      </c>
    </row>
    <row r="3025">
      <c r="A3025" s="3">
        <f>IFERROR(__xludf.DUMMYFUNCTION("""COMPUTED_VALUE"""),43499.99861111111)</f>
        <v>43499.99861</v>
      </c>
      <c r="B3025" s="1">
        <f>IFERROR(__xludf.DUMMYFUNCTION("""COMPUTED_VALUE"""),2068.95)</f>
        <v>2068.95</v>
      </c>
    </row>
    <row r="3026">
      <c r="A3026" s="3">
        <f>IFERROR(__xludf.DUMMYFUNCTION("""COMPUTED_VALUE"""),43500.99861111111)</f>
        <v>43500.99861</v>
      </c>
      <c r="B3026" s="1">
        <f>IFERROR(__xludf.DUMMYFUNCTION("""COMPUTED_VALUE"""),2068.45)</f>
        <v>2068.45</v>
      </c>
    </row>
    <row r="3027">
      <c r="A3027" s="3">
        <f>IFERROR(__xludf.DUMMYFUNCTION("""COMPUTED_VALUE"""),43501.99861111111)</f>
        <v>43501.99861</v>
      </c>
      <c r="B3027" s="1">
        <f>IFERROR(__xludf.DUMMYFUNCTION("""COMPUTED_VALUE"""),2071.6)</f>
        <v>2071.6</v>
      </c>
    </row>
    <row r="3028">
      <c r="A3028" s="3">
        <f>IFERROR(__xludf.DUMMYFUNCTION("""COMPUTED_VALUE"""),43502.99861111111)</f>
        <v>43502.99861</v>
      </c>
      <c r="B3028" s="1">
        <f>IFERROR(__xludf.DUMMYFUNCTION("""COMPUTED_VALUE"""),2063.45)</f>
        <v>2063.45</v>
      </c>
    </row>
    <row r="3029">
      <c r="A3029" s="3">
        <f>IFERROR(__xludf.DUMMYFUNCTION("""COMPUTED_VALUE"""),43503.99861111111)</f>
        <v>43503.99861</v>
      </c>
      <c r="B3029" s="1">
        <f>IFERROR(__xludf.DUMMYFUNCTION("""COMPUTED_VALUE"""),2073.5)</f>
        <v>2073.5</v>
      </c>
    </row>
    <row r="3030">
      <c r="A3030" s="3">
        <f>IFERROR(__xludf.DUMMYFUNCTION("""COMPUTED_VALUE"""),43504.99861111111)</f>
        <v>43504.99861</v>
      </c>
      <c r="B3030" s="1">
        <f>IFERROR(__xludf.DUMMYFUNCTION("""COMPUTED_VALUE"""),2069.75)</f>
        <v>2069.75</v>
      </c>
    </row>
    <row r="3031">
      <c r="A3031" s="3">
        <f>IFERROR(__xludf.DUMMYFUNCTION("""COMPUTED_VALUE"""),43505.99861111111)</f>
        <v>43505.99861</v>
      </c>
      <c r="B3031" s="1">
        <f>IFERROR(__xludf.DUMMYFUNCTION("""COMPUTED_VALUE"""),2081.85)</f>
        <v>2081.85</v>
      </c>
    </row>
    <row r="3032">
      <c r="A3032" s="3">
        <f>IFERROR(__xludf.DUMMYFUNCTION("""COMPUTED_VALUE"""),43506.99861111111)</f>
        <v>43506.99861</v>
      </c>
      <c r="B3032" s="1">
        <f>IFERROR(__xludf.DUMMYFUNCTION("""COMPUTED_VALUE"""),2081.85)</f>
        <v>2081.85</v>
      </c>
    </row>
    <row r="3033">
      <c r="A3033" s="3">
        <f>IFERROR(__xludf.DUMMYFUNCTION("""COMPUTED_VALUE"""),43507.99861111111)</f>
        <v>43507.99861</v>
      </c>
      <c r="B3033" s="1">
        <f>IFERROR(__xludf.DUMMYFUNCTION("""COMPUTED_VALUE"""),2066.15)</f>
        <v>2066.15</v>
      </c>
    </row>
    <row r="3034">
      <c r="A3034" s="3">
        <f>IFERROR(__xludf.DUMMYFUNCTION("""COMPUTED_VALUE"""),43508.99861111111)</f>
        <v>43508.99861</v>
      </c>
      <c r="B3034" s="1">
        <f>IFERROR(__xludf.DUMMYFUNCTION("""COMPUTED_VALUE"""),2076.75)</f>
        <v>2076.75</v>
      </c>
    </row>
    <row r="3035">
      <c r="A3035" s="3">
        <f>IFERROR(__xludf.DUMMYFUNCTION("""COMPUTED_VALUE"""),43509.99861111111)</f>
        <v>43509.99861</v>
      </c>
      <c r="B3035" s="1">
        <f>IFERROR(__xludf.DUMMYFUNCTION("""COMPUTED_VALUE"""),2082.3)</f>
        <v>2082.3</v>
      </c>
    </row>
    <row r="3036">
      <c r="A3036" s="3">
        <f>IFERROR(__xludf.DUMMYFUNCTION("""COMPUTED_VALUE"""),43510.99861111111)</f>
        <v>43510.99861</v>
      </c>
      <c r="B3036" s="1">
        <f>IFERROR(__xludf.DUMMYFUNCTION("""COMPUTED_VALUE"""),2079.95)</f>
        <v>2079.95</v>
      </c>
    </row>
    <row r="3037">
      <c r="A3037" s="3">
        <f>IFERROR(__xludf.DUMMYFUNCTION("""COMPUTED_VALUE"""),43511.99861111111)</f>
        <v>43511.99861</v>
      </c>
      <c r="B3037" s="1">
        <f>IFERROR(__xludf.DUMMYFUNCTION("""COMPUTED_VALUE"""),2083.05)</f>
        <v>2083.05</v>
      </c>
    </row>
    <row r="3038">
      <c r="A3038" s="3">
        <f>IFERROR(__xludf.DUMMYFUNCTION("""COMPUTED_VALUE"""),43512.99861111111)</f>
        <v>43512.99861</v>
      </c>
      <c r="B3038" s="1">
        <f>IFERROR(__xludf.DUMMYFUNCTION("""COMPUTED_VALUE"""),2083.05)</f>
        <v>2083.05</v>
      </c>
    </row>
    <row r="3039">
      <c r="A3039" s="3">
        <f>IFERROR(__xludf.DUMMYFUNCTION("""COMPUTED_VALUE"""),43513.99861111111)</f>
        <v>43513.99861</v>
      </c>
      <c r="B3039" s="1">
        <f>IFERROR(__xludf.DUMMYFUNCTION("""COMPUTED_VALUE"""),2083.05)</f>
        <v>2083.05</v>
      </c>
    </row>
    <row r="3040">
      <c r="A3040" s="3">
        <f>IFERROR(__xludf.DUMMYFUNCTION("""COMPUTED_VALUE"""),43514.99861111111)</f>
        <v>43514.99861</v>
      </c>
      <c r="B3040" s="1">
        <f>IFERROR(__xludf.DUMMYFUNCTION("""COMPUTED_VALUE"""),2088.15)</f>
        <v>2088.15</v>
      </c>
    </row>
    <row r="3041">
      <c r="A3041" s="3">
        <f>IFERROR(__xludf.DUMMYFUNCTION("""COMPUTED_VALUE"""),43515.99861111111)</f>
        <v>43515.99861</v>
      </c>
      <c r="B3041" s="1">
        <f>IFERROR(__xludf.DUMMYFUNCTION("""COMPUTED_VALUE"""),2089.25)</f>
        <v>2089.25</v>
      </c>
    </row>
    <row r="3042">
      <c r="A3042" s="3">
        <f>IFERROR(__xludf.DUMMYFUNCTION("""COMPUTED_VALUE"""),43516.99861111111)</f>
        <v>43516.99861</v>
      </c>
      <c r="B3042" s="1">
        <f>IFERROR(__xludf.DUMMYFUNCTION("""COMPUTED_VALUE"""),2093.25)</f>
        <v>2093.25</v>
      </c>
    </row>
    <row r="3043">
      <c r="A3043" s="3">
        <f>IFERROR(__xludf.DUMMYFUNCTION("""COMPUTED_VALUE"""),43517.99861111111)</f>
        <v>43517.99861</v>
      </c>
      <c r="B3043" s="1">
        <f>IFERROR(__xludf.DUMMYFUNCTION("""COMPUTED_VALUE"""),2091.85)</f>
        <v>2091.85</v>
      </c>
    </row>
    <row r="3044">
      <c r="A3044" s="3">
        <f>IFERROR(__xludf.DUMMYFUNCTION("""COMPUTED_VALUE"""),43518.99861111111)</f>
        <v>43518.99861</v>
      </c>
      <c r="B3044" s="1">
        <f>IFERROR(__xludf.DUMMYFUNCTION("""COMPUTED_VALUE"""),2092.05)</f>
        <v>2092.05</v>
      </c>
    </row>
    <row r="3045">
      <c r="A3045" s="3">
        <f>IFERROR(__xludf.DUMMYFUNCTION("""COMPUTED_VALUE"""),43519.99861111111)</f>
        <v>43519.99861</v>
      </c>
      <c r="B3045" s="1">
        <f>IFERROR(__xludf.DUMMYFUNCTION("""COMPUTED_VALUE"""),2093.4)</f>
        <v>2093.4</v>
      </c>
    </row>
    <row r="3046">
      <c r="A3046" s="3">
        <f>IFERROR(__xludf.DUMMYFUNCTION("""COMPUTED_VALUE"""),43520.99861111111)</f>
        <v>43520.99861</v>
      </c>
      <c r="B3046" s="1">
        <f>IFERROR(__xludf.DUMMYFUNCTION("""COMPUTED_VALUE"""),2093.0)</f>
        <v>2093</v>
      </c>
    </row>
    <row r="3047">
      <c r="A3047" s="3">
        <f>IFERROR(__xludf.DUMMYFUNCTION("""COMPUTED_VALUE"""),43521.99861111111)</f>
        <v>43521.99861</v>
      </c>
      <c r="B3047" s="1">
        <f>IFERROR(__xludf.DUMMYFUNCTION("""COMPUTED_VALUE"""),2096.45)</f>
        <v>2096.45</v>
      </c>
    </row>
    <row r="3048">
      <c r="A3048" s="3">
        <f>IFERROR(__xludf.DUMMYFUNCTION("""COMPUTED_VALUE"""),43522.99861111111)</f>
        <v>43522.99861</v>
      </c>
      <c r="B3048" s="1">
        <f>IFERROR(__xludf.DUMMYFUNCTION("""COMPUTED_VALUE"""),2084.35)</f>
        <v>2084.35</v>
      </c>
    </row>
    <row r="3049">
      <c r="A3049" s="3">
        <f>IFERROR(__xludf.DUMMYFUNCTION("""COMPUTED_VALUE"""),43523.99861111111)</f>
        <v>43523.99861</v>
      </c>
      <c r="B3049" s="1">
        <f>IFERROR(__xludf.DUMMYFUNCTION("""COMPUTED_VALUE"""),2097.05)</f>
        <v>2097.05</v>
      </c>
    </row>
    <row r="3050">
      <c r="A3050" s="3">
        <f>IFERROR(__xludf.DUMMYFUNCTION("""COMPUTED_VALUE"""),43524.99861111111)</f>
        <v>43524.99861</v>
      </c>
      <c r="B3050" s="1">
        <f>IFERROR(__xludf.DUMMYFUNCTION("""COMPUTED_VALUE"""),2103.05)</f>
        <v>2103.05</v>
      </c>
    </row>
    <row r="3051">
      <c r="A3051" s="3">
        <f>IFERROR(__xludf.DUMMYFUNCTION("""COMPUTED_VALUE"""),43525.99861111111)</f>
        <v>43525.99861</v>
      </c>
      <c r="B3051" s="1">
        <f>IFERROR(__xludf.DUMMYFUNCTION("""COMPUTED_VALUE"""),2103.65)</f>
        <v>2103.65</v>
      </c>
    </row>
    <row r="3052">
      <c r="A3052" s="3">
        <f>IFERROR(__xludf.DUMMYFUNCTION("""COMPUTED_VALUE"""),43526.99861111111)</f>
        <v>43526.99861</v>
      </c>
      <c r="B3052" s="1">
        <f>IFERROR(__xludf.DUMMYFUNCTION("""COMPUTED_VALUE"""),2103.65)</f>
        <v>2103.65</v>
      </c>
    </row>
    <row r="3053">
      <c r="A3053" s="3">
        <f>IFERROR(__xludf.DUMMYFUNCTION("""COMPUTED_VALUE"""),43527.99861111111)</f>
        <v>43527.99861</v>
      </c>
      <c r="B3053" s="1">
        <f>IFERROR(__xludf.DUMMYFUNCTION("""COMPUTED_VALUE"""),2103.65)</f>
        <v>2103.65</v>
      </c>
    </row>
    <row r="3054">
      <c r="A3054" s="3">
        <f>IFERROR(__xludf.DUMMYFUNCTION("""COMPUTED_VALUE"""),43528.99861111111)</f>
        <v>43528.99861</v>
      </c>
      <c r="B3054" s="1">
        <f>IFERROR(__xludf.DUMMYFUNCTION("""COMPUTED_VALUE"""),2106.25)</f>
        <v>2106.25</v>
      </c>
    </row>
    <row r="3055">
      <c r="A3055" s="3">
        <f>IFERROR(__xludf.DUMMYFUNCTION("""COMPUTED_VALUE"""),43529.99861111111)</f>
        <v>43529.99861</v>
      </c>
      <c r="B3055" s="1">
        <f>IFERROR(__xludf.DUMMYFUNCTION("""COMPUTED_VALUE"""),2112.05)</f>
        <v>2112.05</v>
      </c>
    </row>
    <row r="3056">
      <c r="A3056" s="3">
        <f>IFERROR(__xludf.DUMMYFUNCTION("""COMPUTED_VALUE"""),43530.99861111111)</f>
        <v>43530.99861</v>
      </c>
      <c r="B3056" s="1">
        <f>IFERROR(__xludf.DUMMYFUNCTION("""COMPUTED_VALUE"""),2107.45)</f>
        <v>2107.45</v>
      </c>
    </row>
    <row r="3057">
      <c r="A3057" s="3">
        <f>IFERROR(__xludf.DUMMYFUNCTION("""COMPUTED_VALUE"""),43531.99861111111)</f>
        <v>43531.99861</v>
      </c>
      <c r="B3057" s="1">
        <f>IFERROR(__xludf.DUMMYFUNCTION("""COMPUTED_VALUE"""),2102.75)</f>
        <v>2102.75</v>
      </c>
    </row>
    <row r="3058">
      <c r="A3058" s="3">
        <f>IFERROR(__xludf.DUMMYFUNCTION("""COMPUTED_VALUE"""),43532.99861111111)</f>
        <v>43532.99861</v>
      </c>
      <c r="B3058" s="1">
        <f>IFERROR(__xludf.DUMMYFUNCTION("""COMPUTED_VALUE"""),2093.55)</f>
        <v>2093.55</v>
      </c>
    </row>
    <row r="3059">
      <c r="A3059" s="3">
        <f>IFERROR(__xludf.DUMMYFUNCTION("""COMPUTED_VALUE"""),43533.99861111111)</f>
        <v>43533.99861</v>
      </c>
      <c r="B3059" s="1">
        <f>IFERROR(__xludf.DUMMYFUNCTION("""COMPUTED_VALUE"""),2093.55)</f>
        <v>2093.55</v>
      </c>
    </row>
    <row r="3060">
      <c r="A3060" s="3">
        <f>IFERROR(__xludf.DUMMYFUNCTION("""COMPUTED_VALUE"""),43534.99861111111)</f>
        <v>43534.99861</v>
      </c>
      <c r="B3060" s="1">
        <f>IFERROR(__xludf.DUMMYFUNCTION("""COMPUTED_VALUE"""),2128.4)</f>
        <v>2128.4</v>
      </c>
    </row>
    <row r="3061">
      <c r="A3061" s="3">
        <f>IFERROR(__xludf.DUMMYFUNCTION("""COMPUTED_VALUE"""),43535.99861111111)</f>
        <v>43535.99861</v>
      </c>
      <c r="B3061" s="1">
        <f>IFERROR(__xludf.DUMMYFUNCTION("""COMPUTED_VALUE"""),2118.15)</f>
        <v>2118.15</v>
      </c>
    </row>
    <row r="3062">
      <c r="A3062" s="3">
        <f>IFERROR(__xludf.DUMMYFUNCTION("""COMPUTED_VALUE"""),43536.99861111111)</f>
        <v>43536.99861</v>
      </c>
      <c r="B3062" s="1">
        <f>IFERROR(__xludf.DUMMYFUNCTION("""COMPUTED_VALUE"""),2126.35)</f>
        <v>2126.35</v>
      </c>
    </row>
    <row r="3063">
      <c r="A3063" s="3">
        <f>IFERROR(__xludf.DUMMYFUNCTION("""COMPUTED_VALUE"""),43537.99861111111)</f>
        <v>43537.99861</v>
      </c>
      <c r="B3063" s="1">
        <f>IFERROR(__xludf.DUMMYFUNCTION("""COMPUTED_VALUE"""),2121.55)</f>
        <v>2121.55</v>
      </c>
    </row>
    <row r="3064">
      <c r="A3064" s="3">
        <f>IFERROR(__xludf.DUMMYFUNCTION("""COMPUTED_VALUE"""),43538.99861111111)</f>
        <v>43538.99861</v>
      </c>
      <c r="B3064" s="1">
        <f>IFERROR(__xludf.DUMMYFUNCTION("""COMPUTED_VALUE"""),2119.95)</f>
        <v>2119.95</v>
      </c>
    </row>
    <row r="3065">
      <c r="A3065" s="3">
        <f>IFERROR(__xludf.DUMMYFUNCTION("""COMPUTED_VALUE"""),43539.99861111111)</f>
        <v>43539.99861</v>
      </c>
      <c r="B3065" s="1">
        <f>IFERROR(__xludf.DUMMYFUNCTION("""COMPUTED_VALUE"""),2122.25)</f>
        <v>2122.25</v>
      </c>
    </row>
    <row r="3066">
      <c r="A3066" s="3">
        <f>IFERROR(__xludf.DUMMYFUNCTION("""COMPUTED_VALUE"""),43540.99861111111)</f>
        <v>43540.99861</v>
      </c>
      <c r="B3066" s="1">
        <f>IFERROR(__xludf.DUMMYFUNCTION("""COMPUTED_VALUE"""),2122.25)</f>
        <v>2122.25</v>
      </c>
    </row>
    <row r="3067">
      <c r="A3067" s="3">
        <f>IFERROR(__xludf.DUMMYFUNCTION("""COMPUTED_VALUE"""),43541.99861111111)</f>
        <v>43541.99861</v>
      </c>
      <c r="B3067" s="1">
        <f>IFERROR(__xludf.DUMMYFUNCTION("""COMPUTED_VALUE"""),2122.25)</f>
        <v>2122.25</v>
      </c>
    </row>
    <row r="3068">
      <c r="A3068" s="3">
        <f>IFERROR(__xludf.DUMMYFUNCTION("""COMPUTED_VALUE"""),43542.99861111111)</f>
        <v>43542.99861</v>
      </c>
      <c r="B3068" s="1">
        <f>IFERROR(__xludf.DUMMYFUNCTION("""COMPUTED_VALUE"""),2122.2)</f>
        <v>2122.2</v>
      </c>
    </row>
    <row r="3069">
      <c r="A3069" s="3">
        <f>IFERROR(__xludf.DUMMYFUNCTION("""COMPUTED_VALUE"""),43543.99861111111)</f>
        <v>43543.99861</v>
      </c>
      <c r="B3069" s="1">
        <f>IFERROR(__xludf.DUMMYFUNCTION("""COMPUTED_VALUE"""),2119.55)</f>
        <v>2119.55</v>
      </c>
    </row>
    <row r="3070">
      <c r="A3070" s="3">
        <f>IFERROR(__xludf.DUMMYFUNCTION("""COMPUTED_VALUE"""),43544.99861111111)</f>
        <v>43544.99861</v>
      </c>
      <c r="B3070" s="1">
        <f>IFERROR(__xludf.DUMMYFUNCTION("""COMPUTED_VALUE"""),2113.05)</f>
        <v>2113.05</v>
      </c>
    </row>
    <row r="3071">
      <c r="A3071" s="3">
        <f>IFERROR(__xludf.DUMMYFUNCTION("""COMPUTED_VALUE"""),43545.99861111111)</f>
        <v>43545.99861</v>
      </c>
      <c r="B3071" s="1">
        <f>IFERROR(__xludf.DUMMYFUNCTION("""COMPUTED_VALUE"""),2106.25)</f>
        <v>2106.25</v>
      </c>
    </row>
    <row r="3072">
      <c r="A3072" s="3">
        <f>IFERROR(__xludf.DUMMYFUNCTION("""COMPUTED_VALUE"""),43546.99861111111)</f>
        <v>43546.99861</v>
      </c>
      <c r="B3072" s="1">
        <f>IFERROR(__xludf.DUMMYFUNCTION("""COMPUTED_VALUE"""),2105.55)</f>
        <v>2105.55</v>
      </c>
    </row>
    <row r="3073">
      <c r="A3073" s="3">
        <f>IFERROR(__xludf.DUMMYFUNCTION("""COMPUTED_VALUE"""),43547.99861111111)</f>
        <v>43547.99861</v>
      </c>
      <c r="B3073" s="1">
        <f>IFERROR(__xludf.DUMMYFUNCTION("""COMPUTED_VALUE"""),2115.95)</f>
        <v>2115.95</v>
      </c>
    </row>
    <row r="3074">
      <c r="A3074" s="3">
        <f>IFERROR(__xludf.DUMMYFUNCTION("""COMPUTED_VALUE"""),43548.99861111111)</f>
        <v>43548.99861</v>
      </c>
      <c r="B3074" s="1">
        <f>IFERROR(__xludf.DUMMYFUNCTION("""COMPUTED_VALUE"""),2115.95)</f>
        <v>2115.95</v>
      </c>
    </row>
    <row r="3075">
      <c r="A3075" s="3">
        <f>IFERROR(__xludf.DUMMYFUNCTION("""COMPUTED_VALUE"""),43549.99861111111)</f>
        <v>43549.99861</v>
      </c>
      <c r="B3075" s="1">
        <f>IFERROR(__xludf.DUMMYFUNCTION("""COMPUTED_VALUE"""),2113.15)</f>
        <v>2113.15</v>
      </c>
    </row>
    <row r="3076">
      <c r="A3076" s="3">
        <f>IFERROR(__xludf.DUMMYFUNCTION("""COMPUTED_VALUE"""),43550.99861111111)</f>
        <v>43550.99861</v>
      </c>
      <c r="B3076" s="1">
        <f>IFERROR(__xludf.DUMMYFUNCTION("""COMPUTED_VALUE"""),2111.25)</f>
        <v>2111.25</v>
      </c>
    </row>
    <row r="3077">
      <c r="A3077" s="3">
        <f>IFERROR(__xludf.DUMMYFUNCTION("""COMPUTED_VALUE"""),43551.99861111111)</f>
        <v>43551.99861</v>
      </c>
      <c r="B3077" s="1">
        <f>IFERROR(__xludf.DUMMYFUNCTION("""COMPUTED_VALUE"""),2110.75)</f>
        <v>2110.75</v>
      </c>
    </row>
    <row r="3078">
      <c r="A3078" s="3">
        <f>IFERROR(__xludf.DUMMYFUNCTION("""COMPUTED_VALUE"""),43552.99861111111)</f>
        <v>43552.99861</v>
      </c>
      <c r="B3078" s="1">
        <f>IFERROR(__xludf.DUMMYFUNCTION("""COMPUTED_VALUE"""),2111.7)</f>
        <v>2111.7</v>
      </c>
    </row>
    <row r="3079">
      <c r="A3079" s="3">
        <f>IFERROR(__xludf.DUMMYFUNCTION("""COMPUTED_VALUE"""),43553.99861111111)</f>
        <v>43553.99861</v>
      </c>
      <c r="B3079" s="1">
        <f>IFERROR(__xludf.DUMMYFUNCTION("""COMPUTED_VALUE"""),2119.35)</f>
        <v>2119.35</v>
      </c>
    </row>
    <row r="3080">
      <c r="A3080" s="3">
        <f>IFERROR(__xludf.DUMMYFUNCTION("""COMPUTED_VALUE"""),43554.99861111111)</f>
        <v>43554.99861</v>
      </c>
      <c r="B3080" s="1">
        <f>IFERROR(__xludf.DUMMYFUNCTION("""COMPUTED_VALUE"""),2119.35)</f>
        <v>2119.35</v>
      </c>
    </row>
    <row r="3081">
      <c r="A3081" s="3">
        <f>IFERROR(__xludf.DUMMYFUNCTION("""COMPUTED_VALUE"""),43555.99861111111)</f>
        <v>43555.99861</v>
      </c>
      <c r="B3081" s="1">
        <f>IFERROR(__xludf.DUMMYFUNCTION("""COMPUTED_VALUE"""),2119.35)</f>
        <v>2119.35</v>
      </c>
    </row>
    <row r="3082">
      <c r="A3082" s="3">
        <f>IFERROR(__xludf.DUMMYFUNCTION("""COMPUTED_VALUE"""),43556.99861111111)</f>
        <v>43556.99861</v>
      </c>
      <c r="B3082" s="1">
        <f>IFERROR(__xludf.DUMMYFUNCTION("""COMPUTED_VALUE"""),2120.0)</f>
        <v>2120</v>
      </c>
    </row>
    <row r="3083">
      <c r="A3083" s="3">
        <f>IFERROR(__xludf.DUMMYFUNCTION("""COMPUTED_VALUE"""),43557.99861111111)</f>
        <v>43557.99861</v>
      </c>
      <c r="B3083" s="1">
        <f>IFERROR(__xludf.DUMMYFUNCTION("""COMPUTED_VALUE"""),2116.65)</f>
        <v>2116.65</v>
      </c>
    </row>
    <row r="3084">
      <c r="A3084" s="3">
        <f>IFERROR(__xludf.DUMMYFUNCTION("""COMPUTED_VALUE"""),43558.99861111111)</f>
        <v>43558.99861</v>
      </c>
      <c r="B3084" s="1">
        <f>IFERROR(__xludf.DUMMYFUNCTION("""COMPUTED_VALUE"""),2117.35)</f>
        <v>2117.35</v>
      </c>
    </row>
    <row r="3085">
      <c r="A3085" s="3">
        <f>IFERROR(__xludf.DUMMYFUNCTION("""COMPUTED_VALUE"""),43559.99861111111)</f>
        <v>43559.99861</v>
      </c>
      <c r="B3085" s="1">
        <f>IFERROR(__xludf.DUMMYFUNCTION("""COMPUTED_VALUE"""),2110.2)</f>
        <v>2110.2</v>
      </c>
    </row>
    <row r="3086">
      <c r="A3086" s="3">
        <f>IFERROR(__xludf.DUMMYFUNCTION("""COMPUTED_VALUE"""),43560.99861111111)</f>
        <v>43560.99861</v>
      </c>
      <c r="B3086" s="1">
        <f>IFERROR(__xludf.DUMMYFUNCTION("""COMPUTED_VALUE"""),2099.45)</f>
        <v>2099.45</v>
      </c>
    </row>
    <row r="3087">
      <c r="A3087" s="3">
        <f>IFERROR(__xludf.DUMMYFUNCTION("""COMPUTED_VALUE"""),43561.99861111111)</f>
        <v>43561.99861</v>
      </c>
      <c r="B3087" s="1">
        <f>IFERROR(__xludf.DUMMYFUNCTION("""COMPUTED_VALUE"""),2099.45)</f>
        <v>2099.45</v>
      </c>
    </row>
    <row r="3088">
      <c r="A3088" s="3">
        <f>IFERROR(__xludf.DUMMYFUNCTION("""COMPUTED_VALUE"""),43562.99861111111)</f>
        <v>43562.99861</v>
      </c>
      <c r="B3088" s="1">
        <f>IFERROR(__xludf.DUMMYFUNCTION("""COMPUTED_VALUE"""),2099.45)</f>
        <v>2099.45</v>
      </c>
    </row>
    <row r="3089">
      <c r="A3089" s="3">
        <f>IFERROR(__xludf.DUMMYFUNCTION("""COMPUTED_VALUE"""),43563.99861111111)</f>
        <v>43563.99861</v>
      </c>
      <c r="B3089" s="1">
        <f>IFERROR(__xludf.DUMMYFUNCTION("""COMPUTED_VALUE"""),2107.15)</f>
        <v>2107.15</v>
      </c>
    </row>
    <row r="3090">
      <c r="A3090" s="3">
        <f>IFERROR(__xludf.DUMMYFUNCTION("""COMPUTED_VALUE"""),43564.99861111111)</f>
        <v>43564.99861</v>
      </c>
      <c r="B3090" s="1">
        <f>IFERROR(__xludf.DUMMYFUNCTION("""COMPUTED_VALUE"""),2105.25)</f>
        <v>2105.25</v>
      </c>
    </row>
    <row r="3091">
      <c r="A3091" s="3">
        <f>IFERROR(__xludf.DUMMYFUNCTION("""COMPUTED_VALUE"""),43565.99861111111)</f>
        <v>43565.99861</v>
      </c>
      <c r="B3091" s="1">
        <f>IFERROR(__xludf.DUMMYFUNCTION("""COMPUTED_VALUE"""),2105.45)</f>
        <v>2105.45</v>
      </c>
    </row>
    <row r="3092">
      <c r="A3092" s="3">
        <f>IFERROR(__xludf.DUMMYFUNCTION("""COMPUTED_VALUE"""),43566.99861111111)</f>
        <v>43566.99861</v>
      </c>
      <c r="B3092" s="1">
        <f>IFERROR(__xludf.DUMMYFUNCTION("""COMPUTED_VALUE"""),2107.6)</f>
        <v>2107.6</v>
      </c>
    </row>
    <row r="3093">
      <c r="A3093" s="3">
        <f>IFERROR(__xludf.DUMMYFUNCTION("""COMPUTED_VALUE"""),43567.99861111111)</f>
        <v>43567.99861</v>
      </c>
      <c r="B3093" s="1">
        <f>IFERROR(__xludf.DUMMYFUNCTION("""COMPUTED_VALUE"""),2101.75)</f>
        <v>2101.75</v>
      </c>
    </row>
    <row r="3094">
      <c r="A3094" s="3">
        <f>IFERROR(__xludf.DUMMYFUNCTION("""COMPUTED_VALUE"""),43568.99861111111)</f>
        <v>43568.99861</v>
      </c>
      <c r="B3094" s="1">
        <f>IFERROR(__xludf.DUMMYFUNCTION("""COMPUTED_VALUE"""),2104.8)</f>
        <v>2104.8</v>
      </c>
    </row>
    <row r="3095">
      <c r="A3095" s="3">
        <f>IFERROR(__xludf.DUMMYFUNCTION("""COMPUTED_VALUE"""),43569.99861111111)</f>
        <v>43569.99861</v>
      </c>
      <c r="B3095" s="1">
        <f>IFERROR(__xludf.DUMMYFUNCTION("""COMPUTED_VALUE"""),2104.8)</f>
        <v>2104.8</v>
      </c>
    </row>
    <row r="3096">
      <c r="A3096" s="3">
        <f>IFERROR(__xludf.DUMMYFUNCTION("""COMPUTED_VALUE"""),43570.99861111111)</f>
        <v>43570.99861</v>
      </c>
      <c r="B3096" s="1">
        <f>IFERROR(__xludf.DUMMYFUNCTION("""COMPUTED_VALUE"""),2095.95)</f>
        <v>2095.95</v>
      </c>
    </row>
    <row r="3097">
      <c r="A3097" s="3">
        <f>IFERROR(__xludf.DUMMYFUNCTION("""COMPUTED_VALUE"""),43571.99861111111)</f>
        <v>43571.99861</v>
      </c>
      <c r="B3097" s="1">
        <f>IFERROR(__xludf.DUMMYFUNCTION("""COMPUTED_VALUE"""),2099.2)</f>
        <v>2099.2</v>
      </c>
    </row>
    <row r="3098">
      <c r="A3098" s="3">
        <f>IFERROR(__xludf.DUMMYFUNCTION("""COMPUTED_VALUE"""),43572.99861111111)</f>
        <v>43572.99861</v>
      </c>
      <c r="B3098" s="1">
        <f>IFERROR(__xludf.DUMMYFUNCTION("""COMPUTED_VALUE"""),2105.35)</f>
        <v>2105.35</v>
      </c>
    </row>
    <row r="3099">
      <c r="A3099" s="3">
        <f>IFERROR(__xludf.DUMMYFUNCTION("""COMPUTED_VALUE"""),43573.99861111111)</f>
        <v>43573.99861</v>
      </c>
      <c r="B3099" s="1">
        <f>IFERROR(__xludf.DUMMYFUNCTION("""COMPUTED_VALUE"""),2093.85)</f>
        <v>2093.85</v>
      </c>
    </row>
    <row r="3100">
      <c r="A3100" s="3">
        <f>IFERROR(__xludf.DUMMYFUNCTION("""COMPUTED_VALUE"""),43574.99861111111)</f>
        <v>43574.99861</v>
      </c>
      <c r="B3100" s="1">
        <f>IFERROR(__xludf.DUMMYFUNCTION("""COMPUTED_VALUE"""),2096.1)</f>
        <v>2096.1</v>
      </c>
    </row>
    <row r="3101">
      <c r="A3101" s="3">
        <f>IFERROR(__xludf.DUMMYFUNCTION("""COMPUTED_VALUE"""),43575.99861111111)</f>
        <v>43575.99861</v>
      </c>
      <c r="B3101" s="1">
        <f>IFERROR(__xludf.DUMMYFUNCTION("""COMPUTED_VALUE"""),2096.1)</f>
        <v>2096.1</v>
      </c>
    </row>
    <row r="3102">
      <c r="A3102" s="3">
        <f>IFERROR(__xludf.DUMMYFUNCTION("""COMPUTED_VALUE"""),43576.99861111111)</f>
        <v>43576.99861</v>
      </c>
      <c r="B3102" s="1">
        <f>IFERROR(__xludf.DUMMYFUNCTION("""COMPUTED_VALUE"""),2096.1)</f>
        <v>2096.1</v>
      </c>
    </row>
    <row r="3103">
      <c r="A3103" s="3">
        <f>IFERROR(__xludf.DUMMYFUNCTION("""COMPUTED_VALUE"""),43577.99861111111)</f>
        <v>43577.99861</v>
      </c>
      <c r="B3103" s="1">
        <f>IFERROR(__xludf.DUMMYFUNCTION("""COMPUTED_VALUE"""),2097.35)</f>
        <v>2097.35</v>
      </c>
    </row>
    <row r="3104">
      <c r="A3104" s="3">
        <f>IFERROR(__xludf.DUMMYFUNCTION("""COMPUTED_VALUE"""),43578.99861111111)</f>
        <v>43578.99861</v>
      </c>
      <c r="B3104" s="1">
        <f>IFERROR(__xludf.DUMMYFUNCTION("""COMPUTED_VALUE"""),2090.4)</f>
        <v>2090.4</v>
      </c>
    </row>
    <row r="3105">
      <c r="A3105" s="3">
        <f>IFERROR(__xludf.DUMMYFUNCTION("""COMPUTED_VALUE"""),43579.99861111111)</f>
        <v>43579.99861</v>
      </c>
      <c r="B3105" s="1">
        <f>IFERROR(__xludf.DUMMYFUNCTION("""COMPUTED_VALUE"""),2098.35)</f>
        <v>2098.35</v>
      </c>
    </row>
    <row r="3106">
      <c r="A3106" s="3">
        <f>IFERROR(__xludf.DUMMYFUNCTION("""COMPUTED_VALUE"""),43580.99861111111)</f>
        <v>43580.99861</v>
      </c>
      <c r="B3106" s="1">
        <f>IFERROR(__xludf.DUMMYFUNCTION("""COMPUTED_VALUE"""),2094.35)</f>
        <v>2094.35</v>
      </c>
    </row>
    <row r="3107">
      <c r="A3107" s="3">
        <f>IFERROR(__xludf.DUMMYFUNCTION("""COMPUTED_VALUE"""),43581.99861111111)</f>
        <v>43581.99861</v>
      </c>
      <c r="B3107" s="1">
        <f>IFERROR(__xludf.DUMMYFUNCTION("""COMPUTED_VALUE"""),2306.4)</f>
        <v>2306.4</v>
      </c>
    </row>
    <row r="3108">
      <c r="A3108" s="3">
        <f>IFERROR(__xludf.DUMMYFUNCTION("""COMPUTED_VALUE"""),43582.99861111111)</f>
        <v>43582.99861</v>
      </c>
      <c r="B3108" s="1">
        <f>IFERROR(__xludf.DUMMYFUNCTION("""COMPUTED_VALUE"""),2107.9)</f>
        <v>2107.9</v>
      </c>
    </row>
    <row r="3109">
      <c r="A3109" s="3">
        <f>IFERROR(__xludf.DUMMYFUNCTION("""COMPUTED_VALUE"""),43583.99861111111)</f>
        <v>43583.99861</v>
      </c>
      <c r="B3109" s="1">
        <f>IFERROR(__xludf.DUMMYFUNCTION("""COMPUTED_VALUE"""),2107.9)</f>
        <v>2107.9</v>
      </c>
    </row>
    <row r="3110">
      <c r="A3110" s="3">
        <f>IFERROR(__xludf.DUMMYFUNCTION("""COMPUTED_VALUE"""),43584.99861111111)</f>
        <v>43584.99861</v>
      </c>
      <c r="B3110" s="1">
        <f>IFERROR(__xludf.DUMMYFUNCTION("""COMPUTED_VALUE"""),2302.95)</f>
        <v>2302.95</v>
      </c>
    </row>
    <row r="3111">
      <c r="A3111" s="3">
        <f>IFERROR(__xludf.DUMMYFUNCTION("""COMPUTED_VALUE"""),43585.99861111111)</f>
        <v>43585.99861</v>
      </c>
      <c r="B3111" s="1">
        <f>IFERROR(__xludf.DUMMYFUNCTION("""COMPUTED_VALUE"""),2115.15)</f>
        <v>2115.15</v>
      </c>
    </row>
    <row r="3112">
      <c r="A3112" s="3">
        <f>IFERROR(__xludf.DUMMYFUNCTION("""COMPUTED_VALUE"""),43586.99861111111)</f>
        <v>43586.99861</v>
      </c>
      <c r="B3112" s="1">
        <f>IFERROR(__xludf.DUMMYFUNCTION("""COMPUTED_VALUE"""),2110.25)</f>
        <v>2110.25</v>
      </c>
    </row>
    <row r="3113">
      <c r="A3113" s="3">
        <f>IFERROR(__xludf.DUMMYFUNCTION("""COMPUTED_VALUE"""),43587.99861111111)</f>
        <v>43587.99861</v>
      </c>
      <c r="B3113" s="1">
        <f>IFERROR(__xludf.DUMMYFUNCTION("""COMPUTED_VALUE"""),2115.85)</f>
        <v>2115.85</v>
      </c>
    </row>
    <row r="3114">
      <c r="A3114" s="3">
        <f>IFERROR(__xludf.DUMMYFUNCTION("""COMPUTED_VALUE"""),43588.99861111111)</f>
        <v>43588.99861</v>
      </c>
      <c r="B3114" s="1">
        <f>IFERROR(__xludf.DUMMYFUNCTION("""COMPUTED_VALUE"""),2110.3)</f>
        <v>2110.3</v>
      </c>
    </row>
    <row r="3115">
      <c r="A3115" s="3">
        <f>IFERROR(__xludf.DUMMYFUNCTION("""COMPUTED_VALUE"""),43589.99861111111)</f>
        <v>43589.99861</v>
      </c>
      <c r="B3115" s="1">
        <f>IFERROR(__xludf.DUMMYFUNCTION("""COMPUTED_VALUE"""),2110.3)</f>
        <v>2110.3</v>
      </c>
    </row>
    <row r="3116">
      <c r="A3116" s="3">
        <f>IFERROR(__xludf.DUMMYFUNCTION("""COMPUTED_VALUE"""),43590.99861111111)</f>
        <v>43590.99861</v>
      </c>
      <c r="B3116" s="1">
        <f>IFERROR(__xludf.DUMMYFUNCTION("""COMPUTED_VALUE"""),2110.3)</f>
        <v>2110.3</v>
      </c>
    </row>
    <row r="3117">
      <c r="A3117" s="3">
        <f>IFERROR(__xludf.DUMMYFUNCTION("""COMPUTED_VALUE"""),43591.99861111111)</f>
        <v>43591.99861</v>
      </c>
      <c r="B3117" s="1">
        <f>IFERROR(__xludf.DUMMYFUNCTION("""COMPUTED_VALUE"""),2114.25)</f>
        <v>2114.25</v>
      </c>
    </row>
    <row r="3118">
      <c r="A3118" s="3">
        <f>IFERROR(__xludf.DUMMYFUNCTION("""COMPUTED_VALUE"""),43592.99861111111)</f>
        <v>43592.99861</v>
      </c>
      <c r="B3118" s="1">
        <f>IFERROR(__xludf.DUMMYFUNCTION("""COMPUTED_VALUE"""),2104.35)</f>
        <v>2104.35</v>
      </c>
    </row>
    <row r="3119">
      <c r="A3119" s="3">
        <f>IFERROR(__xludf.DUMMYFUNCTION("""COMPUTED_VALUE"""),43593.99861111111)</f>
        <v>43593.99861</v>
      </c>
      <c r="B3119" s="1">
        <f>IFERROR(__xludf.DUMMYFUNCTION("""COMPUTED_VALUE"""),2105.55)</f>
        <v>2105.55</v>
      </c>
    </row>
    <row r="3120">
      <c r="A3120" s="3">
        <f>IFERROR(__xludf.DUMMYFUNCTION("""COMPUTED_VALUE"""),43594.99861111111)</f>
        <v>43594.99861</v>
      </c>
      <c r="B3120" s="1">
        <f>IFERROR(__xludf.DUMMYFUNCTION("""COMPUTED_VALUE"""),2100.25)</f>
        <v>2100.25</v>
      </c>
    </row>
    <row r="3121">
      <c r="A3121" s="3">
        <f>IFERROR(__xludf.DUMMYFUNCTION("""COMPUTED_VALUE"""),43595.99861111111)</f>
        <v>43595.99861</v>
      </c>
      <c r="B3121" s="1">
        <f>IFERROR(__xludf.DUMMYFUNCTION("""COMPUTED_VALUE"""),2096.95)</f>
        <v>2096.95</v>
      </c>
    </row>
    <row r="3122">
      <c r="A3122" s="3">
        <f>IFERROR(__xludf.DUMMYFUNCTION("""COMPUTED_VALUE"""),43596.99861111111)</f>
        <v>43596.99861</v>
      </c>
      <c r="B3122" s="1">
        <f>IFERROR(__xludf.DUMMYFUNCTION("""COMPUTED_VALUE"""),2096.95)</f>
        <v>2096.95</v>
      </c>
    </row>
    <row r="3123">
      <c r="A3123" s="3">
        <f>IFERROR(__xludf.DUMMYFUNCTION("""COMPUTED_VALUE"""),43597.99861111111)</f>
        <v>43597.99861</v>
      </c>
      <c r="B3123" s="1">
        <f>IFERROR(__xludf.DUMMYFUNCTION("""COMPUTED_VALUE"""),2096.95)</f>
        <v>2096.95</v>
      </c>
    </row>
    <row r="3124">
      <c r="A3124" s="3">
        <f>IFERROR(__xludf.DUMMYFUNCTION("""COMPUTED_VALUE"""),43598.99861111111)</f>
        <v>43598.99861</v>
      </c>
      <c r="B3124" s="1">
        <f>IFERROR(__xludf.DUMMYFUNCTION("""COMPUTED_VALUE"""),2082.45)</f>
        <v>2082.45</v>
      </c>
    </row>
    <row r="3125">
      <c r="A3125" s="3">
        <f>IFERROR(__xludf.DUMMYFUNCTION("""COMPUTED_VALUE"""),43599.99861111111)</f>
        <v>43599.99861</v>
      </c>
      <c r="B3125" s="1">
        <f>IFERROR(__xludf.DUMMYFUNCTION("""COMPUTED_VALUE"""),2099.55)</f>
        <v>2099.55</v>
      </c>
    </row>
    <row r="3126">
      <c r="A3126" s="3">
        <f>IFERROR(__xludf.DUMMYFUNCTION("""COMPUTED_VALUE"""),43600.99861111111)</f>
        <v>43600.99861</v>
      </c>
      <c r="B3126" s="1">
        <f>IFERROR(__xludf.DUMMYFUNCTION("""COMPUTED_VALUE"""),2102.95)</f>
        <v>2102.95</v>
      </c>
    </row>
    <row r="3127">
      <c r="A3127" s="3">
        <f>IFERROR(__xludf.DUMMYFUNCTION("""COMPUTED_VALUE"""),43601.99861111111)</f>
        <v>43601.99861</v>
      </c>
      <c r="B3127" s="1">
        <f>IFERROR(__xludf.DUMMYFUNCTION("""COMPUTED_VALUE"""),2099.55)</f>
        <v>2099.55</v>
      </c>
    </row>
    <row r="3128">
      <c r="A3128" s="3">
        <f>IFERROR(__xludf.DUMMYFUNCTION("""COMPUTED_VALUE"""),43602.99861111111)</f>
        <v>43602.99861</v>
      </c>
      <c r="B3128" s="1">
        <f>IFERROR(__xludf.DUMMYFUNCTION("""COMPUTED_VALUE"""),2088.3)</f>
        <v>2088.3</v>
      </c>
    </row>
    <row r="3129">
      <c r="A3129" s="3">
        <f>IFERROR(__xludf.DUMMYFUNCTION("""COMPUTED_VALUE"""),43603.99861111111)</f>
        <v>43603.99861</v>
      </c>
      <c r="B3129" s="1">
        <f>IFERROR(__xludf.DUMMYFUNCTION("""COMPUTED_VALUE"""),2088.3)</f>
        <v>2088.3</v>
      </c>
    </row>
    <row r="3130">
      <c r="A3130" s="3">
        <f>IFERROR(__xludf.DUMMYFUNCTION("""COMPUTED_VALUE"""),43604.99861111111)</f>
        <v>43604.99861</v>
      </c>
      <c r="B3130" s="1">
        <f>IFERROR(__xludf.DUMMYFUNCTION("""COMPUTED_VALUE"""),2088.3)</f>
        <v>2088.3</v>
      </c>
    </row>
    <row r="3131">
      <c r="A3131" s="3">
        <f>IFERROR(__xludf.DUMMYFUNCTION("""COMPUTED_VALUE"""),43605.99861111111)</f>
        <v>43605.99861</v>
      </c>
      <c r="B3131" s="1">
        <f>IFERROR(__xludf.DUMMYFUNCTION("""COMPUTED_VALUE"""),2090.45)</f>
        <v>2090.45</v>
      </c>
    </row>
    <row r="3132">
      <c r="A3132" s="3">
        <f>IFERROR(__xludf.DUMMYFUNCTION("""COMPUTED_VALUE"""),43606.99861111111)</f>
        <v>43606.99861</v>
      </c>
      <c r="B3132" s="1">
        <f>IFERROR(__xludf.DUMMYFUNCTION("""COMPUTED_VALUE"""),2094.35)</f>
        <v>2094.35</v>
      </c>
    </row>
    <row r="3133">
      <c r="A3133" s="3">
        <f>IFERROR(__xludf.DUMMYFUNCTION("""COMPUTED_VALUE"""),43607.99861111111)</f>
        <v>43607.99861</v>
      </c>
      <c r="B3133" s="1">
        <f>IFERROR(__xludf.DUMMYFUNCTION("""COMPUTED_VALUE"""),2105.35)</f>
        <v>2105.35</v>
      </c>
    </row>
    <row r="3134">
      <c r="A3134" s="3">
        <f>IFERROR(__xludf.DUMMYFUNCTION("""COMPUTED_VALUE"""),43608.99861111111)</f>
        <v>43608.99861</v>
      </c>
      <c r="B3134" s="1">
        <f>IFERROR(__xludf.DUMMYFUNCTION("""COMPUTED_VALUE"""),2090.35)</f>
        <v>2090.35</v>
      </c>
    </row>
    <row r="3135">
      <c r="A3135" s="3">
        <f>IFERROR(__xludf.DUMMYFUNCTION("""COMPUTED_VALUE"""),43609.99861111111)</f>
        <v>43609.99861</v>
      </c>
      <c r="B3135" s="1">
        <f>IFERROR(__xludf.DUMMYFUNCTION("""COMPUTED_VALUE"""),2084.95)</f>
        <v>2084.95</v>
      </c>
    </row>
    <row r="3136">
      <c r="A3136" s="3">
        <f>IFERROR(__xludf.DUMMYFUNCTION("""COMPUTED_VALUE"""),43610.99861111111)</f>
        <v>43610.99861</v>
      </c>
      <c r="B3136" s="1">
        <f>IFERROR(__xludf.DUMMYFUNCTION("""COMPUTED_VALUE"""),2086.1)</f>
        <v>2086.1</v>
      </c>
    </row>
    <row r="3137">
      <c r="A3137" s="3">
        <f>IFERROR(__xludf.DUMMYFUNCTION("""COMPUTED_VALUE"""),43611.99861111111)</f>
        <v>43611.99861</v>
      </c>
      <c r="B3137" s="1">
        <f>IFERROR(__xludf.DUMMYFUNCTION("""COMPUTED_VALUE"""),2086.1)</f>
        <v>2086.1</v>
      </c>
    </row>
    <row r="3138">
      <c r="A3138" s="3">
        <f>IFERROR(__xludf.DUMMYFUNCTION("""COMPUTED_VALUE"""),43612.99861111111)</f>
        <v>43612.99861</v>
      </c>
      <c r="B3138" s="1">
        <f>IFERROR(__xludf.DUMMYFUNCTION("""COMPUTED_VALUE"""),2084.5)</f>
        <v>2084.5</v>
      </c>
    </row>
    <row r="3139">
      <c r="A3139" s="3">
        <f>IFERROR(__xludf.DUMMYFUNCTION("""COMPUTED_VALUE"""),43613.99861111111)</f>
        <v>43613.99861</v>
      </c>
      <c r="B3139" s="1">
        <f>IFERROR(__xludf.DUMMYFUNCTION("""COMPUTED_VALUE"""),2084.6)</f>
        <v>2084.6</v>
      </c>
    </row>
    <row r="3140">
      <c r="A3140" s="3">
        <f>IFERROR(__xludf.DUMMYFUNCTION("""COMPUTED_VALUE"""),43614.99861111111)</f>
        <v>43614.99861</v>
      </c>
      <c r="B3140" s="1">
        <f>IFERROR(__xludf.DUMMYFUNCTION("""COMPUTED_VALUE"""),2081.95)</f>
        <v>2081.95</v>
      </c>
    </row>
    <row r="3141">
      <c r="A3141" s="3">
        <f>IFERROR(__xludf.DUMMYFUNCTION("""COMPUTED_VALUE"""),43615.99861111111)</f>
        <v>43615.99861</v>
      </c>
      <c r="B3141" s="1">
        <f>IFERROR(__xludf.DUMMYFUNCTION("""COMPUTED_VALUE"""),2087.75)</f>
        <v>2087.75</v>
      </c>
    </row>
    <row r="3142">
      <c r="A3142" s="3">
        <f>IFERROR(__xludf.DUMMYFUNCTION("""COMPUTED_VALUE"""),43616.99861111111)</f>
        <v>43616.99861</v>
      </c>
      <c r="B3142" s="1">
        <f>IFERROR(__xludf.DUMMYFUNCTION("""COMPUTED_VALUE"""),2077.65)</f>
        <v>2077.65</v>
      </c>
    </row>
    <row r="3143">
      <c r="A3143" s="3">
        <f>IFERROR(__xludf.DUMMYFUNCTION("""COMPUTED_VALUE"""),43617.99861111111)</f>
        <v>43617.99861</v>
      </c>
      <c r="B3143" s="1">
        <f>IFERROR(__xludf.DUMMYFUNCTION("""COMPUTED_VALUE"""),2077.65)</f>
        <v>2077.65</v>
      </c>
    </row>
    <row r="3144">
      <c r="A3144" s="3">
        <f>IFERROR(__xludf.DUMMYFUNCTION("""COMPUTED_VALUE"""),43618.99861111111)</f>
        <v>43618.99861</v>
      </c>
      <c r="B3144" s="1">
        <f>IFERROR(__xludf.DUMMYFUNCTION("""COMPUTED_VALUE"""),2061.2)</f>
        <v>2061.2</v>
      </c>
    </row>
    <row r="3145">
      <c r="A3145" s="3">
        <f>IFERROR(__xludf.DUMMYFUNCTION("""COMPUTED_VALUE"""),43619.99861111111)</f>
        <v>43619.99861</v>
      </c>
      <c r="B3145" s="1">
        <f>IFERROR(__xludf.DUMMYFUNCTION("""COMPUTED_VALUE"""),2067.05)</f>
        <v>2067.05</v>
      </c>
    </row>
    <row r="3146">
      <c r="A3146" s="3">
        <f>IFERROR(__xludf.DUMMYFUNCTION("""COMPUTED_VALUE"""),43620.99861111111)</f>
        <v>43620.99861</v>
      </c>
      <c r="B3146" s="1">
        <f>IFERROR(__xludf.DUMMYFUNCTION("""COMPUTED_VALUE"""),2066.95)</f>
        <v>2066.95</v>
      </c>
    </row>
    <row r="3147">
      <c r="A3147" s="3">
        <f>IFERROR(__xludf.DUMMYFUNCTION("""COMPUTED_VALUE"""),43621.99861111111)</f>
        <v>43621.99861</v>
      </c>
      <c r="B3147" s="1">
        <f>IFERROR(__xludf.DUMMYFUNCTION("""COMPUTED_VALUE"""),2071.8)</f>
        <v>2071.8</v>
      </c>
    </row>
    <row r="3148">
      <c r="A3148" s="3">
        <f>IFERROR(__xludf.DUMMYFUNCTION("""COMPUTED_VALUE"""),43622.99861111111)</f>
        <v>43622.99861</v>
      </c>
      <c r="B3148" s="1">
        <f>IFERROR(__xludf.DUMMYFUNCTION("""COMPUTED_VALUE"""),2069.05)</f>
        <v>2069.05</v>
      </c>
    </row>
    <row r="3149">
      <c r="A3149" s="3">
        <f>IFERROR(__xludf.DUMMYFUNCTION("""COMPUTED_VALUE"""),43623.99861111111)</f>
        <v>43623.99861</v>
      </c>
      <c r="B3149" s="1">
        <f>IFERROR(__xludf.DUMMYFUNCTION("""COMPUTED_VALUE"""),2065.95)</f>
        <v>2065.95</v>
      </c>
    </row>
    <row r="3150">
      <c r="A3150" s="3">
        <f>IFERROR(__xludf.DUMMYFUNCTION("""COMPUTED_VALUE"""),43624.99861111111)</f>
        <v>43624.99861</v>
      </c>
      <c r="B3150" s="1">
        <f>IFERROR(__xludf.DUMMYFUNCTION("""COMPUTED_VALUE"""),2065.95)</f>
        <v>2065.95</v>
      </c>
    </row>
    <row r="3151">
      <c r="A3151" s="3">
        <f>IFERROR(__xludf.DUMMYFUNCTION("""COMPUTED_VALUE"""),43625.99861111111)</f>
        <v>43625.99861</v>
      </c>
      <c r="B3151" s="1">
        <f>IFERROR(__xludf.DUMMYFUNCTION("""COMPUTED_VALUE"""),2065.95)</f>
        <v>2065.95</v>
      </c>
    </row>
    <row r="3152">
      <c r="A3152" s="3">
        <f>IFERROR(__xludf.DUMMYFUNCTION("""COMPUTED_VALUE"""),43626.99861111111)</f>
        <v>43626.99861</v>
      </c>
      <c r="B3152" s="1">
        <f>IFERROR(__xludf.DUMMYFUNCTION("""COMPUTED_VALUE"""),2055.85)</f>
        <v>2055.85</v>
      </c>
    </row>
    <row r="3153">
      <c r="A3153" s="3">
        <f>IFERROR(__xludf.DUMMYFUNCTION("""COMPUTED_VALUE"""),43627.99861111111)</f>
        <v>43627.99861</v>
      </c>
      <c r="B3153" s="1">
        <f>IFERROR(__xludf.DUMMYFUNCTION("""COMPUTED_VALUE"""),2059.45)</f>
        <v>2059.45</v>
      </c>
    </row>
    <row r="3154">
      <c r="A3154" s="3">
        <f>IFERROR(__xludf.DUMMYFUNCTION("""COMPUTED_VALUE"""),43628.99861111111)</f>
        <v>43628.99861</v>
      </c>
      <c r="B3154" s="1">
        <f>IFERROR(__xludf.DUMMYFUNCTION("""COMPUTED_VALUE"""),2057.6)</f>
        <v>2057.6</v>
      </c>
    </row>
    <row r="3155">
      <c r="A3155" s="3">
        <f>IFERROR(__xludf.DUMMYFUNCTION("""COMPUTED_VALUE"""),43629.99861111111)</f>
        <v>43629.99861</v>
      </c>
      <c r="B3155" s="1">
        <f>IFERROR(__xludf.DUMMYFUNCTION("""COMPUTED_VALUE"""),2061.55)</f>
        <v>2061.55</v>
      </c>
    </row>
    <row r="3156">
      <c r="A3156" s="3">
        <f>IFERROR(__xludf.DUMMYFUNCTION("""COMPUTED_VALUE"""),43630.99861111111)</f>
        <v>43630.99861</v>
      </c>
      <c r="B3156" s="1">
        <f>IFERROR(__xludf.DUMMYFUNCTION("""COMPUTED_VALUE"""),2070.35)</f>
        <v>2070.35</v>
      </c>
    </row>
    <row r="3157">
      <c r="A3157" s="3">
        <f>IFERROR(__xludf.DUMMYFUNCTION("""COMPUTED_VALUE"""),43631.99861111111)</f>
        <v>43631.99861</v>
      </c>
      <c r="B3157" s="1">
        <f>IFERROR(__xludf.DUMMYFUNCTION("""COMPUTED_VALUE"""),2078.0)</f>
        <v>2078</v>
      </c>
    </row>
    <row r="3158">
      <c r="A3158" s="3">
        <f>IFERROR(__xludf.DUMMYFUNCTION("""COMPUTED_VALUE"""),43632.99861111111)</f>
        <v>43632.99861</v>
      </c>
      <c r="B3158" s="1">
        <f>IFERROR(__xludf.DUMMYFUNCTION("""COMPUTED_VALUE"""),2078.0)</f>
        <v>2078</v>
      </c>
    </row>
    <row r="3159">
      <c r="A3159" s="3">
        <f>IFERROR(__xludf.DUMMYFUNCTION("""COMPUTED_VALUE"""),43633.99861111111)</f>
        <v>43633.99861</v>
      </c>
      <c r="B3159" s="1">
        <f>IFERROR(__xludf.DUMMYFUNCTION("""COMPUTED_VALUE"""),2068.65)</f>
        <v>2068.65</v>
      </c>
    </row>
    <row r="3160">
      <c r="A3160" s="3">
        <f>IFERROR(__xludf.DUMMYFUNCTION("""COMPUTED_VALUE"""),43634.99861111111)</f>
        <v>43634.99861</v>
      </c>
      <c r="B3160" s="1">
        <f>IFERROR(__xludf.DUMMYFUNCTION("""COMPUTED_VALUE"""),2080.05)</f>
        <v>2080.05</v>
      </c>
    </row>
    <row r="3161">
      <c r="A3161" s="3">
        <f>IFERROR(__xludf.DUMMYFUNCTION("""COMPUTED_VALUE"""),43635.99861111111)</f>
        <v>43635.99861</v>
      </c>
      <c r="B3161" s="1">
        <f>IFERROR(__xludf.DUMMYFUNCTION("""COMPUTED_VALUE"""),2065.85)</f>
        <v>2065.85</v>
      </c>
    </row>
    <row r="3162">
      <c r="A3162" s="3">
        <f>IFERROR(__xludf.DUMMYFUNCTION("""COMPUTED_VALUE"""),43636.99861111111)</f>
        <v>43636.99861</v>
      </c>
      <c r="B3162" s="1">
        <f>IFERROR(__xludf.DUMMYFUNCTION("""COMPUTED_VALUE"""),2067.95)</f>
        <v>2067.95</v>
      </c>
    </row>
    <row r="3163">
      <c r="A3163" s="3">
        <f>IFERROR(__xludf.DUMMYFUNCTION("""COMPUTED_VALUE"""),43637.99861111111)</f>
        <v>43637.99861</v>
      </c>
      <c r="B3163" s="1">
        <f>IFERROR(__xludf.DUMMYFUNCTION("""COMPUTED_VALUE"""),2252.65)</f>
        <v>2252.65</v>
      </c>
    </row>
    <row r="3164">
      <c r="A3164" s="3">
        <f>IFERROR(__xludf.DUMMYFUNCTION("""COMPUTED_VALUE"""),43638.99861111111)</f>
        <v>43638.99861</v>
      </c>
      <c r="B3164" s="1">
        <f>IFERROR(__xludf.DUMMYFUNCTION("""COMPUTED_VALUE"""),2252.65)</f>
        <v>2252.65</v>
      </c>
    </row>
    <row r="3165">
      <c r="A3165" s="3">
        <f>IFERROR(__xludf.DUMMYFUNCTION("""COMPUTED_VALUE"""),43639.99861111111)</f>
        <v>43639.99861</v>
      </c>
      <c r="B3165" s="1">
        <f>IFERROR(__xludf.DUMMYFUNCTION("""COMPUTED_VALUE"""),2252.65)</f>
        <v>2252.65</v>
      </c>
    </row>
    <row r="3166">
      <c r="A3166" s="3">
        <f>IFERROR(__xludf.DUMMYFUNCTION("""COMPUTED_VALUE"""),43640.99861111111)</f>
        <v>43640.99861</v>
      </c>
      <c r="B3166" s="1">
        <f>IFERROR(__xludf.DUMMYFUNCTION("""COMPUTED_VALUE"""),2245.45)</f>
        <v>2245.45</v>
      </c>
    </row>
    <row r="3167">
      <c r="A3167" s="3">
        <f>IFERROR(__xludf.DUMMYFUNCTION("""COMPUTED_VALUE"""),43641.99861111111)</f>
        <v>43641.99861</v>
      </c>
      <c r="B3167" s="1">
        <f>IFERROR(__xludf.DUMMYFUNCTION("""COMPUTED_VALUE"""),2052.8)</f>
        <v>2052.8</v>
      </c>
    </row>
    <row r="3168">
      <c r="A3168" s="3">
        <f>IFERROR(__xludf.DUMMYFUNCTION("""COMPUTED_VALUE"""),43642.99861111111)</f>
        <v>43642.99861</v>
      </c>
      <c r="B3168" s="1">
        <f>IFERROR(__xludf.DUMMYFUNCTION("""COMPUTED_VALUE"""),2059.45)</f>
        <v>2059.45</v>
      </c>
    </row>
    <row r="3169">
      <c r="A3169" s="3">
        <f>IFERROR(__xludf.DUMMYFUNCTION("""COMPUTED_VALUE"""),43643.99861111111)</f>
        <v>43643.99861</v>
      </c>
      <c r="B3169" s="1">
        <f>IFERROR(__xludf.DUMMYFUNCTION("""COMPUTED_VALUE"""),2054.55)</f>
        <v>2054.55</v>
      </c>
    </row>
    <row r="3170">
      <c r="A3170" s="3">
        <f>IFERROR(__xludf.DUMMYFUNCTION("""COMPUTED_VALUE"""),43644.99861111111)</f>
        <v>43644.99861</v>
      </c>
      <c r="B3170" s="1">
        <f>IFERROR(__xludf.DUMMYFUNCTION("""COMPUTED_VALUE"""),2056.35)</f>
        <v>2056.35</v>
      </c>
    </row>
    <row r="3171">
      <c r="A3171" s="3">
        <f>IFERROR(__xludf.DUMMYFUNCTION("""COMPUTED_VALUE"""),43645.99861111111)</f>
        <v>43645.99861</v>
      </c>
      <c r="B3171" s="1">
        <f>IFERROR(__xludf.DUMMYFUNCTION("""COMPUTED_VALUE"""),2056.35)</f>
        <v>2056.35</v>
      </c>
    </row>
    <row r="3172">
      <c r="A3172" s="3">
        <f>IFERROR(__xludf.DUMMYFUNCTION("""COMPUTED_VALUE"""),43646.99861111111)</f>
        <v>43646.99861</v>
      </c>
      <c r="B3172" s="1">
        <f>IFERROR(__xludf.DUMMYFUNCTION("""COMPUTED_VALUE"""),2056.35)</f>
        <v>2056.35</v>
      </c>
    </row>
    <row r="3173">
      <c r="A3173" s="3">
        <f>IFERROR(__xludf.DUMMYFUNCTION("""COMPUTED_VALUE"""),43647.99861111111)</f>
        <v>43647.99861</v>
      </c>
      <c r="B3173" s="1">
        <f>IFERROR(__xludf.DUMMYFUNCTION("""COMPUTED_VALUE"""),2061.55)</f>
        <v>2061.55</v>
      </c>
    </row>
    <row r="3174">
      <c r="A3174" s="3">
        <f>IFERROR(__xludf.DUMMYFUNCTION("""COMPUTED_VALUE"""),43648.99861111111)</f>
        <v>43648.99861</v>
      </c>
      <c r="B3174" s="1">
        <f>IFERROR(__xludf.DUMMYFUNCTION("""COMPUTED_VALUE"""),2063.5)</f>
        <v>2063.5</v>
      </c>
    </row>
    <row r="3175">
      <c r="A3175" s="3">
        <f>IFERROR(__xludf.DUMMYFUNCTION("""COMPUTED_VALUE"""),43649.99861111111)</f>
        <v>43649.99861</v>
      </c>
      <c r="B3175" s="1">
        <f>IFERROR(__xludf.DUMMYFUNCTION("""COMPUTED_VALUE"""),2050.5)</f>
        <v>2050.5</v>
      </c>
    </row>
    <row r="3176">
      <c r="A3176" s="3">
        <f>IFERROR(__xludf.DUMMYFUNCTION("""COMPUTED_VALUE"""),43650.99861111111)</f>
        <v>43650.99861</v>
      </c>
      <c r="B3176" s="1">
        <f>IFERROR(__xludf.DUMMYFUNCTION("""COMPUTED_VALUE"""),2057.85)</f>
        <v>2057.85</v>
      </c>
    </row>
    <row r="3177">
      <c r="A3177" s="3">
        <f>IFERROR(__xludf.DUMMYFUNCTION("""COMPUTED_VALUE"""),43651.99861111111)</f>
        <v>43651.99861</v>
      </c>
      <c r="B3177" s="1">
        <f>IFERROR(__xludf.DUMMYFUNCTION("""COMPUTED_VALUE"""),2041.35)</f>
        <v>2041.35</v>
      </c>
    </row>
    <row r="3178">
      <c r="A3178" s="3">
        <f>IFERROR(__xludf.DUMMYFUNCTION("""COMPUTED_VALUE"""),43652.99861111111)</f>
        <v>43652.99861</v>
      </c>
      <c r="B3178" s="1">
        <f>IFERROR(__xludf.DUMMYFUNCTION("""COMPUTED_VALUE"""),2041.35)</f>
        <v>2041.35</v>
      </c>
    </row>
    <row r="3179">
      <c r="A3179" s="3">
        <f>IFERROR(__xludf.DUMMYFUNCTION("""COMPUTED_VALUE"""),43653.99861111111)</f>
        <v>43653.99861</v>
      </c>
      <c r="B3179" s="1">
        <f>IFERROR(__xludf.DUMMYFUNCTION("""COMPUTED_VALUE"""),2041.35)</f>
        <v>2041.35</v>
      </c>
    </row>
    <row r="3180">
      <c r="A3180" s="3">
        <f>IFERROR(__xludf.DUMMYFUNCTION("""COMPUTED_VALUE"""),43654.99861111111)</f>
        <v>43654.99861</v>
      </c>
      <c r="B3180" s="1">
        <f>IFERROR(__xludf.DUMMYFUNCTION("""COMPUTED_VALUE"""),2243.7)</f>
        <v>2243.7</v>
      </c>
    </row>
    <row r="3181">
      <c r="A3181" s="3">
        <f>IFERROR(__xludf.DUMMYFUNCTION("""COMPUTED_VALUE"""),43655.99861111111)</f>
        <v>43655.99861</v>
      </c>
      <c r="B3181" s="1">
        <f>IFERROR(__xludf.DUMMYFUNCTION("""COMPUTED_VALUE"""),2244.8)</f>
        <v>2244.8</v>
      </c>
    </row>
    <row r="3182">
      <c r="A3182" s="3">
        <f>IFERROR(__xludf.DUMMYFUNCTION("""COMPUTED_VALUE"""),43656.99861111111)</f>
        <v>43656.99861</v>
      </c>
      <c r="B3182" s="1">
        <f>IFERROR(__xludf.DUMMYFUNCTION("""COMPUTED_VALUE"""),2054.65)</f>
        <v>2054.65</v>
      </c>
    </row>
    <row r="3183">
      <c r="A3183" s="3">
        <f>IFERROR(__xludf.DUMMYFUNCTION("""COMPUTED_VALUE"""),43657.99861111111)</f>
        <v>43657.99861</v>
      </c>
      <c r="B3183" s="1">
        <f>IFERROR(__xludf.DUMMYFUNCTION("""COMPUTED_VALUE"""),2055.85)</f>
        <v>2055.85</v>
      </c>
    </row>
    <row r="3184">
      <c r="A3184" s="3">
        <f>IFERROR(__xludf.DUMMYFUNCTION("""COMPUTED_VALUE"""),43658.99861111111)</f>
        <v>43658.99861</v>
      </c>
      <c r="B3184" s="1">
        <f>IFERROR(__xludf.DUMMYFUNCTION("""COMPUTED_VALUE"""),2035.65)</f>
        <v>2035.65</v>
      </c>
    </row>
    <row r="3185">
      <c r="A3185" s="3">
        <f>IFERROR(__xludf.DUMMYFUNCTION("""COMPUTED_VALUE"""),43659.99861111111)</f>
        <v>43659.99861</v>
      </c>
      <c r="B3185" s="1">
        <f>IFERROR(__xludf.DUMMYFUNCTION("""COMPUTED_VALUE"""),2035.65)</f>
        <v>2035.65</v>
      </c>
    </row>
    <row r="3186">
      <c r="A3186" s="3">
        <f>IFERROR(__xludf.DUMMYFUNCTION("""COMPUTED_VALUE"""),43660.99861111111)</f>
        <v>43660.99861</v>
      </c>
      <c r="B3186" s="1">
        <f>IFERROR(__xludf.DUMMYFUNCTION("""COMPUTED_VALUE"""),2035.65)</f>
        <v>2035.65</v>
      </c>
    </row>
    <row r="3187">
      <c r="A3187" s="3">
        <f>IFERROR(__xludf.DUMMYFUNCTION("""COMPUTED_VALUE"""),43661.99861111111)</f>
        <v>43661.99861</v>
      </c>
      <c r="B3187" s="1">
        <f>IFERROR(__xludf.DUMMYFUNCTION("""COMPUTED_VALUE"""),2022.45)</f>
        <v>2022.45</v>
      </c>
    </row>
    <row r="3188">
      <c r="A3188" s="3">
        <f>IFERROR(__xludf.DUMMYFUNCTION("""COMPUTED_VALUE"""),43662.99861111111)</f>
        <v>43662.99861</v>
      </c>
      <c r="B3188" s="1">
        <f>IFERROR(__xludf.DUMMYFUNCTION("""COMPUTED_VALUE"""),2028.55)</f>
        <v>2028.55</v>
      </c>
    </row>
    <row r="3189">
      <c r="A3189" s="3">
        <f>IFERROR(__xludf.DUMMYFUNCTION("""COMPUTED_VALUE"""),43663.99861111111)</f>
        <v>43663.99861</v>
      </c>
      <c r="B3189" s="1">
        <f>IFERROR(__xludf.DUMMYFUNCTION("""COMPUTED_VALUE"""),2032.65)</f>
        <v>2032.65</v>
      </c>
    </row>
    <row r="3190">
      <c r="A3190" s="3">
        <f>IFERROR(__xludf.DUMMYFUNCTION("""COMPUTED_VALUE"""),43664.99861111111)</f>
        <v>43664.99861</v>
      </c>
      <c r="B3190" s="1">
        <f>IFERROR(__xludf.DUMMYFUNCTION("""COMPUTED_VALUE"""),2023.05)</f>
        <v>2023.05</v>
      </c>
    </row>
    <row r="3191">
      <c r="A3191" s="3">
        <f>IFERROR(__xludf.DUMMYFUNCTION("""COMPUTED_VALUE"""),43665.99861111111)</f>
        <v>43665.99861</v>
      </c>
      <c r="B3191" s="1">
        <f>IFERROR(__xludf.DUMMYFUNCTION("""COMPUTED_VALUE"""),2025.55)</f>
        <v>2025.55</v>
      </c>
    </row>
    <row r="3192">
      <c r="A3192" s="3">
        <f>IFERROR(__xludf.DUMMYFUNCTION("""COMPUTED_VALUE"""),43666.99861111111)</f>
        <v>43666.99861</v>
      </c>
      <c r="B3192" s="1">
        <f>IFERROR(__xludf.DUMMYFUNCTION("""COMPUTED_VALUE"""),2030.3)</f>
        <v>2030.3</v>
      </c>
    </row>
    <row r="3193">
      <c r="A3193" s="3">
        <f>IFERROR(__xludf.DUMMYFUNCTION("""COMPUTED_VALUE"""),43667.99861111111)</f>
        <v>43667.99861</v>
      </c>
      <c r="B3193" s="1">
        <f>IFERROR(__xludf.DUMMYFUNCTION("""COMPUTED_VALUE"""),2030.3)</f>
        <v>2030.3</v>
      </c>
    </row>
    <row r="3194">
      <c r="A3194" s="3">
        <f>IFERROR(__xludf.DUMMYFUNCTION("""COMPUTED_VALUE"""),43668.99861111111)</f>
        <v>43668.99861</v>
      </c>
      <c r="B3194" s="1">
        <f>IFERROR(__xludf.DUMMYFUNCTION("""COMPUTED_VALUE"""),2026.25)</f>
        <v>2026.25</v>
      </c>
    </row>
    <row r="3195">
      <c r="A3195" s="3">
        <f>IFERROR(__xludf.DUMMYFUNCTION("""COMPUTED_VALUE"""),43669.99861111111)</f>
        <v>43669.99861</v>
      </c>
      <c r="B3195" s="1">
        <f>IFERROR(__xludf.DUMMYFUNCTION("""COMPUTED_VALUE"""),2038.5)</f>
        <v>2038.5</v>
      </c>
    </row>
    <row r="3196">
      <c r="A3196" s="3">
        <f>IFERROR(__xludf.DUMMYFUNCTION("""COMPUTED_VALUE"""),43670.99861111111)</f>
        <v>43670.99861</v>
      </c>
      <c r="B3196" s="1">
        <f>IFERROR(__xludf.DUMMYFUNCTION("""COMPUTED_VALUE"""),2036.7)</f>
        <v>2036.7</v>
      </c>
    </row>
    <row r="3197">
      <c r="A3197" s="3">
        <f>IFERROR(__xludf.DUMMYFUNCTION("""COMPUTED_VALUE"""),43671.99861111111)</f>
        <v>43671.99861</v>
      </c>
      <c r="B3197" s="1">
        <f>IFERROR(__xludf.DUMMYFUNCTION("""COMPUTED_VALUE"""),2033.65)</f>
        <v>2033.65</v>
      </c>
    </row>
    <row r="3198">
      <c r="A3198" s="3">
        <f>IFERROR(__xludf.DUMMYFUNCTION("""COMPUTED_VALUE"""),43672.99861111111)</f>
        <v>43672.99861</v>
      </c>
      <c r="B3198" s="1">
        <f>IFERROR(__xludf.DUMMYFUNCTION("""COMPUTED_VALUE"""),2034.25)</f>
        <v>2034.25</v>
      </c>
    </row>
    <row r="3199">
      <c r="A3199" s="3">
        <f>IFERROR(__xludf.DUMMYFUNCTION("""COMPUTED_VALUE"""),43673.99861111111)</f>
        <v>43673.99861</v>
      </c>
      <c r="B3199" s="1">
        <f>IFERROR(__xludf.DUMMYFUNCTION("""COMPUTED_VALUE"""),2034.25)</f>
        <v>2034.25</v>
      </c>
    </row>
    <row r="3200">
      <c r="A3200" s="3">
        <f>IFERROR(__xludf.DUMMYFUNCTION("""COMPUTED_VALUE"""),43674.99861111111)</f>
        <v>43674.99861</v>
      </c>
      <c r="B3200" s="1">
        <f>IFERROR(__xludf.DUMMYFUNCTION("""COMPUTED_VALUE"""),2034.25)</f>
        <v>2034.25</v>
      </c>
    </row>
    <row r="3201">
      <c r="A3201" s="3">
        <f>IFERROR(__xludf.DUMMYFUNCTION("""COMPUTED_VALUE"""),43675.99861111111)</f>
        <v>43675.99861</v>
      </c>
      <c r="B3201" s="1">
        <f>IFERROR(__xludf.DUMMYFUNCTION("""COMPUTED_VALUE"""),2098.55)</f>
        <v>2098.55</v>
      </c>
    </row>
    <row r="3202">
      <c r="A3202" s="3">
        <f>IFERROR(__xludf.DUMMYFUNCTION("""COMPUTED_VALUE"""),43676.99861111111)</f>
        <v>43676.99861</v>
      </c>
      <c r="B3202" s="1">
        <f>IFERROR(__xludf.DUMMYFUNCTION("""COMPUTED_VALUE"""),2035.95)</f>
        <v>2035.95</v>
      </c>
    </row>
    <row r="3203">
      <c r="A3203" s="3">
        <f>IFERROR(__xludf.DUMMYFUNCTION("""COMPUTED_VALUE"""),43677.99861111111)</f>
        <v>43677.99861</v>
      </c>
      <c r="B3203" s="1">
        <f>IFERROR(__xludf.DUMMYFUNCTION("""COMPUTED_VALUE"""),2047.6)</f>
        <v>2047.6</v>
      </c>
    </row>
    <row r="3204">
      <c r="A3204" s="3">
        <f>IFERROR(__xludf.DUMMYFUNCTION("""COMPUTED_VALUE"""),43678.99861111111)</f>
        <v>43678.99861</v>
      </c>
      <c r="B3204" s="1">
        <f>IFERROR(__xludf.DUMMYFUNCTION("""COMPUTED_VALUE"""),2046.6)</f>
        <v>2046.6</v>
      </c>
    </row>
    <row r="3205">
      <c r="A3205" s="3">
        <f>IFERROR(__xludf.DUMMYFUNCTION("""COMPUTED_VALUE"""),43679.99861111111)</f>
        <v>43679.99861</v>
      </c>
      <c r="B3205" s="1">
        <f>IFERROR(__xludf.DUMMYFUNCTION("""COMPUTED_VALUE"""),2043.35)</f>
        <v>2043.35</v>
      </c>
    </row>
    <row r="3206">
      <c r="A3206" s="3">
        <f>IFERROR(__xludf.DUMMYFUNCTION("""COMPUTED_VALUE"""),43680.99861111111)</f>
        <v>43680.99861</v>
      </c>
      <c r="B3206" s="1">
        <f>IFERROR(__xludf.DUMMYFUNCTION("""COMPUTED_VALUE"""),2043.35)</f>
        <v>2043.35</v>
      </c>
    </row>
    <row r="3207">
      <c r="A3207" s="3">
        <f>IFERROR(__xludf.DUMMYFUNCTION("""COMPUTED_VALUE"""),43681.99861111111)</f>
        <v>43681.99861</v>
      </c>
      <c r="B3207" s="1">
        <f>IFERROR(__xludf.DUMMYFUNCTION("""COMPUTED_VALUE"""),2043.35)</f>
        <v>2043.35</v>
      </c>
    </row>
    <row r="3208">
      <c r="A3208" s="3">
        <f>IFERROR(__xludf.DUMMYFUNCTION("""COMPUTED_VALUE"""),43682.99861111111)</f>
        <v>43682.99861</v>
      </c>
      <c r="B3208" s="1">
        <f>IFERROR(__xludf.DUMMYFUNCTION("""COMPUTED_VALUE"""),2013.05)</f>
        <v>2013.05</v>
      </c>
    </row>
    <row r="3209">
      <c r="A3209" s="3">
        <f>IFERROR(__xludf.DUMMYFUNCTION("""COMPUTED_VALUE"""),43683.99861111111)</f>
        <v>43683.99861</v>
      </c>
      <c r="B3209" s="1">
        <f>IFERROR(__xludf.DUMMYFUNCTION("""COMPUTED_VALUE"""),2023.75)</f>
        <v>2023.75</v>
      </c>
    </row>
    <row r="3210">
      <c r="A3210" s="3">
        <f>IFERROR(__xludf.DUMMYFUNCTION("""COMPUTED_VALUE"""),43684.99861111111)</f>
        <v>43684.99861</v>
      </c>
      <c r="B3210" s="1">
        <f>IFERROR(__xludf.DUMMYFUNCTION("""COMPUTED_VALUE"""),2018.95)</f>
        <v>2018.95</v>
      </c>
    </row>
    <row r="3211">
      <c r="A3211" s="3">
        <f>IFERROR(__xludf.DUMMYFUNCTION("""COMPUTED_VALUE"""),43685.99861111111)</f>
        <v>43685.99861</v>
      </c>
      <c r="B3211" s="1">
        <f>IFERROR(__xludf.DUMMYFUNCTION("""COMPUTED_VALUE"""),2020.25)</f>
        <v>2020.25</v>
      </c>
    </row>
    <row r="3212">
      <c r="A3212" s="3">
        <f>IFERROR(__xludf.DUMMYFUNCTION("""COMPUTED_VALUE"""),43686.99861111111)</f>
        <v>43686.99861</v>
      </c>
      <c r="B3212" s="1">
        <f>IFERROR(__xludf.DUMMYFUNCTION("""COMPUTED_VALUE"""),2009.95)</f>
        <v>2009.95</v>
      </c>
    </row>
    <row r="3213">
      <c r="A3213" s="3">
        <f>IFERROR(__xludf.DUMMYFUNCTION("""COMPUTED_VALUE"""),43687.99861111111)</f>
        <v>43687.99861</v>
      </c>
      <c r="B3213" s="1">
        <f>IFERROR(__xludf.DUMMYFUNCTION("""COMPUTED_VALUE"""),2009.95)</f>
        <v>2009.95</v>
      </c>
    </row>
    <row r="3214">
      <c r="A3214" s="3">
        <f>IFERROR(__xludf.DUMMYFUNCTION("""COMPUTED_VALUE"""),43688.99861111111)</f>
        <v>43688.99861</v>
      </c>
      <c r="B3214" s="1">
        <f>IFERROR(__xludf.DUMMYFUNCTION("""COMPUTED_VALUE"""),2009.95)</f>
        <v>2009.95</v>
      </c>
    </row>
    <row r="3215">
      <c r="A3215" s="3">
        <f>IFERROR(__xludf.DUMMYFUNCTION("""COMPUTED_VALUE"""),43689.99861111111)</f>
        <v>43689.99861</v>
      </c>
      <c r="B3215" s="1">
        <f>IFERROR(__xludf.DUMMYFUNCTION("""COMPUTED_VALUE"""),2015.55)</f>
        <v>2015.55</v>
      </c>
    </row>
    <row r="3216">
      <c r="A3216" s="3">
        <f>IFERROR(__xludf.DUMMYFUNCTION("""COMPUTED_VALUE"""),43690.99861111111)</f>
        <v>43690.99861</v>
      </c>
      <c r="B3216" s="1">
        <f>IFERROR(__xludf.DUMMYFUNCTION("""COMPUTED_VALUE"""),2040.25)</f>
        <v>2040.25</v>
      </c>
    </row>
    <row r="3217">
      <c r="A3217" s="3">
        <f>IFERROR(__xludf.DUMMYFUNCTION("""COMPUTED_VALUE"""),43691.99861111111)</f>
        <v>43691.99861</v>
      </c>
      <c r="B3217" s="1">
        <f>IFERROR(__xludf.DUMMYFUNCTION("""COMPUTED_VALUE"""),2034.45)</f>
        <v>2034.45</v>
      </c>
    </row>
    <row r="3218">
      <c r="A3218" s="3">
        <f>IFERROR(__xludf.DUMMYFUNCTION("""COMPUTED_VALUE"""),43692.99861111111)</f>
        <v>43692.99861</v>
      </c>
      <c r="B3218" s="1">
        <f>IFERROR(__xludf.DUMMYFUNCTION("""COMPUTED_VALUE"""),2036.2)</f>
        <v>2036.2</v>
      </c>
    </row>
    <row r="3219">
      <c r="A3219" s="3">
        <f>IFERROR(__xludf.DUMMYFUNCTION("""COMPUTED_VALUE"""),43693.99861111111)</f>
        <v>43693.99861</v>
      </c>
      <c r="B3219" s="1">
        <f>IFERROR(__xludf.DUMMYFUNCTION("""COMPUTED_VALUE"""),2018.85)</f>
        <v>2018.85</v>
      </c>
    </row>
    <row r="3220">
      <c r="A3220" s="3">
        <f>IFERROR(__xludf.DUMMYFUNCTION("""COMPUTED_VALUE"""),43694.99861111111)</f>
        <v>43694.99861</v>
      </c>
      <c r="B3220" s="1">
        <f>IFERROR(__xludf.DUMMYFUNCTION("""COMPUTED_VALUE"""),2018.85)</f>
        <v>2018.85</v>
      </c>
    </row>
    <row r="3221">
      <c r="A3221" s="3">
        <f>IFERROR(__xludf.DUMMYFUNCTION("""COMPUTED_VALUE"""),43695.99861111111)</f>
        <v>43695.99861</v>
      </c>
      <c r="B3221" s="1">
        <f>IFERROR(__xludf.DUMMYFUNCTION("""COMPUTED_VALUE"""),2018.85)</f>
        <v>2018.85</v>
      </c>
    </row>
    <row r="3222">
      <c r="A3222" s="3">
        <f>IFERROR(__xludf.DUMMYFUNCTION("""COMPUTED_VALUE"""),43696.99861111111)</f>
        <v>43696.99861</v>
      </c>
      <c r="B3222" s="1">
        <f>IFERROR(__xludf.DUMMYFUNCTION("""COMPUTED_VALUE"""),2021.0)</f>
        <v>2021</v>
      </c>
    </row>
    <row r="3223">
      <c r="A3223" s="3">
        <f>IFERROR(__xludf.DUMMYFUNCTION("""COMPUTED_VALUE"""),43697.99861111111)</f>
        <v>43697.99861</v>
      </c>
      <c r="B3223" s="1">
        <f>IFERROR(__xludf.DUMMYFUNCTION("""COMPUTED_VALUE"""),2016.65)</f>
        <v>2016.65</v>
      </c>
    </row>
    <row r="3224">
      <c r="A3224" s="3">
        <f>IFERROR(__xludf.DUMMYFUNCTION("""COMPUTED_VALUE"""),43698.99861111111)</f>
        <v>43698.99861</v>
      </c>
      <c r="B3224" s="1">
        <f>IFERROR(__xludf.DUMMYFUNCTION("""COMPUTED_VALUE"""),2017.95)</f>
        <v>2017.95</v>
      </c>
    </row>
    <row r="3225">
      <c r="A3225" s="3">
        <f>IFERROR(__xludf.DUMMYFUNCTION("""COMPUTED_VALUE"""),43699.99861111111)</f>
        <v>43699.99861</v>
      </c>
      <c r="B3225" s="1">
        <f>IFERROR(__xludf.DUMMYFUNCTION("""COMPUTED_VALUE"""),2006.85)</f>
        <v>2006.85</v>
      </c>
    </row>
    <row r="3226">
      <c r="A3226" s="3">
        <f>IFERROR(__xludf.DUMMYFUNCTION("""COMPUTED_VALUE"""),43700.99861111111)</f>
        <v>43700.99861</v>
      </c>
      <c r="B3226" s="1">
        <f>IFERROR(__xludf.DUMMYFUNCTION("""COMPUTED_VALUE"""),1986.5)</f>
        <v>1986.5</v>
      </c>
    </row>
    <row r="3227">
      <c r="A3227" s="3">
        <f>IFERROR(__xludf.DUMMYFUNCTION("""COMPUTED_VALUE"""),43701.99861111111)</f>
        <v>43701.99861</v>
      </c>
      <c r="B3227" s="1">
        <f>IFERROR(__xludf.DUMMYFUNCTION("""COMPUTED_VALUE"""),2013.9)</f>
        <v>2013.9</v>
      </c>
    </row>
    <row r="3228">
      <c r="A3228" s="3">
        <f>IFERROR(__xludf.DUMMYFUNCTION("""COMPUTED_VALUE"""),43702.99861111111)</f>
        <v>43702.99861</v>
      </c>
      <c r="B3228" s="1">
        <f>IFERROR(__xludf.DUMMYFUNCTION("""COMPUTED_VALUE"""),2013.9)</f>
        <v>2013.9</v>
      </c>
    </row>
    <row r="3229">
      <c r="A3229" s="3">
        <f>IFERROR(__xludf.DUMMYFUNCTION("""COMPUTED_VALUE"""),43703.99861111111)</f>
        <v>43703.99861</v>
      </c>
      <c r="B3229" s="1">
        <f>IFERROR(__xludf.DUMMYFUNCTION("""COMPUTED_VALUE"""),1991.35)</f>
        <v>1991.35</v>
      </c>
    </row>
    <row r="3230">
      <c r="A3230" s="3">
        <f>IFERROR(__xludf.DUMMYFUNCTION("""COMPUTED_VALUE"""),43704.99861111111)</f>
        <v>43704.99861</v>
      </c>
      <c r="B3230" s="1">
        <f>IFERROR(__xludf.DUMMYFUNCTION("""COMPUTED_VALUE"""),1990.6)</f>
        <v>1990.6</v>
      </c>
    </row>
    <row r="3231">
      <c r="A3231" s="3">
        <f>IFERROR(__xludf.DUMMYFUNCTION("""COMPUTED_VALUE"""),43705.99861111111)</f>
        <v>43705.99861</v>
      </c>
      <c r="B3231" s="1">
        <f>IFERROR(__xludf.DUMMYFUNCTION("""COMPUTED_VALUE"""),1988.25)</f>
        <v>1988.25</v>
      </c>
    </row>
    <row r="3232">
      <c r="A3232" s="3">
        <f>IFERROR(__xludf.DUMMYFUNCTION("""COMPUTED_VALUE"""),43706.99861111111)</f>
        <v>43706.99861</v>
      </c>
      <c r="B3232" s="1">
        <f>IFERROR(__xludf.DUMMYFUNCTION("""COMPUTED_VALUE"""),1993.15)</f>
        <v>1993.15</v>
      </c>
    </row>
    <row r="3233">
      <c r="A3233" s="3">
        <f>IFERROR(__xludf.DUMMYFUNCTION("""COMPUTED_VALUE"""),43707.99861111111)</f>
        <v>43707.99861</v>
      </c>
      <c r="B3233" s="1">
        <f>IFERROR(__xludf.DUMMYFUNCTION("""COMPUTED_VALUE"""),1991.75)</f>
        <v>1991.75</v>
      </c>
    </row>
    <row r="3234">
      <c r="A3234" s="3">
        <f>IFERROR(__xludf.DUMMYFUNCTION("""COMPUTED_VALUE"""),43708.99861111111)</f>
        <v>43708.99861</v>
      </c>
      <c r="B3234" s="1">
        <f>IFERROR(__xludf.DUMMYFUNCTION("""COMPUTED_VALUE"""),1991.75)</f>
        <v>1991.75</v>
      </c>
    </row>
    <row r="3235">
      <c r="A3235" s="3">
        <f>IFERROR(__xludf.DUMMYFUNCTION("""COMPUTED_VALUE"""),43709.99861111111)</f>
        <v>43709.99861</v>
      </c>
      <c r="B3235" s="1">
        <f>IFERROR(__xludf.DUMMYFUNCTION("""COMPUTED_VALUE"""),1991.75)</f>
        <v>1991.75</v>
      </c>
    </row>
    <row r="3236">
      <c r="A3236" s="3">
        <f>IFERROR(__xludf.DUMMYFUNCTION("""COMPUTED_VALUE"""),43710.99861111111)</f>
        <v>43710.99861</v>
      </c>
      <c r="B3236" s="1">
        <f>IFERROR(__xludf.DUMMYFUNCTION("""COMPUTED_VALUE"""),1979.55)</f>
        <v>1979.55</v>
      </c>
    </row>
    <row r="3237">
      <c r="A3237" s="3">
        <f>IFERROR(__xludf.DUMMYFUNCTION("""COMPUTED_VALUE"""),43711.99861111111)</f>
        <v>43711.99861</v>
      </c>
      <c r="B3237" s="1">
        <f>IFERROR(__xludf.DUMMYFUNCTION("""COMPUTED_VALUE"""),1980.55)</f>
        <v>1980.55</v>
      </c>
    </row>
    <row r="3238">
      <c r="A3238" s="3">
        <f>IFERROR(__xludf.DUMMYFUNCTION("""COMPUTED_VALUE"""),43712.99861111111)</f>
        <v>43712.99861</v>
      </c>
      <c r="B3238" s="1">
        <f>IFERROR(__xludf.DUMMYFUNCTION("""COMPUTED_VALUE"""),1979.65)</f>
        <v>1979.65</v>
      </c>
    </row>
    <row r="3239">
      <c r="A3239" s="3">
        <f>IFERROR(__xludf.DUMMYFUNCTION("""COMPUTED_VALUE"""),43713.99861111111)</f>
        <v>43713.99861</v>
      </c>
      <c r="B3239" s="1">
        <f>IFERROR(__xludf.DUMMYFUNCTION("""COMPUTED_VALUE"""),1979.85)</f>
        <v>1979.85</v>
      </c>
    </row>
    <row r="3240">
      <c r="A3240" s="3">
        <f>IFERROR(__xludf.DUMMYFUNCTION("""COMPUTED_VALUE"""),43714.99861111111)</f>
        <v>43714.99861</v>
      </c>
      <c r="B3240" s="1">
        <f>IFERROR(__xludf.DUMMYFUNCTION("""COMPUTED_VALUE"""),1982.45)</f>
        <v>1982.45</v>
      </c>
    </row>
    <row r="3241">
      <c r="A3241" s="3">
        <f>IFERROR(__xludf.DUMMYFUNCTION("""COMPUTED_VALUE"""),43715.99861111111)</f>
        <v>43715.99861</v>
      </c>
      <c r="B3241" s="1">
        <f>IFERROR(__xludf.DUMMYFUNCTION("""COMPUTED_VALUE"""),1981.7)</f>
        <v>1981.7</v>
      </c>
    </row>
    <row r="3242">
      <c r="A3242" s="3">
        <f>IFERROR(__xludf.DUMMYFUNCTION("""COMPUTED_VALUE"""),43716.99861111111)</f>
        <v>43716.99861</v>
      </c>
      <c r="B3242" s="1">
        <f>IFERROR(__xludf.DUMMYFUNCTION("""COMPUTED_VALUE"""),1981.7)</f>
        <v>1981.7</v>
      </c>
    </row>
    <row r="3243">
      <c r="A3243" s="3">
        <f>IFERROR(__xludf.DUMMYFUNCTION("""COMPUTED_VALUE"""),43717.99861111111)</f>
        <v>43717.99861</v>
      </c>
      <c r="B3243" s="1">
        <f>IFERROR(__xludf.DUMMYFUNCTION("""COMPUTED_VALUE"""),1969.35)</f>
        <v>1969.35</v>
      </c>
    </row>
    <row r="3244">
      <c r="A3244" s="3">
        <f>IFERROR(__xludf.DUMMYFUNCTION("""COMPUTED_VALUE"""),43718.99861111111)</f>
        <v>43718.99861</v>
      </c>
      <c r="B3244" s="1">
        <f>IFERROR(__xludf.DUMMYFUNCTION("""COMPUTED_VALUE"""),1974.25)</f>
        <v>1974.25</v>
      </c>
    </row>
    <row r="3245">
      <c r="A3245" s="3">
        <f>IFERROR(__xludf.DUMMYFUNCTION("""COMPUTED_VALUE"""),43719.99861111111)</f>
        <v>43719.99861</v>
      </c>
      <c r="B3245" s="1">
        <f>IFERROR(__xludf.DUMMYFUNCTION("""COMPUTED_VALUE"""),1972.45)</f>
        <v>1972.45</v>
      </c>
    </row>
    <row r="3246">
      <c r="A3246" s="3">
        <f>IFERROR(__xludf.DUMMYFUNCTION("""COMPUTED_VALUE"""),43720.99861111111)</f>
        <v>43720.99861</v>
      </c>
      <c r="B3246" s="1">
        <f>IFERROR(__xludf.DUMMYFUNCTION("""COMPUTED_VALUE"""),1970.0)</f>
        <v>1970</v>
      </c>
    </row>
    <row r="3247">
      <c r="A3247" s="3">
        <f>IFERROR(__xludf.DUMMYFUNCTION("""COMPUTED_VALUE"""),43721.99861111111)</f>
        <v>43721.99861</v>
      </c>
      <c r="B3247" s="1">
        <f>IFERROR(__xludf.DUMMYFUNCTION("""COMPUTED_VALUE"""),1971.25)</f>
        <v>1971.25</v>
      </c>
    </row>
    <row r="3248">
      <c r="A3248" s="3">
        <f>IFERROR(__xludf.DUMMYFUNCTION("""COMPUTED_VALUE"""),43722.99861111111)</f>
        <v>43722.99861</v>
      </c>
      <c r="B3248" s="1">
        <f>IFERROR(__xludf.DUMMYFUNCTION("""COMPUTED_VALUE"""),1971.25)</f>
        <v>1971.25</v>
      </c>
    </row>
    <row r="3249">
      <c r="A3249" s="3">
        <f>IFERROR(__xludf.DUMMYFUNCTION("""COMPUTED_VALUE"""),43723.99861111111)</f>
        <v>43723.99861</v>
      </c>
      <c r="B3249" s="1">
        <f>IFERROR(__xludf.DUMMYFUNCTION("""COMPUTED_VALUE"""),1971.25)</f>
        <v>1971.25</v>
      </c>
    </row>
    <row r="3250">
      <c r="A3250" s="3">
        <f>IFERROR(__xludf.DUMMYFUNCTION("""COMPUTED_VALUE"""),43724.99861111111)</f>
        <v>43724.99861</v>
      </c>
      <c r="B3250" s="1">
        <f>IFERROR(__xludf.DUMMYFUNCTION("""COMPUTED_VALUE"""),1986.65)</f>
        <v>1986.65</v>
      </c>
    </row>
    <row r="3251">
      <c r="A3251" s="3">
        <f>IFERROR(__xludf.DUMMYFUNCTION("""COMPUTED_VALUE"""),43725.99861111111)</f>
        <v>43725.99861</v>
      </c>
      <c r="B3251" s="1">
        <f>IFERROR(__xludf.DUMMYFUNCTION("""COMPUTED_VALUE"""),1967.25)</f>
        <v>1967.25</v>
      </c>
    </row>
    <row r="3252">
      <c r="A3252" s="3">
        <f>IFERROR(__xludf.DUMMYFUNCTION("""COMPUTED_VALUE"""),43726.99861111111)</f>
        <v>43726.99861</v>
      </c>
      <c r="B3252" s="1">
        <f>IFERROR(__xludf.DUMMYFUNCTION("""COMPUTED_VALUE"""),1996.05)</f>
        <v>1996.05</v>
      </c>
    </row>
    <row r="3253">
      <c r="A3253" s="3">
        <f>IFERROR(__xludf.DUMMYFUNCTION("""COMPUTED_VALUE"""),43727.99861111111)</f>
        <v>43727.99861</v>
      </c>
      <c r="B3253" s="1">
        <f>IFERROR(__xludf.DUMMYFUNCTION("""COMPUTED_VALUE"""),1990.15)</f>
        <v>1990.15</v>
      </c>
    </row>
    <row r="3254">
      <c r="A3254" s="3">
        <f>IFERROR(__xludf.DUMMYFUNCTION("""COMPUTED_VALUE"""),43728.99861111111)</f>
        <v>43728.99861</v>
      </c>
      <c r="B3254" s="1">
        <f>IFERROR(__xludf.DUMMYFUNCTION("""COMPUTED_VALUE"""),1979.7)</f>
        <v>1979.7</v>
      </c>
    </row>
    <row r="3255">
      <c r="A3255" s="3">
        <f>IFERROR(__xludf.DUMMYFUNCTION("""COMPUTED_VALUE"""),43729.99861111111)</f>
        <v>43729.99861</v>
      </c>
      <c r="B3255" s="1">
        <f>IFERROR(__xludf.DUMMYFUNCTION("""COMPUTED_VALUE"""),1979.7)</f>
        <v>1979.7</v>
      </c>
    </row>
    <row r="3256">
      <c r="A3256" s="3">
        <f>IFERROR(__xludf.DUMMYFUNCTION("""COMPUTED_VALUE"""),43730.99861111111)</f>
        <v>43730.99861</v>
      </c>
      <c r="B3256" s="1">
        <f>IFERROR(__xludf.DUMMYFUNCTION("""COMPUTED_VALUE"""),1979.7)</f>
        <v>1979.7</v>
      </c>
    </row>
    <row r="3257">
      <c r="A3257" s="3">
        <f>IFERROR(__xludf.DUMMYFUNCTION("""COMPUTED_VALUE"""),43731.99861111111)</f>
        <v>43731.99861</v>
      </c>
      <c r="B3257" s="1">
        <f>IFERROR(__xludf.DUMMYFUNCTION("""COMPUTED_VALUE"""),1977.25)</f>
        <v>1977.25</v>
      </c>
    </row>
    <row r="3258">
      <c r="A3258" s="3">
        <f>IFERROR(__xludf.DUMMYFUNCTION("""COMPUTED_VALUE"""),43732.99861111111)</f>
        <v>43732.99861</v>
      </c>
      <c r="B3258" s="1">
        <f>IFERROR(__xludf.DUMMYFUNCTION("""COMPUTED_VALUE"""),1983.9)</f>
        <v>1983.9</v>
      </c>
    </row>
    <row r="3259">
      <c r="A3259" s="3">
        <f>IFERROR(__xludf.DUMMYFUNCTION("""COMPUTED_VALUE"""),43733.99861111111)</f>
        <v>43733.99861</v>
      </c>
      <c r="B3259" s="1">
        <f>IFERROR(__xludf.DUMMYFUNCTION("""COMPUTED_VALUE"""),1982.45)</f>
        <v>1982.45</v>
      </c>
    </row>
    <row r="3260">
      <c r="A3260" s="3">
        <f>IFERROR(__xludf.DUMMYFUNCTION("""COMPUTED_VALUE"""),43734.99861111111)</f>
        <v>43734.99861</v>
      </c>
      <c r="B3260" s="1">
        <f>IFERROR(__xludf.DUMMYFUNCTION("""COMPUTED_VALUE"""),1989.0)</f>
        <v>1989</v>
      </c>
    </row>
    <row r="3261">
      <c r="A3261" s="3">
        <f>IFERROR(__xludf.DUMMYFUNCTION("""COMPUTED_VALUE"""),43735.99861111111)</f>
        <v>43735.99861</v>
      </c>
      <c r="B3261" s="1">
        <f>IFERROR(__xludf.DUMMYFUNCTION("""COMPUTED_VALUE"""),1988.15)</f>
        <v>1988.15</v>
      </c>
    </row>
    <row r="3262">
      <c r="A3262" s="3">
        <f>IFERROR(__xludf.DUMMYFUNCTION("""COMPUTED_VALUE"""),43736.99861111111)</f>
        <v>43736.99861</v>
      </c>
      <c r="B3262" s="1">
        <f>IFERROR(__xludf.DUMMYFUNCTION("""COMPUTED_VALUE"""),1988.2)</f>
        <v>1988.2</v>
      </c>
    </row>
    <row r="3263">
      <c r="A3263" s="3">
        <f>IFERROR(__xludf.DUMMYFUNCTION("""COMPUTED_VALUE"""),43737.99861111111)</f>
        <v>43737.99861</v>
      </c>
      <c r="B3263" s="1">
        <f>IFERROR(__xludf.DUMMYFUNCTION("""COMPUTED_VALUE"""),1988.2)</f>
        <v>1988.2</v>
      </c>
    </row>
    <row r="3264">
      <c r="A3264" s="3">
        <f>IFERROR(__xludf.DUMMYFUNCTION("""COMPUTED_VALUE"""),43738.99861111111)</f>
        <v>43738.99861</v>
      </c>
      <c r="B3264" s="1">
        <f>IFERROR(__xludf.DUMMYFUNCTION("""COMPUTED_VALUE"""),1989.75)</f>
        <v>1989.75</v>
      </c>
    </row>
    <row r="3265">
      <c r="A3265" s="3">
        <f>IFERROR(__xludf.DUMMYFUNCTION("""COMPUTED_VALUE"""),43739.99861111111)</f>
        <v>43739.99861</v>
      </c>
      <c r="B3265" s="1">
        <f>IFERROR(__xludf.DUMMYFUNCTION("""COMPUTED_VALUE"""),1982.65)</f>
        <v>1982.65</v>
      </c>
    </row>
    <row r="3266">
      <c r="A3266" s="3">
        <f>IFERROR(__xludf.DUMMYFUNCTION("""COMPUTED_VALUE"""),43740.99861111111)</f>
        <v>43740.99861</v>
      </c>
      <c r="B3266" s="1">
        <f>IFERROR(__xludf.DUMMYFUNCTION("""COMPUTED_VALUE"""),1978.55)</f>
        <v>1978.55</v>
      </c>
    </row>
    <row r="3267">
      <c r="A3267" s="3">
        <f>IFERROR(__xludf.DUMMYFUNCTION("""COMPUTED_VALUE"""),43741.99861111111)</f>
        <v>43741.99861</v>
      </c>
      <c r="B3267" s="1">
        <f>IFERROR(__xludf.DUMMYFUNCTION("""COMPUTED_VALUE"""),1984.05)</f>
        <v>1984.05</v>
      </c>
    </row>
    <row r="3268">
      <c r="A3268" s="3">
        <f>IFERROR(__xludf.DUMMYFUNCTION("""COMPUTED_VALUE"""),43742.99861111111)</f>
        <v>43742.99861</v>
      </c>
      <c r="B3268" s="1">
        <f>IFERROR(__xludf.DUMMYFUNCTION("""COMPUTED_VALUE"""),1975.9)</f>
        <v>1975.9</v>
      </c>
    </row>
    <row r="3269">
      <c r="A3269" s="3">
        <f>IFERROR(__xludf.DUMMYFUNCTION("""COMPUTED_VALUE"""),43743.99861111111)</f>
        <v>43743.99861</v>
      </c>
      <c r="B3269" s="1">
        <f>IFERROR(__xludf.DUMMYFUNCTION("""COMPUTED_VALUE"""),1979.45)</f>
        <v>1979.45</v>
      </c>
    </row>
    <row r="3270">
      <c r="A3270" s="3">
        <f>IFERROR(__xludf.DUMMYFUNCTION("""COMPUTED_VALUE"""),43744.99861111111)</f>
        <v>43744.99861</v>
      </c>
      <c r="B3270" s="1">
        <f>IFERROR(__xludf.DUMMYFUNCTION("""COMPUTED_VALUE"""),1979.45)</f>
        <v>1979.45</v>
      </c>
    </row>
    <row r="3271">
      <c r="A3271" s="3">
        <f>IFERROR(__xludf.DUMMYFUNCTION("""COMPUTED_VALUE"""),43745.99861111111)</f>
        <v>43745.99861</v>
      </c>
      <c r="B3271" s="1">
        <f>IFERROR(__xludf.DUMMYFUNCTION("""COMPUTED_VALUE"""),1980.95)</f>
        <v>1980.95</v>
      </c>
    </row>
    <row r="3272">
      <c r="A3272" s="3">
        <f>IFERROR(__xludf.DUMMYFUNCTION("""COMPUTED_VALUE"""),43746.99861111111)</f>
        <v>43746.99861</v>
      </c>
      <c r="B3272" s="1">
        <f>IFERROR(__xludf.DUMMYFUNCTION("""COMPUTED_VALUE"""),1984.25)</f>
        <v>1984.25</v>
      </c>
    </row>
    <row r="3273">
      <c r="A3273" s="3">
        <f>IFERROR(__xludf.DUMMYFUNCTION("""COMPUTED_VALUE"""),43747.99861111111)</f>
        <v>43747.99861</v>
      </c>
      <c r="B3273" s="1">
        <f>IFERROR(__xludf.DUMMYFUNCTION("""COMPUTED_VALUE"""),1983.45)</f>
        <v>1983.45</v>
      </c>
    </row>
    <row r="3274">
      <c r="A3274" s="3">
        <f>IFERROR(__xludf.DUMMYFUNCTION("""COMPUTED_VALUE"""),43748.99861111111)</f>
        <v>43748.99861</v>
      </c>
      <c r="B3274" s="1">
        <f>IFERROR(__xludf.DUMMYFUNCTION("""COMPUTED_VALUE"""),1990.05)</f>
        <v>1990.05</v>
      </c>
    </row>
    <row r="3275">
      <c r="A3275" s="3">
        <f>IFERROR(__xludf.DUMMYFUNCTION("""COMPUTED_VALUE"""),43749.99861111111)</f>
        <v>43749.99861</v>
      </c>
      <c r="B3275" s="1">
        <f>IFERROR(__xludf.DUMMYFUNCTION("""COMPUTED_VALUE"""),1993.35)</f>
        <v>1993.35</v>
      </c>
    </row>
    <row r="3276">
      <c r="A3276" s="3">
        <f>IFERROR(__xludf.DUMMYFUNCTION("""COMPUTED_VALUE"""),43750.99861111111)</f>
        <v>43750.99861</v>
      </c>
      <c r="B3276" s="1">
        <f>IFERROR(__xludf.DUMMYFUNCTION("""COMPUTED_VALUE"""),1993.352)</f>
        <v>1993.352</v>
      </c>
    </row>
    <row r="3277">
      <c r="A3277" s="3">
        <f>IFERROR(__xludf.DUMMYFUNCTION("""COMPUTED_VALUE"""),43751.99861111111)</f>
        <v>43751.99861</v>
      </c>
      <c r="B3277" s="1">
        <f>IFERROR(__xludf.DUMMYFUNCTION("""COMPUTED_VALUE"""),1997.531)</f>
        <v>1997.531</v>
      </c>
    </row>
    <row r="3278">
      <c r="A3278" s="3">
        <f>IFERROR(__xludf.DUMMYFUNCTION("""COMPUTED_VALUE"""),43752.99861111111)</f>
        <v>43752.99861</v>
      </c>
      <c r="B3278" s="1">
        <f>IFERROR(__xludf.DUMMYFUNCTION("""COMPUTED_VALUE"""),2001.224)</f>
        <v>2001.224</v>
      </c>
    </row>
    <row r="3279">
      <c r="A3279" s="3">
        <f>IFERROR(__xludf.DUMMYFUNCTION("""COMPUTED_VALUE"""),43753.99861111111)</f>
        <v>43753.99861</v>
      </c>
      <c r="B3279" s="1">
        <f>IFERROR(__xludf.DUMMYFUNCTION("""COMPUTED_VALUE"""),2000.154)</f>
        <v>2000.154</v>
      </c>
    </row>
    <row r="3280">
      <c r="A3280" s="3">
        <f>IFERROR(__xludf.DUMMYFUNCTION("""COMPUTED_VALUE"""),43754.99861111111)</f>
        <v>43754.99861</v>
      </c>
      <c r="B3280" s="1">
        <f>IFERROR(__xludf.DUMMYFUNCTION("""COMPUTED_VALUE"""),1989.613)</f>
        <v>1989.613</v>
      </c>
    </row>
    <row r="3281">
      <c r="A3281" s="3">
        <f>IFERROR(__xludf.DUMMYFUNCTION("""COMPUTED_VALUE"""),43755.99861111111)</f>
        <v>43755.99861</v>
      </c>
      <c r="B3281" s="1">
        <f>IFERROR(__xludf.DUMMYFUNCTION("""COMPUTED_VALUE"""),1998.781)</f>
        <v>1998.781</v>
      </c>
    </row>
    <row r="3282">
      <c r="A3282" s="3">
        <f>IFERROR(__xludf.DUMMYFUNCTION("""COMPUTED_VALUE"""),43756.99861111111)</f>
        <v>43756.99861</v>
      </c>
      <c r="B3282" s="1">
        <f>IFERROR(__xludf.DUMMYFUNCTION("""COMPUTED_VALUE"""),1995.323)</f>
        <v>1995.323</v>
      </c>
    </row>
    <row r="3283">
      <c r="A3283" s="3">
        <f>IFERROR(__xludf.DUMMYFUNCTION("""COMPUTED_VALUE"""),43757.99861111111)</f>
        <v>43757.99861</v>
      </c>
      <c r="B3283" s="1">
        <f>IFERROR(__xludf.DUMMYFUNCTION("""COMPUTED_VALUE"""),1995.323)</f>
        <v>1995.323</v>
      </c>
    </row>
    <row r="3284">
      <c r="A3284" s="3">
        <f>IFERROR(__xludf.DUMMYFUNCTION("""COMPUTED_VALUE"""),43758.99861111111)</f>
        <v>43758.99861</v>
      </c>
      <c r="B3284" s="1">
        <f>IFERROR(__xludf.DUMMYFUNCTION("""COMPUTED_VALUE"""),1995.323)</f>
        <v>1995.323</v>
      </c>
    </row>
    <row r="3285">
      <c r="A3285" s="3">
        <f>IFERROR(__xludf.DUMMYFUNCTION("""COMPUTED_VALUE"""),43759.99861111111)</f>
        <v>43759.99861</v>
      </c>
      <c r="B3285" s="1">
        <f>IFERROR(__xludf.DUMMYFUNCTION("""COMPUTED_VALUE"""),1988.492)</f>
        <v>1988.492</v>
      </c>
    </row>
    <row r="3286">
      <c r="A3286" s="3">
        <f>IFERROR(__xludf.DUMMYFUNCTION("""COMPUTED_VALUE"""),43760.99861111111)</f>
        <v>43760.99861</v>
      </c>
      <c r="B3286" s="1">
        <f>IFERROR(__xludf.DUMMYFUNCTION("""COMPUTED_VALUE"""),1991.9)</f>
        <v>1991.9</v>
      </c>
    </row>
    <row r="3287">
      <c r="A3287" s="3">
        <f>IFERROR(__xludf.DUMMYFUNCTION("""COMPUTED_VALUE"""),43761.99861111111)</f>
        <v>43761.99861</v>
      </c>
      <c r="B3287" s="1">
        <f>IFERROR(__xludf.DUMMYFUNCTION("""COMPUTED_VALUE"""),1980.851)</f>
        <v>1980.851</v>
      </c>
    </row>
    <row r="3288">
      <c r="A3288" s="3">
        <f>IFERROR(__xludf.DUMMYFUNCTION("""COMPUTED_VALUE"""),43762.99861111111)</f>
        <v>43762.99861</v>
      </c>
      <c r="B3288" s="1">
        <f>IFERROR(__xludf.DUMMYFUNCTION("""COMPUTED_VALUE"""),1989.044)</f>
        <v>1989.044</v>
      </c>
    </row>
    <row r="3289">
      <c r="A3289" s="3">
        <f>IFERROR(__xludf.DUMMYFUNCTION("""COMPUTED_VALUE"""),43763.99861111111)</f>
        <v>43763.99861</v>
      </c>
      <c r="B3289" s="1">
        <f>IFERROR(__xludf.DUMMYFUNCTION("""COMPUTED_VALUE"""),1985.974)</f>
        <v>1985.974</v>
      </c>
    </row>
    <row r="3290">
      <c r="A3290" s="3">
        <f>IFERROR(__xludf.DUMMYFUNCTION("""COMPUTED_VALUE"""),43764.99861111111)</f>
        <v>43764.99861</v>
      </c>
      <c r="B3290" s="1">
        <f>IFERROR(__xludf.DUMMYFUNCTION("""COMPUTED_VALUE"""),1985.974)</f>
        <v>1985.974</v>
      </c>
    </row>
    <row r="3291">
      <c r="A3291" s="3">
        <f>IFERROR(__xludf.DUMMYFUNCTION("""COMPUTED_VALUE"""),43765.99861111111)</f>
        <v>43765.99861</v>
      </c>
      <c r="B3291" s="1">
        <f>IFERROR(__xludf.DUMMYFUNCTION("""COMPUTED_VALUE"""),1985.974)</f>
        <v>1985.974</v>
      </c>
    </row>
    <row r="3292">
      <c r="A3292" s="3">
        <f>IFERROR(__xludf.DUMMYFUNCTION("""COMPUTED_VALUE"""),43766.99861111111)</f>
        <v>43766.99861</v>
      </c>
      <c r="B3292" s="1">
        <f>IFERROR(__xludf.DUMMYFUNCTION("""COMPUTED_VALUE"""),1984.294)</f>
        <v>1984.294</v>
      </c>
    </row>
    <row r="3293">
      <c r="A3293" s="3">
        <f>IFERROR(__xludf.DUMMYFUNCTION("""COMPUTED_VALUE"""),43767.99861111111)</f>
        <v>43767.99861</v>
      </c>
      <c r="B3293" s="1">
        <f>IFERROR(__xludf.DUMMYFUNCTION("""COMPUTED_VALUE"""),1982.325)</f>
        <v>1982.325</v>
      </c>
    </row>
    <row r="3294">
      <c r="A3294" s="3">
        <f>IFERROR(__xludf.DUMMYFUNCTION("""COMPUTED_VALUE"""),43768.99861111111)</f>
        <v>43768.99861</v>
      </c>
      <c r="B3294" s="1">
        <f>IFERROR(__xludf.DUMMYFUNCTION("""COMPUTED_VALUE"""),1982.868)</f>
        <v>1982.868</v>
      </c>
    </row>
    <row r="3295">
      <c r="A3295" s="3">
        <f>IFERROR(__xludf.DUMMYFUNCTION("""COMPUTED_VALUE"""),43769.99861111111)</f>
        <v>43769.99861</v>
      </c>
      <c r="B3295" s="1">
        <f>IFERROR(__xludf.DUMMYFUNCTION("""COMPUTED_VALUE"""),1992.156)</f>
        <v>1992.156</v>
      </c>
    </row>
    <row r="3296">
      <c r="A3296" s="3">
        <f>IFERROR(__xludf.DUMMYFUNCTION("""COMPUTED_VALUE"""),43770.99861111111)</f>
        <v>43770.99861</v>
      </c>
      <c r="B3296" s="1">
        <f>IFERROR(__xludf.DUMMYFUNCTION("""COMPUTED_VALUE"""),1992.256)</f>
        <v>1992.256</v>
      </c>
    </row>
    <row r="3297">
      <c r="A3297" s="3">
        <f>IFERROR(__xludf.DUMMYFUNCTION("""COMPUTED_VALUE"""),43771.99861111111)</f>
        <v>43771.99861</v>
      </c>
      <c r="B3297" s="1">
        <f>IFERROR(__xludf.DUMMYFUNCTION("""COMPUTED_VALUE"""),1992.256)</f>
        <v>1992.256</v>
      </c>
    </row>
    <row r="3298">
      <c r="A3298" s="3">
        <f>IFERROR(__xludf.DUMMYFUNCTION("""COMPUTED_VALUE"""),43772.99861111111)</f>
        <v>43772.99861</v>
      </c>
      <c r="B3298" s="1">
        <f>IFERROR(__xludf.DUMMYFUNCTION("""COMPUTED_VALUE"""),1992.256)</f>
        <v>1992.256</v>
      </c>
    </row>
    <row r="3299">
      <c r="A3299" s="3">
        <f>IFERROR(__xludf.DUMMYFUNCTION("""COMPUTED_VALUE"""),43773.99861111111)</f>
        <v>43773.99861</v>
      </c>
      <c r="B3299" s="1">
        <f>IFERROR(__xludf.DUMMYFUNCTION("""COMPUTED_VALUE"""),2000.18)</f>
        <v>2000.18</v>
      </c>
    </row>
    <row r="3300">
      <c r="A3300" s="3">
        <f>IFERROR(__xludf.DUMMYFUNCTION("""COMPUTED_VALUE"""),43774.99861111111)</f>
        <v>43774.99861</v>
      </c>
      <c r="B3300" s="1">
        <f>IFERROR(__xludf.DUMMYFUNCTION("""COMPUTED_VALUE"""),2004.071)</f>
        <v>2004.071</v>
      </c>
    </row>
    <row r="3301">
      <c r="A3301" s="3">
        <f>IFERROR(__xludf.DUMMYFUNCTION("""COMPUTED_VALUE"""),43775.99861111111)</f>
        <v>43775.99861</v>
      </c>
      <c r="B3301" s="1">
        <f>IFERROR(__xludf.DUMMYFUNCTION("""COMPUTED_VALUE"""),2002.427)</f>
        <v>2002.427</v>
      </c>
    </row>
    <row r="3302">
      <c r="A3302" s="3">
        <f>IFERROR(__xludf.DUMMYFUNCTION("""COMPUTED_VALUE"""),43776.99861111111)</f>
        <v>43776.99861</v>
      </c>
      <c r="B3302" s="1">
        <f>IFERROR(__xludf.DUMMYFUNCTION("""COMPUTED_VALUE"""),2003.138)</f>
        <v>2003.138</v>
      </c>
    </row>
    <row r="3303">
      <c r="A3303" s="3">
        <f>IFERROR(__xludf.DUMMYFUNCTION("""COMPUTED_VALUE"""),43777.99861111111)</f>
        <v>43777.99861</v>
      </c>
      <c r="B3303" s="1">
        <f>IFERROR(__xludf.DUMMYFUNCTION("""COMPUTED_VALUE"""),2003.684)</f>
        <v>2003.684</v>
      </c>
    </row>
    <row r="3304">
      <c r="A3304" s="3">
        <f>IFERROR(__xludf.DUMMYFUNCTION("""COMPUTED_VALUE"""),43778.99861111111)</f>
        <v>43778.99861</v>
      </c>
      <c r="B3304" s="1">
        <f>IFERROR(__xludf.DUMMYFUNCTION("""COMPUTED_VALUE"""),2003.684)</f>
        <v>2003.684</v>
      </c>
    </row>
    <row r="3305">
      <c r="A3305" s="3">
        <f>IFERROR(__xludf.DUMMYFUNCTION("""COMPUTED_VALUE"""),43779.99861111111)</f>
        <v>43779.99861</v>
      </c>
      <c r="B3305" s="1">
        <f>IFERROR(__xludf.DUMMYFUNCTION("""COMPUTED_VALUE"""),2003.684)</f>
        <v>2003.684</v>
      </c>
    </row>
    <row r="3306">
      <c r="A3306" s="3">
        <f>IFERROR(__xludf.DUMMYFUNCTION("""COMPUTED_VALUE"""),43780.99861111111)</f>
        <v>43780.99861</v>
      </c>
      <c r="B3306" s="1">
        <f>IFERROR(__xludf.DUMMYFUNCTION("""COMPUTED_VALUE"""),1997.208)</f>
        <v>1997.208</v>
      </c>
    </row>
    <row r="3307">
      <c r="A3307" s="3">
        <f>IFERROR(__xludf.DUMMYFUNCTION("""COMPUTED_VALUE"""),43781.99861111111)</f>
        <v>43781.99861</v>
      </c>
      <c r="B3307" s="1">
        <f>IFERROR(__xludf.DUMMYFUNCTION("""COMPUTED_VALUE"""),2006.485)</f>
        <v>2006.485</v>
      </c>
    </row>
    <row r="3308">
      <c r="A3308" s="3">
        <f>IFERROR(__xludf.DUMMYFUNCTION("""COMPUTED_VALUE"""),43782.99861111111)</f>
        <v>43782.99861</v>
      </c>
      <c r="B3308" s="1">
        <f>IFERROR(__xludf.DUMMYFUNCTION("""COMPUTED_VALUE"""),2004.774)</f>
        <v>2004.774</v>
      </c>
    </row>
    <row r="3309">
      <c r="A3309" s="3">
        <f>IFERROR(__xludf.DUMMYFUNCTION("""COMPUTED_VALUE"""),43783.99861111111)</f>
        <v>43783.99861</v>
      </c>
      <c r="B3309" s="1">
        <f>IFERROR(__xludf.DUMMYFUNCTION("""COMPUTED_VALUE"""),2005.584)</f>
        <v>2005.584</v>
      </c>
    </row>
    <row r="3310">
      <c r="A3310" s="3">
        <f>IFERROR(__xludf.DUMMYFUNCTION("""COMPUTED_VALUE"""),43784.99861111111)</f>
        <v>43784.99861</v>
      </c>
      <c r="B3310" s="1">
        <f>IFERROR(__xludf.DUMMYFUNCTION("""COMPUTED_VALUE"""),2007.901)</f>
        <v>2007.901</v>
      </c>
    </row>
    <row r="3311">
      <c r="A3311" s="3">
        <f>IFERROR(__xludf.DUMMYFUNCTION("""COMPUTED_VALUE"""),43785.99861111111)</f>
        <v>43785.99861</v>
      </c>
      <c r="B3311" s="1">
        <f>IFERROR(__xludf.DUMMYFUNCTION("""COMPUTED_VALUE"""),2007.828)</f>
        <v>2007.828</v>
      </c>
    </row>
    <row r="3312">
      <c r="A3312" s="3">
        <f>IFERROR(__xludf.DUMMYFUNCTION("""COMPUTED_VALUE"""),43786.99861111111)</f>
        <v>43786.99861</v>
      </c>
      <c r="B3312" s="1">
        <f>IFERROR(__xludf.DUMMYFUNCTION("""COMPUTED_VALUE"""),2007.828)</f>
        <v>2007.828</v>
      </c>
    </row>
    <row r="3313">
      <c r="A3313" s="3">
        <f>IFERROR(__xludf.DUMMYFUNCTION("""COMPUTED_VALUE"""),43787.99861111111)</f>
        <v>43787.99861</v>
      </c>
      <c r="B3313" s="1">
        <f>IFERROR(__xludf.DUMMYFUNCTION("""COMPUTED_VALUE"""),2001.372)</f>
        <v>2001.372</v>
      </c>
    </row>
    <row r="3314">
      <c r="A3314" s="3">
        <f>IFERROR(__xludf.DUMMYFUNCTION("""COMPUTED_VALUE"""),43788.99861111111)</f>
        <v>43788.99861</v>
      </c>
      <c r="B3314" s="1">
        <f>IFERROR(__xludf.DUMMYFUNCTION("""COMPUTED_VALUE"""),2004.985)</f>
        <v>2004.985</v>
      </c>
    </row>
    <row r="3315">
      <c r="A3315" s="3">
        <f>IFERROR(__xludf.DUMMYFUNCTION("""COMPUTED_VALUE"""),43789.99861111111)</f>
        <v>43789.99861</v>
      </c>
      <c r="B3315" s="1">
        <f>IFERROR(__xludf.DUMMYFUNCTION("""COMPUTED_VALUE"""),1995.33)</f>
        <v>1995.33</v>
      </c>
    </row>
    <row r="3316">
      <c r="A3316" s="3">
        <f>IFERROR(__xludf.DUMMYFUNCTION("""COMPUTED_VALUE"""),43790.99861111111)</f>
        <v>43790.99861</v>
      </c>
      <c r="B3316" s="1">
        <f>IFERROR(__xludf.DUMMYFUNCTION("""COMPUTED_VALUE"""),2003.009)</f>
        <v>2003.009</v>
      </c>
    </row>
    <row r="3317">
      <c r="A3317" s="3">
        <f>IFERROR(__xludf.DUMMYFUNCTION("""COMPUTED_VALUE"""),43791.99861111111)</f>
        <v>43791.99861</v>
      </c>
      <c r="B3317" s="1">
        <f>IFERROR(__xludf.DUMMYFUNCTION("""COMPUTED_VALUE"""),2001.521)</f>
        <v>2001.521</v>
      </c>
    </row>
    <row r="3318">
      <c r="A3318" s="3">
        <f>IFERROR(__xludf.DUMMYFUNCTION("""COMPUTED_VALUE"""),43792.99861111111)</f>
        <v>43792.99861</v>
      </c>
      <c r="B3318" s="1">
        <f>IFERROR(__xludf.DUMMYFUNCTION("""COMPUTED_VALUE"""),2001.521)</f>
        <v>2001.521</v>
      </c>
    </row>
    <row r="3319">
      <c r="A3319" s="3">
        <f>IFERROR(__xludf.DUMMYFUNCTION("""COMPUTED_VALUE"""),43793.99861111111)</f>
        <v>43793.99861</v>
      </c>
      <c r="B3319" s="1">
        <f>IFERROR(__xludf.DUMMYFUNCTION("""COMPUTED_VALUE"""),2001.521)</f>
        <v>2001.521</v>
      </c>
    </row>
    <row r="3320">
      <c r="A3320" s="3">
        <f>IFERROR(__xludf.DUMMYFUNCTION("""COMPUTED_VALUE"""),43794.99861111111)</f>
        <v>43794.99861</v>
      </c>
      <c r="B3320" s="1">
        <f>IFERROR(__xludf.DUMMYFUNCTION("""COMPUTED_VALUE"""),1999.303)</f>
        <v>1999.303</v>
      </c>
    </row>
    <row r="3321">
      <c r="A3321" s="3">
        <f>IFERROR(__xludf.DUMMYFUNCTION("""COMPUTED_VALUE"""),43795.99861111111)</f>
        <v>43795.99861</v>
      </c>
      <c r="B3321" s="1">
        <f>IFERROR(__xludf.DUMMYFUNCTION("""COMPUTED_VALUE"""),2002.064)</f>
        <v>2002.064</v>
      </c>
    </row>
    <row r="3322">
      <c r="A3322" s="3">
        <f>IFERROR(__xludf.DUMMYFUNCTION("""COMPUTED_VALUE"""),43796.99861111111)</f>
        <v>43796.99861</v>
      </c>
      <c r="B3322" s="1">
        <f>IFERROR(__xludf.DUMMYFUNCTION("""COMPUTED_VALUE"""),2004.964)</f>
        <v>2004.964</v>
      </c>
    </row>
    <row r="3323">
      <c r="A3323" s="3">
        <f>IFERROR(__xludf.DUMMYFUNCTION("""COMPUTED_VALUE"""),43797.99861111111)</f>
        <v>43797.99861</v>
      </c>
      <c r="B3323" s="1">
        <f>IFERROR(__xludf.DUMMYFUNCTION("""COMPUTED_VALUE"""),2000.995)</f>
        <v>2000.995</v>
      </c>
    </row>
    <row r="3324">
      <c r="A3324" s="3">
        <f>IFERROR(__xludf.DUMMYFUNCTION("""COMPUTED_VALUE"""),43798.99861111111)</f>
        <v>43798.99861</v>
      </c>
      <c r="B3324" s="1">
        <f>IFERROR(__xludf.DUMMYFUNCTION("""COMPUTED_VALUE"""),2002.813)</f>
        <v>2002.813</v>
      </c>
    </row>
    <row r="3325">
      <c r="A3325" s="3">
        <f>IFERROR(__xludf.DUMMYFUNCTION("""COMPUTED_VALUE"""),43799.99861111111)</f>
        <v>43799.99861</v>
      </c>
      <c r="B3325" s="1">
        <f>IFERROR(__xludf.DUMMYFUNCTION("""COMPUTED_VALUE"""),2006.462)</f>
        <v>2006.462</v>
      </c>
    </row>
    <row r="3326">
      <c r="A3326" s="3">
        <f>IFERROR(__xludf.DUMMYFUNCTION("""COMPUTED_VALUE"""),43800.99861111111)</f>
        <v>43800.99861</v>
      </c>
      <c r="B3326" s="1">
        <f>IFERROR(__xludf.DUMMYFUNCTION("""COMPUTED_VALUE"""),2006.462)</f>
        <v>2006.462</v>
      </c>
    </row>
    <row r="3327">
      <c r="A3327" s="3">
        <f>IFERROR(__xludf.DUMMYFUNCTION("""COMPUTED_VALUE"""),43801.99861111111)</f>
        <v>43801.99861</v>
      </c>
      <c r="B3327" s="1">
        <f>IFERROR(__xludf.DUMMYFUNCTION("""COMPUTED_VALUE"""),2007.208)</f>
        <v>2007.208</v>
      </c>
    </row>
    <row r="3328">
      <c r="A3328" s="3">
        <f>IFERROR(__xludf.DUMMYFUNCTION("""COMPUTED_VALUE"""),43802.99861111111)</f>
        <v>43802.99861</v>
      </c>
      <c r="B3328" s="1">
        <f>IFERROR(__xludf.DUMMYFUNCTION("""COMPUTED_VALUE"""),1996.857)</f>
        <v>1996.857</v>
      </c>
    </row>
    <row r="3329">
      <c r="A3329" s="3">
        <f>IFERROR(__xludf.DUMMYFUNCTION("""COMPUTED_VALUE"""),43803.99861111111)</f>
        <v>43803.99861</v>
      </c>
      <c r="B3329" s="1">
        <f>IFERROR(__xludf.DUMMYFUNCTION("""COMPUTED_VALUE"""),1985.767)</f>
        <v>1985.767</v>
      </c>
    </row>
    <row r="3330">
      <c r="A3330" s="3">
        <f>IFERROR(__xludf.DUMMYFUNCTION("""COMPUTED_VALUE"""),43804.99861111111)</f>
        <v>43804.99861</v>
      </c>
      <c r="B3330" s="1">
        <f>IFERROR(__xludf.DUMMYFUNCTION("""COMPUTED_VALUE"""),1983.28)</f>
        <v>1983.28</v>
      </c>
    </row>
    <row r="3331">
      <c r="A3331" s="3">
        <f>IFERROR(__xludf.DUMMYFUNCTION("""COMPUTED_VALUE"""),43805.99861111111)</f>
        <v>43805.99861</v>
      </c>
      <c r="B3331" s="1">
        <f>IFERROR(__xludf.DUMMYFUNCTION("""COMPUTED_VALUE"""),1993.472)</f>
        <v>1993.472</v>
      </c>
    </row>
    <row r="3332">
      <c r="A3332" s="3">
        <f>IFERROR(__xludf.DUMMYFUNCTION("""COMPUTED_VALUE"""),43806.99861111111)</f>
        <v>43806.99861</v>
      </c>
      <c r="B3332" s="1">
        <f>IFERROR(__xludf.DUMMYFUNCTION("""COMPUTED_VALUE"""),1993.472)</f>
        <v>1993.472</v>
      </c>
    </row>
    <row r="3333">
      <c r="A3333" s="3">
        <f>IFERROR(__xludf.DUMMYFUNCTION("""COMPUTED_VALUE"""),43807.99861111111)</f>
        <v>43807.99861</v>
      </c>
      <c r="B3333" s="1">
        <f>IFERROR(__xludf.DUMMYFUNCTION("""COMPUTED_VALUE"""),1993.472)</f>
        <v>1993.472</v>
      </c>
    </row>
    <row r="3334">
      <c r="A3334" s="3">
        <f>IFERROR(__xludf.DUMMYFUNCTION("""COMPUTED_VALUE"""),43808.99861111111)</f>
        <v>43808.99861</v>
      </c>
      <c r="B3334" s="1">
        <f>IFERROR(__xludf.DUMMYFUNCTION("""COMPUTED_VALUE"""),1990.369)</f>
        <v>1990.369</v>
      </c>
    </row>
    <row r="3335">
      <c r="A3335" s="3">
        <f>IFERROR(__xludf.DUMMYFUNCTION("""COMPUTED_VALUE"""),43809.99861111111)</f>
        <v>43809.99861</v>
      </c>
      <c r="B3335" s="1">
        <f>IFERROR(__xludf.DUMMYFUNCTION("""COMPUTED_VALUE"""),1991.875)</f>
        <v>1991.875</v>
      </c>
    </row>
    <row r="3336">
      <c r="A3336" s="3">
        <f>IFERROR(__xludf.DUMMYFUNCTION("""COMPUTED_VALUE"""),43810.99861111111)</f>
        <v>43810.99861</v>
      </c>
      <c r="B3336" s="1">
        <f>IFERROR(__xludf.DUMMYFUNCTION("""COMPUTED_VALUE"""),1986.294)</f>
        <v>1986.294</v>
      </c>
    </row>
    <row r="3337">
      <c r="A3337" s="3">
        <f>IFERROR(__xludf.DUMMYFUNCTION("""COMPUTED_VALUE"""),43811.99861111111)</f>
        <v>43811.99861</v>
      </c>
      <c r="B3337" s="1">
        <f>IFERROR(__xludf.DUMMYFUNCTION("""COMPUTED_VALUE"""),1994.676)</f>
        <v>1994.676</v>
      </c>
    </row>
    <row r="3338">
      <c r="A3338" s="3">
        <f>IFERROR(__xludf.DUMMYFUNCTION("""COMPUTED_VALUE"""),43812.99861111111)</f>
        <v>43812.99861</v>
      </c>
      <c r="B3338" s="1">
        <f>IFERROR(__xludf.DUMMYFUNCTION("""COMPUTED_VALUE"""),1999.228)</f>
        <v>1999.228</v>
      </c>
    </row>
    <row r="3339">
      <c r="A3339" s="3">
        <f>IFERROR(__xludf.DUMMYFUNCTION("""COMPUTED_VALUE"""),43813.99861111111)</f>
        <v>43813.99861</v>
      </c>
      <c r="B3339" s="1">
        <f>IFERROR(__xludf.DUMMYFUNCTION("""COMPUTED_VALUE"""),1999.228)</f>
        <v>1999.228</v>
      </c>
    </row>
    <row r="3340">
      <c r="A3340" s="3">
        <f>IFERROR(__xludf.DUMMYFUNCTION("""COMPUTED_VALUE"""),43814.99861111111)</f>
        <v>43814.99861</v>
      </c>
      <c r="B3340" s="1">
        <f>IFERROR(__xludf.DUMMYFUNCTION("""COMPUTED_VALUE"""),1999.228)</f>
        <v>1999.228</v>
      </c>
    </row>
    <row r="3341">
      <c r="A3341" s="3">
        <f>IFERROR(__xludf.DUMMYFUNCTION("""COMPUTED_VALUE"""),43815.99861111111)</f>
        <v>43815.99861</v>
      </c>
      <c r="B3341" s="1">
        <f>IFERROR(__xludf.DUMMYFUNCTION("""COMPUTED_VALUE"""),2003.8)</f>
        <v>2003.8</v>
      </c>
    </row>
    <row r="3342">
      <c r="A3342" s="3">
        <f>IFERROR(__xludf.DUMMYFUNCTION("""COMPUTED_VALUE"""),43816.99861111111)</f>
        <v>43816.99861</v>
      </c>
      <c r="B3342" s="1">
        <f>IFERROR(__xludf.DUMMYFUNCTION("""COMPUTED_VALUE"""),1998.795)</f>
        <v>1998.795</v>
      </c>
    </row>
    <row r="3343">
      <c r="A3343" s="3">
        <f>IFERROR(__xludf.DUMMYFUNCTION("""COMPUTED_VALUE"""),43817.99861111111)</f>
        <v>43817.99861</v>
      </c>
      <c r="B3343" s="1">
        <f>IFERROR(__xludf.DUMMYFUNCTION("""COMPUTED_VALUE"""),1994.503)</f>
        <v>1994.503</v>
      </c>
    </row>
    <row r="3344">
      <c r="A3344" s="3">
        <f>IFERROR(__xludf.DUMMYFUNCTION("""COMPUTED_VALUE"""),43818.99861111111)</f>
        <v>43818.99861</v>
      </c>
      <c r="B3344" s="1">
        <f>IFERROR(__xludf.DUMMYFUNCTION("""COMPUTED_VALUE"""),1994.64)</f>
        <v>1994.64</v>
      </c>
    </row>
    <row r="3345">
      <c r="A3345" s="3">
        <f>IFERROR(__xludf.DUMMYFUNCTION("""COMPUTED_VALUE"""),43819.99861111111)</f>
        <v>43819.99861</v>
      </c>
      <c r="B3345" s="1">
        <f>IFERROR(__xludf.DUMMYFUNCTION("""COMPUTED_VALUE"""),1993.736)</f>
        <v>1993.736</v>
      </c>
    </row>
    <row r="3346">
      <c r="A3346" s="3">
        <f>IFERROR(__xludf.DUMMYFUNCTION("""COMPUTED_VALUE"""),43820.99861111111)</f>
        <v>43820.99861</v>
      </c>
      <c r="B3346" s="1">
        <f>IFERROR(__xludf.DUMMYFUNCTION("""COMPUTED_VALUE"""),1993.736)</f>
        <v>1993.736</v>
      </c>
    </row>
    <row r="3347">
      <c r="A3347" s="3">
        <f>IFERROR(__xludf.DUMMYFUNCTION("""COMPUTED_VALUE"""),43821.99861111111)</f>
        <v>43821.99861</v>
      </c>
      <c r="B3347" s="1">
        <f>IFERROR(__xludf.DUMMYFUNCTION("""COMPUTED_VALUE"""),1993.736)</f>
        <v>1993.736</v>
      </c>
    </row>
    <row r="3348">
      <c r="A3348" s="3">
        <f>IFERROR(__xludf.DUMMYFUNCTION("""COMPUTED_VALUE"""),43822.99861111111)</f>
        <v>43822.99861</v>
      </c>
      <c r="B3348" s="1">
        <f>IFERROR(__xludf.DUMMYFUNCTION("""COMPUTED_VALUE"""),1990.744)</f>
        <v>1990.744</v>
      </c>
    </row>
    <row r="3349">
      <c r="A3349" s="3">
        <f>IFERROR(__xludf.DUMMYFUNCTION("""COMPUTED_VALUE"""),43823.99861111111)</f>
        <v>43823.99861</v>
      </c>
      <c r="B3349" s="1">
        <f>IFERROR(__xludf.DUMMYFUNCTION("""COMPUTED_VALUE"""),1992.304)</f>
        <v>1992.304</v>
      </c>
    </row>
    <row r="3350">
      <c r="A3350" s="3">
        <f>IFERROR(__xludf.DUMMYFUNCTION("""COMPUTED_VALUE"""),43824.99861111111)</f>
        <v>43824.99861</v>
      </c>
      <c r="B3350" s="1">
        <f>IFERROR(__xludf.DUMMYFUNCTION("""COMPUTED_VALUE"""),1991.962)</f>
        <v>1991.962</v>
      </c>
    </row>
    <row r="3351">
      <c r="A3351" s="3">
        <f>IFERROR(__xludf.DUMMYFUNCTION("""COMPUTED_VALUE"""),43825.99861111111)</f>
        <v>43825.99861</v>
      </c>
      <c r="B3351" s="1">
        <f>IFERROR(__xludf.DUMMYFUNCTION("""COMPUTED_VALUE"""),1995.286)</f>
        <v>1995.286</v>
      </c>
    </row>
    <row r="3352">
      <c r="A3352" s="3">
        <f>IFERROR(__xludf.DUMMYFUNCTION("""COMPUTED_VALUE"""),43826.99861111111)</f>
        <v>43826.99861</v>
      </c>
      <c r="B3352" s="1">
        <f>IFERROR(__xludf.DUMMYFUNCTION("""COMPUTED_VALUE"""),1995.012)</f>
        <v>1995.012</v>
      </c>
    </row>
    <row r="3353">
      <c r="A3353" s="3">
        <f>IFERROR(__xludf.DUMMYFUNCTION("""COMPUTED_VALUE"""),43827.99861111111)</f>
        <v>43827.99861</v>
      </c>
      <c r="B3353" s="1">
        <f>IFERROR(__xludf.DUMMYFUNCTION("""COMPUTED_VALUE"""),1995.012)</f>
        <v>1995.012</v>
      </c>
    </row>
    <row r="3354">
      <c r="A3354" s="3">
        <f>IFERROR(__xludf.DUMMYFUNCTION("""COMPUTED_VALUE"""),43828.99861111111)</f>
        <v>43828.99861</v>
      </c>
      <c r="B3354" s="1">
        <f>IFERROR(__xludf.DUMMYFUNCTION("""COMPUTED_VALUE"""),1995.012)</f>
        <v>1995.012</v>
      </c>
    </row>
    <row r="3355">
      <c r="A3355" s="3">
        <f>IFERROR(__xludf.DUMMYFUNCTION("""COMPUTED_VALUE"""),43829.99861111111)</f>
        <v>43829.99861</v>
      </c>
      <c r="B3355" s="1">
        <f>IFERROR(__xludf.DUMMYFUNCTION("""COMPUTED_VALUE"""),1992.49)</f>
        <v>1992.49</v>
      </c>
    </row>
    <row r="3356">
      <c r="A3356" s="3">
        <f>IFERROR(__xludf.DUMMYFUNCTION("""COMPUTED_VALUE"""),43830.99861111111)</f>
        <v>43830.99861</v>
      </c>
      <c r="B3356" s="1">
        <f>IFERROR(__xludf.DUMMYFUNCTION("""COMPUTED_VALUE"""),1989.973)</f>
        <v>1989.973</v>
      </c>
    </row>
    <row r="3357">
      <c r="A3357" s="3">
        <f>IFERROR(__xludf.DUMMYFUNCTION("""COMPUTED_VALUE"""),43831.99861111111)</f>
        <v>43831.99861</v>
      </c>
      <c r="B3357" s="1">
        <f>IFERROR(__xludf.DUMMYFUNCTION("""COMPUTED_VALUE"""),1989.973)</f>
        <v>1989.973</v>
      </c>
    </row>
    <row r="3358">
      <c r="A3358" s="3">
        <f>IFERROR(__xludf.DUMMYFUNCTION("""COMPUTED_VALUE"""),43832.99861111111)</f>
        <v>43832.99861</v>
      </c>
      <c r="B3358" s="1">
        <f>IFERROR(__xludf.DUMMYFUNCTION("""COMPUTED_VALUE"""),1994.421)</f>
        <v>1994.421</v>
      </c>
    </row>
    <row r="3359">
      <c r="A3359" s="3">
        <f>IFERROR(__xludf.DUMMYFUNCTION("""COMPUTED_VALUE"""),43833.99861111111)</f>
        <v>43833.99861</v>
      </c>
      <c r="B3359" s="1">
        <f>IFERROR(__xludf.DUMMYFUNCTION("""COMPUTED_VALUE"""),2001.57)</f>
        <v>2001.57</v>
      </c>
    </row>
    <row r="3360">
      <c r="A3360" s="3">
        <f>IFERROR(__xludf.DUMMYFUNCTION("""COMPUTED_VALUE"""),43834.99861111111)</f>
        <v>43834.99861</v>
      </c>
      <c r="B3360" s="1">
        <f>IFERROR(__xludf.DUMMYFUNCTION("""COMPUTED_VALUE"""),2001.57)</f>
        <v>2001.57</v>
      </c>
    </row>
    <row r="3361">
      <c r="A3361" s="3">
        <f>IFERROR(__xludf.DUMMYFUNCTION("""COMPUTED_VALUE"""),43835.99861111111)</f>
        <v>43835.99861</v>
      </c>
      <c r="B3361" s="1">
        <f>IFERROR(__xludf.DUMMYFUNCTION("""COMPUTED_VALUE"""),2001.57)</f>
        <v>2001.57</v>
      </c>
    </row>
    <row r="3362">
      <c r="A3362" s="3">
        <f>IFERROR(__xludf.DUMMYFUNCTION("""COMPUTED_VALUE"""),43836.99861111111)</f>
        <v>43836.99861</v>
      </c>
      <c r="B3362" s="1">
        <f>IFERROR(__xludf.DUMMYFUNCTION("""COMPUTED_VALUE"""),1991.779)</f>
        <v>1991.779</v>
      </c>
    </row>
    <row r="3363">
      <c r="A3363" s="3">
        <f>IFERROR(__xludf.DUMMYFUNCTION("""COMPUTED_VALUE"""),43837.99861111111)</f>
        <v>43837.99861</v>
      </c>
      <c r="B3363" s="1">
        <f>IFERROR(__xludf.DUMMYFUNCTION("""COMPUTED_VALUE"""),1997.391)</f>
        <v>1997.391</v>
      </c>
    </row>
    <row r="3364">
      <c r="A3364" s="3">
        <f>IFERROR(__xludf.DUMMYFUNCTION("""COMPUTED_VALUE"""),43838.99861111111)</f>
        <v>43838.99861</v>
      </c>
      <c r="B3364" s="1">
        <f>IFERROR(__xludf.DUMMYFUNCTION("""COMPUTED_VALUE"""),2001.684)</f>
        <v>2001.684</v>
      </c>
    </row>
    <row r="3365">
      <c r="A3365" s="3">
        <f>IFERROR(__xludf.DUMMYFUNCTION("""COMPUTED_VALUE"""),43839.99861111111)</f>
        <v>43839.99861</v>
      </c>
      <c r="B3365" s="1">
        <f>IFERROR(__xludf.DUMMYFUNCTION("""COMPUTED_VALUE"""),1995.662)</f>
        <v>1995.662</v>
      </c>
    </row>
    <row r="3366">
      <c r="A3366" s="3">
        <f>IFERROR(__xludf.DUMMYFUNCTION("""COMPUTED_VALUE"""),43840.99861111111)</f>
        <v>43840.99861</v>
      </c>
      <c r="B3366" s="1">
        <f>IFERROR(__xludf.DUMMYFUNCTION("""COMPUTED_VALUE"""),1988.252)</f>
        <v>1988.252</v>
      </c>
    </row>
    <row r="3367">
      <c r="A3367" s="3">
        <f>IFERROR(__xludf.DUMMYFUNCTION("""COMPUTED_VALUE"""),43841.99861111111)</f>
        <v>43841.99861</v>
      </c>
      <c r="B3367" s="1">
        <f>IFERROR(__xludf.DUMMYFUNCTION("""COMPUTED_VALUE"""),1984.473)</f>
        <v>1984.473</v>
      </c>
    </row>
    <row r="3368">
      <c r="A3368" s="3">
        <f>IFERROR(__xludf.DUMMYFUNCTION("""COMPUTED_VALUE"""),43842.99861111111)</f>
        <v>43842.99861</v>
      </c>
      <c r="B3368" s="1">
        <f>IFERROR(__xludf.DUMMYFUNCTION("""COMPUTED_VALUE"""),1984.473)</f>
        <v>1984.473</v>
      </c>
    </row>
    <row r="3369">
      <c r="A3369" s="3">
        <f>IFERROR(__xludf.DUMMYFUNCTION("""COMPUTED_VALUE"""),43843.99861111111)</f>
        <v>43843.99861</v>
      </c>
      <c r="B3369" s="1">
        <f>IFERROR(__xludf.DUMMYFUNCTION("""COMPUTED_VALUE"""),1982.935)</f>
        <v>1982.935</v>
      </c>
    </row>
    <row r="3370">
      <c r="A3370" s="3">
        <f>IFERROR(__xludf.DUMMYFUNCTION("""COMPUTED_VALUE"""),43844.99861111111)</f>
        <v>43844.99861</v>
      </c>
      <c r="B3370" s="1">
        <f>IFERROR(__xludf.DUMMYFUNCTION("""COMPUTED_VALUE"""),1986.084)</f>
        <v>1986.084</v>
      </c>
    </row>
    <row r="3371">
      <c r="A3371" s="3">
        <f>IFERROR(__xludf.DUMMYFUNCTION("""COMPUTED_VALUE"""),43845.99861111111)</f>
        <v>43845.99861</v>
      </c>
      <c r="B3371" s="1">
        <f>IFERROR(__xludf.DUMMYFUNCTION("""COMPUTED_VALUE"""),1983.682)</f>
        <v>1983.682</v>
      </c>
    </row>
    <row r="3372">
      <c r="A3372" s="3">
        <f>IFERROR(__xludf.DUMMYFUNCTION("""COMPUTED_VALUE"""),43846.99861111111)</f>
        <v>43846.99861</v>
      </c>
      <c r="B3372" s="1">
        <f>IFERROR(__xludf.DUMMYFUNCTION("""COMPUTED_VALUE"""),1980.317)</f>
        <v>1980.317</v>
      </c>
    </row>
    <row r="3373">
      <c r="A3373" s="3">
        <f>IFERROR(__xludf.DUMMYFUNCTION("""COMPUTED_VALUE"""),43847.99861111111)</f>
        <v>43847.99861</v>
      </c>
      <c r="B3373" s="1">
        <f>IFERROR(__xludf.DUMMYFUNCTION("""COMPUTED_VALUE"""),1992.097)</f>
        <v>1992.097</v>
      </c>
    </row>
    <row r="3374">
      <c r="A3374" s="3">
        <f>IFERROR(__xludf.DUMMYFUNCTION("""COMPUTED_VALUE"""),43848.99861111111)</f>
        <v>43848.99861</v>
      </c>
      <c r="B3374" s="1">
        <f>IFERROR(__xludf.DUMMYFUNCTION("""COMPUTED_VALUE"""),1992.097)</f>
        <v>1992.097</v>
      </c>
    </row>
    <row r="3375">
      <c r="A3375" s="3">
        <f>IFERROR(__xludf.DUMMYFUNCTION("""COMPUTED_VALUE"""),43849.99861111111)</f>
        <v>43849.99861</v>
      </c>
      <c r="B3375" s="1">
        <f>IFERROR(__xludf.DUMMYFUNCTION("""COMPUTED_VALUE"""),1992.097)</f>
        <v>1992.097</v>
      </c>
    </row>
    <row r="3376">
      <c r="A3376" s="3">
        <f>IFERROR(__xludf.DUMMYFUNCTION("""COMPUTED_VALUE"""),43850.99861111111)</f>
        <v>43850.99861</v>
      </c>
      <c r="B3376" s="1">
        <f>IFERROR(__xludf.DUMMYFUNCTION("""COMPUTED_VALUE"""),1983.53)</f>
        <v>1983.53</v>
      </c>
    </row>
    <row r="3377">
      <c r="A3377" s="3">
        <f>IFERROR(__xludf.DUMMYFUNCTION("""COMPUTED_VALUE"""),43851.99861111111)</f>
        <v>43851.99861</v>
      </c>
      <c r="B3377" s="1">
        <f>IFERROR(__xludf.DUMMYFUNCTION("""COMPUTED_VALUE"""),1978.158)</f>
        <v>1978.158</v>
      </c>
    </row>
    <row r="3378">
      <c r="A3378" s="3">
        <f>IFERROR(__xludf.DUMMYFUNCTION("""COMPUTED_VALUE"""),43852.99861111111)</f>
        <v>43852.99861</v>
      </c>
      <c r="B3378" s="1">
        <f>IFERROR(__xludf.DUMMYFUNCTION("""COMPUTED_VALUE"""),1973.354)</f>
        <v>1973.354</v>
      </c>
    </row>
    <row r="3379">
      <c r="A3379" s="3">
        <f>IFERROR(__xludf.DUMMYFUNCTION("""COMPUTED_VALUE"""),43853.99861111111)</f>
        <v>43853.99861</v>
      </c>
      <c r="B3379" s="1">
        <f>IFERROR(__xludf.DUMMYFUNCTION("""COMPUTED_VALUE"""),1962.676)</f>
        <v>1962.676</v>
      </c>
    </row>
    <row r="3380">
      <c r="A3380" s="3">
        <f>IFERROR(__xludf.DUMMYFUNCTION("""COMPUTED_VALUE"""),43854.99861111111)</f>
        <v>43854.99861</v>
      </c>
      <c r="B3380" s="1">
        <f>IFERROR(__xludf.DUMMYFUNCTION("""COMPUTED_VALUE"""),1977.457)</f>
        <v>1977.457</v>
      </c>
    </row>
    <row r="3381">
      <c r="A3381" s="3">
        <f>IFERROR(__xludf.DUMMYFUNCTION("""COMPUTED_VALUE"""),43855.99861111111)</f>
        <v>43855.99861</v>
      </c>
      <c r="B3381" s="1">
        <f>IFERROR(__xludf.DUMMYFUNCTION("""COMPUTED_VALUE"""),1977.457)</f>
        <v>1977.457</v>
      </c>
    </row>
    <row r="3382">
      <c r="A3382" s="3">
        <f>IFERROR(__xludf.DUMMYFUNCTION("""COMPUTED_VALUE"""),43856.99861111111)</f>
        <v>43856.99861</v>
      </c>
      <c r="B3382" s="1">
        <f>IFERROR(__xludf.DUMMYFUNCTION("""COMPUTED_VALUE"""),1977.457)</f>
        <v>1977.457</v>
      </c>
    </row>
    <row r="3383">
      <c r="A3383" s="3">
        <f>IFERROR(__xludf.DUMMYFUNCTION("""COMPUTED_VALUE"""),43857.99861111111)</f>
        <v>43857.99861</v>
      </c>
      <c r="B3383" s="1">
        <f>IFERROR(__xludf.DUMMYFUNCTION("""COMPUTED_VALUE"""),1905.466)</f>
        <v>1905.466</v>
      </c>
    </row>
    <row r="3384">
      <c r="A3384" s="3">
        <f>IFERROR(__xludf.DUMMYFUNCTION("""COMPUTED_VALUE"""),43858.99861111111)</f>
        <v>43858.99861</v>
      </c>
      <c r="B3384" s="1">
        <f>IFERROR(__xludf.DUMMYFUNCTION("""COMPUTED_VALUE"""),1962.015)</f>
        <v>1962.015</v>
      </c>
    </row>
    <row r="3385">
      <c r="A3385" s="3">
        <f>IFERROR(__xludf.DUMMYFUNCTION("""COMPUTED_VALUE"""),43859.99861111111)</f>
        <v>43859.99861</v>
      </c>
      <c r="B3385" s="1">
        <f>IFERROR(__xludf.DUMMYFUNCTION("""COMPUTED_VALUE"""),1962.578)</f>
        <v>1962.578</v>
      </c>
    </row>
    <row r="3386">
      <c r="A3386" s="3">
        <f>IFERROR(__xludf.DUMMYFUNCTION("""COMPUTED_VALUE"""),43860.99861111111)</f>
        <v>43860.99861</v>
      </c>
      <c r="B3386" s="1">
        <f>IFERROR(__xludf.DUMMYFUNCTION("""COMPUTED_VALUE"""),1967.457)</f>
        <v>1967.457</v>
      </c>
    </row>
    <row r="3387">
      <c r="A3387" s="3">
        <f>IFERROR(__xludf.DUMMYFUNCTION("""COMPUTED_VALUE"""),43861.99861111111)</f>
        <v>43861.99861</v>
      </c>
      <c r="B3387" s="1">
        <f>IFERROR(__xludf.DUMMYFUNCTION("""COMPUTED_VALUE"""),1966.084)</f>
        <v>1966.084</v>
      </c>
    </row>
    <row r="3388">
      <c r="A3388" s="3">
        <f>IFERROR(__xludf.DUMMYFUNCTION("""COMPUTED_VALUE"""),43862.99861111111)</f>
        <v>43862.99861</v>
      </c>
      <c r="B3388" s="1">
        <f>IFERROR(__xludf.DUMMYFUNCTION("""COMPUTED_VALUE"""),1966.084)</f>
        <v>1966.084</v>
      </c>
    </row>
    <row r="3389">
      <c r="A3389" s="3">
        <f>IFERROR(__xludf.DUMMYFUNCTION("""COMPUTED_VALUE"""),43863.99861111111)</f>
        <v>43863.99861</v>
      </c>
      <c r="B3389" s="1">
        <f>IFERROR(__xludf.DUMMYFUNCTION("""COMPUTED_VALUE"""),1966.084)</f>
        <v>1966.084</v>
      </c>
    </row>
    <row r="3390">
      <c r="A3390" s="3">
        <f>IFERROR(__xludf.DUMMYFUNCTION("""COMPUTED_VALUE"""),43864.99861111111)</f>
        <v>43864.99861</v>
      </c>
      <c r="B3390" s="1">
        <f>IFERROR(__xludf.DUMMYFUNCTION("""COMPUTED_VALUE"""),1957.388)</f>
        <v>1957.388</v>
      </c>
    </row>
    <row r="3391">
      <c r="A3391" s="3">
        <f>IFERROR(__xludf.DUMMYFUNCTION("""COMPUTED_VALUE"""),43865.99861111111)</f>
        <v>43865.99861</v>
      </c>
      <c r="B3391" s="1">
        <f>IFERROR(__xludf.DUMMYFUNCTION("""COMPUTED_VALUE"""),1958.423)</f>
        <v>1958.423</v>
      </c>
    </row>
    <row r="3392">
      <c r="A3392" s="3">
        <f>IFERROR(__xludf.DUMMYFUNCTION("""COMPUTED_VALUE"""),43866.99861111111)</f>
        <v>43866.99861</v>
      </c>
      <c r="B3392" s="1">
        <f>IFERROR(__xludf.DUMMYFUNCTION("""COMPUTED_VALUE"""),1960.58)</f>
        <v>1960.58</v>
      </c>
    </row>
    <row r="3393">
      <c r="A3393" s="3">
        <f>IFERROR(__xludf.DUMMYFUNCTION("""COMPUTED_VALUE"""),43867.99861111111)</f>
        <v>43867.99861</v>
      </c>
      <c r="B3393" s="1">
        <f>IFERROR(__xludf.DUMMYFUNCTION("""COMPUTED_VALUE"""),1957.24)</f>
        <v>1957.24</v>
      </c>
    </row>
    <row r="3394">
      <c r="A3394" s="3">
        <f>IFERROR(__xludf.DUMMYFUNCTION("""COMPUTED_VALUE"""),43868.99861111111)</f>
        <v>43868.99861</v>
      </c>
      <c r="B3394" s="1">
        <f>IFERROR(__xludf.DUMMYFUNCTION("""COMPUTED_VALUE"""),1954.17)</f>
        <v>1954.17</v>
      </c>
    </row>
    <row r="3395">
      <c r="A3395" s="3">
        <f>IFERROR(__xludf.DUMMYFUNCTION("""COMPUTED_VALUE"""),43869.99861111111)</f>
        <v>43869.99861</v>
      </c>
      <c r="B3395" s="1">
        <f>IFERROR(__xludf.DUMMYFUNCTION("""COMPUTED_VALUE"""),1954.17)</f>
        <v>1954.17</v>
      </c>
    </row>
    <row r="3396">
      <c r="A3396" s="3">
        <f>IFERROR(__xludf.DUMMYFUNCTION("""COMPUTED_VALUE"""),43870.99861111111)</f>
        <v>43870.99861</v>
      </c>
      <c r="B3396" s="1">
        <f>IFERROR(__xludf.DUMMYFUNCTION("""COMPUTED_VALUE"""),1954.17)</f>
        <v>1954.17</v>
      </c>
    </row>
    <row r="3397">
      <c r="A3397" s="3">
        <f>IFERROR(__xludf.DUMMYFUNCTION("""COMPUTED_VALUE"""),43871.99861111111)</f>
        <v>43871.99861</v>
      </c>
      <c r="B3397" s="1">
        <f>IFERROR(__xludf.DUMMYFUNCTION("""COMPUTED_VALUE"""),1962.701)</f>
        <v>1962.701</v>
      </c>
    </row>
    <row r="3398">
      <c r="A3398" s="3">
        <f>IFERROR(__xludf.DUMMYFUNCTION("""COMPUTED_VALUE"""),43872.99861111111)</f>
        <v>43872.99861</v>
      </c>
      <c r="B3398" s="1">
        <f>IFERROR(__xludf.DUMMYFUNCTION("""COMPUTED_VALUE"""),1961.086)</f>
        <v>1961.086</v>
      </c>
    </row>
    <row r="3399">
      <c r="A3399" s="3">
        <f>IFERROR(__xludf.DUMMYFUNCTION("""COMPUTED_VALUE"""),43873.99861111111)</f>
        <v>43873.99861</v>
      </c>
      <c r="B3399" s="1">
        <f>IFERROR(__xludf.DUMMYFUNCTION("""COMPUTED_VALUE"""),1966.317)</f>
        <v>1966.317</v>
      </c>
    </row>
    <row r="3400">
      <c r="A3400" s="3">
        <f>IFERROR(__xludf.DUMMYFUNCTION("""COMPUTED_VALUE"""),43874.99861111111)</f>
        <v>43874.99861</v>
      </c>
      <c r="B3400" s="1">
        <f>IFERROR(__xludf.DUMMYFUNCTION("""COMPUTED_VALUE"""),1961.002)</f>
        <v>1961.002</v>
      </c>
    </row>
    <row r="3401">
      <c r="A3401" s="3">
        <f>IFERROR(__xludf.DUMMYFUNCTION("""COMPUTED_VALUE"""),43875.99861111111)</f>
        <v>43875.99861</v>
      </c>
      <c r="B3401" s="1">
        <f>IFERROR(__xludf.DUMMYFUNCTION("""COMPUTED_VALUE"""),1958.59)</f>
        <v>1958.59</v>
      </c>
    </row>
    <row r="3402">
      <c r="A3402" s="3">
        <f>IFERROR(__xludf.DUMMYFUNCTION("""COMPUTED_VALUE"""),43876.99861111111)</f>
        <v>43876.99861</v>
      </c>
      <c r="B3402" s="1">
        <f>IFERROR(__xludf.DUMMYFUNCTION("""COMPUTED_VALUE"""),1958.59)</f>
        <v>1958.59</v>
      </c>
    </row>
    <row r="3403">
      <c r="A3403" s="3">
        <f>IFERROR(__xludf.DUMMYFUNCTION("""COMPUTED_VALUE"""),43877.99861111111)</f>
        <v>43877.99861</v>
      </c>
      <c r="B3403" s="1">
        <f>IFERROR(__xludf.DUMMYFUNCTION("""COMPUTED_VALUE"""),1958.59)</f>
        <v>1958.59</v>
      </c>
    </row>
    <row r="3404">
      <c r="A3404" s="3">
        <f>IFERROR(__xludf.DUMMYFUNCTION("""COMPUTED_VALUE"""),43878.99861111111)</f>
        <v>43878.99861</v>
      </c>
      <c r="B3404" s="1">
        <f>IFERROR(__xludf.DUMMYFUNCTION("""COMPUTED_VALUE"""),1955.849)</f>
        <v>1955.849</v>
      </c>
    </row>
    <row r="3405">
      <c r="A3405" s="3">
        <f>IFERROR(__xludf.DUMMYFUNCTION("""COMPUTED_VALUE"""),43879.99861111111)</f>
        <v>43879.99861</v>
      </c>
      <c r="B3405" s="1">
        <f>IFERROR(__xludf.DUMMYFUNCTION("""COMPUTED_VALUE"""),1952.395)</f>
        <v>1952.395</v>
      </c>
    </row>
    <row r="3406">
      <c r="A3406" s="3">
        <f>IFERROR(__xludf.DUMMYFUNCTION("""COMPUTED_VALUE"""),43880.99861111111)</f>
        <v>43880.99861</v>
      </c>
      <c r="B3406" s="1">
        <f>IFERROR(__xludf.DUMMYFUNCTION("""COMPUTED_VALUE"""),1952.548)</f>
        <v>1952.548</v>
      </c>
    </row>
    <row r="3407">
      <c r="A3407" s="3">
        <f>IFERROR(__xludf.DUMMYFUNCTION("""COMPUTED_VALUE"""),43881.99861111111)</f>
        <v>43881.99861</v>
      </c>
      <c r="B3407" s="1">
        <f>IFERROR(__xludf.DUMMYFUNCTION("""COMPUTED_VALUE"""),1951.982)</f>
        <v>1951.982</v>
      </c>
    </row>
    <row r="3408">
      <c r="A3408" s="3">
        <f>IFERROR(__xludf.DUMMYFUNCTION("""COMPUTED_VALUE"""),43882.99861111111)</f>
        <v>43882.99861</v>
      </c>
      <c r="B3408" s="1">
        <f>IFERROR(__xludf.DUMMYFUNCTION("""COMPUTED_VALUE"""),1960.818)</f>
        <v>1960.818</v>
      </c>
    </row>
    <row r="3409">
      <c r="A3409" s="3">
        <f>IFERROR(__xludf.DUMMYFUNCTION("""COMPUTED_VALUE"""),43883.99861111111)</f>
        <v>43883.99861</v>
      </c>
      <c r="B3409" s="1">
        <f>IFERROR(__xludf.DUMMYFUNCTION("""COMPUTED_VALUE"""),1960.818)</f>
        <v>1960.818</v>
      </c>
    </row>
    <row r="3410">
      <c r="A3410" s="3">
        <f>IFERROR(__xludf.DUMMYFUNCTION("""COMPUTED_VALUE"""),43884.99861111111)</f>
        <v>43884.99861</v>
      </c>
      <c r="B3410" s="1">
        <f>IFERROR(__xludf.DUMMYFUNCTION("""COMPUTED_VALUE"""),1960.818)</f>
        <v>1960.818</v>
      </c>
    </row>
    <row r="3411">
      <c r="A3411" s="3">
        <f>IFERROR(__xludf.DUMMYFUNCTION("""COMPUTED_VALUE"""),43885.99861111111)</f>
        <v>43885.99861</v>
      </c>
      <c r="B3411" s="1">
        <f>IFERROR(__xludf.DUMMYFUNCTION("""COMPUTED_VALUE"""),1975.611)</f>
        <v>1975.611</v>
      </c>
    </row>
    <row r="3412">
      <c r="A3412" s="3">
        <f>IFERROR(__xludf.DUMMYFUNCTION("""COMPUTED_VALUE"""),43886.99861111111)</f>
        <v>43886.99861</v>
      </c>
      <c r="B3412" s="1">
        <f>IFERROR(__xludf.DUMMYFUNCTION("""COMPUTED_VALUE"""),1976.2)</f>
        <v>1976.2</v>
      </c>
    </row>
    <row r="3413">
      <c r="A3413" s="3">
        <f>IFERROR(__xludf.DUMMYFUNCTION("""COMPUTED_VALUE"""),43887.99861111111)</f>
        <v>43887.99861</v>
      </c>
      <c r="B3413" s="1">
        <f>IFERROR(__xludf.DUMMYFUNCTION("""COMPUTED_VALUE"""),1985.186)</f>
        <v>1985.186</v>
      </c>
    </row>
    <row r="3414">
      <c r="A3414" s="3">
        <f>IFERROR(__xludf.DUMMYFUNCTION("""COMPUTED_VALUE"""),43888.99861111111)</f>
        <v>43888.99861</v>
      </c>
      <c r="B3414" s="1">
        <f>IFERROR(__xludf.DUMMYFUNCTION("""COMPUTED_VALUE"""),2000.519)</f>
        <v>2000.519</v>
      </c>
    </row>
    <row r="3415">
      <c r="A3415" s="3">
        <f>IFERROR(__xludf.DUMMYFUNCTION("""COMPUTED_VALUE"""),43889.99861111111)</f>
        <v>43889.99861</v>
      </c>
      <c r="B3415" s="1">
        <f>IFERROR(__xludf.DUMMYFUNCTION("""COMPUTED_VALUE"""),1999.17)</f>
        <v>1999.17</v>
      </c>
    </row>
    <row r="3416">
      <c r="A3416" s="3">
        <f>IFERROR(__xludf.DUMMYFUNCTION("""COMPUTED_VALUE"""),43890.99861111111)</f>
        <v>43890.99861</v>
      </c>
      <c r="B3416" s="1">
        <f>IFERROR(__xludf.DUMMYFUNCTION("""COMPUTED_VALUE"""),1999.17)</f>
        <v>1999.17</v>
      </c>
    </row>
    <row r="3417">
      <c r="A3417" s="3">
        <f>IFERROR(__xludf.DUMMYFUNCTION("""COMPUTED_VALUE"""),43891.99861111111)</f>
        <v>43891.99861</v>
      </c>
      <c r="B3417" s="1">
        <f>IFERROR(__xludf.DUMMYFUNCTION("""COMPUTED_VALUE"""),1999.17)</f>
        <v>1999.17</v>
      </c>
    </row>
    <row r="3418">
      <c r="A3418" s="3">
        <f>IFERROR(__xludf.DUMMYFUNCTION("""COMPUTED_VALUE"""),43892.99861111111)</f>
        <v>43892.99861</v>
      </c>
      <c r="B3418" s="1">
        <f>IFERROR(__xludf.DUMMYFUNCTION("""COMPUTED_VALUE"""),2039.262)</f>
        <v>2039.262</v>
      </c>
    </row>
    <row r="3419">
      <c r="A3419" s="3">
        <f>IFERROR(__xludf.DUMMYFUNCTION("""COMPUTED_VALUE"""),43893.99861111111)</f>
        <v>43893.99861</v>
      </c>
      <c r="B3419" s="1">
        <f>IFERROR(__xludf.DUMMYFUNCTION("""COMPUTED_VALUE"""),2045.69)</f>
        <v>2045.69</v>
      </c>
    </row>
    <row r="3420">
      <c r="A3420" s="3">
        <f>IFERROR(__xludf.DUMMYFUNCTION("""COMPUTED_VALUE"""),43894.99861111111)</f>
        <v>43894.99861</v>
      </c>
      <c r="B3420" s="1">
        <f>IFERROR(__xludf.DUMMYFUNCTION("""COMPUTED_VALUE"""),2056.925)</f>
        <v>2056.925</v>
      </c>
    </row>
    <row r="3421">
      <c r="A3421" s="3">
        <f>IFERROR(__xludf.DUMMYFUNCTION("""COMPUTED_VALUE"""),43895.99861111111)</f>
        <v>43895.99861</v>
      </c>
      <c r="B3421" s="1">
        <f>IFERROR(__xludf.DUMMYFUNCTION("""COMPUTED_VALUE"""),2056.925)</f>
        <v>2056.925</v>
      </c>
    </row>
    <row r="3422">
      <c r="A3422" s="3">
        <f>IFERROR(__xludf.DUMMYFUNCTION("""COMPUTED_VALUE"""),43896.99861111111)</f>
        <v>43896.99861</v>
      </c>
      <c r="B3422" s="1">
        <f>IFERROR(__xludf.DUMMYFUNCTION("""COMPUTED_VALUE"""),2056.925)</f>
        <v>2056.925</v>
      </c>
    </row>
    <row r="3423">
      <c r="A3423" s="3">
        <f>IFERROR(__xludf.DUMMYFUNCTION("""COMPUTED_VALUE"""),43897.99861111111)</f>
        <v>43897.99861</v>
      </c>
      <c r="B3423" s="1">
        <f>IFERROR(__xludf.DUMMYFUNCTION("""COMPUTED_VALUE"""),2056.925)</f>
        <v>2056.925</v>
      </c>
    </row>
    <row r="3424">
      <c r="A3424" s="3">
        <f>IFERROR(__xludf.DUMMYFUNCTION("""COMPUTED_VALUE"""),43898.99861111111)</f>
        <v>43898.99861</v>
      </c>
      <c r="B3424" s="1">
        <f>IFERROR(__xludf.DUMMYFUNCTION("""COMPUTED_VALUE"""),2056.925)</f>
        <v>2056.925</v>
      </c>
    </row>
    <row r="3425">
      <c r="A3425" s="3">
        <f>IFERROR(__xludf.DUMMYFUNCTION("""COMPUTED_VALUE"""),43899.99861111111)</f>
        <v>43899.99861</v>
      </c>
      <c r="B3425" s="1">
        <f>IFERROR(__xludf.DUMMYFUNCTION("""COMPUTED_VALUE"""),2056.925)</f>
        <v>2056.925</v>
      </c>
    </row>
    <row r="3426">
      <c r="A3426" s="3">
        <f>IFERROR(__xludf.DUMMYFUNCTION("""COMPUTED_VALUE"""),43900.99861111111)</f>
        <v>43900.99861</v>
      </c>
      <c r="B3426" s="1">
        <f>IFERROR(__xludf.DUMMYFUNCTION("""COMPUTED_VALUE"""),2056.925)</f>
        <v>2056.925</v>
      </c>
    </row>
    <row r="3427">
      <c r="A3427" s="3">
        <f>IFERROR(__xludf.DUMMYFUNCTION("""COMPUTED_VALUE"""),43901.99861111111)</f>
        <v>43901.99861</v>
      </c>
      <c r="B3427" s="1">
        <f>IFERROR(__xludf.DUMMYFUNCTION("""COMPUTED_VALUE"""),2056.925)</f>
        <v>2056.925</v>
      </c>
    </row>
    <row r="3428">
      <c r="A3428" s="3">
        <f>IFERROR(__xludf.DUMMYFUNCTION("""COMPUTED_VALUE"""),43902.99861111111)</f>
        <v>43902.99861</v>
      </c>
      <c r="B3428" s="1">
        <f>IFERROR(__xludf.DUMMYFUNCTION("""COMPUTED_VALUE"""),2056.925)</f>
        <v>2056.925</v>
      </c>
    </row>
    <row r="3429">
      <c r="A3429" s="3">
        <f>IFERROR(__xludf.DUMMYFUNCTION("""COMPUTED_VALUE"""),43903.99861111111)</f>
        <v>43903.99861</v>
      </c>
      <c r="B3429" s="1">
        <f>IFERROR(__xludf.DUMMYFUNCTION("""COMPUTED_VALUE"""),2056.925)</f>
        <v>2056.925</v>
      </c>
    </row>
    <row r="3430">
      <c r="A3430" s="3">
        <f>IFERROR(__xludf.DUMMYFUNCTION("""COMPUTED_VALUE"""),43904.99861111111)</f>
        <v>43904.99861</v>
      </c>
      <c r="B3430" s="1">
        <f>IFERROR(__xludf.DUMMYFUNCTION("""COMPUTED_VALUE"""),2056.925)</f>
        <v>2056.925</v>
      </c>
    </row>
    <row r="3431">
      <c r="A3431" s="3">
        <f>IFERROR(__xludf.DUMMYFUNCTION("""COMPUTED_VALUE"""),43905.99861111111)</f>
        <v>43905.99861</v>
      </c>
      <c r="B3431" s="1">
        <f>IFERROR(__xludf.DUMMYFUNCTION("""COMPUTED_VALUE"""),2056.925)</f>
        <v>2056.925</v>
      </c>
    </row>
    <row r="3432">
      <c r="A3432" s="3">
        <f>IFERROR(__xludf.DUMMYFUNCTION("""COMPUTED_VALUE"""),43906.99861111111)</f>
        <v>43906.99861</v>
      </c>
      <c r="B3432" s="1">
        <f>IFERROR(__xludf.DUMMYFUNCTION("""COMPUTED_VALUE"""),2056.925)</f>
        <v>2056.925</v>
      </c>
    </row>
    <row r="3433">
      <c r="A3433" s="3">
        <f>IFERROR(__xludf.DUMMYFUNCTION("""COMPUTED_VALUE"""),43907.99861111111)</f>
        <v>43907.99861</v>
      </c>
      <c r="B3433" s="1">
        <f>IFERROR(__xludf.DUMMYFUNCTION("""COMPUTED_VALUE"""),2056.925)</f>
        <v>2056.925</v>
      </c>
    </row>
    <row r="3434">
      <c r="A3434" s="3">
        <f>IFERROR(__xludf.DUMMYFUNCTION("""COMPUTED_VALUE"""),43908.99861111111)</f>
        <v>43908.99861</v>
      </c>
      <c r="B3434" s="1">
        <f>IFERROR(__xludf.DUMMYFUNCTION("""COMPUTED_VALUE"""),2056.925)</f>
        <v>2056.925</v>
      </c>
    </row>
    <row r="3435">
      <c r="A3435" s="3">
        <f>IFERROR(__xludf.DUMMYFUNCTION("""COMPUTED_VALUE"""),43909.99861111111)</f>
        <v>43909.99861</v>
      </c>
      <c r="B3435" s="1">
        <f>IFERROR(__xludf.DUMMYFUNCTION("""COMPUTED_VALUE"""),2056.925)</f>
        <v>2056.925</v>
      </c>
    </row>
    <row r="3436">
      <c r="A3436" s="3">
        <f>IFERROR(__xludf.DUMMYFUNCTION("""COMPUTED_VALUE"""),43910.99861111111)</f>
        <v>43910.99861</v>
      </c>
      <c r="B3436" s="1">
        <f>IFERROR(__xludf.DUMMYFUNCTION("""COMPUTED_VALUE"""),2056.925)</f>
        <v>2056.925</v>
      </c>
    </row>
    <row r="3437">
      <c r="A3437" s="3">
        <f>IFERROR(__xludf.DUMMYFUNCTION("""COMPUTED_VALUE"""),43911.99861111111)</f>
        <v>43911.99861</v>
      </c>
      <c r="B3437" s="1">
        <f>IFERROR(__xludf.DUMMYFUNCTION("""COMPUTED_VALUE"""),2056.925)</f>
        <v>2056.925</v>
      </c>
    </row>
    <row r="3438">
      <c r="A3438" s="3">
        <f>IFERROR(__xludf.DUMMYFUNCTION("""COMPUTED_VALUE"""),43912.99861111111)</f>
        <v>43912.99861</v>
      </c>
      <c r="B3438" s="1">
        <f>IFERROR(__xludf.DUMMYFUNCTION("""COMPUTED_VALUE"""),2056.925)</f>
        <v>2056.925</v>
      </c>
    </row>
    <row r="3439">
      <c r="A3439" s="3">
        <f>IFERROR(__xludf.DUMMYFUNCTION("""COMPUTED_VALUE"""),43913.99861111111)</f>
        <v>43913.99861</v>
      </c>
      <c r="B3439" s="1">
        <f>IFERROR(__xludf.DUMMYFUNCTION("""COMPUTED_VALUE"""),2056.925)</f>
        <v>2056.925</v>
      </c>
    </row>
    <row r="3440">
      <c r="A3440" s="3">
        <f>IFERROR(__xludf.DUMMYFUNCTION("""COMPUTED_VALUE"""),43914.99861111111)</f>
        <v>43914.99861</v>
      </c>
      <c r="B3440" s="1">
        <f>IFERROR(__xludf.DUMMYFUNCTION("""COMPUTED_VALUE"""),2056.925)</f>
        <v>2056.925</v>
      </c>
    </row>
    <row r="3441">
      <c r="A3441" s="3">
        <f>IFERROR(__xludf.DUMMYFUNCTION("""COMPUTED_VALUE"""),43915.99861111111)</f>
        <v>43915.99861</v>
      </c>
      <c r="B3441" s="1">
        <f>IFERROR(__xludf.DUMMYFUNCTION("""COMPUTED_VALUE"""),2056.925)</f>
        <v>2056.925</v>
      </c>
    </row>
    <row r="3442">
      <c r="A3442" s="3">
        <f>IFERROR(__xludf.DUMMYFUNCTION("""COMPUTED_VALUE"""),43916.99861111111)</f>
        <v>43916.99861</v>
      </c>
      <c r="B3442" s="1">
        <f>IFERROR(__xludf.DUMMYFUNCTION("""COMPUTED_VALUE"""),2056.925)</f>
        <v>2056.925</v>
      </c>
    </row>
    <row r="3443">
      <c r="A3443" s="3">
        <f>IFERROR(__xludf.DUMMYFUNCTION("""COMPUTED_VALUE"""),43917.99861111111)</f>
        <v>43917.99861</v>
      </c>
      <c r="B3443" s="1">
        <f>IFERROR(__xludf.DUMMYFUNCTION("""COMPUTED_VALUE"""),2056.925)</f>
        <v>2056.925</v>
      </c>
    </row>
    <row r="3444">
      <c r="A3444" s="3">
        <f>IFERROR(__xludf.DUMMYFUNCTION("""COMPUTED_VALUE"""),43918.99861111111)</f>
        <v>43918.99861</v>
      </c>
      <c r="B3444" s="1">
        <f>IFERROR(__xludf.DUMMYFUNCTION("""COMPUTED_VALUE"""),2056.925)</f>
        <v>2056.925</v>
      </c>
    </row>
    <row r="3445">
      <c r="A3445" s="3">
        <f>IFERROR(__xludf.DUMMYFUNCTION("""COMPUTED_VALUE"""),43919.99861111111)</f>
        <v>43919.99861</v>
      </c>
      <c r="B3445" s="1">
        <f>IFERROR(__xludf.DUMMYFUNCTION("""COMPUTED_VALUE"""),2056.925)</f>
        <v>2056.925</v>
      </c>
    </row>
    <row r="3446">
      <c r="A3446" s="3">
        <f>IFERROR(__xludf.DUMMYFUNCTION("""COMPUTED_VALUE"""),43920.99861111111)</f>
        <v>43920.99861</v>
      </c>
      <c r="B3446" s="1">
        <f>IFERROR(__xludf.DUMMYFUNCTION("""COMPUTED_VALUE"""),2056.925)</f>
        <v>2056.925</v>
      </c>
    </row>
    <row r="3447">
      <c r="A3447" s="3">
        <f>IFERROR(__xludf.DUMMYFUNCTION("""COMPUTED_VALUE"""),43921.99861111111)</f>
        <v>43921.99861</v>
      </c>
      <c r="B3447" s="1">
        <f>IFERROR(__xludf.DUMMYFUNCTION("""COMPUTED_VALUE"""),2056.925)</f>
        <v>2056.925</v>
      </c>
    </row>
    <row r="3448">
      <c r="A3448" s="3">
        <f>IFERROR(__xludf.DUMMYFUNCTION("""COMPUTED_VALUE"""),43922.99861111111)</f>
        <v>43922.99861</v>
      </c>
      <c r="B3448" s="1">
        <f>IFERROR(__xludf.DUMMYFUNCTION("""COMPUTED_VALUE"""),2056.925)</f>
        <v>2056.925</v>
      </c>
    </row>
    <row r="3449">
      <c r="A3449" s="3">
        <f>IFERROR(__xludf.DUMMYFUNCTION("""COMPUTED_VALUE"""),43923.99861111111)</f>
        <v>43923.99861</v>
      </c>
      <c r="B3449" s="1">
        <f>IFERROR(__xludf.DUMMYFUNCTION("""COMPUTED_VALUE"""),2056.925)</f>
        <v>2056.925</v>
      </c>
    </row>
    <row r="3450">
      <c r="A3450" s="3">
        <f>IFERROR(__xludf.DUMMYFUNCTION("""COMPUTED_VALUE"""),43924.99861111111)</f>
        <v>43924.99861</v>
      </c>
      <c r="B3450" s="1">
        <f>IFERROR(__xludf.DUMMYFUNCTION("""COMPUTED_VALUE"""),2056.925)</f>
        <v>2056.925</v>
      </c>
    </row>
    <row r="3451">
      <c r="A3451" s="3">
        <f>IFERROR(__xludf.DUMMYFUNCTION("""COMPUTED_VALUE"""),43925.99861111111)</f>
        <v>43925.99861</v>
      </c>
      <c r="B3451" s="1">
        <f>IFERROR(__xludf.DUMMYFUNCTION("""COMPUTED_VALUE"""),2056.925)</f>
        <v>2056.925</v>
      </c>
    </row>
    <row r="3452">
      <c r="A3452" s="3">
        <f>IFERROR(__xludf.DUMMYFUNCTION("""COMPUTED_VALUE"""),43926.99861111111)</f>
        <v>43926.99861</v>
      </c>
      <c r="B3452" s="1">
        <f>IFERROR(__xludf.DUMMYFUNCTION("""COMPUTED_VALUE"""),2056.925)</f>
        <v>2056.925</v>
      </c>
    </row>
    <row r="3453">
      <c r="A3453" s="3">
        <f>IFERROR(__xludf.DUMMYFUNCTION("""COMPUTED_VALUE"""),43927.99861111111)</f>
        <v>43927.99861</v>
      </c>
      <c r="B3453" s="1">
        <f>IFERROR(__xludf.DUMMYFUNCTION("""COMPUTED_VALUE"""),2056.925)</f>
        <v>2056.925</v>
      </c>
    </row>
    <row r="3454">
      <c r="A3454" s="3">
        <f>IFERROR(__xludf.DUMMYFUNCTION("""COMPUTED_VALUE"""),43928.99861111111)</f>
        <v>43928.99861</v>
      </c>
      <c r="B3454" s="1">
        <f>IFERROR(__xludf.DUMMYFUNCTION("""COMPUTED_VALUE"""),2056.925)</f>
        <v>2056.925</v>
      </c>
    </row>
    <row r="3455">
      <c r="A3455" s="3">
        <f>IFERROR(__xludf.DUMMYFUNCTION("""COMPUTED_VALUE"""),43929.99861111111)</f>
        <v>43929.99861</v>
      </c>
      <c r="B3455" s="1">
        <f>IFERROR(__xludf.DUMMYFUNCTION("""COMPUTED_VALUE"""),2056.925)</f>
        <v>2056.925</v>
      </c>
    </row>
    <row r="3456">
      <c r="A3456" s="3">
        <f>IFERROR(__xludf.DUMMYFUNCTION("""COMPUTED_VALUE"""),43930.99861111111)</f>
        <v>43930.99861</v>
      </c>
      <c r="B3456" s="1">
        <f>IFERROR(__xludf.DUMMYFUNCTION("""COMPUTED_VALUE"""),2056.925)</f>
        <v>2056.925</v>
      </c>
    </row>
    <row r="3457">
      <c r="A3457" s="3">
        <f>IFERROR(__xludf.DUMMYFUNCTION("""COMPUTED_VALUE"""),43931.99861111111)</f>
        <v>43931.99861</v>
      </c>
      <c r="B3457" s="1">
        <f>IFERROR(__xludf.DUMMYFUNCTION("""COMPUTED_VALUE"""),2056.925)</f>
        <v>2056.925</v>
      </c>
    </row>
    <row r="3458">
      <c r="A3458" s="3">
        <f>IFERROR(__xludf.DUMMYFUNCTION("""COMPUTED_VALUE"""),43932.99861111111)</f>
        <v>43932.99861</v>
      </c>
      <c r="B3458" s="1">
        <f>IFERROR(__xludf.DUMMYFUNCTION("""COMPUTED_VALUE"""),2056.925)</f>
        <v>2056.925</v>
      </c>
    </row>
    <row r="3459">
      <c r="A3459" s="3">
        <f>IFERROR(__xludf.DUMMYFUNCTION("""COMPUTED_VALUE"""),43933.99861111111)</f>
        <v>43933.99861</v>
      </c>
      <c r="B3459" s="1">
        <f>IFERROR(__xludf.DUMMYFUNCTION("""COMPUTED_VALUE"""),2056.925)</f>
        <v>2056.925</v>
      </c>
    </row>
    <row r="3460">
      <c r="A3460" s="3">
        <f>IFERROR(__xludf.DUMMYFUNCTION("""COMPUTED_VALUE"""),43934.99861111111)</f>
        <v>43934.99861</v>
      </c>
      <c r="B3460" s="1">
        <f>IFERROR(__xludf.DUMMYFUNCTION("""COMPUTED_VALUE"""),2056.925)</f>
        <v>2056.925</v>
      </c>
    </row>
    <row r="3461">
      <c r="A3461" s="3">
        <f>IFERROR(__xludf.DUMMYFUNCTION("""COMPUTED_VALUE"""),43935.99861111111)</f>
        <v>43935.99861</v>
      </c>
      <c r="B3461" s="1">
        <f>IFERROR(__xludf.DUMMYFUNCTION("""COMPUTED_VALUE"""),2056.925)</f>
        <v>2056.925</v>
      </c>
    </row>
    <row r="3462">
      <c r="A3462" s="3">
        <f>IFERROR(__xludf.DUMMYFUNCTION("""COMPUTED_VALUE"""),43936.99861111111)</f>
        <v>43936.99861</v>
      </c>
      <c r="B3462" s="1">
        <f>IFERROR(__xludf.DUMMYFUNCTION("""COMPUTED_VALUE"""),2056.925)</f>
        <v>2056.925</v>
      </c>
    </row>
    <row r="3463">
      <c r="A3463" s="3">
        <f>IFERROR(__xludf.DUMMYFUNCTION("""COMPUTED_VALUE"""),43937.99861111111)</f>
        <v>43937.99861</v>
      </c>
      <c r="B3463" s="1">
        <f>IFERROR(__xludf.DUMMYFUNCTION("""COMPUTED_VALUE"""),2056.925)</f>
        <v>2056.925</v>
      </c>
    </row>
    <row r="3464">
      <c r="A3464" s="3">
        <f>IFERROR(__xludf.DUMMYFUNCTION("""COMPUTED_VALUE"""),43938.99861111111)</f>
        <v>43938.99861</v>
      </c>
      <c r="B3464" s="1">
        <f>IFERROR(__xludf.DUMMYFUNCTION("""COMPUTED_VALUE"""),2056.925)</f>
        <v>2056.925</v>
      </c>
    </row>
    <row r="3465">
      <c r="A3465" s="3">
        <f>IFERROR(__xludf.DUMMYFUNCTION("""COMPUTED_VALUE"""),43939.99861111111)</f>
        <v>43939.99861</v>
      </c>
      <c r="B3465" s="1">
        <f>IFERROR(__xludf.DUMMYFUNCTION("""COMPUTED_VALUE"""),2056.925)</f>
        <v>2056.925</v>
      </c>
    </row>
    <row r="3466">
      <c r="A3466" s="3">
        <f>IFERROR(__xludf.DUMMYFUNCTION("""COMPUTED_VALUE"""),43940.99861111111)</f>
        <v>43940.99861</v>
      </c>
      <c r="B3466" s="1">
        <f>IFERROR(__xludf.DUMMYFUNCTION("""COMPUTED_VALUE"""),2056.925)</f>
        <v>2056.925</v>
      </c>
    </row>
    <row r="3467">
      <c r="A3467" s="3">
        <f>IFERROR(__xludf.DUMMYFUNCTION("""COMPUTED_VALUE"""),43941.99861111111)</f>
        <v>43941.99861</v>
      </c>
      <c r="B3467" s="1">
        <f>IFERROR(__xludf.DUMMYFUNCTION("""COMPUTED_VALUE"""),2056.925)</f>
        <v>2056.925</v>
      </c>
    </row>
    <row r="3468">
      <c r="A3468" s="3">
        <f>IFERROR(__xludf.DUMMYFUNCTION("""COMPUTED_VALUE"""),43942.99861111111)</f>
        <v>43942.99861</v>
      </c>
      <c r="B3468" s="1">
        <f>IFERROR(__xludf.DUMMYFUNCTION("""COMPUTED_VALUE"""),2056.925)</f>
        <v>2056.925</v>
      </c>
    </row>
    <row r="3469">
      <c r="A3469" s="3">
        <f>IFERROR(__xludf.DUMMYFUNCTION("""COMPUTED_VALUE"""),43943.99861111111)</f>
        <v>43943.99861</v>
      </c>
      <c r="B3469" s="1">
        <f>IFERROR(__xludf.DUMMYFUNCTION("""COMPUTED_VALUE"""),2056.925)</f>
        <v>2056.925</v>
      </c>
    </row>
    <row r="3470">
      <c r="A3470" s="3">
        <f>IFERROR(__xludf.DUMMYFUNCTION("""COMPUTED_VALUE"""),43944.99861111111)</f>
        <v>43944.99861</v>
      </c>
      <c r="B3470" s="1">
        <f>IFERROR(__xludf.DUMMYFUNCTION("""COMPUTED_VALUE"""),2056.925)</f>
        <v>2056.925</v>
      </c>
    </row>
    <row r="3471">
      <c r="A3471" s="3">
        <f>IFERROR(__xludf.DUMMYFUNCTION("""COMPUTED_VALUE"""),43945.99861111111)</f>
        <v>43945.99861</v>
      </c>
      <c r="B3471" s="1">
        <f>IFERROR(__xludf.DUMMYFUNCTION("""COMPUTED_VALUE"""),2056.925)</f>
        <v>2056.925</v>
      </c>
    </row>
    <row r="3472">
      <c r="A3472" s="3">
        <f>IFERROR(__xludf.DUMMYFUNCTION("""COMPUTED_VALUE"""),43946.99861111111)</f>
        <v>43946.99861</v>
      </c>
      <c r="B3472" s="1">
        <f>IFERROR(__xludf.DUMMYFUNCTION("""COMPUTED_VALUE"""),2056.925)</f>
        <v>2056.925</v>
      </c>
    </row>
    <row r="3473">
      <c r="A3473" s="3">
        <f>IFERROR(__xludf.DUMMYFUNCTION("""COMPUTED_VALUE"""),43947.99861111111)</f>
        <v>43947.99861</v>
      </c>
      <c r="B3473" s="1">
        <f>IFERROR(__xludf.DUMMYFUNCTION("""COMPUTED_VALUE"""),2056.925)</f>
        <v>2056.925</v>
      </c>
    </row>
    <row r="3474">
      <c r="A3474" s="3">
        <f>IFERROR(__xludf.DUMMYFUNCTION("""COMPUTED_VALUE"""),43948.99861111111)</f>
        <v>43948.99861</v>
      </c>
      <c r="B3474" s="1">
        <f>IFERROR(__xludf.DUMMYFUNCTION("""COMPUTED_VALUE"""),2056.925)</f>
        <v>2056.925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IFERROR(__xludf.DUMMYFUNCTION("googlefinance(""Currency:HKDIDR"",""price"",""01/01/2010"",""28/04/2020"",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IFERROR(__xludf.DUMMYFUNCTION("""COMPUTED_VALUE"""),1210.179264)</f>
        <v>1210.179264</v>
      </c>
    </row>
    <row r="3">
      <c r="A3" s="3">
        <f>IFERROR(__xludf.DUMMYFUNCTION("""COMPUTED_VALUE"""),40182.99861111111)</f>
        <v>40182.99861</v>
      </c>
      <c r="B3" s="1">
        <f>IFERROR(__xludf.DUMMYFUNCTION("""COMPUTED_VALUE"""),1207.232664)</f>
        <v>1207.232664</v>
      </c>
    </row>
    <row r="4">
      <c r="A4" s="3">
        <f>IFERROR(__xludf.DUMMYFUNCTION("""COMPUTED_VALUE"""),40183.99861111111)</f>
        <v>40183.99861</v>
      </c>
      <c r="B4" s="1">
        <f>IFERROR(__xludf.DUMMYFUNCTION("""COMPUTED_VALUE"""),1199.626384)</f>
        <v>1199.626384</v>
      </c>
    </row>
    <row r="5">
      <c r="A5" s="3">
        <f>IFERROR(__xludf.DUMMYFUNCTION("""COMPUTED_VALUE"""),40184.99861111111)</f>
        <v>40184.99861</v>
      </c>
      <c r="B5" s="1">
        <f>IFERROR(__xludf.DUMMYFUNCTION("""COMPUTED_VALUE"""),1188.673995)</f>
        <v>1188.673995</v>
      </c>
    </row>
    <row r="6">
      <c r="A6" s="3">
        <f>IFERROR(__xludf.DUMMYFUNCTION("""COMPUTED_VALUE"""),40185.99861111111)</f>
        <v>40185.99861</v>
      </c>
      <c r="B6" s="1">
        <f>IFERROR(__xludf.DUMMYFUNCTION("""COMPUTED_VALUE"""),1195.503425)</f>
        <v>1195.503425</v>
      </c>
    </row>
    <row r="7">
      <c r="A7" s="3">
        <f>IFERROR(__xludf.DUMMYFUNCTION("""COMPUTED_VALUE"""),40186.99861111111)</f>
        <v>40186.99861</v>
      </c>
      <c r="B7" s="1">
        <f>IFERROR(__xludf.DUMMYFUNCTION("""COMPUTED_VALUE"""),1187.793411)</f>
        <v>1187.793411</v>
      </c>
    </row>
    <row r="8">
      <c r="A8" s="3">
        <f>IFERROR(__xludf.DUMMYFUNCTION("""COMPUTED_VALUE"""),40189.99861111111)</f>
        <v>40189.99861</v>
      </c>
      <c r="B8" s="1">
        <f>IFERROR(__xludf.DUMMYFUNCTION("""COMPUTED_VALUE"""),1179.556014)</f>
        <v>1179.556014</v>
      </c>
    </row>
    <row r="9">
      <c r="A9" s="3">
        <f>IFERROR(__xludf.DUMMYFUNCTION("""COMPUTED_VALUE"""),40190.99861111111)</f>
        <v>40190.99861</v>
      </c>
      <c r="B9" s="1">
        <f>IFERROR(__xludf.DUMMYFUNCTION("""COMPUTED_VALUE"""),1182.60045)</f>
        <v>1182.60045</v>
      </c>
    </row>
    <row r="10">
      <c r="A10" s="3">
        <f>IFERROR(__xludf.DUMMYFUNCTION("""COMPUTED_VALUE"""),40191.99861111111)</f>
        <v>40191.99861</v>
      </c>
      <c r="B10" s="1">
        <f>IFERROR(__xludf.DUMMYFUNCTION("""COMPUTED_VALUE"""),1178.54913)</f>
        <v>1178.54913</v>
      </c>
    </row>
    <row r="11">
      <c r="A11" s="3">
        <f>IFERROR(__xludf.DUMMYFUNCTION("""COMPUTED_VALUE"""),40192.99861111111)</f>
        <v>40192.99861</v>
      </c>
      <c r="B11" s="1">
        <f>IFERROR(__xludf.DUMMYFUNCTION("""COMPUTED_VALUE"""),1180.274178)</f>
        <v>1180.274178</v>
      </c>
    </row>
    <row r="12">
      <c r="A12" s="3">
        <f>IFERROR(__xludf.DUMMYFUNCTION("""COMPUTED_VALUE"""),40193.99861111111)</f>
        <v>40193.99861</v>
      </c>
      <c r="B12" s="1">
        <f>IFERROR(__xludf.DUMMYFUNCTION("""COMPUTED_VALUE"""),1188.782985)</f>
        <v>1188.782985</v>
      </c>
    </row>
    <row r="13">
      <c r="A13" s="3">
        <f>IFERROR(__xludf.DUMMYFUNCTION("""COMPUTED_VALUE"""),40196.99861111111)</f>
        <v>40196.99861</v>
      </c>
      <c r="B13" s="1">
        <f>IFERROR(__xludf.DUMMYFUNCTION("""COMPUTED_VALUE"""),1176.0353)</f>
        <v>1176.0353</v>
      </c>
    </row>
    <row r="14">
      <c r="A14" s="3">
        <f>IFERROR(__xludf.DUMMYFUNCTION("""COMPUTED_VALUE"""),40197.99861111111)</f>
        <v>40197.99861</v>
      </c>
      <c r="B14" s="1">
        <f>IFERROR(__xludf.DUMMYFUNCTION("""COMPUTED_VALUE"""),1188.81756)</f>
        <v>1188.81756</v>
      </c>
    </row>
    <row r="15">
      <c r="A15" s="3">
        <f>IFERROR(__xludf.DUMMYFUNCTION("""COMPUTED_VALUE"""),40198.99861111111)</f>
        <v>40198.99861</v>
      </c>
      <c r="B15" s="1">
        <f>IFERROR(__xludf.DUMMYFUNCTION("""COMPUTED_VALUE"""),1196.538913)</f>
        <v>1196.538913</v>
      </c>
    </row>
    <row r="16">
      <c r="A16" s="3">
        <f>IFERROR(__xludf.DUMMYFUNCTION("""COMPUTED_VALUE"""),40199.99861111111)</f>
        <v>40199.99861</v>
      </c>
      <c r="B16" s="1">
        <f>IFERROR(__xludf.DUMMYFUNCTION("""COMPUTED_VALUE"""),1181.57661)</f>
        <v>1181.57661</v>
      </c>
    </row>
    <row r="17">
      <c r="A17" s="3">
        <f>IFERROR(__xludf.DUMMYFUNCTION("""COMPUTED_VALUE"""),40200.99861111111)</f>
        <v>40200.99861</v>
      </c>
      <c r="B17" s="1">
        <f>IFERROR(__xludf.DUMMYFUNCTION("""COMPUTED_VALUE"""),1188.726)</f>
        <v>1188.726</v>
      </c>
    </row>
    <row r="18">
      <c r="A18" s="3">
        <f>IFERROR(__xludf.DUMMYFUNCTION("""COMPUTED_VALUE"""),40203.99861111111)</f>
        <v>40203.99861</v>
      </c>
      <c r="B18" s="1">
        <f>IFERROR(__xludf.DUMMYFUNCTION("""COMPUTED_VALUE"""),1199.663964)</f>
        <v>1199.663964</v>
      </c>
    </row>
    <row r="19">
      <c r="A19" s="3">
        <f>IFERROR(__xludf.DUMMYFUNCTION("""COMPUTED_VALUE"""),40204.99861111111)</f>
        <v>40204.99861</v>
      </c>
      <c r="B19" s="1">
        <f>IFERROR(__xludf.DUMMYFUNCTION("""COMPUTED_VALUE"""),1206.26157)</f>
        <v>1206.26157</v>
      </c>
    </row>
    <row r="20">
      <c r="A20" s="3">
        <f>IFERROR(__xludf.DUMMYFUNCTION("""COMPUTED_VALUE"""),40205.99861111111)</f>
        <v>40205.99861</v>
      </c>
      <c r="B20" s="1">
        <f>IFERROR(__xludf.DUMMYFUNCTION("""COMPUTED_VALUE"""),1208.73957)</f>
        <v>1208.73957</v>
      </c>
    </row>
    <row r="21">
      <c r="A21" s="3">
        <f>IFERROR(__xludf.DUMMYFUNCTION("""COMPUTED_VALUE"""),40206.99861111111)</f>
        <v>40206.99861</v>
      </c>
      <c r="B21" s="1">
        <f>IFERROR(__xludf.DUMMYFUNCTION("""COMPUTED_VALUE"""),1200.400813)</f>
        <v>1200.400813</v>
      </c>
    </row>
    <row r="22">
      <c r="A22" s="3">
        <f>IFERROR(__xludf.DUMMYFUNCTION("""COMPUTED_VALUE"""),40207.99861111111)</f>
        <v>40207.99861</v>
      </c>
      <c r="B22" s="1">
        <f>IFERROR(__xludf.DUMMYFUNCTION("""COMPUTED_VALUE"""),1191.215)</f>
        <v>1191.215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IFERROR(__xludf.DUMMYFUNCTION("""COMPUTED_VALUE"""),1191.483808)</f>
        <v>1191.483808</v>
      </c>
    </row>
    <row r="24">
      <c r="A24" s="3">
        <f>IFERROR(__xludf.DUMMYFUNCTION("""COMPUTED_VALUE"""),40211.99861111111)</f>
        <v>40211.99861</v>
      </c>
      <c r="B24" s="1">
        <f>IFERROR(__xludf.DUMMYFUNCTION("""COMPUTED_VALUE"""),1199.138875)</f>
        <v>1199.138875</v>
      </c>
    </row>
    <row r="25">
      <c r="A25" s="3">
        <f>IFERROR(__xludf.DUMMYFUNCTION("""COMPUTED_VALUE"""),40212.99861111111)</f>
        <v>40212.99861</v>
      </c>
      <c r="B25" s="1">
        <f>IFERROR(__xludf.DUMMYFUNCTION("""COMPUTED_VALUE"""),1205.69225)</f>
        <v>1205.69225</v>
      </c>
    </row>
    <row r="26">
      <c r="A26" s="3">
        <f>IFERROR(__xludf.DUMMYFUNCTION("""COMPUTED_VALUE"""),40213.99861111111)</f>
        <v>40213.99861</v>
      </c>
      <c r="B26" s="1">
        <f>IFERROR(__xludf.DUMMYFUNCTION("""COMPUTED_VALUE"""),1208.000161)</f>
        <v>1208.000161</v>
      </c>
    </row>
    <row r="27">
      <c r="A27" s="3">
        <f>IFERROR(__xludf.DUMMYFUNCTION("""COMPUTED_VALUE"""),40214.99861111111)</f>
        <v>40214.99861</v>
      </c>
      <c r="B27" s="1">
        <f>IFERROR(__xludf.DUMMYFUNCTION("""COMPUTED_VALUE"""),1218.639151)</f>
        <v>1218.639151</v>
      </c>
    </row>
    <row r="28">
      <c r="A28" s="3">
        <f>IFERROR(__xludf.DUMMYFUNCTION("""COMPUTED_VALUE"""),40217.99861111111)</f>
        <v>40217.99861</v>
      </c>
      <c r="B28" s="1">
        <f>IFERROR(__xludf.DUMMYFUNCTION("""COMPUTED_VALUE"""),1220.370615)</f>
        <v>1220.370615</v>
      </c>
    </row>
    <row r="29">
      <c r="A29" s="3">
        <f>IFERROR(__xludf.DUMMYFUNCTION("""COMPUTED_VALUE"""),40218.99861111111)</f>
        <v>40218.99861</v>
      </c>
      <c r="B29" s="1">
        <f>IFERROR(__xludf.DUMMYFUNCTION("""COMPUTED_VALUE"""),1201.96791)</f>
        <v>1201.96791</v>
      </c>
    </row>
    <row r="30">
      <c r="A30" s="3">
        <f>IFERROR(__xludf.DUMMYFUNCTION("""COMPUTED_VALUE"""),40219.99861111111)</f>
        <v>40219.99861</v>
      </c>
      <c r="B30" s="1">
        <f>IFERROR(__xludf.DUMMYFUNCTION("""COMPUTED_VALUE"""),1198.76328)</f>
        <v>1198.76328</v>
      </c>
    </row>
    <row r="31">
      <c r="A31" s="3">
        <f>IFERROR(__xludf.DUMMYFUNCTION("""COMPUTED_VALUE"""),40220.99861111111)</f>
        <v>40220.99861</v>
      </c>
      <c r="B31" s="1">
        <f>IFERROR(__xludf.DUMMYFUNCTION("""COMPUTED_VALUE"""),1200.877171)</f>
        <v>1200.877171</v>
      </c>
    </row>
    <row r="32">
      <c r="A32" s="3">
        <f>IFERROR(__xludf.DUMMYFUNCTION("""COMPUTED_VALUE"""),40221.99861111111)</f>
        <v>40221.99861</v>
      </c>
      <c r="B32" s="1">
        <f>IFERROR(__xludf.DUMMYFUNCTION("""COMPUTED_VALUE"""),1199.866953)</f>
        <v>1199.866953</v>
      </c>
    </row>
    <row r="33">
      <c r="A33" s="3">
        <f>IFERROR(__xludf.DUMMYFUNCTION("""COMPUTED_VALUE"""),40224.99861111111)</f>
        <v>40224.99861</v>
      </c>
      <c r="B33" s="1">
        <f>IFERROR(__xludf.DUMMYFUNCTION("""COMPUTED_VALUE"""),1202.20852)</f>
        <v>1202.20852</v>
      </c>
    </row>
    <row r="34">
      <c r="A34" s="3">
        <f>IFERROR(__xludf.DUMMYFUNCTION("""COMPUTED_VALUE"""),40225.99861111111)</f>
        <v>40225.99861</v>
      </c>
      <c r="B34" s="1">
        <f>IFERROR(__xludf.DUMMYFUNCTION("""COMPUTED_VALUE"""),1195.99623)</f>
        <v>1195.99623</v>
      </c>
    </row>
    <row r="35">
      <c r="A35" s="3">
        <f>IFERROR(__xludf.DUMMYFUNCTION("""COMPUTED_VALUE"""),40226.99861111111)</f>
        <v>40226.99861</v>
      </c>
      <c r="B35" s="1">
        <f>IFERROR(__xludf.DUMMYFUNCTION("""COMPUTED_VALUE"""),1210.139238)</f>
        <v>1210.139238</v>
      </c>
    </row>
    <row r="36">
      <c r="A36" s="3">
        <f>IFERROR(__xludf.DUMMYFUNCTION("""COMPUTED_VALUE"""),40227.99861111111)</f>
        <v>40227.99861</v>
      </c>
      <c r="B36" s="1">
        <f>IFERROR(__xludf.DUMMYFUNCTION("""COMPUTED_VALUE"""),1223.09925)</f>
        <v>1223.09925</v>
      </c>
    </row>
    <row r="37">
      <c r="A37" s="3">
        <f>IFERROR(__xludf.DUMMYFUNCTION("""COMPUTED_VALUE"""),40228.99861111111)</f>
        <v>40228.99861</v>
      </c>
      <c r="B37" s="1">
        <f>IFERROR(__xludf.DUMMYFUNCTION("""COMPUTED_VALUE"""),1196.37075)</f>
        <v>1196.37075</v>
      </c>
    </row>
    <row r="38">
      <c r="A38" s="3">
        <f>IFERROR(__xludf.DUMMYFUNCTION("""COMPUTED_VALUE"""),40231.99861111111)</f>
        <v>40231.99861</v>
      </c>
      <c r="B38" s="1">
        <f>IFERROR(__xludf.DUMMYFUNCTION("""COMPUTED_VALUE"""),1195.575777)</f>
        <v>1195.575777</v>
      </c>
    </row>
    <row r="39">
      <c r="A39" s="3">
        <f>IFERROR(__xludf.DUMMYFUNCTION("""COMPUTED_VALUE"""),40232.99861111111)</f>
        <v>40232.99861</v>
      </c>
      <c r="B39" s="1">
        <f>IFERROR(__xludf.DUMMYFUNCTION("""COMPUTED_VALUE"""),1203.410676)</f>
        <v>1203.410676</v>
      </c>
    </row>
    <row r="40">
      <c r="A40" s="3">
        <f>IFERROR(__xludf.DUMMYFUNCTION("""COMPUTED_VALUE"""),40233.99861111111)</f>
        <v>40233.99861</v>
      </c>
      <c r="B40" s="1">
        <f>IFERROR(__xludf.DUMMYFUNCTION("""COMPUTED_VALUE"""),1204.389194)</f>
        <v>1204.389194</v>
      </c>
    </row>
    <row r="41">
      <c r="A41" s="3">
        <f>IFERROR(__xludf.DUMMYFUNCTION("""COMPUTED_VALUE"""),40234.99861111111)</f>
        <v>40234.99861</v>
      </c>
      <c r="B41" s="1">
        <f>IFERROR(__xludf.DUMMYFUNCTION("""COMPUTED_VALUE"""),1202.37376)</f>
        <v>1202.37376</v>
      </c>
    </row>
    <row r="42">
      <c r="A42" s="3">
        <f>IFERROR(__xludf.DUMMYFUNCTION("""COMPUTED_VALUE"""),40235.99861111111)</f>
        <v>40235.99861</v>
      </c>
      <c r="B42" s="1">
        <f>IFERROR(__xludf.DUMMYFUNCTION("""COMPUTED_VALUE"""),1203.1788)</f>
        <v>1203.1788</v>
      </c>
    </row>
    <row r="43">
      <c r="A43" s="3">
        <f>IFERROR(__xludf.DUMMYFUNCTION("""COMPUTED_VALUE"""),40238.99861111111)</f>
        <v>40238.99861</v>
      </c>
      <c r="B43" s="1">
        <f>IFERROR(__xludf.DUMMYFUNCTION("""COMPUTED_VALUE"""),1208.707029)</f>
        <v>1208.707029</v>
      </c>
    </row>
    <row r="44">
      <c r="A44" s="3">
        <f>IFERROR(__xludf.DUMMYFUNCTION("""COMPUTED_VALUE"""),40239.99861111111)</f>
        <v>40239.99861</v>
      </c>
      <c r="B44" s="1">
        <f>IFERROR(__xludf.DUMMYFUNCTION("""COMPUTED_VALUE"""),1183.042564)</f>
        <v>1183.042564</v>
      </c>
    </row>
    <row r="45">
      <c r="A45" s="3">
        <f>IFERROR(__xludf.DUMMYFUNCTION("""COMPUTED_VALUE"""),40240.99861111111)</f>
        <v>40240.99861</v>
      </c>
      <c r="B45" s="1">
        <f>IFERROR(__xludf.DUMMYFUNCTION("""COMPUTED_VALUE"""),1178.612826)</f>
        <v>1178.612826</v>
      </c>
    </row>
    <row r="46">
      <c r="A46" s="3">
        <f>IFERROR(__xludf.DUMMYFUNCTION("""COMPUTED_VALUE"""),40241.99861111111)</f>
        <v>40241.99861</v>
      </c>
      <c r="B46" s="1">
        <f>IFERROR(__xludf.DUMMYFUNCTION("""COMPUTED_VALUE"""),1201.655609)</f>
        <v>1201.655609</v>
      </c>
    </row>
    <row r="47">
      <c r="A47" s="3">
        <f>IFERROR(__xludf.DUMMYFUNCTION("""COMPUTED_VALUE"""),40242.99861111111)</f>
        <v>40242.99861</v>
      </c>
      <c r="B47" s="1">
        <f>IFERROR(__xludf.DUMMYFUNCTION("""COMPUTED_VALUE"""),1184.937888)</f>
        <v>1184.937888</v>
      </c>
    </row>
    <row r="48">
      <c r="A48" s="3">
        <f>IFERROR(__xludf.DUMMYFUNCTION("""COMPUTED_VALUE"""),40245.99861111111)</f>
        <v>40245.99861</v>
      </c>
      <c r="B48" s="1">
        <f>IFERROR(__xludf.DUMMYFUNCTION("""COMPUTED_VALUE"""),1183.1184)</f>
        <v>1183.1184</v>
      </c>
    </row>
    <row r="49">
      <c r="A49" s="3">
        <f>IFERROR(__xludf.DUMMYFUNCTION("""COMPUTED_VALUE"""),40246.99861111111)</f>
        <v>40246.99861</v>
      </c>
      <c r="B49" s="1">
        <f>IFERROR(__xludf.DUMMYFUNCTION("""COMPUTED_VALUE"""),1182.137397)</f>
        <v>1182.137397</v>
      </c>
    </row>
    <row r="50">
      <c r="A50" s="3">
        <f>IFERROR(__xludf.DUMMYFUNCTION("""COMPUTED_VALUE"""),40247.99861111111)</f>
        <v>40247.99861</v>
      </c>
      <c r="B50" s="1">
        <f>IFERROR(__xludf.DUMMYFUNCTION("""COMPUTED_VALUE"""),1181.816712)</f>
        <v>1181.816712</v>
      </c>
    </row>
    <row r="51">
      <c r="A51" s="3">
        <f>IFERROR(__xludf.DUMMYFUNCTION("""COMPUTED_VALUE"""),40248.99861111111)</f>
        <v>40248.99861</v>
      </c>
      <c r="B51" s="1">
        <f>IFERROR(__xludf.DUMMYFUNCTION("""COMPUTED_VALUE"""),1179.534223)</f>
        <v>1179.534223</v>
      </c>
    </row>
    <row r="52">
      <c r="A52" s="3">
        <f>IFERROR(__xludf.DUMMYFUNCTION("""COMPUTED_VALUE"""),40249.99861111111)</f>
        <v>40249.99861</v>
      </c>
      <c r="B52" s="1">
        <f>IFERROR(__xludf.DUMMYFUNCTION("""COMPUTED_VALUE"""),1178.934724)</f>
        <v>1178.934724</v>
      </c>
    </row>
    <row r="53">
      <c r="A53" s="3">
        <f>IFERROR(__xludf.DUMMYFUNCTION("""COMPUTED_VALUE"""),40252.99861111111)</f>
        <v>40252.99861</v>
      </c>
      <c r="B53" s="1">
        <f>IFERROR(__xludf.DUMMYFUNCTION("""COMPUTED_VALUE"""),1186.456392)</f>
        <v>1186.456392</v>
      </c>
    </row>
    <row r="54">
      <c r="A54" s="3">
        <f>IFERROR(__xludf.DUMMYFUNCTION("""COMPUTED_VALUE"""),40253.99861111111)</f>
        <v>40253.99861</v>
      </c>
      <c r="B54" s="1">
        <f>IFERROR(__xludf.DUMMYFUNCTION("""COMPUTED_VALUE"""),1179.300948)</f>
        <v>1179.300948</v>
      </c>
    </row>
    <row r="55">
      <c r="A55" s="3">
        <f>IFERROR(__xludf.DUMMYFUNCTION("""COMPUTED_VALUE"""),40254.99861111111)</f>
        <v>40254.99861</v>
      </c>
      <c r="B55" s="1">
        <f>IFERROR(__xludf.DUMMYFUNCTION("""COMPUTED_VALUE"""),1172.37958)</f>
        <v>1172.37958</v>
      </c>
    </row>
    <row r="56">
      <c r="A56" s="3">
        <f>IFERROR(__xludf.DUMMYFUNCTION("""COMPUTED_VALUE"""),40255.99861111111)</f>
        <v>40255.99861</v>
      </c>
      <c r="B56" s="1">
        <f>IFERROR(__xludf.DUMMYFUNCTION("""COMPUTED_VALUE"""),1175.150655)</f>
        <v>1175.150655</v>
      </c>
    </row>
    <row r="57">
      <c r="A57" s="3">
        <f>IFERROR(__xludf.DUMMYFUNCTION("""COMPUTED_VALUE"""),40256.99861111111)</f>
        <v>40256.99861</v>
      </c>
      <c r="B57" s="1">
        <f>IFERROR(__xludf.DUMMYFUNCTION("""COMPUTED_VALUE"""),1173.966144)</f>
        <v>1173.966144</v>
      </c>
    </row>
    <row r="58">
      <c r="A58" s="3">
        <f>IFERROR(__xludf.DUMMYFUNCTION("""COMPUTED_VALUE"""),40259.99861111111)</f>
        <v>40259.99861</v>
      </c>
      <c r="B58" s="1">
        <f>IFERROR(__xludf.DUMMYFUNCTION("""COMPUTED_VALUE"""),1174.51929)</f>
        <v>1174.51929</v>
      </c>
    </row>
    <row r="59">
      <c r="A59" s="3">
        <f>IFERROR(__xludf.DUMMYFUNCTION("""COMPUTED_VALUE"""),40260.99861111111)</f>
        <v>40260.99861</v>
      </c>
      <c r="B59" s="1">
        <f>IFERROR(__xludf.DUMMYFUNCTION("""COMPUTED_VALUE"""),1178.007372)</f>
        <v>1178.007372</v>
      </c>
    </row>
    <row r="60">
      <c r="A60" s="3">
        <f>IFERROR(__xludf.DUMMYFUNCTION("""COMPUTED_VALUE"""),40261.99861111111)</f>
        <v>40261.99861</v>
      </c>
      <c r="B60" s="1">
        <f>IFERROR(__xludf.DUMMYFUNCTION("""COMPUTED_VALUE"""),1174.337948)</f>
        <v>1174.337948</v>
      </c>
    </row>
    <row r="61">
      <c r="A61" s="3">
        <f>IFERROR(__xludf.DUMMYFUNCTION("""COMPUTED_VALUE"""),40262.99861111111)</f>
        <v>40262.99861</v>
      </c>
      <c r="B61" s="1">
        <f>IFERROR(__xludf.DUMMYFUNCTION("""COMPUTED_VALUE"""),1176.552858)</f>
        <v>1176.552858</v>
      </c>
    </row>
    <row r="62">
      <c r="A62" s="3">
        <f>IFERROR(__xludf.DUMMYFUNCTION("""COMPUTED_VALUE"""),40263.99861111111)</f>
        <v>40263.99861</v>
      </c>
      <c r="B62" s="1">
        <f>IFERROR(__xludf.DUMMYFUNCTION("""COMPUTED_VALUE"""),1173.832649)</f>
        <v>1173.832649</v>
      </c>
    </row>
    <row r="63">
      <c r="A63" s="3">
        <f>IFERROR(__xludf.DUMMYFUNCTION("""COMPUTED_VALUE"""),40266.99861111111)</f>
        <v>40266.99861</v>
      </c>
      <c r="B63" s="1">
        <f>IFERROR(__xludf.DUMMYFUNCTION("""COMPUTED_VALUE"""),1168.51167)</f>
        <v>1168.51167</v>
      </c>
    </row>
    <row r="64">
      <c r="A64" s="3">
        <f>IFERROR(__xludf.DUMMYFUNCTION("""COMPUTED_VALUE"""),40267.99861111111)</f>
        <v>40267.99861</v>
      </c>
      <c r="B64" s="1">
        <f>IFERROR(__xludf.DUMMYFUNCTION("""COMPUTED_VALUE"""),1168.820766)</f>
        <v>1168.820766</v>
      </c>
    </row>
    <row r="65">
      <c r="A65" s="3">
        <f>IFERROR(__xludf.DUMMYFUNCTION("""COMPUTED_VALUE"""),40268.99861111111)</f>
        <v>40268.99861</v>
      </c>
      <c r="B65" s="1">
        <f>IFERROR(__xludf.DUMMYFUNCTION("""COMPUTED_VALUE"""),1172.37537)</f>
        <v>1172.37537</v>
      </c>
    </row>
    <row r="66">
      <c r="A66" s="3">
        <f>IFERROR(__xludf.DUMMYFUNCTION("""COMPUTED_VALUE"""),40269.99861111111)</f>
        <v>40269.99861</v>
      </c>
      <c r="B66" s="1">
        <f>IFERROR(__xludf.DUMMYFUNCTION("""COMPUTED_VALUE"""),1164.170664)</f>
        <v>1164.170664</v>
      </c>
    </row>
    <row r="67">
      <c r="A67" s="3">
        <f>IFERROR(__xludf.DUMMYFUNCTION("""COMPUTED_VALUE"""),40270.99861111111)</f>
        <v>40270.99861</v>
      </c>
      <c r="B67" s="1">
        <f>IFERROR(__xludf.DUMMYFUNCTION("""COMPUTED_VALUE"""),1170.695528)</f>
        <v>1170.695528</v>
      </c>
    </row>
    <row r="68">
      <c r="A68" s="3">
        <f>IFERROR(__xludf.DUMMYFUNCTION("""COMPUTED_VALUE"""),40273.99861111111)</f>
        <v>40273.99861</v>
      </c>
      <c r="B68" s="1">
        <f>IFERROR(__xludf.DUMMYFUNCTION("""COMPUTED_VALUE"""),1165.638528)</f>
        <v>1165.638528</v>
      </c>
    </row>
    <row r="69">
      <c r="A69" s="3">
        <f>IFERROR(__xludf.DUMMYFUNCTION("""COMPUTED_VALUE"""),40274.99861111111)</f>
        <v>40274.99861</v>
      </c>
      <c r="B69" s="1">
        <f>IFERROR(__xludf.DUMMYFUNCTION("""COMPUTED_VALUE"""),1163.733121)</f>
        <v>1163.733121</v>
      </c>
    </row>
    <row r="70">
      <c r="A70" s="3">
        <f>IFERROR(__xludf.DUMMYFUNCTION("""COMPUTED_VALUE"""),40275.99861111111)</f>
        <v>40275.99861</v>
      </c>
      <c r="B70" s="1">
        <f>IFERROR(__xludf.DUMMYFUNCTION("""COMPUTED_VALUE"""),1166.58178)</f>
        <v>1166.58178</v>
      </c>
    </row>
    <row r="71">
      <c r="A71" s="3">
        <f>IFERROR(__xludf.DUMMYFUNCTION("""COMPUTED_VALUE"""),40276.99861111111)</f>
        <v>40276.99861</v>
      </c>
      <c r="B71" s="1">
        <f>IFERROR(__xludf.DUMMYFUNCTION("""COMPUTED_VALUE"""),1167.265799)</f>
        <v>1167.265799</v>
      </c>
    </row>
    <row r="72">
      <c r="A72" s="3">
        <f>IFERROR(__xludf.DUMMYFUNCTION("""COMPUTED_VALUE"""),40277.99861111111)</f>
        <v>40277.99861</v>
      </c>
      <c r="B72" s="1">
        <f>IFERROR(__xludf.DUMMYFUNCTION("""COMPUTED_VALUE"""),1159.454597)</f>
        <v>1159.454597</v>
      </c>
    </row>
    <row r="73">
      <c r="A73" s="3">
        <f>IFERROR(__xludf.DUMMYFUNCTION("""COMPUTED_VALUE"""),40280.99861111111)</f>
        <v>40280.99861</v>
      </c>
      <c r="B73" s="1">
        <f>IFERROR(__xludf.DUMMYFUNCTION("""COMPUTED_VALUE"""),1161.5179)</f>
        <v>1161.5179</v>
      </c>
    </row>
    <row r="74">
      <c r="A74" s="3">
        <f>IFERROR(__xludf.DUMMYFUNCTION("""COMPUTED_VALUE"""),40281.99861111111)</f>
        <v>40281.99861</v>
      </c>
      <c r="B74" s="1">
        <f>IFERROR(__xludf.DUMMYFUNCTION("""COMPUTED_VALUE"""),1160.874075)</f>
        <v>1160.874075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IFERROR(__xludf.DUMMYFUNCTION("""COMPUTED_VALUE"""),1161.028776)</f>
        <v>1161.028776</v>
      </c>
    </row>
    <row r="76">
      <c r="A76" s="3">
        <f>IFERROR(__xludf.DUMMYFUNCTION("""COMPUTED_VALUE"""),40283.99861111111)</f>
        <v>40283.99861</v>
      </c>
      <c r="B76" s="1">
        <f>IFERROR(__xludf.DUMMYFUNCTION("""COMPUTED_VALUE"""),1159.791735)</f>
        <v>1159.791735</v>
      </c>
    </row>
    <row r="77">
      <c r="A77" s="3">
        <f>IFERROR(__xludf.DUMMYFUNCTION("""COMPUTED_VALUE"""),40284.99861111111)</f>
        <v>40284.99861</v>
      </c>
      <c r="B77" s="1">
        <f>IFERROR(__xludf.DUMMYFUNCTION("""COMPUTED_VALUE"""),1160.435985)</f>
        <v>1160.435985</v>
      </c>
    </row>
    <row r="78">
      <c r="A78" s="3">
        <f>IFERROR(__xludf.DUMMYFUNCTION("""COMPUTED_VALUE"""),40287.99861111111)</f>
        <v>40287.99861</v>
      </c>
      <c r="B78" s="1">
        <f>IFERROR(__xludf.DUMMYFUNCTION("""COMPUTED_VALUE"""),1161.31232)</f>
        <v>1161.31232</v>
      </c>
    </row>
    <row r="79">
      <c r="A79" s="3">
        <f>IFERROR(__xludf.DUMMYFUNCTION("""COMPUTED_VALUE"""),40288.99861111111)</f>
        <v>40288.99861</v>
      </c>
      <c r="B79" s="1">
        <f>IFERROR(__xludf.DUMMYFUNCTION("""COMPUTED_VALUE"""),1161.49264)</f>
        <v>1161.49264</v>
      </c>
    </row>
    <row r="80">
      <c r="A80" s="3">
        <f>IFERROR(__xludf.DUMMYFUNCTION("""COMPUTED_VALUE"""),40289.99861111111)</f>
        <v>40289.99861</v>
      </c>
      <c r="B80" s="1">
        <f>IFERROR(__xludf.DUMMYFUNCTION("""COMPUTED_VALUE"""),1162.291273)</f>
        <v>1162.291273</v>
      </c>
    </row>
    <row r="81">
      <c r="A81" s="3">
        <f>IFERROR(__xludf.DUMMYFUNCTION("""COMPUTED_VALUE"""),40290.99861111111)</f>
        <v>40290.99861</v>
      </c>
      <c r="B81" s="1">
        <f>IFERROR(__xludf.DUMMYFUNCTION("""COMPUTED_VALUE"""),1172.998012)</f>
        <v>1172.998012</v>
      </c>
    </row>
    <row r="82">
      <c r="A82" s="3">
        <f>IFERROR(__xludf.DUMMYFUNCTION("""COMPUTED_VALUE"""),40291.99861111111)</f>
        <v>40291.99861</v>
      </c>
      <c r="B82" s="1">
        <f>IFERROR(__xludf.DUMMYFUNCTION("""COMPUTED_VALUE"""),1159.80524)</f>
        <v>1159.80524</v>
      </c>
    </row>
    <row r="83">
      <c r="A83" s="3">
        <f>IFERROR(__xludf.DUMMYFUNCTION("""COMPUTED_VALUE"""),40294.99861111111)</f>
        <v>40294.99861</v>
      </c>
      <c r="B83" s="1">
        <f>IFERROR(__xludf.DUMMYFUNCTION("""COMPUTED_VALUE"""),1154.29272)</f>
        <v>1154.29272</v>
      </c>
    </row>
    <row r="84">
      <c r="A84" s="3">
        <f>IFERROR(__xludf.DUMMYFUNCTION("""COMPUTED_VALUE"""),40295.99861111111)</f>
        <v>40295.99861</v>
      </c>
      <c r="B84" s="1">
        <f>IFERROR(__xludf.DUMMYFUNCTION("""COMPUTED_VALUE"""),1171.486719)</f>
        <v>1171.486719</v>
      </c>
    </row>
    <row r="85">
      <c r="A85" s="3">
        <f>IFERROR(__xludf.DUMMYFUNCTION("""COMPUTED_VALUE"""),40296.99861111111)</f>
        <v>40296.99861</v>
      </c>
      <c r="B85" s="1">
        <f>IFERROR(__xludf.DUMMYFUNCTION("""COMPUTED_VALUE"""),1161.363328)</f>
        <v>1161.363328</v>
      </c>
    </row>
    <row r="86">
      <c r="A86" s="3">
        <f>IFERROR(__xludf.DUMMYFUNCTION("""COMPUTED_VALUE"""),40297.99861111111)</f>
        <v>40297.99861</v>
      </c>
      <c r="B86" s="1">
        <f>IFERROR(__xludf.DUMMYFUNCTION("""COMPUTED_VALUE"""),1159.251925)</f>
        <v>1159.251925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IFERROR(__xludf.DUMMYFUNCTION("""COMPUTED_VALUE"""),1162.715986)</f>
        <v>1162.715986</v>
      </c>
    </row>
    <row r="88">
      <c r="A88" s="3">
        <f>IFERROR(__xludf.DUMMYFUNCTION("""COMPUTED_VALUE"""),40301.99861111111)</f>
        <v>40301.99861</v>
      </c>
      <c r="B88" s="1">
        <f>IFERROR(__xludf.DUMMYFUNCTION("""COMPUTED_VALUE"""),1162.007891)</f>
        <v>1162.007891</v>
      </c>
    </row>
    <row r="89">
      <c r="A89" s="3">
        <f>IFERROR(__xludf.DUMMYFUNCTION("""COMPUTED_VALUE"""),40302.99861111111)</f>
        <v>40302.99861</v>
      </c>
      <c r="B89" s="1">
        <f>IFERROR(__xludf.DUMMYFUNCTION("""COMPUTED_VALUE"""),1167.995966)</f>
        <v>1167.995966</v>
      </c>
    </row>
    <row r="90">
      <c r="A90" s="3">
        <f>IFERROR(__xludf.DUMMYFUNCTION("""COMPUTED_VALUE"""),40303.99861111111)</f>
        <v>40303.99861</v>
      </c>
      <c r="B90" s="1">
        <f>IFERROR(__xludf.DUMMYFUNCTION("""COMPUTED_VALUE"""),1173.749375)</f>
        <v>1173.749375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IFERROR(__xludf.DUMMYFUNCTION("""COMPUTED_VALUE"""),1192.930176)</f>
        <v>1192.930176</v>
      </c>
    </row>
    <row r="92">
      <c r="A92" s="3">
        <f>IFERROR(__xludf.DUMMYFUNCTION("""COMPUTED_VALUE"""),40305.99861111111)</f>
        <v>40305.99861</v>
      </c>
      <c r="B92" s="1">
        <f>IFERROR(__xludf.DUMMYFUNCTION("""COMPUTED_VALUE"""),1184.716347)</f>
        <v>1184.716347</v>
      </c>
    </row>
    <row r="93">
      <c r="A93" s="3">
        <f>IFERROR(__xludf.DUMMYFUNCTION("""COMPUTED_VALUE"""),40308.99861111111)</f>
        <v>40308.99861</v>
      </c>
      <c r="B93" s="1">
        <f>IFERROR(__xludf.DUMMYFUNCTION("""COMPUTED_VALUE"""),1182.795264)</f>
        <v>1182.795264</v>
      </c>
    </row>
    <row r="94">
      <c r="A94" s="3">
        <f>IFERROR(__xludf.DUMMYFUNCTION("""COMPUTED_VALUE"""),40309.99861111111)</f>
        <v>40309.99861</v>
      </c>
      <c r="B94" s="1">
        <f>IFERROR(__xludf.DUMMYFUNCTION("""COMPUTED_VALUE"""),1180.582817)</f>
        <v>1180.582817</v>
      </c>
    </row>
    <row r="95">
      <c r="A95" s="3">
        <f>IFERROR(__xludf.DUMMYFUNCTION("""COMPUTED_VALUE"""),40310.99861111111)</f>
        <v>40310.99861</v>
      </c>
      <c r="B95" s="1">
        <f>IFERROR(__xludf.DUMMYFUNCTION("""COMPUTED_VALUE"""),1179.5015)</f>
        <v>1179.5015</v>
      </c>
    </row>
    <row r="96">
      <c r="A96" s="3">
        <f>IFERROR(__xludf.DUMMYFUNCTION("""COMPUTED_VALUE"""),40311.99861111111)</f>
        <v>40311.99861</v>
      </c>
      <c r="B96" s="1">
        <f>IFERROR(__xludf.DUMMYFUNCTION("""COMPUTED_VALUE"""),1169.82545)</f>
        <v>1169.82545</v>
      </c>
    </row>
    <row r="97">
      <c r="A97" s="3">
        <f>IFERROR(__xludf.DUMMYFUNCTION("""COMPUTED_VALUE"""),40312.99861111111)</f>
        <v>40312.99861</v>
      </c>
      <c r="B97" s="1">
        <f>IFERROR(__xludf.DUMMYFUNCTION("""COMPUTED_VALUE"""),1169.252406)</f>
        <v>1169.252406</v>
      </c>
    </row>
    <row r="98">
      <c r="A98" s="3">
        <f>IFERROR(__xludf.DUMMYFUNCTION("""COMPUTED_VALUE"""),40315.99861111111)</f>
        <v>40315.99861</v>
      </c>
      <c r="B98" s="1">
        <f>IFERROR(__xludf.DUMMYFUNCTION("""COMPUTED_VALUE"""),1163.90216)</f>
        <v>1163.90216</v>
      </c>
    </row>
    <row r="99">
      <c r="A99" s="3">
        <f>IFERROR(__xludf.DUMMYFUNCTION("""COMPUTED_VALUE"""),40316.99861111111)</f>
        <v>40316.99861</v>
      </c>
      <c r="B99" s="1">
        <f>IFERROR(__xludf.DUMMYFUNCTION("""COMPUTED_VALUE"""),1190.423205)</f>
        <v>1190.423205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IFERROR(__xludf.DUMMYFUNCTION("""COMPUTED_VALUE"""),1169.592741)</f>
        <v>1169.592741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IFERROR(__xludf.DUMMYFUNCTION("""COMPUTED_VALUE"""),1168.868965)</f>
        <v>1168.868965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IFERROR(__xludf.DUMMYFUNCTION("""COMPUTED_VALUE"""),1186.74589)</f>
        <v>1186.74589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IFERROR(__xludf.DUMMYFUNCTION("""COMPUTED_VALUE"""),1189.725208)</f>
        <v>1189.725208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IFERROR(__xludf.DUMMYFUNCTION("""COMPUTED_VALUE"""),1189.824624)</f>
        <v>1189.824624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IFERROR(__xludf.DUMMYFUNCTION("""COMPUTED_VALUE"""),1205.216748)</f>
        <v>1205.216748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IFERROR(__xludf.DUMMYFUNCTION("""COMPUTED_VALUE"""),1183.29815)</f>
        <v>1183.29815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IFERROR(__xludf.DUMMYFUNCTION("""COMPUTED_VALUE"""),1193.462084)</f>
        <v>1193.462084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IFERROR(__xludf.DUMMYFUNCTION("""COMPUTED_VALUE"""),1192.14264)</f>
        <v>1192.14264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IFERROR(__xludf.DUMMYFUNCTION("""COMPUTED_VALUE"""),1186.608585)</f>
        <v>1186.608585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IFERROR(__xludf.DUMMYFUNCTION("""COMPUTED_VALUE"""),1186.038693)</f>
        <v>1186.038693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IFERROR(__xludf.DUMMYFUNCTION("""COMPUTED_VALUE"""),1185.54075)</f>
        <v>1185.54075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IFERROR(__xludf.DUMMYFUNCTION("""COMPUTED_VALUE"""),1190.877583)</f>
        <v>1190.877583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IFERROR(__xludf.DUMMYFUNCTION("""COMPUTED_VALUE"""),1194.114515)</f>
        <v>1194.114515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IFERROR(__xludf.DUMMYFUNCTION("""COMPUTED_VALUE"""),1181.886476)</f>
        <v>1181.886476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IFERROR(__xludf.DUMMYFUNCTION("""COMPUTED_VALUE"""),1189.478592)</f>
        <v>1189.478592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IFERROR(__xludf.DUMMYFUNCTION("""COMPUTED_VALUE"""),1179.789022)</f>
        <v>1179.789022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IFERROR(__xludf.DUMMYFUNCTION("""COMPUTED_VALUE"""),1180.291644)</f>
        <v>1180.291644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IFERROR(__xludf.DUMMYFUNCTION("""COMPUTED_VALUE"""),1181.303316)</f>
        <v>1181.303316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IFERROR(__xludf.DUMMYFUNCTION("""COMPUTED_VALUE"""),1173.24735)</f>
        <v>1173.24735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IFERROR(__xludf.DUMMYFUNCTION("""COMPUTED_VALUE"""),1175.926289)</f>
        <v>1175.926289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IFERROR(__xludf.DUMMYFUNCTION("""COMPUTED_VALUE"""),1174.131218)</f>
        <v>1174.131218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IFERROR(__xludf.DUMMYFUNCTION("""COMPUTED_VALUE"""),1165.597035)</f>
        <v>1165.597035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IFERROR(__xludf.DUMMYFUNCTION("""COMPUTED_VALUE"""),1157.939751)</f>
        <v>1157.939751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IFERROR(__xludf.DUMMYFUNCTION("""COMPUTED_VALUE"""),1158.58272)</f>
        <v>1158.58272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IFERROR(__xludf.DUMMYFUNCTION("""COMPUTED_VALUE"""),1154.40452)</f>
        <v>1154.40452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IFERROR(__xludf.DUMMYFUNCTION("""COMPUTED_VALUE"""),1165.46068)</f>
        <v>1165.46068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IFERROR(__xludf.DUMMYFUNCTION("""COMPUTED_VALUE"""),1165.564192)</f>
        <v>1165.564192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IFERROR(__xludf.DUMMYFUNCTION("""COMPUTED_VALUE"""),1164.003759)</f>
        <v>1164.003759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IFERROR(__xludf.DUMMYFUNCTION("""COMPUTED_VALUE"""),1165.862724)</f>
        <v>1165.862724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IFERROR(__xludf.DUMMYFUNCTION("""COMPUTED_VALUE"""),1161.261872)</f>
        <v>1161.261872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IFERROR(__xludf.DUMMYFUNCTION("""COMPUTED_VALUE"""),1160.003166)</f>
        <v>1160.003166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IFERROR(__xludf.DUMMYFUNCTION("""COMPUTED_VALUE"""),1162.472529)</f>
        <v>1162.472529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IFERROR(__xludf.DUMMYFUNCTION("""COMPUTED_VALUE"""),1165.981734)</f>
        <v>1165.981734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IFERROR(__xludf.DUMMYFUNCTION("""COMPUTED_VALUE"""),1158.449768)</f>
        <v>1158.449768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IFERROR(__xludf.DUMMYFUNCTION("""COMPUTED_VALUE"""),1163.070711)</f>
        <v>1163.070711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IFERROR(__xludf.DUMMYFUNCTION("""COMPUTED_VALUE"""),1161.636507)</f>
        <v>1161.636507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IFERROR(__xludf.DUMMYFUNCTION("""COMPUTED_VALUE"""),1163.411398)</f>
        <v>1163.411398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IFERROR(__xludf.DUMMYFUNCTION("""COMPUTED_VALUE"""),1167.397828)</f>
        <v>1167.397828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IFERROR(__xludf.DUMMYFUNCTION("""COMPUTED_VALUE"""),1154.917056)</f>
        <v>1154.917056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IFERROR(__xludf.DUMMYFUNCTION("""COMPUTED_VALUE"""),1160.448996)</f>
        <v>1160.448996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IFERROR(__xludf.DUMMYFUNCTION("""COMPUTED_VALUE"""),1163.294128)</f>
        <v>1163.294128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IFERROR(__xludf.DUMMYFUNCTION("""COMPUTED_VALUE"""),1161.7724)</f>
        <v>1161.7724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IFERROR(__xludf.DUMMYFUNCTION("""COMPUTED_VALUE"""),1167.6237)</f>
        <v>1167.6237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IFERROR(__xludf.DUMMYFUNCTION("""COMPUTED_VALUE"""),1162.338597)</f>
        <v>1162.338597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IFERROR(__xludf.DUMMYFUNCTION("""COMPUTED_VALUE"""),1168.960254)</f>
        <v>1168.960254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IFERROR(__xludf.DUMMYFUNCTION("""COMPUTED_VALUE"""),1157.00121)</f>
        <v>1157.00121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IFERROR(__xludf.DUMMYFUNCTION("""COMPUTED_VALUE"""),1155.76335)</f>
        <v>1155.76335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IFERROR(__xludf.DUMMYFUNCTION("""COMPUTED_VALUE"""),1148.076625)</f>
        <v>1148.076625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IFERROR(__xludf.DUMMYFUNCTION("""COMPUTED_VALUE"""),1148.516187)</f>
        <v>1148.516187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IFERROR(__xludf.DUMMYFUNCTION("""COMPUTED_VALUE"""),1161.78825)</f>
        <v>1161.78825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IFERROR(__xludf.DUMMYFUNCTION("""COMPUTED_VALUE"""),1154.875044)</f>
        <v>1154.875044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IFERROR(__xludf.DUMMYFUNCTION("""COMPUTED_VALUE"""),1148.824264)</f>
        <v>1148.824264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IFERROR(__xludf.DUMMYFUNCTION("""COMPUTED_VALUE"""),1137.359204)</f>
        <v>1137.359204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IFERROR(__xludf.DUMMYFUNCTION("""COMPUTED_VALUE"""),1133.660955)</f>
        <v>1133.660955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IFERROR(__xludf.DUMMYFUNCTION("""COMPUTED_VALUE"""),1151.67954)</f>
        <v>1151.67954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IFERROR(__xludf.DUMMYFUNCTION("""COMPUTED_VALUE"""),1149.84912)</f>
        <v>1149.84912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IFERROR(__xludf.DUMMYFUNCTION("""COMPUTED_VALUE"""),1141.90065)</f>
        <v>1141.90065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IFERROR(__xludf.DUMMYFUNCTION("""COMPUTED_VALUE"""),1151.174166)</f>
        <v>1151.174166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IFERROR(__xludf.DUMMYFUNCTION("""COMPUTED_VALUE"""),1143.91144)</f>
        <v>1143.91144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IFERROR(__xludf.DUMMYFUNCTION("""COMPUTED_VALUE"""),1159.574)</f>
        <v>1159.574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IFERROR(__xludf.DUMMYFUNCTION("""COMPUTED_VALUE"""),1161.62046)</f>
        <v>1161.62046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IFERROR(__xludf.DUMMYFUNCTION("""COMPUTED_VALUE"""),1153.720335)</f>
        <v>1153.720335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IFERROR(__xludf.DUMMYFUNCTION("""COMPUTED_VALUE"""),1147.944768)</f>
        <v>1147.944768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IFERROR(__xludf.DUMMYFUNCTION("""COMPUTED_VALUE"""),1142.383728)</f>
        <v>1142.383728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IFERROR(__xludf.DUMMYFUNCTION("""COMPUTED_VALUE"""),1145.09538)</f>
        <v>1145.09538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IFERROR(__xludf.DUMMYFUNCTION("""COMPUTED_VALUE"""),1148.932248)</f>
        <v>1148.932248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IFERROR(__xludf.DUMMYFUNCTION("""COMPUTED_VALUE"""),1157.361346)</f>
        <v>1157.361346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IFERROR(__xludf.DUMMYFUNCTION("""COMPUTED_VALUE"""),1140.38487)</f>
        <v>1140.38487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IFERROR(__xludf.DUMMYFUNCTION("""COMPUTED_VALUE"""),1154.320521)</f>
        <v>1154.320521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IFERROR(__xludf.DUMMYFUNCTION("""COMPUTED_VALUE"""),1141.44446)</f>
        <v>1141.44446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IFERROR(__xludf.DUMMYFUNCTION("""COMPUTED_VALUE"""),1155.516446)</f>
        <v>1155.516446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IFERROR(__xludf.DUMMYFUNCTION("""COMPUTED_VALUE"""),1158.961972)</f>
        <v>1158.961972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IFERROR(__xludf.DUMMYFUNCTION("""COMPUTED_VALUE"""),1146.31972)</f>
        <v>1146.31972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IFERROR(__xludf.DUMMYFUNCTION("""COMPUTED_VALUE"""),1158.595126)</f>
        <v>1158.595126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IFERROR(__xludf.DUMMYFUNCTION("""COMPUTED_VALUE"""),1158.27448)</f>
        <v>1158.27448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IFERROR(__xludf.DUMMYFUNCTION("""COMPUTED_VALUE"""),1156.884672)</f>
        <v>1156.884672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IFERROR(__xludf.DUMMYFUNCTION("""COMPUTED_VALUE"""),1155.662212)</f>
        <v>1155.662212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IFERROR(__xludf.DUMMYFUNCTION("""COMPUTED_VALUE"""),1158.531125)</f>
        <v>1158.531125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IFERROR(__xludf.DUMMYFUNCTION("""COMPUTED_VALUE"""),1162.289473)</f>
        <v>1162.289473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IFERROR(__xludf.DUMMYFUNCTION("""COMPUTED_VALUE"""),1158.789105)</f>
        <v>1158.789105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IFERROR(__xludf.DUMMYFUNCTION("""COMPUTED_VALUE"""),1162.161)</f>
        <v>1162.161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IFERROR(__xludf.DUMMYFUNCTION("""COMPUTED_VALUE"""),1161.208864)</f>
        <v>1161.208864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IFERROR(__xludf.DUMMYFUNCTION("""COMPUTED_VALUE"""),1158.376772)</f>
        <v>1158.376772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IFERROR(__xludf.DUMMYFUNCTION("""COMPUTED_VALUE"""),1157.204748)</f>
        <v>1157.204748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IFERROR(__xludf.DUMMYFUNCTION("""COMPUTED_VALUE"""),1155.518744)</f>
        <v>1155.518744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IFERROR(__xludf.DUMMYFUNCTION("""COMPUTED_VALUE"""),1149.8268)</f>
        <v>1149.8268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IFERROR(__xludf.DUMMYFUNCTION("""COMPUTED_VALUE"""),1155.813766)</f>
        <v>1155.813766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IFERROR(__xludf.DUMMYFUNCTION("""COMPUTED_VALUE"""),1156.817538)</f>
        <v>1156.817538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IFERROR(__xludf.DUMMYFUNCTION("""COMPUTED_VALUE"""),1143.377696)</f>
        <v>1143.377696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IFERROR(__xludf.DUMMYFUNCTION("""COMPUTED_VALUE"""),1149.403392)</f>
        <v>1149.403392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IFERROR(__xludf.DUMMYFUNCTION("""COMPUTED_VALUE"""),1155.436605)</f>
        <v>1155.436605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IFERROR(__xludf.DUMMYFUNCTION("""COMPUTED_VALUE"""),1141.07092)</f>
        <v>1141.07092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IFERROR(__xludf.DUMMYFUNCTION("""COMPUTED_VALUE"""),1156.078855)</f>
        <v>1156.078855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IFERROR(__xludf.DUMMYFUNCTION("""COMPUTED_VALUE"""),1153.553328)</f>
        <v>1153.553328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IFERROR(__xludf.DUMMYFUNCTION("""COMPUTED_VALUE"""),1151.130384)</f>
        <v>1151.130384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IFERROR(__xludf.DUMMYFUNCTION("""COMPUTED_VALUE"""),1151.454302)</f>
        <v>1151.454302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IFERROR(__xludf.DUMMYFUNCTION("""COMPUTED_VALUE"""),1149.699816)</f>
        <v>1149.699816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IFERROR(__xludf.DUMMYFUNCTION("""COMPUTED_VALUE"""),1151.4637)</f>
        <v>1151.4637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IFERROR(__xludf.DUMMYFUNCTION("""COMPUTED_VALUE"""),1138.335863)</f>
        <v>1138.335863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IFERROR(__xludf.DUMMYFUNCTION("""COMPUTED_VALUE"""),1144.058832)</f>
        <v>1144.058832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IFERROR(__xludf.DUMMYFUNCTION("""COMPUTED_VALUE"""),1149.038176)</f>
        <v>1149.038176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IFERROR(__xludf.DUMMYFUNCTION("""COMPUTED_VALUE"""),1149.51731)</f>
        <v>1149.51731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IFERROR(__xludf.DUMMYFUNCTION("""COMPUTED_VALUE"""),1159.314264)</f>
        <v>1159.314264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IFERROR(__xludf.DUMMYFUNCTION("""COMPUTED_VALUE"""),1148.359464)</f>
        <v>1148.359464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IFERROR(__xludf.DUMMYFUNCTION("""COMPUTED_VALUE"""),1144.198069)</f>
        <v>1144.198069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IFERROR(__xludf.DUMMYFUNCTION("""COMPUTED_VALUE"""),1147.75138)</f>
        <v>1147.75138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IFERROR(__xludf.DUMMYFUNCTION("""COMPUTED_VALUE"""),1152.829239)</f>
        <v>1152.829239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IFERROR(__xludf.DUMMYFUNCTION("""COMPUTED_VALUE"""),1153.319097)</f>
        <v>1153.319097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IFERROR(__xludf.DUMMYFUNCTION("""COMPUTED_VALUE"""),1155.629366)</f>
        <v>1155.629366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IFERROR(__xludf.DUMMYFUNCTION("""COMPUTED_VALUE"""),1135.657341)</f>
        <v>1135.657341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IFERROR(__xludf.DUMMYFUNCTION("""COMPUTED_VALUE"""),1139.8156)</f>
        <v>1139.8156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IFERROR(__xludf.DUMMYFUNCTION("""COMPUTED_VALUE"""),1148.983238)</f>
        <v>1148.983238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IFERROR(__xludf.DUMMYFUNCTION("""COMPUTED_VALUE"""),1150.60103)</f>
        <v>1150.60103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IFERROR(__xludf.DUMMYFUNCTION("""COMPUTED_VALUE"""),1148.837389)</f>
        <v>1148.837389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IFERROR(__xludf.DUMMYFUNCTION("""COMPUTED_VALUE"""),1150.291694)</f>
        <v>1150.291694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IFERROR(__xludf.DUMMYFUNCTION("""COMPUTED_VALUE"""),1138.142468)</f>
        <v>1138.142468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IFERROR(__xludf.DUMMYFUNCTION("""COMPUTED_VALUE"""),1152.228)</f>
        <v>1152.228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IFERROR(__xludf.DUMMYFUNCTION("""COMPUTED_VALUE"""),1149.030021)</f>
        <v>1149.030021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IFERROR(__xludf.DUMMYFUNCTION("""COMPUTED_VALUE"""),1138.6185)</f>
        <v>1138.6185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IFERROR(__xludf.DUMMYFUNCTION("""COMPUTED_VALUE"""),1131.637017)</f>
        <v>1131.637017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IFERROR(__xludf.DUMMYFUNCTION("""COMPUTED_VALUE"""),1149.472649)</f>
        <v>1149.472649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IFERROR(__xludf.DUMMYFUNCTION("""COMPUTED_VALUE"""),1148.189)</f>
        <v>1148.189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IFERROR(__xludf.DUMMYFUNCTION("""COMPUTED_VALUE"""),1148.67405)</f>
        <v>1148.67405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IFERROR(__xludf.DUMMYFUNCTION("""COMPUTED_VALUE"""),1135.845)</f>
        <v>1135.845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IFERROR(__xludf.DUMMYFUNCTION("""COMPUTED_VALUE"""),1132.5684)</f>
        <v>1132.5684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IFERROR(__xludf.DUMMYFUNCTION("""COMPUTED_VALUE"""),1134.942)</f>
        <v>1134.942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IFERROR(__xludf.DUMMYFUNCTION("""COMPUTED_VALUE"""),1151.25405)</f>
        <v>1151.25405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IFERROR(__xludf.DUMMYFUNCTION("""COMPUTED_VALUE"""),1156.621701)</f>
        <v>1156.621701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IFERROR(__xludf.DUMMYFUNCTION("""COMPUTED_VALUE"""),1141.80408)</f>
        <v>1141.80408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IFERROR(__xludf.DUMMYFUNCTION("""COMPUTED_VALUE"""),1140.51478)</f>
        <v>1140.51478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IFERROR(__xludf.DUMMYFUNCTION("""COMPUTED_VALUE"""),1140.48171)</f>
        <v>1140.48171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IFERROR(__xludf.DUMMYFUNCTION("""COMPUTED_VALUE"""),1151.799792)</f>
        <v>1151.799792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IFERROR(__xludf.DUMMYFUNCTION("""COMPUTED_VALUE"""),1151.184694)</f>
        <v>1151.184694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IFERROR(__xludf.DUMMYFUNCTION("""COMPUTED_VALUE"""),1155.666407)</f>
        <v>1155.666407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IFERROR(__xludf.DUMMYFUNCTION("""COMPUTED_VALUE"""),1155.080556)</f>
        <v>1155.080556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IFERROR(__xludf.DUMMYFUNCTION("""COMPUTED_VALUE"""),1155.635281)</f>
        <v>1155.635281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IFERROR(__xludf.DUMMYFUNCTION("""COMPUTED_VALUE"""),1146.0624)</f>
        <v>1146.0624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IFERROR(__xludf.DUMMYFUNCTION("""COMPUTED_VALUE"""),1160.829342)</f>
        <v>1160.829342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IFERROR(__xludf.DUMMYFUNCTION("""COMPUTED_VALUE"""),1163.030723)</f>
        <v>1163.030723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IFERROR(__xludf.DUMMYFUNCTION("""COMPUTED_VALUE"""),1160.945068)</f>
        <v>1160.945068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IFERROR(__xludf.DUMMYFUNCTION("""COMPUTED_VALUE"""),1147.935)</f>
        <v>1147.935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IFERROR(__xludf.DUMMYFUNCTION("""COMPUTED_VALUE"""),1157.17815)</f>
        <v>1157.17815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IFERROR(__xludf.DUMMYFUNCTION("""COMPUTED_VALUE"""),1160.751858)</f>
        <v>1160.751858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IFERROR(__xludf.DUMMYFUNCTION("""COMPUTED_VALUE"""),1157.7322)</f>
        <v>1157.7322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IFERROR(__xludf.DUMMYFUNCTION("""COMPUTED_VALUE"""),1161.2348)</f>
        <v>1161.2348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IFERROR(__xludf.DUMMYFUNCTION("""COMPUTED_VALUE"""),1160.25588)</f>
        <v>1160.25588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IFERROR(__xludf.DUMMYFUNCTION("""COMPUTED_VALUE"""),1159.6896)</f>
        <v>1159.6896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IFERROR(__xludf.DUMMYFUNCTION("""COMPUTED_VALUE"""),1158.9684)</f>
        <v>1158.9684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IFERROR(__xludf.DUMMYFUNCTION("""COMPUTED_VALUE"""),1158.885553)</f>
        <v>1158.885553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IFERROR(__xludf.DUMMYFUNCTION("""COMPUTED_VALUE"""),1160.196845)</f>
        <v>1160.196845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IFERROR(__xludf.DUMMYFUNCTION("""COMPUTED_VALUE"""),1149.24804)</f>
        <v>1149.24804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IFERROR(__xludf.DUMMYFUNCTION("""COMPUTED_VALUE"""),1161.559236)</f>
        <v>1161.559236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IFERROR(__xludf.DUMMYFUNCTION("""COMPUTED_VALUE"""),1149.98037)</f>
        <v>1149.98037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IFERROR(__xludf.DUMMYFUNCTION("""COMPUTED_VALUE"""),1162.975609)</f>
        <v>1162.975609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IFERROR(__xludf.DUMMYFUNCTION("""COMPUTED_VALUE"""),1162.388096)</f>
        <v>1162.388096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IFERROR(__xludf.DUMMYFUNCTION("""COMPUTED_VALUE"""),1162.221762)</f>
        <v>1162.221762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IFERROR(__xludf.DUMMYFUNCTION("""COMPUTED_VALUE"""),1160.612)</f>
        <v>1160.612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IFERROR(__xludf.DUMMYFUNCTION("""COMPUTED_VALUE"""),1148.75089)</f>
        <v>1148.75089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IFERROR(__xludf.DUMMYFUNCTION("""COMPUTED_VALUE"""),1158.742325)</f>
        <v>1158.742325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IFERROR(__xludf.DUMMYFUNCTION("""COMPUTED_VALUE"""),1156.59631)</f>
        <v>1156.59631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IFERROR(__xludf.DUMMYFUNCTION("""COMPUTED_VALUE"""),1141.76214)</f>
        <v>1141.76214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IFERROR(__xludf.DUMMYFUNCTION("""COMPUTED_VALUE"""),1159.039968)</f>
        <v>1159.039968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IFERROR(__xludf.DUMMYFUNCTION("""COMPUTED_VALUE"""),1156.736866)</f>
        <v>1156.736866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IFERROR(__xludf.DUMMYFUNCTION("""COMPUTED_VALUE"""),1143.80592)</f>
        <v>1143.80592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IFERROR(__xludf.DUMMYFUNCTION("""COMPUTED_VALUE"""),1156.054686)</f>
        <v>1156.054686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IFERROR(__xludf.DUMMYFUNCTION("""COMPUTED_VALUE"""),1159.702354)</f>
        <v>1159.702354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IFERROR(__xludf.DUMMYFUNCTION("""COMPUTED_VALUE"""),1145.97462)</f>
        <v>1145.97462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IFERROR(__xludf.DUMMYFUNCTION("""COMPUTED_VALUE"""),1164.042679)</f>
        <v>1164.042679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IFERROR(__xludf.DUMMYFUNCTION("""COMPUTED_VALUE"""),1149.13102)</f>
        <v>1149.13102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IFERROR(__xludf.DUMMYFUNCTION("""COMPUTED_VALUE"""),1162.8152)</f>
        <v>1162.8152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IFERROR(__xludf.DUMMYFUNCTION("""COMPUTED_VALUE"""),1164.004569)</f>
        <v>1164.004569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IFERROR(__xludf.DUMMYFUNCTION("""COMPUTED_VALUE"""),1164.261809)</f>
        <v>1164.261809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IFERROR(__xludf.DUMMYFUNCTION("""COMPUTED_VALUE"""),1165.116)</f>
        <v>1165.116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IFERROR(__xludf.DUMMYFUNCTION("""COMPUTED_VALUE"""),1164.066351)</f>
        <v>1164.066351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IFERROR(__xludf.DUMMYFUNCTION("""COMPUTED_VALUE"""),1150.35488)</f>
        <v>1150.35488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IFERROR(__xludf.DUMMYFUNCTION("""COMPUTED_VALUE"""),1144.821864)</f>
        <v>1144.821864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IFERROR(__xludf.DUMMYFUNCTION("""COMPUTED_VALUE"""),1133.186175)</f>
        <v>1133.186175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IFERROR(__xludf.DUMMYFUNCTION("""COMPUTED_VALUE"""),1160.572)</f>
        <v>1160.572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IFERROR(__xludf.DUMMYFUNCTION("""COMPUTED_VALUE"""),1160.009086)</f>
        <v>1160.009086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IFERROR(__xludf.DUMMYFUNCTION("""COMPUTED_VALUE"""),1145.85107)</f>
        <v>1145.85107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IFERROR(__xludf.DUMMYFUNCTION("""COMPUTED_VALUE"""),1158.609032)</f>
        <v>1158.609032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IFERROR(__xludf.DUMMYFUNCTION("""COMPUTED_VALUE"""),1158.917941)</f>
        <v>1158.917941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IFERROR(__xludf.DUMMYFUNCTION("""COMPUTED_VALUE"""),1148.95308)</f>
        <v>1148.95308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IFERROR(__xludf.DUMMYFUNCTION("""COMPUTED_VALUE"""),1155.42)</f>
        <v>1155.42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IFERROR(__xludf.DUMMYFUNCTION("""COMPUTED_VALUE"""),1158.650818)</f>
        <v>1158.650818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IFERROR(__xludf.DUMMYFUNCTION("""COMPUTED_VALUE"""),1145.99166)</f>
        <v>1145.99166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IFERROR(__xludf.DUMMYFUNCTION("""COMPUTED_VALUE"""),1154.720504)</f>
        <v>1154.720504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IFERROR(__xludf.DUMMYFUNCTION("""COMPUTED_VALUE"""),1133.567892)</f>
        <v>1133.567892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IFERROR(__xludf.DUMMYFUNCTION("""COMPUTED_VALUE"""),1143.472)</f>
        <v>1143.472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IFERROR(__xludf.DUMMYFUNCTION("""COMPUTED_VALUE"""),1146.694879)</f>
        <v>1146.694879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IFERROR(__xludf.DUMMYFUNCTION("""COMPUTED_VALUE"""),1145.70225)</f>
        <v>1145.70225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IFERROR(__xludf.DUMMYFUNCTION("""COMPUTED_VALUE"""),1145.348484)</f>
        <v>1145.348484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IFERROR(__xludf.DUMMYFUNCTION("""COMPUTED_VALUE"""),1143.63479)</f>
        <v>1143.63479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IFERROR(__xludf.DUMMYFUNCTION("""COMPUTED_VALUE"""),1131.05265)</f>
        <v>1131.05265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IFERROR(__xludf.DUMMYFUNCTION("""COMPUTED_VALUE"""),1141.844731)</f>
        <v>1141.844731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IFERROR(__xludf.DUMMYFUNCTION("""COMPUTED_VALUE"""),1127.4398)</f>
        <v>1127.4398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IFERROR(__xludf.DUMMYFUNCTION("""COMPUTED_VALUE"""),1137.650878)</f>
        <v>1137.650878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IFERROR(__xludf.DUMMYFUNCTION("""COMPUTED_VALUE"""),1124.025)</f>
        <v>1124.025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IFERROR(__xludf.DUMMYFUNCTION("""COMPUTED_VALUE"""),1139.114828)</f>
        <v>1139.114828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IFERROR(__xludf.DUMMYFUNCTION("""COMPUTED_VALUE"""),1138.10016)</f>
        <v>1138.10016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IFERROR(__xludf.DUMMYFUNCTION("""COMPUTED_VALUE"""),1137.11355)</f>
        <v>1137.11355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IFERROR(__xludf.DUMMYFUNCTION("""COMPUTED_VALUE"""),1134.358035)</f>
        <v>1134.358035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IFERROR(__xludf.DUMMYFUNCTION("""COMPUTED_VALUE"""),1132.497751)</f>
        <v>1132.497751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IFERROR(__xludf.DUMMYFUNCTION("""COMPUTED_VALUE"""),1129.31128)</f>
        <v>1129.31128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IFERROR(__xludf.DUMMYFUNCTION("""COMPUTED_VALUE"""),1131.077957)</f>
        <v>1131.077957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IFERROR(__xludf.DUMMYFUNCTION("""COMPUTED_VALUE"""),1130.443671)</f>
        <v>1130.443671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IFERROR(__xludf.DUMMYFUNCTION("""COMPUTED_VALUE"""),1125.331618)</f>
        <v>1125.331618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IFERROR(__xludf.DUMMYFUNCTION("""COMPUTED_VALUE"""),1128.11598)</f>
        <v>1128.11598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IFERROR(__xludf.DUMMYFUNCTION("""COMPUTED_VALUE"""),1127.94668)</f>
        <v>1127.94668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IFERROR(__xludf.DUMMYFUNCTION("""COMPUTED_VALUE"""),1124.8716)</f>
        <v>1124.8716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IFERROR(__xludf.DUMMYFUNCTION("""COMPUTED_VALUE"""),1127.619311)</f>
        <v>1127.619311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IFERROR(__xludf.DUMMYFUNCTION("""COMPUTED_VALUE"""),1126.96038)</f>
        <v>1126.96038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IFERROR(__xludf.DUMMYFUNCTION("""COMPUTED_VALUE"""),1124.572833)</f>
        <v>1124.572833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IFERROR(__xludf.DUMMYFUNCTION("""COMPUTED_VALUE"""),1125.306)</f>
        <v>1125.306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IFERROR(__xludf.DUMMYFUNCTION("""COMPUTED_VALUE"""),1123.183705)</f>
        <v>1123.183705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IFERROR(__xludf.DUMMYFUNCTION("""COMPUTED_VALUE"""),1123.7878)</f>
        <v>1123.7878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IFERROR(__xludf.DUMMYFUNCTION("""COMPUTED_VALUE"""),1121.02155)</f>
        <v>1121.02155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IFERROR(__xludf.DUMMYFUNCTION("""COMPUTED_VALUE"""),1118.1656)</f>
        <v>1118.1656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IFERROR(__xludf.DUMMYFUNCTION("""COMPUTED_VALUE"""),1118.81709)</f>
        <v>1118.81709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IFERROR(__xludf.DUMMYFUNCTION("""COMPUTED_VALUE"""),1118.87482)</f>
        <v>1118.87482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IFERROR(__xludf.DUMMYFUNCTION("""COMPUTED_VALUE"""),1117.493)</f>
        <v>1117.493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IFERROR(__xludf.DUMMYFUNCTION("""COMPUTED_VALUE"""),1116.616004)</f>
        <v>1116.616004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IFERROR(__xludf.DUMMYFUNCTION("""COMPUTED_VALUE"""),1117.847604)</f>
        <v>1117.847604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IFERROR(__xludf.DUMMYFUNCTION("""COMPUTED_VALUE"""),1114.959648)</f>
        <v>1114.959648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IFERROR(__xludf.DUMMYFUNCTION("""COMPUTED_VALUE"""),1117.476465)</f>
        <v>1117.476465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IFERROR(__xludf.DUMMYFUNCTION("""COMPUTED_VALUE"""),1120.791676)</f>
        <v>1120.791676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IFERROR(__xludf.DUMMYFUNCTION("""COMPUTED_VALUE"""),1113.760538)</f>
        <v>1113.760538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IFERROR(__xludf.DUMMYFUNCTION("""COMPUTED_VALUE"""),1113.439188)</f>
        <v>1113.439188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IFERROR(__xludf.DUMMYFUNCTION("""COMPUTED_VALUE"""),1113.9471)</f>
        <v>1113.9471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IFERROR(__xludf.DUMMYFUNCTION("""COMPUTED_VALUE"""),1112.208576)</f>
        <v>1112.208576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IFERROR(__xludf.DUMMYFUNCTION("""COMPUTED_VALUE"""),1112.987446)</f>
        <v>1112.987446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IFERROR(__xludf.DUMMYFUNCTION("""COMPUTED_VALUE"""),1111.076544)</f>
        <v>1111.076544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IFERROR(__xludf.DUMMYFUNCTION("""COMPUTED_VALUE"""),1112.021246)</f>
        <v>1112.021246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IFERROR(__xludf.DUMMYFUNCTION("""COMPUTED_VALUE"""),1107.831856)</f>
        <v>1107.831856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IFERROR(__xludf.DUMMYFUNCTION("""COMPUTED_VALUE"""),1111.184487)</f>
        <v>1111.184487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IFERROR(__xludf.DUMMYFUNCTION("""COMPUTED_VALUE"""),1108.94355)</f>
        <v>1108.94355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IFERROR(__xludf.DUMMYFUNCTION("""COMPUTED_VALUE"""),1113.78974)</f>
        <v>1113.78974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IFERROR(__xludf.DUMMYFUNCTION("""COMPUTED_VALUE"""),1108.42656)</f>
        <v>1108.42656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IFERROR(__xludf.DUMMYFUNCTION("""COMPUTED_VALUE"""),1114.682415)</f>
        <v>1114.682415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IFERROR(__xludf.DUMMYFUNCTION("""COMPUTED_VALUE"""),1112.000643)</f>
        <v>1112.000643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IFERROR(__xludf.DUMMYFUNCTION("""COMPUTED_VALUE"""),1115.144922)</f>
        <v>1115.144922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IFERROR(__xludf.DUMMYFUNCTION("""COMPUTED_VALUE"""),1115.144922)</f>
        <v>1115.144922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IFERROR(__xludf.DUMMYFUNCTION("""COMPUTED_VALUE"""),1110.751188)</f>
        <v>1110.751188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IFERROR(__xludf.DUMMYFUNCTION("""COMPUTED_VALUE"""),1112.991919)</f>
        <v>1112.991919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IFERROR(__xludf.DUMMYFUNCTION("""COMPUTED_VALUE"""),1114.454292)</f>
        <v>1114.454292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IFERROR(__xludf.DUMMYFUNCTION("""COMPUTED_VALUE"""),1111.057984)</f>
        <v>1111.057984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IFERROR(__xludf.DUMMYFUNCTION("""COMPUTED_VALUE"""),1112.265819)</f>
        <v>1112.265819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IFERROR(__xludf.DUMMYFUNCTION("""COMPUTED_VALUE"""),1111.168386)</f>
        <v>1111.168386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IFERROR(__xludf.DUMMYFUNCTION("""COMPUTED_VALUE"""),1111.168386)</f>
        <v>1111.168386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IFERROR(__xludf.DUMMYFUNCTION("""COMPUTED_VALUE"""),1109.508543)</f>
        <v>1109.508543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IFERROR(__xludf.DUMMYFUNCTION("""COMPUTED_VALUE"""),1109.460912)</f>
        <v>1109.460912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IFERROR(__xludf.DUMMYFUNCTION("""COMPUTED_VALUE"""),1108.723656)</f>
        <v>1108.723656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IFERROR(__xludf.DUMMYFUNCTION("""COMPUTED_VALUE"""),1102.504504)</f>
        <v>1102.504504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IFERROR(__xludf.DUMMYFUNCTION("""COMPUTED_VALUE"""),1100.78397)</f>
        <v>1100.78397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IFERROR(__xludf.DUMMYFUNCTION("""COMPUTED_VALUE"""),1103.434572)</f>
        <v>1103.434572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IFERROR(__xludf.DUMMYFUNCTION("""COMPUTED_VALUE"""),1100.963325)</f>
        <v>1100.963325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IFERROR(__xludf.DUMMYFUNCTION("""COMPUTED_VALUE"""),1103.010132)</f>
        <v>1103.010132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IFERROR(__xludf.DUMMYFUNCTION("""COMPUTED_VALUE"""),1102.28025)</f>
        <v>1102.28025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IFERROR(__xludf.DUMMYFUNCTION("""COMPUTED_VALUE"""),1101.95003)</f>
        <v>1101.95003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IFERROR(__xludf.DUMMYFUNCTION("""COMPUTED_VALUE"""),1098.394888)</f>
        <v>1098.394888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IFERROR(__xludf.DUMMYFUNCTION("""COMPUTED_VALUE"""),1104.155871)</f>
        <v>1104.155871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IFERROR(__xludf.DUMMYFUNCTION("""COMPUTED_VALUE"""),1118.628108)</f>
        <v>1118.628108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IFERROR(__xludf.DUMMYFUNCTION("""COMPUTED_VALUE"""),1098.232328)</f>
        <v>1098.232328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IFERROR(__xludf.DUMMYFUNCTION("""COMPUTED_VALUE"""),1108.916661)</f>
        <v>1108.916661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IFERROR(__xludf.DUMMYFUNCTION("""COMPUTED_VALUE"""),1096.27008)</f>
        <v>1096.27008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IFERROR(__xludf.DUMMYFUNCTION("""COMPUTED_VALUE"""),1097.323494)</f>
        <v>1097.323494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IFERROR(__xludf.DUMMYFUNCTION("""COMPUTED_VALUE"""),1104.751956)</f>
        <v>1104.751956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IFERROR(__xludf.DUMMYFUNCTION("""COMPUTED_VALUE"""),1099.9575)</f>
        <v>1099.9575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IFERROR(__xludf.DUMMYFUNCTION("""COMPUTED_VALUE"""),1107.114432)</f>
        <v>1107.114432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IFERROR(__xludf.DUMMYFUNCTION("""COMPUTED_VALUE"""),1107.037248)</f>
        <v>1107.037248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IFERROR(__xludf.DUMMYFUNCTION("""COMPUTED_VALUE"""),1100.34345)</f>
        <v>1100.34345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IFERROR(__xludf.DUMMYFUNCTION("""COMPUTED_VALUE"""),1104.810792)</f>
        <v>1104.810792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IFERROR(__xludf.DUMMYFUNCTION("""COMPUTED_VALUE"""),1077.565498)</f>
        <v>1077.565498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IFERROR(__xludf.DUMMYFUNCTION("""COMPUTED_VALUE"""),1098.839246)</f>
        <v>1098.839246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IFERROR(__xludf.DUMMYFUNCTION("""COMPUTED_VALUE"""),1100.04376)</f>
        <v>1100.04376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IFERROR(__xludf.DUMMYFUNCTION("""COMPUTED_VALUE"""),1100.72996)</f>
        <v>1100.72996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IFERROR(__xludf.DUMMYFUNCTION("""COMPUTED_VALUE"""),1082.91609)</f>
        <v>1082.91609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IFERROR(__xludf.DUMMYFUNCTION("""COMPUTED_VALUE"""),1101.198522)</f>
        <v>1101.198522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IFERROR(__xludf.DUMMYFUNCTION("""COMPUTED_VALUE"""),1105.616)</f>
        <v>1105.616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IFERROR(__xludf.DUMMYFUNCTION("""COMPUTED_VALUE"""),1080.733706)</f>
        <v>1080.733706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IFERROR(__xludf.DUMMYFUNCTION("""COMPUTED_VALUE"""),1103.635977)</f>
        <v>1103.635977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IFERROR(__xludf.DUMMYFUNCTION("""COMPUTED_VALUE"""),1101.716)</f>
        <v>1101.716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IFERROR(__xludf.DUMMYFUNCTION("""COMPUTED_VALUE"""),1100.124774)</f>
        <v>1100.124774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IFERROR(__xludf.DUMMYFUNCTION("""COMPUTED_VALUE"""),1073.809776)</f>
        <v>1073.809776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IFERROR(__xludf.DUMMYFUNCTION("""COMPUTED_VALUE"""),1099.953575)</f>
        <v>1099.953575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IFERROR(__xludf.DUMMYFUNCTION("""COMPUTED_VALUE"""),1098.218158)</f>
        <v>1098.218158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IFERROR(__xludf.DUMMYFUNCTION("""COMPUTED_VALUE"""),1097.717803)</f>
        <v>1097.717803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IFERROR(__xludf.DUMMYFUNCTION("""COMPUTED_VALUE"""),1097.7316)</f>
        <v>1097.7316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IFERROR(__xludf.DUMMYFUNCTION("""COMPUTED_VALUE"""),1098.086058)</f>
        <v>1098.086058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IFERROR(__xludf.DUMMYFUNCTION("""COMPUTED_VALUE"""),1095.389052)</f>
        <v>1095.389052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IFERROR(__xludf.DUMMYFUNCTION("""COMPUTED_VALUE"""),1095.059552)</f>
        <v>1095.059552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IFERROR(__xludf.DUMMYFUNCTION("""COMPUTED_VALUE"""),1095.474256)</f>
        <v>1095.474256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IFERROR(__xludf.DUMMYFUNCTION("""COMPUTED_VALUE"""),1092.675)</f>
        <v>1092.675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IFERROR(__xludf.DUMMYFUNCTION("""COMPUTED_VALUE"""),1094.490788)</f>
        <v>1094.490788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IFERROR(__xludf.DUMMYFUNCTION("""COMPUTED_VALUE"""),1090.957194)</f>
        <v>1090.957194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IFERROR(__xludf.DUMMYFUNCTION("""COMPUTED_VALUE"""),1094.6496)</f>
        <v>1094.6496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IFERROR(__xludf.DUMMYFUNCTION("""COMPUTED_VALUE"""),1095.622494)</f>
        <v>1095.622494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IFERROR(__xludf.DUMMYFUNCTION("""COMPUTED_VALUE"""),1091.48112)</f>
        <v>1091.48112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IFERROR(__xludf.DUMMYFUNCTION("""COMPUTED_VALUE"""),1094.236801)</f>
        <v>1094.236801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IFERROR(__xludf.DUMMYFUNCTION("""COMPUTED_VALUE"""),1096.892352)</f>
        <v>1096.892352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IFERROR(__xludf.DUMMYFUNCTION("""COMPUTED_VALUE"""),1096.185877)</f>
        <v>1096.185877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IFERROR(__xludf.DUMMYFUNCTION("""COMPUTED_VALUE"""),1093.917792)</f>
        <v>1093.917792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IFERROR(__xludf.DUMMYFUNCTION("""COMPUTED_VALUE"""),1103.1993)</f>
        <v>1103.1993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IFERROR(__xludf.DUMMYFUNCTION("""COMPUTED_VALUE"""),1101.3288)</f>
        <v>1101.3288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IFERROR(__xludf.DUMMYFUNCTION("""COMPUTED_VALUE"""),1076.110308)</f>
        <v>1076.110308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IFERROR(__xludf.DUMMYFUNCTION("""COMPUTED_VALUE"""),1104.3028)</f>
        <v>1104.3028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IFERROR(__xludf.DUMMYFUNCTION("""COMPUTED_VALUE"""),1105.100962)</f>
        <v>1105.100962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IFERROR(__xludf.DUMMYFUNCTION("""COMPUTED_VALUE"""),1103.982)</f>
        <v>1103.982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IFERROR(__xludf.DUMMYFUNCTION("""COMPUTED_VALUE"""),1101.5862)</f>
        <v>1101.5862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IFERROR(__xludf.DUMMYFUNCTION("""COMPUTED_VALUE"""),1103.803582)</f>
        <v>1103.803582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IFERROR(__xludf.DUMMYFUNCTION("""COMPUTED_VALUE"""),1100.687)</f>
        <v>1100.687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IFERROR(__xludf.DUMMYFUNCTION("""COMPUTED_VALUE"""),1084.502888)</f>
        <v>1084.502888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IFERROR(__xludf.DUMMYFUNCTION("""COMPUTED_VALUE"""),1104.061581)</f>
        <v>1104.061581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IFERROR(__xludf.DUMMYFUNCTION("""COMPUTED_VALUE"""),1107.36375)</f>
        <v>1107.36375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IFERROR(__xludf.DUMMYFUNCTION("""COMPUTED_VALUE"""),1107.1528)</f>
        <v>1107.1528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IFERROR(__xludf.DUMMYFUNCTION("""COMPUTED_VALUE"""),1107.278075)</f>
        <v>1107.278075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IFERROR(__xludf.DUMMYFUNCTION("""COMPUTED_VALUE"""),1100.90232)</f>
        <v>1100.90232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IFERROR(__xludf.DUMMYFUNCTION("""COMPUTED_VALUE"""),1097.5185)</f>
        <v>1097.5185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IFERROR(__xludf.DUMMYFUNCTION("""COMPUTED_VALUE"""),1076.258399)</f>
        <v>1076.258399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IFERROR(__xludf.DUMMYFUNCTION("""COMPUTED_VALUE"""),1098.00487)</f>
        <v>1098.00487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IFERROR(__xludf.DUMMYFUNCTION("""COMPUTED_VALUE"""),1095.305274)</f>
        <v>1095.305274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IFERROR(__xludf.DUMMYFUNCTION("""COMPUTED_VALUE"""),1097.233074)</f>
        <v>1097.233074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IFERROR(__xludf.DUMMYFUNCTION("""COMPUTED_VALUE"""),1096.700697)</f>
        <v>1096.700697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IFERROR(__xludf.DUMMYFUNCTION("""COMPUTED_VALUE"""),1096.377656)</f>
        <v>1096.377656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IFERROR(__xludf.DUMMYFUNCTION("""COMPUTED_VALUE"""),1093.7647)</f>
        <v>1093.7647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IFERROR(__xludf.DUMMYFUNCTION("""COMPUTED_VALUE"""),1097.267209)</f>
        <v>1097.267209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IFERROR(__xludf.DUMMYFUNCTION("""COMPUTED_VALUE"""),1093.849825)</f>
        <v>1093.849825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IFERROR(__xludf.DUMMYFUNCTION("""COMPUTED_VALUE"""),1094.476201)</f>
        <v>1094.476201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IFERROR(__xludf.DUMMYFUNCTION("""COMPUTED_VALUE"""),1099.054015)</f>
        <v>1099.054015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IFERROR(__xludf.DUMMYFUNCTION("""COMPUTED_VALUE"""),1097.649)</f>
        <v>1097.649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IFERROR(__xludf.DUMMYFUNCTION("""COMPUTED_VALUE"""),1095.246421)</f>
        <v>1095.246421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IFERROR(__xludf.DUMMYFUNCTION("""COMPUTED_VALUE"""),1094.820445)</f>
        <v>1094.820445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IFERROR(__xludf.DUMMYFUNCTION("""COMPUTED_VALUE"""),1073.37063)</f>
        <v>1073.37063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IFERROR(__xludf.DUMMYFUNCTION("""COMPUTED_VALUE"""),1101.373263)</f>
        <v>1101.373263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IFERROR(__xludf.DUMMYFUNCTION("""COMPUTED_VALUE"""),1098.367336)</f>
        <v>1098.367336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IFERROR(__xludf.DUMMYFUNCTION("""COMPUTED_VALUE"""),1095.5966)</f>
        <v>1095.5966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IFERROR(__xludf.DUMMYFUNCTION("""COMPUTED_VALUE"""),1094.7402)</f>
        <v>1094.7402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IFERROR(__xludf.DUMMYFUNCTION("""COMPUTED_VALUE"""),1095.55321)</f>
        <v>1095.55321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IFERROR(__xludf.DUMMYFUNCTION("""COMPUTED_VALUE"""),1094.0985)</f>
        <v>1094.0985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IFERROR(__xludf.DUMMYFUNCTION("""COMPUTED_VALUE"""),1095.986253)</f>
        <v>1095.986253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IFERROR(__xludf.DUMMYFUNCTION("""COMPUTED_VALUE"""),1094.348763)</f>
        <v>1094.348763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IFERROR(__xludf.DUMMYFUNCTION("""COMPUTED_VALUE"""),1093.750173)</f>
        <v>1093.750173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IFERROR(__xludf.DUMMYFUNCTION("""COMPUTED_VALUE"""),1091.06)</f>
        <v>1091.06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IFERROR(__xludf.DUMMYFUNCTION("""COMPUTED_VALUE"""),1088.6647)</f>
        <v>1088.6647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IFERROR(__xludf.DUMMYFUNCTION("""COMPUTED_VALUE"""),1090.0784)</f>
        <v>1090.0784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IFERROR(__xludf.DUMMYFUNCTION("""COMPUTED_VALUE"""),1090.55)</f>
        <v>1090.55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IFERROR(__xludf.DUMMYFUNCTION("""COMPUTED_VALUE"""),1059.061255)</f>
        <v>1059.061255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IFERROR(__xludf.DUMMYFUNCTION("""COMPUTED_VALUE"""),1090.543585)</f>
        <v>1090.543585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IFERROR(__xludf.DUMMYFUNCTION("""COMPUTED_VALUE"""),1082.536896)</f>
        <v>1082.536896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IFERROR(__xludf.DUMMYFUNCTION("""COMPUTED_VALUE"""),1086.204486)</f>
        <v>1086.204486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IFERROR(__xludf.DUMMYFUNCTION("""COMPUTED_VALUE"""),1067.457144)</f>
        <v>1067.457144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IFERROR(__xludf.DUMMYFUNCTION("""COMPUTED_VALUE"""),1085.992232)</f>
        <v>1085.992232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IFERROR(__xludf.DUMMYFUNCTION("""COMPUTED_VALUE"""),1090.594796)</f>
        <v>1090.594796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IFERROR(__xludf.DUMMYFUNCTION("""COMPUTED_VALUE"""),1070.326136)</f>
        <v>1070.326136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IFERROR(__xludf.DUMMYFUNCTION("""COMPUTED_VALUE"""),1090.850244)</f>
        <v>1090.850244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IFERROR(__xludf.DUMMYFUNCTION("""COMPUTED_VALUE"""),1085.815881)</f>
        <v>1085.815881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IFERROR(__xludf.DUMMYFUNCTION("""COMPUTED_VALUE"""),1091.019384)</f>
        <v>1091.019384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IFERROR(__xludf.DUMMYFUNCTION("""COMPUTED_VALUE"""),1088.88843)</f>
        <v>1088.88843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IFERROR(__xludf.DUMMYFUNCTION("""COMPUTED_VALUE"""),1091.658097)</f>
        <v>1091.658097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IFERROR(__xludf.DUMMYFUNCTION("""COMPUTED_VALUE"""),1064.368045)</f>
        <v>1064.368045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IFERROR(__xludf.DUMMYFUNCTION("""COMPUTED_VALUE"""),1072.588384)</f>
        <v>1072.588384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IFERROR(__xludf.DUMMYFUNCTION("""COMPUTED_VALUE"""),1074.82857)</f>
        <v>1074.82857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IFERROR(__xludf.DUMMYFUNCTION("""COMPUTED_VALUE"""),1098.1624)</f>
        <v>1098.1624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IFERROR(__xludf.DUMMYFUNCTION("""COMPUTED_VALUE"""),1095.374492)</f>
        <v>1095.374492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IFERROR(__xludf.DUMMYFUNCTION("""COMPUTED_VALUE"""),1069.431832)</f>
        <v>1069.431832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IFERROR(__xludf.DUMMYFUNCTION("""COMPUTED_VALUE"""),1099.742667)</f>
        <v>1099.742667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IFERROR(__xludf.DUMMYFUNCTION("""COMPUTED_VALUE"""),1094.52877)</f>
        <v>1094.52877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IFERROR(__xludf.DUMMYFUNCTION("""COMPUTED_VALUE"""),1095.72518)</f>
        <v>1095.72518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IFERROR(__xludf.DUMMYFUNCTION("""COMPUTED_VALUE"""),1096.623)</f>
        <v>1096.623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IFERROR(__xludf.DUMMYFUNCTION("""COMPUTED_VALUE"""),1103.208)</f>
        <v>1103.208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IFERROR(__xludf.DUMMYFUNCTION("""COMPUTED_VALUE"""),1095.85344)</f>
        <v>1095.85344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IFERROR(__xludf.DUMMYFUNCTION("""COMPUTED_VALUE"""),1072.0674)</f>
        <v>1072.0674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IFERROR(__xludf.DUMMYFUNCTION("""COMPUTED_VALUE"""),1094.521496)</f>
        <v>1094.521496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IFERROR(__xludf.DUMMYFUNCTION("""COMPUTED_VALUE"""),1093.2012)</f>
        <v>1093.2012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IFERROR(__xludf.DUMMYFUNCTION("""COMPUTED_VALUE"""),1094.862814)</f>
        <v>1094.862814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IFERROR(__xludf.DUMMYFUNCTION("""COMPUTED_VALUE"""),1095.63078)</f>
        <v>1095.63078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IFERROR(__xludf.DUMMYFUNCTION("""COMPUTED_VALUE"""),1090.7103)</f>
        <v>1090.7103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IFERROR(__xludf.DUMMYFUNCTION("""COMPUTED_VALUE"""),1091.23)</f>
        <v>1091.23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IFERROR(__xludf.DUMMYFUNCTION("""COMPUTED_VALUE"""),1078.64876)</f>
        <v>1078.64876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IFERROR(__xludf.DUMMYFUNCTION("""COMPUTED_VALUE"""),1101.888285)</f>
        <v>1101.888285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IFERROR(__xludf.DUMMYFUNCTION("""COMPUTED_VALUE"""),1075.508825)</f>
        <v>1075.508825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IFERROR(__xludf.DUMMYFUNCTION("""COMPUTED_VALUE"""),1097.001367)</f>
        <v>1097.001367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IFERROR(__xludf.DUMMYFUNCTION("""COMPUTED_VALUE"""),1095.0405)</f>
        <v>1095.0405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IFERROR(__xludf.DUMMYFUNCTION("""COMPUTED_VALUE"""),1099.267985)</f>
        <v>1099.267985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IFERROR(__xludf.DUMMYFUNCTION("""COMPUTED_VALUE"""),1099.181787)</f>
        <v>1099.181787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IFERROR(__xludf.DUMMYFUNCTION("""COMPUTED_VALUE"""),1100.944079)</f>
        <v>1100.944079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IFERROR(__xludf.DUMMYFUNCTION("""COMPUTED_VALUE"""),1089.060525)</f>
        <v>1089.060525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IFERROR(__xludf.DUMMYFUNCTION("""COMPUTED_VALUE"""),1098.711691)</f>
        <v>1098.711691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IFERROR(__xludf.DUMMYFUNCTION("""COMPUTED_VALUE"""),1105.80372)</f>
        <v>1105.80372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IFERROR(__xludf.DUMMYFUNCTION("""COMPUTED_VALUE"""),1118.246388)</f>
        <v>1118.246388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IFERROR(__xludf.DUMMYFUNCTION("""COMPUTED_VALUE"""),1130.63515)</f>
        <v>1130.63515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IFERROR(__xludf.DUMMYFUNCTION("""COMPUTED_VALUE"""),1124.806033)</f>
        <v>1124.806033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IFERROR(__xludf.DUMMYFUNCTION("""COMPUTED_VALUE"""),1130.660704)</f>
        <v>1130.660704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IFERROR(__xludf.DUMMYFUNCTION("""COMPUTED_VALUE"""),1124.543085)</f>
        <v>1124.543085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IFERROR(__xludf.DUMMYFUNCTION("""COMPUTED_VALUE"""),1131.4728)</f>
        <v>1131.4728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IFERROR(__xludf.DUMMYFUNCTION("""COMPUTED_VALUE"""),1131.286299)</f>
        <v>1131.286299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IFERROR(__xludf.DUMMYFUNCTION("""COMPUTED_VALUE"""),1134.375879)</f>
        <v>1134.375879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IFERROR(__xludf.DUMMYFUNCTION("""COMPUTED_VALUE"""),1123.147301)</f>
        <v>1123.147301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IFERROR(__xludf.DUMMYFUNCTION("""COMPUTED_VALUE"""),1121.470638)</f>
        <v>1121.470638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IFERROR(__xludf.DUMMYFUNCTION("""COMPUTED_VALUE"""),1098.600336)</f>
        <v>1098.600336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IFERROR(__xludf.DUMMYFUNCTION("""COMPUTED_VALUE"""),1124.974993)</f>
        <v>1124.974993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IFERROR(__xludf.DUMMYFUNCTION("""COMPUTED_VALUE"""),1164.3284)</f>
        <v>1164.3284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IFERROR(__xludf.DUMMYFUNCTION("""COMPUTED_VALUE"""),1141.881738)</f>
        <v>1141.881738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IFERROR(__xludf.DUMMYFUNCTION("""COMPUTED_VALUE"""),1140.580585)</f>
        <v>1140.580585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IFERROR(__xludf.DUMMYFUNCTION("""COMPUTED_VALUE"""),1148.887158)</f>
        <v>1148.887158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IFERROR(__xludf.DUMMYFUNCTION("""COMPUTED_VALUE"""),1129.069077)</f>
        <v>1129.069077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IFERROR(__xludf.DUMMYFUNCTION("""COMPUTED_VALUE"""),1163.496374)</f>
        <v>1163.496374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IFERROR(__xludf.DUMMYFUNCTION("""COMPUTED_VALUE"""),1128.54168)</f>
        <v>1128.54168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IFERROR(__xludf.DUMMYFUNCTION("""COMPUTED_VALUE"""),1142.343605)</f>
        <v>1142.343605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IFERROR(__xludf.DUMMYFUNCTION("""COMPUTED_VALUE"""),1107.4959)</f>
        <v>1107.4959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IFERROR(__xludf.DUMMYFUNCTION("""COMPUTED_VALUE"""),1150.347172)</f>
        <v>1150.347172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IFERROR(__xludf.DUMMYFUNCTION("""COMPUTED_VALUE"""),1142.365)</f>
        <v>1142.365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IFERROR(__xludf.DUMMYFUNCTION("""COMPUTED_VALUE"""),1143.23335)</f>
        <v>1143.23335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IFERROR(__xludf.DUMMYFUNCTION("""COMPUTED_VALUE"""),1164.913853)</f>
        <v>1164.913853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IFERROR(__xludf.DUMMYFUNCTION("""COMPUTED_VALUE"""),1143.23335)</f>
        <v>1143.23335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IFERROR(__xludf.DUMMYFUNCTION("""COMPUTED_VALUE"""),1142.768749)</f>
        <v>1142.768749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IFERROR(__xludf.DUMMYFUNCTION("""COMPUTED_VALUE"""),1120.30884)</f>
        <v>1120.30884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IFERROR(__xludf.DUMMYFUNCTION("""COMPUTED_VALUE"""),1138.378752)</f>
        <v>1138.378752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IFERROR(__xludf.DUMMYFUNCTION("""COMPUTED_VALUE"""),1140.143373)</f>
        <v>1140.143373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IFERROR(__xludf.DUMMYFUNCTION("""COMPUTED_VALUE"""),1137.653152)</f>
        <v>1137.653152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IFERROR(__xludf.DUMMYFUNCTION("""COMPUTED_VALUE"""),1110.449856)</f>
        <v>1110.449856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IFERROR(__xludf.DUMMYFUNCTION("""COMPUTED_VALUE"""),1142.755441)</f>
        <v>1142.755441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IFERROR(__xludf.DUMMYFUNCTION("""COMPUTED_VALUE"""),1141.638512)</f>
        <v>1141.638512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IFERROR(__xludf.DUMMYFUNCTION("""COMPUTED_VALUE"""),1141.7904)</f>
        <v>1141.7904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IFERROR(__xludf.DUMMYFUNCTION("""COMPUTED_VALUE"""),1136.750064)</f>
        <v>1136.750064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IFERROR(__xludf.DUMMYFUNCTION("""COMPUTED_VALUE"""),1134.270823)</f>
        <v>1134.270823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IFERROR(__xludf.DUMMYFUNCTION("""COMPUTED_VALUE"""),1137.225)</f>
        <v>1137.225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IFERROR(__xludf.DUMMYFUNCTION("""COMPUTED_VALUE"""),1099.3946)</f>
        <v>1099.3946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IFERROR(__xludf.DUMMYFUNCTION("""COMPUTED_VALUE"""),1138.769373)</f>
        <v>1138.769373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IFERROR(__xludf.DUMMYFUNCTION("""COMPUTED_VALUE"""),1136.552371)</f>
        <v>1136.552371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IFERROR(__xludf.DUMMYFUNCTION("""COMPUTED_VALUE"""),1138.192069)</f>
        <v>1138.192069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IFERROR(__xludf.DUMMYFUNCTION("""COMPUTED_VALUE"""),1141.416288)</f>
        <v>1141.416288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IFERROR(__xludf.DUMMYFUNCTION("""COMPUTED_VALUE"""),1139.852658)</f>
        <v>1139.852658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IFERROR(__xludf.DUMMYFUNCTION("""COMPUTED_VALUE"""),1134.356562)</f>
        <v>1134.356562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IFERROR(__xludf.DUMMYFUNCTION("""COMPUTED_VALUE"""),1135.714266)</f>
        <v>1135.714266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IFERROR(__xludf.DUMMYFUNCTION("""COMPUTED_VALUE"""),1136.628377)</f>
        <v>1136.628377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IFERROR(__xludf.DUMMYFUNCTION("""COMPUTED_VALUE"""),1136.119488)</f>
        <v>1136.119488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IFERROR(__xludf.DUMMYFUNCTION("""COMPUTED_VALUE"""),1140.675225)</f>
        <v>1140.675225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IFERROR(__xludf.DUMMYFUNCTION("""COMPUTED_VALUE"""),1145.431083)</f>
        <v>1145.431083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IFERROR(__xludf.DUMMYFUNCTION("""COMPUTED_VALUE"""),1151.309628)</f>
        <v>1151.309628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IFERROR(__xludf.DUMMYFUNCTION("""COMPUTED_VALUE"""),1151.48985)</f>
        <v>1151.48985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IFERROR(__xludf.DUMMYFUNCTION("""COMPUTED_VALUE"""),1137.509772)</f>
        <v>1137.509772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IFERROR(__xludf.DUMMYFUNCTION("""COMPUTED_VALUE"""),1152.127063)</f>
        <v>1152.127063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IFERROR(__xludf.DUMMYFUNCTION("""COMPUTED_VALUE"""),1152.681164)</f>
        <v>1152.681164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IFERROR(__xludf.DUMMYFUNCTION("""COMPUTED_VALUE"""),1147.44965)</f>
        <v>1147.44965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IFERROR(__xludf.DUMMYFUNCTION("""COMPUTED_VALUE"""),1143.514268)</f>
        <v>1143.514268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IFERROR(__xludf.DUMMYFUNCTION("""COMPUTED_VALUE"""),1152.997373)</f>
        <v>1152.997373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IFERROR(__xludf.DUMMYFUNCTION("""COMPUTED_VALUE"""),1151.229088)</f>
        <v>1151.229088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IFERROR(__xludf.DUMMYFUNCTION("""COMPUTED_VALUE"""),1151.971264)</f>
        <v>1151.971264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IFERROR(__xludf.DUMMYFUNCTION("""COMPUTED_VALUE"""),1152.919652)</f>
        <v>1152.919652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IFERROR(__xludf.DUMMYFUNCTION("""COMPUTED_VALUE"""),1151.906425)</f>
        <v>1151.906425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IFERROR(__xludf.DUMMYFUNCTION("""COMPUTED_VALUE"""),1155.671176)</f>
        <v>1155.671176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IFERROR(__xludf.DUMMYFUNCTION("""COMPUTED_VALUE"""),1155.298587)</f>
        <v>1155.298587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IFERROR(__xludf.DUMMYFUNCTION("""COMPUTED_VALUE"""),1152.004953)</f>
        <v>1152.004953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IFERROR(__xludf.DUMMYFUNCTION("""COMPUTED_VALUE"""),1154.32877)</f>
        <v>1154.32877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IFERROR(__xludf.DUMMYFUNCTION("""COMPUTED_VALUE"""),1142.620514)</f>
        <v>1142.620514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IFERROR(__xludf.DUMMYFUNCTION("""COMPUTED_VALUE"""),1157.981181)</f>
        <v>1157.981181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IFERROR(__xludf.DUMMYFUNCTION("""COMPUTED_VALUE"""),1158.532831)</f>
        <v>1158.532831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IFERROR(__xludf.DUMMYFUNCTION("""COMPUTED_VALUE"""),1160.738433)</f>
        <v>1160.738433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IFERROR(__xludf.DUMMYFUNCTION("""COMPUTED_VALUE"""),1156.86827)</f>
        <v>1156.86827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IFERROR(__xludf.DUMMYFUNCTION("""COMPUTED_VALUE"""),1149.517424)</f>
        <v>1149.517424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IFERROR(__xludf.DUMMYFUNCTION("""COMPUTED_VALUE"""),1157.66145)</f>
        <v>1157.66145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IFERROR(__xludf.DUMMYFUNCTION("""COMPUTED_VALUE"""),1158.546375)</f>
        <v>1158.546375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IFERROR(__xludf.DUMMYFUNCTION("""COMPUTED_VALUE"""),1161.478436)</f>
        <v>1161.478436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IFERROR(__xludf.DUMMYFUNCTION("""COMPUTED_VALUE"""),1169.265786)</f>
        <v>1169.265786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IFERROR(__xludf.DUMMYFUNCTION("""COMPUTED_VALUE"""),1170.798585)</f>
        <v>1170.798585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IFERROR(__xludf.DUMMYFUNCTION("""COMPUTED_VALUE"""),1167.26362)</f>
        <v>1167.26362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IFERROR(__xludf.DUMMYFUNCTION("""COMPUTED_VALUE"""),1157.470166)</f>
        <v>1157.470166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IFERROR(__xludf.DUMMYFUNCTION("""COMPUTED_VALUE"""),1160.4108)</f>
        <v>1160.4108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IFERROR(__xludf.DUMMYFUNCTION("""COMPUTED_VALUE"""),1146.534784)</f>
        <v>1146.534784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IFERROR(__xludf.DUMMYFUNCTION("""COMPUTED_VALUE"""),1160.404364)</f>
        <v>1160.404364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IFERROR(__xludf.DUMMYFUNCTION("""COMPUTED_VALUE"""),1160.256088)</f>
        <v>1160.256088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IFERROR(__xludf.DUMMYFUNCTION("""COMPUTED_VALUE"""),1162.255968)</f>
        <v>1162.255968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IFERROR(__xludf.DUMMYFUNCTION("""COMPUTED_VALUE"""),1161.284736)</f>
        <v>1161.284736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IFERROR(__xludf.DUMMYFUNCTION("""COMPUTED_VALUE"""),1156.66062)</f>
        <v>1156.66062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IFERROR(__xludf.DUMMYFUNCTION("""COMPUTED_VALUE"""),1162.8345)</f>
        <v>1162.8345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IFERROR(__xludf.DUMMYFUNCTION("""COMPUTED_VALUE"""),1143.806048)</f>
        <v>1143.806048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IFERROR(__xludf.DUMMYFUNCTION("""COMPUTED_VALUE"""),1169.244758)</f>
        <v>1169.244758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IFERROR(__xludf.DUMMYFUNCTION("""COMPUTED_VALUE"""),1162.647076)</f>
        <v>1162.647076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IFERROR(__xludf.DUMMYFUNCTION("""COMPUTED_VALUE"""),1171.178213)</f>
        <v>1171.178213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IFERROR(__xludf.DUMMYFUNCTION("""COMPUTED_VALUE"""),1168.986)</f>
        <v>1168.986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IFERROR(__xludf.DUMMYFUNCTION("""COMPUTED_VALUE"""),1168.149474)</f>
        <v>1168.149474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IFERROR(__xludf.DUMMYFUNCTION("""COMPUTED_VALUE"""),1165.259056)</f>
        <v>1165.259056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IFERROR(__xludf.DUMMYFUNCTION("""COMPUTED_VALUE"""),1165.51722)</f>
        <v>1165.51722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IFERROR(__xludf.DUMMYFUNCTION("""COMPUTED_VALUE"""),1158.25959)</f>
        <v>1158.25959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IFERROR(__xludf.DUMMYFUNCTION("""COMPUTED_VALUE"""),1170.731835)</f>
        <v>1170.731835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IFERROR(__xludf.DUMMYFUNCTION("""COMPUTED_VALUE"""),1162.526124)</f>
        <v>1162.526124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IFERROR(__xludf.DUMMYFUNCTION("""COMPUTED_VALUE"""),1162.27062)</f>
        <v>1162.27062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IFERROR(__xludf.DUMMYFUNCTION("""COMPUTED_VALUE"""),1174.04025)</f>
        <v>1174.04025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IFERROR(__xludf.DUMMYFUNCTION("""COMPUTED_VALUE"""),1162.3632)</f>
        <v>1162.3632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IFERROR(__xludf.DUMMYFUNCTION("""COMPUTED_VALUE"""),1162.157472)</f>
        <v>1162.157472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IFERROR(__xludf.DUMMYFUNCTION("""COMPUTED_VALUE"""),1169.790709)</f>
        <v>1169.790709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IFERROR(__xludf.DUMMYFUNCTION("""COMPUTED_VALUE"""),1168.81817)</f>
        <v>1168.81817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IFERROR(__xludf.DUMMYFUNCTION("""COMPUTED_VALUE"""),1165.10134)</f>
        <v>1165.10134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IFERROR(__xludf.DUMMYFUNCTION("""COMPUTED_VALUE"""),1163.10984)</f>
        <v>1163.10984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IFERROR(__xludf.DUMMYFUNCTION("""COMPUTED_VALUE"""),1139.17002)</f>
        <v>1139.17002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IFERROR(__xludf.DUMMYFUNCTION("""COMPUTED_VALUE"""),1166.475)</f>
        <v>1166.475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IFERROR(__xludf.DUMMYFUNCTION("""COMPUTED_VALUE"""),1165.7407)</f>
        <v>1165.7407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IFERROR(__xludf.DUMMYFUNCTION("""COMPUTED_VALUE"""),1172.586505)</f>
        <v>1172.586505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IFERROR(__xludf.DUMMYFUNCTION("""COMPUTED_VALUE"""),1146.186174)</f>
        <v>1146.186174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IFERROR(__xludf.DUMMYFUNCTION("""COMPUTED_VALUE"""),1173.37395)</f>
        <v>1173.37395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IFERROR(__xludf.DUMMYFUNCTION("""COMPUTED_VALUE"""),1173.476934)</f>
        <v>1173.476934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IFERROR(__xludf.DUMMYFUNCTION("""COMPUTED_VALUE"""),1173.0036)</f>
        <v>1173.0036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IFERROR(__xludf.DUMMYFUNCTION("""COMPUTED_VALUE"""),1170.6102)</f>
        <v>1170.6102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IFERROR(__xludf.DUMMYFUNCTION("""COMPUTED_VALUE"""),1166.359584)</f>
        <v>1166.359584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IFERROR(__xludf.DUMMYFUNCTION("""COMPUTED_VALUE"""),1173.837702)</f>
        <v>1173.837702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IFERROR(__xludf.DUMMYFUNCTION("""COMPUTED_VALUE"""),1177.73042)</f>
        <v>1177.73042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IFERROR(__xludf.DUMMYFUNCTION("""COMPUTED_VALUE"""),1177.3273)</f>
        <v>1177.3273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IFERROR(__xludf.DUMMYFUNCTION("""COMPUTED_VALUE"""),1183.0287)</f>
        <v>1183.0287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IFERROR(__xludf.DUMMYFUNCTION("""COMPUTED_VALUE"""),1177.8795)</f>
        <v>1177.8795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IFERROR(__xludf.DUMMYFUNCTION("""COMPUTED_VALUE"""),1168.97406)</f>
        <v>1168.97406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IFERROR(__xludf.DUMMYFUNCTION("""COMPUTED_VALUE"""),1165.289288)</f>
        <v>1165.289288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IFERROR(__xludf.DUMMYFUNCTION("""COMPUTED_VALUE"""),1173.564229)</f>
        <v>1173.564229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IFERROR(__xludf.DUMMYFUNCTION("""COMPUTED_VALUE"""),1171.430127)</f>
        <v>1171.430127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IFERROR(__xludf.DUMMYFUNCTION("""COMPUTED_VALUE"""),1168.0346)</f>
        <v>1168.0346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IFERROR(__xludf.DUMMYFUNCTION("""COMPUTED_VALUE"""),1160.603604)</f>
        <v>1160.603604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IFERROR(__xludf.DUMMYFUNCTION("""COMPUTED_VALUE"""),1152.56325)</f>
        <v>1152.56325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IFERROR(__xludf.DUMMYFUNCTION("""COMPUTED_VALUE"""),1151.81902)</f>
        <v>1151.81902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IFERROR(__xludf.DUMMYFUNCTION("""COMPUTED_VALUE"""),1149.1636)</f>
        <v>1149.1636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IFERROR(__xludf.DUMMYFUNCTION("""COMPUTED_VALUE"""),1155.425897)</f>
        <v>1155.425897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IFERROR(__xludf.DUMMYFUNCTION("""COMPUTED_VALUE"""),1149.2528)</f>
        <v>1149.2528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IFERROR(__xludf.DUMMYFUNCTION("""COMPUTED_VALUE"""),1154.32788)</f>
        <v>1154.32788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IFERROR(__xludf.DUMMYFUNCTION("""COMPUTED_VALUE"""),1166.260316)</f>
        <v>1166.260316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IFERROR(__xludf.DUMMYFUNCTION("""COMPUTED_VALUE"""),1156.73571)</f>
        <v>1156.73571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IFERROR(__xludf.DUMMYFUNCTION("""COMPUTED_VALUE"""),1157.622835)</f>
        <v>1157.622835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IFERROR(__xludf.DUMMYFUNCTION("""COMPUTED_VALUE"""),1154.27088)</f>
        <v>1154.27088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IFERROR(__xludf.DUMMYFUNCTION("""COMPUTED_VALUE"""),1160.576046)</f>
        <v>1160.576046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IFERROR(__xludf.DUMMYFUNCTION("""COMPUTED_VALUE"""),1156.67024)</f>
        <v>1156.67024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IFERROR(__xludf.DUMMYFUNCTION("""COMPUTED_VALUE"""),1158.126186)</f>
        <v>1158.126186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IFERROR(__xludf.DUMMYFUNCTION("""COMPUTED_VALUE"""),1157.971)</f>
        <v>1157.971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IFERROR(__xludf.DUMMYFUNCTION("""COMPUTED_VALUE"""),1155.147672)</f>
        <v>1155.147672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IFERROR(__xludf.DUMMYFUNCTION("""COMPUTED_VALUE"""),1155.081824)</f>
        <v>1155.081824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IFERROR(__xludf.DUMMYFUNCTION("""COMPUTED_VALUE"""),1151.189214)</f>
        <v>1151.189214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IFERROR(__xludf.DUMMYFUNCTION("""COMPUTED_VALUE"""),1156.412444)</f>
        <v>1156.412444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IFERROR(__xludf.DUMMYFUNCTION("""COMPUTED_VALUE"""),1158.57664)</f>
        <v>1158.57664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IFERROR(__xludf.DUMMYFUNCTION("""COMPUTED_VALUE"""),1151.6128)</f>
        <v>1151.6128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IFERROR(__xludf.DUMMYFUNCTION("""COMPUTED_VALUE"""),1141.48944)</f>
        <v>1141.48944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IFERROR(__xludf.DUMMYFUNCTION("""COMPUTED_VALUE"""),1150.1448)</f>
        <v>1150.1448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IFERROR(__xludf.DUMMYFUNCTION("""COMPUTED_VALUE"""),1155.9471)</f>
        <v>1155.9471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IFERROR(__xludf.DUMMYFUNCTION("""COMPUTED_VALUE"""),1155.85745)</f>
        <v>1155.85745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IFERROR(__xludf.DUMMYFUNCTION("""COMPUTED_VALUE"""),1155.7678)</f>
        <v>1155.7678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IFERROR(__xludf.DUMMYFUNCTION("""COMPUTED_VALUE"""),1156.874925)</f>
        <v>1156.874925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IFERROR(__xludf.DUMMYFUNCTION("""COMPUTED_VALUE"""),1160.38208)</f>
        <v>1160.38208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IFERROR(__xludf.DUMMYFUNCTION("""COMPUTED_VALUE"""),1151.6128)</f>
        <v>1151.6128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IFERROR(__xludf.DUMMYFUNCTION("""COMPUTED_VALUE"""),1158.0608)</f>
        <v>1158.0608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IFERROR(__xludf.DUMMYFUNCTION("""COMPUTED_VALUE"""),1161.02688)</f>
        <v>1161.02688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IFERROR(__xludf.DUMMYFUNCTION("""COMPUTED_VALUE"""),1158.473472)</f>
        <v>1158.473472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IFERROR(__xludf.DUMMYFUNCTION("""COMPUTED_VALUE"""),1158.473472)</f>
        <v>1158.473472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IFERROR(__xludf.DUMMYFUNCTION("""COMPUTED_VALUE"""),1156.88782)</f>
        <v>1156.88782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IFERROR(__xludf.DUMMYFUNCTION("""COMPUTED_VALUE"""),1164.4185)</f>
        <v>1164.4185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IFERROR(__xludf.DUMMYFUNCTION("""COMPUTED_VALUE"""),1165.6176)</f>
        <v>1165.6176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IFERROR(__xludf.DUMMYFUNCTION("""COMPUTED_VALUE"""),1165.5272)</f>
        <v>1165.5272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IFERROR(__xludf.DUMMYFUNCTION("""COMPUTED_VALUE"""),1165.708)</f>
        <v>1165.708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IFERROR(__xludf.DUMMYFUNCTION("""COMPUTED_VALUE"""),1163.245055)</f>
        <v>1163.245055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IFERROR(__xludf.DUMMYFUNCTION("""COMPUTED_VALUE"""),1169.174959)</f>
        <v>1169.174959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IFERROR(__xludf.DUMMYFUNCTION("""COMPUTED_VALUE"""),1173.9987)</f>
        <v>1173.9987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IFERROR(__xludf.DUMMYFUNCTION("""COMPUTED_VALUE"""),1161.1047)</f>
        <v>1161.1047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IFERROR(__xludf.DUMMYFUNCTION("""COMPUTED_VALUE"""),1161.6593)</f>
        <v>1161.6593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IFERROR(__xludf.DUMMYFUNCTION("""COMPUTED_VALUE"""),1167.5517)</f>
        <v>1167.5517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IFERROR(__xludf.DUMMYFUNCTION("""COMPUTED_VALUE"""),1166.91785)</f>
        <v>1166.91785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IFERROR(__xludf.DUMMYFUNCTION("""COMPUTED_VALUE"""),1166.91785)</f>
        <v>1166.91785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IFERROR(__xludf.DUMMYFUNCTION("""COMPUTED_VALUE"""),1167.0084)</f>
        <v>1167.0084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IFERROR(__xludf.DUMMYFUNCTION("""COMPUTED_VALUE"""),1173.7544)</f>
        <v>1173.7544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IFERROR(__xludf.DUMMYFUNCTION("""COMPUTED_VALUE"""),1174.10315)</f>
        <v>1174.10315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IFERROR(__xludf.DUMMYFUNCTION("""COMPUTED_VALUE"""),1170.148)</f>
        <v>1170.148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IFERROR(__xludf.DUMMYFUNCTION("""COMPUTED_VALUE"""),1173.72555)</f>
        <v>1173.72555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IFERROR(__xludf.DUMMYFUNCTION("""COMPUTED_VALUE"""),1173.54345)</f>
        <v>1173.54345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IFERROR(__xludf.DUMMYFUNCTION("""COMPUTED_VALUE"""),1179.231365)</f>
        <v>1179.231365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IFERROR(__xludf.DUMMYFUNCTION("""COMPUTED_VALUE"""),1177.172805)</f>
        <v>1177.172805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IFERROR(__xludf.DUMMYFUNCTION("""COMPUTED_VALUE"""),1177.15237)</f>
        <v>1177.15237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IFERROR(__xludf.DUMMYFUNCTION("""COMPUTED_VALUE"""),1176.87838)</f>
        <v>1176.87838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IFERROR(__xludf.DUMMYFUNCTION("""COMPUTED_VALUE"""),1180.46929)</f>
        <v>1180.46929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IFERROR(__xludf.DUMMYFUNCTION("""COMPUTED_VALUE"""),1180.37766)</f>
        <v>1180.37766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IFERROR(__xludf.DUMMYFUNCTION("""COMPUTED_VALUE"""),1172.08)</f>
        <v>1172.08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IFERROR(__xludf.DUMMYFUNCTION("""COMPUTED_VALUE"""),1170.198819)</f>
        <v>1170.198819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IFERROR(__xludf.DUMMYFUNCTION("""COMPUTED_VALUE"""),1174.7472)</f>
        <v>1174.7472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IFERROR(__xludf.DUMMYFUNCTION("""COMPUTED_VALUE"""),1173.4591)</f>
        <v>1173.4591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IFERROR(__xludf.DUMMYFUNCTION("""COMPUTED_VALUE"""),1177.876)</f>
        <v>1177.876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IFERROR(__xludf.DUMMYFUNCTION("""COMPUTED_VALUE"""),1177.78455)</f>
        <v>1177.78455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IFERROR(__xludf.DUMMYFUNCTION("""COMPUTED_VALUE"""),1187.1672)</f>
        <v>1187.1672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IFERROR(__xludf.DUMMYFUNCTION("""COMPUTED_VALUE"""),1177.1444)</f>
        <v>1177.1444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IFERROR(__xludf.DUMMYFUNCTION("""COMPUTED_VALUE"""),1152.75196)</f>
        <v>1152.75196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IFERROR(__xludf.DUMMYFUNCTION("""COMPUTED_VALUE"""),1177.971)</f>
        <v>1177.971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IFERROR(__xludf.DUMMYFUNCTION("""COMPUTED_VALUE"""),1177.788)</f>
        <v>1177.788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IFERROR(__xludf.DUMMYFUNCTION("""COMPUTED_VALUE"""),1178.337)</f>
        <v>1178.337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IFERROR(__xludf.DUMMYFUNCTION("""COMPUTED_VALUE"""),1178.2455)</f>
        <v>1178.2455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IFERROR(__xludf.DUMMYFUNCTION("""COMPUTED_VALUE"""),1178.4285)</f>
        <v>1178.4285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IFERROR(__xludf.DUMMYFUNCTION("""COMPUTED_VALUE"""),1174.2912)</f>
        <v>1174.2912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IFERROR(__xludf.DUMMYFUNCTION("""COMPUTED_VALUE"""),1173.17)</f>
        <v>1173.17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IFERROR(__xludf.DUMMYFUNCTION("""COMPUTED_VALUE"""),1180.476518)</f>
        <v>1180.476518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IFERROR(__xludf.DUMMYFUNCTION("""COMPUTED_VALUE"""),1174.03368)</f>
        <v>1174.03368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IFERROR(__xludf.DUMMYFUNCTION("""COMPUTED_VALUE"""),1176.44272)</f>
        <v>1176.44272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IFERROR(__xludf.DUMMYFUNCTION("""COMPUTED_VALUE"""),1176.14774)</f>
        <v>1176.14774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IFERROR(__xludf.DUMMYFUNCTION("""COMPUTED_VALUE"""),1170.05715)</f>
        <v>1170.05715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IFERROR(__xludf.DUMMYFUNCTION("""COMPUTED_VALUE"""),1184.788878)</f>
        <v>1184.788878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IFERROR(__xludf.DUMMYFUNCTION("""COMPUTED_VALUE"""),1169.940544)</f>
        <v>1169.940544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IFERROR(__xludf.DUMMYFUNCTION("""COMPUTED_VALUE"""),1169.87545)</f>
        <v>1169.87545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IFERROR(__xludf.DUMMYFUNCTION("""COMPUTED_VALUE"""),1178.438655)</f>
        <v>1178.438655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IFERROR(__xludf.DUMMYFUNCTION("""COMPUTED_VALUE"""),1178.20822)</f>
        <v>1178.20822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IFERROR(__xludf.DUMMYFUNCTION("""COMPUTED_VALUE"""),1178.20822)</f>
        <v>1178.20822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IFERROR(__xludf.DUMMYFUNCTION("""COMPUTED_VALUE"""),1178.3912)</f>
        <v>1178.3912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IFERROR(__xludf.DUMMYFUNCTION("""COMPUTED_VALUE"""),1174.65005)</f>
        <v>1174.65005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IFERROR(__xludf.DUMMYFUNCTION("""COMPUTED_VALUE"""),1163.129018)</f>
        <v>1163.129018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IFERROR(__xludf.DUMMYFUNCTION("""COMPUTED_VALUE"""),1177.773957)</f>
        <v>1177.773957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IFERROR(__xludf.DUMMYFUNCTION("""COMPUTED_VALUE"""),1179.98795)</f>
        <v>1179.98795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IFERROR(__xludf.DUMMYFUNCTION("""COMPUTED_VALUE"""),1179.7133)</f>
        <v>1179.7133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IFERROR(__xludf.DUMMYFUNCTION("""COMPUTED_VALUE"""),1179.43865)</f>
        <v>1179.43865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IFERROR(__xludf.DUMMYFUNCTION("""COMPUTED_VALUE"""),1179.21828)</f>
        <v>1179.21828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IFERROR(__xludf.DUMMYFUNCTION("""COMPUTED_VALUE"""),1179.4929)</f>
        <v>1179.4929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IFERROR(__xludf.DUMMYFUNCTION("""COMPUTED_VALUE"""),1185.372583)</f>
        <v>1185.372583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IFERROR(__xludf.DUMMYFUNCTION("""COMPUTED_VALUE"""),1178.074308)</f>
        <v>1178.074308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IFERROR(__xludf.DUMMYFUNCTION("""COMPUTED_VALUE"""),1180.65255)</f>
        <v>1180.65255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IFERROR(__xludf.DUMMYFUNCTION("""COMPUTED_VALUE"""),1180.74418)</f>
        <v>1180.74418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IFERROR(__xludf.DUMMYFUNCTION("""COMPUTED_VALUE"""),1180.74418)</f>
        <v>1180.74418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IFERROR(__xludf.DUMMYFUNCTION("""COMPUTED_VALUE"""),1180.023929)</f>
        <v>1180.023929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IFERROR(__xludf.DUMMYFUNCTION("""COMPUTED_VALUE"""),1184.179986)</f>
        <v>1184.179986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IFERROR(__xludf.DUMMYFUNCTION("""COMPUTED_VALUE"""),1184.466851)</f>
        <v>1184.466851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IFERROR(__xludf.DUMMYFUNCTION("""COMPUTED_VALUE"""),1184.179986)</f>
        <v>1184.179986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IFERROR(__xludf.DUMMYFUNCTION("""COMPUTED_VALUE"""),1183.377757)</f>
        <v>1183.377757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IFERROR(__xludf.DUMMYFUNCTION("""COMPUTED_VALUE"""),1181.1852)</f>
        <v>1181.1852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IFERROR(__xludf.DUMMYFUNCTION("""COMPUTED_VALUE"""),1181.09355)</f>
        <v>1181.09355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IFERROR(__xludf.DUMMYFUNCTION("""COMPUTED_VALUE"""),1184.033158)</f>
        <v>1184.033158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IFERROR(__xludf.DUMMYFUNCTION("""COMPUTED_VALUE"""),1165.911812)</f>
        <v>1165.911812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IFERROR(__xludf.DUMMYFUNCTION("""COMPUTED_VALUE"""),1165.602308)</f>
        <v>1165.602308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IFERROR(__xludf.DUMMYFUNCTION("""COMPUTED_VALUE"""),1181.096)</f>
        <v>1181.096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IFERROR(__xludf.DUMMYFUNCTION("""COMPUTED_VALUE"""),1180.76412)</f>
        <v>1180.76412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IFERROR(__xludf.DUMMYFUNCTION("""COMPUTED_VALUE"""),1186.6344)</f>
        <v>1186.6344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IFERROR(__xludf.DUMMYFUNCTION("""COMPUTED_VALUE"""),1181.1877)</f>
        <v>1181.1877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IFERROR(__xludf.DUMMYFUNCTION("""COMPUTED_VALUE"""),1182.40308)</f>
        <v>1182.40308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IFERROR(__xludf.DUMMYFUNCTION("""COMPUTED_VALUE"""),1181.95242)</f>
        <v>1181.95242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IFERROR(__xludf.DUMMYFUNCTION("""COMPUTED_VALUE"""),1180.0854)</f>
        <v>1180.0854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IFERROR(__xludf.DUMMYFUNCTION("""COMPUTED_VALUE"""),1189.3925)</f>
        <v>1189.3925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IFERROR(__xludf.DUMMYFUNCTION("""COMPUTED_VALUE"""),1189.20774)</f>
        <v>1189.20774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IFERROR(__xludf.DUMMYFUNCTION("""COMPUTED_VALUE"""),1189.11536)</f>
        <v>1189.11536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IFERROR(__xludf.DUMMYFUNCTION("""COMPUTED_VALUE"""),1186.2279)</f>
        <v>1186.2279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IFERROR(__xludf.DUMMYFUNCTION("""COMPUTED_VALUE"""),1185.103196)</f>
        <v>1185.103196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IFERROR(__xludf.DUMMYFUNCTION("""COMPUTED_VALUE"""),1157.952096)</f>
        <v>1157.952096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IFERROR(__xludf.DUMMYFUNCTION("""COMPUTED_VALUE"""),1194.248499)</f>
        <v>1194.248499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IFERROR(__xludf.DUMMYFUNCTION("""COMPUTED_VALUE"""),1190.40597)</f>
        <v>1190.40597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IFERROR(__xludf.DUMMYFUNCTION("""COMPUTED_VALUE"""),1186.0638)</f>
        <v>1186.0638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IFERROR(__xludf.DUMMYFUNCTION("""COMPUTED_VALUE"""),1191.8589)</f>
        <v>1191.8589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IFERROR(__xludf.DUMMYFUNCTION("""COMPUTED_VALUE"""),1192.044)</f>
        <v>1192.044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IFERROR(__xludf.DUMMYFUNCTION("""COMPUTED_VALUE"""),1193.332)</f>
        <v>1193.332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IFERROR(__xludf.DUMMYFUNCTION("""COMPUTED_VALUE"""),1199.254996)</f>
        <v>1199.254996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IFERROR(__xludf.DUMMYFUNCTION("""COMPUTED_VALUE"""),1196.316434)</f>
        <v>1196.316434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IFERROR(__xludf.DUMMYFUNCTION("""COMPUTED_VALUE"""),1193.5173)</f>
        <v>1193.5173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IFERROR(__xludf.DUMMYFUNCTION("""COMPUTED_VALUE"""),1206.7623)</f>
        <v>1206.7623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IFERROR(__xludf.DUMMYFUNCTION("""COMPUTED_VALUE"""),1211.5375)</f>
        <v>1211.5375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IFERROR(__xludf.DUMMYFUNCTION("""COMPUTED_VALUE"""),1207.59375)</f>
        <v>1207.59375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IFERROR(__xludf.DUMMYFUNCTION("""COMPUTED_VALUE"""),1207.96875)</f>
        <v>1207.96875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IFERROR(__xludf.DUMMYFUNCTION("""COMPUTED_VALUE"""),1214.420269)</f>
        <v>1214.420269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IFERROR(__xludf.DUMMYFUNCTION("""COMPUTED_VALUE"""),1209.479058)</f>
        <v>1209.479058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IFERROR(__xludf.DUMMYFUNCTION("""COMPUTED_VALUE"""),1208.25)</f>
        <v>1208.25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IFERROR(__xludf.DUMMYFUNCTION("""COMPUTED_VALUE"""),1208.63664)</f>
        <v>1208.63664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IFERROR(__xludf.DUMMYFUNCTION("""COMPUTED_VALUE"""),1195.45475)</f>
        <v>1195.45475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IFERROR(__xludf.DUMMYFUNCTION("""COMPUTED_VALUE"""),1205.76595)</f>
        <v>1205.76595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IFERROR(__xludf.DUMMYFUNCTION("""COMPUTED_VALUE"""),1206.3168)</f>
        <v>1206.3168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IFERROR(__xludf.DUMMYFUNCTION("""COMPUTED_VALUE"""),1180.115496)</f>
        <v>1180.115496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IFERROR(__xludf.DUMMYFUNCTION("""COMPUTED_VALUE"""),1209.626205)</f>
        <v>1209.626205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IFERROR(__xludf.DUMMYFUNCTION("""COMPUTED_VALUE"""),1208.7068)</f>
        <v>1208.7068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IFERROR(__xludf.DUMMYFUNCTION("""COMPUTED_VALUE"""),1212.21045)</f>
        <v>1212.21045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IFERROR(__xludf.DUMMYFUNCTION("""COMPUTED_VALUE"""),1210.8276)</f>
        <v>1210.8276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IFERROR(__xludf.DUMMYFUNCTION("""COMPUTED_VALUE"""),1210.8276)</f>
        <v>1210.8276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IFERROR(__xludf.DUMMYFUNCTION("""COMPUTED_VALUE"""),1206.7739)</f>
        <v>1206.7739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IFERROR(__xludf.DUMMYFUNCTION("""COMPUTED_VALUE"""),1197.40305)</f>
        <v>1197.40305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IFERROR(__xludf.DUMMYFUNCTION("""COMPUTED_VALUE"""),1234.48275)</f>
        <v>1234.48275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IFERROR(__xludf.DUMMYFUNCTION("""COMPUTED_VALUE"""),1205.968824)</f>
        <v>1205.968824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IFERROR(__xludf.DUMMYFUNCTION("""COMPUTED_VALUE"""),1208.353104)</f>
        <v>1208.353104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IFERROR(__xludf.DUMMYFUNCTION("""COMPUTED_VALUE"""),1210.127961)</f>
        <v>1210.127961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IFERROR(__xludf.DUMMYFUNCTION("""COMPUTED_VALUE"""),1211.177115)</f>
        <v>1211.177115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IFERROR(__xludf.DUMMYFUNCTION("""COMPUTED_VALUE"""),1212.86505)</f>
        <v>1212.86505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IFERROR(__xludf.DUMMYFUNCTION("""COMPUTED_VALUE"""),1201.26855)</f>
        <v>1201.26855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IFERROR(__xludf.DUMMYFUNCTION("""COMPUTED_VALUE"""),1216.015432)</f>
        <v>1216.015432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IFERROR(__xludf.DUMMYFUNCTION("""COMPUTED_VALUE"""),1212.63703)</f>
        <v>1212.63703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IFERROR(__xludf.DUMMYFUNCTION("""COMPUTED_VALUE"""),1212.692474)</f>
        <v>1212.692474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IFERROR(__xludf.DUMMYFUNCTION("""COMPUTED_VALUE"""),1213.392312)</f>
        <v>1213.392312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IFERROR(__xludf.DUMMYFUNCTION("""COMPUTED_VALUE"""),1213.259502)</f>
        <v>1213.259502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IFERROR(__xludf.DUMMYFUNCTION("""COMPUTED_VALUE"""),1207.5352)</f>
        <v>1207.5352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IFERROR(__xludf.DUMMYFUNCTION("""COMPUTED_VALUE"""),1207.44152)</f>
        <v>1207.44152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IFERROR(__xludf.DUMMYFUNCTION("""COMPUTED_VALUE"""),1213.747535)</f>
        <v>1213.747535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IFERROR(__xludf.DUMMYFUNCTION("""COMPUTED_VALUE"""),1209.397805)</f>
        <v>1209.397805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IFERROR(__xludf.DUMMYFUNCTION("""COMPUTED_VALUE"""),1200.93714)</f>
        <v>1200.93714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IFERROR(__xludf.DUMMYFUNCTION("""COMPUTED_VALUE"""),1203.187653)</f>
        <v>1203.187653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IFERROR(__xludf.DUMMYFUNCTION("""COMPUTED_VALUE"""),1207.25569)</f>
        <v>1207.25569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IFERROR(__xludf.DUMMYFUNCTION("""COMPUTED_VALUE"""),1214.32215)</f>
        <v>1214.32215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IFERROR(__xludf.DUMMYFUNCTION("""COMPUTED_VALUE"""),1198.66762)</f>
        <v>1198.66762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IFERROR(__xludf.DUMMYFUNCTION("""COMPUTED_VALUE"""),1217.633872)</f>
        <v>1217.633872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IFERROR(__xludf.DUMMYFUNCTION("""COMPUTED_VALUE"""),1209.44784)</f>
        <v>1209.44784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IFERROR(__xludf.DUMMYFUNCTION("""COMPUTED_VALUE"""),1211.94947)</f>
        <v>1211.94947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IFERROR(__xludf.DUMMYFUNCTION("""COMPUTED_VALUE"""),1210.079695)</f>
        <v>1210.079695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IFERROR(__xludf.DUMMYFUNCTION("""COMPUTED_VALUE"""),1213.610304)</f>
        <v>1213.610304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IFERROR(__xludf.DUMMYFUNCTION("""COMPUTED_VALUE"""),1214.53047)</f>
        <v>1214.53047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IFERROR(__xludf.DUMMYFUNCTION("""COMPUTED_VALUE"""),1214.53047)</f>
        <v>1214.53047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IFERROR(__xludf.DUMMYFUNCTION("""COMPUTED_VALUE"""),1220.738511)</f>
        <v>1220.738511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IFERROR(__xludf.DUMMYFUNCTION("""COMPUTED_VALUE"""),1214.27667)</f>
        <v>1214.27667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IFERROR(__xludf.DUMMYFUNCTION("""COMPUTED_VALUE"""),1213.111416)</f>
        <v>1213.111416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IFERROR(__xludf.DUMMYFUNCTION("""COMPUTED_VALUE"""),1214.29748)</f>
        <v>1214.29748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IFERROR(__xludf.DUMMYFUNCTION("""COMPUTED_VALUE"""),1214.108024)</f>
        <v>1214.108024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IFERROR(__xludf.DUMMYFUNCTION("""COMPUTED_VALUE"""),1215.071)</f>
        <v>1215.071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IFERROR(__xludf.DUMMYFUNCTION("""COMPUTED_VALUE"""),1214.97675)</f>
        <v>1214.97675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IFERROR(__xludf.DUMMYFUNCTION("""COMPUTED_VALUE"""),1221.990394)</f>
        <v>1221.990394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IFERROR(__xludf.DUMMYFUNCTION("""COMPUTED_VALUE"""),1214.7536)</f>
        <v>1214.7536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IFERROR(__xludf.DUMMYFUNCTION("""COMPUTED_VALUE"""),1216.19728)</f>
        <v>1216.19728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IFERROR(__xludf.DUMMYFUNCTION("""COMPUTED_VALUE"""),1218.461615)</f>
        <v>1218.461615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IFERROR(__xludf.DUMMYFUNCTION("""COMPUTED_VALUE"""),1217.572274)</f>
        <v>1217.572274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IFERROR(__xludf.DUMMYFUNCTION("""COMPUTED_VALUE"""),1215.527)</f>
        <v>1215.527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IFERROR(__xludf.DUMMYFUNCTION("""COMPUTED_VALUE"""),1221.80082)</f>
        <v>1221.80082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IFERROR(__xludf.DUMMYFUNCTION("""COMPUTED_VALUE"""),1215.527)</f>
        <v>1215.527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IFERROR(__xludf.DUMMYFUNCTION("""COMPUTED_VALUE"""),1215.03632)</f>
        <v>1215.03632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IFERROR(__xludf.DUMMYFUNCTION("""COMPUTED_VALUE"""),1214.081024)</f>
        <v>1214.081024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IFERROR(__xludf.DUMMYFUNCTION("""COMPUTED_VALUE"""),1213.660644)</f>
        <v>1213.660644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IFERROR(__xludf.DUMMYFUNCTION("""COMPUTED_VALUE"""),1216.72062)</f>
        <v>1216.72062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IFERROR(__xludf.DUMMYFUNCTION("""COMPUTED_VALUE"""),1217.58042)</f>
        <v>1217.58042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IFERROR(__xludf.DUMMYFUNCTION("""COMPUTED_VALUE"""),1216.020246)</f>
        <v>1216.020246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IFERROR(__xludf.DUMMYFUNCTION("""COMPUTED_VALUE"""),1223.529407)</f>
        <v>1223.529407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IFERROR(__xludf.DUMMYFUNCTION("""COMPUTED_VALUE"""),1216.48443)</f>
        <v>1216.48443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IFERROR(__xludf.DUMMYFUNCTION("""COMPUTED_VALUE"""),1221.0618)</f>
        <v>1221.0618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IFERROR(__xludf.DUMMYFUNCTION("""COMPUTED_VALUE"""),1217.086307)</f>
        <v>1217.086307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IFERROR(__xludf.DUMMYFUNCTION("""COMPUTED_VALUE"""),1217.120828)</f>
        <v>1217.120828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IFERROR(__xludf.DUMMYFUNCTION("""COMPUTED_VALUE"""),1217.88587)</f>
        <v>1217.88587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IFERROR(__xludf.DUMMYFUNCTION("""COMPUTED_VALUE"""),1218.39717)</f>
        <v>1218.39717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IFERROR(__xludf.DUMMYFUNCTION("""COMPUTED_VALUE"""),1221.738079)</f>
        <v>1221.738079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IFERROR(__xludf.DUMMYFUNCTION("""COMPUTED_VALUE"""),1218.861248)</f>
        <v>1218.861248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IFERROR(__xludf.DUMMYFUNCTION("""COMPUTED_VALUE"""),1218.470211)</f>
        <v>1218.470211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IFERROR(__xludf.DUMMYFUNCTION("""COMPUTED_VALUE"""),1220.37364)</f>
        <v>1220.37364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IFERROR(__xludf.DUMMYFUNCTION("""COMPUTED_VALUE"""),1219.372581)</f>
        <v>1219.372581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IFERROR(__xludf.DUMMYFUNCTION("""COMPUTED_VALUE"""),1220.13315)</f>
        <v>1220.13315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IFERROR(__xludf.DUMMYFUNCTION("""COMPUTED_VALUE"""),1220.0385)</f>
        <v>1220.0385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IFERROR(__xludf.DUMMYFUNCTION("""COMPUTED_VALUE"""),1223.349454)</f>
        <v>1223.349454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IFERROR(__xludf.DUMMYFUNCTION("""COMPUTED_VALUE"""),1219.411254)</f>
        <v>1219.411254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IFERROR(__xludf.DUMMYFUNCTION("""COMPUTED_VALUE"""),1220.2278)</f>
        <v>1220.2278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IFERROR(__xludf.DUMMYFUNCTION("""COMPUTED_VALUE"""),1220.085988)</f>
        <v>1220.085988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IFERROR(__xludf.DUMMYFUNCTION("""COMPUTED_VALUE"""),1222.0668)</f>
        <v>1222.0668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IFERROR(__xludf.DUMMYFUNCTION("""COMPUTED_VALUE"""),1221.972)</f>
        <v>1221.972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IFERROR(__xludf.DUMMYFUNCTION("""COMPUTED_VALUE"""),1228.97992)</f>
        <v>1228.97992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IFERROR(__xludf.DUMMYFUNCTION("""COMPUTED_VALUE"""),1222.8062)</f>
        <v>1222.8062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IFERROR(__xludf.DUMMYFUNCTION("""COMPUTED_VALUE"""),1225.371708)</f>
        <v>1225.371708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IFERROR(__xludf.DUMMYFUNCTION("""COMPUTED_VALUE"""),1227.001024)</f>
        <v>1227.001024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IFERROR(__xludf.DUMMYFUNCTION("""COMPUTED_VALUE"""),1226.622232)</f>
        <v>1226.622232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IFERROR(__xludf.DUMMYFUNCTION("""COMPUTED_VALUE"""),1226.1243)</f>
        <v>1226.1243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IFERROR(__xludf.DUMMYFUNCTION("""COMPUTED_VALUE"""),1226.0292)</f>
        <v>1226.0292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IFERROR(__xludf.DUMMYFUNCTION("""COMPUTED_VALUE"""),1229.245754)</f>
        <v>1229.245754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IFERROR(__xludf.DUMMYFUNCTION("""COMPUTED_VALUE"""),1225.354005)</f>
        <v>1225.354005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IFERROR(__xludf.DUMMYFUNCTION("""COMPUTED_VALUE"""),1230.012828)</f>
        <v>1230.012828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IFERROR(__xludf.DUMMYFUNCTION("""COMPUTED_VALUE"""),1229.878746)</f>
        <v>1229.878746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IFERROR(__xludf.DUMMYFUNCTION("""COMPUTED_VALUE"""),1229.239308)</f>
        <v>1229.239308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IFERROR(__xludf.DUMMYFUNCTION("""COMPUTED_VALUE"""),1230.63685)</f>
        <v>1230.63685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IFERROR(__xludf.DUMMYFUNCTION("""COMPUTED_VALUE"""),1230.141748)</f>
        <v>1230.141748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IFERROR(__xludf.DUMMYFUNCTION("""COMPUTED_VALUE"""),1239.711459)</f>
        <v>1239.711459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IFERROR(__xludf.DUMMYFUNCTION("""COMPUTED_VALUE"""),1231.157802)</f>
        <v>1231.157802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IFERROR(__xludf.DUMMYFUNCTION("""COMPUTED_VALUE"""),1231.201705)</f>
        <v>1231.201705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IFERROR(__xludf.DUMMYFUNCTION("""COMPUTED_VALUE"""),1230.033376)</f>
        <v>1230.033376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IFERROR(__xludf.DUMMYFUNCTION("""COMPUTED_VALUE"""),1231.330655)</f>
        <v>1231.330655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IFERROR(__xludf.DUMMYFUNCTION("""COMPUTED_VALUE"""),1222.8252)</f>
        <v>1222.8252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IFERROR(__xludf.DUMMYFUNCTION("""COMPUTED_VALUE"""),1200.548627)</f>
        <v>1200.548627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IFERROR(__xludf.DUMMYFUNCTION("""COMPUTED_VALUE"""),1247.485379)</f>
        <v>1247.485379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IFERROR(__xludf.DUMMYFUNCTION("""COMPUTED_VALUE"""),1216.827165)</f>
        <v>1216.827165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IFERROR(__xludf.DUMMYFUNCTION("""COMPUTED_VALUE"""),1221.973866)</f>
        <v>1221.973866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IFERROR(__xludf.DUMMYFUNCTION("""COMPUTED_VALUE"""),1226.337039)</f>
        <v>1226.337039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IFERROR(__xludf.DUMMYFUNCTION("""COMPUTED_VALUE"""),1226.767474)</f>
        <v>1226.767474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IFERROR(__xludf.DUMMYFUNCTION("""COMPUTED_VALUE"""),1227.7944)</f>
        <v>1227.7944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IFERROR(__xludf.DUMMYFUNCTION("""COMPUTED_VALUE"""),1227.604)</f>
        <v>1227.604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IFERROR(__xludf.DUMMYFUNCTION("""COMPUTED_VALUE"""),1235.344819)</f>
        <v>1235.344819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IFERROR(__xludf.DUMMYFUNCTION("""COMPUTED_VALUE"""),1229.617932)</f>
        <v>1229.617932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IFERROR(__xludf.DUMMYFUNCTION("""COMPUTED_VALUE"""),1231.077952)</f>
        <v>1231.077952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IFERROR(__xludf.DUMMYFUNCTION("""COMPUTED_VALUE"""),1232.290176)</f>
        <v>1232.290176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IFERROR(__xludf.DUMMYFUNCTION("""COMPUTED_VALUE"""),1231.129536)</f>
        <v>1231.129536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IFERROR(__xludf.DUMMYFUNCTION("""COMPUTED_VALUE"""),1230.82775)</f>
        <v>1230.82775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IFERROR(__xludf.DUMMYFUNCTION("""COMPUTED_VALUE"""),1230.82775)</f>
        <v>1230.82775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IFERROR(__xludf.DUMMYFUNCTION("""COMPUTED_VALUE"""),1234.140752)</f>
        <v>1234.140752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IFERROR(__xludf.DUMMYFUNCTION("""COMPUTED_VALUE"""),1231.63248)</f>
        <v>1231.63248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IFERROR(__xludf.DUMMYFUNCTION("""COMPUTED_VALUE"""),1231.60145)</f>
        <v>1231.60145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IFERROR(__xludf.DUMMYFUNCTION("""COMPUTED_VALUE"""),1232.233305)</f>
        <v>1232.233305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IFERROR(__xludf.DUMMYFUNCTION("""COMPUTED_VALUE"""),1232.929635)</f>
        <v>1232.929635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IFERROR(__xludf.DUMMYFUNCTION("""COMPUTED_VALUE"""),1233.66036)</f>
        <v>1233.66036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IFERROR(__xludf.DUMMYFUNCTION("""COMPUTED_VALUE"""),1240.288382)</f>
        <v>1240.288382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IFERROR(__xludf.DUMMYFUNCTION("""COMPUTED_VALUE"""),1213.434728)</f>
        <v>1213.434728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IFERROR(__xludf.DUMMYFUNCTION("""COMPUTED_VALUE"""),1233.203576)</f>
        <v>1233.203576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IFERROR(__xludf.DUMMYFUNCTION("""COMPUTED_VALUE"""),1233.526026)</f>
        <v>1233.526026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IFERROR(__xludf.DUMMYFUNCTION("""COMPUTED_VALUE"""),1233.384148)</f>
        <v>1233.384148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IFERROR(__xludf.DUMMYFUNCTION("""COMPUTED_VALUE"""),1232.383359)</f>
        <v>1232.383359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IFERROR(__xludf.DUMMYFUNCTION("""COMPUTED_VALUE"""),1232.337)</f>
        <v>1232.337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IFERROR(__xludf.DUMMYFUNCTION("""COMPUTED_VALUE"""),1232.24147)</f>
        <v>1232.24147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IFERROR(__xludf.DUMMYFUNCTION("""COMPUTED_VALUE"""),1235.395275)</f>
        <v>1235.395275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IFERROR(__xludf.DUMMYFUNCTION("""COMPUTED_VALUE"""),1233.413006)</f>
        <v>1233.413006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IFERROR(__xludf.DUMMYFUNCTION("""COMPUTED_VALUE"""),1232.767956)</f>
        <v>1232.767956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IFERROR(__xludf.DUMMYFUNCTION("""COMPUTED_VALUE"""),1231.821)</f>
        <v>1231.821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IFERROR(__xludf.DUMMYFUNCTION("""COMPUTED_VALUE"""),1233.353788)</f>
        <v>1233.353788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IFERROR(__xludf.DUMMYFUNCTION("""COMPUTED_VALUE"""),1234.55904)</f>
        <v>1234.55904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IFERROR(__xludf.DUMMYFUNCTION("""COMPUTED_VALUE"""),1233.921476)</f>
        <v>1233.921476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IFERROR(__xludf.DUMMYFUNCTION("""COMPUTED_VALUE"""),1237.617899)</f>
        <v>1237.617899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IFERROR(__xludf.DUMMYFUNCTION("""COMPUTED_VALUE"""),1235.49552)</f>
        <v>1235.49552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IFERROR(__xludf.DUMMYFUNCTION("""COMPUTED_VALUE"""),1235.84934)</f>
        <v>1235.84934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IFERROR(__xludf.DUMMYFUNCTION("""COMPUTED_VALUE"""),1236.063208)</f>
        <v>1236.063208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IFERROR(__xludf.DUMMYFUNCTION("""COMPUTED_VALUE"""),1235.469716)</f>
        <v>1235.469716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IFERROR(__xludf.DUMMYFUNCTION("""COMPUTED_VALUE"""),1236.0116)</f>
        <v>1236.0116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IFERROR(__xludf.DUMMYFUNCTION("""COMPUTED_VALUE"""),1235.9158)</f>
        <v>1235.9158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IFERROR(__xludf.DUMMYFUNCTION("""COMPUTED_VALUE"""),1239.230649)</f>
        <v>1239.230649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IFERROR(__xludf.DUMMYFUNCTION("""COMPUTED_VALUE"""),1235.443912)</f>
        <v>1235.443912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IFERROR(__xludf.DUMMYFUNCTION("""COMPUTED_VALUE"""),1236.772818)</f>
        <v>1236.772818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IFERROR(__xludf.DUMMYFUNCTION("""COMPUTED_VALUE"""),1235.59128)</f>
        <v>1235.59128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IFERROR(__xludf.DUMMYFUNCTION("""COMPUTED_VALUE"""),1237.49533)</f>
        <v>1237.49533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IFERROR(__xludf.DUMMYFUNCTION("""COMPUTED_VALUE"""),1236.682504)</f>
        <v>1236.682504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IFERROR(__xludf.DUMMYFUNCTION("""COMPUTED_VALUE"""),1237.3018)</f>
        <v>1237.3018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IFERROR(__xludf.DUMMYFUNCTION("""COMPUTED_VALUE"""),1234.618184)</f>
        <v>1234.618184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IFERROR(__xludf.DUMMYFUNCTION("""COMPUTED_VALUE"""),1237.482428)</f>
        <v>1237.482428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IFERROR(__xludf.DUMMYFUNCTION("""COMPUTED_VALUE"""),1237.379212)</f>
        <v>1237.379212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IFERROR(__xludf.DUMMYFUNCTION("""COMPUTED_VALUE"""),1235.456814)</f>
        <v>1235.456814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IFERROR(__xludf.DUMMYFUNCTION("""COMPUTED_VALUE"""),1238.728218)</f>
        <v>1238.728218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IFERROR(__xludf.DUMMYFUNCTION("""COMPUTED_VALUE"""),1237.2519)</f>
        <v>1237.2519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IFERROR(__xludf.DUMMYFUNCTION("""COMPUTED_VALUE"""),1237.65905)</f>
        <v>1237.65905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IFERROR(__xludf.DUMMYFUNCTION("""COMPUTED_VALUE"""),1244.120836)</f>
        <v>1244.120836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IFERROR(__xludf.DUMMYFUNCTION("""COMPUTED_VALUE"""),1237.314702)</f>
        <v>1237.314702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IFERROR(__xludf.DUMMYFUNCTION("""COMPUTED_VALUE"""),1237.998508)</f>
        <v>1237.998508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IFERROR(__xludf.DUMMYFUNCTION("""COMPUTED_VALUE"""),1237.985606)</f>
        <v>1237.985606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IFERROR(__xludf.DUMMYFUNCTION("""COMPUTED_VALUE"""),1237.8195)</f>
        <v>1237.8195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IFERROR(__xludf.DUMMYFUNCTION("""COMPUTED_VALUE"""),1237.859754)</f>
        <v>1237.859754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IFERROR(__xludf.DUMMYFUNCTION("""COMPUTED_VALUE"""),1238.208)</f>
        <v>1238.208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IFERROR(__xludf.DUMMYFUNCTION("""COMPUTED_VALUE"""),1241.61855)</f>
        <v>1241.61855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IFERROR(__xludf.DUMMYFUNCTION("""COMPUTED_VALUE"""),1238.342697)</f>
        <v>1238.342697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IFERROR(__xludf.DUMMYFUNCTION("""COMPUTED_VALUE"""),1239.095178)</f>
        <v>1239.095178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IFERROR(__xludf.DUMMYFUNCTION("""COMPUTED_VALUE"""),1239.205555)</f>
        <v>1239.205555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IFERROR(__xludf.DUMMYFUNCTION("""COMPUTED_VALUE"""),1238.23798)</f>
        <v>1238.23798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IFERROR(__xludf.DUMMYFUNCTION("""COMPUTED_VALUE"""),1236.024502)</f>
        <v>1236.024502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IFERROR(__xludf.DUMMYFUNCTION("""COMPUTED_VALUE"""),1235.78679)</f>
        <v>1235.78679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IFERROR(__xludf.DUMMYFUNCTION("""COMPUTED_VALUE"""),1240.198299)</f>
        <v>1240.198299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IFERROR(__xludf.DUMMYFUNCTION("""COMPUTED_VALUE"""),1234.863322)</f>
        <v>1234.863322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IFERROR(__xludf.DUMMYFUNCTION("""COMPUTED_VALUE"""),1235.036451)</f>
        <v>1235.036451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IFERROR(__xludf.DUMMYFUNCTION("""COMPUTED_VALUE"""),1235.010645)</f>
        <v>1235.010645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IFERROR(__xludf.DUMMYFUNCTION("""COMPUTED_VALUE"""),1234.997742)</f>
        <v>1234.997742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IFERROR(__xludf.DUMMYFUNCTION("""COMPUTED_VALUE"""),1235.94709)</f>
        <v>1235.94709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IFERROR(__xludf.DUMMYFUNCTION("""COMPUTED_VALUE"""),1234.49669)</f>
        <v>1234.49669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IFERROR(__xludf.DUMMYFUNCTION("""COMPUTED_VALUE"""),1240.672997)</f>
        <v>1240.672997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IFERROR(__xludf.DUMMYFUNCTION("""COMPUTED_VALUE"""),1234.249368)</f>
        <v>1234.249368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IFERROR(__xludf.DUMMYFUNCTION("""COMPUTED_VALUE"""),1235.281608)</f>
        <v>1235.281608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IFERROR(__xludf.DUMMYFUNCTION("""COMPUTED_VALUE"""),1234.920324)</f>
        <v>1234.920324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IFERROR(__xludf.DUMMYFUNCTION("""COMPUTED_VALUE"""),1236.223527)</f>
        <v>1236.223527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IFERROR(__xludf.DUMMYFUNCTION("""COMPUTED_VALUE"""),1237.694469)</f>
        <v>1237.694469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IFERROR(__xludf.DUMMYFUNCTION("""COMPUTED_VALUE"""),1237.85095)</f>
        <v>1237.85095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IFERROR(__xludf.DUMMYFUNCTION("""COMPUTED_VALUE"""),1240.198299)</f>
        <v>1240.198299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IFERROR(__xludf.DUMMYFUNCTION("""COMPUTED_VALUE"""),1238.791224)</f>
        <v>1238.791224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IFERROR(__xludf.DUMMYFUNCTION("""COMPUTED_VALUE"""),1239.410568)</f>
        <v>1239.410568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IFERROR(__xludf.DUMMYFUNCTION("""COMPUTED_VALUE"""),1238.920254)</f>
        <v>1238.920254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IFERROR(__xludf.DUMMYFUNCTION("""COMPUTED_VALUE"""),1239.475083)</f>
        <v>1239.475083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IFERROR(__xludf.DUMMYFUNCTION("""COMPUTED_VALUE"""),1239.84927)</f>
        <v>1239.84927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IFERROR(__xludf.DUMMYFUNCTION("""COMPUTED_VALUE"""),1239.631288)</f>
        <v>1239.631288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IFERROR(__xludf.DUMMYFUNCTION("""COMPUTED_VALUE"""),1240.294423)</f>
        <v>1240.294423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IFERROR(__xludf.DUMMYFUNCTION("""COMPUTED_VALUE"""),1240.210554)</f>
        <v>1240.210554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IFERROR(__xludf.DUMMYFUNCTION("""COMPUTED_VALUE"""),1240.713771)</f>
        <v>1240.713771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IFERROR(__xludf.DUMMYFUNCTION("""COMPUTED_VALUE"""),1241.565369)</f>
        <v>1241.565369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IFERROR(__xludf.DUMMYFUNCTION("""COMPUTED_VALUE"""),1241.78472)</f>
        <v>1241.78472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IFERROR(__xludf.DUMMYFUNCTION("""COMPUTED_VALUE"""),1242.01103)</f>
        <v>1242.01103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IFERROR(__xludf.DUMMYFUNCTION("""COMPUTED_VALUE"""),1239.8822)</f>
        <v>1239.8822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IFERROR(__xludf.DUMMYFUNCTION("""COMPUTED_VALUE"""),1250.290635)</f>
        <v>1250.290635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IFERROR(__xludf.DUMMYFUNCTION("""COMPUTED_VALUE"""),1242.823856)</f>
        <v>1242.823856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IFERROR(__xludf.DUMMYFUNCTION("""COMPUTED_VALUE"""),1242.52711)</f>
        <v>1242.52711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IFERROR(__xludf.DUMMYFUNCTION("""COMPUTED_VALUE"""),1242.33358)</f>
        <v>1242.33358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IFERROR(__xludf.DUMMYFUNCTION("""COMPUTED_VALUE"""),1242.7731)</f>
        <v>1242.7731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IFERROR(__xludf.DUMMYFUNCTION("""COMPUTED_VALUE"""),1242.27)</f>
        <v>1242.27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IFERROR(__xludf.DUMMYFUNCTION("""COMPUTED_VALUE"""),1239.929274)</f>
        <v>1239.929274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IFERROR(__xludf.DUMMYFUNCTION("""COMPUTED_VALUE"""),1240.00605)</f>
        <v>1240.00605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IFERROR(__xludf.DUMMYFUNCTION("""COMPUTED_VALUE"""),1239.65709)</f>
        <v>1239.65709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IFERROR(__xludf.DUMMYFUNCTION("""COMPUTED_VALUE"""),1239.65709)</f>
        <v>1239.65709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IFERROR(__xludf.DUMMYFUNCTION("""COMPUTED_VALUE"""),1241.398725)</f>
        <v>1241.398725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IFERROR(__xludf.DUMMYFUNCTION("""COMPUTED_VALUE"""),1241.7927)</f>
        <v>1241.7927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IFERROR(__xludf.DUMMYFUNCTION("""COMPUTED_VALUE"""),1242.8763)</f>
        <v>1242.8763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IFERROR(__xludf.DUMMYFUNCTION("""COMPUTED_VALUE"""),1260.4277)</f>
        <v>1260.4277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IFERROR(__xludf.DUMMYFUNCTION("""COMPUTED_VALUE"""),1262.328662)</f>
        <v>1262.328662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IFERROR(__xludf.DUMMYFUNCTION("""COMPUTED_VALUE"""),1243.540291)</f>
        <v>1243.540291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IFERROR(__xludf.DUMMYFUNCTION("""COMPUTED_VALUE"""),1243.811212)</f>
        <v>1243.811212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IFERROR(__xludf.DUMMYFUNCTION("""COMPUTED_VALUE"""),1242.444579)</f>
        <v>1242.444579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IFERROR(__xludf.DUMMYFUNCTION("""COMPUTED_VALUE"""),1242.528)</f>
        <v>1242.528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IFERROR(__xludf.DUMMYFUNCTION("""COMPUTED_VALUE"""),1239.0966)</f>
        <v>1239.0966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IFERROR(__xludf.DUMMYFUNCTION("""COMPUTED_VALUE"""),1238.762614)</f>
        <v>1238.762614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IFERROR(__xludf.DUMMYFUNCTION("""COMPUTED_VALUE"""),1239.909925)</f>
        <v>1239.909925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IFERROR(__xludf.DUMMYFUNCTION("""COMPUTED_VALUE"""),1239.181132)</f>
        <v>1239.181132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IFERROR(__xludf.DUMMYFUNCTION("""COMPUTED_VALUE"""),1241.090184)</f>
        <v>1241.090184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IFERROR(__xludf.DUMMYFUNCTION("""COMPUTED_VALUE"""),1241.683538)</f>
        <v>1241.683538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IFERROR(__xludf.DUMMYFUNCTION("""COMPUTED_VALUE"""),1241.115982)</f>
        <v>1241.115982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IFERROR(__xludf.DUMMYFUNCTION("""COMPUTED_VALUE"""),1238.556246)</f>
        <v>1238.556246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IFERROR(__xludf.DUMMYFUNCTION("""COMPUTED_VALUE"""),1238.086206)</f>
        <v>1238.086206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IFERROR(__xludf.DUMMYFUNCTION("""COMPUTED_VALUE"""),1248.78436)</f>
        <v>1248.78436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IFERROR(__xludf.DUMMYFUNCTION("""COMPUTED_VALUE"""),1236.744918)</f>
        <v>1236.744918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IFERROR(__xludf.DUMMYFUNCTION("""COMPUTED_VALUE"""),1237.028652)</f>
        <v>1237.028652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IFERROR(__xludf.DUMMYFUNCTION("""COMPUTED_VALUE"""),1237.808162)</f>
        <v>1237.808162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IFERROR(__xludf.DUMMYFUNCTION("""COMPUTED_VALUE"""),1237.789575)</f>
        <v>1237.789575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IFERROR(__xludf.DUMMYFUNCTION("""COMPUTED_VALUE"""),1240.80848)</f>
        <v>1240.80848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IFERROR(__xludf.DUMMYFUNCTION("""COMPUTED_VALUE"""),1235.65048)</f>
        <v>1235.65048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IFERROR(__xludf.DUMMYFUNCTION("""COMPUTED_VALUE"""),1239.621552)</f>
        <v>1239.621552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IFERROR(__xludf.DUMMYFUNCTION("""COMPUTED_VALUE"""),1243.955718)</f>
        <v>1243.955718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IFERROR(__xludf.DUMMYFUNCTION("""COMPUTED_VALUE"""),1243.7885)</f>
        <v>1243.7885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IFERROR(__xludf.DUMMYFUNCTION("""COMPUTED_VALUE"""),1245.13533)</f>
        <v>1245.13533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IFERROR(__xludf.DUMMYFUNCTION("""COMPUTED_VALUE"""),1246.740207)</f>
        <v>1246.740207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IFERROR(__xludf.DUMMYFUNCTION("""COMPUTED_VALUE"""),1249.68602)</f>
        <v>1249.68602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IFERROR(__xludf.DUMMYFUNCTION("""COMPUTED_VALUE"""),1256.530124)</f>
        <v>1256.530124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IFERROR(__xludf.DUMMYFUNCTION("""COMPUTED_VALUE"""),1239.140929)</f>
        <v>1239.140929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IFERROR(__xludf.DUMMYFUNCTION("""COMPUTED_VALUE"""),1243.522592)</f>
        <v>1243.522592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IFERROR(__xludf.DUMMYFUNCTION("""COMPUTED_VALUE"""),1244.096705)</f>
        <v>1244.096705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IFERROR(__xludf.DUMMYFUNCTION("""COMPUTED_VALUE"""),1248.700437)</f>
        <v>1248.700437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IFERROR(__xludf.DUMMYFUNCTION("""COMPUTED_VALUE"""),1246.33404)</f>
        <v>1246.33404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IFERROR(__xludf.DUMMYFUNCTION("""COMPUTED_VALUE"""),1242.872307)</f>
        <v>1242.872307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IFERROR(__xludf.DUMMYFUNCTION("""COMPUTED_VALUE"""),1242.710826)</f>
        <v>1242.710826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IFERROR(__xludf.DUMMYFUNCTION("""COMPUTED_VALUE"""),1239.429303)</f>
        <v>1239.429303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IFERROR(__xludf.DUMMYFUNCTION("""COMPUTED_VALUE"""),1236.934314)</f>
        <v>1236.934314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IFERROR(__xludf.DUMMYFUNCTION("""COMPUTED_VALUE"""),1240.106238)</f>
        <v>1240.106238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IFERROR(__xludf.DUMMYFUNCTION("""COMPUTED_VALUE"""),1240.113205)</f>
        <v>1240.113205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IFERROR(__xludf.DUMMYFUNCTION("""COMPUTED_VALUE"""),1242.091136)</f>
        <v>1242.091136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IFERROR(__xludf.DUMMYFUNCTION("""COMPUTED_VALUE"""),1242.84589)</f>
        <v>1242.84589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IFERROR(__xludf.DUMMYFUNCTION("""COMPUTED_VALUE"""),1243.6263)</f>
        <v>1243.6263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IFERROR(__xludf.DUMMYFUNCTION("""COMPUTED_VALUE"""),1250.824436)</f>
        <v>1250.824436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IFERROR(__xludf.DUMMYFUNCTION("""COMPUTED_VALUE"""),1244.83172)</f>
        <v>1244.83172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IFERROR(__xludf.DUMMYFUNCTION("""COMPUTED_VALUE"""),1247.675104)</f>
        <v>1247.675104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IFERROR(__xludf.DUMMYFUNCTION("""COMPUTED_VALUE"""),1245.076725)</f>
        <v>1245.076725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IFERROR(__xludf.DUMMYFUNCTION("""COMPUTED_VALUE"""),1247.333285)</f>
        <v>1247.333285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IFERROR(__xludf.DUMMYFUNCTION("""COMPUTED_VALUE"""),1247.36546)</f>
        <v>1247.36546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IFERROR(__xludf.DUMMYFUNCTION("""COMPUTED_VALUE"""),1248.36444)</f>
        <v>1248.36444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IFERROR(__xludf.DUMMYFUNCTION("""COMPUTED_VALUE"""),1255.306674)</f>
        <v>1255.306674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IFERROR(__xludf.DUMMYFUNCTION("""COMPUTED_VALUE"""),1247.384724)</f>
        <v>1247.384724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IFERROR(__xludf.DUMMYFUNCTION("""COMPUTED_VALUE"""),1247.461865)</f>
        <v>1247.461865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IFERROR(__xludf.DUMMYFUNCTION("""COMPUTED_VALUE"""),1244.922543)</f>
        <v>1244.922543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IFERROR(__xludf.DUMMYFUNCTION("""COMPUTED_VALUE"""),1242.182172)</f>
        <v>1242.182172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IFERROR(__xludf.DUMMYFUNCTION("""COMPUTED_VALUE"""),1244.070915)</f>
        <v>1244.070915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IFERROR(__xludf.DUMMYFUNCTION("""COMPUTED_VALUE"""),1244.75435)</f>
        <v>1244.75435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IFERROR(__xludf.DUMMYFUNCTION("""COMPUTED_VALUE"""),1239.525427)</f>
        <v>1239.525427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IFERROR(__xludf.DUMMYFUNCTION("""COMPUTED_VALUE"""),1247.720075)</f>
        <v>1247.720075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IFERROR(__xludf.DUMMYFUNCTION("""COMPUTED_VALUE"""),1245.953734)</f>
        <v>1245.953734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IFERROR(__xludf.DUMMYFUNCTION("""COMPUTED_VALUE"""),1245.309084)</f>
        <v>1245.309084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IFERROR(__xludf.DUMMYFUNCTION("""COMPUTED_VALUE"""),1245.773349)</f>
        <v>1245.773349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IFERROR(__xludf.DUMMYFUNCTION("""COMPUTED_VALUE"""),1244.097519)</f>
        <v>1244.097519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IFERROR(__xludf.DUMMYFUNCTION("""COMPUTED_VALUE"""),1243.89789)</f>
        <v>1243.89789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IFERROR(__xludf.DUMMYFUNCTION("""COMPUTED_VALUE"""),1239.237054)</f>
        <v>1239.237054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IFERROR(__xludf.DUMMYFUNCTION("""COMPUTED_VALUE"""),1246.379226)</f>
        <v>1246.379226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IFERROR(__xludf.DUMMYFUNCTION("""COMPUTED_VALUE"""),1246.30188)</f>
        <v>1246.30188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IFERROR(__xludf.DUMMYFUNCTION("""COMPUTED_VALUE"""),1245.309402)</f>
        <v>1245.309402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IFERROR(__xludf.DUMMYFUNCTION("""COMPUTED_VALUE"""),1246.804526)</f>
        <v>1246.804526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IFERROR(__xludf.DUMMYFUNCTION("""COMPUTED_VALUE"""),1246.855389)</f>
        <v>1246.855389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IFERROR(__xludf.DUMMYFUNCTION("""COMPUTED_VALUE"""),1246.533314)</f>
        <v>1246.533314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IFERROR(__xludf.DUMMYFUNCTION("""COMPUTED_VALUE"""),1254.722448)</f>
        <v>1254.722448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IFERROR(__xludf.DUMMYFUNCTION("""COMPUTED_VALUE"""),1247.42888)</f>
        <v>1247.42888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IFERROR(__xludf.DUMMYFUNCTION("""COMPUTED_VALUE"""),1247.519068)</f>
        <v>1247.519068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IFERROR(__xludf.DUMMYFUNCTION("""COMPUTED_VALUE"""),1248.935664)</f>
        <v>1248.935664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IFERROR(__xludf.DUMMYFUNCTION("""COMPUTED_VALUE"""),1249.966224)</f>
        <v>1249.966224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IFERROR(__xludf.DUMMYFUNCTION("""COMPUTED_VALUE"""),1250.917408)</f>
        <v>1250.917408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IFERROR(__xludf.DUMMYFUNCTION("""COMPUTED_VALUE"""),1251.48404)</f>
        <v>1251.48404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IFERROR(__xludf.DUMMYFUNCTION("""COMPUTED_VALUE"""),1238.08356)</f>
        <v>1238.08356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IFERROR(__xludf.DUMMYFUNCTION("""COMPUTED_VALUE"""),1250.3922)</f>
        <v>1250.3922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IFERROR(__xludf.DUMMYFUNCTION("""COMPUTED_VALUE"""),1250.302808)</f>
        <v>1250.302808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IFERROR(__xludf.DUMMYFUNCTION("""COMPUTED_VALUE"""),1248.787188)</f>
        <v>1248.787188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IFERROR(__xludf.DUMMYFUNCTION("""COMPUTED_VALUE"""),1248.085452)</f>
        <v>1248.085452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IFERROR(__xludf.DUMMYFUNCTION("""COMPUTED_VALUE"""),1247.1704)</f>
        <v>1247.1704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IFERROR(__xludf.DUMMYFUNCTION("""COMPUTED_VALUE"""),1248.4584)</f>
        <v>1248.4584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IFERROR(__xludf.DUMMYFUNCTION("""COMPUTED_VALUE"""),1238.179684)</f>
        <v>1238.179684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IFERROR(__xludf.DUMMYFUNCTION("""COMPUTED_VALUE"""),1251.38915)</f>
        <v>1251.38915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IFERROR(__xludf.DUMMYFUNCTION("""COMPUTED_VALUE"""),1250.551885)</f>
        <v>1250.551885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IFERROR(__xludf.DUMMYFUNCTION("""COMPUTED_VALUE"""),1251.931291)</f>
        <v>1251.931291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IFERROR(__xludf.DUMMYFUNCTION("""COMPUTED_VALUE"""),1251.968795)</f>
        <v>1251.968795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IFERROR(__xludf.DUMMYFUNCTION("""COMPUTED_VALUE"""),1259.409231)</f>
        <v>1259.409231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IFERROR(__xludf.DUMMYFUNCTION("""COMPUTED_VALUE"""),1267.421171)</f>
        <v>1267.421171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IFERROR(__xludf.DUMMYFUNCTION("""COMPUTED_VALUE"""),1252.713191)</f>
        <v>1252.713191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IFERROR(__xludf.DUMMYFUNCTION("""COMPUTED_VALUE"""),1251.825921)</f>
        <v>1251.825921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IFERROR(__xludf.DUMMYFUNCTION("""COMPUTED_VALUE"""),1248.2652)</f>
        <v>1248.2652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IFERROR(__xludf.DUMMYFUNCTION("""COMPUTED_VALUE"""),1244.523577)</f>
        <v>1244.523577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IFERROR(__xludf.DUMMYFUNCTION("""COMPUTED_VALUE"""),1246.610865)</f>
        <v>1246.610865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IFERROR(__xludf.DUMMYFUNCTION("""COMPUTED_VALUE"""),1247.6217)</f>
        <v>1247.6217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IFERROR(__xludf.DUMMYFUNCTION("""COMPUTED_VALUE"""),1247.91128)</f>
        <v>1247.91128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IFERROR(__xludf.DUMMYFUNCTION("""COMPUTED_VALUE"""),1247.525305)</f>
        <v>1247.525305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IFERROR(__xludf.DUMMYFUNCTION("""COMPUTED_VALUE"""),1247.338296)</f>
        <v>1247.338296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IFERROR(__xludf.DUMMYFUNCTION("""COMPUTED_VALUE"""),1248.304446)</f>
        <v>1248.304446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IFERROR(__xludf.DUMMYFUNCTION("""COMPUTED_VALUE"""),1247.241468)</f>
        <v>1247.241468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IFERROR(__xludf.DUMMYFUNCTION("""COMPUTED_VALUE"""),1247.318271)</f>
        <v>1247.318271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IFERROR(__xludf.DUMMYFUNCTION("""COMPUTED_VALUE"""),1247.537214)</f>
        <v>1247.537214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IFERROR(__xludf.DUMMYFUNCTION("""COMPUTED_VALUE"""),1255.263068)</f>
        <v>1255.263068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IFERROR(__xludf.DUMMYFUNCTION("""COMPUTED_VALUE"""),1247.8144)</f>
        <v>1247.8144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IFERROR(__xludf.DUMMYFUNCTION("""COMPUTED_VALUE"""),1247.910705)</f>
        <v>1247.910705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IFERROR(__xludf.DUMMYFUNCTION("""COMPUTED_VALUE"""),1248.483466)</f>
        <v>1248.483466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IFERROR(__xludf.DUMMYFUNCTION("""COMPUTED_VALUE"""),1247.820552)</f>
        <v>1247.820552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IFERROR(__xludf.DUMMYFUNCTION("""COMPUTED_VALUE"""),1247.839566)</f>
        <v>1247.839566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IFERROR(__xludf.DUMMYFUNCTION("""COMPUTED_VALUE"""),1248.8448)</f>
        <v>1248.8448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IFERROR(__xludf.DUMMYFUNCTION("""COMPUTED_VALUE"""),1248.35536)</f>
        <v>1248.35536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IFERROR(__xludf.DUMMYFUNCTION("""COMPUTED_VALUE"""),1238.179684)</f>
        <v>1238.179684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IFERROR(__xludf.DUMMYFUNCTION("""COMPUTED_VALUE"""),1248.639976)</f>
        <v>1248.639976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IFERROR(__xludf.DUMMYFUNCTION("""COMPUTED_VALUE"""),1249.155954)</f>
        <v>1249.155954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IFERROR(__xludf.DUMMYFUNCTION("""COMPUTED_VALUE"""),1249.033245)</f>
        <v>1249.033245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IFERROR(__xludf.DUMMYFUNCTION("""COMPUTED_VALUE"""),1251.250378)</f>
        <v>1251.250378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IFERROR(__xludf.DUMMYFUNCTION("""COMPUTED_VALUE"""),1250.580254)</f>
        <v>1250.580254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IFERROR(__xludf.DUMMYFUNCTION("""COMPUTED_VALUE"""),1251.3277)</f>
        <v>1251.3277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IFERROR(__xludf.DUMMYFUNCTION("""COMPUTED_VALUE"""),1238.756431)</f>
        <v>1238.756431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IFERROR(__xludf.DUMMYFUNCTION("""COMPUTED_VALUE"""),1250.747785)</f>
        <v>1250.747785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IFERROR(__xludf.DUMMYFUNCTION("""COMPUTED_VALUE"""),1250.708295)</f>
        <v>1250.708295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IFERROR(__xludf.DUMMYFUNCTION("""COMPUTED_VALUE"""),1250.5863)</f>
        <v>1250.5863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IFERROR(__xludf.DUMMYFUNCTION("""COMPUTED_VALUE"""),1250.251992)</f>
        <v>1250.251992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IFERROR(__xludf.DUMMYFUNCTION("""COMPUTED_VALUE"""),1250.90756)</f>
        <v>1250.90756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IFERROR(__xludf.DUMMYFUNCTION("""COMPUTED_VALUE"""),1250.81047)</f>
        <v>1250.81047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IFERROR(__xludf.DUMMYFUNCTION("""COMPUTED_VALUE"""),1256.975537)</f>
        <v>1256.975537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IFERROR(__xludf.DUMMYFUNCTION("""COMPUTED_VALUE"""),1250.881792)</f>
        <v>1250.881792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IFERROR(__xludf.DUMMYFUNCTION("""COMPUTED_VALUE"""),1250.630108)</f>
        <v>1250.630108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IFERROR(__xludf.DUMMYFUNCTION("""COMPUTED_VALUE"""),1251.995706)</f>
        <v>1251.995706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IFERROR(__xludf.DUMMYFUNCTION("""COMPUTED_VALUE"""),1252.07768)</f>
        <v>1252.07768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IFERROR(__xludf.DUMMYFUNCTION("""COMPUTED_VALUE"""),1253.45011)</f>
        <v>1253.45011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IFERROR(__xludf.DUMMYFUNCTION("""COMPUTED_VALUE"""),1253.3528)</f>
        <v>1253.3528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IFERROR(__xludf.DUMMYFUNCTION("""COMPUTED_VALUE"""),1253.3528)</f>
        <v>1253.3528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IFERROR(__xludf.DUMMYFUNCTION("""COMPUTED_VALUE"""),1253.302662)</f>
        <v>1253.302662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IFERROR(__xludf.DUMMYFUNCTION("""COMPUTED_VALUE"""),1254.141444)</f>
        <v>1254.141444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IFERROR(__xludf.DUMMYFUNCTION("""COMPUTED_VALUE"""),1254.424892)</f>
        <v>1254.424892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IFERROR(__xludf.DUMMYFUNCTION("""COMPUTED_VALUE"""),1254.944306)</f>
        <v>1254.944306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IFERROR(__xludf.DUMMYFUNCTION("""COMPUTED_VALUE"""),1255.63988)</f>
        <v>1255.63988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IFERROR(__xludf.DUMMYFUNCTION("""COMPUTED_VALUE"""),1255.0272)</f>
        <v>1255.0272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IFERROR(__xludf.DUMMYFUNCTION("""COMPUTED_VALUE"""),1262.745024)</f>
        <v>1262.745024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IFERROR(__xludf.DUMMYFUNCTION("""COMPUTED_VALUE"""),1257.17816)</f>
        <v>1257.17816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IFERROR(__xludf.DUMMYFUNCTION("""COMPUTED_VALUE"""),1257.55168)</f>
        <v>1257.55168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IFERROR(__xludf.DUMMYFUNCTION("""COMPUTED_VALUE"""),1258.73664)</f>
        <v>1258.73664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IFERROR(__xludf.DUMMYFUNCTION("""COMPUTED_VALUE"""),1259.18744)</f>
        <v>1259.18744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IFERROR(__xludf.DUMMYFUNCTION("""COMPUTED_VALUE"""),1258.4737)</f>
        <v>1258.4737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IFERROR(__xludf.DUMMYFUNCTION("""COMPUTED_VALUE"""),1265.324073)</f>
        <v>1265.324073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IFERROR(__xludf.DUMMYFUNCTION("""COMPUTED_VALUE"""),1238.08356)</f>
        <v>1238.08356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IFERROR(__xludf.DUMMYFUNCTION("""COMPUTED_VALUE"""),1259.272322)</f>
        <v>1259.272322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IFERROR(__xludf.DUMMYFUNCTION("""COMPUTED_VALUE"""),1258.954695)</f>
        <v>1258.954695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IFERROR(__xludf.DUMMYFUNCTION("""COMPUTED_VALUE"""),1258.078515)</f>
        <v>1258.078515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IFERROR(__xludf.DUMMYFUNCTION("""COMPUTED_VALUE"""),1257.687959)</f>
        <v>1257.687959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IFERROR(__xludf.DUMMYFUNCTION("""COMPUTED_VALUE"""),1259.7618)</f>
        <v>1259.7618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IFERROR(__xludf.DUMMYFUNCTION("""COMPUTED_VALUE"""),1264.90616)</f>
        <v>1264.90616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IFERROR(__xludf.DUMMYFUNCTION("""COMPUTED_VALUE"""),1259.7618)</f>
        <v>1259.7618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IFERROR(__xludf.DUMMYFUNCTION("""COMPUTED_VALUE"""),1260.107118)</f>
        <v>1260.107118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IFERROR(__xludf.DUMMYFUNCTION("""COMPUTED_VALUE"""),1261.794267)</f>
        <v>1261.794267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IFERROR(__xludf.DUMMYFUNCTION("""COMPUTED_VALUE"""),1266.074814)</f>
        <v>1266.074814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IFERROR(__xludf.DUMMYFUNCTION("""COMPUTED_VALUE"""),1269.06251)</f>
        <v>1269.06251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IFERROR(__xludf.DUMMYFUNCTION("""COMPUTED_VALUE"""),1268.81632)</f>
        <v>1268.81632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IFERROR(__xludf.DUMMYFUNCTION("""COMPUTED_VALUE"""),1256.331724)</f>
        <v>1256.331724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IFERROR(__xludf.DUMMYFUNCTION("""COMPUTED_VALUE"""),1238.371933)</f>
        <v>1238.371933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IFERROR(__xludf.DUMMYFUNCTION("""COMPUTED_VALUE"""),1270.572486)</f>
        <v>1270.572486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IFERROR(__xludf.DUMMYFUNCTION("""COMPUTED_VALUE"""),1272.973536)</f>
        <v>1272.973536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IFERROR(__xludf.DUMMYFUNCTION("""COMPUTED_VALUE"""),1273.55778)</f>
        <v>1273.55778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IFERROR(__xludf.DUMMYFUNCTION("""COMPUTED_VALUE"""),1275.873834)</f>
        <v>1275.873834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IFERROR(__xludf.DUMMYFUNCTION("""COMPUTED_VALUE"""),1278.4896)</f>
        <v>1278.4896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IFERROR(__xludf.DUMMYFUNCTION("""COMPUTED_VALUE"""),1275.645469)</f>
        <v>1275.645469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IFERROR(__xludf.DUMMYFUNCTION("""COMPUTED_VALUE"""),1239.044805)</f>
        <v>1239.044805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IFERROR(__xludf.DUMMYFUNCTION("""COMPUTED_VALUE"""),1276.34202)</f>
        <v>1276.34202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IFERROR(__xludf.DUMMYFUNCTION("""COMPUTED_VALUE"""),1275.0788)</f>
        <v>1275.0788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IFERROR(__xludf.DUMMYFUNCTION("""COMPUTED_VALUE"""),1275.271746)</f>
        <v>1275.271746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IFERROR(__xludf.DUMMYFUNCTION("""COMPUTED_VALUE"""),1275.74908)</f>
        <v>1275.74908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IFERROR(__xludf.DUMMYFUNCTION("""COMPUTED_VALUE"""),1276.209)</f>
        <v>1276.209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IFERROR(__xludf.DUMMYFUNCTION("""COMPUTED_VALUE"""),1276.209)</f>
        <v>1276.209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IFERROR(__xludf.DUMMYFUNCTION("""COMPUTED_VALUE"""),1239.237054)</f>
        <v>1239.237054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IFERROR(__xludf.DUMMYFUNCTION("""COMPUTED_VALUE"""),1276.174926)</f>
        <v>1276.174926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IFERROR(__xludf.DUMMYFUNCTION("""COMPUTED_VALUE"""),1277.194048)</f>
        <v>1277.194048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IFERROR(__xludf.DUMMYFUNCTION("""COMPUTED_VALUE"""),1277.984765)</f>
        <v>1277.984765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IFERROR(__xludf.DUMMYFUNCTION("""COMPUTED_VALUE"""),1278.22167)</f>
        <v>1278.22167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IFERROR(__xludf.DUMMYFUNCTION("""COMPUTED_VALUE"""),1278.9261)</f>
        <v>1278.9261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IFERROR(__xludf.DUMMYFUNCTION("""COMPUTED_VALUE"""),1278.82692)</f>
        <v>1278.82692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IFERROR(__xludf.DUMMYFUNCTION("""COMPUTED_VALUE"""),1278.9261)</f>
        <v>1278.9261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IFERROR(__xludf.DUMMYFUNCTION("""COMPUTED_VALUE"""),1279.663788)</f>
        <v>1279.663788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IFERROR(__xludf.DUMMYFUNCTION("""COMPUTED_VALUE"""),1279.921608)</f>
        <v>1279.921608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IFERROR(__xludf.DUMMYFUNCTION("""COMPUTED_VALUE"""),1280.011845)</f>
        <v>1280.011845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IFERROR(__xludf.DUMMYFUNCTION("""COMPUTED_VALUE"""),1281.619504)</f>
        <v>1281.619504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IFERROR(__xludf.DUMMYFUNCTION("""COMPUTED_VALUE"""),1284.67584)</f>
        <v>1284.67584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IFERROR(__xludf.DUMMYFUNCTION("""COMPUTED_VALUE"""),1279.137846)</f>
        <v>1279.137846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IFERROR(__xludf.DUMMYFUNCTION("""COMPUTED_VALUE"""),1238.94868)</f>
        <v>1238.94868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IFERROR(__xludf.DUMMYFUNCTION("""COMPUTED_VALUE"""),1287.408096)</f>
        <v>1287.408096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IFERROR(__xludf.DUMMYFUNCTION("""COMPUTED_VALUE"""),1289.80223)</f>
        <v>1289.80223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IFERROR(__xludf.DUMMYFUNCTION("""COMPUTED_VALUE"""),1291.29147)</f>
        <v>1291.29147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IFERROR(__xludf.DUMMYFUNCTION("""COMPUTED_VALUE"""),1293.1248)</f>
        <v>1293.1248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IFERROR(__xludf.DUMMYFUNCTION("""COMPUTED_VALUE"""),1299.2112)</f>
        <v>1299.2112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IFERROR(__xludf.DUMMYFUNCTION("""COMPUTED_VALUE"""),1295.63064)</f>
        <v>1295.63064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IFERROR(__xludf.DUMMYFUNCTION("""COMPUTED_VALUE"""),1295.8317)</f>
        <v>1295.8317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IFERROR(__xludf.DUMMYFUNCTION("""COMPUTED_VALUE"""),1293.56856)</f>
        <v>1293.56856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IFERROR(__xludf.DUMMYFUNCTION("""COMPUTED_VALUE"""),1311.1708)</f>
        <v>1311.1708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IFERROR(__xludf.DUMMYFUNCTION("""COMPUTED_VALUE"""),1318.7759)</f>
        <v>1318.7759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IFERROR(__xludf.DUMMYFUNCTION("""COMPUTED_VALUE"""),1319.8071)</f>
        <v>1319.8071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IFERROR(__xludf.DUMMYFUNCTION("""COMPUTED_VALUE"""),1319.0337)</f>
        <v>1319.0337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IFERROR(__xludf.DUMMYFUNCTION("""COMPUTED_VALUE"""),1319.936)</f>
        <v>1319.936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IFERROR(__xludf.DUMMYFUNCTION("""COMPUTED_VALUE"""),1323.77679)</f>
        <v>1323.77679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IFERROR(__xludf.DUMMYFUNCTION("""COMPUTED_VALUE"""),1320.55404)</f>
        <v>1320.55404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IFERROR(__xludf.DUMMYFUNCTION("""COMPUTED_VALUE"""),1320.86136)</f>
        <v>1320.86136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IFERROR(__xludf.DUMMYFUNCTION("""COMPUTED_VALUE"""),1321.635)</f>
        <v>1321.635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IFERROR(__xludf.DUMMYFUNCTION("""COMPUTED_VALUE"""),1321.68784)</f>
        <v>1321.68784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IFERROR(__xludf.DUMMYFUNCTION("""COMPUTED_VALUE"""),1324.0084)</f>
        <v>1324.0084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IFERROR(__xludf.DUMMYFUNCTION("""COMPUTED_VALUE"""),1322.6166)</f>
        <v>1322.6166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IFERROR(__xludf.DUMMYFUNCTION("""COMPUTED_VALUE"""),1318.72268)</f>
        <v>1318.72268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IFERROR(__xludf.DUMMYFUNCTION("""COMPUTED_VALUE"""),1322.10096)</f>
        <v>1322.10096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IFERROR(__xludf.DUMMYFUNCTION("""COMPUTED_VALUE"""),1322.33244)</f>
        <v>1322.33244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IFERROR(__xludf.DUMMYFUNCTION("""COMPUTED_VALUE"""),1322.46136)</f>
        <v>1322.46136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IFERROR(__xludf.DUMMYFUNCTION("""COMPUTED_VALUE"""),1322.33244)</f>
        <v>1322.33244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IFERROR(__xludf.DUMMYFUNCTION("""COMPUTED_VALUE"""),1322.8218)</f>
        <v>1322.8218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IFERROR(__xludf.DUMMYFUNCTION("""COMPUTED_VALUE"""),1324.1111)</f>
        <v>1324.1111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IFERROR(__xludf.DUMMYFUNCTION("""COMPUTED_VALUE"""),1323.98217)</f>
        <v>1323.98217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IFERROR(__xludf.DUMMYFUNCTION("""COMPUTED_VALUE"""),1323.07966)</f>
        <v>1323.07966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IFERROR(__xludf.DUMMYFUNCTION("""COMPUTED_VALUE"""),1328.59776)</f>
        <v>1328.59776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IFERROR(__xludf.DUMMYFUNCTION("""COMPUTED_VALUE"""),1327.95306)</f>
        <v>1327.95306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IFERROR(__xludf.DUMMYFUNCTION("""COMPUTED_VALUE"""),1331.15085)</f>
        <v>1331.15085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IFERROR(__xludf.DUMMYFUNCTION("""COMPUTED_VALUE"""),1335.922)</f>
        <v>1335.922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IFERROR(__xludf.DUMMYFUNCTION("""COMPUTED_VALUE"""),1335.4062)</f>
        <v>1335.4062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IFERROR(__xludf.DUMMYFUNCTION("""COMPUTED_VALUE"""),1337.05728)</f>
        <v>1337.05728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IFERROR(__xludf.DUMMYFUNCTION("""COMPUTED_VALUE"""),1348.94595)</f>
        <v>1348.94595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IFERROR(__xludf.DUMMYFUNCTION("""COMPUTED_VALUE"""),1374.22015)</f>
        <v>1374.22015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IFERROR(__xludf.DUMMYFUNCTION("""COMPUTED_VALUE"""),1385.9546)</f>
        <v>1385.9546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IFERROR(__xludf.DUMMYFUNCTION("""COMPUTED_VALUE"""),1422.46608)</f>
        <v>1422.46608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IFERROR(__xludf.DUMMYFUNCTION("""COMPUTED_VALUE"""),1386.105)</f>
        <v>1386.105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IFERROR(__xludf.DUMMYFUNCTION("""COMPUTED_VALUE"""),1385.9975)</f>
        <v>1385.9975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IFERROR(__xludf.DUMMYFUNCTION("""COMPUTED_VALUE"""),1418.9847)</f>
        <v>1418.9847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IFERROR(__xludf.DUMMYFUNCTION("""COMPUTED_VALUE"""),1431.63872)</f>
        <v>1431.63872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IFERROR(__xludf.DUMMYFUNCTION("""COMPUTED_VALUE"""),1404.73227)</f>
        <v>1404.73227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IFERROR(__xludf.DUMMYFUNCTION("""COMPUTED_VALUE"""),1407.52881)</f>
        <v>1407.52881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IFERROR(__xludf.DUMMYFUNCTION("""COMPUTED_VALUE"""),1406.23951)</f>
        <v>1406.23951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IFERROR(__xludf.DUMMYFUNCTION("""COMPUTED_VALUE"""),1403.66091)</f>
        <v>1403.66091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IFERROR(__xludf.DUMMYFUNCTION("""COMPUTED_VALUE"""),1404.69235)</f>
        <v>1404.69235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IFERROR(__xludf.DUMMYFUNCTION("""COMPUTED_VALUE"""),1404.8013)</f>
        <v>1404.8013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IFERROR(__xludf.DUMMYFUNCTION("""COMPUTED_VALUE"""),1411.7446)</f>
        <v>1411.7446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IFERROR(__xludf.DUMMYFUNCTION("""COMPUTED_VALUE"""),1423.11078)</f>
        <v>1423.11078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IFERROR(__xludf.DUMMYFUNCTION("""COMPUTED_VALUE"""),1430.73621)</f>
        <v>1430.73621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IFERROR(__xludf.DUMMYFUNCTION("""COMPUTED_VALUE"""),1430.73621)</f>
        <v>1430.73621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IFERROR(__xludf.DUMMYFUNCTION("""COMPUTED_VALUE"""),1437.29418)</f>
        <v>1437.29418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IFERROR(__xludf.DUMMYFUNCTION("""COMPUTED_VALUE"""),1437.5695)</f>
        <v>1437.5695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IFERROR(__xludf.DUMMYFUNCTION("""COMPUTED_VALUE"""),1437.5695)</f>
        <v>1437.5695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IFERROR(__xludf.DUMMYFUNCTION("""COMPUTED_VALUE"""),1435.4714)</f>
        <v>1435.4714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IFERROR(__xludf.DUMMYFUNCTION("""COMPUTED_VALUE"""),1445.5295)</f>
        <v>1445.5295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IFERROR(__xludf.DUMMYFUNCTION("""COMPUTED_VALUE"""),1459.1982)</f>
        <v>1459.1982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IFERROR(__xludf.DUMMYFUNCTION("""COMPUTED_VALUE"""),1460.08512)</f>
        <v>1460.08512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IFERROR(__xludf.DUMMYFUNCTION("""COMPUTED_VALUE"""),1467.57995)</f>
        <v>1467.57995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IFERROR(__xludf.DUMMYFUNCTION("""COMPUTED_VALUE"""),1467.46614)</f>
        <v>1467.46614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IFERROR(__xludf.DUMMYFUNCTION("""COMPUTED_VALUE"""),1467.69376)</f>
        <v>1467.69376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IFERROR(__xludf.DUMMYFUNCTION("""COMPUTED_VALUE"""),1463.56704)</f>
        <v>1463.56704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IFERROR(__xludf.DUMMYFUNCTION("""COMPUTED_VALUE"""),1472.33632)</f>
        <v>1472.33632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IFERROR(__xludf.DUMMYFUNCTION("""COMPUTED_VALUE"""),1476.44856)</f>
        <v>1476.44856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IFERROR(__xludf.DUMMYFUNCTION("""COMPUTED_VALUE"""),1451.4448)</f>
        <v>1451.4448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IFERROR(__xludf.DUMMYFUNCTION("""COMPUTED_VALUE"""),1460.19834)</f>
        <v>1460.19834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IFERROR(__xludf.DUMMYFUNCTION("""COMPUTED_VALUE"""),1460.58525)</f>
        <v>1460.58525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IFERROR(__xludf.DUMMYFUNCTION("""COMPUTED_VALUE"""),1463.8095)</f>
        <v>1463.8095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IFERROR(__xludf.DUMMYFUNCTION("""COMPUTED_VALUE"""),1472.45049)</f>
        <v>1472.45049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IFERROR(__xludf.DUMMYFUNCTION("""COMPUTED_VALUE"""),1476.06165)</f>
        <v>1476.06165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IFERROR(__xludf.DUMMYFUNCTION("""COMPUTED_VALUE"""),1477.62368)</f>
        <v>1477.62368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IFERROR(__xludf.DUMMYFUNCTION("""COMPUTED_VALUE"""),1473.8985)</f>
        <v>1473.8985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IFERROR(__xludf.DUMMYFUNCTION("""COMPUTED_VALUE"""),1484.08555)</f>
        <v>1484.08555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IFERROR(__xludf.DUMMYFUNCTION("""COMPUTED_VALUE"""),1490.750975)</f>
        <v>1490.750975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IFERROR(__xludf.DUMMYFUNCTION("""COMPUTED_VALUE"""),1484.20064)</f>
        <v>1484.20064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IFERROR(__xludf.DUMMYFUNCTION("""COMPUTED_VALUE"""),1489.39936)</f>
        <v>1489.39936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IFERROR(__xludf.DUMMYFUNCTION("""COMPUTED_VALUE"""),1480.07392)</f>
        <v>1480.07392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IFERROR(__xludf.DUMMYFUNCTION("""COMPUTED_VALUE"""),1483.1829)</f>
        <v>1483.1829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IFERROR(__xludf.DUMMYFUNCTION("""COMPUTED_VALUE"""),1483.42688)</f>
        <v>1483.42688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IFERROR(__xludf.DUMMYFUNCTION("""COMPUTED_VALUE"""),1481.76445)</f>
        <v>1481.76445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IFERROR(__xludf.DUMMYFUNCTION("""COMPUTED_VALUE"""),1482.55212)</f>
        <v>1482.55212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IFERROR(__xludf.DUMMYFUNCTION("""COMPUTED_VALUE"""),1481.6355)</f>
        <v>1481.6355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IFERROR(__xludf.DUMMYFUNCTION("""COMPUTED_VALUE"""),1482.53815)</f>
        <v>1482.53815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IFERROR(__xludf.DUMMYFUNCTION("""COMPUTED_VALUE"""),1481.49248)</f>
        <v>1481.49248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IFERROR(__xludf.DUMMYFUNCTION("""COMPUTED_VALUE"""),1483.56975)</f>
        <v>1483.56975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IFERROR(__xludf.DUMMYFUNCTION("""COMPUTED_VALUE"""),1478.15385)</f>
        <v>1478.15385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IFERROR(__xludf.DUMMYFUNCTION("""COMPUTED_VALUE"""),1462.293)</f>
        <v>1462.293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IFERROR(__xludf.DUMMYFUNCTION("""COMPUTED_VALUE"""),1462.293)</f>
        <v>1462.293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IFERROR(__xludf.DUMMYFUNCTION("""COMPUTED_VALUE"""),1462.4064)</f>
        <v>1462.4064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IFERROR(__xludf.DUMMYFUNCTION("""COMPUTED_VALUE"""),1461.90615)</f>
        <v>1461.90615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IFERROR(__xludf.DUMMYFUNCTION("""COMPUTED_VALUE"""),1461.90615)</f>
        <v>1461.90615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IFERROR(__xludf.DUMMYFUNCTION("""COMPUTED_VALUE"""),1461.7772)</f>
        <v>1461.7772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IFERROR(__xludf.DUMMYFUNCTION("""COMPUTED_VALUE"""),1457.50592)</f>
        <v>1457.50592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IFERROR(__xludf.DUMMYFUNCTION("""COMPUTED_VALUE"""),1457.10306)</f>
        <v>1457.10306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IFERROR(__xludf.DUMMYFUNCTION("""COMPUTED_VALUE"""),1456.8771)</f>
        <v>1456.8771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IFERROR(__xludf.DUMMYFUNCTION("""COMPUTED_VALUE"""),1457.10306)</f>
        <v>1457.10306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IFERROR(__xludf.DUMMYFUNCTION("""COMPUTED_VALUE"""),1458.50584)</f>
        <v>1458.50584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IFERROR(__xludf.DUMMYFUNCTION("""COMPUTED_VALUE"""),1452.83072)</f>
        <v>1452.83072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IFERROR(__xludf.DUMMYFUNCTION("""COMPUTED_VALUE"""),1450.25112)</f>
        <v>1450.25112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IFERROR(__xludf.DUMMYFUNCTION("""COMPUTED_VALUE"""),1435.06688)</f>
        <v>1435.06688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IFERROR(__xludf.DUMMYFUNCTION("""COMPUTED_VALUE"""),1417.2704)</f>
        <v>1417.2704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IFERROR(__xludf.DUMMYFUNCTION("""COMPUTED_VALUE"""),1417.1605)</f>
        <v>1417.1605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IFERROR(__xludf.DUMMYFUNCTION("""COMPUTED_VALUE"""),1417.3803)</f>
        <v>1417.3803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IFERROR(__xludf.DUMMYFUNCTION("""COMPUTED_VALUE"""),1421.89425)</f>
        <v>1421.89425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IFERROR(__xludf.DUMMYFUNCTION("""COMPUTED_VALUE"""),1428.232)</f>
        <v>1428.232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IFERROR(__xludf.DUMMYFUNCTION("""COMPUTED_VALUE"""),1437.62859)</f>
        <v>1437.62859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IFERROR(__xludf.DUMMYFUNCTION("""COMPUTED_VALUE"""),1450.26765)</f>
        <v>1450.26765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IFERROR(__xludf.DUMMYFUNCTION("""COMPUTED_VALUE"""),1458.61892)</f>
        <v>1458.61892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IFERROR(__xludf.DUMMYFUNCTION("""COMPUTED_VALUE"""),1458.50584)</f>
        <v>1458.50584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IFERROR(__xludf.DUMMYFUNCTION("""COMPUTED_VALUE"""),1465.794633)</f>
        <v>1465.794633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IFERROR(__xludf.DUMMYFUNCTION("""COMPUTED_VALUE"""),1461.183)</f>
        <v>1461.183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IFERROR(__xludf.DUMMYFUNCTION("""COMPUTED_VALUE"""),1461.57)</f>
        <v>1461.57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IFERROR(__xludf.DUMMYFUNCTION("""COMPUTED_VALUE"""),1468.02)</f>
        <v>1468.02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IFERROR(__xludf.DUMMYFUNCTION("""COMPUTED_VALUE"""),1465.698)</f>
        <v>1465.698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IFERROR(__xludf.DUMMYFUNCTION("""COMPUTED_VALUE"""),1468.278)</f>
        <v>1468.278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IFERROR(__xludf.DUMMYFUNCTION("""COMPUTED_VALUE"""),1475.97156)</f>
        <v>1475.97156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IFERROR(__xludf.DUMMYFUNCTION("""COMPUTED_VALUE"""),1467.891)</f>
        <v>1467.891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IFERROR(__xludf.DUMMYFUNCTION("""COMPUTED_VALUE"""),1487.39736)</f>
        <v>1487.39736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IFERROR(__xludf.DUMMYFUNCTION("""COMPUTED_VALUE"""),1491.6537)</f>
        <v>1491.6537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IFERROR(__xludf.DUMMYFUNCTION("""COMPUTED_VALUE"""),1493.08569)</f>
        <v>1493.08569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IFERROR(__xludf.DUMMYFUNCTION("""COMPUTED_VALUE"""),1484.96058)</f>
        <v>1484.96058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IFERROR(__xludf.DUMMYFUNCTION("""COMPUTED_VALUE"""),1495.17525)</f>
        <v>1495.17525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IFERROR(__xludf.DUMMYFUNCTION("""COMPUTED_VALUE"""),1501.163688)</f>
        <v>1501.163688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IFERROR(__xludf.DUMMYFUNCTION("""COMPUTED_VALUE"""),1495.2912)</f>
        <v>1495.2912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IFERROR(__xludf.DUMMYFUNCTION("""COMPUTED_VALUE"""),1496.92895)</f>
        <v>1496.92895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IFERROR(__xludf.DUMMYFUNCTION("""COMPUTED_VALUE"""),1492.53)</f>
        <v>1492.53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IFERROR(__xludf.DUMMYFUNCTION("""COMPUTED_VALUE"""),1500.141)</f>
        <v>1500.141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IFERROR(__xludf.DUMMYFUNCTION("""COMPUTED_VALUE"""),1505.82926)</f>
        <v>1505.82926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IFERROR(__xludf.DUMMYFUNCTION("""COMPUTED_VALUE"""),1504.69299)</f>
        <v>1504.69299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IFERROR(__xludf.DUMMYFUNCTION("""COMPUTED_VALUE"""),1504.69299)</f>
        <v>1504.69299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IFERROR(__xludf.DUMMYFUNCTION("""COMPUTED_VALUE"""),1504.80966)</f>
        <v>1504.80966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IFERROR(__xludf.DUMMYFUNCTION("""COMPUTED_VALUE"""),1511.51662)</f>
        <v>1511.51662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IFERROR(__xludf.DUMMYFUNCTION("""COMPUTED_VALUE"""),1515.6325)</f>
        <v>1515.6325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IFERROR(__xludf.DUMMYFUNCTION("""COMPUTED_VALUE"""),1532.2824)</f>
        <v>1532.2824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IFERROR(__xludf.DUMMYFUNCTION("""COMPUTED_VALUE"""),1532.2824)</f>
        <v>1532.2824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IFERROR(__xludf.DUMMYFUNCTION("""COMPUTED_VALUE"""),1529.44484)</f>
        <v>1529.44484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IFERROR(__xludf.DUMMYFUNCTION("""COMPUTED_VALUE"""),1499.27625)</f>
        <v>1499.27625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IFERROR(__xludf.DUMMYFUNCTION("""COMPUTED_VALUE"""),1499.3925)</f>
        <v>1499.3925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IFERROR(__xludf.DUMMYFUNCTION("""COMPUTED_VALUE"""),1533.165)</f>
        <v>1533.165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IFERROR(__xludf.DUMMYFUNCTION("""COMPUTED_VALUE"""),1533.04615)</f>
        <v>1533.04615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IFERROR(__xludf.DUMMYFUNCTION("""COMPUTED_VALUE"""),1544.14856)</f>
        <v>1544.14856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IFERROR(__xludf.DUMMYFUNCTION("""COMPUTED_VALUE"""),1544.296)</f>
        <v>1544.296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IFERROR(__xludf.DUMMYFUNCTION("""COMPUTED_VALUE"""),1540.9525)</f>
        <v>1540.9525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IFERROR(__xludf.DUMMYFUNCTION("""COMPUTED_VALUE"""),1505.76132)</f>
        <v>1505.76132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IFERROR(__xludf.DUMMYFUNCTION("""COMPUTED_VALUE"""),1505.8781)</f>
        <v>1505.8781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IFERROR(__xludf.DUMMYFUNCTION("""COMPUTED_VALUE"""),1523.52261)</f>
        <v>1523.52261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IFERROR(__xludf.DUMMYFUNCTION("""COMPUTED_VALUE"""),1526.23098)</f>
        <v>1526.23098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IFERROR(__xludf.DUMMYFUNCTION("""COMPUTED_VALUE"""),1531.6681)</f>
        <v>1531.6681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IFERROR(__xludf.DUMMYFUNCTION("""COMPUTED_VALUE"""),1547.39104)</f>
        <v>1547.39104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IFERROR(__xludf.DUMMYFUNCTION("""COMPUTED_VALUE"""),1549.97024)</f>
        <v>1549.97024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IFERROR(__xludf.DUMMYFUNCTION("""COMPUTED_VALUE"""),1549.879708)</f>
        <v>1549.879708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IFERROR(__xludf.DUMMYFUNCTION("""COMPUTED_VALUE"""),1546.09236)</f>
        <v>1546.09236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IFERROR(__xludf.DUMMYFUNCTION("""COMPUTED_VALUE"""),1542.87744)</f>
        <v>1542.87744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IFERROR(__xludf.DUMMYFUNCTION("""COMPUTED_VALUE"""),1545.69632)</f>
        <v>1545.69632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IFERROR(__xludf.DUMMYFUNCTION("""COMPUTED_VALUE"""),1549.30776)</f>
        <v>1549.30776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IFERROR(__xludf.DUMMYFUNCTION("""COMPUTED_VALUE"""),1562.85846)</f>
        <v>1562.85846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IFERROR(__xludf.DUMMYFUNCTION("""COMPUTED_VALUE"""),1567.12935)</f>
        <v>1567.12935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IFERROR(__xludf.DUMMYFUNCTION("""COMPUTED_VALUE"""),1566.7061)</f>
        <v>1566.7061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IFERROR(__xludf.DUMMYFUNCTION("""COMPUTED_VALUE"""),1567.12935)</f>
        <v>1567.12935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IFERROR(__xludf.DUMMYFUNCTION("""COMPUTED_VALUE"""),1566.47712)</f>
        <v>1566.47712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IFERROR(__xludf.DUMMYFUNCTION("""COMPUTED_VALUE"""),1566.36312)</f>
        <v>1566.36312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IFERROR(__xludf.DUMMYFUNCTION("""COMPUTED_VALUE"""),1566.4846)</f>
        <v>1566.4846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IFERROR(__xludf.DUMMYFUNCTION("""COMPUTED_VALUE"""),1566.36312)</f>
        <v>1566.36312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IFERROR(__xludf.DUMMYFUNCTION("""COMPUTED_VALUE"""),1565.58948)</f>
        <v>1565.58948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IFERROR(__xludf.DUMMYFUNCTION("""COMPUTED_VALUE"""),1566.7061)</f>
        <v>1566.7061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IFERROR(__xludf.DUMMYFUNCTION("""COMPUTED_VALUE"""),1565.7109)</f>
        <v>1565.7109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IFERROR(__xludf.DUMMYFUNCTION("""COMPUTED_VALUE"""),1574.09952)</f>
        <v>1574.09952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IFERROR(__xludf.DUMMYFUNCTION("""COMPUTED_VALUE"""),1567.7741)</f>
        <v>1567.7741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IFERROR(__xludf.DUMMYFUNCTION("""COMPUTED_VALUE"""),1567.89568)</f>
        <v>1567.89568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IFERROR(__xludf.DUMMYFUNCTION("""COMPUTED_VALUE"""),1560.79494)</f>
        <v>1560.79494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IFERROR(__xludf.DUMMYFUNCTION("""COMPUTED_VALUE"""),1561.3266)</f>
        <v>1561.3266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IFERROR(__xludf.DUMMYFUNCTION("""COMPUTED_VALUE"""),1561.137043)</f>
        <v>1561.137043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IFERROR(__xludf.DUMMYFUNCTION("""COMPUTED_VALUE"""),1561.8424)</f>
        <v>1561.8424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IFERROR(__xludf.DUMMYFUNCTION("""COMPUTED_VALUE"""),1564.55035)</f>
        <v>1564.55035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IFERROR(__xludf.DUMMYFUNCTION("""COMPUTED_VALUE"""),1555.78175)</f>
        <v>1555.78175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IFERROR(__xludf.DUMMYFUNCTION("""COMPUTED_VALUE"""),1557.32915)</f>
        <v>1557.32915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IFERROR(__xludf.DUMMYFUNCTION("""COMPUTED_VALUE"""),1551.5264)</f>
        <v>1551.5264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IFERROR(__xludf.DUMMYFUNCTION("""COMPUTED_VALUE"""),1524.7048)</f>
        <v>1524.7048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IFERROR(__xludf.DUMMYFUNCTION("""COMPUTED_VALUE"""),1524.11335)</f>
        <v>1524.11335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IFERROR(__xludf.DUMMYFUNCTION("""COMPUTED_VALUE"""),1549.59215)</f>
        <v>1549.59215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IFERROR(__xludf.DUMMYFUNCTION("""COMPUTED_VALUE"""),1523.1574)</f>
        <v>1523.1574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IFERROR(__xludf.DUMMYFUNCTION("""COMPUTED_VALUE"""),1521.73895)</f>
        <v>1521.73895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IFERROR(__xludf.DUMMYFUNCTION("""COMPUTED_VALUE"""),1525.2206)</f>
        <v>1525.2206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IFERROR(__xludf.DUMMYFUNCTION("""COMPUTED_VALUE"""),1531.6681)</f>
        <v>1531.6681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IFERROR(__xludf.DUMMYFUNCTION("""COMPUTED_VALUE"""),1528.97052)</f>
        <v>1528.97052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IFERROR(__xludf.DUMMYFUNCTION("""COMPUTED_VALUE"""),1529.299318)</f>
        <v>1529.299318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IFERROR(__xludf.DUMMYFUNCTION("""COMPUTED_VALUE"""),1528.85194)</f>
        <v>1528.85194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IFERROR(__xludf.DUMMYFUNCTION("""COMPUTED_VALUE"""),1533.76124)</f>
        <v>1533.76124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IFERROR(__xludf.DUMMYFUNCTION("""COMPUTED_VALUE"""),1554.91242)</f>
        <v>1554.91242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IFERROR(__xludf.DUMMYFUNCTION("""COMPUTED_VALUE"""),1553.38228)</f>
        <v>1553.38228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IFERROR(__xludf.DUMMYFUNCTION("""COMPUTED_VALUE"""),1558.54584)</f>
        <v>1558.54584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IFERROR(__xludf.DUMMYFUNCTION("""COMPUTED_VALUE"""),1562.07887)</f>
        <v>1562.07887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IFERROR(__xludf.DUMMYFUNCTION("""COMPUTED_VALUE"""),1563.106496)</f>
        <v>1563.106496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IFERROR(__xludf.DUMMYFUNCTION("""COMPUTED_VALUE"""),1561.9576)</f>
        <v>1561.9576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IFERROR(__xludf.DUMMYFUNCTION("""COMPUTED_VALUE"""),1570.48572)</f>
        <v>1570.48572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IFERROR(__xludf.DUMMYFUNCTION("""COMPUTED_VALUE"""),1557.33654)</f>
        <v>1557.33654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IFERROR(__xludf.DUMMYFUNCTION("""COMPUTED_VALUE"""),1556.56386)</f>
        <v>1556.56386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IFERROR(__xludf.DUMMYFUNCTION("""COMPUTED_VALUE"""),1563.28982)</f>
        <v>1563.28982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IFERROR(__xludf.DUMMYFUNCTION("""COMPUTED_VALUE"""),1564.7985)</f>
        <v>1564.7985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IFERROR(__xludf.DUMMYFUNCTION("""COMPUTED_VALUE"""),1568.695685)</f>
        <v>1568.695685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IFERROR(__xludf.DUMMYFUNCTION("""COMPUTED_VALUE"""),1564.7985)</f>
        <v>1564.7985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IFERROR(__xludf.DUMMYFUNCTION("""COMPUTED_VALUE"""),1557.09468)</f>
        <v>1557.09468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IFERROR(__xludf.DUMMYFUNCTION("""COMPUTED_VALUE"""),1543.1528)</f>
        <v>1543.1528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IFERROR(__xludf.DUMMYFUNCTION("""COMPUTED_VALUE"""),1548.5366)</f>
        <v>1548.5366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IFERROR(__xludf.DUMMYFUNCTION("""COMPUTED_VALUE"""),1538.7078)</f>
        <v>1538.7078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IFERROR(__xludf.DUMMYFUNCTION("""COMPUTED_VALUE"""),1546.56887)</f>
        <v>1546.56887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IFERROR(__xludf.DUMMYFUNCTION("""COMPUTED_VALUE"""),1548.91817)</f>
        <v>1548.91817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IFERROR(__xludf.DUMMYFUNCTION("""COMPUTED_VALUE"""),1546.68888)</f>
        <v>1546.68888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IFERROR(__xludf.DUMMYFUNCTION("""COMPUTED_VALUE"""),1550.27166)</f>
        <v>1550.27166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IFERROR(__xludf.DUMMYFUNCTION("""COMPUTED_VALUE"""),1545.7508)</f>
        <v>1545.7508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IFERROR(__xludf.DUMMYFUNCTION("""COMPUTED_VALUE"""),1538.14452)</f>
        <v>1538.14452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IFERROR(__xludf.DUMMYFUNCTION("""COMPUTED_VALUE"""),1531.29144)</f>
        <v>1531.29144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IFERROR(__xludf.DUMMYFUNCTION("""COMPUTED_VALUE"""),1496.36158)</f>
        <v>1496.36158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IFERROR(__xludf.DUMMYFUNCTION("""COMPUTED_VALUE"""),1499.185147)</f>
        <v>1499.185147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IFERROR(__xludf.DUMMYFUNCTION("""COMPUTED_VALUE"""),1506.67598)</f>
        <v>1506.67598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IFERROR(__xludf.DUMMYFUNCTION("""COMPUTED_VALUE"""),1499.70114)</f>
        <v>1499.70114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IFERROR(__xludf.DUMMYFUNCTION("""COMPUTED_VALUE"""),1526.768)</f>
        <v>1526.768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IFERROR(__xludf.DUMMYFUNCTION("""COMPUTED_VALUE"""),1504.85874)</f>
        <v>1504.85874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IFERROR(__xludf.DUMMYFUNCTION("""COMPUTED_VALUE"""),1516.34573)</f>
        <v>1516.34573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IFERROR(__xludf.DUMMYFUNCTION("""COMPUTED_VALUE"""),1506.03133)</f>
        <v>1506.03133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IFERROR(__xludf.DUMMYFUNCTION("""COMPUTED_VALUE"""),1507.952387)</f>
        <v>1507.952387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IFERROR(__xludf.DUMMYFUNCTION("""COMPUTED_VALUE"""),1506.14814)</f>
        <v>1506.14814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IFERROR(__xludf.DUMMYFUNCTION("""COMPUTED_VALUE"""),1492.03064)</f>
        <v>1492.03064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IFERROR(__xludf.DUMMYFUNCTION("""COMPUTED_VALUE"""),1497.1208)</f>
        <v>1497.1208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IFERROR(__xludf.DUMMYFUNCTION("""COMPUTED_VALUE"""),1503.04744)</f>
        <v>1503.04744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IFERROR(__xludf.DUMMYFUNCTION("""COMPUTED_VALUE"""),1494.67284)</f>
        <v>1494.67284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IFERROR(__xludf.DUMMYFUNCTION("""COMPUTED_VALUE"""),1490.66565)</f>
        <v>1490.66565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IFERROR(__xludf.DUMMYFUNCTION("""COMPUTED_VALUE"""),1492.930923)</f>
        <v>1492.930923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IFERROR(__xludf.DUMMYFUNCTION("""COMPUTED_VALUE"""),1490.54996)</f>
        <v>1490.54996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IFERROR(__xludf.DUMMYFUNCTION("""COMPUTED_VALUE"""),1501.75904)</f>
        <v>1501.75904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IFERROR(__xludf.DUMMYFUNCTION("""COMPUTED_VALUE"""),1490.16344)</f>
        <v>1490.16344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IFERROR(__xludf.DUMMYFUNCTION("""COMPUTED_VALUE"""),1490.92335)</f>
        <v>1490.92335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IFERROR(__xludf.DUMMYFUNCTION("""COMPUTED_VALUE"""),1470.0644)</f>
        <v>1470.0644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IFERROR(__xludf.DUMMYFUNCTION("""COMPUTED_VALUE"""),1466.97224)</f>
        <v>1466.97224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IFERROR(__xludf.DUMMYFUNCTION("""COMPUTED_VALUE"""),1468.984075)</f>
        <v>1468.984075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IFERROR(__xludf.DUMMYFUNCTION("""COMPUTED_VALUE"""),1467.0861)</f>
        <v>1467.0861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IFERROR(__xludf.DUMMYFUNCTION("""COMPUTED_VALUE"""),1472.6412)</f>
        <v>1472.6412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IFERROR(__xludf.DUMMYFUNCTION("""COMPUTED_VALUE"""),1479.4977)</f>
        <v>1479.4977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IFERROR(__xludf.DUMMYFUNCTION("""COMPUTED_VALUE"""),1472.71365)</f>
        <v>1472.71365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IFERROR(__xludf.DUMMYFUNCTION("""COMPUTED_VALUE"""),1470.56796)</f>
        <v>1470.56796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IFERROR(__xludf.DUMMYFUNCTION("""COMPUTED_VALUE"""),1454.13408)</f>
        <v>1454.13408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IFERROR(__xludf.DUMMYFUNCTION("""COMPUTED_VALUE"""),1456.220793)</f>
        <v>1456.220793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IFERROR(__xludf.DUMMYFUNCTION("""COMPUTED_VALUE"""),1454.47296)</f>
        <v>1454.47296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IFERROR(__xludf.DUMMYFUNCTION("""COMPUTED_VALUE"""),1453.18536)</f>
        <v>1453.18536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IFERROR(__xludf.DUMMYFUNCTION("""COMPUTED_VALUE"""),1458.09375)</f>
        <v>1458.09375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IFERROR(__xludf.DUMMYFUNCTION("""COMPUTED_VALUE"""),1456.3887)</f>
        <v>1456.3887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IFERROR(__xludf.DUMMYFUNCTION("""COMPUTED_VALUE"""),1472.71365)</f>
        <v>1472.71365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IFERROR(__xludf.DUMMYFUNCTION("""COMPUTED_VALUE"""),1469.47489)</f>
        <v>1469.47489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IFERROR(__xludf.DUMMYFUNCTION("""COMPUTED_VALUE"""),1471.232217)</f>
        <v>1471.232217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IFERROR(__xludf.DUMMYFUNCTION("""COMPUTED_VALUE"""),1469.24687)</f>
        <v>1469.24687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IFERROR(__xludf.DUMMYFUNCTION("""COMPUTED_VALUE"""),1464.4329)</f>
        <v>1464.4329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IFERROR(__xludf.DUMMYFUNCTION("""COMPUTED_VALUE"""),1467.23852)</f>
        <v>1467.23852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IFERROR(__xludf.DUMMYFUNCTION("""COMPUTED_VALUE"""),1473.85715)</f>
        <v>1473.85715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IFERROR(__xludf.DUMMYFUNCTION("""COMPUTED_VALUE"""),1466.78328)</f>
        <v>1466.78328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IFERROR(__xludf.DUMMYFUNCTION("""COMPUTED_VALUE"""),1457.10145)</f>
        <v>1457.10145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IFERROR(__xludf.DUMMYFUNCTION("""COMPUTED_VALUE"""),1459.568577)</f>
        <v>1459.568577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IFERROR(__xludf.DUMMYFUNCTION("""COMPUTED_VALUE"""),1456.9884)</f>
        <v>1456.9884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IFERROR(__xludf.DUMMYFUNCTION("""COMPUTED_VALUE"""),1450.9946)</f>
        <v>1450.9946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IFERROR(__xludf.DUMMYFUNCTION("""COMPUTED_VALUE"""),1451.38136)</f>
        <v>1451.38136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IFERROR(__xludf.DUMMYFUNCTION("""COMPUTED_VALUE"""),1453.68575)</f>
        <v>1453.68575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IFERROR(__xludf.DUMMYFUNCTION("""COMPUTED_VALUE"""),1461.19485)</f>
        <v>1461.19485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IFERROR(__xludf.DUMMYFUNCTION("""COMPUTED_VALUE"""),1457.859)</f>
        <v>1457.859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IFERROR(__xludf.DUMMYFUNCTION("""COMPUTED_VALUE"""),1459.795078)</f>
        <v>1459.795078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IFERROR(__xludf.DUMMYFUNCTION("""COMPUTED_VALUE"""),1457.9721)</f>
        <v>1457.9721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IFERROR(__xludf.DUMMYFUNCTION("""COMPUTED_VALUE"""),1456.49025)</f>
        <v>1456.49025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IFERROR(__xludf.DUMMYFUNCTION("""COMPUTED_VALUE"""),1451.977)</f>
        <v>1451.977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IFERROR(__xludf.DUMMYFUNCTION("""COMPUTED_VALUE"""),1453.6046)</f>
        <v>1453.6046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IFERROR(__xludf.DUMMYFUNCTION("""COMPUTED_VALUE"""),1463.2781)</f>
        <v>1463.2781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IFERROR(__xludf.DUMMYFUNCTION("""COMPUTED_VALUE"""),1469.61315)</f>
        <v>1469.61315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IFERROR(__xludf.DUMMYFUNCTION("""COMPUTED_VALUE"""),1472.259614)</f>
        <v>1472.259614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IFERROR(__xludf.DUMMYFUNCTION("""COMPUTED_VALUE"""),1469.61315)</f>
        <v>1469.61315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IFERROR(__xludf.DUMMYFUNCTION("""COMPUTED_VALUE"""),1474.90092)</f>
        <v>1474.90092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IFERROR(__xludf.DUMMYFUNCTION("""COMPUTED_VALUE"""),1476.592)</f>
        <v>1476.592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IFERROR(__xludf.DUMMYFUNCTION("""COMPUTED_VALUE"""),1470.7888)</f>
        <v>1470.7888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IFERROR(__xludf.DUMMYFUNCTION("""COMPUTED_VALUE"""),1475.9472)</f>
        <v>1475.9472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IFERROR(__xludf.DUMMYFUNCTION("""COMPUTED_VALUE"""),1475.83275)</f>
        <v>1475.83275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IFERROR(__xludf.DUMMYFUNCTION("""COMPUTED_VALUE"""),1478.783126)</f>
        <v>1478.783126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IFERROR(__xludf.DUMMYFUNCTION("""COMPUTED_VALUE"""),1475.9472)</f>
        <v>1475.9472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IFERROR(__xludf.DUMMYFUNCTION("""COMPUTED_VALUE"""),1474.6576)</f>
        <v>1474.6576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IFERROR(__xludf.DUMMYFUNCTION("""COMPUTED_VALUE"""),1488.3138)</f>
        <v>1488.3138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IFERROR(__xludf.DUMMYFUNCTION("""COMPUTED_VALUE"""),1498.7476)</f>
        <v>1498.7476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IFERROR(__xludf.DUMMYFUNCTION("""COMPUTED_VALUE"""),1495.5231)</f>
        <v>1495.5231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IFERROR(__xludf.DUMMYFUNCTION("""COMPUTED_VALUE"""),1491.53805)</f>
        <v>1491.53805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IFERROR(__xludf.DUMMYFUNCTION("""COMPUTED_VALUE"""),1490.982189)</f>
        <v>1490.982189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IFERROR(__xludf.DUMMYFUNCTION("""COMPUTED_VALUE"""),1491.53805)</f>
        <v>1491.53805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IFERROR(__xludf.DUMMYFUNCTION("""COMPUTED_VALUE"""),1494.11745)</f>
        <v>1494.11745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IFERROR(__xludf.DUMMYFUNCTION("""COMPUTED_VALUE"""),1488.95865)</f>
        <v>1488.95865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IFERROR(__xludf.DUMMYFUNCTION("""COMPUTED_VALUE"""),1489.0741)</f>
        <v>1489.0741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IFERROR(__xludf.DUMMYFUNCTION("""COMPUTED_VALUE"""),1489.0741)</f>
        <v>1489.0741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IFERROR(__xludf.DUMMYFUNCTION("""COMPUTED_VALUE"""),1485.2047)</f>
        <v>1485.2047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IFERROR(__xludf.DUMMYFUNCTION("""COMPUTED_VALUE"""),1487.657899)</f>
        <v>1487.657899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IFERROR(__xludf.DUMMYFUNCTION("""COMPUTED_VALUE"""),1485.2047)</f>
        <v>1485.2047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IFERROR(__xludf.DUMMYFUNCTION("""COMPUTED_VALUE"""),1484.02995)</f>
        <v>1484.02995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IFERROR(__xludf.DUMMYFUNCTION("""COMPUTED_VALUE"""),1484.79)</f>
        <v>1484.79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IFERROR(__xludf.DUMMYFUNCTION("""COMPUTED_VALUE"""),1492.4143)</f>
        <v>1492.4143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IFERROR(__xludf.DUMMYFUNCTION("""COMPUTED_VALUE"""),1486.725)</f>
        <v>1486.725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IFERROR(__xludf.DUMMYFUNCTION("""COMPUTED_VALUE"""),1487.89965)</f>
        <v>1487.89965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IFERROR(__xludf.DUMMYFUNCTION("""COMPUTED_VALUE"""),1491.213403)</f>
        <v>1491.213403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IFERROR(__xludf.DUMMYFUNCTION("""COMPUTED_VALUE"""),1478.985)</f>
        <v>1478.985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IFERROR(__xludf.DUMMYFUNCTION("""COMPUTED_VALUE"""),1485.9648)</f>
        <v>1485.9648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IFERROR(__xludf.DUMMYFUNCTION("""COMPUTED_VALUE"""),1481.565)</f>
        <v>1481.565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IFERROR(__xludf.DUMMYFUNCTION("""COMPUTED_VALUE"""),1471.245)</f>
        <v>1471.245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IFERROR(__xludf.DUMMYFUNCTION("""COMPUTED_VALUE"""),1468.55115)</f>
        <v>1468.55115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IFERROR(__xludf.DUMMYFUNCTION("""COMPUTED_VALUE"""),1460.1668)</f>
        <v>1460.1668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IFERROR(__xludf.DUMMYFUNCTION("""COMPUTED_VALUE"""),1463.903648)</f>
        <v>1463.903648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IFERROR(__xludf.DUMMYFUNCTION("""COMPUTED_VALUE"""),1469.1961)</f>
        <v>1469.1961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IFERROR(__xludf.DUMMYFUNCTION("""COMPUTED_VALUE"""),1473.0658)</f>
        <v>1473.0658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IFERROR(__xludf.DUMMYFUNCTION("""COMPUTED_VALUE"""),1478.2254)</f>
        <v>1478.2254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IFERROR(__xludf.DUMMYFUNCTION("""COMPUTED_VALUE"""),1482.6251)</f>
        <v>1482.6251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IFERROR(__xludf.DUMMYFUNCTION("""COMPUTED_VALUE"""),1484.4447)</f>
        <v>1484.4447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IFERROR(__xludf.DUMMYFUNCTION("""COMPUTED_VALUE"""),1495.2912)</f>
        <v>1495.2912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IFERROR(__xludf.DUMMYFUNCTION("""COMPUTED_VALUE"""),1490.866582)</f>
        <v>1490.866582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IFERROR(__xludf.DUMMYFUNCTION("""COMPUTED_VALUE"""),1495.40715)</f>
        <v>1495.40715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IFERROR(__xludf.DUMMYFUNCTION("""COMPUTED_VALUE"""),1490.7776)</f>
        <v>1490.7776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IFERROR(__xludf.DUMMYFUNCTION("""COMPUTED_VALUE"""),1490.8932)</f>
        <v>1490.8932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IFERROR(__xludf.DUMMYFUNCTION("""COMPUTED_VALUE"""),1499.8048)</f>
        <v>1499.8048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IFERROR(__xludf.DUMMYFUNCTION("""COMPUTED_VALUE"""),1495.63905)</f>
        <v>1495.63905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IFERROR(__xludf.DUMMYFUNCTION("""COMPUTED_VALUE"""),1503.7902)</f>
        <v>1503.7902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IFERROR(__xludf.DUMMYFUNCTION("""COMPUTED_VALUE"""),1508.420223)</f>
        <v>1508.420223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IFERROR(__xludf.DUMMYFUNCTION("""COMPUTED_VALUE"""),1508.420223)</f>
        <v>1508.420223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IFERROR(__xludf.DUMMYFUNCTION("""COMPUTED_VALUE"""),1516.5696)</f>
        <v>1516.5696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IFERROR(__xludf.DUMMYFUNCTION("""COMPUTED_VALUE"""),1518.2123)</f>
        <v>1518.2123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IFERROR(__xludf.DUMMYFUNCTION("""COMPUTED_VALUE"""),1531.6375)</f>
        <v>1531.6375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IFERROR(__xludf.DUMMYFUNCTION("""COMPUTED_VALUE"""),1527.88655)</f>
        <v>1527.88655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IFERROR(__xludf.DUMMYFUNCTION("""COMPUTED_VALUE"""),1523.8987)</f>
        <v>1523.8987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IFERROR(__xludf.DUMMYFUNCTION("""COMPUTED_VALUE"""),1526.27096)</f>
        <v>1526.27096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IFERROR(__xludf.DUMMYFUNCTION("""COMPUTED_VALUE"""),1526.27096)</f>
        <v>1526.27096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IFERROR(__xludf.DUMMYFUNCTION("""COMPUTED_VALUE"""),1518.975)</f>
        <v>1518.975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IFERROR(__xludf.DUMMYFUNCTION("""COMPUTED_VALUE"""),1524.135)</f>
        <v>1524.135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IFERROR(__xludf.DUMMYFUNCTION("""COMPUTED_VALUE"""),1522.845)</f>
        <v>1522.845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IFERROR(__xludf.DUMMYFUNCTION("""COMPUTED_VALUE"""),1519.62)</f>
        <v>1519.62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IFERROR(__xludf.DUMMYFUNCTION("""COMPUTED_VALUE"""),1520.265)</f>
        <v>1520.265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IFERROR(__xludf.DUMMYFUNCTION("""COMPUTED_VALUE"""),1522.903666)</f>
        <v>1522.903666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IFERROR(__xludf.DUMMYFUNCTION("""COMPUTED_VALUE"""),1523.02173)</f>
        <v>1523.02173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IFERROR(__xludf.DUMMYFUNCTION("""COMPUTED_VALUE"""),1524.25315)</f>
        <v>1524.25315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IFERROR(__xludf.DUMMYFUNCTION("""COMPUTED_VALUE"""),1533.165)</f>
        <v>1533.165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IFERROR(__xludf.DUMMYFUNCTION("""COMPUTED_VALUE"""),1548.76505)</f>
        <v>1548.76505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IFERROR(__xludf.DUMMYFUNCTION("""COMPUTED_VALUE"""),1537.2733)</f>
        <v>1537.2733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IFERROR(__xludf.DUMMYFUNCTION("""COMPUTED_VALUE"""),1541.4305)</f>
        <v>1541.4305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IFERROR(__xludf.DUMMYFUNCTION("""COMPUTED_VALUE"""),1544.789399)</f>
        <v>1544.789399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IFERROR(__xludf.DUMMYFUNCTION("""COMPUTED_VALUE"""),1544.90916)</f>
        <v>1544.90916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IFERROR(__xludf.DUMMYFUNCTION("""COMPUTED_VALUE"""),1546.57188)</f>
        <v>1546.57188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IFERROR(__xludf.DUMMYFUNCTION("""COMPUTED_VALUE"""),1547.355)</f>
        <v>1547.355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IFERROR(__xludf.DUMMYFUNCTION("""COMPUTED_VALUE"""),1559.7309)</f>
        <v>1559.7309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IFERROR(__xludf.DUMMYFUNCTION("""COMPUTED_VALUE"""),1559.4891)</f>
        <v>1559.4891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IFERROR(__xludf.DUMMYFUNCTION("""COMPUTED_VALUE"""),1550.58)</f>
        <v>1550.58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IFERROR(__xludf.DUMMYFUNCTION("""COMPUTED_VALUE"""),1550.48067)</f>
        <v>1550.48067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IFERROR(__xludf.DUMMYFUNCTION("""COMPUTED_VALUE"""),1550.48067)</f>
        <v>1550.48067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IFERROR(__xludf.DUMMYFUNCTION("""COMPUTED_VALUE"""),1533.4027)</f>
        <v>1533.4027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IFERROR(__xludf.DUMMYFUNCTION("""COMPUTED_VALUE"""),1535.219)</f>
        <v>1535.219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IFERROR(__xludf.DUMMYFUNCTION("""COMPUTED_VALUE"""),1535.457)</f>
        <v>1535.457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IFERROR(__xludf.DUMMYFUNCTION("""COMPUTED_VALUE"""),1535.86405)</f>
        <v>1535.86405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IFERROR(__xludf.DUMMYFUNCTION("""COMPUTED_VALUE"""),1530.1772)</f>
        <v>1530.1772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IFERROR(__xludf.DUMMYFUNCTION("""COMPUTED_VALUE"""),1532.184684)</f>
        <v>1532.184684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IFERROR(__xludf.DUMMYFUNCTION("""COMPUTED_VALUE"""),1532.303449)</f>
        <v>1532.303449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IFERROR(__xludf.DUMMYFUNCTION("""COMPUTED_VALUE"""),1512.7595)</f>
        <v>1512.7595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IFERROR(__xludf.DUMMYFUNCTION("""COMPUTED_VALUE"""),1505.0183)</f>
        <v>1505.0183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IFERROR(__xludf.DUMMYFUNCTION("""COMPUTED_VALUE"""),1498.5673)</f>
        <v>1498.5673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IFERROR(__xludf.DUMMYFUNCTION("""COMPUTED_VALUE"""),1492.7614)</f>
        <v>1492.7614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IFERROR(__xludf.DUMMYFUNCTION("""COMPUTED_VALUE"""),1497.39315)</f>
        <v>1497.39315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IFERROR(__xludf.DUMMYFUNCTION("""COMPUTED_VALUE"""),1501.862174)</f>
        <v>1501.862174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IFERROR(__xludf.DUMMYFUNCTION("""COMPUTED_VALUE"""),1501.978588)</f>
        <v>1501.978588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IFERROR(__xludf.DUMMYFUNCTION("""COMPUTED_VALUE"""),1504.4898)</f>
        <v>1504.4898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IFERROR(__xludf.DUMMYFUNCTION("""COMPUTED_VALUE"""),1512.1144)</f>
        <v>1512.1144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IFERROR(__xludf.DUMMYFUNCTION("""COMPUTED_VALUE"""),1502.05084)</f>
        <v>1502.05084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IFERROR(__xludf.DUMMYFUNCTION("""COMPUTED_VALUE"""),1504.2566)</f>
        <v>1504.2566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IFERROR(__xludf.DUMMYFUNCTION("""COMPUTED_VALUE"""),1498.335)</f>
        <v>1498.335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IFERROR(__xludf.DUMMYFUNCTION("""COMPUTED_VALUE"""),1501.74576)</f>
        <v>1501.74576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IFERROR(__xludf.DUMMYFUNCTION("""COMPUTED_VALUE"""),1501.862174)</f>
        <v>1501.862174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IFERROR(__xludf.DUMMYFUNCTION("""COMPUTED_VALUE"""),1491.24)</f>
        <v>1491.24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IFERROR(__xludf.DUMMYFUNCTION("""COMPUTED_VALUE"""),1493.82)</f>
        <v>1493.82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IFERROR(__xludf.DUMMYFUNCTION("""COMPUTED_VALUE"""),1481.67985)</f>
        <v>1481.67985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IFERROR(__xludf.DUMMYFUNCTION("""COMPUTED_VALUE"""),1490.55456)</f>
        <v>1490.55456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IFERROR(__xludf.DUMMYFUNCTION("""COMPUTED_VALUE"""),1491.60022)</f>
        <v>1491.60022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IFERROR(__xludf.DUMMYFUNCTION("""COMPUTED_VALUE"""),1494.900794)</f>
        <v>1494.900794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IFERROR(__xludf.DUMMYFUNCTION("""COMPUTED_VALUE"""),1495.016669)</f>
        <v>1495.016669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IFERROR(__xludf.DUMMYFUNCTION("""COMPUTED_VALUE"""),1491.60022)</f>
        <v>1491.60022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IFERROR(__xludf.DUMMYFUNCTION("""COMPUTED_VALUE"""),1491.71583)</f>
        <v>1491.71583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IFERROR(__xludf.DUMMYFUNCTION("""COMPUTED_VALUE"""),1491.71583)</f>
        <v>1491.71583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IFERROR(__xludf.DUMMYFUNCTION("""COMPUTED_VALUE"""),1517.40422)</f>
        <v>1517.40422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IFERROR(__xludf.DUMMYFUNCTION("""COMPUTED_VALUE"""),1530.30622)</f>
        <v>1530.30622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IFERROR(__xludf.DUMMYFUNCTION("""COMPUTED_VALUE"""),1523.139793)</f>
        <v>1523.139793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IFERROR(__xludf.DUMMYFUNCTION("""COMPUTED_VALUE"""),1532.422214)</f>
        <v>1532.422214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IFERROR(__xludf.DUMMYFUNCTION("""COMPUTED_VALUE"""),1516.74765)</f>
        <v>1516.74765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IFERROR(__xludf.DUMMYFUNCTION("""COMPUTED_VALUE"""),1506.3085)</f>
        <v>1506.3085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IFERROR(__xludf.DUMMYFUNCTION("""COMPUTED_VALUE"""),1517.01716)</f>
        <v>1517.01716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IFERROR(__xludf.DUMMYFUNCTION("""COMPUTED_VALUE"""),1523.22107)</f>
        <v>1523.22107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IFERROR(__xludf.DUMMYFUNCTION("""COMPUTED_VALUE"""),1515.105)</f>
        <v>1515.105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IFERROR(__xludf.DUMMYFUNCTION("""COMPUTED_VALUE"""),1523.02173)</f>
        <v>1523.02173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IFERROR(__xludf.DUMMYFUNCTION("""COMPUTED_VALUE"""),1524.82257)</f>
        <v>1524.82257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IFERROR(__xludf.DUMMYFUNCTION("""COMPUTED_VALUE"""),1509.417)</f>
        <v>1509.417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IFERROR(__xludf.DUMMYFUNCTION("""COMPUTED_VALUE"""),1506.8368)</f>
        <v>1506.8368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IFERROR(__xludf.DUMMYFUNCTION("""COMPUTED_VALUE"""),1507.22383)</f>
        <v>1507.22383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IFERROR(__xludf.DUMMYFUNCTION("""COMPUTED_VALUE"""),1505.5467)</f>
        <v>1505.5467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IFERROR(__xludf.DUMMYFUNCTION("""COMPUTED_VALUE"""),1505.27634)</f>
        <v>1505.27634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IFERROR(__xludf.DUMMYFUNCTION("""COMPUTED_VALUE"""),1507.242604)</f>
        <v>1507.242604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IFERROR(__xludf.DUMMYFUNCTION("""COMPUTED_VALUE"""),1507.125782)</f>
        <v>1507.125782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IFERROR(__xludf.DUMMYFUNCTION("""COMPUTED_VALUE"""),1506.9536)</f>
        <v>1506.9536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IFERROR(__xludf.DUMMYFUNCTION("""COMPUTED_VALUE"""),1504.76026)</f>
        <v>1504.76026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IFERROR(__xludf.DUMMYFUNCTION("""COMPUTED_VALUE"""),1509.417)</f>
        <v>1509.417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IFERROR(__xludf.DUMMYFUNCTION("""COMPUTED_VALUE"""),1507.98576)</f>
        <v>1507.98576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IFERROR(__xludf.DUMMYFUNCTION("""COMPUTED_VALUE"""),1504.3732)</f>
        <v>1504.3732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IFERROR(__xludf.DUMMYFUNCTION("""COMPUTED_VALUE"""),1507.125782)</f>
        <v>1507.125782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IFERROR(__xludf.DUMMYFUNCTION("""COMPUTED_VALUE"""),1507.242604)</f>
        <v>1507.242604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IFERROR(__xludf.DUMMYFUNCTION("""COMPUTED_VALUE"""),1509.39294)</f>
        <v>1509.39294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IFERROR(__xludf.DUMMYFUNCTION("""COMPUTED_VALUE"""),1509.15898)</f>
        <v>1509.15898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IFERROR(__xludf.DUMMYFUNCTION("""COMPUTED_VALUE"""),1505.0183)</f>
        <v>1505.0183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IFERROR(__xludf.DUMMYFUNCTION("""COMPUTED_VALUE"""),1511.58645)</f>
        <v>1511.58645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IFERROR(__xludf.DUMMYFUNCTION("""COMPUTED_VALUE"""),1508.75988)</f>
        <v>1508.75988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IFERROR(__xludf.DUMMYFUNCTION("""COMPUTED_VALUE"""),1510.772592)</f>
        <v>1510.772592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IFERROR(__xludf.DUMMYFUNCTION("""COMPUTED_VALUE"""),1510.772592)</f>
        <v>1510.772592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IFERROR(__xludf.DUMMYFUNCTION("""COMPUTED_VALUE"""),1510.56616)</f>
        <v>1510.56616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IFERROR(__xludf.DUMMYFUNCTION("""COMPUTED_VALUE"""),1515.19929)</f>
        <v>1515.19929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IFERROR(__xludf.DUMMYFUNCTION("""COMPUTED_VALUE"""),1518.29601)</f>
        <v>1518.29601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IFERROR(__xludf.DUMMYFUNCTION("""COMPUTED_VALUE"""),1514.82382)</f>
        <v>1514.82382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IFERROR(__xludf.DUMMYFUNCTION("""COMPUTED_VALUE"""),1512.37244)</f>
        <v>1512.37244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IFERROR(__xludf.DUMMYFUNCTION("""COMPUTED_VALUE"""),1514.318061)</f>
        <v>1514.318061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IFERROR(__xludf.DUMMYFUNCTION("""COMPUTED_VALUE"""),1514.318061)</f>
        <v>1514.318061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IFERROR(__xludf.DUMMYFUNCTION("""COMPUTED_VALUE"""),1511.32839)</f>
        <v>1511.32839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IFERROR(__xludf.DUMMYFUNCTION("""COMPUTED_VALUE"""),1522.69404)</f>
        <v>1522.69404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IFERROR(__xludf.DUMMYFUNCTION("""COMPUTED_VALUE"""),1524.3713)</f>
        <v>1524.3713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IFERROR(__xludf.DUMMYFUNCTION("""COMPUTED_VALUE"""),1526.4249)</f>
        <v>1526.4249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IFERROR(__xludf.DUMMYFUNCTION("""COMPUTED_VALUE"""),1533.28385)</f>
        <v>1533.28385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IFERROR(__xludf.DUMMYFUNCTION("""COMPUTED_VALUE"""),1535.833087)</f>
        <v>1535.833087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IFERROR(__xludf.DUMMYFUNCTION("""COMPUTED_VALUE"""),1535.952135)</f>
        <v>1535.952135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IFERROR(__xludf.DUMMYFUNCTION("""COMPUTED_VALUE"""),1539.73435)</f>
        <v>1539.73435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IFERROR(__xludf.DUMMYFUNCTION("""COMPUTED_VALUE"""),1546.18485)</f>
        <v>1546.18485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IFERROR(__xludf.DUMMYFUNCTION("""COMPUTED_VALUE"""),1543.33724)</f>
        <v>1543.33724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IFERROR(__xludf.DUMMYFUNCTION("""COMPUTED_VALUE"""),1544.24038)</f>
        <v>1544.24038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IFERROR(__xludf.DUMMYFUNCTION("""COMPUTED_VALUE"""),1545.807)</f>
        <v>1545.807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IFERROR(__xludf.DUMMYFUNCTION("""COMPUTED_VALUE"""),1548.6192)</f>
        <v>1548.6192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IFERROR(__xludf.DUMMYFUNCTION("""COMPUTED_VALUE"""),1548.739248)</f>
        <v>1548.739248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IFERROR(__xludf.DUMMYFUNCTION("""COMPUTED_VALUE"""),1546.57188)</f>
        <v>1546.57188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IFERROR(__xludf.DUMMYFUNCTION("""COMPUTED_VALUE"""),1544.13)</f>
        <v>1544.13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IFERROR(__xludf.DUMMYFUNCTION("""COMPUTED_VALUE"""),1540.52757)</f>
        <v>1540.52757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IFERROR(__xludf.DUMMYFUNCTION("""COMPUTED_VALUE"""),1544.68288)</f>
        <v>1544.68288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IFERROR(__xludf.DUMMYFUNCTION("""COMPUTED_VALUE"""),1553.245)</f>
        <v>1553.245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IFERROR(__xludf.DUMMYFUNCTION("""COMPUTED_VALUE"""),1554.643353)</f>
        <v>1554.643353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IFERROR(__xludf.DUMMYFUNCTION("""COMPUTED_VALUE"""),1554.522726)</f>
        <v>1554.522726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IFERROR(__xludf.DUMMYFUNCTION("""COMPUTED_VALUE"""),1562.91824)</f>
        <v>1562.91824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IFERROR(__xludf.DUMMYFUNCTION("""COMPUTED_VALUE"""),1567.8965)</f>
        <v>1567.8965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IFERROR(__xludf.DUMMYFUNCTION("""COMPUTED_VALUE"""),1562.2227)</f>
        <v>1562.2227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IFERROR(__xludf.DUMMYFUNCTION("""COMPUTED_VALUE"""),1560.26784)</f>
        <v>1560.26784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IFERROR(__xludf.DUMMYFUNCTION("""COMPUTED_VALUE"""),1569.03461)</f>
        <v>1569.03461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IFERROR(__xludf.DUMMYFUNCTION("""COMPUTED_VALUE"""),1570.853407)</f>
        <v>1570.853407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IFERROR(__xludf.DUMMYFUNCTION("""COMPUTED_VALUE"""),1571.097309)</f>
        <v>1571.097309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IFERROR(__xludf.DUMMYFUNCTION("""COMPUTED_VALUE"""),1566.23418)</f>
        <v>1566.23418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IFERROR(__xludf.DUMMYFUNCTION("""COMPUTED_VALUE"""),1575.26674)</f>
        <v>1575.26674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IFERROR(__xludf.DUMMYFUNCTION("""COMPUTED_VALUE"""),1574.1132)</f>
        <v>1574.1132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IFERROR(__xludf.DUMMYFUNCTION("""COMPUTED_VALUE"""),1571.91456)</f>
        <v>1571.91456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IFERROR(__xludf.DUMMYFUNCTION("""COMPUTED_VALUE"""),1573.6248)</f>
        <v>1573.6248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IFERROR(__xludf.DUMMYFUNCTION("""COMPUTED_VALUE"""),1575.548978)</f>
        <v>1575.548978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IFERROR(__xludf.DUMMYFUNCTION("""COMPUTED_VALUE"""),1575.671227)</f>
        <v>1575.671227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IFERROR(__xludf.DUMMYFUNCTION("""COMPUTED_VALUE"""),1572.336)</f>
        <v>1572.336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IFERROR(__xludf.DUMMYFUNCTION("""COMPUTED_VALUE"""),1572.44418)</f>
        <v>1572.44418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IFERROR(__xludf.DUMMYFUNCTION("""COMPUTED_VALUE"""),1576.0603)</f>
        <v>1576.0603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IFERROR(__xludf.DUMMYFUNCTION("""COMPUTED_VALUE"""),1573.7469)</f>
        <v>1573.7469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IFERROR(__xludf.DUMMYFUNCTION("""COMPUTED_VALUE"""),1559.82678)</f>
        <v>1559.82678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IFERROR(__xludf.DUMMYFUNCTION("""COMPUTED_VALUE"""),1562.302756)</f>
        <v>1562.302756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IFERROR(__xludf.DUMMYFUNCTION("""COMPUTED_VALUE"""),1562.181544)</f>
        <v>1562.181544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IFERROR(__xludf.DUMMYFUNCTION("""COMPUTED_VALUE"""),1549.1202)</f>
        <v>1549.1202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IFERROR(__xludf.DUMMYFUNCTION("""COMPUTED_VALUE"""),1545.48391)</f>
        <v>1545.48391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IFERROR(__xludf.DUMMYFUNCTION("""COMPUTED_VALUE"""),1544.3418)</f>
        <v>1544.3418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IFERROR(__xludf.DUMMYFUNCTION("""COMPUTED_VALUE"""),1553.8895)</f>
        <v>1553.8895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IFERROR(__xludf.DUMMYFUNCTION("""COMPUTED_VALUE"""),1556.4675)</f>
        <v>1556.4675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IFERROR(__xludf.DUMMYFUNCTION("""COMPUTED_VALUE"""),1558.523702)</f>
        <v>1558.523702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IFERROR(__xludf.DUMMYFUNCTION("""COMPUTED_VALUE"""),1558.644621)</f>
        <v>1558.644621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IFERROR(__xludf.DUMMYFUNCTION("""COMPUTED_VALUE"""),1559.69)</f>
        <v>1559.69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IFERROR(__xludf.DUMMYFUNCTION("""COMPUTED_VALUE"""),1564.4593)</f>
        <v>1564.4593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IFERROR(__xludf.DUMMYFUNCTION("""COMPUTED_VALUE"""),1559.14248)</f>
        <v>1559.14248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IFERROR(__xludf.DUMMYFUNCTION("""COMPUTED_VALUE"""),1566.4995)</f>
        <v>1566.4995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IFERROR(__xludf.DUMMYFUNCTION("""COMPUTED_VALUE"""),1556.3058)</f>
        <v>1556.3058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IFERROR(__xludf.DUMMYFUNCTION("""COMPUTED_VALUE"""),1559.128296)</f>
        <v>1559.128296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IFERROR(__xludf.DUMMYFUNCTION("""COMPUTED_VALUE"""),1559.007377)</f>
        <v>1559.007377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IFERROR(__xludf.DUMMYFUNCTION("""COMPUTED_VALUE"""),1561.31872)</f>
        <v>1561.31872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IFERROR(__xludf.DUMMYFUNCTION("""COMPUTED_VALUE"""),1562.0689)</f>
        <v>1562.0689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IFERROR(__xludf.DUMMYFUNCTION("""COMPUTED_VALUE"""),1570.45325)</f>
        <v>1570.45325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IFERROR(__xludf.DUMMYFUNCTION("""COMPUTED_VALUE"""),1566.9855)</f>
        <v>1566.9855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IFERROR(__xludf.DUMMYFUNCTION("""COMPUTED_VALUE"""),1570.20975)</f>
        <v>1570.20975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IFERROR(__xludf.DUMMYFUNCTION("""COMPUTED_VALUE"""),1572.804626)</f>
        <v>1572.804626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IFERROR(__xludf.DUMMYFUNCTION("""COMPUTED_VALUE"""),1572.804626)</f>
        <v>1572.804626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IFERROR(__xludf.DUMMYFUNCTION("""COMPUTED_VALUE"""),1567.38725)</f>
        <v>1567.38725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IFERROR(__xludf.DUMMYFUNCTION("""COMPUTED_VALUE"""),1563.9056)</f>
        <v>1563.9056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IFERROR(__xludf.DUMMYFUNCTION("""COMPUTED_VALUE"""),1571.51365)</f>
        <v>1571.51365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IFERROR(__xludf.DUMMYFUNCTION("""COMPUTED_VALUE"""),1571.39178)</f>
        <v>1571.39178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IFERROR(__xludf.DUMMYFUNCTION("""COMPUTED_VALUE"""),1573.19)</f>
        <v>1573.19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IFERROR(__xludf.DUMMYFUNCTION("""COMPUTED_VALUE"""),1576.282474)</f>
        <v>1576.282474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IFERROR(__xludf.DUMMYFUNCTION("""COMPUTED_VALUE"""),1576.526972)</f>
        <v>1576.526972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IFERROR(__xludf.DUMMYFUNCTION("""COMPUTED_VALUE"""),1572.4233)</f>
        <v>1572.4233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IFERROR(__xludf.DUMMYFUNCTION("""COMPUTED_VALUE"""),1563.3975)</f>
        <v>1563.3975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IFERROR(__xludf.DUMMYFUNCTION("""COMPUTED_VALUE"""),1560.43188)</f>
        <v>1560.43188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IFERROR(__xludf.DUMMYFUNCTION("""COMPUTED_VALUE"""),1564.18636)</f>
        <v>1564.18636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IFERROR(__xludf.DUMMYFUNCTION("""COMPUTED_VALUE"""),1563.57971)</f>
        <v>1563.57971</v>
      </c>
    </row>
    <row r="1653">
      <c r="A1653" s="3">
        <f>IFERROR(__xludf.DUMMYFUNCTION("""COMPUTED_VALUE"""),41965.99861111111)</f>
        <v>41965.99861</v>
      </c>
      <c r="B1653" s="1">
        <f>IFERROR(__xludf.DUMMYFUNCTION("""COMPUTED_VALUE"""),1579.288963)</f>
        <v>1579.288963</v>
      </c>
    </row>
    <row r="1654">
      <c r="A1654" s="3">
        <f>IFERROR(__xludf.DUMMYFUNCTION("""COMPUTED_VALUE"""),41966.99861111111)</f>
        <v>41966.99861</v>
      </c>
      <c r="B1654" s="1">
        <f>IFERROR(__xludf.DUMMYFUNCTION("""COMPUTED_VALUE"""),1566.220074)</f>
        <v>1566.220074</v>
      </c>
    </row>
    <row r="1655">
      <c r="A1655" s="3">
        <f>IFERROR(__xludf.DUMMYFUNCTION("""COMPUTED_VALUE"""),41967.99861111111)</f>
        <v>41967.99861</v>
      </c>
      <c r="B1655" s="1">
        <f>IFERROR(__xludf.DUMMYFUNCTION("""COMPUTED_VALUE"""),1564.30769)</f>
        <v>1564.30769</v>
      </c>
    </row>
    <row r="1656">
      <c r="A1656" s="3">
        <f>IFERROR(__xludf.DUMMYFUNCTION("""COMPUTED_VALUE"""),41968.99861111111)</f>
        <v>41968.99861</v>
      </c>
      <c r="B1656" s="1">
        <f>IFERROR(__xludf.DUMMYFUNCTION("""COMPUTED_VALUE"""),1564.55035)</f>
        <v>1564.55035</v>
      </c>
    </row>
    <row r="1657">
      <c r="A1657" s="3">
        <f>IFERROR(__xludf.DUMMYFUNCTION("""COMPUTED_VALUE"""),41969.99861111111)</f>
        <v>41969.99861</v>
      </c>
      <c r="B1657" s="1">
        <f>IFERROR(__xludf.DUMMYFUNCTION("""COMPUTED_VALUE"""),1570.088)</f>
        <v>1570.088</v>
      </c>
    </row>
    <row r="1658">
      <c r="A1658" s="3">
        <f>IFERROR(__xludf.DUMMYFUNCTION("""COMPUTED_VALUE"""),41970.99861111111)</f>
        <v>41970.99861</v>
      </c>
      <c r="B1658" s="1">
        <f>IFERROR(__xludf.DUMMYFUNCTION("""COMPUTED_VALUE"""),1570.3315)</f>
        <v>1570.3315</v>
      </c>
    </row>
    <row r="1659">
      <c r="A1659" s="3">
        <f>IFERROR(__xludf.DUMMYFUNCTION("""COMPUTED_VALUE"""),41971.99861111111)</f>
        <v>41971.99861</v>
      </c>
      <c r="B1659" s="1">
        <f>IFERROR(__xludf.DUMMYFUNCTION("""COMPUTED_VALUE"""),1569.8445)</f>
        <v>1569.8445</v>
      </c>
    </row>
    <row r="1660">
      <c r="A1660" s="3">
        <f>IFERROR(__xludf.DUMMYFUNCTION("""COMPUTED_VALUE"""),41972.99861111111)</f>
        <v>41972.99861</v>
      </c>
      <c r="B1660" s="1">
        <f>IFERROR(__xludf.DUMMYFUNCTION("""COMPUTED_VALUE"""),1572.438772)</f>
        <v>1572.438772</v>
      </c>
    </row>
    <row r="1661">
      <c r="A1661" s="3">
        <f>IFERROR(__xludf.DUMMYFUNCTION("""COMPUTED_VALUE"""),41973.99861111111)</f>
        <v>41973.99861</v>
      </c>
      <c r="B1661" s="1">
        <f>IFERROR(__xludf.DUMMYFUNCTION("""COMPUTED_VALUE"""),1572.560724)</f>
        <v>1572.560724</v>
      </c>
    </row>
    <row r="1662">
      <c r="A1662" s="3">
        <f>IFERROR(__xludf.DUMMYFUNCTION("""COMPUTED_VALUE"""),41974.99861111111)</f>
        <v>41974.99861</v>
      </c>
      <c r="B1662" s="1">
        <f>IFERROR(__xludf.DUMMYFUNCTION("""COMPUTED_VALUE"""),1583.90505)</f>
        <v>1583.90505</v>
      </c>
    </row>
    <row r="1663">
      <c r="A1663" s="3">
        <f>IFERROR(__xludf.DUMMYFUNCTION("""COMPUTED_VALUE"""),41975.99861111111)</f>
        <v>41975.99861</v>
      </c>
      <c r="B1663" s="1">
        <f>IFERROR(__xludf.DUMMYFUNCTION("""COMPUTED_VALUE"""),1584.15075)</f>
        <v>1584.15075</v>
      </c>
    </row>
    <row r="1664">
      <c r="A1664" s="3">
        <f>IFERROR(__xludf.DUMMYFUNCTION("""COMPUTED_VALUE"""),41976.99861111111)</f>
        <v>41976.99861</v>
      </c>
      <c r="B1664" s="1">
        <f>IFERROR(__xludf.DUMMYFUNCTION("""COMPUTED_VALUE"""),1584.2736)</f>
        <v>1584.2736</v>
      </c>
    </row>
    <row r="1665">
      <c r="A1665" s="3">
        <f>IFERROR(__xludf.DUMMYFUNCTION("""COMPUTED_VALUE"""),41977.99861111111)</f>
        <v>41977.99861</v>
      </c>
      <c r="B1665" s="1">
        <f>IFERROR(__xludf.DUMMYFUNCTION("""COMPUTED_VALUE"""),1584.765)</f>
        <v>1584.765</v>
      </c>
    </row>
    <row r="1666">
      <c r="A1666" s="3">
        <f>IFERROR(__xludf.DUMMYFUNCTION("""COMPUTED_VALUE"""),41978.99861111111)</f>
        <v>41978.99861</v>
      </c>
      <c r="B1666" s="1">
        <f>IFERROR(__xludf.DUMMYFUNCTION("""COMPUTED_VALUE"""),1584.765)</f>
        <v>1584.765</v>
      </c>
    </row>
    <row r="1667">
      <c r="A1667" s="3">
        <f>IFERROR(__xludf.DUMMYFUNCTION("""COMPUTED_VALUE"""),41979.99861111111)</f>
        <v>41979.99861</v>
      </c>
      <c r="B1667" s="1">
        <f>IFERROR(__xludf.DUMMYFUNCTION("""COMPUTED_VALUE"""),1600.49526)</f>
        <v>1600.49526</v>
      </c>
    </row>
    <row r="1668">
      <c r="A1668" s="3">
        <f>IFERROR(__xludf.DUMMYFUNCTION("""COMPUTED_VALUE"""),41980.99861111111)</f>
        <v>41980.99861</v>
      </c>
      <c r="B1668" s="1">
        <f>IFERROR(__xludf.DUMMYFUNCTION("""COMPUTED_VALUE"""),1586.71548)</f>
        <v>1586.71548</v>
      </c>
    </row>
    <row r="1669">
      <c r="A1669" s="3">
        <f>IFERROR(__xludf.DUMMYFUNCTION("""COMPUTED_VALUE"""),41981.99861111111)</f>
        <v>41981.99861</v>
      </c>
      <c r="B1669" s="1">
        <f>IFERROR(__xludf.DUMMYFUNCTION("""COMPUTED_VALUE"""),1584.765)</f>
        <v>1584.765</v>
      </c>
    </row>
    <row r="1670">
      <c r="A1670" s="3">
        <f>IFERROR(__xludf.DUMMYFUNCTION("""COMPUTED_VALUE"""),41982.99861111111)</f>
        <v>41982.99861</v>
      </c>
      <c r="B1670" s="1">
        <f>IFERROR(__xludf.DUMMYFUNCTION("""COMPUTED_VALUE"""),1584.5193)</f>
        <v>1584.5193</v>
      </c>
    </row>
    <row r="1671">
      <c r="A1671" s="3">
        <f>IFERROR(__xludf.DUMMYFUNCTION("""COMPUTED_VALUE"""),41983.99861111111)</f>
        <v>41983.99861</v>
      </c>
      <c r="B1671" s="1">
        <f>IFERROR(__xludf.DUMMYFUNCTION("""COMPUTED_VALUE"""),1584.765)</f>
        <v>1584.765</v>
      </c>
    </row>
    <row r="1672">
      <c r="A1672" s="3">
        <f>IFERROR(__xludf.DUMMYFUNCTION("""COMPUTED_VALUE"""),41984.99861111111)</f>
        <v>41984.99861</v>
      </c>
      <c r="B1672" s="1">
        <f>IFERROR(__xludf.DUMMYFUNCTION("""COMPUTED_VALUE"""),1607.60237)</f>
        <v>1607.60237</v>
      </c>
    </row>
    <row r="1673">
      <c r="A1673" s="3">
        <f>IFERROR(__xludf.DUMMYFUNCTION("""COMPUTED_VALUE"""),41985.99861111111)</f>
        <v>41985.99861</v>
      </c>
      <c r="B1673" s="1">
        <f>IFERROR(__xludf.DUMMYFUNCTION("""COMPUTED_VALUE"""),1626.948)</f>
        <v>1626.948</v>
      </c>
    </row>
    <row r="1674">
      <c r="A1674" s="3">
        <f>IFERROR(__xludf.DUMMYFUNCTION("""COMPUTED_VALUE"""),41986.99861111111)</f>
        <v>41986.99861</v>
      </c>
      <c r="B1674" s="1">
        <f>IFERROR(__xludf.DUMMYFUNCTION("""COMPUTED_VALUE"""),1628.78754)</f>
        <v>1628.78754</v>
      </c>
    </row>
    <row r="1675">
      <c r="A1675" s="3">
        <f>IFERROR(__xludf.DUMMYFUNCTION("""COMPUTED_VALUE"""),41987.99861111111)</f>
        <v>41987.99861</v>
      </c>
      <c r="B1675" s="1">
        <f>IFERROR(__xludf.DUMMYFUNCTION("""COMPUTED_VALUE"""),1628.661277)</f>
        <v>1628.661277</v>
      </c>
    </row>
    <row r="1676">
      <c r="A1676" s="3">
        <f>IFERROR(__xludf.DUMMYFUNCTION("""COMPUTED_VALUE"""),41988.99861111111)</f>
        <v>41988.99861</v>
      </c>
      <c r="B1676" s="1">
        <f>IFERROR(__xludf.DUMMYFUNCTION("""COMPUTED_VALUE"""),1657.393)</f>
        <v>1657.393</v>
      </c>
    </row>
    <row r="1677">
      <c r="A1677" s="3">
        <f>IFERROR(__xludf.DUMMYFUNCTION("""COMPUTED_VALUE"""),41989.99861111111)</f>
        <v>41989.99861</v>
      </c>
      <c r="B1677" s="1">
        <f>IFERROR(__xludf.DUMMYFUNCTION("""COMPUTED_VALUE"""),1638.4368)</f>
        <v>1638.4368</v>
      </c>
    </row>
    <row r="1678">
      <c r="A1678" s="3">
        <f>IFERROR(__xludf.DUMMYFUNCTION("""COMPUTED_VALUE"""),41990.99861111111)</f>
        <v>41990.99861</v>
      </c>
      <c r="B1678" s="1">
        <f>IFERROR(__xludf.DUMMYFUNCTION("""COMPUTED_VALUE"""),1633.92989)</f>
        <v>1633.92989</v>
      </c>
    </row>
    <row r="1679">
      <c r="A1679" s="3">
        <f>IFERROR(__xludf.DUMMYFUNCTION("""COMPUTED_VALUE"""),41991.99861111111)</f>
        <v>41991.99861</v>
      </c>
      <c r="B1679" s="1">
        <f>IFERROR(__xludf.DUMMYFUNCTION("""COMPUTED_VALUE"""),1608.9216)</f>
        <v>1608.9216</v>
      </c>
    </row>
    <row r="1680">
      <c r="A1680" s="3">
        <f>IFERROR(__xludf.DUMMYFUNCTION("""COMPUTED_VALUE"""),41992.99861111111)</f>
        <v>41992.99861</v>
      </c>
      <c r="B1680" s="1">
        <f>IFERROR(__xludf.DUMMYFUNCTION("""COMPUTED_VALUE"""),1594.97199)</f>
        <v>1594.97199</v>
      </c>
    </row>
    <row r="1681">
      <c r="A1681" s="3">
        <f>IFERROR(__xludf.DUMMYFUNCTION("""COMPUTED_VALUE"""),41993.99861111111)</f>
        <v>41993.99861</v>
      </c>
      <c r="B1681" s="1">
        <f>IFERROR(__xludf.DUMMYFUNCTION("""COMPUTED_VALUE"""),1602.111769)</f>
        <v>1602.111769</v>
      </c>
    </row>
    <row r="1682">
      <c r="A1682" s="3">
        <f>IFERROR(__xludf.DUMMYFUNCTION("""COMPUTED_VALUE"""),41994.99861111111)</f>
        <v>41994.99861</v>
      </c>
      <c r="B1682" s="1">
        <f>IFERROR(__xludf.DUMMYFUNCTION("""COMPUTED_VALUE"""),1601.863322)</f>
        <v>1601.863322</v>
      </c>
    </row>
    <row r="1683">
      <c r="A1683" s="3">
        <f>IFERROR(__xludf.DUMMYFUNCTION("""COMPUTED_VALUE"""),41995.99861111111)</f>
        <v>41995.99861</v>
      </c>
      <c r="B1683" s="1">
        <f>IFERROR(__xludf.DUMMYFUNCTION("""COMPUTED_VALUE"""),1606.4678)</f>
        <v>1606.4678</v>
      </c>
    </row>
    <row r="1684">
      <c r="A1684" s="3">
        <f>IFERROR(__xludf.DUMMYFUNCTION("""COMPUTED_VALUE"""),41996.99861111111)</f>
        <v>41996.99861</v>
      </c>
      <c r="B1684" s="1">
        <f>IFERROR(__xludf.DUMMYFUNCTION("""COMPUTED_VALUE"""),1600.5418)</f>
        <v>1600.5418</v>
      </c>
    </row>
    <row r="1685">
      <c r="A1685" s="3">
        <f>IFERROR(__xludf.DUMMYFUNCTION("""COMPUTED_VALUE"""),41997.99861111111)</f>
        <v>41997.99861</v>
      </c>
      <c r="B1685" s="1">
        <f>IFERROR(__xludf.DUMMYFUNCTION("""COMPUTED_VALUE"""),1606.5101)</f>
        <v>1606.5101</v>
      </c>
    </row>
    <row r="1686">
      <c r="A1686" s="3">
        <f>IFERROR(__xludf.DUMMYFUNCTION("""COMPUTED_VALUE"""),41998.99861111111)</f>
        <v>41998.99861</v>
      </c>
      <c r="B1686" s="1">
        <f>IFERROR(__xludf.DUMMYFUNCTION("""COMPUTED_VALUE"""),1606.8842)</f>
        <v>1606.8842</v>
      </c>
    </row>
    <row r="1687">
      <c r="A1687" s="3">
        <f>IFERROR(__xludf.DUMMYFUNCTION("""COMPUTED_VALUE"""),41999.99861111111)</f>
        <v>41999.99861</v>
      </c>
      <c r="B1687" s="1">
        <f>IFERROR(__xludf.DUMMYFUNCTION("""COMPUTED_VALUE"""),1598.5321)</f>
        <v>1598.5321</v>
      </c>
    </row>
    <row r="1688">
      <c r="A1688" s="3">
        <f>IFERROR(__xludf.DUMMYFUNCTION("""COMPUTED_VALUE"""),42000.99861111111)</f>
        <v>42000.99861</v>
      </c>
      <c r="B1688" s="1">
        <f>IFERROR(__xludf.DUMMYFUNCTION("""COMPUTED_VALUE"""),1598.63235)</f>
        <v>1598.63235</v>
      </c>
    </row>
    <row r="1689">
      <c r="A1689" s="3">
        <f>IFERROR(__xludf.DUMMYFUNCTION("""COMPUTED_VALUE"""),42001.99861111111)</f>
        <v>42001.99861</v>
      </c>
      <c r="B1689" s="1">
        <f>IFERROR(__xludf.DUMMYFUNCTION("""COMPUTED_VALUE"""),1604.358639)</f>
        <v>1604.358639</v>
      </c>
    </row>
    <row r="1690">
      <c r="A1690" s="3">
        <f>IFERROR(__xludf.DUMMYFUNCTION("""COMPUTED_VALUE"""),42002.99861111111)</f>
        <v>42002.99861</v>
      </c>
      <c r="B1690" s="1">
        <f>IFERROR(__xludf.DUMMYFUNCTION("""COMPUTED_VALUE"""),1599.4008)</f>
        <v>1599.4008</v>
      </c>
    </row>
    <row r="1691">
      <c r="A1691" s="3">
        <f>IFERROR(__xludf.DUMMYFUNCTION("""COMPUTED_VALUE"""),42003.99861111111)</f>
        <v>42003.99861</v>
      </c>
      <c r="B1691" s="1">
        <f>IFERROR(__xludf.DUMMYFUNCTION("""COMPUTED_VALUE"""),1600.938)</f>
        <v>1600.938</v>
      </c>
    </row>
    <row r="1692">
      <c r="A1692" s="3">
        <f>IFERROR(__xludf.DUMMYFUNCTION("""COMPUTED_VALUE"""),42004.99861111111)</f>
        <v>42004.99861</v>
      </c>
      <c r="B1692" s="1">
        <f>IFERROR(__xludf.DUMMYFUNCTION("""COMPUTED_VALUE"""),1597.6905)</f>
        <v>1597.6905</v>
      </c>
    </row>
    <row r="1693">
      <c r="A1693" s="3">
        <f>IFERROR(__xludf.DUMMYFUNCTION("""COMPUTED_VALUE"""),42005.99861111111)</f>
        <v>42005.99861</v>
      </c>
      <c r="B1693" s="1">
        <f>IFERROR(__xludf.DUMMYFUNCTION("""COMPUTED_VALUE"""),1597.3188)</f>
        <v>1597.3188</v>
      </c>
    </row>
    <row r="1694">
      <c r="A1694" s="3">
        <f>IFERROR(__xludf.DUMMYFUNCTION("""COMPUTED_VALUE"""),42006.99861111111)</f>
        <v>42006.99861</v>
      </c>
      <c r="B1694" s="1">
        <f>IFERROR(__xludf.DUMMYFUNCTION("""COMPUTED_VALUE"""),1608.7968)</f>
        <v>1608.7968</v>
      </c>
    </row>
    <row r="1695">
      <c r="A1695" s="3">
        <f>IFERROR(__xludf.DUMMYFUNCTION("""COMPUTED_VALUE"""),42007.99861111111)</f>
        <v>42007.99861</v>
      </c>
      <c r="B1695" s="1">
        <f>IFERROR(__xludf.DUMMYFUNCTION("""COMPUTED_VALUE"""),1617.440215)</f>
        <v>1617.440215</v>
      </c>
    </row>
    <row r="1696">
      <c r="A1696" s="3">
        <f>IFERROR(__xludf.DUMMYFUNCTION("""COMPUTED_VALUE"""),42008.99861111111)</f>
        <v>42008.99861</v>
      </c>
      <c r="B1696" s="1">
        <f>IFERROR(__xludf.DUMMYFUNCTION("""COMPUTED_VALUE"""),1617.565686)</f>
        <v>1617.565686</v>
      </c>
    </row>
    <row r="1697">
      <c r="A1697" s="3">
        <f>IFERROR(__xludf.DUMMYFUNCTION("""COMPUTED_VALUE"""),42009.99861111111)</f>
        <v>42009.99861</v>
      </c>
      <c r="B1697" s="1">
        <f>IFERROR(__xludf.DUMMYFUNCTION("""COMPUTED_VALUE"""),1627.74125)</f>
        <v>1627.74125</v>
      </c>
    </row>
    <row r="1698">
      <c r="A1698" s="3">
        <f>IFERROR(__xludf.DUMMYFUNCTION("""COMPUTED_VALUE"""),42010.99861111111)</f>
        <v>42010.99861</v>
      </c>
      <c r="B1698" s="1">
        <f>IFERROR(__xludf.DUMMYFUNCTION("""COMPUTED_VALUE"""),1629.28325)</f>
        <v>1629.28325</v>
      </c>
    </row>
    <row r="1699">
      <c r="A1699" s="3">
        <f>IFERROR(__xludf.DUMMYFUNCTION("""COMPUTED_VALUE"""),42011.99861111111)</f>
        <v>42011.99861</v>
      </c>
      <c r="B1699" s="1">
        <f>IFERROR(__xludf.DUMMYFUNCTION("""COMPUTED_VALUE"""),1640.1168)</f>
        <v>1640.1168</v>
      </c>
    </row>
    <row r="1700">
      <c r="A1700" s="3">
        <f>IFERROR(__xludf.DUMMYFUNCTION("""COMPUTED_VALUE"""),42012.99861111111)</f>
        <v>42012.99861</v>
      </c>
      <c r="B1700" s="1">
        <f>IFERROR(__xludf.DUMMYFUNCTION("""COMPUTED_VALUE"""),1625.9334)</f>
        <v>1625.9334</v>
      </c>
    </row>
    <row r="1701">
      <c r="A1701" s="3">
        <f>IFERROR(__xludf.DUMMYFUNCTION("""COMPUTED_VALUE"""),42013.99861111111)</f>
        <v>42013.99861</v>
      </c>
      <c r="B1701" s="1">
        <f>IFERROR(__xludf.DUMMYFUNCTION("""COMPUTED_VALUE"""),1620.50805)</f>
        <v>1620.50805</v>
      </c>
    </row>
    <row r="1702">
      <c r="A1702" s="3">
        <f>IFERROR(__xludf.DUMMYFUNCTION("""COMPUTED_VALUE"""),42014.99861111111)</f>
        <v>42014.99861</v>
      </c>
      <c r="B1702" s="1">
        <f>IFERROR(__xludf.DUMMYFUNCTION("""COMPUTED_VALUE"""),1651.343487)</f>
        <v>1651.343487</v>
      </c>
    </row>
    <row r="1703">
      <c r="A1703" s="3">
        <f>IFERROR(__xludf.DUMMYFUNCTION("""COMPUTED_VALUE"""),42015.99861111111)</f>
        <v>42015.99861</v>
      </c>
      <c r="B1703" s="1">
        <f>IFERROR(__xludf.DUMMYFUNCTION("""COMPUTED_VALUE"""),1649.104371)</f>
        <v>1649.104371</v>
      </c>
    </row>
    <row r="1704">
      <c r="A1704" s="3">
        <f>IFERROR(__xludf.DUMMYFUNCTION("""COMPUTED_VALUE"""),42016.99861111111)</f>
        <v>42016.99861</v>
      </c>
      <c r="B1704" s="1">
        <f>IFERROR(__xludf.DUMMYFUNCTION("""COMPUTED_VALUE"""),1619.60526)</f>
        <v>1619.60526</v>
      </c>
    </row>
    <row r="1705">
      <c r="A1705" s="3">
        <f>IFERROR(__xludf.DUMMYFUNCTION("""COMPUTED_VALUE"""),42017.99861111111)</f>
        <v>42017.99861</v>
      </c>
      <c r="B1705" s="1">
        <f>IFERROR(__xludf.DUMMYFUNCTION("""COMPUTED_VALUE"""),1623.34539)</f>
        <v>1623.34539</v>
      </c>
    </row>
    <row r="1706">
      <c r="A1706" s="3">
        <f>IFERROR(__xludf.DUMMYFUNCTION("""COMPUTED_VALUE"""),42018.99861111111)</f>
        <v>42018.99861</v>
      </c>
      <c r="B1706" s="1">
        <f>IFERROR(__xludf.DUMMYFUNCTION("""COMPUTED_VALUE"""),1619.0928)</f>
        <v>1619.0928</v>
      </c>
    </row>
    <row r="1707">
      <c r="A1707" s="3">
        <f>IFERROR(__xludf.DUMMYFUNCTION("""COMPUTED_VALUE"""),42019.99861111111)</f>
        <v>42019.99861</v>
      </c>
      <c r="B1707" s="1">
        <f>IFERROR(__xludf.DUMMYFUNCTION("""COMPUTED_VALUE"""),1608.12693)</f>
        <v>1608.12693</v>
      </c>
    </row>
    <row r="1708">
      <c r="A1708" s="3">
        <f>IFERROR(__xludf.DUMMYFUNCTION("""COMPUTED_VALUE"""),42020.99861111111)</f>
        <v>42020.99861</v>
      </c>
      <c r="B1708" s="1">
        <f>IFERROR(__xludf.DUMMYFUNCTION("""COMPUTED_VALUE"""),1622.82)</f>
        <v>1622.82</v>
      </c>
    </row>
    <row r="1709">
      <c r="A1709" s="3">
        <f>IFERROR(__xludf.DUMMYFUNCTION("""COMPUTED_VALUE"""),42021.99861111111)</f>
        <v>42021.99861</v>
      </c>
      <c r="B1709" s="1">
        <f>IFERROR(__xludf.DUMMYFUNCTION("""COMPUTED_VALUE"""),1653.84579)</f>
        <v>1653.84579</v>
      </c>
    </row>
    <row r="1710">
      <c r="A1710" s="3">
        <f>IFERROR(__xludf.DUMMYFUNCTION("""COMPUTED_VALUE"""),42022.99861111111)</f>
        <v>42022.99861</v>
      </c>
      <c r="B1710" s="1">
        <f>IFERROR(__xludf.DUMMYFUNCTION("""COMPUTED_VALUE"""),1651.471528)</f>
        <v>1651.471528</v>
      </c>
    </row>
    <row r="1711">
      <c r="A1711" s="3">
        <f>IFERROR(__xludf.DUMMYFUNCTION("""COMPUTED_VALUE"""),42023.99861111111)</f>
        <v>42023.99861</v>
      </c>
      <c r="B1711" s="1">
        <f>IFERROR(__xludf.DUMMYFUNCTION("""COMPUTED_VALUE"""),1629.0174)</f>
        <v>1629.0174</v>
      </c>
    </row>
    <row r="1712">
      <c r="A1712" s="3">
        <f>IFERROR(__xludf.DUMMYFUNCTION("""COMPUTED_VALUE"""),42024.99861111111)</f>
        <v>42024.99861</v>
      </c>
      <c r="B1712" s="1">
        <f>IFERROR(__xludf.DUMMYFUNCTION("""COMPUTED_VALUE"""),1620.24676)</f>
        <v>1620.24676</v>
      </c>
    </row>
    <row r="1713">
      <c r="A1713" s="3">
        <f>IFERROR(__xludf.DUMMYFUNCTION("""COMPUTED_VALUE"""),42025.99861111111)</f>
        <v>42025.99861</v>
      </c>
      <c r="B1713" s="1">
        <f>IFERROR(__xludf.DUMMYFUNCTION("""COMPUTED_VALUE"""),1607.985)</f>
        <v>1607.985</v>
      </c>
    </row>
    <row r="1714">
      <c r="A1714" s="3">
        <f>IFERROR(__xludf.DUMMYFUNCTION("""COMPUTED_VALUE"""),42026.99861111111)</f>
        <v>42026.99861</v>
      </c>
      <c r="B1714" s="1">
        <f>IFERROR(__xludf.DUMMYFUNCTION("""COMPUTED_VALUE"""),1600.12095)</f>
        <v>1600.12095</v>
      </c>
    </row>
    <row r="1715">
      <c r="A1715" s="3">
        <f>IFERROR(__xludf.DUMMYFUNCTION("""COMPUTED_VALUE"""),42027.99861111111)</f>
        <v>42027.99861</v>
      </c>
      <c r="B1715" s="1">
        <f>IFERROR(__xludf.DUMMYFUNCTION("""COMPUTED_VALUE"""),1602.19431)</f>
        <v>1602.19431</v>
      </c>
    </row>
    <row r="1716">
      <c r="A1716" s="3">
        <f>IFERROR(__xludf.DUMMYFUNCTION("""COMPUTED_VALUE"""),42028.99861111111)</f>
        <v>42028.99861</v>
      </c>
      <c r="B1716" s="1">
        <f>IFERROR(__xludf.DUMMYFUNCTION("""COMPUTED_VALUE"""),1614.14209)</f>
        <v>1614.14209</v>
      </c>
    </row>
    <row r="1717">
      <c r="A1717" s="3">
        <f>IFERROR(__xludf.DUMMYFUNCTION("""COMPUTED_VALUE"""),42029.99861111111)</f>
        <v>42029.99861</v>
      </c>
      <c r="B1717" s="1">
        <f>IFERROR(__xludf.DUMMYFUNCTION("""COMPUTED_VALUE"""),1614.267247)</f>
        <v>1614.267247</v>
      </c>
    </row>
    <row r="1718">
      <c r="A1718" s="3">
        <f>IFERROR(__xludf.DUMMYFUNCTION("""COMPUTED_VALUE"""),42030.99861111111)</f>
        <v>42030.99861</v>
      </c>
      <c r="B1718" s="1">
        <f>IFERROR(__xludf.DUMMYFUNCTION("""COMPUTED_VALUE"""),1610.57326)</f>
        <v>1610.57326</v>
      </c>
    </row>
    <row r="1719">
      <c r="A1719" s="3">
        <f>IFERROR(__xludf.DUMMYFUNCTION("""COMPUTED_VALUE"""),42031.99861111111)</f>
        <v>42031.99861</v>
      </c>
      <c r="B1719" s="1">
        <f>IFERROR(__xludf.DUMMYFUNCTION("""COMPUTED_VALUE"""),1605.801)</f>
        <v>1605.801</v>
      </c>
    </row>
    <row r="1720">
      <c r="A1720" s="3">
        <f>IFERROR(__xludf.DUMMYFUNCTION("""COMPUTED_VALUE"""),42032.99861111111)</f>
        <v>42032.99861</v>
      </c>
      <c r="B1720" s="1">
        <f>IFERROR(__xludf.DUMMYFUNCTION("""COMPUTED_VALUE"""),1606.57045)</f>
        <v>1606.57045</v>
      </c>
    </row>
    <row r="1721">
      <c r="A1721" s="3">
        <f>IFERROR(__xludf.DUMMYFUNCTION("""COMPUTED_VALUE"""),42033.99861111111)</f>
        <v>42033.99861</v>
      </c>
      <c r="B1721" s="1">
        <f>IFERROR(__xludf.DUMMYFUNCTION("""COMPUTED_VALUE"""),1621.4043)</f>
        <v>1621.4043</v>
      </c>
    </row>
    <row r="1722">
      <c r="A1722" s="3">
        <f>IFERROR(__xludf.DUMMYFUNCTION("""COMPUTED_VALUE"""),42034.99861111111)</f>
        <v>42034.99861</v>
      </c>
      <c r="B1722" s="1">
        <f>IFERROR(__xludf.DUMMYFUNCTION("""COMPUTED_VALUE"""),1642.0427)</f>
        <v>1642.0427</v>
      </c>
    </row>
    <row r="1723">
      <c r="A1723" s="3">
        <f>IFERROR(__xludf.DUMMYFUNCTION("""COMPUTED_VALUE"""),42035.99861111111)</f>
        <v>42035.99861</v>
      </c>
      <c r="B1723" s="1">
        <f>IFERROR(__xludf.DUMMYFUNCTION("""COMPUTED_VALUE"""),1649.360125)</f>
        <v>1649.360125</v>
      </c>
    </row>
    <row r="1724">
      <c r="A1724" s="3">
        <f>IFERROR(__xludf.DUMMYFUNCTION("""COMPUTED_VALUE"""),42036.99861111111)</f>
        <v>42036.99861</v>
      </c>
      <c r="B1724" s="1">
        <f>IFERROR(__xludf.DUMMYFUNCTION("""COMPUTED_VALUE"""),1649.360125)</f>
        <v>1649.360125</v>
      </c>
    </row>
    <row r="1725">
      <c r="A1725" s="3">
        <f>IFERROR(__xludf.DUMMYFUNCTION("""COMPUTED_VALUE"""),42037.99861111111)</f>
        <v>42037.99861</v>
      </c>
      <c r="B1725" s="1">
        <f>IFERROR(__xludf.DUMMYFUNCTION("""COMPUTED_VALUE"""),1630.6992)</f>
        <v>1630.6992</v>
      </c>
    </row>
    <row r="1726">
      <c r="A1726" s="3">
        <f>IFERROR(__xludf.DUMMYFUNCTION("""COMPUTED_VALUE"""),42038.99861111111)</f>
        <v>42038.99861</v>
      </c>
      <c r="B1726" s="1">
        <f>IFERROR(__xludf.DUMMYFUNCTION("""COMPUTED_VALUE"""),1621.54625)</f>
        <v>1621.54625</v>
      </c>
    </row>
    <row r="1727">
      <c r="A1727" s="3">
        <f>IFERROR(__xludf.DUMMYFUNCTION("""COMPUTED_VALUE"""),42039.99861111111)</f>
        <v>42039.99861</v>
      </c>
      <c r="B1727" s="1">
        <f>IFERROR(__xludf.DUMMYFUNCTION("""COMPUTED_VALUE"""),1628.49875)</f>
        <v>1628.49875</v>
      </c>
    </row>
    <row r="1728">
      <c r="A1728" s="3">
        <f>IFERROR(__xludf.DUMMYFUNCTION("""COMPUTED_VALUE"""),42040.99861111111)</f>
        <v>42040.99861</v>
      </c>
      <c r="B1728" s="1">
        <f>IFERROR(__xludf.DUMMYFUNCTION("""COMPUTED_VALUE"""),1623.47126)</f>
        <v>1623.47126</v>
      </c>
    </row>
    <row r="1729">
      <c r="A1729" s="3">
        <f>IFERROR(__xludf.DUMMYFUNCTION("""COMPUTED_VALUE"""),42041.99861111111)</f>
        <v>42041.99861</v>
      </c>
      <c r="B1729" s="1">
        <f>IFERROR(__xludf.DUMMYFUNCTION("""COMPUTED_VALUE"""),1629.27801)</f>
        <v>1629.27801</v>
      </c>
    </row>
    <row r="1730">
      <c r="A1730" s="3">
        <f>IFERROR(__xludf.DUMMYFUNCTION("""COMPUTED_VALUE"""),42042.99861111111)</f>
        <v>42042.99861</v>
      </c>
      <c r="B1730" s="1">
        <f>IFERROR(__xludf.DUMMYFUNCTION("""COMPUTED_VALUE"""),1670.594839)</f>
        <v>1670.594839</v>
      </c>
    </row>
    <row r="1731">
      <c r="A1731" s="3">
        <f>IFERROR(__xludf.DUMMYFUNCTION("""COMPUTED_VALUE"""),42043.99861111111)</f>
        <v>42043.99861</v>
      </c>
      <c r="B1731" s="1">
        <f>IFERROR(__xludf.DUMMYFUNCTION("""COMPUTED_VALUE"""),1670.724372)</f>
        <v>1670.724372</v>
      </c>
    </row>
    <row r="1732">
      <c r="A1732" s="3">
        <f>IFERROR(__xludf.DUMMYFUNCTION("""COMPUTED_VALUE"""),42044.99861111111)</f>
        <v>42044.99861</v>
      </c>
      <c r="B1732" s="1">
        <f>IFERROR(__xludf.DUMMYFUNCTION("""COMPUTED_VALUE"""),1633.2784)</f>
        <v>1633.2784</v>
      </c>
    </row>
    <row r="1733">
      <c r="A1733" s="3">
        <f>IFERROR(__xludf.DUMMYFUNCTION("""COMPUTED_VALUE"""),42045.99861111111)</f>
        <v>42045.99861</v>
      </c>
      <c r="B1733" s="1">
        <f>IFERROR(__xludf.DUMMYFUNCTION("""COMPUTED_VALUE"""),1641.27392)</f>
        <v>1641.27392</v>
      </c>
    </row>
    <row r="1734">
      <c r="A1734" s="3">
        <f>IFERROR(__xludf.DUMMYFUNCTION("""COMPUTED_VALUE"""),42046.99861111111)</f>
        <v>42046.99861</v>
      </c>
      <c r="B1734" s="1">
        <f>IFERROR(__xludf.DUMMYFUNCTION("""COMPUTED_VALUE"""),1651.20475)</f>
        <v>1651.20475</v>
      </c>
    </row>
    <row r="1735">
      <c r="A1735" s="3">
        <f>IFERROR(__xludf.DUMMYFUNCTION("""COMPUTED_VALUE"""),42047.99861111111)</f>
        <v>42047.99861</v>
      </c>
      <c r="B1735" s="1">
        <f>IFERROR(__xludf.DUMMYFUNCTION("""COMPUTED_VALUE"""),1646.6915)</f>
        <v>1646.6915</v>
      </c>
    </row>
    <row r="1736">
      <c r="A1736" s="3">
        <f>IFERROR(__xludf.DUMMYFUNCTION("""COMPUTED_VALUE"""),42048.99861111111)</f>
        <v>42048.99861</v>
      </c>
      <c r="B1736" s="1">
        <f>IFERROR(__xludf.DUMMYFUNCTION("""COMPUTED_VALUE"""),1634.57238)</f>
        <v>1634.57238</v>
      </c>
    </row>
    <row r="1737">
      <c r="A1737" s="3">
        <f>IFERROR(__xludf.DUMMYFUNCTION("""COMPUTED_VALUE"""),42049.99861111111)</f>
        <v>42049.99861</v>
      </c>
      <c r="B1737" s="1">
        <f>IFERROR(__xludf.DUMMYFUNCTION("""COMPUTED_VALUE"""),1650.959364)</f>
        <v>1650.959364</v>
      </c>
    </row>
    <row r="1738">
      <c r="A1738" s="3">
        <f>IFERROR(__xludf.DUMMYFUNCTION("""COMPUTED_VALUE"""),42050.99861111111)</f>
        <v>42050.99861</v>
      </c>
      <c r="B1738" s="1">
        <f>IFERROR(__xludf.DUMMYFUNCTION("""COMPUTED_VALUE"""),1648.720739)</f>
        <v>1648.720739</v>
      </c>
    </row>
    <row r="1739">
      <c r="A1739" s="3">
        <f>IFERROR(__xludf.DUMMYFUNCTION("""COMPUTED_VALUE"""),42051.99861111111)</f>
        <v>42051.99861</v>
      </c>
      <c r="B1739" s="1">
        <f>IFERROR(__xludf.DUMMYFUNCTION("""COMPUTED_VALUE"""),1625.69505)</f>
        <v>1625.69505</v>
      </c>
    </row>
    <row r="1740">
      <c r="A1740" s="3">
        <f>IFERROR(__xludf.DUMMYFUNCTION("""COMPUTED_VALUE"""),42052.99861111111)</f>
        <v>42052.99861</v>
      </c>
      <c r="B1740" s="1">
        <f>IFERROR(__xludf.DUMMYFUNCTION("""COMPUTED_VALUE"""),1646.05536)</f>
        <v>1646.05536</v>
      </c>
    </row>
    <row r="1741">
      <c r="A1741" s="3">
        <f>IFERROR(__xludf.DUMMYFUNCTION("""COMPUTED_VALUE"""),42053.99861111111)</f>
        <v>42053.99861</v>
      </c>
      <c r="B1741" s="1">
        <f>IFERROR(__xludf.DUMMYFUNCTION("""COMPUTED_VALUE"""),1650.9528)</f>
        <v>1650.9528</v>
      </c>
    </row>
    <row r="1742">
      <c r="A1742" s="3">
        <f>IFERROR(__xludf.DUMMYFUNCTION("""COMPUTED_VALUE"""),42054.99861111111)</f>
        <v>42054.99861</v>
      </c>
      <c r="B1742" s="1">
        <f>IFERROR(__xludf.DUMMYFUNCTION("""COMPUTED_VALUE"""),1660.74765)</f>
        <v>1660.74765</v>
      </c>
    </row>
    <row r="1743">
      <c r="A1743" s="3">
        <f>IFERROR(__xludf.DUMMYFUNCTION("""COMPUTED_VALUE"""),42055.99861111111)</f>
        <v>42055.99861</v>
      </c>
      <c r="B1743" s="1">
        <f>IFERROR(__xludf.DUMMYFUNCTION("""COMPUTED_VALUE"""),1651.08318)</f>
        <v>1651.08318</v>
      </c>
    </row>
    <row r="1744">
      <c r="A1744" s="3">
        <f>IFERROR(__xludf.DUMMYFUNCTION("""COMPUTED_VALUE"""),42056.99861111111)</f>
        <v>42056.99861</v>
      </c>
      <c r="B1744" s="1">
        <f>IFERROR(__xludf.DUMMYFUNCTION("""COMPUTED_VALUE"""),1658.429488)</f>
        <v>1658.429488</v>
      </c>
    </row>
    <row r="1745">
      <c r="A1745" s="3">
        <f>IFERROR(__xludf.DUMMYFUNCTION("""COMPUTED_VALUE"""),42057.99861111111)</f>
        <v>42057.99861</v>
      </c>
      <c r="B1745" s="1">
        <f>IFERROR(__xludf.DUMMYFUNCTION("""COMPUTED_VALUE"""),1658.815588)</f>
        <v>1658.815588</v>
      </c>
    </row>
    <row r="1746">
      <c r="A1746" s="3">
        <f>IFERROR(__xludf.DUMMYFUNCTION("""COMPUTED_VALUE"""),42058.99861111111)</f>
        <v>42058.99861</v>
      </c>
      <c r="B1746" s="1">
        <f>IFERROR(__xludf.DUMMYFUNCTION("""COMPUTED_VALUE"""),1657.7826)</f>
        <v>1657.7826</v>
      </c>
    </row>
    <row r="1747">
      <c r="A1747" s="3">
        <f>IFERROR(__xludf.DUMMYFUNCTION("""COMPUTED_VALUE"""),42059.99861111111)</f>
        <v>42059.99861</v>
      </c>
      <c r="B1747" s="1">
        <f>IFERROR(__xludf.DUMMYFUNCTION("""COMPUTED_VALUE"""),1649.66127)</f>
        <v>1649.66127</v>
      </c>
    </row>
    <row r="1748">
      <c r="A1748" s="3">
        <f>IFERROR(__xludf.DUMMYFUNCTION("""COMPUTED_VALUE"""),42060.99861111111)</f>
        <v>42060.99861</v>
      </c>
      <c r="B1748" s="1">
        <f>IFERROR(__xludf.DUMMYFUNCTION("""COMPUTED_VALUE"""),1657.2666)</f>
        <v>1657.2666</v>
      </c>
    </row>
    <row r="1749">
      <c r="A1749" s="3">
        <f>IFERROR(__xludf.DUMMYFUNCTION("""COMPUTED_VALUE"""),42061.99861111111)</f>
        <v>42061.99861</v>
      </c>
      <c r="B1749" s="1">
        <f>IFERROR(__xludf.DUMMYFUNCTION("""COMPUTED_VALUE"""),1657.78158)</f>
        <v>1657.78158</v>
      </c>
    </row>
    <row r="1750">
      <c r="A1750" s="3">
        <f>IFERROR(__xludf.DUMMYFUNCTION("""COMPUTED_VALUE"""),42062.99861111111)</f>
        <v>42062.99861</v>
      </c>
      <c r="B1750" s="1">
        <f>IFERROR(__xludf.DUMMYFUNCTION("""COMPUTED_VALUE"""),1673.12376)</f>
        <v>1673.12376</v>
      </c>
    </row>
    <row r="1751">
      <c r="A1751" s="3">
        <f>IFERROR(__xludf.DUMMYFUNCTION("""COMPUTED_VALUE"""),42063.99861111111)</f>
        <v>42063.99861</v>
      </c>
      <c r="B1751" s="1">
        <f>IFERROR(__xludf.DUMMYFUNCTION("""COMPUTED_VALUE"""),1676.462788)</f>
        <v>1676.462788</v>
      </c>
    </row>
    <row r="1752">
      <c r="A1752" s="3">
        <f>IFERROR(__xludf.DUMMYFUNCTION("""COMPUTED_VALUE"""),42064.99861111111)</f>
        <v>42064.99861</v>
      </c>
      <c r="B1752" s="1">
        <f>IFERROR(__xludf.DUMMYFUNCTION("""COMPUTED_VALUE"""),1676.982944)</f>
        <v>1676.982944</v>
      </c>
    </row>
    <row r="1753">
      <c r="A1753" s="3">
        <f>IFERROR(__xludf.DUMMYFUNCTION("""COMPUTED_VALUE"""),42065.99861111111)</f>
        <v>42065.99861</v>
      </c>
      <c r="B1753" s="1">
        <f>IFERROR(__xludf.DUMMYFUNCTION("""COMPUTED_VALUE"""),1675.5753)</f>
        <v>1675.5753</v>
      </c>
    </row>
    <row r="1754">
      <c r="A1754" s="3">
        <f>IFERROR(__xludf.DUMMYFUNCTION("""COMPUTED_VALUE"""),42066.99861111111)</f>
        <v>42066.99861</v>
      </c>
      <c r="B1754" s="1">
        <f>IFERROR(__xludf.DUMMYFUNCTION("""COMPUTED_VALUE"""),1672.3518)</f>
        <v>1672.3518</v>
      </c>
    </row>
    <row r="1755">
      <c r="A1755" s="3">
        <f>IFERROR(__xludf.DUMMYFUNCTION("""COMPUTED_VALUE"""),42067.99861111111)</f>
        <v>42067.99861</v>
      </c>
      <c r="B1755" s="1">
        <f>IFERROR(__xludf.DUMMYFUNCTION("""COMPUTED_VALUE"""),1678.1541)</f>
        <v>1678.1541</v>
      </c>
    </row>
    <row r="1756">
      <c r="A1756" s="3">
        <f>IFERROR(__xludf.DUMMYFUNCTION("""COMPUTED_VALUE"""),42068.99861111111)</f>
        <v>42068.99861</v>
      </c>
      <c r="B1756" s="1">
        <f>IFERROR(__xludf.DUMMYFUNCTION("""COMPUTED_VALUE"""),1662.939)</f>
        <v>1662.939</v>
      </c>
    </row>
    <row r="1757">
      <c r="A1757" s="3">
        <f>IFERROR(__xludf.DUMMYFUNCTION("""COMPUTED_VALUE"""),42069.99861111111)</f>
        <v>42069.99861</v>
      </c>
      <c r="B1757" s="1">
        <f>IFERROR(__xludf.DUMMYFUNCTION("""COMPUTED_VALUE"""),1679.6973)</f>
        <v>1679.6973</v>
      </c>
    </row>
    <row r="1758">
      <c r="A1758" s="3">
        <f>IFERROR(__xludf.DUMMYFUNCTION("""COMPUTED_VALUE"""),42070.99861111111)</f>
        <v>42070.99861</v>
      </c>
      <c r="B1758" s="1">
        <f>IFERROR(__xludf.DUMMYFUNCTION("""COMPUTED_VALUE"""),1705.158314)</f>
        <v>1705.158314</v>
      </c>
    </row>
    <row r="1759">
      <c r="A1759" s="3">
        <f>IFERROR(__xludf.DUMMYFUNCTION("""COMPUTED_VALUE"""),42071.99861111111)</f>
        <v>42071.99861</v>
      </c>
      <c r="B1759" s="1">
        <f>IFERROR(__xludf.DUMMYFUNCTION("""COMPUTED_VALUE"""),1705.026039)</f>
        <v>1705.026039</v>
      </c>
    </row>
    <row r="1760">
      <c r="A1760" s="3">
        <f>IFERROR(__xludf.DUMMYFUNCTION("""COMPUTED_VALUE"""),42072.99861111111)</f>
        <v>42072.99861</v>
      </c>
      <c r="B1760" s="1">
        <f>IFERROR(__xludf.DUMMYFUNCTION("""COMPUTED_VALUE"""),1684.58678)</f>
        <v>1684.58678</v>
      </c>
    </row>
    <row r="1761">
      <c r="A1761" s="3">
        <f>IFERROR(__xludf.DUMMYFUNCTION("""COMPUTED_VALUE"""),42073.99861111111)</f>
        <v>42073.99861</v>
      </c>
      <c r="B1761" s="1">
        <f>IFERROR(__xludf.DUMMYFUNCTION("""COMPUTED_VALUE"""),1684.0695)</f>
        <v>1684.0695</v>
      </c>
    </row>
    <row r="1762">
      <c r="A1762" s="3">
        <f>IFERROR(__xludf.DUMMYFUNCTION("""COMPUTED_VALUE"""),42074.99861111111)</f>
        <v>42074.99861</v>
      </c>
      <c r="B1762" s="1">
        <f>IFERROR(__xludf.DUMMYFUNCTION("""COMPUTED_VALUE"""),1696.28125)</f>
        <v>1696.28125</v>
      </c>
    </row>
    <row r="1763">
      <c r="A1763" s="3">
        <f>IFERROR(__xludf.DUMMYFUNCTION("""COMPUTED_VALUE"""),42075.99861111111)</f>
        <v>42075.99861</v>
      </c>
      <c r="B1763" s="1">
        <f>IFERROR(__xludf.DUMMYFUNCTION("""COMPUTED_VALUE"""),1695.2424)</f>
        <v>1695.2424</v>
      </c>
    </row>
    <row r="1764">
      <c r="A1764" s="3">
        <f>IFERROR(__xludf.DUMMYFUNCTION("""COMPUTED_VALUE"""),42076.99861111111)</f>
        <v>42076.99861</v>
      </c>
      <c r="B1764" s="1">
        <f>IFERROR(__xludf.DUMMYFUNCTION("""COMPUTED_VALUE"""),1697.7006)</f>
        <v>1697.7006</v>
      </c>
    </row>
    <row r="1765">
      <c r="A1765" s="3">
        <f>IFERROR(__xludf.DUMMYFUNCTION("""COMPUTED_VALUE"""),42077.99861111111)</f>
        <v>42077.99861</v>
      </c>
      <c r="B1765" s="1">
        <f>IFERROR(__xludf.DUMMYFUNCTION("""COMPUTED_VALUE"""),1709.959839)</f>
        <v>1709.959839</v>
      </c>
    </row>
    <row r="1766">
      <c r="A1766" s="3">
        <f>IFERROR(__xludf.DUMMYFUNCTION("""COMPUTED_VALUE"""),42078.99861111111)</f>
        <v>42078.99861</v>
      </c>
      <c r="B1766" s="1">
        <f>IFERROR(__xludf.DUMMYFUNCTION("""COMPUTED_VALUE"""),1709.694235)</f>
        <v>1709.694235</v>
      </c>
    </row>
    <row r="1767">
      <c r="A1767" s="3">
        <f>IFERROR(__xludf.DUMMYFUNCTION("""COMPUTED_VALUE"""),42079.99861111111)</f>
        <v>42079.99861</v>
      </c>
      <c r="B1767" s="1">
        <f>IFERROR(__xludf.DUMMYFUNCTION("""COMPUTED_VALUE"""),1699.2521)</f>
        <v>1699.2521</v>
      </c>
    </row>
    <row r="1768">
      <c r="A1768" s="3">
        <f>IFERROR(__xludf.DUMMYFUNCTION("""COMPUTED_VALUE"""),42080.99861111111)</f>
        <v>42080.99861</v>
      </c>
      <c r="B1768" s="1">
        <f>IFERROR(__xludf.DUMMYFUNCTION("""COMPUTED_VALUE"""),1689.9872)</f>
        <v>1689.9872</v>
      </c>
    </row>
    <row r="1769">
      <c r="A1769" s="3">
        <f>IFERROR(__xludf.DUMMYFUNCTION("""COMPUTED_VALUE"""),42081.99861111111)</f>
        <v>42081.99861</v>
      </c>
      <c r="B1769" s="1">
        <f>IFERROR(__xludf.DUMMYFUNCTION("""COMPUTED_VALUE"""),1660.1032)</f>
        <v>1660.1032</v>
      </c>
    </row>
    <row r="1770">
      <c r="A1770" s="3">
        <f>IFERROR(__xludf.DUMMYFUNCTION("""COMPUTED_VALUE"""),42082.99861111111)</f>
        <v>42082.99861</v>
      </c>
      <c r="B1770" s="1">
        <f>IFERROR(__xludf.DUMMYFUNCTION("""COMPUTED_VALUE"""),1682.91504)</f>
        <v>1682.91504</v>
      </c>
    </row>
    <row r="1771">
      <c r="A1771" s="3">
        <f>IFERROR(__xludf.DUMMYFUNCTION("""COMPUTED_VALUE"""),42083.99861111111)</f>
        <v>42083.99861</v>
      </c>
      <c r="B1771" s="1">
        <f>IFERROR(__xludf.DUMMYFUNCTION("""COMPUTED_VALUE"""),1678.662)</f>
        <v>1678.662</v>
      </c>
    </row>
    <row r="1772">
      <c r="A1772" s="3">
        <f>IFERROR(__xludf.DUMMYFUNCTION("""COMPUTED_VALUE"""),42084.99861111111)</f>
        <v>42084.99861</v>
      </c>
      <c r="B1772" s="1">
        <f>IFERROR(__xludf.DUMMYFUNCTION("""COMPUTED_VALUE"""),1680.311664)</f>
        <v>1680.311664</v>
      </c>
    </row>
    <row r="1773">
      <c r="A1773" s="3">
        <f>IFERROR(__xludf.DUMMYFUNCTION("""COMPUTED_VALUE"""),42085.99861111111)</f>
        <v>42085.99861</v>
      </c>
      <c r="B1773" s="1">
        <f>IFERROR(__xludf.DUMMYFUNCTION("""COMPUTED_VALUE"""),1680.57242)</f>
        <v>1680.57242</v>
      </c>
    </row>
    <row r="1774">
      <c r="A1774" s="3">
        <f>IFERROR(__xludf.DUMMYFUNCTION("""COMPUTED_VALUE"""),42086.99861111111)</f>
        <v>42086.99861</v>
      </c>
      <c r="B1774" s="1">
        <f>IFERROR(__xludf.DUMMYFUNCTION("""COMPUTED_VALUE"""),1668.74099)</f>
        <v>1668.74099</v>
      </c>
    </row>
    <row r="1775">
      <c r="A1775" s="3">
        <f>IFERROR(__xludf.DUMMYFUNCTION("""COMPUTED_VALUE"""),42087.99861111111)</f>
        <v>42087.99861</v>
      </c>
      <c r="B1775" s="1">
        <f>IFERROR(__xludf.DUMMYFUNCTION("""COMPUTED_VALUE"""),1663.9707)</f>
        <v>1663.9707</v>
      </c>
    </row>
    <row r="1776">
      <c r="A1776" s="3">
        <f>IFERROR(__xludf.DUMMYFUNCTION("""COMPUTED_VALUE"""),42088.99861111111)</f>
        <v>42088.99861</v>
      </c>
      <c r="B1776" s="1">
        <f>IFERROR(__xludf.DUMMYFUNCTION("""COMPUTED_VALUE"""),1667.0649)</f>
        <v>1667.0649</v>
      </c>
    </row>
    <row r="1777">
      <c r="A1777" s="3">
        <f>IFERROR(__xludf.DUMMYFUNCTION("""COMPUTED_VALUE"""),42089.99861111111)</f>
        <v>42089.99861</v>
      </c>
      <c r="B1777" s="1">
        <f>IFERROR(__xludf.DUMMYFUNCTION("""COMPUTED_VALUE"""),1677.6395)</f>
        <v>1677.6395</v>
      </c>
    </row>
    <row r="1778">
      <c r="A1778" s="3">
        <f>IFERROR(__xludf.DUMMYFUNCTION("""COMPUTED_VALUE"""),42090.99861111111)</f>
        <v>42090.99861</v>
      </c>
      <c r="B1778" s="1">
        <f>IFERROR(__xludf.DUMMYFUNCTION("""COMPUTED_VALUE"""),1680.9936)</f>
        <v>1680.9936</v>
      </c>
    </row>
    <row r="1779">
      <c r="A1779" s="3">
        <f>IFERROR(__xludf.DUMMYFUNCTION("""COMPUTED_VALUE"""),42091.99861111111)</f>
        <v>42091.99861</v>
      </c>
      <c r="B1779" s="1">
        <f>IFERROR(__xludf.DUMMYFUNCTION("""COMPUTED_VALUE"""),1694.611776)</f>
        <v>1694.611776</v>
      </c>
    </row>
    <row r="1780">
      <c r="A1780" s="3">
        <f>IFERROR(__xludf.DUMMYFUNCTION("""COMPUTED_VALUE"""),42092.99861111111)</f>
        <v>42092.99861</v>
      </c>
      <c r="B1780" s="1">
        <f>IFERROR(__xludf.DUMMYFUNCTION("""COMPUTED_VALUE"""),1694.611776)</f>
        <v>1694.611776</v>
      </c>
    </row>
    <row r="1781">
      <c r="A1781" s="3">
        <f>IFERROR(__xludf.DUMMYFUNCTION("""COMPUTED_VALUE"""),42093.99861111111)</f>
        <v>42093.99861</v>
      </c>
      <c r="B1781" s="1">
        <f>IFERROR(__xludf.DUMMYFUNCTION("""COMPUTED_VALUE"""),1687.43778)</f>
        <v>1687.43778</v>
      </c>
    </row>
    <row r="1782">
      <c r="A1782" s="3">
        <f>IFERROR(__xludf.DUMMYFUNCTION("""COMPUTED_VALUE"""),42094.99861111111)</f>
        <v>42094.99861</v>
      </c>
      <c r="B1782" s="1">
        <f>IFERROR(__xludf.DUMMYFUNCTION("""COMPUTED_VALUE"""),1684.3482)</f>
        <v>1684.3482</v>
      </c>
    </row>
    <row r="1783">
      <c r="A1783" s="3">
        <f>IFERROR(__xludf.DUMMYFUNCTION("""COMPUTED_VALUE"""),42095.99861111111)</f>
        <v>42095.99861</v>
      </c>
      <c r="B1783" s="1">
        <f>IFERROR(__xludf.DUMMYFUNCTION("""COMPUTED_VALUE"""),1671.32284)</f>
        <v>1671.32284</v>
      </c>
    </row>
    <row r="1784">
      <c r="A1784" s="3">
        <f>IFERROR(__xludf.DUMMYFUNCTION("""COMPUTED_VALUE"""),42096.99861111111)</f>
        <v>42096.99861</v>
      </c>
      <c r="B1784" s="1">
        <f>IFERROR(__xludf.DUMMYFUNCTION("""COMPUTED_VALUE"""),1674.8053)</f>
        <v>1674.8053</v>
      </c>
    </row>
    <row r="1785">
      <c r="A1785" s="3">
        <f>IFERROR(__xludf.DUMMYFUNCTION("""COMPUTED_VALUE"""),42097.99861111111)</f>
        <v>42097.99861</v>
      </c>
      <c r="B1785" s="1">
        <f>IFERROR(__xludf.DUMMYFUNCTION("""COMPUTED_VALUE"""),1672.09605)</f>
        <v>1672.09605</v>
      </c>
    </row>
    <row r="1786">
      <c r="A1786" s="3">
        <f>IFERROR(__xludf.DUMMYFUNCTION("""COMPUTED_VALUE"""),42098.99861111111)</f>
        <v>42098.99861</v>
      </c>
      <c r="B1786" s="1">
        <f>IFERROR(__xludf.DUMMYFUNCTION("""COMPUTED_VALUE"""),1677.112983)</f>
        <v>1677.112983</v>
      </c>
    </row>
    <row r="1787">
      <c r="A1787" s="3">
        <f>IFERROR(__xludf.DUMMYFUNCTION("""COMPUTED_VALUE"""),42099.99861111111)</f>
        <v>42099.99861</v>
      </c>
      <c r="B1787" s="1">
        <f>IFERROR(__xludf.DUMMYFUNCTION("""COMPUTED_VALUE"""),1672.891236)</f>
        <v>1672.891236</v>
      </c>
    </row>
    <row r="1788">
      <c r="A1788" s="3">
        <f>IFERROR(__xludf.DUMMYFUNCTION("""COMPUTED_VALUE"""),42100.99861111111)</f>
        <v>42100.99861</v>
      </c>
      <c r="B1788" s="1">
        <f>IFERROR(__xludf.DUMMYFUNCTION("""COMPUTED_VALUE"""),1669.77555)</f>
        <v>1669.77555</v>
      </c>
    </row>
    <row r="1789">
      <c r="A1789" s="3">
        <f>IFERROR(__xludf.DUMMYFUNCTION("""COMPUTED_VALUE"""),42101.99861111111)</f>
        <v>42101.99861</v>
      </c>
      <c r="B1789" s="1">
        <f>IFERROR(__xludf.DUMMYFUNCTION("""COMPUTED_VALUE"""),1676.0951)</f>
        <v>1676.0951</v>
      </c>
    </row>
    <row r="1790">
      <c r="A1790" s="3">
        <f>IFERROR(__xludf.DUMMYFUNCTION("""COMPUTED_VALUE"""),42102.99861111111)</f>
        <v>42102.99861</v>
      </c>
      <c r="B1790" s="1">
        <f>IFERROR(__xludf.DUMMYFUNCTION("""COMPUTED_VALUE"""),1667.45425)</f>
        <v>1667.45425</v>
      </c>
    </row>
    <row r="1791">
      <c r="A1791" s="3">
        <f>IFERROR(__xludf.DUMMYFUNCTION("""COMPUTED_VALUE"""),42103.99861111111)</f>
        <v>42103.99861</v>
      </c>
      <c r="B1791" s="1">
        <f>IFERROR(__xludf.DUMMYFUNCTION("""COMPUTED_VALUE"""),1668.8737)</f>
        <v>1668.8737</v>
      </c>
    </row>
    <row r="1792">
      <c r="A1792" s="3">
        <f>IFERROR(__xludf.DUMMYFUNCTION("""COMPUTED_VALUE"""),42104.99861111111)</f>
        <v>42104.99861</v>
      </c>
      <c r="B1792" s="1">
        <f>IFERROR(__xludf.DUMMYFUNCTION("""COMPUTED_VALUE"""),1663.0678)</f>
        <v>1663.0678</v>
      </c>
    </row>
    <row r="1793">
      <c r="A1793" s="3">
        <f>IFERROR(__xludf.DUMMYFUNCTION("""COMPUTED_VALUE"""),42105.99861111111)</f>
        <v>42105.99861</v>
      </c>
      <c r="B1793" s="1">
        <f>IFERROR(__xludf.DUMMYFUNCTION("""COMPUTED_VALUE"""),1669.081422)</f>
        <v>1669.081422</v>
      </c>
    </row>
    <row r="1794">
      <c r="A1794" s="3">
        <f>IFERROR(__xludf.DUMMYFUNCTION("""COMPUTED_VALUE"""),42106.99861111111)</f>
        <v>42106.99861</v>
      </c>
      <c r="B1794" s="1">
        <f>IFERROR(__xludf.DUMMYFUNCTION("""COMPUTED_VALUE"""),1669.081422)</f>
        <v>1669.081422</v>
      </c>
    </row>
    <row r="1795">
      <c r="A1795" s="3">
        <f>IFERROR(__xludf.DUMMYFUNCTION("""COMPUTED_VALUE"""),42107.99861111111)</f>
        <v>42107.99861</v>
      </c>
      <c r="B1795" s="1">
        <f>IFERROR(__xludf.DUMMYFUNCTION("""COMPUTED_VALUE"""),1683.0659)</f>
        <v>1683.0659</v>
      </c>
    </row>
    <row r="1796">
      <c r="A1796" s="3">
        <f>IFERROR(__xludf.DUMMYFUNCTION("""COMPUTED_VALUE"""),42108.99861111111)</f>
        <v>42108.99861</v>
      </c>
      <c r="B1796" s="1">
        <f>IFERROR(__xludf.DUMMYFUNCTION("""COMPUTED_VALUE"""),1673.775)</f>
        <v>1673.775</v>
      </c>
    </row>
    <row r="1797">
      <c r="A1797" s="3">
        <f>IFERROR(__xludf.DUMMYFUNCTION("""COMPUTED_VALUE"""),42109.99861111111)</f>
        <v>42109.99861</v>
      </c>
      <c r="B1797" s="1">
        <f>IFERROR(__xludf.DUMMYFUNCTION("""COMPUTED_VALUE"""),1663.58403)</f>
        <v>1663.58403</v>
      </c>
    </row>
    <row r="1798">
      <c r="A1798" s="3">
        <f>IFERROR(__xludf.DUMMYFUNCTION("""COMPUTED_VALUE"""),42110.99861111111)</f>
        <v>42110.99861</v>
      </c>
      <c r="B1798" s="1">
        <f>IFERROR(__xludf.DUMMYFUNCTION("""COMPUTED_VALUE"""),1653.6518)</f>
        <v>1653.6518</v>
      </c>
    </row>
    <row r="1799">
      <c r="A1799" s="3">
        <f>IFERROR(__xludf.DUMMYFUNCTION("""COMPUTED_VALUE"""),42111.99861111111)</f>
        <v>42111.99861</v>
      </c>
      <c r="B1799" s="1">
        <f>IFERROR(__xludf.DUMMYFUNCTION("""COMPUTED_VALUE"""),1650.944)</f>
        <v>1650.944</v>
      </c>
    </row>
    <row r="1800">
      <c r="A1800" s="3">
        <f>IFERROR(__xludf.DUMMYFUNCTION("""COMPUTED_VALUE"""),42112.99861111111)</f>
        <v>42112.99861</v>
      </c>
      <c r="B1800" s="1">
        <f>IFERROR(__xludf.DUMMYFUNCTION("""COMPUTED_VALUE"""),1655.71239)</f>
        <v>1655.71239</v>
      </c>
    </row>
    <row r="1801">
      <c r="A1801" s="3">
        <f>IFERROR(__xludf.DUMMYFUNCTION("""COMPUTED_VALUE"""),42113.99861111111)</f>
        <v>42113.99861</v>
      </c>
      <c r="B1801" s="1">
        <f>IFERROR(__xludf.DUMMYFUNCTION("""COMPUTED_VALUE"""),1662.37011)</f>
        <v>1662.37011</v>
      </c>
    </row>
    <row r="1802">
      <c r="A1802" s="3">
        <f>IFERROR(__xludf.DUMMYFUNCTION("""COMPUTED_VALUE"""),42114.99861111111)</f>
        <v>42114.99861</v>
      </c>
      <c r="B1802" s="1">
        <f>IFERROR(__xludf.DUMMYFUNCTION("""COMPUTED_VALUE"""),1673.3894)</f>
        <v>1673.3894</v>
      </c>
    </row>
    <row r="1803">
      <c r="A1803" s="3">
        <f>IFERROR(__xludf.DUMMYFUNCTION("""COMPUTED_VALUE"""),42115.99861111111)</f>
        <v>42115.99861</v>
      </c>
      <c r="B1803" s="1">
        <f>IFERROR(__xludf.DUMMYFUNCTION("""COMPUTED_VALUE"""),1667.5835)</f>
        <v>1667.5835</v>
      </c>
    </row>
    <row r="1804">
      <c r="A1804" s="3">
        <f>IFERROR(__xludf.DUMMYFUNCTION("""COMPUTED_VALUE"""),42116.99861111111)</f>
        <v>42116.99861</v>
      </c>
      <c r="B1804" s="1">
        <f>IFERROR(__xludf.DUMMYFUNCTION("""COMPUTED_VALUE"""),1664.358)</f>
        <v>1664.358</v>
      </c>
    </row>
    <row r="1805">
      <c r="A1805" s="3">
        <f>IFERROR(__xludf.DUMMYFUNCTION("""COMPUTED_VALUE"""),42117.99861111111)</f>
        <v>42117.99861</v>
      </c>
      <c r="B1805" s="1">
        <f>IFERROR(__xludf.DUMMYFUNCTION("""COMPUTED_VALUE"""),1668.2286)</f>
        <v>1668.2286</v>
      </c>
    </row>
    <row r="1806">
      <c r="A1806" s="3">
        <f>IFERROR(__xludf.DUMMYFUNCTION("""COMPUTED_VALUE"""),42118.99861111111)</f>
        <v>42118.99861</v>
      </c>
      <c r="B1806" s="1">
        <f>IFERROR(__xludf.DUMMYFUNCTION("""COMPUTED_VALUE"""),1669.77684)</f>
        <v>1669.77684</v>
      </c>
    </row>
    <row r="1807">
      <c r="A1807" s="3">
        <f>IFERROR(__xludf.DUMMYFUNCTION("""COMPUTED_VALUE"""),42119.99861111111)</f>
        <v>42119.99861</v>
      </c>
      <c r="B1807" s="1">
        <f>IFERROR(__xludf.DUMMYFUNCTION("""COMPUTED_VALUE"""),1673.410043)</f>
        <v>1673.410043</v>
      </c>
    </row>
    <row r="1808">
      <c r="A1808" s="3">
        <f>IFERROR(__xludf.DUMMYFUNCTION("""COMPUTED_VALUE"""),42120.99861111111)</f>
        <v>42120.99861</v>
      </c>
      <c r="B1808" s="1">
        <f>IFERROR(__xludf.DUMMYFUNCTION("""COMPUTED_VALUE"""),1673.410043)</f>
        <v>1673.410043</v>
      </c>
    </row>
    <row r="1809">
      <c r="A1809" s="3">
        <f>IFERROR(__xludf.DUMMYFUNCTION("""COMPUTED_VALUE"""),42121.99861111111)</f>
        <v>42121.99861</v>
      </c>
      <c r="B1809" s="1">
        <f>IFERROR(__xludf.DUMMYFUNCTION("""COMPUTED_VALUE"""),1667.84154)</f>
        <v>1667.84154</v>
      </c>
    </row>
    <row r="1810">
      <c r="A1810" s="3">
        <f>IFERROR(__xludf.DUMMYFUNCTION("""COMPUTED_VALUE"""),42122.99861111111)</f>
        <v>42122.99861</v>
      </c>
      <c r="B1810" s="1">
        <f>IFERROR(__xludf.DUMMYFUNCTION("""COMPUTED_VALUE"""),1668.8737)</f>
        <v>1668.8737</v>
      </c>
    </row>
    <row r="1811">
      <c r="A1811" s="3">
        <f>IFERROR(__xludf.DUMMYFUNCTION("""COMPUTED_VALUE"""),42123.99861111111)</f>
        <v>42123.99861</v>
      </c>
      <c r="B1811" s="1">
        <f>IFERROR(__xludf.DUMMYFUNCTION("""COMPUTED_VALUE"""),1666.16415)</f>
        <v>1666.16415</v>
      </c>
    </row>
    <row r="1812">
      <c r="A1812" s="3">
        <f>IFERROR(__xludf.DUMMYFUNCTION("""COMPUTED_VALUE"""),42124.99861111111)</f>
        <v>42124.99861</v>
      </c>
      <c r="B1812" s="1">
        <f>IFERROR(__xludf.DUMMYFUNCTION("""COMPUTED_VALUE"""),1671.58257)</f>
        <v>1671.58257</v>
      </c>
    </row>
    <row r="1813">
      <c r="A1813" s="3">
        <f>IFERROR(__xludf.DUMMYFUNCTION("""COMPUTED_VALUE"""),42125.99861111111)</f>
        <v>42125.99861</v>
      </c>
      <c r="B1813" s="1">
        <f>IFERROR(__xludf.DUMMYFUNCTION("""COMPUTED_VALUE"""),1673.5155)</f>
        <v>1673.5155</v>
      </c>
    </row>
    <row r="1814">
      <c r="A1814" s="3">
        <f>IFERROR(__xludf.DUMMYFUNCTION("""COMPUTED_VALUE"""),42126.99861111111)</f>
        <v>42126.99861</v>
      </c>
      <c r="B1814" s="1">
        <f>IFERROR(__xludf.DUMMYFUNCTION("""COMPUTED_VALUE"""),1686.012372)</f>
        <v>1686.012372</v>
      </c>
    </row>
    <row r="1815">
      <c r="A1815" s="3">
        <f>IFERROR(__xludf.DUMMYFUNCTION("""COMPUTED_VALUE"""),42127.99861111111)</f>
        <v>42127.99861</v>
      </c>
      <c r="B1815" s="1">
        <f>IFERROR(__xludf.DUMMYFUNCTION("""COMPUTED_VALUE"""),1682.006578)</f>
        <v>1682.006578</v>
      </c>
    </row>
    <row r="1816">
      <c r="A1816" s="3">
        <f>IFERROR(__xludf.DUMMYFUNCTION("""COMPUTED_VALUE"""),42128.99861111111)</f>
        <v>42128.99861</v>
      </c>
      <c r="B1816" s="1">
        <f>IFERROR(__xludf.DUMMYFUNCTION("""COMPUTED_VALUE"""),1658.6828)</f>
        <v>1658.6828</v>
      </c>
    </row>
    <row r="1817">
      <c r="A1817" s="3">
        <f>IFERROR(__xludf.DUMMYFUNCTION("""COMPUTED_VALUE"""),42129.99861111111)</f>
        <v>42129.99861</v>
      </c>
      <c r="B1817" s="1">
        <f>IFERROR(__xludf.DUMMYFUNCTION("""COMPUTED_VALUE"""),1677.645)</f>
        <v>1677.645</v>
      </c>
    </row>
    <row r="1818">
      <c r="A1818" s="3">
        <f>IFERROR(__xludf.DUMMYFUNCTION("""COMPUTED_VALUE"""),42130.99861111111)</f>
        <v>42130.99861</v>
      </c>
      <c r="B1818" s="1">
        <f>IFERROR(__xludf.DUMMYFUNCTION("""COMPUTED_VALUE"""),1677.38596)</f>
        <v>1677.38596</v>
      </c>
    </row>
    <row r="1819">
      <c r="A1819" s="3">
        <f>IFERROR(__xludf.DUMMYFUNCTION("""COMPUTED_VALUE"""),42131.99861111111)</f>
        <v>42131.99861</v>
      </c>
      <c r="B1819" s="1">
        <f>IFERROR(__xludf.DUMMYFUNCTION("""COMPUTED_VALUE"""),1688.86215)</f>
        <v>1688.86215</v>
      </c>
    </row>
    <row r="1820">
      <c r="A1820" s="3">
        <f>IFERROR(__xludf.DUMMYFUNCTION("""COMPUTED_VALUE"""),42132.99861111111)</f>
        <v>42132.99861</v>
      </c>
      <c r="B1820" s="1">
        <f>IFERROR(__xludf.DUMMYFUNCTION("""COMPUTED_VALUE"""),1682.54112)</f>
        <v>1682.54112</v>
      </c>
    </row>
    <row r="1821">
      <c r="A1821" s="3">
        <f>IFERROR(__xludf.DUMMYFUNCTION("""COMPUTED_VALUE"""),42133.99861111111)</f>
        <v>42133.99861</v>
      </c>
      <c r="B1821" s="1">
        <f>IFERROR(__xludf.DUMMYFUNCTION("""COMPUTED_VALUE"""),1696.841494)</f>
        <v>1696.841494</v>
      </c>
    </row>
    <row r="1822">
      <c r="A1822" s="3">
        <f>IFERROR(__xludf.DUMMYFUNCTION("""COMPUTED_VALUE"""),42134.99861111111)</f>
        <v>42134.99861</v>
      </c>
      <c r="B1822" s="1">
        <f>IFERROR(__xludf.DUMMYFUNCTION("""COMPUTED_VALUE"""),1696.841494)</f>
        <v>1696.841494</v>
      </c>
    </row>
    <row r="1823">
      <c r="A1823" s="3">
        <f>IFERROR(__xludf.DUMMYFUNCTION("""COMPUTED_VALUE"""),42135.99861111111)</f>
        <v>42135.99861</v>
      </c>
      <c r="B1823" s="1">
        <f>IFERROR(__xludf.DUMMYFUNCTION("""COMPUTED_VALUE"""),1698.7983)</f>
        <v>1698.7983</v>
      </c>
    </row>
    <row r="1824">
      <c r="A1824" s="3">
        <f>IFERROR(__xludf.DUMMYFUNCTION("""COMPUTED_VALUE"""),42136.99861111111)</f>
        <v>42136.99861</v>
      </c>
      <c r="B1824" s="1">
        <f>IFERROR(__xludf.DUMMYFUNCTION("""COMPUTED_VALUE"""),1695.57355)</f>
        <v>1695.57355</v>
      </c>
    </row>
    <row r="1825">
      <c r="A1825" s="3">
        <f>IFERROR(__xludf.DUMMYFUNCTION("""COMPUTED_VALUE"""),42137.99861111111)</f>
        <v>42137.99861</v>
      </c>
      <c r="B1825" s="1">
        <f>IFERROR(__xludf.DUMMYFUNCTION("""COMPUTED_VALUE"""),1690.02698)</f>
        <v>1690.02698</v>
      </c>
    </row>
    <row r="1826">
      <c r="A1826" s="3">
        <f>IFERROR(__xludf.DUMMYFUNCTION("""COMPUTED_VALUE"""),42138.99861111111)</f>
        <v>42138.99861</v>
      </c>
      <c r="B1826" s="1">
        <f>IFERROR(__xludf.DUMMYFUNCTION("""COMPUTED_VALUE"""),1678.677)</f>
        <v>1678.677</v>
      </c>
    </row>
    <row r="1827">
      <c r="A1827" s="3">
        <f>IFERROR(__xludf.DUMMYFUNCTION("""COMPUTED_VALUE"""),42139.99861111111)</f>
        <v>42139.99861</v>
      </c>
      <c r="B1827" s="1">
        <f>IFERROR(__xludf.DUMMYFUNCTION("""COMPUTED_VALUE"""),1683.063)</f>
        <v>1683.063</v>
      </c>
    </row>
    <row r="1828">
      <c r="A1828" s="3">
        <f>IFERROR(__xludf.DUMMYFUNCTION("""COMPUTED_VALUE"""),42140.99861111111)</f>
        <v>42140.99861</v>
      </c>
      <c r="B1828" s="1">
        <f>IFERROR(__xludf.DUMMYFUNCTION("""COMPUTED_VALUE"""),1686.27381)</f>
        <v>1686.27381</v>
      </c>
    </row>
    <row r="1829">
      <c r="A1829" s="3">
        <f>IFERROR(__xludf.DUMMYFUNCTION("""COMPUTED_VALUE"""),42141.99861111111)</f>
        <v>42141.99861</v>
      </c>
      <c r="B1829" s="1">
        <f>IFERROR(__xludf.DUMMYFUNCTION("""COMPUTED_VALUE"""),1686.404528)</f>
        <v>1686.404528</v>
      </c>
    </row>
    <row r="1830">
      <c r="A1830" s="3">
        <f>IFERROR(__xludf.DUMMYFUNCTION("""COMPUTED_VALUE"""),42142.99861111111)</f>
        <v>42142.99861</v>
      </c>
      <c r="B1830" s="1">
        <f>IFERROR(__xludf.DUMMYFUNCTION("""COMPUTED_VALUE"""),1697.898)</f>
        <v>1697.898</v>
      </c>
    </row>
    <row r="1831">
      <c r="A1831" s="3">
        <f>IFERROR(__xludf.DUMMYFUNCTION("""COMPUTED_VALUE"""),42143.99861111111)</f>
        <v>42143.99861</v>
      </c>
      <c r="B1831" s="1">
        <f>IFERROR(__xludf.DUMMYFUNCTION("""COMPUTED_VALUE"""),1698.40864)</f>
        <v>1698.40864</v>
      </c>
    </row>
    <row r="1832">
      <c r="A1832" s="3">
        <f>IFERROR(__xludf.DUMMYFUNCTION("""COMPUTED_VALUE"""),42144.99861111111)</f>
        <v>42144.99861</v>
      </c>
      <c r="B1832" s="1">
        <f>IFERROR(__xludf.DUMMYFUNCTION("""COMPUTED_VALUE"""),1678.6747)</f>
        <v>1678.6747</v>
      </c>
    </row>
    <row r="1833">
      <c r="A1833" s="3">
        <f>IFERROR(__xludf.DUMMYFUNCTION("""COMPUTED_VALUE"""),42145.99861111111)</f>
        <v>42145.99861</v>
      </c>
      <c r="B1833" s="1">
        <f>IFERROR(__xludf.DUMMYFUNCTION("""COMPUTED_VALUE"""),1690.53876)</f>
        <v>1690.53876</v>
      </c>
    </row>
    <row r="1834">
      <c r="A1834" s="3">
        <f>IFERROR(__xludf.DUMMYFUNCTION("""COMPUTED_VALUE"""),42146.99861111111)</f>
        <v>42146.99861</v>
      </c>
      <c r="B1834" s="1">
        <f>IFERROR(__xludf.DUMMYFUNCTION("""COMPUTED_VALUE"""),1694.9286)</f>
        <v>1694.9286</v>
      </c>
    </row>
    <row r="1835">
      <c r="A1835" s="3">
        <f>IFERROR(__xludf.DUMMYFUNCTION("""COMPUTED_VALUE"""),42147.99861111111)</f>
        <v>42147.99861</v>
      </c>
      <c r="B1835" s="1">
        <f>IFERROR(__xludf.DUMMYFUNCTION("""COMPUTED_VALUE"""),1699.472917)</f>
        <v>1699.472917</v>
      </c>
    </row>
    <row r="1836">
      <c r="A1836" s="3">
        <f>IFERROR(__xludf.DUMMYFUNCTION("""COMPUTED_VALUE"""),42149.99861111111)</f>
        <v>42149.99861</v>
      </c>
      <c r="B1836" s="1">
        <f>IFERROR(__xludf.DUMMYFUNCTION("""COMPUTED_VALUE"""),1699.18527)</f>
        <v>1699.18527</v>
      </c>
    </row>
    <row r="1837">
      <c r="A1837" s="3">
        <f>IFERROR(__xludf.DUMMYFUNCTION("""COMPUTED_VALUE"""),42150.99861111111)</f>
        <v>42150.99861</v>
      </c>
      <c r="B1837" s="1">
        <f>IFERROR(__xludf.DUMMYFUNCTION("""COMPUTED_VALUE"""),1704.72866)</f>
        <v>1704.72866</v>
      </c>
    </row>
    <row r="1838">
      <c r="A1838" s="3">
        <f>IFERROR(__xludf.DUMMYFUNCTION("""COMPUTED_VALUE"""),42151.99861111111)</f>
        <v>42151.99861</v>
      </c>
      <c r="B1838" s="1">
        <f>IFERROR(__xludf.DUMMYFUNCTION("""COMPUTED_VALUE"""),1697.613)</f>
        <v>1697.613</v>
      </c>
    </row>
    <row r="1839">
      <c r="A1839" s="3">
        <f>IFERROR(__xludf.DUMMYFUNCTION("""COMPUTED_VALUE"""),42152.99861111111)</f>
        <v>42152.99861</v>
      </c>
      <c r="B1839" s="1">
        <f>IFERROR(__xludf.DUMMYFUNCTION("""COMPUTED_VALUE"""),1697.89005)</f>
        <v>1697.89005</v>
      </c>
    </row>
    <row r="1840">
      <c r="A1840" s="3">
        <f>IFERROR(__xludf.DUMMYFUNCTION("""COMPUTED_VALUE"""),42153.99861111111)</f>
        <v>42153.99861</v>
      </c>
      <c r="B1840" s="1">
        <f>IFERROR(__xludf.DUMMYFUNCTION("""COMPUTED_VALUE"""),1702.272)</f>
        <v>1702.272</v>
      </c>
    </row>
    <row r="1841">
      <c r="A1841" s="3">
        <f>IFERROR(__xludf.DUMMYFUNCTION("""COMPUTED_VALUE"""),42156.99861111111)</f>
        <v>42156.99861</v>
      </c>
      <c r="B1841" s="1">
        <f>IFERROR(__xludf.DUMMYFUNCTION("""COMPUTED_VALUE"""),1700.46072)</f>
        <v>1700.46072</v>
      </c>
    </row>
    <row r="1842">
      <c r="A1842" s="3">
        <f>IFERROR(__xludf.DUMMYFUNCTION("""COMPUTED_VALUE"""),42157.99861111111)</f>
        <v>42157.99861</v>
      </c>
      <c r="B1842" s="1">
        <f>IFERROR(__xludf.DUMMYFUNCTION("""COMPUTED_VALUE"""),1695.4295)</f>
        <v>1695.4295</v>
      </c>
    </row>
    <row r="1843">
      <c r="A1843" s="3">
        <f>IFERROR(__xludf.DUMMYFUNCTION("""COMPUTED_VALUE"""),42158.99861111111)</f>
        <v>42158.99861</v>
      </c>
      <c r="B1843" s="1">
        <f>IFERROR(__xludf.DUMMYFUNCTION("""COMPUTED_VALUE"""),1706.2731)</f>
        <v>1706.2731</v>
      </c>
    </row>
    <row r="1844">
      <c r="A1844" s="3">
        <f>IFERROR(__xludf.DUMMYFUNCTION("""COMPUTED_VALUE"""),42159.99861111111)</f>
        <v>42159.99861</v>
      </c>
      <c r="B1844" s="1">
        <f>IFERROR(__xludf.DUMMYFUNCTION("""COMPUTED_VALUE"""),1712.34225)</f>
        <v>1712.34225</v>
      </c>
    </row>
    <row r="1845">
      <c r="A1845" s="3">
        <f>IFERROR(__xludf.DUMMYFUNCTION("""COMPUTED_VALUE"""),42160.99861111111)</f>
        <v>42160.99861</v>
      </c>
      <c r="B1845" s="1">
        <f>IFERROR(__xludf.DUMMYFUNCTION("""COMPUTED_VALUE"""),1726.78424)</f>
        <v>1726.78424</v>
      </c>
    </row>
    <row r="1846">
      <c r="A1846" s="3">
        <f>IFERROR(__xludf.DUMMYFUNCTION("""COMPUTED_VALUE"""),42163.99861111111)</f>
        <v>42163.99861</v>
      </c>
      <c r="B1846" s="1">
        <f>IFERROR(__xludf.DUMMYFUNCTION("""COMPUTED_VALUE"""),1716.8569)</f>
        <v>1716.8569</v>
      </c>
    </row>
    <row r="1847">
      <c r="A1847" s="3">
        <f>IFERROR(__xludf.DUMMYFUNCTION("""COMPUTED_VALUE"""),42164.99861111111)</f>
        <v>42164.99861</v>
      </c>
      <c r="B1847" s="1">
        <f>IFERROR(__xludf.DUMMYFUNCTION("""COMPUTED_VALUE"""),1721.10465)</f>
        <v>1721.10465</v>
      </c>
    </row>
    <row r="1848">
      <c r="A1848" s="3">
        <f>IFERROR(__xludf.DUMMYFUNCTION("""COMPUTED_VALUE"""),42165.99861111111)</f>
        <v>42165.99861</v>
      </c>
      <c r="B1848" s="1">
        <f>IFERROR(__xludf.DUMMYFUNCTION("""COMPUTED_VALUE"""),1703.1809)</f>
        <v>1703.1809</v>
      </c>
    </row>
    <row r="1849">
      <c r="A1849" s="3">
        <f>IFERROR(__xludf.DUMMYFUNCTION("""COMPUTED_VALUE"""),42166.99861111111)</f>
        <v>42166.99861</v>
      </c>
      <c r="B1849" s="1">
        <f>IFERROR(__xludf.DUMMYFUNCTION("""COMPUTED_VALUE"""),1706.2731)</f>
        <v>1706.2731</v>
      </c>
    </row>
    <row r="1850">
      <c r="A1850" s="3">
        <f>IFERROR(__xludf.DUMMYFUNCTION("""COMPUTED_VALUE"""),42167.99861111111)</f>
        <v>42167.99861</v>
      </c>
      <c r="B1850" s="1">
        <f>IFERROR(__xludf.DUMMYFUNCTION("""COMPUTED_VALUE"""),1717.23555)</f>
        <v>1717.23555</v>
      </c>
    </row>
    <row r="1851">
      <c r="A1851" s="3">
        <f>IFERROR(__xludf.DUMMYFUNCTION("""COMPUTED_VALUE"""),42170.99861111111)</f>
        <v>42170.99861</v>
      </c>
      <c r="B1851" s="1">
        <f>IFERROR(__xludf.DUMMYFUNCTION("""COMPUTED_VALUE"""),1717.8804)</f>
        <v>1717.8804</v>
      </c>
    </row>
    <row r="1852">
      <c r="A1852" s="3">
        <f>IFERROR(__xludf.DUMMYFUNCTION("""COMPUTED_VALUE"""),42171.99861111111)</f>
        <v>42171.99861</v>
      </c>
      <c r="B1852" s="1">
        <f>IFERROR(__xludf.DUMMYFUNCTION("""COMPUTED_VALUE"""),1720.7266)</f>
        <v>1720.7266</v>
      </c>
    </row>
    <row r="1853">
      <c r="A1853" s="3">
        <f>IFERROR(__xludf.DUMMYFUNCTION("""COMPUTED_VALUE"""),42172.99861111111)</f>
        <v>42172.99861</v>
      </c>
      <c r="B1853" s="1">
        <f>IFERROR(__xludf.DUMMYFUNCTION("""COMPUTED_VALUE"""),1719.3034)</f>
        <v>1719.3034</v>
      </c>
    </row>
    <row r="1854">
      <c r="A1854" s="3">
        <f>IFERROR(__xludf.DUMMYFUNCTION("""COMPUTED_VALUE"""),42173.99861111111)</f>
        <v>42173.99861</v>
      </c>
      <c r="B1854" s="1">
        <f>IFERROR(__xludf.DUMMYFUNCTION("""COMPUTED_VALUE"""),1714.1442)</f>
        <v>1714.1442</v>
      </c>
    </row>
    <row r="1855">
      <c r="A1855" s="3">
        <f>IFERROR(__xludf.DUMMYFUNCTION("""COMPUTED_VALUE"""),42174.99861111111)</f>
        <v>42174.99861</v>
      </c>
      <c r="B1855" s="1">
        <f>IFERROR(__xludf.DUMMYFUNCTION("""COMPUTED_VALUE"""),1716.99)</f>
        <v>1716.99</v>
      </c>
    </row>
    <row r="1856">
      <c r="A1856" s="3">
        <f>IFERROR(__xludf.DUMMYFUNCTION("""COMPUTED_VALUE"""),42177.99861111111)</f>
        <v>42177.99861</v>
      </c>
      <c r="B1856" s="1">
        <f>IFERROR(__xludf.DUMMYFUNCTION("""COMPUTED_VALUE"""),1715.958)</f>
        <v>1715.958</v>
      </c>
    </row>
    <row r="1857">
      <c r="A1857" s="3">
        <f>IFERROR(__xludf.DUMMYFUNCTION("""COMPUTED_VALUE"""),42178.99861111111)</f>
        <v>42178.99861</v>
      </c>
      <c r="B1857" s="1">
        <f>IFERROR(__xludf.DUMMYFUNCTION("""COMPUTED_VALUE"""),1708.8525)</f>
        <v>1708.8525</v>
      </c>
    </row>
    <row r="1858">
      <c r="A1858" s="3">
        <f>IFERROR(__xludf.DUMMYFUNCTION("""COMPUTED_VALUE"""),42179.99861111111)</f>
        <v>42179.99861</v>
      </c>
      <c r="B1858" s="1">
        <f>IFERROR(__xludf.DUMMYFUNCTION("""COMPUTED_VALUE"""),1714.1442)</f>
        <v>1714.1442</v>
      </c>
    </row>
    <row r="1859">
      <c r="A1859" s="3">
        <f>IFERROR(__xludf.DUMMYFUNCTION("""COMPUTED_VALUE"""),42180.99861111111)</f>
        <v>42180.99861</v>
      </c>
      <c r="B1859" s="1">
        <f>IFERROR(__xludf.DUMMYFUNCTION("""COMPUTED_VALUE"""),1715.95397)</f>
        <v>1715.95397</v>
      </c>
    </row>
    <row r="1860">
      <c r="A1860" s="3">
        <f>IFERROR(__xludf.DUMMYFUNCTION("""COMPUTED_VALUE"""),42181.99861111111)</f>
        <v>42181.99861</v>
      </c>
      <c r="B1860" s="1">
        <f>IFERROR(__xludf.DUMMYFUNCTION("""COMPUTED_VALUE"""),1718.27156)</f>
        <v>1718.27156</v>
      </c>
    </row>
    <row r="1861">
      <c r="A1861" s="3">
        <f>IFERROR(__xludf.DUMMYFUNCTION("""COMPUTED_VALUE"""),42184.99861111111)</f>
        <v>42184.99861</v>
      </c>
      <c r="B1861" s="1">
        <f>IFERROR(__xludf.DUMMYFUNCTION("""COMPUTED_VALUE"""),1718.27156)</f>
        <v>1718.27156</v>
      </c>
    </row>
    <row r="1862">
      <c r="A1862" s="3">
        <f>IFERROR(__xludf.DUMMYFUNCTION("""COMPUTED_VALUE"""),42185.99861111111)</f>
        <v>42185.99861</v>
      </c>
      <c r="B1862" s="1">
        <f>IFERROR(__xludf.DUMMYFUNCTION("""COMPUTED_VALUE"""),1720.98458)</f>
        <v>1720.98458</v>
      </c>
    </row>
    <row r="1863">
      <c r="A1863" s="3">
        <f>IFERROR(__xludf.DUMMYFUNCTION("""COMPUTED_VALUE"""),42186.99861111111)</f>
        <v>42186.99861</v>
      </c>
      <c r="B1863" s="1">
        <f>IFERROR(__xludf.DUMMYFUNCTION("""COMPUTED_VALUE"""),1717.88882)</f>
        <v>1717.88882</v>
      </c>
    </row>
    <row r="1864">
      <c r="A1864" s="3">
        <f>IFERROR(__xludf.DUMMYFUNCTION("""COMPUTED_VALUE"""),42187.99861111111)</f>
        <v>42187.99861</v>
      </c>
      <c r="B1864" s="1">
        <f>IFERROR(__xludf.DUMMYFUNCTION("""COMPUTED_VALUE"""),1710.4074)</f>
        <v>1710.4074</v>
      </c>
    </row>
    <row r="1865">
      <c r="A1865" s="3">
        <f>IFERROR(__xludf.DUMMYFUNCTION("""COMPUTED_VALUE"""),42188.99861111111)</f>
        <v>42188.99861</v>
      </c>
      <c r="B1865" s="1">
        <f>IFERROR(__xludf.DUMMYFUNCTION("""COMPUTED_VALUE"""),1720.4598)</f>
        <v>1720.4598</v>
      </c>
    </row>
    <row r="1866">
      <c r="A1866" s="3">
        <f>IFERROR(__xludf.DUMMYFUNCTION("""COMPUTED_VALUE"""),42191.99861111111)</f>
        <v>42191.99861</v>
      </c>
      <c r="B1866" s="1">
        <f>IFERROR(__xludf.DUMMYFUNCTION("""COMPUTED_VALUE"""),1720.4598)</f>
        <v>1720.4598</v>
      </c>
    </row>
    <row r="1867">
      <c r="A1867" s="3">
        <f>IFERROR(__xludf.DUMMYFUNCTION("""COMPUTED_VALUE"""),42192.99861111111)</f>
        <v>42192.99861</v>
      </c>
      <c r="B1867" s="1">
        <f>IFERROR(__xludf.DUMMYFUNCTION("""COMPUTED_VALUE"""),1717.99225)</f>
        <v>1717.99225</v>
      </c>
    </row>
    <row r="1868">
      <c r="A1868" s="3">
        <f>IFERROR(__xludf.DUMMYFUNCTION("""COMPUTED_VALUE"""),42193.99861111111)</f>
        <v>42193.99861</v>
      </c>
      <c r="B1868" s="1">
        <f>IFERROR(__xludf.DUMMYFUNCTION("""COMPUTED_VALUE"""),1719.9483)</f>
        <v>1719.9483</v>
      </c>
    </row>
    <row r="1869">
      <c r="A1869" s="3">
        <f>IFERROR(__xludf.DUMMYFUNCTION("""COMPUTED_VALUE"""),42194.99861111111)</f>
        <v>42194.99861</v>
      </c>
      <c r="B1869" s="1">
        <f>IFERROR(__xludf.DUMMYFUNCTION("""COMPUTED_VALUE"""),1715.95397)</f>
        <v>1715.95397</v>
      </c>
    </row>
    <row r="1870">
      <c r="A1870" s="3">
        <f>IFERROR(__xludf.DUMMYFUNCTION("""COMPUTED_VALUE"""),42195.99861111111)</f>
        <v>42195.99861</v>
      </c>
      <c r="B1870" s="1">
        <f>IFERROR(__xludf.DUMMYFUNCTION("""COMPUTED_VALUE"""),1712.72922)</f>
        <v>1712.72922</v>
      </c>
    </row>
    <row r="1871">
      <c r="A1871" s="3">
        <f>IFERROR(__xludf.DUMMYFUNCTION("""COMPUTED_VALUE"""),42198.99861111111)</f>
        <v>42198.99861</v>
      </c>
      <c r="B1871" s="1">
        <f>IFERROR(__xludf.DUMMYFUNCTION("""COMPUTED_VALUE"""),1712.9872)</f>
        <v>1712.9872</v>
      </c>
    </row>
    <row r="1872">
      <c r="A1872" s="3">
        <f>IFERROR(__xludf.DUMMYFUNCTION("""COMPUTED_VALUE"""),42199.99861111111)</f>
        <v>42199.99861</v>
      </c>
      <c r="B1872" s="1">
        <f>IFERROR(__xludf.DUMMYFUNCTION("""COMPUTED_VALUE"""),1716.345)</f>
        <v>1716.345</v>
      </c>
    </row>
    <row r="1873">
      <c r="A1873" s="3">
        <f>IFERROR(__xludf.DUMMYFUNCTION("""COMPUTED_VALUE"""),42200.99861111111)</f>
        <v>42200.99861</v>
      </c>
      <c r="B1873" s="1">
        <f>IFERROR(__xludf.DUMMYFUNCTION("""COMPUTED_VALUE"""),1720.73538)</f>
        <v>1720.73538</v>
      </c>
    </row>
    <row r="1874">
      <c r="A1874" s="3">
        <f>IFERROR(__xludf.DUMMYFUNCTION("""COMPUTED_VALUE"""),42201.99861111111)</f>
        <v>42201.99861</v>
      </c>
      <c r="B1874" s="1">
        <f>IFERROR(__xludf.DUMMYFUNCTION("""COMPUTED_VALUE"""),1719.699)</f>
        <v>1719.699</v>
      </c>
    </row>
    <row r="1875">
      <c r="A1875" s="3">
        <f>IFERROR(__xludf.DUMMYFUNCTION("""COMPUTED_VALUE"""),42202.99861111111)</f>
        <v>42202.99861</v>
      </c>
      <c r="B1875" s="1">
        <f>IFERROR(__xludf.DUMMYFUNCTION("""COMPUTED_VALUE"""),1722.2835)</f>
        <v>1722.2835</v>
      </c>
    </row>
    <row r="1876">
      <c r="A1876" s="3">
        <f>IFERROR(__xludf.DUMMYFUNCTION("""COMPUTED_VALUE"""),42205.99861111111)</f>
        <v>42205.99861</v>
      </c>
      <c r="B1876" s="1">
        <f>IFERROR(__xludf.DUMMYFUNCTION("""COMPUTED_VALUE"""),1720.86)</f>
        <v>1720.86</v>
      </c>
    </row>
    <row r="1877">
      <c r="A1877" s="3">
        <f>IFERROR(__xludf.DUMMYFUNCTION("""COMPUTED_VALUE"""),42206.99861111111)</f>
        <v>42206.99861</v>
      </c>
      <c r="B1877" s="1">
        <f>IFERROR(__xludf.DUMMYFUNCTION("""COMPUTED_VALUE"""),1720.34835)</f>
        <v>1720.34835</v>
      </c>
    </row>
    <row r="1878">
      <c r="A1878" s="3">
        <f>IFERROR(__xludf.DUMMYFUNCTION("""COMPUTED_VALUE"""),42207.99861111111)</f>
        <v>42207.99861</v>
      </c>
      <c r="B1878" s="1">
        <f>IFERROR(__xludf.DUMMYFUNCTION("""COMPUTED_VALUE"""),1728.868)</f>
        <v>1728.868</v>
      </c>
    </row>
    <row r="1879">
      <c r="A1879" s="3">
        <f>IFERROR(__xludf.DUMMYFUNCTION("""COMPUTED_VALUE"""),42208.99861111111)</f>
        <v>42208.99861</v>
      </c>
      <c r="B1879" s="1">
        <f>IFERROR(__xludf.DUMMYFUNCTION("""COMPUTED_VALUE"""),1732.47)</f>
        <v>1732.47</v>
      </c>
    </row>
    <row r="1880">
      <c r="A1880" s="3">
        <f>IFERROR(__xludf.DUMMYFUNCTION("""COMPUTED_VALUE"""),42209.99861111111)</f>
        <v>42209.99861</v>
      </c>
      <c r="B1880" s="1">
        <f>IFERROR(__xludf.DUMMYFUNCTION("""COMPUTED_VALUE"""),1732.3357)</f>
        <v>1732.3357</v>
      </c>
    </row>
    <row r="1881">
      <c r="A1881" s="3">
        <f>IFERROR(__xludf.DUMMYFUNCTION("""COMPUTED_VALUE"""),42212.99861111111)</f>
        <v>42212.99861</v>
      </c>
      <c r="B1881" s="1">
        <f>IFERROR(__xludf.DUMMYFUNCTION("""COMPUTED_VALUE"""),1736.985)</f>
        <v>1736.985</v>
      </c>
    </row>
    <row r="1882">
      <c r="A1882" s="3">
        <f>IFERROR(__xludf.DUMMYFUNCTION("""COMPUTED_VALUE"""),42213.99861111111)</f>
        <v>42213.99861</v>
      </c>
      <c r="B1882" s="1">
        <f>IFERROR(__xludf.DUMMYFUNCTION("""COMPUTED_VALUE"""),1714.5429)</f>
        <v>1714.5429</v>
      </c>
    </row>
    <row r="1883">
      <c r="A1883" s="3">
        <f>IFERROR(__xludf.DUMMYFUNCTION("""COMPUTED_VALUE"""),42214.99861111111)</f>
        <v>42214.99861</v>
      </c>
      <c r="B1883" s="1">
        <f>IFERROR(__xludf.DUMMYFUNCTION("""COMPUTED_VALUE"""),1736.34)</f>
        <v>1736.34</v>
      </c>
    </row>
    <row r="1884">
      <c r="A1884" s="3">
        <f>IFERROR(__xludf.DUMMYFUNCTION("""COMPUTED_VALUE"""),42215.99861111111)</f>
        <v>42215.99861</v>
      </c>
      <c r="B1884" s="1">
        <f>IFERROR(__xludf.DUMMYFUNCTION("""COMPUTED_VALUE"""),1740.06324)</f>
        <v>1740.06324</v>
      </c>
    </row>
    <row r="1885">
      <c r="A1885" s="3">
        <f>IFERROR(__xludf.DUMMYFUNCTION("""COMPUTED_VALUE"""),42216.99861111111)</f>
        <v>42216.99861</v>
      </c>
      <c r="B1885" s="1">
        <f>IFERROR(__xludf.DUMMYFUNCTION("""COMPUTED_VALUE"""),1731.42225)</f>
        <v>1731.42225</v>
      </c>
    </row>
    <row r="1886">
      <c r="A1886" s="3">
        <f>IFERROR(__xludf.DUMMYFUNCTION("""COMPUTED_VALUE"""),42219.99861111111)</f>
        <v>42219.99861</v>
      </c>
      <c r="B1886" s="1">
        <f>IFERROR(__xludf.DUMMYFUNCTION("""COMPUTED_VALUE"""),1733.3568)</f>
        <v>1733.3568</v>
      </c>
    </row>
    <row r="1887">
      <c r="A1887" s="3">
        <f>IFERROR(__xludf.DUMMYFUNCTION("""COMPUTED_VALUE"""),42220.99861111111)</f>
        <v>42220.99861</v>
      </c>
      <c r="B1887" s="1">
        <f>IFERROR(__xludf.DUMMYFUNCTION("""COMPUTED_VALUE"""),1738.89075)</f>
        <v>1738.89075</v>
      </c>
    </row>
    <row r="1888">
      <c r="A1888" s="3">
        <f>IFERROR(__xludf.DUMMYFUNCTION("""COMPUTED_VALUE"""),42221.99861111111)</f>
        <v>42221.99861</v>
      </c>
      <c r="B1888" s="1">
        <f>IFERROR(__xludf.DUMMYFUNCTION("""COMPUTED_VALUE"""),1743.693)</f>
        <v>1743.693</v>
      </c>
    </row>
    <row r="1889">
      <c r="A1889" s="3">
        <f>IFERROR(__xludf.DUMMYFUNCTION("""COMPUTED_VALUE"""),42222.99861111111)</f>
        <v>42222.99861</v>
      </c>
      <c r="B1889" s="1">
        <f>IFERROR(__xludf.DUMMYFUNCTION("""COMPUTED_VALUE"""),1736.985)</f>
        <v>1736.985</v>
      </c>
    </row>
    <row r="1890">
      <c r="A1890" s="3">
        <f>IFERROR(__xludf.DUMMYFUNCTION("""COMPUTED_VALUE"""),42223.99861111111)</f>
        <v>42223.99861</v>
      </c>
      <c r="B1890" s="1">
        <f>IFERROR(__xludf.DUMMYFUNCTION("""COMPUTED_VALUE"""),1739.03734)</f>
        <v>1739.03734</v>
      </c>
    </row>
    <row r="1891">
      <c r="A1891" s="3">
        <f>IFERROR(__xludf.DUMMYFUNCTION("""COMPUTED_VALUE"""),42226.99861111111)</f>
        <v>42226.99861</v>
      </c>
      <c r="B1891" s="1">
        <f>IFERROR(__xludf.DUMMYFUNCTION("""COMPUTED_VALUE"""),1736.97366)</f>
        <v>1736.97366</v>
      </c>
    </row>
    <row r="1892">
      <c r="A1892" s="3">
        <f>IFERROR(__xludf.DUMMYFUNCTION("""COMPUTED_VALUE"""),42227.99861111111)</f>
        <v>42227.99861</v>
      </c>
      <c r="B1892" s="1">
        <f>IFERROR(__xludf.DUMMYFUNCTION("""COMPUTED_VALUE"""),1753.4124)</f>
        <v>1753.4124</v>
      </c>
    </row>
    <row r="1893">
      <c r="A1893" s="3">
        <f>IFERROR(__xludf.DUMMYFUNCTION("""COMPUTED_VALUE"""),42228.99861111111)</f>
        <v>42228.99861</v>
      </c>
      <c r="B1893" s="1">
        <f>IFERROR(__xludf.DUMMYFUNCTION("""COMPUTED_VALUE"""),1772.0054)</f>
        <v>1772.0054</v>
      </c>
    </row>
    <row r="1894">
      <c r="A1894" s="3">
        <f>IFERROR(__xludf.DUMMYFUNCTION("""COMPUTED_VALUE"""),42229.99861111111)</f>
        <v>42229.99861</v>
      </c>
      <c r="B1894" s="1">
        <f>IFERROR(__xludf.DUMMYFUNCTION("""COMPUTED_VALUE"""),1763.2545)</f>
        <v>1763.2545</v>
      </c>
    </row>
    <row r="1895">
      <c r="A1895" s="3">
        <f>IFERROR(__xludf.DUMMYFUNCTION("""COMPUTED_VALUE"""),42230.99861111111)</f>
        <v>42230.99861</v>
      </c>
      <c r="B1895" s="1">
        <f>IFERROR(__xludf.DUMMYFUNCTION("""COMPUTED_VALUE"""),1768.1378)</f>
        <v>1768.1378</v>
      </c>
    </row>
    <row r="1896">
      <c r="A1896" s="3">
        <f>IFERROR(__xludf.DUMMYFUNCTION("""COMPUTED_VALUE"""),42233.99861111111)</f>
        <v>42233.99861</v>
      </c>
      <c r="B1896" s="1">
        <f>IFERROR(__xludf.DUMMYFUNCTION("""COMPUTED_VALUE"""),1783.2402)</f>
        <v>1783.2402</v>
      </c>
    </row>
    <row r="1897">
      <c r="A1897" s="3">
        <f>IFERROR(__xludf.DUMMYFUNCTION("""COMPUTED_VALUE"""),42234.99861111111)</f>
        <v>42234.99861</v>
      </c>
      <c r="B1897" s="1">
        <f>IFERROR(__xludf.DUMMYFUNCTION("""COMPUTED_VALUE"""),1783.1206)</f>
        <v>1783.1206</v>
      </c>
    </row>
    <row r="1898">
      <c r="A1898" s="3">
        <f>IFERROR(__xludf.DUMMYFUNCTION("""COMPUTED_VALUE"""),42235.99861111111)</f>
        <v>42235.99861</v>
      </c>
      <c r="B1898" s="1">
        <f>IFERROR(__xludf.DUMMYFUNCTION("""COMPUTED_VALUE"""),1772.94208)</f>
        <v>1772.94208</v>
      </c>
    </row>
    <row r="1899">
      <c r="A1899" s="3">
        <f>IFERROR(__xludf.DUMMYFUNCTION("""COMPUTED_VALUE"""),42236.99861111111)</f>
        <v>42236.99861</v>
      </c>
      <c r="B1899" s="1">
        <f>IFERROR(__xludf.DUMMYFUNCTION("""COMPUTED_VALUE"""),1790.8873)</f>
        <v>1790.8873</v>
      </c>
    </row>
    <row r="1900">
      <c r="A1900" s="3">
        <f>IFERROR(__xludf.DUMMYFUNCTION("""COMPUTED_VALUE"""),42237.99861111111)</f>
        <v>42237.99861</v>
      </c>
      <c r="B1900" s="1">
        <f>IFERROR(__xludf.DUMMYFUNCTION("""COMPUTED_VALUE"""),1781.8587)</f>
        <v>1781.8587</v>
      </c>
    </row>
    <row r="1901">
      <c r="A1901" s="3">
        <f>IFERROR(__xludf.DUMMYFUNCTION("""COMPUTED_VALUE"""),42240.99861111111)</f>
        <v>42240.99861</v>
      </c>
      <c r="B1901" s="1">
        <f>IFERROR(__xludf.DUMMYFUNCTION("""COMPUTED_VALUE"""),1794.61755)</f>
        <v>1794.61755</v>
      </c>
    </row>
    <row r="1902">
      <c r="A1902" s="3">
        <f>IFERROR(__xludf.DUMMYFUNCTION("""COMPUTED_VALUE"""),42241.99861111111)</f>
        <v>42241.99861</v>
      </c>
      <c r="B1902" s="1">
        <f>IFERROR(__xludf.DUMMYFUNCTION("""COMPUTED_VALUE"""),1780.062)</f>
        <v>1780.062</v>
      </c>
    </row>
    <row r="1903">
      <c r="A1903" s="3">
        <f>IFERROR(__xludf.DUMMYFUNCTION("""COMPUTED_VALUE"""),42242.99861111111)</f>
        <v>42242.99861</v>
      </c>
      <c r="B1903" s="1">
        <f>IFERROR(__xludf.DUMMYFUNCTION("""COMPUTED_VALUE"""),1800.84)</f>
        <v>1800.84</v>
      </c>
    </row>
    <row r="1904">
      <c r="A1904" s="3">
        <f>IFERROR(__xludf.DUMMYFUNCTION("""COMPUTED_VALUE"""),42243.99861111111)</f>
        <v>42243.99861</v>
      </c>
      <c r="B1904" s="1">
        <f>IFERROR(__xludf.DUMMYFUNCTION("""COMPUTED_VALUE"""),1779.69295)</f>
        <v>1779.69295</v>
      </c>
    </row>
    <row r="1905">
      <c r="A1905" s="3">
        <f>IFERROR(__xludf.DUMMYFUNCTION("""COMPUTED_VALUE"""),42244.99861111111)</f>
        <v>42244.99861</v>
      </c>
      <c r="B1905" s="1">
        <f>IFERROR(__xludf.DUMMYFUNCTION("""COMPUTED_VALUE"""),1794.6682)</f>
        <v>1794.6682</v>
      </c>
    </row>
    <row r="1906">
      <c r="A1906" s="3">
        <f>IFERROR(__xludf.DUMMYFUNCTION("""COMPUTED_VALUE"""),42247.99861111111)</f>
        <v>42247.99861</v>
      </c>
      <c r="B1906" s="1">
        <f>IFERROR(__xludf.DUMMYFUNCTION("""COMPUTED_VALUE"""),1806.28)</f>
        <v>1806.28</v>
      </c>
    </row>
    <row r="1907">
      <c r="A1907" s="3">
        <f>IFERROR(__xludf.DUMMYFUNCTION("""COMPUTED_VALUE"""),42248.99861111111)</f>
        <v>42248.99861</v>
      </c>
      <c r="B1907" s="1">
        <f>IFERROR(__xludf.DUMMYFUNCTION("""COMPUTED_VALUE"""),1804.87164)</f>
        <v>1804.87164</v>
      </c>
    </row>
    <row r="1908">
      <c r="A1908" s="3">
        <f>IFERROR(__xludf.DUMMYFUNCTION("""COMPUTED_VALUE"""),42249.99861111111)</f>
        <v>42249.99861</v>
      </c>
      <c r="B1908" s="1">
        <f>IFERROR(__xludf.DUMMYFUNCTION("""COMPUTED_VALUE"""),1812.731)</f>
        <v>1812.731</v>
      </c>
    </row>
    <row r="1909">
      <c r="A1909" s="3">
        <f>IFERROR(__xludf.DUMMYFUNCTION("""COMPUTED_VALUE"""),42250.99861111111)</f>
        <v>42250.99861</v>
      </c>
      <c r="B1909" s="1">
        <f>IFERROR(__xludf.DUMMYFUNCTION("""COMPUTED_VALUE"""),1814.80695)</f>
        <v>1814.80695</v>
      </c>
    </row>
    <row r="1910">
      <c r="A1910" s="3">
        <f>IFERROR(__xludf.DUMMYFUNCTION("""COMPUTED_VALUE"""),42251.99861111111)</f>
        <v>42251.99861</v>
      </c>
      <c r="B1910" s="1">
        <f>IFERROR(__xludf.DUMMYFUNCTION("""COMPUTED_VALUE"""),1830.7938)</f>
        <v>1830.7938</v>
      </c>
    </row>
    <row r="1911">
      <c r="A1911" s="3">
        <f>IFERROR(__xludf.DUMMYFUNCTION("""COMPUTED_VALUE"""),42254.99861111111)</f>
        <v>42254.99861</v>
      </c>
      <c r="B1911" s="1">
        <f>IFERROR(__xludf.DUMMYFUNCTION("""COMPUTED_VALUE"""),1841.7605)</f>
        <v>1841.7605</v>
      </c>
    </row>
    <row r="1912">
      <c r="A1912" s="3">
        <f>IFERROR(__xludf.DUMMYFUNCTION("""COMPUTED_VALUE"""),42255.99861111111)</f>
        <v>42255.99861</v>
      </c>
      <c r="B1912" s="1">
        <f>IFERROR(__xludf.DUMMYFUNCTION("""COMPUTED_VALUE"""),1826.7816)</f>
        <v>1826.7816</v>
      </c>
    </row>
    <row r="1913">
      <c r="A1913" s="3">
        <f>IFERROR(__xludf.DUMMYFUNCTION("""COMPUTED_VALUE"""),42256.99861111111)</f>
        <v>42256.99861</v>
      </c>
      <c r="B1913" s="1">
        <f>IFERROR(__xludf.DUMMYFUNCTION("""COMPUTED_VALUE"""),1838.25)</f>
        <v>1838.25</v>
      </c>
    </row>
    <row r="1914">
      <c r="A1914" s="3">
        <f>IFERROR(__xludf.DUMMYFUNCTION("""COMPUTED_VALUE"""),42257.99861111111)</f>
        <v>42257.99861</v>
      </c>
      <c r="B1914" s="1">
        <f>IFERROR(__xludf.DUMMYFUNCTION("""COMPUTED_VALUE"""),1836.74205)</f>
        <v>1836.74205</v>
      </c>
    </row>
    <row r="1915">
      <c r="A1915" s="3">
        <f>IFERROR(__xludf.DUMMYFUNCTION("""COMPUTED_VALUE"""),42258.99861111111)</f>
        <v>42258.99861</v>
      </c>
      <c r="B1915" s="1">
        <f>IFERROR(__xludf.DUMMYFUNCTION("""COMPUTED_VALUE"""),1841.1154)</f>
        <v>1841.1154</v>
      </c>
    </row>
    <row r="1916">
      <c r="A1916" s="3">
        <f>IFERROR(__xludf.DUMMYFUNCTION("""COMPUTED_VALUE"""),42261.99861111111)</f>
        <v>42261.99861</v>
      </c>
      <c r="B1916" s="1">
        <f>IFERROR(__xludf.DUMMYFUNCTION("""COMPUTED_VALUE"""),1846.2762)</f>
        <v>1846.2762</v>
      </c>
    </row>
    <row r="1917">
      <c r="A1917" s="3">
        <f>IFERROR(__xludf.DUMMYFUNCTION("""COMPUTED_VALUE"""),42262.99861111111)</f>
        <v>42262.99861</v>
      </c>
      <c r="B1917" s="1">
        <f>IFERROR(__xludf.DUMMYFUNCTION("""COMPUTED_VALUE"""),1857.888)</f>
        <v>1857.888</v>
      </c>
    </row>
    <row r="1918">
      <c r="A1918" s="3">
        <f>IFERROR(__xludf.DUMMYFUNCTION("""COMPUTED_VALUE"""),42263.99861111111)</f>
        <v>42263.99861</v>
      </c>
      <c r="B1918" s="1">
        <f>IFERROR(__xludf.DUMMYFUNCTION("""COMPUTED_VALUE"""),1854.92054)</f>
        <v>1854.92054</v>
      </c>
    </row>
    <row r="1919">
      <c r="A1919" s="3">
        <f>IFERROR(__xludf.DUMMYFUNCTION("""COMPUTED_VALUE"""),42264.99861111111)</f>
        <v>42264.99861</v>
      </c>
      <c r="B1919" s="1">
        <f>IFERROR(__xludf.DUMMYFUNCTION("""COMPUTED_VALUE"""),1835.3095)</f>
        <v>1835.3095</v>
      </c>
    </row>
    <row r="1920">
      <c r="A1920" s="3">
        <f>IFERROR(__xludf.DUMMYFUNCTION("""COMPUTED_VALUE"""),42265.99861111111)</f>
        <v>42265.99861</v>
      </c>
      <c r="B1920" s="1">
        <f>IFERROR(__xludf.DUMMYFUNCTION("""COMPUTED_VALUE"""),1858.27506)</f>
        <v>1858.27506</v>
      </c>
    </row>
    <row r="1921">
      <c r="A1921" s="3">
        <f>IFERROR(__xludf.DUMMYFUNCTION("""COMPUTED_VALUE"""),42268.99861111111)</f>
        <v>42268.99861</v>
      </c>
      <c r="B1921" s="1">
        <f>IFERROR(__xludf.DUMMYFUNCTION("""COMPUTED_VALUE"""),1866.9194)</f>
        <v>1866.9194</v>
      </c>
    </row>
    <row r="1922">
      <c r="A1922" s="3">
        <f>IFERROR(__xludf.DUMMYFUNCTION("""COMPUTED_VALUE"""),42269.99861111111)</f>
        <v>42269.99861</v>
      </c>
      <c r="B1922" s="1">
        <f>IFERROR(__xludf.DUMMYFUNCTION("""COMPUTED_VALUE"""),1883.0469)</f>
        <v>1883.0469</v>
      </c>
    </row>
    <row r="1923">
      <c r="A1923" s="3">
        <f>IFERROR(__xludf.DUMMYFUNCTION("""COMPUTED_VALUE"""),42270.99861111111)</f>
        <v>42270.99861</v>
      </c>
      <c r="B1923" s="1">
        <f>IFERROR(__xludf.DUMMYFUNCTION("""COMPUTED_VALUE"""),1888.8528)</f>
        <v>1888.8528</v>
      </c>
    </row>
    <row r="1924">
      <c r="A1924" s="3">
        <f>IFERROR(__xludf.DUMMYFUNCTION("""COMPUTED_VALUE"""),42271.99861111111)</f>
        <v>42271.99861</v>
      </c>
      <c r="B1924" s="1">
        <f>IFERROR(__xludf.DUMMYFUNCTION("""COMPUTED_VALUE"""),1892.7234)</f>
        <v>1892.7234</v>
      </c>
    </row>
    <row r="1925">
      <c r="A1925" s="3">
        <f>IFERROR(__xludf.DUMMYFUNCTION("""COMPUTED_VALUE"""),42272.99861111111)</f>
        <v>42272.99861</v>
      </c>
      <c r="B1925" s="1">
        <f>IFERROR(__xludf.DUMMYFUNCTION("""COMPUTED_VALUE"""),1885.73917)</f>
        <v>1885.73917</v>
      </c>
    </row>
    <row r="1926">
      <c r="A1926" s="3">
        <f>IFERROR(__xludf.DUMMYFUNCTION("""COMPUTED_VALUE"""),42275.99861111111)</f>
        <v>42275.99861</v>
      </c>
      <c r="B1926" s="1">
        <f>IFERROR(__xludf.DUMMYFUNCTION("""COMPUTED_VALUE"""),1896.20694)</f>
        <v>1896.20694</v>
      </c>
    </row>
    <row r="1927">
      <c r="A1927" s="3">
        <f>IFERROR(__xludf.DUMMYFUNCTION("""COMPUTED_VALUE"""),42276.99861111111)</f>
        <v>42276.99861</v>
      </c>
      <c r="B1927" s="1">
        <f>IFERROR(__xludf.DUMMYFUNCTION("""COMPUTED_VALUE"""),1894.0136)</f>
        <v>1894.0136</v>
      </c>
    </row>
    <row r="1928">
      <c r="A1928" s="3">
        <f>IFERROR(__xludf.DUMMYFUNCTION("""COMPUTED_VALUE"""),42277.99861111111)</f>
        <v>42277.99861</v>
      </c>
      <c r="B1928" s="1">
        <f>IFERROR(__xludf.DUMMYFUNCTION("""COMPUTED_VALUE"""),1877.49904)</f>
        <v>1877.49904</v>
      </c>
    </row>
    <row r="1929">
      <c r="A1929" s="3">
        <f>IFERROR(__xludf.DUMMYFUNCTION("""COMPUTED_VALUE"""),42278.99861111111)</f>
        <v>42278.99861</v>
      </c>
      <c r="B1929" s="1">
        <f>IFERROR(__xludf.DUMMYFUNCTION("""COMPUTED_VALUE"""),1892.0783)</f>
        <v>1892.0783</v>
      </c>
    </row>
    <row r="1930">
      <c r="A1930" s="3">
        <f>IFERROR(__xludf.DUMMYFUNCTION("""COMPUTED_VALUE"""),42279.99861111111)</f>
        <v>42279.99861</v>
      </c>
      <c r="B1930" s="1">
        <f>IFERROR(__xludf.DUMMYFUNCTION("""COMPUTED_VALUE"""),1884.3371)</f>
        <v>1884.3371</v>
      </c>
    </row>
    <row r="1931">
      <c r="A1931" s="3">
        <f>IFERROR(__xludf.DUMMYFUNCTION("""COMPUTED_VALUE"""),42282.99861111111)</f>
        <v>42282.99861</v>
      </c>
      <c r="B1931" s="1">
        <f>IFERROR(__xludf.DUMMYFUNCTION("""COMPUTED_VALUE"""),1862.14566)</f>
        <v>1862.14566</v>
      </c>
    </row>
    <row r="1932">
      <c r="A1932" s="3">
        <f>IFERROR(__xludf.DUMMYFUNCTION("""COMPUTED_VALUE"""),42283.99861111111)</f>
        <v>42283.99861</v>
      </c>
      <c r="B1932" s="1">
        <f>IFERROR(__xludf.DUMMYFUNCTION("""COMPUTED_VALUE"""),1814.0212)</f>
        <v>1814.0212</v>
      </c>
    </row>
    <row r="1933">
      <c r="A1933" s="3">
        <f>IFERROR(__xludf.DUMMYFUNCTION("""COMPUTED_VALUE"""),42284.99861111111)</f>
        <v>42284.99861</v>
      </c>
      <c r="B1933" s="1">
        <f>IFERROR(__xludf.DUMMYFUNCTION("""COMPUTED_VALUE"""),1788.8623)</f>
        <v>1788.8623</v>
      </c>
    </row>
    <row r="1934">
      <c r="A1934" s="3">
        <f>IFERROR(__xludf.DUMMYFUNCTION("""COMPUTED_VALUE"""),42285.99861111111)</f>
        <v>42285.99861</v>
      </c>
      <c r="B1934" s="1">
        <f>IFERROR(__xludf.DUMMYFUNCTION("""COMPUTED_VALUE"""),1730.2923)</f>
        <v>1730.2923</v>
      </c>
    </row>
    <row r="1935">
      <c r="A1935" s="3">
        <f>IFERROR(__xludf.DUMMYFUNCTION("""COMPUTED_VALUE"""),42286.99861111111)</f>
        <v>42286.99861</v>
      </c>
      <c r="B1935" s="1">
        <f>IFERROR(__xludf.DUMMYFUNCTION("""COMPUTED_VALUE"""),1718.4132)</f>
        <v>1718.4132</v>
      </c>
    </row>
    <row r="1936">
      <c r="A1936" s="3">
        <f>IFERROR(__xludf.DUMMYFUNCTION("""COMPUTED_VALUE"""),42289.99861111111)</f>
        <v>42289.99861</v>
      </c>
      <c r="B1936" s="1">
        <f>IFERROR(__xludf.DUMMYFUNCTION("""COMPUTED_VALUE"""),1742.16306)</f>
        <v>1742.16306</v>
      </c>
    </row>
    <row r="1937">
      <c r="A1937" s="3">
        <f>IFERROR(__xludf.DUMMYFUNCTION("""COMPUTED_VALUE"""),42290.99861111111)</f>
        <v>42290.99861</v>
      </c>
      <c r="B1937" s="1">
        <f>IFERROR(__xludf.DUMMYFUNCTION("""COMPUTED_VALUE"""),1761.123)</f>
        <v>1761.123</v>
      </c>
    </row>
    <row r="1938">
      <c r="A1938" s="3">
        <f>IFERROR(__xludf.DUMMYFUNCTION("""COMPUTED_VALUE"""),42291.99861111111)</f>
        <v>42291.99861</v>
      </c>
      <c r="B1938" s="1">
        <f>IFERROR(__xludf.DUMMYFUNCTION("""COMPUTED_VALUE"""),1710.8052)</f>
        <v>1710.8052</v>
      </c>
    </row>
    <row r="1939">
      <c r="A1939" s="3">
        <f>IFERROR(__xludf.DUMMYFUNCTION("""COMPUTED_VALUE"""),42292.99861111111)</f>
        <v>42292.99861</v>
      </c>
      <c r="B1939" s="1">
        <f>IFERROR(__xludf.DUMMYFUNCTION("""COMPUTED_VALUE"""),1728.868)</f>
        <v>1728.868</v>
      </c>
    </row>
    <row r="1940">
      <c r="A1940" s="3">
        <f>IFERROR(__xludf.DUMMYFUNCTION("""COMPUTED_VALUE"""),42293.99861111111)</f>
        <v>42293.99861</v>
      </c>
      <c r="B1940" s="1">
        <f>IFERROR(__xludf.DUMMYFUNCTION("""COMPUTED_VALUE"""),1738.5445)</f>
        <v>1738.5445</v>
      </c>
    </row>
    <row r="1941">
      <c r="A1941" s="3">
        <f>IFERROR(__xludf.DUMMYFUNCTION("""COMPUTED_VALUE"""),42296.99861111111)</f>
        <v>42296.99861</v>
      </c>
      <c r="B1941" s="1">
        <f>IFERROR(__xludf.DUMMYFUNCTION("""COMPUTED_VALUE"""),1761.123)</f>
        <v>1761.123</v>
      </c>
    </row>
    <row r="1942">
      <c r="A1942" s="3">
        <f>IFERROR(__xludf.DUMMYFUNCTION("""COMPUTED_VALUE"""),42297.99861111111)</f>
        <v>42297.99861</v>
      </c>
      <c r="B1942" s="1">
        <f>IFERROR(__xludf.DUMMYFUNCTION("""COMPUTED_VALUE"""),1771.83166)</f>
        <v>1771.83166</v>
      </c>
    </row>
    <row r="1943">
      <c r="A1943" s="3">
        <f>IFERROR(__xludf.DUMMYFUNCTION("""COMPUTED_VALUE"""),42298.99861111111)</f>
        <v>42298.99861</v>
      </c>
      <c r="B1943" s="1">
        <f>IFERROR(__xludf.DUMMYFUNCTION("""COMPUTED_VALUE"""),1767.574)</f>
        <v>1767.574</v>
      </c>
    </row>
    <row r="1944">
      <c r="A1944" s="3">
        <f>IFERROR(__xludf.DUMMYFUNCTION("""COMPUTED_VALUE"""),42299.99861111111)</f>
        <v>42299.99861</v>
      </c>
      <c r="B1944" s="1">
        <f>IFERROR(__xludf.DUMMYFUNCTION("""COMPUTED_VALUE"""),1738.93156)</f>
        <v>1738.93156</v>
      </c>
    </row>
    <row r="1945">
      <c r="A1945" s="3">
        <f>IFERROR(__xludf.DUMMYFUNCTION("""COMPUTED_VALUE"""),42300.99861111111)</f>
        <v>42300.99861</v>
      </c>
      <c r="B1945" s="1">
        <f>IFERROR(__xludf.DUMMYFUNCTION("""COMPUTED_VALUE"""),1744.3504)</f>
        <v>1744.3504</v>
      </c>
    </row>
    <row r="1946">
      <c r="A1946" s="3">
        <f>IFERROR(__xludf.DUMMYFUNCTION("""COMPUTED_VALUE"""),42303.99861111111)</f>
        <v>42303.99861</v>
      </c>
      <c r="B1946" s="1">
        <f>IFERROR(__xludf.DUMMYFUNCTION("""COMPUTED_VALUE"""),1755.9622)</f>
        <v>1755.9622</v>
      </c>
    </row>
    <row r="1947">
      <c r="A1947" s="3">
        <f>IFERROR(__xludf.DUMMYFUNCTION("""COMPUTED_VALUE"""),42304.99861111111)</f>
        <v>42304.99861</v>
      </c>
      <c r="B1947" s="1">
        <f>IFERROR(__xludf.DUMMYFUNCTION("""COMPUTED_VALUE"""),1761.123)</f>
        <v>1761.123</v>
      </c>
    </row>
    <row r="1948">
      <c r="A1948" s="3">
        <f>IFERROR(__xludf.DUMMYFUNCTION("""COMPUTED_VALUE"""),42305.99861111111)</f>
        <v>42305.99861</v>
      </c>
      <c r="B1948" s="1">
        <f>IFERROR(__xludf.DUMMYFUNCTION("""COMPUTED_VALUE"""),1754.93004)</f>
        <v>1754.93004</v>
      </c>
    </row>
    <row r="1949">
      <c r="A1949" s="3">
        <f>IFERROR(__xludf.DUMMYFUNCTION("""COMPUTED_VALUE"""),42306.99861111111)</f>
        <v>42306.99861</v>
      </c>
      <c r="B1949" s="1">
        <f>IFERROR(__xludf.DUMMYFUNCTION("""COMPUTED_VALUE"""),1754.93004)</f>
        <v>1754.93004</v>
      </c>
    </row>
    <row r="1950">
      <c r="A1950" s="3">
        <f>IFERROR(__xludf.DUMMYFUNCTION("""COMPUTED_VALUE"""),42307.99861111111)</f>
        <v>42307.99861</v>
      </c>
      <c r="B1950" s="1">
        <f>IFERROR(__xludf.DUMMYFUNCTION("""COMPUTED_VALUE"""),1758.4063)</f>
        <v>1758.4063</v>
      </c>
    </row>
    <row r="1951">
      <c r="A1951" s="3">
        <f>IFERROR(__xludf.DUMMYFUNCTION("""COMPUTED_VALUE"""),42308.99861111111)</f>
        <v>42308.99861</v>
      </c>
      <c r="B1951" s="1">
        <f>IFERROR(__xludf.DUMMYFUNCTION("""COMPUTED_VALUE"""),1779.447831)</f>
        <v>1779.447831</v>
      </c>
    </row>
    <row r="1952">
      <c r="A1952" s="3">
        <f>IFERROR(__xludf.DUMMYFUNCTION("""COMPUTED_VALUE"""),42310.99861111111)</f>
        <v>42310.99861</v>
      </c>
      <c r="B1952" s="1">
        <f>IFERROR(__xludf.DUMMYFUNCTION("""COMPUTED_VALUE"""),1752.0916)</f>
        <v>1752.0916</v>
      </c>
    </row>
    <row r="1953">
      <c r="A1953" s="3">
        <f>IFERROR(__xludf.DUMMYFUNCTION("""COMPUTED_VALUE"""),42311.99861111111)</f>
        <v>42311.99861</v>
      </c>
      <c r="B1953" s="1">
        <f>IFERROR(__xludf.DUMMYFUNCTION("""COMPUTED_VALUE"""),1728.08895)</f>
        <v>1728.08895</v>
      </c>
    </row>
    <row r="1954">
      <c r="A1954" s="3">
        <f>IFERROR(__xludf.DUMMYFUNCTION("""COMPUTED_VALUE"""),42312.99861111111)</f>
        <v>42312.99861</v>
      </c>
      <c r="B1954" s="1">
        <f>IFERROR(__xludf.DUMMYFUNCTION("""COMPUTED_VALUE"""),1735.82955)</f>
        <v>1735.82955</v>
      </c>
    </row>
    <row r="1955">
      <c r="A1955" s="3">
        <f>IFERROR(__xludf.DUMMYFUNCTION("""COMPUTED_VALUE"""),42313.99861111111)</f>
        <v>42313.99861</v>
      </c>
      <c r="B1955" s="1">
        <f>IFERROR(__xludf.DUMMYFUNCTION("""COMPUTED_VALUE"""),1744.86025)</f>
        <v>1744.86025</v>
      </c>
    </row>
    <row r="1956">
      <c r="A1956" s="3">
        <f>IFERROR(__xludf.DUMMYFUNCTION("""COMPUTED_VALUE"""),42314.99861111111)</f>
        <v>42314.99861</v>
      </c>
      <c r="B1956" s="1">
        <f>IFERROR(__xludf.DUMMYFUNCTION("""COMPUTED_VALUE"""),1755.8261)</f>
        <v>1755.8261</v>
      </c>
    </row>
    <row r="1957">
      <c r="A1957" s="3">
        <f>IFERROR(__xludf.DUMMYFUNCTION("""COMPUTED_VALUE"""),42315.99861111111)</f>
        <v>42315.99861</v>
      </c>
      <c r="B1957" s="1">
        <f>IFERROR(__xludf.DUMMYFUNCTION("""COMPUTED_VALUE"""),1769.684354)</f>
        <v>1769.684354</v>
      </c>
    </row>
    <row r="1958">
      <c r="A1958" s="3">
        <f>IFERROR(__xludf.DUMMYFUNCTION("""COMPUTED_VALUE"""),42317.99861111111)</f>
        <v>42317.99861</v>
      </c>
      <c r="B1958" s="1">
        <f>IFERROR(__xludf.DUMMYFUNCTION("""COMPUTED_VALUE"""),1760.205)</f>
        <v>1760.205</v>
      </c>
    </row>
    <row r="1959">
      <c r="A1959" s="3">
        <f>IFERROR(__xludf.DUMMYFUNCTION("""COMPUTED_VALUE"""),42318.99861111111)</f>
        <v>42318.99861</v>
      </c>
      <c r="B1959" s="1">
        <f>IFERROR(__xludf.DUMMYFUNCTION("""COMPUTED_VALUE"""),1749.1044)</f>
        <v>1749.1044</v>
      </c>
    </row>
    <row r="1960">
      <c r="A1960" s="3">
        <f>IFERROR(__xludf.DUMMYFUNCTION("""COMPUTED_VALUE"""),42319.99861111111)</f>
        <v>42319.99861</v>
      </c>
      <c r="B1960" s="1">
        <f>IFERROR(__xludf.DUMMYFUNCTION("""COMPUTED_VALUE"""),1744.86025)</f>
        <v>1744.86025</v>
      </c>
    </row>
    <row r="1961">
      <c r="A1961" s="3">
        <f>IFERROR(__xludf.DUMMYFUNCTION("""COMPUTED_VALUE"""),42320.99861111111)</f>
        <v>42320.99861</v>
      </c>
      <c r="B1961" s="1">
        <f>IFERROR(__xludf.DUMMYFUNCTION("""COMPUTED_VALUE"""),1756.0983)</f>
        <v>1756.0983</v>
      </c>
    </row>
    <row r="1962">
      <c r="A1962" s="3">
        <f>IFERROR(__xludf.DUMMYFUNCTION("""COMPUTED_VALUE"""),42321.99861111111)</f>
        <v>42321.99861</v>
      </c>
      <c r="B1962" s="1">
        <f>IFERROR(__xludf.DUMMYFUNCTION("""COMPUTED_VALUE"""),1772.98443)</f>
        <v>1772.98443</v>
      </c>
    </row>
    <row r="1963">
      <c r="A1963" s="3">
        <f>IFERROR(__xludf.DUMMYFUNCTION("""COMPUTED_VALUE"""),42322.99861111111)</f>
        <v>42322.99861</v>
      </c>
      <c r="B1963" s="1">
        <f>IFERROR(__xludf.DUMMYFUNCTION("""COMPUTED_VALUE"""),1757.628369)</f>
        <v>1757.628369</v>
      </c>
    </row>
    <row r="1964">
      <c r="A1964" s="3">
        <f>IFERROR(__xludf.DUMMYFUNCTION("""COMPUTED_VALUE"""),42324.99861111111)</f>
        <v>42324.99861</v>
      </c>
      <c r="B1964" s="1">
        <f>IFERROR(__xludf.DUMMYFUNCTION("""COMPUTED_VALUE"""),1768.46908)</f>
        <v>1768.46908</v>
      </c>
    </row>
    <row r="1965">
      <c r="A1965" s="3">
        <f>IFERROR(__xludf.DUMMYFUNCTION("""COMPUTED_VALUE"""),42325.99861111111)</f>
        <v>42325.99861</v>
      </c>
      <c r="B1965" s="1">
        <f>IFERROR(__xludf.DUMMYFUNCTION("""COMPUTED_VALUE"""),1770.0172)</f>
        <v>1770.0172</v>
      </c>
    </row>
    <row r="1966">
      <c r="A1966" s="3">
        <f>IFERROR(__xludf.DUMMYFUNCTION("""COMPUTED_VALUE"""),42326.99861111111)</f>
        <v>42326.99861</v>
      </c>
      <c r="B1966" s="1">
        <f>IFERROR(__xludf.DUMMYFUNCTION("""COMPUTED_VALUE"""),1768.2191)</f>
        <v>1768.2191</v>
      </c>
    </row>
    <row r="1967">
      <c r="A1967" s="3">
        <f>IFERROR(__xludf.DUMMYFUNCTION("""COMPUTED_VALUE"""),42327.99861111111)</f>
        <v>42327.99861</v>
      </c>
      <c r="B1967" s="1">
        <f>IFERROR(__xludf.DUMMYFUNCTION("""COMPUTED_VALUE"""),1761.7681)</f>
        <v>1761.7681</v>
      </c>
    </row>
    <row r="1968">
      <c r="A1968" s="3">
        <f>IFERROR(__xludf.DUMMYFUNCTION("""COMPUTED_VALUE"""),42328.99861111111)</f>
        <v>42328.99861</v>
      </c>
      <c r="B1968" s="1">
        <f>IFERROR(__xludf.DUMMYFUNCTION("""COMPUTED_VALUE"""),1746.9308)</f>
        <v>1746.9308</v>
      </c>
    </row>
    <row r="1969">
      <c r="A1969" s="3">
        <f>IFERROR(__xludf.DUMMYFUNCTION("""COMPUTED_VALUE"""),42330.99861111111)</f>
        <v>42330.99861</v>
      </c>
      <c r="B1969" s="1">
        <f>IFERROR(__xludf.DUMMYFUNCTION("""COMPUTED_VALUE"""),1772.252265)</f>
        <v>1772.252265</v>
      </c>
    </row>
    <row r="1970">
      <c r="A1970" s="3">
        <f>IFERROR(__xludf.DUMMYFUNCTION("""COMPUTED_VALUE"""),42331.99861111111)</f>
        <v>42331.99861</v>
      </c>
      <c r="B1970" s="1">
        <f>IFERROR(__xludf.DUMMYFUNCTION("""COMPUTED_VALUE"""),1763.0583)</f>
        <v>1763.0583</v>
      </c>
    </row>
    <row r="1971">
      <c r="A1971" s="3">
        <f>IFERROR(__xludf.DUMMYFUNCTION("""COMPUTED_VALUE"""),42332.99861111111)</f>
        <v>42332.99861</v>
      </c>
      <c r="B1971" s="1">
        <f>IFERROR(__xludf.DUMMYFUNCTION("""COMPUTED_VALUE"""),1757.3886)</f>
        <v>1757.3886</v>
      </c>
    </row>
    <row r="1972">
      <c r="A1972" s="3">
        <f>IFERROR(__xludf.DUMMYFUNCTION("""COMPUTED_VALUE"""),42333.99861111111)</f>
        <v>42333.99861</v>
      </c>
      <c r="B1972" s="1">
        <f>IFERROR(__xludf.DUMMYFUNCTION("""COMPUTED_VALUE"""),1753.3818)</f>
        <v>1753.3818</v>
      </c>
    </row>
    <row r="1973">
      <c r="A1973" s="3">
        <f>IFERROR(__xludf.DUMMYFUNCTION("""COMPUTED_VALUE"""),42334.99861111111)</f>
        <v>42334.99861</v>
      </c>
      <c r="B1973" s="1">
        <f>IFERROR(__xludf.DUMMYFUNCTION("""COMPUTED_VALUE"""),1772.0897)</f>
        <v>1772.0897</v>
      </c>
    </row>
    <row r="1974">
      <c r="A1974" s="3">
        <f>IFERROR(__xludf.DUMMYFUNCTION("""COMPUTED_VALUE"""),42335.99861111111)</f>
        <v>42335.99861</v>
      </c>
      <c r="B1974" s="1">
        <f>IFERROR(__xludf.DUMMYFUNCTION("""COMPUTED_VALUE"""),1759.43838)</f>
        <v>1759.43838</v>
      </c>
    </row>
    <row r="1975">
      <c r="A1975" s="3">
        <f>IFERROR(__xludf.DUMMYFUNCTION("""COMPUTED_VALUE"""),42336.99861111111)</f>
        <v>42336.99861</v>
      </c>
      <c r="B1975" s="1">
        <f>IFERROR(__xludf.DUMMYFUNCTION("""COMPUTED_VALUE"""),1804.33515)</f>
        <v>1804.33515</v>
      </c>
    </row>
    <row r="1976">
      <c r="A1976" s="3">
        <f>IFERROR(__xludf.DUMMYFUNCTION("""COMPUTED_VALUE"""),42338.99861111111)</f>
        <v>42338.99861</v>
      </c>
      <c r="B1976" s="1">
        <f>IFERROR(__xludf.DUMMYFUNCTION("""COMPUTED_VALUE"""),1790.76817)</f>
        <v>1790.76817</v>
      </c>
    </row>
    <row r="1977">
      <c r="A1977" s="3">
        <f>IFERROR(__xludf.DUMMYFUNCTION("""COMPUTED_VALUE"""),42339.99861111111)</f>
        <v>42339.99861</v>
      </c>
      <c r="B1977" s="1">
        <f>IFERROR(__xludf.DUMMYFUNCTION("""COMPUTED_VALUE"""),1782.78)</f>
        <v>1782.78</v>
      </c>
    </row>
    <row r="1978">
      <c r="A1978" s="3">
        <f>IFERROR(__xludf.DUMMYFUNCTION("""COMPUTED_VALUE"""),42340.99861111111)</f>
        <v>42340.99861</v>
      </c>
      <c r="B1978" s="1">
        <f>IFERROR(__xludf.DUMMYFUNCTION("""COMPUTED_VALUE"""),1781.24107)</f>
        <v>1781.24107</v>
      </c>
    </row>
    <row r="1979">
      <c r="A1979" s="3">
        <f>IFERROR(__xludf.DUMMYFUNCTION("""COMPUTED_VALUE"""),42341.99861111111)</f>
        <v>42341.99861</v>
      </c>
      <c r="B1979" s="1">
        <f>IFERROR(__xludf.DUMMYFUNCTION("""COMPUTED_VALUE"""),1766.9289)</f>
        <v>1766.9289</v>
      </c>
    </row>
    <row r="1980">
      <c r="A1980" s="3">
        <f>IFERROR(__xludf.DUMMYFUNCTION("""COMPUTED_VALUE"""),42342.99861111111)</f>
        <v>42342.99861</v>
      </c>
      <c r="B1980" s="1">
        <f>IFERROR(__xludf.DUMMYFUNCTION("""COMPUTED_VALUE"""),1775.05716)</f>
        <v>1775.05716</v>
      </c>
    </row>
    <row r="1981">
      <c r="A1981" s="3">
        <f>IFERROR(__xludf.DUMMYFUNCTION("""COMPUTED_VALUE"""),42343.99861111111)</f>
        <v>42343.99861</v>
      </c>
      <c r="B1981" s="1">
        <f>IFERROR(__xludf.DUMMYFUNCTION("""COMPUTED_VALUE"""),1786.979898)</f>
        <v>1786.979898</v>
      </c>
    </row>
    <row r="1982">
      <c r="A1982" s="3">
        <f>IFERROR(__xludf.DUMMYFUNCTION("""COMPUTED_VALUE"""),42345.99861111111)</f>
        <v>42345.99861</v>
      </c>
      <c r="B1982" s="1">
        <f>IFERROR(__xludf.DUMMYFUNCTION("""COMPUTED_VALUE"""),1789.3687)</f>
        <v>1789.3687</v>
      </c>
    </row>
    <row r="1983">
      <c r="A1983" s="3">
        <f>IFERROR(__xludf.DUMMYFUNCTION("""COMPUTED_VALUE"""),42346.99861111111)</f>
        <v>42346.99861</v>
      </c>
      <c r="B1983" s="1">
        <f>IFERROR(__xludf.DUMMYFUNCTION("""COMPUTED_VALUE"""),1803.71037)</f>
        <v>1803.71037</v>
      </c>
    </row>
    <row r="1984">
      <c r="A1984" s="3">
        <f>IFERROR(__xludf.DUMMYFUNCTION("""COMPUTED_VALUE"""),42347.99861111111)</f>
        <v>42347.99861</v>
      </c>
      <c r="B1984" s="1">
        <f>IFERROR(__xludf.DUMMYFUNCTION("""COMPUTED_VALUE"""),1795.9584)</f>
        <v>1795.9584</v>
      </c>
    </row>
    <row r="1985">
      <c r="A1985" s="3">
        <f>IFERROR(__xludf.DUMMYFUNCTION("""COMPUTED_VALUE"""),42348.99861111111)</f>
        <v>42348.99861</v>
      </c>
      <c r="B1985" s="1">
        <f>IFERROR(__xludf.DUMMYFUNCTION("""COMPUTED_VALUE"""),1796.6035)</f>
        <v>1796.6035</v>
      </c>
    </row>
    <row r="1986">
      <c r="A1986" s="3">
        <f>IFERROR(__xludf.DUMMYFUNCTION("""COMPUTED_VALUE"""),42349.99861111111)</f>
        <v>42349.99861</v>
      </c>
      <c r="B1986" s="1">
        <f>IFERROR(__xludf.DUMMYFUNCTION("""COMPUTED_VALUE"""),1822.9113)</f>
        <v>1822.9113</v>
      </c>
    </row>
    <row r="1987">
      <c r="A1987" s="3">
        <f>IFERROR(__xludf.DUMMYFUNCTION("""COMPUTED_VALUE"""),42350.99861111111)</f>
        <v>42350.99861</v>
      </c>
      <c r="B1987" s="1">
        <f>IFERROR(__xludf.DUMMYFUNCTION("""COMPUTED_VALUE"""),1832.527705)</f>
        <v>1832.527705</v>
      </c>
    </row>
    <row r="1988">
      <c r="A1988" s="3">
        <f>IFERROR(__xludf.DUMMYFUNCTION("""COMPUTED_VALUE"""),42352.99861111111)</f>
        <v>42352.99861</v>
      </c>
      <c r="B1988" s="1">
        <f>IFERROR(__xludf.DUMMYFUNCTION("""COMPUTED_VALUE"""),1805.89294)</f>
        <v>1805.89294</v>
      </c>
    </row>
    <row r="1989">
      <c r="A1989" s="3">
        <f>IFERROR(__xludf.DUMMYFUNCTION("""COMPUTED_VALUE"""),42353.99861111111)</f>
        <v>42353.99861</v>
      </c>
      <c r="B1989" s="1">
        <f>IFERROR(__xludf.DUMMYFUNCTION("""COMPUTED_VALUE"""),1802.2697)</f>
        <v>1802.2697</v>
      </c>
    </row>
    <row r="1990">
      <c r="A1990" s="3">
        <f>IFERROR(__xludf.DUMMYFUNCTION("""COMPUTED_VALUE"""),42354.99861111111)</f>
        <v>42354.99861</v>
      </c>
      <c r="B1990" s="1">
        <f>IFERROR(__xludf.DUMMYFUNCTION("""COMPUTED_VALUE"""),1775.3152)</f>
        <v>1775.3152</v>
      </c>
    </row>
    <row r="1991">
      <c r="A1991" s="3">
        <f>IFERROR(__xludf.DUMMYFUNCTION("""COMPUTED_VALUE"""),42355.99861111111)</f>
        <v>42355.99861</v>
      </c>
      <c r="B1991" s="1">
        <f>IFERROR(__xludf.DUMMYFUNCTION("""COMPUTED_VALUE"""),1808.4398)</f>
        <v>1808.4398</v>
      </c>
    </row>
    <row r="1992">
      <c r="A1992" s="3">
        <f>IFERROR(__xludf.DUMMYFUNCTION("""COMPUTED_VALUE"""),42356.99861111111)</f>
        <v>42356.99861</v>
      </c>
      <c r="B1992" s="1">
        <f>IFERROR(__xludf.DUMMYFUNCTION("""COMPUTED_VALUE"""),1788.16905)</f>
        <v>1788.16905</v>
      </c>
    </row>
    <row r="1993">
      <c r="A1993" s="3">
        <f>IFERROR(__xludf.DUMMYFUNCTION("""COMPUTED_VALUE"""),42357.99861111111)</f>
        <v>42357.99861</v>
      </c>
      <c r="B1993" s="1">
        <f>IFERROR(__xludf.DUMMYFUNCTION("""COMPUTED_VALUE"""),1798.74459)</f>
        <v>1798.74459</v>
      </c>
    </row>
    <row r="1994">
      <c r="A1994" s="3">
        <f>IFERROR(__xludf.DUMMYFUNCTION("""COMPUTED_VALUE"""),42359.99861111111)</f>
        <v>42359.99861</v>
      </c>
      <c r="B1994" s="1">
        <f>IFERROR(__xludf.DUMMYFUNCTION("""COMPUTED_VALUE"""),1774.9024)</f>
        <v>1774.9024</v>
      </c>
    </row>
    <row r="1995">
      <c r="A1995" s="3">
        <f>IFERROR(__xludf.DUMMYFUNCTION("""COMPUTED_VALUE"""),42360.99861111111)</f>
        <v>42360.99861</v>
      </c>
      <c r="B1995" s="1">
        <f>IFERROR(__xludf.DUMMYFUNCTION("""COMPUTED_VALUE"""),1760.06855)</f>
        <v>1760.06855</v>
      </c>
    </row>
    <row r="1996">
      <c r="A1996" s="3">
        <f>IFERROR(__xludf.DUMMYFUNCTION("""COMPUTED_VALUE"""),42361.99861111111)</f>
        <v>42361.99861</v>
      </c>
      <c r="B1996" s="1">
        <f>IFERROR(__xludf.DUMMYFUNCTION("""COMPUTED_VALUE"""),1757.625)</f>
        <v>1757.625</v>
      </c>
    </row>
    <row r="1997">
      <c r="A1997" s="3">
        <f>IFERROR(__xludf.DUMMYFUNCTION("""COMPUTED_VALUE"""),42362.99861111111)</f>
        <v>42362.99861</v>
      </c>
      <c r="B1997" s="1">
        <f>IFERROR(__xludf.DUMMYFUNCTION("""COMPUTED_VALUE"""),1758.1337)</f>
        <v>1758.1337</v>
      </c>
    </row>
    <row r="1998">
      <c r="A1998" s="3">
        <f>IFERROR(__xludf.DUMMYFUNCTION("""COMPUTED_VALUE"""),42363.99861111111)</f>
        <v>42363.99861</v>
      </c>
      <c r="B1998" s="1">
        <f>IFERROR(__xludf.DUMMYFUNCTION("""COMPUTED_VALUE"""),1758.1337)</f>
        <v>1758.1337</v>
      </c>
    </row>
    <row r="1999">
      <c r="A1999" s="3">
        <f>IFERROR(__xludf.DUMMYFUNCTION("""COMPUTED_VALUE"""),42366.99861111111)</f>
        <v>42366.99861</v>
      </c>
      <c r="B1999" s="1">
        <f>IFERROR(__xludf.DUMMYFUNCTION("""COMPUTED_VALUE"""),1740.855)</f>
        <v>1740.855</v>
      </c>
    </row>
    <row r="2000">
      <c r="A2000" s="3">
        <f>IFERROR(__xludf.DUMMYFUNCTION("""COMPUTED_VALUE"""),42367.99861111111)</f>
        <v>42367.99861</v>
      </c>
      <c r="B2000" s="1">
        <f>IFERROR(__xludf.DUMMYFUNCTION("""COMPUTED_VALUE"""),1765.11482)</f>
        <v>1765.11482</v>
      </c>
    </row>
    <row r="2001">
      <c r="A2001" s="3">
        <f>IFERROR(__xludf.DUMMYFUNCTION("""COMPUTED_VALUE"""),42368.99861111111)</f>
        <v>42368.99861</v>
      </c>
      <c r="B2001" s="1">
        <f>IFERROR(__xludf.DUMMYFUNCTION("""COMPUTED_VALUE"""),1785.86655)</f>
        <v>1785.86655</v>
      </c>
    </row>
    <row r="2002">
      <c r="A2002" s="3">
        <f>IFERROR(__xludf.DUMMYFUNCTION("""COMPUTED_VALUE"""),42369.99861111111)</f>
        <v>42369.99861</v>
      </c>
      <c r="B2002" s="1">
        <f>IFERROR(__xludf.DUMMYFUNCTION("""COMPUTED_VALUE"""),1777.11275)</f>
        <v>1777.11275</v>
      </c>
    </row>
    <row r="2003">
      <c r="A2003" s="3">
        <f>IFERROR(__xludf.DUMMYFUNCTION("""COMPUTED_VALUE"""),42370.99861111111)</f>
        <v>42370.99861</v>
      </c>
      <c r="B2003" s="1">
        <f>IFERROR(__xludf.DUMMYFUNCTION("""COMPUTED_VALUE"""),1776.975)</f>
        <v>1776.975</v>
      </c>
    </row>
    <row r="2004">
      <c r="A2004" s="3">
        <f>IFERROR(__xludf.DUMMYFUNCTION("""COMPUTED_VALUE"""),42372.99861111111)</f>
        <v>42372.99861</v>
      </c>
      <c r="B2004" s="1">
        <f>IFERROR(__xludf.DUMMYFUNCTION("""COMPUTED_VALUE"""),1781.76735)</f>
        <v>1781.76735</v>
      </c>
    </row>
    <row r="2005">
      <c r="A2005" s="3">
        <f>IFERROR(__xludf.DUMMYFUNCTION("""COMPUTED_VALUE"""),42373.99861111111)</f>
        <v>42373.99861</v>
      </c>
      <c r="B2005" s="1">
        <f>IFERROR(__xludf.DUMMYFUNCTION("""COMPUTED_VALUE"""),1800.31343)</f>
        <v>1800.31343</v>
      </c>
    </row>
    <row r="2006">
      <c r="A2006" s="3">
        <f>IFERROR(__xludf.DUMMYFUNCTION("""COMPUTED_VALUE"""),42374.99861111111)</f>
        <v>42374.99861</v>
      </c>
      <c r="B2006" s="1">
        <f>IFERROR(__xludf.DUMMYFUNCTION("""COMPUTED_VALUE"""),1780.98305)</f>
        <v>1780.98305</v>
      </c>
    </row>
    <row r="2007">
      <c r="A2007" s="3">
        <f>IFERROR(__xludf.DUMMYFUNCTION("""COMPUTED_VALUE"""),42375.99861111111)</f>
        <v>42375.99861</v>
      </c>
      <c r="B2007" s="1">
        <f>IFERROR(__xludf.DUMMYFUNCTION("""COMPUTED_VALUE"""),1793.32785)</f>
        <v>1793.32785</v>
      </c>
    </row>
    <row r="2008">
      <c r="A2008" s="3">
        <f>IFERROR(__xludf.DUMMYFUNCTION("""COMPUTED_VALUE"""),42376.99861111111)</f>
        <v>42376.99861</v>
      </c>
      <c r="B2008" s="1">
        <f>IFERROR(__xludf.DUMMYFUNCTION("""COMPUTED_VALUE"""),1795.9949)</f>
        <v>1795.9949</v>
      </c>
    </row>
    <row r="2009">
      <c r="A2009" s="3">
        <f>IFERROR(__xludf.DUMMYFUNCTION("""COMPUTED_VALUE"""),42377.99861111111)</f>
        <v>42377.99861</v>
      </c>
      <c r="B2009" s="1">
        <f>IFERROR(__xludf.DUMMYFUNCTION("""COMPUTED_VALUE"""),1788.6153)</f>
        <v>1788.6153</v>
      </c>
    </row>
    <row r="2010">
      <c r="A2010" s="3">
        <f>IFERROR(__xludf.DUMMYFUNCTION("""COMPUTED_VALUE"""),42379.99861111111)</f>
        <v>42379.99861</v>
      </c>
      <c r="B2010" s="1">
        <f>IFERROR(__xludf.DUMMYFUNCTION("""COMPUTED_VALUE"""),1808.847822)</f>
        <v>1808.847822</v>
      </c>
    </row>
    <row r="2011">
      <c r="A2011" s="3">
        <f>IFERROR(__xludf.DUMMYFUNCTION("""COMPUTED_VALUE"""),42380.99861111111)</f>
        <v>42380.99861</v>
      </c>
      <c r="B2011" s="1">
        <f>IFERROR(__xludf.DUMMYFUNCTION("""COMPUTED_VALUE"""),1777.94595)</f>
        <v>1777.94595</v>
      </c>
    </row>
    <row r="2012">
      <c r="A2012" s="3">
        <f>IFERROR(__xludf.DUMMYFUNCTION("""COMPUTED_VALUE"""),42381.99861111111)</f>
        <v>42381.99861</v>
      </c>
      <c r="B2012" s="1">
        <f>IFERROR(__xludf.DUMMYFUNCTION("""COMPUTED_VALUE"""),1777.20985)</f>
        <v>1777.20985</v>
      </c>
    </row>
    <row r="2013">
      <c r="A2013" s="3">
        <f>IFERROR(__xludf.DUMMYFUNCTION("""COMPUTED_VALUE"""),42382.99861111111)</f>
        <v>42382.99861</v>
      </c>
      <c r="B2013" s="1">
        <f>IFERROR(__xludf.DUMMYFUNCTION("""COMPUTED_VALUE"""),1784.32442)</f>
        <v>1784.32442</v>
      </c>
    </row>
    <row r="2014">
      <c r="A2014" s="3">
        <f>IFERROR(__xludf.DUMMYFUNCTION("""COMPUTED_VALUE"""),42383.99861111111)</f>
        <v>42383.99861</v>
      </c>
      <c r="B2014" s="1">
        <f>IFERROR(__xludf.DUMMYFUNCTION("""COMPUTED_VALUE"""),1776.65075)</f>
        <v>1776.65075</v>
      </c>
    </row>
    <row r="2015">
      <c r="A2015" s="3">
        <f>IFERROR(__xludf.DUMMYFUNCTION("""COMPUTED_VALUE"""),42384.99861111111)</f>
        <v>42384.99861</v>
      </c>
      <c r="B2015" s="1">
        <f>IFERROR(__xludf.DUMMYFUNCTION("""COMPUTED_VALUE"""),1792.17698)</f>
        <v>1792.17698</v>
      </c>
    </row>
    <row r="2016">
      <c r="A2016" s="3">
        <f>IFERROR(__xludf.DUMMYFUNCTION("""COMPUTED_VALUE"""),42386.99861111111)</f>
        <v>42386.99861</v>
      </c>
      <c r="B2016" s="1">
        <f>IFERROR(__xludf.DUMMYFUNCTION("""COMPUTED_VALUE"""),1794.405083)</f>
        <v>1794.405083</v>
      </c>
    </row>
    <row r="2017">
      <c r="A2017" s="3">
        <f>IFERROR(__xludf.DUMMYFUNCTION("""COMPUTED_VALUE"""),42387.99861111111)</f>
        <v>42387.99861</v>
      </c>
      <c r="B2017" s="1">
        <f>IFERROR(__xludf.DUMMYFUNCTION("""COMPUTED_VALUE"""),1784.9065)</f>
        <v>1784.9065</v>
      </c>
    </row>
    <row r="2018">
      <c r="A2018" s="3">
        <f>IFERROR(__xludf.DUMMYFUNCTION("""COMPUTED_VALUE"""),42388.99861111111)</f>
        <v>42388.99861</v>
      </c>
      <c r="B2018" s="1">
        <f>IFERROR(__xludf.DUMMYFUNCTION("""COMPUTED_VALUE"""),1768.0272)</f>
        <v>1768.0272</v>
      </c>
    </row>
    <row r="2019">
      <c r="A2019" s="3">
        <f>IFERROR(__xludf.DUMMYFUNCTION("""COMPUTED_VALUE"""),42389.99861111111)</f>
        <v>42389.99861</v>
      </c>
      <c r="B2019" s="1">
        <f>IFERROR(__xludf.DUMMYFUNCTION("""COMPUTED_VALUE"""),1767.6645)</f>
        <v>1767.6645</v>
      </c>
    </row>
    <row r="2020">
      <c r="A2020" s="3">
        <f>IFERROR(__xludf.DUMMYFUNCTION("""COMPUTED_VALUE"""),42390.99861111111)</f>
        <v>42390.99861</v>
      </c>
      <c r="B2020" s="1">
        <f>IFERROR(__xludf.DUMMYFUNCTION("""COMPUTED_VALUE"""),1762.29431)</f>
        <v>1762.29431</v>
      </c>
    </row>
    <row r="2021">
      <c r="A2021" s="3">
        <f>IFERROR(__xludf.DUMMYFUNCTION("""COMPUTED_VALUE"""),42391.99861111111)</f>
        <v>42391.99861</v>
      </c>
      <c r="B2021" s="1">
        <f>IFERROR(__xludf.DUMMYFUNCTION("""COMPUTED_VALUE"""),1762.22793)</f>
        <v>1762.22793</v>
      </c>
    </row>
    <row r="2022">
      <c r="A2022" s="3">
        <f>IFERROR(__xludf.DUMMYFUNCTION("""COMPUTED_VALUE"""),42392.99861111111)</f>
        <v>42392.99861</v>
      </c>
      <c r="B2022" s="1">
        <f>IFERROR(__xludf.DUMMYFUNCTION("""COMPUTED_VALUE"""),1775.622562)</f>
        <v>1775.622562</v>
      </c>
    </row>
    <row r="2023">
      <c r="A2023" s="3">
        <f>IFERROR(__xludf.DUMMYFUNCTION("""COMPUTED_VALUE"""),42393.99861111111)</f>
        <v>42393.99861</v>
      </c>
      <c r="B2023" s="1">
        <f>IFERROR(__xludf.DUMMYFUNCTION("""COMPUTED_VALUE"""),1775.622562)</f>
        <v>1775.622562</v>
      </c>
    </row>
    <row r="2024">
      <c r="A2024" s="3">
        <f>IFERROR(__xludf.DUMMYFUNCTION("""COMPUTED_VALUE"""),42394.99861111111)</f>
        <v>42394.99861</v>
      </c>
      <c r="B2024" s="1">
        <f>IFERROR(__xludf.DUMMYFUNCTION("""COMPUTED_VALUE"""),1774.2507)</f>
        <v>1774.2507</v>
      </c>
    </row>
    <row r="2025">
      <c r="A2025" s="3">
        <f>IFERROR(__xludf.DUMMYFUNCTION("""COMPUTED_VALUE"""),42395.99861111111)</f>
        <v>42395.99861</v>
      </c>
      <c r="B2025" s="1">
        <f>IFERROR(__xludf.DUMMYFUNCTION("""COMPUTED_VALUE"""),1780.6652)</f>
        <v>1780.6652</v>
      </c>
    </row>
    <row r="2026">
      <c r="A2026" s="3">
        <f>IFERROR(__xludf.DUMMYFUNCTION("""COMPUTED_VALUE"""),42396.99861111111)</f>
        <v>42396.99861</v>
      </c>
      <c r="B2026" s="1">
        <f>IFERROR(__xludf.DUMMYFUNCTION("""COMPUTED_VALUE"""),1770.65858)</f>
        <v>1770.65858</v>
      </c>
    </row>
    <row r="2027">
      <c r="A2027" s="3">
        <f>IFERROR(__xludf.DUMMYFUNCTION("""COMPUTED_VALUE"""),42397.99861111111)</f>
        <v>42397.99861</v>
      </c>
      <c r="B2027" s="1">
        <f>IFERROR(__xludf.DUMMYFUNCTION("""COMPUTED_VALUE"""),1765.7742)</f>
        <v>1765.7742</v>
      </c>
    </row>
    <row r="2028">
      <c r="A2028" s="3">
        <f>IFERROR(__xludf.DUMMYFUNCTION("""COMPUTED_VALUE"""),42398.99861111111)</f>
        <v>42398.99861</v>
      </c>
      <c r="B2028" s="1">
        <f>IFERROR(__xludf.DUMMYFUNCTION("""COMPUTED_VALUE"""),1756.55375)</f>
        <v>1756.55375</v>
      </c>
    </row>
    <row r="2029">
      <c r="A2029" s="3">
        <f>IFERROR(__xludf.DUMMYFUNCTION("""COMPUTED_VALUE"""),42400.99861111111)</f>
        <v>42400.99861</v>
      </c>
      <c r="B2029" s="1">
        <f>IFERROR(__xludf.DUMMYFUNCTION("""COMPUTED_VALUE"""),1811.84737)</f>
        <v>1811.84737</v>
      </c>
    </row>
    <row r="2030">
      <c r="A2030" s="3">
        <f>IFERROR(__xludf.DUMMYFUNCTION("""COMPUTED_VALUE"""),42401.99861111111)</f>
        <v>42401.99861</v>
      </c>
      <c r="B2030" s="1">
        <f>IFERROR(__xludf.DUMMYFUNCTION("""COMPUTED_VALUE"""),1751.8639)</f>
        <v>1751.8639</v>
      </c>
    </row>
    <row r="2031">
      <c r="A2031" s="3">
        <f>IFERROR(__xludf.DUMMYFUNCTION("""COMPUTED_VALUE"""),42402.99861111111)</f>
        <v>42402.99861</v>
      </c>
      <c r="B2031" s="1">
        <f>IFERROR(__xludf.DUMMYFUNCTION("""COMPUTED_VALUE"""),1761.4217)</f>
        <v>1761.4217</v>
      </c>
    </row>
    <row r="2032">
      <c r="A2032" s="3">
        <f>IFERROR(__xludf.DUMMYFUNCTION("""COMPUTED_VALUE"""),42403.99861111111)</f>
        <v>42403.99861</v>
      </c>
      <c r="B2032" s="1">
        <f>IFERROR(__xludf.DUMMYFUNCTION("""COMPUTED_VALUE"""),1742.5706)</f>
        <v>1742.5706</v>
      </c>
    </row>
    <row r="2033">
      <c r="A2033" s="3">
        <f>IFERROR(__xludf.DUMMYFUNCTION("""COMPUTED_VALUE"""),42404.99861111111)</f>
        <v>42404.99861</v>
      </c>
      <c r="B2033" s="1">
        <f>IFERROR(__xludf.DUMMYFUNCTION("""COMPUTED_VALUE"""),1747.50856)</f>
        <v>1747.50856</v>
      </c>
    </row>
    <row r="2034">
      <c r="A2034" s="3">
        <f>IFERROR(__xludf.DUMMYFUNCTION("""COMPUTED_VALUE"""),42405.99861111111)</f>
        <v>42405.99861</v>
      </c>
      <c r="B2034" s="1">
        <f>IFERROR(__xludf.DUMMYFUNCTION("""COMPUTED_VALUE"""),1742.9555)</f>
        <v>1742.9555</v>
      </c>
    </row>
    <row r="2035">
      <c r="A2035" s="3">
        <f>IFERROR(__xludf.DUMMYFUNCTION("""COMPUTED_VALUE"""),42406.99861111111)</f>
        <v>42406.99861</v>
      </c>
      <c r="B2035" s="1">
        <f>IFERROR(__xludf.DUMMYFUNCTION("""COMPUTED_VALUE"""),1746.394278)</f>
        <v>1746.394278</v>
      </c>
    </row>
    <row r="2036">
      <c r="A2036" s="3">
        <f>IFERROR(__xludf.DUMMYFUNCTION("""COMPUTED_VALUE"""),42407.99861111111)</f>
        <v>42407.99861</v>
      </c>
      <c r="B2036" s="1">
        <f>IFERROR(__xludf.DUMMYFUNCTION("""COMPUTED_VALUE"""),1747.546631)</f>
        <v>1747.546631</v>
      </c>
    </row>
    <row r="2037">
      <c r="A2037" s="3">
        <f>IFERROR(__xludf.DUMMYFUNCTION("""COMPUTED_VALUE"""),42408.99861111111)</f>
        <v>42408.99861</v>
      </c>
      <c r="B2037" s="1">
        <f>IFERROR(__xludf.DUMMYFUNCTION("""COMPUTED_VALUE"""),1754.6308)</f>
        <v>1754.6308</v>
      </c>
    </row>
    <row r="2038">
      <c r="A2038" s="3">
        <f>IFERROR(__xludf.DUMMYFUNCTION("""COMPUTED_VALUE"""),42409.99861111111)</f>
        <v>42409.99861</v>
      </c>
      <c r="B2038" s="1">
        <f>IFERROR(__xludf.DUMMYFUNCTION("""COMPUTED_VALUE"""),1739.07)</f>
        <v>1739.07</v>
      </c>
    </row>
    <row r="2039">
      <c r="A2039" s="3">
        <f>IFERROR(__xludf.DUMMYFUNCTION("""COMPUTED_VALUE"""),42410.99861111111)</f>
        <v>42410.99861</v>
      </c>
      <c r="B2039" s="1">
        <f>IFERROR(__xludf.DUMMYFUNCTION("""COMPUTED_VALUE"""),1726.41105)</f>
        <v>1726.41105</v>
      </c>
    </row>
    <row r="2040">
      <c r="A2040" s="3">
        <f>IFERROR(__xludf.DUMMYFUNCTION("""COMPUTED_VALUE"""),42411.99861111111)</f>
        <v>42411.99861</v>
      </c>
      <c r="B2040" s="1">
        <f>IFERROR(__xludf.DUMMYFUNCTION("""COMPUTED_VALUE"""),1730.0232)</f>
        <v>1730.0232</v>
      </c>
    </row>
    <row r="2041">
      <c r="A2041" s="3">
        <f>IFERROR(__xludf.DUMMYFUNCTION("""COMPUTED_VALUE"""),42412.99861111111)</f>
        <v>42412.99861</v>
      </c>
      <c r="B2041" s="1">
        <f>IFERROR(__xludf.DUMMYFUNCTION("""COMPUTED_VALUE"""),1727.8288)</f>
        <v>1727.8288</v>
      </c>
    </row>
    <row r="2042">
      <c r="A2042" s="3">
        <f>IFERROR(__xludf.DUMMYFUNCTION("""COMPUTED_VALUE"""),42414.99861111111)</f>
        <v>42414.99861</v>
      </c>
      <c r="B2042" s="1">
        <f>IFERROR(__xludf.DUMMYFUNCTION("""COMPUTED_VALUE"""),1739.023684)</f>
        <v>1739.023684</v>
      </c>
    </row>
    <row r="2043">
      <c r="A2043" s="3">
        <f>IFERROR(__xludf.DUMMYFUNCTION("""COMPUTED_VALUE"""),42415.99861111111)</f>
        <v>42415.99861</v>
      </c>
      <c r="B2043" s="1">
        <f>IFERROR(__xludf.DUMMYFUNCTION("""COMPUTED_VALUE"""),1704.7755)</f>
        <v>1704.7755</v>
      </c>
    </row>
    <row r="2044">
      <c r="A2044" s="3">
        <f>IFERROR(__xludf.DUMMYFUNCTION("""COMPUTED_VALUE"""),42416.99861111111)</f>
        <v>42416.99861</v>
      </c>
      <c r="B2044" s="1">
        <f>IFERROR(__xludf.DUMMYFUNCTION("""COMPUTED_VALUE"""),1719.37098)</f>
        <v>1719.37098</v>
      </c>
    </row>
    <row r="2045">
      <c r="A2045" s="3">
        <f>IFERROR(__xludf.DUMMYFUNCTION("""COMPUTED_VALUE"""),42417.99861111111)</f>
        <v>42417.99861</v>
      </c>
      <c r="B2045" s="1">
        <f>IFERROR(__xludf.DUMMYFUNCTION("""COMPUTED_VALUE"""),1733.4)</f>
        <v>1733.4</v>
      </c>
    </row>
    <row r="2046">
      <c r="A2046" s="3">
        <f>IFERROR(__xludf.DUMMYFUNCTION("""COMPUTED_VALUE"""),42418.99861111111)</f>
        <v>42418.99861</v>
      </c>
      <c r="B2046" s="1">
        <f>IFERROR(__xludf.DUMMYFUNCTION("""COMPUTED_VALUE"""),1723.96165)</f>
        <v>1723.96165</v>
      </c>
    </row>
    <row r="2047">
      <c r="A2047" s="3">
        <f>IFERROR(__xludf.DUMMYFUNCTION("""COMPUTED_VALUE"""),42419.99861111111)</f>
        <v>42419.99861</v>
      </c>
      <c r="B2047" s="1">
        <f>IFERROR(__xludf.DUMMYFUNCTION("""COMPUTED_VALUE"""),1726.04085)</f>
        <v>1726.04085</v>
      </c>
    </row>
    <row r="2048">
      <c r="A2048" s="3">
        <f>IFERROR(__xludf.DUMMYFUNCTION("""COMPUTED_VALUE"""),42420.99861111111)</f>
        <v>42420.99861</v>
      </c>
      <c r="B2048" s="1">
        <f>IFERROR(__xludf.DUMMYFUNCTION("""COMPUTED_VALUE"""),1740.458829)</f>
        <v>1740.458829</v>
      </c>
    </row>
    <row r="2049">
      <c r="A2049" s="3">
        <f>IFERROR(__xludf.DUMMYFUNCTION("""COMPUTED_VALUE"""),42421.99861111111)</f>
        <v>42421.99861</v>
      </c>
      <c r="B2049" s="1">
        <f>IFERROR(__xludf.DUMMYFUNCTION("""COMPUTED_VALUE"""),1740.458829)</f>
        <v>1740.458829</v>
      </c>
    </row>
    <row r="2050">
      <c r="A2050" s="3">
        <f>IFERROR(__xludf.DUMMYFUNCTION("""COMPUTED_VALUE"""),42422.99861111111)</f>
        <v>42422.99861</v>
      </c>
      <c r="B2050" s="1">
        <f>IFERROR(__xludf.DUMMYFUNCTION("""COMPUTED_VALUE"""),1722.24795)</f>
        <v>1722.24795</v>
      </c>
    </row>
    <row r="2051">
      <c r="A2051" s="3">
        <f>IFERROR(__xludf.DUMMYFUNCTION("""COMPUTED_VALUE"""),42423.99861111111)</f>
        <v>42423.99861</v>
      </c>
      <c r="B2051" s="1">
        <f>IFERROR(__xludf.DUMMYFUNCTION("""COMPUTED_VALUE"""),1725.867)</f>
        <v>1725.867</v>
      </c>
    </row>
    <row r="2052">
      <c r="A2052" s="3">
        <f>IFERROR(__xludf.DUMMYFUNCTION("""COMPUTED_VALUE"""),42424.99861111111)</f>
        <v>42424.99861</v>
      </c>
      <c r="B2052" s="1">
        <f>IFERROR(__xludf.DUMMYFUNCTION("""COMPUTED_VALUE"""),1722.51565)</f>
        <v>1722.51565</v>
      </c>
    </row>
    <row r="2053">
      <c r="A2053" s="3">
        <f>IFERROR(__xludf.DUMMYFUNCTION("""COMPUTED_VALUE"""),42425.99861111111)</f>
        <v>42425.99861</v>
      </c>
      <c r="B2053" s="1">
        <f>IFERROR(__xludf.DUMMYFUNCTION("""COMPUTED_VALUE"""),1728.0381)</f>
        <v>1728.0381</v>
      </c>
    </row>
    <row r="2054">
      <c r="A2054" s="3">
        <f>IFERROR(__xludf.DUMMYFUNCTION("""COMPUTED_VALUE"""),42426.99861111111)</f>
        <v>42426.99861</v>
      </c>
      <c r="B2054" s="1">
        <f>IFERROR(__xludf.DUMMYFUNCTION("""COMPUTED_VALUE"""),1725.78375)</f>
        <v>1725.78375</v>
      </c>
    </row>
    <row r="2055">
      <c r="A2055" s="3">
        <f>IFERROR(__xludf.DUMMYFUNCTION("""COMPUTED_VALUE"""),42428.99861111111)</f>
        <v>42428.99861</v>
      </c>
      <c r="B2055" s="1">
        <f>IFERROR(__xludf.DUMMYFUNCTION("""COMPUTED_VALUE"""),1728.225778)</f>
        <v>1728.225778</v>
      </c>
    </row>
    <row r="2056">
      <c r="A2056" s="3">
        <f>IFERROR(__xludf.DUMMYFUNCTION("""COMPUTED_VALUE"""),42429.99861111111)</f>
        <v>42429.99861</v>
      </c>
      <c r="B2056" s="1">
        <f>IFERROR(__xludf.DUMMYFUNCTION("""COMPUTED_VALUE"""),1718.87265)</f>
        <v>1718.87265</v>
      </c>
    </row>
    <row r="2057">
      <c r="A2057" s="3">
        <f>IFERROR(__xludf.DUMMYFUNCTION("""COMPUTED_VALUE"""),42430.99861111111)</f>
        <v>42430.99861</v>
      </c>
      <c r="B2057" s="1">
        <f>IFERROR(__xludf.DUMMYFUNCTION("""COMPUTED_VALUE"""),1703.96544)</f>
        <v>1703.96544</v>
      </c>
    </row>
    <row r="2058">
      <c r="A2058" s="3">
        <f>IFERROR(__xludf.DUMMYFUNCTION("""COMPUTED_VALUE"""),42431.99861111111)</f>
        <v>42431.99861</v>
      </c>
      <c r="B2058" s="1">
        <f>IFERROR(__xludf.DUMMYFUNCTION("""COMPUTED_VALUE"""),1704.21887)</f>
        <v>1704.21887</v>
      </c>
    </row>
    <row r="2059">
      <c r="A2059" s="3">
        <f>IFERROR(__xludf.DUMMYFUNCTION("""COMPUTED_VALUE"""),42432.99861111111)</f>
        <v>42432.99861</v>
      </c>
      <c r="B2059" s="1">
        <f>IFERROR(__xludf.DUMMYFUNCTION("""COMPUTED_VALUE"""),1690.9866)</f>
        <v>1690.9866</v>
      </c>
    </row>
    <row r="2060">
      <c r="A2060" s="3">
        <f>IFERROR(__xludf.DUMMYFUNCTION("""COMPUTED_VALUE"""),42433.99861111111)</f>
        <v>42433.99861</v>
      </c>
      <c r="B2060" s="1">
        <f>IFERROR(__xludf.DUMMYFUNCTION("""COMPUTED_VALUE"""),1678.0064)</f>
        <v>1678.0064</v>
      </c>
    </row>
    <row r="2061">
      <c r="A2061" s="3">
        <f>IFERROR(__xludf.DUMMYFUNCTION("""COMPUTED_VALUE"""),42435.99861111111)</f>
        <v>42435.99861</v>
      </c>
      <c r="B2061" s="1">
        <f>IFERROR(__xludf.DUMMYFUNCTION("""COMPUTED_VALUE"""),1717.332904)</f>
        <v>1717.332904</v>
      </c>
    </row>
    <row r="2062">
      <c r="A2062" s="3">
        <f>IFERROR(__xludf.DUMMYFUNCTION("""COMPUTED_VALUE"""),42436.99861111111)</f>
        <v>42436.99861</v>
      </c>
      <c r="B2062" s="1">
        <f>IFERROR(__xludf.DUMMYFUNCTION("""COMPUTED_VALUE"""),1673.75)</f>
        <v>1673.75</v>
      </c>
    </row>
    <row r="2063">
      <c r="A2063" s="3">
        <f>IFERROR(__xludf.DUMMYFUNCTION("""COMPUTED_VALUE"""),42437.99861111111)</f>
        <v>42437.99861</v>
      </c>
      <c r="B2063" s="1">
        <f>IFERROR(__xludf.DUMMYFUNCTION("""COMPUTED_VALUE"""),1696.92194)</f>
        <v>1696.92194</v>
      </c>
    </row>
    <row r="2064">
      <c r="A2064" s="3">
        <f>IFERROR(__xludf.DUMMYFUNCTION("""COMPUTED_VALUE"""),42438.99861111111)</f>
        <v>42438.99861</v>
      </c>
      <c r="B2064" s="1">
        <f>IFERROR(__xludf.DUMMYFUNCTION("""COMPUTED_VALUE"""),1686.494)</f>
        <v>1686.494</v>
      </c>
    </row>
    <row r="2065">
      <c r="A2065" s="3">
        <f>IFERROR(__xludf.DUMMYFUNCTION("""COMPUTED_VALUE"""),42439.99861111111)</f>
        <v>42439.99861</v>
      </c>
      <c r="B2065" s="1">
        <f>IFERROR(__xludf.DUMMYFUNCTION("""COMPUTED_VALUE"""),1691.0127)</f>
        <v>1691.0127</v>
      </c>
    </row>
    <row r="2066">
      <c r="A2066" s="3">
        <f>IFERROR(__xludf.DUMMYFUNCTION("""COMPUTED_VALUE"""),42440.99861111111)</f>
        <v>42440.99861</v>
      </c>
      <c r="B2066" s="1">
        <f>IFERROR(__xludf.DUMMYFUNCTION("""COMPUTED_VALUE"""),1667.44669)</f>
        <v>1667.44669</v>
      </c>
    </row>
    <row r="2067">
      <c r="A2067" s="3">
        <f>IFERROR(__xludf.DUMMYFUNCTION("""COMPUTED_VALUE"""),42442.99861111111)</f>
        <v>42442.99861</v>
      </c>
      <c r="B2067" s="1">
        <f>IFERROR(__xludf.DUMMYFUNCTION("""COMPUTED_VALUE"""),1679.659774)</f>
        <v>1679.659774</v>
      </c>
    </row>
    <row r="2068">
      <c r="A2068" s="3">
        <f>IFERROR(__xludf.DUMMYFUNCTION("""COMPUTED_VALUE"""),42443.99861111111)</f>
        <v>42443.99861</v>
      </c>
      <c r="B2068" s="1">
        <f>IFERROR(__xludf.DUMMYFUNCTION("""COMPUTED_VALUE"""),1672.7326)</f>
        <v>1672.7326</v>
      </c>
    </row>
    <row r="2069">
      <c r="A2069" s="3">
        <f>IFERROR(__xludf.DUMMYFUNCTION("""COMPUTED_VALUE"""),42444.99861111111)</f>
        <v>42444.99861</v>
      </c>
      <c r="B2069" s="1">
        <f>IFERROR(__xludf.DUMMYFUNCTION("""COMPUTED_VALUE"""),1690.76732)</f>
        <v>1690.76732</v>
      </c>
    </row>
    <row r="2070">
      <c r="A2070" s="3">
        <f>IFERROR(__xludf.DUMMYFUNCTION("""COMPUTED_VALUE"""),42445.99861111111)</f>
        <v>42445.99861</v>
      </c>
      <c r="B2070" s="1">
        <f>IFERROR(__xludf.DUMMYFUNCTION("""COMPUTED_VALUE"""),1645.5422)</f>
        <v>1645.5422</v>
      </c>
    </row>
    <row r="2071">
      <c r="A2071" s="3">
        <f>IFERROR(__xludf.DUMMYFUNCTION("""COMPUTED_VALUE"""),42446.99861111111)</f>
        <v>42446.99861</v>
      </c>
      <c r="B2071" s="1">
        <f>IFERROR(__xludf.DUMMYFUNCTION("""COMPUTED_VALUE"""),1667.3215)</f>
        <v>1667.3215</v>
      </c>
    </row>
    <row r="2072">
      <c r="A2072" s="3">
        <f>IFERROR(__xludf.DUMMYFUNCTION("""COMPUTED_VALUE"""),42447.99861111111)</f>
        <v>42447.99861</v>
      </c>
      <c r="B2072" s="1">
        <f>IFERROR(__xludf.DUMMYFUNCTION("""COMPUTED_VALUE"""),1680.72858)</f>
        <v>1680.72858</v>
      </c>
    </row>
    <row r="2073">
      <c r="A2073" s="3">
        <f>IFERROR(__xludf.DUMMYFUNCTION("""COMPUTED_VALUE"""),42448.99861111111)</f>
        <v>42448.99861</v>
      </c>
      <c r="B2073" s="1">
        <f>IFERROR(__xludf.DUMMYFUNCTION("""COMPUTED_VALUE"""),1693.954746)</f>
        <v>1693.954746</v>
      </c>
    </row>
    <row r="2074">
      <c r="A2074" s="3">
        <f>IFERROR(__xludf.DUMMYFUNCTION("""COMPUTED_VALUE"""),42449.99861111111)</f>
        <v>42449.99861</v>
      </c>
      <c r="B2074" s="1">
        <f>IFERROR(__xludf.DUMMYFUNCTION("""COMPUTED_VALUE"""),1694.217558)</f>
        <v>1694.217558</v>
      </c>
    </row>
    <row r="2075">
      <c r="A2075" s="3">
        <f>IFERROR(__xludf.DUMMYFUNCTION("""COMPUTED_VALUE"""),42450.99861111111)</f>
        <v>42450.99861</v>
      </c>
      <c r="B2075" s="1">
        <f>IFERROR(__xludf.DUMMYFUNCTION("""COMPUTED_VALUE"""),1700.07968)</f>
        <v>1700.07968</v>
      </c>
    </row>
    <row r="2076">
      <c r="A2076" s="3">
        <f>IFERROR(__xludf.DUMMYFUNCTION("""COMPUTED_VALUE"""),42451.99861111111)</f>
        <v>42451.99861</v>
      </c>
      <c r="B2076" s="1">
        <f>IFERROR(__xludf.DUMMYFUNCTION("""COMPUTED_VALUE"""),1689.50496)</f>
        <v>1689.50496</v>
      </c>
    </row>
    <row r="2077">
      <c r="A2077" s="3">
        <f>IFERROR(__xludf.DUMMYFUNCTION("""COMPUTED_VALUE"""),42452.99861111111)</f>
        <v>42452.99861</v>
      </c>
      <c r="B2077" s="1">
        <f>IFERROR(__xludf.DUMMYFUNCTION("""COMPUTED_VALUE"""),1703.6778)</f>
        <v>1703.6778</v>
      </c>
    </row>
    <row r="2078">
      <c r="A2078" s="3">
        <f>IFERROR(__xludf.DUMMYFUNCTION("""COMPUTED_VALUE"""),42453.99861111111)</f>
        <v>42453.99861</v>
      </c>
      <c r="B2078" s="1">
        <f>IFERROR(__xludf.DUMMYFUNCTION("""COMPUTED_VALUE"""),1705.20438)</f>
        <v>1705.20438</v>
      </c>
    </row>
    <row r="2079">
      <c r="A2079" s="3">
        <f>IFERROR(__xludf.DUMMYFUNCTION("""COMPUTED_VALUE"""),42454.99861111111)</f>
        <v>42454.99861</v>
      </c>
      <c r="B2079" s="1">
        <f>IFERROR(__xludf.DUMMYFUNCTION("""COMPUTED_VALUE"""),1697.3496)</f>
        <v>1697.3496</v>
      </c>
    </row>
    <row r="2080">
      <c r="A2080" s="3">
        <f>IFERROR(__xludf.DUMMYFUNCTION("""COMPUTED_VALUE"""),42456.99861111111)</f>
        <v>42456.99861</v>
      </c>
      <c r="B2080" s="1">
        <f>IFERROR(__xludf.DUMMYFUNCTION("""COMPUTED_VALUE"""),1711.553464)</f>
        <v>1711.553464</v>
      </c>
    </row>
    <row r="2081">
      <c r="A2081" s="3">
        <f>IFERROR(__xludf.DUMMYFUNCTION("""COMPUTED_VALUE"""),42457.99861111111)</f>
        <v>42457.99861</v>
      </c>
      <c r="B2081" s="1">
        <f>IFERROR(__xludf.DUMMYFUNCTION("""COMPUTED_VALUE"""),1711.40142)</f>
        <v>1711.40142</v>
      </c>
    </row>
    <row r="2082">
      <c r="A2082" s="3">
        <f>IFERROR(__xludf.DUMMYFUNCTION("""COMPUTED_VALUE"""),42458.99861111111)</f>
        <v>42458.99861</v>
      </c>
      <c r="B2082" s="1">
        <f>IFERROR(__xludf.DUMMYFUNCTION("""COMPUTED_VALUE"""),1699.0338)</f>
        <v>1699.0338</v>
      </c>
    </row>
    <row r="2083">
      <c r="A2083" s="3">
        <f>IFERROR(__xludf.DUMMYFUNCTION("""COMPUTED_VALUE"""),42459.99861111111)</f>
        <v>42459.99861</v>
      </c>
      <c r="B2083" s="1">
        <f>IFERROR(__xludf.DUMMYFUNCTION("""COMPUTED_VALUE"""),1707.298)</f>
        <v>1707.298</v>
      </c>
    </row>
    <row r="2084">
      <c r="A2084" s="3">
        <f>IFERROR(__xludf.DUMMYFUNCTION("""COMPUTED_VALUE"""),42460.99861111111)</f>
        <v>42460.99861</v>
      </c>
      <c r="B2084" s="1">
        <f>IFERROR(__xludf.DUMMYFUNCTION("""COMPUTED_VALUE"""),1696.0662)</f>
        <v>1696.0662</v>
      </c>
    </row>
    <row r="2085">
      <c r="A2085" s="3">
        <f>IFERROR(__xludf.DUMMYFUNCTION("""COMPUTED_VALUE"""),42461.99861111111)</f>
        <v>42461.99861</v>
      </c>
      <c r="B2085" s="1">
        <f>IFERROR(__xludf.DUMMYFUNCTION("""COMPUTED_VALUE"""),1692.59538)</f>
        <v>1692.59538</v>
      </c>
    </row>
    <row r="2086">
      <c r="A2086" s="3">
        <f>IFERROR(__xludf.DUMMYFUNCTION("""COMPUTED_VALUE"""),42462.99861111111)</f>
        <v>42462.99861</v>
      </c>
      <c r="B2086" s="1">
        <f>IFERROR(__xludf.DUMMYFUNCTION("""COMPUTED_VALUE"""),1694.348964)</f>
        <v>1694.348964</v>
      </c>
    </row>
    <row r="2087">
      <c r="A2087" s="3">
        <f>IFERROR(__xludf.DUMMYFUNCTION("""COMPUTED_VALUE"""),42463.99861111111)</f>
        <v>42463.99861</v>
      </c>
      <c r="B2087" s="1">
        <f>IFERROR(__xludf.DUMMYFUNCTION("""COMPUTED_VALUE"""),1694.086152)</f>
        <v>1694.086152</v>
      </c>
    </row>
    <row r="2088">
      <c r="A2088" s="3">
        <f>IFERROR(__xludf.DUMMYFUNCTION("""COMPUTED_VALUE"""),42464.99861111111)</f>
        <v>42464.99861</v>
      </c>
      <c r="B2088" s="1">
        <f>IFERROR(__xludf.DUMMYFUNCTION("""COMPUTED_VALUE"""),1694.2716)</f>
        <v>1694.2716</v>
      </c>
    </row>
    <row r="2089">
      <c r="A2089" s="3">
        <f>IFERROR(__xludf.DUMMYFUNCTION("""COMPUTED_VALUE"""),42465.99861111111)</f>
        <v>42465.99861</v>
      </c>
      <c r="B2089" s="1">
        <f>IFERROR(__xludf.DUMMYFUNCTION("""COMPUTED_VALUE"""),1702.769)</f>
        <v>1702.769</v>
      </c>
    </row>
    <row r="2090">
      <c r="A2090" s="3">
        <f>IFERROR(__xludf.DUMMYFUNCTION("""COMPUTED_VALUE"""),42466.99861111111)</f>
        <v>42466.99861</v>
      </c>
      <c r="B2090" s="1">
        <f>IFERROR(__xludf.DUMMYFUNCTION("""COMPUTED_VALUE"""),1697.8708)</f>
        <v>1697.8708</v>
      </c>
    </row>
    <row r="2091">
      <c r="A2091" s="3">
        <f>IFERROR(__xludf.DUMMYFUNCTION("""COMPUTED_VALUE"""),42467.99861111111)</f>
        <v>42467.99861</v>
      </c>
      <c r="B2091" s="1">
        <f>IFERROR(__xludf.DUMMYFUNCTION("""COMPUTED_VALUE"""),1697.34392)</f>
        <v>1697.34392</v>
      </c>
    </row>
    <row r="2092">
      <c r="A2092" s="3">
        <f>IFERROR(__xludf.DUMMYFUNCTION("""COMPUTED_VALUE"""),42468.99861111111)</f>
        <v>42468.99861</v>
      </c>
      <c r="B2092" s="1">
        <f>IFERROR(__xludf.DUMMYFUNCTION("""COMPUTED_VALUE"""),1689.9989)</f>
        <v>1689.9989</v>
      </c>
    </row>
    <row r="2093">
      <c r="A2093" s="3">
        <f>IFERROR(__xludf.DUMMYFUNCTION("""COMPUTED_VALUE"""),42469.99861111111)</f>
        <v>42469.99861</v>
      </c>
      <c r="B2093" s="1">
        <f>IFERROR(__xludf.DUMMYFUNCTION("""COMPUTED_VALUE"""),1693.429122)</f>
        <v>1693.429122</v>
      </c>
    </row>
    <row r="2094">
      <c r="A2094" s="3">
        <f>IFERROR(__xludf.DUMMYFUNCTION("""COMPUTED_VALUE"""),42470.99861111111)</f>
        <v>42470.99861</v>
      </c>
      <c r="B2094" s="1">
        <f>IFERROR(__xludf.DUMMYFUNCTION("""COMPUTED_VALUE"""),1693.429122)</f>
        <v>1693.429122</v>
      </c>
    </row>
    <row r="2095">
      <c r="A2095" s="3">
        <f>IFERROR(__xludf.DUMMYFUNCTION("""COMPUTED_VALUE"""),42471.99861111111)</f>
        <v>42471.99861</v>
      </c>
      <c r="B2095" s="1">
        <f>IFERROR(__xludf.DUMMYFUNCTION("""COMPUTED_VALUE"""),1688.33835)</f>
        <v>1688.33835</v>
      </c>
    </row>
    <row r="2096">
      <c r="A2096" s="3">
        <f>IFERROR(__xludf.DUMMYFUNCTION("""COMPUTED_VALUE"""),42472.99861111111)</f>
        <v>42472.99861</v>
      </c>
      <c r="B2096" s="1">
        <f>IFERROR(__xludf.DUMMYFUNCTION("""COMPUTED_VALUE"""),1685.50189)</f>
        <v>1685.50189</v>
      </c>
    </row>
    <row r="2097">
      <c r="A2097" s="3">
        <f>IFERROR(__xludf.DUMMYFUNCTION("""COMPUTED_VALUE"""),42473.99861111111)</f>
        <v>42473.99861</v>
      </c>
      <c r="B2097" s="1">
        <f>IFERROR(__xludf.DUMMYFUNCTION("""COMPUTED_VALUE"""),1694.52195)</f>
        <v>1694.52195</v>
      </c>
    </row>
    <row r="2098">
      <c r="A2098" s="3">
        <f>IFERROR(__xludf.DUMMYFUNCTION("""COMPUTED_VALUE"""),42474.99861111111)</f>
        <v>42474.99861</v>
      </c>
      <c r="B2098" s="1">
        <f>IFERROR(__xludf.DUMMYFUNCTION("""COMPUTED_VALUE"""),1697.8708)</f>
        <v>1697.8708</v>
      </c>
    </row>
    <row r="2099">
      <c r="A2099" s="3">
        <f>IFERROR(__xludf.DUMMYFUNCTION("""COMPUTED_VALUE"""),42475.99861111111)</f>
        <v>42475.99861</v>
      </c>
      <c r="B2099" s="1">
        <f>IFERROR(__xludf.DUMMYFUNCTION("""COMPUTED_VALUE"""),1692.457)</f>
        <v>1692.457</v>
      </c>
    </row>
    <row r="2100">
      <c r="A2100" s="3">
        <f>IFERROR(__xludf.DUMMYFUNCTION("""COMPUTED_VALUE"""),42477.99861111111)</f>
        <v>42477.99861</v>
      </c>
      <c r="B2100" s="1">
        <f>IFERROR(__xludf.DUMMYFUNCTION("""COMPUTED_VALUE"""),1705.290589)</f>
        <v>1705.290589</v>
      </c>
    </row>
    <row r="2101">
      <c r="A2101" s="3">
        <f>IFERROR(__xludf.DUMMYFUNCTION("""COMPUTED_VALUE"""),42478.99861111111)</f>
        <v>42478.99861</v>
      </c>
      <c r="B2101" s="1">
        <f>IFERROR(__xludf.DUMMYFUNCTION("""COMPUTED_VALUE"""),1689.49872)</f>
        <v>1689.49872</v>
      </c>
    </row>
    <row r="2102">
      <c r="A2102" s="3">
        <f>IFERROR(__xludf.DUMMYFUNCTION("""COMPUTED_VALUE"""),42479.99861111111)</f>
        <v>42479.99861</v>
      </c>
      <c r="B2102" s="1">
        <f>IFERROR(__xludf.DUMMYFUNCTION("""COMPUTED_VALUE"""),1687.04712)</f>
        <v>1687.04712</v>
      </c>
    </row>
    <row r="2103">
      <c r="A2103" s="3">
        <f>IFERROR(__xludf.DUMMYFUNCTION("""COMPUTED_VALUE"""),42480.99861111111)</f>
        <v>42480.99861</v>
      </c>
      <c r="B2103" s="1">
        <f>IFERROR(__xludf.DUMMYFUNCTION("""COMPUTED_VALUE"""),1697.36072)</f>
        <v>1697.36072</v>
      </c>
    </row>
    <row r="2104">
      <c r="A2104" s="3">
        <f>IFERROR(__xludf.DUMMYFUNCTION("""COMPUTED_VALUE"""),42481.99861111111)</f>
        <v>42481.99861</v>
      </c>
      <c r="B2104" s="1">
        <f>IFERROR(__xludf.DUMMYFUNCTION("""COMPUTED_VALUE"""),1697.73908)</f>
        <v>1697.73908</v>
      </c>
    </row>
    <row r="2105">
      <c r="A2105" s="3">
        <f>IFERROR(__xludf.DUMMYFUNCTION("""COMPUTED_VALUE"""),42482.99861111111)</f>
        <v>42482.99861</v>
      </c>
      <c r="B2105" s="1">
        <f>IFERROR(__xludf.DUMMYFUNCTION("""COMPUTED_VALUE"""),1700.70355)</f>
        <v>1700.70355</v>
      </c>
    </row>
    <row r="2106">
      <c r="A2106" s="3">
        <f>IFERROR(__xludf.DUMMYFUNCTION("""COMPUTED_VALUE"""),42484.99861111111)</f>
        <v>42484.99861</v>
      </c>
      <c r="B2106" s="1">
        <f>IFERROR(__xludf.DUMMYFUNCTION("""COMPUTED_VALUE"""),1702.904967)</f>
        <v>1702.904967</v>
      </c>
    </row>
    <row r="2107">
      <c r="A2107" s="3">
        <f>IFERROR(__xludf.DUMMYFUNCTION("""COMPUTED_VALUE"""),42485.99861111111)</f>
        <v>42485.99861</v>
      </c>
      <c r="B2107" s="1">
        <f>IFERROR(__xludf.DUMMYFUNCTION("""COMPUTED_VALUE"""),1700.3229)</f>
        <v>1700.3229</v>
      </c>
    </row>
    <row r="2108">
      <c r="A2108" s="3">
        <f>IFERROR(__xludf.DUMMYFUNCTION("""COMPUTED_VALUE"""),42486.99861111111)</f>
        <v>42486.99861</v>
      </c>
      <c r="B2108" s="1">
        <f>IFERROR(__xludf.DUMMYFUNCTION("""COMPUTED_VALUE"""),1696.4556)</f>
        <v>1696.4556</v>
      </c>
    </row>
    <row r="2109">
      <c r="A2109" s="3">
        <f>IFERROR(__xludf.DUMMYFUNCTION("""COMPUTED_VALUE"""),42487.99861111111)</f>
        <v>42487.99861</v>
      </c>
      <c r="B2109" s="1">
        <f>IFERROR(__xludf.DUMMYFUNCTION("""COMPUTED_VALUE"""),1695.6795)</f>
        <v>1695.6795</v>
      </c>
    </row>
    <row r="2110">
      <c r="A2110" s="3">
        <f>IFERROR(__xludf.DUMMYFUNCTION("""COMPUTED_VALUE"""),42488.99861111111)</f>
        <v>42488.99861</v>
      </c>
      <c r="B2110" s="1">
        <f>IFERROR(__xludf.DUMMYFUNCTION("""COMPUTED_VALUE"""),1697.3496)</f>
        <v>1697.3496</v>
      </c>
    </row>
    <row r="2111">
      <c r="A2111" s="3">
        <f>IFERROR(__xludf.DUMMYFUNCTION("""COMPUTED_VALUE"""),42489.99861111111)</f>
        <v>42489.99861</v>
      </c>
      <c r="B2111" s="1">
        <f>IFERROR(__xludf.DUMMYFUNCTION("""COMPUTED_VALUE"""),1698.12575)</f>
        <v>1698.12575</v>
      </c>
    </row>
    <row r="2112">
      <c r="A2112" s="3">
        <f>IFERROR(__xludf.DUMMYFUNCTION("""COMPUTED_VALUE"""),42490.99861111111)</f>
        <v>42490.99861</v>
      </c>
      <c r="B2112" s="1">
        <f>IFERROR(__xludf.DUMMYFUNCTION("""COMPUTED_VALUE"""),1702.772867)</f>
        <v>1702.772867</v>
      </c>
    </row>
    <row r="2113">
      <c r="A2113" s="3">
        <f>IFERROR(__xludf.DUMMYFUNCTION("""COMPUTED_VALUE"""),42491.99861111111)</f>
        <v>42491.99861</v>
      </c>
      <c r="B2113" s="1">
        <f>IFERROR(__xludf.DUMMYFUNCTION("""COMPUTED_VALUE"""),1702.640766)</f>
        <v>1702.640766</v>
      </c>
    </row>
    <row r="2114">
      <c r="A2114" s="3">
        <f>IFERROR(__xludf.DUMMYFUNCTION("""COMPUTED_VALUE"""),42492.99861111111)</f>
        <v>42492.99861</v>
      </c>
      <c r="B2114" s="1">
        <f>IFERROR(__xludf.DUMMYFUNCTION("""COMPUTED_VALUE"""),1687.29075)</f>
        <v>1687.29075</v>
      </c>
    </row>
    <row r="2115">
      <c r="A2115" s="3">
        <f>IFERROR(__xludf.DUMMYFUNCTION("""COMPUTED_VALUE"""),42493.99861111111)</f>
        <v>42493.99861</v>
      </c>
      <c r="B2115" s="1">
        <f>IFERROR(__xludf.DUMMYFUNCTION("""COMPUTED_VALUE"""),1698.228)</f>
        <v>1698.228</v>
      </c>
    </row>
    <row r="2116">
      <c r="A2116" s="3">
        <f>IFERROR(__xludf.DUMMYFUNCTION("""COMPUTED_VALUE"""),42494.99861111111)</f>
        <v>42494.99861</v>
      </c>
      <c r="B2116" s="1">
        <f>IFERROR(__xludf.DUMMYFUNCTION("""COMPUTED_VALUE"""),1719.6135)</f>
        <v>1719.6135</v>
      </c>
    </row>
    <row r="2117">
      <c r="A2117" s="3">
        <f>IFERROR(__xludf.DUMMYFUNCTION("""COMPUTED_VALUE"""),42495.99861111111)</f>
        <v>42495.99861</v>
      </c>
      <c r="B2117" s="1">
        <f>IFERROR(__xludf.DUMMYFUNCTION("""COMPUTED_VALUE"""),1719.1029)</f>
        <v>1719.1029</v>
      </c>
    </row>
    <row r="2118">
      <c r="A2118" s="3">
        <f>IFERROR(__xludf.DUMMYFUNCTION("""COMPUTED_VALUE"""),42496.99861111111)</f>
        <v>42496.99861</v>
      </c>
      <c r="B2118" s="1">
        <f>IFERROR(__xludf.DUMMYFUNCTION("""COMPUTED_VALUE"""),1714.7273)</f>
        <v>1714.7273</v>
      </c>
    </row>
    <row r="2119">
      <c r="A2119" s="3">
        <f>IFERROR(__xludf.DUMMYFUNCTION("""COMPUTED_VALUE"""),42498.99861111111)</f>
        <v>42498.99861</v>
      </c>
      <c r="B2119" s="1">
        <f>IFERROR(__xludf.DUMMYFUNCTION("""COMPUTED_VALUE"""),1726.94296)</f>
        <v>1726.94296</v>
      </c>
    </row>
    <row r="2120">
      <c r="A2120" s="3">
        <f>IFERROR(__xludf.DUMMYFUNCTION("""COMPUTED_VALUE"""),42499.99861111111)</f>
        <v>42499.99861</v>
      </c>
      <c r="B2120" s="1">
        <f>IFERROR(__xludf.DUMMYFUNCTION("""COMPUTED_VALUE"""),1722.69006)</f>
        <v>1722.69006</v>
      </c>
    </row>
    <row r="2121">
      <c r="A2121" s="3">
        <f>IFERROR(__xludf.DUMMYFUNCTION("""COMPUTED_VALUE"""),42500.99861111111)</f>
        <v>42500.99861</v>
      </c>
      <c r="B2121" s="1">
        <f>IFERROR(__xludf.DUMMYFUNCTION("""COMPUTED_VALUE"""),1713.04836)</f>
        <v>1713.04836</v>
      </c>
    </row>
    <row r="2122">
      <c r="A2122" s="3">
        <f>IFERROR(__xludf.DUMMYFUNCTION("""COMPUTED_VALUE"""),42501.99861111111)</f>
        <v>42501.99861</v>
      </c>
      <c r="B2122" s="1">
        <f>IFERROR(__xludf.DUMMYFUNCTION("""COMPUTED_VALUE"""),1706.74348)</f>
        <v>1706.74348</v>
      </c>
    </row>
    <row r="2123">
      <c r="A2123" s="3">
        <f>IFERROR(__xludf.DUMMYFUNCTION("""COMPUTED_VALUE"""),42502.99861111111)</f>
        <v>42502.99861</v>
      </c>
      <c r="B2123" s="1">
        <f>IFERROR(__xludf.DUMMYFUNCTION("""COMPUTED_VALUE"""),1707.7742)</f>
        <v>1707.7742</v>
      </c>
    </row>
    <row r="2124">
      <c r="A2124" s="3">
        <f>IFERROR(__xludf.DUMMYFUNCTION("""COMPUTED_VALUE"""),42503.99861111111)</f>
        <v>42503.99861</v>
      </c>
      <c r="B2124" s="1">
        <f>IFERROR(__xludf.DUMMYFUNCTION("""COMPUTED_VALUE"""),1716.76164)</f>
        <v>1716.76164</v>
      </c>
    </row>
    <row r="2125">
      <c r="A2125" s="3">
        <f>IFERROR(__xludf.DUMMYFUNCTION("""COMPUTED_VALUE"""),42505.99861111111)</f>
        <v>42505.99861</v>
      </c>
      <c r="B2125" s="1">
        <f>IFERROR(__xludf.DUMMYFUNCTION("""COMPUTED_VALUE"""),1714.645948)</f>
        <v>1714.645948</v>
      </c>
    </row>
    <row r="2126">
      <c r="A2126" s="3">
        <f>IFERROR(__xludf.DUMMYFUNCTION("""COMPUTED_VALUE"""),42506.99861111111)</f>
        <v>42506.99861</v>
      </c>
      <c r="B2126" s="1">
        <f>IFERROR(__xludf.DUMMYFUNCTION("""COMPUTED_VALUE"""),1715.3496)</f>
        <v>1715.3496</v>
      </c>
    </row>
    <row r="2127">
      <c r="A2127" s="3">
        <f>IFERROR(__xludf.DUMMYFUNCTION("""COMPUTED_VALUE"""),42507.99861111111)</f>
        <v>42507.99861</v>
      </c>
      <c r="B2127" s="1">
        <f>IFERROR(__xludf.DUMMYFUNCTION("""COMPUTED_VALUE"""),1715.3584)</f>
        <v>1715.3584</v>
      </c>
    </row>
    <row r="2128">
      <c r="A2128" s="3">
        <f>IFERROR(__xludf.DUMMYFUNCTION("""COMPUTED_VALUE"""),42508.99861111111)</f>
        <v>42508.99861</v>
      </c>
      <c r="B2128" s="1">
        <f>IFERROR(__xludf.DUMMYFUNCTION("""COMPUTED_VALUE"""),1729.75625)</f>
        <v>1729.75625</v>
      </c>
    </row>
    <row r="2129">
      <c r="A2129" s="3">
        <f>IFERROR(__xludf.DUMMYFUNCTION("""COMPUTED_VALUE"""),42509.99861111111)</f>
        <v>42509.99861</v>
      </c>
      <c r="B2129" s="1">
        <f>IFERROR(__xludf.DUMMYFUNCTION("""COMPUTED_VALUE"""),1749.9484)</f>
        <v>1749.9484</v>
      </c>
    </row>
    <row r="2130">
      <c r="A2130" s="3">
        <f>IFERROR(__xludf.DUMMYFUNCTION("""COMPUTED_VALUE"""),42510.99861111111)</f>
        <v>42510.99861</v>
      </c>
      <c r="B2130" s="1">
        <f>IFERROR(__xludf.DUMMYFUNCTION("""COMPUTED_VALUE"""),1750.9635)</f>
        <v>1750.9635</v>
      </c>
    </row>
    <row r="2131">
      <c r="A2131" s="3">
        <f>IFERROR(__xludf.DUMMYFUNCTION("""COMPUTED_VALUE"""),42512.99861111111)</f>
        <v>42512.99861</v>
      </c>
      <c r="B2131" s="1">
        <f>IFERROR(__xludf.DUMMYFUNCTION("""COMPUTED_VALUE"""),1753.541178)</f>
        <v>1753.541178</v>
      </c>
    </row>
    <row r="2132">
      <c r="A2132" s="3">
        <f>IFERROR(__xludf.DUMMYFUNCTION("""COMPUTED_VALUE"""),42513.99861111111)</f>
        <v>42513.99861</v>
      </c>
      <c r="B2132" s="1">
        <f>IFERROR(__xludf.DUMMYFUNCTION("""COMPUTED_VALUE"""),1742.8688)</f>
        <v>1742.8688</v>
      </c>
    </row>
    <row r="2133">
      <c r="A2133" s="3">
        <f>IFERROR(__xludf.DUMMYFUNCTION("""COMPUTED_VALUE"""),42514.99861111111)</f>
        <v>42514.99861</v>
      </c>
      <c r="B2133" s="1">
        <f>IFERROR(__xludf.DUMMYFUNCTION("""COMPUTED_VALUE"""),1746.5947)</f>
        <v>1746.5947</v>
      </c>
    </row>
    <row r="2134">
      <c r="A2134" s="3">
        <f>IFERROR(__xludf.DUMMYFUNCTION("""COMPUTED_VALUE"""),42515.99861111111)</f>
        <v>42515.99861</v>
      </c>
      <c r="B2134" s="1">
        <f>IFERROR(__xludf.DUMMYFUNCTION("""COMPUTED_VALUE"""),1752.16608)</f>
        <v>1752.16608</v>
      </c>
    </row>
    <row r="2135">
      <c r="A2135" s="3">
        <f>IFERROR(__xludf.DUMMYFUNCTION("""COMPUTED_VALUE"""),42516.99861111111)</f>
        <v>42516.99861</v>
      </c>
      <c r="B2135" s="1">
        <f>IFERROR(__xludf.DUMMYFUNCTION("""COMPUTED_VALUE"""),1744.43375)</f>
        <v>1744.43375</v>
      </c>
    </row>
    <row r="2136">
      <c r="A2136" s="3">
        <f>IFERROR(__xludf.DUMMYFUNCTION("""COMPUTED_VALUE"""),42517.99861111111)</f>
        <v>42517.99861</v>
      </c>
      <c r="B2136" s="1">
        <f>IFERROR(__xludf.DUMMYFUNCTION("""COMPUTED_VALUE"""),1745.5788)</f>
        <v>1745.5788</v>
      </c>
    </row>
    <row r="2137">
      <c r="A2137" s="3">
        <f>IFERROR(__xludf.DUMMYFUNCTION("""COMPUTED_VALUE"""),42519.99861111111)</f>
        <v>42519.99861</v>
      </c>
      <c r="B2137" s="1">
        <f>IFERROR(__xludf.DUMMYFUNCTION("""COMPUTED_VALUE"""),1768.406112)</f>
        <v>1768.406112</v>
      </c>
    </row>
    <row r="2138">
      <c r="A2138" s="3">
        <f>IFERROR(__xludf.DUMMYFUNCTION("""COMPUTED_VALUE"""),42520.99861111111)</f>
        <v>42520.99861</v>
      </c>
      <c r="B2138" s="1">
        <f>IFERROR(__xludf.DUMMYFUNCTION("""COMPUTED_VALUE"""),1754.3097)</f>
        <v>1754.3097</v>
      </c>
    </row>
    <row r="2139">
      <c r="A2139" s="3">
        <f>IFERROR(__xludf.DUMMYFUNCTION("""COMPUTED_VALUE"""),42521.99861111111)</f>
        <v>42521.99861</v>
      </c>
      <c r="B2139" s="1">
        <f>IFERROR(__xludf.DUMMYFUNCTION("""COMPUTED_VALUE"""),1755.8541)</f>
        <v>1755.8541</v>
      </c>
    </row>
    <row r="2140">
      <c r="A2140" s="3">
        <f>IFERROR(__xludf.DUMMYFUNCTION("""COMPUTED_VALUE"""),42522.99861111111)</f>
        <v>42522.99861</v>
      </c>
      <c r="B2140" s="1">
        <f>IFERROR(__xludf.DUMMYFUNCTION("""COMPUTED_VALUE"""),1751.1987)</f>
        <v>1751.1987</v>
      </c>
    </row>
    <row r="2141">
      <c r="A2141" s="3">
        <f>IFERROR(__xludf.DUMMYFUNCTION("""COMPUTED_VALUE"""),42523.99861111111)</f>
        <v>42523.99861</v>
      </c>
      <c r="B2141" s="1">
        <f>IFERROR(__xludf.DUMMYFUNCTION("""COMPUTED_VALUE"""),1751.1987)</f>
        <v>1751.1987</v>
      </c>
    </row>
    <row r="2142">
      <c r="A2142" s="3">
        <f>IFERROR(__xludf.DUMMYFUNCTION("""COMPUTED_VALUE"""),42524.99861111111)</f>
        <v>42524.99861</v>
      </c>
      <c r="B2142" s="1">
        <f>IFERROR(__xludf.DUMMYFUNCTION("""COMPUTED_VALUE"""),1726.8966)</f>
        <v>1726.8966</v>
      </c>
    </row>
    <row r="2143">
      <c r="A2143" s="3">
        <f>IFERROR(__xludf.DUMMYFUNCTION("""COMPUTED_VALUE"""),42526.99861111111)</f>
        <v>42526.99861</v>
      </c>
      <c r="B2143" s="1">
        <f>IFERROR(__xludf.DUMMYFUNCTION("""COMPUTED_VALUE"""),1734.500196)</f>
        <v>1734.500196</v>
      </c>
    </row>
    <row r="2144">
      <c r="A2144" s="3">
        <f>IFERROR(__xludf.DUMMYFUNCTION("""COMPUTED_VALUE"""),42527.99861111111)</f>
        <v>42527.99861</v>
      </c>
      <c r="B2144" s="1">
        <f>IFERROR(__xludf.DUMMYFUNCTION("""COMPUTED_VALUE"""),1717.89237)</f>
        <v>1717.89237</v>
      </c>
    </row>
    <row r="2145">
      <c r="A2145" s="3">
        <f>IFERROR(__xludf.DUMMYFUNCTION("""COMPUTED_VALUE"""),42528.99861111111)</f>
        <v>42528.99861</v>
      </c>
      <c r="B2145" s="1">
        <f>IFERROR(__xludf.DUMMYFUNCTION("""COMPUTED_VALUE"""),1702.84398)</f>
        <v>1702.84398</v>
      </c>
    </row>
    <row r="2146">
      <c r="A2146" s="3">
        <f>IFERROR(__xludf.DUMMYFUNCTION("""COMPUTED_VALUE"""),42529.99861111111)</f>
        <v>42529.99861</v>
      </c>
      <c r="B2146" s="1">
        <f>IFERROR(__xludf.DUMMYFUNCTION("""COMPUTED_VALUE"""),1701.3322)</f>
        <v>1701.3322</v>
      </c>
    </row>
    <row r="2147">
      <c r="A2147" s="3">
        <f>IFERROR(__xludf.DUMMYFUNCTION("""COMPUTED_VALUE"""),42530.99861111111)</f>
        <v>42530.99861</v>
      </c>
      <c r="B2147" s="1">
        <f>IFERROR(__xludf.DUMMYFUNCTION("""COMPUTED_VALUE"""),1706.7325)</f>
        <v>1706.7325</v>
      </c>
    </row>
    <row r="2148">
      <c r="A2148" s="3">
        <f>IFERROR(__xludf.DUMMYFUNCTION("""COMPUTED_VALUE"""),42531.99861111111)</f>
        <v>42531.99861</v>
      </c>
      <c r="B2148" s="1">
        <f>IFERROR(__xludf.DUMMYFUNCTION("""COMPUTED_VALUE"""),1716.25554)</f>
        <v>1716.25554</v>
      </c>
    </row>
    <row r="2149">
      <c r="A2149" s="3">
        <f>IFERROR(__xludf.DUMMYFUNCTION("""COMPUTED_VALUE"""),42533.99861111111)</f>
        <v>42533.99861</v>
      </c>
      <c r="B2149" s="1">
        <f>IFERROR(__xludf.DUMMYFUNCTION("""COMPUTED_VALUE"""),1721.790934)</f>
        <v>1721.790934</v>
      </c>
    </row>
    <row r="2150">
      <c r="A2150" s="3">
        <f>IFERROR(__xludf.DUMMYFUNCTION("""COMPUTED_VALUE"""),42534.99861111111)</f>
        <v>42534.99861</v>
      </c>
      <c r="B2150" s="1">
        <f>IFERROR(__xludf.DUMMYFUNCTION("""COMPUTED_VALUE"""),1715.61159)</f>
        <v>1715.61159</v>
      </c>
    </row>
    <row r="2151">
      <c r="A2151" s="3">
        <f>IFERROR(__xludf.DUMMYFUNCTION("""COMPUTED_VALUE"""),42535.99861111111)</f>
        <v>42535.99861</v>
      </c>
      <c r="B2151" s="1">
        <f>IFERROR(__xludf.DUMMYFUNCTION("""COMPUTED_VALUE"""),1719.8805)</f>
        <v>1719.8805</v>
      </c>
    </row>
    <row r="2152">
      <c r="A2152" s="3">
        <f>IFERROR(__xludf.DUMMYFUNCTION("""COMPUTED_VALUE"""),42536.99861111111)</f>
        <v>42536.99861</v>
      </c>
      <c r="B2152" s="1">
        <f>IFERROR(__xludf.DUMMYFUNCTION("""COMPUTED_VALUE"""),1716.282)</f>
        <v>1716.282</v>
      </c>
    </row>
    <row r="2153">
      <c r="A2153" s="3">
        <f>IFERROR(__xludf.DUMMYFUNCTION("""COMPUTED_VALUE"""),42537.99861111111)</f>
        <v>42537.99861</v>
      </c>
      <c r="B2153" s="1">
        <f>IFERROR(__xludf.DUMMYFUNCTION("""COMPUTED_VALUE"""),1724.91996)</f>
        <v>1724.91996</v>
      </c>
    </row>
    <row r="2154">
      <c r="A2154" s="3">
        <f>IFERROR(__xludf.DUMMYFUNCTION("""COMPUTED_VALUE"""),42538.99861111111)</f>
        <v>42538.99861</v>
      </c>
      <c r="B2154" s="1">
        <f>IFERROR(__xludf.DUMMYFUNCTION("""COMPUTED_VALUE"""),1717.56156)</f>
        <v>1717.56156</v>
      </c>
    </row>
    <row r="2155">
      <c r="A2155" s="3">
        <f>IFERROR(__xludf.DUMMYFUNCTION("""COMPUTED_VALUE"""),42540.99861111111)</f>
        <v>42540.99861</v>
      </c>
      <c r="B2155" s="1">
        <f>IFERROR(__xludf.DUMMYFUNCTION("""COMPUTED_VALUE"""),1717.866237)</f>
        <v>1717.866237</v>
      </c>
    </row>
    <row r="2156">
      <c r="A2156" s="3">
        <f>IFERROR(__xludf.DUMMYFUNCTION("""COMPUTED_VALUE"""),42541.99861111111)</f>
        <v>42541.99861</v>
      </c>
      <c r="B2156" s="1">
        <f>IFERROR(__xludf.DUMMYFUNCTION("""COMPUTED_VALUE"""),1706.9975)</f>
        <v>1706.9975</v>
      </c>
    </row>
    <row r="2157">
      <c r="A2157" s="3">
        <f>IFERROR(__xludf.DUMMYFUNCTION("""COMPUTED_VALUE"""),42542.99861111111)</f>
        <v>42542.99861</v>
      </c>
      <c r="B2157" s="1">
        <f>IFERROR(__xludf.DUMMYFUNCTION("""COMPUTED_VALUE"""),1708.0393)</f>
        <v>1708.0393</v>
      </c>
    </row>
    <row r="2158">
      <c r="A2158" s="3">
        <f>IFERROR(__xludf.DUMMYFUNCTION("""COMPUTED_VALUE"""),42543.99861111111)</f>
        <v>42543.99861</v>
      </c>
      <c r="B2158" s="1">
        <f>IFERROR(__xludf.DUMMYFUNCTION("""COMPUTED_VALUE"""),1700.5716)</f>
        <v>1700.5716</v>
      </c>
    </row>
    <row r="2159">
      <c r="A2159" s="3">
        <f>IFERROR(__xludf.DUMMYFUNCTION("""COMPUTED_VALUE"""),42544.99861111111)</f>
        <v>42544.99861</v>
      </c>
      <c r="B2159" s="1">
        <f>IFERROR(__xludf.DUMMYFUNCTION("""COMPUTED_VALUE"""),1707.66)</f>
        <v>1707.66</v>
      </c>
    </row>
    <row r="2160">
      <c r="A2160" s="3">
        <f>IFERROR(__xludf.DUMMYFUNCTION("""COMPUTED_VALUE"""),42545.99861111111)</f>
        <v>42545.99861</v>
      </c>
      <c r="B2160" s="1">
        <f>IFERROR(__xludf.DUMMYFUNCTION("""COMPUTED_VALUE"""),1722.9675)</f>
        <v>1722.9675</v>
      </c>
    </row>
    <row r="2161">
      <c r="A2161" s="3">
        <f>IFERROR(__xludf.DUMMYFUNCTION("""COMPUTED_VALUE"""),42547.99861111111)</f>
        <v>42547.99861</v>
      </c>
      <c r="B2161" s="1">
        <f>IFERROR(__xludf.DUMMYFUNCTION("""COMPUTED_VALUE"""),1752.65278)</f>
        <v>1752.65278</v>
      </c>
    </row>
    <row r="2162">
      <c r="A2162" s="3">
        <f>IFERROR(__xludf.DUMMYFUNCTION("""COMPUTED_VALUE"""),42548.99861111111)</f>
        <v>42548.99861</v>
      </c>
      <c r="B2162" s="1">
        <f>IFERROR(__xludf.DUMMYFUNCTION("""COMPUTED_VALUE"""),1724.5234)</f>
        <v>1724.5234</v>
      </c>
    </row>
    <row r="2163">
      <c r="A2163" s="3">
        <f>IFERROR(__xludf.DUMMYFUNCTION("""COMPUTED_VALUE"""),42549.99861111111)</f>
        <v>42549.99861</v>
      </c>
      <c r="B2163" s="1">
        <f>IFERROR(__xludf.DUMMYFUNCTION("""COMPUTED_VALUE"""),1695.9292)</f>
        <v>1695.9292</v>
      </c>
    </row>
    <row r="2164">
      <c r="A2164" s="3">
        <f>IFERROR(__xludf.DUMMYFUNCTION("""COMPUTED_VALUE"""),42550.99861111111)</f>
        <v>42550.99861</v>
      </c>
      <c r="B2164" s="1">
        <f>IFERROR(__xludf.DUMMYFUNCTION("""COMPUTED_VALUE"""),1693.09154)</f>
        <v>1693.09154</v>
      </c>
    </row>
    <row r="2165">
      <c r="A2165" s="3">
        <f>IFERROR(__xludf.DUMMYFUNCTION("""COMPUTED_VALUE"""),42551.99861111111)</f>
        <v>42551.99861</v>
      </c>
      <c r="B2165" s="1">
        <f>IFERROR(__xludf.DUMMYFUNCTION("""COMPUTED_VALUE"""),1697.85645)</f>
        <v>1697.85645</v>
      </c>
    </row>
    <row r="2166">
      <c r="A2166" s="3">
        <f>IFERROR(__xludf.DUMMYFUNCTION("""COMPUTED_VALUE"""),42552.99861111111)</f>
        <v>42552.99861</v>
      </c>
      <c r="B2166" s="1">
        <f>IFERROR(__xludf.DUMMYFUNCTION("""COMPUTED_VALUE"""),1689.9989)</f>
        <v>1689.9989</v>
      </c>
    </row>
    <row r="2167">
      <c r="A2167" s="3">
        <f>IFERROR(__xludf.DUMMYFUNCTION("""COMPUTED_VALUE"""),42553.99861111111)</f>
        <v>42553.99861</v>
      </c>
      <c r="B2167" s="1">
        <f>IFERROR(__xludf.DUMMYFUNCTION("""COMPUTED_VALUE"""),1691.206114)</f>
        <v>1691.206114</v>
      </c>
    </row>
    <row r="2168">
      <c r="A2168" s="3">
        <f>IFERROR(__xludf.DUMMYFUNCTION("""COMPUTED_VALUE"""),42554.99861111111)</f>
        <v>42554.99861</v>
      </c>
      <c r="B2168" s="1">
        <f>IFERROR(__xludf.DUMMYFUNCTION("""COMPUTED_VALUE"""),1691.206114)</f>
        <v>1691.206114</v>
      </c>
    </row>
    <row r="2169">
      <c r="A2169" s="3">
        <f>IFERROR(__xludf.DUMMYFUNCTION("""COMPUTED_VALUE"""),42555.99861111111)</f>
        <v>42555.99861</v>
      </c>
      <c r="B2169" s="1">
        <f>IFERROR(__xludf.DUMMYFUNCTION("""COMPUTED_VALUE"""),1683.0422)</f>
        <v>1683.0422</v>
      </c>
    </row>
    <row r="2170">
      <c r="A2170" s="3">
        <f>IFERROR(__xludf.DUMMYFUNCTION("""COMPUTED_VALUE"""),42556.99861111111)</f>
        <v>42556.99861</v>
      </c>
      <c r="B2170" s="1">
        <f>IFERROR(__xludf.DUMMYFUNCTION("""COMPUTED_VALUE"""),1695.9292)</f>
        <v>1695.9292</v>
      </c>
    </row>
    <row r="2171">
      <c r="A2171" s="3">
        <f>IFERROR(__xludf.DUMMYFUNCTION("""COMPUTED_VALUE"""),42557.99861111111)</f>
        <v>42557.99861</v>
      </c>
      <c r="B2171" s="1">
        <f>IFERROR(__xludf.DUMMYFUNCTION("""COMPUTED_VALUE"""),1702.63044)</f>
        <v>1702.63044</v>
      </c>
    </row>
    <row r="2172">
      <c r="A2172" s="3">
        <f>IFERROR(__xludf.DUMMYFUNCTION("""COMPUTED_VALUE"""),42558.99861111111)</f>
        <v>42558.99861</v>
      </c>
      <c r="B2172" s="1">
        <f>IFERROR(__xludf.DUMMYFUNCTION("""COMPUTED_VALUE"""),1688.328)</f>
        <v>1688.328</v>
      </c>
    </row>
    <row r="2173">
      <c r="A2173" s="3">
        <f>IFERROR(__xludf.DUMMYFUNCTION("""COMPUTED_VALUE"""),42559.99861111111)</f>
        <v>42559.99861</v>
      </c>
      <c r="B2173" s="1">
        <f>IFERROR(__xludf.DUMMYFUNCTION("""COMPUTED_VALUE"""),1688.84135)</f>
        <v>1688.84135</v>
      </c>
    </row>
    <row r="2174">
      <c r="A2174" s="3">
        <f>IFERROR(__xludf.DUMMYFUNCTION("""COMPUTED_VALUE"""),42560.99861111111)</f>
        <v>42560.99861</v>
      </c>
      <c r="B2174" s="1">
        <f>IFERROR(__xludf.DUMMYFUNCTION("""COMPUTED_VALUE"""),1693.560528)</f>
        <v>1693.560528</v>
      </c>
    </row>
    <row r="2175">
      <c r="A2175" s="3">
        <f>IFERROR(__xludf.DUMMYFUNCTION("""COMPUTED_VALUE"""),42561.99861111111)</f>
        <v>42561.99861</v>
      </c>
      <c r="B2175" s="1">
        <f>IFERROR(__xludf.DUMMYFUNCTION("""COMPUTED_VALUE"""),1693.560528)</f>
        <v>1693.560528</v>
      </c>
    </row>
    <row r="2176">
      <c r="A2176" s="3">
        <f>IFERROR(__xludf.DUMMYFUNCTION("""COMPUTED_VALUE"""),42562.99861111111)</f>
        <v>42562.99861</v>
      </c>
      <c r="B2176" s="1">
        <f>IFERROR(__xludf.DUMMYFUNCTION("""COMPUTED_VALUE"""),1690.7744)</f>
        <v>1690.7744</v>
      </c>
    </row>
    <row r="2177">
      <c r="A2177" s="3">
        <f>IFERROR(__xludf.DUMMYFUNCTION("""COMPUTED_VALUE"""),42563.99861111111)</f>
        <v>42563.99861</v>
      </c>
      <c r="B2177" s="1">
        <f>IFERROR(__xludf.DUMMYFUNCTION("""COMPUTED_VALUE"""),1684.97525)</f>
        <v>1684.97525</v>
      </c>
    </row>
    <row r="2178">
      <c r="A2178" s="3">
        <f>IFERROR(__xludf.DUMMYFUNCTION("""COMPUTED_VALUE"""),42564.99861111111)</f>
        <v>42564.99861</v>
      </c>
      <c r="B2178" s="1">
        <f>IFERROR(__xludf.DUMMYFUNCTION("""COMPUTED_VALUE"""),1677.76365)</f>
        <v>1677.76365</v>
      </c>
    </row>
    <row r="2179">
      <c r="A2179" s="3">
        <f>IFERROR(__xludf.DUMMYFUNCTION("""COMPUTED_VALUE"""),42565.99861111111)</f>
        <v>42565.99861</v>
      </c>
      <c r="B2179" s="1">
        <f>IFERROR(__xludf.DUMMYFUNCTION("""COMPUTED_VALUE"""),1678.6686)</f>
        <v>1678.6686</v>
      </c>
    </row>
    <row r="2180">
      <c r="A2180" s="3">
        <f>IFERROR(__xludf.DUMMYFUNCTION("""COMPUTED_VALUE"""),42566.99861111111)</f>
        <v>42566.99861</v>
      </c>
      <c r="B2180" s="1">
        <f>IFERROR(__xludf.DUMMYFUNCTION("""COMPUTED_VALUE"""),1684.21428)</f>
        <v>1684.21428</v>
      </c>
    </row>
    <row r="2181">
      <c r="A2181" s="3">
        <f>IFERROR(__xludf.DUMMYFUNCTION("""COMPUTED_VALUE"""),42567.99861111111)</f>
        <v>42567.99861</v>
      </c>
      <c r="B2181" s="1">
        <f>IFERROR(__xludf.DUMMYFUNCTION("""COMPUTED_VALUE"""),1696.578336)</f>
        <v>1696.578336</v>
      </c>
    </row>
    <row r="2182">
      <c r="A2182" s="3">
        <f>IFERROR(__xludf.DUMMYFUNCTION("""COMPUTED_VALUE"""),42568.99861111111)</f>
        <v>42568.99861</v>
      </c>
      <c r="B2182" s="1">
        <f>IFERROR(__xludf.DUMMYFUNCTION("""COMPUTED_VALUE"""),1696.578336)</f>
        <v>1696.578336</v>
      </c>
    </row>
    <row r="2183">
      <c r="A2183" s="3">
        <f>IFERROR(__xludf.DUMMYFUNCTION("""COMPUTED_VALUE"""),42569.99861111111)</f>
        <v>42569.99861</v>
      </c>
      <c r="B2183" s="1">
        <f>IFERROR(__xludf.DUMMYFUNCTION("""COMPUTED_VALUE"""),1686.14654)</f>
        <v>1686.14654</v>
      </c>
    </row>
    <row r="2184">
      <c r="A2184" s="3">
        <f>IFERROR(__xludf.DUMMYFUNCTION("""COMPUTED_VALUE"""),42570.99861111111)</f>
        <v>42570.99861</v>
      </c>
      <c r="B2184" s="1">
        <f>IFERROR(__xludf.DUMMYFUNCTION("""COMPUTED_VALUE"""),1687.94956)</f>
        <v>1687.94956</v>
      </c>
    </row>
    <row r="2185">
      <c r="A2185" s="3">
        <f>IFERROR(__xludf.DUMMYFUNCTION("""COMPUTED_VALUE"""),42571.99861111111)</f>
        <v>42571.99861</v>
      </c>
      <c r="B2185" s="1">
        <f>IFERROR(__xludf.DUMMYFUNCTION("""COMPUTED_VALUE"""),1689.36555)</f>
        <v>1689.36555</v>
      </c>
    </row>
    <row r="2186">
      <c r="A2186" s="3">
        <f>IFERROR(__xludf.DUMMYFUNCTION("""COMPUTED_VALUE"""),42572.99861111111)</f>
        <v>42572.99861</v>
      </c>
      <c r="B2186" s="1">
        <f>IFERROR(__xludf.DUMMYFUNCTION("""COMPUTED_VALUE"""),1690.13901)</f>
        <v>1690.13901</v>
      </c>
    </row>
    <row r="2187">
      <c r="A2187" s="3">
        <f>IFERROR(__xludf.DUMMYFUNCTION("""COMPUTED_VALUE"""),42573.99861111111)</f>
        <v>42573.99861</v>
      </c>
      <c r="B2187" s="1">
        <f>IFERROR(__xludf.DUMMYFUNCTION("""COMPUTED_VALUE"""),1689.87231)</f>
        <v>1689.87231</v>
      </c>
    </row>
    <row r="2188">
      <c r="A2188" s="3">
        <f>IFERROR(__xludf.DUMMYFUNCTION("""COMPUTED_VALUE"""),42575.99861111111)</f>
        <v>42575.99861</v>
      </c>
      <c r="B2188" s="1">
        <f>IFERROR(__xludf.DUMMYFUNCTION("""COMPUTED_VALUE"""),1691.468581)</f>
        <v>1691.468581</v>
      </c>
    </row>
    <row r="2189">
      <c r="A2189" s="3">
        <f>IFERROR(__xludf.DUMMYFUNCTION("""COMPUTED_VALUE"""),42576.99861111111)</f>
        <v>42576.99861</v>
      </c>
      <c r="B2189" s="1">
        <f>IFERROR(__xludf.DUMMYFUNCTION("""COMPUTED_VALUE"""),1687.9455)</f>
        <v>1687.9455</v>
      </c>
    </row>
    <row r="2190">
      <c r="A2190" s="3">
        <f>IFERROR(__xludf.DUMMYFUNCTION("""COMPUTED_VALUE"""),42577.99861111111)</f>
        <v>42577.99861</v>
      </c>
      <c r="B2190" s="1">
        <f>IFERROR(__xludf.DUMMYFUNCTION("""COMPUTED_VALUE"""),1696.5818)</f>
        <v>1696.5818</v>
      </c>
    </row>
    <row r="2191">
      <c r="A2191" s="3">
        <f>IFERROR(__xludf.DUMMYFUNCTION("""COMPUTED_VALUE"""),42578.99861111111)</f>
        <v>42578.99861</v>
      </c>
      <c r="B2191" s="1">
        <f>IFERROR(__xludf.DUMMYFUNCTION("""COMPUTED_VALUE"""),1688.3322)</f>
        <v>1688.3322</v>
      </c>
    </row>
    <row r="2192">
      <c r="A2192" s="3">
        <f>IFERROR(__xludf.DUMMYFUNCTION("""COMPUTED_VALUE"""),42579.99861111111)</f>
        <v>42579.99861</v>
      </c>
      <c r="B2192" s="1">
        <f>IFERROR(__xludf.DUMMYFUNCTION("""COMPUTED_VALUE"""),1683.30678)</f>
        <v>1683.30678</v>
      </c>
    </row>
    <row r="2193">
      <c r="A2193" s="3">
        <f>IFERROR(__xludf.DUMMYFUNCTION("""COMPUTED_VALUE"""),42580.99861111111)</f>
        <v>42580.99861</v>
      </c>
      <c r="B2193" s="1">
        <f>IFERROR(__xludf.DUMMYFUNCTION("""COMPUTED_VALUE"""),1677.8874)</f>
        <v>1677.8874</v>
      </c>
    </row>
    <row r="2194">
      <c r="A2194" s="3">
        <f>IFERROR(__xludf.DUMMYFUNCTION("""COMPUTED_VALUE"""),42581.99861111111)</f>
        <v>42581.99861</v>
      </c>
      <c r="B2194" s="1">
        <f>IFERROR(__xludf.DUMMYFUNCTION("""COMPUTED_VALUE"""),1691.468581)</f>
        <v>1691.468581</v>
      </c>
    </row>
    <row r="2195">
      <c r="A2195" s="3">
        <f>IFERROR(__xludf.DUMMYFUNCTION("""COMPUTED_VALUE"""),42582.99861111111)</f>
        <v>42582.99861</v>
      </c>
      <c r="B2195" s="1">
        <f>IFERROR(__xludf.DUMMYFUNCTION("""COMPUTED_VALUE"""),1691.206114)</f>
        <v>1691.206114</v>
      </c>
    </row>
    <row r="2196">
      <c r="A2196" s="3">
        <f>IFERROR(__xludf.DUMMYFUNCTION("""COMPUTED_VALUE"""),42583.99861111111)</f>
        <v>42583.99861</v>
      </c>
      <c r="B2196" s="1">
        <f>IFERROR(__xludf.DUMMYFUNCTION("""COMPUTED_VALUE"""),1676.0783)</f>
        <v>1676.0783</v>
      </c>
    </row>
    <row r="2197">
      <c r="A2197" s="3">
        <f>IFERROR(__xludf.DUMMYFUNCTION("""COMPUTED_VALUE"""),42584.99861111111)</f>
        <v>42584.99861</v>
      </c>
      <c r="B2197" s="1">
        <f>IFERROR(__xludf.DUMMYFUNCTION("""COMPUTED_VALUE"""),1686.77328)</f>
        <v>1686.77328</v>
      </c>
    </row>
    <row r="2198">
      <c r="A2198" s="3">
        <f>IFERROR(__xludf.DUMMYFUNCTION("""COMPUTED_VALUE"""),42585.99861111111)</f>
        <v>42585.99861</v>
      </c>
      <c r="B2198" s="1">
        <f>IFERROR(__xludf.DUMMYFUNCTION("""COMPUTED_VALUE"""),1693.089)</f>
        <v>1693.089</v>
      </c>
    </row>
    <row r="2199">
      <c r="A2199" s="3">
        <f>IFERROR(__xludf.DUMMYFUNCTION("""COMPUTED_VALUE"""),42586.99861111111)</f>
        <v>42586.99861</v>
      </c>
      <c r="B2199" s="1">
        <f>IFERROR(__xludf.DUMMYFUNCTION("""COMPUTED_VALUE"""),1689.10773)</f>
        <v>1689.10773</v>
      </c>
    </row>
    <row r="2200">
      <c r="A2200" s="3">
        <f>IFERROR(__xludf.DUMMYFUNCTION("""COMPUTED_VALUE"""),42587.99861111111)</f>
        <v>42587.99861</v>
      </c>
      <c r="B2200" s="1">
        <f>IFERROR(__xludf.DUMMYFUNCTION("""COMPUTED_VALUE"""),1691.55702)</f>
        <v>1691.55702</v>
      </c>
    </row>
    <row r="2201">
      <c r="A2201" s="3">
        <f>IFERROR(__xludf.DUMMYFUNCTION("""COMPUTED_VALUE"""),42589.99861111111)</f>
        <v>42589.99861</v>
      </c>
      <c r="B2201" s="1">
        <f>IFERROR(__xludf.DUMMYFUNCTION("""COMPUTED_VALUE"""),1694.086152)</f>
        <v>1694.086152</v>
      </c>
    </row>
    <row r="2202">
      <c r="A2202" s="3">
        <f>IFERROR(__xludf.DUMMYFUNCTION("""COMPUTED_VALUE"""),42590.99861111111)</f>
        <v>42590.99861</v>
      </c>
      <c r="B2202" s="1">
        <f>IFERROR(__xludf.DUMMYFUNCTION("""COMPUTED_VALUE"""),1689.10345)</f>
        <v>1689.10345</v>
      </c>
    </row>
    <row r="2203">
      <c r="A2203" s="3">
        <f>IFERROR(__xludf.DUMMYFUNCTION("""COMPUTED_VALUE"""),42591.99861111111)</f>
        <v>42591.99861</v>
      </c>
      <c r="B2203" s="1">
        <f>IFERROR(__xludf.DUMMYFUNCTION("""COMPUTED_VALUE"""),1688.7189)</f>
        <v>1688.7189</v>
      </c>
    </row>
    <row r="2204">
      <c r="A2204" s="3">
        <f>IFERROR(__xludf.DUMMYFUNCTION("""COMPUTED_VALUE"""),42592.99861111111)</f>
        <v>42592.99861</v>
      </c>
      <c r="B2204" s="1">
        <f>IFERROR(__xludf.DUMMYFUNCTION("""COMPUTED_VALUE"""),1686.3987)</f>
        <v>1686.3987</v>
      </c>
    </row>
    <row r="2205">
      <c r="A2205" s="3">
        <f>IFERROR(__xludf.DUMMYFUNCTION("""COMPUTED_VALUE"""),42593.99861111111)</f>
        <v>42593.99861</v>
      </c>
      <c r="B2205" s="1">
        <f>IFERROR(__xludf.DUMMYFUNCTION("""COMPUTED_VALUE"""),1688.3322)</f>
        <v>1688.3322</v>
      </c>
    </row>
    <row r="2206">
      <c r="A2206" s="3">
        <f>IFERROR(__xludf.DUMMYFUNCTION("""COMPUTED_VALUE"""),42594.99861111111)</f>
        <v>42594.99861</v>
      </c>
      <c r="B2206" s="1">
        <f>IFERROR(__xludf.DUMMYFUNCTION("""COMPUTED_VALUE"""),1690.13901)</f>
        <v>1690.13901</v>
      </c>
    </row>
    <row r="2207">
      <c r="A2207" s="3">
        <f>IFERROR(__xludf.DUMMYFUNCTION("""COMPUTED_VALUE"""),42596.99861111111)</f>
        <v>42596.99861</v>
      </c>
      <c r="B2207" s="1">
        <f>IFERROR(__xludf.DUMMYFUNCTION("""COMPUTED_VALUE"""),1689.49446)</f>
        <v>1689.49446</v>
      </c>
    </row>
    <row r="2208">
      <c r="A2208" s="3">
        <f>IFERROR(__xludf.DUMMYFUNCTION("""COMPUTED_VALUE"""),42597.99861111111)</f>
        <v>42597.99861</v>
      </c>
      <c r="B2208" s="1">
        <f>IFERROR(__xludf.DUMMYFUNCTION("""COMPUTED_VALUE"""),1683.82242)</f>
        <v>1683.82242</v>
      </c>
    </row>
    <row r="2209">
      <c r="A2209" s="3">
        <f>IFERROR(__xludf.DUMMYFUNCTION("""COMPUTED_VALUE"""),42598.99861111111)</f>
        <v>42598.99861</v>
      </c>
      <c r="B2209" s="1">
        <f>IFERROR(__xludf.DUMMYFUNCTION("""COMPUTED_VALUE"""),1690.66345)</f>
        <v>1690.66345</v>
      </c>
    </row>
    <row r="2210">
      <c r="A2210" s="3">
        <f>IFERROR(__xludf.DUMMYFUNCTION("""COMPUTED_VALUE"""),42599.99861111111)</f>
        <v>42599.99861</v>
      </c>
      <c r="B2210" s="1">
        <f>IFERROR(__xludf.DUMMYFUNCTION("""COMPUTED_VALUE"""),1691.17925)</f>
        <v>1691.17925</v>
      </c>
    </row>
    <row r="2211">
      <c r="A2211" s="3">
        <f>IFERROR(__xludf.DUMMYFUNCTION("""COMPUTED_VALUE"""),42600.99861111111)</f>
        <v>42600.99861</v>
      </c>
      <c r="B2211" s="1">
        <f>IFERROR(__xludf.DUMMYFUNCTION("""COMPUTED_VALUE"""),1690.40555)</f>
        <v>1690.40555</v>
      </c>
    </row>
    <row r="2212">
      <c r="A2212" s="3">
        <f>IFERROR(__xludf.DUMMYFUNCTION("""COMPUTED_VALUE"""),42601.99861111111)</f>
        <v>42601.99861</v>
      </c>
      <c r="B2212" s="1">
        <f>IFERROR(__xludf.DUMMYFUNCTION("""COMPUTED_VALUE"""),1694.6658)</f>
        <v>1694.6658</v>
      </c>
    </row>
    <row r="2213">
      <c r="A2213" s="3">
        <f>IFERROR(__xludf.DUMMYFUNCTION("""COMPUTED_VALUE"""),42603.99861111111)</f>
        <v>42603.99861</v>
      </c>
      <c r="B2213" s="1">
        <f>IFERROR(__xludf.DUMMYFUNCTION("""COMPUTED_VALUE"""),1699.56384)</f>
        <v>1699.56384</v>
      </c>
    </row>
    <row r="2214">
      <c r="A2214" s="3">
        <f>IFERROR(__xludf.DUMMYFUNCTION("""COMPUTED_VALUE"""),42604.99861111111)</f>
        <v>42604.99861</v>
      </c>
      <c r="B2214" s="1">
        <f>IFERROR(__xludf.DUMMYFUNCTION("""COMPUTED_VALUE"""),1703.30055)</f>
        <v>1703.30055</v>
      </c>
    </row>
    <row r="2215">
      <c r="A2215" s="3">
        <f>IFERROR(__xludf.DUMMYFUNCTION("""COMPUTED_VALUE"""),42605.99861111111)</f>
        <v>42605.99861</v>
      </c>
      <c r="B2215" s="1">
        <f>IFERROR(__xludf.DUMMYFUNCTION("""COMPUTED_VALUE"""),1706.65664)</f>
        <v>1706.65664</v>
      </c>
    </row>
    <row r="2216">
      <c r="A2216" s="3">
        <f>IFERROR(__xludf.DUMMYFUNCTION("""COMPUTED_VALUE"""),42606.99861111111)</f>
        <v>42606.99861</v>
      </c>
      <c r="B2216" s="1">
        <f>IFERROR(__xludf.DUMMYFUNCTION("""COMPUTED_VALUE"""),1709.6191)</f>
        <v>1709.6191</v>
      </c>
    </row>
    <row r="2217">
      <c r="A2217" s="3">
        <f>IFERROR(__xludf.DUMMYFUNCTION("""COMPUTED_VALUE"""),42607.99861111111)</f>
        <v>42607.99861</v>
      </c>
      <c r="B2217" s="1">
        <f>IFERROR(__xludf.DUMMYFUNCTION("""COMPUTED_VALUE"""),1707.80678)</f>
        <v>1707.80678</v>
      </c>
    </row>
    <row r="2218">
      <c r="A2218" s="3">
        <f>IFERROR(__xludf.DUMMYFUNCTION("""COMPUTED_VALUE"""),42608.99861111111)</f>
        <v>42608.99861</v>
      </c>
      <c r="B2218" s="1">
        <f>IFERROR(__xludf.DUMMYFUNCTION("""COMPUTED_VALUE"""),1713.46366)</f>
        <v>1713.46366</v>
      </c>
    </row>
    <row r="2219">
      <c r="A2219" s="3">
        <f>IFERROR(__xludf.DUMMYFUNCTION("""COMPUTED_VALUE"""),42609.99861111111)</f>
        <v>42609.99861</v>
      </c>
      <c r="B2219" s="1">
        <f>IFERROR(__xludf.DUMMYFUNCTION("""COMPUTED_VALUE"""),1716.376973)</f>
        <v>1716.376973</v>
      </c>
    </row>
    <row r="2220">
      <c r="A2220" s="3">
        <f>IFERROR(__xludf.DUMMYFUNCTION("""COMPUTED_VALUE"""),42610.99861111111)</f>
        <v>42610.99861</v>
      </c>
      <c r="B2220" s="1">
        <f>IFERROR(__xludf.DUMMYFUNCTION("""COMPUTED_VALUE"""),1715.659)</f>
        <v>1715.659</v>
      </c>
    </row>
    <row r="2221">
      <c r="A2221" s="3">
        <f>IFERROR(__xludf.DUMMYFUNCTION("""COMPUTED_VALUE"""),42611.99861111111)</f>
        <v>42611.99861</v>
      </c>
      <c r="B2221" s="1">
        <f>IFERROR(__xludf.DUMMYFUNCTION("""COMPUTED_VALUE"""),1708.19712)</f>
        <v>1708.19712</v>
      </c>
    </row>
    <row r="2222">
      <c r="A2222" s="3">
        <f>IFERROR(__xludf.DUMMYFUNCTION("""COMPUTED_VALUE"""),42612.99861111111)</f>
        <v>42612.99861</v>
      </c>
      <c r="B2222" s="1">
        <f>IFERROR(__xludf.DUMMYFUNCTION("""COMPUTED_VALUE"""),1711.91304)</f>
        <v>1711.91304</v>
      </c>
    </row>
    <row r="2223">
      <c r="A2223" s="3">
        <f>IFERROR(__xludf.DUMMYFUNCTION("""COMPUTED_VALUE"""),42613.99861111111)</f>
        <v>42613.99861</v>
      </c>
      <c r="B2223" s="1">
        <f>IFERROR(__xludf.DUMMYFUNCTION("""COMPUTED_VALUE"""),1711.792)</f>
        <v>1711.792</v>
      </c>
    </row>
    <row r="2224">
      <c r="A2224" s="3">
        <f>IFERROR(__xludf.DUMMYFUNCTION("""COMPUTED_VALUE"""),42614.99861111111)</f>
        <v>42614.99861</v>
      </c>
      <c r="B2224" s="1">
        <f>IFERROR(__xludf.DUMMYFUNCTION("""COMPUTED_VALUE"""),1711.02243)</f>
        <v>1711.02243</v>
      </c>
    </row>
    <row r="2225">
      <c r="A2225" s="3">
        <f>IFERROR(__xludf.DUMMYFUNCTION("""COMPUTED_VALUE"""),42615.99861111111)</f>
        <v>42615.99861</v>
      </c>
      <c r="B2225" s="1">
        <f>IFERROR(__xludf.DUMMYFUNCTION("""COMPUTED_VALUE"""),1701.0994)</f>
        <v>1701.0994</v>
      </c>
    </row>
    <row r="2226">
      <c r="A2226" s="3">
        <f>IFERROR(__xludf.DUMMYFUNCTION("""COMPUTED_VALUE"""),42616.99861111111)</f>
        <v>42616.99861</v>
      </c>
      <c r="B2226" s="1">
        <f>IFERROR(__xludf.DUMMYFUNCTION("""COMPUTED_VALUE"""),1701.3633)</f>
        <v>1701.3633</v>
      </c>
    </row>
    <row r="2227">
      <c r="A2227" s="3">
        <f>IFERROR(__xludf.DUMMYFUNCTION("""COMPUTED_VALUE"""),42617.99861111111)</f>
        <v>42617.99861</v>
      </c>
      <c r="B2227" s="1">
        <f>IFERROR(__xludf.DUMMYFUNCTION("""COMPUTED_VALUE"""),1701.23135)</f>
        <v>1701.23135</v>
      </c>
    </row>
    <row r="2228">
      <c r="A2228" s="3">
        <f>IFERROR(__xludf.DUMMYFUNCTION("""COMPUTED_VALUE"""),42618.99861111111)</f>
        <v>42618.99861</v>
      </c>
      <c r="B2228" s="1">
        <f>IFERROR(__xludf.DUMMYFUNCTION("""COMPUTED_VALUE"""),1692.3375)</f>
        <v>1692.3375</v>
      </c>
    </row>
    <row r="2229">
      <c r="A2229" s="3">
        <f>IFERROR(__xludf.DUMMYFUNCTION("""COMPUTED_VALUE"""),42619.99861111111)</f>
        <v>42619.99861</v>
      </c>
      <c r="B2229" s="1">
        <f>IFERROR(__xludf.DUMMYFUNCTION("""COMPUTED_VALUE"""),1683.69852)</f>
        <v>1683.69852</v>
      </c>
    </row>
    <row r="2230">
      <c r="A2230" s="3">
        <f>IFERROR(__xludf.DUMMYFUNCTION("""COMPUTED_VALUE"""),42620.99861111111)</f>
        <v>42620.99861</v>
      </c>
      <c r="B2230" s="1">
        <f>IFERROR(__xludf.DUMMYFUNCTION("""COMPUTED_VALUE"""),1684.9844)</f>
        <v>1684.9844</v>
      </c>
    </row>
    <row r="2231">
      <c r="A2231" s="3">
        <f>IFERROR(__xludf.DUMMYFUNCTION("""COMPUTED_VALUE"""),42621.99861111111)</f>
        <v>42621.99861</v>
      </c>
      <c r="B2231" s="1">
        <f>IFERROR(__xludf.DUMMYFUNCTION("""COMPUTED_VALUE"""),1684.98261)</f>
        <v>1684.98261</v>
      </c>
    </row>
    <row r="2232">
      <c r="A2232" s="3">
        <f>IFERROR(__xludf.DUMMYFUNCTION("""COMPUTED_VALUE"""),42622.99861111111)</f>
        <v>42622.99861</v>
      </c>
      <c r="B2232" s="1">
        <f>IFERROR(__xludf.DUMMYFUNCTION("""COMPUTED_VALUE"""),1698.38353)</f>
        <v>1698.38353</v>
      </c>
    </row>
    <row r="2233">
      <c r="A2233" s="3">
        <f>IFERROR(__xludf.DUMMYFUNCTION("""COMPUTED_VALUE"""),42623.99861111111)</f>
        <v>42623.99861</v>
      </c>
      <c r="B2233" s="1">
        <f>IFERROR(__xludf.DUMMYFUNCTION("""COMPUTED_VALUE"""),1697.48964)</f>
        <v>1697.48964</v>
      </c>
    </row>
    <row r="2234">
      <c r="A2234" s="3">
        <f>IFERROR(__xludf.DUMMYFUNCTION("""COMPUTED_VALUE"""),42624.99861111111)</f>
        <v>42624.99861</v>
      </c>
      <c r="B2234" s="1">
        <f>IFERROR(__xludf.DUMMYFUNCTION("""COMPUTED_VALUE"""),1698.3864)</f>
        <v>1698.3864</v>
      </c>
    </row>
    <row r="2235">
      <c r="A2235" s="3">
        <f>IFERROR(__xludf.DUMMYFUNCTION("""COMPUTED_VALUE"""),42625.99861111111)</f>
        <v>42625.99861</v>
      </c>
      <c r="B2235" s="1">
        <f>IFERROR(__xludf.DUMMYFUNCTION("""COMPUTED_VALUE"""),1697.60736)</f>
        <v>1697.60736</v>
      </c>
    </row>
    <row r="2236">
      <c r="A2236" s="3">
        <f>IFERROR(__xludf.DUMMYFUNCTION("""COMPUTED_VALUE"""),42626.99861111111)</f>
        <v>42626.99861</v>
      </c>
      <c r="B2236" s="1">
        <f>IFERROR(__xludf.DUMMYFUNCTION("""COMPUTED_VALUE"""),1706.63249)</f>
        <v>1706.63249</v>
      </c>
    </row>
    <row r="2237">
      <c r="A2237" s="3">
        <f>IFERROR(__xludf.DUMMYFUNCTION("""COMPUTED_VALUE"""),42627.99861111111)</f>
        <v>42627.99861</v>
      </c>
      <c r="B2237" s="1">
        <f>IFERROR(__xludf.DUMMYFUNCTION("""COMPUTED_VALUE"""),1700.3199)</f>
        <v>1700.3199</v>
      </c>
    </row>
    <row r="2238">
      <c r="A2238" s="3">
        <f>IFERROR(__xludf.DUMMYFUNCTION("""COMPUTED_VALUE"""),42628.99861111111)</f>
        <v>42628.99861</v>
      </c>
      <c r="B2238" s="1">
        <f>IFERROR(__xludf.DUMMYFUNCTION("""COMPUTED_VALUE"""),1693.99872)</f>
        <v>1693.99872</v>
      </c>
    </row>
    <row r="2239">
      <c r="A2239" s="3">
        <f>IFERROR(__xludf.DUMMYFUNCTION("""COMPUTED_VALUE"""),42629.99861111111)</f>
        <v>42629.99861</v>
      </c>
      <c r="B2239" s="1">
        <f>IFERROR(__xludf.DUMMYFUNCTION("""COMPUTED_VALUE"""),1696.18418)</f>
        <v>1696.18418</v>
      </c>
    </row>
    <row r="2240">
      <c r="A2240" s="3">
        <f>IFERROR(__xludf.DUMMYFUNCTION("""COMPUTED_VALUE"""),42630.99861111111)</f>
        <v>42630.99861</v>
      </c>
      <c r="B2240" s="1">
        <f>IFERROR(__xludf.DUMMYFUNCTION("""COMPUTED_VALUE"""),1697.760137)</f>
        <v>1697.760137</v>
      </c>
    </row>
    <row r="2241">
      <c r="A2241" s="3">
        <f>IFERROR(__xludf.DUMMYFUNCTION("""COMPUTED_VALUE"""),42631.99861111111)</f>
        <v>42631.99861</v>
      </c>
      <c r="B2241" s="1">
        <f>IFERROR(__xludf.DUMMYFUNCTION("""COMPUTED_VALUE"""),1696.31581)</f>
        <v>1696.31581</v>
      </c>
    </row>
    <row r="2242">
      <c r="A2242" s="3">
        <f>IFERROR(__xludf.DUMMYFUNCTION("""COMPUTED_VALUE"""),42632.99861111111)</f>
        <v>42632.99861</v>
      </c>
      <c r="B2242" s="1">
        <f>IFERROR(__xludf.DUMMYFUNCTION("""COMPUTED_VALUE"""),1693.6171)</f>
        <v>1693.6171</v>
      </c>
    </row>
    <row r="2243">
      <c r="A2243" s="3">
        <f>IFERROR(__xludf.DUMMYFUNCTION("""COMPUTED_VALUE"""),42633.99861111111)</f>
        <v>42633.99861</v>
      </c>
      <c r="B2243" s="1">
        <f>IFERROR(__xludf.DUMMYFUNCTION("""COMPUTED_VALUE"""),1695.93462)</f>
        <v>1695.93462</v>
      </c>
    </row>
    <row r="2244">
      <c r="A2244" s="3">
        <f>IFERROR(__xludf.DUMMYFUNCTION("""COMPUTED_VALUE"""),42634.99861111111)</f>
        <v>42634.99861</v>
      </c>
      <c r="B2244" s="1">
        <f>IFERROR(__xludf.DUMMYFUNCTION("""COMPUTED_VALUE"""),1683.43736)</f>
        <v>1683.43736</v>
      </c>
    </row>
    <row r="2245">
      <c r="A2245" s="3">
        <f>IFERROR(__xludf.DUMMYFUNCTION("""COMPUTED_VALUE"""),42635.99861111111)</f>
        <v>42635.99861</v>
      </c>
      <c r="B2245" s="1">
        <f>IFERROR(__xludf.DUMMYFUNCTION("""COMPUTED_VALUE"""),1684.21428)</f>
        <v>1684.21428</v>
      </c>
    </row>
    <row r="2246">
      <c r="A2246" s="3">
        <f>IFERROR(__xludf.DUMMYFUNCTION("""COMPUTED_VALUE"""),42636.99861111111)</f>
        <v>42636.99861</v>
      </c>
      <c r="B2246" s="1">
        <f>IFERROR(__xludf.DUMMYFUNCTION("""COMPUTED_VALUE"""),1686.27171)</f>
        <v>1686.27171</v>
      </c>
    </row>
    <row r="2247">
      <c r="A2247" s="3">
        <f>IFERROR(__xludf.DUMMYFUNCTION("""COMPUTED_VALUE"""),42637.99861111111)</f>
        <v>42637.99861</v>
      </c>
      <c r="B2247" s="1">
        <f>IFERROR(__xludf.DUMMYFUNCTION("""COMPUTED_VALUE"""),1686.01576)</f>
        <v>1686.01576</v>
      </c>
    </row>
    <row r="2248">
      <c r="A2248" s="3">
        <f>IFERROR(__xludf.DUMMYFUNCTION("""COMPUTED_VALUE"""),42638.99861111111)</f>
        <v>42638.99861</v>
      </c>
      <c r="B2248" s="1">
        <f>IFERROR(__xludf.DUMMYFUNCTION("""COMPUTED_VALUE"""),1682.66223)</f>
        <v>1682.66223</v>
      </c>
    </row>
    <row r="2249">
      <c r="A2249" s="3">
        <f>IFERROR(__xludf.DUMMYFUNCTION("""COMPUTED_VALUE"""),42639.99861111111)</f>
        <v>42639.99861</v>
      </c>
      <c r="B2249" s="1">
        <f>IFERROR(__xludf.DUMMYFUNCTION("""COMPUTED_VALUE"""),1681.24866)</f>
        <v>1681.24866</v>
      </c>
    </row>
    <row r="2250">
      <c r="A2250" s="3">
        <f>IFERROR(__xludf.DUMMYFUNCTION("""COMPUTED_VALUE"""),42640.99861111111)</f>
        <v>42640.99861</v>
      </c>
      <c r="B2250" s="1">
        <f>IFERROR(__xludf.DUMMYFUNCTION("""COMPUTED_VALUE"""),1665.51798)</f>
        <v>1665.51798</v>
      </c>
    </row>
    <row r="2251">
      <c r="A2251" s="3">
        <f>IFERROR(__xludf.DUMMYFUNCTION("""COMPUTED_VALUE"""),42641.99861111111)</f>
        <v>42641.99861</v>
      </c>
      <c r="B2251" s="1">
        <f>IFERROR(__xludf.DUMMYFUNCTION("""COMPUTED_VALUE"""),1666.03374)</f>
        <v>1666.03374</v>
      </c>
    </row>
    <row r="2252">
      <c r="A2252" s="3">
        <f>IFERROR(__xludf.DUMMYFUNCTION("""COMPUTED_VALUE"""),42642.99861111111)</f>
        <v>42642.99861</v>
      </c>
      <c r="B2252" s="1">
        <f>IFERROR(__xludf.DUMMYFUNCTION("""COMPUTED_VALUE"""),1676.34676)</f>
        <v>1676.34676</v>
      </c>
    </row>
    <row r="2253">
      <c r="A2253" s="3">
        <f>IFERROR(__xludf.DUMMYFUNCTION("""COMPUTED_VALUE"""),42643.99861111111)</f>
        <v>42643.99861</v>
      </c>
      <c r="B2253" s="1">
        <f>IFERROR(__xludf.DUMMYFUNCTION("""COMPUTED_VALUE"""),1677.5046)</f>
        <v>1677.5046</v>
      </c>
    </row>
    <row r="2254">
      <c r="A2254" s="3">
        <f>IFERROR(__xludf.DUMMYFUNCTION("""COMPUTED_VALUE"""),42644.99861111111)</f>
        <v>42644.99861</v>
      </c>
      <c r="B2254" s="1">
        <f>IFERROR(__xludf.DUMMYFUNCTION("""COMPUTED_VALUE"""),1677.50704)</f>
        <v>1677.50704</v>
      </c>
    </row>
    <row r="2255">
      <c r="A2255" s="3">
        <f>IFERROR(__xludf.DUMMYFUNCTION("""COMPUTED_VALUE"""),42645.99861111111)</f>
        <v>42645.99861</v>
      </c>
      <c r="B2255" s="1">
        <f>IFERROR(__xludf.DUMMYFUNCTION("""COMPUTED_VALUE"""),1671.57672)</f>
        <v>1671.57672</v>
      </c>
    </row>
    <row r="2256">
      <c r="A2256" s="3">
        <f>IFERROR(__xludf.DUMMYFUNCTION("""COMPUTED_VALUE"""),42646.99861111111)</f>
        <v>42646.99861</v>
      </c>
      <c r="B2256" s="1">
        <f>IFERROR(__xludf.DUMMYFUNCTION("""COMPUTED_VALUE"""),1671.06104)</f>
        <v>1671.06104</v>
      </c>
    </row>
    <row r="2257">
      <c r="A2257" s="3">
        <f>IFERROR(__xludf.DUMMYFUNCTION("""COMPUTED_VALUE"""),42647.99861111111)</f>
        <v>42647.99861</v>
      </c>
      <c r="B2257" s="1">
        <f>IFERROR(__xludf.DUMMYFUNCTION("""COMPUTED_VALUE"""),1679.95652)</f>
        <v>1679.95652</v>
      </c>
    </row>
    <row r="2258">
      <c r="A2258" s="3">
        <f>IFERROR(__xludf.DUMMYFUNCTION("""COMPUTED_VALUE"""),42648.99861111111)</f>
        <v>42648.99861</v>
      </c>
      <c r="B2258" s="1">
        <f>IFERROR(__xludf.DUMMYFUNCTION("""COMPUTED_VALUE"""),1677.37446)</f>
        <v>1677.37446</v>
      </c>
    </row>
    <row r="2259">
      <c r="A2259" s="3">
        <f>IFERROR(__xludf.DUMMYFUNCTION("""COMPUTED_VALUE"""),42649.99861111111)</f>
        <v>42649.99861</v>
      </c>
      <c r="B2259" s="1">
        <f>IFERROR(__xludf.DUMMYFUNCTION("""COMPUTED_VALUE"""),1676.21445)</f>
        <v>1676.21445</v>
      </c>
    </row>
    <row r="2260">
      <c r="A2260" s="3">
        <f>IFERROR(__xludf.DUMMYFUNCTION("""COMPUTED_VALUE"""),42650.99861111111)</f>
        <v>42650.99861</v>
      </c>
      <c r="B2260" s="1">
        <f>IFERROR(__xludf.DUMMYFUNCTION("""COMPUTED_VALUE"""),1671.44306)</f>
        <v>1671.44306</v>
      </c>
    </row>
    <row r="2261">
      <c r="A2261" s="3">
        <f>IFERROR(__xludf.DUMMYFUNCTION("""COMPUTED_VALUE"""),42652.99861111111)</f>
        <v>42652.99861</v>
      </c>
      <c r="B2261" s="1">
        <f>IFERROR(__xludf.DUMMYFUNCTION("""COMPUTED_VALUE"""),1671.18696)</f>
        <v>1671.18696</v>
      </c>
    </row>
    <row r="2262">
      <c r="A2262" s="3">
        <f>IFERROR(__xludf.DUMMYFUNCTION("""COMPUTED_VALUE"""),42653.99861111111)</f>
        <v>42653.99861</v>
      </c>
      <c r="B2262" s="1">
        <f>IFERROR(__xludf.DUMMYFUNCTION("""COMPUTED_VALUE"""),1665.77362)</f>
        <v>1665.77362</v>
      </c>
    </row>
    <row r="2263">
      <c r="A2263" s="3">
        <f>IFERROR(__xludf.DUMMYFUNCTION("""COMPUTED_VALUE"""),42654.99861111111)</f>
        <v>42654.99861</v>
      </c>
      <c r="B2263" s="1">
        <f>IFERROR(__xludf.DUMMYFUNCTION("""COMPUTED_VALUE"""),1684.20384)</f>
        <v>1684.20384</v>
      </c>
    </row>
    <row r="2264">
      <c r="A2264" s="3">
        <f>IFERROR(__xludf.DUMMYFUNCTION("""COMPUTED_VALUE"""),42655.99861111111)</f>
        <v>42655.99861</v>
      </c>
      <c r="B2264" s="1">
        <f>IFERROR(__xludf.DUMMYFUNCTION("""COMPUTED_VALUE"""),1677.88872)</f>
        <v>1677.88872</v>
      </c>
    </row>
    <row r="2265">
      <c r="A2265" s="3">
        <f>IFERROR(__xludf.DUMMYFUNCTION("""COMPUTED_VALUE"""),42656.99861111111)</f>
        <v>42656.99861</v>
      </c>
      <c r="B2265" s="1">
        <f>IFERROR(__xludf.DUMMYFUNCTION("""COMPUTED_VALUE"""),1681.24116)</f>
        <v>1681.24116</v>
      </c>
    </row>
    <row r="2266">
      <c r="A2266" s="3">
        <f>IFERROR(__xludf.DUMMYFUNCTION("""COMPUTED_VALUE"""),42657.99861111111)</f>
        <v>42657.99861</v>
      </c>
      <c r="B2266" s="1">
        <f>IFERROR(__xludf.DUMMYFUNCTION("""COMPUTED_VALUE"""),1684.20203)</f>
        <v>1684.20203</v>
      </c>
    </row>
    <row r="2267">
      <c r="A2267" s="3">
        <f>IFERROR(__xludf.DUMMYFUNCTION("""COMPUTED_VALUE"""),42658.99861111111)</f>
        <v>42658.99861</v>
      </c>
      <c r="B2267" s="1">
        <f>IFERROR(__xludf.DUMMYFUNCTION("""COMPUTED_VALUE"""),1685.62342)</f>
        <v>1685.62342</v>
      </c>
    </row>
    <row r="2268">
      <c r="A2268" s="3">
        <f>IFERROR(__xludf.DUMMYFUNCTION("""COMPUTED_VALUE"""),42659.99861111111)</f>
        <v>42659.99861</v>
      </c>
      <c r="B2268" s="1">
        <f>IFERROR(__xludf.DUMMYFUNCTION("""COMPUTED_VALUE"""),1687.16604)</f>
        <v>1687.16604</v>
      </c>
    </row>
    <row r="2269">
      <c r="A2269" s="3">
        <f>IFERROR(__xludf.DUMMYFUNCTION("""COMPUTED_VALUE"""),42660.99861111111)</f>
        <v>42660.99861</v>
      </c>
      <c r="B2269" s="1">
        <f>IFERROR(__xludf.DUMMYFUNCTION("""COMPUTED_VALUE"""),1681.75186)</f>
        <v>1681.75186</v>
      </c>
    </row>
    <row r="2270">
      <c r="A2270" s="3">
        <f>IFERROR(__xludf.DUMMYFUNCTION("""COMPUTED_VALUE"""),42661.99861111111)</f>
        <v>42661.99861</v>
      </c>
      <c r="B2270" s="1">
        <f>IFERROR(__xludf.DUMMYFUNCTION("""COMPUTED_VALUE"""),1677.8874)</f>
        <v>1677.8874</v>
      </c>
    </row>
    <row r="2271">
      <c r="A2271" s="3">
        <f>IFERROR(__xludf.DUMMYFUNCTION("""COMPUTED_VALUE"""),42662.99861111111)</f>
        <v>42662.99861</v>
      </c>
      <c r="B2271" s="1">
        <f>IFERROR(__xludf.DUMMYFUNCTION("""COMPUTED_VALUE"""),1671.70164)</f>
        <v>1671.70164</v>
      </c>
    </row>
    <row r="2272">
      <c r="A2272" s="3">
        <f>IFERROR(__xludf.DUMMYFUNCTION("""COMPUTED_VALUE"""),42663.99861111111)</f>
        <v>42663.99861</v>
      </c>
      <c r="B2272" s="1">
        <f>IFERROR(__xludf.DUMMYFUNCTION("""COMPUTED_VALUE"""),1675.95435)</f>
        <v>1675.95435</v>
      </c>
    </row>
    <row r="2273">
      <c r="A2273" s="3">
        <f>IFERROR(__xludf.DUMMYFUNCTION("""COMPUTED_VALUE"""),42664.99861111111)</f>
        <v>42664.99861</v>
      </c>
      <c r="B2273" s="1">
        <f>IFERROR(__xludf.DUMMYFUNCTION("""COMPUTED_VALUE"""),1678.27401)</f>
        <v>1678.27401</v>
      </c>
    </row>
    <row r="2274">
      <c r="A2274" s="3">
        <f>IFERROR(__xludf.DUMMYFUNCTION("""COMPUTED_VALUE"""),42665.99861111111)</f>
        <v>42665.99861</v>
      </c>
      <c r="B2274" s="1">
        <f>IFERROR(__xludf.DUMMYFUNCTION("""COMPUTED_VALUE"""),1681.6294)</f>
        <v>1681.6294</v>
      </c>
    </row>
    <row r="2275">
      <c r="A2275" s="3">
        <f>IFERROR(__xludf.DUMMYFUNCTION("""COMPUTED_VALUE"""),42666.99861111111)</f>
        <v>42666.99861</v>
      </c>
      <c r="B2275" s="1">
        <f>IFERROR(__xludf.DUMMYFUNCTION("""COMPUTED_VALUE"""),1681.7535)</f>
        <v>1681.7535</v>
      </c>
    </row>
    <row r="2276">
      <c r="A2276" s="3">
        <f>IFERROR(__xludf.DUMMYFUNCTION("""COMPUTED_VALUE"""),42667.99861111111)</f>
        <v>42667.99861</v>
      </c>
      <c r="B2276" s="1">
        <f>IFERROR(__xludf.DUMMYFUNCTION("""COMPUTED_VALUE"""),1677.2468)</f>
        <v>1677.2468</v>
      </c>
    </row>
    <row r="2277">
      <c r="A2277" s="3">
        <f>IFERROR(__xludf.DUMMYFUNCTION("""COMPUTED_VALUE"""),42668.99861111111)</f>
        <v>42668.99861</v>
      </c>
      <c r="B2277" s="1">
        <f>IFERROR(__xludf.DUMMYFUNCTION("""COMPUTED_VALUE"""),1672.6064)</f>
        <v>1672.6064</v>
      </c>
    </row>
    <row r="2278">
      <c r="A2278" s="3">
        <f>IFERROR(__xludf.DUMMYFUNCTION("""COMPUTED_VALUE"""),42669.99861111111)</f>
        <v>42669.99861</v>
      </c>
      <c r="B2278" s="1">
        <f>IFERROR(__xludf.DUMMYFUNCTION("""COMPUTED_VALUE"""),1678.92384)</f>
        <v>1678.92384</v>
      </c>
    </row>
    <row r="2279">
      <c r="A2279" s="3">
        <f>IFERROR(__xludf.DUMMYFUNCTION("""COMPUTED_VALUE"""),42670.99861111111)</f>
        <v>42670.99861</v>
      </c>
      <c r="B2279" s="1">
        <f>IFERROR(__xludf.DUMMYFUNCTION("""COMPUTED_VALUE"""),1683.18435)</f>
        <v>1683.18435</v>
      </c>
    </row>
    <row r="2280">
      <c r="A2280" s="3">
        <f>IFERROR(__xludf.DUMMYFUNCTION("""COMPUTED_VALUE"""),42671.99861111111)</f>
        <v>42671.99861</v>
      </c>
      <c r="B2280" s="1">
        <f>IFERROR(__xludf.DUMMYFUNCTION("""COMPUTED_VALUE"""),1684.08196)</f>
        <v>1684.08196</v>
      </c>
    </row>
    <row r="2281">
      <c r="A2281" s="3">
        <f>IFERROR(__xludf.DUMMYFUNCTION("""COMPUTED_VALUE"""),42672.99861111111)</f>
        <v>42672.99861</v>
      </c>
      <c r="B2281" s="1">
        <f>IFERROR(__xludf.DUMMYFUNCTION("""COMPUTED_VALUE"""),1684.34322)</f>
        <v>1684.34322</v>
      </c>
    </row>
    <row r="2282">
      <c r="A2282" s="3">
        <f>IFERROR(__xludf.DUMMYFUNCTION("""COMPUTED_VALUE"""),42673.99861111111)</f>
        <v>42673.99861</v>
      </c>
      <c r="B2282" s="1">
        <f>IFERROR(__xludf.DUMMYFUNCTION("""COMPUTED_VALUE"""),1684.34322)</f>
        <v>1684.34322</v>
      </c>
    </row>
    <row r="2283">
      <c r="A2283" s="3">
        <f>IFERROR(__xludf.DUMMYFUNCTION("""COMPUTED_VALUE"""),42674.99861111111)</f>
        <v>42674.99861</v>
      </c>
      <c r="B2283" s="1">
        <f>IFERROR(__xludf.DUMMYFUNCTION("""COMPUTED_VALUE"""),1677.76609)</f>
        <v>1677.76609</v>
      </c>
    </row>
    <row r="2284">
      <c r="A2284" s="3">
        <f>IFERROR(__xludf.DUMMYFUNCTION("""COMPUTED_VALUE"""),42675.99861111111)</f>
        <v>42675.99861</v>
      </c>
      <c r="B2284" s="1">
        <f>IFERROR(__xludf.DUMMYFUNCTION("""COMPUTED_VALUE"""),1681.11972)</f>
        <v>1681.11972</v>
      </c>
    </row>
    <row r="2285">
      <c r="A2285" s="3">
        <f>IFERROR(__xludf.DUMMYFUNCTION("""COMPUTED_VALUE"""),42676.99861111111)</f>
        <v>42676.99861</v>
      </c>
      <c r="B2285" s="1">
        <f>IFERROR(__xludf.DUMMYFUNCTION("""COMPUTED_VALUE"""),1682.02078)</f>
        <v>1682.02078</v>
      </c>
    </row>
    <row r="2286">
      <c r="A2286" s="3">
        <f>IFERROR(__xludf.DUMMYFUNCTION("""COMPUTED_VALUE"""),42677.99861111111)</f>
        <v>42677.99861</v>
      </c>
      <c r="B2286" s="1">
        <f>IFERROR(__xludf.DUMMYFUNCTION("""COMPUTED_VALUE"""),1684.98792)</f>
        <v>1684.98792</v>
      </c>
    </row>
    <row r="2287">
      <c r="A2287" s="3">
        <f>IFERROR(__xludf.DUMMYFUNCTION("""COMPUTED_VALUE"""),42678.99861111111)</f>
        <v>42678.99861</v>
      </c>
      <c r="B2287" s="1">
        <f>IFERROR(__xludf.DUMMYFUNCTION("""COMPUTED_VALUE"""),1690.39683)</f>
        <v>1690.39683</v>
      </c>
    </row>
    <row r="2288">
      <c r="A2288" s="3">
        <f>IFERROR(__xludf.DUMMYFUNCTION("""COMPUTED_VALUE"""),42679.99861111111)</f>
        <v>42679.99861</v>
      </c>
      <c r="B2288" s="1">
        <f>IFERROR(__xludf.DUMMYFUNCTION("""COMPUTED_VALUE"""),1690.52796)</f>
        <v>1690.52796</v>
      </c>
    </row>
    <row r="2289">
      <c r="A2289" s="3">
        <f>IFERROR(__xludf.DUMMYFUNCTION("""COMPUTED_VALUE"""),42680.99861111111)</f>
        <v>42680.99861</v>
      </c>
      <c r="B2289" s="1">
        <f>IFERROR(__xludf.DUMMYFUNCTION("""COMPUTED_VALUE"""),1690.65465)</f>
        <v>1690.65465</v>
      </c>
    </row>
    <row r="2290">
      <c r="A2290" s="3">
        <f>IFERROR(__xludf.DUMMYFUNCTION("""COMPUTED_VALUE"""),42681.99861111111)</f>
        <v>42681.99861</v>
      </c>
      <c r="B2290" s="1">
        <f>IFERROR(__xludf.DUMMYFUNCTION("""COMPUTED_VALUE"""),1687.17604)</f>
        <v>1687.17604</v>
      </c>
    </row>
    <row r="2291">
      <c r="A2291" s="3">
        <f>IFERROR(__xludf.DUMMYFUNCTION("""COMPUTED_VALUE"""),42682.99861111111)</f>
        <v>42682.99861</v>
      </c>
      <c r="B2291" s="1">
        <f>IFERROR(__xludf.DUMMYFUNCTION("""COMPUTED_VALUE"""),1681.37613)</f>
        <v>1681.37613</v>
      </c>
    </row>
    <row r="2292">
      <c r="A2292" s="3">
        <f>IFERROR(__xludf.DUMMYFUNCTION("""COMPUTED_VALUE"""),42683.99861111111)</f>
        <v>42683.99861</v>
      </c>
      <c r="B2292" s="1">
        <f>IFERROR(__xludf.DUMMYFUNCTION("""COMPUTED_VALUE"""),1693.62204)</f>
        <v>1693.62204</v>
      </c>
    </row>
    <row r="2293">
      <c r="A2293" s="3">
        <f>IFERROR(__xludf.DUMMYFUNCTION("""COMPUTED_VALUE"""),42684.99861111111)</f>
        <v>42684.99861</v>
      </c>
      <c r="B2293" s="1">
        <f>IFERROR(__xludf.DUMMYFUNCTION("""COMPUTED_VALUE"""),1751.62908)</f>
        <v>1751.62908</v>
      </c>
    </row>
    <row r="2294">
      <c r="A2294" s="3">
        <f>IFERROR(__xludf.DUMMYFUNCTION("""COMPUTED_VALUE"""),42685.99861111111)</f>
        <v>42685.99861</v>
      </c>
      <c r="B2294" s="1">
        <f>IFERROR(__xludf.DUMMYFUNCTION("""COMPUTED_VALUE"""),1721.44546)</f>
        <v>1721.44546</v>
      </c>
    </row>
    <row r="2295">
      <c r="A2295" s="3">
        <f>IFERROR(__xludf.DUMMYFUNCTION("""COMPUTED_VALUE"""),42686.99861111111)</f>
        <v>42686.99861</v>
      </c>
      <c r="B2295" s="1">
        <f>IFERROR(__xludf.DUMMYFUNCTION("""COMPUTED_VALUE"""),1741.621168)</f>
        <v>1741.621168</v>
      </c>
    </row>
    <row r="2296">
      <c r="A2296" s="3">
        <f>IFERROR(__xludf.DUMMYFUNCTION("""COMPUTED_VALUE"""),42687.99861111111)</f>
        <v>42687.99861</v>
      </c>
      <c r="B2296" s="1">
        <f>IFERROR(__xludf.DUMMYFUNCTION("""COMPUTED_VALUE"""),1719.38354)</f>
        <v>1719.38354</v>
      </c>
    </row>
    <row r="2297">
      <c r="A2297" s="3">
        <f>IFERROR(__xludf.DUMMYFUNCTION("""COMPUTED_VALUE"""),42688.99861111111)</f>
        <v>42688.99861</v>
      </c>
      <c r="B2297" s="1">
        <f>IFERROR(__xludf.DUMMYFUNCTION("""COMPUTED_VALUE"""),1734.59592)</f>
        <v>1734.59592</v>
      </c>
    </row>
    <row r="2298">
      <c r="A2298" s="3">
        <f>IFERROR(__xludf.DUMMYFUNCTION("""COMPUTED_VALUE"""),42689.99861111111)</f>
        <v>42689.99861</v>
      </c>
      <c r="B2298" s="1">
        <f>IFERROR(__xludf.DUMMYFUNCTION("""COMPUTED_VALUE"""),1715.91257)</f>
        <v>1715.91257</v>
      </c>
    </row>
    <row r="2299">
      <c r="A2299" s="3">
        <f>IFERROR(__xludf.DUMMYFUNCTION("""COMPUTED_VALUE"""),42690.99861111111)</f>
        <v>42690.99861</v>
      </c>
      <c r="B2299" s="1">
        <f>IFERROR(__xludf.DUMMYFUNCTION("""COMPUTED_VALUE"""),1723.00152)</f>
        <v>1723.00152</v>
      </c>
    </row>
    <row r="2300">
      <c r="A2300" s="3">
        <f>IFERROR(__xludf.DUMMYFUNCTION("""COMPUTED_VALUE"""),42691.99861111111)</f>
        <v>42691.99861</v>
      </c>
      <c r="B2300" s="1">
        <f>IFERROR(__xludf.DUMMYFUNCTION("""COMPUTED_VALUE"""),1728.54379)</f>
        <v>1728.54379</v>
      </c>
    </row>
    <row r="2301">
      <c r="A2301" s="3">
        <f>IFERROR(__xludf.DUMMYFUNCTION("""COMPUTED_VALUE"""),42692.99861111111)</f>
        <v>42692.99861</v>
      </c>
      <c r="B2301" s="1">
        <f>IFERROR(__xludf.DUMMYFUNCTION("""COMPUTED_VALUE"""),1722.35707)</f>
        <v>1722.35707</v>
      </c>
    </row>
    <row r="2302">
      <c r="A2302" s="3">
        <f>IFERROR(__xludf.DUMMYFUNCTION("""COMPUTED_VALUE"""),42693.99861111111)</f>
        <v>42693.99861</v>
      </c>
      <c r="B2302" s="1">
        <f>IFERROR(__xludf.DUMMYFUNCTION("""COMPUTED_VALUE"""),1723.261522)</f>
        <v>1723.261522</v>
      </c>
    </row>
    <row r="2303">
      <c r="A2303" s="3">
        <f>IFERROR(__xludf.DUMMYFUNCTION("""COMPUTED_VALUE"""),42694.99861111111)</f>
        <v>42694.99861</v>
      </c>
      <c r="B2303" s="1">
        <f>IFERROR(__xludf.DUMMYFUNCTION("""COMPUTED_VALUE"""),1737.30831)</f>
        <v>1737.30831</v>
      </c>
    </row>
    <row r="2304">
      <c r="A2304" s="3">
        <f>IFERROR(__xludf.DUMMYFUNCTION("""COMPUTED_VALUE"""),42695.99861111111)</f>
        <v>42695.99861</v>
      </c>
      <c r="B2304" s="1">
        <f>IFERROR(__xludf.DUMMYFUNCTION("""COMPUTED_VALUE"""),1729.20916)</f>
        <v>1729.20916</v>
      </c>
    </row>
    <row r="2305">
      <c r="A2305" s="3">
        <f>IFERROR(__xludf.DUMMYFUNCTION("""COMPUTED_VALUE"""),42696.99861111111)</f>
        <v>42696.99861</v>
      </c>
      <c r="B2305" s="1">
        <f>IFERROR(__xludf.DUMMYFUNCTION("""COMPUTED_VALUE"""),1731.51912)</f>
        <v>1731.51912</v>
      </c>
    </row>
    <row r="2306">
      <c r="A2306" s="3">
        <f>IFERROR(__xludf.DUMMYFUNCTION("""COMPUTED_VALUE"""),42697.99861111111)</f>
        <v>42697.99861</v>
      </c>
      <c r="B2306" s="1">
        <f>IFERROR(__xludf.DUMMYFUNCTION("""COMPUTED_VALUE"""),1754.21444)</f>
        <v>1754.21444</v>
      </c>
    </row>
    <row r="2307">
      <c r="A2307" s="3">
        <f>IFERROR(__xludf.DUMMYFUNCTION("""COMPUTED_VALUE"""),42698.99861111111)</f>
        <v>42698.99861</v>
      </c>
      <c r="B2307" s="1">
        <f>IFERROR(__xludf.DUMMYFUNCTION("""COMPUTED_VALUE"""),1747.89736)</f>
        <v>1747.89736</v>
      </c>
    </row>
    <row r="2308">
      <c r="A2308" s="3">
        <f>IFERROR(__xludf.DUMMYFUNCTION("""COMPUTED_VALUE"""),42699.99861111111)</f>
        <v>42699.99861</v>
      </c>
      <c r="B2308" s="1">
        <f>IFERROR(__xludf.DUMMYFUNCTION("""COMPUTED_VALUE"""),1744.1459)</f>
        <v>1744.1459</v>
      </c>
    </row>
    <row r="2309">
      <c r="A2309" s="3">
        <f>IFERROR(__xludf.DUMMYFUNCTION("""COMPUTED_VALUE"""),42700.99861111111)</f>
        <v>42700.99861</v>
      </c>
      <c r="B2309" s="1">
        <f>IFERROR(__xludf.DUMMYFUNCTION("""COMPUTED_VALUE"""),1744.383048)</f>
        <v>1744.383048</v>
      </c>
    </row>
    <row r="2310">
      <c r="A2310" s="3">
        <f>IFERROR(__xludf.DUMMYFUNCTION("""COMPUTED_VALUE"""),42701.99861111111)</f>
        <v>42701.99861</v>
      </c>
      <c r="B2310" s="1">
        <f>IFERROR(__xludf.DUMMYFUNCTION("""COMPUTED_VALUE"""),1737.8416)</f>
        <v>1737.8416</v>
      </c>
    </row>
    <row r="2311">
      <c r="A2311" s="3">
        <f>IFERROR(__xludf.DUMMYFUNCTION("""COMPUTED_VALUE"""),42702.99861111111)</f>
        <v>42702.99861</v>
      </c>
      <c r="B2311" s="1">
        <f>IFERROR(__xludf.DUMMYFUNCTION("""COMPUTED_VALUE"""),1737.4431)</f>
        <v>1737.4431</v>
      </c>
    </row>
    <row r="2312">
      <c r="A2312" s="3">
        <f>IFERROR(__xludf.DUMMYFUNCTION("""COMPUTED_VALUE"""),42703.99861111111)</f>
        <v>42703.99861</v>
      </c>
      <c r="B2312" s="1">
        <f>IFERROR(__xludf.DUMMYFUNCTION("""COMPUTED_VALUE"""),1740.4078)</f>
        <v>1740.4078</v>
      </c>
    </row>
    <row r="2313">
      <c r="A2313" s="3">
        <f>IFERROR(__xludf.DUMMYFUNCTION("""COMPUTED_VALUE"""),42704.99861111111)</f>
        <v>42704.99861</v>
      </c>
      <c r="B2313" s="1">
        <f>IFERROR(__xludf.DUMMYFUNCTION("""COMPUTED_VALUE"""),1749.83796)</f>
        <v>1749.83796</v>
      </c>
    </row>
    <row r="2314">
      <c r="A2314" s="3">
        <f>IFERROR(__xludf.DUMMYFUNCTION("""COMPUTED_VALUE"""),42705.99861111111)</f>
        <v>42705.99861</v>
      </c>
      <c r="B2314" s="1">
        <f>IFERROR(__xludf.DUMMYFUNCTION("""COMPUTED_VALUE"""),1742.60538)</f>
        <v>1742.60538</v>
      </c>
    </row>
    <row r="2315">
      <c r="A2315" s="3">
        <f>IFERROR(__xludf.DUMMYFUNCTION("""COMPUTED_VALUE"""),42706.99861111111)</f>
        <v>42706.99861</v>
      </c>
      <c r="B2315" s="1">
        <f>IFERROR(__xludf.DUMMYFUNCTION("""COMPUTED_VALUE"""),1735.2632)</f>
        <v>1735.2632</v>
      </c>
    </row>
    <row r="2316">
      <c r="A2316" s="3">
        <f>IFERROR(__xludf.DUMMYFUNCTION("""COMPUTED_VALUE"""),42708.99861111111)</f>
        <v>42708.99861</v>
      </c>
      <c r="B2316" s="1">
        <f>IFERROR(__xludf.DUMMYFUNCTION("""COMPUTED_VALUE"""),1758.6052)</f>
        <v>1758.6052</v>
      </c>
    </row>
    <row r="2317">
      <c r="A2317" s="3">
        <f>IFERROR(__xludf.DUMMYFUNCTION("""COMPUTED_VALUE"""),42709.99861111111)</f>
        <v>42709.99861</v>
      </c>
      <c r="B2317" s="1">
        <f>IFERROR(__xludf.DUMMYFUNCTION("""COMPUTED_VALUE"""),1732.5722)</f>
        <v>1732.5722</v>
      </c>
    </row>
    <row r="2318">
      <c r="A2318" s="3">
        <f>IFERROR(__xludf.DUMMYFUNCTION("""COMPUTED_VALUE"""),42710.99861111111)</f>
        <v>42710.99861</v>
      </c>
      <c r="B2318" s="1">
        <f>IFERROR(__xludf.DUMMYFUNCTION("""COMPUTED_VALUE"""),1714.38624)</f>
        <v>1714.38624</v>
      </c>
    </row>
    <row r="2319">
      <c r="A2319" s="3">
        <f>IFERROR(__xludf.DUMMYFUNCTION("""COMPUTED_VALUE"""),42711.99861111111)</f>
        <v>42711.99861</v>
      </c>
      <c r="B2319" s="1">
        <f>IFERROR(__xludf.DUMMYFUNCTION("""COMPUTED_VALUE"""),1711.53807)</f>
        <v>1711.53807</v>
      </c>
    </row>
    <row r="2320">
      <c r="A2320" s="3">
        <f>IFERROR(__xludf.DUMMYFUNCTION("""COMPUTED_VALUE"""),42712.99861111111)</f>
        <v>42712.99861</v>
      </c>
      <c r="B2320" s="1">
        <f>IFERROR(__xludf.DUMMYFUNCTION("""COMPUTED_VALUE"""),1715.54258)</f>
        <v>1715.54258</v>
      </c>
    </row>
    <row r="2321">
      <c r="A2321" s="3">
        <f>IFERROR(__xludf.DUMMYFUNCTION("""COMPUTED_VALUE"""),42713.99861111111)</f>
        <v>42713.99861</v>
      </c>
      <c r="B2321" s="1">
        <f>IFERROR(__xludf.DUMMYFUNCTION("""COMPUTED_VALUE"""),1719.50325)</f>
        <v>1719.50325</v>
      </c>
    </row>
    <row r="2322">
      <c r="A2322" s="3">
        <f>IFERROR(__xludf.DUMMYFUNCTION("""COMPUTED_VALUE"""),42714.99861111111)</f>
        <v>42714.99861</v>
      </c>
      <c r="B2322" s="1">
        <f>IFERROR(__xludf.DUMMYFUNCTION("""COMPUTED_VALUE"""),1720.426611)</f>
        <v>1720.426611</v>
      </c>
    </row>
    <row r="2323">
      <c r="A2323" s="3">
        <f>IFERROR(__xludf.DUMMYFUNCTION("""COMPUTED_VALUE"""),42715.99861111111)</f>
        <v>42715.99861</v>
      </c>
      <c r="B2323" s="1">
        <f>IFERROR(__xludf.DUMMYFUNCTION("""COMPUTED_VALUE"""),1721.04945)</f>
        <v>1721.04945</v>
      </c>
    </row>
    <row r="2324">
      <c r="A2324" s="3">
        <f>IFERROR(__xludf.DUMMYFUNCTION("""COMPUTED_VALUE"""),42716.99861111111)</f>
        <v>42716.99861</v>
      </c>
      <c r="B2324" s="1">
        <f>IFERROR(__xludf.DUMMYFUNCTION("""COMPUTED_VALUE"""),1711.40142)</f>
        <v>1711.40142</v>
      </c>
    </row>
    <row r="2325">
      <c r="A2325" s="3">
        <f>IFERROR(__xludf.DUMMYFUNCTION("""COMPUTED_VALUE"""),42717.99861111111)</f>
        <v>42717.99861</v>
      </c>
      <c r="B2325" s="1">
        <f>IFERROR(__xludf.DUMMYFUNCTION("""COMPUTED_VALUE"""),1711.9248)</f>
        <v>1711.9248</v>
      </c>
    </row>
    <row r="2326">
      <c r="A2326" s="3">
        <f>IFERROR(__xludf.DUMMYFUNCTION("""COMPUTED_VALUE"""),42718.99861111111)</f>
        <v>42718.99861</v>
      </c>
      <c r="B2326" s="1">
        <f>IFERROR(__xludf.DUMMYFUNCTION("""COMPUTED_VALUE"""),1729.44602)</f>
        <v>1729.44602</v>
      </c>
    </row>
    <row r="2327">
      <c r="A2327" s="3">
        <f>IFERROR(__xludf.DUMMYFUNCTION("""COMPUTED_VALUE"""),42719.99861111111)</f>
        <v>42719.99861</v>
      </c>
      <c r="B2327" s="1">
        <f>IFERROR(__xludf.DUMMYFUNCTION("""COMPUTED_VALUE"""),1727.87324)</f>
        <v>1727.87324</v>
      </c>
    </row>
    <row r="2328">
      <c r="A2328" s="3">
        <f>IFERROR(__xludf.DUMMYFUNCTION("""COMPUTED_VALUE"""),42720.99861111111)</f>
        <v>42720.99861</v>
      </c>
      <c r="B2328" s="1">
        <f>IFERROR(__xludf.DUMMYFUNCTION("""COMPUTED_VALUE"""),1726.40875)</f>
        <v>1726.40875</v>
      </c>
    </row>
    <row r="2329">
      <c r="A2329" s="3">
        <f>IFERROR(__xludf.DUMMYFUNCTION("""COMPUTED_VALUE"""),42721.99861111111)</f>
        <v>42721.99861</v>
      </c>
      <c r="B2329" s="1">
        <f>IFERROR(__xludf.DUMMYFUNCTION("""COMPUTED_VALUE"""),1726.67693)</f>
        <v>1726.67693</v>
      </c>
    </row>
    <row r="2330">
      <c r="A2330" s="3">
        <f>IFERROR(__xludf.DUMMYFUNCTION("""COMPUTED_VALUE"""),42722.99861111111)</f>
        <v>42722.99861</v>
      </c>
      <c r="B2330" s="1">
        <f>IFERROR(__xludf.DUMMYFUNCTION("""COMPUTED_VALUE"""),1723.06125)</f>
        <v>1723.06125</v>
      </c>
    </row>
    <row r="2331">
      <c r="A2331" s="3">
        <f>IFERROR(__xludf.DUMMYFUNCTION("""COMPUTED_VALUE"""),42723.99861111111)</f>
        <v>42723.99861</v>
      </c>
      <c r="B2331" s="1">
        <f>IFERROR(__xludf.DUMMYFUNCTION("""COMPUTED_VALUE"""),1721.5212)</f>
        <v>1721.5212</v>
      </c>
    </row>
    <row r="2332">
      <c r="A2332" s="3">
        <f>IFERROR(__xludf.DUMMYFUNCTION("""COMPUTED_VALUE"""),42724.99861111111)</f>
        <v>42724.99861</v>
      </c>
      <c r="B2332" s="1">
        <f>IFERROR(__xludf.DUMMYFUNCTION("""COMPUTED_VALUE"""),1728.08796)</f>
        <v>1728.08796</v>
      </c>
    </row>
    <row r="2333">
      <c r="A2333" s="3">
        <f>IFERROR(__xludf.DUMMYFUNCTION("""COMPUTED_VALUE"""),42725.99861111111)</f>
        <v>42725.99861</v>
      </c>
      <c r="B2333" s="1">
        <f>IFERROR(__xludf.DUMMYFUNCTION("""COMPUTED_VALUE"""),1731.61515)</f>
        <v>1731.61515</v>
      </c>
    </row>
    <row r="2334">
      <c r="A2334" s="3">
        <f>IFERROR(__xludf.DUMMYFUNCTION("""COMPUTED_VALUE"""),42726.99861111111)</f>
        <v>42726.99861</v>
      </c>
      <c r="B2334" s="1">
        <f>IFERROR(__xludf.DUMMYFUNCTION("""COMPUTED_VALUE"""),1732.36569)</f>
        <v>1732.36569</v>
      </c>
    </row>
    <row r="2335">
      <c r="A2335" s="3">
        <f>IFERROR(__xludf.DUMMYFUNCTION("""COMPUTED_VALUE"""),42727.99861111111)</f>
        <v>42727.99861</v>
      </c>
      <c r="B2335" s="1">
        <f>IFERROR(__xludf.DUMMYFUNCTION("""COMPUTED_VALUE"""),1730.84205)</f>
        <v>1730.84205</v>
      </c>
    </row>
    <row r="2336">
      <c r="A2336" s="3">
        <f>IFERROR(__xludf.DUMMYFUNCTION("""COMPUTED_VALUE"""),42728.99861111111)</f>
        <v>42728.99861</v>
      </c>
      <c r="B2336" s="1">
        <f>IFERROR(__xludf.DUMMYFUNCTION("""COMPUTED_VALUE"""),1731.11071)</f>
        <v>1731.11071</v>
      </c>
    </row>
    <row r="2337">
      <c r="A2337" s="3">
        <f>IFERROR(__xludf.DUMMYFUNCTION("""COMPUTED_VALUE"""),42729.99861111111)</f>
        <v>42729.99861</v>
      </c>
      <c r="B2337" s="1">
        <f>IFERROR(__xludf.DUMMYFUNCTION("""COMPUTED_VALUE"""),1731.86728)</f>
        <v>1731.86728</v>
      </c>
    </row>
    <row r="2338">
      <c r="A2338" s="3">
        <f>IFERROR(__xludf.DUMMYFUNCTION("""COMPUTED_VALUE"""),42730.99861111111)</f>
        <v>42730.99861</v>
      </c>
      <c r="B2338" s="1">
        <f>IFERROR(__xludf.DUMMYFUNCTION("""COMPUTED_VALUE"""),1732.13612)</f>
        <v>1732.13612</v>
      </c>
    </row>
    <row r="2339">
      <c r="A2339" s="3">
        <f>IFERROR(__xludf.DUMMYFUNCTION("""COMPUTED_VALUE"""),42731.99861111111)</f>
        <v>42731.99861</v>
      </c>
      <c r="B2339" s="1">
        <f>IFERROR(__xludf.DUMMYFUNCTION("""COMPUTED_VALUE"""),1730.46094)</f>
        <v>1730.46094</v>
      </c>
    </row>
    <row r="2340">
      <c r="A2340" s="3">
        <f>IFERROR(__xludf.DUMMYFUNCTION("""COMPUTED_VALUE"""),42732.99861111111)</f>
        <v>42732.99861</v>
      </c>
      <c r="B2340" s="1">
        <f>IFERROR(__xludf.DUMMYFUNCTION("""COMPUTED_VALUE"""),1738.861)</f>
        <v>1738.861</v>
      </c>
    </row>
    <row r="2341">
      <c r="A2341" s="3">
        <f>IFERROR(__xludf.DUMMYFUNCTION("""COMPUTED_VALUE"""),42733.99861111111)</f>
        <v>42733.99861</v>
      </c>
      <c r="B2341" s="1">
        <f>IFERROR(__xludf.DUMMYFUNCTION("""COMPUTED_VALUE"""),1736.17138)</f>
        <v>1736.17138</v>
      </c>
    </row>
    <row r="2342">
      <c r="A2342" s="3">
        <f>IFERROR(__xludf.DUMMYFUNCTION("""COMPUTED_VALUE"""),42734.99861111111)</f>
        <v>42734.99861</v>
      </c>
      <c r="B2342" s="1">
        <f>IFERROR(__xludf.DUMMYFUNCTION("""COMPUTED_VALUE"""),1742.19984)</f>
        <v>1742.19984</v>
      </c>
    </row>
    <row r="2343">
      <c r="A2343" s="3">
        <f>IFERROR(__xludf.DUMMYFUNCTION("""COMPUTED_VALUE"""),42735.99861111111)</f>
        <v>42735.99861</v>
      </c>
      <c r="B2343" s="1">
        <f>IFERROR(__xludf.DUMMYFUNCTION("""COMPUTED_VALUE"""),1743.1461)</f>
        <v>1743.1461</v>
      </c>
    </row>
    <row r="2344">
      <c r="A2344" s="3">
        <f>IFERROR(__xludf.DUMMYFUNCTION("""COMPUTED_VALUE"""),42736.99861111111)</f>
        <v>42736.99861</v>
      </c>
      <c r="B2344" s="1">
        <f>IFERROR(__xludf.DUMMYFUNCTION("""COMPUTED_VALUE"""),1741.42656)</f>
        <v>1741.42656</v>
      </c>
    </row>
    <row r="2345">
      <c r="A2345" s="3">
        <f>IFERROR(__xludf.DUMMYFUNCTION("""COMPUTED_VALUE"""),42737.99861111111)</f>
        <v>42737.99861</v>
      </c>
      <c r="B2345" s="1">
        <f>IFERROR(__xludf.DUMMYFUNCTION("""COMPUTED_VALUE"""),1740.78834)</f>
        <v>1740.78834</v>
      </c>
    </row>
    <row r="2346">
      <c r="A2346" s="3">
        <f>IFERROR(__xludf.DUMMYFUNCTION("""COMPUTED_VALUE"""),42738.99861111111)</f>
        <v>42738.99861</v>
      </c>
      <c r="B2346" s="1">
        <f>IFERROR(__xludf.DUMMYFUNCTION("""COMPUTED_VALUE"""),1732.8027)</f>
        <v>1732.8027</v>
      </c>
    </row>
    <row r="2347">
      <c r="A2347" s="3">
        <f>IFERROR(__xludf.DUMMYFUNCTION("""COMPUTED_VALUE"""),42739.99861111111)</f>
        <v>42739.99861</v>
      </c>
      <c r="B2347" s="1">
        <f>IFERROR(__xludf.DUMMYFUNCTION("""COMPUTED_VALUE"""),1720.95764)</f>
        <v>1720.95764</v>
      </c>
    </row>
    <row r="2348">
      <c r="A2348" s="3">
        <f>IFERROR(__xludf.DUMMYFUNCTION("""COMPUTED_VALUE"""),42740.99861111111)</f>
        <v>42740.99861</v>
      </c>
      <c r="B2348" s="1">
        <f>IFERROR(__xludf.DUMMYFUNCTION("""COMPUTED_VALUE"""),1717.35186)</f>
        <v>1717.35186</v>
      </c>
    </row>
    <row r="2349">
      <c r="A2349" s="3">
        <f>IFERROR(__xludf.DUMMYFUNCTION("""COMPUTED_VALUE"""),42741.99861111111)</f>
        <v>42741.99861</v>
      </c>
      <c r="B2349" s="1">
        <f>IFERROR(__xludf.DUMMYFUNCTION("""COMPUTED_VALUE"""),1719.91722)</f>
        <v>1719.91722</v>
      </c>
    </row>
    <row r="2350">
      <c r="A2350" s="3">
        <f>IFERROR(__xludf.DUMMYFUNCTION("""COMPUTED_VALUE"""),42742.99861111111)</f>
        <v>42742.99861</v>
      </c>
      <c r="B2350" s="1">
        <f>IFERROR(__xludf.DUMMYFUNCTION("""COMPUTED_VALUE"""),1720.18406)</f>
        <v>1720.18406</v>
      </c>
    </row>
    <row r="2351">
      <c r="A2351" s="3">
        <f>IFERROR(__xludf.DUMMYFUNCTION("""COMPUTED_VALUE"""),42743.99861111111)</f>
        <v>42743.99861</v>
      </c>
      <c r="B2351" s="1">
        <f>IFERROR(__xludf.DUMMYFUNCTION("""COMPUTED_VALUE"""),1721.47794)</f>
        <v>1721.47794</v>
      </c>
    </row>
    <row r="2352">
      <c r="A2352" s="3">
        <f>IFERROR(__xludf.DUMMYFUNCTION("""COMPUTED_VALUE"""),42744.99861111111)</f>
        <v>42744.99861</v>
      </c>
      <c r="B2352" s="1">
        <f>IFERROR(__xludf.DUMMYFUNCTION("""COMPUTED_VALUE"""),1716.44088)</f>
        <v>1716.44088</v>
      </c>
    </row>
    <row r="2353">
      <c r="A2353" s="3">
        <f>IFERROR(__xludf.DUMMYFUNCTION("""COMPUTED_VALUE"""),42745.99861111111)</f>
        <v>42745.99861</v>
      </c>
      <c r="B2353" s="1">
        <f>IFERROR(__xludf.DUMMYFUNCTION("""COMPUTED_VALUE"""),1713.87445)</f>
        <v>1713.87445</v>
      </c>
    </row>
    <row r="2354">
      <c r="A2354" s="3">
        <f>IFERROR(__xludf.DUMMYFUNCTION("""COMPUTED_VALUE"""),42746.99861111111)</f>
        <v>42746.99861</v>
      </c>
      <c r="B2354" s="1">
        <f>IFERROR(__xludf.DUMMYFUNCTION("""COMPUTED_VALUE"""),1707.42695)</f>
        <v>1707.42695</v>
      </c>
    </row>
    <row r="2355">
      <c r="A2355" s="3">
        <f>IFERROR(__xludf.DUMMYFUNCTION("""COMPUTED_VALUE"""),42747.99861111111)</f>
        <v>42747.99861</v>
      </c>
      <c r="B2355" s="1">
        <f>IFERROR(__xludf.DUMMYFUNCTION("""COMPUTED_VALUE"""),1709.48652)</f>
        <v>1709.48652</v>
      </c>
    </row>
    <row r="2356">
      <c r="A2356" s="3">
        <f>IFERROR(__xludf.DUMMYFUNCTION("""COMPUTED_VALUE"""),42748.99861111111)</f>
        <v>42748.99861</v>
      </c>
      <c r="B2356" s="1">
        <f>IFERROR(__xludf.DUMMYFUNCTION("""COMPUTED_VALUE"""),1716.44509)</f>
        <v>1716.44509</v>
      </c>
    </row>
    <row r="2357">
      <c r="A2357" s="3">
        <f>IFERROR(__xludf.DUMMYFUNCTION("""COMPUTED_VALUE"""),42749.99861111111)</f>
        <v>42749.99861</v>
      </c>
      <c r="B2357" s="1">
        <f>IFERROR(__xludf.DUMMYFUNCTION("""COMPUTED_VALUE"""),1716.71135)</f>
        <v>1716.71135</v>
      </c>
    </row>
    <row r="2358">
      <c r="A2358" s="3">
        <f>IFERROR(__xludf.DUMMYFUNCTION("""COMPUTED_VALUE"""),42750.99861111111)</f>
        <v>42750.99861</v>
      </c>
      <c r="B2358" s="1">
        <f>IFERROR(__xludf.DUMMYFUNCTION("""COMPUTED_VALUE"""),1716.44509)</f>
        <v>1716.44509</v>
      </c>
    </row>
    <row r="2359">
      <c r="A2359" s="3">
        <f>IFERROR(__xludf.DUMMYFUNCTION("""COMPUTED_VALUE"""),42751.99861111111)</f>
        <v>42751.99861</v>
      </c>
      <c r="B2359" s="1">
        <f>IFERROR(__xludf.DUMMYFUNCTION("""COMPUTED_VALUE"""),1720.95308)</f>
        <v>1720.95308</v>
      </c>
    </row>
    <row r="2360">
      <c r="A2360" s="3">
        <f>IFERROR(__xludf.DUMMYFUNCTION("""COMPUTED_VALUE"""),42752.99861111111)</f>
        <v>42752.99861</v>
      </c>
      <c r="B2360" s="1">
        <f>IFERROR(__xludf.DUMMYFUNCTION("""COMPUTED_VALUE"""),1714.12032)</f>
        <v>1714.12032</v>
      </c>
    </row>
    <row r="2361">
      <c r="A2361" s="3">
        <f>IFERROR(__xludf.DUMMYFUNCTION("""COMPUTED_VALUE"""),42753.99861111111)</f>
        <v>42753.99861</v>
      </c>
      <c r="B2361" s="1">
        <f>IFERROR(__xludf.DUMMYFUNCTION("""COMPUTED_VALUE"""),1723.5267)</f>
        <v>1723.5267</v>
      </c>
    </row>
    <row r="2362">
      <c r="A2362" s="3">
        <f>IFERROR(__xludf.DUMMYFUNCTION("""COMPUTED_VALUE"""),42754.99861111111)</f>
        <v>42754.99861</v>
      </c>
      <c r="B2362" s="1">
        <f>IFERROR(__xludf.DUMMYFUNCTION("""COMPUTED_VALUE"""),1724.4242)</f>
        <v>1724.4242</v>
      </c>
    </row>
    <row r="2363">
      <c r="A2363" s="3">
        <f>IFERROR(__xludf.DUMMYFUNCTION("""COMPUTED_VALUE"""),42755.99861111111)</f>
        <v>42755.99861</v>
      </c>
      <c r="B2363" s="1">
        <f>IFERROR(__xludf.DUMMYFUNCTION("""COMPUTED_VALUE"""),1726.08984)</f>
        <v>1726.08984</v>
      </c>
    </row>
    <row r="2364">
      <c r="A2364" s="3">
        <f>IFERROR(__xludf.DUMMYFUNCTION("""COMPUTED_VALUE"""),42756.99861111111)</f>
        <v>42756.99861</v>
      </c>
      <c r="B2364" s="1">
        <f>IFERROR(__xludf.DUMMYFUNCTION("""COMPUTED_VALUE"""),1726.3577)</f>
        <v>1726.3577</v>
      </c>
    </row>
    <row r="2365">
      <c r="A2365" s="3">
        <f>IFERROR(__xludf.DUMMYFUNCTION("""COMPUTED_VALUE"""),42757.99861111111)</f>
        <v>42757.99861</v>
      </c>
      <c r="B2365" s="1">
        <f>IFERROR(__xludf.DUMMYFUNCTION("""COMPUTED_VALUE"""),1728.0334)</f>
        <v>1728.0334</v>
      </c>
    </row>
    <row r="2366">
      <c r="A2366" s="3">
        <f>IFERROR(__xludf.DUMMYFUNCTION("""COMPUTED_VALUE"""),42758.99861111111)</f>
        <v>42758.99861</v>
      </c>
      <c r="B2366" s="1">
        <f>IFERROR(__xludf.DUMMYFUNCTION("""COMPUTED_VALUE"""),1720.30395)</f>
        <v>1720.30395</v>
      </c>
    </row>
    <row r="2367">
      <c r="A2367" s="3">
        <f>IFERROR(__xludf.DUMMYFUNCTION("""COMPUTED_VALUE"""),42759.99861111111)</f>
        <v>42759.99861</v>
      </c>
      <c r="B2367" s="1">
        <f>IFERROR(__xludf.DUMMYFUNCTION("""COMPUTED_VALUE"""),1719.7838)</f>
        <v>1719.7838</v>
      </c>
    </row>
    <row r="2368">
      <c r="A2368" s="3">
        <f>IFERROR(__xludf.DUMMYFUNCTION("""COMPUTED_VALUE"""),42760.99861111111)</f>
        <v>42760.99861</v>
      </c>
      <c r="B2368" s="1">
        <f>IFERROR(__xludf.DUMMYFUNCTION("""COMPUTED_VALUE"""),1716.4324)</f>
        <v>1716.4324</v>
      </c>
    </row>
    <row r="2369">
      <c r="A2369" s="3">
        <f>IFERROR(__xludf.DUMMYFUNCTION("""COMPUTED_VALUE"""),42761.99861111111)</f>
        <v>42761.99861</v>
      </c>
      <c r="B2369" s="1">
        <f>IFERROR(__xludf.DUMMYFUNCTION("""COMPUTED_VALUE"""),1725.45043)</f>
        <v>1725.45043</v>
      </c>
    </row>
    <row r="2370">
      <c r="A2370" s="3">
        <f>IFERROR(__xludf.DUMMYFUNCTION("""COMPUTED_VALUE"""),42762.99861111111)</f>
        <v>42762.99861</v>
      </c>
      <c r="B2370" s="1">
        <f>IFERROR(__xludf.DUMMYFUNCTION("""COMPUTED_VALUE"""),1721.18302)</f>
        <v>1721.18302</v>
      </c>
    </row>
    <row r="2371">
      <c r="A2371" s="3">
        <f>IFERROR(__xludf.DUMMYFUNCTION("""COMPUTED_VALUE"""),42763.99861111111)</f>
        <v>42763.99861</v>
      </c>
      <c r="B2371" s="1">
        <f>IFERROR(__xludf.DUMMYFUNCTION("""COMPUTED_VALUE"""),1722.726762)</f>
        <v>1722.726762</v>
      </c>
    </row>
    <row r="2372">
      <c r="A2372" s="3">
        <f>IFERROR(__xludf.DUMMYFUNCTION("""COMPUTED_VALUE"""),42764.99861111111)</f>
        <v>42764.99861</v>
      </c>
      <c r="B2372" s="1">
        <f>IFERROR(__xludf.DUMMYFUNCTION("""COMPUTED_VALUE"""),1717.32162)</f>
        <v>1717.32162</v>
      </c>
    </row>
    <row r="2373">
      <c r="A2373" s="3">
        <f>IFERROR(__xludf.DUMMYFUNCTION("""COMPUTED_VALUE"""),42765.99861111111)</f>
        <v>42765.99861</v>
      </c>
      <c r="B2373" s="1">
        <f>IFERROR(__xludf.DUMMYFUNCTION("""COMPUTED_VALUE"""),1719.00144)</f>
        <v>1719.00144</v>
      </c>
    </row>
    <row r="2374">
      <c r="A2374" s="3">
        <f>IFERROR(__xludf.DUMMYFUNCTION("""COMPUTED_VALUE"""),42766.99861111111)</f>
        <v>42766.99861</v>
      </c>
      <c r="B2374" s="1">
        <f>IFERROR(__xludf.DUMMYFUNCTION("""COMPUTED_VALUE"""),1720.1705)</f>
        <v>1720.1705</v>
      </c>
    </row>
    <row r="2375">
      <c r="A2375" s="3">
        <f>IFERROR(__xludf.DUMMYFUNCTION("""COMPUTED_VALUE"""),42767.99861111111)</f>
        <v>42767.99861</v>
      </c>
      <c r="B2375" s="1">
        <f>IFERROR(__xludf.DUMMYFUNCTION("""COMPUTED_VALUE"""),1721.5696)</f>
        <v>1721.5696</v>
      </c>
    </row>
    <row r="2376">
      <c r="A2376" s="3">
        <f>IFERROR(__xludf.DUMMYFUNCTION("""COMPUTED_VALUE"""),42768.99861111111)</f>
        <v>42768.99861</v>
      </c>
      <c r="B2376" s="1">
        <f>IFERROR(__xludf.DUMMYFUNCTION("""COMPUTED_VALUE"""),1719.76556)</f>
        <v>1719.76556</v>
      </c>
    </row>
    <row r="2377">
      <c r="A2377" s="3">
        <f>IFERROR(__xludf.DUMMYFUNCTION("""COMPUTED_VALUE"""),42769.99861111111)</f>
        <v>42769.99861</v>
      </c>
      <c r="B2377" s="1">
        <f>IFERROR(__xludf.DUMMYFUNCTION("""COMPUTED_VALUE"""),1716.55702)</f>
        <v>1716.55702</v>
      </c>
    </row>
    <row r="2378">
      <c r="A2378" s="3">
        <f>IFERROR(__xludf.DUMMYFUNCTION("""COMPUTED_VALUE"""),42770.99861111111)</f>
        <v>42770.99861</v>
      </c>
      <c r="B2378" s="1">
        <f>IFERROR(__xludf.DUMMYFUNCTION("""COMPUTED_VALUE"""),1718.532903)</f>
        <v>1718.532903</v>
      </c>
    </row>
    <row r="2379">
      <c r="A2379" s="3">
        <f>IFERROR(__xludf.DUMMYFUNCTION("""COMPUTED_VALUE"""),42771.99861111111)</f>
        <v>42771.99861</v>
      </c>
      <c r="B2379" s="1">
        <f>IFERROR(__xludf.DUMMYFUNCTION("""COMPUTED_VALUE"""),1719.00144)</f>
        <v>1719.00144</v>
      </c>
    </row>
    <row r="2380">
      <c r="A2380" s="3">
        <f>IFERROR(__xludf.DUMMYFUNCTION("""COMPUTED_VALUE"""),42772.99861111111)</f>
        <v>42772.99861</v>
      </c>
      <c r="B2380" s="1">
        <f>IFERROR(__xludf.DUMMYFUNCTION("""COMPUTED_VALUE"""),1717.45488)</f>
        <v>1717.45488</v>
      </c>
    </row>
    <row r="2381">
      <c r="A2381" s="3">
        <f>IFERROR(__xludf.DUMMYFUNCTION("""COMPUTED_VALUE"""),42773.99861111111)</f>
        <v>42773.99861</v>
      </c>
      <c r="B2381" s="1">
        <f>IFERROR(__xludf.DUMMYFUNCTION("""COMPUTED_VALUE"""),1715.3928)</f>
        <v>1715.3928</v>
      </c>
    </row>
    <row r="2382">
      <c r="A2382" s="3">
        <f>IFERROR(__xludf.DUMMYFUNCTION("""COMPUTED_VALUE"""),42774.99861111111)</f>
        <v>42774.99861</v>
      </c>
      <c r="B2382" s="1">
        <f>IFERROR(__xludf.DUMMYFUNCTION("""COMPUTED_VALUE"""),1714.22874)</f>
        <v>1714.22874</v>
      </c>
    </row>
    <row r="2383">
      <c r="A2383" s="3">
        <f>IFERROR(__xludf.DUMMYFUNCTION("""COMPUTED_VALUE"""),42775.99861111111)</f>
        <v>42775.99861</v>
      </c>
      <c r="B2383" s="1">
        <f>IFERROR(__xludf.DUMMYFUNCTION("""COMPUTED_VALUE"""),1712.69032)</f>
        <v>1712.69032</v>
      </c>
    </row>
    <row r="2384">
      <c r="A2384" s="3">
        <f>IFERROR(__xludf.DUMMYFUNCTION("""COMPUTED_VALUE"""),42776.99861111111)</f>
        <v>42776.99861</v>
      </c>
      <c r="B2384" s="1">
        <f>IFERROR(__xludf.DUMMYFUNCTION("""COMPUTED_VALUE"""),1715.91257)</f>
        <v>1715.91257</v>
      </c>
    </row>
    <row r="2385">
      <c r="A2385" s="3">
        <f>IFERROR(__xludf.DUMMYFUNCTION("""COMPUTED_VALUE"""),42777.99861111111)</f>
        <v>42777.99861</v>
      </c>
      <c r="B2385" s="1">
        <f>IFERROR(__xludf.DUMMYFUNCTION("""COMPUTED_VALUE"""),1718.39957)</f>
        <v>1718.39957</v>
      </c>
    </row>
    <row r="2386">
      <c r="A2386" s="3">
        <f>IFERROR(__xludf.DUMMYFUNCTION("""COMPUTED_VALUE"""),42778.99861111111)</f>
        <v>42778.99861</v>
      </c>
      <c r="B2386" s="1">
        <f>IFERROR(__xludf.DUMMYFUNCTION("""COMPUTED_VALUE"""),1718.74815)</f>
        <v>1718.74815</v>
      </c>
    </row>
    <row r="2387">
      <c r="A2387" s="3">
        <f>IFERROR(__xludf.DUMMYFUNCTION("""COMPUTED_VALUE"""),42779.99861111111)</f>
        <v>42779.99861</v>
      </c>
      <c r="B2387" s="1">
        <f>IFERROR(__xludf.DUMMYFUNCTION("""COMPUTED_VALUE"""),1716.93501)</f>
        <v>1716.93501</v>
      </c>
    </row>
    <row r="2388">
      <c r="A2388" s="3">
        <f>IFERROR(__xludf.DUMMYFUNCTION("""COMPUTED_VALUE"""),42780.99861111111)</f>
        <v>42780.99861</v>
      </c>
      <c r="B2388" s="1">
        <f>IFERROR(__xludf.DUMMYFUNCTION("""COMPUTED_VALUE"""),1716.54406)</f>
        <v>1716.54406</v>
      </c>
    </row>
    <row r="2389">
      <c r="A2389" s="3">
        <f>IFERROR(__xludf.DUMMYFUNCTION("""COMPUTED_VALUE"""),42781.99861111111)</f>
        <v>42781.99861</v>
      </c>
      <c r="B2389" s="1">
        <f>IFERROR(__xludf.DUMMYFUNCTION("""COMPUTED_VALUE"""),1715.89976)</f>
        <v>1715.89976</v>
      </c>
    </row>
    <row r="2390">
      <c r="A2390" s="3">
        <f>IFERROR(__xludf.DUMMYFUNCTION("""COMPUTED_VALUE"""),42782.99861111111)</f>
        <v>42782.99861</v>
      </c>
      <c r="B2390" s="1">
        <f>IFERROR(__xludf.DUMMYFUNCTION("""COMPUTED_VALUE"""),1716.54406)</f>
        <v>1716.54406</v>
      </c>
    </row>
    <row r="2391">
      <c r="A2391" s="3">
        <f>IFERROR(__xludf.DUMMYFUNCTION("""COMPUTED_VALUE"""),42783.99861111111)</f>
        <v>42783.99861</v>
      </c>
      <c r="B2391" s="1">
        <f>IFERROR(__xludf.DUMMYFUNCTION("""COMPUTED_VALUE"""),1718.33454)</f>
        <v>1718.33454</v>
      </c>
    </row>
    <row r="2392">
      <c r="A2392" s="3">
        <f>IFERROR(__xludf.DUMMYFUNCTION("""COMPUTED_VALUE"""),42784.99861111111)</f>
        <v>42784.99861</v>
      </c>
      <c r="B2392" s="1">
        <f>IFERROR(__xludf.DUMMYFUNCTION("""COMPUTED_VALUE"""),1719.892566)</f>
        <v>1719.892566</v>
      </c>
    </row>
    <row r="2393">
      <c r="A2393" s="3">
        <f>IFERROR(__xludf.DUMMYFUNCTION("""COMPUTED_VALUE"""),42785.99861111111)</f>
        <v>42785.99861</v>
      </c>
      <c r="B2393" s="1">
        <f>IFERROR(__xludf.DUMMYFUNCTION("""COMPUTED_VALUE"""),1719.8805)</f>
        <v>1719.8805</v>
      </c>
    </row>
    <row r="2394">
      <c r="A2394" s="3">
        <f>IFERROR(__xludf.DUMMYFUNCTION("""COMPUTED_VALUE"""),42786.99861111111)</f>
        <v>42786.99861</v>
      </c>
      <c r="B2394" s="1">
        <f>IFERROR(__xludf.DUMMYFUNCTION("""COMPUTED_VALUE"""),1719.76095)</f>
        <v>1719.76095</v>
      </c>
    </row>
    <row r="2395">
      <c r="A2395" s="3">
        <f>IFERROR(__xludf.DUMMYFUNCTION("""COMPUTED_VALUE"""),42787.99861111111)</f>
        <v>42787.99861</v>
      </c>
      <c r="B2395" s="1">
        <f>IFERROR(__xludf.DUMMYFUNCTION("""COMPUTED_VALUE"""),1721.04472)</f>
        <v>1721.04472</v>
      </c>
    </row>
    <row r="2396">
      <c r="A2396" s="3">
        <f>IFERROR(__xludf.DUMMYFUNCTION("""COMPUTED_VALUE"""),42788.99861111111)</f>
        <v>42788.99861</v>
      </c>
      <c r="B2396" s="1">
        <f>IFERROR(__xludf.DUMMYFUNCTION("""COMPUTED_VALUE"""),1718.46792)</f>
        <v>1718.46792</v>
      </c>
    </row>
    <row r="2397">
      <c r="A2397" s="3">
        <f>IFERROR(__xludf.DUMMYFUNCTION("""COMPUTED_VALUE"""),42789.99861111111)</f>
        <v>42789.99861</v>
      </c>
      <c r="B2397" s="1">
        <f>IFERROR(__xludf.DUMMYFUNCTION("""COMPUTED_VALUE"""),1717.0595)</f>
        <v>1717.0595</v>
      </c>
    </row>
    <row r="2398">
      <c r="A2398" s="3">
        <f>IFERROR(__xludf.DUMMYFUNCTION("""COMPUTED_VALUE"""),42790.99861111111)</f>
        <v>42790.99861</v>
      </c>
      <c r="B2398" s="1">
        <f>IFERROR(__xludf.DUMMYFUNCTION("""COMPUTED_VALUE"""),1716.53532)</f>
        <v>1716.53532</v>
      </c>
    </row>
    <row r="2399">
      <c r="A2399" s="3">
        <f>IFERROR(__xludf.DUMMYFUNCTION("""COMPUTED_VALUE"""),42791.99861111111)</f>
        <v>42791.99861</v>
      </c>
      <c r="B2399" s="1">
        <f>IFERROR(__xludf.DUMMYFUNCTION("""COMPUTED_VALUE"""),1716.66855)</f>
        <v>1716.66855</v>
      </c>
    </row>
    <row r="2400">
      <c r="A2400" s="3">
        <f>IFERROR(__xludf.DUMMYFUNCTION("""COMPUTED_VALUE"""),42792.99861111111)</f>
        <v>42792.99861</v>
      </c>
      <c r="B2400" s="1">
        <f>IFERROR(__xludf.DUMMYFUNCTION("""COMPUTED_VALUE"""),1716.66416)</f>
        <v>1716.66416</v>
      </c>
    </row>
    <row r="2401">
      <c r="A2401" s="3">
        <f>IFERROR(__xludf.DUMMYFUNCTION("""COMPUTED_VALUE"""),42793.99861111111)</f>
        <v>42793.99861</v>
      </c>
      <c r="B2401" s="1">
        <f>IFERROR(__xludf.DUMMYFUNCTION("""COMPUTED_VALUE"""),1718.46337)</f>
        <v>1718.46337</v>
      </c>
    </row>
    <row r="2402">
      <c r="A2402" s="3">
        <f>IFERROR(__xludf.DUMMYFUNCTION("""COMPUTED_VALUE"""),42794.99861111111)</f>
        <v>42794.99861</v>
      </c>
      <c r="B2402" s="1">
        <f>IFERROR(__xludf.DUMMYFUNCTION("""COMPUTED_VALUE"""),1725.02862)</f>
        <v>1725.02862</v>
      </c>
    </row>
    <row r="2403">
      <c r="A2403" s="3">
        <f>IFERROR(__xludf.DUMMYFUNCTION("""COMPUTED_VALUE"""),42795.99861111111)</f>
        <v>42795.99861</v>
      </c>
      <c r="B2403" s="1">
        <f>IFERROR(__xludf.DUMMYFUNCTION("""COMPUTED_VALUE"""),1724.8896)</f>
        <v>1724.8896</v>
      </c>
    </row>
    <row r="2404">
      <c r="A2404" s="3">
        <f>IFERROR(__xludf.DUMMYFUNCTION("""COMPUTED_VALUE"""),42796.99861111111)</f>
        <v>42796.99861</v>
      </c>
      <c r="B2404" s="1">
        <f>IFERROR(__xludf.DUMMYFUNCTION("""COMPUTED_VALUE"""),1722.70986)</f>
        <v>1722.70986</v>
      </c>
    </row>
    <row r="2405">
      <c r="A2405" s="3">
        <f>IFERROR(__xludf.DUMMYFUNCTION("""COMPUTED_VALUE"""),42797.99861111111)</f>
        <v>42797.99861</v>
      </c>
      <c r="B2405" s="1">
        <f>IFERROR(__xludf.DUMMYFUNCTION("""COMPUTED_VALUE"""),1715.1008)</f>
        <v>1715.1008</v>
      </c>
    </row>
    <row r="2406">
      <c r="A2406" s="3">
        <f>IFERROR(__xludf.DUMMYFUNCTION("""COMPUTED_VALUE"""),42798.99861111111)</f>
        <v>42798.99861</v>
      </c>
      <c r="B2406" s="1">
        <f>IFERROR(__xludf.DUMMYFUNCTION("""COMPUTED_VALUE"""),1717.332904)</f>
        <v>1717.332904</v>
      </c>
    </row>
    <row r="2407">
      <c r="A2407" s="3">
        <f>IFERROR(__xludf.DUMMYFUNCTION("""COMPUTED_VALUE"""),42799.99861111111)</f>
        <v>42799.99861</v>
      </c>
      <c r="B2407" s="1">
        <f>IFERROR(__xludf.DUMMYFUNCTION("""COMPUTED_VALUE"""),1710.2064)</f>
        <v>1710.2064</v>
      </c>
    </row>
    <row r="2408">
      <c r="A2408" s="3">
        <f>IFERROR(__xludf.DUMMYFUNCTION("""COMPUTED_VALUE"""),42800.99861111111)</f>
        <v>42800.99861</v>
      </c>
      <c r="B2408" s="1">
        <f>IFERROR(__xludf.DUMMYFUNCTION("""COMPUTED_VALUE"""),1718.31618)</f>
        <v>1718.31618</v>
      </c>
    </row>
    <row r="2409">
      <c r="A2409" s="3">
        <f>IFERROR(__xludf.DUMMYFUNCTION("""COMPUTED_VALUE"""),42801.99861111111)</f>
        <v>42801.99861</v>
      </c>
      <c r="B2409" s="1">
        <f>IFERROR(__xludf.DUMMYFUNCTION("""COMPUTED_VALUE"""),1717.54344)</f>
        <v>1717.54344</v>
      </c>
    </row>
    <row r="2410">
      <c r="A2410" s="3">
        <f>IFERROR(__xludf.DUMMYFUNCTION("""COMPUTED_VALUE"""),42802.99861111111)</f>
        <v>42802.99861</v>
      </c>
      <c r="B2410" s="1">
        <f>IFERROR(__xludf.DUMMYFUNCTION("""COMPUTED_VALUE"""),1721.26368)</f>
        <v>1721.26368</v>
      </c>
    </row>
    <row r="2411">
      <c r="A2411" s="3">
        <f>IFERROR(__xludf.DUMMYFUNCTION("""COMPUTED_VALUE"""),42803.99861111111)</f>
        <v>42803.99861</v>
      </c>
      <c r="B2411" s="1">
        <f>IFERROR(__xludf.DUMMYFUNCTION("""COMPUTED_VALUE"""),1726.03834)</f>
        <v>1726.03834</v>
      </c>
    </row>
    <row r="2412">
      <c r="A2412" s="3">
        <f>IFERROR(__xludf.DUMMYFUNCTION("""COMPUTED_VALUE"""),42804.99861111111)</f>
        <v>42804.99861</v>
      </c>
      <c r="B2412" s="1">
        <f>IFERROR(__xludf.DUMMYFUNCTION("""COMPUTED_VALUE"""),1719.08422)</f>
        <v>1719.08422</v>
      </c>
    </row>
    <row r="2413">
      <c r="A2413" s="3">
        <f>IFERROR(__xludf.DUMMYFUNCTION("""COMPUTED_VALUE"""),42806.99861111111)</f>
        <v>42806.99861</v>
      </c>
      <c r="B2413" s="1">
        <f>IFERROR(__xludf.DUMMYFUNCTION("""COMPUTED_VALUE"""),1718.43096)</f>
        <v>1718.43096</v>
      </c>
    </row>
    <row r="2414">
      <c r="A2414" s="3">
        <f>IFERROR(__xludf.DUMMYFUNCTION("""COMPUTED_VALUE"""),42807.99861111111)</f>
        <v>42807.99861</v>
      </c>
      <c r="B2414" s="1">
        <f>IFERROR(__xludf.DUMMYFUNCTION("""COMPUTED_VALUE"""),1722.04616)</f>
        <v>1722.04616</v>
      </c>
    </row>
    <row r="2415">
      <c r="A2415" s="3">
        <f>IFERROR(__xludf.DUMMYFUNCTION("""COMPUTED_VALUE"""),42808.99861111111)</f>
        <v>42808.99861</v>
      </c>
      <c r="B2415" s="1">
        <f>IFERROR(__xludf.DUMMYFUNCTION("""COMPUTED_VALUE"""),1723.8286)</f>
        <v>1723.8286</v>
      </c>
    </row>
    <row r="2416">
      <c r="A2416" s="3">
        <f>IFERROR(__xludf.DUMMYFUNCTION("""COMPUTED_VALUE"""),42809.99861111111)</f>
        <v>42809.99861</v>
      </c>
      <c r="B2416" s="1">
        <f>IFERROR(__xludf.DUMMYFUNCTION("""COMPUTED_VALUE"""),1701.82092)</f>
        <v>1701.82092</v>
      </c>
    </row>
    <row r="2417">
      <c r="A2417" s="3">
        <f>IFERROR(__xludf.DUMMYFUNCTION("""COMPUTED_VALUE"""),42810.99861111111)</f>
        <v>42810.99861</v>
      </c>
      <c r="B2417" s="1">
        <f>IFERROR(__xludf.DUMMYFUNCTION("""COMPUTED_VALUE"""),1710.98323)</f>
        <v>1710.98323</v>
      </c>
    </row>
    <row r="2418">
      <c r="A2418" s="3">
        <f>IFERROR(__xludf.DUMMYFUNCTION("""COMPUTED_VALUE"""),42811.99861111111)</f>
        <v>42811.99861</v>
      </c>
      <c r="B2418" s="1">
        <f>IFERROR(__xludf.DUMMYFUNCTION("""COMPUTED_VALUE"""),1718.5922)</f>
        <v>1718.5922</v>
      </c>
    </row>
    <row r="2419">
      <c r="A2419" s="3">
        <f>IFERROR(__xludf.DUMMYFUNCTION("""COMPUTED_VALUE"""),42812.99861111111)</f>
        <v>42812.99861</v>
      </c>
      <c r="B2419" s="1">
        <f>IFERROR(__xludf.DUMMYFUNCTION("""COMPUTED_VALUE"""),1718.3254)</f>
        <v>1718.3254</v>
      </c>
    </row>
    <row r="2420">
      <c r="A2420" s="3">
        <f>IFERROR(__xludf.DUMMYFUNCTION("""COMPUTED_VALUE"""),42813.99861111111)</f>
        <v>42813.99861</v>
      </c>
      <c r="B2420" s="1">
        <f>IFERROR(__xludf.DUMMYFUNCTION("""COMPUTED_VALUE"""),1717.1706)</f>
        <v>1717.1706</v>
      </c>
    </row>
    <row r="2421">
      <c r="A2421" s="3">
        <f>IFERROR(__xludf.DUMMYFUNCTION("""COMPUTED_VALUE"""),42814.99861111111)</f>
        <v>42814.99861</v>
      </c>
      <c r="B2421" s="1">
        <f>IFERROR(__xludf.DUMMYFUNCTION("""COMPUTED_VALUE"""),1716.76164)</f>
        <v>1716.76164</v>
      </c>
    </row>
    <row r="2422">
      <c r="A2422" s="3">
        <f>IFERROR(__xludf.DUMMYFUNCTION("""COMPUTED_VALUE"""),42815.99861111111)</f>
        <v>42815.99861</v>
      </c>
      <c r="B2422" s="1">
        <f>IFERROR(__xludf.DUMMYFUNCTION("""COMPUTED_VALUE"""),1713.67116)</f>
        <v>1713.67116</v>
      </c>
    </row>
    <row r="2423">
      <c r="A2423" s="3">
        <f>IFERROR(__xludf.DUMMYFUNCTION("""COMPUTED_VALUE"""),42816.99861111111)</f>
        <v>42816.99861</v>
      </c>
      <c r="B2423" s="1">
        <f>IFERROR(__xludf.DUMMYFUNCTION("""COMPUTED_VALUE"""),1716.11779)</f>
        <v>1716.11779</v>
      </c>
    </row>
    <row r="2424">
      <c r="A2424" s="3">
        <f>IFERROR(__xludf.DUMMYFUNCTION("""COMPUTED_VALUE"""),42817.99861111111)</f>
        <v>42817.99861</v>
      </c>
      <c r="B2424" s="1">
        <f>IFERROR(__xludf.DUMMYFUNCTION("""COMPUTED_VALUE"""),1714.42614)</f>
        <v>1714.42614</v>
      </c>
    </row>
    <row r="2425">
      <c r="A2425" s="3">
        <f>IFERROR(__xludf.DUMMYFUNCTION("""COMPUTED_VALUE"""),42818.99861111111)</f>
        <v>42818.99861</v>
      </c>
      <c r="B2425" s="1">
        <f>IFERROR(__xludf.DUMMYFUNCTION("""COMPUTED_VALUE"""),1711.47375)</f>
        <v>1711.47375</v>
      </c>
    </row>
    <row r="2426">
      <c r="A2426" s="3">
        <f>IFERROR(__xludf.DUMMYFUNCTION("""COMPUTED_VALUE"""),42819.99861111111)</f>
        <v>42819.99861</v>
      </c>
      <c r="B2426" s="1">
        <f>IFERROR(__xludf.DUMMYFUNCTION("""COMPUTED_VALUE"""),1711.60668)</f>
        <v>1711.60668</v>
      </c>
    </row>
    <row r="2427">
      <c r="A2427" s="3">
        <f>IFERROR(__xludf.DUMMYFUNCTION("""COMPUTED_VALUE"""),42820.99861111111)</f>
        <v>42820.99861</v>
      </c>
      <c r="B2427" s="1">
        <f>IFERROR(__xludf.DUMMYFUNCTION("""COMPUTED_VALUE"""),1714.8168)</f>
        <v>1714.8168</v>
      </c>
    </row>
    <row r="2428">
      <c r="A2428" s="3">
        <f>IFERROR(__xludf.DUMMYFUNCTION("""COMPUTED_VALUE"""),42821.99861111111)</f>
        <v>42821.99861</v>
      </c>
      <c r="B2428" s="1">
        <f>IFERROR(__xludf.DUMMYFUNCTION("""COMPUTED_VALUE"""),1713.27192)</f>
        <v>1713.27192</v>
      </c>
    </row>
    <row r="2429">
      <c r="A2429" s="3">
        <f>IFERROR(__xludf.DUMMYFUNCTION("""COMPUTED_VALUE"""),42822.99861111111)</f>
        <v>42822.99861</v>
      </c>
      <c r="B2429" s="1">
        <f>IFERROR(__xludf.DUMMYFUNCTION("""COMPUTED_VALUE"""),1713.00139)</f>
        <v>1713.00139</v>
      </c>
    </row>
    <row r="2430">
      <c r="A2430" s="3">
        <f>IFERROR(__xludf.DUMMYFUNCTION("""COMPUTED_VALUE"""),42823.99861111111)</f>
        <v>42823.99861</v>
      </c>
      <c r="B2430" s="1">
        <f>IFERROR(__xludf.DUMMYFUNCTION("""COMPUTED_VALUE"""),1712.22913)</f>
        <v>1712.22913</v>
      </c>
    </row>
    <row r="2431">
      <c r="A2431" s="3">
        <f>IFERROR(__xludf.DUMMYFUNCTION("""COMPUTED_VALUE"""),42824.99861111111)</f>
        <v>42824.99861</v>
      </c>
      <c r="B2431" s="1">
        <f>IFERROR(__xludf.DUMMYFUNCTION("""COMPUTED_VALUE"""),1711.18233)</f>
        <v>1711.18233</v>
      </c>
    </row>
    <row r="2432">
      <c r="A2432" s="3">
        <f>IFERROR(__xludf.DUMMYFUNCTION("""COMPUTED_VALUE"""),42825.99861111111)</f>
        <v>42825.99861</v>
      </c>
      <c r="B2432" s="1">
        <f>IFERROR(__xludf.DUMMYFUNCTION("""COMPUTED_VALUE"""),1714.01307)</f>
        <v>1714.01307</v>
      </c>
    </row>
    <row r="2433">
      <c r="A2433" s="3">
        <f>IFERROR(__xludf.DUMMYFUNCTION("""COMPUTED_VALUE"""),42827.99861111111)</f>
        <v>42827.99861</v>
      </c>
      <c r="B2433" s="1">
        <f>IFERROR(__xludf.DUMMYFUNCTION("""COMPUTED_VALUE"""),1715.81445)</f>
        <v>1715.81445</v>
      </c>
    </row>
    <row r="2434">
      <c r="A2434" s="3">
        <f>IFERROR(__xludf.DUMMYFUNCTION("""COMPUTED_VALUE"""),42828.99861111111)</f>
        <v>42828.99861</v>
      </c>
      <c r="B2434" s="1">
        <f>IFERROR(__xludf.DUMMYFUNCTION("""COMPUTED_VALUE"""),1713.36972)</f>
        <v>1713.36972</v>
      </c>
    </row>
    <row r="2435">
      <c r="A2435" s="3">
        <f>IFERROR(__xludf.DUMMYFUNCTION("""COMPUTED_VALUE"""),42829.99861111111)</f>
        <v>42829.99861</v>
      </c>
      <c r="B2435" s="1">
        <f>IFERROR(__xludf.DUMMYFUNCTION("""COMPUTED_VALUE"""),1715.42844)</f>
        <v>1715.42844</v>
      </c>
    </row>
    <row r="2436">
      <c r="A2436" s="3">
        <f>IFERROR(__xludf.DUMMYFUNCTION("""COMPUTED_VALUE"""),42830.99861111111)</f>
        <v>42830.99861</v>
      </c>
      <c r="B2436" s="1">
        <f>IFERROR(__xludf.DUMMYFUNCTION("""COMPUTED_VALUE"""),1714.80333)</f>
        <v>1714.80333</v>
      </c>
    </row>
    <row r="2437">
      <c r="A2437" s="3">
        <f>IFERROR(__xludf.DUMMYFUNCTION("""COMPUTED_VALUE"""),42831.99861111111)</f>
        <v>42831.99861</v>
      </c>
      <c r="B2437" s="1">
        <f>IFERROR(__xludf.DUMMYFUNCTION("""COMPUTED_VALUE"""),1718.5311)</f>
        <v>1718.5311</v>
      </c>
    </row>
    <row r="2438">
      <c r="A2438" s="3">
        <f>IFERROR(__xludf.DUMMYFUNCTION("""COMPUTED_VALUE"""),42832.99861111111)</f>
        <v>42832.99861</v>
      </c>
      <c r="B2438" s="1">
        <f>IFERROR(__xludf.DUMMYFUNCTION("""COMPUTED_VALUE"""),1716.34785)</f>
        <v>1716.34785</v>
      </c>
    </row>
    <row r="2439">
      <c r="A2439" s="3">
        <f>IFERROR(__xludf.DUMMYFUNCTION("""COMPUTED_VALUE"""),42833.99861111111)</f>
        <v>42833.99861</v>
      </c>
      <c r="B2439" s="1">
        <f>IFERROR(__xludf.DUMMYFUNCTION("""COMPUTED_VALUE"""),1718.290431)</f>
        <v>1718.290431</v>
      </c>
    </row>
    <row r="2440">
      <c r="A2440" s="3">
        <f>IFERROR(__xludf.DUMMYFUNCTION("""COMPUTED_VALUE"""),42834.99861111111)</f>
        <v>42834.99861</v>
      </c>
      <c r="B2440" s="1">
        <f>IFERROR(__xludf.DUMMYFUNCTION("""COMPUTED_VALUE"""),1721.1051)</f>
        <v>1721.1051</v>
      </c>
    </row>
    <row r="2441">
      <c r="A2441" s="3">
        <f>IFERROR(__xludf.DUMMYFUNCTION("""COMPUTED_VALUE"""),42835.99861111111)</f>
        <v>42835.99861</v>
      </c>
      <c r="B2441" s="1">
        <f>IFERROR(__xludf.DUMMYFUNCTION("""COMPUTED_VALUE"""),1707.84499)</f>
        <v>1707.84499</v>
      </c>
    </row>
    <row r="2442">
      <c r="A2442" s="3">
        <f>IFERROR(__xludf.DUMMYFUNCTION("""COMPUTED_VALUE"""),42836.99861111111)</f>
        <v>42836.99861</v>
      </c>
      <c r="B2442" s="1">
        <f>IFERROR(__xludf.DUMMYFUNCTION("""COMPUTED_VALUE"""),1710.15297)</f>
        <v>1710.15297</v>
      </c>
    </row>
    <row r="2443">
      <c r="A2443" s="3">
        <f>IFERROR(__xludf.DUMMYFUNCTION("""COMPUTED_VALUE"""),42837.99861111111)</f>
        <v>42837.99861</v>
      </c>
      <c r="B2443" s="1">
        <f>IFERROR(__xludf.DUMMYFUNCTION("""COMPUTED_VALUE"""),1708.35159)</f>
        <v>1708.35159</v>
      </c>
    </row>
    <row r="2444">
      <c r="A2444" s="3">
        <f>IFERROR(__xludf.DUMMYFUNCTION("""COMPUTED_VALUE"""),42838.99861111111)</f>
        <v>42838.99861</v>
      </c>
      <c r="B2444" s="1">
        <f>IFERROR(__xludf.DUMMYFUNCTION("""COMPUTED_VALUE"""),1707.55912)</f>
        <v>1707.55912</v>
      </c>
    </row>
    <row r="2445">
      <c r="A2445" s="3">
        <f>IFERROR(__xludf.DUMMYFUNCTION("""COMPUTED_VALUE"""),42839.99861111111)</f>
        <v>42839.99861</v>
      </c>
      <c r="B2445" s="1">
        <f>IFERROR(__xludf.DUMMYFUNCTION("""COMPUTED_VALUE"""),1708.46784)</f>
        <v>1708.46784</v>
      </c>
    </row>
    <row r="2446">
      <c r="A2446" s="3">
        <f>IFERROR(__xludf.DUMMYFUNCTION("""COMPUTED_VALUE"""),42840.99861111111)</f>
        <v>42840.99861</v>
      </c>
      <c r="B2446" s="1">
        <f>IFERROR(__xludf.DUMMYFUNCTION("""COMPUTED_VALUE"""),1708.7293)</f>
        <v>1708.7293</v>
      </c>
    </row>
    <row r="2447">
      <c r="A2447" s="3">
        <f>IFERROR(__xludf.DUMMYFUNCTION("""COMPUTED_VALUE"""),42841.99861111111)</f>
        <v>42841.99861</v>
      </c>
      <c r="B2447" s="1">
        <f>IFERROR(__xludf.DUMMYFUNCTION("""COMPUTED_VALUE"""),1708.97394)</f>
        <v>1708.97394</v>
      </c>
    </row>
    <row r="2448">
      <c r="A2448" s="3">
        <f>IFERROR(__xludf.DUMMYFUNCTION("""COMPUTED_VALUE"""),42842.99861111111)</f>
        <v>42842.99861</v>
      </c>
      <c r="B2448" s="1">
        <f>IFERROR(__xludf.DUMMYFUNCTION("""COMPUTED_VALUE"""),1708.34335)</f>
        <v>1708.34335</v>
      </c>
    </row>
    <row r="2449">
      <c r="A2449" s="3">
        <f>IFERROR(__xludf.DUMMYFUNCTION("""COMPUTED_VALUE"""),42843.99861111111)</f>
        <v>42843.99861</v>
      </c>
      <c r="B2449" s="1">
        <f>IFERROR(__xludf.DUMMYFUNCTION("""COMPUTED_VALUE"""),1710.26448)</f>
        <v>1710.26448</v>
      </c>
    </row>
    <row r="2450">
      <c r="A2450" s="3">
        <f>IFERROR(__xludf.DUMMYFUNCTION("""COMPUTED_VALUE"""),42844.99861111111)</f>
        <v>42844.99861</v>
      </c>
      <c r="B2450" s="1">
        <f>IFERROR(__xludf.DUMMYFUNCTION("""COMPUTED_VALUE"""),1716.17666)</f>
        <v>1716.17666</v>
      </c>
    </row>
    <row r="2451">
      <c r="A2451" s="3">
        <f>IFERROR(__xludf.DUMMYFUNCTION("""COMPUTED_VALUE"""),42845.99861111111)</f>
        <v>42845.99861</v>
      </c>
      <c r="B2451" s="1">
        <f>IFERROR(__xludf.DUMMYFUNCTION("""COMPUTED_VALUE"""),1712.69937)</f>
        <v>1712.69937</v>
      </c>
    </row>
    <row r="2452">
      <c r="A2452" s="3">
        <f>IFERROR(__xludf.DUMMYFUNCTION("""COMPUTED_VALUE"""),42846.99861111111)</f>
        <v>42846.99861</v>
      </c>
      <c r="B2452" s="1">
        <f>IFERROR(__xludf.DUMMYFUNCTION("""COMPUTED_VALUE"""),1709.3512)</f>
        <v>1709.3512</v>
      </c>
    </row>
    <row r="2453">
      <c r="A2453" s="3">
        <f>IFERROR(__xludf.DUMMYFUNCTION("""COMPUTED_VALUE"""),42848.99861111111)</f>
        <v>42848.99861</v>
      </c>
      <c r="B2453" s="1">
        <f>IFERROR(__xludf.DUMMYFUNCTION("""COMPUTED_VALUE"""),1685.17195)</f>
        <v>1685.17195</v>
      </c>
    </row>
    <row r="2454">
      <c r="A2454" s="3">
        <f>IFERROR(__xludf.DUMMYFUNCTION("""COMPUTED_VALUE"""),42849.99861111111)</f>
        <v>42849.99861</v>
      </c>
      <c r="B2454" s="1">
        <f>IFERROR(__xludf.DUMMYFUNCTION("""COMPUTED_VALUE"""),1687.0902)</f>
        <v>1687.0902</v>
      </c>
    </row>
    <row r="2455">
      <c r="A2455" s="3">
        <f>IFERROR(__xludf.DUMMYFUNCTION("""COMPUTED_VALUE"""),42850.99861111111)</f>
        <v>42850.99861</v>
      </c>
      <c r="B2455" s="1">
        <f>IFERROR(__xludf.DUMMYFUNCTION("""COMPUTED_VALUE"""),1709.56853)</f>
        <v>1709.56853</v>
      </c>
    </row>
    <row r="2456">
      <c r="A2456" s="3">
        <f>IFERROR(__xludf.DUMMYFUNCTION("""COMPUTED_VALUE"""),42851.99861111111)</f>
        <v>42851.99861</v>
      </c>
      <c r="B2456" s="1">
        <f>IFERROR(__xludf.DUMMYFUNCTION("""COMPUTED_VALUE"""),1704.43633)</f>
        <v>1704.43633</v>
      </c>
    </row>
    <row r="2457">
      <c r="A2457" s="3">
        <f>IFERROR(__xludf.DUMMYFUNCTION("""COMPUTED_VALUE"""),42852.99861111111)</f>
        <v>42852.99861</v>
      </c>
      <c r="B2457" s="1">
        <f>IFERROR(__xludf.DUMMYFUNCTION("""COMPUTED_VALUE"""),1715.73701)</f>
        <v>1715.73701</v>
      </c>
    </row>
    <row r="2458">
      <c r="A2458" s="3">
        <f>IFERROR(__xludf.DUMMYFUNCTION("""COMPUTED_VALUE"""),42853.99861111111)</f>
        <v>42853.99861</v>
      </c>
      <c r="B2458" s="1">
        <f>IFERROR(__xludf.DUMMYFUNCTION("""COMPUTED_VALUE"""),1715.23776)</f>
        <v>1715.23776</v>
      </c>
    </row>
    <row r="2459">
      <c r="A2459" s="3">
        <f>IFERROR(__xludf.DUMMYFUNCTION("""COMPUTED_VALUE"""),42854.99861111111)</f>
        <v>42854.99861</v>
      </c>
      <c r="B2459" s="1">
        <f>IFERROR(__xludf.DUMMYFUNCTION("""COMPUTED_VALUE"""),1716.287761)</f>
        <v>1716.287761</v>
      </c>
    </row>
    <row r="2460">
      <c r="A2460" s="3">
        <f>IFERROR(__xludf.DUMMYFUNCTION("""COMPUTED_VALUE"""),42855.99861111111)</f>
        <v>42855.99861</v>
      </c>
      <c r="B2460" s="1">
        <f>IFERROR(__xludf.DUMMYFUNCTION("""COMPUTED_VALUE"""),1712.67632)</f>
        <v>1712.67632</v>
      </c>
    </row>
    <row r="2461">
      <c r="A2461" s="3">
        <f>IFERROR(__xludf.DUMMYFUNCTION("""COMPUTED_VALUE"""),42856.99861111111)</f>
        <v>42856.99861</v>
      </c>
      <c r="B2461" s="1">
        <f>IFERROR(__xludf.DUMMYFUNCTION("""COMPUTED_VALUE"""),1712.92875)</f>
        <v>1712.92875</v>
      </c>
    </row>
    <row r="2462">
      <c r="A2462" s="3">
        <f>IFERROR(__xludf.DUMMYFUNCTION("""COMPUTED_VALUE"""),42857.99861111111)</f>
        <v>42857.99861</v>
      </c>
      <c r="B2462" s="1">
        <f>IFERROR(__xludf.DUMMYFUNCTION("""COMPUTED_VALUE"""),1708.4075)</f>
        <v>1708.4075</v>
      </c>
    </row>
    <row r="2463">
      <c r="A2463" s="3">
        <f>IFERROR(__xludf.DUMMYFUNCTION("""COMPUTED_VALUE"""),42858.99861111111)</f>
        <v>42858.99861</v>
      </c>
      <c r="B2463" s="1">
        <f>IFERROR(__xludf.DUMMYFUNCTION("""COMPUTED_VALUE"""),1709.69704)</f>
        <v>1709.69704</v>
      </c>
    </row>
    <row r="2464">
      <c r="A2464" s="3">
        <f>IFERROR(__xludf.DUMMYFUNCTION("""COMPUTED_VALUE"""),42859.99861111111)</f>
        <v>42859.99861</v>
      </c>
      <c r="B2464" s="1">
        <f>IFERROR(__xludf.DUMMYFUNCTION("""COMPUTED_VALUE"""),1713.9232)</f>
        <v>1713.9232</v>
      </c>
    </row>
    <row r="2465">
      <c r="A2465" s="3">
        <f>IFERROR(__xludf.DUMMYFUNCTION("""COMPUTED_VALUE"""),42860.99861111111)</f>
        <v>42860.99861</v>
      </c>
      <c r="B2465" s="1">
        <f>IFERROR(__xludf.DUMMYFUNCTION("""COMPUTED_VALUE"""),1710.31175)</f>
        <v>1710.31175</v>
      </c>
    </row>
    <row r="2466">
      <c r="A2466" s="3">
        <f>IFERROR(__xludf.DUMMYFUNCTION("""COMPUTED_VALUE"""),42862.99861111111)</f>
        <v>42862.99861</v>
      </c>
      <c r="B2466" s="1">
        <f>IFERROR(__xludf.DUMMYFUNCTION("""COMPUTED_VALUE"""),1712.799571)</f>
        <v>1712.799571</v>
      </c>
    </row>
    <row r="2467">
      <c r="A2467" s="3">
        <f>IFERROR(__xludf.DUMMYFUNCTION("""COMPUTED_VALUE"""),42863.99861111111)</f>
        <v>42863.99861</v>
      </c>
      <c r="B2467" s="1">
        <f>IFERROR(__xludf.DUMMYFUNCTION("""COMPUTED_VALUE"""),1711.4678)</f>
        <v>1711.4678</v>
      </c>
    </row>
    <row r="2468">
      <c r="A2468" s="3">
        <f>IFERROR(__xludf.DUMMYFUNCTION("""COMPUTED_VALUE"""),42864.99861111111)</f>
        <v>42864.99861</v>
      </c>
      <c r="B2468" s="1">
        <f>IFERROR(__xludf.DUMMYFUNCTION("""COMPUTED_VALUE"""),1716.09714)</f>
        <v>1716.09714</v>
      </c>
    </row>
    <row r="2469">
      <c r="A2469" s="3">
        <f>IFERROR(__xludf.DUMMYFUNCTION("""COMPUTED_VALUE"""),42865.99861111111)</f>
        <v>42865.99861</v>
      </c>
      <c r="B2469" s="1">
        <f>IFERROR(__xludf.DUMMYFUNCTION("""COMPUTED_VALUE"""),1714.92579)</f>
        <v>1714.92579</v>
      </c>
    </row>
    <row r="2470">
      <c r="A2470" s="3">
        <f>IFERROR(__xludf.DUMMYFUNCTION("""COMPUTED_VALUE"""),42866.99861111111)</f>
        <v>42866.99861</v>
      </c>
      <c r="B2470" s="1">
        <f>IFERROR(__xludf.DUMMYFUNCTION("""COMPUTED_VALUE"""),1708.99456)</f>
        <v>1708.99456</v>
      </c>
    </row>
    <row r="2471">
      <c r="A2471" s="3">
        <f>IFERROR(__xludf.DUMMYFUNCTION("""COMPUTED_VALUE"""),42867.99861111111)</f>
        <v>42867.99861</v>
      </c>
      <c r="B2471" s="1">
        <f>IFERROR(__xludf.DUMMYFUNCTION("""COMPUTED_VALUE"""),1708.3145)</f>
        <v>1708.3145</v>
      </c>
    </row>
    <row r="2472">
      <c r="A2472" s="3">
        <f>IFERROR(__xludf.DUMMYFUNCTION("""COMPUTED_VALUE"""),42869.99861111111)</f>
        <v>42869.99861</v>
      </c>
      <c r="B2472" s="1">
        <f>IFERROR(__xludf.DUMMYFUNCTION("""COMPUTED_VALUE"""),1709.3409)</f>
        <v>1709.3409</v>
      </c>
    </row>
    <row r="2473">
      <c r="A2473" s="3">
        <f>IFERROR(__xludf.DUMMYFUNCTION("""COMPUTED_VALUE"""),42870.99861111111)</f>
        <v>42870.99861</v>
      </c>
      <c r="B2473" s="1">
        <f>IFERROR(__xludf.DUMMYFUNCTION("""COMPUTED_VALUE"""),1706.0597)</f>
        <v>1706.0597</v>
      </c>
    </row>
    <row r="2474">
      <c r="A2474" s="3">
        <f>IFERROR(__xludf.DUMMYFUNCTION("""COMPUTED_VALUE"""),42871.99861111111)</f>
        <v>42871.99861</v>
      </c>
      <c r="B2474" s="1">
        <f>IFERROR(__xludf.DUMMYFUNCTION("""COMPUTED_VALUE"""),1704.51434)</f>
        <v>1704.51434</v>
      </c>
    </row>
    <row r="2475">
      <c r="A2475" s="3">
        <f>IFERROR(__xludf.DUMMYFUNCTION("""COMPUTED_VALUE"""),42872.99861111111)</f>
        <v>42872.99861</v>
      </c>
      <c r="B2475" s="1">
        <f>IFERROR(__xludf.DUMMYFUNCTION("""COMPUTED_VALUE"""),1710.43074)</f>
        <v>1710.43074</v>
      </c>
    </row>
    <row r="2476">
      <c r="A2476" s="3">
        <f>IFERROR(__xludf.DUMMYFUNCTION("""COMPUTED_VALUE"""),42873.99861111111)</f>
        <v>42873.99861</v>
      </c>
      <c r="B2476" s="1">
        <f>IFERROR(__xludf.DUMMYFUNCTION("""COMPUTED_VALUE"""),1721.50352)</f>
        <v>1721.50352</v>
      </c>
    </row>
    <row r="2477">
      <c r="A2477" s="3">
        <f>IFERROR(__xludf.DUMMYFUNCTION("""COMPUTED_VALUE"""),42874.99861111111)</f>
        <v>42874.99861</v>
      </c>
      <c r="B2477" s="1">
        <f>IFERROR(__xludf.DUMMYFUNCTION("""COMPUTED_VALUE"""),1711.47734)</f>
        <v>1711.47734</v>
      </c>
    </row>
    <row r="2478">
      <c r="A2478" s="3">
        <f>IFERROR(__xludf.DUMMYFUNCTION("""COMPUTED_VALUE"""),42875.99861111111)</f>
        <v>42875.99861</v>
      </c>
      <c r="B2478" s="1">
        <f>IFERROR(__xludf.DUMMYFUNCTION("""COMPUTED_VALUE"""),1712.799571)</f>
        <v>1712.799571</v>
      </c>
    </row>
    <row r="2479">
      <c r="A2479" s="3">
        <f>IFERROR(__xludf.DUMMYFUNCTION("""COMPUTED_VALUE"""),42876.99861111111)</f>
        <v>42876.99861</v>
      </c>
      <c r="B2479" s="1">
        <f>IFERROR(__xludf.DUMMYFUNCTION("""COMPUTED_VALUE"""),1712.24816)</f>
        <v>1712.24816</v>
      </c>
    </row>
    <row r="2480">
      <c r="A2480" s="3">
        <f>IFERROR(__xludf.DUMMYFUNCTION("""COMPUTED_VALUE"""),42877.99861111111)</f>
        <v>42877.99861</v>
      </c>
      <c r="B2480" s="1">
        <f>IFERROR(__xludf.DUMMYFUNCTION("""COMPUTED_VALUE"""),1707.60528)</f>
        <v>1707.60528</v>
      </c>
    </row>
    <row r="2481">
      <c r="A2481" s="3">
        <f>IFERROR(__xludf.DUMMYFUNCTION("""COMPUTED_VALUE"""),42878.99861111111)</f>
        <v>42878.99861</v>
      </c>
      <c r="B2481" s="1">
        <f>IFERROR(__xludf.DUMMYFUNCTION("""COMPUTED_VALUE"""),1707.07344)</f>
        <v>1707.07344</v>
      </c>
    </row>
    <row r="2482">
      <c r="A2482" s="3">
        <f>IFERROR(__xludf.DUMMYFUNCTION("""COMPUTED_VALUE"""),42879.99861111111)</f>
        <v>42879.99861</v>
      </c>
      <c r="B2482" s="1">
        <f>IFERROR(__xludf.DUMMYFUNCTION("""COMPUTED_VALUE"""),1707.71076)</f>
        <v>1707.71076</v>
      </c>
    </row>
    <row r="2483">
      <c r="A2483" s="3">
        <f>IFERROR(__xludf.DUMMYFUNCTION("""COMPUTED_VALUE"""),42880.99861111111)</f>
        <v>42880.99861</v>
      </c>
      <c r="B2483" s="1">
        <f>IFERROR(__xludf.DUMMYFUNCTION("""COMPUTED_VALUE"""),1707.17868)</f>
        <v>1707.17868</v>
      </c>
    </row>
    <row r="2484">
      <c r="A2484" s="3">
        <f>IFERROR(__xludf.DUMMYFUNCTION("""COMPUTED_VALUE"""),42881.99861111111)</f>
        <v>42881.99861</v>
      </c>
      <c r="B2484" s="1">
        <f>IFERROR(__xludf.DUMMYFUNCTION("""COMPUTED_VALUE"""),1705.7485)</f>
        <v>1705.7485</v>
      </c>
    </row>
    <row r="2485">
      <c r="A2485" s="3">
        <f>IFERROR(__xludf.DUMMYFUNCTION("""COMPUTED_VALUE"""),42882.99861111111)</f>
        <v>42882.99861</v>
      </c>
      <c r="B2485" s="1">
        <f>IFERROR(__xludf.DUMMYFUNCTION("""COMPUTED_VALUE"""),1704.98328)</f>
        <v>1704.98328</v>
      </c>
    </row>
    <row r="2486">
      <c r="A2486" s="3">
        <f>IFERROR(__xludf.DUMMYFUNCTION("""COMPUTED_VALUE"""),42883.99861111111)</f>
        <v>42883.99861</v>
      </c>
      <c r="B2486" s="1">
        <f>IFERROR(__xludf.DUMMYFUNCTION("""COMPUTED_VALUE"""),1705.11616)</f>
        <v>1705.11616</v>
      </c>
    </row>
    <row r="2487">
      <c r="A2487" s="3">
        <f>IFERROR(__xludf.DUMMYFUNCTION("""COMPUTED_VALUE"""),42884.99861111111)</f>
        <v>42884.99861</v>
      </c>
      <c r="B2487" s="1">
        <f>IFERROR(__xludf.DUMMYFUNCTION("""COMPUTED_VALUE"""),1708.18135)</f>
        <v>1708.18135</v>
      </c>
    </row>
    <row r="2488">
      <c r="A2488" s="3">
        <f>IFERROR(__xludf.DUMMYFUNCTION("""COMPUTED_VALUE"""),42885.99861111111)</f>
        <v>42885.99861</v>
      </c>
      <c r="B2488" s="1">
        <f>IFERROR(__xludf.DUMMYFUNCTION("""COMPUTED_VALUE"""),1708.96089)</f>
        <v>1708.96089</v>
      </c>
    </row>
    <row r="2489">
      <c r="A2489" s="3">
        <f>IFERROR(__xludf.DUMMYFUNCTION("""COMPUTED_VALUE"""),42886.99861111111)</f>
        <v>42886.99861</v>
      </c>
      <c r="B2489" s="1">
        <f>IFERROR(__xludf.DUMMYFUNCTION("""COMPUTED_VALUE"""),1706.01902)</f>
        <v>1706.01902</v>
      </c>
    </row>
    <row r="2490">
      <c r="A2490" s="3">
        <f>IFERROR(__xludf.DUMMYFUNCTION("""COMPUTED_VALUE"""),42887.99861111111)</f>
        <v>42887.99861</v>
      </c>
      <c r="B2490" s="1">
        <f>IFERROR(__xludf.DUMMYFUNCTION("""COMPUTED_VALUE"""),1705.24904)</f>
        <v>1705.24904</v>
      </c>
    </row>
    <row r="2491">
      <c r="A2491" s="3">
        <f>IFERROR(__xludf.DUMMYFUNCTION("""COMPUTED_VALUE"""),42888.99861111111)</f>
        <v>42888.99861</v>
      </c>
      <c r="B2491" s="1">
        <f>IFERROR(__xludf.DUMMYFUNCTION("""COMPUTED_VALUE"""),1705.52382)</f>
        <v>1705.52382</v>
      </c>
    </row>
    <row r="2492">
      <c r="A2492" s="3">
        <f>IFERROR(__xludf.DUMMYFUNCTION("""COMPUTED_VALUE"""),42889.99861111111)</f>
        <v>42889.99861</v>
      </c>
      <c r="B2492" s="1">
        <f>IFERROR(__xludf.DUMMYFUNCTION("""COMPUTED_VALUE"""),1707.96752)</f>
        <v>1707.96752</v>
      </c>
    </row>
    <row r="2493">
      <c r="A2493" s="3">
        <f>IFERROR(__xludf.DUMMYFUNCTION("""COMPUTED_VALUE"""),42890.99861111111)</f>
        <v>42890.99861</v>
      </c>
      <c r="B2493" s="1">
        <f>IFERROR(__xludf.DUMMYFUNCTION("""COMPUTED_VALUE"""),1707.83448)</f>
        <v>1707.83448</v>
      </c>
    </row>
    <row r="2494">
      <c r="A2494" s="3">
        <f>IFERROR(__xludf.DUMMYFUNCTION("""COMPUTED_VALUE"""),42891.99861111111)</f>
        <v>42891.99861</v>
      </c>
      <c r="B2494" s="1">
        <f>IFERROR(__xludf.DUMMYFUNCTION("""COMPUTED_VALUE"""),1704.47456)</f>
        <v>1704.47456</v>
      </c>
    </row>
    <row r="2495">
      <c r="A2495" s="3">
        <f>IFERROR(__xludf.DUMMYFUNCTION("""COMPUTED_VALUE"""),42892.99861111111)</f>
        <v>42892.99861</v>
      </c>
      <c r="B2495" s="1">
        <f>IFERROR(__xludf.DUMMYFUNCTION("""COMPUTED_VALUE"""),1701.26229)</f>
        <v>1701.26229</v>
      </c>
    </row>
    <row r="2496">
      <c r="A2496" s="3">
        <f>IFERROR(__xludf.DUMMYFUNCTION("""COMPUTED_VALUE"""),42893.99861111111)</f>
        <v>42893.99861</v>
      </c>
      <c r="B2496" s="1">
        <f>IFERROR(__xludf.DUMMYFUNCTION("""COMPUTED_VALUE"""),1708.0579)</f>
        <v>1708.0579</v>
      </c>
    </row>
    <row r="2497">
      <c r="A2497" s="3">
        <f>IFERROR(__xludf.DUMMYFUNCTION("""COMPUTED_VALUE"""),42894.99861111111)</f>
        <v>42894.99861</v>
      </c>
      <c r="B2497" s="1">
        <f>IFERROR(__xludf.DUMMYFUNCTION("""COMPUTED_VALUE"""),1704.69432)</f>
        <v>1704.69432</v>
      </c>
    </row>
    <row r="2498">
      <c r="A2498" s="3">
        <f>IFERROR(__xludf.DUMMYFUNCTION("""COMPUTED_VALUE"""),42895.99861111111)</f>
        <v>42895.99861</v>
      </c>
      <c r="B2498" s="1">
        <f>IFERROR(__xludf.DUMMYFUNCTION("""COMPUTED_VALUE"""),1704.18136)</f>
        <v>1704.18136</v>
      </c>
    </row>
    <row r="2499">
      <c r="A2499" s="3">
        <f>IFERROR(__xludf.DUMMYFUNCTION("""COMPUTED_VALUE"""),42896.99861111111)</f>
        <v>42896.99861</v>
      </c>
      <c r="B2499" s="1">
        <f>IFERROR(__xludf.DUMMYFUNCTION("""COMPUTED_VALUE"""),1703.28825)</f>
        <v>1703.28825</v>
      </c>
    </row>
    <row r="2500">
      <c r="A2500" s="3">
        <f>IFERROR(__xludf.DUMMYFUNCTION("""COMPUTED_VALUE"""),42897.99861111111)</f>
        <v>42897.99861</v>
      </c>
      <c r="B2500" s="1">
        <f>IFERROR(__xludf.DUMMYFUNCTION("""COMPUTED_VALUE"""),1704.9508)</f>
        <v>1704.9508</v>
      </c>
    </row>
    <row r="2501">
      <c r="A2501" s="3">
        <f>IFERROR(__xludf.DUMMYFUNCTION("""COMPUTED_VALUE"""),42898.99861111111)</f>
        <v>42898.99861</v>
      </c>
      <c r="B2501" s="1">
        <f>IFERROR(__xludf.DUMMYFUNCTION("""COMPUTED_VALUE"""),1706.98794)</f>
        <v>1706.98794</v>
      </c>
    </row>
    <row r="2502">
      <c r="A2502" s="3">
        <f>IFERROR(__xludf.DUMMYFUNCTION("""COMPUTED_VALUE"""),42899.99861111111)</f>
        <v>42899.99861</v>
      </c>
      <c r="B2502" s="1">
        <f>IFERROR(__xludf.DUMMYFUNCTION("""COMPUTED_VALUE"""),1703.28368)</f>
        <v>1703.28368</v>
      </c>
    </row>
    <row r="2503">
      <c r="A2503" s="3">
        <f>IFERROR(__xludf.DUMMYFUNCTION("""COMPUTED_VALUE"""),42900.99861111111)</f>
        <v>42900.99861</v>
      </c>
      <c r="B2503" s="1">
        <f>IFERROR(__xludf.DUMMYFUNCTION("""COMPUTED_VALUE"""),1703.53092)</f>
        <v>1703.53092</v>
      </c>
    </row>
    <row r="2504">
      <c r="A2504" s="3">
        <f>IFERROR(__xludf.DUMMYFUNCTION("""COMPUTED_VALUE"""),42901.99861111111)</f>
        <v>42901.99861</v>
      </c>
      <c r="B2504" s="1">
        <f>IFERROR(__xludf.DUMMYFUNCTION("""COMPUTED_VALUE"""),1704.02492)</f>
        <v>1704.02492</v>
      </c>
    </row>
    <row r="2505">
      <c r="A2505" s="3">
        <f>IFERROR(__xludf.DUMMYFUNCTION("""COMPUTED_VALUE"""),42902.99861111111)</f>
        <v>42902.99861</v>
      </c>
      <c r="B2505" s="1">
        <f>IFERROR(__xludf.DUMMYFUNCTION("""COMPUTED_VALUE"""),1703.5122)</f>
        <v>1703.5122</v>
      </c>
    </row>
    <row r="2506">
      <c r="A2506" s="3">
        <f>IFERROR(__xludf.DUMMYFUNCTION("""COMPUTED_VALUE"""),42903.99861111111)</f>
        <v>42903.99861</v>
      </c>
      <c r="B2506" s="1">
        <f>IFERROR(__xludf.DUMMYFUNCTION("""COMPUTED_VALUE"""),1703.38872)</f>
        <v>1703.38872</v>
      </c>
    </row>
    <row r="2507">
      <c r="A2507" s="3">
        <f>IFERROR(__xludf.DUMMYFUNCTION("""COMPUTED_VALUE"""),42904.99861111111)</f>
        <v>42904.99861</v>
      </c>
      <c r="B2507" s="1">
        <f>IFERROR(__xludf.DUMMYFUNCTION("""COMPUTED_VALUE"""),1702.1114)</f>
        <v>1702.1114</v>
      </c>
    </row>
    <row r="2508">
      <c r="A2508" s="3">
        <f>IFERROR(__xludf.DUMMYFUNCTION("""COMPUTED_VALUE"""),42905.99861111111)</f>
        <v>42905.99861</v>
      </c>
      <c r="B2508" s="1">
        <f>IFERROR(__xludf.DUMMYFUNCTION("""COMPUTED_VALUE"""),1703.53092)</f>
        <v>1703.53092</v>
      </c>
    </row>
    <row r="2509">
      <c r="A2509" s="3">
        <f>IFERROR(__xludf.DUMMYFUNCTION("""COMPUTED_VALUE"""),42906.99861111111)</f>
        <v>42906.99861</v>
      </c>
      <c r="B2509" s="1">
        <f>IFERROR(__xludf.DUMMYFUNCTION("""COMPUTED_VALUE"""),1704.03911)</f>
        <v>1704.03911</v>
      </c>
    </row>
    <row r="2510">
      <c r="A2510" s="3">
        <f>IFERROR(__xludf.DUMMYFUNCTION("""COMPUTED_VALUE"""),42907.99861111111)</f>
        <v>42907.99861</v>
      </c>
      <c r="B2510" s="1">
        <f>IFERROR(__xludf.DUMMYFUNCTION("""COMPUTED_VALUE"""),1705.1882)</f>
        <v>1705.1882</v>
      </c>
    </row>
    <row r="2511">
      <c r="A2511" s="3">
        <f>IFERROR(__xludf.DUMMYFUNCTION("""COMPUTED_VALUE"""),42908.99861111111)</f>
        <v>42908.99861</v>
      </c>
      <c r="B2511" s="1">
        <f>IFERROR(__xludf.DUMMYFUNCTION("""COMPUTED_VALUE"""),1710.58302)</f>
        <v>1710.58302</v>
      </c>
    </row>
    <row r="2512">
      <c r="A2512" s="3">
        <f>IFERROR(__xludf.DUMMYFUNCTION("""COMPUTED_VALUE"""),42909.99861111111)</f>
        <v>42909.99861</v>
      </c>
      <c r="B2512" s="1">
        <f>IFERROR(__xludf.DUMMYFUNCTION("""COMPUTED_VALUE"""),1706.08071)</f>
        <v>1706.08071</v>
      </c>
    </row>
    <row r="2513">
      <c r="A2513" s="3">
        <f>IFERROR(__xludf.DUMMYFUNCTION("""COMPUTED_VALUE"""),42910.99861111111)</f>
        <v>42910.99861</v>
      </c>
      <c r="B2513" s="1">
        <f>IFERROR(__xludf.DUMMYFUNCTION("""COMPUTED_VALUE"""),1706.922918)</f>
        <v>1706.922918</v>
      </c>
    </row>
    <row r="2514">
      <c r="A2514" s="3">
        <f>IFERROR(__xludf.DUMMYFUNCTION("""COMPUTED_VALUE"""),42911.99861111111)</f>
        <v>42911.99861</v>
      </c>
      <c r="B2514" s="1">
        <f>IFERROR(__xludf.DUMMYFUNCTION("""COMPUTED_VALUE"""),1703.14164)</f>
        <v>1703.14164</v>
      </c>
    </row>
    <row r="2515">
      <c r="A2515" s="3">
        <f>IFERROR(__xludf.DUMMYFUNCTION("""COMPUTED_VALUE"""),42912.99861111111)</f>
        <v>42912.99861</v>
      </c>
      <c r="B2515" s="1">
        <f>IFERROR(__xludf.DUMMYFUNCTION("""COMPUTED_VALUE"""),1707.50078)</f>
        <v>1707.50078</v>
      </c>
    </row>
    <row r="2516">
      <c r="A2516" s="3">
        <f>IFERROR(__xludf.DUMMYFUNCTION("""COMPUTED_VALUE"""),42913.99861111111)</f>
        <v>42913.99861</v>
      </c>
      <c r="B2516" s="1">
        <f>IFERROR(__xludf.DUMMYFUNCTION("""COMPUTED_VALUE"""),1705.95252)</f>
        <v>1705.95252</v>
      </c>
    </row>
    <row r="2517">
      <c r="A2517" s="3">
        <f>IFERROR(__xludf.DUMMYFUNCTION("""COMPUTED_VALUE"""),42914.99861111111)</f>
        <v>42914.99861</v>
      </c>
      <c r="B2517" s="1">
        <f>IFERROR(__xludf.DUMMYFUNCTION("""COMPUTED_VALUE"""),1703.48352)</f>
        <v>1703.48352</v>
      </c>
    </row>
    <row r="2518">
      <c r="A2518" s="3">
        <f>IFERROR(__xludf.DUMMYFUNCTION("""COMPUTED_VALUE"""),42915.99861111111)</f>
        <v>42915.99861</v>
      </c>
      <c r="B2518" s="1">
        <f>IFERROR(__xludf.DUMMYFUNCTION("""COMPUTED_VALUE"""),1701.04458)</f>
        <v>1701.04458</v>
      </c>
    </row>
    <row r="2519">
      <c r="A2519" s="3">
        <f>IFERROR(__xludf.DUMMYFUNCTION("""COMPUTED_VALUE"""),42916.99861111111)</f>
        <v>42916.99861</v>
      </c>
      <c r="B2519" s="1">
        <f>IFERROR(__xludf.DUMMYFUNCTION("""COMPUTED_VALUE"""),1704.99591)</f>
        <v>1704.99591</v>
      </c>
    </row>
    <row r="2520">
      <c r="A2520" s="3">
        <f>IFERROR(__xludf.DUMMYFUNCTION("""COMPUTED_VALUE"""),42917.99861111111)</f>
        <v>42917.99861</v>
      </c>
      <c r="B2520" s="1">
        <f>IFERROR(__xludf.DUMMYFUNCTION("""COMPUTED_VALUE"""),1702.8236)</f>
        <v>1702.8236</v>
      </c>
    </row>
    <row r="2521">
      <c r="A2521" s="3">
        <f>IFERROR(__xludf.DUMMYFUNCTION("""COMPUTED_VALUE"""),42918.99861111111)</f>
        <v>42918.99861</v>
      </c>
      <c r="B2521" s="1">
        <f>IFERROR(__xludf.DUMMYFUNCTION("""COMPUTED_VALUE"""),1703.20784)</f>
        <v>1703.20784</v>
      </c>
    </row>
    <row r="2522">
      <c r="A2522" s="3">
        <f>IFERROR(__xludf.DUMMYFUNCTION("""COMPUTED_VALUE"""),42919.99861111111)</f>
        <v>42919.99861</v>
      </c>
      <c r="B2522" s="1">
        <f>IFERROR(__xludf.DUMMYFUNCTION("""COMPUTED_VALUE"""),1710.85928)</f>
        <v>1710.85928</v>
      </c>
    </row>
    <row r="2523">
      <c r="A2523" s="3">
        <f>IFERROR(__xludf.DUMMYFUNCTION("""COMPUTED_VALUE"""),42920.99861111111)</f>
        <v>42920.99861</v>
      </c>
      <c r="B2523" s="1">
        <f>IFERROR(__xludf.DUMMYFUNCTION("""COMPUTED_VALUE"""),1709.72906)</f>
        <v>1709.72906</v>
      </c>
    </row>
    <row r="2524">
      <c r="A2524" s="3">
        <f>IFERROR(__xludf.DUMMYFUNCTION("""COMPUTED_VALUE"""),42921.99861111111)</f>
        <v>42921.99861</v>
      </c>
      <c r="B2524" s="1">
        <f>IFERROR(__xludf.DUMMYFUNCTION("""COMPUTED_VALUE"""),1711.53304)</f>
        <v>1711.53304</v>
      </c>
    </row>
    <row r="2525">
      <c r="A2525" s="3">
        <f>IFERROR(__xludf.DUMMYFUNCTION("""COMPUTED_VALUE"""),42922.99861111111)</f>
        <v>42922.99861</v>
      </c>
      <c r="B2525" s="1">
        <f>IFERROR(__xludf.DUMMYFUNCTION("""COMPUTED_VALUE"""),1713.42549)</f>
        <v>1713.42549</v>
      </c>
    </row>
    <row r="2526">
      <c r="A2526" s="3">
        <f>IFERROR(__xludf.DUMMYFUNCTION("""COMPUTED_VALUE"""),42923.99861111111)</f>
        <v>42923.99861</v>
      </c>
      <c r="B2526" s="1">
        <f>IFERROR(__xludf.DUMMYFUNCTION("""COMPUTED_VALUE"""),1715.70595)</f>
        <v>1715.70595</v>
      </c>
    </row>
    <row r="2527">
      <c r="A2527" s="3">
        <f>IFERROR(__xludf.DUMMYFUNCTION("""COMPUTED_VALUE"""),42924.99861111111)</f>
        <v>42924.99861</v>
      </c>
      <c r="B2527" s="1">
        <f>IFERROR(__xludf.DUMMYFUNCTION("""COMPUTED_VALUE"""),1717.985451)</f>
        <v>1717.985451</v>
      </c>
    </row>
    <row r="2528">
      <c r="A2528" s="3">
        <f>IFERROR(__xludf.DUMMYFUNCTION("""COMPUTED_VALUE"""),42925.99861111111)</f>
        <v>42925.99861</v>
      </c>
      <c r="B2528" s="1">
        <f>IFERROR(__xludf.DUMMYFUNCTION("""COMPUTED_VALUE"""),1716.224)</f>
        <v>1716.224</v>
      </c>
    </row>
    <row r="2529">
      <c r="A2529" s="3">
        <f>IFERROR(__xludf.DUMMYFUNCTION("""COMPUTED_VALUE"""),42926.99861111111)</f>
        <v>42926.99861</v>
      </c>
      <c r="B2529" s="1">
        <f>IFERROR(__xludf.DUMMYFUNCTION("""COMPUTED_VALUE"""),1713.39624)</f>
        <v>1713.39624</v>
      </c>
    </row>
    <row r="2530">
      <c r="A2530" s="3">
        <f>IFERROR(__xludf.DUMMYFUNCTION("""COMPUTED_VALUE"""),42927.99861111111)</f>
        <v>42927.99861</v>
      </c>
      <c r="B2530" s="1">
        <f>IFERROR(__xludf.DUMMYFUNCTION("""COMPUTED_VALUE"""),1708.53851)</f>
        <v>1708.53851</v>
      </c>
    </row>
    <row r="2531">
      <c r="A2531" s="3">
        <f>IFERROR(__xludf.DUMMYFUNCTION("""COMPUTED_VALUE"""),42928.99861111111)</f>
        <v>42928.99861</v>
      </c>
      <c r="B2531" s="1">
        <f>IFERROR(__xludf.DUMMYFUNCTION("""COMPUTED_VALUE"""),1710.86489)</f>
        <v>1710.86489</v>
      </c>
    </row>
    <row r="2532">
      <c r="A2532" s="3">
        <f>IFERROR(__xludf.DUMMYFUNCTION("""COMPUTED_VALUE"""),42929.99861111111)</f>
        <v>42929.99861</v>
      </c>
      <c r="B2532" s="1">
        <f>IFERROR(__xludf.DUMMYFUNCTION("""COMPUTED_VALUE"""),1708.44846)</f>
        <v>1708.44846</v>
      </c>
    </row>
    <row r="2533">
      <c r="A2533" s="3">
        <f>IFERROR(__xludf.DUMMYFUNCTION("""COMPUTED_VALUE"""),42930.99861111111)</f>
        <v>42930.99861</v>
      </c>
      <c r="B2533" s="1">
        <f>IFERROR(__xludf.DUMMYFUNCTION("""COMPUTED_VALUE"""),1703.3554)</f>
        <v>1703.3554</v>
      </c>
    </row>
    <row r="2534">
      <c r="A2534" s="3">
        <f>IFERROR(__xludf.DUMMYFUNCTION("""COMPUTED_VALUE"""),42932.99861111111)</f>
        <v>42932.99861</v>
      </c>
      <c r="B2534" s="1">
        <f>IFERROR(__xludf.DUMMYFUNCTION("""COMPUTED_VALUE"""),1708.09584)</f>
        <v>1708.09584</v>
      </c>
    </row>
    <row r="2535">
      <c r="A2535" s="3">
        <f>IFERROR(__xludf.DUMMYFUNCTION("""COMPUTED_VALUE"""),42933.99861111111)</f>
        <v>42933.99861</v>
      </c>
      <c r="B2535" s="1">
        <f>IFERROR(__xludf.DUMMYFUNCTION("""COMPUTED_VALUE"""),1706.95294)</f>
        <v>1706.95294</v>
      </c>
    </row>
    <row r="2536">
      <c r="A2536" s="3">
        <f>IFERROR(__xludf.DUMMYFUNCTION("""COMPUTED_VALUE"""),42934.99861111111)</f>
        <v>42934.99861</v>
      </c>
      <c r="B2536" s="1">
        <f>IFERROR(__xludf.DUMMYFUNCTION("""COMPUTED_VALUE"""),1704.11922)</f>
        <v>1704.11922</v>
      </c>
    </row>
    <row r="2537">
      <c r="A2537" s="3">
        <f>IFERROR(__xludf.DUMMYFUNCTION("""COMPUTED_VALUE"""),42935.99861111111)</f>
        <v>42935.99861</v>
      </c>
      <c r="B2537" s="1">
        <f>IFERROR(__xludf.DUMMYFUNCTION("""COMPUTED_VALUE"""),1704.35054)</f>
        <v>1704.35054</v>
      </c>
    </row>
    <row r="2538">
      <c r="A2538" s="3">
        <f>IFERROR(__xludf.DUMMYFUNCTION("""COMPUTED_VALUE"""),42936.99861111111)</f>
        <v>42936.99861</v>
      </c>
      <c r="B2538" s="1">
        <f>IFERROR(__xludf.DUMMYFUNCTION("""COMPUTED_VALUE"""),1703.05006)</f>
        <v>1703.05006</v>
      </c>
    </row>
    <row r="2539">
      <c r="A2539" s="3">
        <f>IFERROR(__xludf.DUMMYFUNCTION("""COMPUTED_VALUE"""),42937.99861111111)</f>
        <v>42937.99861</v>
      </c>
      <c r="B2539" s="1">
        <f>IFERROR(__xludf.DUMMYFUNCTION("""COMPUTED_VALUE"""),1705.48763)</f>
        <v>1705.48763</v>
      </c>
    </row>
    <row r="2540">
      <c r="A2540" s="3">
        <f>IFERROR(__xludf.DUMMYFUNCTION("""COMPUTED_VALUE"""),42938.99861111111)</f>
        <v>42938.99861</v>
      </c>
      <c r="B2540" s="1">
        <f>IFERROR(__xludf.DUMMYFUNCTION("""COMPUTED_VALUE"""),1705.74888)</f>
        <v>1705.74888</v>
      </c>
    </row>
    <row r="2541">
      <c r="A2541" s="3">
        <f>IFERROR(__xludf.DUMMYFUNCTION("""COMPUTED_VALUE"""),42939.99861111111)</f>
        <v>42939.99861</v>
      </c>
      <c r="B2541" s="1">
        <f>IFERROR(__xludf.DUMMYFUNCTION("""COMPUTED_VALUE"""),1698.31795)</f>
        <v>1698.31795</v>
      </c>
    </row>
    <row r="2542">
      <c r="A2542" s="3">
        <f>IFERROR(__xludf.DUMMYFUNCTION("""COMPUTED_VALUE"""),42940.99861111111)</f>
        <v>42940.99861</v>
      </c>
      <c r="B2542" s="1">
        <f>IFERROR(__xludf.DUMMYFUNCTION("""COMPUTED_VALUE"""),1705.51328)</f>
        <v>1705.51328</v>
      </c>
    </row>
    <row r="2543">
      <c r="A2543" s="3">
        <f>IFERROR(__xludf.DUMMYFUNCTION("""COMPUTED_VALUE"""),42941.99861111111)</f>
        <v>42941.99861</v>
      </c>
      <c r="B2543" s="1">
        <f>IFERROR(__xludf.DUMMYFUNCTION("""COMPUTED_VALUE"""),1706.6504)</f>
        <v>1706.6504</v>
      </c>
    </row>
    <row r="2544">
      <c r="A2544" s="3">
        <f>IFERROR(__xludf.DUMMYFUNCTION("""COMPUTED_VALUE"""),42942.99861111111)</f>
        <v>42942.99861</v>
      </c>
      <c r="B2544" s="1">
        <f>IFERROR(__xludf.DUMMYFUNCTION("""COMPUTED_VALUE"""),1706.64516)</f>
        <v>1706.64516</v>
      </c>
    </row>
    <row r="2545">
      <c r="A2545" s="3">
        <f>IFERROR(__xludf.DUMMYFUNCTION("""COMPUTED_VALUE"""),42943.99861111111)</f>
        <v>42943.99861</v>
      </c>
      <c r="B2545" s="1">
        <f>IFERROR(__xludf.DUMMYFUNCTION("""COMPUTED_VALUE"""),1704.34044)</f>
        <v>1704.34044</v>
      </c>
    </row>
    <row r="2546">
      <c r="A2546" s="3">
        <f>IFERROR(__xludf.DUMMYFUNCTION("""COMPUTED_VALUE"""),42944.99861111111)</f>
        <v>42944.99861</v>
      </c>
      <c r="B2546" s="1">
        <f>IFERROR(__xludf.DUMMYFUNCTION("""COMPUTED_VALUE"""),1707.01335)</f>
        <v>1707.01335</v>
      </c>
    </row>
    <row r="2547">
      <c r="A2547" s="3">
        <f>IFERROR(__xludf.DUMMYFUNCTION("""COMPUTED_VALUE"""),42945.99861111111)</f>
        <v>42945.99861</v>
      </c>
      <c r="B2547" s="1">
        <f>IFERROR(__xludf.DUMMYFUNCTION("""COMPUTED_VALUE"""),1705.3596)</f>
        <v>1705.3596</v>
      </c>
    </row>
    <row r="2548">
      <c r="A2548" s="3">
        <f>IFERROR(__xludf.DUMMYFUNCTION("""COMPUTED_VALUE"""),42946.99861111111)</f>
        <v>42946.99861</v>
      </c>
      <c r="B2548" s="1">
        <f>IFERROR(__xludf.DUMMYFUNCTION("""COMPUTED_VALUE"""),1705.626)</f>
        <v>1705.626</v>
      </c>
    </row>
    <row r="2549">
      <c r="A2549" s="3">
        <f>IFERROR(__xludf.DUMMYFUNCTION("""COMPUTED_VALUE"""),42947.99861111111)</f>
        <v>42947.99861</v>
      </c>
      <c r="B2549" s="1">
        <f>IFERROR(__xludf.DUMMYFUNCTION("""COMPUTED_VALUE"""),1704.97036)</f>
        <v>1704.97036</v>
      </c>
    </row>
    <row r="2550">
      <c r="A2550" s="3">
        <f>IFERROR(__xludf.DUMMYFUNCTION("""COMPUTED_VALUE"""),42948.99861111111)</f>
        <v>42948.99861</v>
      </c>
      <c r="B2550" s="1">
        <f>IFERROR(__xludf.DUMMYFUNCTION("""COMPUTED_VALUE"""),1704.30966)</f>
        <v>1704.30966</v>
      </c>
    </row>
    <row r="2551">
      <c r="A2551" s="3">
        <f>IFERROR(__xludf.DUMMYFUNCTION("""COMPUTED_VALUE"""),42949.99861111111)</f>
        <v>42949.99861</v>
      </c>
      <c r="B2551" s="1">
        <f>IFERROR(__xludf.DUMMYFUNCTION("""COMPUTED_VALUE"""),1703.51064)</f>
        <v>1703.51064</v>
      </c>
    </row>
    <row r="2552">
      <c r="A2552" s="3">
        <f>IFERROR(__xludf.DUMMYFUNCTION("""COMPUTED_VALUE"""),42950.99861111111)</f>
        <v>42950.99861</v>
      </c>
      <c r="B2552" s="1">
        <f>IFERROR(__xludf.DUMMYFUNCTION("""COMPUTED_VALUE"""),1703.63329)</f>
        <v>1703.63329</v>
      </c>
    </row>
    <row r="2553">
      <c r="A2553" s="3">
        <f>IFERROR(__xludf.DUMMYFUNCTION("""COMPUTED_VALUE"""),42951.99861111111)</f>
        <v>42951.99861</v>
      </c>
      <c r="B2553" s="1">
        <f>IFERROR(__xludf.DUMMYFUNCTION("""COMPUTED_VALUE"""),1702.20544)</f>
        <v>1702.20544</v>
      </c>
    </row>
    <row r="2554">
      <c r="A2554" s="3">
        <f>IFERROR(__xludf.DUMMYFUNCTION("""COMPUTED_VALUE"""),42953.99861111111)</f>
        <v>42953.99861</v>
      </c>
      <c r="B2554" s="1">
        <f>IFERROR(__xludf.DUMMYFUNCTION("""COMPUTED_VALUE"""),1702.08801)</f>
        <v>1702.08801</v>
      </c>
    </row>
    <row r="2555">
      <c r="A2555" s="3">
        <f>IFERROR(__xludf.DUMMYFUNCTION("""COMPUTED_VALUE"""),42954.99861111111)</f>
        <v>42954.99861</v>
      </c>
      <c r="B2555" s="1">
        <f>IFERROR(__xludf.DUMMYFUNCTION("""COMPUTED_VALUE"""),1702.32275)</f>
        <v>1702.32275</v>
      </c>
    </row>
    <row r="2556">
      <c r="A2556" s="3">
        <f>IFERROR(__xludf.DUMMYFUNCTION("""COMPUTED_VALUE"""),42955.99861111111)</f>
        <v>42955.99861</v>
      </c>
      <c r="B2556" s="1">
        <f>IFERROR(__xludf.DUMMYFUNCTION("""COMPUTED_VALUE"""),1700.63986)</f>
        <v>1700.63986</v>
      </c>
    </row>
    <row r="2557">
      <c r="A2557" s="3">
        <f>IFERROR(__xludf.DUMMYFUNCTION("""COMPUTED_VALUE"""),42956.99861111111)</f>
        <v>42956.99861</v>
      </c>
      <c r="B2557" s="1">
        <f>IFERROR(__xludf.DUMMYFUNCTION("""COMPUTED_VALUE"""),1705.0617)</f>
        <v>1705.0617</v>
      </c>
    </row>
    <row r="2558">
      <c r="A2558" s="3">
        <f>IFERROR(__xludf.DUMMYFUNCTION("""COMPUTED_VALUE"""),42957.99861111111)</f>
        <v>42957.99861</v>
      </c>
      <c r="B2558" s="1">
        <f>IFERROR(__xludf.DUMMYFUNCTION("""COMPUTED_VALUE"""),1704.5233)</f>
        <v>1704.5233</v>
      </c>
    </row>
    <row r="2559">
      <c r="A2559" s="3">
        <f>IFERROR(__xludf.DUMMYFUNCTION("""COMPUTED_VALUE"""),42958.99861111111)</f>
        <v>42958.99861</v>
      </c>
      <c r="B2559" s="1">
        <f>IFERROR(__xludf.DUMMYFUNCTION("""COMPUTED_VALUE"""),1706.93663)</f>
        <v>1706.93663</v>
      </c>
    </row>
    <row r="2560">
      <c r="A2560" s="3">
        <f>IFERROR(__xludf.DUMMYFUNCTION("""COMPUTED_VALUE"""),42959.99861111111)</f>
        <v>42959.99861</v>
      </c>
      <c r="B2560" s="1">
        <f>IFERROR(__xludf.DUMMYFUNCTION("""COMPUTED_VALUE"""),1707.32588)</f>
        <v>1707.32588</v>
      </c>
    </row>
    <row r="2561">
      <c r="A2561" s="3">
        <f>IFERROR(__xludf.DUMMYFUNCTION("""COMPUTED_VALUE"""),42960.99861111111)</f>
        <v>42960.99861</v>
      </c>
      <c r="B2561" s="1">
        <f>IFERROR(__xludf.DUMMYFUNCTION("""COMPUTED_VALUE"""),1707.45939)</f>
        <v>1707.45939</v>
      </c>
    </row>
    <row r="2562">
      <c r="A2562" s="3">
        <f>IFERROR(__xludf.DUMMYFUNCTION("""COMPUTED_VALUE"""),42961.99861111111)</f>
        <v>42961.99861</v>
      </c>
      <c r="B2562" s="1">
        <f>IFERROR(__xludf.DUMMYFUNCTION("""COMPUTED_VALUE"""),1705.64128)</f>
        <v>1705.64128</v>
      </c>
    </row>
    <row r="2563">
      <c r="A2563" s="3">
        <f>IFERROR(__xludf.DUMMYFUNCTION("""COMPUTED_VALUE"""),42962.99861111111)</f>
        <v>42962.99861</v>
      </c>
      <c r="B2563" s="1">
        <f>IFERROR(__xludf.DUMMYFUNCTION("""COMPUTED_VALUE"""),1706.77474)</f>
        <v>1706.77474</v>
      </c>
    </row>
    <row r="2564">
      <c r="A2564" s="3">
        <f>IFERROR(__xludf.DUMMYFUNCTION("""COMPUTED_VALUE"""),42963.99861111111)</f>
        <v>42963.99861</v>
      </c>
      <c r="B2564" s="1">
        <f>IFERROR(__xludf.DUMMYFUNCTION("""COMPUTED_VALUE"""),1706.664)</f>
        <v>1706.664</v>
      </c>
    </row>
    <row r="2565">
      <c r="A2565" s="3">
        <f>IFERROR(__xludf.DUMMYFUNCTION("""COMPUTED_VALUE"""),42964.99861111111)</f>
        <v>42964.99861</v>
      </c>
      <c r="B2565" s="1">
        <f>IFERROR(__xludf.DUMMYFUNCTION("""COMPUTED_VALUE"""),1709.20904)</f>
        <v>1709.20904</v>
      </c>
    </row>
    <row r="2566">
      <c r="A2566" s="3">
        <f>IFERROR(__xludf.DUMMYFUNCTION("""COMPUTED_VALUE"""),42965.99861111111)</f>
        <v>42965.99861</v>
      </c>
      <c r="B2566" s="1">
        <f>IFERROR(__xludf.DUMMYFUNCTION("""COMPUTED_VALUE"""),1706.88524)</f>
        <v>1706.88524</v>
      </c>
    </row>
    <row r="2567">
      <c r="A2567" s="3">
        <f>IFERROR(__xludf.DUMMYFUNCTION("""COMPUTED_VALUE"""),42966.99861111111)</f>
        <v>42966.99861</v>
      </c>
      <c r="B2567" s="1">
        <f>IFERROR(__xludf.DUMMYFUNCTION("""COMPUTED_VALUE"""),1706.90255)</f>
        <v>1706.90255</v>
      </c>
    </row>
    <row r="2568">
      <c r="A2568" s="3">
        <f>IFERROR(__xludf.DUMMYFUNCTION("""COMPUTED_VALUE"""),42967.99861111111)</f>
        <v>42967.99861</v>
      </c>
      <c r="B2568" s="1">
        <f>IFERROR(__xludf.DUMMYFUNCTION("""COMPUTED_VALUE"""),1706.90255)</f>
        <v>1706.90255</v>
      </c>
    </row>
    <row r="2569">
      <c r="A2569" s="3">
        <f>IFERROR(__xludf.DUMMYFUNCTION("""COMPUTED_VALUE"""),42968.99861111111)</f>
        <v>42968.99861</v>
      </c>
      <c r="B2569" s="1">
        <f>IFERROR(__xludf.DUMMYFUNCTION("""COMPUTED_VALUE"""),1705.3632)</f>
        <v>1705.3632</v>
      </c>
    </row>
    <row r="2570">
      <c r="A2570" s="3">
        <f>IFERROR(__xludf.DUMMYFUNCTION("""COMPUTED_VALUE"""),42969.99861111111)</f>
        <v>42969.99861</v>
      </c>
      <c r="B2570" s="1">
        <f>IFERROR(__xludf.DUMMYFUNCTION("""COMPUTED_VALUE"""),1702.402)</f>
        <v>1702.402</v>
      </c>
    </row>
    <row r="2571">
      <c r="A2571" s="3">
        <f>IFERROR(__xludf.DUMMYFUNCTION("""COMPUTED_VALUE"""),42970.99861111111)</f>
        <v>42970.99861</v>
      </c>
      <c r="B2571" s="1">
        <f>IFERROR(__xludf.DUMMYFUNCTION("""COMPUTED_VALUE"""),1705.99078)</f>
        <v>1705.99078</v>
      </c>
    </row>
    <row r="2572">
      <c r="A2572" s="3">
        <f>IFERROR(__xludf.DUMMYFUNCTION("""COMPUTED_VALUE"""),42971.99861111111)</f>
        <v>42971.99861</v>
      </c>
      <c r="B2572" s="1">
        <f>IFERROR(__xludf.DUMMYFUNCTION("""COMPUTED_VALUE"""),1703.9574)</f>
        <v>1703.9574</v>
      </c>
    </row>
    <row r="2573">
      <c r="A2573" s="3">
        <f>IFERROR(__xludf.DUMMYFUNCTION("""COMPUTED_VALUE"""),42972.99861111111)</f>
        <v>42972.99861</v>
      </c>
      <c r="B2573" s="1">
        <f>IFERROR(__xludf.DUMMYFUNCTION("""COMPUTED_VALUE"""),1706.04708)</f>
        <v>1706.04708</v>
      </c>
    </row>
    <row r="2574">
      <c r="A2574" s="3">
        <f>IFERROR(__xludf.DUMMYFUNCTION("""COMPUTED_VALUE"""),42973.99861111111)</f>
        <v>42973.99861</v>
      </c>
      <c r="B2574" s="1">
        <f>IFERROR(__xludf.DUMMYFUNCTION("""COMPUTED_VALUE"""),1706.3139)</f>
        <v>1706.3139</v>
      </c>
    </row>
    <row r="2575">
      <c r="A2575" s="3">
        <f>IFERROR(__xludf.DUMMYFUNCTION("""COMPUTED_VALUE"""),42974.99861111111)</f>
        <v>42974.99861</v>
      </c>
      <c r="B2575" s="1">
        <f>IFERROR(__xludf.DUMMYFUNCTION("""COMPUTED_VALUE"""),1705.52454)</f>
        <v>1705.52454</v>
      </c>
    </row>
    <row r="2576">
      <c r="A2576" s="3">
        <f>IFERROR(__xludf.DUMMYFUNCTION("""COMPUTED_VALUE"""),42975.99861111111)</f>
        <v>42975.99861</v>
      </c>
      <c r="B2576" s="1">
        <f>IFERROR(__xludf.DUMMYFUNCTION("""COMPUTED_VALUE"""),1700.38946)</f>
        <v>1700.38946</v>
      </c>
    </row>
    <row r="2577">
      <c r="A2577" s="3">
        <f>IFERROR(__xludf.DUMMYFUNCTION("""COMPUTED_VALUE"""),42976.99861111111)</f>
        <v>42976.99861</v>
      </c>
      <c r="B2577" s="1">
        <f>IFERROR(__xludf.DUMMYFUNCTION("""COMPUTED_VALUE"""),1703.82407)</f>
        <v>1703.82407</v>
      </c>
    </row>
    <row r="2578">
      <c r="A2578" s="3">
        <f>IFERROR(__xludf.DUMMYFUNCTION("""COMPUTED_VALUE"""),42977.99861111111)</f>
        <v>42977.99861</v>
      </c>
      <c r="B2578" s="1">
        <f>IFERROR(__xludf.DUMMYFUNCTION("""COMPUTED_VALUE"""),1703.95186)</f>
        <v>1703.95186</v>
      </c>
    </row>
    <row r="2579">
      <c r="A2579" s="3">
        <f>IFERROR(__xludf.DUMMYFUNCTION("""COMPUTED_VALUE"""),42978.99861111111)</f>
        <v>42978.99861</v>
      </c>
      <c r="B2579" s="1">
        <f>IFERROR(__xludf.DUMMYFUNCTION("""COMPUTED_VALUE"""),1702.29059)</f>
        <v>1702.29059</v>
      </c>
    </row>
    <row r="2580">
      <c r="A2580" s="3">
        <f>IFERROR(__xludf.DUMMYFUNCTION("""COMPUTED_VALUE"""),42979.99861111111)</f>
        <v>42979.99861</v>
      </c>
      <c r="B2580" s="1">
        <f>IFERROR(__xludf.DUMMYFUNCTION("""COMPUTED_VALUE"""),1703.69074)</f>
        <v>1703.69074</v>
      </c>
    </row>
    <row r="2581">
      <c r="A2581" s="3">
        <f>IFERROR(__xludf.DUMMYFUNCTION("""COMPUTED_VALUE"""),42980.99861111111)</f>
        <v>42980.99861</v>
      </c>
      <c r="B2581" s="1">
        <f>IFERROR(__xludf.DUMMYFUNCTION("""COMPUTED_VALUE"""),1704.34635)</f>
        <v>1704.34635</v>
      </c>
    </row>
    <row r="2582">
      <c r="A2582" s="3">
        <f>IFERROR(__xludf.DUMMYFUNCTION("""COMPUTED_VALUE"""),42981.99861111111)</f>
        <v>42981.99861</v>
      </c>
      <c r="B2582" s="1">
        <f>IFERROR(__xludf.DUMMYFUNCTION("""COMPUTED_VALUE"""),1703.56849)</f>
        <v>1703.56849</v>
      </c>
    </row>
    <row r="2583">
      <c r="A2583" s="3">
        <f>IFERROR(__xludf.DUMMYFUNCTION("""COMPUTED_VALUE"""),42982.99861111111)</f>
        <v>42982.99861</v>
      </c>
      <c r="B2583" s="1">
        <f>IFERROR(__xludf.DUMMYFUNCTION("""COMPUTED_VALUE"""),1706.37987)</f>
        <v>1706.37987</v>
      </c>
    </row>
    <row r="2584">
      <c r="A2584" s="3">
        <f>IFERROR(__xludf.DUMMYFUNCTION("""COMPUTED_VALUE"""),42983.99861111111)</f>
        <v>42983.99861</v>
      </c>
      <c r="B2584" s="1">
        <f>IFERROR(__xludf.DUMMYFUNCTION("""COMPUTED_VALUE"""),1703.55741)</f>
        <v>1703.55741</v>
      </c>
    </row>
    <row r="2585">
      <c r="A2585" s="3">
        <f>IFERROR(__xludf.DUMMYFUNCTION("""COMPUTED_VALUE"""),42984.99861111111)</f>
        <v>42984.99861</v>
      </c>
      <c r="B2585" s="1">
        <f>IFERROR(__xludf.DUMMYFUNCTION("""COMPUTED_VALUE"""),1704.45742)</f>
        <v>1704.45742</v>
      </c>
    </row>
    <row r="2586">
      <c r="A2586" s="3">
        <f>IFERROR(__xludf.DUMMYFUNCTION("""COMPUTED_VALUE"""),42985.99861111111)</f>
        <v>42985.99861</v>
      </c>
      <c r="B2586" s="1">
        <f>IFERROR(__xludf.DUMMYFUNCTION("""COMPUTED_VALUE"""),1700.85911)</f>
        <v>1700.85911</v>
      </c>
    </row>
    <row r="2587">
      <c r="A2587" s="3">
        <f>IFERROR(__xludf.DUMMYFUNCTION("""COMPUTED_VALUE"""),42986.99861111111)</f>
        <v>42986.99861</v>
      </c>
      <c r="B2587" s="1">
        <f>IFERROR(__xludf.DUMMYFUNCTION("""COMPUTED_VALUE"""),1688.68812)</f>
        <v>1688.68812</v>
      </c>
    </row>
    <row r="2588">
      <c r="A2588" s="3">
        <f>IFERROR(__xludf.DUMMYFUNCTION("""COMPUTED_VALUE"""),42987.99861111111)</f>
        <v>42987.99861</v>
      </c>
      <c r="B2588" s="1">
        <f>IFERROR(__xludf.DUMMYFUNCTION("""COMPUTED_VALUE"""),1688.82805)</f>
        <v>1688.82805</v>
      </c>
    </row>
    <row r="2589">
      <c r="A2589" s="3">
        <f>IFERROR(__xludf.DUMMYFUNCTION("""COMPUTED_VALUE"""),42988.99861111111)</f>
        <v>42988.99861</v>
      </c>
      <c r="B2589" s="1">
        <f>IFERROR(__xludf.DUMMYFUNCTION("""COMPUTED_VALUE"""),1689.216)</f>
        <v>1689.216</v>
      </c>
    </row>
    <row r="2590">
      <c r="A2590" s="3">
        <f>IFERROR(__xludf.DUMMYFUNCTION("""COMPUTED_VALUE"""),42989.99861111111)</f>
        <v>42989.99861</v>
      </c>
      <c r="B2590" s="1">
        <f>IFERROR(__xludf.DUMMYFUNCTION("""COMPUTED_VALUE"""),1686.26448)</f>
        <v>1686.26448</v>
      </c>
    </row>
    <row r="2591">
      <c r="A2591" s="3">
        <f>IFERROR(__xludf.DUMMYFUNCTION("""COMPUTED_VALUE"""),42990.99861111111)</f>
        <v>42990.99861</v>
      </c>
      <c r="B2591" s="1">
        <f>IFERROR(__xludf.DUMMYFUNCTION("""COMPUTED_VALUE"""),1690.35984)</f>
        <v>1690.35984</v>
      </c>
    </row>
    <row r="2592">
      <c r="A2592" s="3">
        <f>IFERROR(__xludf.DUMMYFUNCTION("""COMPUTED_VALUE"""),42991.99861111111)</f>
        <v>42991.99861</v>
      </c>
      <c r="B2592" s="1">
        <f>IFERROR(__xludf.DUMMYFUNCTION("""COMPUTED_VALUE"""),1695.10842)</f>
        <v>1695.10842</v>
      </c>
    </row>
    <row r="2593">
      <c r="A2593" s="3">
        <f>IFERROR(__xludf.DUMMYFUNCTION("""COMPUTED_VALUE"""),42992.99861111111)</f>
        <v>42992.99861</v>
      </c>
      <c r="B2593" s="1">
        <f>IFERROR(__xludf.DUMMYFUNCTION("""COMPUTED_VALUE"""),1697.27076)</f>
        <v>1697.27076</v>
      </c>
    </row>
    <row r="2594">
      <c r="A2594" s="3">
        <f>IFERROR(__xludf.DUMMYFUNCTION("""COMPUTED_VALUE"""),42993.99861111111)</f>
        <v>42993.99861</v>
      </c>
      <c r="B2594" s="1">
        <f>IFERROR(__xludf.DUMMYFUNCTION("""COMPUTED_VALUE"""),1693.89848)</f>
        <v>1693.89848</v>
      </c>
    </row>
    <row r="2595">
      <c r="A2595" s="3">
        <f>IFERROR(__xludf.DUMMYFUNCTION("""COMPUTED_VALUE"""),42995.99861111111)</f>
        <v>42995.99861</v>
      </c>
      <c r="B2595" s="1">
        <f>IFERROR(__xludf.DUMMYFUNCTION("""COMPUTED_VALUE"""),1694.9308)</f>
        <v>1694.9308</v>
      </c>
    </row>
    <row r="2596">
      <c r="A2596" s="3">
        <f>IFERROR(__xludf.DUMMYFUNCTION("""COMPUTED_VALUE"""),42996.99861111111)</f>
        <v>42996.99861</v>
      </c>
      <c r="B2596" s="1">
        <f>IFERROR(__xludf.DUMMYFUNCTION("""COMPUTED_VALUE"""),1697.24256)</f>
        <v>1697.24256</v>
      </c>
    </row>
    <row r="2597">
      <c r="A2597" s="3">
        <f>IFERROR(__xludf.DUMMYFUNCTION("""COMPUTED_VALUE"""),42997.99861111111)</f>
        <v>42997.99861</v>
      </c>
      <c r="B2597" s="1">
        <f>IFERROR(__xludf.DUMMYFUNCTION("""COMPUTED_VALUE"""),1698.35872)</f>
        <v>1698.35872</v>
      </c>
    </row>
    <row r="2598">
      <c r="A2598" s="3">
        <f>IFERROR(__xludf.DUMMYFUNCTION("""COMPUTED_VALUE"""),42998.99861111111)</f>
        <v>42998.99861</v>
      </c>
      <c r="B2598" s="1">
        <f>IFERROR(__xludf.DUMMYFUNCTION("""COMPUTED_VALUE"""),1701.20041)</f>
        <v>1701.20041</v>
      </c>
    </row>
    <row r="2599">
      <c r="A2599" s="3">
        <f>IFERROR(__xludf.DUMMYFUNCTION("""COMPUTED_VALUE"""),42999.99861111111)</f>
        <v>42999.99861</v>
      </c>
      <c r="B2599" s="1">
        <f>IFERROR(__xludf.DUMMYFUNCTION("""COMPUTED_VALUE"""),1700.53676)</f>
        <v>1700.53676</v>
      </c>
    </row>
    <row r="2600">
      <c r="A2600" s="3">
        <f>IFERROR(__xludf.DUMMYFUNCTION("""COMPUTED_VALUE"""),43000.99861111111)</f>
        <v>43000.99861</v>
      </c>
      <c r="B2600" s="1">
        <f>IFERROR(__xludf.DUMMYFUNCTION("""COMPUTED_VALUE"""),1701.2529)</f>
        <v>1701.2529</v>
      </c>
    </row>
    <row r="2601">
      <c r="A2601" s="3">
        <f>IFERROR(__xludf.DUMMYFUNCTION("""COMPUTED_VALUE"""),43002.99861111111)</f>
        <v>43002.99861</v>
      </c>
      <c r="B2601" s="1">
        <f>IFERROR(__xludf.DUMMYFUNCTION("""COMPUTED_VALUE"""),1703.70024)</f>
        <v>1703.70024</v>
      </c>
    </row>
    <row r="2602">
      <c r="A2602" s="3">
        <f>IFERROR(__xludf.DUMMYFUNCTION("""COMPUTED_VALUE"""),43003.99861111111)</f>
        <v>43003.99861</v>
      </c>
      <c r="B2602" s="1">
        <f>IFERROR(__xludf.DUMMYFUNCTION("""COMPUTED_VALUE"""),1704.56562)</f>
        <v>1704.56562</v>
      </c>
    </row>
    <row r="2603">
      <c r="A2603" s="3">
        <f>IFERROR(__xludf.DUMMYFUNCTION("""COMPUTED_VALUE"""),43004.99861111111)</f>
        <v>43004.99861</v>
      </c>
      <c r="B2603" s="1">
        <f>IFERROR(__xludf.DUMMYFUNCTION("""COMPUTED_VALUE"""),1711.86625)</f>
        <v>1711.86625</v>
      </c>
    </row>
    <row r="2604">
      <c r="A2604" s="3">
        <f>IFERROR(__xludf.DUMMYFUNCTION("""COMPUTED_VALUE"""),43005.99861111111)</f>
        <v>43005.99861</v>
      </c>
      <c r="B2604" s="1">
        <f>IFERROR(__xludf.DUMMYFUNCTION("""COMPUTED_VALUE"""),1719.82699)</f>
        <v>1719.82699</v>
      </c>
    </row>
    <row r="2605">
      <c r="A2605" s="3">
        <f>IFERROR(__xludf.DUMMYFUNCTION("""COMPUTED_VALUE"""),43006.99861111111)</f>
        <v>43006.99861</v>
      </c>
      <c r="B2605" s="1">
        <f>IFERROR(__xludf.DUMMYFUNCTION("""COMPUTED_VALUE"""),1729.29416)</f>
        <v>1729.29416</v>
      </c>
    </row>
    <row r="2606">
      <c r="A2606" s="3">
        <f>IFERROR(__xludf.DUMMYFUNCTION("""COMPUTED_VALUE"""),43007.99861111111)</f>
        <v>43007.99861</v>
      </c>
      <c r="B2606" s="1">
        <f>IFERROR(__xludf.DUMMYFUNCTION("""COMPUTED_VALUE"""),1723.2838)</f>
        <v>1723.2838</v>
      </c>
    </row>
    <row r="2607">
      <c r="A2607" s="3">
        <f>IFERROR(__xludf.DUMMYFUNCTION("""COMPUTED_VALUE"""),43009.99861111111)</f>
        <v>43009.99861</v>
      </c>
      <c r="B2607" s="1">
        <f>IFERROR(__xludf.DUMMYFUNCTION("""COMPUTED_VALUE"""),1723.92395)</f>
        <v>1723.92395</v>
      </c>
    </row>
    <row r="2608">
      <c r="A2608" s="3">
        <f>IFERROR(__xludf.DUMMYFUNCTION("""COMPUTED_VALUE"""),43010.99861111111)</f>
        <v>43010.99861</v>
      </c>
      <c r="B2608" s="1">
        <f>IFERROR(__xludf.DUMMYFUNCTION("""COMPUTED_VALUE"""),1732.37393)</f>
        <v>1732.37393</v>
      </c>
    </row>
    <row r="2609">
      <c r="A2609" s="3">
        <f>IFERROR(__xludf.DUMMYFUNCTION("""COMPUTED_VALUE"""),43011.99861111111)</f>
        <v>43011.99861</v>
      </c>
      <c r="B2609" s="1">
        <f>IFERROR(__xludf.DUMMYFUNCTION("""COMPUTED_VALUE"""),1732.87872)</f>
        <v>1732.87872</v>
      </c>
    </row>
    <row r="2610">
      <c r="A2610" s="3">
        <f>IFERROR(__xludf.DUMMYFUNCTION("""COMPUTED_VALUE"""),43012.99861111111)</f>
        <v>43012.99861</v>
      </c>
      <c r="B2610" s="1">
        <f>IFERROR(__xludf.DUMMYFUNCTION("""COMPUTED_VALUE"""),1725.3723)</f>
        <v>1725.3723</v>
      </c>
    </row>
    <row r="2611">
      <c r="A2611" s="3">
        <f>IFERROR(__xludf.DUMMYFUNCTION("""COMPUTED_VALUE"""),43013.99861111111)</f>
        <v>43013.99861</v>
      </c>
      <c r="B2611" s="1">
        <f>IFERROR(__xludf.DUMMYFUNCTION("""COMPUTED_VALUE"""),1722.40055)</f>
        <v>1722.40055</v>
      </c>
    </row>
    <row r="2612">
      <c r="A2612" s="3">
        <f>IFERROR(__xludf.DUMMYFUNCTION("""COMPUTED_VALUE"""),43014.99861111111)</f>
        <v>43014.99861</v>
      </c>
      <c r="B2612" s="1">
        <f>IFERROR(__xludf.DUMMYFUNCTION("""COMPUTED_VALUE"""),1729.47118)</f>
        <v>1729.47118</v>
      </c>
    </row>
    <row r="2613">
      <c r="A2613" s="3">
        <f>IFERROR(__xludf.DUMMYFUNCTION("""COMPUTED_VALUE"""),43015.99861111111)</f>
        <v>43015.99861</v>
      </c>
      <c r="B2613" s="1">
        <f>IFERROR(__xludf.DUMMYFUNCTION("""COMPUTED_VALUE"""),1728.83073)</f>
        <v>1728.83073</v>
      </c>
    </row>
    <row r="2614">
      <c r="A2614" s="3">
        <f>IFERROR(__xludf.DUMMYFUNCTION("""COMPUTED_VALUE"""),43016.99861111111)</f>
        <v>43016.99861</v>
      </c>
      <c r="B2614" s="1">
        <f>IFERROR(__xludf.DUMMYFUNCTION("""COMPUTED_VALUE"""),1729.23564)</f>
        <v>1729.23564</v>
      </c>
    </row>
    <row r="2615">
      <c r="A2615" s="3">
        <f>IFERROR(__xludf.DUMMYFUNCTION("""COMPUTED_VALUE"""),43017.99861111111)</f>
        <v>43017.99861</v>
      </c>
      <c r="B2615" s="1">
        <f>IFERROR(__xludf.DUMMYFUNCTION("""COMPUTED_VALUE"""),1730.7661)</f>
        <v>1730.7661</v>
      </c>
    </row>
    <row r="2616">
      <c r="A2616" s="3">
        <f>IFERROR(__xludf.DUMMYFUNCTION("""COMPUTED_VALUE"""),43018.99861111111)</f>
        <v>43018.99861</v>
      </c>
      <c r="B2616" s="1">
        <f>IFERROR(__xludf.DUMMYFUNCTION("""COMPUTED_VALUE"""),1731.0363)</f>
        <v>1731.0363</v>
      </c>
    </row>
    <row r="2617">
      <c r="A2617" s="3">
        <f>IFERROR(__xludf.DUMMYFUNCTION("""COMPUTED_VALUE"""),43019.99861111111)</f>
        <v>43019.99861</v>
      </c>
      <c r="B2617" s="1">
        <f>IFERROR(__xludf.DUMMYFUNCTION("""COMPUTED_VALUE"""),1730.7661)</f>
        <v>1730.7661</v>
      </c>
    </row>
    <row r="2618">
      <c r="A2618" s="3">
        <f>IFERROR(__xludf.DUMMYFUNCTION("""COMPUTED_VALUE"""),43020.99861111111)</f>
        <v>43020.99861</v>
      </c>
      <c r="B2618" s="1">
        <f>IFERROR(__xludf.DUMMYFUNCTION("""COMPUTED_VALUE"""),1728.68886)</f>
        <v>1728.68886</v>
      </c>
    </row>
    <row r="2619">
      <c r="A2619" s="3">
        <f>IFERROR(__xludf.DUMMYFUNCTION("""COMPUTED_VALUE"""),43021.99861111111)</f>
        <v>43021.99861</v>
      </c>
      <c r="B2619" s="1">
        <f>IFERROR(__xludf.DUMMYFUNCTION("""COMPUTED_VALUE"""),1719.9801)</f>
        <v>1719.9801</v>
      </c>
    </row>
    <row r="2620">
      <c r="A2620" s="3">
        <f>IFERROR(__xludf.DUMMYFUNCTION("""COMPUTED_VALUE"""),43022.99861111111)</f>
        <v>43022.99861</v>
      </c>
      <c r="B2620" s="1">
        <f>IFERROR(__xludf.DUMMYFUNCTION("""COMPUTED_VALUE"""),1728.19028)</f>
        <v>1728.19028</v>
      </c>
    </row>
    <row r="2621">
      <c r="A2621" s="3">
        <f>IFERROR(__xludf.DUMMYFUNCTION("""COMPUTED_VALUE"""),43023.99861111111)</f>
        <v>43023.99861</v>
      </c>
      <c r="B2621" s="1">
        <f>IFERROR(__xludf.DUMMYFUNCTION("""COMPUTED_VALUE"""),1728.19028)</f>
        <v>1728.19028</v>
      </c>
    </row>
    <row r="2622">
      <c r="A2622" s="3">
        <f>IFERROR(__xludf.DUMMYFUNCTION("""COMPUTED_VALUE"""),43024.99861111111)</f>
        <v>43024.99861</v>
      </c>
      <c r="B2622" s="1">
        <f>IFERROR(__xludf.DUMMYFUNCTION("""COMPUTED_VALUE"""),1725.87132)</f>
        <v>1725.87132</v>
      </c>
    </row>
    <row r="2623">
      <c r="A2623" s="3">
        <f>IFERROR(__xludf.DUMMYFUNCTION("""COMPUTED_VALUE"""),43025.99861111111)</f>
        <v>43025.99861</v>
      </c>
      <c r="B2623" s="1">
        <f>IFERROR(__xludf.DUMMYFUNCTION("""COMPUTED_VALUE"""),1728.30465)</f>
        <v>1728.30465</v>
      </c>
    </row>
    <row r="2624">
      <c r="A2624" s="3">
        <f>IFERROR(__xludf.DUMMYFUNCTION("""COMPUTED_VALUE"""),43026.99861111111)</f>
        <v>43026.99861</v>
      </c>
      <c r="B2624" s="1">
        <f>IFERROR(__xludf.DUMMYFUNCTION("""COMPUTED_VALUE"""),1730.2257)</f>
        <v>1730.2257</v>
      </c>
    </row>
    <row r="2625">
      <c r="A2625" s="3">
        <f>IFERROR(__xludf.DUMMYFUNCTION("""COMPUTED_VALUE"""),43027.99861111111)</f>
        <v>43027.99861</v>
      </c>
      <c r="B2625" s="1">
        <f>IFERROR(__xludf.DUMMYFUNCTION("""COMPUTED_VALUE"""),1729.2831)</f>
        <v>1729.2831</v>
      </c>
    </row>
    <row r="2626">
      <c r="A2626" s="3">
        <f>IFERROR(__xludf.DUMMYFUNCTION("""COMPUTED_VALUE"""),43028.99861111111)</f>
        <v>43028.99861</v>
      </c>
      <c r="B2626" s="1">
        <f>IFERROR(__xludf.DUMMYFUNCTION("""COMPUTED_VALUE"""),1732.0754)</f>
        <v>1732.0754</v>
      </c>
    </row>
    <row r="2627">
      <c r="A2627" s="3">
        <f>IFERROR(__xludf.DUMMYFUNCTION("""COMPUTED_VALUE"""),43029.99861111111)</f>
        <v>43029.99861</v>
      </c>
      <c r="B2627" s="1">
        <f>IFERROR(__xludf.DUMMYFUNCTION("""COMPUTED_VALUE"""),1731.80508)</f>
        <v>1731.80508</v>
      </c>
    </row>
    <row r="2628">
      <c r="A2628" s="3">
        <f>IFERROR(__xludf.DUMMYFUNCTION("""COMPUTED_VALUE"""),43030.99861111111)</f>
        <v>43030.99861</v>
      </c>
      <c r="B2628" s="1">
        <f>IFERROR(__xludf.DUMMYFUNCTION("""COMPUTED_VALUE"""),1732.34572)</f>
        <v>1732.34572</v>
      </c>
    </row>
    <row r="2629">
      <c r="A2629" s="3">
        <f>IFERROR(__xludf.DUMMYFUNCTION("""COMPUTED_VALUE"""),43031.99861111111)</f>
        <v>43031.99861</v>
      </c>
      <c r="B2629" s="1">
        <f>IFERROR(__xludf.DUMMYFUNCTION("""COMPUTED_VALUE"""),1735.05165)</f>
        <v>1735.05165</v>
      </c>
    </row>
    <row r="2630">
      <c r="A2630" s="3">
        <f>IFERROR(__xludf.DUMMYFUNCTION("""COMPUTED_VALUE"""),43032.99861111111)</f>
        <v>43032.99861</v>
      </c>
      <c r="B2630" s="1">
        <f>IFERROR(__xludf.DUMMYFUNCTION("""COMPUTED_VALUE"""),1732.95825)</f>
        <v>1732.95825</v>
      </c>
    </row>
    <row r="2631">
      <c r="A2631" s="3">
        <f>IFERROR(__xludf.DUMMYFUNCTION("""COMPUTED_VALUE"""),43033.99861111111)</f>
        <v>43033.99861</v>
      </c>
      <c r="B2631" s="1">
        <f>IFERROR(__xludf.DUMMYFUNCTION("""COMPUTED_VALUE"""),1739.11608)</f>
        <v>1739.11608</v>
      </c>
    </row>
    <row r="2632">
      <c r="A2632" s="3">
        <f>IFERROR(__xludf.DUMMYFUNCTION("""COMPUTED_VALUE"""),43034.99861111111)</f>
        <v>43034.99861</v>
      </c>
      <c r="B2632" s="1">
        <f>IFERROR(__xludf.DUMMYFUNCTION("""COMPUTED_VALUE"""),1748.75974)</f>
        <v>1748.75974</v>
      </c>
    </row>
    <row r="2633">
      <c r="A2633" s="3">
        <f>IFERROR(__xludf.DUMMYFUNCTION("""COMPUTED_VALUE"""),43035.99861111111)</f>
        <v>43035.99861</v>
      </c>
      <c r="B2633" s="1">
        <f>IFERROR(__xludf.DUMMYFUNCTION("""COMPUTED_VALUE"""),1741.41483)</f>
        <v>1741.41483</v>
      </c>
    </row>
    <row r="2634">
      <c r="A2634" s="3">
        <f>IFERROR(__xludf.DUMMYFUNCTION("""COMPUTED_VALUE"""),43037.99861111111)</f>
        <v>43037.99861</v>
      </c>
      <c r="B2634" s="1">
        <f>IFERROR(__xludf.DUMMYFUNCTION("""COMPUTED_VALUE"""),1741.3022)</f>
        <v>1741.3022</v>
      </c>
    </row>
    <row r="2635">
      <c r="A2635" s="3">
        <f>IFERROR(__xludf.DUMMYFUNCTION("""COMPUTED_VALUE"""),43038.99861111111)</f>
        <v>43038.99861</v>
      </c>
      <c r="B2635" s="1">
        <f>IFERROR(__xludf.DUMMYFUNCTION("""COMPUTED_VALUE"""),1740.32254)</f>
        <v>1740.32254</v>
      </c>
    </row>
    <row r="2636">
      <c r="A2636" s="3">
        <f>IFERROR(__xludf.DUMMYFUNCTION("""COMPUTED_VALUE"""),43039.99861111111)</f>
        <v>43039.99861</v>
      </c>
      <c r="B2636" s="1">
        <f>IFERROR(__xludf.DUMMYFUNCTION("""COMPUTED_VALUE"""),1737.35172)</f>
        <v>1737.35172</v>
      </c>
    </row>
    <row r="2637">
      <c r="A2637" s="3">
        <f>IFERROR(__xludf.DUMMYFUNCTION("""COMPUTED_VALUE"""),43040.99861111111)</f>
        <v>43040.99861</v>
      </c>
      <c r="B2637" s="1">
        <f>IFERROR(__xludf.DUMMYFUNCTION("""COMPUTED_VALUE"""),1737.22354)</f>
        <v>1737.22354</v>
      </c>
    </row>
    <row r="2638">
      <c r="A2638" s="3">
        <f>IFERROR(__xludf.DUMMYFUNCTION("""COMPUTED_VALUE"""),43041.99861111111)</f>
        <v>43041.99861</v>
      </c>
      <c r="B2638" s="1">
        <f>IFERROR(__xludf.DUMMYFUNCTION("""COMPUTED_VALUE"""),1735.67088)</f>
        <v>1735.67088</v>
      </c>
    </row>
    <row r="2639">
      <c r="A2639" s="3">
        <f>IFERROR(__xludf.DUMMYFUNCTION("""COMPUTED_VALUE"""),43042.99861111111)</f>
        <v>43042.99861</v>
      </c>
      <c r="B2639" s="1">
        <f>IFERROR(__xludf.DUMMYFUNCTION("""COMPUTED_VALUE"""),1727.462)</f>
        <v>1727.462</v>
      </c>
    </row>
    <row r="2640">
      <c r="A2640" s="3">
        <f>IFERROR(__xludf.DUMMYFUNCTION("""COMPUTED_VALUE"""),43043.99861111111)</f>
        <v>43043.99861</v>
      </c>
      <c r="B2640" s="1">
        <f>IFERROR(__xludf.DUMMYFUNCTION("""COMPUTED_VALUE"""),1727.5968)</f>
        <v>1727.5968</v>
      </c>
    </row>
    <row r="2641">
      <c r="A2641" s="3">
        <f>IFERROR(__xludf.DUMMYFUNCTION("""COMPUTED_VALUE"""),43044.99861111111)</f>
        <v>43044.99861</v>
      </c>
      <c r="B2641" s="1">
        <f>IFERROR(__xludf.DUMMYFUNCTION("""COMPUTED_VALUE"""),1727.7316)</f>
        <v>1727.7316</v>
      </c>
    </row>
    <row r="2642">
      <c r="A2642" s="3">
        <f>IFERROR(__xludf.DUMMYFUNCTION("""COMPUTED_VALUE"""),43045.99861111111)</f>
        <v>43045.99861</v>
      </c>
      <c r="B2642" s="1">
        <f>IFERROR(__xludf.DUMMYFUNCTION("""COMPUTED_VALUE"""),1728.25094)</f>
        <v>1728.25094</v>
      </c>
    </row>
    <row r="2643">
      <c r="A2643" s="3">
        <f>IFERROR(__xludf.DUMMYFUNCTION("""COMPUTED_VALUE"""),43046.99861111111)</f>
        <v>43046.99861</v>
      </c>
      <c r="B2643" s="1">
        <f>IFERROR(__xludf.DUMMYFUNCTION("""COMPUTED_VALUE"""),1731.68396)</f>
        <v>1731.68396</v>
      </c>
    </row>
    <row r="2644">
      <c r="A2644" s="3">
        <f>IFERROR(__xludf.DUMMYFUNCTION("""COMPUTED_VALUE"""),43047.99861111111)</f>
        <v>43047.99861</v>
      </c>
      <c r="B2644" s="1">
        <f>IFERROR(__xludf.DUMMYFUNCTION("""COMPUTED_VALUE"""),1731.75975)</f>
        <v>1731.75975</v>
      </c>
    </row>
    <row r="2645">
      <c r="A2645" s="3">
        <f>IFERROR(__xludf.DUMMYFUNCTION("""COMPUTED_VALUE"""),43048.99861111111)</f>
        <v>43048.99861</v>
      </c>
      <c r="B2645" s="1">
        <f>IFERROR(__xludf.DUMMYFUNCTION("""COMPUTED_VALUE"""),1734.43194)</f>
        <v>1734.43194</v>
      </c>
    </row>
    <row r="2646">
      <c r="A2646" s="3">
        <f>IFERROR(__xludf.DUMMYFUNCTION("""COMPUTED_VALUE"""),43049.99861111111)</f>
        <v>43049.99861</v>
      </c>
      <c r="B2646" s="1">
        <f>IFERROR(__xludf.DUMMYFUNCTION("""COMPUTED_VALUE"""),1735.67814)</f>
        <v>1735.67814</v>
      </c>
    </row>
    <row r="2647">
      <c r="A2647" s="3">
        <f>IFERROR(__xludf.DUMMYFUNCTION("""COMPUTED_VALUE"""),43050.99861111111)</f>
        <v>43050.99861</v>
      </c>
      <c r="B2647" s="1">
        <f>IFERROR(__xludf.DUMMYFUNCTION("""COMPUTED_VALUE"""),1736.720162)</f>
        <v>1736.720162</v>
      </c>
    </row>
    <row r="2648">
      <c r="A2648" s="3">
        <f>IFERROR(__xludf.DUMMYFUNCTION("""COMPUTED_VALUE"""),43051.99861111111)</f>
        <v>43051.99861</v>
      </c>
      <c r="B2648" s="1">
        <f>IFERROR(__xludf.DUMMYFUNCTION("""COMPUTED_VALUE"""),1731.69792)</f>
        <v>1731.69792</v>
      </c>
    </row>
    <row r="2649">
      <c r="A2649" s="3">
        <f>IFERROR(__xludf.DUMMYFUNCTION("""COMPUTED_VALUE"""),43052.99861111111)</f>
        <v>43052.99861</v>
      </c>
      <c r="B2649" s="1">
        <f>IFERROR(__xludf.DUMMYFUNCTION("""COMPUTED_VALUE"""),1737.22354)</f>
        <v>1737.22354</v>
      </c>
    </row>
    <row r="2650">
      <c r="A2650" s="3">
        <f>IFERROR(__xludf.DUMMYFUNCTION("""COMPUTED_VALUE"""),43053.99861111111)</f>
        <v>43053.99861</v>
      </c>
      <c r="B2650" s="1">
        <f>IFERROR(__xludf.DUMMYFUNCTION("""COMPUTED_VALUE"""),1735.6563)</f>
        <v>1735.6563</v>
      </c>
    </row>
    <row r="2651">
      <c r="A2651" s="3">
        <f>IFERROR(__xludf.DUMMYFUNCTION("""COMPUTED_VALUE"""),43054.99861111111)</f>
        <v>43054.99861</v>
      </c>
      <c r="B2651" s="1">
        <f>IFERROR(__xludf.DUMMYFUNCTION("""COMPUTED_VALUE"""),1733.8335)</f>
        <v>1733.8335</v>
      </c>
    </row>
    <row r="2652">
      <c r="A2652" s="3">
        <f>IFERROR(__xludf.DUMMYFUNCTION("""COMPUTED_VALUE"""),43055.99861111111)</f>
        <v>43055.99861</v>
      </c>
      <c r="B2652" s="1">
        <f>IFERROR(__xludf.DUMMYFUNCTION("""COMPUTED_VALUE"""),1730.33256)</f>
        <v>1730.33256</v>
      </c>
    </row>
    <row r="2653">
      <c r="A2653" s="3">
        <f>IFERROR(__xludf.DUMMYFUNCTION("""COMPUTED_VALUE"""),43056.99861111111)</f>
        <v>43056.99861</v>
      </c>
      <c r="B2653" s="1">
        <f>IFERROR(__xludf.DUMMYFUNCTION("""COMPUTED_VALUE"""),1729.29416)</f>
        <v>1729.29416</v>
      </c>
    </row>
    <row r="2654">
      <c r="A2654" s="3">
        <f>IFERROR(__xludf.DUMMYFUNCTION("""COMPUTED_VALUE"""),43057.99861111111)</f>
        <v>43057.99861</v>
      </c>
      <c r="B2654" s="1">
        <f>IFERROR(__xludf.DUMMYFUNCTION("""COMPUTED_VALUE"""),1729.99955)</f>
        <v>1729.99955</v>
      </c>
    </row>
    <row r="2655">
      <c r="A2655" s="3">
        <f>IFERROR(__xludf.DUMMYFUNCTION("""COMPUTED_VALUE"""),43058.99861111111)</f>
        <v>43058.99861</v>
      </c>
      <c r="B2655" s="1">
        <f>IFERROR(__xludf.DUMMYFUNCTION("""COMPUTED_VALUE"""),1729.024)</f>
        <v>1729.024</v>
      </c>
    </row>
    <row r="2656">
      <c r="A2656" s="3">
        <f>IFERROR(__xludf.DUMMYFUNCTION("""COMPUTED_VALUE"""),43059.99861111111)</f>
        <v>43059.99861</v>
      </c>
      <c r="B2656" s="1">
        <f>IFERROR(__xludf.DUMMYFUNCTION("""COMPUTED_VALUE"""),1731.4705)</f>
        <v>1731.4705</v>
      </c>
    </row>
    <row r="2657">
      <c r="A2657" s="3">
        <f>IFERROR(__xludf.DUMMYFUNCTION("""COMPUTED_VALUE"""),43060.99861111111)</f>
        <v>43060.99861</v>
      </c>
      <c r="B2657" s="1">
        <f>IFERROR(__xludf.DUMMYFUNCTION("""COMPUTED_VALUE"""),1730.56719)</f>
        <v>1730.56719</v>
      </c>
    </row>
    <row r="2658">
      <c r="A2658" s="3">
        <f>IFERROR(__xludf.DUMMYFUNCTION("""COMPUTED_VALUE"""),43061.99861111111)</f>
        <v>43061.99861</v>
      </c>
      <c r="B2658" s="1">
        <f>IFERROR(__xludf.DUMMYFUNCTION("""COMPUTED_VALUE"""),1727.25273)</f>
        <v>1727.25273</v>
      </c>
    </row>
    <row r="2659">
      <c r="A2659" s="3">
        <f>IFERROR(__xludf.DUMMYFUNCTION("""COMPUTED_VALUE"""),43062.99861111111)</f>
        <v>43062.99861</v>
      </c>
      <c r="B2659" s="1">
        <f>IFERROR(__xludf.DUMMYFUNCTION("""COMPUTED_VALUE"""),1726.99667)</f>
        <v>1726.99667</v>
      </c>
    </row>
    <row r="2660">
      <c r="A2660" s="3">
        <f>IFERROR(__xludf.DUMMYFUNCTION("""COMPUTED_VALUE"""),43063.99861111111)</f>
        <v>43063.99861</v>
      </c>
      <c r="B2660" s="1">
        <f>IFERROR(__xludf.DUMMYFUNCTION("""COMPUTED_VALUE"""),1728.68886)</f>
        <v>1728.68886</v>
      </c>
    </row>
    <row r="2661">
      <c r="A2661" s="3">
        <f>IFERROR(__xludf.DUMMYFUNCTION("""COMPUTED_VALUE"""),43064.99861111111)</f>
        <v>43064.99861</v>
      </c>
      <c r="B2661" s="1">
        <f>IFERROR(__xludf.DUMMYFUNCTION("""COMPUTED_VALUE"""),1728.55388)</f>
        <v>1728.55388</v>
      </c>
    </row>
    <row r="2662">
      <c r="A2662" s="3">
        <f>IFERROR(__xludf.DUMMYFUNCTION("""COMPUTED_VALUE"""),43065.99861111111)</f>
        <v>43065.99861</v>
      </c>
      <c r="B2662" s="1">
        <f>IFERROR(__xludf.DUMMYFUNCTION("""COMPUTED_VALUE"""),1728.68886)</f>
        <v>1728.68886</v>
      </c>
    </row>
    <row r="2663">
      <c r="A2663" s="3">
        <f>IFERROR(__xludf.DUMMYFUNCTION("""COMPUTED_VALUE"""),43066.99861111111)</f>
        <v>43066.99861</v>
      </c>
      <c r="B2663" s="1">
        <f>IFERROR(__xludf.DUMMYFUNCTION("""COMPUTED_VALUE"""),1731.97509)</f>
        <v>1731.97509</v>
      </c>
    </row>
    <row r="2664">
      <c r="A2664" s="3">
        <f>IFERROR(__xludf.DUMMYFUNCTION("""COMPUTED_VALUE"""),43067.99861111111)</f>
        <v>43067.99861</v>
      </c>
      <c r="B2664" s="1">
        <f>IFERROR(__xludf.DUMMYFUNCTION("""COMPUTED_VALUE"""),1729.89)</f>
        <v>1729.89</v>
      </c>
    </row>
    <row r="2665">
      <c r="A2665" s="3">
        <f>IFERROR(__xludf.DUMMYFUNCTION("""COMPUTED_VALUE"""),43068.99861111111)</f>
        <v>43068.99861</v>
      </c>
      <c r="B2665" s="1">
        <f>IFERROR(__xludf.DUMMYFUNCTION("""COMPUTED_VALUE"""),1729.32224)</f>
        <v>1729.32224</v>
      </c>
    </row>
    <row r="2666">
      <c r="A2666" s="3">
        <f>IFERROR(__xludf.DUMMYFUNCTION("""COMPUTED_VALUE"""),43069.99861111111)</f>
        <v>43069.99861</v>
      </c>
      <c r="B2666" s="1">
        <f>IFERROR(__xludf.DUMMYFUNCTION("""COMPUTED_VALUE"""),1733.78964)</f>
        <v>1733.78964</v>
      </c>
    </row>
    <row r="2667">
      <c r="A2667" s="3">
        <f>IFERROR(__xludf.DUMMYFUNCTION("""COMPUTED_VALUE"""),43070.99861111111)</f>
        <v>43070.99861</v>
      </c>
      <c r="B2667" s="1">
        <f>IFERROR(__xludf.DUMMYFUNCTION("""COMPUTED_VALUE"""),1731.05748)</f>
        <v>1731.05748</v>
      </c>
    </row>
    <row r="2668">
      <c r="A2668" s="3">
        <f>IFERROR(__xludf.DUMMYFUNCTION("""COMPUTED_VALUE"""),43071.99861111111)</f>
        <v>43071.99861</v>
      </c>
      <c r="B2668" s="1">
        <f>IFERROR(__xludf.DUMMYFUNCTION("""COMPUTED_VALUE"""),1731.798484)</f>
        <v>1731.798484</v>
      </c>
    </row>
    <row r="2669">
      <c r="A2669" s="3">
        <f>IFERROR(__xludf.DUMMYFUNCTION("""COMPUTED_VALUE"""),43072.99861111111)</f>
        <v>43072.99861</v>
      </c>
      <c r="B2669" s="1">
        <f>IFERROR(__xludf.DUMMYFUNCTION("""COMPUTED_VALUE"""),1735.8156)</f>
        <v>1735.8156</v>
      </c>
    </row>
    <row r="2670">
      <c r="A2670" s="3">
        <f>IFERROR(__xludf.DUMMYFUNCTION("""COMPUTED_VALUE"""),43073.99861111111)</f>
        <v>43073.99861</v>
      </c>
      <c r="B2670" s="1">
        <f>IFERROR(__xludf.DUMMYFUNCTION("""COMPUTED_VALUE"""),1726.15248)</f>
        <v>1726.15248</v>
      </c>
    </row>
    <row r="2671">
      <c r="A2671" s="3">
        <f>IFERROR(__xludf.DUMMYFUNCTION("""COMPUTED_VALUE"""),43074.99861111111)</f>
        <v>43074.99861</v>
      </c>
      <c r="B2671" s="1">
        <f>IFERROR(__xludf.DUMMYFUNCTION("""COMPUTED_VALUE"""),1729.25861)</f>
        <v>1729.25861</v>
      </c>
    </row>
    <row r="2672">
      <c r="A2672" s="3">
        <f>IFERROR(__xludf.DUMMYFUNCTION("""COMPUTED_VALUE"""),43075.99861111111)</f>
        <v>43075.99861</v>
      </c>
      <c r="B2672" s="1">
        <f>IFERROR(__xludf.DUMMYFUNCTION("""COMPUTED_VALUE"""),1732.48734)</f>
        <v>1732.48734</v>
      </c>
    </row>
    <row r="2673">
      <c r="A2673" s="3">
        <f>IFERROR(__xludf.DUMMYFUNCTION("""COMPUTED_VALUE"""),43076.99861111111)</f>
        <v>43076.99861</v>
      </c>
      <c r="B2673" s="1">
        <f>IFERROR(__xludf.DUMMYFUNCTION("""COMPUTED_VALUE"""),1735.86824)</f>
        <v>1735.86824</v>
      </c>
    </row>
    <row r="2674">
      <c r="A2674" s="3">
        <f>IFERROR(__xludf.DUMMYFUNCTION("""COMPUTED_VALUE"""),43077.99861111111)</f>
        <v>43077.99861</v>
      </c>
      <c r="B2674" s="1">
        <f>IFERROR(__xludf.DUMMYFUNCTION("""COMPUTED_VALUE"""),1734.2178)</f>
        <v>1734.2178</v>
      </c>
    </row>
    <row r="2675">
      <c r="A2675" s="3">
        <f>IFERROR(__xludf.DUMMYFUNCTION("""COMPUTED_VALUE"""),43078.99861111111)</f>
        <v>43078.99861</v>
      </c>
      <c r="B2675" s="1">
        <f>IFERROR(__xludf.DUMMYFUNCTION("""COMPUTED_VALUE"""),1734.48856)</f>
        <v>1734.48856</v>
      </c>
    </row>
    <row r="2676">
      <c r="A2676" s="3">
        <f>IFERROR(__xludf.DUMMYFUNCTION("""COMPUTED_VALUE"""),43079.99861111111)</f>
        <v>43079.99861</v>
      </c>
      <c r="B2676" s="1">
        <f>IFERROR(__xludf.DUMMYFUNCTION("""COMPUTED_VALUE"""),1729.97656)</f>
        <v>1729.97656</v>
      </c>
    </row>
    <row r="2677">
      <c r="A2677" s="3">
        <f>IFERROR(__xludf.DUMMYFUNCTION("""COMPUTED_VALUE"""),43080.99861111111)</f>
        <v>43080.99861</v>
      </c>
      <c r="B2677" s="1">
        <f>IFERROR(__xludf.DUMMYFUNCTION("""COMPUTED_VALUE"""),1735.87568)</f>
        <v>1735.87568</v>
      </c>
    </row>
    <row r="2678">
      <c r="A2678" s="3">
        <f>IFERROR(__xludf.DUMMYFUNCTION("""COMPUTED_VALUE"""),43081.99861111111)</f>
        <v>43081.99861</v>
      </c>
      <c r="B2678" s="1">
        <f>IFERROR(__xludf.DUMMYFUNCTION("""COMPUTED_VALUE"""),1735.74759)</f>
        <v>1735.74759</v>
      </c>
    </row>
    <row r="2679">
      <c r="A2679" s="3">
        <f>IFERROR(__xludf.DUMMYFUNCTION("""COMPUTED_VALUE"""),43082.99861111111)</f>
        <v>43082.99861</v>
      </c>
      <c r="B2679" s="1">
        <f>IFERROR(__xludf.DUMMYFUNCTION("""COMPUTED_VALUE"""),1734.7448)</f>
        <v>1734.7448</v>
      </c>
    </row>
    <row r="2680">
      <c r="A2680" s="3">
        <f>IFERROR(__xludf.DUMMYFUNCTION("""COMPUTED_VALUE"""),43083.99861111111)</f>
        <v>43083.99861</v>
      </c>
      <c r="B2680" s="1">
        <f>IFERROR(__xludf.DUMMYFUNCTION("""COMPUTED_VALUE"""),1735.5897)</f>
        <v>1735.5897</v>
      </c>
    </row>
    <row r="2681">
      <c r="A2681" s="3">
        <f>IFERROR(__xludf.DUMMYFUNCTION("""COMPUTED_VALUE"""),43084.99861111111)</f>
        <v>43084.99861</v>
      </c>
      <c r="B2681" s="1">
        <f>IFERROR(__xludf.DUMMYFUNCTION("""COMPUTED_VALUE"""),1736.83968)</f>
        <v>1736.83968</v>
      </c>
    </row>
    <row r="2682">
      <c r="A2682" s="3">
        <f>IFERROR(__xludf.DUMMYFUNCTION("""COMPUTED_VALUE"""),43086.99861111111)</f>
        <v>43086.99861</v>
      </c>
      <c r="B2682" s="1">
        <f>IFERROR(__xludf.DUMMYFUNCTION("""COMPUTED_VALUE"""),1736.83968)</f>
        <v>1736.83968</v>
      </c>
    </row>
    <row r="2683">
      <c r="A2683" s="3">
        <f>IFERROR(__xludf.DUMMYFUNCTION("""COMPUTED_VALUE"""),43087.99861111111)</f>
        <v>43087.99861</v>
      </c>
      <c r="B2683" s="1">
        <f>IFERROR(__xludf.DUMMYFUNCTION("""COMPUTED_VALUE"""),1737.561)</f>
        <v>1737.561</v>
      </c>
    </row>
    <row r="2684">
      <c r="A2684" s="3">
        <f>IFERROR(__xludf.DUMMYFUNCTION("""COMPUTED_VALUE"""),43088.99861111111)</f>
        <v>43088.99861</v>
      </c>
      <c r="B2684" s="1">
        <f>IFERROR(__xludf.DUMMYFUNCTION("""COMPUTED_VALUE"""),1736.10675)</f>
        <v>1736.10675</v>
      </c>
    </row>
    <row r="2685">
      <c r="A2685" s="3">
        <f>IFERROR(__xludf.DUMMYFUNCTION("""COMPUTED_VALUE"""),43089.99861111111)</f>
        <v>43089.99861</v>
      </c>
      <c r="B2685" s="1">
        <f>IFERROR(__xludf.DUMMYFUNCTION("""COMPUTED_VALUE"""),1735.17232)</f>
        <v>1735.17232</v>
      </c>
    </row>
    <row r="2686">
      <c r="A2686" s="3">
        <f>IFERROR(__xludf.DUMMYFUNCTION("""COMPUTED_VALUE"""),43090.99861111111)</f>
        <v>43090.99861</v>
      </c>
      <c r="B2686" s="1">
        <f>IFERROR(__xludf.DUMMYFUNCTION("""COMPUTED_VALUE"""),1734.44418)</f>
        <v>1734.44418</v>
      </c>
    </row>
    <row r="2687">
      <c r="A2687" s="3">
        <f>IFERROR(__xludf.DUMMYFUNCTION("""COMPUTED_VALUE"""),43091.99861111111)</f>
        <v>43091.99861</v>
      </c>
      <c r="B2687" s="1">
        <f>IFERROR(__xludf.DUMMYFUNCTION("""COMPUTED_VALUE"""),1732.6613)</f>
        <v>1732.6613</v>
      </c>
    </row>
    <row r="2688">
      <c r="A2688" s="3">
        <f>IFERROR(__xludf.DUMMYFUNCTION("""COMPUTED_VALUE"""),43092.99861111111)</f>
        <v>43092.99861</v>
      </c>
      <c r="B2688" s="1">
        <f>IFERROR(__xludf.DUMMYFUNCTION("""COMPUTED_VALUE"""),1733.33865)</f>
        <v>1733.33865</v>
      </c>
    </row>
    <row r="2689">
      <c r="A2689" s="3">
        <f>IFERROR(__xludf.DUMMYFUNCTION("""COMPUTED_VALUE"""),43093.99861111111)</f>
        <v>43093.99861</v>
      </c>
      <c r="B2689" s="1">
        <f>IFERROR(__xludf.DUMMYFUNCTION("""COMPUTED_VALUE"""),1733.44392)</f>
        <v>1733.44392</v>
      </c>
    </row>
    <row r="2690">
      <c r="A2690" s="3">
        <f>IFERROR(__xludf.DUMMYFUNCTION("""COMPUTED_VALUE"""),43094.99861111111)</f>
        <v>43094.99861</v>
      </c>
      <c r="B2690" s="1">
        <f>IFERROR(__xludf.DUMMYFUNCTION("""COMPUTED_VALUE"""),1730.20152)</f>
        <v>1730.20152</v>
      </c>
    </row>
    <row r="2691">
      <c r="A2691" s="3">
        <f>IFERROR(__xludf.DUMMYFUNCTION("""COMPUTED_VALUE"""),43095.99861111111)</f>
        <v>43095.99861</v>
      </c>
      <c r="B2691" s="1">
        <f>IFERROR(__xludf.DUMMYFUNCTION("""COMPUTED_VALUE"""),1734.92704)</f>
        <v>1734.92704</v>
      </c>
    </row>
    <row r="2692">
      <c r="A2692" s="3">
        <f>IFERROR(__xludf.DUMMYFUNCTION("""COMPUTED_VALUE"""),43096.99861111111)</f>
        <v>43096.99861</v>
      </c>
      <c r="B2692" s="1">
        <f>IFERROR(__xludf.DUMMYFUNCTION("""COMPUTED_VALUE"""),1735.55958)</f>
        <v>1735.55958</v>
      </c>
    </row>
    <row r="2693">
      <c r="A2693" s="3">
        <f>IFERROR(__xludf.DUMMYFUNCTION("""COMPUTED_VALUE"""),43097.99861111111)</f>
        <v>43097.99861</v>
      </c>
      <c r="B2693" s="1">
        <f>IFERROR(__xludf.DUMMYFUNCTION("""COMPUTED_VALUE"""),1734.33936)</f>
        <v>1734.33936</v>
      </c>
    </row>
    <row r="2694">
      <c r="A2694" s="3">
        <f>IFERROR(__xludf.DUMMYFUNCTION("""COMPUTED_VALUE"""),43098.99861111111)</f>
        <v>43098.99861</v>
      </c>
      <c r="B2694" s="1">
        <f>IFERROR(__xludf.DUMMYFUNCTION("""COMPUTED_VALUE"""),1727.73)</f>
        <v>1727.73</v>
      </c>
    </row>
    <row r="2695">
      <c r="A2695" s="3">
        <f>IFERROR(__xludf.DUMMYFUNCTION("""COMPUTED_VALUE"""),43099.99861111111)</f>
        <v>43099.99861</v>
      </c>
      <c r="B2695" s="1">
        <f>IFERROR(__xludf.DUMMYFUNCTION("""COMPUTED_VALUE"""),1724.92123)</f>
        <v>1724.92123</v>
      </c>
    </row>
    <row r="2696">
      <c r="A2696" s="3">
        <f>IFERROR(__xludf.DUMMYFUNCTION("""COMPUTED_VALUE"""),43100.99861111111)</f>
        <v>43100.99861</v>
      </c>
      <c r="B2696" s="1">
        <f>IFERROR(__xludf.DUMMYFUNCTION("""COMPUTED_VALUE"""),1732.96974)</f>
        <v>1732.96974</v>
      </c>
    </row>
    <row r="2697">
      <c r="A2697" s="3">
        <f>IFERROR(__xludf.DUMMYFUNCTION("""COMPUTED_VALUE"""),43101.99861111111)</f>
        <v>43101.99861</v>
      </c>
      <c r="B2697" s="1">
        <f>IFERROR(__xludf.DUMMYFUNCTION("""COMPUTED_VALUE"""),1733.9935)</f>
        <v>1733.9935</v>
      </c>
    </row>
    <row r="2698">
      <c r="A2698" s="3">
        <f>IFERROR(__xludf.DUMMYFUNCTION("""COMPUTED_VALUE"""),43102.99861111111)</f>
        <v>43102.99861</v>
      </c>
      <c r="B2698" s="1">
        <f>IFERROR(__xludf.DUMMYFUNCTION("""COMPUTED_VALUE"""),1726.54328)</f>
        <v>1726.54328</v>
      </c>
    </row>
    <row r="2699">
      <c r="A2699" s="3">
        <f>IFERROR(__xludf.DUMMYFUNCTION("""COMPUTED_VALUE"""),43103.99861111111)</f>
        <v>43103.99861</v>
      </c>
      <c r="B2699" s="1">
        <f>IFERROR(__xludf.DUMMYFUNCTION("""COMPUTED_VALUE"""),1722.82656)</f>
        <v>1722.82656</v>
      </c>
    </row>
    <row r="2700">
      <c r="A2700" s="3">
        <f>IFERROR(__xludf.DUMMYFUNCTION("""COMPUTED_VALUE"""),43104.99861111111)</f>
        <v>43104.99861</v>
      </c>
      <c r="B2700" s="1">
        <f>IFERROR(__xludf.DUMMYFUNCTION("""COMPUTED_VALUE"""),1715.91265)</f>
        <v>1715.91265</v>
      </c>
    </row>
    <row r="2701">
      <c r="A2701" s="3">
        <f>IFERROR(__xludf.DUMMYFUNCTION("""COMPUTED_VALUE"""),43105.99861111111)</f>
        <v>43105.99861</v>
      </c>
      <c r="B2701" s="1">
        <f>IFERROR(__xludf.DUMMYFUNCTION("""COMPUTED_VALUE"""),1714.99868)</f>
        <v>1714.99868</v>
      </c>
    </row>
    <row r="2702">
      <c r="A2702" s="3">
        <f>IFERROR(__xludf.DUMMYFUNCTION("""COMPUTED_VALUE"""),43106.99861111111)</f>
        <v>43106.99861</v>
      </c>
      <c r="B2702" s="1">
        <f>IFERROR(__xludf.DUMMYFUNCTION("""COMPUTED_VALUE"""),1716.910955)</f>
        <v>1716.910955</v>
      </c>
    </row>
    <row r="2703">
      <c r="A2703" s="3">
        <f>IFERROR(__xludf.DUMMYFUNCTION("""COMPUTED_VALUE"""),43107.99861111111)</f>
        <v>43107.99861</v>
      </c>
      <c r="B2703" s="1">
        <f>IFERROR(__xludf.DUMMYFUNCTION("""COMPUTED_VALUE"""),1717.04476)</f>
        <v>1717.04476</v>
      </c>
    </row>
    <row r="2704">
      <c r="A2704" s="3">
        <f>IFERROR(__xludf.DUMMYFUNCTION("""COMPUTED_VALUE"""),43108.99861111111)</f>
        <v>43108.99861</v>
      </c>
      <c r="B2704" s="1">
        <f>IFERROR(__xludf.DUMMYFUNCTION("""COMPUTED_VALUE"""),1716.50768)</f>
        <v>1716.50768</v>
      </c>
    </row>
    <row r="2705">
      <c r="A2705" s="3">
        <f>IFERROR(__xludf.DUMMYFUNCTION("""COMPUTED_VALUE"""),43109.99861111111)</f>
        <v>43109.99861</v>
      </c>
      <c r="B2705" s="1">
        <f>IFERROR(__xludf.DUMMYFUNCTION("""COMPUTED_VALUE"""),1716.8912)</f>
        <v>1716.8912</v>
      </c>
    </row>
    <row r="2706">
      <c r="A2706" s="3">
        <f>IFERROR(__xludf.DUMMYFUNCTION("""COMPUTED_VALUE"""),43110.99861111111)</f>
        <v>43110.99861</v>
      </c>
      <c r="B2706" s="1">
        <f>IFERROR(__xludf.DUMMYFUNCTION("""COMPUTED_VALUE"""),1718.16303)</f>
        <v>1718.16303</v>
      </c>
    </row>
    <row r="2707">
      <c r="A2707" s="3">
        <f>IFERROR(__xludf.DUMMYFUNCTION("""COMPUTED_VALUE"""),43111.99861111111)</f>
        <v>43111.99861</v>
      </c>
      <c r="B2707" s="1">
        <f>IFERROR(__xludf.DUMMYFUNCTION("""COMPUTED_VALUE"""),1711.89326)</f>
        <v>1711.89326</v>
      </c>
    </row>
    <row r="2708">
      <c r="A2708" s="3">
        <f>IFERROR(__xludf.DUMMYFUNCTION("""COMPUTED_VALUE"""),43112.99861111111)</f>
        <v>43112.99861</v>
      </c>
      <c r="B2708" s="1">
        <f>IFERROR(__xludf.DUMMYFUNCTION("""COMPUTED_VALUE"""),1702.5624)</f>
        <v>1702.5624</v>
      </c>
    </row>
    <row r="2709">
      <c r="A2709" s="3">
        <f>IFERROR(__xludf.DUMMYFUNCTION("""COMPUTED_VALUE"""),43113.99861111111)</f>
        <v>43113.99861</v>
      </c>
      <c r="B2709" s="1">
        <f>IFERROR(__xludf.DUMMYFUNCTION("""COMPUTED_VALUE"""),1699.49985)</f>
        <v>1699.49985</v>
      </c>
    </row>
    <row r="2710">
      <c r="A2710" s="3">
        <f>IFERROR(__xludf.DUMMYFUNCTION("""COMPUTED_VALUE"""),43114.99861111111)</f>
        <v>43114.99861</v>
      </c>
      <c r="B2710" s="1">
        <f>IFERROR(__xludf.DUMMYFUNCTION("""COMPUTED_VALUE"""),1699.49985)</f>
        <v>1699.49985</v>
      </c>
    </row>
    <row r="2711">
      <c r="A2711" s="3">
        <f>IFERROR(__xludf.DUMMYFUNCTION("""COMPUTED_VALUE"""),43115.99861111111)</f>
        <v>43115.99861</v>
      </c>
      <c r="B2711" s="1">
        <f>IFERROR(__xludf.DUMMYFUNCTION("""COMPUTED_VALUE"""),1700.51205)</f>
        <v>1700.51205</v>
      </c>
    </row>
    <row r="2712">
      <c r="A2712" s="3">
        <f>IFERROR(__xludf.DUMMYFUNCTION("""COMPUTED_VALUE"""),43116.99861111111)</f>
        <v>43116.99861</v>
      </c>
      <c r="B2712" s="1">
        <f>IFERROR(__xludf.DUMMYFUNCTION("""COMPUTED_VALUE"""),1700.63986)</f>
        <v>1700.63986</v>
      </c>
    </row>
    <row r="2713">
      <c r="A2713" s="3">
        <f>IFERROR(__xludf.DUMMYFUNCTION("""COMPUTED_VALUE"""),43117.99861111111)</f>
        <v>43117.99861</v>
      </c>
      <c r="B2713" s="1">
        <f>IFERROR(__xludf.DUMMYFUNCTION("""COMPUTED_VALUE"""),1705.80776)</f>
        <v>1705.80776</v>
      </c>
    </row>
    <row r="2714">
      <c r="A2714" s="3">
        <f>IFERROR(__xludf.DUMMYFUNCTION("""COMPUTED_VALUE"""),43118.99861111111)</f>
        <v>43118.99861</v>
      </c>
      <c r="B2714" s="1">
        <f>IFERROR(__xludf.DUMMYFUNCTION("""COMPUTED_VALUE"""),1705.55194)</f>
        <v>1705.55194</v>
      </c>
    </row>
    <row r="2715">
      <c r="A2715" s="3">
        <f>IFERROR(__xludf.DUMMYFUNCTION("""COMPUTED_VALUE"""),43119.99861111111)</f>
        <v>43119.99861</v>
      </c>
      <c r="B2715" s="1">
        <f>IFERROR(__xludf.DUMMYFUNCTION("""COMPUTED_VALUE"""),1703.2548)</f>
        <v>1703.2548</v>
      </c>
    </row>
    <row r="2716">
      <c r="A2716" s="3">
        <f>IFERROR(__xludf.DUMMYFUNCTION("""COMPUTED_VALUE"""),43120.99861111111)</f>
        <v>43120.99861</v>
      </c>
      <c r="B2716" s="1">
        <f>IFERROR(__xludf.DUMMYFUNCTION("""COMPUTED_VALUE"""),1705.599573)</f>
        <v>1705.599573</v>
      </c>
    </row>
    <row r="2717">
      <c r="A2717" s="3">
        <f>IFERROR(__xludf.DUMMYFUNCTION("""COMPUTED_VALUE"""),43121.99861111111)</f>
        <v>43121.99861</v>
      </c>
      <c r="B2717" s="1">
        <f>IFERROR(__xludf.DUMMYFUNCTION("""COMPUTED_VALUE"""),1704.66725)</f>
        <v>1704.66725</v>
      </c>
    </row>
    <row r="2718">
      <c r="A2718" s="3">
        <f>IFERROR(__xludf.DUMMYFUNCTION("""COMPUTED_VALUE"""),43122.99861111111)</f>
        <v>43122.99861</v>
      </c>
      <c r="B2718" s="1">
        <f>IFERROR(__xludf.DUMMYFUNCTION("""COMPUTED_VALUE"""),1706.4418)</f>
        <v>1706.4418</v>
      </c>
    </row>
    <row r="2719">
      <c r="A2719" s="3">
        <f>IFERROR(__xludf.DUMMYFUNCTION("""COMPUTED_VALUE"""),43123.99861111111)</f>
        <v>43123.99861</v>
      </c>
      <c r="B2719" s="1">
        <f>IFERROR(__xludf.DUMMYFUNCTION("""COMPUTED_VALUE"""),1705.54104)</f>
        <v>1705.54104</v>
      </c>
    </row>
    <row r="2720">
      <c r="A2720" s="3">
        <f>IFERROR(__xludf.DUMMYFUNCTION("""COMPUTED_VALUE"""),43124.99861111111)</f>
        <v>43124.99861</v>
      </c>
      <c r="B2720" s="1">
        <f>IFERROR(__xludf.DUMMYFUNCTION("""COMPUTED_VALUE"""),1700.94718)</f>
        <v>1700.94718</v>
      </c>
    </row>
    <row r="2721">
      <c r="A2721" s="3">
        <f>IFERROR(__xludf.DUMMYFUNCTION("""COMPUTED_VALUE"""),43125.99861111111)</f>
        <v>43125.99861</v>
      </c>
      <c r="B2721" s="1">
        <f>IFERROR(__xludf.DUMMYFUNCTION("""COMPUTED_VALUE"""),1701.07509)</f>
        <v>1701.07509</v>
      </c>
    </row>
    <row r="2722">
      <c r="A2722" s="3">
        <f>IFERROR(__xludf.DUMMYFUNCTION("""COMPUTED_VALUE"""),43126.99861111111)</f>
        <v>43126.99861</v>
      </c>
      <c r="B2722" s="1">
        <f>IFERROR(__xludf.DUMMYFUNCTION("""COMPUTED_VALUE"""),1701.46392)</f>
        <v>1701.46392</v>
      </c>
    </row>
    <row r="2723">
      <c r="A2723" s="3">
        <f>IFERROR(__xludf.DUMMYFUNCTION("""COMPUTED_VALUE"""),43128.99861111111)</f>
        <v>43128.99861</v>
      </c>
      <c r="B2723" s="1">
        <f>IFERROR(__xludf.DUMMYFUNCTION("""COMPUTED_VALUE"""),1700.69136)</f>
        <v>1700.69136</v>
      </c>
    </row>
    <row r="2724">
      <c r="A2724" s="3">
        <f>IFERROR(__xludf.DUMMYFUNCTION("""COMPUTED_VALUE"""),43129.99861111111)</f>
        <v>43129.99861</v>
      </c>
      <c r="B2724" s="1">
        <f>IFERROR(__xludf.DUMMYFUNCTION("""COMPUTED_VALUE"""),1709.77297)</f>
        <v>1709.77297</v>
      </c>
    </row>
    <row r="2725">
      <c r="A2725" s="3">
        <f>IFERROR(__xludf.DUMMYFUNCTION("""COMPUTED_VALUE"""),43130.99861111111)</f>
        <v>43130.99861</v>
      </c>
      <c r="B2725" s="1">
        <f>IFERROR(__xludf.DUMMYFUNCTION("""COMPUTED_VALUE"""),1716.00906)</f>
        <v>1716.00906</v>
      </c>
    </row>
    <row r="2726">
      <c r="A2726" s="3">
        <f>IFERROR(__xludf.DUMMYFUNCTION("""COMPUTED_VALUE"""),43131.99861111111)</f>
        <v>43131.99861</v>
      </c>
      <c r="B2726" s="1">
        <f>IFERROR(__xludf.DUMMYFUNCTION("""COMPUTED_VALUE"""),1711.01655)</f>
        <v>1711.01655</v>
      </c>
    </row>
    <row r="2727">
      <c r="A2727" s="3">
        <f>IFERROR(__xludf.DUMMYFUNCTION("""COMPUTED_VALUE"""),43132.99861111111)</f>
        <v>43132.99861</v>
      </c>
      <c r="B2727" s="1">
        <f>IFERROR(__xludf.DUMMYFUNCTION("""COMPUTED_VALUE"""),1711.66782)</f>
        <v>1711.66782</v>
      </c>
    </row>
    <row r="2728">
      <c r="A2728" s="3">
        <f>IFERROR(__xludf.DUMMYFUNCTION("""COMPUTED_VALUE"""),43133.99861111111)</f>
        <v>43133.99861</v>
      </c>
      <c r="B2728" s="1">
        <f>IFERROR(__xludf.DUMMYFUNCTION("""COMPUTED_VALUE"""),1714.59635)</f>
        <v>1714.59635</v>
      </c>
    </row>
    <row r="2729">
      <c r="A2729" s="3">
        <f>IFERROR(__xludf.DUMMYFUNCTION("""COMPUTED_VALUE"""),43134.99861111111)</f>
        <v>43134.99861</v>
      </c>
      <c r="B2729" s="1">
        <f>IFERROR(__xludf.DUMMYFUNCTION("""COMPUTED_VALUE"""),1714.59635)</f>
        <v>1714.59635</v>
      </c>
    </row>
    <row r="2730">
      <c r="A2730" s="3">
        <f>IFERROR(__xludf.DUMMYFUNCTION("""COMPUTED_VALUE"""),43135.99861111111)</f>
        <v>43135.99861</v>
      </c>
      <c r="B2730" s="1">
        <f>IFERROR(__xludf.DUMMYFUNCTION("""COMPUTED_VALUE"""),1714.73046)</f>
        <v>1714.73046</v>
      </c>
    </row>
    <row r="2731">
      <c r="A2731" s="3">
        <f>IFERROR(__xludf.DUMMYFUNCTION("""COMPUTED_VALUE"""),43136.99861111111)</f>
        <v>43136.99861</v>
      </c>
      <c r="B2731" s="1">
        <f>IFERROR(__xludf.DUMMYFUNCTION("""COMPUTED_VALUE"""),1734.56432)</f>
        <v>1734.56432</v>
      </c>
    </row>
    <row r="2732">
      <c r="A2732" s="3">
        <f>IFERROR(__xludf.DUMMYFUNCTION("""COMPUTED_VALUE"""),43137.99861111111)</f>
        <v>43137.99861</v>
      </c>
      <c r="B2732" s="1">
        <f>IFERROR(__xludf.DUMMYFUNCTION("""COMPUTED_VALUE"""),1732.2776)</f>
        <v>1732.2776</v>
      </c>
    </row>
    <row r="2733">
      <c r="A2733" s="3">
        <f>IFERROR(__xludf.DUMMYFUNCTION("""COMPUTED_VALUE"""),43138.99861111111)</f>
        <v>43138.99861</v>
      </c>
      <c r="B2733" s="1">
        <f>IFERROR(__xludf.DUMMYFUNCTION("""COMPUTED_VALUE"""),1744.6839)</f>
        <v>1744.6839</v>
      </c>
    </row>
    <row r="2734">
      <c r="A2734" s="3">
        <f>IFERROR(__xludf.DUMMYFUNCTION("""COMPUTED_VALUE"""),43139.99861111111)</f>
        <v>43139.99861</v>
      </c>
      <c r="B2734" s="1">
        <f>IFERROR(__xludf.DUMMYFUNCTION("""COMPUTED_VALUE"""),1738.77626)</f>
        <v>1738.77626</v>
      </c>
    </row>
    <row r="2735">
      <c r="A2735" s="3">
        <f>IFERROR(__xludf.DUMMYFUNCTION("""COMPUTED_VALUE"""),43140.99861111111)</f>
        <v>43140.99861</v>
      </c>
      <c r="B2735" s="1">
        <f>IFERROR(__xludf.DUMMYFUNCTION("""COMPUTED_VALUE"""),1740.47952)</f>
        <v>1740.47952</v>
      </c>
    </row>
    <row r="2736">
      <c r="A2736" s="3">
        <f>IFERROR(__xludf.DUMMYFUNCTION("""COMPUTED_VALUE"""),43141.99861111111)</f>
        <v>43141.99861</v>
      </c>
      <c r="B2736" s="1">
        <f>IFERROR(__xludf.DUMMYFUNCTION("""COMPUTED_VALUE"""),1740.47952)</f>
        <v>1740.47952</v>
      </c>
    </row>
    <row r="2737">
      <c r="A2737" s="3">
        <f>IFERROR(__xludf.DUMMYFUNCTION("""COMPUTED_VALUE"""),43142.99861111111)</f>
        <v>43142.99861</v>
      </c>
      <c r="B2737" s="1">
        <f>IFERROR(__xludf.DUMMYFUNCTION("""COMPUTED_VALUE"""),1740.719)</f>
        <v>1740.719</v>
      </c>
    </row>
    <row r="2738">
      <c r="A2738" s="3">
        <f>IFERROR(__xludf.DUMMYFUNCTION("""COMPUTED_VALUE"""),43143.99861111111)</f>
        <v>43143.99861</v>
      </c>
      <c r="B2738" s="1">
        <f>IFERROR(__xludf.DUMMYFUNCTION("""COMPUTED_VALUE"""),1744.66684)</f>
        <v>1744.66684</v>
      </c>
    </row>
    <row r="2739">
      <c r="A2739" s="3">
        <f>IFERROR(__xludf.DUMMYFUNCTION("""COMPUTED_VALUE"""),43144.99861111111)</f>
        <v>43144.99861</v>
      </c>
      <c r="B2739" s="1">
        <f>IFERROR(__xludf.DUMMYFUNCTION("""COMPUTED_VALUE"""),1743.874)</f>
        <v>1743.874</v>
      </c>
    </row>
    <row r="2740">
      <c r="A2740" s="3">
        <f>IFERROR(__xludf.DUMMYFUNCTION("""COMPUTED_VALUE"""),43145.99861111111)</f>
        <v>43145.99861</v>
      </c>
      <c r="B2740" s="1">
        <f>IFERROR(__xludf.DUMMYFUNCTION("""COMPUTED_VALUE"""),1741.43648)</f>
        <v>1741.43648</v>
      </c>
    </row>
    <row r="2741">
      <c r="A2741" s="3">
        <f>IFERROR(__xludf.DUMMYFUNCTION("""COMPUTED_VALUE"""),43146.99861111111)</f>
        <v>43146.99861</v>
      </c>
      <c r="B2741" s="1">
        <f>IFERROR(__xludf.DUMMYFUNCTION("""COMPUTED_VALUE"""),1732.89424)</f>
        <v>1732.89424</v>
      </c>
    </row>
    <row r="2742">
      <c r="A2742" s="3">
        <f>IFERROR(__xludf.DUMMYFUNCTION("""COMPUTED_VALUE"""),43147.99861111111)</f>
        <v>43147.99861</v>
      </c>
      <c r="B2742" s="1">
        <f>IFERROR(__xludf.DUMMYFUNCTION("""COMPUTED_VALUE"""),1732.48768)</f>
        <v>1732.48768</v>
      </c>
    </row>
    <row r="2743">
      <c r="A2743" s="3">
        <f>IFERROR(__xludf.DUMMYFUNCTION("""COMPUTED_VALUE"""),43148.99861111111)</f>
        <v>43148.99861</v>
      </c>
      <c r="B2743" s="1">
        <f>IFERROR(__xludf.DUMMYFUNCTION("""COMPUTED_VALUE"""),1732.35216)</f>
        <v>1732.35216</v>
      </c>
    </row>
    <row r="2744">
      <c r="A2744" s="3">
        <f>IFERROR(__xludf.DUMMYFUNCTION("""COMPUTED_VALUE"""),43149.99861111111)</f>
        <v>43149.99861</v>
      </c>
      <c r="B2744" s="1">
        <f>IFERROR(__xludf.DUMMYFUNCTION("""COMPUTED_VALUE"""),1732.48768)</f>
        <v>1732.48768</v>
      </c>
    </row>
    <row r="2745">
      <c r="A2745" s="3">
        <f>IFERROR(__xludf.DUMMYFUNCTION("""COMPUTED_VALUE"""),43150.99861111111)</f>
        <v>43150.99861</v>
      </c>
      <c r="B2745" s="1">
        <f>IFERROR(__xludf.DUMMYFUNCTION("""COMPUTED_VALUE"""),1732.74336)</f>
        <v>1732.74336</v>
      </c>
    </row>
    <row r="2746">
      <c r="A2746" s="3">
        <f>IFERROR(__xludf.DUMMYFUNCTION("""COMPUTED_VALUE"""),43151.99861111111)</f>
        <v>43151.99861</v>
      </c>
      <c r="B2746" s="1">
        <f>IFERROR(__xludf.DUMMYFUNCTION("""COMPUTED_VALUE"""),1739.1024)</f>
        <v>1739.1024</v>
      </c>
    </row>
    <row r="2747">
      <c r="A2747" s="3">
        <f>IFERROR(__xludf.DUMMYFUNCTION("""COMPUTED_VALUE"""),43152.99861111111)</f>
        <v>43152.99861</v>
      </c>
      <c r="B2747" s="1">
        <f>IFERROR(__xludf.DUMMYFUNCTION("""COMPUTED_VALUE"""),1739.47748)</f>
        <v>1739.47748</v>
      </c>
    </row>
    <row r="2748">
      <c r="A2748" s="3">
        <f>IFERROR(__xludf.DUMMYFUNCTION("""COMPUTED_VALUE"""),43153.99861111111)</f>
        <v>43153.99861</v>
      </c>
      <c r="B2748" s="1">
        <f>IFERROR(__xludf.DUMMYFUNCTION("""COMPUTED_VALUE"""),1747.7928)</f>
        <v>1747.7928</v>
      </c>
    </row>
    <row r="2749">
      <c r="A2749" s="3">
        <f>IFERROR(__xludf.DUMMYFUNCTION("""COMPUTED_VALUE"""),43154.99861111111)</f>
        <v>43154.99861</v>
      </c>
      <c r="B2749" s="1">
        <f>IFERROR(__xludf.DUMMYFUNCTION("""COMPUTED_VALUE"""),1744.86212)</f>
        <v>1744.86212</v>
      </c>
    </row>
    <row r="2750">
      <c r="A2750" s="3">
        <f>IFERROR(__xludf.DUMMYFUNCTION("""COMPUTED_VALUE"""),43155.99861111111)</f>
        <v>43155.99861</v>
      </c>
      <c r="B2750" s="1">
        <f>IFERROR(__xludf.DUMMYFUNCTION("""COMPUTED_VALUE"""),1744.7256)</f>
        <v>1744.7256</v>
      </c>
    </row>
    <row r="2751">
      <c r="A2751" s="3">
        <f>IFERROR(__xludf.DUMMYFUNCTION("""COMPUTED_VALUE"""),43156.99861111111)</f>
        <v>43156.99861</v>
      </c>
      <c r="B2751" s="1">
        <f>IFERROR(__xludf.DUMMYFUNCTION("""COMPUTED_VALUE"""),1746.037972)</f>
        <v>1746.037972</v>
      </c>
    </row>
    <row r="2752">
      <c r="A2752" s="3">
        <f>IFERROR(__xludf.DUMMYFUNCTION("""COMPUTED_VALUE"""),43157.99861111111)</f>
        <v>43157.99861</v>
      </c>
      <c r="B2752" s="1">
        <f>IFERROR(__xludf.DUMMYFUNCTION("""COMPUTED_VALUE"""),1744.87082)</f>
        <v>1744.87082</v>
      </c>
    </row>
    <row r="2753">
      <c r="A2753" s="3">
        <f>IFERROR(__xludf.DUMMYFUNCTION("""COMPUTED_VALUE"""),43158.99861111111)</f>
        <v>43158.99861</v>
      </c>
      <c r="B2753" s="1">
        <f>IFERROR(__xludf.DUMMYFUNCTION("""COMPUTED_VALUE"""),1749.4085)</f>
        <v>1749.4085</v>
      </c>
    </row>
    <row r="2754">
      <c r="A2754" s="3">
        <f>IFERROR(__xludf.DUMMYFUNCTION("""COMPUTED_VALUE"""),43159.99861111111)</f>
        <v>43159.99861</v>
      </c>
      <c r="B2754" s="1">
        <f>IFERROR(__xludf.DUMMYFUNCTION("""COMPUTED_VALUE"""),1757.60412)</f>
        <v>1757.60412</v>
      </c>
    </row>
    <row r="2755">
      <c r="A2755" s="3">
        <f>IFERROR(__xludf.DUMMYFUNCTION("""COMPUTED_VALUE"""),43160.99861111111)</f>
        <v>43160.99861</v>
      </c>
      <c r="B2755" s="1">
        <f>IFERROR(__xludf.DUMMYFUNCTION("""COMPUTED_VALUE"""),1755.41275)</f>
        <v>1755.41275</v>
      </c>
    </row>
    <row r="2756">
      <c r="A2756" s="3">
        <f>IFERROR(__xludf.DUMMYFUNCTION("""COMPUTED_VALUE"""),43161.99861111111)</f>
        <v>43161.99861</v>
      </c>
      <c r="B2756" s="1">
        <f>IFERROR(__xludf.DUMMYFUNCTION("""COMPUTED_VALUE"""),1756.0027)</f>
        <v>1756.0027</v>
      </c>
    </row>
    <row r="2757">
      <c r="A2757" s="3">
        <f>IFERROR(__xludf.DUMMYFUNCTION("""COMPUTED_VALUE"""),43162.99861111111)</f>
        <v>43162.99861</v>
      </c>
      <c r="B2757" s="1">
        <f>IFERROR(__xludf.DUMMYFUNCTION("""COMPUTED_VALUE"""),1756.0027)</f>
        <v>1756.0027</v>
      </c>
    </row>
    <row r="2758">
      <c r="A2758" s="3">
        <f>IFERROR(__xludf.DUMMYFUNCTION("""COMPUTED_VALUE"""),43163.99861111111)</f>
        <v>43163.99861</v>
      </c>
      <c r="B2758" s="1">
        <f>IFERROR(__xludf.DUMMYFUNCTION("""COMPUTED_VALUE"""),1755.86519)</f>
        <v>1755.86519</v>
      </c>
    </row>
    <row r="2759">
      <c r="A2759" s="3">
        <f>IFERROR(__xludf.DUMMYFUNCTION("""COMPUTED_VALUE"""),43164.99861111111)</f>
        <v>43164.99861</v>
      </c>
      <c r="B2759" s="1">
        <f>IFERROR(__xludf.DUMMYFUNCTION("""COMPUTED_VALUE"""),1753.80279)</f>
        <v>1753.80279</v>
      </c>
    </row>
    <row r="2760">
      <c r="A2760" s="3">
        <f>IFERROR(__xludf.DUMMYFUNCTION("""COMPUTED_VALUE"""),43165.99861111111)</f>
        <v>43165.99861</v>
      </c>
      <c r="B2760" s="1">
        <f>IFERROR(__xludf.DUMMYFUNCTION("""COMPUTED_VALUE"""),1756.19876)</f>
        <v>1756.19876</v>
      </c>
    </row>
    <row r="2761">
      <c r="A2761" s="3">
        <f>IFERROR(__xludf.DUMMYFUNCTION("""COMPUTED_VALUE"""),43166.99861111111)</f>
        <v>43166.99861</v>
      </c>
      <c r="B2761" s="1">
        <f>IFERROR(__xludf.DUMMYFUNCTION("""COMPUTED_VALUE"""),1754.4118)</f>
        <v>1754.4118</v>
      </c>
    </row>
    <row r="2762">
      <c r="A2762" s="3">
        <f>IFERROR(__xludf.DUMMYFUNCTION("""COMPUTED_VALUE"""),43167.99861111111)</f>
        <v>43167.99861</v>
      </c>
      <c r="B2762" s="1">
        <f>IFERROR(__xludf.DUMMYFUNCTION("""COMPUTED_VALUE"""),1758.4043)</f>
        <v>1758.4043</v>
      </c>
    </row>
    <row r="2763">
      <c r="A2763" s="3">
        <f>IFERROR(__xludf.DUMMYFUNCTION("""COMPUTED_VALUE"""),43168.99861111111)</f>
        <v>43168.99861</v>
      </c>
      <c r="B2763" s="1">
        <f>IFERROR(__xludf.DUMMYFUNCTION("""COMPUTED_VALUE"""),1757.052)</f>
        <v>1757.052</v>
      </c>
    </row>
    <row r="2764">
      <c r="A2764" s="3">
        <f>IFERROR(__xludf.DUMMYFUNCTION("""COMPUTED_VALUE"""),43170.99861111111)</f>
        <v>43170.99861</v>
      </c>
      <c r="B2764" s="1">
        <f>IFERROR(__xludf.DUMMYFUNCTION("""COMPUTED_VALUE"""),1757.16948)</f>
        <v>1757.16948</v>
      </c>
    </row>
    <row r="2765">
      <c r="A2765" s="3">
        <f>IFERROR(__xludf.DUMMYFUNCTION("""COMPUTED_VALUE"""),43171.99861111111)</f>
        <v>43171.99861</v>
      </c>
      <c r="B2765" s="1">
        <f>IFERROR(__xludf.DUMMYFUNCTION("""COMPUTED_VALUE"""),1754.45025)</f>
        <v>1754.45025</v>
      </c>
    </row>
    <row r="2766">
      <c r="A2766" s="3">
        <f>IFERROR(__xludf.DUMMYFUNCTION("""COMPUTED_VALUE"""),43172.99861111111)</f>
        <v>43172.99861</v>
      </c>
      <c r="B2766" s="1">
        <f>IFERROR(__xludf.DUMMYFUNCTION("""COMPUTED_VALUE"""),1752.537)</f>
        <v>1752.537</v>
      </c>
    </row>
    <row r="2767">
      <c r="A2767" s="3">
        <f>IFERROR(__xludf.DUMMYFUNCTION("""COMPUTED_VALUE"""),43173.99861111111)</f>
        <v>43173.99861</v>
      </c>
      <c r="B2767" s="1">
        <f>IFERROR(__xludf.DUMMYFUNCTION("""COMPUTED_VALUE"""),1750.4865)</f>
        <v>1750.4865</v>
      </c>
    </row>
    <row r="2768">
      <c r="A2768" s="3">
        <f>IFERROR(__xludf.DUMMYFUNCTION("""COMPUTED_VALUE"""),43174.99861111111)</f>
        <v>43174.99861</v>
      </c>
      <c r="B2768" s="1">
        <f>IFERROR(__xludf.DUMMYFUNCTION("""COMPUTED_VALUE"""),1754.42016)</f>
        <v>1754.42016</v>
      </c>
    </row>
    <row r="2769">
      <c r="A2769" s="3">
        <f>IFERROR(__xludf.DUMMYFUNCTION("""COMPUTED_VALUE"""),43175.99861111111)</f>
        <v>43175.99861</v>
      </c>
      <c r="B2769" s="1">
        <f>IFERROR(__xludf.DUMMYFUNCTION("""COMPUTED_VALUE"""),1752.08512)</f>
        <v>1752.08512</v>
      </c>
    </row>
    <row r="2770">
      <c r="A2770" s="3">
        <f>IFERROR(__xludf.DUMMYFUNCTION("""COMPUTED_VALUE"""),43177.99861111111)</f>
        <v>43177.99861</v>
      </c>
      <c r="B2770" s="1">
        <f>IFERROR(__xludf.DUMMYFUNCTION("""COMPUTED_VALUE"""),1752.73252)</f>
        <v>1752.73252</v>
      </c>
    </row>
    <row r="2771">
      <c r="A2771" s="3">
        <f>IFERROR(__xludf.DUMMYFUNCTION("""COMPUTED_VALUE"""),43178.99861111111)</f>
        <v>43178.99861</v>
      </c>
      <c r="B2771" s="1">
        <f>IFERROR(__xludf.DUMMYFUNCTION("""COMPUTED_VALUE"""),1755.8025)</f>
        <v>1755.8025</v>
      </c>
    </row>
    <row r="2772">
      <c r="A2772" s="3">
        <f>IFERROR(__xludf.DUMMYFUNCTION("""COMPUTED_VALUE"""),43179.99861111111)</f>
        <v>43179.99861</v>
      </c>
      <c r="B2772" s="1">
        <f>IFERROR(__xludf.DUMMYFUNCTION("""COMPUTED_VALUE"""),1751.68278)</f>
        <v>1751.68278</v>
      </c>
    </row>
    <row r="2773">
      <c r="A2773" s="3">
        <f>IFERROR(__xludf.DUMMYFUNCTION("""COMPUTED_VALUE"""),43180.99861111111)</f>
        <v>43180.99861</v>
      </c>
      <c r="B2773" s="1">
        <f>IFERROR(__xludf.DUMMYFUNCTION("""COMPUTED_VALUE"""),1746.97635)</f>
        <v>1746.97635</v>
      </c>
    </row>
    <row r="2774">
      <c r="A2774" s="3">
        <f>IFERROR(__xludf.DUMMYFUNCTION("""COMPUTED_VALUE"""),43181.99861111111)</f>
        <v>43181.99861</v>
      </c>
      <c r="B2774" s="1">
        <f>IFERROR(__xludf.DUMMYFUNCTION("""COMPUTED_VALUE"""),1752.39714)</f>
        <v>1752.39714</v>
      </c>
    </row>
    <row r="2775">
      <c r="A2775" s="3">
        <f>IFERROR(__xludf.DUMMYFUNCTION("""COMPUTED_VALUE"""),43182.99861111111)</f>
        <v>43182.99861</v>
      </c>
      <c r="B2775" s="1">
        <f>IFERROR(__xludf.DUMMYFUNCTION("""COMPUTED_VALUE"""),1755.1898)</f>
        <v>1755.1898</v>
      </c>
    </row>
    <row r="2776">
      <c r="A2776" s="3">
        <f>IFERROR(__xludf.DUMMYFUNCTION("""COMPUTED_VALUE"""),43183.99861111111)</f>
        <v>43183.99861</v>
      </c>
      <c r="B2776" s="1">
        <f>IFERROR(__xludf.DUMMYFUNCTION("""COMPUTED_VALUE"""),1755.74088)</f>
        <v>1755.74088</v>
      </c>
    </row>
    <row r="2777">
      <c r="A2777" s="3">
        <f>IFERROR(__xludf.DUMMYFUNCTION("""COMPUTED_VALUE"""),43184.99861111111)</f>
        <v>43184.99861</v>
      </c>
      <c r="B2777" s="1">
        <f>IFERROR(__xludf.DUMMYFUNCTION("""COMPUTED_VALUE"""),1753.9669)</f>
        <v>1753.9669</v>
      </c>
    </row>
    <row r="2778">
      <c r="A2778" s="3">
        <f>IFERROR(__xludf.DUMMYFUNCTION("""COMPUTED_VALUE"""),43185.99861111111)</f>
        <v>43185.99861</v>
      </c>
      <c r="B2778" s="1">
        <f>IFERROR(__xludf.DUMMYFUNCTION("""COMPUTED_VALUE"""),1748.22192)</f>
        <v>1748.22192</v>
      </c>
    </row>
    <row r="2779">
      <c r="A2779" s="3">
        <f>IFERROR(__xludf.DUMMYFUNCTION("""COMPUTED_VALUE"""),43186.99861111111)</f>
        <v>43186.99861</v>
      </c>
      <c r="B2779" s="1">
        <f>IFERROR(__xludf.DUMMYFUNCTION("""COMPUTED_VALUE"""),1751.0256)</f>
        <v>1751.0256</v>
      </c>
    </row>
    <row r="2780">
      <c r="A2780" s="3">
        <f>IFERROR(__xludf.DUMMYFUNCTION("""COMPUTED_VALUE"""),43187.99861111111)</f>
        <v>43187.99861</v>
      </c>
      <c r="B2780" s="1">
        <f>IFERROR(__xludf.DUMMYFUNCTION("""COMPUTED_VALUE"""),1753.06464)</f>
        <v>1753.06464</v>
      </c>
    </row>
    <row r="2781">
      <c r="A2781" s="3">
        <f>IFERROR(__xludf.DUMMYFUNCTION("""COMPUTED_VALUE"""),43188.99861111111)</f>
        <v>43188.99861</v>
      </c>
      <c r="B2781" s="1">
        <f>IFERROR(__xludf.DUMMYFUNCTION("""COMPUTED_VALUE"""),1752.77937)</f>
        <v>1752.77937</v>
      </c>
    </row>
    <row r="2782">
      <c r="A2782" s="3">
        <f>IFERROR(__xludf.DUMMYFUNCTION("""COMPUTED_VALUE"""),43189.99861111111)</f>
        <v>43189.99861</v>
      </c>
      <c r="B2782" s="1">
        <f>IFERROR(__xludf.DUMMYFUNCTION("""COMPUTED_VALUE"""),1749.69168)</f>
        <v>1749.69168</v>
      </c>
    </row>
    <row r="2783">
      <c r="A2783" s="3">
        <f>IFERROR(__xludf.DUMMYFUNCTION("""COMPUTED_VALUE"""),43190.99861111111)</f>
        <v>43190.99861</v>
      </c>
      <c r="B2783" s="1">
        <f>IFERROR(__xludf.DUMMYFUNCTION("""COMPUTED_VALUE"""),1751.22024)</f>
        <v>1751.22024</v>
      </c>
    </row>
    <row r="2784">
      <c r="A2784" s="3">
        <f>IFERROR(__xludf.DUMMYFUNCTION("""COMPUTED_VALUE"""),43191.99861111111)</f>
        <v>43191.99861</v>
      </c>
      <c r="B2784" s="1">
        <f>IFERROR(__xludf.DUMMYFUNCTION("""COMPUTED_VALUE"""),1754.0432)</f>
        <v>1754.0432</v>
      </c>
    </row>
    <row r="2785">
      <c r="A2785" s="3">
        <f>IFERROR(__xludf.DUMMYFUNCTION("""COMPUTED_VALUE"""),43192.99861111111)</f>
        <v>43192.99861</v>
      </c>
      <c r="B2785" s="1">
        <f>IFERROR(__xludf.DUMMYFUNCTION("""COMPUTED_VALUE"""),1751.63268)</f>
        <v>1751.63268</v>
      </c>
    </row>
    <row r="2786">
      <c r="A2786" s="3">
        <f>IFERROR(__xludf.DUMMYFUNCTION("""COMPUTED_VALUE"""),43193.99861111111)</f>
        <v>43193.99861</v>
      </c>
      <c r="B2786" s="1">
        <f>IFERROR(__xludf.DUMMYFUNCTION("""COMPUTED_VALUE"""),1750.6034)</f>
        <v>1750.6034</v>
      </c>
    </row>
    <row r="2787">
      <c r="A2787" s="3">
        <f>IFERROR(__xludf.DUMMYFUNCTION("""COMPUTED_VALUE"""),43194.99861111111)</f>
        <v>43194.99861</v>
      </c>
      <c r="B2787" s="1">
        <f>IFERROR(__xludf.DUMMYFUNCTION("""COMPUTED_VALUE"""),1751.46487)</f>
        <v>1751.46487</v>
      </c>
    </row>
    <row r="2788">
      <c r="A2788" s="3">
        <f>IFERROR(__xludf.DUMMYFUNCTION("""COMPUTED_VALUE"""),43195.99861111111)</f>
        <v>43195.99861</v>
      </c>
      <c r="B2788" s="1">
        <f>IFERROR(__xludf.DUMMYFUNCTION("""COMPUTED_VALUE"""),1753.024)</f>
        <v>1753.024</v>
      </c>
    </row>
    <row r="2789">
      <c r="A2789" s="3">
        <f>IFERROR(__xludf.DUMMYFUNCTION("""COMPUTED_VALUE"""),43196.99861111111)</f>
        <v>43196.99861</v>
      </c>
      <c r="B2789" s="1">
        <f>IFERROR(__xludf.DUMMYFUNCTION("""COMPUTED_VALUE"""),1753.4062)</f>
        <v>1753.4062</v>
      </c>
    </row>
    <row r="2790">
      <c r="A2790" s="3">
        <f>IFERROR(__xludf.DUMMYFUNCTION("""COMPUTED_VALUE"""),43197.99861111111)</f>
        <v>43197.99861</v>
      </c>
      <c r="B2790" s="1">
        <f>IFERROR(__xludf.DUMMYFUNCTION("""COMPUTED_VALUE"""),1753.4062)</f>
        <v>1753.4062</v>
      </c>
    </row>
    <row r="2791">
      <c r="A2791" s="3">
        <f>IFERROR(__xludf.DUMMYFUNCTION("""COMPUTED_VALUE"""),43198.99861111111)</f>
        <v>43198.99861</v>
      </c>
      <c r="B2791" s="1">
        <f>IFERROR(__xludf.DUMMYFUNCTION("""COMPUTED_VALUE"""),1753.54383)</f>
        <v>1753.54383</v>
      </c>
    </row>
    <row r="2792">
      <c r="A2792" s="3">
        <f>IFERROR(__xludf.DUMMYFUNCTION("""COMPUTED_VALUE"""),43199.99861111111)</f>
        <v>43199.99861</v>
      </c>
      <c r="B2792" s="1">
        <f>IFERROR(__xludf.DUMMYFUNCTION("""COMPUTED_VALUE"""),1754.0432)</f>
        <v>1754.0432</v>
      </c>
    </row>
    <row r="2793">
      <c r="A2793" s="3">
        <f>IFERROR(__xludf.DUMMYFUNCTION("""COMPUTED_VALUE"""),43200.99861111111)</f>
        <v>43200.99861</v>
      </c>
      <c r="B2793" s="1">
        <f>IFERROR(__xludf.DUMMYFUNCTION("""COMPUTED_VALUE"""),1750.606119)</f>
        <v>1750.606119</v>
      </c>
    </row>
    <row r="2794">
      <c r="A2794" s="3">
        <f>IFERROR(__xludf.DUMMYFUNCTION("""COMPUTED_VALUE"""),43201.99861111111)</f>
        <v>43201.99861</v>
      </c>
      <c r="B2794" s="1">
        <f>IFERROR(__xludf.DUMMYFUNCTION("""COMPUTED_VALUE"""),1751.92083)</f>
        <v>1751.92083</v>
      </c>
    </row>
    <row r="2795">
      <c r="A2795" s="3">
        <f>IFERROR(__xludf.DUMMYFUNCTION("""COMPUTED_VALUE"""),43202.99861111111)</f>
        <v>43202.99861</v>
      </c>
      <c r="B2795" s="1">
        <f>IFERROR(__xludf.DUMMYFUNCTION("""COMPUTED_VALUE"""),1753.64046)</f>
        <v>1753.64046</v>
      </c>
    </row>
    <row r="2796">
      <c r="A2796" s="3">
        <f>IFERROR(__xludf.DUMMYFUNCTION("""COMPUTED_VALUE"""),43203.99861111111)</f>
        <v>43203.99861</v>
      </c>
      <c r="B2796" s="1">
        <f>IFERROR(__xludf.DUMMYFUNCTION("""COMPUTED_VALUE"""),1754.03291)</f>
        <v>1754.03291</v>
      </c>
    </row>
    <row r="2797">
      <c r="A2797" s="3">
        <f>IFERROR(__xludf.DUMMYFUNCTION("""COMPUTED_VALUE"""),43205.99861111111)</f>
        <v>43205.99861</v>
      </c>
      <c r="B2797" s="1">
        <f>IFERROR(__xludf.DUMMYFUNCTION("""COMPUTED_VALUE"""),1749.44687)</f>
        <v>1749.44687</v>
      </c>
    </row>
    <row r="2798">
      <c r="A2798" s="3">
        <f>IFERROR(__xludf.DUMMYFUNCTION("""COMPUTED_VALUE"""),43206.99861111111)</f>
        <v>43206.99861</v>
      </c>
      <c r="B2798" s="1">
        <f>IFERROR(__xludf.DUMMYFUNCTION("""COMPUTED_VALUE"""),1753.65074)</f>
        <v>1753.65074</v>
      </c>
    </row>
    <row r="2799">
      <c r="A2799" s="3">
        <f>IFERROR(__xludf.DUMMYFUNCTION("""COMPUTED_VALUE"""),43207.99861111111)</f>
        <v>43207.99861</v>
      </c>
      <c r="B2799" s="1">
        <f>IFERROR(__xludf.DUMMYFUNCTION("""COMPUTED_VALUE"""),1752.50423)</f>
        <v>1752.50423</v>
      </c>
    </row>
    <row r="2800">
      <c r="A2800" s="3">
        <f>IFERROR(__xludf.DUMMYFUNCTION("""COMPUTED_VALUE"""),43208.99861111111)</f>
        <v>43208.99861</v>
      </c>
      <c r="B2800" s="1">
        <f>IFERROR(__xludf.DUMMYFUNCTION("""COMPUTED_VALUE"""),1754.1706)</f>
        <v>1754.1706</v>
      </c>
    </row>
    <row r="2801">
      <c r="A2801" s="3">
        <f>IFERROR(__xludf.DUMMYFUNCTION("""COMPUTED_VALUE"""),43209.99861111111)</f>
        <v>43209.99861</v>
      </c>
      <c r="B2801" s="1">
        <f>IFERROR(__xludf.DUMMYFUNCTION("""COMPUTED_VALUE"""),1758.258)</f>
        <v>1758.258</v>
      </c>
    </row>
    <row r="2802">
      <c r="A2802" s="3">
        <f>IFERROR(__xludf.DUMMYFUNCTION("""COMPUTED_VALUE"""),43210.99861111111)</f>
        <v>43210.99861</v>
      </c>
      <c r="B2802" s="1">
        <f>IFERROR(__xludf.DUMMYFUNCTION("""COMPUTED_VALUE"""),1764.56721)</f>
        <v>1764.56721</v>
      </c>
    </row>
    <row r="2803">
      <c r="A2803" s="3">
        <f>IFERROR(__xludf.DUMMYFUNCTION("""COMPUTED_VALUE"""),43211.99861111111)</f>
        <v>43211.99861</v>
      </c>
      <c r="B2803" s="1">
        <f>IFERROR(__xludf.DUMMYFUNCTION("""COMPUTED_VALUE"""),1765.511762)</f>
        <v>1765.511762</v>
      </c>
    </row>
    <row r="2804">
      <c r="A2804" s="3">
        <f>IFERROR(__xludf.DUMMYFUNCTION("""COMPUTED_VALUE"""),43212.99861111111)</f>
        <v>43212.99861</v>
      </c>
      <c r="B2804" s="1">
        <f>IFERROR(__xludf.DUMMYFUNCTION("""COMPUTED_VALUE"""),1771.70553)</f>
        <v>1771.70553</v>
      </c>
    </row>
    <row r="2805">
      <c r="A2805" s="3">
        <f>IFERROR(__xludf.DUMMYFUNCTION("""COMPUTED_VALUE"""),43213.99861111111)</f>
        <v>43213.99861</v>
      </c>
      <c r="B2805" s="1">
        <f>IFERROR(__xludf.DUMMYFUNCTION("""COMPUTED_VALUE"""),1780.0275)</f>
        <v>1780.0275</v>
      </c>
    </row>
    <row r="2806">
      <c r="A2806" s="3">
        <f>IFERROR(__xludf.DUMMYFUNCTION("""COMPUTED_VALUE"""),43214.99861111111)</f>
        <v>43214.99861</v>
      </c>
      <c r="B2806" s="1">
        <f>IFERROR(__xludf.DUMMYFUNCTION("""COMPUTED_VALUE"""),1767.57024)</f>
        <v>1767.57024</v>
      </c>
    </row>
    <row r="2807">
      <c r="A2807" s="3">
        <f>IFERROR(__xludf.DUMMYFUNCTION("""COMPUTED_VALUE"""),43215.99861111111)</f>
        <v>43215.99861</v>
      </c>
      <c r="B2807" s="1">
        <f>IFERROR(__xludf.DUMMYFUNCTION("""COMPUTED_VALUE"""),1773.69817)</f>
        <v>1773.69817</v>
      </c>
    </row>
    <row r="2808">
      <c r="A2808" s="3">
        <f>IFERROR(__xludf.DUMMYFUNCTION("""COMPUTED_VALUE"""),43216.99861111111)</f>
        <v>43216.99861</v>
      </c>
      <c r="B2808" s="1">
        <f>IFERROR(__xludf.DUMMYFUNCTION("""COMPUTED_VALUE"""),1768.73976)</f>
        <v>1768.73976</v>
      </c>
    </row>
    <row r="2809">
      <c r="A2809" s="3">
        <f>IFERROR(__xludf.DUMMYFUNCTION("""COMPUTED_VALUE"""),43217.99861111111)</f>
        <v>43217.99861</v>
      </c>
      <c r="B2809" s="1">
        <f>IFERROR(__xludf.DUMMYFUNCTION("""COMPUTED_VALUE"""),1763.09958)</f>
        <v>1763.09958</v>
      </c>
    </row>
    <row r="2810">
      <c r="A2810" s="3">
        <f>IFERROR(__xludf.DUMMYFUNCTION("""COMPUTED_VALUE"""),43219.99861111111)</f>
        <v>43219.99861</v>
      </c>
      <c r="B2810" s="1">
        <f>IFERROR(__xludf.DUMMYFUNCTION("""COMPUTED_VALUE"""),1767.1767)</f>
        <v>1767.1767</v>
      </c>
    </row>
    <row r="2811">
      <c r="A2811" s="3">
        <f>IFERROR(__xludf.DUMMYFUNCTION("""COMPUTED_VALUE"""),43220.99861111111)</f>
        <v>43220.99861</v>
      </c>
      <c r="B2811" s="1">
        <f>IFERROR(__xludf.DUMMYFUNCTION("""COMPUTED_VALUE"""),1771.12641)</f>
        <v>1771.12641</v>
      </c>
    </row>
    <row r="2812">
      <c r="A2812" s="3">
        <f>IFERROR(__xludf.DUMMYFUNCTION("""COMPUTED_VALUE"""),43221.99861111111)</f>
        <v>43221.99861</v>
      </c>
      <c r="B2812" s="1">
        <f>IFERROR(__xludf.DUMMYFUNCTION("""COMPUTED_VALUE"""),1781.34502)</f>
        <v>1781.34502</v>
      </c>
    </row>
    <row r="2813">
      <c r="A2813" s="3">
        <f>IFERROR(__xludf.DUMMYFUNCTION("""COMPUTED_VALUE"""),43222.99861111111)</f>
        <v>43222.99861</v>
      </c>
      <c r="B2813" s="1">
        <f>IFERROR(__xludf.DUMMYFUNCTION("""COMPUTED_VALUE"""),1783.752997)</f>
        <v>1783.752997</v>
      </c>
    </row>
    <row r="2814">
      <c r="A2814" s="3">
        <f>IFERROR(__xludf.DUMMYFUNCTION("""COMPUTED_VALUE"""),43223.99861111111)</f>
        <v>43223.99861</v>
      </c>
      <c r="B2814" s="1">
        <f>IFERROR(__xludf.DUMMYFUNCTION("""COMPUTED_VALUE"""),1774.8094)</f>
        <v>1774.8094</v>
      </c>
    </row>
    <row r="2815">
      <c r="A2815" s="3">
        <f>IFERROR(__xludf.DUMMYFUNCTION("""COMPUTED_VALUE"""),43224.99861111111)</f>
        <v>43224.99861</v>
      </c>
      <c r="B2815" s="1">
        <f>IFERROR(__xludf.DUMMYFUNCTION("""COMPUTED_VALUE"""),1774.314234)</f>
        <v>1774.314234</v>
      </c>
    </row>
    <row r="2816">
      <c r="A2816" s="3">
        <f>IFERROR(__xludf.DUMMYFUNCTION("""COMPUTED_VALUE"""),43225.99861111111)</f>
        <v>43225.99861</v>
      </c>
      <c r="B2816" s="1">
        <f>IFERROR(__xludf.DUMMYFUNCTION("""COMPUTED_VALUE"""),1774.093866)</f>
        <v>1774.093866</v>
      </c>
    </row>
    <row r="2817">
      <c r="A2817" s="3">
        <f>IFERROR(__xludf.DUMMYFUNCTION("""COMPUTED_VALUE"""),43226.99861111111)</f>
        <v>43226.99861</v>
      </c>
      <c r="B2817" s="1">
        <f>IFERROR(__xludf.DUMMYFUNCTION("""COMPUTED_VALUE"""),1775.0642)</f>
        <v>1775.0642</v>
      </c>
    </row>
    <row r="2818">
      <c r="A2818" s="3">
        <f>IFERROR(__xludf.DUMMYFUNCTION("""COMPUTED_VALUE"""),43227.99861111111)</f>
        <v>43227.99861</v>
      </c>
      <c r="B2818" s="1">
        <f>IFERROR(__xludf.DUMMYFUNCTION("""COMPUTED_VALUE"""),1817.378845)</f>
        <v>1817.378845</v>
      </c>
    </row>
    <row r="2819">
      <c r="A2819" s="3">
        <f>IFERROR(__xludf.DUMMYFUNCTION("""COMPUTED_VALUE"""),43228.99861111111)</f>
        <v>43228.99861</v>
      </c>
      <c r="B2819" s="1">
        <f>IFERROR(__xludf.DUMMYFUNCTION("""COMPUTED_VALUE"""),1816.818417)</f>
        <v>1816.818417</v>
      </c>
    </row>
    <row r="2820">
      <c r="A2820" s="3">
        <f>IFERROR(__xludf.DUMMYFUNCTION("""COMPUTED_VALUE"""),43229.99861111111)</f>
        <v>43229.99861</v>
      </c>
      <c r="B2820" s="1">
        <f>IFERROR(__xludf.DUMMYFUNCTION("""COMPUTED_VALUE"""),1792.75947)</f>
        <v>1792.75947</v>
      </c>
    </row>
    <row r="2821">
      <c r="A2821" s="3">
        <f>IFERROR(__xludf.DUMMYFUNCTION("""COMPUTED_VALUE"""),43230.99861111111)</f>
        <v>43230.99861</v>
      </c>
      <c r="B2821" s="1">
        <f>IFERROR(__xludf.DUMMYFUNCTION("""COMPUTED_VALUE"""),1792.75947)</f>
        <v>1792.75947</v>
      </c>
    </row>
    <row r="2822">
      <c r="A2822" s="3">
        <f>IFERROR(__xludf.DUMMYFUNCTION("""COMPUTED_VALUE"""),43231.99861111111)</f>
        <v>43231.99861</v>
      </c>
      <c r="B2822" s="1">
        <f>IFERROR(__xludf.DUMMYFUNCTION("""COMPUTED_VALUE"""),1775.6772)</f>
        <v>1775.6772</v>
      </c>
    </row>
    <row r="2823">
      <c r="A2823" s="3">
        <f>IFERROR(__xludf.DUMMYFUNCTION("""COMPUTED_VALUE"""),43232.99861111111)</f>
        <v>43232.99861</v>
      </c>
      <c r="B2823" s="1">
        <f>IFERROR(__xludf.DUMMYFUNCTION("""COMPUTED_VALUE"""),1776.05934)</f>
        <v>1776.05934</v>
      </c>
    </row>
    <row r="2824">
      <c r="A2824" s="3">
        <f>IFERROR(__xludf.DUMMYFUNCTION("""COMPUTED_VALUE"""),43233.99861111111)</f>
        <v>43233.99861</v>
      </c>
      <c r="B2824" s="1">
        <f>IFERROR(__xludf.DUMMYFUNCTION("""COMPUTED_VALUE"""),1776.19877)</f>
        <v>1776.19877</v>
      </c>
    </row>
    <row r="2825">
      <c r="A2825" s="3">
        <f>IFERROR(__xludf.DUMMYFUNCTION("""COMPUTED_VALUE"""),43234.99861111111)</f>
        <v>43234.99861</v>
      </c>
      <c r="B2825" s="1">
        <f>IFERROR(__xludf.DUMMYFUNCTION("""COMPUTED_VALUE"""),1778.74657)</f>
        <v>1778.74657</v>
      </c>
    </row>
    <row r="2826">
      <c r="A2826" s="3">
        <f>IFERROR(__xludf.DUMMYFUNCTION("""COMPUTED_VALUE"""),43235.99861111111)</f>
        <v>43235.99861</v>
      </c>
      <c r="B2826" s="1">
        <f>IFERROR(__xludf.DUMMYFUNCTION("""COMPUTED_VALUE"""),1787.2817)</f>
        <v>1787.2817</v>
      </c>
    </row>
    <row r="2827">
      <c r="A2827" s="3">
        <f>IFERROR(__xludf.DUMMYFUNCTION("""COMPUTED_VALUE"""),43236.99861111111)</f>
        <v>43236.99861</v>
      </c>
      <c r="B2827" s="1">
        <f>IFERROR(__xludf.DUMMYFUNCTION("""COMPUTED_VALUE"""),1802.466588)</f>
        <v>1802.466588</v>
      </c>
    </row>
    <row r="2828">
      <c r="A2828" s="3">
        <f>IFERROR(__xludf.DUMMYFUNCTION("""COMPUTED_VALUE"""),43237.99861111111)</f>
        <v>43237.99861</v>
      </c>
      <c r="B2828" s="1">
        <f>IFERROR(__xludf.DUMMYFUNCTION("""COMPUTED_VALUE"""),1802.731295)</f>
        <v>1802.731295</v>
      </c>
    </row>
    <row r="2829">
      <c r="A2829" s="3">
        <f>IFERROR(__xludf.DUMMYFUNCTION("""COMPUTED_VALUE"""),43238.99861111111)</f>
        <v>43238.99861</v>
      </c>
      <c r="B2829" s="1">
        <f>IFERROR(__xludf.DUMMYFUNCTION("""COMPUTED_VALUE"""),1800.38892)</f>
        <v>1800.38892</v>
      </c>
    </row>
    <row r="2830">
      <c r="A2830" s="3">
        <f>IFERROR(__xludf.DUMMYFUNCTION("""COMPUTED_VALUE"""),43239.99861111111)</f>
        <v>43239.99861</v>
      </c>
      <c r="B2830" s="1">
        <f>IFERROR(__xludf.DUMMYFUNCTION("""COMPUTED_VALUE"""),1800.38892)</f>
        <v>1800.38892</v>
      </c>
    </row>
    <row r="2831">
      <c r="A2831" s="3">
        <f>IFERROR(__xludf.DUMMYFUNCTION("""COMPUTED_VALUE"""),43240.99861111111)</f>
        <v>43240.99861</v>
      </c>
      <c r="B2831" s="1">
        <f>IFERROR(__xludf.DUMMYFUNCTION("""COMPUTED_VALUE"""),1804.22457)</f>
        <v>1804.22457</v>
      </c>
    </row>
    <row r="2832">
      <c r="A2832" s="3">
        <f>IFERROR(__xludf.DUMMYFUNCTION("""COMPUTED_VALUE"""),43241.99861111111)</f>
        <v>43241.99861</v>
      </c>
      <c r="B2832" s="1">
        <f>IFERROR(__xludf.DUMMYFUNCTION("""COMPUTED_VALUE"""),1811.9124)</f>
        <v>1811.9124</v>
      </c>
    </row>
    <row r="2833">
      <c r="A2833" s="3">
        <f>IFERROR(__xludf.DUMMYFUNCTION("""COMPUTED_VALUE"""),43242.99861111111)</f>
        <v>43242.99861</v>
      </c>
      <c r="B2833" s="1">
        <f>IFERROR(__xludf.DUMMYFUNCTION("""COMPUTED_VALUE"""),1809.039912)</f>
        <v>1809.039912</v>
      </c>
    </row>
    <row r="2834">
      <c r="A2834" s="3">
        <f>IFERROR(__xludf.DUMMYFUNCTION("""COMPUTED_VALUE"""),43243.99861111111)</f>
        <v>43243.99861</v>
      </c>
      <c r="B2834" s="1">
        <f>IFERROR(__xludf.DUMMYFUNCTION("""COMPUTED_VALUE"""),1805.41398)</f>
        <v>1805.41398</v>
      </c>
    </row>
    <row r="2835">
      <c r="A2835" s="3">
        <f>IFERROR(__xludf.DUMMYFUNCTION("""COMPUTED_VALUE"""),43244.99861111111)</f>
        <v>43244.99861</v>
      </c>
      <c r="B2835" s="1">
        <f>IFERROR(__xludf.DUMMYFUNCTION("""COMPUTED_VALUE"""),1799.68008)</f>
        <v>1799.68008</v>
      </c>
    </row>
    <row r="2836">
      <c r="A2836" s="3">
        <f>IFERROR(__xludf.DUMMYFUNCTION("""COMPUTED_VALUE"""),43245.99861111111)</f>
        <v>43245.99861</v>
      </c>
      <c r="B2836" s="1">
        <f>IFERROR(__xludf.DUMMYFUNCTION("""COMPUTED_VALUE"""),1798.3195)</f>
        <v>1798.3195</v>
      </c>
    </row>
    <row r="2837">
      <c r="A2837" s="3">
        <f>IFERROR(__xludf.DUMMYFUNCTION("""COMPUTED_VALUE"""),43246.99861111111)</f>
        <v>43246.99861</v>
      </c>
      <c r="B2837" s="1">
        <f>IFERROR(__xludf.DUMMYFUNCTION("""COMPUTED_VALUE"""),1790.1627)</f>
        <v>1790.1627</v>
      </c>
    </row>
    <row r="2838">
      <c r="A2838" s="3">
        <f>IFERROR(__xludf.DUMMYFUNCTION("""COMPUTED_VALUE"""),43247.99861111111)</f>
        <v>43247.99861</v>
      </c>
      <c r="B2838" s="1">
        <f>IFERROR(__xludf.DUMMYFUNCTION("""COMPUTED_VALUE"""),1794.52266)</f>
        <v>1794.52266</v>
      </c>
    </row>
    <row r="2839">
      <c r="A2839" s="3">
        <f>IFERROR(__xludf.DUMMYFUNCTION("""COMPUTED_VALUE"""),43248.99861111111)</f>
        <v>43248.99861</v>
      </c>
      <c r="B2839" s="1">
        <f>IFERROR(__xludf.DUMMYFUNCTION("""COMPUTED_VALUE"""),1785.8547)</f>
        <v>1785.8547</v>
      </c>
    </row>
    <row r="2840">
      <c r="A2840" s="3">
        <f>IFERROR(__xludf.DUMMYFUNCTION("""COMPUTED_VALUE"""),43249.99861111111)</f>
        <v>43249.99861</v>
      </c>
      <c r="B2840" s="1">
        <f>IFERROR(__xludf.DUMMYFUNCTION("""COMPUTED_VALUE"""),1787.99605)</f>
        <v>1787.99605</v>
      </c>
    </row>
    <row r="2841">
      <c r="A2841" s="3">
        <f>IFERROR(__xludf.DUMMYFUNCTION("""COMPUTED_VALUE"""),43250.99861111111)</f>
        <v>43250.99861</v>
      </c>
      <c r="B2841" s="1">
        <f>IFERROR(__xludf.DUMMYFUNCTION("""COMPUTED_VALUE"""),1781.22888)</f>
        <v>1781.22888</v>
      </c>
    </row>
    <row r="2842">
      <c r="A2842" s="3">
        <f>IFERROR(__xludf.DUMMYFUNCTION("""COMPUTED_VALUE"""),43251.99861111111)</f>
        <v>43251.99861</v>
      </c>
      <c r="B2842" s="1">
        <f>IFERROR(__xludf.DUMMYFUNCTION("""COMPUTED_VALUE"""),1769.006)</f>
        <v>1769.006</v>
      </c>
    </row>
    <row r="2843">
      <c r="A2843" s="3">
        <f>IFERROR(__xludf.DUMMYFUNCTION("""COMPUTED_VALUE"""),43252.99861111111)</f>
        <v>43252.99861</v>
      </c>
      <c r="B2843" s="1">
        <f>IFERROR(__xludf.DUMMYFUNCTION("""COMPUTED_VALUE"""),1761.6139)</f>
        <v>1761.6139</v>
      </c>
    </row>
    <row r="2844">
      <c r="A2844" s="3">
        <f>IFERROR(__xludf.DUMMYFUNCTION("""COMPUTED_VALUE"""),43253.99861111111)</f>
        <v>43253.99861</v>
      </c>
      <c r="B2844" s="1">
        <f>IFERROR(__xludf.DUMMYFUNCTION("""COMPUTED_VALUE"""),1762.931125)</f>
        <v>1762.931125</v>
      </c>
    </row>
    <row r="2845">
      <c r="A2845" s="3">
        <f>IFERROR(__xludf.DUMMYFUNCTION("""COMPUTED_VALUE"""),43254.99861111111)</f>
        <v>43254.99861</v>
      </c>
      <c r="B2845" s="1">
        <f>IFERROR(__xludf.DUMMYFUNCTION("""COMPUTED_VALUE"""),1776.53748)</f>
        <v>1776.53748</v>
      </c>
    </row>
    <row r="2846">
      <c r="A2846" s="3">
        <f>IFERROR(__xludf.DUMMYFUNCTION("""COMPUTED_VALUE"""),43255.99861111111)</f>
        <v>43255.99861</v>
      </c>
      <c r="B2846" s="1">
        <f>IFERROR(__xludf.DUMMYFUNCTION("""COMPUTED_VALUE"""),1766.457)</f>
        <v>1766.457</v>
      </c>
    </row>
    <row r="2847">
      <c r="A2847" s="3">
        <f>IFERROR(__xludf.DUMMYFUNCTION("""COMPUTED_VALUE"""),43256.99861111111)</f>
        <v>43256.99861</v>
      </c>
      <c r="B2847" s="1">
        <f>IFERROR(__xludf.DUMMYFUNCTION("""COMPUTED_VALUE"""),1767.4541)</f>
        <v>1767.4541</v>
      </c>
    </row>
    <row r="2848">
      <c r="A2848" s="3">
        <f>IFERROR(__xludf.DUMMYFUNCTION("""COMPUTED_VALUE"""),43257.99861111111)</f>
        <v>43257.99861</v>
      </c>
      <c r="B2848" s="1">
        <f>IFERROR(__xludf.DUMMYFUNCTION("""COMPUTED_VALUE"""),1761.33746)</f>
        <v>1761.33746</v>
      </c>
    </row>
    <row r="2849">
      <c r="A2849" s="3">
        <f>IFERROR(__xludf.DUMMYFUNCTION("""COMPUTED_VALUE"""),43258.99861111111)</f>
        <v>43258.99861</v>
      </c>
      <c r="B2849" s="1">
        <f>IFERROR(__xludf.DUMMYFUNCTION("""COMPUTED_VALUE"""),1766.70072)</f>
        <v>1766.70072</v>
      </c>
    </row>
    <row r="2850">
      <c r="A2850" s="3">
        <f>IFERROR(__xludf.DUMMYFUNCTION("""COMPUTED_VALUE"""),43259.99861111111)</f>
        <v>43259.99861</v>
      </c>
      <c r="B2850" s="1">
        <f>IFERROR(__xludf.DUMMYFUNCTION("""COMPUTED_VALUE"""),1775.34286)</f>
        <v>1775.34286</v>
      </c>
    </row>
    <row r="2851">
      <c r="A2851" s="3">
        <f>IFERROR(__xludf.DUMMYFUNCTION("""COMPUTED_VALUE"""),43260.99861111111)</f>
        <v>43260.99861</v>
      </c>
      <c r="B2851" s="1">
        <f>IFERROR(__xludf.DUMMYFUNCTION("""COMPUTED_VALUE"""),1777.40568)</f>
        <v>1777.40568</v>
      </c>
    </row>
    <row r="2852">
      <c r="A2852" s="3">
        <f>IFERROR(__xludf.DUMMYFUNCTION("""COMPUTED_VALUE"""),43261.99861111111)</f>
        <v>43261.99861</v>
      </c>
      <c r="B2852" s="1">
        <f>IFERROR(__xludf.DUMMYFUNCTION("""COMPUTED_VALUE"""),1767.2217)</f>
        <v>1767.2217</v>
      </c>
    </row>
    <row r="2853">
      <c r="A2853" s="3">
        <f>IFERROR(__xludf.DUMMYFUNCTION("""COMPUTED_VALUE"""),43262.99861111111)</f>
        <v>43262.99861</v>
      </c>
      <c r="B2853" s="1">
        <f>IFERROR(__xludf.DUMMYFUNCTION("""COMPUTED_VALUE"""),1774.34712)</f>
        <v>1774.34712</v>
      </c>
    </row>
    <row r="2854">
      <c r="A2854" s="3">
        <f>IFERROR(__xludf.DUMMYFUNCTION("""COMPUTED_VALUE"""),43263.99861111111)</f>
        <v>43263.99861</v>
      </c>
      <c r="B2854" s="1">
        <f>IFERROR(__xludf.DUMMYFUNCTION("""COMPUTED_VALUE"""),1774.20789)</f>
        <v>1774.20789</v>
      </c>
    </row>
    <row r="2855">
      <c r="A2855" s="3">
        <f>IFERROR(__xludf.DUMMYFUNCTION("""COMPUTED_VALUE"""),43264.99861111111)</f>
        <v>43264.99861</v>
      </c>
      <c r="B2855" s="1">
        <f>IFERROR(__xludf.DUMMYFUNCTION("""COMPUTED_VALUE"""),1773.92943)</f>
        <v>1773.92943</v>
      </c>
    </row>
    <row r="2856">
      <c r="A2856" s="3">
        <f>IFERROR(__xludf.DUMMYFUNCTION("""COMPUTED_VALUE"""),43265.99861111111)</f>
        <v>43265.99861</v>
      </c>
      <c r="B2856" s="1">
        <f>IFERROR(__xludf.DUMMYFUNCTION("""COMPUTED_VALUE"""),1798.925146)</f>
        <v>1798.925146</v>
      </c>
    </row>
    <row r="2857">
      <c r="A2857" s="3">
        <f>IFERROR(__xludf.DUMMYFUNCTION("""COMPUTED_VALUE"""),43266.99861111111)</f>
        <v>43266.99861</v>
      </c>
      <c r="B2857" s="1">
        <f>IFERROR(__xludf.DUMMYFUNCTION("""COMPUTED_VALUE"""),1792.49252)</f>
        <v>1792.49252</v>
      </c>
    </row>
    <row r="2858">
      <c r="A2858" s="3">
        <f>IFERROR(__xludf.DUMMYFUNCTION("""COMPUTED_VALUE"""),43268.99861111111)</f>
        <v>43268.99861</v>
      </c>
      <c r="B2858" s="1">
        <f>IFERROR(__xludf.DUMMYFUNCTION("""COMPUTED_VALUE"""),1773.65097)</f>
        <v>1773.65097</v>
      </c>
    </row>
    <row r="2859">
      <c r="A2859" s="3">
        <f>IFERROR(__xludf.DUMMYFUNCTION("""COMPUTED_VALUE"""),43269.99861111111)</f>
        <v>43269.99861</v>
      </c>
      <c r="B2859" s="1">
        <f>IFERROR(__xludf.DUMMYFUNCTION("""COMPUTED_VALUE"""),1773.7902)</f>
        <v>1773.7902</v>
      </c>
    </row>
    <row r="2860">
      <c r="A2860" s="3">
        <f>IFERROR(__xludf.DUMMYFUNCTION("""COMPUTED_VALUE"""),43270.99861111111)</f>
        <v>43270.99861</v>
      </c>
      <c r="B2860" s="1">
        <f>IFERROR(__xludf.DUMMYFUNCTION("""COMPUTED_VALUE"""),1773.65097)</f>
        <v>1773.65097</v>
      </c>
    </row>
    <row r="2861">
      <c r="A2861" s="3">
        <f>IFERROR(__xludf.DUMMYFUNCTION("""COMPUTED_VALUE"""),43271.99861111111)</f>
        <v>43271.99861</v>
      </c>
      <c r="B2861" s="1">
        <f>IFERROR(__xludf.DUMMYFUNCTION("""COMPUTED_VALUE"""),1774.48635)</f>
        <v>1774.48635</v>
      </c>
    </row>
    <row r="2862">
      <c r="A2862" s="3">
        <f>IFERROR(__xludf.DUMMYFUNCTION("""COMPUTED_VALUE"""),43272.99861111111)</f>
        <v>43272.99861</v>
      </c>
      <c r="B2862" s="1">
        <f>IFERROR(__xludf.DUMMYFUNCTION("""COMPUTED_VALUE"""),1795.5156)</f>
        <v>1795.5156</v>
      </c>
    </row>
    <row r="2863">
      <c r="A2863" s="3">
        <f>IFERROR(__xludf.DUMMYFUNCTION("""COMPUTED_VALUE"""),43273.99861111111)</f>
        <v>43273.99861</v>
      </c>
      <c r="B2863" s="1">
        <f>IFERROR(__xludf.DUMMYFUNCTION("""COMPUTED_VALUE"""),1795.067476)</f>
        <v>1795.067476</v>
      </c>
    </row>
    <row r="2864">
      <c r="A2864" s="3">
        <f>IFERROR(__xludf.DUMMYFUNCTION("""COMPUTED_VALUE"""),43275.99861111111)</f>
        <v>43275.99861</v>
      </c>
      <c r="B2864" s="1">
        <f>IFERROR(__xludf.DUMMYFUNCTION("""COMPUTED_VALUE"""),1793.46312)</f>
        <v>1793.46312</v>
      </c>
    </row>
    <row r="2865">
      <c r="A2865" s="3">
        <f>IFERROR(__xludf.DUMMYFUNCTION("""COMPUTED_VALUE"""),43276.99861111111)</f>
        <v>43276.99861</v>
      </c>
      <c r="B2865" s="1">
        <f>IFERROR(__xludf.DUMMYFUNCTION("""COMPUTED_VALUE"""),1802.87964)</f>
        <v>1802.87964</v>
      </c>
    </row>
    <row r="2866">
      <c r="A2866" s="3">
        <f>IFERROR(__xludf.DUMMYFUNCTION("""COMPUTED_VALUE"""),43277.99861111111)</f>
        <v>43277.99861</v>
      </c>
      <c r="B2866" s="1">
        <f>IFERROR(__xludf.DUMMYFUNCTION("""COMPUTED_VALUE"""),1807.5512)</f>
        <v>1807.5512</v>
      </c>
    </row>
    <row r="2867">
      <c r="A2867" s="3">
        <f>IFERROR(__xludf.DUMMYFUNCTION("""COMPUTED_VALUE"""),43278.99861111111)</f>
        <v>43278.99861</v>
      </c>
      <c r="B2867" s="1">
        <f>IFERROR(__xludf.DUMMYFUNCTION("""COMPUTED_VALUE"""),1813.68135)</f>
        <v>1813.68135</v>
      </c>
    </row>
    <row r="2868">
      <c r="A2868" s="3">
        <f>IFERROR(__xludf.DUMMYFUNCTION("""COMPUTED_VALUE"""),43279.99861111111)</f>
        <v>43279.99861</v>
      </c>
      <c r="B2868" s="1">
        <f>IFERROR(__xludf.DUMMYFUNCTION("""COMPUTED_VALUE"""),1828.3335)</f>
        <v>1828.3335</v>
      </c>
    </row>
    <row r="2869">
      <c r="A2869" s="3">
        <f>IFERROR(__xludf.DUMMYFUNCTION("""COMPUTED_VALUE"""),43280.99861111111)</f>
        <v>43280.99861</v>
      </c>
      <c r="B2869" s="1">
        <f>IFERROR(__xludf.DUMMYFUNCTION("""COMPUTED_VALUE"""),1818.52293)</f>
        <v>1818.52293</v>
      </c>
    </row>
    <row r="2870">
      <c r="A2870" s="3">
        <f>IFERROR(__xludf.DUMMYFUNCTION("""COMPUTED_VALUE"""),43281.99861111111)</f>
        <v>43281.99861</v>
      </c>
      <c r="B2870" s="1">
        <f>IFERROR(__xludf.DUMMYFUNCTION("""COMPUTED_VALUE"""),1818.52293)</f>
        <v>1818.52293</v>
      </c>
    </row>
    <row r="2871">
      <c r="A2871" s="3">
        <f>IFERROR(__xludf.DUMMYFUNCTION("""COMPUTED_VALUE"""),43282.99861111111)</f>
        <v>43282.99861</v>
      </c>
      <c r="B2871" s="1">
        <f>IFERROR(__xludf.DUMMYFUNCTION("""COMPUTED_VALUE"""),1824.41531)</f>
        <v>1824.41531</v>
      </c>
    </row>
    <row r="2872">
      <c r="A2872" s="3">
        <f>IFERROR(__xludf.DUMMYFUNCTION("""COMPUTED_VALUE"""),43283.99861111111)</f>
        <v>43283.99861</v>
      </c>
      <c r="B2872" s="1">
        <f>IFERROR(__xludf.DUMMYFUNCTION("""COMPUTED_VALUE"""),1828.81209)</f>
        <v>1828.81209</v>
      </c>
    </row>
    <row r="2873">
      <c r="A2873" s="3">
        <f>IFERROR(__xludf.DUMMYFUNCTION("""COMPUTED_VALUE"""),43284.99861111111)</f>
        <v>43284.99861</v>
      </c>
      <c r="B2873" s="1">
        <f>IFERROR(__xludf.DUMMYFUNCTION("""COMPUTED_VALUE"""),1829.57691)</f>
        <v>1829.57691</v>
      </c>
    </row>
    <row r="2874">
      <c r="A2874" s="3">
        <f>IFERROR(__xludf.DUMMYFUNCTION("""COMPUTED_VALUE"""),43285.99861111111)</f>
        <v>43285.99861</v>
      </c>
      <c r="B2874" s="1">
        <f>IFERROR(__xludf.DUMMYFUNCTION("""COMPUTED_VALUE"""),1836.0)</f>
        <v>1836</v>
      </c>
    </row>
    <row r="2875">
      <c r="A2875" s="3">
        <f>IFERROR(__xludf.DUMMYFUNCTION("""COMPUTED_VALUE"""),43286.99861111111)</f>
        <v>43286.99861</v>
      </c>
      <c r="B2875" s="1">
        <f>IFERROR(__xludf.DUMMYFUNCTION("""COMPUTED_VALUE"""),1832.290484)</f>
        <v>1832.290484</v>
      </c>
    </row>
    <row r="2876">
      <c r="A2876" s="3">
        <f>IFERROR(__xludf.DUMMYFUNCTION("""COMPUTED_VALUE"""),43287.99861111111)</f>
        <v>43287.99861</v>
      </c>
      <c r="B2876" s="1">
        <f>IFERROR(__xludf.DUMMYFUNCTION("""COMPUTED_VALUE"""),1826.5338)</f>
        <v>1826.5338</v>
      </c>
    </row>
    <row r="2877">
      <c r="A2877" s="3">
        <f>IFERROR(__xludf.DUMMYFUNCTION("""COMPUTED_VALUE"""),43288.99861111111)</f>
        <v>43288.99861</v>
      </c>
      <c r="B2877" s="1">
        <f>IFERROR(__xludf.DUMMYFUNCTION("""COMPUTED_VALUE"""),1826.5338)</f>
        <v>1826.5338</v>
      </c>
    </row>
    <row r="2878">
      <c r="A2878" s="3">
        <f>IFERROR(__xludf.DUMMYFUNCTION("""COMPUTED_VALUE"""),43289.99861111111)</f>
        <v>43289.99861</v>
      </c>
      <c r="B2878" s="1">
        <f>IFERROR(__xludf.DUMMYFUNCTION("""COMPUTED_VALUE"""),1822.85487)</f>
        <v>1822.85487</v>
      </c>
    </row>
    <row r="2879">
      <c r="A2879" s="3">
        <f>IFERROR(__xludf.DUMMYFUNCTION("""COMPUTED_VALUE"""),43290.99861111111)</f>
        <v>43290.99861</v>
      </c>
      <c r="B2879" s="1">
        <f>IFERROR(__xludf.DUMMYFUNCTION("""COMPUTED_VALUE"""),1823.36451)</f>
        <v>1823.36451</v>
      </c>
    </row>
    <row r="2880">
      <c r="A2880" s="3">
        <f>IFERROR(__xludf.DUMMYFUNCTION("""COMPUTED_VALUE"""),43291.99861111111)</f>
        <v>43291.99861</v>
      </c>
      <c r="B2880" s="1">
        <f>IFERROR(__xludf.DUMMYFUNCTION("""COMPUTED_VALUE"""),1831.51875)</f>
        <v>1831.51875</v>
      </c>
    </row>
    <row r="2881">
      <c r="A2881" s="3">
        <f>IFERROR(__xludf.DUMMYFUNCTION("""COMPUTED_VALUE"""),43292.99861111111)</f>
        <v>43292.99861</v>
      </c>
      <c r="B2881" s="1">
        <f>IFERROR(__xludf.DUMMYFUNCTION("""COMPUTED_VALUE"""),1831.90098)</f>
        <v>1831.90098</v>
      </c>
    </row>
    <row r="2882">
      <c r="A2882" s="3">
        <f>IFERROR(__xludf.DUMMYFUNCTION("""COMPUTED_VALUE"""),43293.99861111111)</f>
        <v>43293.99861</v>
      </c>
      <c r="B2882" s="1">
        <f>IFERROR(__xludf.DUMMYFUNCTION("""COMPUTED_VALUE"""),1832.79285)</f>
        <v>1832.79285</v>
      </c>
    </row>
    <row r="2883">
      <c r="A2883" s="3">
        <f>IFERROR(__xludf.DUMMYFUNCTION("""COMPUTED_VALUE"""),43294.99861111111)</f>
        <v>43294.99861</v>
      </c>
      <c r="B2883" s="1">
        <f>IFERROR(__xludf.DUMMYFUNCTION("""COMPUTED_VALUE"""),1830.938253)</f>
        <v>1830.938253</v>
      </c>
    </row>
    <row r="2884">
      <c r="A2884" s="3">
        <f>IFERROR(__xludf.DUMMYFUNCTION("""COMPUTED_VALUE"""),43295.99861111111)</f>
        <v>43295.99861</v>
      </c>
      <c r="B2884" s="1">
        <f>IFERROR(__xludf.DUMMYFUNCTION("""COMPUTED_VALUE"""),1830.97647)</f>
        <v>1830.97647</v>
      </c>
    </row>
    <row r="2885">
      <c r="A2885" s="3">
        <f>IFERROR(__xludf.DUMMYFUNCTION("""COMPUTED_VALUE"""),43296.99861111111)</f>
        <v>43296.99861</v>
      </c>
      <c r="B2885" s="1">
        <f>IFERROR(__xludf.DUMMYFUNCTION("""COMPUTED_VALUE"""),1831.26393)</f>
        <v>1831.26393</v>
      </c>
    </row>
    <row r="2886">
      <c r="A2886" s="3">
        <f>IFERROR(__xludf.DUMMYFUNCTION("""COMPUTED_VALUE"""),43297.99861111111)</f>
        <v>43297.99861</v>
      </c>
      <c r="B2886" s="1">
        <f>IFERROR(__xludf.DUMMYFUNCTION("""COMPUTED_VALUE"""),1830.308355)</f>
        <v>1830.308355</v>
      </c>
    </row>
    <row r="2887">
      <c r="A2887" s="3">
        <f>IFERROR(__xludf.DUMMYFUNCTION("""COMPUTED_VALUE"""),43298.99861111111)</f>
        <v>43298.99861</v>
      </c>
      <c r="B2887" s="1">
        <f>IFERROR(__xludf.DUMMYFUNCTION("""COMPUTED_VALUE"""),1831.6298)</f>
        <v>1831.6298</v>
      </c>
    </row>
    <row r="2888">
      <c r="A2888" s="3">
        <f>IFERROR(__xludf.DUMMYFUNCTION("""COMPUTED_VALUE"""),43299.99861111111)</f>
        <v>43299.99861</v>
      </c>
      <c r="B2888" s="1">
        <f>IFERROR(__xludf.DUMMYFUNCTION("""COMPUTED_VALUE"""),1839.7834)</f>
        <v>1839.7834</v>
      </c>
    </row>
    <row r="2889">
      <c r="A2889" s="3">
        <f>IFERROR(__xludf.DUMMYFUNCTION("""COMPUTED_VALUE"""),43300.99861111111)</f>
        <v>43300.99861</v>
      </c>
      <c r="B2889" s="1">
        <f>IFERROR(__xludf.DUMMYFUNCTION("""COMPUTED_VALUE"""),1843.07852)</f>
        <v>1843.07852</v>
      </c>
    </row>
    <row r="2890">
      <c r="A2890" s="3">
        <f>IFERROR(__xludf.DUMMYFUNCTION("""COMPUTED_VALUE"""),43301.99861111111)</f>
        <v>43301.99861</v>
      </c>
      <c r="B2890" s="1">
        <f>IFERROR(__xludf.DUMMYFUNCTION("""COMPUTED_VALUE"""),1845.205933)</f>
        <v>1845.205933</v>
      </c>
    </row>
    <row r="2891">
      <c r="A2891" s="3">
        <f>IFERROR(__xludf.DUMMYFUNCTION("""COMPUTED_VALUE"""),43302.99861111111)</f>
        <v>43302.99861</v>
      </c>
      <c r="B2891" s="1">
        <f>IFERROR(__xludf.DUMMYFUNCTION("""COMPUTED_VALUE"""),1846.67499)</f>
        <v>1846.67499</v>
      </c>
    </row>
    <row r="2892">
      <c r="A2892" s="3">
        <f>IFERROR(__xludf.DUMMYFUNCTION("""COMPUTED_VALUE"""),43303.99861111111)</f>
        <v>43303.99861</v>
      </c>
      <c r="B2892" s="1">
        <f>IFERROR(__xludf.DUMMYFUNCTION("""COMPUTED_VALUE"""),1843.8602)</f>
        <v>1843.8602</v>
      </c>
    </row>
    <row r="2893">
      <c r="A2893" s="3">
        <f>IFERROR(__xludf.DUMMYFUNCTION("""COMPUTED_VALUE"""),43304.99861111111)</f>
        <v>43304.99861</v>
      </c>
      <c r="B2893" s="1">
        <f>IFERROR(__xludf.DUMMYFUNCTION("""COMPUTED_VALUE"""),1856.045175)</f>
        <v>1856.045175</v>
      </c>
    </row>
    <row r="2894">
      <c r="A2894" s="3">
        <f>IFERROR(__xludf.DUMMYFUNCTION("""COMPUTED_VALUE"""),43305.99861111111)</f>
        <v>43305.99861</v>
      </c>
      <c r="B2894" s="1">
        <f>IFERROR(__xludf.DUMMYFUNCTION("""COMPUTED_VALUE"""),1853.398152)</f>
        <v>1853.398152</v>
      </c>
    </row>
    <row r="2895">
      <c r="A2895" s="3">
        <f>IFERROR(__xludf.DUMMYFUNCTION("""COMPUTED_VALUE"""),43306.99861111111)</f>
        <v>43306.99861</v>
      </c>
      <c r="B2895" s="1">
        <f>IFERROR(__xludf.DUMMYFUNCTION("""COMPUTED_VALUE"""),1843.7089)</f>
        <v>1843.7089</v>
      </c>
    </row>
    <row r="2896">
      <c r="A2896" s="3">
        <f>IFERROR(__xludf.DUMMYFUNCTION("""COMPUTED_VALUE"""),43307.99861111111)</f>
        <v>43307.99861</v>
      </c>
      <c r="B2896" s="1">
        <f>IFERROR(__xludf.DUMMYFUNCTION("""COMPUTED_VALUE"""),1850.7755)</f>
        <v>1850.7755</v>
      </c>
    </row>
    <row r="2897">
      <c r="A2897" s="3">
        <f>IFERROR(__xludf.DUMMYFUNCTION("""COMPUTED_VALUE"""),43308.99861111111)</f>
        <v>43308.99861</v>
      </c>
      <c r="B2897" s="1">
        <f>IFERROR(__xludf.DUMMYFUNCTION("""COMPUTED_VALUE"""),1831.416822)</f>
        <v>1831.416822</v>
      </c>
    </row>
    <row r="2898">
      <c r="A2898" s="3">
        <f>IFERROR(__xludf.DUMMYFUNCTION("""COMPUTED_VALUE"""),43310.99861111111)</f>
        <v>43310.99861</v>
      </c>
      <c r="B2898" s="1">
        <f>IFERROR(__xludf.DUMMYFUNCTION("""COMPUTED_VALUE"""),1836.10551)</f>
        <v>1836.10551</v>
      </c>
    </row>
    <row r="2899">
      <c r="A2899" s="3">
        <f>IFERROR(__xludf.DUMMYFUNCTION("""COMPUTED_VALUE"""),43311.99861111111)</f>
        <v>43311.99861</v>
      </c>
      <c r="B2899" s="1">
        <f>IFERROR(__xludf.DUMMYFUNCTION("""COMPUTED_VALUE"""),1835.08623)</f>
        <v>1835.08623</v>
      </c>
    </row>
    <row r="2900">
      <c r="A2900" s="3">
        <f>IFERROR(__xludf.DUMMYFUNCTION("""COMPUTED_VALUE"""),43312.99861111111)</f>
        <v>43312.99861</v>
      </c>
      <c r="B2900" s="1">
        <f>IFERROR(__xludf.DUMMYFUNCTION("""COMPUTED_VALUE"""),1835.73208)</f>
        <v>1835.73208</v>
      </c>
    </row>
    <row r="2901">
      <c r="A2901" s="3">
        <f>IFERROR(__xludf.DUMMYFUNCTION("""COMPUTED_VALUE"""),43313.99861111111)</f>
        <v>43313.99861</v>
      </c>
      <c r="B2901" s="1">
        <f>IFERROR(__xludf.DUMMYFUNCTION("""COMPUTED_VALUE"""),1846.04349)</f>
        <v>1846.04349</v>
      </c>
    </row>
    <row r="2902">
      <c r="A2902" s="3">
        <f>IFERROR(__xludf.DUMMYFUNCTION("""COMPUTED_VALUE"""),43314.99861111111)</f>
        <v>43314.99861</v>
      </c>
      <c r="B2902" s="1">
        <f>IFERROR(__xludf.DUMMYFUNCTION("""COMPUTED_VALUE"""),1849.9754)</f>
        <v>1849.9754</v>
      </c>
    </row>
    <row r="2903">
      <c r="A2903" s="3">
        <f>IFERROR(__xludf.DUMMYFUNCTION("""COMPUTED_VALUE"""),43315.99861111111)</f>
        <v>43315.99861</v>
      </c>
      <c r="B2903" s="1">
        <f>IFERROR(__xludf.DUMMYFUNCTION("""COMPUTED_VALUE"""),1843.93664)</f>
        <v>1843.93664</v>
      </c>
    </row>
    <row r="2904">
      <c r="A2904" s="3">
        <f>IFERROR(__xludf.DUMMYFUNCTION("""COMPUTED_VALUE"""),43317.99861111111)</f>
        <v>43317.99861</v>
      </c>
      <c r="B2904" s="1">
        <f>IFERROR(__xludf.DUMMYFUNCTION("""COMPUTED_VALUE"""),1845.5164)</f>
        <v>1845.5164</v>
      </c>
    </row>
    <row r="2905">
      <c r="A2905" s="3">
        <f>IFERROR(__xludf.DUMMYFUNCTION("""COMPUTED_VALUE"""),43318.99861111111)</f>
        <v>43318.99861</v>
      </c>
      <c r="B2905" s="1">
        <f>IFERROR(__xludf.DUMMYFUNCTION("""COMPUTED_VALUE"""),1852.81642)</f>
        <v>1852.81642</v>
      </c>
    </row>
    <row r="2906">
      <c r="A2906" s="3">
        <f>IFERROR(__xludf.DUMMYFUNCTION("""COMPUTED_VALUE"""),43319.99861111111)</f>
        <v>43319.99861</v>
      </c>
      <c r="B2906" s="1">
        <f>IFERROR(__xludf.DUMMYFUNCTION("""COMPUTED_VALUE"""),1837.21858)</f>
        <v>1837.21858</v>
      </c>
    </row>
    <row r="2907">
      <c r="A2907" s="3">
        <f>IFERROR(__xludf.DUMMYFUNCTION("""COMPUTED_VALUE"""),43320.99861111111)</f>
        <v>43320.99861</v>
      </c>
      <c r="B2907" s="1">
        <f>IFERROR(__xludf.DUMMYFUNCTION("""COMPUTED_VALUE"""),1834.3052)</f>
        <v>1834.3052</v>
      </c>
    </row>
    <row r="2908">
      <c r="A2908" s="3">
        <f>IFERROR(__xludf.DUMMYFUNCTION("""COMPUTED_VALUE"""),43321.99861111111)</f>
        <v>43321.99861</v>
      </c>
      <c r="B2908" s="1">
        <f>IFERROR(__xludf.DUMMYFUNCTION("""COMPUTED_VALUE"""),1843.58808)</f>
        <v>1843.58808</v>
      </c>
    </row>
    <row r="2909">
      <c r="A2909" s="3">
        <f>IFERROR(__xludf.DUMMYFUNCTION("""COMPUTED_VALUE"""),43322.99861111111)</f>
        <v>43322.99861</v>
      </c>
      <c r="B2909" s="1">
        <f>IFERROR(__xludf.DUMMYFUNCTION("""COMPUTED_VALUE"""),1844.20764)</f>
        <v>1844.20764</v>
      </c>
    </row>
    <row r="2910">
      <c r="A2910" s="3">
        <f>IFERROR(__xludf.DUMMYFUNCTION("""COMPUTED_VALUE"""),43324.99861111111)</f>
        <v>43324.99861</v>
      </c>
      <c r="B2910" s="1">
        <f>IFERROR(__xludf.DUMMYFUNCTION("""COMPUTED_VALUE"""),1843.71547)</f>
        <v>1843.71547</v>
      </c>
    </row>
    <row r="2911">
      <c r="A2911" s="3">
        <f>IFERROR(__xludf.DUMMYFUNCTION("""COMPUTED_VALUE"""),43325.99861111111)</f>
        <v>43325.99861</v>
      </c>
      <c r="B2911" s="1">
        <f>IFERROR(__xludf.DUMMYFUNCTION("""COMPUTED_VALUE"""),1859.12966)</f>
        <v>1859.12966</v>
      </c>
    </row>
    <row r="2912">
      <c r="A2912" s="3">
        <f>IFERROR(__xludf.DUMMYFUNCTION("""COMPUTED_VALUE"""),43326.99861111111)</f>
        <v>43326.99861</v>
      </c>
      <c r="B2912" s="1">
        <f>IFERROR(__xludf.DUMMYFUNCTION("""COMPUTED_VALUE"""),1865.09796)</f>
        <v>1865.09796</v>
      </c>
    </row>
    <row r="2913">
      <c r="A2913" s="3">
        <f>IFERROR(__xludf.DUMMYFUNCTION("""COMPUTED_VALUE"""),43327.99861111111)</f>
        <v>43327.99861</v>
      </c>
      <c r="B2913" s="1">
        <f>IFERROR(__xludf.DUMMYFUNCTION("""COMPUTED_VALUE"""),1854.263362)</f>
        <v>1854.263362</v>
      </c>
    </row>
    <row r="2914">
      <c r="A2914" s="3">
        <f>IFERROR(__xludf.DUMMYFUNCTION("""COMPUTED_VALUE"""),43328.99861111111)</f>
        <v>43328.99861</v>
      </c>
      <c r="B2914" s="1">
        <f>IFERROR(__xludf.DUMMYFUNCTION("""COMPUTED_VALUE"""),1859.715654)</f>
        <v>1859.715654</v>
      </c>
    </row>
    <row r="2915">
      <c r="A2915" s="3">
        <f>IFERROR(__xludf.DUMMYFUNCTION("""COMPUTED_VALUE"""),43329.99861111111)</f>
        <v>43329.99861</v>
      </c>
      <c r="B2915" s="1">
        <f>IFERROR(__xludf.DUMMYFUNCTION("""COMPUTED_VALUE"""),1856.5083)</f>
        <v>1856.5083</v>
      </c>
    </row>
    <row r="2916">
      <c r="A2916" s="3">
        <f>IFERROR(__xludf.DUMMYFUNCTION("""COMPUTED_VALUE"""),43331.99861111111)</f>
        <v>43331.99861</v>
      </c>
      <c r="B2916" s="1">
        <f>IFERROR(__xludf.DUMMYFUNCTION("""COMPUTED_VALUE"""),1856.32708)</f>
        <v>1856.32708</v>
      </c>
    </row>
    <row r="2917">
      <c r="A2917" s="3">
        <f>IFERROR(__xludf.DUMMYFUNCTION("""COMPUTED_VALUE"""),43332.99861111111)</f>
        <v>43332.99861</v>
      </c>
      <c r="B2917" s="1">
        <f>IFERROR(__xludf.DUMMYFUNCTION("""COMPUTED_VALUE"""),1855.05318)</f>
        <v>1855.05318</v>
      </c>
    </row>
    <row r="2918">
      <c r="A2918" s="3">
        <f>IFERROR(__xludf.DUMMYFUNCTION("""COMPUTED_VALUE"""),43333.99861111111)</f>
        <v>43333.99861</v>
      </c>
      <c r="B2918" s="1">
        <f>IFERROR(__xludf.DUMMYFUNCTION("""COMPUTED_VALUE"""),1856.0723)</f>
        <v>1856.0723</v>
      </c>
    </row>
    <row r="2919">
      <c r="A2919" s="3">
        <f>IFERROR(__xludf.DUMMYFUNCTION("""COMPUTED_VALUE"""),43334.99861111111)</f>
        <v>43334.99861</v>
      </c>
      <c r="B2919" s="1">
        <f>IFERROR(__xludf.DUMMYFUNCTION("""COMPUTED_VALUE"""),1856.32708)</f>
        <v>1856.32708</v>
      </c>
    </row>
    <row r="2920">
      <c r="A2920" s="3">
        <f>IFERROR(__xludf.DUMMYFUNCTION("""COMPUTED_VALUE"""),43335.99861111111)</f>
        <v>43335.99861</v>
      </c>
      <c r="B2920" s="1">
        <f>IFERROR(__xludf.DUMMYFUNCTION("""COMPUTED_VALUE"""),1868.04696)</f>
        <v>1868.04696</v>
      </c>
    </row>
    <row r="2921">
      <c r="A2921" s="3">
        <f>IFERROR(__xludf.DUMMYFUNCTION("""COMPUTED_VALUE"""),43336.99861111111)</f>
        <v>43336.99861</v>
      </c>
      <c r="B2921" s="1">
        <f>IFERROR(__xludf.DUMMYFUNCTION("""COMPUTED_VALUE"""),1856.30874)</f>
        <v>1856.30874</v>
      </c>
    </row>
    <row r="2922">
      <c r="A2922" s="3">
        <f>IFERROR(__xludf.DUMMYFUNCTION("""COMPUTED_VALUE"""),43338.99861111111)</f>
        <v>43338.99861</v>
      </c>
      <c r="B2922" s="1">
        <f>IFERROR(__xludf.DUMMYFUNCTION("""COMPUTED_VALUE"""),1854.67101)</f>
        <v>1854.67101</v>
      </c>
    </row>
    <row r="2923">
      <c r="A2923" s="3">
        <f>IFERROR(__xludf.DUMMYFUNCTION("""COMPUTED_VALUE"""),43339.99861111111)</f>
        <v>43339.99861</v>
      </c>
      <c r="B2923" s="1">
        <f>IFERROR(__xludf.DUMMYFUNCTION("""COMPUTED_VALUE"""),1853.65189)</f>
        <v>1853.65189</v>
      </c>
    </row>
    <row r="2924">
      <c r="A2924" s="3">
        <f>IFERROR(__xludf.DUMMYFUNCTION("""COMPUTED_VALUE"""),43340.99861111111)</f>
        <v>43340.99861</v>
      </c>
      <c r="B2924" s="1">
        <f>IFERROR(__xludf.DUMMYFUNCTION("""COMPUTED_VALUE"""),1866.35261)</f>
        <v>1866.35261</v>
      </c>
    </row>
    <row r="2925">
      <c r="A2925" s="3">
        <f>IFERROR(__xludf.DUMMYFUNCTION("""COMPUTED_VALUE"""),43341.99861111111)</f>
        <v>43341.99861</v>
      </c>
      <c r="B2925" s="1">
        <f>IFERROR(__xludf.DUMMYFUNCTION("""COMPUTED_VALUE"""),1862.47938)</f>
        <v>1862.47938</v>
      </c>
    </row>
    <row r="2926">
      <c r="A2926" s="3">
        <f>IFERROR(__xludf.DUMMYFUNCTION("""COMPUTED_VALUE"""),43342.99861111111)</f>
        <v>43342.99861</v>
      </c>
      <c r="B2926" s="1">
        <f>IFERROR(__xludf.DUMMYFUNCTION("""COMPUTED_VALUE"""),1879.2774)</f>
        <v>1879.2774</v>
      </c>
    </row>
    <row r="2927">
      <c r="A2927" s="3">
        <f>IFERROR(__xludf.DUMMYFUNCTION("""COMPUTED_VALUE"""),43343.99861111111)</f>
        <v>43343.99861</v>
      </c>
      <c r="B2927" s="1">
        <f>IFERROR(__xludf.DUMMYFUNCTION("""COMPUTED_VALUE"""),1875.81775)</f>
        <v>1875.81775</v>
      </c>
    </row>
    <row r="2928">
      <c r="A2928" s="3">
        <f>IFERROR(__xludf.DUMMYFUNCTION("""COMPUTED_VALUE"""),43344.99861111111)</f>
        <v>43344.99861</v>
      </c>
      <c r="B2928" s="1">
        <f>IFERROR(__xludf.DUMMYFUNCTION("""COMPUTED_VALUE"""),1875.56297)</f>
        <v>1875.56297</v>
      </c>
    </row>
    <row r="2929">
      <c r="A2929" s="3">
        <f>IFERROR(__xludf.DUMMYFUNCTION("""COMPUTED_VALUE"""),43345.99861111111)</f>
        <v>43345.99861</v>
      </c>
      <c r="B2929" s="1">
        <f>IFERROR(__xludf.DUMMYFUNCTION("""COMPUTED_VALUE"""),1875.7102)</f>
        <v>1875.7102</v>
      </c>
    </row>
    <row r="2930">
      <c r="A2930" s="3">
        <f>IFERROR(__xludf.DUMMYFUNCTION("""COMPUTED_VALUE"""),43346.99861111111)</f>
        <v>43346.99861</v>
      </c>
      <c r="B2930" s="1">
        <f>IFERROR(__xludf.DUMMYFUNCTION("""COMPUTED_VALUE"""),1889.44848)</f>
        <v>1889.44848</v>
      </c>
    </row>
    <row r="2931">
      <c r="A2931" s="3">
        <f>IFERROR(__xludf.DUMMYFUNCTION("""COMPUTED_VALUE"""),43347.99861111111)</f>
        <v>43347.99861</v>
      </c>
      <c r="B2931" s="1">
        <f>IFERROR(__xludf.DUMMYFUNCTION("""COMPUTED_VALUE"""),1901.9327)</f>
        <v>1901.9327</v>
      </c>
    </row>
    <row r="2932">
      <c r="A2932" s="3">
        <f>IFERROR(__xludf.DUMMYFUNCTION("""COMPUTED_VALUE"""),43348.99861111111)</f>
        <v>43348.99861</v>
      </c>
      <c r="B2932" s="1">
        <f>IFERROR(__xludf.DUMMYFUNCTION("""COMPUTED_VALUE"""),1908.589059)</f>
        <v>1908.589059</v>
      </c>
    </row>
    <row r="2933">
      <c r="A2933" s="3">
        <f>IFERROR(__xludf.DUMMYFUNCTION("""COMPUTED_VALUE"""),43349.99861111111)</f>
        <v>43349.99861</v>
      </c>
      <c r="B2933" s="1">
        <f>IFERROR(__xludf.DUMMYFUNCTION("""COMPUTED_VALUE"""),1897.21927)</f>
        <v>1897.21927</v>
      </c>
    </row>
    <row r="2934">
      <c r="A2934" s="3">
        <f>IFERROR(__xludf.DUMMYFUNCTION("""COMPUTED_VALUE"""),43350.99861111111)</f>
        <v>43350.99861</v>
      </c>
      <c r="B2934" s="1">
        <f>IFERROR(__xludf.DUMMYFUNCTION("""COMPUTED_VALUE"""),1907.45181)</f>
        <v>1907.45181</v>
      </c>
    </row>
    <row r="2935">
      <c r="A2935" s="3">
        <f>IFERROR(__xludf.DUMMYFUNCTION("""COMPUTED_VALUE"""),43351.99861111111)</f>
        <v>43351.99861</v>
      </c>
      <c r="B2935" s="1">
        <f>IFERROR(__xludf.DUMMYFUNCTION("""COMPUTED_VALUE"""),1887.02807)</f>
        <v>1887.02807</v>
      </c>
    </row>
    <row r="2936">
      <c r="A2936" s="3">
        <f>IFERROR(__xludf.DUMMYFUNCTION("""COMPUTED_VALUE"""),43352.99861111111)</f>
        <v>43352.99861</v>
      </c>
      <c r="B2936" s="1">
        <f>IFERROR(__xludf.DUMMYFUNCTION("""COMPUTED_VALUE"""),1887.02807)</f>
        <v>1887.02807</v>
      </c>
    </row>
    <row r="2937">
      <c r="A2937" s="3">
        <f>IFERROR(__xludf.DUMMYFUNCTION("""COMPUTED_VALUE"""),43353.99861111111)</f>
        <v>43353.99861</v>
      </c>
      <c r="B2937" s="1">
        <f>IFERROR(__xludf.DUMMYFUNCTION("""COMPUTED_VALUE"""),1891.040855)</f>
        <v>1891.040855</v>
      </c>
    </row>
    <row r="2938">
      <c r="A2938" s="3">
        <f>IFERROR(__xludf.DUMMYFUNCTION("""COMPUTED_VALUE"""),43354.99861111111)</f>
        <v>43354.99861</v>
      </c>
      <c r="B2938" s="1">
        <f>IFERROR(__xludf.DUMMYFUNCTION("""COMPUTED_VALUE"""),1889.93706)</f>
        <v>1889.93706</v>
      </c>
    </row>
    <row r="2939">
      <c r="A2939" s="3">
        <f>IFERROR(__xludf.DUMMYFUNCTION("""COMPUTED_VALUE"""),43355.99861111111)</f>
        <v>43355.99861</v>
      </c>
      <c r="B2939" s="1">
        <f>IFERROR(__xludf.DUMMYFUNCTION("""COMPUTED_VALUE"""),1886.55987)</f>
        <v>1886.55987</v>
      </c>
    </row>
    <row r="2940">
      <c r="A2940" s="3">
        <f>IFERROR(__xludf.DUMMYFUNCTION("""COMPUTED_VALUE"""),43356.99861111111)</f>
        <v>43356.99861</v>
      </c>
      <c r="B2940" s="1">
        <f>IFERROR(__xludf.DUMMYFUNCTION("""COMPUTED_VALUE"""),1878.0234)</f>
        <v>1878.0234</v>
      </c>
    </row>
    <row r="2941">
      <c r="A2941" s="3">
        <f>IFERROR(__xludf.DUMMYFUNCTION("""COMPUTED_VALUE"""),43357.99861111111)</f>
        <v>43357.99861</v>
      </c>
      <c r="B2941" s="1">
        <f>IFERROR(__xludf.DUMMYFUNCTION("""COMPUTED_VALUE"""),1885.94342)</f>
        <v>1885.94342</v>
      </c>
    </row>
    <row r="2942">
      <c r="A2942" s="3">
        <f>IFERROR(__xludf.DUMMYFUNCTION("""COMPUTED_VALUE"""),43359.99861111111)</f>
        <v>43359.99861</v>
      </c>
      <c r="B2942" s="1">
        <f>IFERROR(__xludf.DUMMYFUNCTION("""COMPUTED_VALUE"""),1886.85601)</f>
        <v>1886.85601</v>
      </c>
    </row>
    <row r="2943">
      <c r="A2943" s="3">
        <f>IFERROR(__xludf.DUMMYFUNCTION("""COMPUTED_VALUE"""),43360.99861111111)</f>
        <v>43360.99861</v>
      </c>
      <c r="B2943" s="1">
        <f>IFERROR(__xludf.DUMMYFUNCTION("""COMPUTED_VALUE"""),1900.058966)</f>
        <v>1900.058966</v>
      </c>
    </row>
    <row r="2944">
      <c r="A2944" s="3">
        <f>IFERROR(__xludf.DUMMYFUNCTION("""COMPUTED_VALUE"""),43361.99861111111)</f>
        <v>43361.99861</v>
      </c>
      <c r="B2944" s="1">
        <f>IFERROR(__xludf.DUMMYFUNCTION("""COMPUTED_VALUE"""),1895.24516)</f>
        <v>1895.24516</v>
      </c>
    </row>
    <row r="2945">
      <c r="A2945" s="3">
        <f>IFERROR(__xludf.DUMMYFUNCTION("""COMPUTED_VALUE"""),43362.99861111111)</f>
        <v>43362.99861</v>
      </c>
      <c r="B2945" s="1">
        <f>IFERROR(__xludf.DUMMYFUNCTION("""COMPUTED_VALUE"""),1896.456)</f>
        <v>1896.456</v>
      </c>
    </row>
    <row r="2946">
      <c r="A2946" s="3">
        <f>IFERROR(__xludf.DUMMYFUNCTION("""COMPUTED_VALUE"""),43363.99861111111)</f>
        <v>43363.99861</v>
      </c>
      <c r="B2946" s="1">
        <f>IFERROR(__xludf.DUMMYFUNCTION("""COMPUTED_VALUE"""),1890.93168)</f>
        <v>1890.93168</v>
      </c>
    </row>
    <row r="2947">
      <c r="A2947" s="3">
        <f>IFERROR(__xludf.DUMMYFUNCTION("""COMPUTED_VALUE"""),43364.99861111111)</f>
        <v>43364.99861</v>
      </c>
      <c r="B2947" s="1">
        <f>IFERROR(__xludf.DUMMYFUNCTION("""COMPUTED_VALUE"""),1900.8458)</f>
        <v>1900.8458</v>
      </c>
    </row>
    <row r="2948">
      <c r="A2948" s="3">
        <f>IFERROR(__xludf.DUMMYFUNCTION("""COMPUTED_VALUE"""),43365.99861111111)</f>
        <v>43365.99861</v>
      </c>
      <c r="B2948" s="1">
        <f>IFERROR(__xludf.DUMMYFUNCTION("""COMPUTED_VALUE"""),1896.6766)</f>
        <v>1896.6766</v>
      </c>
    </row>
    <row r="2949">
      <c r="A2949" s="3">
        <f>IFERROR(__xludf.DUMMYFUNCTION("""COMPUTED_VALUE"""),43366.99861111111)</f>
        <v>43366.99861</v>
      </c>
      <c r="B2949" s="1">
        <f>IFERROR(__xludf.DUMMYFUNCTION("""COMPUTED_VALUE"""),1896.23224)</f>
        <v>1896.23224</v>
      </c>
    </row>
    <row r="2950">
      <c r="A2950" s="3">
        <f>IFERROR(__xludf.DUMMYFUNCTION("""COMPUTED_VALUE"""),43367.99861111111)</f>
        <v>43367.99861</v>
      </c>
      <c r="B2950" s="1">
        <f>IFERROR(__xludf.DUMMYFUNCTION("""COMPUTED_VALUE"""),1902.35661)</f>
        <v>1902.35661</v>
      </c>
    </row>
    <row r="2951">
      <c r="A2951" s="3">
        <f>IFERROR(__xludf.DUMMYFUNCTION("""COMPUTED_VALUE"""),43368.99861111111)</f>
        <v>43368.99861</v>
      </c>
      <c r="B2951" s="1">
        <f>IFERROR(__xludf.DUMMYFUNCTION("""COMPUTED_VALUE"""),1923.202645)</f>
        <v>1923.202645</v>
      </c>
    </row>
    <row r="2952">
      <c r="A2952" s="3">
        <f>IFERROR(__xludf.DUMMYFUNCTION("""COMPUTED_VALUE"""),43369.99861111111)</f>
        <v>43369.99861</v>
      </c>
      <c r="B2952" s="1">
        <f>IFERROR(__xludf.DUMMYFUNCTION("""COMPUTED_VALUE"""),1918.22985)</f>
        <v>1918.22985</v>
      </c>
    </row>
    <row r="2953">
      <c r="A2953" s="3">
        <f>IFERROR(__xludf.DUMMYFUNCTION("""COMPUTED_VALUE"""),43370.99861111111)</f>
        <v>43370.99861</v>
      </c>
      <c r="B2953" s="1">
        <f>IFERROR(__xludf.DUMMYFUNCTION("""COMPUTED_VALUE"""),1908.711272)</f>
        <v>1908.711272</v>
      </c>
    </row>
    <row r="2954">
      <c r="A2954" s="3">
        <f>IFERROR(__xludf.DUMMYFUNCTION("""COMPUTED_VALUE"""),43371.99861111111)</f>
        <v>43371.99861</v>
      </c>
      <c r="B2954" s="1">
        <f>IFERROR(__xludf.DUMMYFUNCTION("""COMPUTED_VALUE"""),1902.0486)</f>
        <v>1902.0486</v>
      </c>
    </row>
    <row r="2955">
      <c r="A2955" s="3">
        <f>IFERROR(__xludf.DUMMYFUNCTION("""COMPUTED_VALUE"""),43373.99861111111)</f>
        <v>43373.99861</v>
      </c>
      <c r="B2955" s="1">
        <f>IFERROR(__xludf.DUMMYFUNCTION("""COMPUTED_VALUE"""),1903.58148)</f>
        <v>1903.58148</v>
      </c>
    </row>
    <row r="2956">
      <c r="A2956" s="3">
        <f>IFERROR(__xludf.DUMMYFUNCTION("""COMPUTED_VALUE"""),43374.99861111111)</f>
        <v>43374.99861</v>
      </c>
      <c r="B2956" s="1">
        <f>IFERROR(__xludf.DUMMYFUNCTION("""COMPUTED_VALUE"""),1922.758009)</f>
        <v>1922.758009</v>
      </c>
    </row>
    <row r="2957">
      <c r="A2957" s="3">
        <f>IFERROR(__xludf.DUMMYFUNCTION("""COMPUTED_VALUE"""),43375.99861111111)</f>
        <v>43375.99861</v>
      </c>
      <c r="B2957" s="1">
        <f>IFERROR(__xludf.DUMMYFUNCTION("""COMPUTED_VALUE"""),1919.14956)</f>
        <v>1919.14956</v>
      </c>
    </row>
    <row r="2958">
      <c r="A2958" s="3">
        <f>IFERROR(__xludf.DUMMYFUNCTION("""COMPUTED_VALUE"""),43376.99861111111)</f>
        <v>43376.99861</v>
      </c>
      <c r="B2958" s="1">
        <f>IFERROR(__xludf.DUMMYFUNCTION("""COMPUTED_VALUE"""),1931.459136)</f>
        <v>1931.459136</v>
      </c>
    </row>
    <row r="2959">
      <c r="A2959" s="3">
        <f>IFERROR(__xludf.DUMMYFUNCTION("""COMPUTED_VALUE"""),43377.99861111111)</f>
        <v>43377.99861</v>
      </c>
      <c r="B2959" s="1">
        <f>IFERROR(__xludf.DUMMYFUNCTION("""COMPUTED_VALUE"""),1966.637907)</f>
        <v>1966.637907</v>
      </c>
    </row>
    <row r="2960">
      <c r="A2960" s="3">
        <f>IFERROR(__xludf.DUMMYFUNCTION("""COMPUTED_VALUE"""),43378.99861111111)</f>
        <v>43378.99861</v>
      </c>
      <c r="B2960" s="1">
        <f>IFERROR(__xludf.DUMMYFUNCTION("""COMPUTED_VALUE"""),1928.170225)</f>
        <v>1928.170225</v>
      </c>
    </row>
    <row r="2961">
      <c r="A2961" s="3">
        <f>IFERROR(__xludf.DUMMYFUNCTION("""COMPUTED_VALUE"""),43379.99861111111)</f>
        <v>43379.99861</v>
      </c>
      <c r="B2961" s="1">
        <f>IFERROR(__xludf.DUMMYFUNCTION("""COMPUTED_VALUE"""),1939.360631)</f>
        <v>1939.360631</v>
      </c>
    </row>
    <row r="2962">
      <c r="A2962" s="3">
        <f>IFERROR(__xludf.DUMMYFUNCTION("""COMPUTED_VALUE"""),43380.99861111111)</f>
        <v>43380.99861</v>
      </c>
      <c r="B2962" s="1">
        <f>IFERROR(__xludf.DUMMYFUNCTION("""COMPUTED_VALUE"""),1936.165838)</f>
        <v>1936.165838</v>
      </c>
    </row>
    <row r="2963">
      <c r="A2963" s="3">
        <f>IFERROR(__xludf.DUMMYFUNCTION("""COMPUTED_VALUE"""),43381.99861111111)</f>
        <v>43381.99861</v>
      </c>
      <c r="B2963" s="1">
        <f>IFERROR(__xludf.DUMMYFUNCTION("""COMPUTED_VALUE"""),1967.196)</f>
        <v>1967.196</v>
      </c>
    </row>
    <row r="2964">
      <c r="A2964" s="3">
        <f>IFERROR(__xludf.DUMMYFUNCTION("""COMPUTED_VALUE"""),43382.99861111111)</f>
        <v>43382.99861</v>
      </c>
      <c r="B2964" s="1">
        <f>IFERROR(__xludf.DUMMYFUNCTION("""COMPUTED_VALUE"""),1943.21595)</f>
        <v>1943.21595</v>
      </c>
    </row>
    <row r="2965">
      <c r="A2965" s="3">
        <f>IFERROR(__xludf.DUMMYFUNCTION("""COMPUTED_VALUE"""),43383.99861111111)</f>
        <v>43383.99861</v>
      </c>
      <c r="B2965" s="1">
        <f>IFERROR(__xludf.DUMMYFUNCTION("""COMPUTED_VALUE"""),1938.85764)</f>
        <v>1938.85764</v>
      </c>
    </row>
    <row r="2966">
      <c r="A2966" s="3">
        <f>IFERROR(__xludf.DUMMYFUNCTION("""COMPUTED_VALUE"""),43384.99861111111)</f>
        <v>43384.99861</v>
      </c>
      <c r="B2966" s="1">
        <f>IFERROR(__xludf.DUMMYFUNCTION("""COMPUTED_VALUE"""),1952.636896)</f>
        <v>1952.636896</v>
      </c>
    </row>
    <row r="2967">
      <c r="A2967" s="3">
        <f>IFERROR(__xludf.DUMMYFUNCTION("""COMPUTED_VALUE"""),43385.99861111111)</f>
        <v>43385.99861</v>
      </c>
      <c r="B2967" s="1">
        <f>IFERROR(__xludf.DUMMYFUNCTION("""COMPUTED_VALUE"""),1937.71827)</f>
        <v>1937.71827</v>
      </c>
    </row>
    <row r="2968">
      <c r="A2968" s="3">
        <f>IFERROR(__xludf.DUMMYFUNCTION("""COMPUTED_VALUE"""),43387.99861111111)</f>
        <v>43387.99861</v>
      </c>
      <c r="B2968" s="1">
        <f>IFERROR(__xludf.DUMMYFUNCTION("""COMPUTED_VALUE"""),1939.72074)</f>
        <v>1939.72074</v>
      </c>
    </row>
    <row r="2969">
      <c r="A2969" s="3">
        <f>IFERROR(__xludf.DUMMYFUNCTION("""COMPUTED_VALUE"""),43388.99861111111)</f>
        <v>43388.99861</v>
      </c>
      <c r="B2969" s="1">
        <f>IFERROR(__xludf.DUMMYFUNCTION("""COMPUTED_VALUE"""),1939.032756)</f>
        <v>1939.032756</v>
      </c>
    </row>
    <row r="2970">
      <c r="A2970" s="3">
        <f>IFERROR(__xludf.DUMMYFUNCTION("""COMPUTED_VALUE"""),43389.99861111111)</f>
        <v>43389.99861</v>
      </c>
      <c r="B2970" s="1">
        <f>IFERROR(__xludf.DUMMYFUNCTION("""COMPUTED_VALUE"""),1938.32294)</f>
        <v>1938.32294</v>
      </c>
    </row>
    <row r="2971">
      <c r="A2971" s="3">
        <f>IFERROR(__xludf.DUMMYFUNCTION("""COMPUTED_VALUE"""),43390.99861111111)</f>
        <v>43390.99861</v>
      </c>
      <c r="B2971" s="1">
        <f>IFERROR(__xludf.DUMMYFUNCTION("""COMPUTED_VALUE"""),1947.114108)</f>
        <v>1947.114108</v>
      </c>
    </row>
    <row r="2972">
      <c r="A2972" s="3">
        <f>IFERROR(__xludf.DUMMYFUNCTION("""COMPUTED_VALUE"""),43391.99861111111)</f>
        <v>43391.99861</v>
      </c>
      <c r="B2972" s="1">
        <f>IFERROR(__xludf.DUMMYFUNCTION("""COMPUTED_VALUE"""),1955.456745)</f>
        <v>1955.456745</v>
      </c>
    </row>
    <row r="2973">
      <c r="A2973" s="3">
        <f>IFERROR(__xludf.DUMMYFUNCTION("""COMPUTED_VALUE"""),43392.99861111111)</f>
        <v>43392.99861</v>
      </c>
      <c r="B2973" s="1">
        <f>IFERROR(__xludf.DUMMYFUNCTION("""COMPUTED_VALUE"""),1934.517965)</f>
        <v>1934.517965</v>
      </c>
    </row>
    <row r="2974">
      <c r="A2974" s="3">
        <f>IFERROR(__xludf.DUMMYFUNCTION("""COMPUTED_VALUE"""),43394.99861111111)</f>
        <v>43394.99861</v>
      </c>
      <c r="B2974" s="1">
        <f>IFERROR(__xludf.DUMMYFUNCTION("""COMPUTED_VALUE"""),1936.03293)</f>
        <v>1936.03293</v>
      </c>
    </row>
    <row r="2975">
      <c r="A2975" s="3">
        <f>IFERROR(__xludf.DUMMYFUNCTION("""COMPUTED_VALUE"""),43395.99861111111)</f>
        <v>43395.99861</v>
      </c>
      <c r="B2975" s="1">
        <f>IFERROR(__xludf.DUMMYFUNCTION("""COMPUTED_VALUE"""),1947.012485)</f>
        <v>1947.012485</v>
      </c>
    </row>
    <row r="2976">
      <c r="A2976" s="3">
        <f>IFERROR(__xludf.DUMMYFUNCTION("""COMPUTED_VALUE"""),43396.99861111111)</f>
        <v>43396.99861</v>
      </c>
      <c r="B2976" s="1">
        <f>IFERROR(__xludf.DUMMYFUNCTION("""COMPUTED_VALUE"""),1936.74348)</f>
        <v>1936.74348</v>
      </c>
    </row>
    <row r="2977">
      <c r="A2977" s="3">
        <f>IFERROR(__xludf.DUMMYFUNCTION("""COMPUTED_VALUE"""),43397.99861111111)</f>
        <v>43397.99861</v>
      </c>
      <c r="B2977" s="1">
        <f>IFERROR(__xludf.DUMMYFUNCTION("""COMPUTED_VALUE"""),1947.319335)</f>
        <v>1947.319335</v>
      </c>
    </row>
    <row r="2978">
      <c r="A2978" s="3">
        <f>IFERROR(__xludf.DUMMYFUNCTION("""COMPUTED_VALUE"""),43398.99861111111)</f>
        <v>43398.99861</v>
      </c>
      <c r="B2978" s="1">
        <f>IFERROR(__xludf.DUMMYFUNCTION("""COMPUTED_VALUE"""),1945.916042)</f>
        <v>1945.916042</v>
      </c>
    </row>
    <row r="2979">
      <c r="A2979" s="3">
        <f>IFERROR(__xludf.DUMMYFUNCTION("""COMPUTED_VALUE"""),43399.99861111111)</f>
        <v>43399.99861</v>
      </c>
      <c r="B2979" s="1">
        <f>IFERROR(__xludf.DUMMYFUNCTION("""COMPUTED_VALUE"""),1936.497688)</f>
        <v>1936.497688</v>
      </c>
    </row>
    <row r="2980">
      <c r="A2980" s="3">
        <f>IFERROR(__xludf.DUMMYFUNCTION("""COMPUTED_VALUE"""),43400.99861111111)</f>
        <v>43400.99861</v>
      </c>
      <c r="B2980" s="1">
        <f>IFERROR(__xludf.DUMMYFUNCTION("""COMPUTED_VALUE"""),1938.9708)</f>
        <v>1938.9708</v>
      </c>
    </row>
    <row r="2981">
      <c r="A2981" s="3">
        <f>IFERROR(__xludf.DUMMYFUNCTION("""COMPUTED_VALUE"""),43401.99861111111)</f>
        <v>43401.99861</v>
      </c>
      <c r="B2981" s="1">
        <f>IFERROR(__xludf.DUMMYFUNCTION("""COMPUTED_VALUE"""),1939.8834)</f>
        <v>1939.8834</v>
      </c>
    </row>
    <row r="2982">
      <c r="A2982" s="3">
        <f>IFERROR(__xludf.DUMMYFUNCTION("""COMPUTED_VALUE"""),43402.99861111111)</f>
        <v>43402.99861</v>
      </c>
      <c r="B2982" s="1">
        <f>IFERROR(__xludf.DUMMYFUNCTION("""COMPUTED_VALUE"""),1950.316522)</f>
        <v>1950.316522</v>
      </c>
    </row>
    <row r="2983">
      <c r="A2983" s="3">
        <f>IFERROR(__xludf.DUMMYFUNCTION("""COMPUTED_VALUE"""),43403.99861111111)</f>
        <v>43403.99861</v>
      </c>
      <c r="B2983" s="1">
        <f>IFERROR(__xludf.DUMMYFUNCTION("""COMPUTED_VALUE"""),1946.862057)</f>
        <v>1946.862057</v>
      </c>
    </row>
    <row r="2984">
      <c r="A2984" s="3">
        <f>IFERROR(__xludf.DUMMYFUNCTION("""COMPUTED_VALUE"""),43404.99861111111)</f>
        <v>43404.99861</v>
      </c>
      <c r="B2984" s="1">
        <f>IFERROR(__xludf.DUMMYFUNCTION("""COMPUTED_VALUE"""),1937.64196)</f>
        <v>1937.64196</v>
      </c>
    </row>
    <row r="2985">
      <c r="A2985" s="3">
        <f>IFERROR(__xludf.DUMMYFUNCTION("""COMPUTED_VALUE"""),43405.99861111111)</f>
        <v>43405.99861</v>
      </c>
      <c r="B2985" s="1">
        <f>IFERROR(__xludf.DUMMYFUNCTION("""COMPUTED_VALUE"""),1923.368868)</f>
        <v>1923.368868</v>
      </c>
    </row>
    <row r="2986">
      <c r="A2986" s="3">
        <f>IFERROR(__xludf.DUMMYFUNCTION("""COMPUTED_VALUE"""),43406.99861111111)</f>
        <v>43406.99861</v>
      </c>
      <c r="B2986" s="1">
        <f>IFERROR(__xludf.DUMMYFUNCTION("""COMPUTED_VALUE"""),1909.65042)</f>
        <v>1909.65042</v>
      </c>
    </row>
    <row r="2987">
      <c r="A2987" s="3">
        <f>IFERROR(__xludf.DUMMYFUNCTION("""COMPUTED_VALUE"""),43408.99861111111)</f>
        <v>43408.99861</v>
      </c>
      <c r="B2987" s="1">
        <f>IFERROR(__xludf.DUMMYFUNCTION("""COMPUTED_VALUE"""),1910.69664)</f>
        <v>1910.69664</v>
      </c>
    </row>
    <row r="2988">
      <c r="A2988" s="3">
        <f>IFERROR(__xludf.DUMMYFUNCTION("""COMPUTED_VALUE"""),43409.99861111111)</f>
        <v>43409.99861</v>
      </c>
      <c r="B2988" s="1">
        <f>IFERROR(__xludf.DUMMYFUNCTION("""COMPUTED_VALUE"""),1905.040672)</f>
        <v>1905.040672</v>
      </c>
    </row>
    <row r="2989">
      <c r="A2989" s="3">
        <f>IFERROR(__xludf.DUMMYFUNCTION("""COMPUTED_VALUE"""),43410.99861111111)</f>
        <v>43410.99861</v>
      </c>
      <c r="B2989" s="1">
        <f>IFERROR(__xludf.DUMMYFUNCTION("""COMPUTED_VALUE"""),1893.1978)</f>
        <v>1893.1978</v>
      </c>
    </row>
    <row r="2990">
      <c r="A2990" s="3">
        <f>IFERROR(__xludf.DUMMYFUNCTION("""COMPUTED_VALUE"""),43411.99861111111)</f>
        <v>43411.99861</v>
      </c>
      <c r="B2990" s="1">
        <f>IFERROR(__xludf.DUMMYFUNCTION("""COMPUTED_VALUE"""),1864.717497)</f>
        <v>1864.717497</v>
      </c>
    </row>
    <row r="2991">
      <c r="A2991" s="3">
        <f>IFERROR(__xludf.DUMMYFUNCTION("""COMPUTED_VALUE"""),43412.99861111111)</f>
        <v>43412.99861</v>
      </c>
      <c r="B2991" s="1">
        <f>IFERROR(__xludf.DUMMYFUNCTION("""COMPUTED_VALUE"""),1880.3328)</f>
        <v>1880.3328</v>
      </c>
    </row>
    <row r="2992">
      <c r="A2992" s="3">
        <f>IFERROR(__xludf.DUMMYFUNCTION("""COMPUTED_VALUE"""),43413.99861111111)</f>
        <v>43413.99861</v>
      </c>
      <c r="B2992" s="1">
        <f>IFERROR(__xludf.DUMMYFUNCTION("""COMPUTED_VALUE"""),1873.94026)</f>
        <v>1873.94026</v>
      </c>
    </row>
    <row r="2993">
      <c r="A2993" s="3">
        <f>IFERROR(__xludf.DUMMYFUNCTION("""COMPUTED_VALUE"""),43414.99861111111)</f>
        <v>43414.99861</v>
      </c>
      <c r="B2993" s="1">
        <f>IFERROR(__xludf.DUMMYFUNCTION("""COMPUTED_VALUE"""),1873.94026)</f>
        <v>1873.94026</v>
      </c>
    </row>
    <row r="2994">
      <c r="A2994" s="3">
        <f>IFERROR(__xludf.DUMMYFUNCTION("""COMPUTED_VALUE"""),43415.99861111111)</f>
        <v>43415.99861</v>
      </c>
      <c r="B2994" s="1">
        <f>IFERROR(__xludf.DUMMYFUNCTION("""COMPUTED_VALUE"""),1874.23382)</f>
        <v>1874.23382</v>
      </c>
    </row>
    <row r="2995">
      <c r="A2995" s="3">
        <f>IFERROR(__xludf.DUMMYFUNCTION("""COMPUTED_VALUE"""),43416.99861111111)</f>
        <v>43416.99861</v>
      </c>
      <c r="B2995" s="1">
        <f>IFERROR(__xludf.DUMMYFUNCTION("""COMPUTED_VALUE"""),1889.35272)</f>
        <v>1889.35272</v>
      </c>
    </row>
    <row r="2996">
      <c r="A2996" s="3">
        <f>IFERROR(__xludf.DUMMYFUNCTION("""COMPUTED_VALUE"""),43417.99861111111)</f>
        <v>43417.99861</v>
      </c>
      <c r="B2996" s="1">
        <f>IFERROR(__xludf.DUMMYFUNCTION("""COMPUTED_VALUE"""),1889.084167)</f>
        <v>1889.084167</v>
      </c>
    </row>
    <row r="2997">
      <c r="A2997" s="3">
        <f>IFERROR(__xludf.DUMMYFUNCTION("""COMPUTED_VALUE"""),43418.99861111111)</f>
        <v>43418.99861</v>
      </c>
      <c r="B2997" s="1">
        <f>IFERROR(__xludf.DUMMYFUNCTION("""COMPUTED_VALUE"""),1891.510277)</f>
        <v>1891.510277</v>
      </c>
    </row>
    <row r="2998">
      <c r="A2998" s="3">
        <f>IFERROR(__xludf.DUMMYFUNCTION("""COMPUTED_VALUE"""),43419.99861111111)</f>
        <v>43419.99861</v>
      </c>
      <c r="B2998" s="1">
        <f>IFERROR(__xludf.DUMMYFUNCTION("""COMPUTED_VALUE"""),1859.185198)</f>
        <v>1859.185198</v>
      </c>
    </row>
    <row r="2999">
      <c r="A2999" s="3">
        <f>IFERROR(__xludf.DUMMYFUNCTION("""COMPUTED_VALUE"""),43420.99861111111)</f>
        <v>43420.99861</v>
      </c>
      <c r="B2999" s="1">
        <f>IFERROR(__xludf.DUMMYFUNCTION("""COMPUTED_VALUE"""),1865.3506)</f>
        <v>1865.3506</v>
      </c>
    </row>
    <row r="3000">
      <c r="A3000" s="3">
        <f>IFERROR(__xludf.DUMMYFUNCTION("""COMPUTED_VALUE"""),43421.99861111111)</f>
        <v>43421.99861</v>
      </c>
      <c r="B3000" s="1">
        <f>IFERROR(__xludf.DUMMYFUNCTION("""COMPUTED_VALUE"""),1865.20455)</f>
        <v>1865.20455</v>
      </c>
    </row>
    <row r="3001">
      <c r="A3001" s="3">
        <f>IFERROR(__xludf.DUMMYFUNCTION("""COMPUTED_VALUE"""),43422.99861111111)</f>
        <v>43422.99861</v>
      </c>
      <c r="B3001" s="1">
        <f>IFERROR(__xludf.DUMMYFUNCTION("""COMPUTED_VALUE"""),1865.0585)</f>
        <v>1865.0585</v>
      </c>
    </row>
    <row r="3002">
      <c r="A3002" s="3">
        <f>IFERROR(__xludf.DUMMYFUNCTION("""COMPUTED_VALUE"""),43423.99861111111)</f>
        <v>43423.99861</v>
      </c>
      <c r="B3002" s="1">
        <f>IFERROR(__xludf.DUMMYFUNCTION("""COMPUTED_VALUE"""),1870.856736)</f>
        <v>1870.856736</v>
      </c>
    </row>
    <row r="3003">
      <c r="A3003" s="3">
        <f>IFERROR(__xludf.DUMMYFUNCTION("""COMPUTED_VALUE"""),43424.99861111111)</f>
        <v>43424.99861</v>
      </c>
      <c r="B3003" s="1">
        <f>IFERROR(__xludf.DUMMYFUNCTION("""COMPUTED_VALUE"""),1872.484467)</f>
        <v>1872.484467</v>
      </c>
    </row>
    <row r="3004">
      <c r="A3004" s="3">
        <f>IFERROR(__xludf.DUMMYFUNCTION("""COMPUTED_VALUE"""),43425.99861111111)</f>
        <v>43425.99861</v>
      </c>
      <c r="B3004" s="1">
        <f>IFERROR(__xludf.DUMMYFUNCTION("""COMPUTED_VALUE"""),1867.8121)</f>
        <v>1867.8121</v>
      </c>
    </row>
    <row r="3005">
      <c r="A3005" s="3">
        <f>IFERROR(__xludf.DUMMYFUNCTION("""COMPUTED_VALUE"""),43426.99861111111)</f>
        <v>43426.99861</v>
      </c>
      <c r="B3005" s="1">
        <f>IFERROR(__xludf.DUMMYFUNCTION("""COMPUTED_VALUE"""),1864.42)</f>
        <v>1864.42</v>
      </c>
    </row>
    <row r="3006">
      <c r="A3006" s="3">
        <f>IFERROR(__xludf.DUMMYFUNCTION("""COMPUTED_VALUE"""),43427.99861111111)</f>
        <v>43427.99861</v>
      </c>
      <c r="B3006" s="1">
        <f>IFERROR(__xludf.DUMMYFUNCTION("""COMPUTED_VALUE"""),1857.02674)</f>
        <v>1857.02674</v>
      </c>
    </row>
    <row r="3007">
      <c r="A3007" s="3">
        <f>IFERROR(__xludf.DUMMYFUNCTION("""COMPUTED_VALUE"""),43428.99861111111)</f>
        <v>43428.99861</v>
      </c>
      <c r="B3007" s="1">
        <f>IFERROR(__xludf.DUMMYFUNCTION("""COMPUTED_VALUE"""),1858.661246)</f>
        <v>1858.661246</v>
      </c>
    </row>
    <row r="3008">
      <c r="A3008" s="3">
        <f>IFERROR(__xludf.DUMMYFUNCTION("""COMPUTED_VALUE"""),43429.99861111111)</f>
        <v>43429.99861</v>
      </c>
      <c r="B3008" s="1">
        <f>IFERROR(__xludf.DUMMYFUNCTION("""COMPUTED_VALUE"""),1856.88141)</f>
        <v>1856.88141</v>
      </c>
    </row>
    <row r="3009">
      <c r="A3009" s="3">
        <f>IFERROR(__xludf.DUMMYFUNCTION("""COMPUTED_VALUE"""),43430.99861111111)</f>
        <v>43430.99861</v>
      </c>
      <c r="B3009" s="1">
        <f>IFERROR(__xludf.DUMMYFUNCTION("""COMPUTED_VALUE"""),1857.118896)</f>
        <v>1857.118896</v>
      </c>
    </row>
    <row r="3010">
      <c r="A3010" s="3">
        <f>IFERROR(__xludf.DUMMYFUNCTION("""COMPUTED_VALUE"""),43431.99861111111)</f>
        <v>43431.99861</v>
      </c>
      <c r="B3010" s="1">
        <f>IFERROR(__xludf.DUMMYFUNCTION("""COMPUTED_VALUE"""),1862.311635)</f>
        <v>1862.311635</v>
      </c>
    </row>
    <row r="3011">
      <c r="A3011" s="3">
        <f>IFERROR(__xludf.DUMMYFUNCTION("""COMPUTED_VALUE"""),43432.99861111111)</f>
        <v>43432.99861</v>
      </c>
      <c r="B3011" s="1">
        <f>IFERROR(__xludf.DUMMYFUNCTION("""COMPUTED_VALUE"""),1847.673244)</f>
        <v>1847.673244</v>
      </c>
    </row>
    <row r="3012">
      <c r="A3012" s="3">
        <f>IFERROR(__xludf.DUMMYFUNCTION("""COMPUTED_VALUE"""),43433.99861111111)</f>
        <v>43433.99861</v>
      </c>
      <c r="B3012" s="1">
        <f>IFERROR(__xludf.DUMMYFUNCTION("""COMPUTED_VALUE"""),1835.27104)</f>
        <v>1835.27104</v>
      </c>
    </row>
    <row r="3013">
      <c r="A3013" s="3">
        <f>IFERROR(__xludf.DUMMYFUNCTION("""COMPUTED_VALUE"""),43434.99861111111)</f>
        <v>43434.99861</v>
      </c>
      <c r="B3013" s="1">
        <f>IFERROR(__xludf.DUMMYFUNCTION("""COMPUTED_VALUE"""),1830.303105)</f>
        <v>1830.303105</v>
      </c>
    </row>
    <row r="3014">
      <c r="A3014" s="3">
        <f>IFERROR(__xludf.DUMMYFUNCTION("""COMPUTED_VALUE"""),43435.99861111111)</f>
        <v>43435.99861</v>
      </c>
      <c r="B3014" s="1">
        <f>IFERROR(__xludf.DUMMYFUNCTION("""COMPUTED_VALUE"""),1839.351276)</f>
        <v>1839.351276</v>
      </c>
    </row>
    <row r="3015">
      <c r="A3015" s="3">
        <f>IFERROR(__xludf.DUMMYFUNCTION("""COMPUTED_VALUE"""),43436.99861111111)</f>
        <v>43436.99861</v>
      </c>
      <c r="B3015" s="1">
        <f>IFERROR(__xludf.DUMMYFUNCTION("""COMPUTED_VALUE"""),1827.45768)</f>
        <v>1827.45768</v>
      </c>
    </row>
    <row r="3016">
      <c r="A3016" s="3">
        <f>IFERROR(__xludf.DUMMYFUNCTION("""COMPUTED_VALUE"""),43437.99861111111)</f>
        <v>43437.99861</v>
      </c>
      <c r="B3016" s="1">
        <f>IFERROR(__xludf.DUMMYFUNCTION("""COMPUTED_VALUE"""),1821.25)</f>
        <v>1821.25</v>
      </c>
    </row>
    <row r="3017">
      <c r="A3017" s="3">
        <f>IFERROR(__xludf.DUMMYFUNCTION("""COMPUTED_VALUE"""),43438.99861111111)</f>
        <v>43438.99861</v>
      </c>
      <c r="B3017" s="1">
        <f>IFERROR(__xludf.DUMMYFUNCTION("""COMPUTED_VALUE"""),1839.6)</f>
        <v>1839.6</v>
      </c>
    </row>
    <row r="3018">
      <c r="A3018" s="3">
        <f>IFERROR(__xludf.DUMMYFUNCTION("""COMPUTED_VALUE"""),43439.99861111111)</f>
        <v>43439.99861</v>
      </c>
      <c r="B3018" s="1">
        <f>IFERROR(__xludf.DUMMYFUNCTION("""COMPUTED_VALUE"""),1822.65)</f>
        <v>1822.65</v>
      </c>
    </row>
    <row r="3019">
      <c r="A3019" s="3">
        <f>IFERROR(__xludf.DUMMYFUNCTION("""COMPUTED_VALUE"""),43440.99861111111)</f>
        <v>43440.99861</v>
      </c>
      <c r="B3019" s="1">
        <f>IFERROR(__xludf.DUMMYFUNCTION("""COMPUTED_VALUE"""),1860.95)</f>
        <v>1860.95</v>
      </c>
    </row>
    <row r="3020">
      <c r="A3020" s="3">
        <f>IFERROR(__xludf.DUMMYFUNCTION("""COMPUTED_VALUE"""),43441.99861111111)</f>
        <v>43441.99861</v>
      </c>
      <c r="B3020" s="1">
        <f>IFERROR(__xludf.DUMMYFUNCTION("""COMPUTED_VALUE"""),1852.7)</f>
        <v>1852.7</v>
      </c>
    </row>
    <row r="3021">
      <c r="A3021" s="3">
        <f>IFERROR(__xludf.DUMMYFUNCTION("""COMPUTED_VALUE"""),43442.99861111111)</f>
        <v>43442.99861</v>
      </c>
      <c r="B3021" s="1">
        <f>IFERROR(__xludf.DUMMYFUNCTION("""COMPUTED_VALUE"""),1852.7)</f>
        <v>1852.7</v>
      </c>
    </row>
    <row r="3022">
      <c r="A3022" s="3">
        <f>IFERROR(__xludf.DUMMYFUNCTION("""COMPUTED_VALUE"""),43443.99861111111)</f>
        <v>43443.99861</v>
      </c>
      <c r="B3022" s="1">
        <f>IFERROR(__xludf.DUMMYFUNCTION("""COMPUTED_VALUE"""),1849.15)</f>
        <v>1849.15</v>
      </c>
    </row>
    <row r="3023">
      <c r="A3023" s="3">
        <f>IFERROR(__xludf.DUMMYFUNCTION("""COMPUTED_VALUE"""),43444.99861111111)</f>
        <v>43444.99861</v>
      </c>
      <c r="B3023" s="1">
        <f>IFERROR(__xludf.DUMMYFUNCTION("""COMPUTED_VALUE"""),1864.15)</f>
        <v>1864.15</v>
      </c>
    </row>
    <row r="3024">
      <c r="A3024" s="3">
        <f>IFERROR(__xludf.DUMMYFUNCTION("""COMPUTED_VALUE"""),43445.99861111111)</f>
        <v>43445.99861</v>
      </c>
      <c r="B3024" s="1">
        <f>IFERROR(__xludf.DUMMYFUNCTION("""COMPUTED_VALUE"""),1866.8)</f>
        <v>1866.8</v>
      </c>
    </row>
    <row r="3025">
      <c r="A3025" s="3">
        <f>IFERROR(__xludf.DUMMYFUNCTION("""COMPUTED_VALUE"""),43446.99861111111)</f>
        <v>43446.99861</v>
      </c>
      <c r="B3025" s="1">
        <f>IFERROR(__xludf.DUMMYFUNCTION("""COMPUTED_VALUE"""),1866.05)</f>
        <v>1866.05</v>
      </c>
    </row>
    <row r="3026">
      <c r="A3026" s="3">
        <f>IFERROR(__xludf.DUMMYFUNCTION("""COMPUTED_VALUE"""),43447.99861111111)</f>
        <v>43447.99861</v>
      </c>
      <c r="B3026" s="1">
        <f>IFERROR(__xludf.DUMMYFUNCTION("""COMPUTED_VALUE"""),1868.15)</f>
        <v>1868.15</v>
      </c>
    </row>
    <row r="3027">
      <c r="A3027" s="3">
        <f>IFERROR(__xludf.DUMMYFUNCTION("""COMPUTED_VALUE"""),43448.99861111111)</f>
        <v>43448.99861</v>
      </c>
      <c r="B3027" s="1">
        <f>IFERROR(__xludf.DUMMYFUNCTION("""COMPUTED_VALUE"""),1865.35)</f>
        <v>1865.35</v>
      </c>
    </row>
    <row r="3028">
      <c r="A3028" s="3">
        <f>IFERROR(__xludf.DUMMYFUNCTION("""COMPUTED_VALUE"""),43449.99861111111)</f>
        <v>43449.99861</v>
      </c>
      <c r="B3028" s="1">
        <f>IFERROR(__xludf.DUMMYFUNCTION("""COMPUTED_VALUE"""),1865.35)</f>
        <v>1865.35</v>
      </c>
    </row>
    <row r="3029">
      <c r="A3029" s="3">
        <f>IFERROR(__xludf.DUMMYFUNCTION("""COMPUTED_VALUE"""),43450.99861111111)</f>
        <v>43450.99861</v>
      </c>
      <c r="B3029" s="1">
        <f>IFERROR(__xludf.DUMMYFUNCTION("""COMPUTED_VALUE"""),1865.95)</f>
        <v>1865.95</v>
      </c>
    </row>
    <row r="3030">
      <c r="A3030" s="3">
        <f>IFERROR(__xludf.DUMMYFUNCTION("""COMPUTED_VALUE"""),43451.99861111111)</f>
        <v>43451.99861</v>
      </c>
      <c r="B3030" s="1">
        <f>IFERROR(__xludf.DUMMYFUNCTION("""COMPUTED_VALUE"""),1865.9)</f>
        <v>1865.9</v>
      </c>
    </row>
    <row r="3031">
      <c r="A3031" s="3">
        <f>IFERROR(__xludf.DUMMYFUNCTION("""COMPUTED_VALUE"""),43452.99861111111)</f>
        <v>43452.99861</v>
      </c>
      <c r="B3031" s="1">
        <f>IFERROR(__xludf.DUMMYFUNCTION("""COMPUTED_VALUE"""),1852.55)</f>
        <v>1852.55</v>
      </c>
    </row>
    <row r="3032">
      <c r="A3032" s="3">
        <f>IFERROR(__xludf.DUMMYFUNCTION("""COMPUTED_VALUE"""),43453.99861111111)</f>
        <v>43453.99861</v>
      </c>
      <c r="B3032" s="1">
        <f>IFERROR(__xludf.DUMMYFUNCTION("""COMPUTED_VALUE"""),1850.8)</f>
        <v>1850.8</v>
      </c>
    </row>
    <row r="3033">
      <c r="A3033" s="3">
        <f>IFERROR(__xludf.DUMMYFUNCTION("""COMPUTED_VALUE"""),43454.99861111111)</f>
        <v>43454.99861</v>
      </c>
      <c r="B3033" s="1">
        <f>IFERROR(__xludf.DUMMYFUNCTION("""COMPUTED_VALUE"""),1842.25)</f>
        <v>1842.25</v>
      </c>
    </row>
    <row r="3034">
      <c r="A3034" s="3">
        <f>IFERROR(__xludf.DUMMYFUNCTION("""COMPUTED_VALUE"""),43455.99861111111)</f>
        <v>43455.99861</v>
      </c>
      <c r="B3034" s="1">
        <f>IFERROR(__xludf.DUMMYFUNCTION("""COMPUTED_VALUE"""),1859.35)</f>
        <v>1859.35</v>
      </c>
    </row>
    <row r="3035">
      <c r="A3035" s="3">
        <f>IFERROR(__xludf.DUMMYFUNCTION("""COMPUTED_VALUE"""),43456.99861111111)</f>
        <v>43456.99861</v>
      </c>
      <c r="B3035" s="1">
        <f>IFERROR(__xludf.DUMMYFUNCTION("""COMPUTED_VALUE"""),1859.35)</f>
        <v>1859.35</v>
      </c>
    </row>
    <row r="3036">
      <c r="A3036" s="3">
        <f>IFERROR(__xludf.DUMMYFUNCTION("""COMPUTED_VALUE"""),43457.99861111111)</f>
        <v>43457.99861</v>
      </c>
      <c r="B3036" s="1">
        <f>IFERROR(__xludf.DUMMYFUNCTION("""COMPUTED_VALUE"""),1860.95)</f>
        <v>1860.95</v>
      </c>
    </row>
    <row r="3037">
      <c r="A3037" s="3">
        <f>IFERROR(__xludf.DUMMYFUNCTION("""COMPUTED_VALUE"""),43458.99861111111)</f>
        <v>43458.99861</v>
      </c>
      <c r="B3037" s="1">
        <f>IFERROR(__xludf.DUMMYFUNCTION("""COMPUTED_VALUE"""),1856.75)</f>
        <v>1856.75</v>
      </c>
    </row>
    <row r="3038">
      <c r="A3038" s="3">
        <f>IFERROR(__xludf.DUMMYFUNCTION("""COMPUTED_VALUE"""),43459.99861111111)</f>
        <v>43459.99861</v>
      </c>
      <c r="B3038" s="1">
        <f>IFERROR(__xludf.DUMMYFUNCTION("""COMPUTED_VALUE"""),1855.85)</f>
        <v>1855.85</v>
      </c>
    </row>
    <row r="3039">
      <c r="A3039" s="3">
        <f>IFERROR(__xludf.DUMMYFUNCTION("""COMPUTED_VALUE"""),43460.99861111111)</f>
        <v>43460.99861</v>
      </c>
      <c r="B3039" s="1">
        <f>IFERROR(__xludf.DUMMYFUNCTION("""COMPUTED_VALUE"""),1861.3)</f>
        <v>1861.3</v>
      </c>
    </row>
    <row r="3040">
      <c r="A3040" s="3">
        <f>IFERROR(__xludf.DUMMYFUNCTION("""COMPUTED_VALUE"""),43461.99861111111)</f>
        <v>43461.99861</v>
      </c>
      <c r="B3040" s="1">
        <f>IFERROR(__xludf.DUMMYFUNCTION("""COMPUTED_VALUE"""),1862.15)</f>
        <v>1862.15</v>
      </c>
    </row>
    <row r="3041">
      <c r="A3041" s="3">
        <f>IFERROR(__xludf.DUMMYFUNCTION("""COMPUTED_VALUE"""),43462.99861111111)</f>
        <v>43462.99861</v>
      </c>
      <c r="B3041" s="1">
        <f>IFERROR(__xludf.DUMMYFUNCTION("""COMPUTED_VALUE"""),1859.65)</f>
        <v>1859.65</v>
      </c>
    </row>
    <row r="3042">
      <c r="A3042" s="3">
        <f>IFERROR(__xludf.DUMMYFUNCTION("""COMPUTED_VALUE"""),43463.99861111111)</f>
        <v>43463.99861</v>
      </c>
      <c r="B3042" s="1">
        <f>IFERROR(__xludf.DUMMYFUNCTION("""COMPUTED_VALUE"""),1859.65)</f>
        <v>1859.65</v>
      </c>
    </row>
    <row r="3043">
      <c r="A3043" s="3">
        <f>IFERROR(__xludf.DUMMYFUNCTION("""COMPUTED_VALUE"""),43464.99861111111)</f>
        <v>43464.99861</v>
      </c>
      <c r="B3043" s="1">
        <f>IFERROR(__xludf.DUMMYFUNCTION("""COMPUTED_VALUE"""),1859.25)</f>
        <v>1859.25</v>
      </c>
    </row>
    <row r="3044">
      <c r="A3044" s="3">
        <f>IFERROR(__xludf.DUMMYFUNCTION("""COMPUTED_VALUE"""),43465.99861111111)</f>
        <v>43465.99861</v>
      </c>
      <c r="B3044" s="1">
        <f>IFERROR(__xludf.DUMMYFUNCTION("""COMPUTED_VALUE"""),1840.05)</f>
        <v>1840.05</v>
      </c>
    </row>
    <row r="3045">
      <c r="A3045" s="3">
        <f>IFERROR(__xludf.DUMMYFUNCTION("""COMPUTED_VALUE"""),43466.99861111111)</f>
        <v>43466.99861</v>
      </c>
      <c r="B3045" s="1">
        <f>IFERROR(__xludf.DUMMYFUNCTION("""COMPUTED_VALUE"""),1834.2)</f>
        <v>1834.2</v>
      </c>
    </row>
    <row r="3046">
      <c r="A3046" s="3">
        <f>IFERROR(__xludf.DUMMYFUNCTION("""COMPUTED_VALUE"""),43467.99861111111)</f>
        <v>43467.99861</v>
      </c>
      <c r="B3046" s="1">
        <f>IFERROR(__xludf.DUMMYFUNCTION("""COMPUTED_VALUE"""),1847.65)</f>
        <v>1847.65</v>
      </c>
    </row>
    <row r="3047">
      <c r="A3047" s="3">
        <f>IFERROR(__xludf.DUMMYFUNCTION("""COMPUTED_VALUE"""),43468.99861111111)</f>
        <v>43468.99861</v>
      </c>
      <c r="B3047" s="1">
        <f>IFERROR(__xludf.DUMMYFUNCTION("""COMPUTED_VALUE"""),1840.15)</f>
        <v>1840.15</v>
      </c>
    </row>
    <row r="3048">
      <c r="A3048" s="3">
        <f>IFERROR(__xludf.DUMMYFUNCTION("""COMPUTED_VALUE"""),43469.99861111111)</f>
        <v>43469.99861</v>
      </c>
      <c r="B3048" s="1">
        <f>IFERROR(__xludf.DUMMYFUNCTION("""COMPUTED_VALUE"""),1830.85)</f>
        <v>1830.85</v>
      </c>
    </row>
    <row r="3049">
      <c r="A3049" s="3">
        <f>IFERROR(__xludf.DUMMYFUNCTION("""COMPUTED_VALUE"""),43470.99861111111)</f>
        <v>43470.99861</v>
      </c>
      <c r="B3049" s="1">
        <f>IFERROR(__xludf.DUMMYFUNCTION("""COMPUTED_VALUE"""),1830.85)</f>
        <v>1830.85</v>
      </c>
    </row>
    <row r="3050">
      <c r="A3050" s="3">
        <f>IFERROR(__xludf.DUMMYFUNCTION("""COMPUTED_VALUE"""),43471.99861111111)</f>
        <v>43471.99861</v>
      </c>
      <c r="B3050" s="1">
        <f>IFERROR(__xludf.DUMMYFUNCTION("""COMPUTED_VALUE"""),1828.85)</f>
        <v>1828.85</v>
      </c>
    </row>
    <row r="3051">
      <c r="A3051" s="3">
        <f>IFERROR(__xludf.DUMMYFUNCTION("""COMPUTED_VALUE"""),43472.99861111111)</f>
        <v>43472.99861</v>
      </c>
      <c r="B3051" s="1">
        <f>IFERROR(__xludf.DUMMYFUNCTION("""COMPUTED_VALUE"""),1797.15)</f>
        <v>1797.15</v>
      </c>
    </row>
    <row r="3052">
      <c r="A3052" s="3">
        <f>IFERROR(__xludf.DUMMYFUNCTION("""COMPUTED_VALUE"""),43473.99861111111)</f>
        <v>43473.99861</v>
      </c>
      <c r="B3052" s="1">
        <f>IFERROR(__xludf.DUMMYFUNCTION("""COMPUTED_VALUE"""),1802.75)</f>
        <v>1802.75</v>
      </c>
    </row>
    <row r="3053">
      <c r="A3053" s="3">
        <f>IFERROR(__xludf.DUMMYFUNCTION("""COMPUTED_VALUE"""),43474.99861111111)</f>
        <v>43474.99861</v>
      </c>
      <c r="B3053" s="1">
        <f>IFERROR(__xludf.DUMMYFUNCTION("""COMPUTED_VALUE"""),1787.1)</f>
        <v>1787.1</v>
      </c>
    </row>
    <row r="3054">
      <c r="A3054" s="3">
        <f>IFERROR(__xludf.DUMMYFUNCTION("""COMPUTED_VALUE"""),43475.99861111111)</f>
        <v>43475.99861</v>
      </c>
      <c r="B3054" s="1">
        <f>IFERROR(__xludf.DUMMYFUNCTION("""COMPUTED_VALUE"""),1794.75)</f>
        <v>1794.75</v>
      </c>
    </row>
    <row r="3055">
      <c r="A3055" s="3">
        <f>IFERROR(__xludf.DUMMYFUNCTION("""COMPUTED_VALUE"""),43476.99861111111)</f>
        <v>43476.99861</v>
      </c>
      <c r="B3055" s="1">
        <f>IFERROR(__xludf.DUMMYFUNCTION("""COMPUTED_VALUE"""),1800.25)</f>
        <v>1800.25</v>
      </c>
    </row>
    <row r="3056">
      <c r="A3056" s="3">
        <f>IFERROR(__xludf.DUMMYFUNCTION("""COMPUTED_VALUE"""),43477.99861111111)</f>
        <v>43477.99861</v>
      </c>
      <c r="B3056" s="1">
        <f>IFERROR(__xludf.DUMMYFUNCTION("""COMPUTED_VALUE"""),1800.25)</f>
        <v>1800.25</v>
      </c>
    </row>
    <row r="3057">
      <c r="A3057" s="3">
        <f>IFERROR(__xludf.DUMMYFUNCTION("""COMPUTED_VALUE"""),43478.99861111111)</f>
        <v>43478.99861</v>
      </c>
      <c r="B3057" s="1">
        <f>IFERROR(__xludf.DUMMYFUNCTION("""COMPUTED_VALUE"""),1801.6)</f>
        <v>1801.6</v>
      </c>
    </row>
    <row r="3058">
      <c r="A3058" s="3">
        <f>IFERROR(__xludf.DUMMYFUNCTION("""COMPUTED_VALUE"""),43479.99861111111)</f>
        <v>43479.99861</v>
      </c>
      <c r="B3058" s="1">
        <f>IFERROR(__xludf.DUMMYFUNCTION("""COMPUTED_VALUE"""),1801.45)</f>
        <v>1801.45</v>
      </c>
    </row>
    <row r="3059">
      <c r="A3059" s="3">
        <f>IFERROR(__xludf.DUMMYFUNCTION("""COMPUTED_VALUE"""),43480.99861111111)</f>
        <v>43480.99861</v>
      </c>
      <c r="B3059" s="1">
        <f>IFERROR(__xludf.DUMMYFUNCTION("""COMPUTED_VALUE"""),1796.5)</f>
        <v>1796.5</v>
      </c>
    </row>
    <row r="3060">
      <c r="A3060" s="3">
        <f>IFERROR(__xludf.DUMMYFUNCTION("""COMPUTED_VALUE"""),43481.99861111111)</f>
        <v>43481.99861</v>
      </c>
      <c r="B3060" s="1">
        <f>IFERROR(__xludf.DUMMYFUNCTION("""COMPUTED_VALUE"""),1803.8)</f>
        <v>1803.8</v>
      </c>
    </row>
    <row r="3061">
      <c r="A3061" s="3">
        <f>IFERROR(__xludf.DUMMYFUNCTION("""COMPUTED_VALUE"""),43482.99861111111)</f>
        <v>43482.99861</v>
      </c>
      <c r="B3061" s="1">
        <f>IFERROR(__xludf.DUMMYFUNCTION("""COMPUTED_VALUE"""),1807.25)</f>
        <v>1807.25</v>
      </c>
    </row>
    <row r="3062">
      <c r="A3062" s="3">
        <f>IFERROR(__xludf.DUMMYFUNCTION("""COMPUTED_VALUE"""),43483.99861111111)</f>
        <v>43483.99861</v>
      </c>
      <c r="B3062" s="1">
        <f>IFERROR(__xludf.DUMMYFUNCTION("""COMPUTED_VALUE"""),1804.95)</f>
        <v>1804.95</v>
      </c>
    </row>
    <row r="3063">
      <c r="A3063" s="3">
        <f>IFERROR(__xludf.DUMMYFUNCTION("""COMPUTED_VALUE"""),43484.99861111111)</f>
        <v>43484.99861</v>
      </c>
      <c r="B3063" s="1">
        <f>IFERROR(__xludf.DUMMYFUNCTION("""COMPUTED_VALUE"""),1804.95)</f>
        <v>1804.95</v>
      </c>
    </row>
    <row r="3064">
      <c r="A3064" s="3">
        <f>IFERROR(__xludf.DUMMYFUNCTION("""COMPUTED_VALUE"""),43485.99861111111)</f>
        <v>43485.99861</v>
      </c>
      <c r="B3064" s="1">
        <f>IFERROR(__xludf.DUMMYFUNCTION("""COMPUTED_VALUE"""),1805.75)</f>
        <v>1805.75</v>
      </c>
    </row>
    <row r="3065">
      <c r="A3065" s="3">
        <f>IFERROR(__xludf.DUMMYFUNCTION("""COMPUTED_VALUE"""),43486.99861111111)</f>
        <v>43486.99861</v>
      </c>
      <c r="B3065" s="1">
        <f>IFERROR(__xludf.DUMMYFUNCTION("""COMPUTED_VALUE"""),1812.7)</f>
        <v>1812.7</v>
      </c>
    </row>
    <row r="3066">
      <c r="A3066" s="3">
        <f>IFERROR(__xludf.DUMMYFUNCTION("""COMPUTED_VALUE"""),43487.99861111111)</f>
        <v>43487.99861</v>
      </c>
      <c r="B3066" s="1">
        <f>IFERROR(__xludf.DUMMYFUNCTION("""COMPUTED_VALUE"""),1812.55)</f>
        <v>1812.55</v>
      </c>
    </row>
    <row r="3067">
      <c r="A3067" s="3">
        <f>IFERROR(__xludf.DUMMYFUNCTION("""COMPUTED_VALUE"""),43488.99861111111)</f>
        <v>43488.99861</v>
      </c>
      <c r="B3067" s="1">
        <f>IFERROR(__xludf.DUMMYFUNCTION("""COMPUTED_VALUE"""),1808.55)</f>
        <v>1808.55</v>
      </c>
    </row>
    <row r="3068">
      <c r="A3068" s="3">
        <f>IFERROR(__xludf.DUMMYFUNCTION("""COMPUTED_VALUE"""),43489.99861111111)</f>
        <v>43489.99861</v>
      </c>
      <c r="B3068" s="1">
        <f>IFERROR(__xludf.DUMMYFUNCTION("""COMPUTED_VALUE"""),1802.95)</f>
        <v>1802.95</v>
      </c>
    </row>
    <row r="3069">
      <c r="A3069" s="3">
        <f>IFERROR(__xludf.DUMMYFUNCTION("""COMPUTED_VALUE"""),43490.99861111111)</f>
        <v>43490.99861</v>
      </c>
      <c r="B3069" s="1">
        <f>IFERROR(__xludf.DUMMYFUNCTION("""COMPUTED_VALUE"""),1789.15)</f>
        <v>1789.15</v>
      </c>
    </row>
    <row r="3070">
      <c r="A3070" s="3">
        <f>IFERROR(__xludf.DUMMYFUNCTION("""COMPUTED_VALUE"""),43491.99861111111)</f>
        <v>43491.99861</v>
      </c>
      <c r="B3070" s="1">
        <f>IFERROR(__xludf.DUMMYFUNCTION("""COMPUTED_VALUE"""),1795.15)</f>
        <v>1795.15</v>
      </c>
    </row>
    <row r="3071">
      <c r="A3071" s="3">
        <f>IFERROR(__xludf.DUMMYFUNCTION("""COMPUTED_VALUE"""),43492.99861111111)</f>
        <v>43492.99861</v>
      </c>
      <c r="B3071" s="1">
        <f>IFERROR(__xludf.DUMMYFUNCTION("""COMPUTED_VALUE"""),1784.9)</f>
        <v>1784.9</v>
      </c>
    </row>
    <row r="3072">
      <c r="A3072" s="3">
        <f>IFERROR(__xludf.DUMMYFUNCTION("""COMPUTED_VALUE"""),43493.99861111111)</f>
        <v>43493.99861</v>
      </c>
      <c r="B3072" s="1">
        <f>IFERROR(__xludf.DUMMYFUNCTION("""COMPUTED_VALUE"""),1792.55)</f>
        <v>1792.55</v>
      </c>
    </row>
    <row r="3073">
      <c r="A3073" s="3">
        <f>IFERROR(__xludf.DUMMYFUNCTION("""COMPUTED_VALUE"""),43494.99861111111)</f>
        <v>43494.99861</v>
      </c>
      <c r="B3073" s="1">
        <f>IFERROR(__xludf.DUMMYFUNCTION("""COMPUTED_VALUE"""),1795.05)</f>
        <v>1795.05</v>
      </c>
    </row>
    <row r="3074">
      <c r="A3074" s="3">
        <f>IFERROR(__xludf.DUMMYFUNCTION("""COMPUTED_VALUE"""),43495.99861111111)</f>
        <v>43495.99861</v>
      </c>
      <c r="B3074" s="1">
        <f>IFERROR(__xludf.DUMMYFUNCTION("""COMPUTED_VALUE"""),1800.65)</f>
        <v>1800.65</v>
      </c>
    </row>
    <row r="3075">
      <c r="A3075" s="3">
        <f>IFERROR(__xludf.DUMMYFUNCTION("""COMPUTED_VALUE"""),43496.99861111111)</f>
        <v>43496.99861</v>
      </c>
      <c r="B3075" s="1">
        <f>IFERROR(__xludf.DUMMYFUNCTION("""COMPUTED_VALUE"""),1786.9)</f>
        <v>1786.9</v>
      </c>
    </row>
    <row r="3076">
      <c r="A3076" s="3">
        <f>IFERROR(__xludf.DUMMYFUNCTION("""COMPUTED_VALUE"""),43497.99861111111)</f>
        <v>43497.99861</v>
      </c>
      <c r="B3076" s="1">
        <f>IFERROR(__xludf.DUMMYFUNCTION("""COMPUTED_VALUE"""),1777.85)</f>
        <v>1777.85</v>
      </c>
    </row>
    <row r="3077">
      <c r="A3077" s="3">
        <f>IFERROR(__xludf.DUMMYFUNCTION("""COMPUTED_VALUE"""),43498.99861111111)</f>
        <v>43498.99861</v>
      </c>
      <c r="B3077" s="1">
        <f>IFERROR(__xludf.DUMMYFUNCTION("""COMPUTED_VALUE"""),1777.85)</f>
        <v>1777.85</v>
      </c>
    </row>
    <row r="3078">
      <c r="A3078" s="3">
        <f>IFERROR(__xludf.DUMMYFUNCTION("""COMPUTED_VALUE"""),43499.99861111111)</f>
        <v>43499.99861</v>
      </c>
      <c r="B3078" s="1">
        <f>IFERROR(__xludf.DUMMYFUNCTION("""COMPUTED_VALUE"""),1778.45)</f>
        <v>1778.45</v>
      </c>
    </row>
    <row r="3079">
      <c r="A3079" s="3">
        <f>IFERROR(__xludf.DUMMYFUNCTION("""COMPUTED_VALUE"""),43500.99861111111)</f>
        <v>43500.99861</v>
      </c>
      <c r="B3079" s="1">
        <f>IFERROR(__xludf.DUMMYFUNCTION("""COMPUTED_VALUE"""),1777.95)</f>
        <v>1777.95</v>
      </c>
    </row>
    <row r="3080">
      <c r="A3080" s="3">
        <f>IFERROR(__xludf.DUMMYFUNCTION("""COMPUTED_VALUE"""),43501.99861111111)</f>
        <v>43501.99861</v>
      </c>
      <c r="B3080" s="1">
        <f>IFERROR(__xludf.DUMMYFUNCTION("""COMPUTED_VALUE"""),1780.9)</f>
        <v>1780.9</v>
      </c>
    </row>
    <row r="3081">
      <c r="A3081" s="3">
        <f>IFERROR(__xludf.DUMMYFUNCTION("""COMPUTED_VALUE"""),43502.99861111111)</f>
        <v>43502.99861</v>
      </c>
      <c r="B3081" s="1">
        <f>IFERROR(__xludf.DUMMYFUNCTION("""COMPUTED_VALUE"""),1773.85)</f>
        <v>1773.85</v>
      </c>
    </row>
    <row r="3082">
      <c r="A3082" s="3">
        <f>IFERROR(__xludf.DUMMYFUNCTION("""COMPUTED_VALUE"""),43503.99861111111)</f>
        <v>43503.99861</v>
      </c>
      <c r="B3082" s="1">
        <f>IFERROR(__xludf.DUMMYFUNCTION("""COMPUTED_VALUE"""),1782.55)</f>
        <v>1782.55</v>
      </c>
    </row>
    <row r="3083">
      <c r="A3083" s="3">
        <f>IFERROR(__xludf.DUMMYFUNCTION("""COMPUTED_VALUE"""),43504.99861111111)</f>
        <v>43504.99861</v>
      </c>
      <c r="B3083" s="1">
        <f>IFERROR(__xludf.DUMMYFUNCTION("""COMPUTED_VALUE"""),1777.65)</f>
        <v>1777.65</v>
      </c>
    </row>
    <row r="3084">
      <c r="A3084" s="3">
        <f>IFERROR(__xludf.DUMMYFUNCTION("""COMPUTED_VALUE"""),43505.99861111111)</f>
        <v>43505.99861</v>
      </c>
      <c r="B3084" s="1">
        <f>IFERROR(__xludf.DUMMYFUNCTION("""COMPUTED_VALUE"""),1782.4)</f>
        <v>1782.4</v>
      </c>
    </row>
    <row r="3085">
      <c r="A3085" s="3">
        <f>IFERROR(__xludf.DUMMYFUNCTION("""COMPUTED_VALUE"""),43506.99861111111)</f>
        <v>43506.99861</v>
      </c>
      <c r="B3085" s="1">
        <f>IFERROR(__xludf.DUMMYFUNCTION("""COMPUTED_VALUE"""),1782.15)</f>
        <v>1782.15</v>
      </c>
    </row>
    <row r="3086">
      <c r="A3086" s="3">
        <f>IFERROR(__xludf.DUMMYFUNCTION("""COMPUTED_VALUE"""),43507.99861111111)</f>
        <v>43507.99861</v>
      </c>
      <c r="B3086" s="1">
        <f>IFERROR(__xludf.DUMMYFUNCTION("""COMPUTED_VALUE"""),1788.05)</f>
        <v>1788.05</v>
      </c>
    </row>
    <row r="3087">
      <c r="A3087" s="3">
        <f>IFERROR(__xludf.DUMMYFUNCTION("""COMPUTED_VALUE"""),43508.99861111111)</f>
        <v>43508.99861</v>
      </c>
      <c r="B3087" s="1">
        <f>IFERROR(__xludf.DUMMYFUNCTION("""COMPUTED_VALUE"""),1792.65)</f>
        <v>1792.65</v>
      </c>
    </row>
    <row r="3088">
      <c r="A3088" s="3">
        <f>IFERROR(__xludf.DUMMYFUNCTION("""COMPUTED_VALUE"""),43509.99861111111)</f>
        <v>43509.99861</v>
      </c>
      <c r="B3088" s="1">
        <f>IFERROR(__xludf.DUMMYFUNCTION("""COMPUTED_VALUE"""),1793.85)</f>
        <v>1793.85</v>
      </c>
    </row>
    <row r="3089">
      <c r="A3089" s="3">
        <f>IFERROR(__xludf.DUMMYFUNCTION("""COMPUTED_VALUE"""),43510.99861111111)</f>
        <v>43510.99861</v>
      </c>
      <c r="B3089" s="1">
        <f>IFERROR(__xludf.DUMMYFUNCTION("""COMPUTED_VALUE"""),1795.0)</f>
        <v>1795</v>
      </c>
    </row>
    <row r="3090">
      <c r="A3090" s="3">
        <f>IFERROR(__xludf.DUMMYFUNCTION("""COMPUTED_VALUE"""),43511.99861111111)</f>
        <v>43511.99861</v>
      </c>
      <c r="B3090" s="1">
        <f>IFERROR(__xludf.DUMMYFUNCTION("""COMPUTED_VALUE"""),1798.55)</f>
        <v>1798.55</v>
      </c>
    </row>
    <row r="3091">
      <c r="A3091" s="3">
        <f>IFERROR(__xludf.DUMMYFUNCTION("""COMPUTED_VALUE"""),43512.99861111111)</f>
        <v>43512.99861</v>
      </c>
      <c r="B3091" s="1">
        <f>IFERROR(__xludf.DUMMYFUNCTION("""COMPUTED_VALUE"""),1798.55)</f>
        <v>1798.55</v>
      </c>
    </row>
    <row r="3092">
      <c r="A3092" s="3">
        <f>IFERROR(__xludf.DUMMYFUNCTION("""COMPUTED_VALUE"""),43513.99861111111)</f>
        <v>43513.99861</v>
      </c>
      <c r="B3092" s="1">
        <f>IFERROR(__xludf.DUMMYFUNCTION("""COMPUTED_VALUE"""),1798.65)</f>
        <v>1798.65</v>
      </c>
    </row>
    <row r="3093">
      <c r="A3093" s="3">
        <f>IFERROR(__xludf.DUMMYFUNCTION("""COMPUTED_VALUE"""),43514.99861111111)</f>
        <v>43514.99861</v>
      </c>
      <c r="B3093" s="1">
        <f>IFERROR(__xludf.DUMMYFUNCTION("""COMPUTED_VALUE"""),1800.5)</f>
        <v>1800.5</v>
      </c>
    </row>
    <row r="3094">
      <c r="A3094" s="3">
        <f>IFERROR(__xludf.DUMMYFUNCTION("""COMPUTED_VALUE"""),43515.99861111111)</f>
        <v>43515.99861</v>
      </c>
      <c r="B3094" s="1">
        <f>IFERROR(__xludf.DUMMYFUNCTION("""COMPUTED_VALUE"""),1798.55)</f>
        <v>1798.55</v>
      </c>
    </row>
    <row r="3095">
      <c r="A3095" s="3">
        <f>IFERROR(__xludf.DUMMYFUNCTION("""COMPUTED_VALUE"""),43516.99861111111)</f>
        <v>43516.99861</v>
      </c>
      <c r="B3095" s="1">
        <f>IFERROR(__xludf.DUMMYFUNCTION("""COMPUTED_VALUE"""),1792.15)</f>
        <v>1792.15</v>
      </c>
    </row>
    <row r="3096">
      <c r="A3096" s="3">
        <f>IFERROR(__xludf.DUMMYFUNCTION("""COMPUTED_VALUE"""),43517.99861111111)</f>
        <v>43517.99861</v>
      </c>
      <c r="B3096" s="1">
        <f>IFERROR(__xludf.DUMMYFUNCTION("""COMPUTED_VALUE"""),1791.05)</f>
        <v>1791.05</v>
      </c>
    </row>
    <row r="3097">
      <c r="A3097" s="3">
        <f>IFERROR(__xludf.DUMMYFUNCTION("""COMPUTED_VALUE"""),43518.99861111111)</f>
        <v>43518.99861</v>
      </c>
      <c r="B3097" s="1">
        <f>IFERROR(__xludf.DUMMYFUNCTION("""COMPUTED_VALUE"""),1789.95)</f>
        <v>1789.95</v>
      </c>
    </row>
    <row r="3098">
      <c r="A3098" s="3">
        <f>IFERROR(__xludf.DUMMYFUNCTION("""COMPUTED_VALUE"""),43519.99861111111)</f>
        <v>43519.99861</v>
      </c>
      <c r="B3098" s="1">
        <f>IFERROR(__xludf.DUMMYFUNCTION("""COMPUTED_VALUE"""),1791.05)</f>
        <v>1791.05</v>
      </c>
    </row>
    <row r="3099">
      <c r="A3099" s="3">
        <f>IFERROR(__xludf.DUMMYFUNCTION("""COMPUTED_VALUE"""),43520.99861111111)</f>
        <v>43520.99861</v>
      </c>
      <c r="B3099" s="1">
        <f>IFERROR(__xludf.DUMMYFUNCTION("""COMPUTED_VALUE"""),1790.75)</f>
        <v>1790.75</v>
      </c>
    </row>
    <row r="3100">
      <c r="A3100" s="3">
        <f>IFERROR(__xludf.DUMMYFUNCTION("""COMPUTED_VALUE"""),43521.99861111111)</f>
        <v>43521.99861</v>
      </c>
      <c r="B3100" s="1">
        <f>IFERROR(__xludf.DUMMYFUNCTION("""COMPUTED_VALUE"""),1786.35)</f>
        <v>1786.35</v>
      </c>
    </row>
    <row r="3101">
      <c r="A3101" s="3">
        <f>IFERROR(__xludf.DUMMYFUNCTION("""COMPUTED_VALUE"""),43522.99861111111)</f>
        <v>43522.99861</v>
      </c>
      <c r="B3101" s="1">
        <f>IFERROR(__xludf.DUMMYFUNCTION("""COMPUTED_VALUE"""),1779.2)</f>
        <v>1779.2</v>
      </c>
    </row>
    <row r="3102">
      <c r="A3102" s="3">
        <f>IFERROR(__xludf.DUMMYFUNCTION("""COMPUTED_VALUE"""),43523.99861111111)</f>
        <v>43523.99861</v>
      </c>
      <c r="B3102" s="1">
        <f>IFERROR(__xludf.DUMMYFUNCTION("""COMPUTED_VALUE"""),1786.7)</f>
        <v>1786.7</v>
      </c>
    </row>
    <row r="3103">
      <c r="A3103" s="3">
        <f>IFERROR(__xludf.DUMMYFUNCTION("""COMPUTED_VALUE"""),43524.99861111111)</f>
        <v>43524.99861</v>
      </c>
      <c r="B3103" s="1">
        <f>IFERROR(__xludf.DUMMYFUNCTION("""COMPUTED_VALUE"""),1792.95)</f>
        <v>1792.95</v>
      </c>
    </row>
    <row r="3104">
      <c r="A3104" s="3">
        <f>IFERROR(__xludf.DUMMYFUNCTION("""COMPUTED_VALUE"""),43525.99861111111)</f>
        <v>43525.99861</v>
      </c>
      <c r="B3104" s="1">
        <f>IFERROR(__xludf.DUMMYFUNCTION("""COMPUTED_VALUE"""),1796.75)</f>
        <v>1796.75</v>
      </c>
    </row>
    <row r="3105">
      <c r="A3105" s="3">
        <f>IFERROR(__xludf.DUMMYFUNCTION("""COMPUTED_VALUE"""),43526.99861111111)</f>
        <v>43526.99861</v>
      </c>
      <c r="B3105" s="1">
        <f>IFERROR(__xludf.DUMMYFUNCTION("""COMPUTED_VALUE"""),1796.75)</f>
        <v>1796.75</v>
      </c>
    </row>
    <row r="3106">
      <c r="A3106" s="3">
        <f>IFERROR(__xludf.DUMMYFUNCTION("""COMPUTED_VALUE"""),43527.99861111111)</f>
        <v>43527.99861</v>
      </c>
      <c r="B3106" s="1">
        <f>IFERROR(__xludf.DUMMYFUNCTION("""COMPUTED_VALUE"""),1797.05)</f>
        <v>1797.05</v>
      </c>
    </row>
    <row r="3107">
      <c r="A3107" s="3">
        <f>IFERROR(__xludf.DUMMYFUNCTION("""COMPUTED_VALUE"""),43528.99861111111)</f>
        <v>43528.99861</v>
      </c>
      <c r="B3107" s="1">
        <f>IFERROR(__xludf.DUMMYFUNCTION("""COMPUTED_VALUE"""),1799.95)</f>
        <v>1799.95</v>
      </c>
    </row>
    <row r="3108">
      <c r="A3108" s="3">
        <f>IFERROR(__xludf.DUMMYFUNCTION("""COMPUTED_VALUE"""),43529.99861111111)</f>
        <v>43529.99861</v>
      </c>
      <c r="B3108" s="1">
        <f>IFERROR(__xludf.DUMMYFUNCTION("""COMPUTED_VALUE"""),1804.85)</f>
        <v>1804.85</v>
      </c>
    </row>
    <row r="3109">
      <c r="A3109" s="3">
        <f>IFERROR(__xludf.DUMMYFUNCTION("""COMPUTED_VALUE"""),43530.99861111111)</f>
        <v>43530.99861</v>
      </c>
      <c r="B3109" s="1">
        <f>IFERROR(__xludf.DUMMYFUNCTION("""COMPUTED_VALUE"""),1801.85)</f>
        <v>1801.85</v>
      </c>
    </row>
    <row r="3110">
      <c r="A3110" s="3">
        <f>IFERROR(__xludf.DUMMYFUNCTION("""COMPUTED_VALUE"""),43531.99861111111)</f>
        <v>43531.99861</v>
      </c>
      <c r="B3110" s="1">
        <f>IFERROR(__xludf.DUMMYFUNCTION("""COMPUTED_VALUE"""),1798.85)</f>
        <v>1798.85</v>
      </c>
    </row>
    <row r="3111">
      <c r="A3111" s="3">
        <f>IFERROR(__xludf.DUMMYFUNCTION("""COMPUTED_VALUE"""),43532.99861111111)</f>
        <v>43532.99861</v>
      </c>
      <c r="B3111" s="1">
        <f>IFERROR(__xludf.DUMMYFUNCTION("""COMPUTED_VALUE"""),1792.0)</f>
        <v>1792</v>
      </c>
    </row>
    <row r="3112">
      <c r="A3112" s="3">
        <f>IFERROR(__xludf.DUMMYFUNCTION("""COMPUTED_VALUE"""),43533.99861111111)</f>
        <v>43533.99861</v>
      </c>
      <c r="B3112" s="1">
        <f>IFERROR(__xludf.DUMMYFUNCTION("""COMPUTED_VALUE"""),1792.0)</f>
        <v>1792</v>
      </c>
    </row>
    <row r="3113">
      <c r="A3113" s="3">
        <f>IFERROR(__xludf.DUMMYFUNCTION("""COMPUTED_VALUE"""),43534.99861111111)</f>
        <v>43534.99861</v>
      </c>
      <c r="B3113" s="1">
        <f>IFERROR(__xludf.DUMMYFUNCTION("""COMPUTED_VALUE"""),1820.0)</f>
        <v>1820</v>
      </c>
    </row>
    <row r="3114">
      <c r="A3114" s="3">
        <f>IFERROR(__xludf.DUMMYFUNCTION("""COMPUTED_VALUE"""),43535.99861111111)</f>
        <v>43535.99861</v>
      </c>
      <c r="B3114" s="1">
        <f>IFERROR(__xludf.DUMMYFUNCTION("""COMPUTED_VALUE"""),1814.75)</f>
        <v>1814.75</v>
      </c>
    </row>
    <row r="3115">
      <c r="A3115" s="3">
        <f>IFERROR(__xludf.DUMMYFUNCTION("""COMPUTED_VALUE"""),43536.99861111111)</f>
        <v>43536.99861</v>
      </c>
      <c r="B3115" s="1">
        <f>IFERROR(__xludf.DUMMYFUNCTION("""COMPUTED_VALUE"""),1817.05)</f>
        <v>1817.05</v>
      </c>
    </row>
    <row r="3116">
      <c r="A3116" s="3">
        <f>IFERROR(__xludf.DUMMYFUNCTION("""COMPUTED_VALUE"""),43537.99861111111)</f>
        <v>43537.99861</v>
      </c>
      <c r="B3116" s="1">
        <f>IFERROR(__xludf.DUMMYFUNCTION("""COMPUTED_VALUE"""),1813.25)</f>
        <v>1813.25</v>
      </c>
    </row>
    <row r="3117">
      <c r="A3117" s="3">
        <f>IFERROR(__xludf.DUMMYFUNCTION("""COMPUTED_VALUE"""),43538.99861111111)</f>
        <v>43538.99861</v>
      </c>
      <c r="B3117" s="1">
        <f>IFERROR(__xludf.DUMMYFUNCTION("""COMPUTED_VALUE"""),1815.55)</f>
        <v>1815.55</v>
      </c>
    </row>
    <row r="3118">
      <c r="A3118" s="3">
        <f>IFERROR(__xludf.DUMMYFUNCTION("""COMPUTED_VALUE"""),43539.99861111111)</f>
        <v>43539.99861</v>
      </c>
      <c r="B3118" s="1">
        <f>IFERROR(__xludf.DUMMYFUNCTION("""COMPUTED_VALUE"""),1812.3)</f>
        <v>1812.3</v>
      </c>
    </row>
    <row r="3119">
      <c r="A3119" s="3">
        <f>IFERROR(__xludf.DUMMYFUNCTION("""COMPUTED_VALUE"""),43540.99861111111)</f>
        <v>43540.99861</v>
      </c>
      <c r="B3119" s="1">
        <f>IFERROR(__xludf.DUMMYFUNCTION("""COMPUTED_VALUE"""),1812.3)</f>
        <v>1812.3</v>
      </c>
    </row>
    <row r="3120">
      <c r="A3120" s="3">
        <f>IFERROR(__xludf.DUMMYFUNCTION("""COMPUTED_VALUE"""),43541.99861111111)</f>
        <v>43541.99861</v>
      </c>
      <c r="B3120" s="1">
        <f>IFERROR(__xludf.DUMMYFUNCTION("""COMPUTED_VALUE"""),1816.35)</f>
        <v>1816.35</v>
      </c>
    </row>
    <row r="3121">
      <c r="A3121" s="3">
        <f>IFERROR(__xludf.DUMMYFUNCTION("""COMPUTED_VALUE"""),43542.99861111111)</f>
        <v>43542.99861</v>
      </c>
      <c r="B3121" s="1">
        <f>IFERROR(__xludf.DUMMYFUNCTION("""COMPUTED_VALUE"""),1814.1)</f>
        <v>1814.1</v>
      </c>
    </row>
    <row r="3122">
      <c r="A3122" s="3">
        <f>IFERROR(__xludf.DUMMYFUNCTION("""COMPUTED_VALUE"""),43543.99861111111)</f>
        <v>43543.99861</v>
      </c>
      <c r="B3122" s="1">
        <f>IFERROR(__xludf.DUMMYFUNCTION("""COMPUTED_VALUE"""),1812.25)</f>
        <v>1812.25</v>
      </c>
    </row>
    <row r="3123">
      <c r="A3123" s="3">
        <f>IFERROR(__xludf.DUMMYFUNCTION("""COMPUTED_VALUE"""),43544.99861111111)</f>
        <v>43544.99861</v>
      </c>
      <c r="B3123" s="1">
        <f>IFERROR(__xludf.DUMMYFUNCTION("""COMPUTED_VALUE"""),1802.65)</f>
        <v>1802.65</v>
      </c>
    </row>
    <row r="3124">
      <c r="A3124" s="3">
        <f>IFERROR(__xludf.DUMMYFUNCTION("""COMPUTED_VALUE"""),43545.99861111111)</f>
        <v>43545.99861</v>
      </c>
      <c r="B3124" s="1">
        <f>IFERROR(__xludf.DUMMYFUNCTION("""COMPUTED_VALUE"""),1798.05)</f>
        <v>1798.05</v>
      </c>
    </row>
    <row r="3125">
      <c r="A3125" s="3">
        <f>IFERROR(__xludf.DUMMYFUNCTION("""COMPUTED_VALUE"""),43546.99861111111)</f>
        <v>43546.99861</v>
      </c>
      <c r="B3125" s="1">
        <f>IFERROR(__xludf.DUMMYFUNCTION("""COMPUTED_VALUE"""),1801.5)</f>
        <v>1801.5</v>
      </c>
    </row>
    <row r="3126">
      <c r="A3126" s="3">
        <f>IFERROR(__xludf.DUMMYFUNCTION("""COMPUTED_VALUE"""),43547.99861111111)</f>
        <v>43547.99861</v>
      </c>
      <c r="B3126" s="1">
        <f>IFERROR(__xludf.DUMMYFUNCTION("""COMPUTED_VALUE"""),1802.6)</f>
        <v>1802.6</v>
      </c>
    </row>
    <row r="3127">
      <c r="A3127" s="3">
        <f>IFERROR(__xludf.DUMMYFUNCTION("""COMPUTED_VALUE"""),43548.99861111111)</f>
        <v>43548.99861</v>
      </c>
      <c r="B3127" s="1">
        <f>IFERROR(__xludf.DUMMYFUNCTION("""COMPUTED_VALUE"""),1805.55)</f>
        <v>1805.55</v>
      </c>
    </row>
    <row r="3128">
      <c r="A3128" s="3">
        <f>IFERROR(__xludf.DUMMYFUNCTION("""COMPUTED_VALUE"""),43549.99861111111)</f>
        <v>43549.99861</v>
      </c>
      <c r="B3128" s="1">
        <f>IFERROR(__xludf.DUMMYFUNCTION("""COMPUTED_VALUE"""),1806.55)</f>
        <v>1806.55</v>
      </c>
    </row>
    <row r="3129">
      <c r="A3129" s="3">
        <f>IFERROR(__xludf.DUMMYFUNCTION("""COMPUTED_VALUE"""),43550.99861111111)</f>
        <v>43550.99861</v>
      </c>
      <c r="B3129" s="1">
        <f>IFERROR(__xludf.DUMMYFUNCTION("""COMPUTED_VALUE"""),1806.55)</f>
        <v>1806.55</v>
      </c>
    </row>
    <row r="3130">
      <c r="A3130" s="3">
        <f>IFERROR(__xludf.DUMMYFUNCTION("""COMPUTED_VALUE"""),43551.99861111111)</f>
        <v>43551.99861</v>
      </c>
      <c r="B3130" s="1">
        <f>IFERROR(__xludf.DUMMYFUNCTION("""COMPUTED_VALUE"""),1808.8)</f>
        <v>1808.8</v>
      </c>
    </row>
    <row r="3131">
      <c r="A3131" s="3">
        <f>IFERROR(__xludf.DUMMYFUNCTION("""COMPUTED_VALUE"""),43552.99861111111)</f>
        <v>43552.99861</v>
      </c>
      <c r="B3131" s="1">
        <f>IFERROR(__xludf.DUMMYFUNCTION("""COMPUTED_VALUE"""),1812.7)</f>
        <v>1812.7</v>
      </c>
    </row>
    <row r="3132">
      <c r="A3132" s="3">
        <f>IFERROR(__xludf.DUMMYFUNCTION("""COMPUTED_VALUE"""),43553.99861111111)</f>
        <v>43553.99861</v>
      </c>
      <c r="B3132" s="1">
        <f>IFERROR(__xludf.DUMMYFUNCTION("""COMPUTED_VALUE"""),1811.25)</f>
        <v>1811.25</v>
      </c>
    </row>
    <row r="3133">
      <c r="A3133" s="3">
        <f>IFERROR(__xludf.DUMMYFUNCTION("""COMPUTED_VALUE"""),43554.99861111111)</f>
        <v>43554.99861</v>
      </c>
      <c r="B3133" s="1">
        <f>IFERROR(__xludf.DUMMYFUNCTION("""COMPUTED_VALUE"""),1811.25)</f>
        <v>1811.25</v>
      </c>
    </row>
    <row r="3134">
      <c r="A3134" s="3">
        <f>IFERROR(__xludf.DUMMYFUNCTION("""COMPUTED_VALUE"""),43555.99861111111)</f>
        <v>43555.99861</v>
      </c>
      <c r="B3134" s="1">
        <f>IFERROR(__xludf.DUMMYFUNCTION("""COMPUTED_VALUE"""),1812.8)</f>
        <v>1812.8</v>
      </c>
    </row>
    <row r="3135">
      <c r="A3135" s="3">
        <f>IFERROR(__xludf.DUMMYFUNCTION("""COMPUTED_VALUE"""),43556.99861111111)</f>
        <v>43556.99861</v>
      </c>
      <c r="B3135" s="1">
        <f>IFERROR(__xludf.DUMMYFUNCTION("""COMPUTED_VALUE"""),1814.8)</f>
        <v>1814.8</v>
      </c>
    </row>
    <row r="3136">
      <c r="A3136" s="3">
        <f>IFERROR(__xludf.DUMMYFUNCTION("""COMPUTED_VALUE"""),43557.99861111111)</f>
        <v>43557.99861</v>
      </c>
      <c r="B3136" s="1">
        <f>IFERROR(__xludf.DUMMYFUNCTION("""COMPUTED_VALUE"""),1812.75)</f>
        <v>1812.75</v>
      </c>
    </row>
    <row r="3137">
      <c r="A3137" s="3">
        <f>IFERROR(__xludf.DUMMYFUNCTION("""COMPUTED_VALUE"""),43558.99861111111)</f>
        <v>43558.99861</v>
      </c>
      <c r="B3137" s="1">
        <f>IFERROR(__xludf.DUMMYFUNCTION("""COMPUTED_VALUE"""),1810.35)</f>
        <v>1810.35</v>
      </c>
    </row>
    <row r="3138">
      <c r="A3138" s="3">
        <f>IFERROR(__xludf.DUMMYFUNCTION("""COMPUTED_VALUE"""),43559.99861111111)</f>
        <v>43559.99861</v>
      </c>
      <c r="B3138" s="1">
        <f>IFERROR(__xludf.DUMMYFUNCTION("""COMPUTED_VALUE"""),1806.05)</f>
        <v>1806.05</v>
      </c>
    </row>
    <row r="3139">
      <c r="A3139" s="3">
        <f>IFERROR(__xludf.DUMMYFUNCTION("""COMPUTED_VALUE"""),43560.99861111111)</f>
        <v>43560.99861</v>
      </c>
      <c r="B3139" s="1">
        <f>IFERROR(__xludf.DUMMYFUNCTION("""COMPUTED_VALUE"""),1795.95)</f>
        <v>1795.95</v>
      </c>
    </row>
    <row r="3140">
      <c r="A3140" s="3">
        <f>IFERROR(__xludf.DUMMYFUNCTION("""COMPUTED_VALUE"""),43561.99861111111)</f>
        <v>43561.99861</v>
      </c>
      <c r="B3140" s="1">
        <f>IFERROR(__xludf.DUMMYFUNCTION("""COMPUTED_VALUE"""),1795.95)</f>
        <v>1795.95</v>
      </c>
    </row>
    <row r="3141">
      <c r="A3141" s="3">
        <f>IFERROR(__xludf.DUMMYFUNCTION("""COMPUTED_VALUE"""),43562.99861111111)</f>
        <v>43562.99861</v>
      </c>
      <c r="B3141" s="1">
        <f>IFERROR(__xludf.DUMMYFUNCTION("""COMPUTED_VALUE"""),1798.7)</f>
        <v>1798.7</v>
      </c>
    </row>
    <row r="3142">
      <c r="A3142" s="3">
        <f>IFERROR(__xludf.DUMMYFUNCTION("""COMPUTED_VALUE"""),43563.99861111111)</f>
        <v>43563.99861</v>
      </c>
      <c r="B3142" s="1">
        <f>IFERROR(__xludf.DUMMYFUNCTION("""COMPUTED_VALUE"""),1809.3)</f>
        <v>1809.3</v>
      </c>
    </row>
    <row r="3143">
      <c r="A3143" s="3">
        <f>IFERROR(__xludf.DUMMYFUNCTION("""COMPUTED_VALUE"""),43564.99861111111)</f>
        <v>43564.99861</v>
      </c>
      <c r="B3143" s="1">
        <f>IFERROR(__xludf.DUMMYFUNCTION("""COMPUTED_VALUE"""),1801.75)</f>
        <v>1801.75</v>
      </c>
    </row>
    <row r="3144">
      <c r="A3144" s="3">
        <f>IFERROR(__xludf.DUMMYFUNCTION("""COMPUTED_VALUE"""),43565.99861111111)</f>
        <v>43565.99861</v>
      </c>
      <c r="B3144" s="1">
        <f>IFERROR(__xludf.DUMMYFUNCTION("""COMPUTED_VALUE"""),1804.45)</f>
        <v>1804.45</v>
      </c>
    </row>
    <row r="3145">
      <c r="A3145" s="3">
        <f>IFERROR(__xludf.DUMMYFUNCTION("""COMPUTED_VALUE"""),43566.99861111111)</f>
        <v>43566.99861</v>
      </c>
      <c r="B3145" s="1">
        <f>IFERROR(__xludf.DUMMYFUNCTION("""COMPUTED_VALUE"""),1805.7)</f>
        <v>1805.7</v>
      </c>
    </row>
    <row r="3146">
      <c r="A3146" s="3">
        <f>IFERROR(__xludf.DUMMYFUNCTION("""COMPUTED_VALUE"""),43567.99861111111)</f>
        <v>43567.99861</v>
      </c>
      <c r="B3146" s="1">
        <f>IFERROR(__xludf.DUMMYFUNCTION("""COMPUTED_VALUE"""),1793.25)</f>
        <v>1793.25</v>
      </c>
    </row>
    <row r="3147">
      <c r="A3147" s="3">
        <f>IFERROR(__xludf.DUMMYFUNCTION("""COMPUTED_VALUE"""),43568.99861111111)</f>
        <v>43568.99861</v>
      </c>
      <c r="B3147" s="1">
        <f>IFERROR(__xludf.DUMMYFUNCTION("""COMPUTED_VALUE"""),1796.7)</f>
        <v>1796.7</v>
      </c>
    </row>
    <row r="3148">
      <c r="A3148" s="3">
        <f>IFERROR(__xludf.DUMMYFUNCTION("""COMPUTED_VALUE"""),43569.99861111111)</f>
        <v>43569.99861</v>
      </c>
      <c r="B3148" s="1">
        <f>IFERROR(__xludf.DUMMYFUNCTION("""COMPUTED_VALUE"""),1798.55)</f>
        <v>1798.55</v>
      </c>
    </row>
    <row r="3149">
      <c r="A3149" s="3">
        <f>IFERROR(__xludf.DUMMYFUNCTION("""COMPUTED_VALUE"""),43570.99861111111)</f>
        <v>43570.99861</v>
      </c>
      <c r="B3149" s="1">
        <f>IFERROR(__xludf.DUMMYFUNCTION("""COMPUTED_VALUE"""),1793.4)</f>
        <v>1793.4</v>
      </c>
    </row>
    <row r="3150">
      <c r="A3150" s="3">
        <f>IFERROR(__xludf.DUMMYFUNCTION("""COMPUTED_VALUE"""),43571.99861111111)</f>
        <v>43571.99861</v>
      </c>
      <c r="B3150" s="1">
        <f>IFERROR(__xludf.DUMMYFUNCTION("""COMPUTED_VALUE"""),1795.5)</f>
        <v>1795.5</v>
      </c>
    </row>
    <row r="3151">
      <c r="A3151" s="3">
        <f>IFERROR(__xludf.DUMMYFUNCTION("""COMPUTED_VALUE"""),43572.99861111111)</f>
        <v>43572.99861</v>
      </c>
      <c r="B3151" s="1">
        <f>IFERROR(__xludf.DUMMYFUNCTION("""COMPUTED_VALUE"""),1795.0)</f>
        <v>1795</v>
      </c>
    </row>
    <row r="3152">
      <c r="A3152" s="3">
        <f>IFERROR(__xludf.DUMMYFUNCTION("""COMPUTED_VALUE"""),43573.99861111111)</f>
        <v>43573.99861</v>
      </c>
      <c r="B3152" s="1">
        <f>IFERROR(__xludf.DUMMYFUNCTION("""COMPUTED_VALUE"""),1789.6)</f>
        <v>1789.6</v>
      </c>
    </row>
    <row r="3153">
      <c r="A3153" s="3">
        <f>IFERROR(__xludf.DUMMYFUNCTION("""COMPUTED_VALUE"""),43574.99861111111)</f>
        <v>43574.99861</v>
      </c>
      <c r="B3153" s="1">
        <f>IFERROR(__xludf.DUMMYFUNCTION("""COMPUTED_VALUE"""),1791.35)</f>
        <v>1791.35</v>
      </c>
    </row>
    <row r="3154">
      <c r="A3154" s="3">
        <f>IFERROR(__xludf.DUMMYFUNCTION("""COMPUTED_VALUE"""),43575.99861111111)</f>
        <v>43575.99861</v>
      </c>
      <c r="B3154" s="1">
        <f>IFERROR(__xludf.DUMMYFUNCTION("""COMPUTED_VALUE"""),1791.35)</f>
        <v>1791.35</v>
      </c>
    </row>
    <row r="3155">
      <c r="A3155" s="3">
        <f>IFERROR(__xludf.DUMMYFUNCTION("""COMPUTED_VALUE"""),43576.99861111111)</f>
        <v>43576.99861</v>
      </c>
      <c r="B3155" s="1">
        <f>IFERROR(__xludf.DUMMYFUNCTION("""COMPUTED_VALUE"""),1791.9)</f>
        <v>1791.9</v>
      </c>
    </row>
    <row r="3156">
      <c r="A3156" s="3">
        <f>IFERROR(__xludf.DUMMYFUNCTION("""COMPUTED_VALUE"""),43577.99861111111)</f>
        <v>43577.99861</v>
      </c>
      <c r="B3156" s="1">
        <f>IFERROR(__xludf.DUMMYFUNCTION("""COMPUTED_VALUE"""),1794.05)</f>
        <v>1794.05</v>
      </c>
    </row>
    <row r="3157">
      <c r="A3157" s="3">
        <f>IFERROR(__xludf.DUMMYFUNCTION("""COMPUTED_VALUE"""),43578.99861111111)</f>
        <v>43578.99861</v>
      </c>
      <c r="B3157" s="1">
        <f>IFERROR(__xludf.DUMMYFUNCTION("""COMPUTED_VALUE"""),1792.75)</f>
        <v>1792.75</v>
      </c>
    </row>
    <row r="3158">
      <c r="A3158" s="3">
        <f>IFERROR(__xludf.DUMMYFUNCTION("""COMPUTED_VALUE"""),43579.99861111111)</f>
        <v>43579.99861</v>
      </c>
      <c r="B3158" s="1">
        <f>IFERROR(__xludf.DUMMYFUNCTION("""COMPUTED_VALUE"""),1798.15)</f>
        <v>1798.15</v>
      </c>
    </row>
    <row r="3159">
      <c r="A3159" s="3">
        <f>IFERROR(__xludf.DUMMYFUNCTION("""COMPUTED_VALUE"""),43580.99861111111)</f>
        <v>43580.99861</v>
      </c>
      <c r="B3159" s="1">
        <f>IFERROR(__xludf.DUMMYFUNCTION("""COMPUTED_VALUE"""),1800.65)</f>
        <v>1800.65</v>
      </c>
    </row>
    <row r="3160">
      <c r="A3160" s="3">
        <f>IFERROR(__xludf.DUMMYFUNCTION("""COMPUTED_VALUE"""),43581.99861111111)</f>
        <v>43581.99861</v>
      </c>
      <c r="B3160" s="1">
        <f>IFERROR(__xludf.DUMMYFUNCTION("""COMPUTED_VALUE"""),1977.05)</f>
        <v>1977.05</v>
      </c>
    </row>
    <row r="3161">
      <c r="A3161" s="3">
        <f>IFERROR(__xludf.DUMMYFUNCTION("""COMPUTED_VALUE"""),43582.99861111111)</f>
        <v>43582.99861</v>
      </c>
      <c r="B3161" s="1">
        <f>IFERROR(__xludf.DUMMYFUNCTION("""COMPUTED_VALUE"""),1808.55)</f>
        <v>1808.55</v>
      </c>
    </row>
    <row r="3162">
      <c r="A3162" s="3">
        <f>IFERROR(__xludf.DUMMYFUNCTION("""COMPUTED_VALUE"""),43583.99861111111)</f>
        <v>43583.99861</v>
      </c>
      <c r="B3162" s="1">
        <f>IFERROR(__xludf.DUMMYFUNCTION("""COMPUTED_VALUE"""),1806.7)</f>
        <v>1806.7</v>
      </c>
    </row>
    <row r="3163">
      <c r="A3163" s="3">
        <f>IFERROR(__xludf.DUMMYFUNCTION("""COMPUTED_VALUE"""),43584.99861111111)</f>
        <v>43584.99861</v>
      </c>
      <c r="B3163" s="1">
        <f>IFERROR(__xludf.DUMMYFUNCTION("""COMPUTED_VALUE"""),1810.2)</f>
        <v>1810.2</v>
      </c>
    </row>
    <row r="3164">
      <c r="A3164" s="3">
        <f>IFERROR(__xludf.DUMMYFUNCTION("""COMPUTED_VALUE"""),43585.99861111111)</f>
        <v>43585.99861</v>
      </c>
      <c r="B3164" s="1">
        <f>IFERROR(__xludf.DUMMYFUNCTION("""COMPUTED_VALUE"""),1816.25)</f>
        <v>1816.25</v>
      </c>
    </row>
    <row r="3165">
      <c r="A3165" s="3">
        <f>IFERROR(__xludf.DUMMYFUNCTION("""COMPUTED_VALUE"""),43586.99861111111)</f>
        <v>43586.99861</v>
      </c>
      <c r="B3165" s="1">
        <f>IFERROR(__xludf.DUMMYFUNCTION("""COMPUTED_VALUE"""),1818.65)</f>
        <v>1818.65</v>
      </c>
    </row>
    <row r="3166">
      <c r="A3166" s="3">
        <f>IFERROR(__xludf.DUMMYFUNCTION("""COMPUTED_VALUE"""),43587.99861111111)</f>
        <v>43587.99861</v>
      </c>
      <c r="B3166" s="1">
        <f>IFERROR(__xludf.DUMMYFUNCTION("""COMPUTED_VALUE"""),1816.5)</f>
        <v>1816.5</v>
      </c>
    </row>
    <row r="3167">
      <c r="A3167" s="3">
        <f>IFERROR(__xludf.DUMMYFUNCTION("""COMPUTED_VALUE"""),43588.99861111111)</f>
        <v>43588.99861</v>
      </c>
      <c r="B3167" s="1">
        <f>IFERROR(__xludf.DUMMYFUNCTION("""COMPUTED_VALUE"""),1810.3)</f>
        <v>1810.3</v>
      </c>
    </row>
    <row r="3168">
      <c r="A3168" s="3">
        <f>IFERROR(__xludf.DUMMYFUNCTION("""COMPUTED_VALUE"""),43589.99861111111)</f>
        <v>43589.99861</v>
      </c>
      <c r="B3168" s="1">
        <f>IFERROR(__xludf.DUMMYFUNCTION("""COMPUTED_VALUE"""),1810.3)</f>
        <v>1810.3</v>
      </c>
    </row>
    <row r="3169">
      <c r="A3169" s="3">
        <f>IFERROR(__xludf.DUMMYFUNCTION("""COMPUTED_VALUE"""),43590.99861111111)</f>
        <v>43590.99861</v>
      </c>
      <c r="B3169" s="1">
        <f>IFERROR(__xludf.DUMMYFUNCTION("""COMPUTED_VALUE"""),1815.0)</f>
        <v>1815</v>
      </c>
    </row>
    <row r="3170">
      <c r="A3170" s="3">
        <f>IFERROR(__xludf.DUMMYFUNCTION("""COMPUTED_VALUE"""),43591.99861111111)</f>
        <v>43591.99861</v>
      </c>
      <c r="B3170" s="1">
        <f>IFERROR(__xludf.DUMMYFUNCTION("""COMPUTED_VALUE"""),1822.55)</f>
        <v>1822.55</v>
      </c>
    </row>
    <row r="3171">
      <c r="A3171" s="3">
        <f>IFERROR(__xludf.DUMMYFUNCTION("""COMPUTED_VALUE"""),43592.99861111111)</f>
        <v>43592.99861</v>
      </c>
      <c r="B3171" s="1">
        <f>IFERROR(__xludf.DUMMYFUNCTION("""COMPUTED_VALUE"""),1817.3)</f>
        <v>1817.3</v>
      </c>
    </row>
    <row r="3172">
      <c r="A3172" s="3">
        <f>IFERROR(__xludf.DUMMYFUNCTION("""COMPUTED_VALUE"""),43593.99861111111)</f>
        <v>43593.99861</v>
      </c>
      <c r="B3172" s="1">
        <f>IFERROR(__xludf.DUMMYFUNCTION("""COMPUTED_VALUE"""),1819.65)</f>
        <v>1819.65</v>
      </c>
    </row>
    <row r="3173">
      <c r="A3173" s="3">
        <f>IFERROR(__xludf.DUMMYFUNCTION("""COMPUTED_VALUE"""),43594.99861111111)</f>
        <v>43594.99861</v>
      </c>
      <c r="B3173" s="1">
        <f>IFERROR(__xludf.DUMMYFUNCTION("""COMPUTED_VALUE"""),1827.15)</f>
        <v>1827.15</v>
      </c>
    </row>
    <row r="3174">
      <c r="A3174" s="3">
        <f>IFERROR(__xludf.DUMMYFUNCTION("""COMPUTED_VALUE"""),43595.99861111111)</f>
        <v>43595.99861</v>
      </c>
      <c r="B3174" s="1">
        <f>IFERROR(__xludf.DUMMYFUNCTION("""COMPUTED_VALUE"""),1824.0)</f>
        <v>1824</v>
      </c>
    </row>
    <row r="3175">
      <c r="A3175" s="3">
        <f>IFERROR(__xludf.DUMMYFUNCTION("""COMPUTED_VALUE"""),43596.99861111111)</f>
        <v>43596.99861</v>
      </c>
      <c r="B3175" s="1">
        <f>IFERROR(__xludf.DUMMYFUNCTION("""COMPUTED_VALUE"""),1824.0)</f>
        <v>1824</v>
      </c>
    </row>
    <row r="3176">
      <c r="A3176" s="3">
        <f>IFERROR(__xludf.DUMMYFUNCTION("""COMPUTED_VALUE"""),43597.99861111111)</f>
        <v>43597.99861</v>
      </c>
      <c r="B3176" s="1">
        <f>IFERROR(__xludf.DUMMYFUNCTION("""COMPUTED_VALUE"""),1823.95)</f>
        <v>1823.95</v>
      </c>
    </row>
    <row r="3177">
      <c r="A3177" s="3">
        <f>IFERROR(__xludf.DUMMYFUNCTION("""COMPUTED_VALUE"""),43598.99861111111)</f>
        <v>43598.99861</v>
      </c>
      <c r="B3177" s="1">
        <f>IFERROR(__xludf.DUMMYFUNCTION("""COMPUTED_VALUE"""),1824.45)</f>
        <v>1824.45</v>
      </c>
    </row>
    <row r="3178">
      <c r="A3178" s="3">
        <f>IFERROR(__xludf.DUMMYFUNCTION("""COMPUTED_VALUE"""),43599.99861111111)</f>
        <v>43599.99861</v>
      </c>
      <c r="B3178" s="1">
        <f>IFERROR(__xludf.DUMMYFUNCTION("""COMPUTED_VALUE"""),1839.35)</f>
        <v>1839.35</v>
      </c>
    </row>
    <row r="3179">
      <c r="A3179" s="3">
        <f>IFERROR(__xludf.DUMMYFUNCTION("""COMPUTED_VALUE"""),43600.99861111111)</f>
        <v>43600.99861</v>
      </c>
      <c r="B3179" s="1">
        <f>IFERROR(__xludf.DUMMYFUNCTION("""COMPUTED_VALUE"""),1842.05)</f>
        <v>1842.05</v>
      </c>
    </row>
    <row r="3180">
      <c r="A3180" s="3">
        <f>IFERROR(__xludf.DUMMYFUNCTION("""COMPUTED_VALUE"""),43601.99861111111)</f>
        <v>43601.99861</v>
      </c>
      <c r="B3180" s="1">
        <f>IFERROR(__xludf.DUMMYFUNCTION("""COMPUTED_VALUE"""),1841.35)</f>
        <v>1841.35</v>
      </c>
    </row>
    <row r="3181">
      <c r="A3181" s="3">
        <f>IFERROR(__xludf.DUMMYFUNCTION("""COMPUTED_VALUE"""),43602.99861111111)</f>
        <v>43602.99861</v>
      </c>
      <c r="B3181" s="1">
        <f>IFERROR(__xludf.DUMMYFUNCTION("""COMPUTED_VALUE"""),1839.4)</f>
        <v>1839.4</v>
      </c>
    </row>
    <row r="3182">
      <c r="A3182" s="3">
        <f>IFERROR(__xludf.DUMMYFUNCTION("""COMPUTED_VALUE"""),43603.99861111111)</f>
        <v>43603.99861</v>
      </c>
      <c r="B3182" s="1">
        <f>IFERROR(__xludf.DUMMYFUNCTION("""COMPUTED_VALUE"""),1839.4)</f>
        <v>1839.4</v>
      </c>
    </row>
    <row r="3183">
      <c r="A3183" s="3">
        <f>IFERROR(__xludf.DUMMYFUNCTION("""COMPUTED_VALUE"""),43604.99861111111)</f>
        <v>43604.99861</v>
      </c>
      <c r="B3183" s="1">
        <f>IFERROR(__xludf.DUMMYFUNCTION("""COMPUTED_VALUE"""),1839.95)</f>
        <v>1839.95</v>
      </c>
    </row>
    <row r="3184">
      <c r="A3184" s="3">
        <f>IFERROR(__xludf.DUMMYFUNCTION("""COMPUTED_VALUE"""),43605.99861111111)</f>
        <v>43605.99861</v>
      </c>
      <c r="B3184" s="1">
        <f>IFERROR(__xludf.DUMMYFUNCTION("""COMPUTED_VALUE"""),1841.4)</f>
        <v>1841.4</v>
      </c>
    </row>
    <row r="3185">
      <c r="A3185" s="3">
        <f>IFERROR(__xludf.DUMMYFUNCTION("""COMPUTED_VALUE"""),43606.99861111111)</f>
        <v>43606.99861</v>
      </c>
      <c r="B3185" s="1">
        <f>IFERROR(__xludf.DUMMYFUNCTION("""COMPUTED_VALUE"""),1841.65)</f>
        <v>1841.65</v>
      </c>
    </row>
    <row r="3186">
      <c r="A3186" s="3">
        <f>IFERROR(__xludf.DUMMYFUNCTION("""COMPUTED_VALUE"""),43607.99861111111)</f>
        <v>43607.99861</v>
      </c>
      <c r="B3186" s="1">
        <f>IFERROR(__xludf.DUMMYFUNCTION("""COMPUTED_VALUE"""),1852.75)</f>
        <v>1852.75</v>
      </c>
    </row>
    <row r="3187">
      <c r="A3187" s="3">
        <f>IFERROR(__xludf.DUMMYFUNCTION("""COMPUTED_VALUE"""),43608.99861111111)</f>
        <v>43608.99861</v>
      </c>
      <c r="B3187" s="1">
        <f>IFERROR(__xludf.DUMMYFUNCTION("""COMPUTED_VALUE"""),1840.45)</f>
        <v>1840.45</v>
      </c>
    </row>
    <row r="3188">
      <c r="A3188" s="3">
        <f>IFERROR(__xludf.DUMMYFUNCTION("""COMPUTED_VALUE"""),43609.99861111111)</f>
        <v>43609.99861</v>
      </c>
      <c r="B3188" s="1">
        <f>IFERROR(__xludf.DUMMYFUNCTION("""COMPUTED_VALUE"""),1832.6)</f>
        <v>1832.6</v>
      </c>
    </row>
    <row r="3189">
      <c r="A3189" s="3">
        <f>IFERROR(__xludf.DUMMYFUNCTION("""COMPUTED_VALUE"""),43610.99861111111)</f>
        <v>43610.99861</v>
      </c>
      <c r="B3189" s="1">
        <f>IFERROR(__xludf.DUMMYFUNCTION("""COMPUTED_VALUE"""),1833.7)</f>
        <v>1833.7</v>
      </c>
    </row>
    <row r="3190">
      <c r="A3190" s="3">
        <f>IFERROR(__xludf.DUMMYFUNCTION("""COMPUTED_VALUE"""),43611.99861111111)</f>
        <v>43611.99861</v>
      </c>
      <c r="B3190" s="1">
        <f>IFERROR(__xludf.DUMMYFUNCTION("""COMPUTED_VALUE"""),1829.65)</f>
        <v>1829.65</v>
      </c>
    </row>
    <row r="3191">
      <c r="A3191" s="3">
        <f>IFERROR(__xludf.DUMMYFUNCTION("""COMPUTED_VALUE"""),43612.99861111111)</f>
        <v>43612.99861</v>
      </c>
      <c r="B3191" s="1">
        <f>IFERROR(__xludf.DUMMYFUNCTION("""COMPUTED_VALUE"""),1831.75)</f>
        <v>1831.75</v>
      </c>
    </row>
    <row r="3192">
      <c r="A3192" s="3">
        <f>IFERROR(__xludf.DUMMYFUNCTION("""COMPUTED_VALUE"""),43613.99861111111)</f>
        <v>43613.99861</v>
      </c>
      <c r="B3192" s="1">
        <f>IFERROR(__xludf.DUMMYFUNCTION("""COMPUTED_VALUE"""),1834.7)</f>
        <v>1834.7</v>
      </c>
    </row>
    <row r="3193">
      <c r="A3193" s="3">
        <f>IFERROR(__xludf.DUMMYFUNCTION("""COMPUTED_VALUE"""),43614.99861111111)</f>
        <v>43614.99861</v>
      </c>
      <c r="B3193" s="1">
        <f>IFERROR(__xludf.DUMMYFUNCTION("""COMPUTED_VALUE"""),1833.85)</f>
        <v>1833.85</v>
      </c>
    </row>
    <row r="3194">
      <c r="A3194" s="3">
        <f>IFERROR(__xludf.DUMMYFUNCTION("""COMPUTED_VALUE"""),43615.99861111111)</f>
        <v>43615.99861</v>
      </c>
      <c r="B3194" s="1">
        <f>IFERROR(__xludf.DUMMYFUNCTION("""COMPUTED_VALUE"""),1835.8)</f>
        <v>1835.8</v>
      </c>
    </row>
    <row r="3195">
      <c r="A3195" s="3">
        <f>IFERROR(__xludf.DUMMYFUNCTION("""COMPUTED_VALUE"""),43616.99861111111)</f>
        <v>43616.99861</v>
      </c>
      <c r="B3195" s="1">
        <f>IFERROR(__xludf.DUMMYFUNCTION("""COMPUTED_VALUE"""),1827.05)</f>
        <v>1827.05</v>
      </c>
    </row>
    <row r="3196">
      <c r="A3196" s="3">
        <f>IFERROR(__xludf.DUMMYFUNCTION("""COMPUTED_VALUE"""),43617.99861111111)</f>
        <v>43617.99861</v>
      </c>
      <c r="B3196" s="1">
        <f>IFERROR(__xludf.DUMMYFUNCTION("""COMPUTED_VALUE"""),1827.05)</f>
        <v>1827.05</v>
      </c>
    </row>
    <row r="3197">
      <c r="A3197" s="3">
        <f>IFERROR(__xludf.DUMMYFUNCTION("""COMPUTED_VALUE"""),43618.99861111111)</f>
        <v>43618.99861</v>
      </c>
      <c r="B3197" s="1">
        <f>IFERROR(__xludf.DUMMYFUNCTION("""COMPUTED_VALUE"""),1817.05)</f>
        <v>1817.05</v>
      </c>
    </row>
    <row r="3198">
      <c r="A3198" s="3">
        <f>IFERROR(__xludf.DUMMYFUNCTION("""COMPUTED_VALUE"""),43619.99861111111)</f>
        <v>43619.99861</v>
      </c>
      <c r="B3198" s="1">
        <f>IFERROR(__xludf.DUMMYFUNCTION("""COMPUTED_VALUE"""),1821.35)</f>
        <v>1821.35</v>
      </c>
    </row>
    <row r="3199">
      <c r="A3199" s="3">
        <f>IFERROR(__xludf.DUMMYFUNCTION("""COMPUTED_VALUE"""),43620.99861111111)</f>
        <v>43620.99861</v>
      </c>
      <c r="B3199" s="1">
        <f>IFERROR(__xludf.DUMMYFUNCTION("""COMPUTED_VALUE"""),1821.05)</f>
        <v>1821.05</v>
      </c>
    </row>
    <row r="3200">
      <c r="A3200" s="3">
        <f>IFERROR(__xludf.DUMMYFUNCTION("""COMPUTED_VALUE"""),43621.99861111111)</f>
        <v>43621.99861</v>
      </c>
      <c r="B3200" s="1">
        <f>IFERROR(__xludf.DUMMYFUNCTION("""COMPUTED_VALUE"""),1825.8)</f>
        <v>1825.8</v>
      </c>
    </row>
    <row r="3201">
      <c r="A3201" s="3">
        <f>IFERROR(__xludf.DUMMYFUNCTION("""COMPUTED_VALUE"""),43622.99861111111)</f>
        <v>43622.99861</v>
      </c>
      <c r="B3201" s="1">
        <f>IFERROR(__xludf.DUMMYFUNCTION("""COMPUTED_VALUE"""),1823.35)</f>
        <v>1823.35</v>
      </c>
    </row>
    <row r="3202">
      <c r="A3202" s="3">
        <f>IFERROR(__xludf.DUMMYFUNCTION("""COMPUTED_VALUE"""),43623.99861111111)</f>
        <v>43623.99861</v>
      </c>
      <c r="B3202" s="1">
        <f>IFERROR(__xludf.DUMMYFUNCTION("""COMPUTED_VALUE"""),1818.65)</f>
        <v>1818.65</v>
      </c>
    </row>
    <row r="3203">
      <c r="A3203" s="3">
        <f>IFERROR(__xludf.DUMMYFUNCTION("""COMPUTED_VALUE"""),43624.99861111111)</f>
        <v>43624.99861</v>
      </c>
      <c r="B3203" s="1">
        <f>IFERROR(__xludf.DUMMYFUNCTION("""COMPUTED_VALUE"""),1818.65)</f>
        <v>1818.65</v>
      </c>
    </row>
    <row r="3204">
      <c r="A3204" s="3">
        <f>IFERROR(__xludf.DUMMYFUNCTION("""COMPUTED_VALUE"""),43625.99861111111)</f>
        <v>43625.99861</v>
      </c>
      <c r="B3204" s="1">
        <f>IFERROR(__xludf.DUMMYFUNCTION("""COMPUTED_VALUE"""),1822.0)</f>
        <v>1822</v>
      </c>
    </row>
    <row r="3205">
      <c r="A3205" s="3">
        <f>IFERROR(__xludf.DUMMYFUNCTION("""COMPUTED_VALUE"""),43626.99861111111)</f>
        <v>43626.99861</v>
      </c>
      <c r="B3205" s="1">
        <f>IFERROR(__xludf.DUMMYFUNCTION("""COMPUTED_VALUE"""),1816.65)</f>
        <v>1816.65</v>
      </c>
    </row>
    <row r="3206">
      <c r="A3206" s="3">
        <f>IFERROR(__xludf.DUMMYFUNCTION("""COMPUTED_VALUE"""),43627.99861111111)</f>
        <v>43627.99861</v>
      </c>
      <c r="B3206" s="1">
        <f>IFERROR(__xludf.DUMMYFUNCTION("""COMPUTED_VALUE"""),1816.35)</f>
        <v>1816.35</v>
      </c>
    </row>
    <row r="3207">
      <c r="A3207" s="3">
        <f>IFERROR(__xludf.DUMMYFUNCTION("""COMPUTED_VALUE"""),43628.99861111111)</f>
        <v>43628.99861</v>
      </c>
      <c r="B3207" s="1">
        <f>IFERROR(__xludf.DUMMYFUNCTION("""COMPUTED_VALUE"""),1819.15)</f>
        <v>1819.15</v>
      </c>
    </row>
    <row r="3208">
      <c r="A3208" s="3">
        <f>IFERROR(__xludf.DUMMYFUNCTION("""COMPUTED_VALUE"""),43629.99861111111)</f>
        <v>43629.99861</v>
      </c>
      <c r="B3208" s="1">
        <f>IFERROR(__xludf.DUMMYFUNCTION("""COMPUTED_VALUE"""),1822.55)</f>
        <v>1822.55</v>
      </c>
    </row>
    <row r="3209">
      <c r="A3209" s="3">
        <f>IFERROR(__xludf.DUMMYFUNCTION("""COMPUTED_VALUE"""),43630.99861111111)</f>
        <v>43630.99861</v>
      </c>
      <c r="B3209" s="1">
        <f>IFERROR(__xludf.DUMMYFUNCTION("""COMPUTED_VALUE"""),1827.35)</f>
        <v>1827.35</v>
      </c>
    </row>
    <row r="3210">
      <c r="A3210" s="3">
        <f>IFERROR(__xludf.DUMMYFUNCTION("""COMPUTED_VALUE"""),43631.99861111111)</f>
        <v>43631.99861</v>
      </c>
      <c r="B3210" s="1">
        <f>IFERROR(__xludf.DUMMYFUNCTION("""COMPUTED_VALUE"""),1830.0)</f>
        <v>1830</v>
      </c>
    </row>
    <row r="3211">
      <c r="A3211" s="3">
        <f>IFERROR(__xludf.DUMMYFUNCTION("""COMPUTED_VALUE"""),43632.99861111111)</f>
        <v>43632.99861</v>
      </c>
      <c r="B3211" s="1">
        <f>IFERROR(__xludf.DUMMYFUNCTION("""COMPUTED_VALUE"""),1837.5)</f>
        <v>1837.5</v>
      </c>
    </row>
    <row r="3212">
      <c r="A3212" s="3">
        <f>IFERROR(__xludf.DUMMYFUNCTION("""COMPUTED_VALUE"""),43633.99861111111)</f>
        <v>43633.99861</v>
      </c>
      <c r="B3212" s="1">
        <f>IFERROR(__xludf.DUMMYFUNCTION("""COMPUTED_VALUE"""),1840.3)</f>
        <v>1840.3</v>
      </c>
    </row>
    <row r="3213">
      <c r="A3213" s="3">
        <f>IFERROR(__xludf.DUMMYFUNCTION("""COMPUTED_VALUE"""),43634.99861111111)</f>
        <v>43634.99861</v>
      </c>
      <c r="B3213" s="1">
        <f>IFERROR(__xludf.DUMMYFUNCTION("""COMPUTED_VALUE"""),1833.15)</f>
        <v>1833.15</v>
      </c>
    </row>
    <row r="3214">
      <c r="A3214" s="3">
        <f>IFERROR(__xludf.DUMMYFUNCTION("""COMPUTED_VALUE"""),43635.99861111111)</f>
        <v>43635.99861</v>
      </c>
      <c r="B3214" s="1">
        <f>IFERROR(__xludf.DUMMYFUNCTION("""COMPUTED_VALUE"""),1823.3)</f>
        <v>1823.3</v>
      </c>
    </row>
    <row r="3215">
      <c r="A3215" s="3">
        <f>IFERROR(__xludf.DUMMYFUNCTION("""COMPUTED_VALUE"""),43636.99861111111)</f>
        <v>43636.99861</v>
      </c>
      <c r="B3215" s="1">
        <f>IFERROR(__xludf.DUMMYFUNCTION("""COMPUTED_VALUE"""),1813.35)</f>
        <v>1813.35</v>
      </c>
    </row>
    <row r="3216">
      <c r="A3216" s="3">
        <f>IFERROR(__xludf.DUMMYFUNCTION("""COMPUTED_VALUE"""),43637.99861111111)</f>
        <v>43637.99861</v>
      </c>
      <c r="B3216" s="1">
        <f>IFERROR(__xludf.DUMMYFUNCTION("""COMPUTED_VALUE"""),1976.2)</f>
        <v>1976.2</v>
      </c>
    </row>
    <row r="3217">
      <c r="A3217" s="3">
        <f>IFERROR(__xludf.DUMMYFUNCTION("""COMPUTED_VALUE"""),43638.99861111111)</f>
        <v>43638.99861</v>
      </c>
      <c r="B3217" s="1">
        <f>IFERROR(__xludf.DUMMYFUNCTION("""COMPUTED_VALUE"""),1976.2)</f>
        <v>1976.2</v>
      </c>
    </row>
    <row r="3218">
      <c r="A3218" s="3">
        <f>IFERROR(__xludf.DUMMYFUNCTION("""COMPUTED_VALUE"""),43639.99861111111)</f>
        <v>43639.99861</v>
      </c>
      <c r="B3218" s="1">
        <f>IFERROR(__xludf.DUMMYFUNCTION("""COMPUTED_VALUE"""),1978.4)</f>
        <v>1978.4</v>
      </c>
    </row>
    <row r="3219">
      <c r="A3219" s="3">
        <f>IFERROR(__xludf.DUMMYFUNCTION("""COMPUTED_VALUE"""),43640.99861111111)</f>
        <v>43640.99861</v>
      </c>
      <c r="B3219" s="1">
        <f>IFERROR(__xludf.DUMMYFUNCTION("""COMPUTED_VALUE"""),1816.5)</f>
        <v>1816.5</v>
      </c>
    </row>
    <row r="3220">
      <c r="A3220" s="3">
        <f>IFERROR(__xludf.DUMMYFUNCTION("""COMPUTED_VALUE"""),43641.99861111111)</f>
        <v>43641.99861</v>
      </c>
      <c r="B3220" s="1">
        <f>IFERROR(__xludf.DUMMYFUNCTION("""COMPUTED_VALUE"""),1808.05)</f>
        <v>1808.05</v>
      </c>
    </row>
    <row r="3221">
      <c r="A3221" s="3">
        <f>IFERROR(__xludf.DUMMYFUNCTION("""COMPUTED_VALUE"""),43642.99861111111)</f>
        <v>43642.99861</v>
      </c>
      <c r="B3221" s="1">
        <f>IFERROR(__xludf.DUMMYFUNCTION("""COMPUTED_VALUE"""),1813.5)</f>
        <v>1813.5</v>
      </c>
    </row>
    <row r="3222">
      <c r="A3222" s="3">
        <f>IFERROR(__xludf.DUMMYFUNCTION("""COMPUTED_VALUE"""),43643.99861111111)</f>
        <v>43643.99861</v>
      </c>
      <c r="B3222" s="1">
        <f>IFERROR(__xludf.DUMMYFUNCTION("""COMPUTED_VALUE"""),1807.75)</f>
        <v>1807.75</v>
      </c>
    </row>
    <row r="3223">
      <c r="A3223" s="3">
        <f>IFERROR(__xludf.DUMMYFUNCTION("""COMPUTED_VALUE"""),43644.99861111111)</f>
        <v>43644.99861</v>
      </c>
      <c r="B3223" s="1">
        <f>IFERROR(__xludf.DUMMYFUNCTION("""COMPUTED_VALUE"""),1803.85)</f>
        <v>1803.85</v>
      </c>
    </row>
    <row r="3224">
      <c r="A3224" s="3">
        <f>IFERROR(__xludf.DUMMYFUNCTION("""COMPUTED_VALUE"""),43645.99861111111)</f>
        <v>43645.99861</v>
      </c>
      <c r="B3224" s="1">
        <f>IFERROR(__xludf.DUMMYFUNCTION("""COMPUTED_VALUE"""),1803.85)</f>
        <v>1803.85</v>
      </c>
    </row>
    <row r="3225">
      <c r="A3225" s="3">
        <f>IFERROR(__xludf.DUMMYFUNCTION("""COMPUTED_VALUE"""),43646.99861111111)</f>
        <v>43646.99861</v>
      </c>
      <c r="B3225" s="1">
        <f>IFERROR(__xludf.DUMMYFUNCTION("""COMPUTED_VALUE"""),1808.65)</f>
        <v>1808.65</v>
      </c>
    </row>
    <row r="3226">
      <c r="A3226" s="3">
        <f>IFERROR(__xludf.DUMMYFUNCTION("""COMPUTED_VALUE"""),43647.99861111111)</f>
        <v>43647.99861</v>
      </c>
      <c r="B3226" s="1">
        <f>IFERROR(__xludf.DUMMYFUNCTION("""COMPUTED_VALUE"""),1807.85)</f>
        <v>1807.85</v>
      </c>
    </row>
    <row r="3227">
      <c r="A3227" s="3">
        <f>IFERROR(__xludf.DUMMYFUNCTION("""COMPUTED_VALUE"""),43648.99861111111)</f>
        <v>43648.99861</v>
      </c>
      <c r="B3227" s="1">
        <f>IFERROR(__xludf.DUMMYFUNCTION("""COMPUTED_VALUE"""),1813.7)</f>
        <v>1813.7</v>
      </c>
    </row>
    <row r="3228">
      <c r="A3228" s="3">
        <f>IFERROR(__xludf.DUMMYFUNCTION("""COMPUTED_VALUE"""),43649.99861111111)</f>
        <v>43649.99861</v>
      </c>
      <c r="B3228" s="1">
        <f>IFERROR(__xludf.DUMMYFUNCTION("""COMPUTED_VALUE"""),1809.5)</f>
        <v>1809.5</v>
      </c>
    </row>
    <row r="3229">
      <c r="A3229" s="3">
        <f>IFERROR(__xludf.DUMMYFUNCTION("""COMPUTED_VALUE"""),43650.99861111111)</f>
        <v>43650.99861</v>
      </c>
      <c r="B3229" s="1">
        <f>IFERROR(__xludf.DUMMYFUNCTION("""COMPUTED_VALUE"""),1816.05)</f>
        <v>1816.05</v>
      </c>
    </row>
    <row r="3230">
      <c r="A3230" s="3">
        <f>IFERROR(__xludf.DUMMYFUNCTION("""COMPUTED_VALUE"""),43651.99861111111)</f>
        <v>43651.99861</v>
      </c>
      <c r="B3230" s="1">
        <f>IFERROR(__xludf.DUMMYFUNCTION("""COMPUTED_VALUE"""),1804.25)</f>
        <v>1804.25</v>
      </c>
    </row>
    <row r="3231">
      <c r="A3231" s="3">
        <f>IFERROR(__xludf.DUMMYFUNCTION("""COMPUTED_VALUE"""),43652.99861111111)</f>
        <v>43652.99861</v>
      </c>
      <c r="B3231" s="1">
        <f>IFERROR(__xludf.DUMMYFUNCTION("""COMPUTED_VALUE"""),1804.25)</f>
        <v>1804.25</v>
      </c>
    </row>
    <row r="3232">
      <c r="A3232" s="3">
        <f>IFERROR(__xludf.DUMMYFUNCTION("""COMPUTED_VALUE"""),43653.99861111111)</f>
        <v>43653.99861</v>
      </c>
      <c r="B3232" s="1">
        <f>IFERROR(__xludf.DUMMYFUNCTION("""COMPUTED_VALUE"""),1804.9)</f>
        <v>1804.9</v>
      </c>
    </row>
    <row r="3233">
      <c r="A3233" s="3">
        <f>IFERROR(__xludf.DUMMYFUNCTION("""COMPUTED_VALUE"""),43654.99861111111)</f>
        <v>43654.99861</v>
      </c>
      <c r="B3233" s="1">
        <f>IFERROR(__xludf.DUMMYFUNCTION("""COMPUTED_VALUE"""),1819.4)</f>
        <v>1819.4</v>
      </c>
    </row>
    <row r="3234">
      <c r="A3234" s="3">
        <f>IFERROR(__xludf.DUMMYFUNCTION("""COMPUTED_VALUE"""),43655.99861111111)</f>
        <v>43655.99861</v>
      </c>
      <c r="B3234" s="1">
        <f>IFERROR(__xludf.DUMMYFUNCTION("""COMPUTED_VALUE"""),1823.6)</f>
        <v>1823.6</v>
      </c>
    </row>
    <row r="3235">
      <c r="A3235" s="3">
        <f>IFERROR(__xludf.DUMMYFUNCTION("""COMPUTED_VALUE"""),43656.99861111111)</f>
        <v>43656.99861</v>
      </c>
      <c r="B3235" s="1">
        <f>IFERROR(__xludf.DUMMYFUNCTION("""COMPUTED_VALUE"""),1806.45)</f>
        <v>1806.45</v>
      </c>
    </row>
    <row r="3236">
      <c r="A3236" s="3">
        <f>IFERROR(__xludf.DUMMYFUNCTION("""COMPUTED_VALUE"""),43657.99861111111)</f>
        <v>43657.99861</v>
      </c>
      <c r="B3236" s="1">
        <f>IFERROR(__xludf.DUMMYFUNCTION("""COMPUTED_VALUE"""),1806.1)</f>
        <v>1806.1</v>
      </c>
    </row>
    <row r="3237">
      <c r="A3237" s="3">
        <f>IFERROR(__xludf.DUMMYFUNCTION("""COMPUTED_VALUE"""),43658.99861111111)</f>
        <v>43658.99861</v>
      </c>
      <c r="B3237" s="1">
        <f>IFERROR(__xludf.DUMMYFUNCTION("""COMPUTED_VALUE"""),1787.2)</f>
        <v>1787.2</v>
      </c>
    </row>
    <row r="3238">
      <c r="A3238" s="3">
        <f>IFERROR(__xludf.DUMMYFUNCTION("""COMPUTED_VALUE"""),43659.99861111111)</f>
        <v>43659.99861</v>
      </c>
      <c r="B3238" s="1">
        <f>IFERROR(__xludf.DUMMYFUNCTION("""COMPUTED_VALUE"""),1787.2)</f>
        <v>1787.2</v>
      </c>
    </row>
    <row r="3239">
      <c r="A3239" s="3">
        <f>IFERROR(__xludf.DUMMYFUNCTION("""COMPUTED_VALUE"""),43660.99861111111)</f>
        <v>43660.99861</v>
      </c>
      <c r="B3239" s="1">
        <f>IFERROR(__xludf.DUMMYFUNCTION("""COMPUTED_VALUE"""),1789.35)</f>
        <v>1789.35</v>
      </c>
    </row>
    <row r="3240">
      <c r="A3240" s="3">
        <f>IFERROR(__xludf.DUMMYFUNCTION("""COMPUTED_VALUE"""),43661.99861111111)</f>
        <v>43661.99861</v>
      </c>
      <c r="B3240" s="1">
        <f>IFERROR(__xludf.DUMMYFUNCTION("""COMPUTED_VALUE"""),1777.25)</f>
        <v>1777.25</v>
      </c>
    </row>
    <row r="3241">
      <c r="A3241" s="3">
        <f>IFERROR(__xludf.DUMMYFUNCTION("""COMPUTED_VALUE"""),43662.99861111111)</f>
        <v>43662.99861</v>
      </c>
      <c r="B3241" s="1">
        <f>IFERROR(__xludf.DUMMYFUNCTION("""COMPUTED_VALUE"""),1784.25)</f>
        <v>1784.25</v>
      </c>
    </row>
    <row r="3242">
      <c r="A3242" s="3">
        <f>IFERROR(__xludf.DUMMYFUNCTION("""COMPUTED_VALUE"""),43663.99861111111)</f>
        <v>43663.99861</v>
      </c>
      <c r="B3242" s="1">
        <f>IFERROR(__xludf.DUMMYFUNCTION("""COMPUTED_VALUE"""),1787.9)</f>
        <v>1787.9</v>
      </c>
    </row>
    <row r="3243">
      <c r="A3243" s="3">
        <f>IFERROR(__xludf.DUMMYFUNCTION("""COMPUTED_VALUE"""),43664.99861111111)</f>
        <v>43664.99861</v>
      </c>
      <c r="B3243" s="1">
        <f>IFERROR(__xludf.DUMMYFUNCTION("""COMPUTED_VALUE"""),1780.55)</f>
        <v>1780.55</v>
      </c>
    </row>
    <row r="3244">
      <c r="A3244" s="3">
        <f>IFERROR(__xludf.DUMMYFUNCTION("""COMPUTED_VALUE"""),43665.99861111111)</f>
        <v>43665.99861</v>
      </c>
      <c r="B3244" s="1">
        <f>IFERROR(__xludf.DUMMYFUNCTION("""COMPUTED_VALUE"""),1782.65)</f>
        <v>1782.65</v>
      </c>
    </row>
    <row r="3245">
      <c r="A3245" s="3">
        <f>IFERROR(__xludf.DUMMYFUNCTION("""COMPUTED_VALUE"""),43666.99861111111)</f>
        <v>43666.99861</v>
      </c>
      <c r="B3245" s="1">
        <f>IFERROR(__xludf.DUMMYFUNCTION("""COMPUTED_VALUE"""),1785.2)</f>
        <v>1785.2</v>
      </c>
    </row>
    <row r="3246">
      <c r="A3246" s="3">
        <f>IFERROR(__xludf.DUMMYFUNCTION("""COMPUTED_VALUE"""),43667.99861111111)</f>
        <v>43667.99861</v>
      </c>
      <c r="B3246" s="1">
        <f>IFERROR(__xludf.DUMMYFUNCTION("""COMPUTED_VALUE"""),1787.95)</f>
        <v>1787.95</v>
      </c>
    </row>
    <row r="3247">
      <c r="A3247" s="3">
        <f>IFERROR(__xludf.DUMMYFUNCTION("""COMPUTED_VALUE"""),43668.99861111111)</f>
        <v>43668.99861</v>
      </c>
      <c r="B3247" s="1">
        <f>IFERROR(__xludf.DUMMYFUNCTION("""COMPUTED_VALUE"""),1785.15)</f>
        <v>1785.15</v>
      </c>
    </row>
    <row r="3248">
      <c r="A3248" s="3">
        <f>IFERROR(__xludf.DUMMYFUNCTION("""COMPUTED_VALUE"""),43669.99861111111)</f>
        <v>43669.99861</v>
      </c>
      <c r="B3248" s="1">
        <f>IFERROR(__xludf.DUMMYFUNCTION("""COMPUTED_VALUE"""),1795.2)</f>
        <v>1795.2</v>
      </c>
    </row>
    <row r="3249">
      <c r="A3249" s="3">
        <f>IFERROR(__xludf.DUMMYFUNCTION("""COMPUTED_VALUE"""),43670.99861111111)</f>
        <v>43670.99861</v>
      </c>
      <c r="B3249" s="1">
        <f>IFERROR(__xludf.DUMMYFUNCTION("""COMPUTED_VALUE"""),1791.15)</f>
        <v>1791.15</v>
      </c>
    </row>
    <row r="3250">
      <c r="A3250" s="3">
        <f>IFERROR(__xludf.DUMMYFUNCTION("""COMPUTED_VALUE"""),43671.99861111111)</f>
        <v>43671.99861</v>
      </c>
      <c r="B3250" s="1">
        <f>IFERROR(__xludf.DUMMYFUNCTION("""COMPUTED_VALUE"""),1788.15)</f>
        <v>1788.15</v>
      </c>
    </row>
    <row r="3251">
      <c r="A3251" s="3">
        <f>IFERROR(__xludf.DUMMYFUNCTION("""COMPUTED_VALUE"""),43672.99861111111)</f>
        <v>43672.99861</v>
      </c>
      <c r="B3251" s="1">
        <f>IFERROR(__xludf.DUMMYFUNCTION("""COMPUTED_VALUE"""),1786.3)</f>
        <v>1786.3</v>
      </c>
    </row>
    <row r="3252">
      <c r="A3252" s="3">
        <f>IFERROR(__xludf.DUMMYFUNCTION("""COMPUTED_VALUE"""),43673.99861111111)</f>
        <v>43673.99861</v>
      </c>
      <c r="B3252" s="1">
        <f>IFERROR(__xludf.DUMMYFUNCTION("""COMPUTED_VALUE"""),1786.3)</f>
        <v>1786.3</v>
      </c>
    </row>
    <row r="3253">
      <c r="A3253" s="3">
        <f>IFERROR(__xludf.DUMMYFUNCTION("""COMPUTED_VALUE"""),43674.99861111111)</f>
        <v>43674.99861</v>
      </c>
      <c r="B3253" s="1">
        <f>IFERROR(__xludf.DUMMYFUNCTION("""COMPUTED_VALUE"""),1789.4)</f>
        <v>1789.4</v>
      </c>
    </row>
    <row r="3254">
      <c r="A3254" s="3">
        <f>IFERROR(__xludf.DUMMYFUNCTION("""COMPUTED_VALUE"""),43675.99861111111)</f>
        <v>43675.99861</v>
      </c>
      <c r="B3254" s="1">
        <f>IFERROR(__xludf.DUMMYFUNCTION("""COMPUTED_VALUE"""),1849.65)</f>
        <v>1849.65</v>
      </c>
    </row>
    <row r="3255">
      <c r="A3255" s="3">
        <f>IFERROR(__xludf.DUMMYFUNCTION("""COMPUTED_VALUE"""),43676.99861111111)</f>
        <v>43676.99861</v>
      </c>
      <c r="B3255" s="1">
        <f>IFERROR(__xludf.DUMMYFUNCTION("""COMPUTED_VALUE"""),1791.6)</f>
        <v>1791.6</v>
      </c>
    </row>
    <row r="3256">
      <c r="A3256" s="3">
        <f>IFERROR(__xludf.DUMMYFUNCTION("""COMPUTED_VALUE"""),43677.99861111111)</f>
        <v>43677.99861</v>
      </c>
      <c r="B3256" s="1">
        <f>IFERROR(__xludf.DUMMYFUNCTION("""COMPUTED_VALUE"""),1800.7)</f>
        <v>1800.7</v>
      </c>
    </row>
    <row r="3257">
      <c r="A3257" s="3">
        <f>IFERROR(__xludf.DUMMYFUNCTION("""COMPUTED_VALUE"""),43678.99861111111)</f>
        <v>43678.99861</v>
      </c>
      <c r="B3257" s="1">
        <f>IFERROR(__xludf.DUMMYFUNCTION("""COMPUTED_VALUE"""),1804.05)</f>
        <v>1804.05</v>
      </c>
    </row>
    <row r="3258">
      <c r="A3258" s="3">
        <f>IFERROR(__xludf.DUMMYFUNCTION("""COMPUTED_VALUE"""),43679.99861111111)</f>
        <v>43679.99861</v>
      </c>
      <c r="B3258" s="1">
        <f>IFERROR(__xludf.DUMMYFUNCTION("""COMPUTED_VALUE"""),1807.5)</f>
        <v>1807.5</v>
      </c>
    </row>
    <row r="3259">
      <c r="A3259" s="3">
        <f>IFERROR(__xludf.DUMMYFUNCTION("""COMPUTED_VALUE"""),43680.99861111111)</f>
        <v>43680.99861</v>
      </c>
      <c r="B3259" s="1">
        <f>IFERROR(__xludf.DUMMYFUNCTION("""COMPUTED_VALUE"""),1807.5)</f>
        <v>1807.5</v>
      </c>
    </row>
    <row r="3260">
      <c r="A3260" s="3">
        <f>IFERROR(__xludf.DUMMYFUNCTION("""COMPUTED_VALUE"""),43681.99861111111)</f>
        <v>43681.99861</v>
      </c>
      <c r="B3260" s="1">
        <f>IFERROR(__xludf.DUMMYFUNCTION("""COMPUTED_VALUE"""),1810.45)</f>
        <v>1810.45</v>
      </c>
    </row>
    <row r="3261">
      <c r="A3261" s="3">
        <f>IFERROR(__xludf.DUMMYFUNCTION("""COMPUTED_VALUE"""),43682.99861111111)</f>
        <v>43682.99861</v>
      </c>
      <c r="B3261" s="1">
        <f>IFERROR(__xludf.DUMMYFUNCTION("""COMPUTED_VALUE"""),1809.05)</f>
        <v>1809.05</v>
      </c>
    </row>
    <row r="3262">
      <c r="A3262" s="3">
        <f>IFERROR(__xludf.DUMMYFUNCTION("""COMPUTED_VALUE"""),43683.99861111111)</f>
        <v>43683.99861</v>
      </c>
      <c r="B3262" s="1">
        <f>IFERROR(__xludf.DUMMYFUNCTION("""COMPUTED_VALUE"""),1814.2)</f>
        <v>1814.2</v>
      </c>
    </row>
    <row r="3263">
      <c r="A3263" s="3">
        <f>IFERROR(__xludf.DUMMYFUNCTION("""COMPUTED_VALUE"""),43684.99861111111)</f>
        <v>43684.99861</v>
      </c>
      <c r="B3263" s="1">
        <f>IFERROR(__xludf.DUMMYFUNCTION("""COMPUTED_VALUE"""),1818.05)</f>
        <v>1818.05</v>
      </c>
    </row>
    <row r="3264">
      <c r="A3264" s="3">
        <f>IFERROR(__xludf.DUMMYFUNCTION("""COMPUTED_VALUE"""),43685.99861111111)</f>
        <v>43685.99861</v>
      </c>
      <c r="B3264" s="1">
        <f>IFERROR(__xludf.DUMMYFUNCTION("""COMPUTED_VALUE"""),1815.25)</f>
        <v>1815.25</v>
      </c>
    </row>
    <row r="3265">
      <c r="A3265" s="3">
        <f>IFERROR(__xludf.DUMMYFUNCTION("""COMPUTED_VALUE"""),43686.99861111111)</f>
        <v>43686.99861</v>
      </c>
      <c r="B3265" s="1">
        <f>IFERROR(__xludf.DUMMYFUNCTION("""COMPUTED_VALUE"""),1792.45)</f>
        <v>1792.45</v>
      </c>
    </row>
    <row r="3266">
      <c r="A3266" s="3">
        <f>IFERROR(__xludf.DUMMYFUNCTION("""COMPUTED_VALUE"""),43687.99861111111)</f>
        <v>43687.99861</v>
      </c>
      <c r="B3266" s="1">
        <f>IFERROR(__xludf.DUMMYFUNCTION("""COMPUTED_VALUE"""),1792.45)</f>
        <v>1792.45</v>
      </c>
    </row>
    <row r="3267">
      <c r="A3267" s="3">
        <f>IFERROR(__xludf.DUMMYFUNCTION("""COMPUTED_VALUE"""),43688.99861111111)</f>
        <v>43688.99861</v>
      </c>
      <c r="B3267" s="1">
        <f>IFERROR(__xludf.DUMMYFUNCTION("""COMPUTED_VALUE"""),1808.95)</f>
        <v>1808.95</v>
      </c>
    </row>
    <row r="3268">
      <c r="A3268" s="3">
        <f>IFERROR(__xludf.DUMMYFUNCTION("""COMPUTED_VALUE"""),43689.99861111111)</f>
        <v>43689.99861</v>
      </c>
      <c r="B3268" s="1">
        <f>IFERROR(__xludf.DUMMYFUNCTION("""COMPUTED_VALUE"""),1813.05)</f>
        <v>1813.05</v>
      </c>
    </row>
    <row r="3269">
      <c r="A3269" s="3">
        <f>IFERROR(__xludf.DUMMYFUNCTION("""COMPUTED_VALUE"""),43690.99861111111)</f>
        <v>43690.99861</v>
      </c>
      <c r="B3269" s="1">
        <f>IFERROR(__xludf.DUMMYFUNCTION("""COMPUTED_VALUE"""),1831.4)</f>
        <v>1831.4</v>
      </c>
    </row>
    <row r="3270">
      <c r="A3270" s="3">
        <f>IFERROR(__xludf.DUMMYFUNCTION("""COMPUTED_VALUE"""),43691.99861111111)</f>
        <v>43691.99861</v>
      </c>
      <c r="B3270" s="1">
        <f>IFERROR(__xludf.DUMMYFUNCTION("""COMPUTED_VALUE"""),1821.7)</f>
        <v>1821.7</v>
      </c>
    </row>
    <row r="3271">
      <c r="A3271" s="3">
        <f>IFERROR(__xludf.DUMMYFUNCTION("""COMPUTED_VALUE"""),43692.99861111111)</f>
        <v>43692.99861</v>
      </c>
      <c r="B3271" s="1">
        <f>IFERROR(__xludf.DUMMYFUNCTION("""COMPUTED_VALUE"""),1826.3)</f>
        <v>1826.3</v>
      </c>
    </row>
    <row r="3272">
      <c r="A3272" s="3">
        <f>IFERROR(__xludf.DUMMYFUNCTION("""COMPUTED_VALUE"""),43693.99861111111)</f>
        <v>43693.99861</v>
      </c>
      <c r="B3272" s="1">
        <f>IFERROR(__xludf.DUMMYFUNCTION("""COMPUTED_VALUE"""),1811.75)</f>
        <v>1811.75</v>
      </c>
    </row>
    <row r="3273">
      <c r="A3273" s="3">
        <f>IFERROR(__xludf.DUMMYFUNCTION("""COMPUTED_VALUE"""),43694.99861111111)</f>
        <v>43694.99861</v>
      </c>
      <c r="B3273" s="1">
        <f>IFERROR(__xludf.DUMMYFUNCTION("""COMPUTED_VALUE"""),1811.75)</f>
        <v>1811.75</v>
      </c>
    </row>
    <row r="3274">
      <c r="A3274" s="3">
        <f>IFERROR(__xludf.DUMMYFUNCTION("""COMPUTED_VALUE"""),43695.99861111111)</f>
        <v>43695.99861</v>
      </c>
      <c r="B3274" s="1">
        <f>IFERROR(__xludf.DUMMYFUNCTION("""COMPUTED_VALUE"""),1812.35)</f>
        <v>1812.35</v>
      </c>
    </row>
    <row r="3275">
      <c r="A3275" s="3">
        <f>IFERROR(__xludf.DUMMYFUNCTION("""COMPUTED_VALUE"""),43696.99861111111)</f>
        <v>43696.99861</v>
      </c>
      <c r="B3275" s="1">
        <f>IFERROR(__xludf.DUMMYFUNCTION("""COMPUTED_VALUE"""),1818.6)</f>
        <v>1818.6</v>
      </c>
    </row>
    <row r="3276">
      <c r="A3276" s="3">
        <f>IFERROR(__xludf.DUMMYFUNCTION("""COMPUTED_VALUE"""),43697.99861111111)</f>
        <v>43697.99861</v>
      </c>
      <c r="B3276" s="1">
        <f>IFERROR(__xludf.DUMMYFUNCTION("""COMPUTED_VALUE"""),1815.8)</f>
        <v>1815.8</v>
      </c>
    </row>
    <row r="3277">
      <c r="A3277" s="3">
        <f>IFERROR(__xludf.DUMMYFUNCTION("""COMPUTED_VALUE"""),43698.99861111111)</f>
        <v>43698.99861</v>
      </c>
      <c r="B3277" s="1">
        <f>IFERROR(__xludf.DUMMYFUNCTION("""COMPUTED_VALUE"""),1817.35)</f>
        <v>1817.35</v>
      </c>
    </row>
    <row r="3278">
      <c r="A3278" s="3">
        <f>IFERROR(__xludf.DUMMYFUNCTION("""COMPUTED_VALUE"""),43699.99861111111)</f>
        <v>43699.99861</v>
      </c>
      <c r="B3278" s="1">
        <f>IFERROR(__xludf.DUMMYFUNCTION("""COMPUTED_VALUE"""),1813.05)</f>
        <v>1813.05</v>
      </c>
    </row>
    <row r="3279">
      <c r="A3279" s="3">
        <f>IFERROR(__xludf.DUMMYFUNCTION("""COMPUTED_VALUE"""),43700.99861111111)</f>
        <v>43700.99861</v>
      </c>
      <c r="B3279" s="1">
        <f>IFERROR(__xludf.DUMMYFUNCTION("""COMPUTED_VALUE"""),1782.15)</f>
        <v>1782.15</v>
      </c>
    </row>
    <row r="3280">
      <c r="A3280" s="3">
        <f>IFERROR(__xludf.DUMMYFUNCTION("""COMPUTED_VALUE"""),43701.99861111111)</f>
        <v>43701.99861</v>
      </c>
      <c r="B3280" s="1">
        <f>IFERROR(__xludf.DUMMYFUNCTION("""COMPUTED_VALUE"""),1782.05)</f>
        <v>1782.05</v>
      </c>
    </row>
    <row r="3281">
      <c r="A3281" s="3">
        <f>IFERROR(__xludf.DUMMYFUNCTION("""COMPUTED_VALUE"""),43702.99861111111)</f>
        <v>43702.99861</v>
      </c>
      <c r="B3281" s="1">
        <f>IFERROR(__xludf.DUMMYFUNCTION("""COMPUTED_VALUE"""),1797.7)</f>
        <v>1797.7</v>
      </c>
    </row>
    <row r="3282">
      <c r="A3282" s="3">
        <f>IFERROR(__xludf.DUMMYFUNCTION("""COMPUTED_VALUE"""),43703.99861111111)</f>
        <v>43703.99861</v>
      </c>
      <c r="B3282" s="1">
        <f>IFERROR(__xludf.DUMMYFUNCTION("""COMPUTED_VALUE"""),1814.7)</f>
        <v>1814.7</v>
      </c>
    </row>
    <row r="3283">
      <c r="A3283" s="3">
        <f>IFERROR(__xludf.DUMMYFUNCTION("""COMPUTED_VALUE"""),43704.99861111111)</f>
        <v>43704.99861</v>
      </c>
      <c r="B3283" s="1">
        <f>IFERROR(__xludf.DUMMYFUNCTION("""COMPUTED_VALUE"""),1816.8)</f>
        <v>1816.8</v>
      </c>
    </row>
    <row r="3284">
      <c r="A3284" s="3">
        <f>IFERROR(__xludf.DUMMYFUNCTION("""COMPUTED_VALUE"""),43705.99861111111)</f>
        <v>43705.99861</v>
      </c>
      <c r="B3284" s="1">
        <f>IFERROR(__xludf.DUMMYFUNCTION("""COMPUTED_VALUE"""),1816.3)</f>
        <v>1816.3</v>
      </c>
    </row>
    <row r="3285">
      <c r="A3285" s="3">
        <f>IFERROR(__xludf.DUMMYFUNCTION("""COMPUTED_VALUE"""),43706.99861111111)</f>
        <v>43706.99861</v>
      </c>
      <c r="B3285" s="1">
        <f>IFERROR(__xludf.DUMMYFUNCTION("""COMPUTED_VALUE"""),1815.05)</f>
        <v>1815.05</v>
      </c>
    </row>
    <row r="3286">
      <c r="A3286" s="3">
        <f>IFERROR(__xludf.DUMMYFUNCTION("""COMPUTED_VALUE"""),43707.99861111111)</f>
        <v>43707.99861</v>
      </c>
      <c r="B3286" s="1">
        <f>IFERROR(__xludf.DUMMYFUNCTION("""COMPUTED_VALUE"""),1814.35)</f>
        <v>1814.35</v>
      </c>
    </row>
    <row r="3287">
      <c r="A3287" s="3">
        <f>IFERROR(__xludf.DUMMYFUNCTION("""COMPUTED_VALUE"""),43708.99861111111)</f>
        <v>43708.99861</v>
      </c>
      <c r="B3287" s="1">
        <f>IFERROR(__xludf.DUMMYFUNCTION("""COMPUTED_VALUE"""),1814.35)</f>
        <v>1814.35</v>
      </c>
    </row>
    <row r="3288">
      <c r="A3288" s="3">
        <f>IFERROR(__xludf.DUMMYFUNCTION("""COMPUTED_VALUE"""),43709.99861111111)</f>
        <v>43709.99861</v>
      </c>
      <c r="B3288" s="1">
        <f>IFERROR(__xludf.DUMMYFUNCTION("""COMPUTED_VALUE"""),1817.7)</f>
        <v>1817.7</v>
      </c>
    </row>
    <row r="3289">
      <c r="A3289" s="3">
        <f>IFERROR(__xludf.DUMMYFUNCTION("""COMPUTED_VALUE"""),43710.99861111111)</f>
        <v>43710.99861</v>
      </c>
      <c r="B3289" s="1">
        <f>IFERROR(__xludf.DUMMYFUNCTION("""COMPUTED_VALUE"""),1810.15)</f>
        <v>1810.15</v>
      </c>
    </row>
    <row r="3290">
      <c r="A3290" s="3">
        <f>IFERROR(__xludf.DUMMYFUNCTION("""COMPUTED_VALUE"""),43711.99861111111)</f>
        <v>43711.99861</v>
      </c>
      <c r="B3290" s="1">
        <f>IFERROR(__xludf.DUMMYFUNCTION("""COMPUTED_VALUE"""),1812.45)</f>
        <v>1812.45</v>
      </c>
    </row>
    <row r="3291">
      <c r="A3291" s="3">
        <f>IFERROR(__xludf.DUMMYFUNCTION("""COMPUTED_VALUE"""),43712.99861111111)</f>
        <v>43712.99861</v>
      </c>
      <c r="B3291" s="1">
        <f>IFERROR(__xludf.DUMMYFUNCTION("""COMPUTED_VALUE"""),1803.85)</f>
        <v>1803.85</v>
      </c>
    </row>
    <row r="3292">
      <c r="A3292" s="3">
        <f>IFERROR(__xludf.DUMMYFUNCTION("""COMPUTED_VALUE"""),43713.99861111111)</f>
        <v>43713.99861</v>
      </c>
      <c r="B3292" s="1">
        <f>IFERROR(__xludf.DUMMYFUNCTION("""COMPUTED_VALUE"""),1805.7)</f>
        <v>1805.7</v>
      </c>
    </row>
    <row r="3293">
      <c r="A3293" s="3">
        <f>IFERROR(__xludf.DUMMYFUNCTION("""COMPUTED_VALUE"""),43714.99861111111)</f>
        <v>43714.99861</v>
      </c>
      <c r="B3293" s="1">
        <f>IFERROR(__xludf.DUMMYFUNCTION("""COMPUTED_VALUE"""),1782.05)</f>
        <v>1782.05</v>
      </c>
    </row>
    <row r="3294">
      <c r="A3294" s="3">
        <f>IFERROR(__xludf.DUMMYFUNCTION("""COMPUTED_VALUE"""),43715.99861111111)</f>
        <v>43715.99861</v>
      </c>
      <c r="B3294" s="1">
        <f>IFERROR(__xludf.DUMMYFUNCTION("""COMPUTED_VALUE"""),1781.45)</f>
        <v>1781.45</v>
      </c>
    </row>
    <row r="3295">
      <c r="A3295" s="3">
        <f>IFERROR(__xludf.DUMMYFUNCTION("""COMPUTED_VALUE"""),43716.99861111111)</f>
        <v>43716.99861</v>
      </c>
      <c r="B3295" s="1">
        <f>IFERROR(__xludf.DUMMYFUNCTION("""COMPUTED_VALUE"""),1799.25)</f>
        <v>1799.25</v>
      </c>
    </row>
    <row r="3296">
      <c r="A3296" s="3">
        <f>IFERROR(__xludf.DUMMYFUNCTION("""COMPUTED_VALUE"""),43717.99861111111)</f>
        <v>43717.99861</v>
      </c>
      <c r="B3296" s="1">
        <f>IFERROR(__xludf.DUMMYFUNCTION("""COMPUTED_VALUE"""),1789.0)</f>
        <v>1789</v>
      </c>
    </row>
    <row r="3297">
      <c r="A3297" s="3">
        <f>IFERROR(__xludf.DUMMYFUNCTION("""COMPUTED_VALUE"""),43718.99861111111)</f>
        <v>43718.99861</v>
      </c>
      <c r="B3297" s="1">
        <f>IFERROR(__xludf.DUMMYFUNCTION("""COMPUTED_VALUE"""),1791.0)</f>
        <v>1791</v>
      </c>
    </row>
    <row r="3298">
      <c r="A3298" s="3">
        <f>IFERROR(__xludf.DUMMYFUNCTION("""COMPUTED_VALUE"""),43719.99861111111)</f>
        <v>43719.99861</v>
      </c>
      <c r="B3298" s="1">
        <f>IFERROR(__xludf.DUMMYFUNCTION("""COMPUTED_VALUE"""),1790.55)</f>
        <v>1790.55</v>
      </c>
    </row>
    <row r="3299">
      <c r="A3299" s="3">
        <f>IFERROR(__xludf.DUMMYFUNCTION("""COMPUTED_VALUE"""),43720.99861111111)</f>
        <v>43720.99861</v>
      </c>
      <c r="B3299" s="1">
        <f>IFERROR(__xludf.DUMMYFUNCTION("""COMPUTED_VALUE"""),1782.65)</f>
        <v>1782.65</v>
      </c>
    </row>
    <row r="3300">
      <c r="A3300" s="3">
        <f>IFERROR(__xludf.DUMMYFUNCTION("""COMPUTED_VALUE"""),43721.99861111111)</f>
        <v>43721.99861</v>
      </c>
      <c r="B3300" s="1">
        <f>IFERROR(__xludf.DUMMYFUNCTION("""COMPUTED_VALUE"""),1771.9)</f>
        <v>1771.9</v>
      </c>
    </row>
    <row r="3301">
      <c r="A3301" s="3">
        <f>IFERROR(__xludf.DUMMYFUNCTION("""COMPUTED_VALUE"""),43722.99861111111)</f>
        <v>43722.99861</v>
      </c>
      <c r="B3301" s="1">
        <f>IFERROR(__xludf.DUMMYFUNCTION("""COMPUTED_VALUE"""),1771.9)</f>
        <v>1771.9</v>
      </c>
    </row>
    <row r="3302">
      <c r="A3302" s="3">
        <f>IFERROR(__xludf.DUMMYFUNCTION("""COMPUTED_VALUE"""),43723.99861111111)</f>
        <v>43723.99861</v>
      </c>
      <c r="B3302" s="1">
        <f>IFERROR(__xludf.DUMMYFUNCTION("""COMPUTED_VALUE"""),1782.55)</f>
        <v>1782.55</v>
      </c>
    </row>
    <row r="3303">
      <c r="A3303" s="3">
        <f>IFERROR(__xludf.DUMMYFUNCTION("""COMPUTED_VALUE"""),43724.99861111111)</f>
        <v>43724.99861</v>
      </c>
      <c r="B3303" s="1">
        <f>IFERROR(__xludf.DUMMYFUNCTION("""COMPUTED_VALUE"""),1795.7)</f>
        <v>1795.7</v>
      </c>
    </row>
    <row r="3304">
      <c r="A3304" s="3">
        <f>IFERROR(__xludf.DUMMYFUNCTION("""COMPUTED_VALUE"""),43725.99861111111)</f>
        <v>43725.99861</v>
      </c>
      <c r="B3304" s="1">
        <f>IFERROR(__xludf.DUMMYFUNCTION("""COMPUTED_VALUE"""),1783.3)</f>
        <v>1783.3</v>
      </c>
    </row>
    <row r="3305">
      <c r="A3305" s="3">
        <f>IFERROR(__xludf.DUMMYFUNCTION("""COMPUTED_VALUE"""),43726.99861111111)</f>
        <v>43726.99861</v>
      </c>
      <c r="B3305" s="1">
        <f>IFERROR(__xludf.DUMMYFUNCTION("""COMPUTED_VALUE"""),1804.75)</f>
        <v>1804.75</v>
      </c>
    </row>
    <row r="3306">
      <c r="A3306" s="3">
        <f>IFERROR(__xludf.DUMMYFUNCTION("""COMPUTED_VALUE"""),43727.99861111111)</f>
        <v>43727.99861</v>
      </c>
      <c r="B3306" s="1">
        <f>IFERROR(__xludf.DUMMYFUNCTION("""COMPUTED_VALUE"""),1803.55)</f>
        <v>1803.55</v>
      </c>
    </row>
    <row r="3307">
      <c r="A3307" s="3">
        <f>IFERROR(__xludf.DUMMYFUNCTION("""COMPUTED_VALUE"""),43728.99861111111)</f>
        <v>43728.99861</v>
      </c>
      <c r="B3307" s="1">
        <f>IFERROR(__xludf.DUMMYFUNCTION("""COMPUTED_VALUE"""),1791.55)</f>
        <v>1791.55</v>
      </c>
    </row>
    <row r="3308">
      <c r="A3308" s="3">
        <f>IFERROR(__xludf.DUMMYFUNCTION("""COMPUTED_VALUE"""),43729.99861111111)</f>
        <v>43729.99861</v>
      </c>
      <c r="B3308" s="1">
        <f>IFERROR(__xludf.DUMMYFUNCTION("""COMPUTED_VALUE"""),1791.55)</f>
        <v>1791.55</v>
      </c>
    </row>
    <row r="3309">
      <c r="A3309" s="3">
        <f>IFERROR(__xludf.DUMMYFUNCTION("""COMPUTED_VALUE"""),43730.99861111111)</f>
        <v>43730.99861</v>
      </c>
      <c r="B3309" s="1">
        <f>IFERROR(__xludf.DUMMYFUNCTION("""COMPUTED_VALUE"""),1790.9)</f>
        <v>1790.9</v>
      </c>
    </row>
    <row r="3310">
      <c r="A3310" s="3">
        <f>IFERROR(__xludf.DUMMYFUNCTION("""COMPUTED_VALUE"""),43731.99861111111)</f>
        <v>43731.99861</v>
      </c>
      <c r="B3310" s="1">
        <f>IFERROR(__xludf.DUMMYFUNCTION("""COMPUTED_VALUE"""),1795.5)</f>
        <v>1795.5</v>
      </c>
    </row>
    <row r="3311">
      <c r="A3311" s="3">
        <f>IFERROR(__xludf.DUMMYFUNCTION("""COMPUTED_VALUE"""),43732.99861111111)</f>
        <v>43732.99861</v>
      </c>
      <c r="B3311" s="1">
        <f>IFERROR(__xludf.DUMMYFUNCTION("""COMPUTED_VALUE"""),1800.75)</f>
        <v>1800.75</v>
      </c>
    </row>
    <row r="3312">
      <c r="A3312" s="3">
        <f>IFERROR(__xludf.DUMMYFUNCTION("""COMPUTED_VALUE"""),43733.99861111111)</f>
        <v>43733.99861</v>
      </c>
      <c r="B3312" s="1">
        <f>IFERROR(__xludf.DUMMYFUNCTION("""COMPUTED_VALUE"""),1803.45)</f>
        <v>1803.45</v>
      </c>
    </row>
    <row r="3313">
      <c r="A3313" s="3">
        <f>IFERROR(__xludf.DUMMYFUNCTION("""COMPUTED_VALUE"""),43734.99861111111)</f>
        <v>43734.99861</v>
      </c>
      <c r="B3313" s="1">
        <f>IFERROR(__xludf.DUMMYFUNCTION("""COMPUTED_VALUE"""),1809.75)</f>
        <v>1809.75</v>
      </c>
    </row>
    <row r="3314">
      <c r="A3314" s="3">
        <f>IFERROR(__xludf.DUMMYFUNCTION("""COMPUTED_VALUE"""),43735.99861111111)</f>
        <v>43735.99861</v>
      </c>
      <c r="B3314" s="1">
        <f>IFERROR(__xludf.DUMMYFUNCTION("""COMPUTED_VALUE"""),1806.25)</f>
        <v>1806.25</v>
      </c>
    </row>
    <row r="3315">
      <c r="A3315" s="3">
        <f>IFERROR(__xludf.DUMMYFUNCTION("""COMPUTED_VALUE"""),43736.99861111111)</f>
        <v>43736.99861</v>
      </c>
      <c r="B3315" s="1">
        <f>IFERROR(__xludf.DUMMYFUNCTION("""COMPUTED_VALUE"""),1806.75)</f>
        <v>1806.75</v>
      </c>
    </row>
    <row r="3316">
      <c r="A3316" s="3">
        <f>IFERROR(__xludf.DUMMYFUNCTION("""COMPUTED_VALUE"""),43737.99861111111)</f>
        <v>43737.99861</v>
      </c>
      <c r="B3316" s="1">
        <f>IFERROR(__xludf.DUMMYFUNCTION("""COMPUTED_VALUE"""),1805.9)</f>
        <v>1805.9</v>
      </c>
    </row>
    <row r="3317">
      <c r="A3317" s="3">
        <f>IFERROR(__xludf.DUMMYFUNCTION("""COMPUTED_VALUE"""),43738.99861111111)</f>
        <v>43738.99861</v>
      </c>
      <c r="B3317" s="1">
        <f>IFERROR(__xludf.DUMMYFUNCTION("""COMPUTED_VALUE"""),1814.3)</f>
        <v>1814.3</v>
      </c>
    </row>
    <row r="3318">
      <c r="A3318" s="3">
        <f>IFERROR(__xludf.DUMMYFUNCTION("""COMPUTED_VALUE"""),43739.99861111111)</f>
        <v>43739.99861</v>
      </c>
      <c r="B3318" s="1">
        <f>IFERROR(__xludf.DUMMYFUNCTION("""COMPUTED_VALUE"""),1806.65)</f>
        <v>1806.65</v>
      </c>
    </row>
    <row r="3319">
      <c r="A3319" s="3">
        <f>IFERROR(__xludf.DUMMYFUNCTION("""COMPUTED_VALUE"""),43740.99861111111)</f>
        <v>43740.99861</v>
      </c>
      <c r="B3319" s="1">
        <f>IFERROR(__xludf.DUMMYFUNCTION("""COMPUTED_VALUE"""),1802.95)</f>
        <v>1802.95</v>
      </c>
    </row>
    <row r="3320">
      <c r="A3320" s="3">
        <f>IFERROR(__xludf.DUMMYFUNCTION("""COMPUTED_VALUE"""),43741.99861111111)</f>
        <v>43741.99861</v>
      </c>
      <c r="B3320" s="1">
        <f>IFERROR(__xludf.DUMMYFUNCTION("""COMPUTED_VALUE"""),1808.55)</f>
        <v>1808.55</v>
      </c>
    </row>
    <row r="3321">
      <c r="A3321" s="3">
        <f>IFERROR(__xludf.DUMMYFUNCTION("""COMPUTED_VALUE"""),43742.99861111111)</f>
        <v>43742.99861</v>
      </c>
      <c r="B3321" s="1">
        <f>IFERROR(__xludf.DUMMYFUNCTION("""COMPUTED_VALUE"""),1801.5)</f>
        <v>1801.5</v>
      </c>
    </row>
    <row r="3322">
      <c r="A3322" s="3">
        <f>IFERROR(__xludf.DUMMYFUNCTION("""COMPUTED_VALUE"""),43743.99861111111)</f>
        <v>43743.99861</v>
      </c>
      <c r="B3322" s="1">
        <f>IFERROR(__xludf.DUMMYFUNCTION("""COMPUTED_VALUE"""),1804.85)</f>
        <v>1804.85</v>
      </c>
    </row>
    <row r="3323">
      <c r="A3323" s="3">
        <f>IFERROR(__xludf.DUMMYFUNCTION("""COMPUTED_VALUE"""),43744.99861111111)</f>
        <v>43744.99861</v>
      </c>
      <c r="B3323" s="1">
        <f>IFERROR(__xludf.DUMMYFUNCTION("""COMPUTED_VALUE"""),1803.5)</f>
        <v>1803.5</v>
      </c>
    </row>
    <row r="3324">
      <c r="A3324" s="3">
        <f>IFERROR(__xludf.DUMMYFUNCTION("""COMPUTED_VALUE"""),43745.99861111111)</f>
        <v>43745.99861</v>
      </c>
      <c r="B3324" s="1">
        <f>IFERROR(__xludf.DUMMYFUNCTION("""COMPUTED_VALUE"""),1805.4)</f>
        <v>1805.4</v>
      </c>
    </row>
    <row r="3325">
      <c r="A3325" s="3">
        <f>IFERROR(__xludf.DUMMYFUNCTION("""COMPUTED_VALUE"""),43746.99861111111)</f>
        <v>43746.99861</v>
      </c>
      <c r="B3325" s="1">
        <f>IFERROR(__xludf.DUMMYFUNCTION("""COMPUTED_VALUE"""),1806.95)</f>
        <v>1806.95</v>
      </c>
    </row>
    <row r="3326">
      <c r="A3326" s="3">
        <f>IFERROR(__xludf.DUMMYFUNCTION("""COMPUTED_VALUE"""),43747.99861111111)</f>
        <v>43747.99861</v>
      </c>
      <c r="B3326" s="1">
        <f>IFERROR(__xludf.DUMMYFUNCTION("""COMPUTED_VALUE"""),1803.55)</f>
        <v>1803.55</v>
      </c>
    </row>
    <row r="3327">
      <c r="A3327" s="3">
        <f>IFERROR(__xludf.DUMMYFUNCTION("""COMPUTED_VALUE"""),43748.99861111111)</f>
        <v>43748.99861</v>
      </c>
      <c r="B3327" s="1">
        <f>IFERROR(__xludf.DUMMYFUNCTION("""COMPUTED_VALUE"""),1805.45)</f>
        <v>1805.45</v>
      </c>
    </row>
    <row r="3328">
      <c r="A3328" s="3">
        <f>IFERROR(__xludf.DUMMYFUNCTION("""COMPUTED_VALUE"""),43749.99861111111)</f>
        <v>43749.99861</v>
      </c>
      <c r="B3328" s="1">
        <f>IFERROR(__xludf.DUMMYFUNCTION("""COMPUTED_VALUE"""),1800.35)</f>
        <v>1800.35</v>
      </c>
    </row>
    <row r="3329">
      <c r="A3329" s="3">
        <f>IFERROR(__xludf.DUMMYFUNCTION("""COMPUTED_VALUE"""),43750.99861111111)</f>
        <v>43750.99861</v>
      </c>
      <c r="B3329" s="1">
        <f>IFERROR(__xludf.DUMMYFUNCTION("""COMPUTED_VALUE"""),1800.339)</f>
        <v>1800.339</v>
      </c>
    </row>
    <row r="3330">
      <c r="A3330" s="3">
        <f>IFERROR(__xludf.DUMMYFUNCTION("""COMPUTED_VALUE"""),43751.99861111111)</f>
        <v>43751.99861</v>
      </c>
      <c r="B3330" s="1">
        <f>IFERROR(__xludf.DUMMYFUNCTION("""COMPUTED_VALUE"""),1802.29)</f>
        <v>1802.29</v>
      </c>
    </row>
    <row r="3331">
      <c r="A3331" s="3">
        <f>IFERROR(__xludf.DUMMYFUNCTION("""COMPUTED_VALUE"""),43752.99861111111)</f>
        <v>43752.99861</v>
      </c>
      <c r="B3331" s="1">
        <f>IFERROR(__xludf.DUMMYFUNCTION("""COMPUTED_VALUE"""),1803.19)</f>
        <v>1803.19</v>
      </c>
    </row>
    <row r="3332">
      <c r="A3332" s="3">
        <f>IFERROR(__xludf.DUMMYFUNCTION("""COMPUTED_VALUE"""),43753.99861111111)</f>
        <v>43753.99861</v>
      </c>
      <c r="B3332" s="1">
        <f>IFERROR(__xludf.DUMMYFUNCTION("""COMPUTED_VALUE"""),1805.434)</f>
        <v>1805.434</v>
      </c>
    </row>
    <row r="3333">
      <c r="A3333" s="3">
        <f>IFERROR(__xludf.DUMMYFUNCTION("""COMPUTED_VALUE"""),43754.99861111111)</f>
        <v>43754.99861</v>
      </c>
      <c r="B3333" s="1">
        <f>IFERROR(__xludf.DUMMYFUNCTION("""COMPUTED_VALUE"""),1798.702)</f>
        <v>1798.702</v>
      </c>
    </row>
    <row r="3334">
      <c r="A3334" s="3">
        <f>IFERROR(__xludf.DUMMYFUNCTION("""COMPUTED_VALUE"""),43755.99861111111)</f>
        <v>43755.99861</v>
      </c>
      <c r="B3334" s="1">
        <f>IFERROR(__xludf.DUMMYFUNCTION("""COMPUTED_VALUE"""),1803.068)</f>
        <v>1803.068</v>
      </c>
    </row>
    <row r="3335">
      <c r="A3335" s="3">
        <f>IFERROR(__xludf.DUMMYFUNCTION("""COMPUTED_VALUE"""),43756.99861111111)</f>
        <v>43756.99861</v>
      </c>
      <c r="B3335" s="1">
        <f>IFERROR(__xludf.DUMMYFUNCTION("""COMPUTED_VALUE"""),1802.651)</f>
        <v>1802.651</v>
      </c>
    </row>
    <row r="3336">
      <c r="A3336" s="3">
        <f>IFERROR(__xludf.DUMMYFUNCTION("""COMPUTED_VALUE"""),43757.99861111111)</f>
        <v>43757.99861</v>
      </c>
      <c r="B3336" s="1">
        <f>IFERROR(__xludf.DUMMYFUNCTION("""COMPUTED_VALUE"""),1802.651)</f>
        <v>1802.651</v>
      </c>
    </row>
    <row r="3337">
      <c r="A3337" s="3">
        <f>IFERROR(__xludf.DUMMYFUNCTION("""COMPUTED_VALUE"""),43758.99861111111)</f>
        <v>43758.99861</v>
      </c>
      <c r="B3337" s="1">
        <f>IFERROR(__xludf.DUMMYFUNCTION("""COMPUTED_VALUE"""),1804.223)</f>
        <v>1804.223</v>
      </c>
    </row>
    <row r="3338">
      <c r="A3338" s="3">
        <f>IFERROR(__xludf.DUMMYFUNCTION("""COMPUTED_VALUE"""),43759.99861111111)</f>
        <v>43759.99861</v>
      </c>
      <c r="B3338" s="1">
        <f>IFERROR(__xludf.DUMMYFUNCTION("""COMPUTED_VALUE"""),1794.106)</f>
        <v>1794.106</v>
      </c>
    </row>
    <row r="3339">
      <c r="A3339" s="3">
        <f>IFERROR(__xludf.DUMMYFUNCTION("""COMPUTED_VALUE"""),43760.99861111111)</f>
        <v>43760.99861</v>
      </c>
      <c r="B3339" s="1">
        <f>IFERROR(__xludf.DUMMYFUNCTION("""COMPUTED_VALUE"""),1797.828)</f>
        <v>1797.828</v>
      </c>
    </row>
    <row r="3340">
      <c r="A3340" s="3">
        <f>IFERROR(__xludf.DUMMYFUNCTION("""COMPUTED_VALUE"""),43761.99861111111)</f>
        <v>43761.99861</v>
      </c>
      <c r="B3340" s="1">
        <f>IFERROR(__xludf.DUMMYFUNCTION("""COMPUTED_VALUE"""),1785.035)</f>
        <v>1785.035</v>
      </c>
    </row>
    <row r="3341">
      <c r="A3341" s="3">
        <f>IFERROR(__xludf.DUMMYFUNCTION("""COMPUTED_VALUE"""),43762.99861111111)</f>
        <v>43762.99861</v>
      </c>
      <c r="B3341" s="1">
        <f>IFERROR(__xludf.DUMMYFUNCTION("""COMPUTED_VALUE"""),1793.69)</f>
        <v>1793.69</v>
      </c>
    </row>
    <row r="3342">
      <c r="A3342" s="3">
        <f>IFERROR(__xludf.DUMMYFUNCTION("""COMPUTED_VALUE"""),43763.99861111111)</f>
        <v>43763.99861</v>
      </c>
      <c r="B3342" s="1">
        <f>IFERROR(__xludf.DUMMYFUNCTION("""COMPUTED_VALUE"""),1790.057)</f>
        <v>1790.057</v>
      </c>
    </row>
    <row r="3343">
      <c r="A3343" s="3">
        <f>IFERROR(__xludf.DUMMYFUNCTION("""COMPUTED_VALUE"""),43764.99861111111)</f>
        <v>43764.99861</v>
      </c>
      <c r="B3343" s="1">
        <f>IFERROR(__xludf.DUMMYFUNCTION("""COMPUTED_VALUE"""),1790.057)</f>
        <v>1790.057</v>
      </c>
    </row>
    <row r="3344">
      <c r="A3344" s="3">
        <f>IFERROR(__xludf.DUMMYFUNCTION("""COMPUTED_VALUE"""),43765.99861111111)</f>
        <v>43765.99861</v>
      </c>
      <c r="B3344" s="1">
        <f>IFERROR(__xludf.DUMMYFUNCTION("""COMPUTED_VALUE"""),1789.624)</f>
        <v>1789.624</v>
      </c>
    </row>
    <row r="3345">
      <c r="A3345" s="3">
        <f>IFERROR(__xludf.DUMMYFUNCTION("""COMPUTED_VALUE"""),43766.99861111111)</f>
        <v>43766.99861</v>
      </c>
      <c r="B3345" s="1">
        <f>IFERROR(__xludf.DUMMYFUNCTION("""COMPUTED_VALUE"""),1788.938)</f>
        <v>1788.938</v>
      </c>
    </row>
    <row r="3346">
      <c r="A3346" s="3">
        <f>IFERROR(__xludf.DUMMYFUNCTION("""COMPUTED_VALUE"""),43767.99861111111)</f>
        <v>43767.99861</v>
      </c>
      <c r="B3346" s="1">
        <f>IFERROR(__xludf.DUMMYFUNCTION("""COMPUTED_VALUE"""),1786.862)</f>
        <v>1786.862</v>
      </c>
    </row>
    <row r="3347">
      <c r="A3347" s="3">
        <f>IFERROR(__xludf.DUMMYFUNCTION("""COMPUTED_VALUE"""),43768.99861111111)</f>
        <v>43768.99861</v>
      </c>
      <c r="B3347" s="1">
        <f>IFERROR(__xludf.DUMMYFUNCTION("""COMPUTED_VALUE"""),1784.455)</f>
        <v>1784.455</v>
      </c>
    </row>
    <row r="3348">
      <c r="A3348" s="3">
        <f>IFERROR(__xludf.DUMMYFUNCTION("""COMPUTED_VALUE"""),43769.99861111111)</f>
        <v>43769.99861</v>
      </c>
      <c r="B3348" s="1">
        <f>IFERROR(__xludf.DUMMYFUNCTION("""COMPUTED_VALUE"""),1789.37)</f>
        <v>1789.37</v>
      </c>
    </row>
    <row r="3349">
      <c r="A3349" s="3">
        <f>IFERROR(__xludf.DUMMYFUNCTION("""COMPUTED_VALUE"""),43770.99861111111)</f>
        <v>43770.99861</v>
      </c>
      <c r="B3349" s="1">
        <f>IFERROR(__xludf.DUMMYFUNCTION("""COMPUTED_VALUE"""),1785.119)</f>
        <v>1785.119</v>
      </c>
    </row>
    <row r="3350">
      <c r="A3350" s="3">
        <f>IFERROR(__xludf.DUMMYFUNCTION("""COMPUTED_VALUE"""),43771.99861111111)</f>
        <v>43771.99861</v>
      </c>
      <c r="B3350" s="1">
        <f>IFERROR(__xludf.DUMMYFUNCTION("""COMPUTED_VALUE"""),1789.117)</f>
        <v>1789.117</v>
      </c>
    </row>
    <row r="3351">
      <c r="A3351" s="3">
        <f>IFERROR(__xludf.DUMMYFUNCTION("""COMPUTED_VALUE"""),43772.99861111111)</f>
        <v>43772.99861</v>
      </c>
      <c r="B3351" s="1">
        <f>IFERROR(__xludf.DUMMYFUNCTION("""COMPUTED_VALUE"""),1789.038)</f>
        <v>1789.038</v>
      </c>
    </row>
    <row r="3352">
      <c r="A3352" s="3">
        <f>IFERROR(__xludf.DUMMYFUNCTION("""COMPUTED_VALUE"""),43773.99861111111)</f>
        <v>43773.99861</v>
      </c>
      <c r="B3352" s="1">
        <f>IFERROR(__xludf.DUMMYFUNCTION("""COMPUTED_VALUE"""),1794.348)</f>
        <v>1794.348</v>
      </c>
    </row>
    <row r="3353">
      <c r="A3353" s="3">
        <f>IFERROR(__xludf.DUMMYFUNCTION("""COMPUTED_VALUE"""),43774.99861111111)</f>
        <v>43774.99861</v>
      </c>
      <c r="B3353" s="1">
        <f>IFERROR(__xludf.DUMMYFUNCTION("""COMPUTED_VALUE"""),1793.351)</f>
        <v>1793.351</v>
      </c>
    </row>
    <row r="3354">
      <c r="A3354" s="3">
        <f>IFERROR(__xludf.DUMMYFUNCTION("""COMPUTED_VALUE"""),43775.99861111111)</f>
        <v>43775.99861</v>
      </c>
      <c r="B3354" s="1">
        <f>IFERROR(__xludf.DUMMYFUNCTION("""COMPUTED_VALUE"""),1790.453)</f>
        <v>1790.453</v>
      </c>
    </row>
    <row r="3355">
      <c r="A3355" s="3">
        <f>IFERROR(__xludf.DUMMYFUNCTION("""COMPUTED_VALUE"""),43776.99861111111)</f>
        <v>43776.99861</v>
      </c>
      <c r="B3355" s="1">
        <f>IFERROR(__xludf.DUMMYFUNCTION("""COMPUTED_VALUE"""),1786.234)</f>
        <v>1786.234</v>
      </c>
    </row>
    <row r="3356">
      <c r="A3356" s="3">
        <f>IFERROR(__xludf.DUMMYFUNCTION("""COMPUTED_VALUE"""),43777.99861111111)</f>
        <v>43777.99861</v>
      </c>
      <c r="B3356" s="1">
        <f>IFERROR(__xludf.DUMMYFUNCTION("""COMPUTED_VALUE"""),1791.05)</f>
        <v>1791.05</v>
      </c>
    </row>
    <row r="3357">
      <c r="A3357" s="3">
        <f>IFERROR(__xludf.DUMMYFUNCTION("""COMPUTED_VALUE"""),43778.99861111111)</f>
        <v>43778.99861</v>
      </c>
      <c r="B3357" s="1">
        <f>IFERROR(__xludf.DUMMYFUNCTION("""COMPUTED_VALUE"""),1791.05)</f>
        <v>1791.05</v>
      </c>
    </row>
    <row r="3358">
      <c r="A3358" s="3">
        <f>IFERROR(__xludf.DUMMYFUNCTION("""COMPUTED_VALUE"""),43779.99861111111)</f>
        <v>43779.99861</v>
      </c>
      <c r="B3358" s="1">
        <f>IFERROR(__xludf.DUMMYFUNCTION("""COMPUTED_VALUE"""),1790.061)</f>
        <v>1790.061</v>
      </c>
    </row>
    <row r="3359">
      <c r="A3359" s="3">
        <f>IFERROR(__xludf.DUMMYFUNCTION("""COMPUTED_VALUE"""),43780.99861111111)</f>
        <v>43780.99861</v>
      </c>
      <c r="B3359" s="1">
        <f>IFERROR(__xludf.DUMMYFUNCTION("""COMPUTED_VALUE"""),1788.96)</f>
        <v>1788.96</v>
      </c>
    </row>
    <row r="3360">
      <c r="A3360" s="3">
        <f>IFERROR(__xludf.DUMMYFUNCTION("""COMPUTED_VALUE"""),43781.99861111111)</f>
        <v>43781.99861</v>
      </c>
      <c r="B3360" s="1">
        <f>IFERROR(__xludf.DUMMYFUNCTION("""COMPUTED_VALUE"""),1796.101)</f>
        <v>1796.101</v>
      </c>
    </row>
    <row r="3361">
      <c r="A3361" s="3">
        <f>IFERROR(__xludf.DUMMYFUNCTION("""COMPUTED_VALUE"""),43782.99861111111)</f>
        <v>43782.99861</v>
      </c>
      <c r="B3361" s="1">
        <f>IFERROR(__xludf.DUMMYFUNCTION("""COMPUTED_VALUE"""),1798.64)</f>
        <v>1798.64</v>
      </c>
    </row>
    <row r="3362">
      <c r="A3362" s="3">
        <f>IFERROR(__xludf.DUMMYFUNCTION("""COMPUTED_VALUE"""),43783.99861111111)</f>
        <v>43783.99861</v>
      </c>
      <c r="B3362" s="1">
        <f>IFERROR(__xludf.DUMMYFUNCTION("""COMPUTED_VALUE"""),1798.768)</f>
        <v>1798.768</v>
      </c>
    </row>
    <row r="3363">
      <c r="A3363" s="3">
        <f>IFERROR(__xludf.DUMMYFUNCTION("""COMPUTED_VALUE"""),43784.99861111111)</f>
        <v>43784.99861</v>
      </c>
      <c r="B3363" s="1">
        <f>IFERROR(__xludf.DUMMYFUNCTION("""COMPUTED_VALUE"""),1798.284)</f>
        <v>1798.284</v>
      </c>
    </row>
    <row r="3364">
      <c r="A3364" s="3">
        <f>IFERROR(__xludf.DUMMYFUNCTION("""COMPUTED_VALUE"""),43785.99861111111)</f>
        <v>43785.99861</v>
      </c>
      <c r="B3364" s="1">
        <f>IFERROR(__xludf.DUMMYFUNCTION("""COMPUTED_VALUE"""),1795.085)</f>
        <v>1795.085</v>
      </c>
    </row>
    <row r="3365">
      <c r="A3365" s="3">
        <f>IFERROR(__xludf.DUMMYFUNCTION("""COMPUTED_VALUE"""),43786.99861111111)</f>
        <v>43786.99861</v>
      </c>
      <c r="B3365" s="1">
        <f>IFERROR(__xludf.DUMMYFUNCTION("""COMPUTED_VALUE"""),1794.419)</f>
        <v>1794.419</v>
      </c>
    </row>
    <row r="3366">
      <c r="A3366" s="3">
        <f>IFERROR(__xludf.DUMMYFUNCTION("""COMPUTED_VALUE"""),43787.99861111111)</f>
        <v>43787.99861</v>
      </c>
      <c r="B3366" s="1">
        <f>IFERROR(__xludf.DUMMYFUNCTION("""COMPUTED_VALUE"""),1796.165)</f>
        <v>1796.165</v>
      </c>
    </row>
    <row r="3367">
      <c r="A3367" s="3">
        <f>IFERROR(__xludf.DUMMYFUNCTION("""COMPUTED_VALUE"""),43788.99861111111)</f>
        <v>43788.99861</v>
      </c>
      <c r="B3367" s="1">
        <f>IFERROR(__xludf.DUMMYFUNCTION("""COMPUTED_VALUE"""),1799.988)</f>
        <v>1799.988</v>
      </c>
    </row>
    <row r="3368">
      <c r="A3368" s="3">
        <f>IFERROR(__xludf.DUMMYFUNCTION("""COMPUTED_VALUE"""),43789.99861111111)</f>
        <v>43789.99861</v>
      </c>
      <c r="B3368" s="1">
        <f>IFERROR(__xludf.DUMMYFUNCTION("""COMPUTED_VALUE"""),1793.473)</f>
        <v>1793.473</v>
      </c>
    </row>
    <row r="3369">
      <c r="A3369" s="3">
        <f>IFERROR(__xludf.DUMMYFUNCTION("""COMPUTED_VALUE"""),43790.99861111111)</f>
        <v>43790.99861</v>
      </c>
      <c r="B3369" s="1">
        <f>IFERROR(__xludf.DUMMYFUNCTION("""COMPUTED_VALUE"""),1799.873)</f>
        <v>1799.873</v>
      </c>
    </row>
    <row r="3370">
      <c r="A3370" s="3">
        <f>IFERROR(__xludf.DUMMYFUNCTION("""COMPUTED_VALUE"""),43791.99861111111)</f>
        <v>43791.99861</v>
      </c>
      <c r="B3370" s="1">
        <f>IFERROR(__xludf.DUMMYFUNCTION("""COMPUTED_VALUE"""),1800.421)</f>
        <v>1800.421</v>
      </c>
    </row>
    <row r="3371">
      <c r="A3371" s="3">
        <f>IFERROR(__xludf.DUMMYFUNCTION("""COMPUTED_VALUE"""),43792.99861111111)</f>
        <v>43792.99861</v>
      </c>
      <c r="B3371" s="1">
        <f>IFERROR(__xludf.DUMMYFUNCTION("""COMPUTED_VALUE"""),1800.421)</f>
        <v>1800.421</v>
      </c>
    </row>
    <row r="3372">
      <c r="A3372" s="3">
        <f>IFERROR(__xludf.DUMMYFUNCTION("""COMPUTED_VALUE"""),43793.99861111111)</f>
        <v>43793.99861</v>
      </c>
      <c r="B3372" s="1">
        <f>IFERROR(__xludf.DUMMYFUNCTION("""COMPUTED_VALUE"""),1800.39)</f>
        <v>1800.39</v>
      </c>
    </row>
    <row r="3373">
      <c r="A3373" s="3">
        <f>IFERROR(__xludf.DUMMYFUNCTION("""COMPUTED_VALUE"""),43794.99861111111)</f>
        <v>43794.99861</v>
      </c>
      <c r="B3373" s="1">
        <f>IFERROR(__xludf.DUMMYFUNCTION("""COMPUTED_VALUE"""),1797.505)</f>
        <v>1797.505</v>
      </c>
    </row>
    <row r="3374">
      <c r="A3374" s="3">
        <f>IFERROR(__xludf.DUMMYFUNCTION("""COMPUTED_VALUE"""),43795.99861111111)</f>
        <v>43795.99861</v>
      </c>
      <c r="B3374" s="1">
        <f>IFERROR(__xludf.DUMMYFUNCTION("""COMPUTED_VALUE"""),1798.544)</f>
        <v>1798.544</v>
      </c>
    </row>
    <row r="3375">
      <c r="A3375" s="3">
        <f>IFERROR(__xludf.DUMMYFUNCTION("""COMPUTED_VALUE"""),43796.99861111111)</f>
        <v>43796.99861</v>
      </c>
      <c r="B3375" s="1">
        <f>IFERROR(__xludf.DUMMYFUNCTION("""COMPUTED_VALUE"""),1800.453)</f>
        <v>1800.453</v>
      </c>
    </row>
    <row r="3376">
      <c r="A3376" s="3">
        <f>IFERROR(__xludf.DUMMYFUNCTION("""COMPUTED_VALUE"""),43797.99861111111)</f>
        <v>43797.99861</v>
      </c>
      <c r="B3376" s="1">
        <f>IFERROR(__xludf.DUMMYFUNCTION("""COMPUTED_VALUE"""),1798.433)</f>
        <v>1798.433</v>
      </c>
    </row>
    <row r="3377">
      <c r="A3377" s="3">
        <f>IFERROR(__xludf.DUMMYFUNCTION("""COMPUTED_VALUE"""),43798.99861111111)</f>
        <v>43798.99861</v>
      </c>
      <c r="B3377" s="1">
        <f>IFERROR(__xludf.DUMMYFUNCTION("""COMPUTED_VALUE"""),1799.525)</f>
        <v>1799.525</v>
      </c>
    </row>
    <row r="3378">
      <c r="A3378" s="3">
        <f>IFERROR(__xludf.DUMMYFUNCTION("""COMPUTED_VALUE"""),43799.99861111111)</f>
        <v>43799.99861</v>
      </c>
      <c r="B3378" s="1">
        <f>IFERROR(__xludf.DUMMYFUNCTION("""COMPUTED_VALUE"""),1798.406)</f>
        <v>1798.406</v>
      </c>
    </row>
    <row r="3379">
      <c r="A3379" s="3">
        <f>IFERROR(__xludf.DUMMYFUNCTION("""COMPUTED_VALUE"""),43800.99861111111)</f>
        <v>43800.99861</v>
      </c>
      <c r="B3379" s="1">
        <f>IFERROR(__xludf.DUMMYFUNCTION("""COMPUTED_VALUE"""),1798.026)</f>
        <v>1798.026</v>
      </c>
    </row>
    <row r="3380">
      <c r="A3380" s="3">
        <f>IFERROR(__xludf.DUMMYFUNCTION("""COMPUTED_VALUE"""),43801.99861111111)</f>
        <v>43801.99861</v>
      </c>
      <c r="B3380" s="1">
        <f>IFERROR(__xludf.DUMMYFUNCTION("""COMPUTED_VALUE"""),1804.835)</f>
        <v>1804.835</v>
      </c>
    </row>
    <row r="3381">
      <c r="A3381" s="3">
        <f>IFERROR(__xludf.DUMMYFUNCTION("""COMPUTED_VALUE"""),43802.99861111111)</f>
        <v>43802.99861</v>
      </c>
      <c r="B3381" s="1">
        <f>IFERROR(__xludf.DUMMYFUNCTION("""COMPUTED_VALUE"""),1800.938)</f>
        <v>1800.938</v>
      </c>
    </row>
    <row r="3382">
      <c r="A3382" s="3">
        <f>IFERROR(__xludf.DUMMYFUNCTION("""COMPUTED_VALUE"""),43803.99861111111)</f>
        <v>43803.99861</v>
      </c>
      <c r="B3382" s="1">
        <f>IFERROR(__xludf.DUMMYFUNCTION("""COMPUTED_VALUE"""),1787.854)</f>
        <v>1787.854</v>
      </c>
    </row>
    <row r="3383">
      <c r="A3383" s="3">
        <f>IFERROR(__xludf.DUMMYFUNCTION("""COMPUTED_VALUE"""),43804.99861111111)</f>
        <v>43804.99861</v>
      </c>
      <c r="B3383" s="1">
        <f>IFERROR(__xludf.DUMMYFUNCTION("""COMPUTED_VALUE"""),1784.648)</f>
        <v>1784.648</v>
      </c>
    </row>
    <row r="3384">
      <c r="A3384" s="3">
        <f>IFERROR(__xludf.DUMMYFUNCTION("""COMPUTED_VALUE"""),43805.99861111111)</f>
        <v>43805.99861</v>
      </c>
      <c r="B3384" s="1">
        <f>IFERROR(__xludf.DUMMYFUNCTION("""COMPUTED_VALUE"""),1791.441)</f>
        <v>1791.441</v>
      </c>
    </row>
    <row r="3385">
      <c r="A3385" s="3">
        <f>IFERROR(__xludf.DUMMYFUNCTION("""COMPUTED_VALUE"""),43806.99861111111)</f>
        <v>43806.99861</v>
      </c>
      <c r="B3385" s="1">
        <f>IFERROR(__xludf.DUMMYFUNCTION("""COMPUTED_VALUE"""),1791.441)</f>
        <v>1791.441</v>
      </c>
    </row>
    <row r="3386">
      <c r="A3386" s="3">
        <f>IFERROR(__xludf.DUMMYFUNCTION("""COMPUTED_VALUE"""),43807.99861111111)</f>
        <v>43807.99861</v>
      </c>
      <c r="B3386" s="1">
        <f>IFERROR(__xludf.DUMMYFUNCTION("""COMPUTED_VALUE"""),1791.514)</f>
        <v>1791.514</v>
      </c>
    </row>
    <row r="3387">
      <c r="A3387" s="3">
        <f>IFERROR(__xludf.DUMMYFUNCTION("""COMPUTED_VALUE"""),43808.99861111111)</f>
        <v>43808.99861</v>
      </c>
      <c r="B3387" s="1">
        <f>IFERROR(__xludf.DUMMYFUNCTION("""COMPUTED_VALUE"""),1789.437)</f>
        <v>1789.437</v>
      </c>
    </row>
    <row r="3388">
      <c r="A3388" s="3">
        <f>IFERROR(__xludf.DUMMYFUNCTION("""COMPUTED_VALUE"""),43809.99861111111)</f>
        <v>43809.99861</v>
      </c>
      <c r="B3388" s="1">
        <f>IFERROR(__xludf.DUMMYFUNCTION("""COMPUTED_VALUE"""),1790.13)</f>
        <v>1790.13</v>
      </c>
    </row>
    <row r="3389">
      <c r="A3389" s="3">
        <f>IFERROR(__xludf.DUMMYFUNCTION("""COMPUTED_VALUE"""),43810.99861111111)</f>
        <v>43810.99861</v>
      </c>
      <c r="B3389" s="1">
        <f>IFERROR(__xludf.DUMMYFUNCTION("""COMPUTED_VALUE"""),1790.408)</f>
        <v>1790.408</v>
      </c>
    </row>
    <row r="3390">
      <c r="A3390" s="3">
        <f>IFERROR(__xludf.DUMMYFUNCTION("""COMPUTED_VALUE"""),43811.99861111111)</f>
        <v>43811.99861</v>
      </c>
      <c r="B3390" s="1">
        <f>IFERROR(__xludf.DUMMYFUNCTION("""COMPUTED_VALUE"""),1784.712)</f>
        <v>1784.712</v>
      </c>
    </row>
    <row r="3391">
      <c r="A3391" s="3">
        <f>IFERROR(__xludf.DUMMYFUNCTION("""COMPUTED_VALUE"""),43812.99861111111)</f>
        <v>43812.99861</v>
      </c>
      <c r="B3391" s="1">
        <f>IFERROR(__xludf.DUMMYFUNCTION("""COMPUTED_VALUE"""),1791.857)</f>
        <v>1791.857</v>
      </c>
    </row>
    <row r="3392">
      <c r="A3392" s="3">
        <f>IFERROR(__xludf.DUMMYFUNCTION("""COMPUTED_VALUE"""),43813.99861111111)</f>
        <v>43813.99861</v>
      </c>
      <c r="B3392" s="1">
        <f>IFERROR(__xludf.DUMMYFUNCTION("""COMPUTED_VALUE"""),1791.857)</f>
        <v>1791.857</v>
      </c>
    </row>
    <row r="3393">
      <c r="A3393" s="3">
        <f>IFERROR(__xludf.DUMMYFUNCTION("""COMPUTED_VALUE"""),43814.99861111111)</f>
        <v>43814.99861</v>
      </c>
      <c r="B3393" s="1">
        <f>IFERROR(__xludf.DUMMYFUNCTION("""COMPUTED_VALUE"""),1790.856)</f>
        <v>1790.856</v>
      </c>
    </row>
    <row r="3394">
      <c r="A3394" s="3">
        <f>IFERROR(__xludf.DUMMYFUNCTION("""COMPUTED_VALUE"""),43815.99861111111)</f>
        <v>43815.99861</v>
      </c>
      <c r="B3394" s="1">
        <f>IFERROR(__xludf.DUMMYFUNCTION("""COMPUTED_VALUE"""),1798.104)</f>
        <v>1798.104</v>
      </c>
    </row>
    <row r="3395">
      <c r="A3395" s="3">
        <f>IFERROR(__xludf.DUMMYFUNCTION("""COMPUTED_VALUE"""),43816.99861111111)</f>
        <v>43816.99861</v>
      </c>
      <c r="B3395" s="1">
        <f>IFERROR(__xludf.DUMMYFUNCTION("""COMPUTED_VALUE"""),1795.893)</f>
        <v>1795.893</v>
      </c>
    </row>
    <row r="3396">
      <c r="A3396" s="3">
        <f>IFERROR(__xludf.DUMMYFUNCTION("""COMPUTED_VALUE"""),43817.99861111111)</f>
        <v>43817.99861</v>
      </c>
      <c r="B3396" s="1">
        <f>IFERROR(__xludf.DUMMYFUNCTION("""COMPUTED_VALUE"""),1793.738)</f>
        <v>1793.738</v>
      </c>
    </row>
    <row r="3397">
      <c r="A3397" s="3">
        <f>IFERROR(__xludf.DUMMYFUNCTION("""COMPUTED_VALUE"""),43818.99861111111)</f>
        <v>43818.99861</v>
      </c>
      <c r="B3397" s="1">
        <f>IFERROR(__xludf.DUMMYFUNCTION("""COMPUTED_VALUE"""),1794.123)</f>
        <v>1794.123</v>
      </c>
    </row>
    <row r="3398">
      <c r="A3398" s="3">
        <f>IFERROR(__xludf.DUMMYFUNCTION("""COMPUTED_VALUE"""),43819.99861111111)</f>
        <v>43819.99861</v>
      </c>
      <c r="B3398" s="1">
        <f>IFERROR(__xludf.DUMMYFUNCTION("""COMPUTED_VALUE"""),1791.106)</f>
        <v>1791.106</v>
      </c>
    </row>
    <row r="3399">
      <c r="A3399" s="3">
        <f>IFERROR(__xludf.DUMMYFUNCTION("""COMPUTED_VALUE"""),43820.99861111111)</f>
        <v>43820.99861</v>
      </c>
      <c r="B3399" s="1">
        <f>IFERROR(__xludf.DUMMYFUNCTION("""COMPUTED_VALUE"""),1791.106)</f>
        <v>1791.106</v>
      </c>
    </row>
    <row r="3400">
      <c r="A3400" s="3">
        <f>IFERROR(__xludf.DUMMYFUNCTION("""COMPUTED_VALUE"""),43821.99861111111)</f>
        <v>43821.99861</v>
      </c>
      <c r="B3400" s="1">
        <f>IFERROR(__xludf.DUMMYFUNCTION("""COMPUTED_VALUE"""),1790.605)</f>
        <v>1790.605</v>
      </c>
    </row>
    <row r="3401">
      <c r="A3401" s="3">
        <f>IFERROR(__xludf.DUMMYFUNCTION("""COMPUTED_VALUE"""),43822.99861111111)</f>
        <v>43822.99861</v>
      </c>
      <c r="B3401" s="1">
        <f>IFERROR(__xludf.DUMMYFUNCTION("""COMPUTED_VALUE"""),1792.689)</f>
        <v>1792.689</v>
      </c>
    </row>
    <row r="3402">
      <c r="A3402" s="3">
        <f>IFERROR(__xludf.DUMMYFUNCTION("""COMPUTED_VALUE"""),43823.99861111111)</f>
        <v>43823.99861</v>
      </c>
      <c r="B3402" s="1">
        <f>IFERROR(__xludf.DUMMYFUNCTION("""COMPUTED_VALUE"""),1792.476)</f>
        <v>1792.476</v>
      </c>
    </row>
    <row r="3403">
      <c r="A3403" s="3">
        <f>IFERROR(__xludf.DUMMYFUNCTION("""COMPUTED_VALUE"""),43824.99861111111)</f>
        <v>43824.99861</v>
      </c>
      <c r="B3403" s="1">
        <f>IFERROR(__xludf.DUMMYFUNCTION("""COMPUTED_VALUE"""),1789.876)</f>
        <v>1789.876</v>
      </c>
    </row>
    <row r="3404">
      <c r="A3404" s="3">
        <f>IFERROR(__xludf.DUMMYFUNCTION("""COMPUTED_VALUE"""),43825.99861111111)</f>
        <v>43825.99861</v>
      </c>
      <c r="B3404" s="1">
        <f>IFERROR(__xludf.DUMMYFUNCTION("""COMPUTED_VALUE"""),1792.279)</f>
        <v>1792.279</v>
      </c>
    </row>
    <row r="3405">
      <c r="A3405" s="3">
        <f>IFERROR(__xludf.DUMMYFUNCTION("""COMPUTED_VALUE"""),43826.99861111111)</f>
        <v>43826.99861</v>
      </c>
      <c r="B3405" s="1">
        <f>IFERROR(__xludf.DUMMYFUNCTION("""COMPUTED_VALUE"""),1792.585)</f>
        <v>1792.585</v>
      </c>
    </row>
    <row r="3406">
      <c r="A3406" s="3">
        <f>IFERROR(__xludf.DUMMYFUNCTION("""COMPUTED_VALUE"""),43827.99861111111)</f>
        <v>43827.99861</v>
      </c>
      <c r="B3406" s="1">
        <f>IFERROR(__xludf.DUMMYFUNCTION("""COMPUTED_VALUE"""),1792.585)</f>
        <v>1792.585</v>
      </c>
    </row>
    <row r="3407">
      <c r="A3407" s="3">
        <f>IFERROR(__xludf.DUMMYFUNCTION("""COMPUTED_VALUE"""),43828.99861111111)</f>
        <v>43828.99861</v>
      </c>
      <c r="B3407" s="1">
        <f>IFERROR(__xludf.DUMMYFUNCTION("""COMPUTED_VALUE"""),1791.097)</f>
        <v>1791.097</v>
      </c>
    </row>
    <row r="3408">
      <c r="A3408" s="3">
        <f>IFERROR(__xludf.DUMMYFUNCTION("""COMPUTED_VALUE"""),43829.99861111111)</f>
        <v>43829.99861</v>
      </c>
      <c r="B3408" s="1">
        <f>IFERROR(__xludf.DUMMYFUNCTION("""COMPUTED_VALUE"""),1788.124)</f>
        <v>1788.124</v>
      </c>
    </row>
    <row r="3409">
      <c r="A3409" s="3">
        <f>IFERROR(__xludf.DUMMYFUNCTION("""COMPUTED_VALUE"""),43830.99861111111)</f>
        <v>43830.99861</v>
      </c>
      <c r="B3409" s="1">
        <f>IFERROR(__xludf.DUMMYFUNCTION("""COMPUTED_VALUE"""),1782.54)</f>
        <v>1782.54</v>
      </c>
    </row>
    <row r="3410">
      <c r="A3410" s="3">
        <f>IFERROR(__xludf.DUMMYFUNCTION("""COMPUTED_VALUE"""),43831.99861111111)</f>
        <v>43831.99861</v>
      </c>
      <c r="B3410" s="1">
        <f>IFERROR(__xludf.DUMMYFUNCTION("""COMPUTED_VALUE"""),1782.89)</f>
        <v>1782.89</v>
      </c>
    </row>
    <row r="3411">
      <c r="A3411" s="3">
        <f>IFERROR(__xludf.DUMMYFUNCTION("""COMPUTED_VALUE"""),43832.99861111111)</f>
        <v>43832.99861</v>
      </c>
      <c r="B3411" s="1">
        <f>IFERROR(__xludf.DUMMYFUNCTION("""COMPUTED_VALUE"""),1783.216)</f>
        <v>1783.216</v>
      </c>
    </row>
    <row r="3412">
      <c r="A3412" s="3">
        <f>IFERROR(__xludf.DUMMYFUNCTION("""COMPUTED_VALUE"""),43833.99861111111)</f>
        <v>43833.99861</v>
      </c>
      <c r="B3412" s="1">
        <f>IFERROR(__xludf.DUMMYFUNCTION("""COMPUTED_VALUE"""),1791.37)</f>
        <v>1791.37</v>
      </c>
    </row>
    <row r="3413">
      <c r="A3413" s="3">
        <f>IFERROR(__xludf.DUMMYFUNCTION("""COMPUTED_VALUE"""),43834.99861111111)</f>
        <v>43834.99861</v>
      </c>
      <c r="B3413" s="1">
        <f>IFERROR(__xludf.DUMMYFUNCTION("""COMPUTED_VALUE"""),1791.37)</f>
        <v>1791.37</v>
      </c>
    </row>
    <row r="3414">
      <c r="A3414" s="3">
        <f>IFERROR(__xludf.DUMMYFUNCTION("""COMPUTED_VALUE"""),43835.99861111111)</f>
        <v>43835.99861</v>
      </c>
      <c r="B3414" s="1">
        <f>IFERROR(__xludf.DUMMYFUNCTION("""COMPUTED_VALUE"""),1790.804)</f>
        <v>1790.804</v>
      </c>
    </row>
    <row r="3415">
      <c r="A3415" s="3">
        <f>IFERROR(__xludf.DUMMYFUNCTION("""COMPUTED_VALUE"""),43836.99861111111)</f>
        <v>43836.99861</v>
      </c>
      <c r="B3415" s="1">
        <f>IFERROR(__xludf.DUMMYFUNCTION("""COMPUTED_VALUE"""),1788.116)</f>
        <v>1788.116</v>
      </c>
    </row>
    <row r="3416">
      <c r="A3416" s="3">
        <f>IFERROR(__xludf.DUMMYFUNCTION("""COMPUTED_VALUE"""),43837.99861111111)</f>
        <v>43837.99861</v>
      </c>
      <c r="B3416" s="1">
        <f>IFERROR(__xludf.DUMMYFUNCTION("""COMPUTED_VALUE"""),1783.243)</f>
        <v>1783.243</v>
      </c>
    </row>
    <row r="3417">
      <c r="A3417" s="3">
        <f>IFERROR(__xludf.DUMMYFUNCTION("""COMPUTED_VALUE"""),43838.99861111111)</f>
        <v>43838.99861</v>
      </c>
      <c r="B3417" s="1">
        <f>IFERROR(__xludf.DUMMYFUNCTION("""COMPUTED_VALUE"""),1787.972)</f>
        <v>1787.972</v>
      </c>
    </row>
    <row r="3418">
      <c r="A3418" s="3">
        <f>IFERROR(__xludf.DUMMYFUNCTION("""COMPUTED_VALUE"""),43839.99861111111)</f>
        <v>43839.99861</v>
      </c>
      <c r="B3418" s="1">
        <f>IFERROR(__xludf.DUMMYFUNCTION("""COMPUTED_VALUE"""),1780.812)</f>
        <v>1780.812</v>
      </c>
    </row>
    <row r="3419">
      <c r="A3419" s="3">
        <f>IFERROR(__xludf.DUMMYFUNCTION("""COMPUTED_VALUE"""),43840.99861111111)</f>
        <v>43840.99861</v>
      </c>
      <c r="B3419" s="1">
        <f>IFERROR(__xludf.DUMMYFUNCTION("""COMPUTED_VALUE"""),1771.51)</f>
        <v>1771.51</v>
      </c>
    </row>
    <row r="3420">
      <c r="A3420" s="3">
        <f>IFERROR(__xludf.DUMMYFUNCTION("""COMPUTED_VALUE"""),43841.99861111111)</f>
        <v>43841.99861</v>
      </c>
      <c r="B3420" s="1">
        <f>IFERROR(__xludf.DUMMYFUNCTION("""COMPUTED_VALUE"""),1767.97)</f>
        <v>1767.97</v>
      </c>
    </row>
    <row r="3421">
      <c r="A3421" s="3">
        <f>IFERROR(__xludf.DUMMYFUNCTION("""COMPUTED_VALUE"""),43842.99861111111)</f>
        <v>43842.99861</v>
      </c>
      <c r="B3421" s="1">
        <f>IFERROR(__xludf.DUMMYFUNCTION("""COMPUTED_VALUE"""),1768.062)</f>
        <v>1768.062</v>
      </c>
    </row>
    <row r="3422">
      <c r="A3422" s="3">
        <f>IFERROR(__xludf.DUMMYFUNCTION("""COMPUTED_VALUE"""),43843.99861111111)</f>
        <v>43843.99861</v>
      </c>
      <c r="B3422" s="1">
        <f>IFERROR(__xludf.DUMMYFUNCTION("""COMPUTED_VALUE"""),1758.896)</f>
        <v>1758.896</v>
      </c>
    </row>
    <row r="3423">
      <c r="A3423" s="3">
        <f>IFERROR(__xludf.DUMMYFUNCTION("""COMPUTED_VALUE"""),43844.99861111111)</f>
        <v>43844.99861</v>
      </c>
      <c r="B3423" s="1">
        <f>IFERROR(__xludf.DUMMYFUNCTION("""COMPUTED_VALUE"""),1758.049)</f>
        <v>1758.049</v>
      </c>
    </row>
    <row r="3424">
      <c r="A3424" s="3">
        <f>IFERROR(__xludf.DUMMYFUNCTION("""COMPUTED_VALUE"""),43845.99861111111)</f>
        <v>43845.99861</v>
      </c>
      <c r="B3424" s="1">
        <f>IFERROR(__xludf.DUMMYFUNCTION("""COMPUTED_VALUE"""),1758.766)</f>
        <v>1758.766</v>
      </c>
    </row>
    <row r="3425">
      <c r="A3425" s="3">
        <f>IFERROR(__xludf.DUMMYFUNCTION("""COMPUTED_VALUE"""),43846.99861111111)</f>
        <v>43846.99861</v>
      </c>
      <c r="B3425" s="1">
        <f>IFERROR(__xludf.DUMMYFUNCTION("""COMPUTED_VALUE"""),1752.793)</f>
        <v>1752.793</v>
      </c>
    </row>
    <row r="3426">
      <c r="A3426" s="3">
        <f>IFERROR(__xludf.DUMMYFUNCTION("""COMPUTED_VALUE"""),43847.99861111111)</f>
        <v>43847.99861</v>
      </c>
      <c r="B3426" s="1">
        <f>IFERROR(__xludf.DUMMYFUNCTION("""COMPUTED_VALUE"""),1759.035)</f>
        <v>1759.035</v>
      </c>
    </row>
    <row r="3427">
      <c r="A3427" s="3">
        <f>IFERROR(__xludf.DUMMYFUNCTION("""COMPUTED_VALUE"""),43848.99861111111)</f>
        <v>43848.99861</v>
      </c>
      <c r="B3427" s="1">
        <f>IFERROR(__xludf.DUMMYFUNCTION("""COMPUTED_VALUE"""),1759.035)</f>
        <v>1759.035</v>
      </c>
    </row>
    <row r="3428">
      <c r="A3428" s="3">
        <f>IFERROR(__xludf.DUMMYFUNCTION("""COMPUTED_VALUE"""),43849.99861111111)</f>
        <v>43849.99861</v>
      </c>
      <c r="B3428" s="1">
        <f>IFERROR(__xludf.DUMMYFUNCTION("""COMPUTED_VALUE"""),1758.388)</f>
        <v>1758.388</v>
      </c>
    </row>
    <row r="3429">
      <c r="A3429" s="3">
        <f>IFERROR(__xludf.DUMMYFUNCTION("""COMPUTED_VALUE"""),43850.99861111111)</f>
        <v>43850.99861</v>
      </c>
      <c r="B3429" s="1">
        <f>IFERROR(__xludf.DUMMYFUNCTION("""COMPUTED_VALUE"""),1752.91)</f>
        <v>1752.91</v>
      </c>
    </row>
    <row r="3430">
      <c r="A3430" s="3">
        <f>IFERROR(__xludf.DUMMYFUNCTION("""COMPUTED_VALUE"""),43851.99861111111)</f>
        <v>43851.99861</v>
      </c>
      <c r="B3430" s="1">
        <f>IFERROR(__xludf.DUMMYFUNCTION("""COMPUTED_VALUE"""),1757.966)</f>
        <v>1757.966</v>
      </c>
    </row>
    <row r="3431">
      <c r="A3431" s="3">
        <f>IFERROR(__xludf.DUMMYFUNCTION("""COMPUTED_VALUE"""),43852.99861111111)</f>
        <v>43852.99861</v>
      </c>
      <c r="B3431" s="1">
        <f>IFERROR(__xludf.DUMMYFUNCTION("""COMPUTED_VALUE"""),1754.034)</f>
        <v>1754.034</v>
      </c>
    </row>
    <row r="3432">
      <c r="A3432" s="3">
        <f>IFERROR(__xludf.DUMMYFUNCTION("""COMPUTED_VALUE"""),43853.99861111111)</f>
        <v>43853.99861</v>
      </c>
      <c r="B3432" s="1">
        <f>IFERROR(__xludf.DUMMYFUNCTION("""COMPUTED_VALUE"""),1751.609)</f>
        <v>1751.609</v>
      </c>
    </row>
    <row r="3433">
      <c r="A3433" s="3">
        <f>IFERROR(__xludf.DUMMYFUNCTION("""COMPUTED_VALUE"""),43854.99861111111)</f>
        <v>43854.99861</v>
      </c>
      <c r="B3433" s="1">
        <f>IFERROR(__xludf.DUMMYFUNCTION("""COMPUTED_VALUE"""),1764.809)</f>
        <v>1764.809</v>
      </c>
    </row>
    <row r="3434">
      <c r="A3434" s="3">
        <f>IFERROR(__xludf.DUMMYFUNCTION("""COMPUTED_VALUE"""),43855.99861111111)</f>
        <v>43855.99861</v>
      </c>
      <c r="B3434" s="1">
        <f>IFERROR(__xludf.DUMMYFUNCTION("""COMPUTED_VALUE"""),1764.809)</f>
        <v>1764.809</v>
      </c>
    </row>
    <row r="3435">
      <c r="A3435" s="3">
        <f>IFERROR(__xludf.DUMMYFUNCTION("""COMPUTED_VALUE"""),43856.99861111111)</f>
        <v>43856.99861</v>
      </c>
      <c r="B3435" s="1">
        <f>IFERROR(__xludf.DUMMYFUNCTION("""COMPUTED_VALUE"""),1764.349)</f>
        <v>1764.349</v>
      </c>
    </row>
    <row r="3436">
      <c r="A3436" s="3">
        <f>IFERROR(__xludf.DUMMYFUNCTION("""COMPUTED_VALUE"""),43857.99861111111)</f>
        <v>43857.99861</v>
      </c>
      <c r="B3436" s="1">
        <f>IFERROR(__xludf.DUMMYFUNCTION("""COMPUTED_VALUE"""),1699.672)</f>
        <v>1699.672</v>
      </c>
    </row>
    <row r="3437">
      <c r="A3437" s="3">
        <f>IFERROR(__xludf.DUMMYFUNCTION("""COMPUTED_VALUE"""),43858.99861111111)</f>
        <v>43858.99861</v>
      </c>
      <c r="B3437" s="1">
        <f>IFERROR(__xludf.DUMMYFUNCTION("""COMPUTED_VALUE"""),1750.088)</f>
        <v>1750.088</v>
      </c>
    </row>
    <row r="3438">
      <c r="A3438" s="3">
        <f>IFERROR(__xludf.DUMMYFUNCTION("""COMPUTED_VALUE"""),43859.99861111111)</f>
        <v>43859.99861</v>
      </c>
      <c r="B3438" s="1">
        <f>IFERROR(__xludf.DUMMYFUNCTION("""COMPUTED_VALUE"""),1751.769)</f>
        <v>1751.769</v>
      </c>
    </row>
    <row r="3439">
      <c r="A3439" s="3">
        <f>IFERROR(__xludf.DUMMYFUNCTION("""COMPUTED_VALUE"""),43860.99861111111)</f>
        <v>43860.99861</v>
      </c>
      <c r="B3439" s="1">
        <f>IFERROR(__xludf.DUMMYFUNCTION("""COMPUTED_VALUE"""),1757.264)</f>
        <v>1757.264</v>
      </c>
    </row>
    <row r="3440">
      <c r="A3440" s="3">
        <f>IFERROR(__xludf.DUMMYFUNCTION("""COMPUTED_VALUE"""),43861.99861111111)</f>
        <v>43861.99861</v>
      </c>
      <c r="B3440" s="1">
        <f>IFERROR(__xludf.DUMMYFUNCTION("""COMPUTED_VALUE"""),1756.443)</f>
        <v>1756.443</v>
      </c>
    </row>
    <row r="3441">
      <c r="A3441" s="3">
        <f>IFERROR(__xludf.DUMMYFUNCTION("""COMPUTED_VALUE"""),43862.99861111111)</f>
        <v>43862.99861</v>
      </c>
      <c r="B3441" s="1">
        <f>IFERROR(__xludf.DUMMYFUNCTION("""COMPUTED_VALUE"""),1756.443)</f>
        <v>1756.443</v>
      </c>
    </row>
    <row r="3442">
      <c r="A3442" s="3">
        <f>IFERROR(__xludf.DUMMYFUNCTION("""COMPUTED_VALUE"""),43863.99861111111)</f>
        <v>43863.99861</v>
      </c>
      <c r="B3442" s="1">
        <f>IFERROR(__xludf.DUMMYFUNCTION("""COMPUTED_VALUE"""),1756.888)</f>
        <v>1756.888</v>
      </c>
    </row>
    <row r="3443">
      <c r="A3443" s="3">
        <f>IFERROR(__xludf.DUMMYFUNCTION("""COMPUTED_VALUE"""),43864.99861111111)</f>
        <v>43864.99861</v>
      </c>
      <c r="B3443" s="1">
        <f>IFERROR(__xludf.DUMMYFUNCTION("""COMPUTED_VALUE"""),1769.683)</f>
        <v>1769.683</v>
      </c>
    </row>
    <row r="3444">
      <c r="A3444" s="3">
        <f>IFERROR(__xludf.DUMMYFUNCTION("""COMPUTED_VALUE"""),43865.99861111111)</f>
        <v>43865.99861</v>
      </c>
      <c r="B3444" s="1">
        <f>IFERROR(__xludf.DUMMYFUNCTION("""COMPUTED_VALUE"""),1764.833)</f>
        <v>1764.833</v>
      </c>
    </row>
    <row r="3445">
      <c r="A3445" s="3">
        <f>IFERROR(__xludf.DUMMYFUNCTION("""COMPUTED_VALUE"""),43866.99861111111)</f>
        <v>43866.99861</v>
      </c>
      <c r="B3445" s="1">
        <f>IFERROR(__xludf.DUMMYFUNCTION("""COMPUTED_VALUE"""),1761.021)</f>
        <v>1761.021</v>
      </c>
    </row>
    <row r="3446">
      <c r="A3446" s="3">
        <f>IFERROR(__xludf.DUMMYFUNCTION("""COMPUTED_VALUE"""),43867.99861111111)</f>
        <v>43867.99861</v>
      </c>
      <c r="B3446" s="1">
        <f>IFERROR(__xludf.DUMMYFUNCTION("""COMPUTED_VALUE"""),1757.228)</f>
        <v>1757.228</v>
      </c>
    </row>
    <row r="3447">
      <c r="A3447" s="3">
        <f>IFERROR(__xludf.DUMMYFUNCTION("""COMPUTED_VALUE"""),43868.99861111111)</f>
        <v>43868.99861</v>
      </c>
      <c r="B3447" s="1">
        <f>IFERROR(__xludf.DUMMYFUNCTION("""COMPUTED_VALUE"""),1761.702)</f>
        <v>1761.702</v>
      </c>
    </row>
    <row r="3448">
      <c r="A3448" s="3">
        <f>IFERROR(__xludf.DUMMYFUNCTION("""COMPUTED_VALUE"""),43869.99861111111)</f>
        <v>43869.99861</v>
      </c>
      <c r="B3448" s="1">
        <f>IFERROR(__xludf.DUMMYFUNCTION("""COMPUTED_VALUE"""),1761.702)</f>
        <v>1761.702</v>
      </c>
    </row>
    <row r="3449">
      <c r="A3449" s="3">
        <f>IFERROR(__xludf.DUMMYFUNCTION("""COMPUTED_VALUE"""),43870.99861111111)</f>
        <v>43870.99861</v>
      </c>
      <c r="B3449" s="1">
        <f>IFERROR(__xludf.DUMMYFUNCTION("""COMPUTED_VALUE"""),1761.008)</f>
        <v>1761.008</v>
      </c>
    </row>
    <row r="3450">
      <c r="A3450" s="3">
        <f>IFERROR(__xludf.DUMMYFUNCTION("""COMPUTED_VALUE"""),43871.99861111111)</f>
        <v>43871.99861</v>
      </c>
      <c r="B3450" s="1">
        <f>IFERROR(__xludf.DUMMYFUNCTION("""COMPUTED_VALUE"""),1764.915)</f>
        <v>1764.915</v>
      </c>
    </row>
    <row r="3451">
      <c r="A3451" s="3">
        <f>IFERROR(__xludf.DUMMYFUNCTION("""COMPUTED_VALUE"""),43872.99861111111)</f>
        <v>43872.99861</v>
      </c>
      <c r="B3451" s="1">
        <f>IFERROR(__xludf.DUMMYFUNCTION("""COMPUTED_VALUE"""),1759.205)</f>
        <v>1759.205</v>
      </c>
    </row>
    <row r="3452">
      <c r="A3452" s="3">
        <f>IFERROR(__xludf.DUMMYFUNCTION("""COMPUTED_VALUE"""),43873.99861111111)</f>
        <v>43873.99861</v>
      </c>
      <c r="B3452" s="1">
        <f>IFERROR(__xludf.DUMMYFUNCTION("""COMPUTED_VALUE"""),1764.448)</f>
        <v>1764.448</v>
      </c>
    </row>
    <row r="3453">
      <c r="A3453" s="3">
        <f>IFERROR(__xludf.DUMMYFUNCTION("""COMPUTED_VALUE"""),43874.99861111111)</f>
        <v>43874.99861</v>
      </c>
      <c r="B3453" s="1">
        <f>IFERROR(__xludf.DUMMYFUNCTION("""COMPUTED_VALUE"""),1761.653)</f>
        <v>1761.653</v>
      </c>
    </row>
    <row r="3454">
      <c r="A3454" s="3">
        <f>IFERROR(__xludf.DUMMYFUNCTION("""COMPUTED_VALUE"""),43875.99861111111)</f>
        <v>43875.99861</v>
      </c>
      <c r="B3454" s="1">
        <f>IFERROR(__xludf.DUMMYFUNCTION("""COMPUTED_VALUE"""),1761.832)</f>
        <v>1761.832</v>
      </c>
    </row>
    <row r="3455">
      <c r="A3455" s="3">
        <f>IFERROR(__xludf.DUMMYFUNCTION("""COMPUTED_VALUE"""),43876.99861111111)</f>
        <v>43876.99861</v>
      </c>
      <c r="B3455" s="1">
        <f>IFERROR(__xludf.DUMMYFUNCTION("""COMPUTED_VALUE"""),1761.832)</f>
        <v>1761.832</v>
      </c>
    </row>
    <row r="3456">
      <c r="A3456" s="3">
        <f>IFERROR(__xludf.DUMMYFUNCTION("""COMPUTED_VALUE"""),43877.99861111111)</f>
        <v>43877.99861</v>
      </c>
      <c r="B3456" s="1">
        <f>IFERROR(__xludf.DUMMYFUNCTION("""COMPUTED_VALUE"""),1760.163)</f>
        <v>1760.163</v>
      </c>
    </row>
    <row r="3457">
      <c r="A3457" s="3">
        <f>IFERROR(__xludf.DUMMYFUNCTION("""COMPUTED_VALUE"""),43878.99861111111)</f>
        <v>43878.99861</v>
      </c>
      <c r="B3457" s="1">
        <f>IFERROR(__xludf.DUMMYFUNCTION("""COMPUTED_VALUE"""),1757.608)</f>
        <v>1757.608</v>
      </c>
    </row>
    <row r="3458">
      <c r="A3458" s="3">
        <f>IFERROR(__xludf.DUMMYFUNCTION("""COMPUTED_VALUE"""),43879.99861111111)</f>
        <v>43879.99861</v>
      </c>
      <c r="B3458" s="1">
        <f>IFERROR(__xludf.DUMMYFUNCTION("""COMPUTED_VALUE"""),1758.59)</f>
        <v>1758.59</v>
      </c>
    </row>
    <row r="3459">
      <c r="A3459" s="3">
        <f>IFERROR(__xludf.DUMMYFUNCTION("""COMPUTED_VALUE"""),43880.99861111111)</f>
        <v>43880.99861</v>
      </c>
      <c r="B3459" s="1">
        <f>IFERROR(__xludf.DUMMYFUNCTION("""COMPUTED_VALUE"""),1758.111)</f>
        <v>1758.111</v>
      </c>
    </row>
    <row r="3460">
      <c r="A3460" s="3">
        <f>IFERROR(__xludf.DUMMYFUNCTION("""COMPUTED_VALUE"""),43881.99861111111)</f>
        <v>43881.99861</v>
      </c>
      <c r="B3460" s="1">
        <f>IFERROR(__xludf.DUMMYFUNCTION("""COMPUTED_VALUE"""),1761.644)</f>
        <v>1761.644</v>
      </c>
    </row>
    <row r="3461">
      <c r="A3461" s="3">
        <f>IFERROR(__xludf.DUMMYFUNCTION("""COMPUTED_VALUE"""),43882.99861111111)</f>
        <v>43882.99861</v>
      </c>
      <c r="B3461" s="1">
        <f>IFERROR(__xludf.DUMMYFUNCTION("""COMPUTED_VALUE"""),1768.926)</f>
        <v>1768.926</v>
      </c>
    </row>
    <row r="3462">
      <c r="A3462" s="3">
        <f>IFERROR(__xludf.DUMMYFUNCTION("""COMPUTED_VALUE"""),43883.99861111111)</f>
        <v>43883.99861</v>
      </c>
      <c r="B3462" s="1">
        <f>IFERROR(__xludf.DUMMYFUNCTION("""COMPUTED_VALUE"""),1768.926)</f>
        <v>1768.926</v>
      </c>
    </row>
    <row r="3463">
      <c r="A3463" s="3">
        <f>IFERROR(__xludf.DUMMYFUNCTION("""COMPUTED_VALUE"""),43884.99861111111)</f>
        <v>43884.99861</v>
      </c>
      <c r="B3463" s="1">
        <f>IFERROR(__xludf.DUMMYFUNCTION("""COMPUTED_VALUE"""),1769.49)</f>
        <v>1769.49</v>
      </c>
    </row>
    <row r="3464">
      <c r="A3464" s="3">
        <f>IFERROR(__xludf.DUMMYFUNCTION("""COMPUTED_VALUE"""),43885.99861111111)</f>
        <v>43885.99861</v>
      </c>
      <c r="B3464" s="1">
        <f>IFERROR(__xludf.DUMMYFUNCTION("""COMPUTED_VALUE"""),1782.022)</f>
        <v>1782.022</v>
      </c>
    </row>
    <row r="3465">
      <c r="A3465" s="3">
        <f>IFERROR(__xludf.DUMMYFUNCTION("""COMPUTED_VALUE"""),43886.99861111111)</f>
        <v>43886.99861</v>
      </c>
      <c r="B3465" s="1">
        <f>IFERROR(__xludf.DUMMYFUNCTION("""COMPUTED_VALUE"""),1779.359)</f>
        <v>1779.359</v>
      </c>
    </row>
    <row r="3466">
      <c r="A3466" s="3">
        <f>IFERROR(__xludf.DUMMYFUNCTION("""COMPUTED_VALUE"""),43887.99861111111)</f>
        <v>43887.99861</v>
      </c>
      <c r="B3466" s="1">
        <f>IFERROR(__xludf.DUMMYFUNCTION("""COMPUTED_VALUE"""),1788.482)</f>
        <v>1788.482</v>
      </c>
    </row>
    <row r="3467">
      <c r="A3467" s="3">
        <f>IFERROR(__xludf.DUMMYFUNCTION("""COMPUTED_VALUE"""),43888.99861111111)</f>
        <v>43888.99861</v>
      </c>
      <c r="B3467" s="1">
        <f>IFERROR(__xludf.DUMMYFUNCTION("""COMPUTED_VALUE"""),1797.963)</f>
        <v>1797.963</v>
      </c>
    </row>
    <row r="3468">
      <c r="A3468" s="3">
        <f>IFERROR(__xludf.DUMMYFUNCTION("""COMPUTED_VALUE"""),43889.99861111111)</f>
        <v>43889.99861</v>
      </c>
      <c r="B3468" s="1">
        <f>IFERROR(__xludf.DUMMYFUNCTION("""COMPUTED_VALUE"""),1793.21)</f>
        <v>1793.21</v>
      </c>
    </row>
    <row r="3469">
      <c r="A3469" s="3">
        <f>IFERROR(__xludf.DUMMYFUNCTION("""COMPUTED_VALUE"""),43890.99861111111)</f>
        <v>43890.99861</v>
      </c>
      <c r="B3469" s="1">
        <f>IFERROR(__xludf.DUMMYFUNCTION("""COMPUTED_VALUE"""),1793.21)</f>
        <v>1793.21</v>
      </c>
    </row>
    <row r="3470">
      <c r="A3470" s="3">
        <f>IFERROR(__xludf.DUMMYFUNCTION("""COMPUTED_VALUE"""),43891.99861111111)</f>
        <v>43891.99861</v>
      </c>
      <c r="B3470" s="1">
        <f>IFERROR(__xludf.DUMMYFUNCTION("""COMPUTED_VALUE"""),1789.282)</f>
        <v>1789.282</v>
      </c>
    </row>
    <row r="3471">
      <c r="A3471" s="3">
        <f>IFERROR(__xludf.DUMMYFUNCTION("""COMPUTED_VALUE"""),43892.99861111111)</f>
        <v>43892.99861</v>
      </c>
      <c r="B3471" s="1">
        <f>IFERROR(__xludf.DUMMYFUNCTION("""COMPUTED_VALUE"""),1823.896)</f>
        <v>1823.896</v>
      </c>
    </row>
    <row r="3472">
      <c r="A3472" s="3">
        <f>IFERROR(__xludf.DUMMYFUNCTION("""COMPUTED_VALUE"""),43893.99861111111)</f>
        <v>43893.99861</v>
      </c>
      <c r="B3472" s="1">
        <f>IFERROR(__xludf.DUMMYFUNCTION("""COMPUTED_VALUE"""),1834.331)</f>
        <v>1834.331</v>
      </c>
    </row>
    <row r="3473">
      <c r="A3473" s="3">
        <f>IFERROR(__xludf.DUMMYFUNCTION("""COMPUTED_VALUE"""),43894.99861111111)</f>
        <v>43894.99861</v>
      </c>
      <c r="B3473" s="1">
        <f>IFERROR(__xludf.DUMMYFUNCTION("""COMPUTED_VALUE"""),1844.336)</f>
        <v>1844.336</v>
      </c>
    </row>
    <row r="3474">
      <c r="A3474" s="3">
        <f>IFERROR(__xludf.DUMMYFUNCTION("""COMPUTED_VALUE"""),43895.99861111111)</f>
        <v>43895.99861</v>
      </c>
      <c r="B3474" s="1">
        <f>IFERROR(__xludf.DUMMYFUNCTION("""COMPUTED_VALUE"""),1844.336)</f>
        <v>1844.336</v>
      </c>
    </row>
    <row r="3475">
      <c r="A3475" s="3">
        <f>IFERROR(__xludf.DUMMYFUNCTION("""COMPUTED_VALUE"""),43896.99861111111)</f>
        <v>43896.99861</v>
      </c>
      <c r="B3475" s="1">
        <f>IFERROR(__xludf.DUMMYFUNCTION("""COMPUTED_VALUE"""),1844.336)</f>
        <v>1844.336</v>
      </c>
    </row>
    <row r="3476">
      <c r="A3476" s="3">
        <f>IFERROR(__xludf.DUMMYFUNCTION("""COMPUTED_VALUE"""),43897.99861111111)</f>
        <v>43897.99861</v>
      </c>
      <c r="B3476" s="1">
        <f>IFERROR(__xludf.DUMMYFUNCTION("""COMPUTED_VALUE"""),1844.336)</f>
        <v>1844.336</v>
      </c>
    </row>
    <row r="3477">
      <c r="A3477" s="3">
        <f>IFERROR(__xludf.DUMMYFUNCTION("""COMPUTED_VALUE"""),43898.99861111111)</f>
        <v>43898.99861</v>
      </c>
      <c r="B3477" s="1">
        <f>IFERROR(__xludf.DUMMYFUNCTION("""COMPUTED_VALUE"""),1844.336)</f>
        <v>1844.336</v>
      </c>
    </row>
    <row r="3478">
      <c r="A3478" s="3">
        <f>IFERROR(__xludf.DUMMYFUNCTION("""COMPUTED_VALUE"""),43899.99861111111)</f>
        <v>43899.99861</v>
      </c>
      <c r="B3478" s="1">
        <f>IFERROR(__xludf.DUMMYFUNCTION("""COMPUTED_VALUE"""),1844.336)</f>
        <v>1844.336</v>
      </c>
    </row>
    <row r="3479">
      <c r="A3479" s="3">
        <f>IFERROR(__xludf.DUMMYFUNCTION("""COMPUTED_VALUE"""),43900.99861111111)</f>
        <v>43900.99861</v>
      </c>
      <c r="B3479" s="1">
        <f>IFERROR(__xludf.DUMMYFUNCTION("""COMPUTED_VALUE"""),1844.336)</f>
        <v>1844.336</v>
      </c>
    </row>
    <row r="3480">
      <c r="A3480" s="3">
        <f>IFERROR(__xludf.DUMMYFUNCTION("""COMPUTED_VALUE"""),43901.99861111111)</f>
        <v>43901.99861</v>
      </c>
      <c r="B3480" s="1">
        <f>IFERROR(__xludf.DUMMYFUNCTION("""COMPUTED_VALUE"""),1844.336)</f>
        <v>1844.336</v>
      </c>
    </row>
    <row r="3481">
      <c r="A3481" s="3">
        <f>IFERROR(__xludf.DUMMYFUNCTION("""COMPUTED_VALUE"""),43902.99861111111)</f>
        <v>43902.99861</v>
      </c>
      <c r="B3481" s="1">
        <f>IFERROR(__xludf.DUMMYFUNCTION("""COMPUTED_VALUE"""),1844.336)</f>
        <v>1844.336</v>
      </c>
    </row>
    <row r="3482">
      <c r="A3482" s="3">
        <f>IFERROR(__xludf.DUMMYFUNCTION("""COMPUTED_VALUE"""),43903.99861111111)</f>
        <v>43903.99861</v>
      </c>
      <c r="B3482" s="1">
        <f>IFERROR(__xludf.DUMMYFUNCTION("""COMPUTED_VALUE"""),1844.336)</f>
        <v>1844.336</v>
      </c>
    </row>
    <row r="3483">
      <c r="A3483" s="3">
        <f>IFERROR(__xludf.DUMMYFUNCTION("""COMPUTED_VALUE"""),43904.99861111111)</f>
        <v>43904.99861</v>
      </c>
      <c r="B3483" s="1">
        <f>IFERROR(__xludf.DUMMYFUNCTION("""COMPUTED_VALUE"""),1844.336)</f>
        <v>1844.336</v>
      </c>
    </row>
    <row r="3484">
      <c r="A3484" s="3">
        <f>IFERROR(__xludf.DUMMYFUNCTION("""COMPUTED_VALUE"""),43905.99861111111)</f>
        <v>43905.99861</v>
      </c>
      <c r="B3484" s="1">
        <f>IFERROR(__xludf.DUMMYFUNCTION("""COMPUTED_VALUE"""),1844.336)</f>
        <v>1844.336</v>
      </c>
    </row>
    <row r="3485">
      <c r="A3485" s="3">
        <f>IFERROR(__xludf.DUMMYFUNCTION("""COMPUTED_VALUE"""),43906.99861111111)</f>
        <v>43906.99861</v>
      </c>
      <c r="B3485" s="1">
        <f>IFERROR(__xludf.DUMMYFUNCTION("""COMPUTED_VALUE"""),1844.336)</f>
        <v>1844.336</v>
      </c>
    </row>
    <row r="3486">
      <c r="A3486" s="3">
        <f>IFERROR(__xludf.DUMMYFUNCTION("""COMPUTED_VALUE"""),43907.99861111111)</f>
        <v>43907.99861</v>
      </c>
      <c r="B3486" s="1">
        <f>IFERROR(__xludf.DUMMYFUNCTION("""COMPUTED_VALUE"""),1844.336)</f>
        <v>1844.336</v>
      </c>
    </row>
    <row r="3487">
      <c r="A3487" s="3">
        <f>IFERROR(__xludf.DUMMYFUNCTION("""COMPUTED_VALUE"""),43908.99861111111)</f>
        <v>43908.99861</v>
      </c>
      <c r="B3487" s="1">
        <f>IFERROR(__xludf.DUMMYFUNCTION("""COMPUTED_VALUE"""),1844.336)</f>
        <v>1844.336</v>
      </c>
    </row>
    <row r="3488">
      <c r="A3488" s="3">
        <f>IFERROR(__xludf.DUMMYFUNCTION("""COMPUTED_VALUE"""),43909.99861111111)</f>
        <v>43909.99861</v>
      </c>
      <c r="B3488" s="1">
        <f>IFERROR(__xludf.DUMMYFUNCTION("""COMPUTED_VALUE"""),1844.336)</f>
        <v>1844.336</v>
      </c>
    </row>
    <row r="3489">
      <c r="A3489" s="3">
        <f>IFERROR(__xludf.DUMMYFUNCTION("""COMPUTED_VALUE"""),43910.99861111111)</f>
        <v>43910.99861</v>
      </c>
      <c r="B3489" s="1">
        <f>IFERROR(__xludf.DUMMYFUNCTION("""COMPUTED_VALUE"""),1844.336)</f>
        <v>1844.336</v>
      </c>
    </row>
    <row r="3490">
      <c r="A3490" s="3">
        <f>IFERROR(__xludf.DUMMYFUNCTION("""COMPUTED_VALUE"""),43911.99861111111)</f>
        <v>43911.99861</v>
      </c>
      <c r="B3490" s="1">
        <f>IFERROR(__xludf.DUMMYFUNCTION("""COMPUTED_VALUE"""),1844.336)</f>
        <v>1844.336</v>
      </c>
    </row>
    <row r="3491">
      <c r="A3491" s="3">
        <f>IFERROR(__xludf.DUMMYFUNCTION("""COMPUTED_VALUE"""),43912.99861111111)</f>
        <v>43912.99861</v>
      </c>
      <c r="B3491" s="1">
        <f>IFERROR(__xludf.DUMMYFUNCTION("""COMPUTED_VALUE"""),1844.336)</f>
        <v>1844.336</v>
      </c>
    </row>
    <row r="3492">
      <c r="A3492" s="3">
        <f>IFERROR(__xludf.DUMMYFUNCTION("""COMPUTED_VALUE"""),43913.99861111111)</f>
        <v>43913.99861</v>
      </c>
      <c r="B3492" s="1">
        <f>IFERROR(__xludf.DUMMYFUNCTION("""COMPUTED_VALUE"""),1844.336)</f>
        <v>1844.336</v>
      </c>
    </row>
    <row r="3493">
      <c r="A3493" s="3">
        <f>IFERROR(__xludf.DUMMYFUNCTION("""COMPUTED_VALUE"""),43914.99861111111)</f>
        <v>43914.99861</v>
      </c>
      <c r="B3493" s="1">
        <f>IFERROR(__xludf.DUMMYFUNCTION("""COMPUTED_VALUE"""),1844.336)</f>
        <v>1844.336</v>
      </c>
    </row>
    <row r="3494">
      <c r="A3494" s="3">
        <f>IFERROR(__xludf.DUMMYFUNCTION("""COMPUTED_VALUE"""),43915.99861111111)</f>
        <v>43915.99861</v>
      </c>
      <c r="B3494" s="1">
        <f>IFERROR(__xludf.DUMMYFUNCTION("""COMPUTED_VALUE"""),1844.336)</f>
        <v>1844.336</v>
      </c>
    </row>
    <row r="3495">
      <c r="A3495" s="3">
        <f>IFERROR(__xludf.DUMMYFUNCTION("""COMPUTED_VALUE"""),43916.99861111111)</f>
        <v>43916.99861</v>
      </c>
      <c r="B3495" s="1">
        <f>IFERROR(__xludf.DUMMYFUNCTION("""COMPUTED_VALUE"""),1844.336)</f>
        <v>1844.336</v>
      </c>
    </row>
    <row r="3496">
      <c r="A3496" s="3">
        <f>IFERROR(__xludf.DUMMYFUNCTION("""COMPUTED_VALUE"""),43917.99861111111)</f>
        <v>43917.99861</v>
      </c>
      <c r="B3496" s="1">
        <f>IFERROR(__xludf.DUMMYFUNCTION("""COMPUTED_VALUE"""),1844.336)</f>
        <v>1844.336</v>
      </c>
    </row>
    <row r="3497">
      <c r="A3497" s="3">
        <f>IFERROR(__xludf.DUMMYFUNCTION("""COMPUTED_VALUE"""),43918.99861111111)</f>
        <v>43918.99861</v>
      </c>
      <c r="B3497" s="1">
        <f>IFERROR(__xludf.DUMMYFUNCTION("""COMPUTED_VALUE"""),1844.336)</f>
        <v>1844.336</v>
      </c>
    </row>
    <row r="3498">
      <c r="A3498" s="3">
        <f>IFERROR(__xludf.DUMMYFUNCTION("""COMPUTED_VALUE"""),43919.99861111111)</f>
        <v>43919.99861</v>
      </c>
      <c r="B3498" s="1">
        <f>IFERROR(__xludf.DUMMYFUNCTION("""COMPUTED_VALUE"""),1844.336)</f>
        <v>1844.336</v>
      </c>
    </row>
    <row r="3499">
      <c r="A3499" s="3">
        <f>IFERROR(__xludf.DUMMYFUNCTION("""COMPUTED_VALUE"""),43920.99861111111)</f>
        <v>43920.99861</v>
      </c>
      <c r="B3499" s="1">
        <f>IFERROR(__xludf.DUMMYFUNCTION("""COMPUTED_VALUE"""),1844.336)</f>
        <v>1844.336</v>
      </c>
    </row>
    <row r="3500">
      <c r="A3500" s="3">
        <f>IFERROR(__xludf.DUMMYFUNCTION("""COMPUTED_VALUE"""),43921.99861111111)</f>
        <v>43921.99861</v>
      </c>
      <c r="B3500" s="1">
        <f>IFERROR(__xludf.DUMMYFUNCTION("""COMPUTED_VALUE"""),1844.336)</f>
        <v>1844.336</v>
      </c>
    </row>
    <row r="3501">
      <c r="A3501" s="3">
        <f>IFERROR(__xludf.DUMMYFUNCTION("""COMPUTED_VALUE"""),43922.99861111111)</f>
        <v>43922.99861</v>
      </c>
      <c r="B3501" s="1">
        <f>IFERROR(__xludf.DUMMYFUNCTION("""COMPUTED_VALUE"""),1844.336)</f>
        <v>1844.336</v>
      </c>
    </row>
    <row r="3502">
      <c r="A3502" s="3">
        <f>IFERROR(__xludf.DUMMYFUNCTION("""COMPUTED_VALUE"""),43923.99861111111)</f>
        <v>43923.99861</v>
      </c>
      <c r="B3502" s="1">
        <f>IFERROR(__xludf.DUMMYFUNCTION("""COMPUTED_VALUE"""),1844.336)</f>
        <v>1844.336</v>
      </c>
    </row>
    <row r="3503">
      <c r="A3503" s="3">
        <f>IFERROR(__xludf.DUMMYFUNCTION("""COMPUTED_VALUE"""),43924.99861111111)</f>
        <v>43924.99861</v>
      </c>
      <c r="B3503" s="1">
        <f>IFERROR(__xludf.DUMMYFUNCTION("""COMPUTED_VALUE"""),1844.336)</f>
        <v>1844.336</v>
      </c>
    </row>
    <row r="3504">
      <c r="A3504" s="3">
        <f>IFERROR(__xludf.DUMMYFUNCTION("""COMPUTED_VALUE"""),43925.99861111111)</f>
        <v>43925.99861</v>
      </c>
      <c r="B3504" s="1">
        <f>IFERROR(__xludf.DUMMYFUNCTION("""COMPUTED_VALUE"""),1844.336)</f>
        <v>1844.336</v>
      </c>
    </row>
    <row r="3505">
      <c r="A3505" s="3">
        <f>IFERROR(__xludf.DUMMYFUNCTION("""COMPUTED_VALUE"""),43926.99861111111)</f>
        <v>43926.99861</v>
      </c>
      <c r="B3505" s="1">
        <f>IFERROR(__xludf.DUMMYFUNCTION("""COMPUTED_VALUE"""),1844.336)</f>
        <v>1844.336</v>
      </c>
    </row>
    <row r="3506">
      <c r="A3506" s="3">
        <f>IFERROR(__xludf.DUMMYFUNCTION("""COMPUTED_VALUE"""),43927.99861111111)</f>
        <v>43927.99861</v>
      </c>
      <c r="B3506" s="1">
        <f>IFERROR(__xludf.DUMMYFUNCTION("""COMPUTED_VALUE"""),1844.336)</f>
        <v>1844.336</v>
      </c>
    </row>
    <row r="3507">
      <c r="A3507" s="3">
        <f>IFERROR(__xludf.DUMMYFUNCTION("""COMPUTED_VALUE"""),43928.99861111111)</f>
        <v>43928.99861</v>
      </c>
      <c r="B3507" s="1">
        <f>IFERROR(__xludf.DUMMYFUNCTION("""COMPUTED_VALUE"""),1844.336)</f>
        <v>1844.336</v>
      </c>
    </row>
    <row r="3508">
      <c r="A3508" s="3">
        <f>IFERROR(__xludf.DUMMYFUNCTION("""COMPUTED_VALUE"""),43929.99861111111)</f>
        <v>43929.99861</v>
      </c>
      <c r="B3508" s="1">
        <f>IFERROR(__xludf.DUMMYFUNCTION("""COMPUTED_VALUE"""),1844.336)</f>
        <v>1844.336</v>
      </c>
    </row>
    <row r="3509">
      <c r="A3509" s="3">
        <f>IFERROR(__xludf.DUMMYFUNCTION("""COMPUTED_VALUE"""),43930.99861111111)</f>
        <v>43930.99861</v>
      </c>
      <c r="B3509" s="1">
        <f>IFERROR(__xludf.DUMMYFUNCTION("""COMPUTED_VALUE"""),1844.336)</f>
        <v>1844.336</v>
      </c>
    </row>
    <row r="3510">
      <c r="A3510" s="3">
        <f>IFERROR(__xludf.DUMMYFUNCTION("""COMPUTED_VALUE"""),43931.99861111111)</f>
        <v>43931.99861</v>
      </c>
      <c r="B3510" s="1">
        <f>IFERROR(__xludf.DUMMYFUNCTION("""COMPUTED_VALUE"""),1844.336)</f>
        <v>1844.336</v>
      </c>
    </row>
    <row r="3511">
      <c r="A3511" s="3">
        <f>IFERROR(__xludf.DUMMYFUNCTION("""COMPUTED_VALUE"""),43932.99861111111)</f>
        <v>43932.99861</v>
      </c>
      <c r="B3511" s="1">
        <f>IFERROR(__xludf.DUMMYFUNCTION("""COMPUTED_VALUE"""),1844.336)</f>
        <v>1844.336</v>
      </c>
    </row>
    <row r="3512">
      <c r="A3512" s="3">
        <f>IFERROR(__xludf.DUMMYFUNCTION("""COMPUTED_VALUE"""),43933.99861111111)</f>
        <v>43933.99861</v>
      </c>
      <c r="B3512" s="1">
        <f>IFERROR(__xludf.DUMMYFUNCTION("""COMPUTED_VALUE"""),1844.336)</f>
        <v>1844.336</v>
      </c>
    </row>
    <row r="3513">
      <c r="A3513" s="3">
        <f>IFERROR(__xludf.DUMMYFUNCTION("""COMPUTED_VALUE"""),43934.99861111111)</f>
        <v>43934.99861</v>
      </c>
      <c r="B3513" s="1">
        <f>IFERROR(__xludf.DUMMYFUNCTION("""COMPUTED_VALUE"""),1844.336)</f>
        <v>1844.336</v>
      </c>
    </row>
    <row r="3514">
      <c r="A3514" s="3">
        <f>IFERROR(__xludf.DUMMYFUNCTION("""COMPUTED_VALUE"""),43935.99861111111)</f>
        <v>43935.99861</v>
      </c>
      <c r="B3514" s="1">
        <f>IFERROR(__xludf.DUMMYFUNCTION("""COMPUTED_VALUE"""),1844.336)</f>
        <v>1844.336</v>
      </c>
    </row>
    <row r="3515">
      <c r="A3515" s="3">
        <f>IFERROR(__xludf.DUMMYFUNCTION("""COMPUTED_VALUE"""),43936.99861111111)</f>
        <v>43936.99861</v>
      </c>
      <c r="B3515" s="1">
        <f>IFERROR(__xludf.DUMMYFUNCTION("""COMPUTED_VALUE"""),1844.336)</f>
        <v>1844.336</v>
      </c>
    </row>
    <row r="3516">
      <c r="A3516" s="3">
        <f>IFERROR(__xludf.DUMMYFUNCTION("""COMPUTED_VALUE"""),43937.99861111111)</f>
        <v>43937.99861</v>
      </c>
      <c r="B3516" s="1">
        <f>IFERROR(__xludf.DUMMYFUNCTION("""COMPUTED_VALUE"""),1844.336)</f>
        <v>1844.336</v>
      </c>
    </row>
    <row r="3517">
      <c r="A3517" s="3">
        <f>IFERROR(__xludf.DUMMYFUNCTION("""COMPUTED_VALUE"""),43938.99861111111)</f>
        <v>43938.99861</v>
      </c>
      <c r="B3517" s="1">
        <f>IFERROR(__xludf.DUMMYFUNCTION("""COMPUTED_VALUE"""),1844.336)</f>
        <v>1844.336</v>
      </c>
    </row>
    <row r="3518">
      <c r="A3518" s="3">
        <f>IFERROR(__xludf.DUMMYFUNCTION("""COMPUTED_VALUE"""),43939.99861111111)</f>
        <v>43939.99861</v>
      </c>
      <c r="B3518" s="1">
        <f>IFERROR(__xludf.DUMMYFUNCTION("""COMPUTED_VALUE"""),1844.336)</f>
        <v>1844.336</v>
      </c>
    </row>
    <row r="3519">
      <c r="A3519" s="3">
        <f>IFERROR(__xludf.DUMMYFUNCTION("""COMPUTED_VALUE"""),43940.99861111111)</f>
        <v>43940.99861</v>
      </c>
      <c r="B3519" s="1">
        <f>IFERROR(__xludf.DUMMYFUNCTION("""COMPUTED_VALUE"""),1844.336)</f>
        <v>1844.336</v>
      </c>
    </row>
    <row r="3520">
      <c r="A3520" s="3">
        <f>IFERROR(__xludf.DUMMYFUNCTION("""COMPUTED_VALUE"""),43941.99861111111)</f>
        <v>43941.99861</v>
      </c>
      <c r="B3520" s="1">
        <f>IFERROR(__xludf.DUMMYFUNCTION("""COMPUTED_VALUE"""),1844.336)</f>
        <v>1844.336</v>
      </c>
    </row>
    <row r="3521">
      <c r="A3521" s="3">
        <f>IFERROR(__xludf.DUMMYFUNCTION("""COMPUTED_VALUE"""),43942.99861111111)</f>
        <v>43942.99861</v>
      </c>
      <c r="B3521" s="1">
        <f>IFERROR(__xludf.DUMMYFUNCTION("""COMPUTED_VALUE"""),1844.336)</f>
        <v>1844.336</v>
      </c>
    </row>
    <row r="3522">
      <c r="A3522" s="3">
        <f>IFERROR(__xludf.DUMMYFUNCTION("""COMPUTED_VALUE"""),43943.99861111111)</f>
        <v>43943.99861</v>
      </c>
      <c r="B3522" s="1">
        <f>IFERROR(__xludf.DUMMYFUNCTION("""COMPUTED_VALUE"""),1844.336)</f>
        <v>1844.336</v>
      </c>
    </row>
    <row r="3523">
      <c r="A3523" s="3">
        <f>IFERROR(__xludf.DUMMYFUNCTION("""COMPUTED_VALUE"""),43944.99861111111)</f>
        <v>43944.99861</v>
      </c>
      <c r="B3523" s="1">
        <f>IFERROR(__xludf.DUMMYFUNCTION("""COMPUTED_VALUE"""),1844.336)</f>
        <v>1844.336</v>
      </c>
    </row>
    <row r="3524">
      <c r="A3524" s="3">
        <f>IFERROR(__xludf.DUMMYFUNCTION("""COMPUTED_VALUE"""),43945.99861111111)</f>
        <v>43945.99861</v>
      </c>
      <c r="B3524" s="1">
        <f>IFERROR(__xludf.DUMMYFUNCTION("""COMPUTED_VALUE"""),1844.336)</f>
        <v>1844.336</v>
      </c>
    </row>
    <row r="3525">
      <c r="A3525" s="3">
        <f>IFERROR(__xludf.DUMMYFUNCTION("""COMPUTED_VALUE"""),43946.99861111111)</f>
        <v>43946.99861</v>
      </c>
      <c r="B3525" s="1">
        <f>IFERROR(__xludf.DUMMYFUNCTION("""COMPUTED_VALUE"""),1844.336)</f>
        <v>1844.336</v>
      </c>
    </row>
    <row r="3526">
      <c r="A3526" s="3">
        <f>IFERROR(__xludf.DUMMYFUNCTION("""COMPUTED_VALUE"""),43947.99861111111)</f>
        <v>43947.99861</v>
      </c>
      <c r="B3526" s="1">
        <f>IFERROR(__xludf.DUMMYFUNCTION("""COMPUTED_VALUE"""),1844.336)</f>
        <v>1844.336</v>
      </c>
    </row>
    <row r="3527">
      <c r="A3527" s="3">
        <f>IFERROR(__xludf.DUMMYFUNCTION("""COMPUTED_VALUE"""),43948.99861111111)</f>
        <v>43948.99861</v>
      </c>
      <c r="B3527" s="1">
        <f>IFERROR(__xludf.DUMMYFUNCTION("""COMPUTED_VALUE"""),1844.336)</f>
        <v>1844.336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IFERROR(__xludf.DUMMYFUNCTION("googlefinance(""Currency:TWDIDR"",""price"",""01/01/2010"",""28/04/2020"",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IFERROR(__xludf.DUMMYFUNCTION("""COMPUTED_VALUE"""),293.206144)</f>
        <v>293.206144</v>
      </c>
    </row>
    <row r="3">
      <c r="A3" s="3">
        <f>IFERROR(__xludf.DUMMYFUNCTION("""COMPUTED_VALUE"""),40182.99861111111)</f>
        <v>40182.99861</v>
      </c>
      <c r="B3" s="1">
        <f>IFERROR(__xludf.DUMMYFUNCTION("""COMPUTED_VALUE"""),295.534152)</f>
        <v>295.534152</v>
      </c>
    </row>
    <row r="4">
      <c r="A4" s="3">
        <f>IFERROR(__xludf.DUMMYFUNCTION("""COMPUTED_VALUE"""),40183.99861111111)</f>
        <v>40183.99861</v>
      </c>
      <c r="B4" s="1">
        <f>IFERROR(__xludf.DUMMYFUNCTION("""COMPUTED_VALUE"""),291.066656)</f>
        <v>291.066656</v>
      </c>
    </row>
    <row r="5">
      <c r="A5" s="3">
        <f>IFERROR(__xludf.DUMMYFUNCTION("""COMPUTED_VALUE"""),40184.99861111111)</f>
        <v>40184.99861</v>
      </c>
      <c r="B5" s="1">
        <f>IFERROR(__xludf.DUMMYFUNCTION("""COMPUTED_VALUE"""),290.277969)</f>
        <v>290.277969</v>
      </c>
    </row>
    <row r="6">
      <c r="A6" s="3">
        <f>IFERROR(__xludf.DUMMYFUNCTION("""COMPUTED_VALUE"""),40185.99861111111)</f>
        <v>40185.99861</v>
      </c>
      <c r="B6" s="1">
        <f>IFERROR(__xludf.DUMMYFUNCTION("""COMPUTED_VALUE"""),290.692875)</f>
        <v>290.692875</v>
      </c>
    </row>
    <row r="7">
      <c r="A7" s="3">
        <f>IFERROR(__xludf.DUMMYFUNCTION("""COMPUTED_VALUE"""),40186.99861111111)</f>
        <v>40186.99861</v>
      </c>
      <c r="B7" s="1">
        <f>IFERROR(__xludf.DUMMYFUNCTION("""COMPUTED_VALUE"""),291.12132)</f>
        <v>291.12132</v>
      </c>
    </row>
    <row r="8">
      <c r="A8" s="3">
        <f>IFERROR(__xludf.DUMMYFUNCTION("""COMPUTED_VALUE"""),40189.99861111111)</f>
        <v>40189.99861</v>
      </c>
      <c r="B8" s="1">
        <f>IFERROR(__xludf.DUMMYFUNCTION("""COMPUTED_VALUE"""),287.524783)</f>
        <v>287.524783</v>
      </c>
    </row>
    <row r="9">
      <c r="A9" s="3">
        <f>IFERROR(__xludf.DUMMYFUNCTION("""COMPUTED_VALUE"""),40190.99861111111)</f>
        <v>40190.99861</v>
      </c>
      <c r="B9" s="1">
        <f>IFERROR(__xludf.DUMMYFUNCTION("""COMPUTED_VALUE"""),288.24453)</f>
        <v>288.24453</v>
      </c>
    </row>
    <row r="10">
      <c r="A10" s="3">
        <f>IFERROR(__xludf.DUMMYFUNCTION("""COMPUTED_VALUE"""),40191.99861111111)</f>
        <v>40191.99861</v>
      </c>
      <c r="B10" s="1">
        <f>IFERROR(__xludf.DUMMYFUNCTION("""COMPUTED_VALUE"""),286.93599)</f>
        <v>286.93599</v>
      </c>
    </row>
    <row r="11">
      <c r="A11" s="3">
        <f>IFERROR(__xludf.DUMMYFUNCTION("""COMPUTED_VALUE"""),40192.99861111111)</f>
        <v>40192.99861</v>
      </c>
      <c r="B11" s="1">
        <f>IFERROR(__xludf.DUMMYFUNCTION("""COMPUTED_VALUE"""),288.499258)</f>
        <v>288.499258</v>
      </c>
    </row>
    <row r="12">
      <c r="A12" s="3">
        <f>IFERROR(__xludf.DUMMYFUNCTION("""COMPUTED_VALUE"""),40193.99861111111)</f>
        <v>40193.99861</v>
      </c>
      <c r="B12" s="1">
        <f>IFERROR(__xludf.DUMMYFUNCTION("""COMPUTED_VALUE"""),290.160845)</f>
        <v>290.160845</v>
      </c>
    </row>
    <row r="13">
      <c r="A13" s="3">
        <f>IFERROR(__xludf.DUMMYFUNCTION("""COMPUTED_VALUE"""),40196.99861111111)</f>
        <v>40196.99861</v>
      </c>
      <c r="B13" s="1">
        <f>IFERROR(__xludf.DUMMYFUNCTION("""COMPUTED_VALUE"""),287.7776)</f>
        <v>287.7776</v>
      </c>
    </row>
    <row r="14">
      <c r="A14" s="3">
        <f>IFERROR(__xludf.DUMMYFUNCTION("""COMPUTED_VALUE"""),40197.99861111111)</f>
        <v>40197.99861</v>
      </c>
      <c r="B14" s="1">
        <f>IFERROR(__xludf.DUMMYFUNCTION("""COMPUTED_VALUE"""),289.5435315)</f>
        <v>289.5435315</v>
      </c>
    </row>
    <row r="15">
      <c r="A15" s="3">
        <f>IFERROR(__xludf.DUMMYFUNCTION("""COMPUTED_VALUE"""),40198.99861111111)</f>
        <v>40198.99861</v>
      </c>
      <c r="B15" s="1">
        <f>IFERROR(__xludf.DUMMYFUNCTION("""COMPUTED_VALUE"""),289.9094905)</f>
        <v>289.9094905</v>
      </c>
    </row>
    <row r="16">
      <c r="A16" s="3">
        <f>IFERROR(__xludf.DUMMYFUNCTION("""COMPUTED_VALUE"""),40199.99861111111)</f>
        <v>40199.99861</v>
      </c>
      <c r="B16" s="1">
        <f>IFERROR(__xludf.DUMMYFUNCTION("""COMPUTED_VALUE"""),287.88705)</f>
        <v>287.88705</v>
      </c>
    </row>
    <row r="17">
      <c r="A17" s="3">
        <f>IFERROR(__xludf.DUMMYFUNCTION("""COMPUTED_VALUE"""),40200.99861111111)</f>
        <v>40200.99861</v>
      </c>
      <c r="B17" s="1">
        <f>IFERROR(__xludf.DUMMYFUNCTION("""COMPUTED_VALUE"""),289.4892)</f>
        <v>289.4892</v>
      </c>
    </row>
    <row r="18">
      <c r="A18" s="3">
        <f>IFERROR(__xludf.DUMMYFUNCTION("""COMPUTED_VALUE"""),40203.99861111111)</f>
        <v>40203.99861</v>
      </c>
      <c r="B18" s="1">
        <f>IFERROR(__xludf.DUMMYFUNCTION("""COMPUTED_VALUE"""),291.0620385)</f>
        <v>291.0620385</v>
      </c>
    </row>
    <row r="19">
      <c r="A19" s="3">
        <f>IFERROR(__xludf.DUMMYFUNCTION("""COMPUTED_VALUE"""),40204.99861111111)</f>
        <v>40204.99861</v>
      </c>
      <c r="B19" s="1">
        <f>IFERROR(__xludf.DUMMYFUNCTION("""COMPUTED_VALUE"""),292.65444)</f>
        <v>292.65444</v>
      </c>
    </row>
    <row r="20">
      <c r="A20" s="3">
        <f>IFERROR(__xludf.DUMMYFUNCTION("""COMPUTED_VALUE"""),40205.99861111111)</f>
        <v>40205.99861</v>
      </c>
      <c r="B20" s="1">
        <f>IFERROR(__xludf.DUMMYFUNCTION("""COMPUTED_VALUE"""),292.0564465)</f>
        <v>292.0564465</v>
      </c>
    </row>
    <row r="21">
      <c r="A21" s="3">
        <f>IFERROR(__xludf.DUMMYFUNCTION("""COMPUTED_VALUE"""),40206.99861111111)</f>
        <v>40206.99861</v>
      </c>
      <c r="B21" s="1">
        <f>IFERROR(__xludf.DUMMYFUNCTION("""COMPUTED_VALUE"""),290.8451905)</f>
        <v>290.8451905</v>
      </c>
    </row>
    <row r="22">
      <c r="A22" s="3">
        <f>IFERROR(__xludf.DUMMYFUNCTION("""COMPUTED_VALUE"""),40207.99861111111)</f>
        <v>40207.99861</v>
      </c>
      <c r="B22" s="1">
        <f>IFERROR(__xludf.DUMMYFUNCTION("""COMPUTED_VALUE"""),287.0275)</f>
        <v>287.0275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IFERROR(__xludf.DUMMYFUNCTION("""COMPUTED_VALUE"""),289.355064)</f>
        <v>289.355064</v>
      </c>
    </row>
    <row r="24">
      <c r="A24" s="3">
        <f>IFERROR(__xludf.DUMMYFUNCTION("""COMPUTED_VALUE"""),40211.99861111111)</f>
        <v>40211.99861</v>
      </c>
      <c r="B24" s="1">
        <f>IFERROR(__xludf.DUMMYFUNCTION("""COMPUTED_VALUE"""),291.053125)</f>
        <v>291.053125</v>
      </c>
    </row>
    <row r="25">
      <c r="A25" s="3">
        <f>IFERROR(__xludf.DUMMYFUNCTION("""COMPUTED_VALUE"""),40212.99861111111)</f>
        <v>40212.99861</v>
      </c>
      <c r="B25" s="1">
        <f>IFERROR(__xludf.DUMMYFUNCTION("""COMPUTED_VALUE"""),290.396246)</f>
        <v>290.396246</v>
      </c>
    </row>
    <row r="26">
      <c r="A26" s="3">
        <f>IFERROR(__xludf.DUMMYFUNCTION("""COMPUTED_VALUE"""),40213.99861111111)</f>
        <v>40213.99861</v>
      </c>
      <c r="B26" s="1">
        <f>IFERROR(__xludf.DUMMYFUNCTION("""COMPUTED_VALUE"""),291.181638)</f>
        <v>291.181638</v>
      </c>
    </row>
    <row r="27">
      <c r="A27" s="3">
        <f>IFERROR(__xludf.DUMMYFUNCTION("""COMPUTED_VALUE"""),40214.99861111111)</f>
        <v>40214.99861</v>
      </c>
      <c r="B27" s="1">
        <f>IFERROR(__xludf.DUMMYFUNCTION("""COMPUTED_VALUE"""),294.079186)</f>
        <v>294.079186</v>
      </c>
    </row>
    <row r="28">
      <c r="A28" s="3">
        <f>IFERROR(__xludf.DUMMYFUNCTION("""COMPUTED_VALUE"""),40217.99861111111)</f>
        <v>40217.99861</v>
      </c>
      <c r="B28" s="1">
        <f>IFERROR(__xludf.DUMMYFUNCTION("""COMPUTED_VALUE"""),295.252485)</f>
        <v>295.252485</v>
      </c>
    </row>
    <row r="29">
      <c r="A29" s="3">
        <f>IFERROR(__xludf.DUMMYFUNCTION("""COMPUTED_VALUE"""),40218.99861111111)</f>
        <v>40218.99861</v>
      </c>
      <c r="B29" s="1">
        <f>IFERROR(__xludf.DUMMYFUNCTION("""COMPUTED_VALUE"""),292.413483)</f>
        <v>292.413483</v>
      </c>
    </row>
    <row r="30">
      <c r="A30" s="3">
        <f>IFERROR(__xludf.DUMMYFUNCTION("""COMPUTED_VALUE"""),40219.99861111111)</f>
        <v>40219.99861</v>
      </c>
      <c r="B30" s="1">
        <f>IFERROR(__xludf.DUMMYFUNCTION("""COMPUTED_VALUE"""),289.864128)</f>
        <v>289.864128</v>
      </c>
    </row>
    <row r="31">
      <c r="A31" s="3">
        <f>IFERROR(__xludf.DUMMYFUNCTION("""COMPUTED_VALUE"""),40220.99861111111)</f>
        <v>40220.99861</v>
      </c>
      <c r="B31" s="1">
        <f>IFERROR(__xludf.DUMMYFUNCTION("""COMPUTED_VALUE"""),289.979508)</f>
        <v>289.979508</v>
      </c>
    </row>
    <row r="32">
      <c r="A32" s="3">
        <f>IFERROR(__xludf.DUMMYFUNCTION("""COMPUTED_VALUE"""),40221.99861111111)</f>
        <v>40221.99861</v>
      </c>
      <c r="B32" s="1">
        <f>IFERROR(__xludf.DUMMYFUNCTION("""COMPUTED_VALUE"""),292.204758)</f>
        <v>292.204758</v>
      </c>
    </row>
    <row r="33">
      <c r="A33" s="3">
        <f>IFERROR(__xludf.DUMMYFUNCTION("""COMPUTED_VALUE"""),40224.99861111111)</f>
        <v>40224.99861</v>
      </c>
      <c r="B33" s="1">
        <f>IFERROR(__xludf.DUMMYFUNCTION("""COMPUTED_VALUE"""),290.436384)</f>
        <v>290.436384</v>
      </c>
    </row>
    <row r="34">
      <c r="A34" s="3">
        <f>IFERROR(__xludf.DUMMYFUNCTION("""COMPUTED_VALUE"""),40225.99861111111)</f>
        <v>40225.99861</v>
      </c>
      <c r="B34" s="1">
        <f>IFERROR(__xludf.DUMMYFUNCTION("""COMPUTED_VALUE"""),292.354634)</f>
        <v>292.354634</v>
      </c>
    </row>
    <row r="35">
      <c r="A35" s="3">
        <f>IFERROR(__xludf.DUMMYFUNCTION("""COMPUTED_VALUE"""),40226.99861111111)</f>
        <v>40226.99861</v>
      </c>
      <c r="B35" s="1">
        <f>IFERROR(__xludf.DUMMYFUNCTION("""COMPUTED_VALUE"""),290.47854)</f>
        <v>290.47854</v>
      </c>
    </row>
    <row r="36">
      <c r="A36" s="3">
        <f>IFERROR(__xludf.DUMMYFUNCTION("""COMPUTED_VALUE"""),40227.99861111111)</f>
        <v>40227.99861</v>
      </c>
      <c r="B36" s="1">
        <f>IFERROR(__xludf.DUMMYFUNCTION("""COMPUTED_VALUE"""),294.4938)</f>
        <v>294.4938</v>
      </c>
    </row>
    <row r="37">
      <c r="A37" s="3">
        <f>IFERROR(__xludf.DUMMYFUNCTION("""COMPUTED_VALUE"""),40228.99861111111)</f>
        <v>40228.99861</v>
      </c>
      <c r="B37" s="1">
        <f>IFERROR(__xludf.DUMMYFUNCTION("""COMPUTED_VALUE"""),292.053846)</f>
        <v>292.053846</v>
      </c>
    </row>
    <row r="38">
      <c r="A38" s="3">
        <f>IFERROR(__xludf.DUMMYFUNCTION("""COMPUTED_VALUE"""),40231.99861111111)</f>
        <v>40231.99861</v>
      </c>
      <c r="B38" s="1">
        <f>IFERROR(__xludf.DUMMYFUNCTION("""COMPUTED_VALUE"""),289.681857)</f>
        <v>289.681857</v>
      </c>
    </row>
    <row r="39">
      <c r="A39" s="3">
        <f>IFERROR(__xludf.DUMMYFUNCTION("""COMPUTED_VALUE"""),40232.99861111111)</f>
        <v>40232.99861</v>
      </c>
      <c r="B39" s="1">
        <f>IFERROR(__xludf.DUMMYFUNCTION("""COMPUTED_VALUE"""),290.343144)</f>
        <v>290.343144</v>
      </c>
    </row>
    <row r="40">
      <c r="A40" s="3">
        <f>IFERROR(__xludf.DUMMYFUNCTION("""COMPUTED_VALUE"""),40233.99861111111)</f>
        <v>40233.99861</v>
      </c>
      <c r="B40" s="1">
        <f>IFERROR(__xludf.DUMMYFUNCTION("""COMPUTED_VALUE"""),291.417668)</f>
        <v>291.417668</v>
      </c>
    </row>
    <row r="41">
      <c r="A41" s="3">
        <f>IFERROR(__xludf.DUMMYFUNCTION("""COMPUTED_VALUE"""),40234.99861111111)</f>
        <v>40234.99861</v>
      </c>
      <c r="B41" s="1">
        <f>IFERROR(__xludf.DUMMYFUNCTION("""COMPUTED_VALUE"""),291.725)</f>
        <v>291.725</v>
      </c>
    </row>
    <row r="42">
      <c r="A42" s="3">
        <f>IFERROR(__xludf.DUMMYFUNCTION("""COMPUTED_VALUE"""),40235.99861111111)</f>
        <v>40235.99861</v>
      </c>
      <c r="B42" s="1">
        <f>IFERROR(__xludf.DUMMYFUNCTION("""COMPUTED_VALUE"""),292.1552)</f>
        <v>292.1552</v>
      </c>
    </row>
    <row r="43">
      <c r="A43" s="3">
        <f>IFERROR(__xludf.DUMMYFUNCTION("""COMPUTED_VALUE"""),40238.99861111111)</f>
        <v>40238.99861</v>
      </c>
      <c r="B43" s="1">
        <f>IFERROR(__xludf.DUMMYFUNCTION("""COMPUTED_VALUE"""),293.472077)</f>
        <v>293.472077</v>
      </c>
    </row>
    <row r="44">
      <c r="A44" s="3">
        <f>IFERROR(__xludf.DUMMYFUNCTION("""COMPUTED_VALUE"""),40239.99861111111)</f>
        <v>40239.99861</v>
      </c>
      <c r="B44" s="1">
        <f>IFERROR(__xludf.DUMMYFUNCTION("""COMPUTED_VALUE"""),288.482004)</f>
        <v>288.482004</v>
      </c>
    </row>
    <row r="45">
      <c r="A45" s="3">
        <f>IFERROR(__xludf.DUMMYFUNCTION("""COMPUTED_VALUE"""),40240.99861111111)</f>
        <v>40240.99861</v>
      </c>
      <c r="B45" s="1">
        <f>IFERROR(__xludf.DUMMYFUNCTION("""COMPUTED_VALUE"""),287.28802)</f>
        <v>287.28802</v>
      </c>
    </row>
    <row r="46">
      <c r="A46" s="3">
        <f>IFERROR(__xludf.DUMMYFUNCTION("""COMPUTED_VALUE"""),40241.99861111111)</f>
        <v>40241.99861</v>
      </c>
      <c r="B46" s="1">
        <f>IFERROR(__xludf.DUMMYFUNCTION("""COMPUTED_VALUE"""),289.848923)</f>
        <v>289.848923</v>
      </c>
    </row>
    <row r="47">
      <c r="A47" s="3">
        <f>IFERROR(__xludf.DUMMYFUNCTION("""COMPUTED_VALUE"""),40242.99861111111)</f>
        <v>40242.99861</v>
      </c>
      <c r="B47" s="1">
        <f>IFERROR(__xludf.DUMMYFUNCTION("""COMPUTED_VALUE"""),288.921744)</f>
        <v>288.921744</v>
      </c>
    </row>
    <row r="48">
      <c r="A48" s="3">
        <f>IFERROR(__xludf.DUMMYFUNCTION("""COMPUTED_VALUE"""),40245.99861111111)</f>
        <v>40245.99861</v>
      </c>
      <c r="B48" s="1">
        <f>IFERROR(__xludf.DUMMYFUNCTION("""COMPUTED_VALUE"""),287.334)</f>
        <v>287.334</v>
      </c>
    </row>
    <row r="49">
      <c r="A49" s="3">
        <f>IFERROR(__xludf.DUMMYFUNCTION("""COMPUTED_VALUE"""),40246.99861111111)</f>
        <v>40246.99861</v>
      </c>
      <c r="B49" s="1">
        <f>IFERROR(__xludf.DUMMYFUNCTION("""COMPUTED_VALUE"""),288.860919)</f>
        <v>288.860919</v>
      </c>
    </row>
    <row r="50">
      <c r="A50" s="3">
        <f>IFERROR(__xludf.DUMMYFUNCTION("""COMPUTED_VALUE"""),40247.99861111111)</f>
        <v>40247.99861</v>
      </c>
      <c r="B50" s="1">
        <f>IFERROR(__xludf.DUMMYFUNCTION("""COMPUTED_VALUE"""),289.402044)</f>
        <v>289.402044</v>
      </c>
    </row>
    <row r="51">
      <c r="A51" s="3">
        <f>IFERROR(__xludf.DUMMYFUNCTION("""COMPUTED_VALUE"""),40248.99861111111)</f>
        <v>40248.99861</v>
      </c>
      <c r="B51" s="1">
        <f>IFERROR(__xludf.DUMMYFUNCTION("""COMPUTED_VALUE"""),288.590937)</f>
        <v>288.590937</v>
      </c>
    </row>
    <row r="52">
      <c r="A52" s="3">
        <f>IFERROR(__xludf.DUMMYFUNCTION("""COMPUTED_VALUE"""),40249.99861111111)</f>
        <v>40249.99861</v>
      </c>
      <c r="B52" s="1">
        <f>IFERROR(__xludf.DUMMYFUNCTION("""COMPUTED_VALUE"""),288.149497)</f>
        <v>288.149497</v>
      </c>
    </row>
    <row r="53">
      <c r="A53" s="3">
        <f>IFERROR(__xludf.DUMMYFUNCTION("""COMPUTED_VALUE"""),40252.99861111111)</f>
        <v>40252.99861</v>
      </c>
      <c r="B53" s="1">
        <f>IFERROR(__xludf.DUMMYFUNCTION("""COMPUTED_VALUE"""),288.14467)</f>
        <v>288.14467</v>
      </c>
    </row>
    <row r="54">
      <c r="A54" s="3">
        <f>IFERROR(__xludf.DUMMYFUNCTION("""COMPUTED_VALUE"""),40253.99861111111)</f>
        <v>40253.99861</v>
      </c>
      <c r="B54" s="1">
        <f>IFERROR(__xludf.DUMMYFUNCTION("""COMPUTED_VALUE"""),288.73929)</f>
        <v>288.73929</v>
      </c>
    </row>
    <row r="55">
      <c r="A55" s="3">
        <f>IFERROR(__xludf.DUMMYFUNCTION("""COMPUTED_VALUE"""),40254.99861111111)</f>
        <v>40254.99861</v>
      </c>
      <c r="B55" s="1">
        <f>IFERROR(__xludf.DUMMYFUNCTION("""COMPUTED_VALUE"""),285.997285)</f>
        <v>285.997285</v>
      </c>
    </row>
    <row r="56">
      <c r="A56" s="3">
        <f>IFERROR(__xludf.DUMMYFUNCTION("""COMPUTED_VALUE"""),40255.99861111111)</f>
        <v>40255.99861</v>
      </c>
      <c r="B56" s="1">
        <f>IFERROR(__xludf.DUMMYFUNCTION("""COMPUTED_VALUE"""),286.286217)</f>
        <v>286.286217</v>
      </c>
    </row>
    <row r="57">
      <c r="A57" s="3">
        <f>IFERROR(__xludf.DUMMYFUNCTION("""COMPUTED_VALUE"""),40256.99861111111)</f>
        <v>40256.99861</v>
      </c>
      <c r="B57" s="1">
        <f>IFERROR(__xludf.DUMMYFUNCTION("""COMPUTED_VALUE"""),286.430976)</f>
        <v>286.430976</v>
      </c>
    </row>
    <row r="58">
      <c r="A58" s="3">
        <f>IFERROR(__xludf.DUMMYFUNCTION("""COMPUTED_VALUE"""),40259.99861111111)</f>
        <v>40259.99861</v>
      </c>
      <c r="B58" s="1">
        <f>IFERROR(__xludf.DUMMYFUNCTION("""COMPUTED_VALUE"""),287.955486)</f>
        <v>287.955486</v>
      </c>
    </row>
    <row r="59">
      <c r="A59" s="3">
        <f>IFERROR(__xludf.DUMMYFUNCTION("""COMPUTED_VALUE"""),40260.99861111111)</f>
        <v>40260.99861</v>
      </c>
      <c r="B59" s="1">
        <f>IFERROR(__xludf.DUMMYFUNCTION("""COMPUTED_VALUE"""),286.957548)</f>
        <v>286.957548</v>
      </c>
    </row>
    <row r="60">
      <c r="A60" s="3">
        <f>IFERROR(__xludf.DUMMYFUNCTION("""COMPUTED_VALUE"""),40261.99861111111)</f>
        <v>40261.99861</v>
      </c>
      <c r="B60" s="1">
        <f>IFERROR(__xludf.DUMMYFUNCTION("""COMPUTED_VALUE"""),285.928139)</f>
        <v>285.928139</v>
      </c>
    </row>
    <row r="61">
      <c r="A61" s="3">
        <f>IFERROR(__xludf.DUMMYFUNCTION("""COMPUTED_VALUE"""),40262.99861111111)</f>
        <v>40262.99861</v>
      </c>
      <c r="B61" s="1">
        <f>IFERROR(__xludf.DUMMYFUNCTION("""COMPUTED_VALUE"""),285.576402)</f>
        <v>285.576402</v>
      </c>
    </row>
    <row r="62">
      <c r="A62" s="3">
        <f>IFERROR(__xludf.DUMMYFUNCTION("""COMPUTED_VALUE"""),40263.99861111111)</f>
        <v>40263.99861</v>
      </c>
      <c r="B62" s="1">
        <f>IFERROR(__xludf.DUMMYFUNCTION("""COMPUTED_VALUE"""),286.327318)</f>
        <v>286.327318</v>
      </c>
    </row>
    <row r="63">
      <c r="A63" s="3">
        <f>IFERROR(__xludf.DUMMYFUNCTION("""COMPUTED_VALUE"""),40266.99861111111)</f>
        <v>40266.99861</v>
      </c>
      <c r="B63" s="1">
        <f>IFERROR(__xludf.DUMMYFUNCTION("""COMPUTED_VALUE"""),285.25512)</f>
        <v>285.25512</v>
      </c>
    </row>
    <row r="64">
      <c r="A64" s="3">
        <f>IFERROR(__xludf.DUMMYFUNCTION("""COMPUTED_VALUE"""),40267.99861111111)</f>
        <v>40267.99861</v>
      </c>
      <c r="B64" s="1">
        <f>IFERROR(__xludf.DUMMYFUNCTION("""COMPUTED_VALUE"""),284.150774)</f>
        <v>284.150774</v>
      </c>
    </row>
    <row r="65">
      <c r="A65" s="3">
        <f>IFERROR(__xludf.DUMMYFUNCTION("""COMPUTED_VALUE"""),40268.99861111111)</f>
        <v>40268.99861</v>
      </c>
      <c r="B65" s="1">
        <f>IFERROR(__xludf.DUMMYFUNCTION("""COMPUTED_VALUE"""),287.29068)</f>
        <v>287.29068</v>
      </c>
    </row>
    <row r="66">
      <c r="A66" s="3">
        <f>IFERROR(__xludf.DUMMYFUNCTION("""COMPUTED_VALUE"""),40269.99861111111)</f>
        <v>40269.99861</v>
      </c>
      <c r="B66" s="1">
        <f>IFERROR(__xludf.DUMMYFUNCTION("""COMPUTED_VALUE"""),286.431552)</f>
        <v>286.431552</v>
      </c>
    </row>
    <row r="67">
      <c r="A67" s="3">
        <f>IFERROR(__xludf.DUMMYFUNCTION("""COMPUTED_VALUE"""),40270.99861111111)</f>
        <v>40270.99861</v>
      </c>
      <c r="B67" s="1">
        <f>IFERROR(__xludf.DUMMYFUNCTION("""COMPUTED_VALUE"""),286.398401)</f>
        <v>286.398401</v>
      </c>
    </row>
    <row r="68">
      <c r="A68" s="3">
        <f>IFERROR(__xludf.DUMMYFUNCTION("""COMPUTED_VALUE"""),40273.99861111111)</f>
        <v>40273.99861</v>
      </c>
      <c r="B68" s="1">
        <f>IFERROR(__xludf.DUMMYFUNCTION("""COMPUTED_VALUE"""),284.801088)</f>
        <v>284.801088</v>
      </c>
    </row>
    <row r="69">
      <c r="A69" s="3">
        <f>IFERROR(__xludf.DUMMYFUNCTION("""COMPUTED_VALUE"""),40274.99861111111)</f>
        <v>40274.99861</v>
      </c>
      <c r="B69" s="1">
        <f>IFERROR(__xludf.DUMMYFUNCTION("""COMPUTED_VALUE"""),285.036442)</f>
        <v>285.036442</v>
      </c>
    </row>
    <row r="70">
      <c r="A70" s="3">
        <f>IFERROR(__xludf.DUMMYFUNCTION("""COMPUTED_VALUE"""),40275.99861111111)</f>
        <v>40275.99861</v>
      </c>
      <c r="B70" s="1">
        <f>IFERROR(__xludf.DUMMYFUNCTION("""COMPUTED_VALUE"""),286.84656)</f>
        <v>286.84656</v>
      </c>
    </row>
    <row r="71">
      <c r="A71" s="3">
        <f>IFERROR(__xludf.DUMMYFUNCTION("""COMPUTED_VALUE"""),40276.99861111111)</f>
        <v>40276.99861</v>
      </c>
      <c r="B71" s="1">
        <f>IFERROR(__xludf.DUMMYFUNCTION("""COMPUTED_VALUE"""),288.216014)</f>
        <v>288.216014</v>
      </c>
    </row>
    <row r="72">
      <c r="A72" s="3">
        <f>IFERROR(__xludf.DUMMYFUNCTION("""COMPUTED_VALUE"""),40277.99861111111)</f>
        <v>40277.99861</v>
      </c>
      <c r="B72" s="1">
        <f>IFERROR(__xludf.DUMMYFUNCTION("""COMPUTED_VALUE"""),287.143297)</f>
        <v>287.143297</v>
      </c>
    </row>
    <row r="73">
      <c r="A73" s="3">
        <f>IFERROR(__xludf.DUMMYFUNCTION("""COMPUTED_VALUE"""),40280.99861111111)</f>
        <v>40280.99861</v>
      </c>
      <c r="B73" s="1">
        <f>IFERROR(__xludf.DUMMYFUNCTION("""COMPUTED_VALUE"""),285.91903)</f>
        <v>285.91903</v>
      </c>
    </row>
    <row r="74">
      <c r="A74" s="3">
        <f>IFERROR(__xludf.DUMMYFUNCTION("""COMPUTED_VALUE"""),40281.99861111111)</f>
        <v>40281.99861</v>
      </c>
      <c r="B74" s="1">
        <f>IFERROR(__xludf.DUMMYFUNCTION("""COMPUTED_VALUE"""),285.60115)</f>
        <v>285.60115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IFERROR(__xludf.DUMMYFUNCTION("""COMPUTED_VALUE"""),288.094458)</f>
        <v>288.094458</v>
      </c>
    </row>
    <row r="76">
      <c r="A76" s="3">
        <f>IFERROR(__xludf.DUMMYFUNCTION("""COMPUTED_VALUE"""),40283.99861111111)</f>
        <v>40283.99861</v>
      </c>
      <c r="B76" s="1">
        <f>IFERROR(__xludf.DUMMYFUNCTION("""COMPUTED_VALUE"""),287.585145)</f>
        <v>287.585145</v>
      </c>
    </row>
    <row r="77">
      <c r="A77" s="3">
        <f>IFERROR(__xludf.DUMMYFUNCTION("""COMPUTED_VALUE"""),40284.99861111111)</f>
        <v>40284.99861</v>
      </c>
      <c r="B77" s="1">
        <f>IFERROR(__xludf.DUMMYFUNCTION("""COMPUTED_VALUE"""),286.754224)</f>
        <v>286.754224</v>
      </c>
    </row>
    <row r="78">
      <c r="A78" s="3">
        <f>IFERROR(__xludf.DUMMYFUNCTION("""COMPUTED_VALUE"""),40287.99861111111)</f>
        <v>40287.99861</v>
      </c>
      <c r="B78" s="1">
        <f>IFERROR(__xludf.DUMMYFUNCTION("""COMPUTED_VALUE"""),287.62316)</f>
        <v>287.62316</v>
      </c>
    </row>
    <row r="79">
      <c r="A79" s="3">
        <f>IFERROR(__xludf.DUMMYFUNCTION("""COMPUTED_VALUE"""),40288.99861111111)</f>
        <v>40288.99861</v>
      </c>
      <c r="B79" s="1">
        <f>IFERROR(__xludf.DUMMYFUNCTION("""COMPUTED_VALUE"""),285.593726)</f>
        <v>285.593726</v>
      </c>
    </row>
    <row r="80">
      <c r="A80" s="3">
        <f>IFERROR(__xludf.DUMMYFUNCTION("""COMPUTED_VALUE"""),40289.99861111111)</f>
        <v>40289.99861</v>
      </c>
      <c r="B80" s="1">
        <f>IFERROR(__xludf.DUMMYFUNCTION("""COMPUTED_VALUE"""),287.662804)</f>
        <v>287.662804</v>
      </c>
    </row>
    <row r="81">
      <c r="A81" s="3">
        <f>IFERROR(__xludf.DUMMYFUNCTION("""COMPUTED_VALUE"""),40290.99861111111)</f>
        <v>40290.99861</v>
      </c>
      <c r="B81" s="1">
        <f>IFERROR(__xludf.DUMMYFUNCTION("""COMPUTED_VALUE"""),288.333181)</f>
        <v>288.333181</v>
      </c>
    </row>
    <row r="82">
      <c r="A82" s="3">
        <f>IFERROR(__xludf.DUMMYFUNCTION("""COMPUTED_VALUE"""),40291.99861111111)</f>
        <v>40291.99861</v>
      </c>
      <c r="B82" s="1">
        <f>IFERROR(__xludf.DUMMYFUNCTION("""COMPUTED_VALUE"""),287.94792)</f>
        <v>287.94792</v>
      </c>
    </row>
    <row r="83">
      <c r="A83" s="3">
        <f>IFERROR(__xludf.DUMMYFUNCTION("""COMPUTED_VALUE"""),40294.99861111111)</f>
        <v>40294.99861</v>
      </c>
      <c r="B83" s="1">
        <f>IFERROR(__xludf.DUMMYFUNCTION("""COMPUTED_VALUE"""),287.945847)</f>
        <v>287.945847</v>
      </c>
    </row>
    <row r="84">
      <c r="A84" s="3">
        <f>IFERROR(__xludf.DUMMYFUNCTION("""COMPUTED_VALUE"""),40295.99861111111)</f>
        <v>40295.99861</v>
      </c>
      <c r="B84" s="1">
        <f>IFERROR(__xludf.DUMMYFUNCTION("""COMPUTED_VALUE"""),287.163877)</f>
        <v>287.163877</v>
      </c>
    </row>
    <row r="85">
      <c r="A85" s="3">
        <f>IFERROR(__xludf.DUMMYFUNCTION("""COMPUTED_VALUE"""),40296.99861111111)</f>
        <v>40296.99861</v>
      </c>
      <c r="B85" s="1">
        <f>IFERROR(__xludf.DUMMYFUNCTION("""COMPUTED_VALUE"""),286.91232)</f>
        <v>286.91232</v>
      </c>
    </row>
    <row r="86">
      <c r="A86" s="3">
        <f>IFERROR(__xludf.DUMMYFUNCTION("""COMPUTED_VALUE"""),40297.99861111111)</f>
        <v>40297.99861</v>
      </c>
      <c r="B86" s="1">
        <f>IFERROR(__xludf.DUMMYFUNCTION("""COMPUTED_VALUE"""),287.629875)</f>
        <v>287.629875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IFERROR(__xludf.DUMMYFUNCTION("""COMPUTED_VALUE"""),287.654382)</f>
        <v>287.654382</v>
      </c>
    </row>
    <row r="88">
      <c r="A88" s="3">
        <f>IFERROR(__xludf.DUMMYFUNCTION("""COMPUTED_VALUE"""),40301.99861111111)</f>
        <v>40301.99861</v>
      </c>
      <c r="B88" s="1">
        <f>IFERROR(__xludf.DUMMYFUNCTION("""COMPUTED_VALUE"""),286.510136)</f>
        <v>286.510136</v>
      </c>
    </row>
    <row r="89">
      <c r="A89" s="3">
        <f>IFERROR(__xludf.DUMMYFUNCTION("""COMPUTED_VALUE"""),40302.99861111111)</f>
        <v>40302.99861</v>
      </c>
      <c r="B89" s="1">
        <f>IFERROR(__xludf.DUMMYFUNCTION("""COMPUTED_VALUE"""),285.151368)</f>
        <v>285.151368</v>
      </c>
    </row>
    <row r="90">
      <c r="A90" s="3">
        <f>IFERROR(__xludf.DUMMYFUNCTION("""COMPUTED_VALUE"""),40303.99861111111)</f>
        <v>40303.99861</v>
      </c>
      <c r="B90" s="1">
        <f>IFERROR(__xludf.DUMMYFUNCTION("""COMPUTED_VALUE"""),286.531595)</f>
        <v>286.531595</v>
      </c>
    </row>
    <row r="91">
      <c r="A91" s="3">
        <f>IFERROR(__xludf.DUMMYFUNCTION("""COMPUTED_VALUE"""),40304.99861111111)</f>
        <v>40304.99861</v>
      </c>
      <c r="B91" s="1">
        <f>IFERROR(__xludf.DUMMYFUNCTION("""COMPUTED_VALUE"""),289.237346)</f>
        <v>289.237346</v>
      </c>
    </row>
    <row r="92">
      <c r="A92" s="3">
        <f>IFERROR(__xludf.DUMMYFUNCTION("""COMPUTED_VALUE"""),40305.99861111111)</f>
        <v>40305.99861</v>
      </c>
      <c r="B92" s="1">
        <f>IFERROR(__xludf.DUMMYFUNCTION("""COMPUTED_VALUE"""),290.162841)</f>
        <v>290.162841</v>
      </c>
    </row>
    <row r="93">
      <c r="A93" s="3">
        <f>IFERROR(__xludf.DUMMYFUNCTION("""COMPUTED_VALUE"""),40308.99861111111)</f>
        <v>40308.99861</v>
      </c>
      <c r="B93" s="1">
        <f>IFERROR(__xludf.DUMMYFUNCTION("""COMPUTED_VALUE"""),287.231872)</f>
        <v>287.231872</v>
      </c>
    </row>
    <row r="94">
      <c r="A94" s="3">
        <f>IFERROR(__xludf.DUMMYFUNCTION("""COMPUTED_VALUE"""),40309.99861111111)</f>
        <v>40309.99861</v>
      </c>
      <c r="B94" s="1">
        <f>IFERROR(__xludf.DUMMYFUNCTION("""COMPUTED_VALUE"""),287.451843)</f>
        <v>287.451843</v>
      </c>
    </row>
    <row r="95">
      <c r="A95" s="3">
        <f>IFERROR(__xludf.DUMMYFUNCTION("""COMPUTED_VALUE"""),40310.99861111111)</f>
        <v>40310.99861</v>
      </c>
      <c r="B95" s="1">
        <f>IFERROR(__xludf.DUMMYFUNCTION("""COMPUTED_VALUE"""),289.1385)</f>
        <v>289.1385</v>
      </c>
    </row>
    <row r="96">
      <c r="A96" s="3">
        <f>IFERROR(__xludf.DUMMYFUNCTION("""COMPUTED_VALUE"""),40311.99861111111)</f>
        <v>40311.99861</v>
      </c>
      <c r="B96" s="1">
        <f>IFERROR(__xludf.DUMMYFUNCTION("""COMPUTED_VALUE"""),286.311365)</f>
        <v>286.311365</v>
      </c>
    </row>
    <row r="97">
      <c r="A97" s="3">
        <f>IFERROR(__xludf.DUMMYFUNCTION("""COMPUTED_VALUE"""),40312.99861111111)</f>
        <v>40312.99861</v>
      </c>
      <c r="B97" s="1">
        <f>IFERROR(__xludf.DUMMYFUNCTION("""COMPUTED_VALUE"""),284.50625)</f>
        <v>284.50625</v>
      </c>
    </row>
    <row r="98">
      <c r="A98" s="3">
        <f>IFERROR(__xludf.DUMMYFUNCTION("""COMPUTED_VALUE"""),40315.99861111111)</f>
        <v>40315.99861</v>
      </c>
      <c r="B98" s="1">
        <f>IFERROR(__xludf.DUMMYFUNCTION("""COMPUTED_VALUE"""),286.708504)</f>
        <v>286.708504</v>
      </c>
    </row>
    <row r="99">
      <c r="A99" s="3">
        <f>IFERROR(__xludf.DUMMYFUNCTION("""COMPUTED_VALUE"""),40316.99861111111)</f>
        <v>40316.99861</v>
      </c>
      <c r="B99" s="1">
        <f>IFERROR(__xludf.DUMMYFUNCTION("""COMPUTED_VALUE"""),286.024635)</f>
        <v>286.024635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IFERROR(__xludf.DUMMYFUNCTION("""COMPUTED_VALUE"""),289.592586)</f>
        <v>289.592586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IFERROR(__xludf.DUMMYFUNCTION("""COMPUTED_VALUE"""),287.223439)</f>
        <v>287.223439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IFERROR(__xludf.DUMMYFUNCTION("""COMPUTED_VALUE"""),289.208538)</f>
        <v>289.208538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IFERROR(__xludf.DUMMYFUNCTION("""COMPUTED_VALUE"""),288.311344)</f>
        <v>288.311344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IFERROR(__xludf.DUMMYFUNCTION("""COMPUTED_VALUE"""),291.235943)</f>
        <v>291.235943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IFERROR(__xludf.DUMMYFUNCTION("""COMPUTED_VALUE"""),287.193006)</f>
        <v>287.193006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IFERROR(__xludf.DUMMYFUNCTION("""COMPUTED_VALUE"""),288.6138)</f>
        <v>288.6138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IFERROR(__xludf.DUMMYFUNCTION("""COMPUTED_VALUE"""),287.605864)</f>
        <v>287.605864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IFERROR(__xludf.DUMMYFUNCTION("""COMPUTED_VALUE"""),290.14375)</f>
        <v>290.14375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IFERROR(__xludf.DUMMYFUNCTION("""COMPUTED_VALUE"""),287.430159)</f>
        <v>287.430159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IFERROR(__xludf.DUMMYFUNCTION("""COMPUTED_VALUE"""),286.597521)</f>
        <v>286.597521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IFERROR(__xludf.DUMMYFUNCTION("""COMPUTED_VALUE"""),284.515)</f>
        <v>284.515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IFERROR(__xludf.DUMMYFUNCTION("""COMPUTED_VALUE"""),282.19408)</f>
        <v>282.19408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IFERROR(__xludf.DUMMYFUNCTION("""COMPUTED_VALUE"""),285.972489)</f>
        <v>285.972489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IFERROR(__xludf.DUMMYFUNCTION("""COMPUTED_VALUE"""),285.556464)</f>
        <v>285.556464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IFERROR(__xludf.DUMMYFUNCTION("""COMPUTED_VALUE"""),286.603456)</f>
        <v>286.603456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IFERROR(__xludf.DUMMYFUNCTION("""COMPUTED_VALUE"""),285.179268)</f>
        <v>285.179268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IFERROR(__xludf.DUMMYFUNCTION("""COMPUTED_VALUE"""),283.71511)</f>
        <v>283.71511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IFERROR(__xludf.DUMMYFUNCTION("""COMPUTED_VALUE"""),285.3612)</f>
        <v>285.3612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IFERROR(__xludf.DUMMYFUNCTION("""COMPUTED_VALUE"""),284.74215)</f>
        <v>284.74215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IFERROR(__xludf.DUMMYFUNCTION("""COMPUTED_VALUE"""),284.703731)</f>
        <v>284.703731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IFERROR(__xludf.DUMMYFUNCTION("""COMPUTED_VALUE"""),283.978474)</f>
        <v>283.978474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IFERROR(__xludf.DUMMYFUNCTION("""COMPUTED_VALUE"""),282.758655)</f>
        <v>282.758655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IFERROR(__xludf.DUMMYFUNCTION("""COMPUTED_VALUE"""),281.454312)</f>
        <v>281.454312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IFERROR(__xludf.DUMMYFUNCTION("""COMPUTED_VALUE"""),281.1744)</f>
        <v>281.1744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IFERROR(__xludf.DUMMYFUNCTION("""COMPUTED_VALUE"""),279.891015)</f>
        <v>279.891015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IFERROR(__xludf.DUMMYFUNCTION("""COMPUTED_VALUE"""),282.571635)</f>
        <v>282.571635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IFERROR(__xludf.DUMMYFUNCTION("""COMPUTED_VALUE"""),284.297216)</f>
        <v>284.297216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IFERROR(__xludf.DUMMYFUNCTION("""COMPUTED_VALUE"""),281.103873)</f>
        <v>281.103873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IFERROR(__xludf.DUMMYFUNCTION("""COMPUTED_VALUE"""),281.117787)</f>
        <v>281.117787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IFERROR(__xludf.DUMMYFUNCTION("""COMPUTED_VALUE"""),278.851184)</f>
        <v>278.851184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IFERROR(__xludf.DUMMYFUNCTION("""COMPUTED_VALUE"""),284.534193)</f>
        <v>284.534193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IFERROR(__xludf.DUMMYFUNCTION("""COMPUTED_VALUE"""),282.212478)</f>
        <v>282.212478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IFERROR(__xludf.DUMMYFUNCTION("""COMPUTED_VALUE"""),282.274057)</f>
        <v>282.274057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IFERROR(__xludf.DUMMYFUNCTION("""COMPUTED_VALUE"""),281.175376)</f>
        <v>281.175376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IFERROR(__xludf.DUMMYFUNCTION("""COMPUTED_VALUE"""),282.409551)</f>
        <v>282.409551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IFERROR(__xludf.DUMMYFUNCTION("""COMPUTED_VALUE"""),282.653125)</f>
        <v>282.653125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IFERROR(__xludf.DUMMYFUNCTION("""COMPUTED_VALUE"""),281.231533)</f>
        <v>281.231533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IFERROR(__xludf.DUMMYFUNCTION("""COMPUTED_VALUE"""),283.04952)</f>
        <v>283.04952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IFERROR(__xludf.DUMMYFUNCTION("""COMPUTED_VALUE"""),282.265176)</f>
        <v>282.265176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IFERROR(__xludf.DUMMYFUNCTION("""COMPUTED_VALUE"""),281.296372)</f>
        <v>281.296372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IFERROR(__xludf.DUMMYFUNCTION("""COMPUTED_VALUE"""),283.864734)</f>
        <v>283.864734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IFERROR(__xludf.DUMMYFUNCTION("""COMPUTED_VALUE"""),280.59604)</f>
        <v>280.59604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IFERROR(__xludf.DUMMYFUNCTION("""COMPUTED_VALUE"""),282.00927)</f>
        <v>282.00927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IFERROR(__xludf.DUMMYFUNCTION("""COMPUTED_VALUE"""),280.891716)</f>
        <v>280.891716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IFERROR(__xludf.DUMMYFUNCTION("""COMPUTED_VALUE"""),282.081318)</f>
        <v>282.081318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IFERROR(__xludf.DUMMYFUNCTION("""COMPUTED_VALUE"""),280.6596)</f>
        <v>280.6596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IFERROR(__xludf.DUMMYFUNCTION("""COMPUTED_VALUE"""),279.110475)</f>
        <v>279.110475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IFERROR(__xludf.DUMMYFUNCTION("""COMPUTED_VALUE"""),279.729427)</f>
        <v>279.729427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IFERROR(__xludf.DUMMYFUNCTION("""COMPUTED_VALUE"""),278.452499)</f>
        <v>278.452499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IFERROR(__xludf.DUMMYFUNCTION("""COMPUTED_VALUE"""),281.85075)</f>
        <v>281.85075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IFERROR(__xludf.DUMMYFUNCTION("""COMPUTED_VALUE"""),280.420956)</f>
        <v>280.420956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IFERROR(__xludf.DUMMYFUNCTION("""COMPUTED_VALUE"""),279.75486)</f>
        <v>279.75486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IFERROR(__xludf.DUMMYFUNCTION("""COMPUTED_VALUE"""),279.96806)</f>
        <v>279.96806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IFERROR(__xludf.DUMMYFUNCTION("""COMPUTED_VALUE"""),276.442586)</f>
        <v>276.442586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IFERROR(__xludf.DUMMYFUNCTION("""COMPUTED_VALUE"""),279.55818)</f>
        <v>279.55818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IFERROR(__xludf.DUMMYFUNCTION("""COMPUTED_VALUE"""),280.141812)</f>
        <v>280.141812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IFERROR(__xludf.DUMMYFUNCTION("""COMPUTED_VALUE"""),281.81835)</f>
        <v>281.81835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IFERROR(__xludf.DUMMYFUNCTION("""COMPUTED_VALUE"""),281.582813)</f>
        <v>281.582813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IFERROR(__xludf.DUMMYFUNCTION("""COMPUTED_VALUE"""),280.116202)</f>
        <v>280.116202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IFERROR(__xludf.DUMMYFUNCTION("""COMPUTED_VALUE"""),279.378528)</f>
        <v>279.378528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IFERROR(__xludf.DUMMYFUNCTION("""COMPUTED_VALUE"""),282.417282)</f>
        <v>282.417282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IFERROR(__xludf.DUMMYFUNCTION("""COMPUTED_VALUE"""),279.977838)</f>
        <v>279.977838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IFERROR(__xludf.DUMMYFUNCTION("""COMPUTED_VALUE"""),279.579521)</f>
        <v>279.579521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IFERROR(__xludf.DUMMYFUNCTION("""COMPUTED_VALUE"""),278.604192)</f>
        <v>278.604192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IFERROR(__xludf.DUMMYFUNCTION("""COMPUTED_VALUE"""),278.221698)</f>
        <v>278.221698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IFERROR(__xludf.DUMMYFUNCTION("""COMPUTED_VALUE"""),279.554466)</f>
        <v>279.554466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IFERROR(__xludf.DUMMYFUNCTION("""COMPUTED_VALUE"""),281.916739)</f>
        <v>281.916739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IFERROR(__xludf.DUMMYFUNCTION("""COMPUTED_VALUE"""),275.94104)</f>
        <v>275.94104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IFERROR(__xludf.DUMMYFUNCTION("""COMPUTED_VALUE"""),280.635087)</f>
        <v>280.635087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IFERROR(__xludf.DUMMYFUNCTION("""COMPUTED_VALUE"""),277.4375)</f>
        <v>277.4375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IFERROR(__xludf.DUMMYFUNCTION("""COMPUTED_VALUE"""),280.767938)</f>
        <v>280.767938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IFERROR(__xludf.DUMMYFUNCTION("""COMPUTED_VALUE"""),281.807337)</f>
        <v>281.807337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IFERROR(__xludf.DUMMYFUNCTION("""COMPUTED_VALUE"""),277.70652)</f>
        <v>277.70652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IFERROR(__xludf.DUMMYFUNCTION("""COMPUTED_VALUE"""),281.333182)</f>
        <v>281.333182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IFERROR(__xludf.DUMMYFUNCTION("""COMPUTED_VALUE"""),281.282364)</f>
        <v>281.282364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IFERROR(__xludf.DUMMYFUNCTION("""COMPUTED_VALUE"""),281.039904)</f>
        <v>281.039904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IFERROR(__xludf.DUMMYFUNCTION("""COMPUTED_VALUE"""),282.449305)</f>
        <v>282.449305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IFERROR(__xludf.DUMMYFUNCTION("""COMPUTED_VALUE"""),281.736773)</f>
        <v>281.736773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IFERROR(__xludf.DUMMYFUNCTION("""COMPUTED_VALUE"""),280.795553)</f>
        <v>280.795553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IFERROR(__xludf.DUMMYFUNCTION("""COMPUTED_VALUE"""),282.291075)</f>
        <v>282.291075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IFERROR(__xludf.DUMMYFUNCTION("""COMPUTED_VALUE"""),282.4584)</f>
        <v>282.4584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IFERROR(__xludf.DUMMYFUNCTION("""COMPUTED_VALUE"""),282.724408)</f>
        <v>282.724408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IFERROR(__xludf.DUMMYFUNCTION("""COMPUTED_VALUE"""),284.690392)</f>
        <v>284.690392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IFERROR(__xludf.DUMMYFUNCTION("""COMPUTED_VALUE"""),286.425251)</f>
        <v>286.425251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IFERROR(__xludf.DUMMYFUNCTION("""COMPUTED_VALUE"""),283.62896)</f>
        <v>283.62896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IFERROR(__xludf.DUMMYFUNCTION("""COMPUTED_VALUE"""),281.4736)</f>
        <v>281.4736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IFERROR(__xludf.DUMMYFUNCTION("""COMPUTED_VALUE"""),282.199152)</f>
        <v>282.199152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IFERROR(__xludf.DUMMYFUNCTION("""COMPUTED_VALUE"""),283.029122)</f>
        <v>283.029122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IFERROR(__xludf.DUMMYFUNCTION("""COMPUTED_VALUE"""),283.53708)</f>
        <v>283.53708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IFERROR(__xludf.DUMMYFUNCTION("""COMPUTED_VALUE"""),283.1592)</f>
        <v>283.1592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IFERROR(__xludf.DUMMYFUNCTION("""COMPUTED_VALUE"""),283.36668)</f>
        <v>283.36668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IFERROR(__xludf.DUMMYFUNCTION("""COMPUTED_VALUE"""),283.232)</f>
        <v>283.232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IFERROR(__xludf.DUMMYFUNCTION("""COMPUTED_VALUE"""),285.857965)</f>
        <v>285.857965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IFERROR(__xludf.DUMMYFUNCTION("""COMPUTED_VALUE"""),287.493272)</f>
        <v>287.493272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IFERROR(__xludf.DUMMYFUNCTION("""COMPUTED_VALUE"""),285.103056)</f>
        <v>285.103056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IFERROR(__xludf.DUMMYFUNCTION("""COMPUTED_VALUE"""),286.031757)</f>
        <v>286.031757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IFERROR(__xludf.DUMMYFUNCTION("""COMPUTED_VALUE"""),286.176056)</f>
        <v>286.176056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IFERROR(__xludf.DUMMYFUNCTION("""COMPUTED_VALUE"""),285.58801)</f>
        <v>285.58801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IFERROR(__xludf.DUMMYFUNCTION("""COMPUTED_VALUE"""),285.797967)</f>
        <v>285.797967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IFERROR(__xludf.DUMMYFUNCTION("""COMPUTED_VALUE"""),289.342008)</f>
        <v>289.342008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IFERROR(__xludf.DUMMYFUNCTION("""COMPUTED_VALUE"""),289.398616)</f>
        <v>289.398616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IFERROR(__xludf.DUMMYFUNCTION("""COMPUTED_VALUE"""),288.93996)</f>
        <v>288.93996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IFERROR(__xludf.DUMMYFUNCTION("""COMPUTED_VALUE"""),291.087908)</f>
        <v>291.087908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IFERROR(__xludf.DUMMYFUNCTION("""COMPUTED_VALUE"""),289.495647)</f>
        <v>289.495647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IFERROR(__xludf.DUMMYFUNCTION("""COMPUTED_VALUE"""),289.534407)</f>
        <v>289.534407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IFERROR(__xludf.DUMMYFUNCTION("""COMPUTED_VALUE"""),290.544046)</f>
        <v>290.544046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IFERROR(__xludf.DUMMYFUNCTION("""COMPUTED_VALUE"""),289.839389)</f>
        <v>289.839389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IFERROR(__xludf.DUMMYFUNCTION("""COMPUTED_VALUE"""),290.76775)</f>
        <v>290.76775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IFERROR(__xludf.DUMMYFUNCTION("""COMPUTED_VALUE"""),286.261752)</f>
        <v>286.261752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IFERROR(__xludf.DUMMYFUNCTION("""COMPUTED_VALUE"""),287.728077)</f>
        <v>287.728077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IFERROR(__xludf.DUMMYFUNCTION("""COMPUTED_VALUE"""),285.042395)</f>
        <v>285.042395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IFERROR(__xludf.DUMMYFUNCTION("""COMPUTED_VALUE"""),289.319384)</f>
        <v>289.319384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IFERROR(__xludf.DUMMYFUNCTION("""COMPUTED_VALUE"""),295.21589)</f>
        <v>295.21589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IFERROR(__xludf.DUMMYFUNCTION("""COMPUTED_VALUE"""),289.192868)</f>
        <v>289.192868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IFERROR(__xludf.DUMMYFUNCTION("""COMPUTED_VALUE"""),288.71081)</f>
        <v>288.71081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IFERROR(__xludf.DUMMYFUNCTION("""COMPUTED_VALUE"""),289.015624)</f>
        <v>289.015624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IFERROR(__xludf.DUMMYFUNCTION("""COMPUTED_VALUE"""),292.88028)</f>
        <v>292.88028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IFERROR(__xludf.DUMMYFUNCTION("""COMPUTED_VALUE"""),291.733725)</f>
        <v>291.733725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IFERROR(__xludf.DUMMYFUNCTION("""COMPUTED_VALUE"""),290.56838)</f>
        <v>290.56838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IFERROR(__xludf.DUMMYFUNCTION("""COMPUTED_VALUE"""),290.167836)</f>
        <v>290.167836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IFERROR(__xludf.DUMMYFUNCTION("""COMPUTED_VALUE"""),294.919345)</f>
        <v>294.919345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IFERROR(__xludf.DUMMYFUNCTION("""COMPUTED_VALUE"""),292.454)</f>
        <v>292.454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IFERROR(__xludf.DUMMYFUNCTION("""COMPUTED_VALUE"""),293.5797165)</f>
        <v>293.5797165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IFERROR(__xludf.DUMMYFUNCTION("""COMPUTED_VALUE"""),288.53985)</f>
        <v>288.53985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IFERROR(__xludf.DUMMYFUNCTION("""COMPUTED_VALUE"""),291.219332)</f>
        <v>291.219332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IFERROR(__xludf.DUMMYFUNCTION("""COMPUTED_VALUE"""),289.98208)</f>
        <v>289.98208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IFERROR(__xludf.DUMMYFUNCTION("""COMPUTED_VALUE"""),294.7745835)</f>
        <v>294.7745835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IFERROR(__xludf.DUMMYFUNCTION("""COMPUTED_VALUE"""),294.2220345)</f>
        <v>294.2220345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IFERROR(__xludf.DUMMYFUNCTION("""COMPUTED_VALUE"""),290.21112)</f>
        <v>290.21112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IFERROR(__xludf.DUMMYFUNCTION("""COMPUTED_VALUE"""),291.65262)</f>
        <v>291.65262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IFERROR(__xludf.DUMMYFUNCTION("""COMPUTED_VALUE"""),291.46528)</f>
        <v>291.46528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IFERROR(__xludf.DUMMYFUNCTION("""COMPUTED_VALUE"""),293.3981325)</f>
        <v>293.3981325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IFERROR(__xludf.DUMMYFUNCTION("""COMPUTED_VALUE"""),292.4394875)</f>
        <v>292.4394875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IFERROR(__xludf.DUMMYFUNCTION("""COMPUTED_VALUE"""),290.239131)</f>
        <v>290.239131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IFERROR(__xludf.DUMMYFUNCTION("""COMPUTED_VALUE"""),294.5957315)</f>
        <v>294.5957315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IFERROR(__xludf.DUMMYFUNCTION("""COMPUTED_VALUE"""),294.4013835)</f>
        <v>294.4013835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IFERROR(__xludf.DUMMYFUNCTION("""COMPUTED_VALUE"""),291.76542)</f>
        <v>291.76542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IFERROR(__xludf.DUMMYFUNCTION("""COMPUTED_VALUE"""),294.264288)</f>
        <v>294.264288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IFERROR(__xludf.DUMMYFUNCTION("""COMPUTED_VALUE"""),295.5005045)</f>
        <v>295.5005045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IFERROR(__xludf.DUMMYFUNCTION("""COMPUTED_VALUE"""),297.248112)</f>
        <v>297.248112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IFERROR(__xludf.DUMMYFUNCTION("""COMPUTED_VALUE"""),294.76296)</f>
        <v>294.76296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IFERROR(__xludf.DUMMYFUNCTION("""COMPUTED_VALUE"""),300.099)</f>
        <v>300.099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IFERROR(__xludf.DUMMYFUNCTION("""COMPUTED_VALUE"""),299.13034)</f>
        <v>299.13034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IFERROR(__xludf.DUMMYFUNCTION("""COMPUTED_VALUE"""),296.4003)</f>
        <v>296.4003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IFERROR(__xludf.DUMMYFUNCTION("""COMPUTED_VALUE"""),299.1934)</f>
        <v>299.1934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IFERROR(__xludf.DUMMYFUNCTION("""COMPUTED_VALUE"""),299.93868)</f>
        <v>299.93868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IFERROR(__xludf.DUMMYFUNCTION("""COMPUTED_VALUE"""),299.74875)</f>
        <v>299.74875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IFERROR(__xludf.DUMMYFUNCTION("""COMPUTED_VALUE"""),303.0843)</f>
        <v>303.0843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IFERROR(__xludf.DUMMYFUNCTION("""COMPUTED_VALUE"""),299.2038345)</f>
        <v>299.2038345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IFERROR(__xludf.DUMMYFUNCTION("""COMPUTED_VALUE"""),300.3573605)</f>
        <v>300.3573605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IFERROR(__xludf.DUMMYFUNCTION("""COMPUTED_VALUE"""),299.423)</f>
        <v>299.423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IFERROR(__xludf.DUMMYFUNCTION("""COMPUTED_VALUE"""),300.2147735)</f>
        <v>300.2147735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IFERROR(__xludf.DUMMYFUNCTION("""COMPUTED_VALUE"""),297.71247)</f>
        <v>297.71247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IFERROR(__xludf.DUMMYFUNCTION("""COMPUTED_VALUE"""),301.096935)</f>
        <v>301.096935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IFERROR(__xludf.DUMMYFUNCTION("""COMPUTED_VALUE"""),302.079856)</f>
        <v>302.079856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IFERROR(__xludf.DUMMYFUNCTION("""COMPUTED_VALUE"""),303.164706)</f>
        <v>303.164706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IFERROR(__xludf.DUMMYFUNCTION("""COMPUTED_VALUE"""),305.01064)</f>
        <v>305.01064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IFERROR(__xludf.DUMMYFUNCTION("""COMPUTED_VALUE"""),303.56844)</f>
        <v>303.56844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IFERROR(__xludf.DUMMYFUNCTION("""COMPUTED_VALUE"""),301.4533535)</f>
        <v>301.4533535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IFERROR(__xludf.DUMMYFUNCTION("""COMPUTED_VALUE"""),309.5598655)</f>
        <v>309.5598655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IFERROR(__xludf.DUMMYFUNCTION("""COMPUTED_VALUE"""),307.0113)</f>
        <v>307.0113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IFERROR(__xludf.DUMMYFUNCTION("""COMPUTED_VALUE"""),309.3115835)</f>
        <v>309.3115835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IFERROR(__xludf.DUMMYFUNCTION("""COMPUTED_VALUE"""),309.8835765)</f>
        <v>309.8835765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IFERROR(__xludf.DUMMYFUNCTION("""COMPUTED_VALUE"""),303.72348)</f>
        <v>303.72348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IFERROR(__xludf.DUMMYFUNCTION("""COMPUTED_VALUE"""),305.5441395)</f>
        <v>305.5441395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IFERROR(__xludf.DUMMYFUNCTION("""COMPUTED_VALUE"""),305.094672)</f>
        <v>305.094672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IFERROR(__xludf.DUMMYFUNCTION("""COMPUTED_VALUE"""),301.9473)</f>
        <v>301.9473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IFERROR(__xludf.DUMMYFUNCTION("""COMPUTED_VALUE"""),310.809623)</f>
        <v>310.809623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IFERROR(__xludf.DUMMYFUNCTION("""COMPUTED_VALUE"""),307.120009)</f>
        <v>307.120009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IFERROR(__xludf.DUMMYFUNCTION("""COMPUTED_VALUE"""),315.4056)</f>
        <v>315.4056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IFERROR(__xludf.DUMMYFUNCTION("""COMPUTED_VALUE"""),316.6577505)</f>
        <v>316.6577505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IFERROR(__xludf.DUMMYFUNCTION("""COMPUTED_VALUE"""),311.8396775)</f>
        <v>311.8396775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IFERROR(__xludf.DUMMYFUNCTION("""COMPUTED_VALUE"""),311.0298)</f>
        <v>311.0298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IFERROR(__xludf.DUMMYFUNCTION("""COMPUTED_VALUE"""),312.0896565)</f>
        <v>312.0896565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IFERROR(__xludf.DUMMYFUNCTION("""COMPUTED_VALUE"""),307.8112)</f>
        <v>307.8112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IFERROR(__xludf.DUMMYFUNCTION("""COMPUTED_VALUE"""),305.475936)</f>
        <v>305.475936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IFERROR(__xludf.DUMMYFUNCTION("""COMPUTED_VALUE"""),305.4315)</f>
        <v>305.4315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IFERROR(__xludf.DUMMYFUNCTION("""COMPUTED_VALUE"""),312.768)</f>
        <v>312.768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IFERROR(__xludf.DUMMYFUNCTION("""COMPUTED_VALUE"""),311.757525)</f>
        <v>311.757525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IFERROR(__xludf.DUMMYFUNCTION("""COMPUTED_VALUE"""),307.493082)</f>
        <v>307.493082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IFERROR(__xludf.DUMMYFUNCTION("""COMPUTED_VALUE"""),310.52708)</f>
        <v>310.52708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IFERROR(__xludf.DUMMYFUNCTION("""COMPUTED_VALUE"""),308.6656105)</f>
        <v>308.6656105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IFERROR(__xludf.DUMMYFUNCTION("""COMPUTED_VALUE"""),309.31974)</f>
        <v>309.31974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IFERROR(__xludf.DUMMYFUNCTION("""COMPUTED_VALUE"""),311.58)</f>
        <v>311.58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IFERROR(__xludf.DUMMYFUNCTION("""COMPUTED_VALUE"""),311.042356)</f>
        <v>311.042356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IFERROR(__xludf.DUMMYFUNCTION("""COMPUTED_VALUE"""),304.29531)</f>
        <v>304.29531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IFERROR(__xludf.DUMMYFUNCTION("""COMPUTED_VALUE"""),308.8906575)</f>
        <v>308.8906575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IFERROR(__xludf.DUMMYFUNCTION("""COMPUTED_VALUE"""),305.031852)</f>
        <v>305.031852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IFERROR(__xludf.DUMMYFUNCTION("""COMPUTED_VALUE"""),306.872)</f>
        <v>306.872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IFERROR(__xludf.DUMMYFUNCTION("""COMPUTED_VALUE"""),312.191052)</f>
        <v>312.191052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IFERROR(__xludf.DUMMYFUNCTION("""COMPUTED_VALUE"""),307.64475)</f>
        <v>307.64475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IFERROR(__xludf.DUMMYFUNCTION("""COMPUTED_VALUE"""),306.628728)</f>
        <v>306.628728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IFERROR(__xludf.DUMMYFUNCTION("""COMPUTED_VALUE"""),304.695901)</f>
        <v>304.695901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IFERROR(__xludf.DUMMYFUNCTION("""COMPUTED_VALUE"""),298.2996)</f>
        <v>298.2996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IFERROR(__xludf.DUMMYFUNCTION("""COMPUTED_VALUE"""),303.2288455)</f>
        <v>303.2288455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IFERROR(__xludf.DUMMYFUNCTION("""COMPUTED_VALUE"""),300.1004)</f>
        <v>300.1004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IFERROR(__xludf.DUMMYFUNCTION("""COMPUTED_VALUE"""),304.519131)</f>
        <v>304.519131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IFERROR(__xludf.DUMMYFUNCTION("""COMPUTED_VALUE"""),298.2)</f>
        <v>298.2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IFERROR(__xludf.DUMMYFUNCTION("""COMPUTED_VALUE"""),300.556597)</f>
        <v>300.556597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IFERROR(__xludf.DUMMYFUNCTION("""COMPUTED_VALUE"""),300.49464)</f>
        <v>300.49464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IFERROR(__xludf.DUMMYFUNCTION("""COMPUTED_VALUE"""),298.9278)</f>
        <v>298.9278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IFERROR(__xludf.DUMMYFUNCTION("""COMPUTED_VALUE"""),296.542233)</f>
        <v>296.542233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IFERROR(__xludf.DUMMYFUNCTION("""COMPUTED_VALUE"""),296.224291)</f>
        <v>296.224291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IFERROR(__xludf.DUMMYFUNCTION("""COMPUTED_VALUE"""),295.96472)</f>
        <v>295.96472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IFERROR(__xludf.DUMMYFUNCTION("""COMPUTED_VALUE"""),298.037059)</f>
        <v>298.037059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IFERROR(__xludf.DUMMYFUNCTION("""COMPUTED_VALUE"""),300.3538995)</f>
        <v>300.3538995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IFERROR(__xludf.DUMMYFUNCTION("""COMPUTED_VALUE"""),298.464374)</f>
        <v>298.464374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IFERROR(__xludf.DUMMYFUNCTION("""COMPUTED_VALUE"""),297.2286885)</f>
        <v>297.2286885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IFERROR(__xludf.DUMMYFUNCTION("""COMPUTED_VALUE"""),297.93326)</f>
        <v>297.93326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IFERROR(__xludf.DUMMYFUNCTION("""COMPUTED_VALUE"""),297.402)</f>
        <v>297.402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IFERROR(__xludf.DUMMYFUNCTION("""COMPUTED_VALUE"""),297.1441135)</f>
        <v>297.1441135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IFERROR(__xludf.DUMMYFUNCTION("""COMPUTED_VALUE"""),299.469534)</f>
        <v>299.469534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IFERROR(__xludf.DUMMYFUNCTION("""COMPUTED_VALUE"""),297.8356755)</f>
        <v>297.8356755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IFERROR(__xludf.DUMMYFUNCTION("""COMPUTED_VALUE"""),299.2275)</f>
        <v>299.2275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IFERROR(__xludf.DUMMYFUNCTION("""COMPUTED_VALUE"""),295.141245)</f>
        <v>295.141245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IFERROR(__xludf.DUMMYFUNCTION("""COMPUTED_VALUE"""),296.8645)</f>
        <v>296.8645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IFERROR(__xludf.DUMMYFUNCTION("""COMPUTED_VALUE"""),296.4555)</f>
        <v>296.4555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IFERROR(__xludf.DUMMYFUNCTION("""COMPUTED_VALUE"""),295.7824)</f>
        <v>295.7824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IFERROR(__xludf.DUMMYFUNCTION("""COMPUTED_VALUE"""),293.37444)</f>
        <v>293.37444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IFERROR(__xludf.DUMMYFUNCTION("""COMPUTED_VALUE"""),294.1745085)</f>
        <v>294.1745085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IFERROR(__xludf.DUMMYFUNCTION("""COMPUTED_VALUE"""),295.1819)</f>
        <v>295.1819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IFERROR(__xludf.DUMMYFUNCTION("""COMPUTED_VALUE"""),293.974604)</f>
        <v>293.974604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IFERROR(__xludf.DUMMYFUNCTION("""COMPUTED_VALUE"""),296.070072)</f>
        <v>296.070072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IFERROR(__xludf.DUMMYFUNCTION("""COMPUTED_VALUE"""),295.335711)</f>
        <v>295.335711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IFERROR(__xludf.DUMMYFUNCTION("""COMPUTED_VALUE"""),295.615806)</f>
        <v>295.615806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IFERROR(__xludf.DUMMYFUNCTION("""COMPUTED_VALUE"""),295.413272)</f>
        <v>295.413272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IFERROR(__xludf.DUMMYFUNCTION("""COMPUTED_VALUE"""),297.805739)</f>
        <v>297.805739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IFERROR(__xludf.DUMMYFUNCTION("""COMPUTED_VALUE"""),297.806436)</f>
        <v>297.806436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IFERROR(__xludf.DUMMYFUNCTION("""COMPUTED_VALUE"""),297.555275)</f>
        <v>297.555275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IFERROR(__xludf.DUMMYFUNCTION("""COMPUTED_VALUE"""),295.603321)</f>
        <v>295.603321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IFERROR(__xludf.DUMMYFUNCTION("""COMPUTED_VALUE"""),296.894723)</f>
        <v>296.894723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IFERROR(__xludf.DUMMYFUNCTION("""COMPUTED_VALUE"""),298.066321)</f>
        <v>298.066321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IFERROR(__xludf.DUMMYFUNCTION("""COMPUTED_VALUE"""),298.619105)</f>
        <v>298.619105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IFERROR(__xludf.DUMMYFUNCTION("""COMPUTED_VALUE"""),298.222688)</f>
        <v>298.222688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IFERROR(__xludf.DUMMYFUNCTION("""COMPUTED_VALUE"""),298.059507)</f>
        <v>298.059507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IFERROR(__xludf.DUMMYFUNCTION("""COMPUTED_VALUE"""),298.044735)</f>
        <v>298.044735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IFERROR(__xludf.DUMMYFUNCTION("""COMPUTED_VALUE"""),298.008865)</f>
        <v>298.008865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IFERROR(__xludf.DUMMYFUNCTION("""COMPUTED_VALUE"""),296.493765)</f>
        <v>296.493765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IFERROR(__xludf.DUMMYFUNCTION("""COMPUTED_VALUE"""),297.15618)</f>
        <v>297.15618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IFERROR(__xludf.DUMMYFUNCTION("""COMPUTED_VALUE"""),299.767221)</f>
        <v>299.767221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IFERROR(__xludf.DUMMYFUNCTION("""COMPUTED_VALUE"""),297.967278)</f>
        <v>297.967278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IFERROR(__xludf.DUMMYFUNCTION("""COMPUTED_VALUE"""),297.967278)</f>
        <v>297.967278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IFERROR(__xludf.DUMMYFUNCTION("""COMPUTED_VALUE"""),296.476752)</f>
        <v>296.476752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IFERROR(__xludf.DUMMYFUNCTION("""COMPUTED_VALUE"""),296.145707)</f>
        <v>296.145707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IFERROR(__xludf.DUMMYFUNCTION("""COMPUTED_VALUE"""),299.111974)</f>
        <v>299.111974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IFERROR(__xludf.DUMMYFUNCTION("""COMPUTED_VALUE"""),297.42752)</f>
        <v>297.42752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IFERROR(__xludf.DUMMYFUNCTION("""COMPUTED_VALUE"""),297.744738)</f>
        <v>297.744738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IFERROR(__xludf.DUMMYFUNCTION("""COMPUTED_VALUE"""),297.762384)</f>
        <v>297.762384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IFERROR(__xludf.DUMMYFUNCTION("""COMPUTED_VALUE"""),297.762384)</f>
        <v>297.762384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IFERROR(__xludf.DUMMYFUNCTION("""COMPUTED_VALUE"""),297.231363)</f>
        <v>297.231363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IFERROR(__xludf.DUMMYFUNCTION("""COMPUTED_VALUE"""),297.672864)</f>
        <v>297.672864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IFERROR(__xludf.DUMMYFUNCTION("""COMPUTED_VALUE"""),299.347632)</f>
        <v>299.347632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IFERROR(__xludf.DUMMYFUNCTION("""COMPUTED_VALUE"""),299.01622)</f>
        <v>299.01622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IFERROR(__xludf.DUMMYFUNCTION("""COMPUTED_VALUE"""),298.50319)</f>
        <v>298.50319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IFERROR(__xludf.DUMMYFUNCTION("""COMPUTED_VALUE"""),298.139863)</f>
        <v>298.139863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IFERROR(__xludf.DUMMYFUNCTION("""COMPUTED_VALUE"""),297.79805)</f>
        <v>297.79805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IFERROR(__xludf.DUMMYFUNCTION("""COMPUTED_VALUE"""),297.7519)</f>
        <v>297.7519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IFERROR(__xludf.DUMMYFUNCTION("""COMPUTED_VALUE"""),298.022334)</f>
        <v>298.022334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IFERROR(__xludf.DUMMYFUNCTION("""COMPUTED_VALUE"""),300.866425)</f>
        <v>300.866425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IFERROR(__xludf.DUMMYFUNCTION("""COMPUTED_VALUE"""),298.219888)</f>
        <v>298.219888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IFERROR(__xludf.DUMMYFUNCTION("""COMPUTED_VALUE"""),293.909525)</f>
        <v>293.909525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IFERROR(__xludf.DUMMYFUNCTION("""COMPUTED_VALUE"""),298.521054)</f>
        <v>298.521054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IFERROR(__xludf.DUMMYFUNCTION("""COMPUTED_VALUE"""),296.748042)</f>
        <v>296.748042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IFERROR(__xludf.DUMMYFUNCTION("""COMPUTED_VALUE"""),296.814252)</f>
        <v>296.814252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IFERROR(__xludf.DUMMYFUNCTION("""COMPUTED_VALUE"""),297.16214)</f>
        <v>297.16214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IFERROR(__xludf.DUMMYFUNCTION("""COMPUTED_VALUE"""),299.680948)</f>
        <v>299.680948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IFERROR(__xludf.DUMMYFUNCTION("""COMPUTED_VALUE"""),296.495298)</f>
        <v>296.495298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IFERROR(__xludf.DUMMYFUNCTION("""COMPUTED_VALUE"""),300.789)</f>
        <v>300.789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IFERROR(__xludf.DUMMYFUNCTION("""COMPUTED_VALUE"""),297.261602)</f>
        <v>297.261602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IFERROR(__xludf.DUMMYFUNCTION("""COMPUTED_VALUE"""),297.326935)</f>
        <v>297.326935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IFERROR(__xludf.DUMMYFUNCTION("""COMPUTED_VALUE"""),294.56532)</f>
        <v>294.56532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IFERROR(__xludf.DUMMYFUNCTION("""COMPUTED_VALUE"""),299.273292)</f>
        <v>299.273292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IFERROR(__xludf.DUMMYFUNCTION("""COMPUTED_VALUE"""),291.55092)</f>
        <v>291.55092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IFERROR(__xludf.DUMMYFUNCTION("""COMPUTED_VALUE"""),296.281644)</f>
        <v>296.281644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IFERROR(__xludf.DUMMYFUNCTION("""COMPUTED_VALUE"""),297.43856)</f>
        <v>297.43856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IFERROR(__xludf.DUMMYFUNCTION("""COMPUTED_VALUE"""),295.59332)</f>
        <v>295.59332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IFERROR(__xludf.DUMMYFUNCTION("""COMPUTED_VALUE"""),291.062115)</f>
        <v>291.062115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IFERROR(__xludf.DUMMYFUNCTION("""COMPUTED_VALUE"""),294.6061356)</f>
        <v>294.6061356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IFERROR(__xludf.DUMMYFUNCTION("""COMPUTED_VALUE"""),298.076)</f>
        <v>298.076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IFERROR(__xludf.DUMMYFUNCTION("""COMPUTED_VALUE"""),290.504448)</f>
        <v>290.504448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IFERROR(__xludf.DUMMYFUNCTION("""COMPUTED_VALUE"""),296.6800335)</f>
        <v>296.6800335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IFERROR(__xludf.DUMMYFUNCTION("""COMPUTED_VALUE"""),295.4945)</f>
        <v>295.4945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IFERROR(__xludf.DUMMYFUNCTION("""COMPUTED_VALUE"""),298.1430585)</f>
        <v>298.1430585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IFERROR(__xludf.DUMMYFUNCTION("""COMPUTED_VALUE"""),290.774712)</f>
        <v>290.774712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IFERROR(__xludf.DUMMYFUNCTION("""COMPUTED_VALUE"""),297.9718595)</f>
        <v>297.9718595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IFERROR(__xludf.DUMMYFUNCTION("""COMPUTED_VALUE"""),297.175971)</f>
        <v>297.175971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IFERROR(__xludf.DUMMYFUNCTION("""COMPUTED_VALUE"""),297.887331)</f>
        <v>297.887331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IFERROR(__xludf.DUMMYFUNCTION("""COMPUTED_VALUE"""),297.619)</f>
        <v>297.619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IFERROR(__xludf.DUMMYFUNCTION("""COMPUTED_VALUE"""),297.024678)</f>
        <v>297.024678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IFERROR(__xludf.DUMMYFUNCTION("""COMPUTED_VALUE"""),299.408613)</f>
        <v>299.408613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IFERROR(__xludf.DUMMYFUNCTION("""COMPUTED_VALUE"""),299.2333703)</f>
        <v>299.2333703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IFERROR(__xludf.DUMMYFUNCTION("""COMPUTED_VALUE"""),299.749431)</f>
        <v>299.749431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IFERROR(__xludf.DUMMYFUNCTION("""COMPUTED_VALUE"""),295.97)</f>
        <v>295.97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IFERROR(__xludf.DUMMYFUNCTION("""COMPUTED_VALUE"""),296.7634325)</f>
        <v>296.7634325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IFERROR(__xludf.DUMMYFUNCTION("""COMPUTED_VALUE"""),295.04835)</f>
        <v>295.04835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IFERROR(__xludf.DUMMYFUNCTION("""COMPUTED_VALUE"""),294.5364)</f>
        <v>294.5364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IFERROR(__xludf.DUMMYFUNCTION("""COMPUTED_VALUE"""),293.905894)</f>
        <v>293.905894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IFERROR(__xludf.DUMMYFUNCTION("""COMPUTED_VALUE"""),293.19696)</f>
        <v>293.19696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IFERROR(__xludf.DUMMYFUNCTION("""COMPUTED_VALUE"""),293.2558035)</f>
        <v>293.2558035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IFERROR(__xludf.DUMMYFUNCTION("""COMPUTED_VALUE"""),296.660493)</f>
        <v>296.660493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IFERROR(__xludf.DUMMYFUNCTION("""COMPUTED_VALUE"""),296.2134045)</f>
        <v>296.2134045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IFERROR(__xludf.DUMMYFUNCTION("""COMPUTED_VALUE"""),293.057824)</f>
        <v>293.057824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IFERROR(__xludf.DUMMYFUNCTION("""COMPUTED_VALUE"""),298.8531)</f>
        <v>298.8531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IFERROR(__xludf.DUMMYFUNCTION("""COMPUTED_VALUE"""),296.439)</f>
        <v>296.439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IFERROR(__xludf.DUMMYFUNCTION("""COMPUTED_VALUE"""),290.015544)</f>
        <v>290.015544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IFERROR(__xludf.DUMMYFUNCTION("""COMPUTED_VALUE"""),296.9018595)</f>
        <v>296.9018595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IFERROR(__xludf.DUMMYFUNCTION("""COMPUTED_VALUE"""),298.901694)</f>
        <v>298.901694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IFERROR(__xludf.DUMMYFUNCTION("""COMPUTED_VALUE"""),297.474)</f>
        <v>297.474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IFERROR(__xludf.DUMMYFUNCTION("""COMPUTED_VALUE"""),296.01)</f>
        <v>296.01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IFERROR(__xludf.DUMMYFUNCTION("""COMPUTED_VALUE"""),298.3322655)</f>
        <v>298.3322655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IFERROR(__xludf.DUMMYFUNCTION("""COMPUTED_VALUE"""),295.58025)</f>
        <v>295.58025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IFERROR(__xludf.DUMMYFUNCTION("""COMPUTED_VALUE"""),291.357724)</f>
        <v>291.357724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IFERROR(__xludf.DUMMYFUNCTION("""COMPUTED_VALUE"""),296.2682775)</f>
        <v>296.2682775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IFERROR(__xludf.DUMMYFUNCTION("""COMPUTED_VALUE"""),299.46)</f>
        <v>299.46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IFERROR(__xludf.DUMMYFUNCTION("""COMPUTED_VALUE"""),299.545)</f>
        <v>299.545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IFERROR(__xludf.DUMMYFUNCTION("""COMPUTED_VALUE"""),298.9219955)</f>
        <v>298.9219955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IFERROR(__xludf.DUMMYFUNCTION("""COMPUTED_VALUE"""),297.90936)</f>
        <v>297.90936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IFERROR(__xludf.DUMMYFUNCTION("""COMPUTED_VALUE"""),297.65385)</f>
        <v>297.65385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IFERROR(__xludf.DUMMYFUNCTION("""COMPUTED_VALUE"""),291.44652)</f>
        <v>291.44652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IFERROR(__xludf.DUMMYFUNCTION("""COMPUTED_VALUE"""),298.065296)</f>
        <v>298.065296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IFERROR(__xludf.DUMMYFUNCTION("""COMPUTED_VALUE"""),297.5187295)</f>
        <v>297.5187295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IFERROR(__xludf.DUMMYFUNCTION("""COMPUTED_VALUE"""),295.566519)</f>
        <v>295.566519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IFERROR(__xludf.DUMMYFUNCTION("""COMPUTED_VALUE"""),295.748145)</f>
        <v>295.748145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IFERROR(__xludf.DUMMYFUNCTION("""COMPUTED_VALUE"""),297.817405)</f>
        <v>297.817405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IFERROR(__xludf.DUMMYFUNCTION("""COMPUTED_VALUE"""),295.722513)</f>
        <v>295.722513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IFERROR(__xludf.DUMMYFUNCTION("""COMPUTED_VALUE"""),296.6694906)</f>
        <v>296.6694906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IFERROR(__xludf.DUMMYFUNCTION("""COMPUTED_VALUE"""),294.4456455)</f>
        <v>294.4456455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IFERROR(__xludf.DUMMYFUNCTION("""COMPUTED_VALUE"""),294.2305345)</f>
        <v>294.2305345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IFERROR(__xludf.DUMMYFUNCTION("""COMPUTED_VALUE"""),297.101826)</f>
        <v>297.101826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IFERROR(__xludf.DUMMYFUNCTION("""COMPUTED_VALUE"""),299.592)</f>
        <v>299.592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IFERROR(__xludf.DUMMYFUNCTION("""COMPUTED_VALUE"""),295.20547)</f>
        <v>295.20547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IFERROR(__xludf.DUMMYFUNCTION("""COMPUTED_VALUE"""),295.616028)</f>
        <v>295.616028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IFERROR(__xludf.DUMMYFUNCTION("""COMPUTED_VALUE"""),289.801704)</f>
        <v>289.801704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IFERROR(__xludf.DUMMYFUNCTION("""COMPUTED_VALUE"""),296.7381633)</f>
        <v>296.7381633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IFERROR(__xludf.DUMMYFUNCTION("""COMPUTED_VALUE"""),297.413828)</f>
        <v>297.413828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IFERROR(__xludf.DUMMYFUNCTION("""COMPUTED_VALUE"""),295.2278)</f>
        <v>295.2278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IFERROR(__xludf.DUMMYFUNCTION("""COMPUTED_VALUE"""),296.4175)</f>
        <v>296.4175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IFERROR(__xludf.DUMMYFUNCTION("""COMPUTED_VALUE"""),300.58777)</f>
        <v>300.58777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IFERROR(__xludf.DUMMYFUNCTION("""COMPUTED_VALUE"""),294.7945)</f>
        <v>294.7945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IFERROR(__xludf.DUMMYFUNCTION("""COMPUTED_VALUE"""),295.4739314)</f>
        <v>295.4739314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IFERROR(__xludf.DUMMYFUNCTION("""COMPUTED_VALUE"""),295.4588175)</f>
        <v>295.4588175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IFERROR(__xludf.DUMMYFUNCTION("""COMPUTED_VALUE"""),295.405447)</f>
        <v>295.405447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IFERROR(__xludf.DUMMYFUNCTION("""COMPUTED_VALUE"""),295.46)</f>
        <v>295.46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IFERROR(__xludf.DUMMYFUNCTION("""COMPUTED_VALUE"""),292.71382)</f>
        <v>292.71382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IFERROR(__xludf.DUMMYFUNCTION("""COMPUTED_VALUE"""),295.2862)</f>
        <v>295.2862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IFERROR(__xludf.DUMMYFUNCTION("""COMPUTED_VALUE"""),297.415)</f>
        <v>297.415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IFERROR(__xludf.DUMMYFUNCTION("""COMPUTED_VALUE"""),288.64724)</f>
        <v>288.64724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IFERROR(__xludf.DUMMYFUNCTION("""COMPUTED_VALUE"""),296.7332545)</f>
        <v>296.7332545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IFERROR(__xludf.DUMMYFUNCTION("""COMPUTED_VALUE"""),289.103808)</f>
        <v>289.103808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IFERROR(__xludf.DUMMYFUNCTION("""COMPUTED_VALUE"""),292.8890955)</f>
        <v>292.8890955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IFERROR(__xludf.DUMMYFUNCTION("""COMPUTED_VALUE"""),288.384928)</f>
        <v>288.384928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IFERROR(__xludf.DUMMYFUNCTION("""COMPUTED_VALUE"""),288.90884)</f>
        <v>288.90884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IFERROR(__xludf.DUMMYFUNCTION("""COMPUTED_VALUE"""),295.809363)</f>
        <v>295.809363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IFERROR(__xludf.DUMMYFUNCTION("""COMPUTED_VALUE"""),287.804748)</f>
        <v>287.804748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IFERROR(__xludf.DUMMYFUNCTION("""COMPUTED_VALUE"""),296.2351105)</f>
        <v>296.2351105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IFERROR(__xludf.DUMMYFUNCTION("""COMPUTED_VALUE"""),290.381775)</f>
        <v>290.381775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IFERROR(__xludf.DUMMYFUNCTION("""COMPUTED_VALUE"""),295.731072)</f>
        <v>295.731072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IFERROR(__xludf.DUMMYFUNCTION("""COMPUTED_VALUE"""),288.415179)</f>
        <v>288.415179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IFERROR(__xludf.DUMMYFUNCTION("""COMPUTED_VALUE"""),293.911222)</f>
        <v>293.911222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IFERROR(__xludf.DUMMYFUNCTION("""COMPUTED_VALUE"""),289.41523)</f>
        <v>289.41523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IFERROR(__xludf.DUMMYFUNCTION("""COMPUTED_VALUE"""),289.628955)</f>
        <v>289.628955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IFERROR(__xludf.DUMMYFUNCTION("""COMPUTED_VALUE"""),288.658674)</f>
        <v>288.658674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IFERROR(__xludf.DUMMYFUNCTION("""COMPUTED_VALUE"""),294.5496)</f>
        <v>294.5496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IFERROR(__xludf.DUMMYFUNCTION("""COMPUTED_VALUE"""),295.811744)</f>
        <v>295.811744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IFERROR(__xludf.DUMMYFUNCTION("""COMPUTED_VALUE"""),289.123531)</f>
        <v>289.123531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IFERROR(__xludf.DUMMYFUNCTION("""COMPUTED_VALUE"""),296.5694568)</f>
        <v>296.5694568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IFERROR(__xludf.DUMMYFUNCTION("""COMPUTED_VALUE"""),292.98984)</f>
        <v>292.98984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IFERROR(__xludf.DUMMYFUNCTION("""COMPUTED_VALUE"""),294.13549)</f>
        <v>294.13549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IFERROR(__xludf.DUMMYFUNCTION("""COMPUTED_VALUE"""),293.8635)</f>
        <v>293.8635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IFERROR(__xludf.DUMMYFUNCTION("""COMPUTED_VALUE"""),294.722)</f>
        <v>294.722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IFERROR(__xludf.DUMMYFUNCTION("""COMPUTED_VALUE"""),295.36608)</f>
        <v>295.36608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IFERROR(__xludf.DUMMYFUNCTION("""COMPUTED_VALUE"""),288.225216)</f>
        <v>288.225216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IFERROR(__xludf.DUMMYFUNCTION("""COMPUTED_VALUE"""),294.898752)</f>
        <v>294.898752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IFERROR(__xludf.DUMMYFUNCTION("""COMPUTED_VALUE"""),293.94)</f>
        <v>293.94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IFERROR(__xludf.DUMMYFUNCTION("""COMPUTED_VALUE"""),294.386775)</f>
        <v>294.386775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IFERROR(__xludf.DUMMYFUNCTION("""COMPUTED_VALUE"""),292.7655145)</f>
        <v>292.7655145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IFERROR(__xludf.DUMMYFUNCTION("""COMPUTED_VALUE"""),292.8201)</f>
        <v>292.8201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IFERROR(__xludf.DUMMYFUNCTION("""COMPUTED_VALUE"""),291.975)</f>
        <v>291.975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IFERROR(__xludf.DUMMYFUNCTION("""COMPUTED_VALUE"""),288.52468)</f>
        <v>288.52468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IFERROR(__xludf.DUMMYFUNCTION("""COMPUTED_VALUE"""),293.8197087)</f>
        <v>293.8197087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IFERROR(__xludf.DUMMYFUNCTION("""COMPUTED_VALUE"""),286.997875)</f>
        <v>286.997875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IFERROR(__xludf.DUMMYFUNCTION("""COMPUTED_VALUE"""),290.2015935)</f>
        <v>290.2015935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IFERROR(__xludf.DUMMYFUNCTION("""COMPUTED_VALUE"""),293.86005)</f>
        <v>293.86005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IFERROR(__xludf.DUMMYFUNCTION("""COMPUTED_VALUE"""),290.7105435)</f>
        <v>290.7105435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IFERROR(__xludf.DUMMYFUNCTION("""COMPUTED_VALUE"""),290.0928075)</f>
        <v>290.0928075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IFERROR(__xludf.DUMMYFUNCTION("""COMPUTED_VALUE"""),290.5579065)</f>
        <v>290.5579065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IFERROR(__xludf.DUMMYFUNCTION("""COMPUTED_VALUE"""),286.17029)</f>
        <v>286.17029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IFERROR(__xludf.DUMMYFUNCTION("""COMPUTED_VALUE"""),293.944167)</f>
        <v>293.944167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IFERROR(__xludf.DUMMYFUNCTION("""COMPUTED_VALUE"""),293.79924)</f>
        <v>293.79924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IFERROR(__xludf.DUMMYFUNCTION("""COMPUTED_VALUE"""),295.083108)</f>
        <v>295.083108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IFERROR(__xludf.DUMMYFUNCTION("""COMPUTED_VALUE"""),298.44892)</f>
        <v>298.44892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IFERROR(__xludf.DUMMYFUNCTION("""COMPUTED_VALUE"""),296.1676605)</f>
        <v>296.1676605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IFERROR(__xludf.DUMMYFUNCTION("""COMPUTED_VALUE"""),297.4449107)</f>
        <v>297.4449107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IFERROR(__xludf.DUMMYFUNCTION("""COMPUTED_VALUE"""),294.0640725)</f>
        <v>294.0640725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IFERROR(__xludf.DUMMYFUNCTION("""COMPUTED_VALUE"""),295.5504)</f>
        <v>295.5504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IFERROR(__xludf.DUMMYFUNCTION("""COMPUTED_VALUE"""),294.872942)</f>
        <v>294.872942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IFERROR(__xludf.DUMMYFUNCTION("""COMPUTED_VALUE"""),293.51788)</f>
        <v>293.51788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IFERROR(__xludf.DUMMYFUNCTION("""COMPUTED_VALUE"""),289.0897205)</f>
        <v>289.0897205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IFERROR(__xludf.DUMMYFUNCTION("""COMPUTED_VALUE"""),288.8358)</f>
        <v>288.8358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IFERROR(__xludf.DUMMYFUNCTION("""COMPUTED_VALUE"""),283.222184)</f>
        <v>283.222184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IFERROR(__xludf.DUMMYFUNCTION("""COMPUTED_VALUE"""),290.791944)</f>
        <v>290.791944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IFERROR(__xludf.DUMMYFUNCTION("""COMPUTED_VALUE"""),297.9148)</f>
        <v>297.9148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IFERROR(__xludf.DUMMYFUNCTION("""COMPUTED_VALUE"""),293.2400035)</f>
        <v>293.2400035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IFERROR(__xludf.DUMMYFUNCTION("""COMPUTED_VALUE"""),289.634571)</f>
        <v>289.634571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IFERROR(__xludf.DUMMYFUNCTION("""COMPUTED_VALUE"""),293.018598)</f>
        <v>293.018598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IFERROR(__xludf.DUMMYFUNCTION("""COMPUTED_VALUE"""),286.024973)</f>
        <v>286.024973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IFERROR(__xludf.DUMMYFUNCTION("""COMPUTED_VALUE"""),294.836956)</f>
        <v>294.836956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IFERROR(__xludf.DUMMYFUNCTION("""COMPUTED_VALUE"""),285.497576)</f>
        <v>285.497576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IFERROR(__xludf.DUMMYFUNCTION("""COMPUTED_VALUE"""),287.2986605)</f>
        <v>287.2986605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IFERROR(__xludf.DUMMYFUNCTION("""COMPUTED_VALUE"""),284.00868)</f>
        <v>284.00868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IFERROR(__xludf.DUMMYFUNCTION("""COMPUTED_VALUE"""),292.064943)</f>
        <v>292.064943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IFERROR(__xludf.DUMMYFUNCTION("""COMPUTED_VALUE"""),292.2143)</f>
        <v>292.2143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IFERROR(__xludf.DUMMYFUNCTION("""COMPUTED_VALUE"""),290.5017425)</f>
        <v>290.5017425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IFERROR(__xludf.DUMMYFUNCTION("""COMPUTED_VALUE"""),296.2828604)</f>
        <v>296.2828604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IFERROR(__xludf.DUMMYFUNCTION("""COMPUTED_VALUE"""),290.6796915)</f>
        <v>290.6796915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IFERROR(__xludf.DUMMYFUNCTION("""COMPUTED_VALUE"""),292.739454)</f>
        <v>292.739454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IFERROR(__xludf.DUMMYFUNCTION("""COMPUTED_VALUE"""),288.35836)</f>
        <v>288.35836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IFERROR(__xludf.DUMMYFUNCTION("""COMPUTED_VALUE"""),292.123648)</f>
        <v>292.123648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IFERROR(__xludf.DUMMYFUNCTION("""COMPUTED_VALUE"""),293.240547)</f>
        <v>293.240547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IFERROR(__xludf.DUMMYFUNCTION("""COMPUTED_VALUE"""),293.970424)</f>
        <v>293.970424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IFERROR(__xludf.DUMMYFUNCTION("""COMPUTED_VALUE"""),286.509192)</f>
        <v>286.509192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IFERROR(__xludf.DUMMYFUNCTION("""COMPUTED_VALUE"""),295.1999704)</f>
        <v>295.1999704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IFERROR(__xludf.DUMMYFUNCTION("""COMPUTED_VALUE"""),294.201026)</f>
        <v>294.201026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IFERROR(__xludf.DUMMYFUNCTION("""COMPUTED_VALUE"""),294.9048)</f>
        <v>294.9048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IFERROR(__xludf.DUMMYFUNCTION("""COMPUTED_VALUE"""),292.011624)</f>
        <v>292.011624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IFERROR(__xludf.DUMMYFUNCTION("""COMPUTED_VALUE"""),290.9586015)</f>
        <v>290.9586015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IFERROR(__xludf.DUMMYFUNCTION("""COMPUTED_VALUE"""),295.236)</f>
        <v>295.236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IFERROR(__xludf.DUMMYFUNCTION("""COMPUTED_VALUE"""),284.90148)</f>
        <v>284.90148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IFERROR(__xludf.DUMMYFUNCTION("""COMPUTED_VALUE"""),294.5933375)</f>
        <v>294.5933375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IFERROR(__xludf.DUMMYFUNCTION("""COMPUTED_VALUE"""),295.431129)</f>
        <v>295.431129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IFERROR(__xludf.DUMMYFUNCTION("""COMPUTED_VALUE"""),293.110344)</f>
        <v>293.110344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IFERROR(__xludf.DUMMYFUNCTION("""COMPUTED_VALUE"""),293.9608335)</f>
        <v>293.9608335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IFERROR(__xludf.DUMMYFUNCTION("""COMPUTED_VALUE"""),297.51456)</f>
        <v>297.51456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IFERROR(__xludf.DUMMYFUNCTION("""COMPUTED_VALUE"""),294.708988)</f>
        <v>294.708988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IFERROR(__xludf.DUMMYFUNCTION("""COMPUTED_VALUE"""),295.0617233)</f>
        <v>295.0617233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IFERROR(__xludf.DUMMYFUNCTION("""COMPUTED_VALUE"""),295.3221425)</f>
        <v>295.3221425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IFERROR(__xludf.DUMMYFUNCTION("""COMPUTED_VALUE"""),291.68608)</f>
        <v>291.68608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IFERROR(__xludf.DUMMYFUNCTION("""COMPUTED_VALUE"""),294.279135)</f>
        <v>294.279135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IFERROR(__xludf.DUMMYFUNCTION("""COMPUTED_VALUE"""),293.990121)</f>
        <v>293.990121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IFERROR(__xludf.DUMMYFUNCTION("""COMPUTED_VALUE"""),296.569776)</f>
        <v>296.569776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IFERROR(__xludf.DUMMYFUNCTION("""COMPUTED_VALUE"""),297.06345)</f>
        <v>297.06345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IFERROR(__xludf.DUMMYFUNCTION("""COMPUTED_VALUE"""),292.573204)</f>
        <v>292.573204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IFERROR(__xludf.DUMMYFUNCTION("""COMPUTED_VALUE"""),297.0488405)</f>
        <v>297.0488405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IFERROR(__xludf.DUMMYFUNCTION("""COMPUTED_VALUE"""),297.5729885)</f>
        <v>297.5729885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IFERROR(__xludf.DUMMYFUNCTION("""COMPUTED_VALUE"""),297.5827)</f>
        <v>297.5827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IFERROR(__xludf.DUMMYFUNCTION("""COMPUTED_VALUE"""),293.4572495)</f>
        <v>293.4572495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IFERROR(__xludf.DUMMYFUNCTION("""COMPUTED_VALUE"""),296.725946)</f>
        <v>296.725946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IFERROR(__xludf.DUMMYFUNCTION("""COMPUTED_VALUE"""),299.179868)</f>
        <v>299.179868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IFERROR(__xludf.DUMMYFUNCTION("""COMPUTED_VALUE"""),300.0895897)</f>
        <v>300.0895897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IFERROR(__xludf.DUMMYFUNCTION("""COMPUTED_VALUE"""),300.5160045)</f>
        <v>300.5160045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IFERROR(__xludf.DUMMYFUNCTION("""COMPUTED_VALUE"""),296.1122985)</f>
        <v>296.1122985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IFERROR(__xludf.DUMMYFUNCTION("""COMPUTED_VALUE"""),297.2830975)</f>
        <v>297.2830975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IFERROR(__xludf.DUMMYFUNCTION("""COMPUTED_VALUE"""),296.8737845)</f>
        <v>296.8737845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IFERROR(__xludf.DUMMYFUNCTION("""COMPUTED_VALUE"""),296.906643)</f>
        <v>296.906643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IFERROR(__xludf.DUMMYFUNCTION("""COMPUTED_VALUE"""),295.64052)</f>
        <v>295.64052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IFERROR(__xludf.DUMMYFUNCTION("""COMPUTED_VALUE"""),292.552861)</f>
        <v>292.552861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IFERROR(__xludf.DUMMYFUNCTION("""COMPUTED_VALUE"""),296.575956)</f>
        <v>296.575956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IFERROR(__xludf.DUMMYFUNCTION("""COMPUTED_VALUE"""),299.086843)</f>
        <v>299.086843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IFERROR(__xludf.DUMMYFUNCTION("""COMPUTED_VALUE"""),297.759754)</f>
        <v>297.759754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IFERROR(__xludf.DUMMYFUNCTION("""COMPUTED_VALUE"""),295.573982)</f>
        <v>295.573982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IFERROR(__xludf.DUMMYFUNCTION("""COMPUTED_VALUE"""),292.891232)</f>
        <v>292.891232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IFERROR(__xludf.DUMMYFUNCTION("""COMPUTED_VALUE"""),296.433544)</f>
        <v>296.433544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IFERROR(__xludf.DUMMYFUNCTION("""COMPUTED_VALUE"""),296.750475)</f>
        <v>296.750475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IFERROR(__xludf.DUMMYFUNCTION("""COMPUTED_VALUE"""),298.9038995)</f>
        <v>298.9038995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IFERROR(__xludf.DUMMYFUNCTION("""COMPUTED_VALUE"""),301.0667985)</f>
        <v>301.0667985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IFERROR(__xludf.DUMMYFUNCTION("""COMPUTED_VALUE"""),301.432525)</f>
        <v>301.432525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IFERROR(__xludf.DUMMYFUNCTION("""COMPUTED_VALUE"""),302.798712)</f>
        <v>302.798712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IFERROR(__xludf.DUMMYFUNCTION("""COMPUTED_VALUE"""),298.1825925)</f>
        <v>298.1825925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IFERROR(__xludf.DUMMYFUNCTION("""COMPUTED_VALUE"""),296.5935)</f>
        <v>296.5935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IFERROR(__xludf.DUMMYFUNCTION("""COMPUTED_VALUE"""),293.314096)</f>
        <v>293.314096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IFERROR(__xludf.DUMMYFUNCTION("""COMPUTED_VALUE"""),297.132752)</f>
        <v>297.132752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IFERROR(__xludf.DUMMYFUNCTION("""COMPUTED_VALUE"""),297.728132)</f>
        <v>297.728132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IFERROR(__xludf.DUMMYFUNCTION("""COMPUTED_VALUE"""),299.1471945)</f>
        <v>299.1471945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IFERROR(__xludf.DUMMYFUNCTION("""COMPUTED_VALUE"""),300.070776)</f>
        <v>300.070776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IFERROR(__xludf.DUMMYFUNCTION("""COMPUTED_VALUE"""),297.193148)</f>
        <v>297.193148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IFERROR(__xludf.DUMMYFUNCTION("""COMPUTED_VALUE"""),299.1025)</f>
        <v>299.1025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IFERROR(__xludf.DUMMYFUNCTION("""COMPUTED_VALUE"""),293.7858)</f>
        <v>293.7858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IFERROR(__xludf.DUMMYFUNCTION("""COMPUTED_VALUE"""),300.3639648)</f>
        <v>300.3639648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IFERROR(__xludf.DUMMYFUNCTION("""COMPUTED_VALUE"""),297.6528555)</f>
        <v>297.6528555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IFERROR(__xludf.DUMMYFUNCTION("""COMPUTED_VALUE"""),296.963339)</f>
        <v>296.963339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IFERROR(__xludf.DUMMYFUNCTION("""COMPUTED_VALUE"""),300.209)</f>
        <v>300.209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IFERROR(__xludf.DUMMYFUNCTION("""COMPUTED_VALUE"""),300.331948)</f>
        <v>300.331948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IFERROR(__xludf.DUMMYFUNCTION("""COMPUTED_VALUE"""),299.207752)</f>
        <v>299.207752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IFERROR(__xludf.DUMMYFUNCTION("""COMPUTED_VALUE"""),299.2740418)</f>
        <v>299.2740418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IFERROR(__xludf.DUMMYFUNCTION("""COMPUTED_VALUE"""),297.093675)</f>
        <v>297.093675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IFERROR(__xludf.DUMMYFUNCTION("""COMPUTED_VALUE"""),299.678184)</f>
        <v>299.678184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IFERROR(__xludf.DUMMYFUNCTION("""COMPUTED_VALUE"""),298.480324)</f>
        <v>298.480324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IFERROR(__xludf.DUMMYFUNCTION("""COMPUTED_VALUE"""),297.53115)</f>
        <v>297.53115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IFERROR(__xludf.DUMMYFUNCTION("""COMPUTED_VALUE"""),301.595865)</f>
        <v>301.595865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IFERROR(__xludf.DUMMYFUNCTION("""COMPUTED_VALUE"""),298.0488)</f>
        <v>298.0488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IFERROR(__xludf.DUMMYFUNCTION("""COMPUTED_VALUE"""),297.905664)</f>
        <v>297.905664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IFERROR(__xludf.DUMMYFUNCTION("""COMPUTED_VALUE"""),299.9090057)</f>
        <v>299.9090057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IFERROR(__xludf.DUMMYFUNCTION("""COMPUTED_VALUE"""),299.9090879)</f>
        <v>299.9090879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IFERROR(__xludf.DUMMYFUNCTION("""COMPUTED_VALUE"""),299.046)</f>
        <v>299.046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IFERROR(__xludf.DUMMYFUNCTION("""COMPUTED_VALUE"""),295.29966)</f>
        <v>295.29966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IFERROR(__xludf.DUMMYFUNCTION("""COMPUTED_VALUE"""),294.333552)</f>
        <v>294.333552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IFERROR(__xludf.DUMMYFUNCTION("""COMPUTED_VALUE"""),299.6142)</f>
        <v>299.6142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IFERROR(__xludf.DUMMYFUNCTION("""COMPUTED_VALUE"""),299.44885)</f>
        <v>299.44885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IFERROR(__xludf.DUMMYFUNCTION("""COMPUTED_VALUE"""),301.1839667)</f>
        <v>301.1839667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IFERROR(__xludf.DUMMYFUNCTION("""COMPUTED_VALUE"""),293.469248)</f>
        <v>293.469248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IFERROR(__xludf.DUMMYFUNCTION("""COMPUTED_VALUE"""),301.06845)</f>
        <v>301.06845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IFERROR(__xludf.DUMMYFUNCTION("""COMPUTED_VALUE"""),300.000978)</f>
        <v>300.000978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IFERROR(__xludf.DUMMYFUNCTION("""COMPUTED_VALUE"""),299.9923)</f>
        <v>299.9923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IFERROR(__xludf.DUMMYFUNCTION("""COMPUTED_VALUE"""),298.6974)</f>
        <v>298.6974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IFERROR(__xludf.DUMMYFUNCTION("""COMPUTED_VALUE"""),297.840192)</f>
        <v>297.840192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IFERROR(__xludf.DUMMYFUNCTION("""COMPUTED_VALUE"""),298.6326252)</f>
        <v>298.6326252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IFERROR(__xludf.DUMMYFUNCTION("""COMPUTED_VALUE"""),303.00698)</f>
        <v>303.00698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IFERROR(__xludf.DUMMYFUNCTION("""COMPUTED_VALUE"""),304.3456)</f>
        <v>304.3456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IFERROR(__xludf.DUMMYFUNCTION("""COMPUTED_VALUE"""),306.946)</f>
        <v>306.946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IFERROR(__xludf.DUMMYFUNCTION("""COMPUTED_VALUE"""),306.7995)</f>
        <v>306.7995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IFERROR(__xludf.DUMMYFUNCTION("""COMPUTED_VALUE"""),300.39102)</f>
        <v>300.39102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IFERROR(__xludf.DUMMYFUNCTION("""COMPUTED_VALUE"""),299.560461)</f>
        <v>299.560461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IFERROR(__xludf.DUMMYFUNCTION("""COMPUTED_VALUE"""),300.9115677)</f>
        <v>300.9115677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IFERROR(__xludf.DUMMYFUNCTION("""COMPUTED_VALUE"""),302.844672)</f>
        <v>302.844672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IFERROR(__xludf.DUMMYFUNCTION("""COMPUTED_VALUE"""),301.9403)</f>
        <v>301.9403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IFERROR(__xludf.DUMMYFUNCTION("""COMPUTED_VALUE"""),301.320945)</f>
        <v>301.320945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IFERROR(__xludf.DUMMYFUNCTION("""COMPUTED_VALUE"""),300.28365)</f>
        <v>300.28365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IFERROR(__xludf.DUMMYFUNCTION("""COMPUTED_VALUE"""),299.1099)</f>
        <v>299.1099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IFERROR(__xludf.DUMMYFUNCTION("""COMPUTED_VALUE"""),298.7308)</f>
        <v>298.7308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IFERROR(__xludf.DUMMYFUNCTION("""COMPUTED_VALUE"""),299.1031101)</f>
        <v>299.1031101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IFERROR(__xludf.DUMMYFUNCTION("""COMPUTED_VALUE"""),298.2848)</f>
        <v>298.2848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IFERROR(__xludf.DUMMYFUNCTION("""COMPUTED_VALUE"""),299.91384)</f>
        <v>299.91384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IFERROR(__xludf.DUMMYFUNCTION("""COMPUTED_VALUE"""),305.548256)</f>
        <v>305.548256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IFERROR(__xludf.DUMMYFUNCTION("""COMPUTED_VALUE"""),298.471914)</f>
        <v>298.471914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IFERROR(__xludf.DUMMYFUNCTION("""COMPUTED_VALUE"""),302.086145)</f>
        <v>302.086145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IFERROR(__xludf.DUMMYFUNCTION("""COMPUTED_VALUE"""),300.69768)</f>
        <v>300.69768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IFERROR(__xludf.DUMMYFUNCTION("""COMPUTED_VALUE"""),302.700267)</f>
        <v>302.700267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IFERROR(__xludf.DUMMYFUNCTION("""COMPUTED_VALUE"""),301.99752)</f>
        <v>301.99752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IFERROR(__xludf.DUMMYFUNCTION("""COMPUTED_VALUE"""),301.073288)</f>
        <v>301.073288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IFERROR(__xludf.DUMMYFUNCTION("""COMPUTED_VALUE"""),303.4342)</f>
        <v>303.4342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IFERROR(__xludf.DUMMYFUNCTION("""COMPUTED_VALUE"""),303.344968)</f>
        <v>303.344968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IFERROR(__xludf.DUMMYFUNCTION("""COMPUTED_VALUE"""),303.191065)</f>
        <v>303.191065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IFERROR(__xludf.DUMMYFUNCTION("""COMPUTED_VALUE"""),300.966251)</f>
        <v>300.966251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IFERROR(__xludf.DUMMYFUNCTION("""COMPUTED_VALUE"""),302.7802398)</f>
        <v>302.7802398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IFERROR(__xludf.DUMMYFUNCTION("""COMPUTED_VALUE"""),305.0068)</f>
        <v>305.0068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IFERROR(__xludf.DUMMYFUNCTION("""COMPUTED_VALUE"""),305.0488)</f>
        <v>305.0488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IFERROR(__xludf.DUMMYFUNCTION("""COMPUTED_VALUE"""),299.1807)</f>
        <v>299.1807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IFERROR(__xludf.DUMMYFUNCTION("""COMPUTED_VALUE"""),303.0124)</f>
        <v>303.0124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IFERROR(__xludf.DUMMYFUNCTION("""COMPUTED_VALUE"""),302.56875)</f>
        <v>302.56875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IFERROR(__xludf.DUMMYFUNCTION("""COMPUTED_VALUE"""),302.56875)</f>
        <v>302.56875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IFERROR(__xludf.DUMMYFUNCTION("""COMPUTED_VALUE"""),303.28595)</f>
        <v>303.28595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IFERROR(__xludf.DUMMYFUNCTION("""COMPUTED_VALUE"""),301.4424)</f>
        <v>301.4424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IFERROR(__xludf.DUMMYFUNCTION("""COMPUTED_VALUE"""),302.7827)</f>
        <v>302.7827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IFERROR(__xludf.DUMMYFUNCTION("""COMPUTED_VALUE"""),300.5838)</f>
        <v>300.5838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IFERROR(__xludf.DUMMYFUNCTION("""COMPUTED_VALUE"""),306.1282)</f>
        <v>306.1282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IFERROR(__xludf.DUMMYFUNCTION("""COMPUTED_VALUE"""),304.66152)</f>
        <v>304.66152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IFERROR(__xludf.DUMMYFUNCTION("""COMPUTED_VALUE"""),304.08132)</f>
        <v>304.08132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IFERROR(__xludf.DUMMYFUNCTION("""COMPUTED_VALUE"""),305.967792)</f>
        <v>305.967792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IFERROR(__xludf.DUMMYFUNCTION("""COMPUTED_VALUE"""),302.253204)</f>
        <v>302.253204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IFERROR(__xludf.DUMMYFUNCTION("""COMPUTED_VALUE"""),306.3879)</f>
        <v>306.3879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IFERROR(__xludf.DUMMYFUNCTION("""COMPUTED_VALUE"""),306.3656)</f>
        <v>306.3656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IFERROR(__xludf.DUMMYFUNCTION("""COMPUTED_VALUE"""),307.36)</f>
        <v>307.36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IFERROR(__xludf.DUMMYFUNCTION("""COMPUTED_VALUE"""),306.5464)</f>
        <v>306.5464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IFERROR(__xludf.DUMMYFUNCTION("""COMPUTED_VALUE"""),305.898719)</f>
        <v>305.898719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IFERROR(__xludf.DUMMYFUNCTION("""COMPUTED_VALUE"""),307.7969128)</f>
        <v>307.7969128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IFERROR(__xludf.DUMMYFUNCTION("""COMPUTED_VALUE"""),308.1132)</f>
        <v>308.1132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IFERROR(__xludf.DUMMYFUNCTION("""COMPUTED_VALUE"""),305.2695)</f>
        <v>305.2695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IFERROR(__xludf.DUMMYFUNCTION("""COMPUTED_VALUE"""),303.637)</f>
        <v>303.637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IFERROR(__xludf.DUMMYFUNCTION("""COMPUTED_VALUE"""),306.9645)</f>
        <v>306.9645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IFERROR(__xludf.DUMMYFUNCTION("""COMPUTED_VALUE"""),306.6023)</f>
        <v>306.6023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IFERROR(__xludf.DUMMYFUNCTION("""COMPUTED_VALUE"""),306.69285)</f>
        <v>306.69285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IFERROR(__xludf.DUMMYFUNCTION("""COMPUTED_VALUE"""),306.51175)</f>
        <v>306.51175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IFERROR(__xludf.DUMMYFUNCTION("""COMPUTED_VALUE"""),309.65974)</f>
        <v>309.65974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IFERROR(__xludf.DUMMYFUNCTION("""COMPUTED_VALUE"""),308.4516)</f>
        <v>308.4516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IFERROR(__xludf.DUMMYFUNCTION("""COMPUTED_VALUE"""),307.6181)</f>
        <v>307.6181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IFERROR(__xludf.DUMMYFUNCTION("""COMPUTED_VALUE"""),309.11475)</f>
        <v>309.11475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IFERROR(__xludf.DUMMYFUNCTION("""COMPUTED_VALUE"""),306.4743)</f>
        <v>306.4743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IFERROR(__xludf.DUMMYFUNCTION("""COMPUTED_VALUE"""),307.9597158)</f>
        <v>307.9597158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IFERROR(__xludf.DUMMYFUNCTION("""COMPUTED_VALUE"""),307.398267)</f>
        <v>307.398267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IFERROR(__xludf.DUMMYFUNCTION("""COMPUTED_VALUE"""),310.24801)</f>
        <v>310.24801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IFERROR(__xludf.DUMMYFUNCTION("""COMPUTED_VALUE"""),308.6954)</f>
        <v>308.6954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IFERROR(__xludf.DUMMYFUNCTION("""COMPUTED_VALUE"""),308.97636)</f>
        <v>308.97636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IFERROR(__xludf.DUMMYFUNCTION("""COMPUTED_VALUE"""),310.53407)</f>
        <v>310.53407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IFERROR(__xludf.DUMMYFUNCTION("""COMPUTED_VALUE"""),310.219)</f>
        <v>310.219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IFERROR(__xludf.DUMMYFUNCTION("""COMPUTED_VALUE"""),309.83601)</f>
        <v>309.83601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IFERROR(__xludf.DUMMYFUNCTION("""COMPUTED_VALUE"""),311.0832)</f>
        <v>311.0832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IFERROR(__xludf.DUMMYFUNCTION("""COMPUTED_VALUE"""),310.2866)</f>
        <v>310.2866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IFERROR(__xludf.DUMMYFUNCTION("""COMPUTED_VALUE"""),310.7471)</f>
        <v>310.7471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IFERROR(__xludf.DUMMYFUNCTION("""COMPUTED_VALUE"""),308.7352)</f>
        <v>308.7352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IFERROR(__xludf.DUMMYFUNCTION("""COMPUTED_VALUE"""),312.8346)</f>
        <v>312.8346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IFERROR(__xludf.DUMMYFUNCTION("""COMPUTED_VALUE"""),310.1984)</f>
        <v>310.1984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IFERROR(__xludf.DUMMYFUNCTION("""COMPUTED_VALUE"""),303.77056)</f>
        <v>303.77056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IFERROR(__xludf.DUMMYFUNCTION("""COMPUTED_VALUE"""),310.551)</f>
        <v>310.551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IFERROR(__xludf.DUMMYFUNCTION("""COMPUTED_VALUE"""),311.7405)</f>
        <v>311.7405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IFERROR(__xludf.DUMMYFUNCTION("""COMPUTED_VALUE"""),308.538)</f>
        <v>308.538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IFERROR(__xludf.DUMMYFUNCTION("""COMPUTED_VALUE"""),308.904)</f>
        <v>308.904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IFERROR(__xludf.DUMMYFUNCTION("""COMPUTED_VALUE"""),310.185)</f>
        <v>310.185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IFERROR(__xludf.DUMMYFUNCTION("""COMPUTED_VALUE"""),309.168)</f>
        <v>309.168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IFERROR(__xludf.DUMMYFUNCTION("""COMPUTED_VALUE"""),308.98792)</f>
        <v>308.98792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IFERROR(__xludf.DUMMYFUNCTION("""COMPUTED_VALUE"""),311.5490089)</f>
        <v>311.5490089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IFERROR(__xludf.DUMMYFUNCTION("""COMPUTED_VALUE"""),308.73548)</f>
        <v>308.73548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IFERROR(__xludf.DUMMYFUNCTION("""COMPUTED_VALUE"""),307.24368)</f>
        <v>307.24368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IFERROR(__xludf.DUMMYFUNCTION("""COMPUTED_VALUE"""),309.51737)</f>
        <v>309.51737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IFERROR(__xludf.DUMMYFUNCTION("""COMPUTED_VALUE"""),307.7998)</f>
        <v>307.7998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IFERROR(__xludf.DUMMYFUNCTION("""COMPUTED_VALUE"""),312.435396)</f>
        <v>312.435396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IFERROR(__xludf.DUMMYFUNCTION("""COMPUTED_VALUE"""),307.883872)</f>
        <v>307.883872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IFERROR(__xludf.DUMMYFUNCTION("""COMPUTED_VALUE"""),308.25405)</f>
        <v>308.25405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IFERROR(__xludf.DUMMYFUNCTION("""COMPUTED_VALUE"""),311.151)</f>
        <v>311.151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IFERROR(__xludf.DUMMYFUNCTION("""COMPUTED_VALUE"""),309.87663)</f>
        <v>309.87663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IFERROR(__xludf.DUMMYFUNCTION("""COMPUTED_VALUE"""),308.96173)</f>
        <v>308.96173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IFERROR(__xludf.DUMMYFUNCTION("""COMPUTED_VALUE"""),310.79153)</f>
        <v>310.79153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IFERROR(__xludf.DUMMYFUNCTION("""COMPUTED_VALUE"""),306.90205)</f>
        <v>306.90205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IFERROR(__xludf.DUMMYFUNCTION("""COMPUTED_VALUE"""),304.096047)</f>
        <v>304.096047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IFERROR(__xludf.DUMMYFUNCTION("""COMPUTED_VALUE"""),307.467918)</f>
        <v>307.467918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IFERROR(__xludf.DUMMYFUNCTION("""COMPUTED_VALUE"""),312.82635)</f>
        <v>312.82635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IFERROR(__xludf.DUMMYFUNCTION("""COMPUTED_VALUE"""),310.3545)</f>
        <v>310.3545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IFERROR(__xludf.DUMMYFUNCTION("""COMPUTED_VALUE"""),310.99535)</f>
        <v>310.99535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IFERROR(__xludf.DUMMYFUNCTION("""COMPUTED_VALUE"""),310.96138)</f>
        <v>310.96138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IFERROR(__xludf.DUMMYFUNCTION("""COMPUTED_VALUE"""),311.05292)</f>
        <v>311.05292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IFERROR(__xludf.DUMMYFUNCTION("""COMPUTED_VALUE"""),312.6034953)</f>
        <v>312.6034953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IFERROR(__xludf.DUMMYFUNCTION("""COMPUTED_VALUE"""),310.337178)</f>
        <v>310.337178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IFERROR(__xludf.DUMMYFUNCTION("""COMPUTED_VALUE"""),311.26711)</f>
        <v>311.26711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IFERROR(__xludf.DUMMYFUNCTION("""COMPUTED_VALUE"""),311.72526)</f>
        <v>311.72526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IFERROR(__xludf.DUMMYFUNCTION("""COMPUTED_VALUE"""),311.26711)</f>
        <v>311.26711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IFERROR(__xludf.DUMMYFUNCTION("""COMPUTED_VALUE"""),311.602501)</f>
        <v>311.602501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IFERROR(__xludf.DUMMYFUNCTION("""COMPUTED_VALUE"""),315.0890955)</f>
        <v>315.0890955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IFERROR(__xludf.DUMMYFUNCTION("""COMPUTED_VALUE"""),314.6139544)</f>
        <v>314.6139544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IFERROR(__xludf.DUMMYFUNCTION("""COMPUTED_VALUE"""),314.813427)</f>
        <v>314.813427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IFERROR(__xludf.DUMMYFUNCTION("""COMPUTED_VALUE"""),315.010403)</f>
        <v>315.010403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IFERROR(__xludf.DUMMYFUNCTION("""COMPUTED_VALUE"""),314.1762)</f>
        <v>314.1762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IFERROR(__xludf.DUMMYFUNCTION("""COMPUTED_VALUE"""),313.9929)</f>
        <v>313.9929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IFERROR(__xludf.DUMMYFUNCTION("""COMPUTED_VALUE"""),313.193496)</f>
        <v>313.193496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IFERROR(__xludf.DUMMYFUNCTION("""COMPUTED_VALUE"""),308.400144)</f>
        <v>308.400144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IFERROR(__xludf.DUMMYFUNCTION("""COMPUTED_VALUE"""),305.989832)</f>
        <v>305.989832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IFERROR(__xludf.DUMMYFUNCTION("""COMPUTED_VALUE"""),313.2472)</f>
        <v>313.2472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IFERROR(__xludf.DUMMYFUNCTION("""COMPUTED_VALUE"""),311.73566)</f>
        <v>311.73566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IFERROR(__xludf.DUMMYFUNCTION("""COMPUTED_VALUE"""),312.78135)</f>
        <v>312.78135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IFERROR(__xludf.DUMMYFUNCTION("""COMPUTED_VALUE"""),312.3302)</f>
        <v>312.3302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IFERROR(__xludf.DUMMYFUNCTION("""COMPUTED_VALUE"""),311.94651)</f>
        <v>311.94651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IFERROR(__xludf.DUMMYFUNCTION("""COMPUTED_VALUE"""),311.827615)</f>
        <v>311.827615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IFERROR(__xludf.DUMMYFUNCTION("""COMPUTED_VALUE"""),310.78515)</f>
        <v>310.78515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IFERROR(__xludf.DUMMYFUNCTION("""COMPUTED_VALUE"""),311.69012)</f>
        <v>311.69012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IFERROR(__xludf.DUMMYFUNCTION("""COMPUTED_VALUE"""),310.3968)</f>
        <v>310.3968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IFERROR(__xludf.DUMMYFUNCTION("""COMPUTED_VALUE"""),312.33678)</f>
        <v>312.33678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IFERROR(__xludf.DUMMYFUNCTION("""COMPUTED_VALUE"""),311.5346)</f>
        <v>311.5346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IFERROR(__xludf.DUMMYFUNCTION("""COMPUTED_VALUE"""),313.535924)</f>
        <v>313.535924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IFERROR(__xludf.DUMMYFUNCTION("""COMPUTED_VALUE"""),306.466464)</f>
        <v>306.466464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IFERROR(__xludf.DUMMYFUNCTION("""COMPUTED_VALUE"""),315.4916223)</f>
        <v>315.4916223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IFERROR(__xludf.DUMMYFUNCTION("""COMPUTED_VALUE"""),313.79985)</f>
        <v>313.79985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IFERROR(__xludf.DUMMYFUNCTION("""COMPUTED_VALUE"""),309.9165)</f>
        <v>309.9165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IFERROR(__xludf.DUMMYFUNCTION("""COMPUTED_VALUE"""),311.1531)</f>
        <v>311.1531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IFERROR(__xludf.DUMMYFUNCTION("""COMPUTED_VALUE"""),311.7084)</f>
        <v>311.7084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IFERROR(__xludf.DUMMYFUNCTION("""COMPUTED_VALUE"""),311.02605)</f>
        <v>311.02605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IFERROR(__xludf.DUMMYFUNCTION("""COMPUTED_VALUE"""),312.6629098)</f>
        <v>312.6629098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IFERROR(__xludf.DUMMYFUNCTION("""COMPUTED_VALUE"""),313.358563)</f>
        <v>313.358563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IFERROR(__xludf.DUMMYFUNCTION("""COMPUTED_VALUE"""),311.6746)</f>
        <v>311.6746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IFERROR(__xludf.DUMMYFUNCTION("""COMPUTED_VALUE"""),314.5509)</f>
        <v>314.5509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IFERROR(__xludf.DUMMYFUNCTION("""COMPUTED_VALUE"""),314.4822)</f>
        <v>314.4822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IFERROR(__xludf.DUMMYFUNCTION("""COMPUTED_VALUE"""),313.3125)</f>
        <v>313.3125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IFERROR(__xludf.DUMMYFUNCTION("""COMPUTED_VALUE"""),315.65625)</f>
        <v>315.65625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IFERROR(__xludf.DUMMYFUNCTION("""COMPUTED_VALUE"""),317.0593548)</f>
        <v>317.0593548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IFERROR(__xludf.DUMMYFUNCTION("""COMPUTED_VALUE"""),315.6999435)</f>
        <v>315.6999435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IFERROR(__xludf.DUMMYFUNCTION("""COMPUTED_VALUE"""),313.78125)</f>
        <v>313.78125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IFERROR(__xludf.DUMMYFUNCTION("""COMPUTED_VALUE"""),313.2252)</f>
        <v>313.2252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IFERROR(__xludf.DUMMYFUNCTION("""COMPUTED_VALUE"""),312.1965)</f>
        <v>312.1965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IFERROR(__xludf.DUMMYFUNCTION("""COMPUTED_VALUE"""),312.6441)</f>
        <v>312.6441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IFERROR(__xludf.DUMMYFUNCTION("""COMPUTED_VALUE"""),313.7472)</f>
        <v>313.7472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IFERROR(__xludf.DUMMYFUNCTION("""COMPUTED_VALUE"""),306.932584)</f>
        <v>306.932584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IFERROR(__xludf.DUMMYFUNCTION("""COMPUTED_VALUE"""),317.8682565)</f>
        <v>317.8682565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IFERROR(__xludf.DUMMYFUNCTION("""COMPUTED_VALUE"""),311.3222)</f>
        <v>311.3222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IFERROR(__xludf.DUMMYFUNCTION("""COMPUTED_VALUE"""),314.127)</f>
        <v>314.127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IFERROR(__xludf.DUMMYFUNCTION("""COMPUTED_VALUE"""),314.7325)</f>
        <v>314.7325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IFERROR(__xludf.DUMMYFUNCTION("""COMPUTED_VALUE"""),314.82645)</f>
        <v>314.82645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IFERROR(__xludf.DUMMYFUNCTION("""COMPUTED_VALUE"""),313.7275)</f>
        <v>313.7275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IFERROR(__xludf.DUMMYFUNCTION("""COMPUTED_VALUE"""),311.22257)</f>
        <v>311.22257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IFERROR(__xludf.DUMMYFUNCTION("""COMPUTED_VALUE"""),323.1800745)</f>
        <v>323.1800745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IFERROR(__xludf.DUMMYFUNCTION("""COMPUTED_VALUE"""),311.785236)</f>
        <v>311.785236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IFERROR(__xludf.DUMMYFUNCTION("""COMPUTED_VALUE"""),315.683186)</f>
        <v>315.683186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IFERROR(__xludf.DUMMYFUNCTION("""COMPUTED_VALUE"""),314.481147)</f>
        <v>314.481147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IFERROR(__xludf.DUMMYFUNCTION("""COMPUTED_VALUE"""),311.324688)</f>
        <v>311.324688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IFERROR(__xludf.DUMMYFUNCTION("""COMPUTED_VALUE"""),314.58246)</f>
        <v>314.58246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IFERROR(__xludf.DUMMYFUNCTION("""COMPUTED_VALUE"""),311.57466)</f>
        <v>311.57466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IFERROR(__xludf.DUMMYFUNCTION("""COMPUTED_VALUE"""),314.644583)</f>
        <v>314.644583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IFERROR(__xludf.DUMMYFUNCTION("""COMPUTED_VALUE"""),314.49891)</f>
        <v>314.49891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IFERROR(__xludf.DUMMYFUNCTION("""COMPUTED_VALUE"""),314.112476)</f>
        <v>314.112476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IFERROR(__xludf.DUMMYFUNCTION("""COMPUTED_VALUE"""),314.081064)</f>
        <v>314.081064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IFERROR(__xludf.DUMMYFUNCTION("""COMPUTED_VALUE"""),314.824224)</f>
        <v>314.824224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IFERROR(__xludf.DUMMYFUNCTION("""COMPUTED_VALUE"""),315.88896)</f>
        <v>315.88896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IFERROR(__xludf.DUMMYFUNCTION("""COMPUTED_VALUE"""),315.88896)</f>
        <v>315.88896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IFERROR(__xludf.DUMMYFUNCTION("""COMPUTED_VALUE"""),317.4199334)</f>
        <v>317.4199334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IFERROR(__xludf.DUMMYFUNCTION("""COMPUTED_VALUE"""),313.0923565)</f>
        <v>313.0923565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IFERROR(__xludf.DUMMYFUNCTION("""COMPUTED_VALUE"""),312.45786)</f>
        <v>312.45786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IFERROR(__xludf.DUMMYFUNCTION("""COMPUTED_VALUE"""),311.785461)</f>
        <v>311.785461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IFERROR(__xludf.DUMMYFUNCTION("""COMPUTED_VALUE"""),310.169686)</f>
        <v>310.169686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IFERROR(__xludf.DUMMYFUNCTION("""COMPUTED_VALUE"""),312.36189)</f>
        <v>312.36189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IFERROR(__xludf.DUMMYFUNCTION("""COMPUTED_VALUE"""),308.428008)</f>
        <v>308.428008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IFERROR(__xludf.DUMMYFUNCTION("""COMPUTED_VALUE"""),312.8118035)</f>
        <v>312.8118035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IFERROR(__xludf.DUMMYFUNCTION("""COMPUTED_VALUE"""),313.171488)</f>
        <v>313.171488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IFERROR(__xludf.DUMMYFUNCTION("""COMPUTED_VALUE"""),312.785408)</f>
        <v>312.785408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IFERROR(__xludf.DUMMYFUNCTION("""COMPUTED_VALUE"""),312.584371)</f>
        <v>312.584371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IFERROR(__xludf.DUMMYFUNCTION("""COMPUTED_VALUE"""),313.876096)</f>
        <v>313.876096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IFERROR(__xludf.DUMMYFUNCTION("""COMPUTED_VALUE"""),315.57627)</f>
        <v>315.57627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IFERROR(__xludf.DUMMYFUNCTION("""COMPUTED_VALUE"""),315.48204)</f>
        <v>315.48204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IFERROR(__xludf.DUMMYFUNCTION("""COMPUTED_VALUE"""),317.3295129)</f>
        <v>317.3295129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IFERROR(__xludf.DUMMYFUNCTION("""COMPUTED_VALUE"""),315.862659)</f>
        <v>315.862659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IFERROR(__xludf.DUMMYFUNCTION("""COMPUTED_VALUE"""),314.193222)</f>
        <v>314.193222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IFERROR(__xludf.DUMMYFUNCTION("""COMPUTED_VALUE"""),315.06555)</f>
        <v>315.06555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IFERROR(__xludf.DUMMYFUNCTION("""COMPUTED_VALUE"""),313.861944)</f>
        <v>313.861944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IFERROR(__xludf.DUMMYFUNCTION("""COMPUTED_VALUE"""),312.25025)</f>
        <v>312.25025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IFERROR(__xludf.DUMMYFUNCTION("""COMPUTED_VALUE"""),312.3445)</f>
        <v>312.3445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IFERROR(__xludf.DUMMYFUNCTION("""COMPUTED_VALUE"""),313.0805361)</f>
        <v>313.0805361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IFERROR(__xludf.DUMMYFUNCTION("""COMPUTED_VALUE"""),313.15952)</f>
        <v>313.15952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IFERROR(__xludf.DUMMYFUNCTION("""COMPUTED_VALUE"""),312.210768)</f>
        <v>312.210768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IFERROR(__xludf.DUMMYFUNCTION("""COMPUTED_VALUE"""),313.66713)</f>
        <v>313.66713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IFERROR(__xludf.DUMMYFUNCTION("""COMPUTED_VALUE"""),315.138576)</f>
        <v>315.138576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IFERROR(__xludf.DUMMYFUNCTION("""COMPUTED_VALUE"""),313.8304)</f>
        <v>313.8304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IFERROR(__xludf.DUMMYFUNCTION("""COMPUTED_VALUE"""),315.3554174)</f>
        <v>315.3554174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IFERROR(__xludf.DUMMYFUNCTION("""COMPUTED_VALUE"""),313.4532)</f>
        <v>313.4532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IFERROR(__xludf.DUMMYFUNCTION("""COMPUTED_VALUE"""),313.63072)</f>
        <v>313.63072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IFERROR(__xludf.DUMMYFUNCTION("""COMPUTED_VALUE"""),315.194112)</f>
        <v>315.194112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IFERROR(__xludf.DUMMYFUNCTION("""COMPUTED_VALUE"""),312.404194)</f>
        <v>312.404194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IFERROR(__xludf.DUMMYFUNCTION("""COMPUTED_VALUE"""),312.507072)</f>
        <v>312.507072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IFERROR(__xludf.DUMMYFUNCTION("""COMPUTED_VALUE"""),317.85138)</f>
        <v>317.85138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IFERROR(__xludf.DUMMYFUNCTION("""COMPUTED_VALUE"""),317.444094)</f>
        <v>317.444094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IFERROR(__xludf.DUMMYFUNCTION("""COMPUTED_VALUE"""),319.5445908)</f>
        <v>319.5445908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IFERROR(__xludf.DUMMYFUNCTION("""COMPUTED_VALUE"""),316.24444)</f>
        <v>316.24444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IFERROR(__xludf.DUMMYFUNCTION("""COMPUTED_VALUE"""),316.0139)</f>
        <v>316.0139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IFERROR(__xludf.DUMMYFUNCTION("""COMPUTED_VALUE"""),315.29266)</f>
        <v>315.29266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IFERROR(__xludf.DUMMYFUNCTION("""COMPUTED_VALUE"""),315.042833)</f>
        <v>315.042833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IFERROR(__xludf.DUMMYFUNCTION("""COMPUTED_VALUE"""),315.762186)</f>
        <v>315.762186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IFERROR(__xludf.DUMMYFUNCTION("""COMPUTED_VALUE"""),316.01379)</f>
        <v>316.01379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IFERROR(__xludf.DUMMYFUNCTION("""COMPUTED_VALUE"""),316.736379)</f>
        <v>316.736379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IFERROR(__xludf.DUMMYFUNCTION("""COMPUTED_VALUE"""),315.30424)</f>
        <v>315.30424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IFERROR(__xludf.DUMMYFUNCTION("""COMPUTED_VALUE"""),314.565888)</f>
        <v>314.565888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IFERROR(__xludf.DUMMYFUNCTION("""COMPUTED_VALUE"""),315.555108)</f>
        <v>315.555108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IFERROR(__xludf.DUMMYFUNCTION("""COMPUTED_VALUE"""),317.352805)</f>
        <v>317.352805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IFERROR(__xludf.DUMMYFUNCTION("""COMPUTED_VALUE"""),314.8059)</f>
        <v>314.8059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IFERROR(__xludf.DUMMYFUNCTION("""COMPUTED_VALUE"""),314.8059)</f>
        <v>314.8059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IFERROR(__xludf.DUMMYFUNCTION("""COMPUTED_VALUE"""),315.7306365)</f>
        <v>315.7306365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IFERROR(__xludf.DUMMYFUNCTION("""COMPUTED_VALUE"""),316.133148)</f>
        <v>316.133148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IFERROR(__xludf.DUMMYFUNCTION("""COMPUTED_VALUE"""),318.024)</f>
        <v>318.024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IFERROR(__xludf.DUMMYFUNCTION("""COMPUTED_VALUE"""),316.378177)</f>
        <v>316.378177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IFERROR(__xludf.DUMMYFUNCTION("""COMPUTED_VALUE"""),316.158)</f>
        <v>316.158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IFERROR(__xludf.DUMMYFUNCTION("""COMPUTED_VALUE"""),315.9684)</f>
        <v>315.9684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IFERROR(__xludf.DUMMYFUNCTION("""COMPUTED_VALUE"""),317.8264859)</f>
        <v>317.8264859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IFERROR(__xludf.DUMMYFUNCTION("""COMPUTED_VALUE"""),315.94535)</f>
        <v>315.94535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IFERROR(__xludf.DUMMYFUNCTION("""COMPUTED_VALUE"""),317.938905)</f>
        <v>317.938905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IFERROR(__xludf.DUMMYFUNCTION("""COMPUTED_VALUE"""),317.38528)</f>
        <v>317.38528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IFERROR(__xludf.DUMMYFUNCTION("""COMPUTED_VALUE"""),317.026472)</f>
        <v>317.026472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IFERROR(__xludf.DUMMYFUNCTION("""COMPUTED_VALUE"""),318.0144)</f>
        <v>318.0144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IFERROR(__xludf.DUMMYFUNCTION("""COMPUTED_VALUE"""),317.9193)</f>
        <v>317.9193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IFERROR(__xludf.DUMMYFUNCTION("""COMPUTED_VALUE"""),318.848728)</f>
        <v>318.848728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IFERROR(__xludf.DUMMYFUNCTION("""COMPUTED_VALUE"""),318.81447)</f>
        <v>318.81447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IFERROR(__xludf.DUMMYFUNCTION("""COMPUTED_VALUE"""),319.429332)</f>
        <v>319.429332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IFERROR(__xludf.DUMMYFUNCTION("""COMPUTED_VALUE"""),320.754972)</f>
        <v>320.754972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IFERROR(__xludf.DUMMYFUNCTION("""COMPUTED_VALUE"""),319.991244)</f>
        <v>319.991244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IFERROR(__xludf.DUMMYFUNCTION("""COMPUTED_VALUE"""),324.53)</f>
        <v>324.53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IFERROR(__xludf.DUMMYFUNCTION("""COMPUTED_VALUE"""),324.329181)</f>
        <v>324.329181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IFERROR(__xludf.DUMMYFUNCTION("""COMPUTED_VALUE"""),326.4422868)</f>
        <v>326.4422868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IFERROR(__xludf.DUMMYFUNCTION("""COMPUTED_VALUE"""),321.204812)</f>
        <v>321.204812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IFERROR(__xludf.DUMMYFUNCTION("""COMPUTED_VALUE"""),323.769289)</f>
        <v>323.769289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IFERROR(__xludf.DUMMYFUNCTION("""COMPUTED_VALUE"""),321.910875)</f>
        <v>321.910875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IFERROR(__xludf.DUMMYFUNCTION("""COMPUTED_VALUE"""),324.376133)</f>
        <v>324.376133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IFERROR(__xludf.DUMMYFUNCTION("""COMPUTED_VALUE"""),324.1212)</f>
        <v>324.1212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IFERROR(__xludf.DUMMYFUNCTION("""COMPUTED_VALUE"""),318.216587)</f>
        <v>318.216587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IFERROR(__xludf.DUMMYFUNCTION("""COMPUTED_VALUE"""),330.3674746)</f>
        <v>330.3674746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IFERROR(__xludf.DUMMYFUNCTION("""COMPUTED_VALUE"""),321.87102)</f>
        <v>321.87102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IFERROR(__xludf.DUMMYFUNCTION("""COMPUTED_VALUE"""),322.000866)</f>
        <v>322.000866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IFERROR(__xludf.DUMMYFUNCTION("""COMPUTED_VALUE"""),324.722105)</f>
        <v>324.722105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IFERROR(__xludf.DUMMYFUNCTION("""COMPUTED_VALUE"""),324.33533)</f>
        <v>324.33533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IFERROR(__xludf.DUMMYFUNCTION("""COMPUTED_VALUE"""),324.4416)</f>
        <v>324.4416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IFERROR(__xludf.DUMMYFUNCTION("""COMPUTED_VALUE"""),324.4416)</f>
        <v>324.4416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IFERROR(__xludf.DUMMYFUNCTION("""COMPUTED_VALUE"""),326.1494232)</f>
        <v>326.1494232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IFERROR(__xludf.DUMMYFUNCTION("""COMPUTED_VALUE"""),325.08894)</f>
        <v>325.08894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IFERROR(__xludf.DUMMYFUNCTION("""COMPUTED_VALUE"""),325.04811)</f>
        <v>325.04811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IFERROR(__xludf.DUMMYFUNCTION("""COMPUTED_VALUE"""),325.177068)</f>
        <v>325.177068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IFERROR(__xludf.DUMMYFUNCTION("""COMPUTED_VALUE"""),326.207322)</f>
        <v>326.207322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IFERROR(__xludf.DUMMYFUNCTION("""COMPUTED_VALUE"""),324.1482)</f>
        <v>324.1482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IFERROR(__xludf.DUMMYFUNCTION("""COMPUTED_VALUE"""),324.1482)</f>
        <v>324.1482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IFERROR(__xludf.DUMMYFUNCTION("""COMPUTED_VALUE"""),324.612704)</f>
        <v>324.612704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IFERROR(__xludf.DUMMYFUNCTION("""COMPUTED_VALUE"""),325.67205)</f>
        <v>325.67205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IFERROR(__xludf.DUMMYFUNCTION("""COMPUTED_VALUE"""),326.16665)</f>
        <v>326.16665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IFERROR(__xludf.DUMMYFUNCTION("""COMPUTED_VALUE"""),326.333985)</f>
        <v>326.333985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IFERROR(__xludf.DUMMYFUNCTION("""COMPUTED_VALUE"""),328.239429)</f>
        <v>328.239429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IFERROR(__xludf.DUMMYFUNCTION("""COMPUTED_VALUE"""),328.14084)</f>
        <v>328.14084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IFERROR(__xludf.DUMMYFUNCTION("""COMPUTED_VALUE"""),329.9999788)</f>
        <v>329.9999788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IFERROR(__xludf.DUMMYFUNCTION("""COMPUTED_VALUE"""),322.384744)</f>
        <v>322.384744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IFERROR(__xludf.DUMMYFUNCTION("""COMPUTED_VALUE"""),326.610592)</f>
        <v>326.610592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IFERROR(__xludf.DUMMYFUNCTION("""COMPUTED_VALUE"""),325.1658)</f>
        <v>325.1658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IFERROR(__xludf.DUMMYFUNCTION("""COMPUTED_VALUE"""),325.797782)</f>
        <v>325.797782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IFERROR(__xludf.DUMMYFUNCTION("""COMPUTED_VALUE"""),326.845761)</f>
        <v>326.845761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IFERROR(__xludf.DUMMYFUNCTION("""COMPUTED_VALUE"""),326.80813)</f>
        <v>326.80813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IFERROR(__xludf.DUMMYFUNCTION("""COMPUTED_VALUE"""),326.90366)</f>
        <v>326.90366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IFERROR(__xludf.DUMMYFUNCTION("""COMPUTED_VALUE"""),327.54879)</f>
        <v>327.54879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IFERROR(__xludf.DUMMYFUNCTION("""COMPUTED_VALUE"""),326.97252)</f>
        <v>326.97252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IFERROR(__xludf.DUMMYFUNCTION("""COMPUTED_VALUE"""),329.572644)</f>
        <v>329.572644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IFERROR(__xludf.DUMMYFUNCTION("""COMPUTED_VALUE"""),327.24423)</f>
        <v>327.24423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IFERROR(__xludf.DUMMYFUNCTION("""COMPUTED_VALUE"""),326.357916)</f>
        <v>326.357916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IFERROR(__xludf.DUMMYFUNCTION("""COMPUTED_VALUE"""),326.55584)</f>
        <v>326.55584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IFERROR(__xludf.DUMMYFUNCTION("""COMPUTED_VALUE"""),326.316856)</f>
        <v>326.316856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IFERROR(__xludf.DUMMYFUNCTION("""COMPUTED_VALUE"""),327.294394)</f>
        <v>327.294394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IFERROR(__xludf.DUMMYFUNCTION("""COMPUTED_VALUE"""),327.21192)</f>
        <v>327.21192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IFERROR(__xludf.DUMMYFUNCTION("""COMPUTED_VALUE"""),326.22668)</f>
        <v>326.22668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IFERROR(__xludf.DUMMYFUNCTION("""COMPUTED_VALUE"""),327.745484)</f>
        <v>327.745484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IFERROR(__xludf.DUMMYFUNCTION("""COMPUTED_VALUE"""),326.247506)</f>
        <v>326.247506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IFERROR(__xludf.DUMMYFUNCTION("""COMPUTED_VALUE"""),328.0192)</f>
        <v>328.0192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IFERROR(__xludf.DUMMYFUNCTION("""COMPUTED_VALUE"""),328.115)</f>
        <v>328.115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IFERROR(__xludf.DUMMYFUNCTION("""COMPUTED_VALUE"""),328.3932405)</f>
        <v>328.3932405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IFERROR(__xludf.DUMMYFUNCTION("""COMPUTED_VALUE"""),327.389764)</f>
        <v>327.389764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IFERROR(__xludf.DUMMYFUNCTION("""COMPUTED_VALUE"""),328.604652)</f>
        <v>328.604652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IFERROR(__xludf.DUMMYFUNCTION("""COMPUTED_VALUE"""),326.92464)</f>
        <v>326.92464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IFERROR(__xludf.DUMMYFUNCTION("""COMPUTED_VALUE"""),327.64564)</f>
        <v>327.64564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IFERROR(__xludf.DUMMYFUNCTION("""COMPUTED_VALUE"""),326.663616)</f>
        <v>326.663616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IFERROR(__xludf.DUMMYFUNCTION("""COMPUTED_VALUE"""),326.9231)</f>
        <v>326.9231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IFERROR(__xludf.DUMMYFUNCTION("""COMPUTED_VALUE"""),325.926952)</f>
        <v>325.926952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IFERROR(__xludf.DUMMYFUNCTION("""COMPUTED_VALUE"""),328.02588)</f>
        <v>328.02588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IFERROR(__xludf.DUMMYFUNCTION("""COMPUTED_VALUE"""),327.99852)</f>
        <v>327.99852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IFERROR(__xludf.DUMMYFUNCTION("""COMPUTED_VALUE"""),327.680454)</f>
        <v>327.680454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IFERROR(__xludf.DUMMYFUNCTION("""COMPUTED_VALUE"""),329.533776)</f>
        <v>329.533776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IFERROR(__xludf.DUMMYFUNCTION("""COMPUTED_VALUE"""),330.221573)</f>
        <v>330.221573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IFERROR(__xludf.DUMMYFUNCTION("""COMPUTED_VALUE"""),330.16395)</f>
        <v>330.16395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IFERROR(__xludf.DUMMYFUNCTION("""COMPUTED_VALUE"""),332.318456)</f>
        <v>332.318456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IFERROR(__xludf.DUMMYFUNCTION("""COMPUTED_VALUE"""),330.474846)</f>
        <v>330.474846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IFERROR(__xludf.DUMMYFUNCTION("""COMPUTED_VALUE"""),330.56153)</f>
        <v>330.56153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IFERROR(__xludf.DUMMYFUNCTION("""COMPUTED_VALUE"""),330.174273)</f>
        <v>330.174273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IFERROR(__xludf.DUMMYFUNCTION("""COMPUTED_VALUE"""),330.373065)</f>
        <v>330.373065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IFERROR(__xludf.DUMMYFUNCTION("""COMPUTED_VALUE"""),328.707525)</f>
        <v>328.707525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IFERROR(__xludf.DUMMYFUNCTION("""COMPUTED_VALUE"""),328.992)</f>
        <v>328.992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IFERROR(__xludf.DUMMYFUNCTION("""COMPUTED_VALUE"""),330.328284)</f>
        <v>330.328284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IFERROR(__xludf.DUMMYFUNCTION("""COMPUTED_VALUE"""),329.578299)</f>
        <v>329.578299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IFERROR(__xludf.DUMMYFUNCTION("""COMPUTED_VALUE"""),329.893965)</f>
        <v>329.893965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IFERROR(__xludf.DUMMYFUNCTION("""COMPUTED_VALUE"""),331.101585)</f>
        <v>331.101585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IFERROR(__xludf.DUMMYFUNCTION("""COMPUTED_VALUE"""),329.30738)</f>
        <v>329.30738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IFERROR(__xludf.DUMMYFUNCTION("""COMPUTED_VALUE"""),330.417649)</f>
        <v>330.417649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IFERROR(__xludf.DUMMYFUNCTION("""COMPUTED_VALUE"""),330.4755)</f>
        <v>330.4755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IFERROR(__xludf.DUMMYFUNCTION("""COMPUTED_VALUE"""),331.3411515)</f>
        <v>331.3411515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IFERROR(__xludf.DUMMYFUNCTION("""COMPUTED_VALUE"""),329.341551)</f>
        <v>329.341551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IFERROR(__xludf.DUMMYFUNCTION("""COMPUTED_VALUE"""),328.405027)</f>
        <v>328.405027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IFERROR(__xludf.DUMMYFUNCTION("""COMPUTED_VALUE"""),329.738175)</f>
        <v>329.738175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IFERROR(__xludf.DUMMYFUNCTION("""COMPUTED_VALUE"""),329.064732)</f>
        <v>329.064732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IFERROR(__xludf.DUMMYFUNCTION("""COMPUTED_VALUE"""),328.96003)</f>
        <v>328.96003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IFERROR(__xludf.DUMMYFUNCTION("""COMPUTED_VALUE"""),328.59946)</f>
        <v>328.59946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IFERROR(__xludf.DUMMYFUNCTION("""COMPUTED_VALUE"""),330.3845942)</f>
        <v>330.3845942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IFERROR(__xludf.DUMMYFUNCTION("""COMPUTED_VALUE"""),329.821888)</f>
        <v>329.821888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IFERROR(__xludf.DUMMYFUNCTION("""COMPUTED_VALUE"""),329.523312)</f>
        <v>329.523312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IFERROR(__xludf.DUMMYFUNCTION("""COMPUTED_VALUE"""),329.139812)</f>
        <v>329.139812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IFERROR(__xludf.DUMMYFUNCTION("""COMPUTED_VALUE"""),326.996117)</f>
        <v>326.996117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IFERROR(__xludf.DUMMYFUNCTION("""COMPUTED_VALUE"""),329.687351)</f>
        <v>329.687351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IFERROR(__xludf.DUMMYFUNCTION("""COMPUTED_VALUE"""),329.78015)</f>
        <v>329.78015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IFERROR(__xludf.DUMMYFUNCTION("""COMPUTED_VALUE"""),329.6109105)</f>
        <v>329.6109105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IFERROR(__xludf.DUMMYFUNCTION("""COMPUTED_VALUE"""),330.74756)</f>
        <v>330.74756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IFERROR(__xludf.DUMMYFUNCTION("""COMPUTED_VALUE"""),330.816864)</f>
        <v>330.816864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IFERROR(__xludf.DUMMYFUNCTION("""COMPUTED_VALUE"""),331.454136)</f>
        <v>331.454136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IFERROR(__xludf.DUMMYFUNCTION("""COMPUTED_VALUE"""),330.641962)</f>
        <v>330.641962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IFERROR(__xludf.DUMMYFUNCTION("""COMPUTED_VALUE"""),332.56749)</f>
        <v>332.56749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IFERROR(__xludf.DUMMYFUNCTION("""COMPUTED_VALUE"""),332.560568)</f>
        <v>332.560568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IFERROR(__xludf.DUMMYFUNCTION("""COMPUTED_VALUE"""),332.8791435)</f>
        <v>332.8791435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IFERROR(__xludf.DUMMYFUNCTION("""COMPUTED_VALUE"""),331.030392)</f>
        <v>331.030392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IFERROR(__xludf.DUMMYFUNCTION("""COMPUTED_VALUE"""),332.222435)</f>
        <v>332.222435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IFERROR(__xludf.DUMMYFUNCTION("""COMPUTED_VALUE"""),329.756221)</f>
        <v>329.756221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IFERROR(__xludf.DUMMYFUNCTION("""COMPUTED_VALUE"""),330.96936)</f>
        <v>330.96936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IFERROR(__xludf.DUMMYFUNCTION("""COMPUTED_VALUE"""),330.76654)</f>
        <v>330.76654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IFERROR(__xludf.DUMMYFUNCTION("""COMPUTED_VALUE"""),330.1996)</f>
        <v>330.1996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IFERROR(__xludf.DUMMYFUNCTION("""COMPUTED_VALUE"""),332.8488207)</f>
        <v>332.8488207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IFERROR(__xludf.DUMMYFUNCTION("""COMPUTED_VALUE"""),330.597696)</f>
        <v>330.597696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IFERROR(__xludf.DUMMYFUNCTION("""COMPUTED_VALUE"""),330.422455)</f>
        <v>330.422455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IFERROR(__xludf.DUMMYFUNCTION("""COMPUTED_VALUE"""),331.62276)</f>
        <v>331.62276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IFERROR(__xludf.DUMMYFUNCTION("""COMPUTED_VALUE"""),331.502499)</f>
        <v>331.502499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IFERROR(__xludf.DUMMYFUNCTION("""COMPUTED_VALUE"""),332.235)</f>
        <v>332.235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IFERROR(__xludf.DUMMYFUNCTION("""COMPUTED_VALUE"""),331.730826)</f>
        <v>331.730826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IFERROR(__xludf.DUMMYFUNCTION("""COMPUTED_VALUE"""),331.9178985)</f>
        <v>331.9178985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IFERROR(__xludf.DUMMYFUNCTION("""COMPUTED_VALUE"""),331.03005)</f>
        <v>331.03005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IFERROR(__xludf.DUMMYFUNCTION("""COMPUTED_VALUE"""),331.03005)</f>
        <v>331.03005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IFERROR(__xludf.DUMMYFUNCTION("""COMPUTED_VALUE"""),329.763075)</f>
        <v>329.763075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IFERROR(__xludf.DUMMYFUNCTION("""COMPUTED_VALUE"""),329.893301)</f>
        <v>329.893301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IFERROR(__xludf.DUMMYFUNCTION("""COMPUTED_VALUE"""),333.456967)</f>
        <v>333.456967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IFERROR(__xludf.DUMMYFUNCTION("""COMPUTED_VALUE"""),338.1397)</f>
        <v>338.1397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IFERROR(__xludf.DUMMYFUNCTION("""COMPUTED_VALUE"""),338.7475257)</f>
        <v>338.7475257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IFERROR(__xludf.DUMMYFUNCTION("""COMPUTED_VALUE"""),334.47677)</f>
        <v>334.47677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IFERROR(__xludf.DUMMYFUNCTION("""COMPUTED_VALUE"""),331.271632)</f>
        <v>331.271632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IFERROR(__xludf.DUMMYFUNCTION("""COMPUTED_VALUE"""),332.018487)</f>
        <v>332.018487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IFERROR(__xludf.DUMMYFUNCTION("""COMPUTED_VALUE"""),337.50528)</f>
        <v>337.50528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IFERROR(__xludf.DUMMYFUNCTION("""COMPUTED_VALUE"""),334.171866)</f>
        <v>334.171866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IFERROR(__xludf.DUMMYFUNCTION("""COMPUTED_VALUE"""),334.133597)</f>
        <v>334.133597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IFERROR(__xludf.DUMMYFUNCTION("""COMPUTED_VALUE"""),334.8016335)</f>
        <v>334.8016335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IFERROR(__xludf.DUMMYFUNCTION("""COMPUTED_VALUE"""),332.491348)</f>
        <v>332.491348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IFERROR(__xludf.DUMMYFUNCTION("""COMPUTED_VALUE"""),331.367904)</f>
        <v>331.367904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IFERROR(__xludf.DUMMYFUNCTION("""COMPUTED_VALUE"""),331.526328)</f>
        <v>331.526328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IFERROR(__xludf.DUMMYFUNCTION("""COMPUTED_VALUE"""),332.625626)</f>
        <v>332.625626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IFERROR(__xludf.DUMMYFUNCTION("""COMPUTED_VALUE"""),330.620961)</f>
        <v>330.620961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IFERROR(__xludf.DUMMYFUNCTION("""COMPUTED_VALUE"""),330.617112)</f>
        <v>330.617112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IFERROR(__xludf.DUMMYFUNCTION("""COMPUTED_VALUE"""),333.44808)</f>
        <v>333.44808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IFERROR(__xludf.DUMMYFUNCTION("""COMPUTED_VALUE"""),330.930194)</f>
        <v>330.930194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IFERROR(__xludf.DUMMYFUNCTION("""COMPUTED_VALUE"""),330.142872)</f>
        <v>330.142872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IFERROR(__xludf.DUMMYFUNCTION("""COMPUTED_VALUE"""),330.325298)</f>
        <v>330.325298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IFERROR(__xludf.DUMMYFUNCTION("""COMPUTED_VALUE"""),331.11375)</f>
        <v>331.11375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IFERROR(__xludf.DUMMYFUNCTION("""COMPUTED_VALUE"""),329.663424)</f>
        <v>329.663424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IFERROR(__xludf.DUMMYFUNCTION("""COMPUTED_VALUE"""),328.293024)</f>
        <v>328.293024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IFERROR(__xludf.DUMMYFUNCTION("""COMPUTED_VALUE"""),329.4186615)</f>
        <v>329.4186615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IFERROR(__xludf.DUMMYFUNCTION("""COMPUTED_VALUE"""),327.224718)</f>
        <v>327.224718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IFERROR(__xludf.DUMMYFUNCTION("""COMPUTED_VALUE"""),328.1)</f>
        <v>328.1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IFERROR(__xludf.DUMMYFUNCTION("""COMPUTED_VALUE"""),327.946815)</f>
        <v>327.946815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IFERROR(__xludf.DUMMYFUNCTION("""COMPUTED_VALUE"""),328.583202)</f>
        <v>328.583202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IFERROR(__xludf.DUMMYFUNCTION("""COMPUTED_VALUE"""),327.25256)</f>
        <v>327.25256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IFERROR(__xludf.DUMMYFUNCTION("""COMPUTED_VALUE"""),329.0448108)</f>
        <v>329.0448108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IFERROR(__xludf.DUMMYFUNCTION("""COMPUTED_VALUE"""),324.6124365)</f>
        <v>324.6124365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IFERROR(__xludf.DUMMYFUNCTION("""COMPUTED_VALUE"""),324.95899)</f>
        <v>324.95899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IFERROR(__xludf.DUMMYFUNCTION("""COMPUTED_VALUE"""),327.256768)</f>
        <v>327.256768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IFERROR(__xludf.DUMMYFUNCTION("""COMPUTED_VALUE"""),327.25498)</f>
        <v>327.25498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IFERROR(__xludf.DUMMYFUNCTION("""COMPUTED_VALUE"""),322.45776)</f>
        <v>322.45776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IFERROR(__xludf.DUMMYFUNCTION("""COMPUTED_VALUE"""),323.129448)</f>
        <v>323.129448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IFERROR(__xludf.DUMMYFUNCTION("""COMPUTED_VALUE"""),323.158787)</f>
        <v>323.158787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IFERROR(__xludf.DUMMYFUNCTION("""COMPUTED_VALUE"""),322.401573)</f>
        <v>322.401573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IFERROR(__xludf.DUMMYFUNCTION("""COMPUTED_VALUE"""),322.903746)</f>
        <v>322.903746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IFERROR(__xludf.DUMMYFUNCTION("""COMPUTED_VALUE"""),322.962366)</f>
        <v>322.962366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IFERROR(__xludf.DUMMYFUNCTION("""COMPUTED_VALUE"""),322.60449)</f>
        <v>322.60449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IFERROR(__xludf.DUMMYFUNCTION("""COMPUTED_VALUE"""),325.259132)</f>
        <v>325.259132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IFERROR(__xludf.DUMMYFUNCTION("""COMPUTED_VALUE"""),326.542216)</f>
        <v>326.542216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IFERROR(__xludf.DUMMYFUNCTION("""COMPUTED_VALUE"""),326.67615)</f>
        <v>326.67615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IFERROR(__xludf.DUMMYFUNCTION("""COMPUTED_VALUE"""),327.934043)</f>
        <v>327.934043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IFERROR(__xludf.DUMMYFUNCTION("""COMPUTED_VALUE"""),325.133248)</f>
        <v>325.133248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IFERROR(__xludf.DUMMYFUNCTION("""COMPUTED_VALUE"""),328.753102)</f>
        <v>328.753102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IFERROR(__xludf.DUMMYFUNCTION("""COMPUTED_VALUE"""),324.23169)</f>
        <v>324.23169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IFERROR(__xludf.DUMMYFUNCTION("""COMPUTED_VALUE"""),326.22414)</f>
        <v>326.22414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IFERROR(__xludf.DUMMYFUNCTION("""COMPUTED_VALUE"""),327.128655)</f>
        <v>327.128655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IFERROR(__xludf.DUMMYFUNCTION("""COMPUTED_VALUE"""),327.41604)</f>
        <v>327.41604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IFERROR(__xludf.DUMMYFUNCTION("""COMPUTED_VALUE"""),329.3086543)</f>
        <v>329.3086543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IFERROR(__xludf.DUMMYFUNCTION("""COMPUTED_VALUE"""),321.7403)</f>
        <v>321.7403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IFERROR(__xludf.DUMMYFUNCTION("""COMPUTED_VALUE"""),325.875095)</f>
        <v>325.875095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IFERROR(__xludf.DUMMYFUNCTION("""COMPUTED_VALUE"""),326.513313)</f>
        <v>326.513313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IFERROR(__xludf.DUMMYFUNCTION("""COMPUTED_VALUE"""),323.69568)</f>
        <v>323.69568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IFERROR(__xludf.DUMMYFUNCTION("""COMPUTED_VALUE"""),325.320444)</f>
        <v>325.320444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IFERROR(__xludf.DUMMYFUNCTION("""COMPUTED_VALUE"""),325.59569)</f>
        <v>325.59569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IFERROR(__xludf.DUMMYFUNCTION("""COMPUTED_VALUE"""),324.2279385)</f>
        <v>324.2279385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IFERROR(__xludf.DUMMYFUNCTION("""COMPUTED_VALUE"""),326.809175)</f>
        <v>326.809175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IFERROR(__xludf.DUMMYFUNCTION("""COMPUTED_VALUE"""),326.249888)</f>
        <v>326.249888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IFERROR(__xludf.DUMMYFUNCTION("""COMPUTED_VALUE"""),324.245916)</f>
        <v>324.245916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IFERROR(__xludf.DUMMYFUNCTION("""COMPUTED_VALUE"""),328.379322)</f>
        <v>328.379322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IFERROR(__xludf.DUMMYFUNCTION("""COMPUTED_VALUE"""),322.822605)</f>
        <v>322.822605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IFERROR(__xludf.DUMMYFUNCTION("""COMPUTED_VALUE"""),322.795845)</f>
        <v>322.795845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IFERROR(__xludf.DUMMYFUNCTION("""COMPUTED_VALUE"""),321.1519545)</f>
        <v>321.1519545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IFERROR(__xludf.DUMMYFUNCTION("""COMPUTED_VALUE"""),326.31525)</f>
        <v>326.31525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IFERROR(__xludf.DUMMYFUNCTION("""COMPUTED_VALUE"""),326.48836)</f>
        <v>326.48836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IFERROR(__xludf.DUMMYFUNCTION("""COMPUTED_VALUE"""),324.346626)</f>
        <v>324.346626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IFERROR(__xludf.DUMMYFUNCTION("""COMPUTED_VALUE"""),327.347856)</f>
        <v>327.347856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IFERROR(__xludf.DUMMYFUNCTION("""COMPUTED_VALUE"""),326.255493)</f>
        <v>326.255493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IFERROR(__xludf.DUMMYFUNCTION("""COMPUTED_VALUE"""),326.171218)</f>
        <v>326.171218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IFERROR(__xludf.DUMMYFUNCTION("""COMPUTED_VALUE"""),323.7585085)</f>
        <v>323.7585085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IFERROR(__xludf.DUMMYFUNCTION("""COMPUTED_VALUE"""),325.41202)</f>
        <v>325.41202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IFERROR(__xludf.DUMMYFUNCTION("""COMPUTED_VALUE"""),323.499007)</f>
        <v>323.499007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IFERROR(__xludf.DUMMYFUNCTION("""COMPUTED_VALUE"""),326.340432)</f>
        <v>326.340432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IFERROR(__xludf.DUMMYFUNCTION("""COMPUTED_VALUE"""),325.348296)</f>
        <v>325.348296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IFERROR(__xludf.DUMMYFUNCTION("""COMPUTED_VALUE"""),326.279824)</f>
        <v>326.279824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IFERROR(__xludf.DUMMYFUNCTION("""COMPUTED_VALUE"""),326.33044)</f>
        <v>326.33044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IFERROR(__xludf.DUMMYFUNCTION("""COMPUTED_VALUE"""),323.8434405)</f>
        <v>323.8434405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IFERROR(__xludf.DUMMYFUNCTION("""COMPUTED_VALUE"""),322.10895)</f>
        <v>322.10895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IFERROR(__xludf.DUMMYFUNCTION("""COMPUTED_VALUE"""),325.334884)</f>
        <v>325.334884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IFERROR(__xludf.DUMMYFUNCTION("""COMPUTED_VALUE"""),324.194112)</f>
        <v>324.194112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IFERROR(__xludf.DUMMYFUNCTION("""COMPUTED_VALUE"""),324.374328)</f>
        <v>324.374328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IFERROR(__xludf.DUMMYFUNCTION("""COMPUTED_VALUE"""),324.28367)</f>
        <v>324.28367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IFERROR(__xludf.DUMMYFUNCTION("""COMPUTED_VALUE"""),324.52164)</f>
        <v>324.52164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IFERROR(__xludf.DUMMYFUNCTION("""COMPUTED_VALUE"""),321.440328)</f>
        <v>321.440328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IFERROR(__xludf.DUMMYFUNCTION("""COMPUTED_VALUE"""),325.93825)</f>
        <v>325.93825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IFERROR(__xludf.DUMMYFUNCTION("""COMPUTED_VALUE"""),324.45807)</f>
        <v>324.45807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IFERROR(__xludf.DUMMYFUNCTION("""COMPUTED_VALUE"""),326.320366)</f>
        <v>326.320366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IFERROR(__xludf.DUMMYFUNCTION("""COMPUTED_VALUE"""),327.35276)</f>
        <v>327.35276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IFERROR(__xludf.DUMMYFUNCTION("""COMPUTED_VALUE"""),326.66202)</f>
        <v>326.66202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IFERROR(__xludf.DUMMYFUNCTION("""COMPUTED_VALUE"""),328.7401346)</f>
        <v>328.7401346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IFERROR(__xludf.DUMMYFUNCTION("""COMPUTED_VALUE"""),326.87088)</f>
        <v>326.87088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IFERROR(__xludf.DUMMYFUNCTION("""COMPUTED_VALUE"""),323.186675)</f>
        <v>323.186675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IFERROR(__xludf.DUMMYFUNCTION("""COMPUTED_VALUE"""),324.08376)</f>
        <v>324.08376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IFERROR(__xludf.DUMMYFUNCTION("""COMPUTED_VALUE"""),321.541376)</f>
        <v>321.541376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IFERROR(__xludf.DUMMYFUNCTION("""COMPUTED_VALUE"""),322.948162)</f>
        <v>322.948162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IFERROR(__xludf.DUMMYFUNCTION("""COMPUTED_VALUE"""),324.35065)</f>
        <v>324.35065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IFERROR(__xludf.DUMMYFUNCTION("""COMPUTED_VALUE"""),324.548)</f>
        <v>324.548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IFERROR(__xludf.DUMMYFUNCTION("""COMPUTED_VALUE"""),324.20358)</f>
        <v>324.20358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IFERROR(__xludf.DUMMYFUNCTION("""COMPUTED_VALUE"""),323.308692)</f>
        <v>323.308692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IFERROR(__xludf.DUMMYFUNCTION("""COMPUTED_VALUE"""),326.175498)</f>
        <v>326.175498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IFERROR(__xludf.DUMMYFUNCTION("""COMPUTED_VALUE"""),321.372132)</f>
        <v>321.372132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IFERROR(__xludf.DUMMYFUNCTION("""COMPUTED_VALUE"""),322.119774)</f>
        <v>322.119774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IFERROR(__xludf.DUMMYFUNCTION("""COMPUTED_VALUE"""),324.210502)</f>
        <v>324.210502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IFERROR(__xludf.DUMMYFUNCTION("""COMPUTED_VALUE"""),326.2183003)</f>
        <v>326.2183003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IFERROR(__xludf.DUMMYFUNCTION("""COMPUTED_VALUE"""),324.548)</f>
        <v>324.548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IFERROR(__xludf.DUMMYFUNCTION("""COMPUTED_VALUE"""),325.470305)</f>
        <v>325.470305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IFERROR(__xludf.DUMMYFUNCTION("""COMPUTED_VALUE"""),325.644973)</f>
        <v>325.644973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IFERROR(__xludf.DUMMYFUNCTION("""COMPUTED_VALUE"""),325.349904)</f>
        <v>325.349904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IFERROR(__xludf.DUMMYFUNCTION("""COMPUTED_VALUE"""),325.186332)</f>
        <v>325.186332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IFERROR(__xludf.DUMMYFUNCTION("""COMPUTED_VALUE"""),327.82176)</f>
        <v>327.82176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IFERROR(__xludf.DUMMYFUNCTION("""COMPUTED_VALUE"""),327.693282)</f>
        <v>327.693282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IFERROR(__xludf.DUMMYFUNCTION("""COMPUTED_VALUE"""),325.3814325)</f>
        <v>325.3814325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IFERROR(__xludf.DUMMYFUNCTION("""COMPUTED_VALUE"""),329.02303)</f>
        <v>329.02303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IFERROR(__xludf.DUMMYFUNCTION("""COMPUTED_VALUE"""),330.174234)</f>
        <v>330.174234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IFERROR(__xludf.DUMMYFUNCTION("""COMPUTED_VALUE"""),327.743997)</f>
        <v>327.743997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IFERROR(__xludf.DUMMYFUNCTION("""COMPUTED_VALUE"""),325.944558)</f>
        <v>325.944558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IFERROR(__xludf.DUMMYFUNCTION("""COMPUTED_VALUE"""),328.681254)</f>
        <v>328.681254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IFERROR(__xludf.DUMMYFUNCTION("""COMPUTED_VALUE"""),328.8777)</f>
        <v>328.8777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IFERROR(__xludf.DUMMYFUNCTION("""COMPUTED_VALUE"""),325.477557)</f>
        <v>325.477557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IFERROR(__xludf.DUMMYFUNCTION("""COMPUTED_VALUE"""),327.754735)</f>
        <v>327.754735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IFERROR(__xludf.DUMMYFUNCTION("""COMPUTED_VALUE"""),327.601125)</f>
        <v>327.601125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IFERROR(__xludf.DUMMYFUNCTION("""COMPUTED_VALUE"""),331.42575)</f>
        <v>331.42575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IFERROR(__xludf.DUMMYFUNCTION("""COMPUTED_VALUE"""),327.114348)</f>
        <v>327.114348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IFERROR(__xludf.DUMMYFUNCTION("""COMPUTED_VALUE"""),326.90203)</f>
        <v>326.90203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IFERROR(__xludf.DUMMYFUNCTION("""COMPUTED_VALUE"""),327.09621)</f>
        <v>327.09621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IFERROR(__xludf.DUMMYFUNCTION("""COMPUTED_VALUE"""),327.9999811)</f>
        <v>327.9999811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IFERROR(__xludf.DUMMYFUNCTION("""COMPUTED_VALUE"""),325.050624)</f>
        <v>325.050624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IFERROR(__xludf.DUMMYFUNCTION("""COMPUTED_VALUE"""),324.330916)</f>
        <v>324.330916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IFERROR(__xludf.DUMMYFUNCTION("""COMPUTED_VALUE"""),324.199152)</f>
        <v>324.199152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IFERROR(__xludf.DUMMYFUNCTION("""COMPUTED_VALUE"""),324.393107)</f>
        <v>324.393107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IFERROR(__xludf.DUMMYFUNCTION("""COMPUTED_VALUE"""),324.62616)</f>
        <v>324.62616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IFERROR(__xludf.DUMMYFUNCTION("""COMPUTED_VALUE"""),324.72347)</f>
        <v>324.72347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IFERROR(__xludf.DUMMYFUNCTION("""COMPUTED_VALUE"""),324.72347)</f>
        <v>324.72347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IFERROR(__xludf.DUMMYFUNCTION("""COMPUTED_VALUE"""),325.92485)</f>
        <v>325.92485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IFERROR(__xludf.DUMMYFUNCTION("""COMPUTED_VALUE"""),326.871078)</f>
        <v>326.871078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IFERROR(__xludf.DUMMYFUNCTION("""COMPUTED_VALUE"""),323.926701)</f>
        <v>323.926701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IFERROR(__xludf.DUMMYFUNCTION("""COMPUTED_VALUE"""),326.571952)</f>
        <v>326.571952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IFERROR(__xludf.DUMMYFUNCTION("""COMPUTED_VALUE"""),323.92604)</f>
        <v>323.92604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IFERROR(__xludf.DUMMYFUNCTION("""COMPUTED_VALUE"""),323.89056)</f>
        <v>323.89056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IFERROR(__xludf.DUMMYFUNCTION("""COMPUTED_VALUE"""),326.0784124)</f>
        <v>326.0784124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IFERROR(__xludf.DUMMYFUNCTION("""COMPUTED_VALUE"""),325.909773)</f>
        <v>325.909773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IFERROR(__xludf.DUMMYFUNCTION("""COMPUTED_VALUE"""),323.077524)</f>
        <v>323.077524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IFERROR(__xludf.DUMMYFUNCTION("""COMPUTED_VALUE"""),325.629696)</f>
        <v>325.629696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IFERROR(__xludf.DUMMYFUNCTION("""COMPUTED_VALUE"""),326.235131)</f>
        <v>326.235131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IFERROR(__xludf.DUMMYFUNCTION("""COMPUTED_VALUE"""),325.9272)</f>
        <v>325.9272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IFERROR(__xludf.DUMMYFUNCTION("""COMPUTED_VALUE"""),327.7013515)</f>
        <v>327.7013515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IFERROR(__xludf.DUMMYFUNCTION("""COMPUTED_VALUE"""),320.671332)</f>
        <v>320.671332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IFERROR(__xludf.DUMMYFUNCTION("""COMPUTED_VALUE"""),326.52508)</f>
        <v>326.52508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IFERROR(__xludf.DUMMYFUNCTION("""COMPUTED_VALUE"""),326.536794)</f>
        <v>326.536794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IFERROR(__xludf.DUMMYFUNCTION("""COMPUTED_VALUE"""),328.750513)</f>
        <v>328.750513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IFERROR(__xludf.DUMMYFUNCTION("""COMPUTED_VALUE"""),330.703293)</f>
        <v>330.703293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IFERROR(__xludf.DUMMYFUNCTION("""COMPUTED_VALUE"""),328.119)</f>
        <v>328.119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IFERROR(__xludf.DUMMYFUNCTION("""COMPUTED_VALUE"""),329.582692)</f>
        <v>329.582692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IFERROR(__xludf.DUMMYFUNCTION("""COMPUTED_VALUE"""),327.9234)</f>
        <v>327.9234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IFERROR(__xludf.DUMMYFUNCTION("""COMPUTED_VALUE"""),328.162068)</f>
        <v>328.162068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IFERROR(__xludf.DUMMYFUNCTION("""COMPUTED_VALUE"""),328.895361)</f>
        <v>328.895361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IFERROR(__xludf.DUMMYFUNCTION("""COMPUTED_VALUE"""),330.626619)</f>
        <v>330.626619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IFERROR(__xludf.DUMMYFUNCTION("""COMPUTED_VALUE"""),331.012655)</f>
        <v>331.012655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IFERROR(__xludf.DUMMYFUNCTION("""COMPUTED_VALUE"""),329.21864)</f>
        <v>329.21864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IFERROR(__xludf.DUMMYFUNCTION("""COMPUTED_VALUE"""),326.174295)</f>
        <v>326.174295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IFERROR(__xludf.DUMMYFUNCTION("""COMPUTED_VALUE"""),321.5364525)</f>
        <v>321.5364525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IFERROR(__xludf.DUMMYFUNCTION("""COMPUTED_VALUE"""),330.904956)</f>
        <v>330.904956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IFERROR(__xludf.DUMMYFUNCTION("""COMPUTED_VALUE"""),330.39234)</f>
        <v>330.39234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IFERROR(__xludf.DUMMYFUNCTION("""COMPUTED_VALUE"""),328.615452)</f>
        <v>328.615452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IFERROR(__xludf.DUMMYFUNCTION("""COMPUTED_VALUE"""),328.989576)</f>
        <v>328.989576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IFERROR(__xludf.DUMMYFUNCTION("""COMPUTED_VALUE"""),327.36)</f>
        <v>327.36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IFERROR(__xludf.DUMMYFUNCTION("""COMPUTED_VALUE"""),326.756087)</f>
        <v>326.756087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IFERROR(__xludf.DUMMYFUNCTION("""COMPUTED_VALUE"""),316.9224765)</f>
        <v>316.9224765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IFERROR(__xludf.DUMMYFUNCTION("""COMPUTED_VALUE"""),328.640742)</f>
        <v>328.640742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IFERROR(__xludf.DUMMYFUNCTION("""COMPUTED_VALUE"""),327.9198)</f>
        <v>327.9198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IFERROR(__xludf.DUMMYFUNCTION("""COMPUTED_VALUE"""),327.946812)</f>
        <v>327.946812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IFERROR(__xludf.DUMMYFUNCTION("""COMPUTED_VALUE"""),330.07162)</f>
        <v>330.07162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IFERROR(__xludf.DUMMYFUNCTION("""COMPUTED_VALUE"""),327.294)</f>
        <v>327.294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IFERROR(__xludf.DUMMYFUNCTION("""COMPUTED_VALUE"""),327.294)</f>
        <v>327.294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IFERROR(__xludf.DUMMYFUNCTION("""COMPUTED_VALUE"""),317.8837215)</f>
        <v>317.8837215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IFERROR(__xludf.DUMMYFUNCTION("""COMPUTED_VALUE"""),330.302934)</f>
        <v>330.302934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IFERROR(__xludf.DUMMYFUNCTION("""COMPUTED_VALUE"""),328.80616)</f>
        <v>328.80616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IFERROR(__xludf.DUMMYFUNCTION("""COMPUTED_VALUE"""),331.116487)</f>
        <v>331.116487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IFERROR(__xludf.DUMMYFUNCTION("""COMPUTED_VALUE"""),327.65766)</f>
        <v>327.65766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IFERROR(__xludf.DUMMYFUNCTION("""COMPUTED_VALUE"""),328.88088)</f>
        <v>328.88088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IFERROR(__xludf.DUMMYFUNCTION("""COMPUTED_VALUE"""),329.07924)</f>
        <v>329.07924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IFERROR(__xludf.DUMMYFUNCTION("""COMPUTED_VALUE"""),328.88088)</f>
        <v>328.88088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IFERROR(__xludf.DUMMYFUNCTION("""COMPUTED_VALUE"""),330.165368)</f>
        <v>330.165368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IFERROR(__xludf.DUMMYFUNCTION("""COMPUTED_VALUE"""),327.6504)</f>
        <v>327.6504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IFERROR(__xludf.DUMMYFUNCTION("""COMPUTED_VALUE"""),338.893835)</f>
        <v>338.893835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IFERROR(__xludf.DUMMYFUNCTION("""COMPUTED_VALUE"""),333.726084)</f>
        <v>333.726084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IFERROR(__xludf.DUMMYFUNCTION("""COMPUTED_VALUE"""),334.02768)</f>
        <v>334.02768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IFERROR(__xludf.DUMMYFUNCTION("""COMPUTED_VALUE"""),332.5143)</f>
        <v>332.5143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IFERROR(__xludf.DUMMYFUNCTION("""COMPUTED_VALUE"""),321.824826)</f>
        <v>321.824826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IFERROR(__xludf.DUMMYFUNCTION("""COMPUTED_VALUE"""),335.13766)</f>
        <v>335.13766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IFERROR(__xludf.DUMMYFUNCTION("""COMPUTED_VALUE"""),336.73555)</f>
        <v>336.73555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IFERROR(__xludf.DUMMYFUNCTION("""COMPUTED_VALUE"""),334.86831)</f>
        <v>334.86831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IFERROR(__xludf.DUMMYFUNCTION("""COMPUTED_VALUE"""),335.67072)</f>
        <v>335.67072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IFERROR(__xludf.DUMMYFUNCTION("""COMPUTED_VALUE"""),337.4784)</f>
        <v>337.4784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IFERROR(__xludf.DUMMYFUNCTION("""COMPUTED_VALUE"""),336.7755)</f>
        <v>336.7755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IFERROR(__xludf.DUMMYFUNCTION("""COMPUTED_VALUE"""),336.7755)</f>
        <v>336.7755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IFERROR(__xludf.DUMMYFUNCTION("""COMPUTED_VALUE"""),335.73765)</f>
        <v>335.73765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IFERROR(__xludf.DUMMYFUNCTION("""COMPUTED_VALUE"""),341.2706)</f>
        <v>341.2706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IFERROR(__xludf.DUMMYFUNCTION("""COMPUTED_VALUE"""),340.89692)</f>
        <v>340.89692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IFERROR(__xludf.DUMMYFUNCTION("""COMPUTED_VALUE"""),344.23518)</f>
        <v>344.23518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IFERROR(__xludf.DUMMYFUNCTION("""COMPUTED_VALUE"""),342.29385)</f>
        <v>342.29385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IFERROR(__xludf.DUMMYFUNCTION("""COMPUTED_VALUE"""),342.528)</f>
        <v>342.528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IFERROR(__xludf.DUMMYFUNCTION("""COMPUTED_VALUE"""),343.70343)</f>
        <v>343.70343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IFERROR(__xludf.DUMMYFUNCTION("""COMPUTED_VALUE"""),341.6374)</f>
        <v>341.6374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IFERROR(__xludf.DUMMYFUNCTION("""COMPUTED_VALUE"""),341.53496)</f>
        <v>341.53496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IFERROR(__xludf.DUMMYFUNCTION("""COMPUTED_VALUE"""),342.4525)</f>
        <v>342.4525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IFERROR(__xludf.DUMMYFUNCTION("""COMPUTED_VALUE"""),340.57144)</f>
        <v>340.57144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IFERROR(__xludf.DUMMYFUNCTION("""COMPUTED_VALUE"""),344.1477)</f>
        <v>344.1477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IFERROR(__xludf.DUMMYFUNCTION("""COMPUTED_VALUE"""),343.9152)</f>
        <v>343.9152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IFERROR(__xludf.DUMMYFUNCTION("""COMPUTED_VALUE"""),342.77379)</f>
        <v>342.77379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IFERROR(__xludf.DUMMYFUNCTION("""COMPUTED_VALUE"""),342.34528)</f>
        <v>342.34528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IFERROR(__xludf.DUMMYFUNCTION("""COMPUTED_VALUE"""),343.30179)</f>
        <v>343.30179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IFERROR(__xludf.DUMMYFUNCTION("""COMPUTED_VALUE"""),343.43784)</f>
        <v>343.43784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IFERROR(__xludf.DUMMYFUNCTION("""COMPUTED_VALUE"""),343.71207)</f>
        <v>343.71207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IFERROR(__xludf.DUMMYFUNCTION("""COMPUTED_VALUE"""),342.171)</f>
        <v>342.171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IFERROR(__xludf.DUMMYFUNCTION("""COMPUTED_VALUE"""),342.5045)</f>
        <v>342.5045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IFERROR(__xludf.DUMMYFUNCTION("""COMPUTED_VALUE"""),342.36846)</f>
        <v>342.36846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IFERROR(__xludf.DUMMYFUNCTION("""COMPUTED_VALUE"""),342.34032)</f>
        <v>342.34032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IFERROR(__xludf.DUMMYFUNCTION("""COMPUTED_VALUE"""),343.1232)</f>
        <v>343.1232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IFERROR(__xludf.DUMMYFUNCTION("""COMPUTED_VALUE"""),343.78062)</f>
        <v>343.78062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IFERROR(__xludf.DUMMYFUNCTION("""COMPUTED_VALUE"""),346.23342)</f>
        <v>346.23342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IFERROR(__xludf.DUMMYFUNCTION("""COMPUTED_VALUE"""),346.3348)</f>
        <v>346.3348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IFERROR(__xludf.DUMMYFUNCTION("""COMPUTED_VALUE"""),346.30464)</f>
        <v>346.30464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IFERROR(__xludf.DUMMYFUNCTION("""COMPUTED_VALUE"""),346.60224)</f>
        <v>346.60224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IFERROR(__xludf.DUMMYFUNCTION("""COMPUTED_VALUE"""),348.14208)</f>
        <v>348.14208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IFERROR(__xludf.DUMMYFUNCTION("""COMPUTED_VALUE"""),356.58322)</f>
        <v>356.58322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IFERROR(__xludf.DUMMYFUNCTION("""COMPUTED_VALUE"""),357.69344)</f>
        <v>357.69344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IFERROR(__xludf.DUMMYFUNCTION("""COMPUTED_VALUE"""),369.572)</f>
        <v>369.572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IFERROR(__xludf.DUMMYFUNCTION("""COMPUTED_VALUE"""),359.8025)</f>
        <v>359.8025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IFERROR(__xludf.DUMMYFUNCTION("""COMPUTED_VALUE"""),359.91)</f>
        <v>359.91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IFERROR(__xludf.DUMMYFUNCTION("""COMPUTED_VALUE"""),368.4474)</f>
        <v>368.4474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IFERROR(__xludf.DUMMYFUNCTION("""COMPUTED_VALUE"""),370.54048)</f>
        <v>370.54048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IFERROR(__xludf.DUMMYFUNCTION("""COMPUTED_VALUE"""),364.50465)</f>
        <v>364.50465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IFERROR(__xludf.DUMMYFUNCTION("""COMPUTED_VALUE"""),363.86361)</f>
        <v>363.86361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IFERROR(__xludf.DUMMYFUNCTION("""COMPUTED_VALUE"""),363.53031)</f>
        <v>363.53031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IFERROR(__xludf.DUMMYFUNCTION("""COMPUTED_VALUE"""),362.86371)</f>
        <v>362.86371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IFERROR(__xludf.DUMMYFUNCTION("""COMPUTED_VALUE"""),363.2393)</f>
        <v>363.2393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IFERROR(__xludf.DUMMYFUNCTION("""COMPUTED_VALUE"""),362.69455)</f>
        <v>362.69455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IFERROR(__xludf.DUMMYFUNCTION("""COMPUTED_VALUE"""),366.97696)</f>
        <v>366.97696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IFERROR(__xludf.DUMMYFUNCTION("""COMPUTED_VALUE"""),370.07061)</f>
        <v>370.07061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IFERROR(__xludf.DUMMYFUNCTION("""COMPUTED_VALUE"""),373.63599)</f>
        <v>373.63599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IFERROR(__xludf.DUMMYFUNCTION("""COMPUTED_VALUE"""),370.19592)</f>
        <v>370.19592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IFERROR(__xludf.DUMMYFUNCTION("""COMPUTED_VALUE"""),376.54566)</f>
        <v>376.54566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IFERROR(__xludf.DUMMYFUNCTION("""COMPUTED_VALUE"""),376.7585)</f>
        <v>376.7585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IFERROR(__xludf.DUMMYFUNCTION("""COMPUTED_VALUE"""),376.5355)</f>
        <v>376.5355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IFERROR(__xludf.DUMMYFUNCTION("""COMPUTED_VALUE"""),376.92952)</f>
        <v>376.92952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IFERROR(__xludf.DUMMYFUNCTION("""COMPUTED_VALUE"""),378.1133)</f>
        <v>378.1133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IFERROR(__xludf.DUMMYFUNCTION("""COMPUTED_VALUE"""),382.70712)</f>
        <v>382.70712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IFERROR(__xludf.DUMMYFUNCTION("""COMPUTED_VALUE"""),381.32496)</f>
        <v>381.32496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IFERROR(__xludf.DUMMYFUNCTION("""COMPUTED_VALUE"""),383.19827)</f>
        <v>383.19827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IFERROR(__xludf.DUMMYFUNCTION("""COMPUTED_VALUE"""),383.42589)</f>
        <v>383.42589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IFERROR(__xludf.DUMMYFUNCTION("""COMPUTED_VALUE"""),385.58828)</f>
        <v>385.58828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IFERROR(__xludf.DUMMYFUNCTION("""COMPUTED_VALUE"""),382.91526)</f>
        <v>382.91526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IFERROR(__xludf.DUMMYFUNCTION("""COMPUTED_VALUE"""),385.09541)</f>
        <v>385.09541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IFERROR(__xludf.DUMMYFUNCTION("""COMPUTED_VALUE"""),390.9492)</f>
        <v>390.9492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IFERROR(__xludf.DUMMYFUNCTION("""COMPUTED_VALUE"""),381.43195)</f>
        <v>381.43195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IFERROR(__xludf.DUMMYFUNCTION("""COMPUTED_VALUE"""),382.79682)</f>
        <v>382.79682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IFERROR(__xludf.DUMMYFUNCTION("""COMPUTED_VALUE"""),382.89825)</f>
        <v>382.89825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IFERROR(__xludf.DUMMYFUNCTION("""COMPUTED_VALUE"""),383.857)</f>
        <v>383.857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IFERROR(__xludf.DUMMYFUNCTION("""COMPUTED_VALUE"""),385.43792)</f>
        <v>385.43792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IFERROR(__xludf.DUMMYFUNCTION("""COMPUTED_VALUE"""),386.1543)</f>
        <v>386.1543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IFERROR(__xludf.DUMMYFUNCTION("""COMPUTED_VALUE"""),387.73872)</f>
        <v>387.73872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IFERROR(__xludf.DUMMYFUNCTION("""COMPUTED_VALUE"""),386.1054)</f>
        <v>386.1054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IFERROR(__xludf.DUMMYFUNCTION("""COMPUTED_VALUE"""),389.69474)</f>
        <v>389.69474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IFERROR(__xludf.DUMMYFUNCTION("""COMPUTED_VALUE"""),391.4449634)</f>
        <v>391.4449634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IFERROR(__xludf.DUMMYFUNCTION("""COMPUTED_VALUE"""),388.88911)</f>
        <v>388.88911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IFERROR(__xludf.DUMMYFUNCTION("""COMPUTED_VALUE"""),391.38176)</f>
        <v>391.38176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IFERROR(__xludf.DUMMYFUNCTION("""COMPUTED_VALUE"""),388.38168)</f>
        <v>388.38168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IFERROR(__xludf.DUMMYFUNCTION("""COMPUTED_VALUE"""),391.87314)</f>
        <v>391.87314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IFERROR(__xludf.DUMMYFUNCTION("""COMPUTED_VALUE"""),392.2523)</f>
        <v>392.2523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IFERROR(__xludf.DUMMYFUNCTION("""COMPUTED_VALUE"""),390.23436)</f>
        <v>390.23436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IFERROR(__xludf.DUMMYFUNCTION("""COMPUTED_VALUE"""),390.47208)</f>
        <v>390.47208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IFERROR(__xludf.DUMMYFUNCTION("""COMPUTED_VALUE"""),390.66)</f>
        <v>390.66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IFERROR(__xludf.DUMMYFUNCTION("""COMPUTED_VALUE"""),391.47285)</f>
        <v>391.47285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IFERROR(__xludf.DUMMYFUNCTION("""COMPUTED_VALUE"""),391.39616)</f>
        <v>391.39616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IFERROR(__xludf.DUMMYFUNCTION("""COMPUTED_VALUE"""),391.4001)</f>
        <v>391.4001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IFERROR(__xludf.DUMMYFUNCTION("""COMPUTED_VALUE"""),390.08589)</f>
        <v>390.08589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IFERROR(__xludf.DUMMYFUNCTION("""COMPUTED_VALUE"""),386.0136)</f>
        <v>386.0136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IFERROR(__xludf.DUMMYFUNCTION("""COMPUTED_VALUE"""),386.0136)</f>
        <v>386.0136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IFERROR(__xludf.DUMMYFUNCTION("""COMPUTED_VALUE"""),386.3538)</f>
        <v>386.3538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IFERROR(__xludf.DUMMYFUNCTION("""COMPUTED_VALUE"""),385.91148)</f>
        <v>385.91148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IFERROR(__xludf.DUMMYFUNCTION("""COMPUTED_VALUE"""),387.04518)</f>
        <v>387.04518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IFERROR(__xludf.DUMMYFUNCTION("""COMPUTED_VALUE"""),384.97056)</f>
        <v>384.97056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IFERROR(__xludf.DUMMYFUNCTION("""COMPUTED_VALUE"""),385.62424)</f>
        <v>385.62424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IFERROR(__xludf.DUMMYFUNCTION("""COMPUTED_VALUE"""),384.132)</f>
        <v>384.132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IFERROR(__xludf.DUMMYFUNCTION("""COMPUTED_VALUE"""),384.01902)</f>
        <v>384.01902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IFERROR(__xludf.DUMMYFUNCTION("""COMPUTED_VALUE"""),384.132)</f>
        <v>384.132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IFERROR(__xludf.DUMMYFUNCTION("""COMPUTED_VALUE"""),384.58508)</f>
        <v>384.58508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IFERROR(__xludf.DUMMYFUNCTION("""COMPUTED_VALUE"""),386.46784)</f>
        <v>386.46784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IFERROR(__xludf.DUMMYFUNCTION("""COMPUTED_VALUE"""),383.19552)</f>
        <v>383.19552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IFERROR(__xludf.DUMMYFUNCTION("""COMPUTED_VALUE"""),378.46328)</f>
        <v>378.46328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IFERROR(__xludf.DUMMYFUNCTION("""COMPUTED_VALUE"""),373.8798)</f>
        <v>373.8798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IFERROR(__xludf.DUMMYFUNCTION("""COMPUTED_VALUE"""),373.9897)</f>
        <v>373.9897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IFERROR(__xludf.DUMMYFUNCTION("""COMPUTED_VALUE"""),373.9897)</f>
        <v>373.9897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IFERROR(__xludf.DUMMYFUNCTION("""COMPUTED_VALUE"""),374.51925)</f>
        <v>374.51925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IFERROR(__xludf.DUMMYFUNCTION("""COMPUTED_VALUE"""),375.8855)</f>
        <v>375.8855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IFERROR(__xludf.DUMMYFUNCTION("""COMPUTED_VALUE"""),378.21771)</f>
        <v>378.21771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IFERROR(__xludf.DUMMYFUNCTION("""COMPUTED_VALUE"""),380.7557)</f>
        <v>380.7557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IFERROR(__xludf.DUMMYFUNCTION("""COMPUTED_VALUE"""),383.79352)</f>
        <v>383.79352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IFERROR(__xludf.DUMMYFUNCTION("""COMPUTED_VALUE"""),383.79352)</f>
        <v>383.79352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IFERROR(__xludf.DUMMYFUNCTION("""COMPUTED_VALUE"""),385.7952385)</f>
        <v>385.7952385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IFERROR(__xludf.DUMMYFUNCTION("""COMPUTED_VALUE"""),385.45781)</f>
        <v>385.45781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IFERROR(__xludf.DUMMYFUNCTION("""COMPUTED_VALUE"""),384.8801)</f>
        <v>384.8801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IFERROR(__xludf.DUMMYFUNCTION("""COMPUTED_VALUE"""),386.92)</f>
        <v>386.92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IFERROR(__xludf.DUMMYFUNCTION("""COMPUTED_VALUE"""),383.12664)</f>
        <v>383.12664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IFERROR(__xludf.DUMMYFUNCTION("""COMPUTED_VALUE"""),384.59778)</f>
        <v>384.59778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IFERROR(__xludf.DUMMYFUNCTION("""COMPUTED_VALUE"""),386.6130156)</f>
        <v>386.6130156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IFERROR(__xludf.DUMMYFUNCTION("""COMPUTED_VALUE"""),383.92746)</f>
        <v>383.92746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IFERROR(__xludf.DUMMYFUNCTION("""COMPUTED_VALUE"""),390.47352)</f>
        <v>390.47352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IFERROR(__xludf.DUMMYFUNCTION("""COMPUTED_VALUE"""),392.40045)</f>
        <v>392.40045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IFERROR(__xludf.DUMMYFUNCTION("""COMPUTED_VALUE"""),393.15492)</f>
        <v>393.15492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IFERROR(__xludf.DUMMYFUNCTION("""COMPUTED_VALUE"""),389.05806)</f>
        <v>389.05806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IFERROR(__xludf.DUMMYFUNCTION("""COMPUTED_VALUE"""),393.3024)</f>
        <v>393.3024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IFERROR(__xludf.DUMMYFUNCTION("""COMPUTED_VALUE"""),394.8776448)</f>
        <v>394.8776448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IFERROR(__xludf.DUMMYFUNCTION("""COMPUTED_VALUE"""),392.8386)</f>
        <v>392.8386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IFERROR(__xludf.DUMMYFUNCTION("""COMPUTED_VALUE"""),393.6416)</f>
        <v>393.6416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IFERROR(__xludf.DUMMYFUNCTION("""COMPUTED_VALUE"""),394.1899)</f>
        <v>394.1899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IFERROR(__xludf.DUMMYFUNCTION("""COMPUTED_VALUE"""),392.47875)</f>
        <v>392.47875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IFERROR(__xludf.DUMMYFUNCTION("""COMPUTED_VALUE"""),395.1649)</f>
        <v>395.1649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IFERROR(__xludf.DUMMYFUNCTION("""COMPUTED_VALUE"""),397.49469)</f>
        <v>397.49469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IFERROR(__xludf.DUMMYFUNCTION("""COMPUTED_VALUE"""),395.16129)</f>
        <v>395.16129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IFERROR(__xludf.DUMMYFUNCTION("""COMPUTED_VALUE"""),395.04462)</f>
        <v>395.04462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IFERROR(__xludf.DUMMYFUNCTION("""COMPUTED_VALUE"""),395.75063)</f>
        <v>395.75063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IFERROR(__xludf.DUMMYFUNCTION("""COMPUTED_VALUE"""),397.2675)</f>
        <v>397.2675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IFERROR(__xludf.DUMMYFUNCTION("""COMPUTED_VALUE"""),401.7816)</f>
        <v>401.7816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IFERROR(__xludf.DUMMYFUNCTION("""COMPUTED_VALUE"""),401.1876)</f>
        <v>401.1876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IFERROR(__xludf.DUMMYFUNCTION("""COMPUTED_VALUE"""),400.08892)</f>
        <v>400.08892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IFERROR(__xludf.DUMMYFUNCTION("""COMPUTED_VALUE"""),392.2275)</f>
        <v>392.2275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IFERROR(__xludf.DUMMYFUNCTION("""COMPUTED_VALUE"""),391.995)</f>
        <v>391.995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IFERROR(__xludf.DUMMYFUNCTION("""COMPUTED_VALUE"""),401.83185)</f>
        <v>401.83185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IFERROR(__xludf.DUMMYFUNCTION("""COMPUTED_VALUE"""),402.30725)</f>
        <v>402.30725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IFERROR(__xludf.DUMMYFUNCTION("""COMPUTED_VALUE"""),404.53388)</f>
        <v>404.53388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IFERROR(__xludf.DUMMYFUNCTION("""COMPUTED_VALUE"""),406.55125)</f>
        <v>406.55125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IFERROR(__xludf.DUMMYFUNCTION("""COMPUTED_VALUE"""),404.627)</f>
        <v>404.627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IFERROR(__xludf.DUMMYFUNCTION("""COMPUTED_VALUE"""),395.3003)</f>
        <v>395.3003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IFERROR(__xludf.DUMMYFUNCTION("""COMPUTED_VALUE"""),395.41708)</f>
        <v>395.41708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IFERROR(__xludf.DUMMYFUNCTION("""COMPUTED_VALUE"""),400.4607)</f>
        <v>400.4607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IFERROR(__xludf.DUMMYFUNCTION("""COMPUTED_VALUE"""),400.93592)</f>
        <v>400.93592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IFERROR(__xludf.DUMMYFUNCTION("""COMPUTED_VALUE"""),402.54542)</f>
        <v>402.54542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IFERROR(__xludf.DUMMYFUNCTION("""COMPUTED_VALUE"""),403.88634)</f>
        <v>403.88634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IFERROR(__xludf.DUMMYFUNCTION("""COMPUTED_VALUE"""),406.36239)</f>
        <v>406.36239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IFERROR(__xludf.DUMMYFUNCTION("""COMPUTED_VALUE"""),406.3701663)</f>
        <v>406.3701663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IFERROR(__xludf.DUMMYFUNCTION("""COMPUTED_VALUE"""),405.1944)</f>
        <v>405.1944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IFERROR(__xludf.DUMMYFUNCTION("""COMPUTED_VALUE"""),402.94752)</f>
        <v>402.94752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IFERROR(__xludf.DUMMYFUNCTION("""COMPUTED_VALUE"""),403.8608)</f>
        <v>403.8608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IFERROR(__xludf.DUMMYFUNCTION("""COMPUTED_VALUE"""),402.402)</f>
        <v>402.402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IFERROR(__xludf.DUMMYFUNCTION("""COMPUTED_VALUE"""),404.37766)</f>
        <v>404.37766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IFERROR(__xludf.DUMMYFUNCTION("""COMPUTED_VALUE"""),406.03173)</f>
        <v>406.03173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IFERROR(__xludf.DUMMYFUNCTION("""COMPUTED_VALUE"""),406.0750572)</f>
        <v>406.0750572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IFERROR(__xludf.DUMMYFUNCTION("""COMPUTED_VALUE"""),406.27479)</f>
        <v>406.27479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IFERROR(__xludf.DUMMYFUNCTION("""COMPUTED_VALUE"""),405.58833)</f>
        <v>405.58833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IFERROR(__xludf.DUMMYFUNCTION("""COMPUTED_VALUE"""),404.40692)</f>
        <v>404.40692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IFERROR(__xludf.DUMMYFUNCTION("""COMPUTED_VALUE"""),404.16396)</f>
        <v>404.16396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IFERROR(__xludf.DUMMYFUNCTION("""COMPUTED_VALUE"""),404.89284)</f>
        <v>404.89284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IFERROR(__xludf.DUMMYFUNCTION("""COMPUTED_VALUE"""),401.65736)</f>
        <v>401.65736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IFERROR(__xludf.DUMMYFUNCTION("""COMPUTED_VALUE"""),401.9438328)</f>
        <v>401.9438328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IFERROR(__xludf.DUMMYFUNCTION("""COMPUTED_VALUE"""),401.9002)</f>
        <v>401.9002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IFERROR(__xludf.DUMMYFUNCTION("""COMPUTED_VALUE"""),407.86928)</f>
        <v>407.86928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IFERROR(__xludf.DUMMYFUNCTION("""COMPUTED_VALUE"""),406.92826)</f>
        <v>406.92826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IFERROR(__xludf.DUMMYFUNCTION("""COMPUTED_VALUE"""),407.65774)</f>
        <v>407.65774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IFERROR(__xludf.DUMMYFUNCTION("""COMPUTED_VALUE"""),403.48068)</f>
        <v>403.48068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IFERROR(__xludf.DUMMYFUNCTION("""COMPUTED_VALUE"""),402.83316)</f>
        <v>402.83316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IFERROR(__xludf.DUMMYFUNCTION("""COMPUTED_VALUE"""),402.7842531)</f>
        <v>402.7842531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IFERROR(__xludf.DUMMYFUNCTION("""COMPUTED_VALUE"""),403.20848)</f>
        <v>403.20848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IFERROR(__xludf.DUMMYFUNCTION("""COMPUTED_VALUE"""),404.51422)</f>
        <v>404.51422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IFERROR(__xludf.DUMMYFUNCTION("""COMPUTED_VALUE"""),399.8341)</f>
        <v>399.8341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IFERROR(__xludf.DUMMYFUNCTION("""COMPUTED_VALUE"""),400.71486)</f>
        <v>400.71486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IFERROR(__xludf.DUMMYFUNCTION("""COMPUTED_VALUE"""),400.78592)</f>
        <v>400.78592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IFERROR(__xludf.DUMMYFUNCTION("""COMPUTED_VALUE"""),395.39456)</f>
        <v>395.39456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IFERROR(__xludf.DUMMYFUNCTION("""COMPUTED_VALUE"""),395.2718352)</f>
        <v>395.2718352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IFERROR(__xludf.DUMMYFUNCTION("""COMPUTED_VALUE"""),401.84848)</f>
        <v>401.84848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IFERROR(__xludf.DUMMYFUNCTION("""COMPUTED_VALUE"""),393.69396)</f>
        <v>393.69396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IFERROR(__xludf.DUMMYFUNCTION("""COMPUTED_VALUE"""),392.61927)</f>
        <v>392.61927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IFERROR(__xludf.DUMMYFUNCTION("""COMPUTED_VALUE"""),392.45304)</f>
        <v>392.45304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IFERROR(__xludf.DUMMYFUNCTION("""COMPUTED_VALUE"""),394.9435)</f>
        <v>394.9435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IFERROR(__xludf.DUMMYFUNCTION("""COMPUTED_VALUE"""),392.14406)</f>
        <v>392.14406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IFERROR(__xludf.DUMMYFUNCTION("""COMPUTED_VALUE"""),392.4078612)</f>
        <v>392.4078612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IFERROR(__xludf.DUMMYFUNCTION("""COMPUTED_VALUE"""),391.9069)</f>
        <v>391.9069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IFERROR(__xludf.DUMMYFUNCTION("""COMPUTED_VALUE"""),394.74246)</f>
        <v>394.74246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IFERROR(__xludf.DUMMYFUNCTION("""COMPUTED_VALUE"""),400.21716)</f>
        <v>400.21716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IFERROR(__xludf.DUMMYFUNCTION("""COMPUTED_VALUE"""),397.716)</f>
        <v>397.716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IFERROR(__xludf.DUMMYFUNCTION("""COMPUTED_VALUE"""),402.21318)</f>
        <v>402.21318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IFERROR(__xludf.DUMMYFUNCTION("""COMPUTED_VALUE"""),399.34211)</f>
        <v>399.34211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IFERROR(__xludf.DUMMYFUNCTION("""COMPUTED_VALUE"""),399.6358456)</f>
        <v>399.6358456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IFERROR(__xludf.DUMMYFUNCTION("""COMPUTED_VALUE"""),399.82719)</f>
        <v>399.82719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IFERROR(__xludf.DUMMYFUNCTION("""COMPUTED_VALUE"""),402.37903)</f>
        <v>402.37903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IFERROR(__xludf.DUMMYFUNCTION("""COMPUTED_VALUE"""),399.31086)</f>
        <v>399.31086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IFERROR(__xludf.DUMMYFUNCTION("""COMPUTED_VALUE"""),398.38752)</f>
        <v>398.38752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IFERROR(__xludf.DUMMYFUNCTION("""COMPUTED_VALUE"""),399.26184)</f>
        <v>399.26184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IFERROR(__xludf.DUMMYFUNCTION("""COMPUTED_VALUE"""),398.277)</f>
        <v>398.277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IFERROR(__xludf.DUMMYFUNCTION("""COMPUTED_VALUE"""),399.2689228)</f>
        <v>399.2689228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IFERROR(__xludf.DUMMYFUNCTION("""COMPUTED_VALUE"""),398.277)</f>
        <v>398.277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IFERROR(__xludf.DUMMYFUNCTION("""COMPUTED_VALUE"""),399.18993)</f>
        <v>399.18993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IFERROR(__xludf.DUMMYFUNCTION("""COMPUTED_VALUE"""),395.61262)</f>
        <v>395.61262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IFERROR(__xludf.DUMMYFUNCTION("""COMPUTED_VALUE"""),396.9004)</f>
        <v>396.9004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IFERROR(__xludf.DUMMYFUNCTION("""COMPUTED_VALUE"""),396.0498)</f>
        <v>396.0498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IFERROR(__xludf.DUMMYFUNCTION("""COMPUTED_VALUE"""),398.07317)</f>
        <v>398.07317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IFERROR(__xludf.DUMMYFUNCTION("""COMPUTED_VALUE"""),398.6778591)</f>
        <v>398.6778591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IFERROR(__xludf.DUMMYFUNCTION("""COMPUTED_VALUE"""),397.71314)</f>
        <v>397.71314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IFERROR(__xludf.DUMMYFUNCTION("""COMPUTED_VALUE"""),396.97826)</f>
        <v>396.97826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IFERROR(__xludf.DUMMYFUNCTION("""COMPUTED_VALUE"""),394.8307)</f>
        <v>394.8307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IFERROR(__xludf.DUMMYFUNCTION("""COMPUTED_VALUE"""),395.03541)</f>
        <v>395.03541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IFERROR(__xludf.DUMMYFUNCTION("""COMPUTED_VALUE"""),391.3142)</f>
        <v>391.3142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IFERROR(__xludf.DUMMYFUNCTION("""COMPUTED_VALUE"""),383.11406)</f>
        <v>383.11406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IFERROR(__xludf.DUMMYFUNCTION("""COMPUTED_VALUE"""),383.836979)</f>
        <v>383.836979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IFERROR(__xludf.DUMMYFUNCTION("""COMPUTED_VALUE"""),385.87172)</f>
        <v>385.87172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IFERROR(__xludf.DUMMYFUNCTION("""COMPUTED_VALUE"""),384.40455)</f>
        <v>384.40455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IFERROR(__xludf.DUMMYFUNCTION("""COMPUTED_VALUE"""),391.7856)</f>
        <v>391.7856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IFERROR(__xludf.DUMMYFUNCTION("""COMPUTED_VALUE"""),384.79287)</f>
        <v>384.79287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IFERROR(__xludf.DUMMYFUNCTION("""COMPUTED_VALUE"""),387.64256)</f>
        <v>387.64256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IFERROR(__xludf.DUMMYFUNCTION("""COMPUTED_VALUE"""),385.82343)</f>
        <v>385.82343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IFERROR(__xludf.DUMMYFUNCTION("""COMPUTED_VALUE"""),386.315577)</f>
        <v>386.315577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IFERROR(__xludf.DUMMYFUNCTION("""COMPUTED_VALUE"""),385.82343)</f>
        <v>385.82343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IFERROR(__xludf.DUMMYFUNCTION("""COMPUTED_VALUE"""),381.4292)</f>
        <v>381.4292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IFERROR(__xludf.DUMMYFUNCTION("""COMPUTED_VALUE"""),382.6466)</f>
        <v>382.6466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IFERROR(__xludf.DUMMYFUNCTION("""COMPUTED_VALUE"""),383.46142)</f>
        <v>383.46142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IFERROR(__xludf.DUMMYFUNCTION("""COMPUTED_VALUE"""),383.76108)</f>
        <v>383.76108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IFERROR(__xludf.DUMMYFUNCTION("""COMPUTED_VALUE"""),381.777)</f>
        <v>381.777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IFERROR(__xludf.DUMMYFUNCTION("""COMPUTED_VALUE"""),382.5027148)</f>
        <v>382.5027148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IFERROR(__xludf.DUMMYFUNCTION("""COMPUTED_VALUE"""),381.08286)</f>
        <v>381.08286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IFERROR(__xludf.DUMMYFUNCTION("""COMPUTED_VALUE"""),383.83208)</f>
        <v>383.83208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IFERROR(__xludf.DUMMYFUNCTION("""COMPUTED_VALUE"""),381.21536)</f>
        <v>381.21536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IFERROR(__xludf.DUMMYFUNCTION("""COMPUTED_VALUE"""),382.30584)</f>
        <v>382.30584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IFERROR(__xludf.DUMMYFUNCTION("""COMPUTED_VALUE"""),380.0671)</f>
        <v>380.0671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IFERROR(__xludf.DUMMYFUNCTION("""COMPUTED_VALUE"""),375.96572)</f>
        <v>375.96572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IFERROR(__xludf.DUMMYFUNCTION("""COMPUTED_VALUE"""),376.624575)</f>
        <v>376.624575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IFERROR(__xludf.DUMMYFUNCTION("""COMPUTED_VALUE"""),376.07958)</f>
        <v>376.07958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IFERROR(__xludf.DUMMYFUNCTION("""COMPUTED_VALUE"""),377.19)</f>
        <v>377.19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IFERROR(__xludf.DUMMYFUNCTION("""COMPUTED_VALUE"""),379.005)</f>
        <v>379.005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IFERROR(__xludf.DUMMYFUNCTION("""COMPUTED_VALUE"""),377.46935)</f>
        <v>377.46935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IFERROR(__xludf.DUMMYFUNCTION("""COMPUTED_VALUE"""),374.38038)</f>
        <v>374.38038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IFERROR(__xludf.DUMMYFUNCTION("""COMPUTED_VALUE"""),372.768)</f>
        <v>372.768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IFERROR(__xludf.DUMMYFUNCTION("""COMPUTED_VALUE"""),373.5291742)</f>
        <v>373.5291742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IFERROR(__xludf.DUMMYFUNCTION("""COMPUTED_VALUE"""),372.88096)</f>
        <v>372.88096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IFERROR(__xludf.DUMMYFUNCTION("""COMPUTED_VALUE"""),373.11516)</f>
        <v>373.11516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IFERROR(__xludf.DUMMYFUNCTION("""COMPUTED_VALUE"""),371.79975)</f>
        <v>371.79975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IFERROR(__xludf.DUMMYFUNCTION("""COMPUTED_VALUE"""),368.8191)</f>
        <v>368.8191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IFERROR(__xludf.DUMMYFUNCTION("""COMPUTED_VALUE"""),373.12405)</f>
        <v>373.12405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IFERROR(__xludf.DUMMYFUNCTION("""COMPUTED_VALUE"""),372.8127)</f>
        <v>372.8127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IFERROR(__xludf.DUMMYFUNCTION("""COMPUTED_VALUE"""),373.4016592)</f>
        <v>373.4016592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IFERROR(__xludf.DUMMYFUNCTION("""COMPUTED_VALUE"""),372.8127)</f>
        <v>372.8127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IFERROR(__xludf.DUMMYFUNCTION("""COMPUTED_VALUE"""),373.7769)</f>
        <v>373.7769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IFERROR(__xludf.DUMMYFUNCTION("""COMPUTED_VALUE"""),372.84156)</f>
        <v>372.84156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IFERROR(__xludf.DUMMYFUNCTION("""COMPUTED_VALUE"""),374.26755)</f>
        <v>374.26755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IFERROR(__xludf.DUMMYFUNCTION("""COMPUTED_VALUE"""),371.58965)</f>
        <v>371.58965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IFERROR(__xludf.DUMMYFUNCTION("""COMPUTED_VALUE"""),371.4823)</f>
        <v>371.4823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IFERROR(__xludf.DUMMYFUNCTION("""COMPUTED_VALUE"""),372.1401572)</f>
        <v>372.1401572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IFERROR(__xludf.DUMMYFUNCTION("""COMPUTED_VALUE"""),371.36925)</f>
        <v>371.36925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IFERROR(__xludf.DUMMYFUNCTION("""COMPUTED_VALUE"""),368.7138)</f>
        <v>368.7138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IFERROR(__xludf.DUMMYFUNCTION("""COMPUTED_VALUE"""),370.72594)</f>
        <v>370.72594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IFERROR(__xludf.DUMMYFUNCTION("""COMPUTED_VALUE"""),370.83475)</f>
        <v>370.83475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IFERROR(__xludf.DUMMYFUNCTION("""COMPUTED_VALUE"""),373.1482)</f>
        <v>373.1482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IFERROR(__xludf.DUMMYFUNCTION("""COMPUTED_VALUE"""),373.3431)</f>
        <v>373.3431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IFERROR(__xludf.DUMMYFUNCTION("""COMPUTED_VALUE"""),374.0654106)</f>
        <v>374.0654106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IFERROR(__xludf.DUMMYFUNCTION("""COMPUTED_VALUE"""),373.3431)</f>
        <v>373.3431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IFERROR(__xludf.DUMMYFUNCTION("""COMPUTED_VALUE"""),373.8645)</f>
        <v>373.8645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IFERROR(__xludf.DUMMYFUNCTION("""COMPUTED_VALUE"""),374.5076)</f>
        <v>374.5076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IFERROR(__xludf.DUMMYFUNCTION("""COMPUTED_VALUE"""),376.418)</f>
        <v>376.418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IFERROR(__xludf.DUMMYFUNCTION("""COMPUTED_VALUE"""),378.2423)</f>
        <v>378.2423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IFERROR(__xludf.DUMMYFUNCTION("""COMPUTED_VALUE"""),378.7698)</f>
        <v>378.7698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IFERROR(__xludf.DUMMYFUNCTION("""COMPUTED_VALUE"""),379.4518848)</f>
        <v>379.4518848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IFERROR(__xludf.DUMMYFUNCTION("""COMPUTED_VALUE"""),377.6303)</f>
        <v>377.6303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IFERROR(__xludf.DUMMYFUNCTION("""COMPUTED_VALUE"""),377.9598)</f>
        <v>377.9598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IFERROR(__xludf.DUMMYFUNCTION("""COMPUTED_VALUE"""),380.2545)</f>
        <v>380.2545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IFERROR(__xludf.DUMMYFUNCTION("""COMPUTED_VALUE"""),377.7336)</f>
        <v>377.7336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IFERROR(__xludf.DUMMYFUNCTION("""COMPUTED_VALUE"""),378.48615)</f>
        <v>378.48615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IFERROR(__xludf.DUMMYFUNCTION("""COMPUTED_VALUE"""),378.48615)</f>
        <v>378.48615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IFERROR(__xludf.DUMMYFUNCTION("""COMPUTED_VALUE"""),379.3574704)</f>
        <v>379.3574704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IFERROR(__xludf.DUMMYFUNCTION("""COMPUTED_VALUE"""),378.6006)</f>
        <v>378.6006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IFERROR(__xludf.DUMMYFUNCTION("""COMPUTED_VALUE"""),377.5837)</f>
        <v>377.5837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IFERROR(__xludf.DUMMYFUNCTION("""COMPUTED_VALUE"""),380.5892)</f>
        <v>380.5892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IFERROR(__xludf.DUMMYFUNCTION("""COMPUTED_VALUE"""),382.879)</f>
        <v>382.879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IFERROR(__xludf.DUMMYFUNCTION("""COMPUTED_VALUE"""),383.21475)</f>
        <v>383.21475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IFERROR(__xludf.DUMMYFUNCTION("""COMPUTED_VALUE"""),381.8763)</f>
        <v>381.8763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IFERROR(__xludf.DUMMYFUNCTION("""COMPUTED_VALUE"""),381.7339838)</f>
        <v>381.7339838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IFERROR(__xludf.DUMMYFUNCTION("""COMPUTED_VALUE"""),381.99195)</f>
        <v>381.99195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IFERROR(__xludf.DUMMYFUNCTION("""COMPUTED_VALUE"""),382.7684)</f>
        <v>382.7684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IFERROR(__xludf.DUMMYFUNCTION("""COMPUTED_VALUE"""),381.2159)</f>
        <v>381.2159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IFERROR(__xludf.DUMMYFUNCTION("""COMPUTED_VALUE"""),383.17855)</f>
        <v>383.17855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IFERROR(__xludf.DUMMYFUNCTION("""COMPUTED_VALUE"""),383.294)</f>
        <v>383.294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IFERROR(__xludf.DUMMYFUNCTION("""COMPUTED_VALUE"""),382.0677)</f>
        <v>382.0677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IFERROR(__xludf.DUMMYFUNCTION("""COMPUTED_VALUE"""),382.6987836)</f>
        <v>382.6987836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IFERROR(__xludf.DUMMYFUNCTION("""COMPUTED_VALUE"""),382.0677)</f>
        <v>382.0677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IFERROR(__xludf.DUMMYFUNCTION("""COMPUTED_VALUE"""),382.1961)</f>
        <v>382.1961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IFERROR(__xludf.DUMMYFUNCTION("""COMPUTED_VALUE"""),382.0169)</f>
        <v>382.0169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IFERROR(__xludf.DUMMYFUNCTION("""COMPUTED_VALUE"""),383.3141)</f>
        <v>383.3141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IFERROR(__xludf.DUMMYFUNCTION("""COMPUTED_VALUE"""),380.5555)</f>
        <v>380.5555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IFERROR(__xludf.DUMMYFUNCTION("""COMPUTED_VALUE"""),381.69315)</f>
        <v>381.69315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IFERROR(__xludf.DUMMYFUNCTION("""COMPUTED_VALUE"""),382.5432321)</f>
        <v>382.5432321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IFERROR(__xludf.DUMMYFUNCTION("""COMPUTED_VALUE"""),379.2622)</f>
        <v>379.2622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IFERROR(__xludf.DUMMYFUNCTION("""COMPUTED_VALUE"""),381.0816)</f>
        <v>381.0816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IFERROR(__xludf.DUMMYFUNCTION("""COMPUTED_VALUE"""),379.6941)</f>
        <v>379.6941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IFERROR(__xludf.DUMMYFUNCTION("""COMPUTED_VALUE"""),378.53195)</f>
        <v>378.53195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IFERROR(__xludf.DUMMYFUNCTION("""COMPUTED_VALUE"""),378.8928)</f>
        <v>378.8928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IFERROR(__xludf.DUMMYFUNCTION("""COMPUTED_VALUE"""),375.3712)</f>
        <v>375.3712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IFERROR(__xludf.DUMMYFUNCTION("""COMPUTED_VALUE"""),376.5037141)</f>
        <v>376.5037141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IFERROR(__xludf.DUMMYFUNCTION("""COMPUTED_VALUE"""),377.8063)</f>
        <v>377.8063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IFERROR(__xludf.DUMMYFUNCTION("""COMPUTED_VALUE"""),378.3446)</f>
        <v>378.3446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IFERROR(__xludf.DUMMYFUNCTION("""COMPUTED_VALUE"""),379.899)</f>
        <v>379.899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IFERROR(__xludf.DUMMYFUNCTION("""COMPUTED_VALUE"""),381.05925)</f>
        <v>381.05925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IFERROR(__xludf.DUMMYFUNCTION("""COMPUTED_VALUE"""),381.3263)</f>
        <v>381.3263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IFERROR(__xludf.DUMMYFUNCTION("""COMPUTED_VALUE"""),385.30185)</f>
        <v>385.30185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IFERROR(__xludf.DUMMYFUNCTION("""COMPUTED_VALUE"""),384.1617287)</f>
        <v>384.1617287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IFERROR(__xludf.DUMMYFUNCTION("""COMPUTED_VALUE"""),385.1859)</f>
        <v>385.1859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IFERROR(__xludf.DUMMYFUNCTION("""COMPUTED_VALUE"""),384.0232)</f>
        <v>384.0232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IFERROR(__xludf.DUMMYFUNCTION("""COMPUTED_VALUE"""),383.214)</f>
        <v>383.214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IFERROR(__xludf.DUMMYFUNCTION("""COMPUTED_VALUE"""),385.5345)</f>
        <v>385.5345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IFERROR(__xludf.DUMMYFUNCTION("""COMPUTED_VALUE"""),386.22945)</f>
        <v>386.22945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IFERROR(__xludf.DUMMYFUNCTION("""COMPUTED_VALUE"""),389.2108)</f>
        <v>389.2108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IFERROR(__xludf.DUMMYFUNCTION("""COMPUTED_VALUE"""),390.409142)</f>
        <v>390.409142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IFERROR(__xludf.DUMMYFUNCTION("""COMPUTED_VALUE"""),390.409142)</f>
        <v>390.409142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IFERROR(__xludf.DUMMYFUNCTION("""COMPUTED_VALUE"""),391.02)</f>
        <v>391.02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IFERROR(__xludf.DUMMYFUNCTION("""COMPUTED_VALUE"""),392.4118)</f>
        <v>392.4118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IFERROR(__xludf.DUMMYFUNCTION("""COMPUTED_VALUE"""),394.60625)</f>
        <v>394.60625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IFERROR(__xludf.DUMMYFUNCTION("""COMPUTED_VALUE"""),395.74145)</f>
        <v>395.74145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IFERROR(__xludf.DUMMYFUNCTION("""COMPUTED_VALUE"""),393.6758)</f>
        <v>393.6758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IFERROR(__xludf.DUMMYFUNCTION("""COMPUTED_VALUE"""),394.3192092)</f>
        <v>394.3192092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IFERROR(__xludf.DUMMYFUNCTION("""COMPUTED_VALUE"""),394.3192092)</f>
        <v>394.3192092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IFERROR(__xludf.DUMMYFUNCTION("""COMPUTED_VALUE"""),391.6365)</f>
        <v>391.6365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IFERROR(__xludf.DUMMYFUNCTION("""COMPUTED_VALUE"""),393.79395)</f>
        <v>393.79395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IFERROR(__xludf.DUMMYFUNCTION("""COMPUTED_VALUE"""),393.46065)</f>
        <v>393.46065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IFERROR(__xludf.DUMMYFUNCTION("""COMPUTED_VALUE"""),393.5698)</f>
        <v>393.5698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IFERROR(__xludf.DUMMYFUNCTION("""COMPUTED_VALUE"""),392.32265)</f>
        <v>392.32265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IFERROR(__xludf.DUMMYFUNCTION("""COMPUTED_VALUE"""),393.152121)</f>
        <v>393.152121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IFERROR(__xludf.DUMMYFUNCTION("""COMPUTED_VALUE"""),393.0340573)</f>
        <v>393.0340573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IFERROR(__xludf.DUMMYFUNCTION("""COMPUTED_VALUE"""),394.3847)</f>
        <v>394.3847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IFERROR(__xludf.DUMMYFUNCTION("""COMPUTED_VALUE"""),395.41395)</f>
        <v>395.41395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IFERROR(__xludf.DUMMYFUNCTION("""COMPUTED_VALUE"""),400.36675)</f>
        <v>400.36675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IFERROR(__xludf.DUMMYFUNCTION("""COMPUTED_VALUE"""),396.88865)</f>
        <v>396.88865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IFERROR(__xludf.DUMMYFUNCTION("""COMPUTED_VALUE"""),398.5325)</f>
        <v>398.5325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IFERROR(__xludf.DUMMYFUNCTION("""COMPUTED_VALUE"""),399.400934)</f>
        <v>399.400934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IFERROR(__xludf.DUMMYFUNCTION("""COMPUTED_VALUE"""),399.2811736)</f>
        <v>399.2811736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IFERROR(__xludf.DUMMYFUNCTION("""COMPUTED_VALUE"""),400.03956)</f>
        <v>400.03956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IFERROR(__xludf.DUMMYFUNCTION("""COMPUTED_VALUE"""),399.79335)</f>
        <v>399.79335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IFERROR(__xludf.DUMMYFUNCTION("""COMPUTED_VALUE"""),404.0478)</f>
        <v>404.0478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IFERROR(__xludf.DUMMYFUNCTION("""COMPUTED_VALUE"""),403.806)</f>
        <v>403.806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IFERROR(__xludf.DUMMYFUNCTION("""COMPUTED_VALUE"""),403.271)</f>
        <v>403.271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IFERROR(__xludf.DUMMYFUNCTION("""COMPUTED_VALUE"""),403.2451665)</f>
        <v>403.2451665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IFERROR(__xludf.DUMMYFUNCTION("""COMPUTED_VALUE"""),403.1249742)</f>
        <v>403.1249742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IFERROR(__xludf.DUMMYFUNCTION("""COMPUTED_VALUE"""),399.0983)</f>
        <v>399.0983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IFERROR(__xludf.DUMMYFUNCTION("""COMPUTED_VALUE"""),397.698)</f>
        <v>397.698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IFERROR(__xludf.DUMMYFUNCTION("""COMPUTED_VALUE"""),398.174)</f>
        <v>398.174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IFERROR(__xludf.DUMMYFUNCTION("""COMPUTED_VALUE"""),397.1508)</f>
        <v>397.1508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IFERROR(__xludf.DUMMYFUNCTION("""COMPUTED_VALUE"""),396.9542)</f>
        <v>396.9542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IFERROR(__xludf.DUMMYFUNCTION("""COMPUTED_VALUE"""),397.5057856)</f>
        <v>397.5057856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IFERROR(__xludf.DUMMYFUNCTION("""COMPUTED_VALUE"""),397.3870208)</f>
        <v>397.3870208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IFERROR(__xludf.DUMMYFUNCTION("""COMPUTED_VALUE"""),392.084)</f>
        <v>392.084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IFERROR(__xludf.DUMMYFUNCTION("""COMPUTED_VALUE"""),390.66085)</f>
        <v>390.66085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IFERROR(__xludf.DUMMYFUNCTION("""COMPUTED_VALUE"""),389.21865)</f>
        <v>389.21865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IFERROR(__xludf.DUMMYFUNCTION("""COMPUTED_VALUE"""),386.2066)</f>
        <v>386.2066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IFERROR(__xludf.DUMMYFUNCTION("""COMPUTED_VALUE"""),387.49095)</f>
        <v>387.49095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IFERROR(__xludf.DUMMYFUNCTION("""COMPUTED_VALUE"""),388.824096)</f>
        <v>388.824096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IFERROR(__xludf.DUMMYFUNCTION("""COMPUTED_VALUE"""),388.7076816)</f>
        <v>388.7076816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IFERROR(__xludf.DUMMYFUNCTION("""COMPUTED_VALUE"""),389.0942)</f>
        <v>389.0942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IFERROR(__xludf.DUMMYFUNCTION("""COMPUTED_VALUE"""),389.3384)</f>
        <v>389.3384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IFERROR(__xludf.DUMMYFUNCTION("""COMPUTED_VALUE"""),387.79502)</f>
        <v>387.79502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IFERROR(__xludf.DUMMYFUNCTION("""COMPUTED_VALUE"""),388.5112)</f>
        <v>388.5112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IFERROR(__xludf.DUMMYFUNCTION("""COMPUTED_VALUE"""),387.36025)</f>
        <v>387.36025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IFERROR(__xludf.DUMMYFUNCTION("""COMPUTED_VALUE"""),388.1256096)</f>
        <v>388.1256096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IFERROR(__xludf.DUMMYFUNCTION("""COMPUTED_VALUE"""),388.3584384)</f>
        <v>388.3584384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IFERROR(__xludf.DUMMYFUNCTION("""COMPUTED_VALUE"""),385.6416)</f>
        <v>385.6416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IFERROR(__xludf.DUMMYFUNCTION("""COMPUTED_VALUE"""),385.614)</f>
        <v>385.614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IFERROR(__xludf.DUMMYFUNCTION("""COMPUTED_VALUE"""),382.9099)</f>
        <v>382.9099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IFERROR(__xludf.DUMMYFUNCTION("""COMPUTED_VALUE"""),385.14368)</f>
        <v>385.14368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IFERROR(__xludf.DUMMYFUNCTION("""COMPUTED_VALUE"""),384.9813)</f>
        <v>384.9813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IFERROR(__xludf.DUMMYFUNCTION("""COMPUTED_VALUE"""),385.9789588)</f>
        <v>385.9789588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IFERROR(__xludf.DUMMYFUNCTION("""COMPUTED_VALUE"""),385.9789588)</f>
        <v>385.9789588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IFERROR(__xludf.DUMMYFUNCTION("""COMPUTED_VALUE"""),385.67496)</f>
        <v>385.67496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IFERROR(__xludf.DUMMYFUNCTION("""COMPUTED_VALUE"""),384.9813)</f>
        <v>384.9813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IFERROR(__xludf.DUMMYFUNCTION("""COMPUTED_VALUE"""),385.55935)</f>
        <v>385.55935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IFERROR(__xludf.DUMMYFUNCTION("""COMPUTED_VALUE"""),391.6413)</f>
        <v>391.6413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IFERROR(__xludf.DUMMYFUNCTION("""COMPUTED_VALUE"""),395.92018)</f>
        <v>395.92018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IFERROR(__xludf.DUMMYFUNCTION("""COMPUTED_VALUE"""),394.0966306)</f>
        <v>394.0966306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IFERROR(__xludf.DUMMYFUNCTION("""COMPUTED_VALUE"""),396.1993728)</f>
        <v>396.1993728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IFERROR(__xludf.DUMMYFUNCTION("""COMPUTED_VALUE"""),391.79415)</f>
        <v>391.79415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IFERROR(__xludf.DUMMYFUNCTION("""COMPUTED_VALUE"""),387.61)</f>
        <v>387.61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IFERROR(__xludf.DUMMYFUNCTION("""COMPUTED_VALUE"""),392.95236)</f>
        <v>392.95236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IFERROR(__xludf.DUMMYFUNCTION("""COMPUTED_VALUE"""),392.70082)</f>
        <v>392.70082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IFERROR(__xludf.DUMMYFUNCTION("""COMPUTED_VALUE"""),391.69575)</f>
        <v>391.69575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IFERROR(__xludf.DUMMYFUNCTION("""COMPUTED_VALUE"""),393.7424395)</f>
        <v>393.7424395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IFERROR(__xludf.DUMMYFUNCTION("""COMPUTED_VALUE"""),394.0898022)</f>
        <v>394.0898022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IFERROR(__xludf.DUMMYFUNCTION("""COMPUTED_VALUE"""),389.727)</f>
        <v>389.727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IFERROR(__xludf.DUMMYFUNCTION("""COMPUTED_VALUE"""),389.8784)</f>
        <v>389.8784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IFERROR(__xludf.DUMMYFUNCTION("""COMPUTED_VALUE"""),389.51122)</f>
        <v>389.51122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IFERROR(__xludf.DUMMYFUNCTION("""COMPUTED_VALUE"""),388.8444)</f>
        <v>388.8444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IFERROR(__xludf.DUMMYFUNCTION("""COMPUTED_VALUE"""),390.02781)</f>
        <v>390.02781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IFERROR(__xludf.DUMMYFUNCTION("""COMPUTED_VALUE"""),390.5372832)</f>
        <v>390.5372832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IFERROR(__xludf.DUMMYFUNCTION("""COMPUTED_VALUE"""),390.3036384)</f>
        <v>390.3036384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IFERROR(__xludf.DUMMYFUNCTION("""COMPUTED_VALUE"""),388.944)</f>
        <v>388.944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IFERROR(__xludf.DUMMYFUNCTION("""COMPUTED_VALUE"""),388.02801)</f>
        <v>388.02801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IFERROR(__xludf.DUMMYFUNCTION("""COMPUTED_VALUE"""),389.493)</f>
        <v>389.493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IFERROR(__xludf.DUMMYFUNCTION("""COMPUTED_VALUE"""),389.56104)</f>
        <v>389.56104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IFERROR(__xludf.DUMMYFUNCTION("""COMPUTED_VALUE"""),388.1614)</f>
        <v>388.1614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IFERROR(__xludf.DUMMYFUNCTION("""COMPUTED_VALUE"""),389.018592)</f>
        <v>389.018592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IFERROR(__xludf.DUMMYFUNCTION("""COMPUTED_VALUE"""),387.3830784)</f>
        <v>387.3830784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IFERROR(__xludf.DUMMYFUNCTION("""COMPUTED_VALUE"""),389.66038)</f>
        <v>389.66038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IFERROR(__xludf.DUMMYFUNCTION("""COMPUTED_VALUE"""),389.66038)</f>
        <v>389.66038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IFERROR(__xludf.DUMMYFUNCTION("""COMPUTED_VALUE"""),390.42755)</f>
        <v>390.42755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IFERROR(__xludf.DUMMYFUNCTION("""COMPUTED_VALUE"""),391.9839)</f>
        <v>391.9839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IFERROR(__xludf.DUMMYFUNCTION("""COMPUTED_VALUE"""),389.76102)</f>
        <v>389.76102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IFERROR(__xludf.DUMMYFUNCTION("""COMPUTED_VALUE"""),390.280968)</f>
        <v>390.280968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IFERROR(__xludf.DUMMYFUNCTION("""COMPUTED_VALUE"""),390.398064)</f>
        <v>390.398064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IFERROR(__xludf.DUMMYFUNCTION("""COMPUTED_VALUE"""),391.74968)</f>
        <v>391.74968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IFERROR(__xludf.DUMMYFUNCTION("""COMPUTED_VALUE"""),392.56849)</f>
        <v>392.56849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IFERROR(__xludf.DUMMYFUNCTION("""COMPUTED_VALUE"""),393.60615)</f>
        <v>393.60615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IFERROR(__xludf.DUMMYFUNCTION("""COMPUTED_VALUE"""),386.86595)</f>
        <v>386.86595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IFERROR(__xludf.DUMMYFUNCTION("""COMPUTED_VALUE"""),391.39758)</f>
        <v>391.39758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IFERROR(__xludf.DUMMYFUNCTION("""COMPUTED_VALUE"""),391.9011012)</f>
        <v>391.9011012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IFERROR(__xludf.DUMMYFUNCTION("""COMPUTED_VALUE"""),392.018472)</f>
        <v>392.018472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IFERROR(__xludf.DUMMYFUNCTION("""COMPUTED_VALUE"""),390.0429)</f>
        <v>390.0429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IFERROR(__xludf.DUMMYFUNCTION("""COMPUTED_VALUE"""),395.60304)</f>
        <v>395.60304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IFERROR(__xludf.DUMMYFUNCTION("""COMPUTED_VALUE"""),393.2032)</f>
        <v>393.2032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IFERROR(__xludf.DUMMYFUNCTION("""COMPUTED_VALUE"""),394.2939)</f>
        <v>394.2939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IFERROR(__xludf.DUMMYFUNCTION("""COMPUTED_VALUE"""),396.959)</f>
        <v>396.959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IFERROR(__xludf.DUMMYFUNCTION("""COMPUTED_VALUE"""),397.1427936)</f>
        <v>397.1427936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IFERROR(__xludf.DUMMYFUNCTION("""COMPUTED_VALUE"""),397.7380316)</f>
        <v>397.7380316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IFERROR(__xludf.DUMMYFUNCTION("""COMPUTED_VALUE"""),396.60005)</f>
        <v>396.60005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IFERROR(__xludf.DUMMYFUNCTION("""COMPUTED_VALUE"""),397.78215)</f>
        <v>397.78215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IFERROR(__xludf.DUMMYFUNCTION("""COMPUTED_VALUE"""),393.07132)</f>
        <v>393.07132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IFERROR(__xludf.DUMMYFUNCTION("""COMPUTED_VALUE"""),397.01173)</f>
        <v>397.01173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IFERROR(__xludf.DUMMYFUNCTION("""COMPUTED_VALUE"""),395.439)</f>
        <v>395.439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IFERROR(__xludf.DUMMYFUNCTION("""COMPUTED_VALUE"""),396.278448)</f>
        <v>396.278448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IFERROR(__xludf.DUMMYFUNCTION("""COMPUTED_VALUE"""),396.518544)</f>
        <v>396.518544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IFERROR(__xludf.DUMMYFUNCTION("""COMPUTED_VALUE"""),396.56304)</f>
        <v>396.56304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IFERROR(__xludf.DUMMYFUNCTION("""COMPUTED_VALUE"""),394.7706)</f>
        <v>394.7706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IFERROR(__xludf.DUMMYFUNCTION("""COMPUTED_VALUE"""),393.40242)</f>
        <v>393.40242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IFERROR(__xludf.DUMMYFUNCTION("""COMPUTED_VALUE"""),395.99268)</f>
        <v>395.99268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IFERROR(__xludf.DUMMYFUNCTION("""COMPUTED_VALUE"""),396.0835)</f>
        <v>396.0835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IFERROR(__xludf.DUMMYFUNCTION("""COMPUTED_VALUE"""),396.5016064)</f>
        <v>396.5016064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IFERROR(__xludf.DUMMYFUNCTION("""COMPUTED_VALUE"""),396.1397248)</f>
        <v>396.1397248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IFERROR(__xludf.DUMMYFUNCTION("""COMPUTED_VALUE"""),398.50044)</f>
        <v>398.50044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IFERROR(__xludf.DUMMYFUNCTION("""COMPUTED_VALUE"""),400.92275)</f>
        <v>400.92275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IFERROR(__xludf.DUMMYFUNCTION("""COMPUTED_VALUE"""),398.9557)</f>
        <v>398.9557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IFERROR(__xludf.DUMMYFUNCTION("""COMPUTED_VALUE"""),398.96928)</f>
        <v>398.96928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IFERROR(__xludf.DUMMYFUNCTION("""COMPUTED_VALUE"""),396.73517)</f>
        <v>396.73517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IFERROR(__xludf.DUMMYFUNCTION("""COMPUTED_VALUE"""),397.1950584)</f>
        <v>397.1950584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IFERROR(__xludf.DUMMYFUNCTION("""COMPUTED_VALUE"""),397.0731072)</f>
        <v>397.0731072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IFERROR(__xludf.DUMMYFUNCTION("""COMPUTED_VALUE"""),402.30864)</f>
        <v>402.30864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IFERROR(__xludf.DUMMYFUNCTION("""COMPUTED_VALUE"""),403.68272)</f>
        <v>403.68272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IFERROR(__xludf.DUMMYFUNCTION("""COMPUTED_VALUE"""),403.4184)</f>
        <v>403.4184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IFERROR(__xludf.DUMMYFUNCTION("""COMPUTED_VALUE"""),399.16608)</f>
        <v>399.16608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IFERROR(__xludf.DUMMYFUNCTION("""COMPUTED_VALUE"""),400.3659)</f>
        <v>400.3659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IFERROR(__xludf.DUMMYFUNCTION("""COMPUTED_VALUE"""),400.8554547)</f>
        <v>400.8554547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IFERROR(__xludf.DUMMYFUNCTION("""COMPUTED_VALUE"""),401.4667012)</f>
        <v>401.4667012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IFERROR(__xludf.DUMMYFUNCTION("""COMPUTED_VALUE"""),402.844)</f>
        <v>402.844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IFERROR(__xludf.DUMMYFUNCTION("""COMPUTED_VALUE"""),400.33836)</f>
        <v>400.33836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IFERROR(__xludf.DUMMYFUNCTION("""COMPUTED_VALUE"""),408.01499)</f>
        <v>408.01499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IFERROR(__xludf.DUMMYFUNCTION("""COMPUTED_VALUE"""),403.1742)</f>
        <v>403.1742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IFERROR(__xludf.DUMMYFUNCTION("""COMPUTED_VALUE"""),396.70356)</f>
        <v>396.70356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IFERROR(__xludf.DUMMYFUNCTION("""COMPUTED_VALUE"""),397.4544759)</f>
        <v>397.4544759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IFERROR(__xludf.DUMMYFUNCTION("""COMPUTED_VALUE"""),396.9696275)</f>
        <v>396.9696275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IFERROR(__xludf.DUMMYFUNCTION("""COMPUTED_VALUE"""),396.47382)</f>
        <v>396.47382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IFERROR(__xludf.DUMMYFUNCTION("""COMPUTED_VALUE"""),393.29347)</f>
        <v>393.29347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IFERROR(__xludf.DUMMYFUNCTION("""COMPUTED_VALUE"""),392.944)</f>
        <v>392.944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IFERROR(__xludf.DUMMYFUNCTION("""COMPUTED_VALUE"""),396.00675)</f>
        <v>396.00675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IFERROR(__xludf.DUMMYFUNCTION("""COMPUTED_VALUE"""),397.7505)</f>
        <v>397.7505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IFERROR(__xludf.DUMMYFUNCTION("""COMPUTED_VALUE"""),398.3068566)</f>
        <v>398.3068566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IFERROR(__xludf.DUMMYFUNCTION("""COMPUTED_VALUE"""),398.4277755)</f>
        <v>398.4277755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IFERROR(__xludf.DUMMYFUNCTION("""COMPUTED_VALUE"""),398.816)</f>
        <v>398.816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IFERROR(__xludf.DUMMYFUNCTION("""COMPUTED_VALUE"""),400.521)</f>
        <v>400.521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IFERROR(__xludf.DUMMYFUNCTION("""COMPUTED_VALUE"""),394.92472)</f>
        <v>394.92472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IFERROR(__xludf.DUMMYFUNCTION("""COMPUTED_VALUE"""),400.0995)</f>
        <v>400.0995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IFERROR(__xludf.DUMMYFUNCTION("""COMPUTED_VALUE"""),394.4476)</f>
        <v>394.4476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IFERROR(__xludf.DUMMYFUNCTION("""COMPUTED_VALUE"""),395.1629652)</f>
        <v>395.1629652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IFERROR(__xludf.DUMMYFUNCTION("""COMPUTED_VALUE"""),394.5583707)</f>
        <v>394.5583707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IFERROR(__xludf.DUMMYFUNCTION("""COMPUTED_VALUE"""),394.80927)</f>
        <v>394.80927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IFERROR(__xludf.DUMMYFUNCTION("""COMPUTED_VALUE"""),398.2979)</f>
        <v>398.2979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IFERROR(__xludf.DUMMYFUNCTION("""COMPUTED_VALUE"""),398.00075)</f>
        <v>398.00075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IFERROR(__xludf.DUMMYFUNCTION("""COMPUTED_VALUE"""),393.0525)</f>
        <v>393.0525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IFERROR(__xludf.DUMMYFUNCTION("""COMPUTED_VALUE"""),399.34)</f>
        <v>399.34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IFERROR(__xludf.DUMMYFUNCTION("""COMPUTED_VALUE"""),399.999936)</f>
        <v>399.999936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IFERROR(__xludf.DUMMYFUNCTION("""COMPUTED_VALUE"""),400.2438384)</f>
        <v>400.2438384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IFERROR(__xludf.DUMMYFUNCTION("""COMPUTED_VALUE"""),396.0099)</f>
        <v>396.0099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IFERROR(__xludf.DUMMYFUNCTION("""COMPUTED_VALUE"""),398.4048)</f>
        <v>398.4048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IFERROR(__xludf.DUMMYFUNCTION("""COMPUTED_VALUE"""),387.42473)</f>
        <v>387.42473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IFERROR(__xludf.DUMMYFUNCTION("""COMPUTED_VALUE"""),388.39969)</f>
        <v>388.39969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IFERROR(__xludf.DUMMYFUNCTION("""COMPUTED_VALUE"""),389.18)</f>
        <v>389.18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IFERROR(__xludf.DUMMYFUNCTION("""COMPUTED_VALUE"""),389.975267)</f>
        <v>389.975267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IFERROR(__xludf.DUMMYFUNCTION("""COMPUTED_VALUE"""),389.975267)</f>
        <v>389.975267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IFERROR(__xludf.DUMMYFUNCTION("""COMPUTED_VALUE"""),385.97175)</f>
        <v>385.97175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IFERROR(__xludf.DUMMYFUNCTION("""COMPUTED_VALUE"""),393.94125)</f>
        <v>393.94125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IFERROR(__xludf.DUMMYFUNCTION("""COMPUTED_VALUE"""),391.98378)</f>
        <v>391.98378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IFERROR(__xludf.DUMMYFUNCTION("""COMPUTED_VALUE"""),382.91748)</f>
        <v>382.91748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IFERROR(__xludf.DUMMYFUNCTION("""COMPUTED_VALUE"""),391.28925)</f>
        <v>391.28925</v>
      </c>
    </row>
    <row r="1653">
      <c r="A1653" s="3">
        <f>IFERROR(__xludf.DUMMYFUNCTION("""COMPUTED_VALUE"""),41967.99861111111)</f>
        <v>41967.99861</v>
      </c>
      <c r="B1653" s="1">
        <f>IFERROR(__xludf.DUMMYFUNCTION("""COMPUTED_VALUE"""),382.67482)</f>
        <v>382.67482</v>
      </c>
    </row>
    <row r="1654">
      <c r="A1654" s="3">
        <f>IFERROR(__xludf.DUMMYFUNCTION("""COMPUTED_VALUE"""),41968.99861111111)</f>
        <v>41968.99861</v>
      </c>
      <c r="B1654" s="1">
        <f>IFERROR(__xludf.DUMMYFUNCTION("""COMPUTED_VALUE"""),383.28147)</f>
        <v>383.28147</v>
      </c>
    </row>
    <row r="1655">
      <c r="A1655" s="3">
        <f>IFERROR(__xludf.DUMMYFUNCTION("""COMPUTED_VALUE"""),41969.99861111111)</f>
        <v>41969.99861</v>
      </c>
      <c r="B1655" s="1">
        <f>IFERROR(__xludf.DUMMYFUNCTION("""COMPUTED_VALUE"""),385.4605)</f>
        <v>385.4605</v>
      </c>
    </row>
    <row r="1656">
      <c r="A1656" s="3">
        <f>IFERROR(__xludf.DUMMYFUNCTION("""COMPUTED_VALUE"""),41970.99861111111)</f>
        <v>41970.99861</v>
      </c>
      <c r="B1656" s="1">
        <f>IFERROR(__xludf.DUMMYFUNCTION("""COMPUTED_VALUE"""),383.87775)</f>
        <v>383.87775</v>
      </c>
    </row>
    <row r="1657">
      <c r="A1657" s="3">
        <f>IFERROR(__xludf.DUMMYFUNCTION("""COMPUTED_VALUE"""),41971.99861111111)</f>
        <v>41971.99861</v>
      </c>
      <c r="B1657" s="1">
        <f>IFERROR(__xludf.DUMMYFUNCTION("""COMPUTED_VALUE"""),382.66025)</f>
        <v>382.66025</v>
      </c>
    </row>
    <row r="1658">
      <c r="A1658" s="3">
        <f>IFERROR(__xludf.DUMMYFUNCTION("""COMPUTED_VALUE"""),41974.99861111111)</f>
        <v>41974.99861</v>
      </c>
      <c r="B1658" s="1">
        <f>IFERROR(__xludf.DUMMYFUNCTION("""COMPUTED_VALUE"""),394.47135)</f>
        <v>394.47135</v>
      </c>
    </row>
    <row r="1659">
      <c r="A1659" s="3">
        <f>IFERROR(__xludf.DUMMYFUNCTION("""COMPUTED_VALUE"""),41975.99861111111)</f>
        <v>41975.99861</v>
      </c>
      <c r="B1659" s="1">
        <f>IFERROR(__xludf.DUMMYFUNCTION("""COMPUTED_VALUE"""),383.7834)</f>
        <v>383.7834</v>
      </c>
    </row>
    <row r="1660">
      <c r="A1660" s="3">
        <f>IFERROR(__xludf.DUMMYFUNCTION("""COMPUTED_VALUE"""),41976.99861111111)</f>
        <v>41976.99861</v>
      </c>
      <c r="B1660" s="1">
        <f>IFERROR(__xludf.DUMMYFUNCTION("""COMPUTED_VALUE"""),394.1028)</f>
        <v>394.1028</v>
      </c>
    </row>
    <row r="1661">
      <c r="A1661" s="3">
        <f>IFERROR(__xludf.DUMMYFUNCTION("""COMPUTED_VALUE"""),41977.99861111111)</f>
        <v>41977.99861</v>
      </c>
      <c r="B1661" s="1">
        <f>IFERROR(__xludf.DUMMYFUNCTION("""COMPUTED_VALUE"""),393.73425)</f>
        <v>393.73425</v>
      </c>
    </row>
    <row r="1662">
      <c r="A1662" s="3">
        <f>IFERROR(__xludf.DUMMYFUNCTION("""COMPUTED_VALUE"""),41978.99861111111)</f>
        <v>41978.99861</v>
      </c>
      <c r="B1662" s="1">
        <f>IFERROR(__xludf.DUMMYFUNCTION("""COMPUTED_VALUE"""),393.8571)</f>
        <v>393.8571</v>
      </c>
    </row>
    <row r="1663">
      <c r="A1663" s="3">
        <f>IFERROR(__xludf.DUMMYFUNCTION("""COMPUTED_VALUE"""),41981.99861111111)</f>
        <v>41981.99861</v>
      </c>
      <c r="B1663" s="1">
        <f>IFERROR(__xludf.DUMMYFUNCTION("""COMPUTED_VALUE"""),392.6286)</f>
        <v>392.6286</v>
      </c>
    </row>
    <row r="1664">
      <c r="A1664" s="3">
        <f>IFERROR(__xludf.DUMMYFUNCTION("""COMPUTED_VALUE"""),41982.99861111111)</f>
        <v>41982.99861</v>
      </c>
      <c r="B1664" s="1">
        <f>IFERROR(__xludf.DUMMYFUNCTION("""COMPUTED_VALUE"""),392.6286)</f>
        <v>392.6286</v>
      </c>
    </row>
    <row r="1665">
      <c r="A1665" s="3">
        <f>IFERROR(__xludf.DUMMYFUNCTION("""COMPUTED_VALUE"""),41983.99861111111)</f>
        <v>41983.99861</v>
      </c>
      <c r="B1665" s="1">
        <f>IFERROR(__xludf.DUMMYFUNCTION("""COMPUTED_VALUE"""),392.99715)</f>
        <v>392.99715</v>
      </c>
    </row>
    <row r="1666">
      <c r="A1666" s="3">
        <f>IFERROR(__xludf.DUMMYFUNCTION("""COMPUTED_VALUE"""),41984.99861111111)</f>
        <v>41984.99861</v>
      </c>
      <c r="B1666" s="1">
        <f>IFERROR(__xludf.DUMMYFUNCTION("""COMPUTED_VALUE"""),398.69137)</f>
        <v>398.69137</v>
      </c>
    </row>
    <row r="1667">
      <c r="A1667" s="3">
        <f>IFERROR(__xludf.DUMMYFUNCTION("""COMPUTED_VALUE"""),41985.99861111111)</f>
        <v>41985.99861</v>
      </c>
      <c r="B1667" s="1">
        <f>IFERROR(__xludf.DUMMYFUNCTION("""COMPUTED_VALUE"""),402.57504)</f>
        <v>402.57504</v>
      </c>
    </row>
    <row r="1668">
      <c r="A1668" s="3">
        <f>IFERROR(__xludf.DUMMYFUNCTION("""COMPUTED_VALUE"""),41988.99861111111)</f>
        <v>41988.99861</v>
      </c>
      <c r="B1668" s="1">
        <f>IFERROR(__xludf.DUMMYFUNCTION("""COMPUTED_VALUE"""),397.4505)</f>
        <v>397.4505</v>
      </c>
    </row>
    <row r="1669">
      <c r="A1669" s="3">
        <f>IFERROR(__xludf.DUMMYFUNCTION("""COMPUTED_VALUE"""),41989.99861111111)</f>
        <v>41989.99861</v>
      </c>
      <c r="B1669" s="1">
        <f>IFERROR(__xludf.DUMMYFUNCTION("""COMPUTED_VALUE"""),405.92475)</f>
        <v>405.92475</v>
      </c>
    </row>
    <row r="1670">
      <c r="A1670" s="3">
        <f>IFERROR(__xludf.DUMMYFUNCTION("""COMPUTED_VALUE"""),41990.99861111111)</f>
        <v>41990.99861</v>
      </c>
      <c r="B1670" s="1">
        <f>IFERROR(__xludf.DUMMYFUNCTION("""COMPUTED_VALUE"""),404.14197)</f>
        <v>404.14197</v>
      </c>
    </row>
    <row r="1671">
      <c r="A1671" s="3">
        <f>IFERROR(__xludf.DUMMYFUNCTION("""COMPUTED_VALUE"""),41991.99861111111)</f>
        <v>41991.99861</v>
      </c>
      <c r="B1671" s="1">
        <f>IFERROR(__xludf.DUMMYFUNCTION("""COMPUTED_VALUE"""),396.864)</f>
        <v>396.864</v>
      </c>
    </row>
    <row r="1672">
      <c r="A1672" s="3">
        <f>IFERROR(__xludf.DUMMYFUNCTION("""COMPUTED_VALUE"""),41992.99861111111)</f>
        <v>41992.99861</v>
      </c>
      <c r="B1672" s="1">
        <f>IFERROR(__xludf.DUMMYFUNCTION("""COMPUTED_VALUE"""),392.89959)</f>
        <v>392.89959</v>
      </c>
    </row>
    <row r="1673">
      <c r="A1673" s="3">
        <f>IFERROR(__xludf.DUMMYFUNCTION("""COMPUTED_VALUE"""),41995.99861111111)</f>
        <v>41995.99861</v>
      </c>
      <c r="B1673" s="1">
        <f>IFERROR(__xludf.DUMMYFUNCTION("""COMPUTED_VALUE"""),394.4836)</f>
        <v>394.4836</v>
      </c>
    </row>
    <row r="1674">
      <c r="A1674" s="3">
        <f>IFERROR(__xludf.DUMMYFUNCTION("""COMPUTED_VALUE"""),41996.99861111111)</f>
        <v>41996.99861</v>
      </c>
      <c r="B1674" s="1">
        <f>IFERROR(__xludf.DUMMYFUNCTION("""COMPUTED_VALUE"""),390.8242)</f>
        <v>390.8242</v>
      </c>
    </row>
    <row r="1675">
      <c r="A1675" s="3">
        <f>IFERROR(__xludf.DUMMYFUNCTION("""COMPUTED_VALUE"""),41997.99861111111)</f>
        <v>41997.99861</v>
      </c>
      <c r="B1675" s="1">
        <f>IFERROR(__xludf.DUMMYFUNCTION("""COMPUTED_VALUE"""),391.9321)</f>
        <v>391.9321</v>
      </c>
    </row>
    <row r="1676">
      <c r="A1676" s="3">
        <f>IFERROR(__xludf.DUMMYFUNCTION("""COMPUTED_VALUE"""),41998.99861111111)</f>
        <v>41998.99861</v>
      </c>
      <c r="B1676" s="1">
        <f>IFERROR(__xludf.DUMMYFUNCTION("""COMPUTED_VALUE"""),392.6803)</f>
        <v>392.6803</v>
      </c>
    </row>
    <row r="1677">
      <c r="A1677" s="3">
        <f>IFERROR(__xludf.DUMMYFUNCTION("""COMPUTED_VALUE"""),41999.99861111111)</f>
        <v>41999.99861</v>
      </c>
      <c r="B1677" s="1">
        <f>IFERROR(__xludf.DUMMYFUNCTION("""COMPUTED_VALUE"""),390.915)</f>
        <v>390.915</v>
      </c>
    </row>
    <row r="1678">
      <c r="A1678" s="3">
        <f>IFERROR(__xludf.DUMMYFUNCTION("""COMPUTED_VALUE"""),42002.99861111111)</f>
        <v>42002.99861</v>
      </c>
      <c r="B1678" s="1">
        <f>IFERROR(__xludf.DUMMYFUNCTION("""COMPUTED_VALUE"""),390.6668)</f>
        <v>390.6668</v>
      </c>
    </row>
    <row r="1679">
      <c r="A1679" s="3">
        <f>IFERROR(__xludf.DUMMYFUNCTION("""COMPUTED_VALUE"""),42003.99861111111)</f>
        <v>42003.99861</v>
      </c>
      <c r="B1679" s="1">
        <f>IFERROR(__xludf.DUMMYFUNCTION("""COMPUTED_VALUE"""),391.7268)</f>
        <v>391.7268</v>
      </c>
    </row>
    <row r="1680">
      <c r="A1680" s="3">
        <f>IFERROR(__xludf.DUMMYFUNCTION("""COMPUTED_VALUE"""),42004.99861111111)</f>
        <v>42004.99861</v>
      </c>
      <c r="B1680" s="1">
        <f>IFERROR(__xludf.DUMMYFUNCTION("""COMPUTED_VALUE"""),390.5328)</f>
        <v>390.5328</v>
      </c>
    </row>
    <row r="1681">
      <c r="A1681" s="3">
        <f>IFERROR(__xludf.DUMMYFUNCTION("""COMPUTED_VALUE"""),42005.99861111111)</f>
        <v>42005.99861</v>
      </c>
      <c r="B1681" s="1">
        <f>IFERROR(__xludf.DUMMYFUNCTION("""COMPUTED_VALUE"""),390.5328)</f>
        <v>390.5328</v>
      </c>
    </row>
    <row r="1682">
      <c r="A1682" s="3">
        <f>IFERROR(__xludf.DUMMYFUNCTION("""COMPUTED_VALUE"""),42006.99861111111)</f>
        <v>42006.99861</v>
      </c>
      <c r="B1682" s="1">
        <f>IFERROR(__xludf.DUMMYFUNCTION("""COMPUTED_VALUE"""),393.3696)</f>
        <v>393.3696</v>
      </c>
    </row>
    <row r="1683">
      <c r="A1683" s="3">
        <f>IFERROR(__xludf.DUMMYFUNCTION("""COMPUTED_VALUE"""),42009.99861111111)</f>
        <v>42009.99861</v>
      </c>
      <c r="B1683" s="1">
        <f>IFERROR(__xludf.DUMMYFUNCTION("""COMPUTED_VALUE"""),394.405)</f>
        <v>394.405</v>
      </c>
    </row>
    <row r="1684">
      <c r="A1684" s="3">
        <f>IFERROR(__xludf.DUMMYFUNCTION("""COMPUTED_VALUE"""),42010.99861111111)</f>
        <v>42010.99861</v>
      </c>
      <c r="B1684" s="1">
        <f>IFERROR(__xludf.DUMMYFUNCTION("""COMPUTED_VALUE"""),394.84375)</f>
        <v>394.84375</v>
      </c>
    </row>
    <row r="1685">
      <c r="A1685" s="3">
        <f>IFERROR(__xludf.DUMMYFUNCTION("""COMPUTED_VALUE"""),42011.99861111111)</f>
        <v>42011.99861</v>
      </c>
      <c r="B1685" s="1">
        <f>IFERROR(__xludf.DUMMYFUNCTION("""COMPUTED_VALUE"""),397.5)</f>
        <v>397.5</v>
      </c>
    </row>
    <row r="1686">
      <c r="A1686" s="3">
        <f>IFERROR(__xludf.DUMMYFUNCTION("""COMPUTED_VALUE"""),42012.99861111111)</f>
        <v>42012.99861</v>
      </c>
      <c r="B1686" s="1">
        <f>IFERROR(__xludf.DUMMYFUNCTION("""COMPUTED_VALUE"""),393.9364)</f>
        <v>393.9364</v>
      </c>
    </row>
    <row r="1687">
      <c r="A1687" s="3">
        <f>IFERROR(__xludf.DUMMYFUNCTION("""COMPUTED_VALUE"""),42013.99861111111)</f>
        <v>42013.99861</v>
      </c>
      <c r="B1687" s="1">
        <f>IFERROR(__xludf.DUMMYFUNCTION("""COMPUTED_VALUE"""),393.41015)</f>
        <v>393.41015</v>
      </c>
    </row>
    <row r="1688">
      <c r="A1688" s="3">
        <f>IFERROR(__xludf.DUMMYFUNCTION("""COMPUTED_VALUE"""),42016.99861111111)</f>
        <v>42016.99861</v>
      </c>
      <c r="B1688" s="1">
        <f>IFERROR(__xludf.DUMMYFUNCTION("""COMPUTED_VALUE"""),394.19562)</f>
        <v>394.19562</v>
      </c>
    </row>
    <row r="1689">
      <c r="A1689" s="3">
        <f>IFERROR(__xludf.DUMMYFUNCTION("""COMPUTED_VALUE"""),42017.99861111111)</f>
        <v>42017.99861</v>
      </c>
      <c r="B1689" s="1">
        <f>IFERROR(__xludf.DUMMYFUNCTION("""COMPUTED_VALUE"""),394.98006)</f>
        <v>394.98006</v>
      </c>
    </row>
    <row r="1690">
      <c r="A1690" s="3">
        <f>IFERROR(__xludf.DUMMYFUNCTION("""COMPUTED_VALUE"""),42018.99861111111)</f>
        <v>42018.99861</v>
      </c>
      <c r="B1690" s="1">
        <f>IFERROR(__xludf.DUMMYFUNCTION("""COMPUTED_VALUE"""),394.35255)</f>
        <v>394.35255</v>
      </c>
    </row>
    <row r="1691">
      <c r="A1691" s="3">
        <f>IFERROR(__xludf.DUMMYFUNCTION("""COMPUTED_VALUE"""),42019.99861111111)</f>
        <v>42019.99861</v>
      </c>
      <c r="B1691" s="1">
        <f>IFERROR(__xludf.DUMMYFUNCTION("""COMPUTED_VALUE"""),392.27474)</f>
        <v>392.27474</v>
      </c>
    </row>
    <row r="1692">
      <c r="A1692" s="3">
        <f>IFERROR(__xludf.DUMMYFUNCTION("""COMPUTED_VALUE"""),42020.99861111111)</f>
        <v>42020.99861</v>
      </c>
      <c r="B1692" s="1">
        <f>IFERROR(__xludf.DUMMYFUNCTION("""COMPUTED_VALUE"""),397.528)</f>
        <v>397.528</v>
      </c>
    </row>
    <row r="1693">
      <c r="A1693" s="3">
        <f>IFERROR(__xludf.DUMMYFUNCTION("""COMPUTED_VALUE"""),42023.99861111111)</f>
        <v>42023.99861</v>
      </c>
      <c r="B1693" s="1">
        <f>IFERROR(__xludf.DUMMYFUNCTION("""COMPUTED_VALUE"""),400.2447)</f>
        <v>400.2447</v>
      </c>
    </row>
    <row r="1694">
      <c r="A1694" s="3">
        <f>IFERROR(__xludf.DUMMYFUNCTION("""COMPUTED_VALUE"""),42024.99861111111)</f>
        <v>42024.99861</v>
      </c>
      <c r="B1694" s="1">
        <f>IFERROR(__xludf.DUMMYFUNCTION("""COMPUTED_VALUE"""),396.3311)</f>
        <v>396.3311</v>
      </c>
    </row>
    <row r="1695">
      <c r="A1695" s="3">
        <f>IFERROR(__xludf.DUMMYFUNCTION("""COMPUTED_VALUE"""),42025.99861111111)</f>
        <v>42025.99861</v>
      </c>
      <c r="B1695" s="1">
        <f>IFERROR(__xludf.DUMMYFUNCTION("""COMPUTED_VALUE"""),395.01585)</f>
        <v>395.01585</v>
      </c>
    </row>
    <row r="1696">
      <c r="A1696" s="3">
        <f>IFERROR(__xludf.DUMMYFUNCTION("""COMPUTED_VALUE"""),42026.99861111111)</f>
        <v>42026.99861</v>
      </c>
      <c r="B1696" s="1">
        <f>IFERROR(__xludf.DUMMYFUNCTION("""COMPUTED_VALUE"""),393.61065)</f>
        <v>393.61065</v>
      </c>
    </row>
    <row r="1697">
      <c r="A1697" s="3">
        <f>IFERROR(__xludf.DUMMYFUNCTION("""COMPUTED_VALUE"""),42027.99861111111)</f>
        <v>42027.99861</v>
      </c>
      <c r="B1697" s="1">
        <f>IFERROR(__xludf.DUMMYFUNCTION("""COMPUTED_VALUE"""),395.17563)</f>
        <v>395.17563</v>
      </c>
    </row>
    <row r="1698">
      <c r="A1698" s="3">
        <f>IFERROR(__xludf.DUMMYFUNCTION("""COMPUTED_VALUE"""),42030.99861111111)</f>
        <v>42030.99861</v>
      </c>
      <c r="B1698" s="1">
        <f>IFERROR(__xludf.DUMMYFUNCTION("""COMPUTED_VALUE"""),398.46017)</f>
        <v>398.46017</v>
      </c>
    </row>
    <row r="1699">
      <c r="A1699" s="3">
        <f>IFERROR(__xludf.DUMMYFUNCTION("""COMPUTED_VALUE"""),42031.99861111111)</f>
        <v>42031.99861</v>
      </c>
      <c r="B1699" s="1">
        <f>IFERROR(__xludf.DUMMYFUNCTION("""COMPUTED_VALUE"""),397.404)</f>
        <v>397.404</v>
      </c>
    </row>
    <row r="1700">
      <c r="A1700" s="3">
        <f>IFERROR(__xludf.DUMMYFUNCTION("""COMPUTED_VALUE"""),42032.99861111111)</f>
        <v>42032.99861</v>
      </c>
      <c r="B1700" s="1">
        <f>IFERROR(__xludf.DUMMYFUNCTION("""COMPUTED_VALUE"""),397.5636)</f>
        <v>397.5636</v>
      </c>
    </row>
    <row r="1701">
      <c r="A1701" s="3">
        <f>IFERROR(__xludf.DUMMYFUNCTION("""COMPUTED_VALUE"""),42033.99861111111)</f>
        <v>42033.99861</v>
      </c>
      <c r="B1701" s="1">
        <f>IFERROR(__xludf.DUMMYFUNCTION("""COMPUTED_VALUE"""),398.8461)</f>
        <v>398.8461</v>
      </c>
    </row>
    <row r="1702">
      <c r="A1702" s="3">
        <f>IFERROR(__xludf.DUMMYFUNCTION("""COMPUTED_VALUE"""),42034.99861111111)</f>
        <v>42034.99861</v>
      </c>
      <c r="B1702" s="1">
        <f>IFERROR(__xludf.DUMMYFUNCTION("""COMPUTED_VALUE"""),403.4137)</f>
        <v>403.4137</v>
      </c>
    </row>
    <row r="1703">
      <c r="A1703" s="3">
        <f>IFERROR(__xludf.DUMMYFUNCTION("""COMPUTED_VALUE"""),42037.99861111111)</f>
        <v>42037.99861</v>
      </c>
      <c r="B1703" s="1">
        <f>IFERROR(__xludf.DUMMYFUNCTION("""COMPUTED_VALUE"""),399.0762)</f>
        <v>399.0762</v>
      </c>
    </row>
    <row r="1704">
      <c r="A1704" s="3">
        <f>IFERROR(__xludf.DUMMYFUNCTION("""COMPUTED_VALUE"""),42038.99861111111)</f>
        <v>42038.99861</v>
      </c>
      <c r="B1704" s="1">
        <f>IFERROR(__xludf.DUMMYFUNCTION("""COMPUTED_VALUE"""),397.6215)</f>
        <v>397.6215</v>
      </c>
    </row>
    <row r="1705">
      <c r="A1705" s="3">
        <f>IFERROR(__xludf.DUMMYFUNCTION("""COMPUTED_VALUE"""),42039.99861111111)</f>
        <v>42039.99861</v>
      </c>
      <c r="B1705" s="1">
        <f>IFERROR(__xludf.DUMMYFUNCTION("""COMPUTED_VALUE"""),401.09625)</f>
        <v>401.09625</v>
      </c>
    </row>
    <row r="1706">
      <c r="A1706" s="3">
        <f>IFERROR(__xludf.DUMMYFUNCTION("""COMPUTED_VALUE"""),42040.99861111111)</f>
        <v>42040.99861</v>
      </c>
      <c r="B1706" s="1">
        <f>IFERROR(__xludf.DUMMYFUNCTION("""COMPUTED_VALUE"""),399.13377)</f>
        <v>399.13377</v>
      </c>
    </row>
    <row r="1707">
      <c r="A1707" s="3">
        <f>IFERROR(__xludf.DUMMYFUNCTION("""COMPUTED_VALUE"""),42041.99861111111)</f>
        <v>42041.99861</v>
      </c>
      <c r="B1707" s="1">
        <f>IFERROR(__xludf.DUMMYFUNCTION("""COMPUTED_VALUE"""),401.22408)</f>
        <v>401.22408</v>
      </c>
    </row>
    <row r="1708">
      <c r="A1708" s="3">
        <f>IFERROR(__xludf.DUMMYFUNCTION("""COMPUTED_VALUE"""),42044.99861111111)</f>
        <v>42044.99861</v>
      </c>
      <c r="B1708" s="1">
        <f>IFERROR(__xludf.DUMMYFUNCTION("""COMPUTED_VALUE"""),401.2272)</f>
        <v>401.2272</v>
      </c>
    </row>
    <row r="1709">
      <c r="A1709" s="3">
        <f>IFERROR(__xludf.DUMMYFUNCTION("""COMPUTED_VALUE"""),42045.99861111111)</f>
        <v>42045.99861</v>
      </c>
      <c r="B1709" s="1">
        <f>IFERROR(__xludf.DUMMYFUNCTION("""COMPUTED_VALUE"""),403.95498)</f>
        <v>403.95498</v>
      </c>
    </row>
    <row r="1710">
      <c r="A1710" s="3">
        <f>IFERROR(__xludf.DUMMYFUNCTION("""COMPUTED_VALUE"""),42046.99861111111)</f>
        <v>42046.99861</v>
      </c>
      <c r="B1710" s="1">
        <f>IFERROR(__xludf.DUMMYFUNCTION("""COMPUTED_VALUE"""),405.6624)</f>
        <v>405.6624</v>
      </c>
    </row>
    <row r="1711">
      <c r="A1711" s="3">
        <f>IFERROR(__xludf.DUMMYFUNCTION("""COMPUTED_VALUE"""),42047.99861111111)</f>
        <v>42047.99861</v>
      </c>
      <c r="B1711" s="1">
        <f>IFERROR(__xludf.DUMMYFUNCTION("""COMPUTED_VALUE"""),408.1292)</f>
        <v>408.1292</v>
      </c>
    </row>
    <row r="1712">
      <c r="A1712" s="3">
        <f>IFERROR(__xludf.DUMMYFUNCTION("""COMPUTED_VALUE"""),42048.99861111111)</f>
        <v>42048.99861</v>
      </c>
      <c r="B1712" s="1">
        <f>IFERROR(__xludf.DUMMYFUNCTION("""COMPUTED_VALUE"""),402.74829)</f>
        <v>402.74829</v>
      </c>
    </row>
    <row r="1713">
      <c r="A1713" s="3">
        <f>IFERROR(__xludf.DUMMYFUNCTION("""COMPUTED_VALUE"""),42051.99861111111)</f>
        <v>42051.99861</v>
      </c>
      <c r="B1713" s="1">
        <f>IFERROR(__xludf.DUMMYFUNCTION("""COMPUTED_VALUE"""),399.1386)</f>
        <v>399.1386</v>
      </c>
    </row>
    <row r="1714">
      <c r="A1714" s="3">
        <f>IFERROR(__xludf.DUMMYFUNCTION("""COMPUTED_VALUE"""),42052.99861111111)</f>
        <v>42052.99861</v>
      </c>
      <c r="B1714" s="1">
        <f>IFERROR(__xludf.DUMMYFUNCTION("""COMPUTED_VALUE"""),403.72292)</f>
        <v>403.72292</v>
      </c>
    </row>
    <row r="1715">
      <c r="A1715" s="3">
        <f>IFERROR(__xludf.DUMMYFUNCTION("""COMPUTED_VALUE"""),42053.99861111111)</f>
        <v>42053.99861</v>
      </c>
      <c r="B1715" s="1">
        <f>IFERROR(__xludf.DUMMYFUNCTION("""COMPUTED_VALUE"""),404.9241)</f>
        <v>404.9241</v>
      </c>
    </row>
    <row r="1716">
      <c r="A1716" s="3">
        <f>IFERROR(__xludf.DUMMYFUNCTION("""COMPUTED_VALUE"""),42054.99861111111)</f>
        <v>42054.99861</v>
      </c>
      <c r="B1716" s="1">
        <f>IFERROR(__xludf.DUMMYFUNCTION("""COMPUTED_VALUE"""),407.29485)</f>
        <v>407.29485</v>
      </c>
    </row>
    <row r="1717">
      <c r="A1717" s="3">
        <f>IFERROR(__xludf.DUMMYFUNCTION("""COMPUTED_VALUE"""),42055.99861111111)</f>
        <v>42055.99861</v>
      </c>
      <c r="B1717" s="1">
        <f>IFERROR(__xludf.DUMMYFUNCTION("""COMPUTED_VALUE"""),405.01893)</f>
        <v>405.01893</v>
      </c>
    </row>
    <row r="1718">
      <c r="A1718" s="3">
        <f>IFERROR(__xludf.DUMMYFUNCTION("""COMPUTED_VALUE"""),42058.99861111111)</f>
        <v>42058.99861</v>
      </c>
      <c r="B1718" s="1">
        <f>IFERROR(__xludf.DUMMYFUNCTION("""COMPUTED_VALUE"""),406.5046)</f>
        <v>406.5046</v>
      </c>
    </row>
    <row r="1719">
      <c r="A1719" s="3">
        <f>IFERROR(__xludf.DUMMYFUNCTION("""COMPUTED_VALUE"""),42059.99861111111)</f>
        <v>42059.99861</v>
      </c>
      <c r="B1719" s="1">
        <f>IFERROR(__xludf.DUMMYFUNCTION("""COMPUTED_VALUE"""),403.87332)</f>
        <v>403.87332</v>
      </c>
    </row>
    <row r="1720">
      <c r="A1720" s="3">
        <f>IFERROR(__xludf.DUMMYFUNCTION("""COMPUTED_VALUE"""),42060.99861111111)</f>
        <v>42060.99861</v>
      </c>
      <c r="B1720" s="1">
        <f>IFERROR(__xludf.DUMMYFUNCTION("""COMPUTED_VALUE"""),407.63205)</f>
        <v>407.63205</v>
      </c>
    </row>
    <row r="1721">
      <c r="A1721" s="3">
        <f>IFERROR(__xludf.DUMMYFUNCTION("""COMPUTED_VALUE"""),42061.99861111111)</f>
        <v>42061.99861</v>
      </c>
      <c r="B1721" s="1">
        <f>IFERROR(__xludf.DUMMYFUNCTION("""COMPUTED_VALUE"""),408.08118)</f>
        <v>408.08118</v>
      </c>
    </row>
    <row r="1722">
      <c r="A1722" s="3">
        <f>IFERROR(__xludf.DUMMYFUNCTION("""COMPUTED_VALUE"""),42062.99861111111)</f>
        <v>42062.99861</v>
      </c>
      <c r="B1722" s="1">
        <f>IFERROR(__xludf.DUMMYFUNCTION("""COMPUTED_VALUE"""),411.92172)</f>
        <v>411.92172</v>
      </c>
    </row>
    <row r="1723">
      <c r="A1723" s="3">
        <f>IFERROR(__xludf.DUMMYFUNCTION("""COMPUTED_VALUE"""),42065.99861111111)</f>
        <v>42065.99861</v>
      </c>
      <c r="B1723" s="1">
        <f>IFERROR(__xludf.DUMMYFUNCTION("""COMPUTED_VALUE"""),411.6816)</f>
        <v>411.6816</v>
      </c>
    </row>
    <row r="1724">
      <c r="A1724" s="3">
        <f>IFERROR(__xludf.DUMMYFUNCTION("""COMPUTED_VALUE"""),42066.99861111111)</f>
        <v>42066.99861</v>
      </c>
      <c r="B1724" s="1">
        <f>IFERROR(__xludf.DUMMYFUNCTION("""COMPUTED_VALUE"""),411.6678)</f>
        <v>411.6678</v>
      </c>
    </row>
    <row r="1725">
      <c r="A1725" s="3">
        <f>IFERROR(__xludf.DUMMYFUNCTION("""COMPUTED_VALUE"""),42067.99861111111)</f>
        <v>42067.99861</v>
      </c>
      <c r="B1725" s="1">
        <f>IFERROR(__xludf.DUMMYFUNCTION("""COMPUTED_VALUE"""),413.48655)</f>
        <v>413.48655</v>
      </c>
    </row>
    <row r="1726">
      <c r="A1726" s="3">
        <f>IFERROR(__xludf.DUMMYFUNCTION("""COMPUTED_VALUE"""),42068.99861111111)</f>
        <v>42068.99861</v>
      </c>
      <c r="B1726" s="1">
        <f>IFERROR(__xludf.DUMMYFUNCTION("""COMPUTED_VALUE"""),409.446)</f>
        <v>409.446</v>
      </c>
    </row>
    <row r="1727">
      <c r="A1727" s="3">
        <f>IFERROR(__xludf.DUMMYFUNCTION("""COMPUTED_VALUE"""),42069.99861111111)</f>
        <v>42069.99861</v>
      </c>
      <c r="B1727" s="1">
        <f>IFERROR(__xludf.DUMMYFUNCTION("""COMPUTED_VALUE"""),414.354)</f>
        <v>414.354</v>
      </c>
    </row>
    <row r="1728">
      <c r="A1728" s="3">
        <f>IFERROR(__xludf.DUMMYFUNCTION("""COMPUTED_VALUE"""),42072.99861111111)</f>
        <v>42072.99861</v>
      </c>
      <c r="B1728" s="1">
        <f>IFERROR(__xludf.DUMMYFUNCTION("""COMPUTED_VALUE"""),414.67556)</f>
        <v>414.67556</v>
      </c>
    </row>
    <row r="1729">
      <c r="A1729" s="3">
        <f>IFERROR(__xludf.DUMMYFUNCTION("""COMPUTED_VALUE"""),42073.99861111111)</f>
        <v>42073.99861</v>
      </c>
      <c r="B1729" s="1">
        <f>IFERROR(__xludf.DUMMYFUNCTION("""COMPUTED_VALUE"""),414.0576)</f>
        <v>414.0576</v>
      </c>
    </row>
    <row r="1730">
      <c r="A1730" s="3">
        <f>IFERROR(__xludf.DUMMYFUNCTION("""COMPUTED_VALUE"""),42074.99861111111)</f>
        <v>42074.99861</v>
      </c>
      <c r="B1730" s="1">
        <f>IFERROR(__xludf.DUMMYFUNCTION("""COMPUTED_VALUE"""),415.276)</f>
        <v>415.276</v>
      </c>
    </row>
    <row r="1731">
      <c r="A1731" s="3">
        <f>IFERROR(__xludf.DUMMYFUNCTION("""COMPUTED_VALUE"""),42075.99861111111)</f>
        <v>42075.99861</v>
      </c>
      <c r="B1731" s="1">
        <f>IFERROR(__xludf.DUMMYFUNCTION("""COMPUTED_VALUE"""),415.7769)</f>
        <v>415.7769</v>
      </c>
    </row>
    <row r="1732">
      <c r="A1732" s="3">
        <f>IFERROR(__xludf.DUMMYFUNCTION("""COMPUTED_VALUE"""),42076.99861111111)</f>
        <v>42076.99861</v>
      </c>
      <c r="B1732" s="1">
        <f>IFERROR(__xludf.DUMMYFUNCTION("""COMPUTED_VALUE"""),415.72305)</f>
        <v>415.72305</v>
      </c>
    </row>
    <row r="1733">
      <c r="A1733" s="3">
        <f>IFERROR(__xludf.DUMMYFUNCTION("""COMPUTED_VALUE"""),42079.99861111111)</f>
        <v>42079.99861</v>
      </c>
      <c r="B1733" s="1">
        <f>IFERROR(__xludf.DUMMYFUNCTION("""COMPUTED_VALUE"""),416.03835)</f>
        <v>416.03835</v>
      </c>
    </row>
    <row r="1734">
      <c r="A1734" s="3">
        <f>IFERROR(__xludf.DUMMYFUNCTION("""COMPUTED_VALUE"""),42080.99861111111)</f>
        <v>42080.99861</v>
      </c>
      <c r="B1734" s="1">
        <f>IFERROR(__xludf.DUMMYFUNCTION("""COMPUTED_VALUE"""),414.3296)</f>
        <v>414.3296</v>
      </c>
    </row>
    <row r="1735">
      <c r="A1735" s="3">
        <f>IFERROR(__xludf.DUMMYFUNCTION("""COMPUTED_VALUE"""),42081.99861111111)</f>
        <v>42081.99861</v>
      </c>
      <c r="B1735" s="1">
        <f>IFERROR(__xludf.DUMMYFUNCTION("""COMPUTED_VALUE"""),406.8792)</f>
        <v>406.8792</v>
      </c>
    </row>
    <row r="1736">
      <c r="A1736" s="3">
        <f>IFERROR(__xludf.DUMMYFUNCTION("""COMPUTED_VALUE"""),42082.99861111111)</f>
        <v>42082.99861</v>
      </c>
      <c r="B1736" s="1">
        <f>IFERROR(__xludf.DUMMYFUNCTION("""COMPUTED_VALUE"""),414.46092)</f>
        <v>414.46092</v>
      </c>
    </row>
    <row r="1737">
      <c r="A1737" s="3">
        <f>IFERROR(__xludf.DUMMYFUNCTION("""COMPUTED_VALUE"""),42083.99861111111)</f>
        <v>42083.99861</v>
      </c>
      <c r="B1737" s="1">
        <f>IFERROR(__xludf.DUMMYFUNCTION("""COMPUTED_VALUE"""),412.8925)</f>
        <v>412.8925</v>
      </c>
    </row>
    <row r="1738">
      <c r="A1738" s="3">
        <f>IFERROR(__xludf.DUMMYFUNCTION("""COMPUTED_VALUE"""),42086.99861111111)</f>
        <v>42086.99861</v>
      </c>
      <c r="B1738" s="1">
        <f>IFERROR(__xludf.DUMMYFUNCTION("""COMPUTED_VALUE"""),410.81082)</f>
        <v>410.81082</v>
      </c>
    </row>
    <row r="1739">
      <c r="A1739" s="3">
        <f>IFERROR(__xludf.DUMMYFUNCTION("""COMPUTED_VALUE"""),42087.99861111111)</f>
        <v>42087.99861</v>
      </c>
      <c r="B1739" s="1">
        <f>IFERROR(__xludf.DUMMYFUNCTION("""COMPUTED_VALUE"""),411.1533)</f>
        <v>411.1533</v>
      </c>
    </row>
    <row r="1740">
      <c r="A1740" s="3">
        <f>IFERROR(__xludf.DUMMYFUNCTION("""COMPUTED_VALUE"""),42088.99861111111)</f>
        <v>42088.99861</v>
      </c>
      <c r="B1740" s="1">
        <f>IFERROR(__xludf.DUMMYFUNCTION("""COMPUTED_VALUE"""),411.8205)</f>
        <v>411.8205</v>
      </c>
    </row>
    <row r="1741">
      <c r="A1741" s="3">
        <f>IFERROR(__xludf.DUMMYFUNCTION("""COMPUTED_VALUE"""),42089.99861111111)</f>
        <v>42089.99861</v>
      </c>
      <c r="B1741" s="1">
        <f>IFERROR(__xludf.DUMMYFUNCTION("""COMPUTED_VALUE"""),414.2384)</f>
        <v>414.2384</v>
      </c>
    </row>
    <row r="1742">
      <c r="A1742" s="3">
        <f>IFERROR(__xludf.DUMMYFUNCTION("""COMPUTED_VALUE"""),42090.99861111111)</f>
        <v>42090.99861</v>
      </c>
      <c r="B1742" s="1">
        <f>IFERROR(__xludf.DUMMYFUNCTION("""COMPUTED_VALUE"""),415.42545)</f>
        <v>415.42545</v>
      </c>
    </row>
    <row r="1743">
      <c r="A1743" s="3">
        <f>IFERROR(__xludf.DUMMYFUNCTION("""COMPUTED_VALUE"""),42093.99861111111)</f>
        <v>42093.99861</v>
      </c>
      <c r="B1743" s="1">
        <f>IFERROR(__xludf.DUMMYFUNCTION("""COMPUTED_VALUE"""),417.08269)</f>
        <v>417.08269</v>
      </c>
    </row>
    <row r="1744">
      <c r="A1744" s="3">
        <f>IFERROR(__xludf.DUMMYFUNCTION("""COMPUTED_VALUE"""),42094.99861111111)</f>
        <v>42094.99861</v>
      </c>
      <c r="B1744" s="1">
        <f>IFERROR(__xludf.DUMMYFUNCTION("""COMPUTED_VALUE"""),415.961)</f>
        <v>415.961</v>
      </c>
    </row>
    <row r="1745">
      <c r="A1745" s="3">
        <f>IFERROR(__xludf.DUMMYFUNCTION("""COMPUTED_VALUE"""),42095.99861111111)</f>
        <v>42095.99861</v>
      </c>
      <c r="B1745" s="1">
        <f>IFERROR(__xludf.DUMMYFUNCTION("""COMPUTED_VALUE"""),413.10104)</f>
        <v>413.10104</v>
      </c>
    </row>
    <row r="1746">
      <c r="A1746" s="3">
        <f>IFERROR(__xludf.DUMMYFUNCTION("""COMPUTED_VALUE"""),42096.99861111111)</f>
        <v>42096.99861</v>
      </c>
      <c r="B1746" s="1">
        <f>IFERROR(__xludf.DUMMYFUNCTION("""COMPUTED_VALUE"""),406.9499)</f>
        <v>406.9499</v>
      </c>
    </row>
    <row r="1747">
      <c r="A1747" s="3">
        <f>IFERROR(__xludf.DUMMYFUNCTION("""COMPUTED_VALUE"""),42097.99861111111)</f>
        <v>42097.99861</v>
      </c>
      <c r="B1747" s="1">
        <f>IFERROR(__xludf.DUMMYFUNCTION("""COMPUTED_VALUE"""),419.67705)</f>
        <v>419.67705</v>
      </c>
    </row>
    <row r="1748">
      <c r="A1748" s="3">
        <f>IFERROR(__xludf.DUMMYFUNCTION("""COMPUTED_VALUE"""),42100.99861111111)</f>
        <v>42100.99861</v>
      </c>
      <c r="B1748" s="1">
        <f>IFERROR(__xludf.DUMMYFUNCTION("""COMPUTED_VALUE"""),418.25295)</f>
        <v>418.25295</v>
      </c>
    </row>
    <row r="1749">
      <c r="A1749" s="3">
        <f>IFERROR(__xludf.DUMMYFUNCTION("""COMPUTED_VALUE"""),42101.99861111111)</f>
        <v>42101.99861</v>
      </c>
      <c r="B1749" s="1">
        <f>IFERROR(__xludf.DUMMYFUNCTION("""COMPUTED_VALUE"""),417.1395)</f>
        <v>417.1395</v>
      </c>
    </row>
    <row r="1750">
      <c r="A1750" s="3">
        <f>IFERROR(__xludf.DUMMYFUNCTION("""COMPUTED_VALUE"""),42102.99861111111)</f>
        <v>42102.99861</v>
      </c>
      <c r="B1750" s="1">
        <f>IFERROR(__xludf.DUMMYFUNCTION("""COMPUTED_VALUE"""),413.8585)</f>
        <v>413.8585</v>
      </c>
    </row>
    <row r="1751">
      <c r="A1751" s="3">
        <f>IFERROR(__xludf.DUMMYFUNCTION("""COMPUTED_VALUE"""),42103.99861111111)</f>
        <v>42103.99861</v>
      </c>
      <c r="B1751" s="1">
        <f>IFERROR(__xludf.DUMMYFUNCTION("""COMPUTED_VALUE"""),414.1787)</f>
        <v>414.1787</v>
      </c>
    </row>
    <row r="1752">
      <c r="A1752" s="3">
        <f>IFERROR(__xludf.DUMMYFUNCTION("""COMPUTED_VALUE"""),42104.99861111111)</f>
        <v>42104.99861</v>
      </c>
      <c r="B1752" s="1">
        <f>IFERROR(__xludf.DUMMYFUNCTION("""COMPUTED_VALUE"""),412.6089)</f>
        <v>412.6089</v>
      </c>
    </row>
    <row r="1753">
      <c r="A1753" s="3">
        <f>IFERROR(__xludf.DUMMYFUNCTION("""COMPUTED_VALUE"""),42107.99861111111)</f>
        <v>42107.99861</v>
      </c>
      <c r="B1753" s="1">
        <f>IFERROR(__xludf.DUMMYFUNCTION("""COMPUTED_VALUE"""),416.26595)</f>
        <v>416.26595</v>
      </c>
    </row>
    <row r="1754">
      <c r="A1754" s="3">
        <f>IFERROR(__xludf.DUMMYFUNCTION("""COMPUTED_VALUE"""),42108.99861111111)</f>
        <v>42108.99861</v>
      </c>
      <c r="B1754" s="1">
        <f>IFERROR(__xludf.DUMMYFUNCTION("""COMPUTED_VALUE"""),415.4595)</f>
        <v>415.4595</v>
      </c>
    </row>
    <row r="1755">
      <c r="A1755" s="3">
        <f>IFERROR(__xludf.DUMMYFUNCTION("""COMPUTED_VALUE"""),42109.99861111111)</f>
        <v>42109.99861</v>
      </c>
      <c r="B1755" s="1">
        <f>IFERROR(__xludf.DUMMYFUNCTION("""COMPUTED_VALUE"""),411.67224)</f>
        <v>411.67224</v>
      </c>
    </row>
    <row r="1756">
      <c r="A1756" s="3">
        <f>IFERROR(__xludf.DUMMYFUNCTION("""COMPUTED_VALUE"""),42110.99861111111)</f>
        <v>42110.99861</v>
      </c>
      <c r="B1756" s="1">
        <f>IFERROR(__xludf.DUMMYFUNCTION("""COMPUTED_VALUE"""),402.548)</f>
        <v>402.548</v>
      </c>
    </row>
    <row r="1757">
      <c r="A1757" s="3">
        <f>IFERROR(__xludf.DUMMYFUNCTION("""COMPUTED_VALUE"""),42111.99861111111)</f>
        <v>42111.99861</v>
      </c>
      <c r="B1757" s="1">
        <f>IFERROR(__xludf.DUMMYFUNCTION("""COMPUTED_VALUE"""),410.752)</f>
        <v>410.752</v>
      </c>
    </row>
    <row r="1758">
      <c r="A1758" s="3">
        <f>IFERROR(__xludf.DUMMYFUNCTION("""COMPUTED_VALUE"""),42113.99861111111)</f>
        <v>42113.99861</v>
      </c>
      <c r="B1758" s="1">
        <f>IFERROR(__xludf.DUMMYFUNCTION("""COMPUTED_VALUE"""),403.2214011)</f>
        <v>403.2214011</v>
      </c>
    </row>
    <row r="1759">
      <c r="A1759" s="3">
        <f>IFERROR(__xludf.DUMMYFUNCTION("""COMPUTED_VALUE"""),42114.99861111111)</f>
        <v>42114.99861</v>
      </c>
      <c r="B1759" s="1">
        <f>IFERROR(__xludf.DUMMYFUNCTION("""COMPUTED_VALUE"""),417.5043)</f>
        <v>417.5043</v>
      </c>
    </row>
    <row r="1760">
      <c r="A1760" s="3">
        <f>IFERROR(__xludf.DUMMYFUNCTION("""COMPUTED_VALUE"""),42115.99861111111)</f>
        <v>42115.99861</v>
      </c>
      <c r="B1760" s="1">
        <f>IFERROR(__xludf.DUMMYFUNCTION("""COMPUTED_VALUE"""),414.634)</f>
        <v>414.634</v>
      </c>
    </row>
    <row r="1761">
      <c r="A1761" s="3">
        <f>IFERROR(__xludf.DUMMYFUNCTION("""COMPUTED_VALUE"""),42116.99861111111)</f>
        <v>42116.99861</v>
      </c>
      <c r="B1761" s="1">
        <f>IFERROR(__xludf.DUMMYFUNCTION("""COMPUTED_VALUE"""),414.606)</f>
        <v>414.606</v>
      </c>
    </row>
    <row r="1762">
      <c r="A1762" s="3">
        <f>IFERROR(__xludf.DUMMYFUNCTION("""COMPUTED_VALUE"""),42117.99861111111)</f>
        <v>42117.99861</v>
      </c>
      <c r="B1762" s="1">
        <f>IFERROR(__xludf.DUMMYFUNCTION("""COMPUTED_VALUE"""),415.3116)</f>
        <v>415.3116</v>
      </c>
    </row>
    <row r="1763">
      <c r="A1763" s="3">
        <f>IFERROR(__xludf.DUMMYFUNCTION("""COMPUTED_VALUE"""),42118.99861111111)</f>
        <v>42118.99861</v>
      </c>
      <c r="B1763" s="1">
        <f>IFERROR(__xludf.DUMMYFUNCTION("""COMPUTED_VALUE"""),421.13268)</f>
        <v>421.13268</v>
      </c>
    </row>
    <row r="1764">
      <c r="A1764" s="3">
        <f>IFERROR(__xludf.DUMMYFUNCTION("""COMPUTED_VALUE"""),42120.99861111111)</f>
        <v>42120.99861</v>
      </c>
      <c r="B1764" s="1">
        <f>IFERROR(__xludf.DUMMYFUNCTION("""COMPUTED_VALUE"""),410.6352656)</f>
        <v>410.6352656</v>
      </c>
    </row>
    <row r="1765">
      <c r="A1765" s="3">
        <f>IFERROR(__xludf.DUMMYFUNCTION("""COMPUTED_VALUE"""),42121.99861111111)</f>
        <v>42121.99861</v>
      </c>
      <c r="B1765" s="1">
        <f>IFERROR(__xludf.DUMMYFUNCTION("""COMPUTED_VALUE"""),418.8348)</f>
        <v>418.8348</v>
      </c>
    </row>
    <row r="1766">
      <c r="A1766" s="3">
        <f>IFERROR(__xludf.DUMMYFUNCTION("""COMPUTED_VALUE"""),42122.99861111111)</f>
        <v>42122.99861</v>
      </c>
      <c r="B1766" s="1">
        <f>IFERROR(__xludf.DUMMYFUNCTION("""COMPUTED_VALUE"""),419.48205)</f>
        <v>419.48205</v>
      </c>
    </row>
    <row r="1767">
      <c r="A1767" s="3">
        <f>IFERROR(__xludf.DUMMYFUNCTION("""COMPUTED_VALUE"""),42123.99861111111)</f>
        <v>42123.99861</v>
      </c>
      <c r="B1767" s="1">
        <f>IFERROR(__xludf.DUMMYFUNCTION("""COMPUTED_VALUE"""),420.7707)</f>
        <v>420.7707</v>
      </c>
    </row>
    <row r="1768">
      <c r="A1768" s="3">
        <f>IFERROR(__xludf.DUMMYFUNCTION("""COMPUTED_VALUE"""),42124.99861111111)</f>
        <v>42124.99861</v>
      </c>
      <c r="B1768" s="1">
        <f>IFERROR(__xludf.DUMMYFUNCTION("""COMPUTED_VALUE"""),421.36164)</f>
        <v>421.36164</v>
      </c>
    </row>
    <row r="1769">
      <c r="A1769" s="3">
        <f>IFERROR(__xludf.DUMMYFUNCTION("""COMPUTED_VALUE"""),42125.99861111111)</f>
        <v>42125.99861</v>
      </c>
      <c r="B1769" s="1">
        <f>IFERROR(__xludf.DUMMYFUNCTION("""COMPUTED_VALUE"""),421.947)</f>
        <v>421.947</v>
      </c>
    </row>
    <row r="1770">
      <c r="A1770" s="3">
        <f>IFERROR(__xludf.DUMMYFUNCTION("""COMPUTED_VALUE"""),42128.99861111111)</f>
        <v>42128.99861</v>
      </c>
      <c r="B1770" s="1">
        <f>IFERROR(__xludf.DUMMYFUNCTION("""COMPUTED_VALUE"""),417.8214)</f>
        <v>417.8214</v>
      </c>
    </row>
    <row r="1771">
      <c r="A1771" s="3">
        <f>IFERROR(__xludf.DUMMYFUNCTION("""COMPUTED_VALUE"""),42129.99861111111)</f>
        <v>42129.99861</v>
      </c>
      <c r="B1771" s="1">
        <f>IFERROR(__xludf.DUMMYFUNCTION("""COMPUTED_VALUE"""),422.53245)</f>
        <v>422.53245</v>
      </c>
    </row>
    <row r="1772">
      <c r="A1772" s="3">
        <f>IFERROR(__xludf.DUMMYFUNCTION("""COMPUTED_VALUE"""),42130.99861111111)</f>
        <v>42130.99861</v>
      </c>
      <c r="B1772" s="1">
        <f>IFERROR(__xludf.DUMMYFUNCTION("""COMPUTED_VALUE"""),422.89008)</f>
        <v>422.89008</v>
      </c>
    </row>
    <row r="1773">
      <c r="A1773" s="3">
        <f>IFERROR(__xludf.DUMMYFUNCTION("""COMPUTED_VALUE"""),42131.99861111111)</f>
        <v>42131.99861</v>
      </c>
      <c r="B1773" s="1">
        <f>IFERROR(__xludf.DUMMYFUNCTION("""COMPUTED_VALUE"""),425.0637)</f>
        <v>425.0637</v>
      </c>
    </row>
    <row r="1774">
      <c r="A1774" s="3">
        <f>IFERROR(__xludf.DUMMYFUNCTION("""COMPUTED_VALUE"""),42132.99861111111)</f>
        <v>42132.99861</v>
      </c>
      <c r="B1774" s="1">
        <f>IFERROR(__xludf.DUMMYFUNCTION("""COMPUTED_VALUE"""),424.0275)</f>
        <v>424.0275</v>
      </c>
    </row>
    <row r="1775">
      <c r="A1775" s="3">
        <f>IFERROR(__xludf.DUMMYFUNCTION("""COMPUTED_VALUE"""),42135.99861111111)</f>
        <v>42135.99861</v>
      </c>
      <c r="B1775" s="1">
        <f>IFERROR(__xludf.DUMMYFUNCTION("""COMPUTED_VALUE"""),427.8933)</f>
        <v>427.8933</v>
      </c>
    </row>
    <row r="1776">
      <c r="A1776" s="3">
        <f>IFERROR(__xludf.DUMMYFUNCTION("""COMPUTED_VALUE"""),42136.99861111111)</f>
        <v>42136.99861</v>
      </c>
      <c r="B1776" s="1">
        <f>IFERROR(__xludf.DUMMYFUNCTION("""COMPUTED_VALUE"""),426.6867)</f>
        <v>426.6867</v>
      </c>
    </row>
    <row r="1777">
      <c r="A1777" s="3">
        <f>IFERROR(__xludf.DUMMYFUNCTION("""COMPUTED_VALUE"""),42137.99861111111)</f>
        <v>42137.99861</v>
      </c>
      <c r="B1777" s="1">
        <f>IFERROR(__xludf.DUMMYFUNCTION("""COMPUTED_VALUE"""),425.68398)</f>
        <v>425.68398</v>
      </c>
    </row>
    <row r="1778">
      <c r="A1778" s="3">
        <f>IFERROR(__xludf.DUMMYFUNCTION("""COMPUTED_VALUE"""),42138.99861111111)</f>
        <v>42138.99861</v>
      </c>
      <c r="B1778" s="1">
        <f>IFERROR(__xludf.DUMMYFUNCTION("""COMPUTED_VALUE"""),424.09367)</f>
        <v>424.09367</v>
      </c>
    </row>
    <row r="1779">
      <c r="A1779" s="3">
        <f>IFERROR(__xludf.DUMMYFUNCTION("""COMPUTED_VALUE"""),42139.99861111111)</f>
        <v>42139.99861</v>
      </c>
      <c r="B1779" s="1">
        <f>IFERROR(__xludf.DUMMYFUNCTION("""COMPUTED_VALUE"""),426.24549)</f>
        <v>426.24549</v>
      </c>
    </row>
    <row r="1780">
      <c r="A1780" s="3">
        <f>IFERROR(__xludf.DUMMYFUNCTION("""COMPUTED_VALUE"""),42142.99861111111)</f>
        <v>42142.99861</v>
      </c>
      <c r="B1780" s="1">
        <f>IFERROR(__xludf.DUMMYFUNCTION("""COMPUTED_VALUE"""),430.00254)</f>
        <v>430.00254</v>
      </c>
    </row>
    <row r="1781">
      <c r="A1781" s="3">
        <f>IFERROR(__xludf.DUMMYFUNCTION("""COMPUTED_VALUE"""),42143.99861111111)</f>
        <v>42143.99861</v>
      </c>
      <c r="B1781" s="1">
        <f>IFERROR(__xludf.DUMMYFUNCTION("""COMPUTED_VALUE"""),429.80352)</f>
        <v>429.80352</v>
      </c>
    </row>
    <row r="1782">
      <c r="A1782" s="3">
        <f>IFERROR(__xludf.DUMMYFUNCTION("""COMPUTED_VALUE"""),42144.99861111111)</f>
        <v>42144.99861</v>
      </c>
      <c r="B1782" s="1">
        <f>IFERROR(__xludf.DUMMYFUNCTION("""COMPUTED_VALUE"""),424.15885)</f>
        <v>424.15885</v>
      </c>
    </row>
    <row r="1783">
      <c r="A1783" s="3">
        <f>IFERROR(__xludf.DUMMYFUNCTION("""COMPUTED_VALUE"""),42145.99861111111)</f>
        <v>42145.99861</v>
      </c>
      <c r="B1783" s="1">
        <f>IFERROR(__xludf.DUMMYFUNCTION("""COMPUTED_VALUE"""),427.71404)</f>
        <v>427.71404</v>
      </c>
    </row>
    <row r="1784">
      <c r="A1784" s="3">
        <f>IFERROR(__xludf.DUMMYFUNCTION("""COMPUTED_VALUE"""),42146.99861111111)</f>
        <v>42146.99861</v>
      </c>
      <c r="B1784" s="1">
        <f>IFERROR(__xludf.DUMMYFUNCTION("""COMPUTED_VALUE"""),430.2036)</f>
        <v>430.2036</v>
      </c>
    </row>
    <row r="1785">
      <c r="A1785" s="3">
        <f>IFERROR(__xludf.DUMMYFUNCTION("""COMPUTED_VALUE"""),42149.99861111111)</f>
        <v>42149.99861</v>
      </c>
      <c r="B1785" s="1">
        <f>IFERROR(__xludf.DUMMYFUNCTION("""COMPUTED_VALUE"""),430.88883)</f>
        <v>430.88883</v>
      </c>
    </row>
    <row r="1786">
      <c r="A1786" s="3">
        <f>IFERROR(__xludf.DUMMYFUNCTION("""COMPUTED_VALUE"""),42150.99861111111)</f>
        <v>42150.99861</v>
      </c>
      <c r="B1786" s="1">
        <f>IFERROR(__xludf.DUMMYFUNCTION("""COMPUTED_VALUE"""),430.34552)</f>
        <v>430.34552</v>
      </c>
    </row>
    <row r="1787">
      <c r="A1787" s="3">
        <f>IFERROR(__xludf.DUMMYFUNCTION("""COMPUTED_VALUE"""),42151.99861111111)</f>
        <v>42151.99861</v>
      </c>
      <c r="B1787" s="1">
        <f>IFERROR(__xludf.DUMMYFUNCTION("""COMPUTED_VALUE"""),428.6835)</f>
        <v>428.6835</v>
      </c>
    </row>
    <row r="1788">
      <c r="A1788" s="3">
        <f>IFERROR(__xludf.DUMMYFUNCTION("""COMPUTED_VALUE"""),42152.99861111111)</f>
        <v>42152.99861</v>
      </c>
      <c r="B1788" s="1">
        <f>IFERROR(__xludf.DUMMYFUNCTION("""COMPUTED_VALUE"""),427.46755)</f>
        <v>427.46755</v>
      </c>
    </row>
    <row r="1789">
      <c r="A1789" s="3">
        <f>IFERROR(__xludf.DUMMYFUNCTION("""COMPUTED_VALUE"""),42153.99861111111)</f>
        <v>42153.99861</v>
      </c>
      <c r="B1789" s="1">
        <f>IFERROR(__xludf.DUMMYFUNCTION("""COMPUTED_VALUE"""),427.548)</f>
        <v>427.548</v>
      </c>
    </row>
    <row r="1790">
      <c r="A1790" s="3">
        <f>IFERROR(__xludf.DUMMYFUNCTION("""COMPUTED_VALUE"""),42156.99861111111)</f>
        <v>42156.99861</v>
      </c>
      <c r="B1790" s="1">
        <f>IFERROR(__xludf.DUMMYFUNCTION("""COMPUTED_VALUE"""),426.36804)</f>
        <v>426.36804</v>
      </c>
    </row>
    <row r="1791">
      <c r="A1791" s="3">
        <f>IFERROR(__xludf.DUMMYFUNCTION("""COMPUTED_VALUE"""),42157.99861111111)</f>
        <v>42157.99861</v>
      </c>
      <c r="B1791" s="1">
        <f>IFERROR(__xludf.DUMMYFUNCTION("""COMPUTED_VALUE"""),424.0875)</f>
        <v>424.0875</v>
      </c>
    </row>
    <row r="1792">
      <c r="A1792" s="3">
        <f>IFERROR(__xludf.DUMMYFUNCTION("""COMPUTED_VALUE"""),42158.99861111111)</f>
        <v>42158.99861</v>
      </c>
      <c r="B1792" s="1">
        <f>IFERROR(__xludf.DUMMYFUNCTION("""COMPUTED_VALUE"""),427.8582)</f>
        <v>427.8582</v>
      </c>
    </row>
    <row r="1793">
      <c r="A1793" s="3">
        <f>IFERROR(__xludf.DUMMYFUNCTION("""COMPUTED_VALUE"""),42159.99861111111)</f>
        <v>42159.99861</v>
      </c>
      <c r="B1793" s="1">
        <f>IFERROR(__xludf.DUMMYFUNCTION("""COMPUTED_VALUE"""),427.32225)</f>
        <v>427.32225</v>
      </c>
    </row>
    <row r="1794">
      <c r="A1794" s="3">
        <f>IFERROR(__xludf.DUMMYFUNCTION("""COMPUTED_VALUE"""),42160.99861111111)</f>
        <v>42160.99861</v>
      </c>
      <c r="B1794" s="1">
        <f>IFERROR(__xludf.DUMMYFUNCTION("""COMPUTED_VALUE"""),431.36136)</f>
        <v>431.36136</v>
      </c>
    </row>
    <row r="1795">
      <c r="A1795" s="3">
        <f>IFERROR(__xludf.DUMMYFUNCTION("""COMPUTED_VALUE"""),42163.99861111111)</f>
        <v>42163.99861</v>
      </c>
      <c r="B1795" s="1">
        <f>IFERROR(__xludf.DUMMYFUNCTION("""COMPUTED_VALUE"""),425.5207)</f>
        <v>425.5207</v>
      </c>
    </row>
    <row r="1796">
      <c r="A1796" s="3">
        <f>IFERROR(__xludf.DUMMYFUNCTION("""COMPUTED_VALUE"""),42164.99861111111)</f>
        <v>42164.99861</v>
      </c>
      <c r="B1796" s="1">
        <f>IFERROR(__xludf.DUMMYFUNCTION("""COMPUTED_VALUE"""),426.37275)</f>
        <v>426.37275</v>
      </c>
    </row>
    <row r="1797">
      <c r="A1797" s="3">
        <f>IFERROR(__xludf.DUMMYFUNCTION("""COMPUTED_VALUE"""),42165.99861111111)</f>
        <v>42165.99861</v>
      </c>
      <c r="B1797" s="1">
        <f>IFERROR(__xludf.DUMMYFUNCTION("""COMPUTED_VALUE"""),427.44585)</f>
        <v>427.44585</v>
      </c>
    </row>
    <row r="1798">
      <c r="A1798" s="3">
        <f>IFERROR(__xludf.DUMMYFUNCTION("""COMPUTED_VALUE"""),42166.99861111111)</f>
        <v>42166.99861</v>
      </c>
      <c r="B1798" s="1">
        <f>IFERROR(__xludf.DUMMYFUNCTION("""COMPUTED_VALUE"""),424.5507)</f>
        <v>424.5507</v>
      </c>
    </row>
    <row r="1799">
      <c r="A1799" s="3">
        <f>IFERROR(__xludf.DUMMYFUNCTION("""COMPUTED_VALUE"""),42167.99861111111)</f>
        <v>42167.99861</v>
      </c>
      <c r="B1799" s="1">
        <f>IFERROR(__xludf.DUMMYFUNCTION("""COMPUTED_VALUE"""),429.40875)</f>
        <v>429.40875</v>
      </c>
    </row>
    <row r="1800">
      <c r="A1800" s="3">
        <f>IFERROR(__xludf.DUMMYFUNCTION("""COMPUTED_VALUE"""),42170.99861111111)</f>
        <v>42170.99861</v>
      </c>
      <c r="B1800" s="1">
        <f>IFERROR(__xludf.DUMMYFUNCTION("""COMPUTED_VALUE"""),426.1068)</f>
        <v>426.1068</v>
      </c>
    </row>
    <row r="1801">
      <c r="A1801" s="3">
        <f>IFERROR(__xludf.DUMMYFUNCTION("""COMPUTED_VALUE"""),42171.99861111111)</f>
        <v>42171.99861</v>
      </c>
      <c r="B1801" s="1">
        <f>IFERROR(__xludf.DUMMYFUNCTION("""COMPUTED_VALUE"""),431.8158)</f>
        <v>431.8158</v>
      </c>
    </row>
    <row r="1802">
      <c r="A1802" s="3">
        <f>IFERROR(__xludf.DUMMYFUNCTION("""COMPUTED_VALUE"""),42172.99861111111)</f>
        <v>42172.99861</v>
      </c>
      <c r="B1802" s="1">
        <f>IFERROR(__xludf.DUMMYFUNCTION("""COMPUTED_VALUE"""),432.4252)</f>
        <v>432.4252</v>
      </c>
    </row>
    <row r="1803">
      <c r="A1803" s="3">
        <f>IFERROR(__xludf.DUMMYFUNCTION("""COMPUTED_VALUE"""),42173.99861111111)</f>
        <v>42173.99861</v>
      </c>
      <c r="B1803" s="1">
        <f>IFERROR(__xludf.DUMMYFUNCTION("""COMPUTED_VALUE"""),432.3237)</f>
        <v>432.3237</v>
      </c>
    </row>
    <row r="1804">
      <c r="A1804" s="3">
        <f>IFERROR(__xludf.DUMMYFUNCTION("""COMPUTED_VALUE"""),42174.99861111111)</f>
        <v>42174.99861</v>
      </c>
      <c r="B1804" s="1">
        <f>IFERROR(__xludf.DUMMYFUNCTION("""COMPUTED_VALUE"""),422.7256)</f>
        <v>422.7256</v>
      </c>
    </row>
    <row r="1805">
      <c r="A1805" s="3">
        <f>IFERROR(__xludf.DUMMYFUNCTION("""COMPUTED_VALUE"""),42177.99861111111)</f>
        <v>42177.99861</v>
      </c>
      <c r="B1805" s="1">
        <f>IFERROR(__xludf.DUMMYFUNCTION("""COMPUTED_VALUE"""),429.52158)</f>
        <v>429.52158</v>
      </c>
    </row>
    <row r="1806">
      <c r="A1806" s="3">
        <f>IFERROR(__xludf.DUMMYFUNCTION("""COMPUTED_VALUE"""),42178.99861111111)</f>
        <v>42178.99861</v>
      </c>
      <c r="B1806" s="1">
        <f>IFERROR(__xludf.DUMMYFUNCTION("""COMPUTED_VALUE"""),428.9025)</f>
        <v>428.9025</v>
      </c>
    </row>
    <row r="1807">
      <c r="A1807" s="3">
        <f>IFERROR(__xludf.DUMMYFUNCTION("""COMPUTED_VALUE"""),42179.99861111111)</f>
        <v>42179.99861</v>
      </c>
      <c r="B1807" s="1">
        <f>IFERROR(__xludf.DUMMYFUNCTION("""COMPUTED_VALUE"""),429.3999)</f>
        <v>429.3999</v>
      </c>
    </row>
    <row r="1808">
      <c r="A1808" s="3">
        <f>IFERROR(__xludf.DUMMYFUNCTION("""COMPUTED_VALUE"""),42180.99861111111)</f>
        <v>42180.99861</v>
      </c>
      <c r="B1808" s="1">
        <f>IFERROR(__xludf.DUMMYFUNCTION("""COMPUTED_VALUE"""),428.3566)</f>
        <v>428.3566</v>
      </c>
    </row>
    <row r="1809">
      <c r="A1809" s="3">
        <f>IFERROR(__xludf.DUMMYFUNCTION("""COMPUTED_VALUE"""),42181.99861111111)</f>
        <v>42181.99861</v>
      </c>
      <c r="B1809" s="1">
        <f>IFERROR(__xludf.DUMMYFUNCTION("""COMPUTED_VALUE"""),429.6345)</f>
        <v>429.6345</v>
      </c>
    </row>
    <row r="1810">
      <c r="A1810" s="3">
        <f>IFERROR(__xludf.DUMMYFUNCTION("""COMPUTED_VALUE"""),42184.99861111111)</f>
        <v>42184.99861</v>
      </c>
      <c r="B1810" s="1">
        <f>IFERROR(__xludf.DUMMYFUNCTION("""COMPUTED_VALUE"""),427.23654)</f>
        <v>427.23654</v>
      </c>
    </row>
    <row r="1811">
      <c r="A1811" s="3">
        <f>IFERROR(__xludf.DUMMYFUNCTION("""COMPUTED_VALUE"""),42185.99861111111)</f>
        <v>42185.99861</v>
      </c>
      <c r="B1811" s="1">
        <f>IFERROR(__xludf.DUMMYFUNCTION("""COMPUTED_VALUE"""),429.34556)</f>
        <v>429.34556</v>
      </c>
    </row>
    <row r="1812">
      <c r="A1812" s="3">
        <f>IFERROR(__xludf.DUMMYFUNCTION("""COMPUTED_VALUE"""),42186.99861111111)</f>
        <v>42186.99861</v>
      </c>
      <c r="B1812" s="1">
        <f>IFERROR(__xludf.DUMMYFUNCTION("""COMPUTED_VALUE"""),428.1737)</f>
        <v>428.1737</v>
      </c>
    </row>
    <row r="1813">
      <c r="A1813" s="3">
        <f>IFERROR(__xludf.DUMMYFUNCTION("""COMPUTED_VALUE"""),42187.99861111111)</f>
        <v>42187.99861</v>
      </c>
      <c r="B1813" s="1">
        <f>IFERROR(__xludf.DUMMYFUNCTION("""COMPUTED_VALUE"""),417.5574)</f>
        <v>417.5574</v>
      </c>
    </row>
    <row r="1814">
      <c r="A1814" s="3">
        <f>IFERROR(__xludf.DUMMYFUNCTION("""COMPUTED_VALUE"""),42188.99861111111)</f>
        <v>42188.99861</v>
      </c>
      <c r="B1814" s="1">
        <f>IFERROR(__xludf.DUMMYFUNCTION("""COMPUTED_VALUE"""),428.6142)</f>
        <v>428.6142</v>
      </c>
    </row>
    <row r="1815">
      <c r="A1815" s="3">
        <f>IFERROR(__xludf.DUMMYFUNCTION("""COMPUTED_VALUE"""),42191.99861111111)</f>
        <v>42191.99861</v>
      </c>
      <c r="B1815" s="1">
        <f>IFERROR(__xludf.DUMMYFUNCTION("""COMPUTED_VALUE"""),428.214)</f>
        <v>428.214</v>
      </c>
    </row>
    <row r="1816">
      <c r="A1816" s="3">
        <f>IFERROR(__xludf.DUMMYFUNCTION("""COMPUTED_VALUE"""),42192.99861111111)</f>
        <v>42192.99861</v>
      </c>
      <c r="B1816" s="1">
        <f>IFERROR(__xludf.DUMMYFUNCTION("""COMPUTED_VALUE"""),427.59925)</f>
        <v>427.59925</v>
      </c>
    </row>
    <row r="1817">
      <c r="A1817" s="3">
        <f>IFERROR(__xludf.DUMMYFUNCTION("""COMPUTED_VALUE"""),42193.99861111111)</f>
        <v>42193.99861</v>
      </c>
      <c r="B1817" s="1">
        <f>IFERROR(__xludf.DUMMYFUNCTION("""COMPUTED_VALUE"""),429.387)</f>
        <v>429.387</v>
      </c>
    </row>
    <row r="1818">
      <c r="A1818" s="3">
        <f>IFERROR(__xludf.DUMMYFUNCTION("""COMPUTED_VALUE"""),42194.99861111111)</f>
        <v>42194.99861</v>
      </c>
      <c r="B1818" s="1">
        <f>IFERROR(__xludf.DUMMYFUNCTION("""COMPUTED_VALUE"""),425.96206)</f>
        <v>425.96206</v>
      </c>
    </row>
    <row r="1819">
      <c r="A1819" s="3">
        <f>IFERROR(__xludf.DUMMYFUNCTION("""COMPUTED_VALUE"""),42195.99861111111)</f>
        <v>42195.99861</v>
      </c>
      <c r="B1819" s="1">
        <f>IFERROR(__xludf.DUMMYFUNCTION("""COMPUTED_VALUE"""),425.16156)</f>
        <v>425.16156</v>
      </c>
    </row>
    <row r="1820">
      <c r="A1820" s="3">
        <f>IFERROR(__xludf.DUMMYFUNCTION("""COMPUTED_VALUE"""),42198.99861111111)</f>
        <v>42198.99861</v>
      </c>
      <c r="B1820" s="1">
        <f>IFERROR(__xludf.DUMMYFUNCTION("""COMPUTED_VALUE"""),425.624)</f>
        <v>425.624</v>
      </c>
    </row>
    <row r="1821">
      <c r="A1821" s="3">
        <f>IFERROR(__xludf.DUMMYFUNCTION("""COMPUTED_VALUE"""),42199.99861111111)</f>
        <v>42199.99861</v>
      </c>
      <c r="B1821" s="1">
        <f>IFERROR(__xludf.DUMMYFUNCTION("""COMPUTED_VALUE"""),425.09475)</f>
        <v>425.09475</v>
      </c>
    </row>
    <row r="1822">
      <c r="A1822" s="3">
        <f>IFERROR(__xludf.DUMMYFUNCTION("""COMPUTED_VALUE"""),42200.99861111111)</f>
        <v>42200.99861</v>
      </c>
      <c r="B1822" s="1">
        <f>IFERROR(__xludf.DUMMYFUNCTION("""COMPUTED_VALUE"""),426.54924)</f>
        <v>426.54924</v>
      </c>
    </row>
    <row r="1823">
      <c r="A1823" s="3">
        <f>IFERROR(__xludf.DUMMYFUNCTION("""COMPUTED_VALUE"""),42201.99861111111)</f>
        <v>42201.99861</v>
      </c>
      <c r="B1823" s="1">
        <f>IFERROR(__xludf.DUMMYFUNCTION("""COMPUTED_VALUE"""),425.79214)</f>
        <v>425.79214</v>
      </c>
    </row>
    <row r="1824">
      <c r="A1824" s="3">
        <f>IFERROR(__xludf.DUMMYFUNCTION("""COMPUTED_VALUE"""),42202.99861111111)</f>
        <v>42202.99861</v>
      </c>
      <c r="B1824" s="1">
        <f>IFERROR(__xludf.DUMMYFUNCTION("""COMPUTED_VALUE"""),426.399)</f>
        <v>426.399</v>
      </c>
    </row>
    <row r="1825">
      <c r="A1825" s="3">
        <f>IFERROR(__xludf.DUMMYFUNCTION("""COMPUTED_VALUE"""),42205.99861111111)</f>
        <v>42205.99861</v>
      </c>
      <c r="B1825" s="1">
        <f>IFERROR(__xludf.DUMMYFUNCTION("""COMPUTED_VALUE"""),425.6794)</f>
        <v>425.6794</v>
      </c>
    </row>
    <row r="1826">
      <c r="A1826" s="3">
        <f>IFERROR(__xludf.DUMMYFUNCTION("""COMPUTED_VALUE"""),42206.99861111111)</f>
        <v>42206.99861</v>
      </c>
      <c r="B1826" s="1">
        <f>IFERROR(__xludf.DUMMYFUNCTION("""COMPUTED_VALUE"""),427.5201)</f>
        <v>427.5201</v>
      </c>
    </row>
    <row r="1827">
      <c r="A1827" s="3">
        <f>IFERROR(__xludf.DUMMYFUNCTION("""COMPUTED_VALUE"""),42207.99861111111)</f>
        <v>42207.99861</v>
      </c>
      <c r="B1827" s="1">
        <f>IFERROR(__xludf.DUMMYFUNCTION("""COMPUTED_VALUE"""),427.326)</f>
        <v>427.326</v>
      </c>
    </row>
    <row r="1828">
      <c r="A1828" s="3">
        <f>IFERROR(__xludf.DUMMYFUNCTION("""COMPUTED_VALUE"""),42208.99861111111)</f>
        <v>42208.99861</v>
      </c>
      <c r="B1828" s="1">
        <f>IFERROR(__xludf.DUMMYFUNCTION("""COMPUTED_VALUE"""),426.9397)</f>
        <v>426.9397</v>
      </c>
    </row>
    <row r="1829">
      <c r="A1829" s="3">
        <f>IFERROR(__xludf.DUMMYFUNCTION("""COMPUTED_VALUE"""),42209.99861111111)</f>
        <v>42209.99861</v>
      </c>
      <c r="B1829" s="1">
        <f>IFERROR(__xludf.DUMMYFUNCTION("""COMPUTED_VALUE"""),425.8653)</f>
        <v>425.8653</v>
      </c>
    </row>
    <row r="1830">
      <c r="A1830" s="3">
        <f>IFERROR(__xludf.DUMMYFUNCTION("""COMPUTED_VALUE"""),42212.99861111111)</f>
        <v>42212.99861</v>
      </c>
      <c r="B1830" s="1">
        <f>IFERROR(__xludf.DUMMYFUNCTION("""COMPUTED_VALUE"""),426.5712)</f>
        <v>426.5712</v>
      </c>
    </row>
    <row r="1831">
      <c r="A1831" s="3">
        <f>IFERROR(__xludf.DUMMYFUNCTION("""COMPUTED_VALUE"""),42213.99861111111)</f>
        <v>42213.99861</v>
      </c>
      <c r="B1831" s="1">
        <f>IFERROR(__xludf.DUMMYFUNCTION("""COMPUTED_VALUE"""),420.8943)</f>
        <v>420.8943</v>
      </c>
    </row>
    <row r="1832">
      <c r="A1832" s="3">
        <f>IFERROR(__xludf.DUMMYFUNCTION("""COMPUTED_VALUE"""),42214.99861111111)</f>
        <v>42214.99861</v>
      </c>
      <c r="B1832" s="1">
        <f>IFERROR(__xludf.DUMMYFUNCTION("""COMPUTED_VALUE"""),427.355)</f>
        <v>427.355</v>
      </c>
    </row>
    <row r="1833">
      <c r="A1833" s="3">
        <f>IFERROR(__xludf.DUMMYFUNCTION("""COMPUTED_VALUE"""),42215.99861111111)</f>
        <v>42215.99861</v>
      </c>
      <c r="B1833" s="1">
        <f>IFERROR(__xludf.DUMMYFUNCTION("""COMPUTED_VALUE"""),426.88688)</f>
        <v>426.88688</v>
      </c>
    </row>
    <row r="1834">
      <c r="A1834" s="3">
        <f>IFERROR(__xludf.DUMMYFUNCTION("""COMPUTED_VALUE"""),42216.99861111111)</f>
        <v>42216.99861</v>
      </c>
      <c r="B1834" s="1">
        <f>IFERROR(__xludf.DUMMYFUNCTION("""COMPUTED_VALUE"""),423.693)</f>
        <v>423.693</v>
      </c>
    </row>
    <row r="1835">
      <c r="A1835" s="3">
        <f>IFERROR(__xludf.DUMMYFUNCTION("""COMPUTED_VALUE"""),42219.99861111111)</f>
        <v>42219.99861</v>
      </c>
      <c r="B1835" s="1">
        <f>IFERROR(__xludf.DUMMYFUNCTION("""COMPUTED_VALUE"""),423.8976)</f>
        <v>423.8976</v>
      </c>
    </row>
    <row r="1836">
      <c r="A1836" s="3">
        <f>IFERROR(__xludf.DUMMYFUNCTION("""COMPUTED_VALUE"""),42220.99861111111)</f>
        <v>42220.99861</v>
      </c>
      <c r="B1836" s="1">
        <f>IFERROR(__xludf.DUMMYFUNCTION("""COMPUTED_VALUE"""),425.0472)</f>
        <v>425.0472</v>
      </c>
    </row>
    <row r="1837">
      <c r="A1837" s="3">
        <f>IFERROR(__xludf.DUMMYFUNCTION("""COMPUTED_VALUE"""),42221.99861111111)</f>
        <v>42221.99861</v>
      </c>
      <c r="B1837" s="1">
        <f>IFERROR(__xludf.DUMMYFUNCTION("""COMPUTED_VALUE"""),425.7855)</f>
        <v>425.7855</v>
      </c>
    </row>
    <row r="1838">
      <c r="A1838" s="3">
        <f>IFERROR(__xludf.DUMMYFUNCTION("""COMPUTED_VALUE"""),42222.99861111111)</f>
        <v>42222.99861</v>
      </c>
      <c r="B1838" s="1">
        <f>IFERROR(__xludf.DUMMYFUNCTION("""COMPUTED_VALUE"""),424.01285)</f>
        <v>424.01285</v>
      </c>
    </row>
    <row r="1839">
      <c r="A1839" s="3">
        <f>IFERROR(__xludf.DUMMYFUNCTION("""COMPUTED_VALUE"""),42223.99861111111)</f>
        <v>42223.99861</v>
      </c>
      <c r="B1839" s="1">
        <f>IFERROR(__xludf.DUMMYFUNCTION("""COMPUTED_VALUE"""),424.44484)</f>
        <v>424.44484</v>
      </c>
    </row>
    <row r="1840">
      <c r="A1840" s="3">
        <f>IFERROR(__xludf.DUMMYFUNCTION("""COMPUTED_VALUE"""),42226.99861111111)</f>
        <v>42226.99861</v>
      </c>
      <c r="B1840" s="1">
        <f>IFERROR(__xludf.DUMMYFUNCTION("""COMPUTED_VALUE"""),425.42253)</f>
        <v>425.42253</v>
      </c>
    </row>
    <row r="1841">
      <c r="A1841" s="3">
        <f>IFERROR(__xludf.DUMMYFUNCTION("""COMPUTED_VALUE"""),42227.99861111111)</f>
        <v>42227.99861</v>
      </c>
      <c r="B1841" s="1">
        <f>IFERROR(__xludf.DUMMYFUNCTION("""COMPUTED_VALUE"""),422.8434)</f>
        <v>422.8434</v>
      </c>
    </row>
    <row r="1842">
      <c r="A1842" s="3">
        <f>IFERROR(__xludf.DUMMYFUNCTION("""COMPUTED_VALUE"""),42228.99861111111)</f>
        <v>42228.99861</v>
      </c>
      <c r="B1842" s="1">
        <f>IFERROR(__xludf.DUMMYFUNCTION("""COMPUTED_VALUE"""),427.1946)</f>
        <v>427.1946</v>
      </c>
    </row>
    <row r="1843">
      <c r="A1843" s="3">
        <f>IFERROR(__xludf.DUMMYFUNCTION("""COMPUTED_VALUE"""),42229.99861111111)</f>
        <v>42229.99861</v>
      </c>
      <c r="B1843" s="1">
        <f>IFERROR(__xludf.DUMMYFUNCTION("""COMPUTED_VALUE"""),422.5575)</f>
        <v>422.5575</v>
      </c>
    </row>
    <row r="1844">
      <c r="A1844" s="3">
        <f>IFERROR(__xludf.DUMMYFUNCTION("""COMPUTED_VALUE"""),42230.99861111111)</f>
        <v>42230.99861</v>
      </c>
      <c r="B1844" s="1">
        <f>IFERROR(__xludf.DUMMYFUNCTION("""COMPUTED_VALUE"""),423.65635)</f>
        <v>423.65635</v>
      </c>
    </row>
    <row r="1845">
      <c r="A1845" s="3">
        <f>IFERROR(__xludf.DUMMYFUNCTION("""COMPUTED_VALUE"""),42233.99861111111)</f>
        <v>42233.99861</v>
      </c>
      <c r="B1845" s="1">
        <f>IFERROR(__xludf.DUMMYFUNCTION("""COMPUTED_VALUE"""),423.8895)</f>
        <v>423.8895</v>
      </c>
    </row>
    <row r="1846">
      <c r="A1846" s="3">
        <f>IFERROR(__xludf.DUMMYFUNCTION("""COMPUTED_VALUE"""),42234.99861111111)</f>
        <v>42234.99861</v>
      </c>
      <c r="B1846" s="1">
        <f>IFERROR(__xludf.DUMMYFUNCTION("""COMPUTED_VALUE"""),423.41336)</f>
        <v>423.41336</v>
      </c>
    </row>
    <row r="1847">
      <c r="A1847" s="3">
        <f>IFERROR(__xludf.DUMMYFUNCTION("""COMPUTED_VALUE"""),42235.99861111111)</f>
        <v>42235.99861</v>
      </c>
      <c r="B1847" s="1">
        <f>IFERROR(__xludf.DUMMYFUNCTION("""COMPUTED_VALUE"""),414.91464)</f>
        <v>414.91464</v>
      </c>
    </row>
    <row r="1848">
      <c r="A1848" s="3">
        <f>IFERROR(__xludf.DUMMYFUNCTION("""COMPUTED_VALUE"""),42236.99861111111)</f>
        <v>42236.99861</v>
      </c>
      <c r="B1848" s="1">
        <f>IFERROR(__xludf.DUMMYFUNCTION("""COMPUTED_VALUE"""),424.881)</f>
        <v>424.881</v>
      </c>
    </row>
    <row r="1849">
      <c r="A1849" s="3">
        <f>IFERROR(__xludf.DUMMYFUNCTION("""COMPUTED_VALUE"""),42237.99861111111)</f>
        <v>42237.99861</v>
      </c>
      <c r="B1849" s="1">
        <f>IFERROR(__xludf.DUMMYFUNCTION("""COMPUTED_VALUE"""),422.04825)</f>
        <v>422.04825</v>
      </c>
    </row>
    <row r="1850">
      <c r="A1850" s="3">
        <f>IFERROR(__xludf.DUMMYFUNCTION("""COMPUTED_VALUE"""),42240.99861111111)</f>
        <v>42240.99861</v>
      </c>
      <c r="B1850" s="1">
        <f>IFERROR(__xludf.DUMMYFUNCTION("""COMPUTED_VALUE"""),422.1811)</f>
        <v>422.1811</v>
      </c>
    </row>
    <row r="1851">
      <c r="A1851" s="3">
        <f>IFERROR(__xludf.DUMMYFUNCTION("""COMPUTED_VALUE"""),42241.99861111111)</f>
        <v>42241.99861</v>
      </c>
      <c r="B1851" s="1">
        <f>IFERROR(__xludf.DUMMYFUNCTION("""COMPUTED_VALUE"""),419.658)</f>
        <v>419.658</v>
      </c>
    </row>
    <row r="1852">
      <c r="A1852" s="3">
        <f>IFERROR(__xludf.DUMMYFUNCTION("""COMPUTED_VALUE"""),42242.99861111111)</f>
        <v>42242.99861</v>
      </c>
      <c r="B1852" s="1">
        <f>IFERROR(__xludf.DUMMYFUNCTION("""COMPUTED_VALUE"""),426.0592)</f>
        <v>426.0592</v>
      </c>
    </row>
    <row r="1853">
      <c r="A1853" s="3">
        <f>IFERROR(__xludf.DUMMYFUNCTION("""COMPUTED_VALUE"""),42243.99861111111)</f>
        <v>42243.99861</v>
      </c>
      <c r="B1853" s="1">
        <f>IFERROR(__xludf.DUMMYFUNCTION("""COMPUTED_VALUE"""),427.3691)</f>
        <v>427.3691</v>
      </c>
    </row>
    <row r="1854">
      <c r="A1854" s="3">
        <f>IFERROR(__xludf.DUMMYFUNCTION("""COMPUTED_VALUE"""),42244.99861111111)</f>
        <v>42244.99861</v>
      </c>
      <c r="B1854" s="1">
        <f>IFERROR(__xludf.DUMMYFUNCTION("""COMPUTED_VALUE"""),427.7325)</f>
        <v>427.7325</v>
      </c>
    </row>
    <row r="1855">
      <c r="A1855" s="3">
        <f>IFERROR(__xludf.DUMMYFUNCTION("""COMPUTED_VALUE"""),42247.99861111111)</f>
        <v>42247.99861</v>
      </c>
      <c r="B1855" s="1">
        <f>IFERROR(__xludf.DUMMYFUNCTION("""COMPUTED_VALUE"""),430.78)</f>
        <v>430.78</v>
      </c>
    </row>
    <row r="1856">
      <c r="A1856" s="3">
        <f>IFERROR(__xludf.DUMMYFUNCTION("""COMPUTED_VALUE"""),42248.99861111111)</f>
        <v>42248.99861</v>
      </c>
      <c r="B1856" s="1">
        <f>IFERROR(__xludf.DUMMYFUNCTION("""COMPUTED_VALUE"""),428.0328)</f>
        <v>428.0328</v>
      </c>
    </row>
    <row r="1857">
      <c r="A1857" s="3">
        <f>IFERROR(__xludf.DUMMYFUNCTION("""COMPUTED_VALUE"""),42249.99861111111)</f>
        <v>42249.99861</v>
      </c>
      <c r="B1857" s="1">
        <f>IFERROR(__xludf.DUMMYFUNCTION("""COMPUTED_VALUE"""),428.806)</f>
        <v>428.806</v>
      </c>
    </row>
    <row r="1858">
      <c r="A1858" s="3">
        <f>IFERROR(__xludf.DUMMYFUNCTION("""COMPUTED_VALUE"""),42250.99861111111)</f>
        <v>42250.99861</v>
      </c>
      <c r="B1858" s="1">
        <f>IFERROR(__xludf.DUMMYFUNCTION("""COMPUTED_VALUE"""),417.4492)</f>
        <v>417.4492</v>
      </c>
    </row>
    <row r="1859">
      <c r="A1859" s="3">
        <f>IFERROR(__xludf.DUMMYFUNCTION("""COMPUTED_VALUE"""),42251.99861111111)</f>
        <v>42251.99861</v>
      </c>
      <c r="B1859" s="1">
        <f>IFERROR(__xludf.DUMMYFUNCTION("""COMPUTED_VALUE"""),432.2274)</f>
        <v>432.2274</v>
      </c>
    </row>
    <row r="1860">
      <c r="A1860" s="3">
        <f>IFERROR(__xludf.DUMMYFUNCTION("""COMPUTED_VALUE"""),42254.99861111111)</f>
        <v>42254.99861</v>
      </c>
      <c r="B1860" s="1">
        <f>IFERROR(__xludf.DUMMYFUNCTION("""COMPUTED_VALUE"""),433.389)</f>
        <v>433.389</v>
      </c>
    </row>
    <row r="1861">
      <c r="A1861" s="3">
        <f>IFERROR(__xludf.DUMMYFUNCTION("""COMPUTED_VALUE"""),42255.99861111111)</f>
        <v>42255.99861</v>
      </c>
      <c r="B1861" s="1">
        <f>IFERROR(__xludf.DUMMYFUNCTION("""COMPUTED_VALUE"""),435.9864)</f>
        <v>435.9864</v>
      </c>
    </row>
    <row r="1862">
      <c r="A1862" s="3">
        <f>IFERROR(__xludf.DUMMYFUNCTION("""COMPUTED_VALUE"""),42256.99861111111)</f>
        <v>42256.99861</v>
      </c>
      <c r="B1862" s="1">
        <f>IFERROR(__xludf.DUMMYFUNCTION("""COMPUTED_VALUE"""),434.7675)</f>
        <v>434.7675</v>
      </c>
    </row>
    <row r="1863">
      <c r="A1863" s="3">
        <f>IFERROR(__xludf.DUMMYFUNCTION("""COMPUTED_VALUE"""),42257.99861111111)</f>
        <v>42257.99861</v>
      </c>
      <c r="B1863" s="1">
        <f>IFERROR(__xludf.DUMMYFUNCTION("""COMPUTED_VALUE"""),440.1462)</f>
        <v>440.1462</v>
      </c>
    </row>
    <row r="1864">
      <c r="A1864" s="3">
        <f>IFERROR(__xludf.DUMMYFUNCTION("""COMPUTED_VALUE"""),42258.99861111111)</f>
        <v>42258.99861</v>
      </c>
      <c r="B1864" s="1">
        <f>IFERROR(__xludf.DUMMYFUNCTION("""COMPUTED_VALUE"""),436.2339)</f>
        <v>436.2339</v>
      </c>
    </row>
    <row r="1865">
      <c r="A1865" s="3">
        <f>IFERROR(__xludf.DUMMYFUNCTION("""COMPUTED_VALUE"""),42261.99861111111)</f>
        <v>42261.99861</v>
      </c>
      <c r="B1865" s="1">
        <f>IFERROR(__xludf.DUMMYFUNCTION("""COMPUTED_VALUE"""),440.0325)</f>
        <v>440.0325</v>
      </c>
    </row>
    <row r="1866">
      <c r="A1866" s="3">
        <f>IFERROR(__xludf.DUMMYFUNCTION("""COMPUTED_VALUE"""),42262.99861111111)</f>
        <v>42262.99861</v>
      </c>
      <c r="B1866" s="1">
        <f>IFERROR(__xludf.DUMMYFUNCTION("""COMPUTED_VALUE"""),443.088)</f>
        <v>443.088</v>
      </c>
    </row>
    <row r="1867">
      <c r="A1867" s="3">
        <f>IFERROR(__xludf.DUMMYFUNCTION("""COMPUTED_VALUE"""),42263.99861111111)</f>
        <v>42263.99861</v>
      </c>
      <c r="B1867" s="1">
        <f>IFERROR(__xludf.DUMMYFUNCTION("""COMPUTED_VALUE"""),438.78604)</f>
        <v>438.78604</v>
      </c>
    </row>
    <row r="1868">
      <c r="A1868" s="3">
        <f>IFERROR(__xludf.DUMMYFUNCTION("""COMPUTED_VALUE"""),42264.99861111111)</f>
        <v>42264.99861</v>
      </c>
      <c r="B1868" s="1">
        <f>IFERROR(__xludf.DUMMYFUNCTION("""COMPUTED_VALUE"""),435.5695)</f>
        <v>435.5695</v>
      </c>
    </row>
    <row r="1869">
      <c r="A1869" s="3">
        <f>IFERROR(__xludf.DUMMYFUNCTION("""COMPUTED_VALUE"""),42265.99861111111)</f>
        <v>42265.99861</v>
      </c>
      <c r="B1869" s="1">
        <f>IFERROR(__xludf.DUMMYFUNCTION("""COMPUTED_VALUE"""),440.87583)</f>
        <v>440.87583</v>
      </c>
    </row>
    <row r="1870">
      <c r="A1870" s="3">
        <f>IFERROR(__xludf.DUMMYFUNCTION("""COMPUTED_VALUE"""),42268.99861111111)</f>
        <v>42268.99861</v>
      </c>
      <c r="B1870" s="1">
        <f>IFERROR(__xludf.DUMMYFUNCTION("""COMPUTED_VALUE"""),439.3092)</f>
        <v>439.3092</v>
      </c>
    </row>
    <row r="1871">
      <c r="A1871" s="3">
        <f>IFERROR(__xludf.DUMMYFUNCTION("""COMPUTED_VALUE"""),42269.99861111111)</f>
        <v>42269.99861</v>
      </c>
      <c r="B1871" s="1">
        <f>IFERROR(__xludf.DUMMYFUNCTION("""COMPUTED_VALUE"""),443.25015)</f>
        <v>443.25015</v>
      </c>
    </row>
    <row r="1872">
      <c r="A1872" s="3">
        <f>IFERROR(__xludf.DUMMYFUNCTION("""COMPUTED_VALUE"""),42270.99861111111)</f>
        <v>42270.99861</v>
      </c>
      <c r="B1872" s="1">
        <f>IFERROR(__xludf.DUMMYFUNCTION("""COMPUTED_VALUE"""),440.2248)</f>
        <v>440.2248</v>
      </c>
    </row>
    <row r="1873">
      <c r="A1873" s="3">
        <f>IFERROR(__xludf.DUMMYFUNCTION("""COMPUTED_VALUE"""),42271.99861111111)</f>
        <v>42271.99861</v>
      </c>
      <c r="B1873" s="1">
        <f>IFERROR(__xludf.DUMMYFUNCTION("""COMPUTED_VALUE"""),441.1269)</f>
        <v>441.1269</v>
      </c>
    </row>
    <row r="1874">
      <c r="A1874" s="3">
        <f>IFERROR(__xludf.DUMMYFUNCTION("""COMPUTED_VALUE"""),42272.99861111111)</f>
        <v>42272.99861</v>
      </c>
      <c r="B1874" s="1">
        <f>IFERROR(__xludf.DUMMYFUNCTION("""COMPUTED_VALUE"""),439.09468)</f>
        <v>439.09468</v>
      </c>
    </row>
    <row r="1875">
      <c r="A1875" s="3">
        <f>IFERROR(__xludf.DUMMYFUNCTION("""COMPUTED_VALUE"""),42275.99861111111)</f>
        <v>42275.99861</v>
      </c>
      <c r="B1875" s="1">
        <f>IFERROR(__xludf.DUMMYFUNCTION("""COMPUTED_VALUE"""),441.49788)</f>
        <v>441.49788</v>
      </c>
    </row>
    <row r="1876">
      <c r="A1876" s="3">
        <f>IFERROR(__xludf.DUMMYFUNCTION("""COMPUTED_VALUE"""),42276.99861111111)</f>
        <v>42276.99861</v>
      </c>
      <c r="B1876" s="1">
        <f>IFERROR(__xludf.DUMMYFUNCTION("""COMPUTED_VALUE"""),440.9872)</f>
        <v>440.9872</v>
      </c>
    </row>
    <row r="1877">
      <c r="A1877" s="3">
        <f>IFERROR(__xludf.DUMMYFUNCTION("""COMPUTED_VALUE"""),42277.99861111111)</f>
        <v>42277.99861</v>
      </c>
      <c r="B1877" s="1">
        <f>IFERROR(__xludf.DUMMYFUNCTION("""COMPUTED_VALUE"""),439.32488)</f>
        <v>439.32488</v>
      </c>
    </row>
    <row r="1878">
      <c r="A1878" s="3">
        <f>IFERROR(__xludf.DUMMYFUNCTION("""COMPUTED_VALUE"""),42278.99861111111)</f>
        <v>42278.99861</v>
      </c>
      <c r="B1878" s="1">
        <f>IFERROR(__xludf.DUMMYFUNCTION("""COMPUTED_VALUE"""),443.32295)</f>
        <v>443.32295</v>
      </c>
    </row>
    <row r="1879">
      <c r="A1879" s="3">
        <f>IFERROR(__xludf.DUMMYFUNCTION("""COMPUTED_VALUE"""),42279.99861111111)</f>
        <v>42279.99861</v>
      </c>
      <c r="B1879" s="1">
        <f>IFERROR(__xludf.DUMMYFUNCTION("""COMPUTED_VALUE"""),446.18275)</f>
        <v>446.18275</v>
      </c>
    </row>
    <row r="1880">
      <c r="A1880" s="3">
        <f>IFERROR(__xludf.DUMMYFUNCTION("""COMPUTED_VALUE"""),42282.99861111111)</f>
        <v>42282.99861</v>
      </c>
      <c r="B1880" s="1">
        <f>IFERROR(__xludf.DUMMYFUNCTION("""COMPUTED_VALUE"""),444.39207)</f>
        <v>444.39207</v>
      </c>
    </row>
    <row r="1881">
      <c r="A1881" s="3">
        <f>IFERROR(__xludf.DUMMYFUNCTION("""COMPUTED_VALUE"""),42283.99861111111)</f>
        <v>42283.99861</v>
      </c>
      <c r="B1881" s="1">
        <f>IFERROR(__xludf.DUMMYFUNCTION("""COMPUTED_VALUE"""),421.097)</f>
        <v>421.097</v>
      </c>
    </row>
    <row r="1882">
      <c r="A1882" s="3">
        <f>IFERROR(__xludf.DUMMYFUNCTION("""COMPUTED_VALUE"""),42284.99861111111)</f>
        <v>42284.99861</v>
      </c>
      <c r="B1882" s="1">
        <f>IFERROR(__xludf.DUMMYFUNCTION("""COMPUTED_VALUE"""),427.3193)</f>
        <v>427.3193</v>
      </c>
    </row>
    <row r="1883">
      <c r="A1883" s="3">
        <f>IFERROR(__xludf.DUMMYFUNCTION("""COMPUTED_VALUE"""),42285.99861111111)</f>
        <v>42285.99861</v>
      </c>
      <c r="B1883" s="1">
        <f>IFERROR(__xludf.DUMMYFUNCTION("""COMPUTED_VALUE"""),413.028)</f>
        <v>413.028</v>
      </c>
    </row>
    <row r="1884">
      <c r="A1884" s="3">
        <f>IFERROR(__xludf.DUMMYFUNCTION("""COMPUTED_VALUE"""),42286.99861111111)</f>
        <v>42286.99861</v>
      </c>
      <c r="B1884" s="1">
        <f>IFERROR(__xludf.DUMMYFUNCTION("""COMPUTED_VALUE"""),411.8544)</f>
        <v>411.8544</v>
      </c>
    </row>
    <row r="1885">
      <c r="A1885" s="3">
        <f>IFERROR(__xludf.DUMMYFUNCTION("""COMPUTED_VALUE"""),42289.99861111111)</f>
        <v>42289.99861</v>
      </c>
      <c r="B1885" s="1">
        <f>IFERROR(__xludf.DUMMYFUNCTION("""COMPUTED_VALUE"""),414.64642)</f>
        <v>414.64642</v>
      </c>
    </row>
    <row r="1886">
      <c r="A1886" s="3">
        <f>IFERROR(__xludf.DUMMYFUNCTION("""COMPUTED_VALUE"""),42290.99861111111)</f>
        <v>42290.99861</v>
      </c>
      <c r="B1886" s="1">
        <f>IFERROR(__xludf.DUMMYFUNCTION("""COMPUTED_VALUE"""),416.871)</f>
        <v>416.871</v>
      </c>
    </row>
    <row r="1887">
      <c r="A1887" s="3">
        <f>IFERROR(__xludf.DUMMYFUNCTION("""COMPUTED_VALUE"""),42291.99861111111)</f>
        <v>42291.99861</v>
      </c>
      <c r="B1887" s="1">
        <f>IFERROR(__xludf.DUMMYFUNCTION("""COMPUTED_VALUE"""),409.6014)</f>
        <v>409.6014</v>
      </c>
    </row>
    <row r="1888">
      <c r="A1888" s="3">
        <f>IFERROR(__xludf.DUMMYFUNCTION("""COMPUTED_VALUE"""),42292.99861111111)</f>
        <v>42292.99861</v>
      </c>
      <c r="B1888" s="1">
        <f>IFERROR(__xludf.DUMMYFUNCTION("""COMPUTED_VALUE"""),412.854)</f>
        <v>412.854</v>
      </c>
    </row>
    <row r="1889">
      <c r="A1889" s="3">
        <f>IFERROR(__xludf.DUMMYFUNCTION("""COMPUTED_VALUE"""),42293.99861111111)</f>
        <v>42293.99861</v>
      </c>
      <c r="B1889" s="1">
        <f>IFERROR(__xludf.DUMMYFUNCTION("""COMPUTED_VALUE"""),417.85975)</f>
        <v>417.85975</v>
      </c>
    </row>
    <row r="1890">
      <c r="A1890" s="3">
        <f>IFERROR(__xludf.DUMMYFUNCTION("""COMPUTED_VALUE"""),42296.99861111111)</f>
        <v>42296.99861</v>
      </c>
      <c r="B1890" s="1">
        <f>IFERROR(__xludf.DUMMYFUNCTION("""COMPUTED_VALUE"""),421.1025)</f>
        <v>421.1025</v>
      </c>
    </row>
    <row r="1891">
      <c r="A1891" s="3">
        <f>IFERROR(__xludf.DUMMYFUNCTION("""COMPUTED_VALUE"""),42297.99861111111)</f>
        <v>42297.99861</v>
      </c>
      <c r="B1891" s="1">
        <f>IFERROR(__xludf.DUMMYFUNCTION("""COMPUTED_VALUE"""),422.42708)</f>
        <v>422.42708</v>
      </c>
    </row>
    <row r="1892">
      <c r="A1892" s="3">
        <f>IFERROR(__xludf.DUMMYFUNCTION("""COMPUTED_VALUE"""),42298.99861111111)</f>
        <v>42298.99861</v>
      </c>
      <c r="B1892" s="1">
        <f>IFERROR(__xludf.DUMMYFUNCTION("""COMPUTED_VALUE"""),420.727)</f>
        <v>420.727</v>
      </c>
    </row>
    <row r="1893">
      <c r="A1893" s="3">
        <f>IFERROR(__xludf.DUMMYFUNCTION("""COMPUTED_VALUE"""),42299.99861111111)</f>
        <v>42299.99861</v>
      </c>
      <c r="B1893" s="1">
        <f>IFERROR(__xludf.DUMMYFUNCTION("""COMPUTED_VALUE"""),412.69636)</f>
        <v>412.69636</v>
      </c>
    </row>
    <row r="1894">
      <c r="A1894" s="3">
        <f>IFERROR(__xludf.DUMMYFUNCTION("""COMPUTED_VALUE"""),42300.99861111111)</f>
        <v>42300.99861</v>
      </c>
      <c r="B1894" s="1">
        <f>IFERROR(__xludf.DUMMYFUNCTION("""COMPUTED_VALUE"""),415.8752)</f>
        <v>415.8752</v>
      </c>
    </row>
    <row r="1895">
      <c r="A1895" s="3">
        <f>IFERROR(__xludf.DUMMYFUNCTION("""COMPUTED_VALUE"""),42303.99861111111)</f>
        <v>42303.99861</v>
      </c>
      <c r="B1895" s="1">
        <f>IFERROR(__xludf.DUMMYFUNCTION("""COMPUTED_VALUE"""),416.0577)</f>
        <v>416.0577</v>
      </c>
    </row>
    <row r="1896">
      <c r="A1896" s="3">
        <f>IFERROR(__xludf.DUMMYFUNCTION("""COMPUTED_VALUE"""),42304.99861111111)</f>
        <v>42304.99861</v>
      </c>
      <c r="B1896" s="1">
        <f>IFERROR(__xludf.DUMMYFUNCTION("""COMPUTED_VALUE"""),417.69)</f>
        <v>417.69</v>
      </c>
    </row>
    <row r="1897">
      <c r="A1897" s="3">
        <f>IFERROR(__xludf.DUMMYFUNCTION("""COMPUTED_VALUE"""),42305.99861111111)</f>
        <v>42305.99861</v>
      </c>
      <c r="B1897" s="1">
        <f>IFERROR(__xludf.DUMMYFUNCTION("""COMPUTED_VALUE"""),416.08518)</f>
        <v>416.08518</v>
      </c>
    </row>
    <row r="1898">
      <c r="A1898" s="3">
        <f>IFERROR(__xludf.DUMMYFUNCTION("""COMPUTED_VALUE"""),42306.99861111111)</f>
        <v>42306.99861</v>
      </c>
      <c r="B1898" s="1">
        <f>IFERROR(__xludf.DUMMYFUNCTION("""COMPUTED_VALUE"""),417.98946)</f>
        <v>417.98946</v>
      </c>
    </row>
    <row r="1899">
      <c r="A1899" s="3">
        <f>IFERROR(__xludf.DUMMYFUNCTION("""COMPUTED_VALUE"""),42307.99861111111)</f>
        <v>42307.99861</v>
      </c>
      <c r="B1899" s="1">
        <f>IFERROR(__xludf.DUMMYFUNCTION("""COMPUTED_VALUE"""),420.0766)</f>
        <v>420.0766</v>
      </c>
    </row>
    <row r="1900">
      <c r="A1900" s="3">
        <f>IFERROR(__xludf.DUMMYFUNCTION("""COMPUTED_VALUE"""),42310.99861111111)</f>
        <v>42310.99861</v>
      </c>
      <c r="B1900" s="1">
        <f>IFERROR(__xludf.DUMMYFUNCTION("""COMPUTED_VALUE"""),415.0048)</f>
        <v>415.0048</v>
      </c>
    </row>
    <row r="1901">
      <c r="A1901" s="3">
        <f>IFERROR(__xludf.DUMMYFUNCTION("""COMPUTED_VALUE"""),42311.99861111111)</f>
        <v>42311.99861</v>
      </c>
      <c r="B1901" s="1">
        <f>IFERROR(__xludf.DUMMYFUNCTION("""COMPUTED_VALUE"""),410.55675)</f>
        <v>410.55675</v>
      </c>
    </row>
    <row r="1902">
      <c r="A1902" s="3">
        <f>IFERROR(__xludf.DUMMYFUNCTION("""COMPUTED_VALUE"""),42312.99861111111)</f>
        <v>42312.99861</v>
      </c>
      <c r="B1902" s="1">
        <f>IFERROR(__xludf.DUMMYFUNCTION("""COMPUTED_VALUE"""),412.7994)</f>
        <v>412.7994</v>
      </c>
    </row>
    <row r="1903">
      <c r="A1903" s="3">
        <f>IFERROR(__xludf.DUMMYFUNCTION("""COMPUTED_VALUE"""),42313.99861111111)</f>
        <v>42313.99861</v>
      </c>
      <c r="B1903" s="1">
        <f>IFERROR(__xludf.DUMMYFUNCTION("""COMPUTED_VALUE"""),416.8405)</f>
        <v>416.8405</v>
      </c>
    </row>
    <row r="1904">
      <c r="A1904" s="3">
        <f>IFERROR(__xludf.DUMMYFUNCTION("""COMPUTED_VALUE"""),42314.99861111111)</f>
        <v>42314.99861</v>
      </c>
      <c r="B1904" s="1">
        <f>IFERROR(__xludf.DUMMYFUNCTION("""COMPUTED_VALUE"""),415.7855)</f>
        <v>415.7855</v>
      </c>
    </row>
    <row r="1905">
      <c r="A1905" s="3">
        <f>IFERROR(__xludf.DUMMYFUNCTION("""COMPUTED_VALUE"""),42317.99861111111)</f>
        <v>42317.99861</v>
      </c>
      <c r="B1905" s="1">
        <f>IFERROR(__xludf.DUMMYFUNCTION("""COMPUTED_VALUE"""),403.48265)</f>
        <v>403.48265</v>
      </c>
    </row>
    <row r="1906">
      <c r="A1906" s="3">
        <f>IFERROR(__xludf.DUMMYFUNCTION("""COMPUTED_VALUE"""),42318.99861111111)</f>
        <v>42318.99861</v>
      </c>
      <c r="B1906" s="1">
        <f>IFERROR(__xludf.DUMMYFUNCTION("""COMPUTED_VALUE"""),412.7664)</f>
        <v>412.7664</v>
      </c>
    </row>
    <row r="1907">
      <c r="A1907" s="3">
        <f>IFERROR(__xludf.DUMMYFUNCTION("""COMPUTED_VALUE"""),42319.99861111111)</f>
        <v>42319.99861</v>
      </c>
      <c r="B1907" s="1">
        <f>IFERROR(__xludf.DUMMYFUNCTION("""COMPUTED_VALUE"""),403.18025)</f>
        <v>403.18025</v>
      </c>
    </row>
    <row r="1908">
      <c r="A1908" s="3">
        <f>IFERROR(__xludf.DUMMYFUNCTION("""COMPUTED_VALUE"""),42320.99861111111)</f>
        <v>42320.99861</v>
      </c>
      <c r="B1908" s="1">
        <f>IFERROR(__xludf.DUMMYFUNCTION("""COMPUTED_VALUE"""),407.3473)</f>
        <v>407.3473</v>
      </c>
    </row>
    <row r="1909">
      <c r="A1909" s="3">
        <f>IFERROR(__xludf.DUMMYFUNCTION("""COMPUTED_VALUE"""),42321.99861111111)</f>
        <v>42321.99861</v>
      </c>
      <c r="B1909" s="1">
        <f>IFERROR(__xludf.DUMMYFUNCTION("""COMPUTED_VALUE"""),417.64977)</f>
        <v>417.64977</v>
      </c>
    </row>
    <row r="1910">
      <c r="A1910" s="3">
        <f>IFERROR(__xludf.DUMMYFUNCTION("""COMPUTED_VALUE"""),42324.99861111111)</f>
        <v>42324.99861</v>
      </c>
      <c r="B1910" s="1">
        <f>IFERROR(__xludf.DUMMYFUNCTION("""COMPUTED_VALUE"""),415.07824)</f>
        <v>415.07824</v>
      </c>
    </row>
    <row r="1911">
      <c r="A1911" s="3">
        <f>IFERROR(__xludf.DUMMYFUNCTION("""COMPUTED_VALUE"""),42325.99861111111)</f>
        <v>42325.99861</v>
      </c>
      <c r="B1911" s="1">
        <f>IFERROR(__xludf.DUMMYFUNCTION("""COMPUTED_VALUE"""),406.2492)</f>
        <v>406.2492</v>
      </c>
    </row>
    <row r="1912">
      <c r="A1912" s="3">
        <f>IFERROR(__xludf.DUMMYFUNCTION("""COMPUTED_VALUE"""),42326.99861111111)</f>
        <v>42326.99861</v>
      </c>
      <c r="B1912" s="1">
        <f>IFERROR(__xludf.DUMMYFUNCTION("""COMPUTED_VALUE"""),415.2615)</f>
        <v>415.2615</v>
      </c>
    </row>
    <row r="1913">
      <c r="A1913" s="3">
        <f>IFERROR(__xludf.DUMMYFUNCTION("""COMPUTED_VALUE"""),42327.99861111111)</f>
        <v>42327.99861</v>
      </c>
      <c r="B1913" s="1">
        <f>IFERROR(__xludf.DUMMYFUNCTION("""COMPUTED_VALUE"""),419.89125)</f>
        <v>419.89125</v>
      </c>
    </row>
    <row r="1914">
      <c r="A1914" s="3">
        <f>IFERROR(__xludf.DUMMYFUNCTION("""COMPUTED_VALUE"""),42328.99861111111)</f>
        <v>42328.99861</v>
      </c>
      <c r="B1914" s="1">
        <f>IFERROR(__xludf.DUMMYFUNCTION("""COMPUTED_VALUE"""),403.2212)</f>
        <v>403.2212</v>
      </c>
    </row>
    <row r="1915">
      <c r="A1915" s="3">
        <f>IFERROR(__xludf.DUMMYFUNCTION("""COMPUTED_VALUE"""),42331.99861111111)</f>
        <v>42331.99861</v>
      </c>
      <c r="B1915" s="1">
        <f>IFERROR(__xludf.DUMMYFUNCTION("""COMPUTED_VALUE"""),416.91915)</f>
        <v>416.91915</v>
      </c>
    </row>
    <row r="1916">
      <c r="A1916" s="3">
        <f>IFERROR(__xludf.DUMMYFUNCTION("""COMPUTED_VALUE"""),42332.99861111111)</f>
        <v>42332.99861</v>
      </c>
      <c r="B1916" s="1">
        <f>IFERROR(__xludf.DUMMYFUNCTION("""COMPUTED_VALUE"""),406.1484)</f>
        <v>406.1484</v>
      </c>
    </row>
    <row r="1917">
      <c r="A1917" s="3">
        <f>IFERROR(__xludf.DUMMYFUNCTION("""COMPUTED_VALUE"""),42333.99861111111)</f>
        <v>42333.99861</v>
      </c>
      <c r="B1917" s="1">
        <f>IFERROR(__xludf.DUMMYFUNCTION("""COMPUTED_VALUE"""),407.5641)</f>
        <v>407.5641</v>
      </c>
    </row>
    <row r="1918">
      <c r="A1918" s="3">
        <f>IFERROR(__xludf.DUMMYFUNCTION("""COMPUTED_VALUE"""),42334.99861111111)</f>
        <v>42334.99861</v>
      </c>
      <c r="B1918" s="1">
        <f>IFERROR(__xludf.DUMMYFUNCTION("""COMPUTED_VALUE"""),420.0163)</f>
        <v>420.0163</v>
      </c>
    </row>
    <row r="1919">
      <c r="A1919" s="3">
        <f>IFERROR(__xludf.DUMMYFUNCTION("""COMPUTED_VALUE"""),42335.99861111111)</f>
        <v>42335.99861</v>
      </c>
      <c r="B1919" s="1">
        <f>IFERROR(__xludf.DUMMYFUNCTION("""COMPUTED_VALUE"""),405.86688)</f>
        <v>405.86688</v>
      </c>
    </row>
    <row r="1920">
      <c r="A1920" s="3">
        <f>IFERROR(__xludf.DUMMYFUNCTION("""COMPUTED_VALUE"""),42338.99861111111)</f>
        <v>42338.99861</v>
      </c>
      <c r="B1920" s="1">
        <f>IFERROR(__xludf.DUMMYFUNCTION("""COMPUTED_VALUE"""),422.87618)</f>
        <v>422.87618</v>
      </c>
    </row>
    <row r="1921">
      <c r="A1921" s="3">
        <f>IFERROR(__xludf.DUMMYFUNCTION("""COMPUTED_VALUE"""),42339.99861111111)</f>
        <v>42339.99861</v>
      </c>
      <c r="B1921" s="1">
        <f>IFERROR(__xludf.DUMMYFUNCTION("""COMPUTED_VALUE"""),412.2506)</f>
        <v>412.2506</v>
      </c>
    </row>
    <row r="1922">
      <c r="A1922" s="3">
        <f>IFERROR(__xludf.DUMMYFUNCTION("""COMPUTED_VALUE"""),42340.99861111111)</f>
        <v>42340.99861</v>
      </c>
      <c r="B1922" s="1">
        <f>IFERROR(__xludf.DUMMYFUNCTION("""COMPUTED_VALUE"""),410.20597)</f>
        <v>410.20597</v>
      </c>
    </row>
    <row r="1923">
      <c r="A1923" s="3">
        <f>IFERROR(__xludf.DUMMYFUNCTION("""COMPUTED_VALUE"""),42341.99861111111)</f>
        <v>42341.99861</v>
      </c>
      <c r="B1923" s="1">
        <f>IFERROR(__xludf.DUMMYFUNCTION("""COMPUTED_VALUE"""),420.4365)</f>
        <v>420.4365</v>
      </c>
    </row>
    <row r="1924">
      <c r="A1924" s="3">
        <f>IFERROR(__xludf.DUMMYFUNCTION("""COMPUTED_VALUE"""),42342.99861111111)</f>
        <v>42342.99861</v>
      </c>
      <c r="B1924" s="1">
        <f>IFERROR(__xludf.DUMMYFUNCTION("""COMPUTED_VALUE"""),408.19986)</f>
        <v>408.19986</v>
      </c>
    </row>
    <row r="1925">
      <c r="A1925" s="3">
        <f>IFERROR(__xludf.DUMMYFUNCTION("""COMPUTED_VALUE"""),42345.99861111111)</f>
        <v>42345.99861</v>
      </c>
      <c r="B1925" s="1">
        <f>IFERROR(__xludf.DUMMYFUNCTION("""COMPUTED_VALUE"""),411.5229)</f>
        <v>411.5229</v>
      </c>
    </row>
    <row r="1926">
      <c r="A1926" s="3">
        <f>IFERROR(__xludf.DUMMYFUNCTION("""COMPUTED_VALUE"""),42346.99861111111)</f>
        <v>42346.99861</v>
      </c>
      <c r="B1926" s="1">
        <f>IFERROR(__xludf.DUMMYFUNCTION("""COMPUTED_VALUE"""),413.7784)</f>
        <v>413.7784</v>
      </c>
    </row>
    <row r="1927">
      <c r="A1927" s="3">
        <f>IFERROR(__xludf.DUMMYFUNCTION("""COMPUTED_VALUE"""),42347.99861111111)</f>
        <v>42347.99861</v>
      </c>
      <c r="B1927" s="1">
        <f>IFERROR(__xludf.DUMMYFUNCTION("""COMPUTED_VALUE"""),415.0944)</f>
        <v>415.0944</v>
      </c>
    </row>
    <row r="1928">
      <c r="A1928" s="3">
        <f>IFERROR(__xludf.DUMMYFUNCTION("""COMPUTED_VALUE"""),42348.99861111111)</f>
        <v>42348.99861</v>
      </c>
      <c r="B1928" s="1">
        <f>IFERROR(__xludf.DUMMYFUNCTION("""COMPUTED_VALUE"""),421.78825)</f>
        <v>421.78825</v>
      </c>
    </row>
    <row r="1929">
      <c r="A1929" s="3">
        <f>IFERROR(__xludf.DUMMYFUNCTION("""COMPUTED_VALUE"""),42349.99861111111)</f>
        <v>42349.99861</v>
      </c>
      <c r="B1929" s="1">
        <f>IFERROR(__xludf.DUMMYFUNCTION("""COMPUTED_VALUE"""),419.5197)</f>
        <v>419.5197</v>
      </c>
    </row>
    <row r="1930">
      <c r="A1930" s="3">
        <f>IFERROR(__xludf.DUMMYFUNCTION("""COMPUTED_VALUE"""),42352.99861111111)</f>
        <v>42352.99861</v>
      </c>
      <c r="B1930" s="1">
        <f>IFERROR(__xludf.DUMMYFUNCTION("""COMPUTED_VALUE"""),414.73111)</f>
        <v>414.73111</v>
      </c>
    </row>
    <row r="1931">
      <c r="A1931" s="3">
        <f>IFERROR(__xludf.DUMMYFUNCTION("""COMPUTED_VALUE"""),42353.99861111111)</f>
        <v>42353.99861</v>
      </c>
      <c r="B1931" s="1">
        <f>IFERROR(__xludf.DUMMYFUNCTION("""COMPUTED_VALUE"""),412.6738)</f>
        <v>412.6738</v>
      </c>
    </row>
    <row r="1932">
      <c r="A1932" s="3">
        <f>IFERROR(__xludf.DUMMYFUNCTION("""COMPUTED_VALUE"""),42354.99861111111)</f>
        <v>42354.99861</v>
      </c>
      <c r="B1932" s="1">
        <f>IFERROR(__xludf.DUMMYFUNCTION("""COMPUTED_VALUE"""),407.7088)</f>
        <v>407.7088</v>
      </c>
    </row>
    <row r="1933">
      <c r="A1933" s="3">
        <f>IFERROR(__xludf.DUMMYFUNCTION("""COMPUTED_VALUE"""),42355.99861111111)</f>
        <v>42355.99861</v>
      </c>
      <c r="B1933" s="1">
        <f>IFERROR(__xludf.DUMMYFUNCTION("""COMPUTED_VALUE"""),413.59)</f>
        <v>413.59</v>
      </c>
    </row>
    <row r="1934">
      <c r="A1934" s="3">
        <f>IFERROR(__xludf.DUMMYFUNCTION("""COMPUTED_VALUE"""),42356.99861111111)</f>
        <v>42356.99861</v>
      </c>
      <c r="B1934" s="1">
        <f>IFERROR(__xludf.DUMMYFUNCTION("""COMPUTED_VALUE"""),421.35735)</f>
        <v>421.35735</v>
      </c>
    </row>
    <row r="1935">
      <c r="A1935" s="3">
        <f>IFERROR(__xludf.DUMMYFUNCTION("""COMPUTED_VALUE"""),42359.99861111111)</f>
        <v>42359.99861</v>
      </c>
      <c r="B1935" s="1">
        <f>IFERROR(__xludf.DUMMYFUNCTION("""COMPUTED_VALUE"""),408.3968)</f>
        <v>408.3968</v>
      </c>
    </row>
    <row r="1936">
      <c r="A1936" s="3">
        <f>IFERROR(__xludf.DUMMYFUNCTION("""COMPUTED_VALUE"""),42360.99861111111)</f>
        <v>42360.99861</v>
      </c>
      <c r="B1936" s="1">
        <f>IFERROR(__xludf.DUMMYFUNCTION("""COMPUTED_VALUE"""),415.0809)</f>
        <v>415.0809</v>
      </c>
    </row>
    <row r="1937">
      <c r="A1937" s="3">
        <f>IFERROR(__xludf.DUMMYFUNCTION("""COMPUTED_VALUE"""),42361.99861111111)</f>
        <v>42361.99861</v>
      </c>
      <c r="B1937" s="1">
        <f>IFERROR(__xludf.DUMMYFUNCTION("""COMPUTED_VALUE"""),402.755)</f>
        <v>402.755</v>
      </c>
    </row>
    <row r="1938">
      <c r="A1938" s="3">
        <f>IFERROR(__xludf.DUMMYFUNCTION("""COMPUTED_VALUE"""),42362.99861111111)</f>
        <v>42362.99861</v>
      </c>
      <c r="B1938" s="1">
        <f>IFERROR(__xludf.DUMMYFUNCTION("""COMPUTED_VALUE"""),405.0836)</f>
        <v>405.0836</v>
      </c>
    </row>
    <row r="1939">
      <c r="A1939" s="3">
        <f>IFERROR(__xludf.DUMMYFUNCTION("""COMPUTED_VALUE"""),42363.99861111111)</f>
        <v>42363.99861</v>
      </c>
      <c r="B1939" s="1">
        <f>IFERROR(__xludf.DUMMYFUNCTION("""COMPUTED_VALUE"""),405.4925)</f>
        <v>405.4925</v>
      </c>
    </row>
    <row r="1940">
      <c r="A1940" s="3">
        <f>IFERROR(__xludf.DUMMYFUNCTION("""COMPUTED_VALUE"""),42366.99861111111)</f>
        <v>42366.99861</v>
      </c>
      <c r="B1940" s="1">
        <f>IFERROR(__xludf.DUMMYFUNCTION("""COMPUTED_VALUE"""),399.9918)</f>
        <v>399.9918</v>
      </c>
    </row>
    <row r="1941">
      <c r="A1941" s="3">
        <f>IFERROR(__xludf.DUMMYFUNCTION("""COMPUTED_VALUE"""),42367.99861111111)</f>
        <v>42367.99861</v>
      </c>
      <c r="B1941" s="1">
        <f>IFERROR(__xludf.DUMMYFUNCTION("""COMPUTED_VALUE"""),403.07172)</f>
        <v>403.07172</v>
      </c>
    </row>
    <row r="1942">
      <c r="A1942" s="3">
        <f>IFERROR(__xludf.DUMMYFUNCTION("""COMPUTED_VALUE"""),42368.99861111111)</f>
        <v>42368.99861</v>
      </c>
      <c r="B1942" s="1">
        <f>IFERROR(__xludf.DUMMYFUNCTION("""COMPUTED_VALUE"""),409.39665)</f>
        <v>409.39665</v>
      </c>
    </row>
    <row r="1943">
      <c r="A1943" s="3">
        <f>IFERROR(__xludf.DUMMYFUNCTION("""COMPUTED_VALUE"""),42369.99861111111)</f>
        <v>42369.99861</v>
      </c>
      <c r="B1943" s="1">
        <f>IFERROR(__xludf.DUMMYFUNCTION("""COMPUTED_VALUE"""),406.22475)</f>
        <v>406.22475</v>
      </c>
    </row>
    <row r="1944">
      <c r="A1944" s="3">
        <f>IFERROR(__xludf.DUMMYFUNCTION("""COMPUTED_VALUE"""),42370.99861111111)</f>
        <v>42370.99861</v>
      </c>
      <c r="B1944" s="1">
        <f>IFERROR(__xludf.DUMMYFUNCTION("""COMPUTED_VALUE"""),406.3625)</f>
        <v>406.3625</v>
      </c>
    </row>
    <row r="1945">
      <c r="A1945" s="3">
        <f>IFERROR(__xludf.DUMMYFUNCTION("""COMPUTED_VALUE"""),42373.99861111111)</f>
        <v>42373.99861</v>
      </c>
      <c r="B1945" s="1">
        <f>IFERROR(__xludf.DUMMYFUNCTION("""COMPUTED_VALUE"""),406.84655)</f>
        <v>406.84655</v>
      </c>
    </row>
    <row r="1946">
      <c r="A1946" s="3">
        <f>IFERROR(__xludf.DUMMYFUNCTION("""COMPUTED_VALUE"""),42374.99861111111)</f>
        <v>42374.99861</v>
      </c>
      <c r="B1946" s="1">
        <f>IFERROR(__xludf.DUMMYFUNCTION("""COMPUTED_VALUE"""),404.7626)</f>
        <v>404.7626</v>
      </c>
    </row>
    <row r="1947">
      <c r="A1947" s="3">
        <f>IFERROR(__xludf.DUMMYFUNCTION("""COMPUTED_VALUE"""),42375.99861111111)</f>
        <v>42375.99861</v>
      </c>
      <c r="B1947" s="1">
        <f>IFERROR(__xludf.DUMMYFUNCTION("""COMPUTED_VALUE"""),408.2508)</f>
        <v>408.2508</v>
      </c>
    </row>
    <row r="1948">
      <c r="A1948" s="3">
        <f>IFERROR(__xludf.DUMMYFUNCTION("""COMPUTED_VALUE"""),42376.99861111111)</f>
        <v>42376.99861</v>
      </c>
      <c r="B1948" s="1">
        <f>IFERROR(__xludf.DUMMYFUNCTION("""COMPUTED_VALUE"""),418.5965)</f>
        <v>418.5965</v>
      </c>
    </row>
    <row r="1949">
      <c r="A1949" s="3">
        <f>IFERROR(__xludf.DUMMYFUNCTION("""COMPUTED_VALUE"""),42377.99861111111)</f>
        <v>42377.99861</v>
      </c>
      <c r="B1949" s="1">
        <f>IFERROR(__xludf.DUMMYFUNCTION("""COMPUTED_VALUE"""),408.0882)</f>
        <v>408.0882</v>
      </c>
    </row>
    <row r="1950">
      <c r="A1950" s="3">
        <f>IFERROR(__xludf.DUMMYFUNCTION("""COMPUTED_VALUE"""),42380.99861111111)</f>
        <v>42380.99861</v>
      </c>
      <c r="B1950" s="1">
        <f>IFERROR(__xludf.DUMMYFUNCTION("""COMPUTED_VALUE"""),401.31135)</f>
        <v>401.31135</v>
      </c>
    </row>
    <row r="1951">
      <c r="A1951" s="3">
        <f>IFERROR(__xludf.DUMMYFUNCTION("""COMPUTED_VALUE"""),42381.99861111111)</f>
        <v>42381.99861</v>
      </c>
      <c r="B1951" s="1">
        <f>IFERROR(__xludf.DUMMYFUNCTION("""COMPUTED_VALUE"""),409.7115)</f>
        <v>409.7115</v>
      </c>
    </row>
    <row r="1952">
      <c r="A1952" s="3">
        <f>IFERROR(__xludf.DUMMYFUNCTION("""COMPUTED_VALUE"""),42382.99861111111)</f>
        <v>42382.99861</v>
      </c>
      <c r="B1952" s="1">
        <f>IFERROR(__xludf.DUMMYFUNCTION("""COMPUTED_VALUE"""),411.80978)</f>
        <v>411.80978</v>
      </c>
    </row>
    <row r="1953">
      <c r="A1953" s="3">
        <f>IFERROR(__xludf.DUMMYFUNCTION("""COMPUTED_VALUE"""),42383.99861111111)</f>
        <v>42383.99861</v>
      </c>
      <c r="B1953" s="1">
        <f>IFERROR(__xludf.DUMMYFUNCTION("""COMPUTED_VALUE"""),409.773)</f>
        <v>409.773</v>
      </c>
    </row>
    <row r="1954">
      <c r="A1954" s="3">
        <f>IFERROR(__xludf.DUMMYFUNCTION("""COMPUTED_VALUE"""),42384.99861111111)</f>
        <v>42384.99861</v>
      </c>
      <c r="B1954" s="1">
        <f>IFERROR(__xludf.DUMMYFUNCTION("""COMPUTED_VALUE"""),404.93754)</f>
        <v>404.93754</v>
      </c>
    </row>
    <row r="1955">
      <c r="A1955" s="3">
        <f>IFERROR(__xludf.DUMMYFUNCTION("""COMPUTED_VALUE"""),42387.99861111111)</f>
        <v>42387.99861</v>
      </c>
      <c r="B1955" s="1">
        <f>IFERROR(__xludf.DUMMYFUNCTION("""COMPUTED_VALUE"""),403.825)</f>
        <v>403.825</v>
      </c>
    </row>
    <row r="1956">
      <c r="A1956" s="3">
        <f>IFERROR(__xludf.DUMMYFUNCTION("""COMPUTED_VALUE"""),42388.99861111111)</f>
        <v>42388.99861</v>
      </c>
      <c r="B1956" s="1">
        <f>IFERROR(__xludf.DUMMYFUNCTION("""COMPUTED_VALUE"""),403.4211)</f>
        <v>403.4211</v>
      </c>
    </row>
    <row r="1957">
      <c r="A1957" s="3">
        <f>IFERROR(__xludf.DUMMYFUNCTION("""COMPUTED_VALUE"""),42389.99861111111)</f>
        <v>42389.99861</v>
      </c>
      <c r="B1957" s="1">
        <f>IFERROR(__xludf.DUMMYFUNCTION("""COMPUTED_VALUE"""),397.8835)</f>
        <v>397.8835</v>
      </c>
    </row>
    <row r="1958">
      <c r="A1958" s="3">
        <f>IFERROR(__xludf.DUMMYFUNCTION("""COMPUTED_VALUE"""),42390.99861111111)</f>
        <v>42390.99861</v>
      </c>
      <c r="B1958" s="1">
        <f>IFERROR(__xludf.DUMMYFUNCTION("""COMPUTED_VALUE"""),395.85875)</f>
        <v>395.85875</v>
      </c>
    </row>
    <row r="1959">
      <c r="A1959" s="3">
        <f>IFERROR(__xludf.DUMMYFUNCTION("""COMPUTED_VALUE"""),42391.99861111111)</f>
        <v>42391.99861</v>
      </c>
      <c r="B1959" s="1">
        <f>IFERROR(__xludf.DUMMYFUNCTION("""COMPUTED_VALUE"""),398.52553)</f>
        <v>398.52553</v>
      </c>
    </row>
    <row r="1960">
      <c r="A1960" s="3">
        <f>IFERROR(__xludf.DUMMYFUNCTION("""COMPUTED_VALUE"""),42392.99861111111)</f>
        <v>42392.99861</v>
      </c>
      <c r="B1960" s="1">
        <f>IFERROR(__xludf.DUMMYFUNCTION("""COMPUTED_VALUE"""),401.5233859)</f>
        <v>401.5233859</v>
      </c>
    </row>
    <row r="1961">
      <c r="A1961" s="3">
        <f>IFERROR(__xludf.DUMMYFUNCTION("""COMPUTED_VALUE"""),42394.99861111111)</f>
        <v>42394.99861</v>
      </c>
      <c r="B1961" s="1">
        <f>IFERROR(__xludf.DUMMYFUNCTION("""COMPUTED_VALUE"""),403.0062)</f>
        <v>403.0062</v>
      </c>
    </row>
    <row r="1962">
      <c r="A1962" s="3">
        <f>IFERROR(__xludf.DUMMYFUNCTION("""COMPUTED_VALUE"""),42395.99861111111)</f>
        <v>42395.99861</v>
      </c>
      <c r="B1962" s="1">
        <f>IFERROR(__xludf.DUMMYFUNCTION("""COMPUTED_VALUE"""),404.7408)</f>
        <v>404.7408</v>
      </c>
    </row>
    <row r="1963">
      <c r="A1963" s="3">
        <f>IFERROR(__xludf.DUMMYFUNCTION("""COMPUTED_VALUE"""),42396.99861111111)</f>
        <v>42396.99861</v>
      </c>
      <c r="B1963" s="1">
        <f>IFERROR(__xludf.DUMMYFUNCTION("""COMPUTED_VALUE"""),400.81008)</f>
        <v>400.81008</v>
      </c>
    </row>
    <row r="1964">
      <c r="A1964" s="3">
        <f>IFERROR(__xludf.DUMMYFUNCTION("""COMPUTED_VALUE"""),42397.99861111111)</f>
        <v>42397.99861</v>
      </c>
      <c r="B1964" s="1">
        <f>IFERROR(__xludf.DUMMYFUNCTION("""COMPUTED_VALUE"""),409.9217)</f>
        <v>409.9217</v>
      </c>
    </row>
    <row r="1965">
      <c r="A1965" s="3">
        <f>IFERROR(__xludf.DUMMYFUNCTION("""COMPUTED_VALUE"""),42398.99861111111)</f>
        <v>42398.99861</v>
      </c>
      <c r="B1965" s="1">
        <f>IFERROR(__xludf.DUMMYFUNCTION("""COMPUTED_VALUE"""),394.6605)</f>
        <v>394.6605</v>
      </c>
    </row>
    <row r="1966">
      <c r="A1966" s="3">
        <f>IFERROR(__xludf.DUMMYFUNCTION("""COMPUTED_VALUE"""),42401.99861111111)</f>
        <v>42401.99861</v>
      </c>
      <c r="B1966" s="1">
        <f>IFERROR(__xludf.DUMMYFUNCTION("""COMPUTED_VALUE"""),397.7234)</f>
        <v>397.7234</v>
      </c>
    </row>
    <row r="1967">
      <c r="A1967" s="3">
        <f>IFERROR(__xludf.DUMMYFUNCTION("""COMPUTED_VALUE"""),42402.99861111111)</f>
        <v>42402.99861</v>
      </c>
      <c r="B1967" s="1">
        <f>IFERROR(__xludf.DUMMYFUNCTION("""COMPUTED_VALUE"""),399.1311)</f>
        <v>399.1311</v>
      </c>
    </row>
    <row r="1968">
      <c r="A1968" s="3">
        <f>IFERROR(__xludf.DUMMYFUNCTION("""COMPUTED_VALUE"""),42403.99861111111)</f>
        <v>42403.99861</v>
      </c>
      <c r="B1968" s="1">
        <f>IFERROR(__xludf.DUMMYFUNCTION("""COMPUTED_VALUE"""),399.85408)</f>
        <v>399.85408</v>
      </c>
    </row>
    <row r="1969">
      <c r="A1969" s="3">
        <f>IFERROR(__xludf.DUMMYFUNCTION("""COMPUTED_VALUE"""),42404.99861111111)</f>
        <v>42404.99861</v>
      </c>
      <c r="B1969" s="1">
        <f>IFERROR(__xludf.DUMMYFUNCTION("""COMPUTED_VALUE"""),411.0824)</f>
        <v>411.0824</v>
      </c>
    </row>
    <row r="1970">
      <c r="A1970" s="3">
        <f>IFERROR(__xludf.DUMMYFUNCTION("""COMPUTED_VALUE"""),42405.99861111111)</f>
        <v>42405.99861</v>
      </c>
      <c r="B1970" s="1">
        <f>IFERROR(__xludf.DUMMYFUNCTION("""COMPUTED_VALUE"""),405.24055)</f>
        <v>405.24055</v>
      </c>
    </row>
    <row r="1971">
      <c r="A1971" s="3">
        <f>IFERROR(__xludf.DUMMYFUNCTION("""COMPUTED_VALUE"""),42408.99861111111)</f>
        <v>42408.99861</v>
      </c>
      <c r="B1971" s="1">
        <f>IFERROR(__xludf.DUMMYFUNCTION("""COMPUTED_VALUE"""),407.95508)</f>
        <v>407.95508</v>
      </c>
    </row>
    <row r="1972">
      <c r="A1972" s="3">
        <f>IFERROR(__xludf.DUMMYFUNCTION("""COMPUTED_VALUE"""),42409.99861111111)</f>
        <v>42409.99861</v>
      </c>
      <c r="B1972" s="1">
        <f>IFERROR(__xludf.DUMMYFUNCTION("""COMPUTED_VALUE"""),399.2064)</f>
        <v>399.2064</v>
      </c>
    </row>
    <row r="1973">
      <c r="A1973" s="3">
        <f>IFERROR(__xludf.DUMMYFUNCTION("""COMPUTED_VALUE"""),42410.99861111111)</f>
        <v>42410.99861</v>
      </c>
      <c r="B1973" s="1">
        <f>IFERROR(__xludf.DUMMYFUNCTION("""COMPUTED_VALUE"""),407.82105)</f>
        <v>407.82105</v>
      </c>
    </row>
    <row r="1974">
      <c r="A1974" s="3">
        <f>IFERROR(__xludf.DUMMYFUNCTION("""COMPUTED_VALUE"""),42411.99861111111)</f>
        <v>42411.99861</v>
      </c>
      <c r="B1974" s="1">
        <f>IFERROR(__xludf.DUMMYFUNCTION("""COMPUTED_VALUE"""),397.66)</f>
        <v>397.66</v>
      </c>
    </row>
    <row r="1975">
      <c r="A1975" s="3">
        <f>IFERROR(__xludf.DUMMYFUNCTION("""COMPUTED_VALUE"""),42412.99861111111)</f>
        <v>42412.99861</v>
      </c>
      <c r="B1975" s="1">
        <f>IFERROR(__xludf.DUMMYFUNCTION("""COMPUTED_VALUE"""),396.4096)</f>
        <v>396.4096</v>
      </c>
    </row>
    <row r="1976">
      <c r="A1976" s="3">
        <f>IFERROR(__xludf.DUMMYFUNCTION("""COMPUTED_VALUE"""),42414.99861111111)</f>
        <v>42414.99861</v>
      </c>
      <c r="B1976" s="1">
        <f>IFERROR(__xludf.DUMMYFUNCTION("""COMPUTED_VALUE"""),398.9158272)</f>
        <v>398.9158272</v>
      </c>
    </row>
    <row r="1977">
      <c r="A1977" s="3">
        <f>IFERROR(__xludf.DUMMYFUNCTION("""COMPUTED_VALUE"""),42415.99861111111)</f>
        <v>42415.99861</v>
      </c>
      <c r="B1977" s="1">
        <f>IFERROR(__xludf.DUMMYFUNCTION("""COMPUTED_VALUE"""),397.188)</f>
        <v>397.188</v>
      </c>
    </row>
    <row r="1978">
      <c r="A1978" s="3">
        <f>IFERROR(__xludf.DUMMYFUNCTION("""COMPUTED_VALUE"""),42416.99861111111)</f>
        <v>42416.99861</v>
      </c>
      <c r="B1978" s="1">
        <f>IFERROR(__xludf.DUMMYFUNCTION("""COMPUTED_VALUE"""),400.43633)</f>
        <v>400.43633</v>
      </c>
    </row>
    <row r="1979">
      <c r="A1979" s="3">
        <f>IFERROR(__xludf.DUMMYFUNCTION("""COMPUTED_VALUE"""),42417.99861111111)</f>
        <v>42417.99861</v>
      </c>
      <c r="B1979" s="1">
        <f>IFERROR(__xludf.DUMMYFUNCTION("""COMPUTED_VALUE"""),402.975)</f>
        <v>402.975</v>
      </c>
    </row>
    <row r="1980">
      <c r="A1980" s="3">
        <f>IFERROR(__xludf.DUMMYFUNCTION("""COMPUTED_VALUE"""),42418.99861111111)</f>
        <v>42418.99861</v>
      </c>
      <c r="B1980" s="1">
        <f>IFERROR(__xludf.DUMMYFUNCTION("""COMPUTED_VALUE"""),393.3278)</f>
        <v>393.3278</v>
      </c>
    </row>
    <row r="1981">
      <c r="A1981" s="3">
        <f>IFERROR(__xludf.DUMMYFUNCTION("""COMPUTED_VALUE"""),42419.99861111111)</f>
        <v>42419.99861</v>
      </c>
      <c r="B1981" s="1">
        <f>IFERROR(__xludf.DUMMYFUNCTION("""COMPUTED_VALUE"""),393.67964)</f>
        <v>393.67964</v>
      </c>
    </row>
    <row r="1982">
      <c r="A1982" s="3">
        <f>IFERROR(__xludf.DUMMYFUNCTION("""COMPUTED_VALUE"""),42420.99861111111)</f>
        <v>42420.99861</v>
      </c>
      <c r="B1982" s="1">
        <f>IFERROR(__xludf.DUMMYFUNCTION("""COMPUTED_VALUE"""),396.7520828)</f>
        <v>396.7520828</v>
      </c>
    </row>
    <row r="1983">
      <c r="A1983" s="3">
        <f>IFERROR(__xludf.DUMMYFUNCTION("""COMPUTED_VALUE"""),42422.99861111111)</f>
        <v>42422.99861</v>
      </c>
      <c r="B1983" s="1">
        <f>IFERROR(__xludf.DUMMYFUNCTION("""COMPUTED_VALUE"""),391.9128)</f>
        <v>391.9128</v>
      </c>
    </row>
    <row r="1984">
      <c r="A1984" s="3">
        <f>IFERROR(__xludf.DUMMYFUNCTION("""COMPUTED_VALUE"""),42423.99861111111)</f>
        <v>42423.99861</v>
      </c>
      <c r="B1984" s="1">
        <f>IFERROR(__xludf.DUMMYFUNCTION("""COMPUTED_VALUE"""),400.4226)</f>
        <v>400.4226</v>
      </c>
    </row>
    <row r="1985">
      <c r="A1985" s="3">
        <f>IFERROR(__xludf.DUMMYFUNCTION("""COMPUTED_VALUE"""),42424.99861111111)</f>
        <v>42424.99861</v>
      </c>
      <c r="B1985" s="1">
        <f>IFERROR(__xludf.DUMMYFUNCTION("""COMPUTED_VALUE"""),392.31435)</f>
        <v>392.31435</v>
      </c>
    </row>
    <row r="1986">
      <c r="A1986" s="3">
        <f>IFERROR(__xludf.DUMMYFUNCTION("""COMPUTED_VALUE"""),42425.99861111111)</f>
        <v>42425.99861</v>
      </c>
      <c r="B1986" s="1">
        <f>IFERROR(__xludf.DUMMYFUNCTION("""COMPUTED_VALUE"""),393.499)</f>
        <v>393.499</v>
      </c>
    </row>
    <row r="1987">
      <c r="A1987" s="3">
        <f>IFERROR(__xludf.DUMMYFUNCTION("""COMPUTED_VALUE"""),42426.99861111111)</f>
        <v>42426.99861</v>
      </c>
      <c r="B1987" s="1">
        <f>IFERROR(__xludf.DUMMYFUNCTION("""COMPUTED_VALUE"""),390.1305)</f>
        <v>390.1305</v>
      </c>
    </row>
    <row r="1988">
      <c r="A1988" s="3">
        <f>IFERROR(__xludf.DUMMYFUNCTION("""COMPUTED_VALUE"""),42429.99861111111)</f>
        <v>42429.99861</v>
      </c>
      <c r="B1988" s="1">
        <f>IFERROR(__xludf.DUMMYFUNCTION("""COMPUTED_VALUE"""),390.39165)</f>
        <v>390.39165</v>
      </c>
    </row>
    <row r="1989">
      <c r="A1989" s="3">
        <f>IFERROR(__xludf.DUMMYFUNCTION("""COMPUTED_VALUE"""),42430.99861111111)</f>
        <v>42430.99861</v>
      </c>
      <c r="B1989" s="1">
        <f>IFERROR(__xludf.DUMMYFUNCTION("""COMPUTED_VALUE"""),388.90256)</f>
        <v>388.90256</v>
      </c>
    </row>
    <row r="1990">
      <c r="A1990" s="3">
        <f>IFERROR(__xludf.DUMMYFUNCTION("""COMPUTED_VALUE"""),42431.99861111111)</f>
        <v>42431.99861</v>
      </c>
      <c r="B1990" s="1">
        <f>IFERROR(__xludf.DUMMYFUNCTION("""COMPUTED_VALUE"""),400.91474)</f>
        <v>400.91474</v>
      </c>
    </row>
    <row r="1991">
      <c r="A1991" s="3">
        <f>IFERROR(__xludf.DUMMYFUNCTION("""COMPUTED_VALUE"""),42432.99861111111)</f>
        <v>42432.99861</v>
      </c>
      <c r="B1991" s="1">
        <f>IFERROR(__xludf.DUMMYFUNCTION("""COMPUTED_VALUE"""),390.915)</f>
        <v>390.915</v>
      </c>
    </row>
    <row r="1992">
      <c r="A1992" s="3">
        <f>IFERROR(__xludf.DUMMYFUNCTION("""COMPUTED_VALUE"""),42433.99861111111)</f>
        <v>42433.99861</v>
      </c>
      <c r="B1992" s="1">
        <f>IFERROR(__xludf.DUMMYFUNCTION("""COMPUTED_VALUE"""),387.97384)</f>
        <v>387.97384</v>
      </c>
    </row>
    <row r="1993">
      <c r="A1993" s="3">
        <f>IFERROR(__xludf.DUMMYFUNCTION("""COMPUTED_VALUE"""),42436.99861111111)</f>
        <v>42436.99861</v>
      </c>
      <c r="B1993" s="1">
        <f>IFERROR(__xludf.DUMMYFUNCTION("""COMPUTED_VALUE"""),398.45)</f>
        <v>398.45</v>
      </c>
    </row>
    <row r="1994">
      <c r="A1994" s="3">
        <f>IFERROR(__xludf.DUMMYFUNCTION("""COMPUTED_VALUE"""),42437.99861111111)</f>
        <v>42437.99861</v>
      </c>
      <c r="B1994" s="1">
        <f>IFERROR(__xludf.DUMMYFUNCTION("""COMPUTED_VALUE"""),390.81665)</f>
        <v>390.81665</v>
      </c>
    </row>
    <row r="1995">
      <c r="A1995" s="3">
        <f>IFERROR(__xludf.DUMMYFUNCTION("""COMPUTED_VALUE"""),42438.99861111111)</f>
        <v>42438.99861</v>
      </c>
      <c r="B1995" s="1">
        <f>IFERROR(__xludf.DUMMYFUNCTION("""COMPUTED_VALUE"""),399.419)</f>
        <v>399.419</v>
      </c>
    </row>
    <row r="1996">
      <c r="A1996" s="3">
        <f>IFERROR(__xludf.DUMMYFUNCTION("""COMPUTED_VALUE"""),42439.99861111111)</f>
        <v>42439.99861</v>
      </c>
      <c r="B1996" s="1">
        <f>IFERROR(__xludf.DUMMYFUNCTION("""COMPUTED_VALUE"""),396.9199)</f>
        <v>396.9199</v>
      </c>
    </row>
    <row r="1997">
      <c r="A1997" s="3">
        <f>IFERROR(__xludf.DUMMYFUNCTION("""COMPUTED_VALUE"""),42440.99861111111)</f>
        <v>42440.99861</v>
      </c>
      <c r="B1997" s="1">
        <f>IFERROR(__xludf.DUMMYFUNCTION("""COMPUTED_VALUE"""),386.60741)</f>
        <v>386.60741</v>
      </c>
    </row>
    <row r="1998">
      <c r="A1998" s="3">
        <f>IFERROR(__xludf.DUMMYFUNCTION("""COMPUTED_VALUE"""),42443.99861111111)</f>
        <v>42443.99861</v>
      </c>
      <c r="B1998" s="1">
        <f>IFERROR(__xludf.DUMMYFUNCTION("""COMPUTED_VALUE"""),386.2848)</f>
        <v>386.2848</v>
      </c>
    </row>
    <row r="1999">
      <c r="A1999" s="3">
        <f>IFERROR(__xludf.DUMMYFUNCTION("""COMPUTED_VALUE"""),42444.99861111111)</f>
        <v>42444.99861</v>
      </c>
      <c r="B1999" s="1">
        <f>IFERROR(__xludf.DUMMYFUNCTION("""COMPUTED_VALUE"""),398.67674)</f>
        <v>398.67674</v>
      </c>
    </row>
    <row r="2000">
      <c r="A2000" s="3">
        <f>IFERROR(__xludf.DUMMYFUNCTION("""COMPUTED_VALUE"""),42445.99861111111)</f>
        <v>42445.99861</v>
      </c>
      <c r="B2000" s="1">
        <f>IFERROR(__xludf.DUMMYFUNCTION("""COMPUTED_VALUE"""),382.4615)</f>
        <v>382.4615</v>
      </c>
    </row>
    <row r="2001">
      <c r="A2001" s="3">
        <f>IFERROR(__xludf.DUMMYFUNCTION("""COMPUTED_VALUE"""),42446.99861111111)</f>
        <v>42446.99861</v>
      </c>
      <c r="B2001" s="1">
        <f>IFERROR(__xludf.DUMMYFUNCTION("""COMPUTED_VALUE"""),395.42295)</f>
        <v>395.42295</v>
      </c>
    </row>
    <row r="2002">
      <c r="A2002" s="3">
        <f>IFERROR(__xludf.DUMMYFUNCTION("""COMPUTED_VALUE"""),42447.99861111111)</f>
        <v>42447.99861</v>
      </c>
      <c r="B2002" s="1">
        <f>IFERROR(__xludf.DUMMYFUNCTION("""COMPUTED_VALUE"""),392.05266)</f>
        <v>392.05266</v>
      </c>
    </row>
    <row r="2003">
      <c r="A2003" s="3">
        <f>IFERROR(__xludf.DUMMYFUNCTION("""COMPUTED_VALUE"""),42448.99861111111)</f>
        <v>42448.99861</v>
      </c>
      <c r="B2003" s="1">
        <f>IFERROR(__xludf.DUMMYFUNCTION("""COMPUTED_VALUE"""),395.137842)</f>
        <v>395.137842</v>
      </c>
    </row>
    <row r="2004">
      <c r="A2004" s="3">
        <f>IFERROR(__xludf.DUMMYFUNCTION("""COMPUTED_VALUE"""),42450.99861111111)</f>
        <v>42450.99861</v>
      </c>
      <c r="B2004" s="1">
        <f>IFERROR(__xludf.DUMMYFUNCTION("""COMPUTED_VALUE"""),405.11359)</f>
        <v>405.11359</v>
      </c>
    </row>
    <row r="2005">
      <c r="A2005" s="3">
        <f>IFERROR(__xludf.DUMMYFUNCTION("""COMPUTED_VALUE"""),42451.99861111111)</f>
        <v>42451.99861</v>
      </c>
      <c r="B2005" s="1">
        <f>IFERROR(__xludf.DUMMYFUNCTION("""COMPUTED_VALUE"""),402.72474)</f>
        <v>402.72474</v>
      </c>
    </row>
    <row r="2006">
      <c r="A2006" s="3">
        <f>IFERROR(__xludf.DUMMYFUNCTION("""COMPUTED_VALUE"""),42452.99861111111)</f>
        <v>42452.99861</v>
      </c>
      <c r="B2006" s="1">
        <f>IFERROR(__xludf.DUMMYFUNCTION("""COMPUTED_VALUE"""),405.03975)</f>
        <v>405.03975</v>
      </c>
    </row>
    <row r="2007">
      <c r="A2007" s="3">
        <f>IFERROR(__xludf.DUMMYFUNCTION("""COMPUTED_VALUE"""),42453.99861111111)</f>
        <v>42453.99861</v>
      </c>
      <c r="B2007" s="1">
        <f>IFERROR(__xludf.DUMMYFUNCTION("""COMPUTED_VALUE"""),404.40048)</f>
        <v>404.40048</v>
      </c>
    </row>
    <row r="2008">
      <c r="A2008" s="3">
        <f>IFERROR(__xludf.DUMMYFUNCTION("""COMPUTED_VALUE"""),42454.99861111111)</f>
        <v>42454.99861</v>
      </c>
      <c r="B2008" s="1">
        <f>IFERROR(__xludf.DUMMYFUNCTION("""COMPUTED_VALUE"""),401.9484)</f>
        <v>401.9484</v>
      </c>
    </row>
    <row r="2009">
      <c r="A2009" s="3">
        <f>IFERROR(__xludf.DUMMYFUNCTION("""COMPUTED_VALUE"""),42457.99861111111)</f>
        <v>42457.99861</v>
      </c>
      <c r="B2009" s="1">
        <f>IFERROR(__xludf.DUMMYFUNCTION("""COMPUTED_VALUE"""),405.77568)</f>
        <v>405.77568</v>
      </c>
    </row>
    <row r="2010">
      <c r="A2010" s="3">
        <f>IFERROR(__xludf.DUMMYFUNCTION("""COMPUTED_VALUE"""),42458.99861111111)</f>
        <v>42458.99861</v>
      </c>
      <c r="B2010" s="1">
        <f>IFERROR(__xludf.DUMMYFUNCTION("""COMPUTED_VALUE"""),403.0444)</f>
        <v>403.0444</v>
      </c>
    </row>
    <row r="2011">
      <c r="A2011" s="3">
        <f>IFERROR(__xludf.DUMMYFUNCTION("""COMPUTED_VALUE"""),42459.99861111111)</f>
        <v>42459.99861</v>
      </c>
      <c r="B2011" s="1">
        <f>IFERROR(__xludf.DUMMYFUNCTION("""COMPUTED_VALUE"""),408.3216)</f>
        <v>408.3216</v>
      </c>
    </row>
    <row r="2012">
      <c r="A2012" s="3">
        <f>IFERROR(__xludf.DUMMYFUNCTION("""COMPUTED_VALUE"""),42460.99861111111)</f>
        <v>42460.99861</v>
      </c>
      <c r="B2012" s="1">
        <f>IFERROR(__xludf.DUMMYFUNCTION("""COMPUTED_VALUE"""),407.63484)</f>
        <v>407.63484</v>
      </c>
    </row>
    <row r="2013">
      <c r="A2013" s="3">
        <f>IFERROR(__xludf.DUMMYFUNCTION("""COMPUTED_VALUE"""),42461.99861111111)</f>
        <v>42461.99861</v>
      </c>
      <c r="B2013" s="1">
        <f>IFERROR(__xludf.DUMMYFUNCTION("""COMPUTED_VALUE"""),405.36176)</f>
        <v>405.36176</v>
      </c>
    </row>
    <row r="2014">
      <c r="A2014" s="3">
        <f>IFERROR(__xludf.DUMMYFUNCTION("""COMPUTED_VALUE"""),42464.99861111111)</f>
        <v>42464.99861</v>
      </c>
      <c r="B2014" s="1">
        <f>IFERROR(__xludf.DUMMYFUNCTION("""COMPUTED_VALUE"""),405.7632)</f>
        <v>405.7632</v>
      </c>
    </row>
    <row r="2015">
      <c r="A2015" s="3">
        <f>IFERROR(__xludf.DUMMYFUNCTION("""COMPUTED_VALUE"""),42465.99861111111)</f>
        <v>42465.99861</v>
      </c>
      <c r="B2015" s="1">
        <f>IFERROR(__xludf.DUMMYFUNCTION("""COMPUTED_VALUE"""),407.9248)</f>
        <v>407.9248</v>
      </c>
    </row>
    <row r="2016">
      <c r="A2016" s="3">
        <f>IFERROR(__xludf.DUMMYFUNCTION("""COMPUTED_VALUE"""),42466.99861111111)</f>
        <v>42466.99861</v>
      </c>
      <c r="B2016" s="1">
        <f>IFERROR(__xludf.DUMMYFUNCTION("""COMPUTED_VALUE"""),405.96104)</f>
        <v>405.96104</v>
      </c>
    </row>
    <row r="2017">
      <c r="A2017" s="3">
        <f>IFERROR(__xludf.DUMMYFUNCTION("""COMPUTED_VALUE"""),42467.99861111111)</f>
        <v>42467.99861</v>
      </c>
      <c r="B2017" s="1">
        <f>IFERROR(__xludf.DUMMYFUNCTION("""COMPUTED_VALUE"""),395.95032)</f>
        <v>395.95032</v>
      </c>
    </row>
    <row r="2018">
      <c r="A2018" s="3">
        <f>IFERROR(__xludf.DUMMYFUNCTION("""COMPUTED_VALUE"""),42468.99861111111)</f>
        <v>42468.99861</v>
      </c>
      <c r="B2018" s="1">
        <f>IFERROR(__xludf.DUMMYFUNCTION("""COMPUTED_VALUE"""),404.2043)</f>
        <v>404.2043</v>
      </c>
    </row>
    <row r="2019">
      <c r="A2019" s="3">
        <f>IFERROR(__xludf.DUMMYFUNCTION("""COMPUTED_VALUE"""),42471.99861111111)</f>
        <v>42471.99861</v>
      </c>
      <c r="B2019" s="1">
        <f>IFERROR(__xludf.DUMMYFUNCTION("""COMPUTED_VALUE"""),404.24265)</f>
        <v>404.24265</v>
      </c>
    </row>
    <row r="2020">
      <c r="A2020" s="3">
        <f>IFERROR(__xludf.DUMMYFUNCTION("""COMPUTED_VALUE"""),42472.99861111111)</f>
        <v>42472.99861</v>
      </c>
      <c r="B2020" s="1">
        <f>IFERROR(__xludf.DUMMYFUNCTION("""COMPUTED_VALUE"""),403.69424)</f>
        <v>403.69424</v>
      </c>
    </row>
    <row r="2021">
      <c r="A2021" s="3">
        <f>IFERROR(__xludf.DUMMYFUNCTION("""COMPUTED_VALUE"""),42473.99861111111)</f>
        <v>42473.99861</v>
      </c>
      <c r="B2021" s="1">
        <f>IFERROR(__xludf.DUMMYFUNCTION("""COMPUTED_VALUE"""),406.31195)</f>
        <v>406.31195</v>
      </c>
    </row>
    <row r="2022">
      <c r="A2022" s="3">
        <f>IFERROR(__xludf.DUMMYFUNCTION("""COMPUTED_VALUE"""),42474.99861111111)</f>
        <v>42474.99861</v>
      </c>
      <c r="B2022" s="1">
        <f>IFERROR(__xludf.DUMMYFUNCTION("""COMPUTED_VALUE"""),406.09276)</f>
        <v>406.09276</v>
      </c>
    </row>
    <row r="2023">
      <c r="A2023" s="3">
        <f>IFERROR(__xludf.DUMMYFUNCTION("""COMPUTED_VALUE"""),42475.99861111111)</f>
        <v>42475.99861</v>
      </c>
      <c r="B2023" s="1">
        <f>IFERROR(__xludf.DUMMYFUNCTION("""COMPUTED_VALUE"""),405.8483)</f>
        <v>405.8483</v>
      </c>
    </row>
    <row r="2024">
      <c r="A2024" s="3">
        <f>IFERROR(__xludf.DUMMYFUNCTION("""COMPUTED_VALUE"""),42478.99861111111)</f>
        <v>42478.99861</v>
      </c>
      <c r="B2024" s="1">
        <f>IFERROR(__xludf.DUMMYFUNCTION("""COMPUTED_VALUE"""),404.38944)</f>
        <v>404.38944</v>
      </c>
    </row>
    <row r="2025">
      <c r="A2025" s="3">
        <f>IFERROR(__xludf.DUMMYFUNCTION("""COMPUTED_VALUE"""),42479.99861111111)</f>
        <v>42479.99861</v>
      </c>
      <c r="B2025" s="1">
        <f>IFERROR(__xludf.DUMMYFUNCTION("""COMPUTED_VALUE"""),405.53514)</f>
        <v>405.53514</v>
      </c>
    </row>
    <row r="2026">
      <c r="A2026" s="3">
        <f>IFERROR(__xludf.DUMMYFUNCTION("""COMPUTED_VALUE"""),42480.99861111111)</f>
        <v>42480.99861</v>
      </c>
      <c r="B2026" s="1">
        <f>IFERROR(__xludf.DUMMYFUNCTION("""COMPUTED_VALUE"""),408.27766)</f>
        <v>408.27766</v>
      </c>
    </row>
    <row r="2027">
      <c r="A2027" s="3">
        <f>IFERROR(__xludf.DUMMYFUNCTION("""COMPUTED_VALUE"""),42481.99861111111)</f>
        <v>42481.99861</v>
      </c>
      <c r="B2027" s="1">
        <f>IFERROR(__xludf.DUMMYFUNCTION("""COMPUTED_VALUE"""),396.60892)</f>
        <v>396.60892</v>
      </c>
    </row>
    <row r="2028">
      <c r="A2028" s="3">
        <f>IFERROR(__xludf.DUMMYFUNCTION("""COMPUTED_VALUE"""),42482.99861111111)</f>
        <v>42482.99861</v>
      </c>
      <c r="B2028" s="1">
        <f>IFERROR(__xludf.DUMMYFUNCTION("""COMPUTED_VALUE"""),408.12135)</f>
        <v>408.12135</v>
      </c>
    </row>
    <row r="2029">
      <c r="A2029" s="3">
        <f>IFERROR(__xludf.DUMMYFUNCTION("""COMPUTED_VALUE"""),42485.99861111111)</f>
        <v>42485.99861</v>
      </c>
      <c r="B2029" s="1">
        <f>IFERROR(__xludf.DUMMYFUNCTION("""COMPUTED_VALUE"""),407.571)</f>
        <v>407.571</v>
      </c>
    </row>
    <row r="2030">
      <c r="A2030" s="3">
        <f>IFERROR(__xludf.DUMMYFUNCTION("""COMPUTED_VALUE"""),42486.99861111111)</f>
        <v>42486.99861</v>
      </c>
      <c r="B2030" s="1">
        <f>IFERROR(__xludf.DUMMYFUNCTION("""COMPUTED_VALUE"""),406.644)</f>
        <v>406.644</v>
      </c>
    </row>
    <row r="2031">
      <c r="A2031" s="3">
        <f>IFERROR(__xludf.DUMMYFUNCTION("""COMPUTED_VALUE"""),42487.99861111111)</f>
        <v>42487.99861</v>
      </c>
      <c r="B2031" s="1">
        <f>IFERROR(__xludf.DUMMYFUNCTION("""COMPUTED_VALUE"""),406.62105)</f>
        <v>406.62105</v>
      </c>
    </row>
    <row r="2032">
      <c r="A2032" s="3">
        <f>IFERROR(__xludf.DUMMYFUNCTION("""COMPUTED_VALUE"""),42488.99861111111)</f>
        <v>42488.99861</v>
      </c>
      <c r="B2032" s="1">
        <f>IFERROR(__xludf.DUMMYFUNCTION("""COMPUTED_VALUE"""),408.0066)</f>
        <v>408.0066</v>
      </c>
    </row>
    <row r="2033">
      <c r="A2033" s="3">
        <f>IFERROR(__xludf.DUMMYFUNCTION("""COMPUTED_VALUE"""),42489.99861111111)</f>
        <v>42489.99861</v>
      </c>
      <c r="B2033" s="1">
        <f>IFERROR(__xludf.DUMMYFUNCTION("""COMPUTED_VALUE"""),407.898)</f>
        <v>407.898</v>
      </c>
    </row>
    <row r="2034">
      <c r="A2034" s="3">
        <f>IFERROR(__xludf.DUMMYFUNCTION("""COMPUTED_VALUE"""),42490.99861111111)</f>
        <v>42490.99861</v>
      </c>
      <c r="B2034" s="1">
        <f>IFERROR(__xludf.DUMMYFUNCTION("""COMPUTED_VALUE"""),400.263909)</f>
        <v>400.263909</v>
      </c>
    </row>
    <row r="2035">
      <c r="A2035" s="3">
        <f>IFERROR(__xludf.DUMMYFUNCTION("""COMPUTED_VALUE"""),42492.99861111111)</f>
        <v>42492.99861</v>
      </c>
      <c r="B2035" s="1">
        <f>IFERROR(__xludf.DUMMYFUNCTION("""COMPUTED_VALUE"""),405.6831)</f>
        <v>405.6831</v>
      </c>
    </row>
    <row r="2036">
      <c r="A2036" s="3">
        <f>IFERROR(__xludf.DUMMYFUNCTION("""COMPUTED_VALUE"""),42493.99861111111)</f>
        <v>42493.99861</v>
      </c>
      <c r="B2036" s="1">
        <f>IFERROR(__xludf.DUMMYFUNCTION("""COMPUTED_VALUE"""),409.39425)</f>
        <v>409.39425</v>
      </c>
    </row>
    <row r="2037">
      <c r="A2037" s="3">
        <f>IFERROR(__xludf.DUMMYFUNCTION("""COMPUTED_VALUE"""),42494.99861111111)</f>
        <v>42494.99861</v>
      </c>
      <c r="B2037" s="1">
        <f>IFERROR(__xludf.DUMMYFUNCTION("""COMPUTED_VALUE"""),412.6485)</f>
        <v>412.6485</v>
      </c>
    </row>
    <row r="2038">
      <c r="A2038" s="3">
        <f>IFERROR(__xludf.DUMMYFUNCTION("""COMPUTED_VALUE"""),42495.99861111111)</f>
        <v>42495.99861</v>
      </c>
      <c r="B2038" s="1">
        <f>IFERROR(__xludf.DUMMYFUNCTION("""COMPUTED_VALUE"""),412.22705)</f>
        <v>412.22705</v>
      </c>
    </row>
    <row r="2039">
      <c r="A2039" s="3">
        <f>IFERROR(__xludf.DUMMYFUNCTION("""COMPUTED_VALUE"""),42496.99861111111)</f>
        <v>42496.99861</v>
      </c>
      <c r="B2039" s="1">
        <f>IFERROR(__xludf.DUMMYFUNCTION("""COMPUTED_VALUE"""),410.6135)</f>
        <v>410.6135</v>
      </c>
    </row>
    <row r="2040">
      <c r="A2040" s="3">
        <f>IFERROR(__xludf.DUMMYFUNCTION("""COMPUTED_VALUE"""),42499.99861111111)</f>
        <v>42499.99861</v>
      </c>
      <c r="B2040" s="1">
        <f>IFERROR(__xludf.DUMMYFUNCTION("""COMPUTED_VALUE"""),412.68045)</f>
        <v>412.68045</v>
      </c>
    </row>
    <row r="2041">
      <c r="A2041" s="3">
        <f>IFERROR(__xludf.DUMMYFUNCTION("""COMPUTED_VALUE"""),42500.99861111111)</f>
        <v>42500.99861</v>
      </c>
      <c r="B2041" s="1">
        <f>IFERROR(__xludf.DUMMYFUNCTION("""COMPUTED_VALUE"""),408.78052)</f>
        <v>408.78052</v>
      </c>
    </row>
    <row r="2042">
      <c r="A2042" s="3">
        <f>IFERROR(__xludf.DUMMYFUNCTION("""COMPUTED_VALUE"""),42501.99861111111)</f>
        <v>42501.99861</v>
      </c>
      <c r="B2042" s="1">
        <f>IFERROR(__xludf.DUMMYFUNCTION("""COMPUTED_VALUE"""),407.21278)</f>
        <v>407.21278</v>
      </c>
    </row>
    <row r="2043">
      <c r="A2043" s="3">
        <f>IFERROR(__xludf.DUMMYFUNCTION("""COMPUTED_VALUE"""),42502.99861111111)</f>
        <v>42502.99861</v>
      </c>
      <c r="B2043" s="1">
        <f>IFERROR(__xludf.DUMMYFUNCTION("""COMPUTED_VALUE"""),407.32615)</f>
        <v>407.32615</v>
      </c>
    </row>
    <row r="2044">
      <c r="A2044" s="3">
        <f>IFERROR(__xludf.DUMMYFUNCTION("""COMPUTED_VALUE"""),42503.99861111111)</f>
        <v>42503.99861</v>
      </c>
      <c r="B2044" s="1">
        <f>IFERROR(__xludf.DUMMYFUNCTION("""COMPUTED_VALUE"""),408.6258)</f>
        <v>408.6258</v>
      </c>
    </row>
    <row r="2045">
      <c r="A2045" s="3">
        <f>IFERROR(__xludf.DUMMYFUNCTION("""COMPUTED_VALUE"""),42506.99861111111)</f>
        <v>42506.99861</v>
      </c>
      <c r="B2045" s="1">
        <f>IFERROR(__xludf.DUMMYFUNCTION("""COMPUTED_VALUE"""),407.1924)</f>
        <v>407.1924</v>
      </c>
    </row>
    <row r="2046">
      <c r="A2046" s="3">
        <f>IFERROR(__xludf.DUMMYFUNCTION("""COMPUTED_VALUE"""),42507.99861111111)</f>
        <v>42507.99861</v>
      </c>
      <c r="B2046" s="1">
        <f>IFERROR(__xludf.DUMMYFUNCTION("""COMPUTED_VALUE"""),408.1967)</f>
        <v>408.1967</v>
      </c>
    </row>
    <row r="2047">
      <c r="A2047" s="3">
        <f>IFERROR(__xludf.DUMMYFUNCTION("""COMPUTED_VALUE"""),42508.99861111111)</f>
        <v>42508.99861</v>
      </c>
      <c r="B2047" s="1">
        <f>IFERROR(__xludf.DUMMYFUNCTION("""COMPUTED_VALUE"""),410.8423)</f>
        <v>410.8423</v>
      </c>
    </row>
    <row r="2048">
      <c r="A2048" s="3">
        <f>IFERROR(__xludf.DUMMYFUNCTION("""COMPUTED_VALUE"""),42509.99861111111)</f>
        <v>42509.99861</v>
      </c>
      <c r="B2048" s="1">
        <f>IFERROR(__xludf.DUMMYFUNCTION("""COMPUTED_VALUE"""),414.3756)</f>
        <v>414.3756</v>
      </c>
    </row>
    <row r="2049">
      <c r="A2049" s="3">
        <f>IFERROR(__xludf.DUMMYFUNCTION("""COMPUTED_VALUE"""),42510.99861111111)</f>
        <v>42510.99861</v>
      </c>
      <c r="B2049" s="1">
        <f>IFERROR(__xludf.DUMMYFUNCTION("""COMPUTED_VALUE"""),415.36065)</f>
        <v>415.36065</v>
      </c>
    </row>
    <row r="2050">
      <c r="A2050" s="3">
        <f>IFERROR(__xludf.DUMMYFUNCTION("""COMPUTED_VALUE"""),42513.99861111111)</f>
        <v>42513.99861</v>
      </c>
      <c r="B2050" s="1">
        <f>IFERROR(__xludf.DUMMYFUNCTION("""COMPUTED_VALUE"""),414.5948)</f>
        <v>414.5948</v>
      </c>
    </row>
    <row r="2051">
      <c r="A2051" s="3">
        <f>IFERROR(__xludf.DUMMYFUNCTION("""COMPUTED_VALUE"""),42514.99861111111)</f>
        <v>42514.99861</v>
      </c>
      <c r="B2051" s="1">
        <f>IFERROR(__xludf.DUMMYFUNCTION("""COMPUTED_VALUE"""),414.6992)</f>
        <v>414.6992</v>
      </c>
    </row>
    <row r="2052">
      <c r="A2052" s="3">
        <f>IFERROR(__xludf.DUMMYFUNCTION("""COMPUTED_VALUE"""),42515.99861111111)</f>
        <v>42515.99861</v>
      </c>
      <c r="B2052" s="1">
        <f>IFERROR(__xludf.DUMMYFUNCTION("""COMPUTED_VALUE"""),416.67696)</f>
        <v>416.67696</v>
      </c>
    </row>
    <row r="2053">
      <c r="A2053" s="3">
        <f>IFERROR(__xludf.DUMMYFUNCTION("""COMPUTED_VALUE"""),42516.99861111111)</f>
        <v>42516.99861</v>
      </c>
      <c r="B2053" s="1">
        <f>IFERROR(__xludf.DUMMYFUNCTION("""COMPUTED_VALUE"""),415.9543)</f>
        <v>415.9543</v>
      </c>
    </row>
    <row r="2054">
      <c r="A2054" s="3">
        <f>IFERROR(__xludf.DUMMYFUNCTION("""COMPUTED_VALUE"""),42517.99861111111)</f>
        <v>42517.99861</v>
      </c>
      <c r="B2054" s="1">
        <f>IFERROR(__xludf.DUMMYFUNCTION("""COMPUTED_VALUE"""),416.8344)</f>
        <v>416.8344</v>
      </c>
    </row>
    <row r="2055">
      <c r="A2055" s="3">
        <f>IFERROR(__xludf.DUMMYFUNCTION("""COMPUTED_VALUE"""),42520.99861111111)</f>
        <v>42520.99861</v>
      </c>
      <c r="B2055" s="1">
        <f>IFERROR(__xludf.DUMMYFUNCTION("""COMPUTED_VALUE"""),417.1086)</f>
        <v>417.1086</v>
      </c>
    </row>
    <row r="2056">
      <c r="A2056" s="3">
        <f>IFERROR(__xludf.DUMMYFUNCTION("""COMPUTED_VALUE"""),42521.99861111111)</f>
        <v>42521.99861</v>
      </c>
      <c r="B2056" s="1">
        <f>IFERROR(__xludf.DUMMYFUNCTION("""COMPUTED_VALUE"""),418.15795)</f>
        <v>418.15795</v>
      </c>
    </row>
    <row r="2057">
      <c r="A2057" s="3">
        <f>IFERROR(__xludf.DUMMYFUNCTION("""COMPUTED_VALUE"""),42522.99861111111)</f>
        <v>42522.99861</v>
      </c>
      <c r="B2057" s="1">
        <f>IFERROR(__xludf.DUMMYFUNCTION("""COMPUTED_VALUE"""),417.1465)</f>
        <v>417.1465</v>
      </c>
    </row>
    <row r="2058">
      <c r="A2058" s="3">
        <f>IFERROR(__xludf.DUMMYFUNCTION("""COMPUTED_VALUE"""),42523.99861111111)</f>
        <v>42523.99861</v>
      </c>
      <c r="B2058" s="1">
        <f>IFERROR(__xludf.DUMMYFUNCTION("""COMPUTED_VALUE"""),417.2826)</f>
        <v>417.2826</v>
      </c>
    </row>
    <row r="2059">
      <c r="A2059" s="3">
        <f>IFERROR(__xludf.DUMMYFUNCTION("""COMPUTED_VALUE"""),42524.99861111111)</f>
        <v>42524.99861</v>
      </c>
      <c r="B2059" s="1">
        <f>IFERROR(__xludf.DUMMYFUNCTION("""COMPUTED_VALUE"""),415.82382)</f>
        <v>415.82382</v>
      </c>
    </row>
    <row r="2060">
      <c r="A2060" s="3">
        <f>IFERROR(__xludf.DUMMYFUNCTION("""COMPUTED_VALUE"""),42527.99861111111)</f>
        <v>42527.99861</v>
      </c>
      <c r="B2060" s="1">
        <f>IFERROR(__xludf.DUMMYFUNCTION("""COMPUTED_VALUE"""),411.88842)</f>
        <v>411.88842</v>
      </c>
    </row>
    <row r="2061">
      <c r="A2061" s="3">
        <f>IFERROR(__xludf.DUMMYFUNCTION("""COMPUTED_VALUE"""),42528.99861111111)</f>
        <v>42528.99861</v>
      </c>
      <c r="B2061" s="1">
        <f>IFERROR(__xludf.DUMMYFUNCTION("""COMPUTED_VALUE"""),408.97884)</f>
        <v>408.97884</v>
      </c>
    </row>
    <row r="2062">
      <c r="A2062" s="3">
        <f>IFERROR(__xludf.DUMMYFUNCTION("""COMPUTED_VALUE"""),42529.99861111111)</f>
        <v>42529.99861</v>
      </c>
      <c r="B2062" s="1">
        <f>IFERROR(__xludf.DUMMYFUNCTION("""COMPUTED_VALUE"""),409.75115)</f>
        <v>409.75115</v>
      </c>
    </row>
    <row r="2063">
      <c r="A2063" s="3">
        <f>IFERROR(__xludf.DUMMYFUNCTION("""COMPUTED_VALUE"""),42530.99861111111)</f>
        <v>42530.99861</v>
      </c>
      <c r="B2063" s="1">
        <f>IFERROR(__xludf.DUMMYFUNCTION("""COMPUTED_VALUE"""),411.1475)</f>
        <v>411.1475</v>
      </c>
    </row>
    <row r="2064">
      <c r="A2064" s="3">
        <f>IFERROR(__xludf.DUMMYFUNCTION("""COMPUTED_VALUE"""),42531.99861111111)</f>
        <v>42531.99861</v>
      </c>
      <c r="B2064" s="1">
        <f>IFERROR(__xludf.DUMMYFUNCTION("""COMPUTED_VALUE"""),413.50578)</f>
        <v>413.50578</v>
      </c>
    </row>
    <row r="2065">
      <c r="A2065" s="3">
        <f>IFERROR(__xludf.DUMMYFUNCTION("""COMPUTED_VALUE"""),42534.99861111111)</f>
        <v>42534.99861</v>
      </c>
      <c r="B2065" s="1">
        <f>IFERROR(__xludf.DUMMYFUNCTION("""COMPUTED_VALUE"""),410.68643)</f>
        <v>410.68643</v>
      </c>
    </row>
    <row r="2066">
      <c r="A2066" s="3">
        <f>IFERROR(__xludf.DUMMYFUNCTION("""COMPUTED_VALUE"""),42535.99861111111)</f>
        <v>42535.99861</v>
      </c>
      <c r="B2066" s="1">
        <f>IFERROR(__xludf.DUMMYFUNCTION("""COMPUTED_VALUE"""),411.714)</f>
        <v>411.714</v>
      </c>
    </row>
    <row r="2067">
      <c r="A2067" s="3">
        <f>IFERROR(__xludf.DUMMYFUNCTION("""COMPUTED_VALUE"""),42536.99861111111)</f>
        <v>42536.99861</v>
      </c>
      <c r="B2067" s="1">
        <f>IFERROR(__xludf.DUMMYFUNCTION("""COMPUTED_VALUE"""),410.5224)</f>
        <v>410.5224</v>
      </c>
    </row>
    <row r="2068">
      <c r="A2068" s="3">
        <f>IFERROR(__xludf.DUMMYFUNCTION("""COMPUTED_VALUE"""),42537.99861111111)</f>
        <v>42537.99861</v>
      </c>
      <c r="B2068" s="1">
        <f>IFERROR(__xludf.DUMMYFUNCTION("""COMPUTED_VALUE"""),413.22582)</f>
        <v>413.22582</v>
      </c>
    </row>
    <row r="2069">
      <c r="A2069" s="3">
        <f>IFERROR(__xludf.DUMMYFUNCTION("""COMPUTED_VALUE"""),42538.99861111111)</f>
        <v>42538.99861</v>
      </c>
      <c r="B2069" s="1">
        <f>IFERROR(__xludf.DUMMYFUNCTION("""COMPUTED_VALUE"""),411.69216)</f>
        <v>411.69216</v>
      </c>
    </row>
    <row r="2070">
      <c r="A2070" s="3">
        <f>IFERROR(__xludf.DUMMYFUNCTION("""COMPUTED_VALUE"""),42540.99861111111)</f>
        <v>42540.99861</v>
      </c>
      <c r="B2070" s="1">
        <f>IFERROR(__xludf.DUMMYFUNCTION("""COMPUTED_VALUE"""),403.5998991)</f>
        <v>403.5998991</v>
      </c>
    </row>
    <row r="2071">
      <c r="A2071" s="3">
        <f>IFERROR(__xludf.DUMMYFUNCTION("""COMPUTED_VALUE"""),42541.99861111111)</f>
        <v>42541.99861</v>
      </c>
      <c r="B2071" s="1">
        <f>IFERROR(__xludf.DUMMYFUNCTION("""COMPUTED_VALUE"""),410.75)</f>
        <v>410.75</v>
      </c>
    </row>
    <row r="2072">
      <c r="A2072" s="3">
        <f>IFERROR(__xludf.DUMMYFUNCTION("""COMPUTED_VALUE"""),42542.99861111111)</f>
        <v>42542.99861</v>
      </c>
      <c r="B2072" s="1">
        <f>IFERROR(__xludf.DUMMYFUNCTION("""COMPUTED_VALUE"""),410.905)</f>
        <v>410.905</v>
      </c>
    </row>
    <row r="2073">
      <c r="A2073" s="3">
        <f>IFERROR(__xludf.DUMMYFUNCTION("""COMPUTED_VALUE"""),42543.99861111111)</f>
        <v>42543.99861</v>
      </c>
      <c r="B2073" s="1">
        <f>IFERROR(__xludf.DUMMYFUNCTION("""COMPUTED_VALUE"""),409.44085)</f>
        <v>409.44085</v>
      </c>
    </row>
    <row r="2074">
      <c r="A2074" s="3">
        <f>IFERROR(__xludf.DUMMYFUNCTION("""COMPUTED_VALUE"""),42544.99861111111)</f>
        <v>42544.99861</v>
      </c>
      <c r="B2074" s="1">
        <f>IFERROR(__xludf.DUMMYFUNCTION("""COMPUTED_VALUE"""),411.545)</f>
        <v>411.545</v>
      </c>
    </row>
    <row r="2075">
      <c r="A2075" s="3">
        <f>IFERROR(__xludf.DUMMYFUNCTION("""COMPUTED_VALUE"""),42545.99861111111)</f>
        <v>42545.99861</v>
      </c>
      <c r="B2075" s="1">
        <f>IFERROR(__xludf.DUMMYFUNCTION("""COMPUTED_VALUE"""),411.54875)</f>
        <v>411.54875</v>
      </c>
    </row>
    <row r="2076">
      <c r="A2076" s="3">
        <f>IFERROR(__xludf.DUMMYFUNCTION("""COMPUTED_VALUE"""),42548.99861111111)</f>
        <v>42548.99861</v>
      </c>
      <c r="B2076" s="1">
        <f>IFERROR(__xludf.DUMMYFUNCTION("""COMPUTED_VALUE"""),411.4549)</f>
        <v>411.4549</v>
      </c>
    </row>
    <row r="2077">
      <c r="A2077" s="3">
        <f>IFERROR(__xludf.DUMMYFUNCTION("""COMPUTED_VALUE"""),42549.99861111111)</f>
        <v>42549.99861</v>
      </c>
      <c r="B2077" s="1">
        <f>IFERROR(__xludf.DUMMYFUNCTION("""COMPUTED_VALUE"""),405.7228)</f>
        <v>405.7228</v>
      </c>
    </row>
    <row r="2078">
      <c r="A2078" s="3">
        <f>IFERROR(__xludf.DUMMYFUNCTION("""COMPUTED_VALUE"""),42550.99861111111)</f>
        <v>42550.99861</v>
      </c>
      <c r="B2078" s="1">
        <f>IFERROR(__xludf.DUMMYFUNCTION("""COMPUTED_VALUE"""),406.25788)</f>
        <v>406.25788</v>
      </c>
    </row>
    <row r="2079">
      <c r="A2079" s="3">
        <f>IFERROR(__xludf.DUMMYFUNCTION("""COMPUTED_VALUE"""),42551.99861111111)</f>
        <v>42551.99861</v>
      </c>
      <c r="B2079" s="1">
        <f>IFERROR(__xludf.DUMMYFUNCTION("""COMPUTED_VALUE"""),408.09169)</f>
        <v>408.09169</v>
      </c>
    </row>
    <row r="2080">
      <c r="A2080" s="3">
        <f>IFERROR(__xludf.DUMMYFUNCTION("""COMPUTED_VALUE"""),42552.99861111111)</f>
        <v>42552.99861</v>
      </c>
      <c r="B2080" s="1">
        <f>IFERROR(__xludf.DUMMYFUNCTION("""COMPUTED_VALUE"""),407.0896)</f>
        <v>407.0896</v>
      </c>
    </row>
    <row r="2081">
      <c r="A2081" s="3">
        <f>IFERROR(__xludf.DUMMYFUNCTION("""COMPUTED_VALUE"""),42553.99861111111)</f>
        <v>42553.99861</v>
      </c>
      <c r="B2081" s="1">
        <f>IFERROR(__xludf.DUMMYFUNCTION("""COMPUTED_VALUE"""),397.5062715)</f>
        <v>397.5062715</v>
      </c>
    </row>
    <row r="2082">
      <c r="A2082" s="3">
        <f>IFERROR(__xludf.DUMMYFUNCTION("""COMPUTED_VALUE"""),42555.99861111111)</f>
        <v>42555.99861</v>
      </c>
      <c r="B2082" s="1">
        <f>IFERROR(__xludf.DUMMYFUNCTION("""COMPUTED_VALUE"""),405.513)</f>
        <v>405.513</v>
      </c>
    </row>
    <row r="2083">
      <c r="A2083" s="3">
        <f>IFERROR(__xludf.DUMMYFUNCTION("""COMPUTED_VALUE"""),42556.99861111111)</f>
        <v>42556.99861</v>
      </c>
      <c r="B2083" s="1">
        <f>IFERROR(__xludf.DUMMYFUNCTION("""COMPUTED_VALUE"""),407.6968)</f>
        <v>407.6968</v>
      </c>
    </row>
    <row r="2084">
      <c r="A2084" s="3">
        <f>IFERROR(__xludf.DUMMYFUNCTION("""COMPUTED_VALUE"""),42557.99861111111)</f>
        <v>42557.99861</v>
      </c>
      <c r="B2084" s="1">
        <f>IFERROR(__xludf.DUMMYFUNCTION("""COMPUTED_VALUE"""),407.72232)</f>
        <v>407.72232</v>
      </c>
    </row>
    <row r="2085">
      <c r="A2085" s="3">
        <f>IFERROR(__xludf.DUMMYFUNCTION("""COMPUTED_VALUE"""),42558.99861111111)</f>
        <v>42558.99861</v>
      </c>
      <c r="B2085" s="1">
        <f>IFERROR(__xludf.DUMMYFUNCTION("""COMPUTED_VALUE"""),405.445)</f>
        <v>405.445</v>
      </c>
    </row>
    <row r="2086">
      <c r="A2086" s="3">
        <f>IFERROR(__xludf.DUMMYFUNCTION("""COMPUTED_VALUE"""),42559.99861111111)</f>
        <v>42559.99861</v>
      </c>
      <c r="B2086" s="1">
        <f>IFERROR(__xludf.DUMMYFUNCTION("""COMPUTED_VALUE"""),406.255)</f>
        <v>406.255</v>
      </c>
    </row>
    <row r="2087">
      <c r="A2087" s="3">
        <f>IFERROR(__xludf.DUMMYFUNCTION("""COMPUTED_VALUE"""),42560.99861111111)</f>
        <v>42560.99861</v>
      </c>
      <c r="B2087" s="1">
        <f>IFERROR(__xludf.DUMMYFUNCTION("""COMPUTED_VALUE"""),395.400654)</f>
        <v>395.400654</v>
      </c>
    </row>
    <row r="2088">
      <c r="A2088" s="3">
        <f>IFERROR(__xludf.DUMMYFUNCTION("""COMPUTED_VALUE"""),42562.99861111111)</f>
        <v>42562.99861</v>
      </c>
      <c r="B2088" s="1">
        <f>IFERROR(__xludf.DUMMYFUNCTION("""COMPUTED_VALUE"""),407.2448)</f>
        <v>407.2448</v>
      </c>
    </row>
    <row r="2089">
      <c r="A2089" s="3">
        <f>IFERROR(__xludf.DUMMYFUNCTION("""COMPUTED_VALUE"""),42563.99861111111)</f>
        <v>42563.99861</v>
      </c>
      <c r="B2089" s="1">
        <f>IFERROR(__xludf.DUMMYFUNCTION("""COMPUTED_VALUE"""),405.71725)</f>
        <v>405.71725</v>
      </c>
    </row>
    <row r="2090">
      <c r="A2090" s="3">
        <f>IFERROR(__xludf.DUMMYFUNCTION("""COMPUTED_VALUE"""),42564.99861111111)</f>
        <v>42564.99861</v>
      </c>
      <c r="B2090" s="1">
        <f>IFERROR(__xludf.DUMMYFUNCTION("""COMPUTED_VALUE"""),404.37605)</f>
        <v>404.37605</v>
      </c>
    </row>
    <row r="2091">
      <c r="A2091" s="3">
        <f>IFERROR(__xludf.DUMMYFUNCTION("""COMPUTED_VALUE"""),42565.99861111111)</f>
        <v>42565.99861</v>
      </c>
      <c r="B2091" s="1">
        <f>IFERROR(__xludf.DUMMYFUNCTION("""COMPUTED_VALUE"""),405.9636)</f>
        <v>405.9636</v>
      </c>
    </row>
    <row r="2092">
      <c r="A2092" s="3">
        <f>IFERROR(__xludf.DUMMYFUNCTION("""COMPUTED_VALUE"""),42566.99861111111)</f>
        <v>42566.99861</v>
      </c>
      <c r="B2092" s="1">
        <f>IFERROR(__xludf.DUMMYFUNCTION("""COMPUTED_VALUE"""),408.31812)</f>
        <v>408.31812</v>
      </c>
    </row>
    <row r="2093">
      <c r="A2093" s="3">
        <f>IFERROR(__xludf.DUMMYFUNCTION("""COMPUTED_VALUE"""),42567.99861111111)</f>
        <v>42567.99861</v>
      </c>
      <c r="B2093" s="1">
        <f>IFERROR(__xludf.DUMMYFUNCTION("""COMPUTED_VALUE"""),397.1051202)</f>
        <v>397.1051202</v>
      </c>
    </row>
    <row r="2094">
      <c r="A2094" s="3">
        <f>IFERROR(__xludf.DUMMYFUNCTION("""COMPUTED_VALUE"""),42569.99861111111)</f>
        <v>42569.99861</v>
      </c>
      <c r="B2094" s="1">
        <f>IFERROR(__xludf.DUMMYFUNCTION("""COMPUTED_VALUE"""),408.42594)</f>
        <v>408.42594</v>
      </c>
    </row>
    <row r="2095">
      <c r="A2095" s="3">
        <f>IFERROR(__xludf.DUMMYFUNCTION("""COMPUTED_VALUE"""),42570.99861111111)</f>
        <v>42570.99861</v>
      </c>
      <c r="B2095" s="1">
        <f>IFERROR(__xludf.DUMMYFUNCTION("""COMPUTED_VALUE"""),409.28718)</f>
        <v>409.28718</v>
      </c>
    </row>
    <row r="2096">
      <c r="A2096" s="3">
        <f>IFERROR(__xludf.DUMMYFUNCTION("""COMPUTED_VALUE"""),42571.99861111111)</f>
        <v>42571.99861</v>
      </c>
      <c r="B2096" s="1">
        <f>IFERROR(__xludf.DUMMYFUNCTION("""COMPUTED_VALUE"""),408.876)</f>
        <v>408.876</v>
      </c>
    </row>
    <row r="2097">
      <c r="A2097" s="3">
        <f>IFERROR(__xludf.DUMMYFUNCTION("""COMPUTED_VALUE"""),42572.99861111111)</f>
        <v>42572.99861</v>
      </c>
      <c r="B2097" s="1">
        <f>IFERROR(__xludf.DUMMYFUNCTION("""COMPUTED_VALUE"""),408.93209)</f>
        <v>408.93209</v>
      </c>
    </row>
    <row r="2098">
      <c r="A2098" s="3">
        <f>IFERROR(__xludf.DUMMYFUNCTION("""COMPUTED_VALUE"""),42573.99861111111)</f>
        <v>42573.99861</v>
      </c>
      <c r="B2098" s="1">
        <f>IFERROR(__xludf.DUMMYFUNCTION("""COMPUTED_VALUE"""),408.86334)</f>
        <v>408.86334</v>
      </c>
    </row>
    <row r="2099">
      <c r="A2099" s="3">
        <f>IFERROR(__xludf.DUMMYFUNCTION("""COMPUTED_VALUE"""),42576.99861111111)</f>
        <v>42576.99861</v>
      </c>
      <c r="B2099" s="1">
        <f>IFERROR(__xludf.DUMMYFUNCTION("""COMPUTED_VALUE"""),407.38545)</f>
        <v>407.38545</v>
      </c>
    </row>
    <row r="2100">
      <c r="A2100" s="3">
        <f>IFERROR(__xludf.DUMMYFUNCTION("""COMPUTED_VALUE"""),42577.99861111111)</f>
        <v>42577.99861</v>
      </c>
      <c r="B2100" s="1">
        <f>IFERROR(__xludf.DUMMYFUNCTION("""COMPUTED_VALUE"""),409.86468)</f>
        <v>409.86468</v>
      </c>
    </row>
    <row r="2101">
      <c r="A2101" s="3">
        <f>IFERROR(__xludf.DUMMYFUNCTION("""COMPUTED_VALUE"""),42578.99861111111)</f>
        <v>42578.99861</v>
      </c>
      <c r="B2101" s="1">
        <f>IFERROR(__xludf.DUMMYFUNCTION("""COMPUTED_VALUE"""),408.39564)</f>
        <v>408.39564</v>
      </c>
    </row>
    <row r="2102">
      <c r="A2102" s="3">
        <f>IFERROR(__xludf.DUMMYFUNCTION("""COMPUTED_VALUE"""),42579.99861111111)</f>
        <v>42579.99861</v>
      </c>
      <c r="B2102" s="1">
        <f>IFERROR(__xludf.DUMMYFUNCTION("""COMPUTED_VALUE"""),408.58482)</f>
        <v>408.58482</v>
      </c>
    </row>
    <row r="2103">
      <c r="A2103" s="3">
        <f>IFERROR(__xludf.DUMMYFUNCTION("""COMPUTED_VALUE"""),42580.99861111111)</f>
        <v>42580.99861</v>
      </c>
      <c r="B2103" s="1">
        <f>IFERROR(__xludf.DUMMYFUNCTION("""COMPUTED_VALUE"""),407.7864)</f>
        <v>407.7864</v>
      </c>
    </row>
    <row r="2104">
      <c r="A2104" s="3">
        <f>IFERROR(__xludf.DUMMYFUNCTION("""COMPUTED_VALUE"""),42581.99861111111)</f>
        <v>42581.99861</v>
      </c>
      <c r="B2104" s="1">
        <f>IFERROR(__xludf.DUMMYFUNCTION("""COMPUTED_VALUE"""),402.2306775)</f>
        <v>402.2306775</v>
      </c>
    </row>
    <row r="2105">
      <c r="A2105" s="3">
        <f>IFERROR(__xludf.DUMMYFUNCTION("""COMPUTED_VALUE"""),42583.99861111111)</f>
        <v>42583.99861</v>
      </c>
      <c r="B2105" s="1">
        <f>IFERROR(__xludf.DUMMYFUNCTION("""COMPUTED_VALUE"""),411.116)</f>
        <v>411.116</v>
      </c>
    </row>
    <row r="2106">
      <c r="A2106" s="3">
        <f>IFERROR(__xludf.DUMMYFUNCTION("""COMPUTED_VALUE"""),42584.99861111111)</f>
        <v>42584.99861</v>
      </c>
      <c r="B2106" s="1">
        <f>IFERROR(__xludf.DUMMYFUNCTION("""COMPUTED_VALUE"""),413.18352)</f>
        <v>413.18352</v>
      </c>
    </row>
    <row r="2107">
      <c r="A2107" s="3">
        <f>IFERROR(__xludf.DUMMYFUNCTION("""COMPUTED_VALUE"""),42585.99861111111)</f>
        <v>42585.99861</v>
      </c>
      <c r="B2107" s="1">
        <f>IFERROR(__xludf.DUMMYFUNCTION("""COMPUTED_VALUE"""),413.91)</f>
        <v>413.91</v>
      </c>
    </row>
    <row r="2108">
      <c r="A2108" s="3">
        <f>IFERROR(__xludf.DUMMYFUNCTION("""COMPUTED_VALUE"""),42586.99861111111)</f>
        <v>42586.99861</v>
      </c>
      <c r="B2108" s="1">
        <f>IFERROR(__xludf.DUMMYFUNCTION("""COMPUTED_VALUE"""),413.13759)</f>
        <v>413.13759</v>
      </c>
    </row>
    <row r="2109">
      <c r="A2109" s="3">
        <f>IFERROR(__xludf.DUMMYFUNCTION("""COMPUTED_VALUE"""),42587.99861111111)</f>
        <v>42587.99861</v>
      </c>
      <c r="B2109" s="1">
        <f>IFERROR(__xludf.DUMMYFUNCTION("""COMPUTED_VALUE"""),415.57374)</f>
        <v>415.57374</v>
      </c>
    </row>
    <row r="2110">
      <c r="A2110" s="3">
        <f>IFERROR(__xludf.DUMMYFUNCTION("""COMPUTED_VALUE"""),42590.99861111111)</f>
        <v>42590.99861</v>
      </c>
      <c r="B2110" s="1">
        <f>IFERROR(__xludf.DUMMYFUNCTION("""COMPUTED_VALUE"""),415.82165)</f>
        <v>415.82165</v>
      </c>
    </row>
    <row r="2111">
      <c r="A2111" s="3">
        <f>IFERROR(__xludf.DUMMYFUNCTION("""COMPUTED_VALUE"""),42591.99861111111)</f>
        <v>42591.99861</v>
      </c>
      <c r="B2111" s="1">
        <f>IFERROR(__xludf.DUMMYFUNCTION("""COMPUTED_VALUE"""),416.6118)</f>
        <v>416.6118</v>
      </c>
    </row>
    <row r="2112">
      <c r="A2112" s="3">
        <f>IFERROR(__xludf.DUMMYFUNCTION("""COMPUTED_VALUE"""),42592.99861111111)</f>
        <v>42592.99861</v>
      </c>
      <c r="B2112" s="1">
        <f>IFERROR(__xludf.DUMMYFUNCTION("""COMPUTED_VALUE"""),419.04849)</f>
        <v>419.04849</v>
      </c>
    </row>
    <row r="2113">
      <c r="A2113" s="3">
        <f>IFERROR(__xludf.DUMMYFUNCTION("""COMPUTED_VALUE"""),42593.99861111111)</f>
        <v>42593.99861</v>
      </c>
      <c r="B2113" s="1">
        <f>IFERROR(__xludf.DUMMYFUNCTION("""COMPUTED_VALUE"""),418.08816)</f>
        <v>418.08816</v>
      </c>
    </row>
    <row r="2114">
      <c r="A2114" s="3">
        <f>IFERROR(__xludf.DUMMYFUNCTION("""COMPUTED_VALUE"""),42594.99861111111)</f>
        <v>42594.99861</v>
      </c>
      <c r="B2114" s="1">
        <f>IFERROR(__xludf.DUMMYFUNCTION("""COMPUTED_VALUE"""),417.45424)</f>
        <v>417.45424</v>
      </c>
    </row>
    <row r="2115">
      <c r="A2115" s="3">
        <f>IFERROR(__xludf.DUMMYFUNCTION("""COMPUTED_VALUE"""),42596.99861111111)</f>
        <v>42596.99861</v>
      </c>
      <c r="B2115" s="1">
        <f>IFERROR(__xludf.DUMMYFUNCTION("""COMPUTED_VALUE"""),417.16398)</f>
        <v>417.16398</v>
      </c>
    </row>
    <row r="2116">
      <c r="A2116" s="3">
        <f>IFERROR(__xludf.DUMMYFUNCTION("""COMPUTED_VALUE"""),42597.99861111111)</f>
        <v>42597.99861</v>
      </c>
      <c r="B2116" s="1">
        <f>IFERROR(__xludf.DUMMYFUNCTION("""COMPUTED_VALUE"""),416.28594)</f>
        <v>416.28594</v>
      </c>
    </row>
    <row r="2117">
      <c r="A2117" s="3">
        <f>IFERROR(__xludf.DUMMYFUNCTION("""COMPUTED_VALUE"""),42598.99861111111)</f>
        <v>42598.99861</v>
      </c>
      <c r="B2117" s="1">
        <f>IFERROR(__xludf.DUMMYFUNCTION("""COMPUTED_VALUE"""),419.28978)</f>
        <v>419.28978</v>
      </c>
    </row>
    <row r="2118">
      <c r="A2118" s="3">
        <f>IFERROR(__xludf.DUMMYFUNCTION("""COMPUTED_VALUE"""),42599.99861111111)</f>
        <v>42599.99861</v>
      </c>
      <c r="B2118" s="1">
        <f>IFERROR(__xludf.DUMMYFUNCTION("""COMPUTED_VALUE"""),417.3193)</f>
        <v>417.3193</v>
      </c>
    </row>
    <row r="2119">
      <c r="A2119" s="3">
        <f>IFERROR(__xludf.DUMMYFUNCTION("""COMPUTED_VALUE"""),42600.99861111111)</f>
        <v>42600.99861</v>
      </c>
      <c r="B2119" s="1">
        <f>IFERROR(__xludf.DUMMYFUNCTION("""COMPUTED_VALUE"""),416.8662)</f>
        <v>416.8662</v>
      </c>
    </row>
    <row r="2120">
      <c r="A2120" s="3">
        <f>IFERROR(__xludf.DUMMYFUNCTION("""COMPUTED_VALUE"""),42601.99861111111)</f>
        <v>42601.99861</v>
      </c>
      <c r="B2120" s="1">
        <f>IFERROR(__xludf.DUMMYFUNCTION("""COMPUTED_VALUE"""),415.0926)</f>
        <v>415.0926</v>
      </c>
    </row>
    <row r="2121">
      <c r="A2121" s="3">
        <f>IFERROR(__xludf.DUMMYFUNCTION("""COMPUTED_VALUE"""),42603.99861111111)</f>
        <v>42603.99861</v>
      </c>
      <c r="B2121" s="1">
        <f>IFERROR(__xludf.DUMMYFUNCTION("""COMPUTED_VALUE"""),416.58819)</f>
        <v>416.58819</v>
      </c>
    </row>
    <row r="2122">
      <c r="A2122" s="3">
        <f>IFERROR(__xludf.DUMMYFUNCTION("""COMPUTED_VALUE"""),42604.99861111111)</f>
        <v>42604.99861</v>
      </c>
      <c r="B2122" s="1">
        <f>IFERROR(__xludf.DUMMYFUNCTION("""COMPUTED_VALUE"""),415.15887)</f>
        <v>415.15887</v>
      </c>
    </row>
    <row r="2123">
      <c r="A2123" s="3">
        <f>IFERROR(__xludf.DUMMYFUNCTION("""COMPUTED_VALUE"""),42605.99861111111)</f>
        <v>42605.99861</v>
      </c>
      <c r="B2123" s="1">
        <f>IFERROR(__xludf.DUMMYFUNCTION("""COMPUTED_VALUE"""),415.67994)</f>
        <v>415.67994</v>
      </c>
    </row>
    <row r="2124">
      <c r="A2124" s="3">
        <f>IFERROR(__xludf.DUMMYFUNCTION("""COMPUTED_VALUE"""),42606.99861111111)</f>
        <v>42606.99861</v>
      </c>
      <c r="B2124" s="1">
        <f>IFERROR(__xludf.DUMMYFUNCTION("""COMPUTED_VALUE"""),417.22926)</f>
        <v>417.22926</v>
      </c>
    </row>
    <row r="2125">
      <c r="A2125" s="3">
        <f>IFERROR(__xludf.DUMMYFUNCTION("""COMPUTED_VALUE"""),42607.99861111111)</f>
        <v>42607.99861</v>
      </c>
      <c r="B2125" s="1">
        <f>IFERROR(__xludf.DUMMYFUNCTION("""COMPUTED_VALUE"""),418.04376)</f>
        <v>418.04376</v>
      </c>
    </row>
    <row r="2126">
      <c r="A2126" s="3">
        <f>IFERROR(__xludf.DUMMYFUNCTION("""COMPUTED_VALUE"""),42608.99861111111)</f>
        <v>42608.99861</v>
      </c>
      <c r="B2126" s="1">
        <f>IFERROR(__xludf.DUMMYFUNCTION("""COMPUTED_VALUE"""),418.36218)</f>
        <v>418.36218</v>
      </c>
    </row>
    <row r="2127">
      <c r="A2127" s="3">
        <f>IFERROR(__xludf.DUMMYFUNCTION("""COMPUTED_VALUE"""),42609.99861111111)</f>
        <v>42609.99861</v>
      </c>
      <c r="B2127" s="1">
        <f>IFERROR(__xludf.DUMMYFUNCTION("""COMPUTED_VALUE"""),405.0596394)</f>
        <v>405.0596394</v>
      </c>
    </row>
    <row r="2128">
      <c r="A2128" s="3">
        <f>IFERROR(__xludf.DUMMYFUNCTION("""COMPUTED_VALUE"""),42610.99861111111)</f>
        <v>42610.99861</v>
      </c>
      <c r="B2128" s="1">
        <f>IFERROR(__xludf.DUMMYFUNCTION("""COMPUTED_VALUE"""),418.8657)</f>
        <v>418.8657</v>
      </c>
    </row>
    <row r="2129">
      <c r="A2129" s="3">
        <f>IFERROR(__xludf.DUMMYFUNCTION("""COMPUTED_VALUE"""),42611.99861111111)</f>
        <v>42611.99861</v>
      </c>
      <c r="B2129" s="1">
        <f>IFERROR(__xludf.DUMMYFUNCTION("""COMPUTED_VALUE"""),417.70944)</f>
        <v>417.70944</v>
      </c>
    </row>
    <row r="2130">
      <c r="A2130" s="3">
        <f>IFERROR(__xludf.DUMMYFUNCTION("""COMPUTED_VALUE"""),42612.99861111111)</f>
        <v>42612.99861</v>
      </c>
      <c r="B2130" s="1">
        <f>IFERROR(__xludf.DUMMYFUNCTION("""COMPUTED_VALUE"""),418.4145)</f>
        <v>418.4145</v>
      </c>
    </row>
    <row r="2131">
      <c r="A2131" s="3">
        <f>IFERROR(__xludf.DUMMYFUNCTION("""COMPUTED_VALUE"""),42613.99861111111)</f>
        <v>42613.99861</v>
      </c>
      <c r="B2131" s="1">
        <f>IFERROR(__xludf.DUMMYFUNCTION("""COMPUTED_VALUE"""),418.32)</f>
        <v>418.32</v>
      </c>
    </row>
    <row r="2132">
      <c r="A2132" s="3">
        <f>IFERROR(__xludf.DUMMYFUNCTION("""COMPUTED_VALUE"""),42614.99861111111)</f>
        <v>42614.99861</v>
      </c>
      <c r="B2132" s="1">
        <f>IFERROR(__xludf.DUMMYFUNCTION("""COMPUTED_VALUE"""),418.0995)</f>
        <v>418.0995</v>
      </c>
    </row>
    <row r="2133">
      <c r="A2133" s="3">
        <f>IFERROR(__xludf.DUMMYFUNCTION("""COMPUTED_VALUE"""),42615.99861111111)</f>
        <v>42615.99861</v>
      </c>
      <c r="B2133" s="1">
        <f>IFERROR(__xludf.DUMMYFUNCTION("""COMPUTED_VALUE"""),416.1703)</f>
        <v>416.1703</v>
      </c>
    </row>
    <row r="2134">
      <c r="A2134" s="3">
        <f>IFERROR(__xludf.DUMMYFUNCTION("""COMPUTED_VALUE"""),42616.99861111111)</f>
        <v>42616.99861</v>
      </c>
      <c r="B2134" s="1">
        <f>IFERROR(__xludf.DUMMYFUNCTION("""COMPUTED_VALUE"""),416.30225)</f>
        <v>416.30225</v>
      </c>
    </row>
    <row r="2135">
      <c r="A2135" s="3">
        <f>IFERROR(__xludf.DUMMYFUNCTION("""COMPUTED_VALUE"""),42617.99861111111)</f>
        <v>42617.99861</v>
      </c>
      <c r="B2135" s="1">
        <f>IFERROR(__xludf.DUMMYFUNCTION("""COMPUTED_VALUE"""),416.30225)</f>
        <v>416.30225</v>
      </c>
    </row>
    <row r="2136">
      <c r="A2136" s="3">
        <f>IFERROR(__xludf.DUMMYFUNCTION("""COMPUTED_VALUE"""),42618.99861111111)</f>
        <v>42618.99861</v>
      </c>
      <c r="B2136" s="1">
        <f>IFERROR(__xludf.DUMMYFUNCTION("""COMPUTED_VALUE"""),416.45625)</f>
        <v>416.45625</v>
      </c>
    </row>
    <row r="2137">
      <c r="A2137" s="3">
        <f>IFERROR(__xludf.DUMMYFUNCTION("""COMPUTED_VALUE"""),42619.99861111111)</f>
        <v>42619.99861</v>
      </c>
      <c r="B2137" s="1">
        <f>IFERROR(__xludf.DUMMYFUNCTION("""COMPUTED_VALUE"""),419.1618)</f>
        <v>419.1618</v>
      </c>
    </row>
    <row r="2138">
      <c r="A2138" s="3">
        <f>IFERROR(__xludf.DUMMYFUNCTION("""COMPUTED_VALUE"""),42620.99861111111)</f>
        <v>42620.99861</v>
      </c>
      <c r="B2138" s="1">
        <f>IFERROR(__xludf.DUMMYFUNCTION("""COMPUTED_VALUE"""),418.24)</f>
        <v>418.24</v>
      </c>
    </row>
    <row r="2139">
      <c r="A2139" s="3">
        <f>IFERROR(__xludf.DUMMYFUNCTION("""COMPUTED_VALUE"""),42621.99861111111)</f>
        <v>42621.99861</v>
      </c>
      <c r="B2139" s="1">
        <f>IFERROR(__xludf.DUMMYFUNCTION("""COMPUTED_VALUE"""),417.35703)</f>
        <v>417.35703</v>
      </c>
    </row>
    <row r="2140">
      <c r="A2140" s="3">
        <f>IFERROR(__xludf.DUMMYFUNCTION("""COMPUTED_VALUE"""),42622.99861111111)</f>
        <v>42622.99861</v>
      </c>
      <c r="B2140" s="1">
        <f>IFERROR(__xludf.DUMMYFUNCTION("""COMPUTED_VALUE"""),418.23798)</f>
        <v>418.23798</v>
      </c>
    </row>
    <row r="2141">
      <c r="A2141" s="3">
        <f>IFERROR(__xludf.DUMMYFUNCTION("""COMPUTED_VALUE"""),42623.99861111111)</f>
        <v>42623.99861</v>
      </c>
      <c r="B2141" s="1">
        <f>IFERROR(__xludf.DUMMYFUNCTION("""COMPUTED_VALUE"""),415.94553)</f>
        <v>415.94553</v>
      </c>
    </row>
    <row r="2142">
      <c r="A2142" s="3">
        <f>IFERROR(__xludf.DUMMYFUNCTION("""COMPUTED_VALUE"""),42624.99861111111)</f>
        <v>42624.99861</v>
      </c>
      <c r="B2142" s="1">
        <f>IFERROR(__xludf.DUMMYFUNCTION("""COMPUTED_VALUE"""),416.22984)</f>
        <v>416.22984</v>
      </c>
    </row>
    <row r="2143">
      <c r="A2143" s="3">
        <f>IFERROR(__xludf.DUMMYFUNCTION("""COMPUTED_VALUE"""),42625.99861111111)</f>
        <v>42625.99861</v>
      </c>
      <c r="B2143" s="1">
        <f>IFERROR(__xludf.DUMMYFUNCTION("""COMPUTED_VALUE"""),415.5766)</f>
        <v>415.5766</v>
      </c>
    </row>
    <row r="2144">
      <c r="A2144" s="3">
        <f>IFERROR(__xludf.DUMMYFUNCTION("""COMPUTED_VALUE"""),42626.99861111111)</f>
        <v>42626.99861</v>
      </c>
      <c r="B2144" s="1">
        <f>IFERROR(__xludf.DUMMYFUNCTION("""COMPUTED_VALUE"""),416.42945)</f>
        <v>416.42945</v>
      </c>
    </row>
    <row r="2145">
      <c r="A2145" s="3">
        <f>IFERROR(__xludf.DUMMYFUNCTION("""COMPUTED_VALUE"""),42627.99861111111)</f>
        <v>42627.99861</v>
      </c>
      <c r="B2145" s="1">
        <f>IFERROR(__xludf.DUMMYFUNCTION("""COMPUTED_VALUE"""),416.04414)</f>
        <v>416.04414</v>
      </c>
    </row>
    <row r="2146">
      <c r="A2146" s="3">
        <f>IFERROR(__xludf.DUMMYFUNCTION("""COMPUTED_VALUE"""),42628.99861111111)</f>
        <v>42628.99861</v>
      </c>
      <c r="B2146" s="1">
        <f>IFERROR(__xludf.DUMMYFUNCTION("""COMPUTED_VALUE"""),414.56176)</f>
        <v>414.56176</v>
      </c>
    </row>
    <row r="2147">
      <c r="A2147" s="3">
        <f>IFERROR(__xludf.DUMMYFUNCTION("""COMPUTED_VALUE"""),42629.99861111111)</f>
        <v>42629.99861</v>
      </c>
      <c r="B2147" s="1">
        <f>IFERROR(__xludf.DUMMYFUNCTION("""COMPUTED_VALUE"""),415.16102)</f>
        <v>415.16102</v>
      </c>
    </row>
    <row r="2148">
      <c r="A2148" s="3">
        <f>IFERROR(__xludf.DUMMYFUNCTION("""COMPUTED_VALUE"""),42630.99861111111)</f>
        <v>42630.99861</v>
      </c>
      <c r="B2148" s="1">
        <f>IFERROR(__xludf.DUMMYFUNCTION("""COMPUTED_VALUE"""),402.5032765)</f>
        <v>402.5032765</v>
      </c>
    </row>
    <row r="2149">
      <c r="A2149" s="3">
        <f>IFERROR(__xludf.DUMMYFUNCTION("""COMPUTED_VALUE"""),42631.99861111111)</f>
        <v>42631.99861</v>
      </c>
      <c r="B2149" s="1">
        <f>IFERROR(__xludf.DUMMYFUNCTION("""COMPUTED_VALUE"""),415.02939)</f>
        <v>415.02939</v>
      </c>
    </row>
    <row r="2150">
      <c r="A2150" s="3">
        <f>IFERROR(__xludf.DUMMYFUNCTION("""COMPUTED_VALUE"""),42632.99861111111)</f>
        <v>42632.99861</v>
      </c>
      <c r="B2150" s="1">
        <f>IFERROR(__xludf.DUMMYFUNCTION("""COMPUTED_VALUE"""),418.08298)</f>
        <v>418.08298</v>
      </c>
    </row>
    <row r="2151">
      <c r="A2151" s="3">
        <f>IFERROR(__xludf.DUMMYFUNCTION("""COMPUTED_VALUE"""),42633.99861111111)</f>
        <v>42633.99861</v>
      </c>
      <c r="B2151" s="1">
        <f>IFERROR(__xludf.DUMMYFUNCTION("""COMPUTED_VALUE"""),419.47704)</f>
        <v>419.47704</v>
      </c>
    </row>
    <row r="2152">
      <c r="A2152" s="3">
        <f>IFERROR(__xludf.DUMMYFUNCTION("""COMPUTED_VALUE"""),42634.99861111111)</f>
        <v>42634.99861</v>
      </c>
      <c r="B2152" s="1">
        <f>IFERROR(__xludf.DUMMYFUNCTION("""COMPUTED_VALUE"""),418.77006)</f>
        <v>418.77006</v>
      </c>
    </row>
    <row r="2153">
      <c r="A2153" s="3">
        <f>IFERROR(__xludf.DUMMYFUNCTION("""COMPUTED_VALUE"""),42635.99861111111)</f>
        <v>42635.99861</v>
      </c>
      <c r="B2153" s="1">
        <f>IFERROR(__xludf.DUMMYFUNCTION("""COMPUTED_VALUE"""),416.0247)</f>
        <v>416.0247</v>
      </c>
    </row>
    <row r="2154">
      <c r="A2154" s="3">
        <f>IFERROR(__xludf.DUMMYFUNCTION("""COMPUTED_VALUE"""),42636.99861111111)</f>
        <v>42636.99861</v>
      </c>
      <c r="B2154" s="1">
        <f>IFERROR(__xludf.DUMMYFUNCTION("""COMPUTED_VALUE"""),417.02228)</f>
        <v>417.02228</v>
      </c>
    </row>
    <row r="2155">
      <c r="A2155" s="3">
        <f>IFERROR(__xludf.DUMMYFUNCTION("""COMPUTED_VALUE"""),42637.99861111111)</f>
        <v>42637.99861</v>
      </c>
      <c r="B2155" s="1">
        <f>IFERROR(__xludf.DUMMYFUNCTION("""COMPUTED_VALUE"""),417.05742)</f>
        <v>417.05742</v>
      </c>
    </row>
    <row r="2156">
      <c r="A2156" s="3">
        <f>IFERROR(__xludf.DUMMYFUNCTION("""COMPUTED_VALUE"""),42638.99861111111)</f>
        <v>42638.99861</v>
      </c>
      <c r="B2156" s="1">
        <f>IFERROR(__xludf.DUMMYFUNCTION("""COMPUTED_VALUE"""),416.26017)</f>
        <v>416.26017</v>
      </c>
    </row>
    <row r="2157">
      <c r="A2157" s="3">
        <f>IFERROR(__xludf.DUMMYFUNCTION("""COMPUTED_VALUE"""),42639.99861111111)</f>
        <v>42639.99861</v>
      </c>
      <c r="B2157" s="1">
        <f>IFERROR(__xludf.DUMMYFUNCTION("""COMPUTED_VALUE"""),414.50981)</f>
        <v>414.50981</v>
      </c>
    </row>
    <row r="2158">
      <c r="A2158" s="3">
        <f>IFERROR(__xludf.DUMMYFUNCTION("""COMPUTED_VALUE"""),42640.99861111111)</f>
        <v>42640.99861</v>
      </c>
      <c r="B2158" s="1">
        <f>IFERROR(__xludf.DUMMYFUNCTION("""COMPUTED_VALUE"""),411.14811)</f>
        <v>411.14811</v>
      </c>
    </row>
    <row r="2159">
      <c r="A2159" s="3">
        <f>IFERROR(__xludf.DUMMYFUNCTION("""COMPUTED_VALUE"""),42641.99861111111)</f>
        <v>42641.99861</v>
      </c>
      <c r="B2159" s="1">
        <f>IFERROR(__xludf.DUMMYFUNCTION("""COMPUTED_VALUE"""),411.53385)</f>
        <v>411.53385</v>
      </c>
    </row>
    <row r="2160">
      <c r="A2160" s="3">
        <f>IFERROR(__xludf.DUMMYFUNCTION("""COMPUTED_VALUE"""),42642.99861111111)</f>
        <v>42642.99861</v>
      </c>
      <c r="B2160" s="1">
        <f>IFERROR(__xludf.DUMMYFUNCTION("""COMPUTED_VALUE"""),414.01552)</f>
        <v>414.01552</v>
      </c>
    </row>
    <row r="2161">
      <c r="A2161" s="3">
        <f>IFERROR(__xludf.DUMMYFUNCTION("""COMPUTED_VALUE"""),42643.99861111111)</f>
        <v>42643.99861</v>
      </c>
      <c r="B2161" s="1">
        <f>IFERROR(__xludf.DUMMYFUNCTION("""COMPUTED_VALUE"""),415.27674)</f>
        <v>415.27674</v>
      </c>
    </row>
    <row r="2162">
      <c r="A2162" s="3">
        <f>IFERROR(__xludf.DUMMYFUNCTION("""COMPUTED_VALUE"""),42644.99861111111)</f>
        <v>42644.99861</v>
      </c>
      <c r="B2162" s="1">
        <f>IFERROR(__xludf.DUMMYFUNCTION("""COMPUTED_VALUE"""),415.21292)</f>
        <v>415.21292</v>
      </c>
    </row>
    <row r="2163">
      <c r="A2163" s="3">
        <f>IFERROR(__xludf.DUMMYFUNCTION("""COMPUTED_VALUE"""),42645.99861111111)</f>
        <v>42645.99861</v>
      </c>
      <c r="B2163" s="1">
        <f>IFERROR(__xludf.DUMMYFUNCTION("""COMPUTED_VALUE"""),413.74506)</f>
        <v>413.74506</v>
      </c>
    </row>
    <row r="2164">
      <c r="A2164" s="3">
        <f>IFERROR(__xludf.DUMMYFUNCTION("""COMPUTED_VALUE"""),42646.99861111111)</f>
        <v>42646.99861</v>
      </c>
      <c r="B2164" s="1">
        <f>IFERROR(__xludf.DUMMYFUNCTION("""COMPUTED_VALUE"""),413.61742)</f>
        <v>413.61742</v>
      </c>
    </row>
    <row r="2165">
      <c r="A2165" s="3">
        <f>IFERROR(__xludf.DUMMYFUNCTION("""COMPUTED_VALUE"""),42647.99861111111)</f>
        <v>42647.99861</v>
      </c>
      <c r="B2165" s="1">
        <f>IFERROR(__xludf.DUMMYFUNCTION("""COMPUTED_VALUE"""),413.47363)</f>
        <v>413.47363</v>
      </c>
    </row>
    <row r="2166">
      <c r="A2166" s="3">
        <f>IFERROR(__xludf.DUMMYFUNCTION("""COMPUTED_VALUE"""),42648.99861111111)</f>
        <v>42648.99861</v>
      </c>
      <c r="B2166" s="1">
        <f>IFERROR(__xludf.DUMMYFUNCTION("""COMPUTED_VALUE"""),413.97534)</f>
        <v>413.97534</v>
      </c>
    </row>
    <row r="2167">
      <c r="A2167" s="3">
        <f>IFERROR(__xludf.DUMMYFUNCTION("""COMPUTED_VALUE"""),42649.99861111111)</f>
        <v>42649.99861</v>
      </c>
      <c r="B2167" s="1">
        <f>IFERROR(__xludf.DUMMYFUNCTION("""COMPUTED_VALUE"""),413.94915)</f>
        <v>413.94915</v>
      </c>
    </row>
    <row r="2168">
      <c r="A2168" s="3">
        <f>IFERROR(__xludf.DUMMYFUNCTION("""COMPUTED_VALUE"""),42650.99861111111)</f>
        <v>42650.99861</v>
      </c>
      <c r="B2168" s="1">
        <f>IFERROR(__xludf.DUMMYFUNCTION("""COMPUTED_VALUE"""),412.08867)</f>
        <v>412.08867</v>
      </c>
    </row>
    <row r="2169">
      <c r="A2169" s="3">
        <f>IFERROR(__xludf.DUMMYFUNCTION("""COMPUTED_VALUE"""),42652.99861111111)</f>
        <v>42652.99861</v>
      </c>
      <c r="B2169" s="1">
        <f>IFERROR(__xludf.DUMMYFUNCTION("""COMPUTED_VALUE"""),411.83192)</f>
        <v>411.83192</v>
      </c>
    </row>
    <row r="2170">
      <c r="A2170" s="3">
        <f>IFERROR(__xludf.DUMMYFUNCTION("""COMPUTED_VALUE"""),42653.99861111111)</f>
        <v>42653.99861</v>
      </c>
      <c r="B2170" s="1">
        <f>IFERROR(__xludf.DUMMYFUNCTION("""COMPUTED_VALUE"""),410.65902)</f>
        <v>410.65902</v>
      </c>
    </row>
    <row r="2171">
      <c r="A2171" s="3">
        <f>IFERROR(__xludf.DUMMYFUNCTION("""COMPUTED_VALUE"""),42654.99861111111)</f>
        <v>42654.99861</v>
      </c>
      <c r="B2171" s="1">
        <f>IFERROR(__xludf.DUMMYFUNCTION("""COMPUTED_VALUE"""),413.21016)</f>
        <v>413.21016</v>
      </c>
    </row>
    <row r="2172">
      <c r="A2172" s="3">
        <f>IFERROR(__xludf.DUMMYFUNCTION("""COMPUTED_VALUE"""),42655.99861111111)</f>
        <v>42655.99861</v>
      </c>
      <c r="B2172" s="1">
        <f>IFERROR(__xludf.DUMMYFUNCTION("""COMPUTED_VALUE"""),411.53059)</f>
        <v>411.53059</v>
      </c>
    </row>
    <row r="2173">
      <c r="A2173" s="3">
        <f>IFERROR(__xludf.DUMMYFUNCTION("""COMPUTED_VALUE"""),42656.99861111111)</f>
        <v>42656.99861</v>
      </c>
      <c r="B2173" s="1">
        <f>IFERROR(__xludf.DUMMYFUNCTION("""COMPUTED_VALUE"""),410.62512)</f>
        <v>410.62512</v>
      </c>
    </row>
    <row r="2174">
      <c r="A2174" s="3">
        <f>IFERROR(__xludf.DUMMYFUNCTION("""COMPUTED_VALUE"""),42657.99861111111)</f>
        <v>42657.99861</v>
      </c>
      <c r="B2174" s="1">
        <f>IFERROR(__xludf.DUMMYFUNCTION("""COMPUTED_VALUE"""),411.93488)</f>
        <v>411.93488</v>
      </c>
    </row>
    <row r="2175">
      <c r="A2175" s="3">
        <f>IFERROR(__xludf.DUMMYFUNCTION("""COMPUTED_VALUE"""),42658.99861111111)</f>
        <v>42658.99861</v>
      </c>
      <c r="B2175" s="1">
        <f>IFERROR(__xludf.DUMMYFUNCTION("""COMPUTED_VALUE"""),412.08778)</f>
        <v>412.08778</v>
      </c>
    </row>
    <row r="2176">
      <c r="A2176" s="3">
        <f>IFERROR(__xludf.DUMMYFUNCTION("""COMPUTED_VALUE"""),42659.99861111111)</f>
        <v>42659.99861</v>
      </c>
      <c r="B2176" s="1">
        <f>IFERROR(__xludf.DUMMYFUNCTION("""COMPUTED_VALUE"""),412.52892)</f>
        <v>412.52892</v>
      </c>
    </row>
    <row r="2177">
      <c r="A2177" s="3">
        <f>IFERROR(__xludf.DUMMYFUNCTION("""COMPUTED_VALUE"""),42660.99861111111)</f>
        <v>42660.99861</v>
      </c>
      <c r="B2177" s="1">
        <f>IFERROR(__xludf.DUMMYFUNCTION("""COMPUTED_VALUE"""),410.58446)</f>
        <v>410.58446</v>
      </c>
    </row>
    <row r="2178">
      <c r="A2178" s="3">
        <f>IFERROR(__xludf.DUMMYFUNCTION("""COMPUTED_VALUE"""),42661.99861111111)</f>
        <v>42661.99861</v>
      </c>
      <c r="B2178" s="1">
        <f>IFERROR(__xludf.DUMMYFUNCTION("""COMPUTED_VALUE"""),411.1716)</f>
        <v>411.1716</v>
      </c>
    </row>
    <row r="2179">
      <c r="A2179" s="3">
        <f>IFERROR(__xludf.DUMMYFUNCTION("""COMPUTED_VALUE"""),42662.99861111111)</f>
        <v>42662.99861</v>
      </c>
      <c r="B2179" s="1">
        <f>IFERROR(__xludf.DUMMYFUNCTION("""COMPUTED_VALUE"""),411.73128)</f>
        <v>411.73128</v>
      </c>
    </row>
    <row r="2180">
      <c r="A2180" s="3">
        <f>IFERROR(__xludf.DUMMYFUNCTION("""COMPUTED_VALUE"""),42663.99861111111)</f>
        <v>42663.99861</v>
      </c>
      <c r="B2180" s="1">
        <f>IFERROR(__xludf.DUMMYFUNCTION("""COMPUTED_VALUE"""),412.5186)</f>
        <v>412.5186</v>
      </c>
    </row>
    <row r="2181">
      <c r="A2181" s="3">
        <f>IFERROR(__xludf.DUMMYFUNCTION("""COMPUTED_VALUE"""),42664.99861111111)</f>
        <v>42664.99861</v>
      </c>
      <c r="B2181" s="1">
        <f>IFERROR(__xludf.DUMMYFUNCTION("""COMPUTED_VALUE"""),411.78726)</f>
        <v>411.78726</v>
      </c>
    </row>
    <row r="2182">
      <c r="A2182" s="3">
        <f>IFERROR(__xludf.DUMMYFUNCTION("""COMPUTED_VALUE"""),42665.99861111111)</f>
        <v>42665.99861</v>
      </c>
      <c r="B2182" s="1">
        <f>IFERROR(__xludf.DUMMYFUNCTION("""COMPUTED_VALUE"""),410.55762)</f>
        <v>410.55762</v>
      </c>
    </row>
    <row r="2183">
      <c r="A2183" s="3">
        <f>IFERROR(__xludf.DUMMYFUNCTION("""COMPUTED_VALUE"""),42666.99861111111)</f>
        <v>42666.99861</v>
      </c>
      <c r="B2183" s="1">
        <f>IFERROR(__xludf.DUMMYFUNCTION("""COMPUTED_VALUE"""),410.6835)</f>
        <v>410.6835</v>
      </c>
    </row>
    <row r="2184">
      <c r="A2184" s="3">
        <f>IFERROR(__xludf.DUMMYFUNCTION("""COMPUTED_VALUE"""),42667.99861111111)</f>
        <v>42667.99861</v>
      </c>
      <c r="B2184" s="1">
        <f>IFERROR(__xludf.DUMMYFUNCTION("""COMPUTED_VALUE"""),410.78884)</f>
        <v>410.78884</v>
      </c>
    </row>
    <row r="2185">
      <c r="A2185" s="3">
        <f>IFERROR(__xludf.DUMMYFUNCTION("""COMPUTED_VALUE"""),42668.99861111111)</f>
        <v>42668.99861</v>
      </c>
      <c r="B2185" s="1">
        <f>IFERROR(__xludf.DUMMYFUNCTION("""COMPUTED_VALUE"""),410.94992)</f>
        <v>410.94992</v>
      </c>
    </row>
    <row r="2186">
      <c r="A2186" s="3">
        <f>IFERROR(__xludf.DUMMYFUNCTION("""COMPUTED_VALUE"""),42669.99861111111)</f>
        <v>42669.99861</v>
      </c>
      <c r="B2186" s="1">
        <f>IFERROR(__xludf.DUMMYFUNCTION("""COMPUTED_VALUE"""),412.33984)</f>
        <v>412.33984</v>
      </c>
    </row>
    <row r="2187">
      <c r="A2187" s="3">
        <f>IFERROR(__xludf.DUMMYFUNCTION("""COMPUTED_VALUE"""),42670.99861111111)</f>
        <v>42670.99861</v>
      </c>
      <c r="B2187" s="1">
        <f>IFERROR(__xludf.DUMMYFUNCTION("""COMPUTED_VALUE"""),411.69162)</f>
        <v>411.69162</v>
      </c>
    </row>
    <row r="2188">
      <c r="A2188" s="3">
        <f>IFERROR(__xludf.DUMMYFUNCTION("""COMPUTED_VALUE"""),42671.99861111111)</f>
        <v>42671.99861</v>
      </c>
      <c r="B2188" s="1">
        <f>IFERROR(__xludf.DUMMYFUNCTION("""COMPUTED_VALUE"""),412.92143)</f>
        <v>412.92143</v>
      </c>
    </row>
    <row r="2189">
      <c r="A2189" s="3">
        <f>IFERROR(__xludf.DUMMYFUNCTION("""COMPUTED_VALUE"""),42672.99861111111)</f>
        <v>42672.99861</v>
      </c>
      <c r="B2189" s="1">
        <f>IFERROR(__xludf.DUMMYFUNCTION("""COMPUTED_VALUE"""),412.92143)</f>
        <v>412.92143</v>
      </c>
    </row>
    <row r="2190">
      <c r="A2190" s="3">
        <f>IFERROR(__xludf.DUMMYFUNCTION("""COMPUTED_VALUE"""),42673.99861111111)</f>
        <v>42673.99861</v>
      </c>
      <c r="B2190" s="1">
        <f>IFERROR(__xludf.DUMMYFUNCTION("""COMPUTED_VALUE"""),412.92143)</f>
        <v>412.92143</v>
      </c>
    </row>
    <row r="2191">
      <c r="A2191" s="3">
        <f>IFERROR(__xludf.DUMMYFUNCTION("""COMPUTED_VALUE"""),42674.99861111111)</f>
        <v>42674.99861</v>
      </c>
      <c r="B2191" s="1">
        <f>IFERROR(__xludf.DUMMYFUNCTION("""COMPUTED_VALUE"""),411.99158)</f>
        <v>411.99158</v>
      </c>
    </row>
    <row r="2192">
      <c r="A2192" s="3">
        <f>IFERROR(__xludf.DUMMYFUNCTION("""COMPUTED_VALUE"""),42675.99861111111)</f>
        <v>42675.99861</v>
      </c>
      <c r="B2192" s="1">
        <f>IFERROR(__xludf.DUMMYFUNCTION("""COMPUTED_VALUE"""),413.04384)</f>
        <v>413.04384</v>
      </c>
    </row>
    <row r="2193">
      <c r="A2193" s="3">
        <f>IFERROR(__xludf.DUMMYFUNCTION("""COMPUTED_VALUE"""),42676.99861111111)</f>
        <v>42676.99861</v>
      </c>
      <c r="B2193" s="1">
        <f>IFERROR(__xludf.DUMMYFUNCTION("""COMPUTED_VALUE"""),413.16682)</f>
        <v>413.16682</v>
      </c>
    </row>
    <row r="2194">
      <c r="A2194" s="3">
        <f>IFERROR(__xludf.DUMMYFUNCTION("""COMPUTED_VALUE"""),42677.99861111111)</f>
        <v>42677.99861</v>
      </c>
      <c r="B2194" s="1">
        <f>IFERROR(__xludf.DUMMYFUNCTION("""COMPUTED_VALUE"""),415.30104)</f>
        <v>415.30104</v>
      </c>
    </row>
    <row r="2195">
      <c r="A2195" s="3">
        <f>IFERROR(__xludf.DUMMYFUNCTION("""COMPUTED_VALUE"""),42678.99861111111)</f>
        <v>42678.99861</v>
      </c>
      <c r="B2195" s="1">
        <f>IFERROR(__xludf.DUMMYFUNCTION("""COMPUTED_VALUE"""),416.46888)</f>
        <v>416.46888</v>
      </c>
    </row>
    <row r="2196">
      <c r="A2196" s="3">
        <f>IFERROR(__xludf.DUMMYFUNCTION("""COMPUTED_VALUE"""),42679.99861111111)</f>
        <v>42679.99861</v>
      </c>
      <c r="B2196" s="1">
        <f>IFERROR(__xludf.DUMMYFUNCTION("""COMPUTED_VALUE"""),416.46888)</f>
        <v>416.46888</v>
      </c>
    </row>
    <row r="2197">
      <c r="A2197" s="3">
        <f>IFERROR(__xludf.DUMMYFUNCTION("""COMPUTED_VALUE"""),42680.99861111111)</f>
        <v>42680.99861</v>
      </c>
      <c r="B2197" s="1">
        <f>IFERROR(__xludf.DUMMYFUNCTION("""COMPUTED_VALUE"""),416.5324)</f>
        <v>416.5324</v>
      </c>
    </row>
    <row r="2198">
      <c r="A2198" s="3">
        <f>IFERROR(__xludf.DUMMYFUNCTION("""COMPUTED_VALUE"""),42681.99861111111)</f>
        <v>42681.99861</v>
      </c>
      <c r="B2198" s="1">
        <f>IFERROR(__xludf.DUMMYFUNCTION("""COMPUTED_VALUE"""),415.25051)</f>
        <v>415.25051</v>
      </c>
    </row>
    <row r="2199">
      <c r="A2199" s="3">
        <f>IFERROR(__xludf.DUMMYFUNCTION("""COMPUTED_VALUE"""),42682.99861111111)</f>
        <v>42682.99861</v>
      </c>
      <c r="B2199" s="1">
        <f>IFERROR(__xludf.DUMMYFUNCTION("""COMPUTED_VALUE"""),413.92134)</f>
        <v>413.92134</v>
      </c>
    </row>
    <row r="2200">
      <c r="A2200" s="3">
        <f>IFERROR(__xludf.DUMMYFUNCTION("""COMPUTED_VALUE"""),42683.99861111111)</f>
        <v>42683.99861</v>
      </c>
      <c r="B2200" s="1">
        <f>IFERROR(__xludf.DUMMYFUNCTION("""COMPUTED_VALUE"""),417.49386)</f>
        <v>417.49386</v>
      </c>
    </row>
    <row r="2201">
      <c r="A2201" s="3">
        <f>IFERROR(__xludf.DUMMYFUNCTION("""COMPUTED_VALUE"""),42684.99861111111)</f>
        <v>42684.99861</v>
      </c>
      <c r="B2201" s="1">
        <f>IFERROR(__xludf.DUMMYFUNCTION("""COMPUTED_VALUE"""),428.42964)</f>
        <v>428.42964</v>
      </c>
    </row>
    <row r="2202">
      <c r="A2202" s="3">
        <f>IFERROR(__xludf.DUMMYFUNCTION("""COMPUTED_VALUE"""),42685.99861111111)</f>
        <v>42685.99861</v>
      </c>
      <c r="B2202" s="1">
        <f>IFERROR(__xludf.DUMMYFUNCTION("""COMPUTED_VALUE"""),420.1091)</f>
        <v>420.1091</v>
      </c>
    </row>
    <row r="2203">
      <c r="A2203" s="3">
        <f>IFERROR(__xludf.DUMMYFUNCTION("""COMPUTED_VALUE"""),42686.99861111111)</f>
        <v>42686.99861</v>
      </c>
      <c r="B2203" s="1">
        <f>IFERROR(__xludf.DUMMYFUNCTION("""COMPUTED_VALUE"""),410.2701636)</f>
        <v>410.2701636</v>
      </c>
    </row>
    <row r="2204">
      <c r="A2204" s="3">
        <f>IFERROR(__xludf.DUMMYFUNCTION("""COMPUTED_VALUE"""),42687.99861111111)</f>
        <v>42687.99861</v>
      </c>
      <c r="B2204" s="1">
        <f>IFERROR(__xludf.DUMMYFUNCTION("""COMPUTED_VALUE"""),416.53724)</f>
        <v>416.53724</v>
      </c>
    </row>
    <row r="2205">
      <c r="A2205" s="3">
        <f>IFERROR(__xludf.DUMMYFUNCTION("""COMPUTED_VALUE"""),42688.99861111111)</f>
        <v>42688.99861</v>
      </c>
      <c r="B2205" s="1">
        <f>IFERROR(__xludf.DUMMYFUNCTION("""COMPUTED_VALUE"""),421.2667)</f>
        <v>421.2667</v>
      </c>
    </row>
    <row r="2206">
      <c r="A2206" s="3">
        <f>IFERROR(__xludf.DUMMYFUNCTION("""COMPUTED_VALUE"""),42689.99861111111)</f>
        <v>42689.99861</v>
      </c>
      <c r="B2206" s="1">
        <f>IFERROR(__xludf.DUMMYFUNCTION("""COMPUTED_VALUE"""),417.62881)</f>
        <v>417.62881</v>
      </c>
    </row>
    <row r="2207">
      <c r="A2207" s="3">
        <f>IFERROR(__xludf.DUMMYFUNCTION("""COMPUTED_VALUE"""),42690.99861111111)</f>
        <v>42690.99861</v>
      </c>
      <c r="B2207" s="1">
        <f>IFERROR(__xludf.DUMMYFUNCTION("""COMPUTED_VALUE"""),419.62152)</f>
        <v>419.62152</v>
      </c>
    </row>
    <row r="2208">
      <c r="A2208" s="3">
        <f>IFERROR(__xludf.DUMMYFUNCTION("""COMPUTED_VALUE"""),42691.99861111111)</f>
        <v>42691.99861</v>
      </c>
      <c r="B2208" s="1">
        <f>IFERROR(__xludf.DUMMYFUNCTION("""COMPUTED_VALUE"""),420.70307)</f>
        <v>420.70307</v>
      </c>
    </row>
    <row r="2209">
      <c r="A2209" s="3">
        <f>IFERROR(__xludf.DUMMYFUNCTION("""COMPUTED_VALUE"""),42692.99861111111)</f>
        <v>42692.99861</v>
      </c>
      <c r="B2209" s="1">
        <f>IFERROR(__xludf.DUMMYFUNCTION("""COMPUTED_VALUE"""),417.46012)</f>
        <v>417.46012</v>
      </c>
    </row>
    <row r="2210">
      <c r="A2210" s="3">
        <f>IFERROR(__xludf.DUMMYFUNCTION("""COMPUTED_VALUE"""),42693.99861111111)</f>
        <v>42693.99861</v>
      </c>
      <c r="B2210" s="1">
        <f>IFERROR(__xludf.DUMMYFUNCTION("""COMPUTED_VALUE"""),404.9464042)</f>
        <v>404.9464042</v>
      </c>
    </row>
    <row r="2211">
      <c r="A2211" s="3">
        <f>IFERROR(__xludf.DUMMYFUNCTION("""COMPUTED_VALUE"""),42694.99861111111)</f>
        <v>42694.99861</v>
      </c>
      <c r="B2211" s="1">
        <f>IFERROR(__xludf.DUMMYFUNCTION("""COMPUTED_VALUE"""),420.67959)</f>
        <v>420.67959</v>
      </c>
    </row>
    <row r="2212">
      <c r="A2212" s="3">
        <f>IFERROR(__xludf.DUMMYFUNCTION("""COMPUTED_VALUE"""),42695.99861111111)</f>
        <v>42695.99861</v>
      </c>
      <c r="B2212" s="1">
        <f>IFERROR(__xludf.DUMMYFUNCTION("""COMPUTED_VALUE"""),419.125)</f>
        <v>419.125</v>
      </c>
    </row>
    <row r="2213">
      <c r="A2213" s="3">
        <f>IFERROR(__xludf.DUMMYFUNCTION("""COMPUTED_VALUE"""),42696.99861111111)</f>
        <v>42696.99861</v>
      </c>
      <c r="B2213" s="1">
        <f>IFERROR(__xludf.DUMMYFUNCTION("""COMPUTED_VALUE"""),420.55592)</f>
        <v>420.55592</v>
      </c>
    </row>
    <row r="2214">
      <c r="A2214" s="3">
        <f>IFERROR(__xludf.DUMMYFUNCTION("""COMPUTED_VALUE"""),42697.99861111111)</f>
        <v>42697.99861</v>
      </c>
      <c r="B2214" s="1">
        <f>IFERROR(__xludf.DUMMYFUNCTION("""COMPUTED_VALUE"""),426.57945)</f>
        <v>426.57945</v>
      </c>
    </row>
    <row r="2215">
      <c r="A2215" s="3">
        <f>IFERROR(__xludf.DUMMYFUNCTION("""COMPUTED_VALUE"""),42698.99861111111)</f>
        <v>42698.99861</v>
      </c>
      <c r="B2215" s="1">
        <f>IFERROR(__xludf.DUMMYFUNCTION("""COMPUTED_VALUE"""),424.63656)</f>
        <v>424.63656</v>
      </c>
    </row>
    <row r="2216">
      <c r="A2216" s="3">
        <f>IFERROR(__xludf.DUMMYFUNCTION("""COMPUTED_VALUE"""),42699.99861111111)</f>
        <v>42699.99861</v>
      </c>
      <c r="B2216" s="1">
        <f>IFERROR(__xludf.DUMMYFUNCTION("""COMPUTED_VALUE"""),423.65561)</f>
        <v>423.65561</v>
      </c>
    </row>
    <row r="2217">
      <c r="A2217" s="3">
        <f>IFERROR(__xludf.DUMMYFUNCTION("""COMPUTED_VALUE"""),42700.99861111111)</f>
        <v>42700.99861</v>
      </c>
      <c r="B2217" s="1">
        <f>IFERROR(__xludf.DUMMYFUNCTION("""COMPUTED_VALUE"""),412.8549129)</f>
        <v>412.8549129</v>
      </c>
    </row>
    <row r="2218">
      <c r="A2218" s="3">
        <f>IFERROR(__xludf.DUMMYFUNCTION("""COMPUTED_VALUE"""),42701.99861111111)</f>
        <v>42701.99861</v>
      </c>
      <c r="B2218" s="1">
        <f>IFERROR(__xludf.DUMMYFUNCTION("""COMPUTED_VALUE"""),423.1372)</f>
        <v>423.1372</v>
      </c>
    </row>
    <row r="2219">
      <c r="A2219" s="3">
        <f>IFERROR(__xludf.DUMMYFUNCTION("""COMPUTED_VALUE"""),42702.99861111111)</f>
        <v>42702.99861</v>
      </c>
      <c r="B2219" s="1">
        <f>IFERROR(__xludf.DUMMYFUNCTION("""COMPUTED_VALUE"""),423.91455)</f>
        <v>423.91455</v>
      </c>
    </row>
    <row r="2220">
      <c r="A2220" s="3">
        <f>IFERROR(__xludf.DUMMYFUNCTION("""COMPUTED_VALUE"""),42703.99861111111)</f>
        <v>42703.99861</v>
      </c>
      <c r="B2220" s="1">
        <f>IFERROR(__xludf.DUMMYFUNCTION("""COMPUTED_VALUE"""),424.36786)</f>
        <v>424.36786</v>
      </c>
    </row>
    <row r="2221">
      <c r="A2221" s="3">
        <f>IFERROR(__xludf.DUMMYFUNCTION("""COMPUTED_VALUE"""),42704.99861111111)</f>
        <v>42704.99861</v>
      </c>
      <c r="B2221" s="1">
        <f>IFERROR(__xludf.DUMMYFUNCTION("""COMPUTED_VALUE"""),425.4822)</f>
        <v>425.4822</v>
      </c>
    </row>
    <row r="2222">
      <c r="A2222" s="3">
        <f>IFERROR(__xludf.DUMMYFUNCTION("""COMPUTED_VALUE"""),42705.99861111111)</f>
        <v>42705.99861</v>
      </c>
      <c r="B2222" s="1">
        <f>IFERROR(__xludf.DUMMYFUNCTION("""COMPUTED_VALUE"""),423.92448)</f>
        <v>423.92448</v>
      </c>
    </row>
    <row r="2223">
      <c r="A2223" s="3">
        <f>IFERROR(__xludf.DUMMYFUNCTION("""COMPUTED_VALUE"""),42706.99861111111)</f>
        <v>42706.99861</v>
      </c>
      <c r="B2223" s="1">
        <f>IFERROR(__xludf.DUMMYFUNCTION("""COMPUTED_VALUE"""),421.7018)</f>
        <v>421.7018</v>
      </c>
    </row>
    <row r="2224">
      <c r="A2224" s="3">
        <f>IFERROR(__xludf.DUMMYFUNCTION("""COMPUTED_VALUE"""),42708.99861111111)</f>
        <v>42708.99861</v>
      </c>
      <c r="B2224" s="1">
        <f>IFERROR(__xludf.DUMMYFUNCTION("""COMPUTED_VALUE"""),427.2048)</f>
        <v>427.2048</v>
      </c>
    </row>
    <row r="2225">
      <c r="A2225" s="3">
        <f>IFERROR(__xludf.DUMMYFUNCTION("""COMPUTED_VALUE"""),42709.99861111111)</f>
        <v>42709.99861</v>
      </c>
      <c r="B2225" s="1">
        <f>IFERROR(__xludf.DUMMYFUNCTION("""COMPUTED_VALUE"""),419.875)</f>
        <v>419.875</v>
      </c>
    </row>
    <row r="2226">
      <c r="A2226" s="3">
        <f>IFERROR(__xludf.DUMMYFUNCTION("""COMPUTED_VALUE"""),42710.99861111111)</f>
        <v>42710.99861</v>
      </c>
      <c r="B2226" s="1">
        <f>IFERROR(__xludf.DUMMYFUNCTION("""COMPUTED_VALUE"""),416.1648)</f>
        <v>416.1648</v>
      </c>
    </row>
    <row r="2227">
      <c r="A2227" s="3">
        <f>IFERROR(__xludf.DUMMYFUNCTION("""COMPUTED_VALUE"""),42711.99861111111)</f>
        <v>42711.99861</v>
      </c>
      <c r="B2227" s="1">
        <f>IFERROR(__xludf.DUMMYFUNCTION("""COMPUTED_VALUE"""),416.23395)</f>
        <v>416.23395</v>
      </c>
    </row>
    <row r="2228">
      <c r="A2228" s="3">
        <f>IFERROR(__xludf.DUMMYFUNCTION("""COMPUTED_VALUE"""),42712.99861111111)</f>
        <v>42712.99861</v>
      </c>
      <c r="B2228" s="1">
        <f>IFERROR(__xludf.DUMMYFUNCTION("""COMPUTED_VALUE"""),419.00594)</f>
        <v>419.00594</v>
      </c>
    </row>
    <row r="2229">
      <c r="A2229" s="3">
        <f>IFERROR(__xludf.DUMMYFUNCTION("""COMPUTED_VALUE"""),42713.99861111111)</f>
        <v>42713.99861</v>
      </c>
      <c r="B2229" s="1">
        <f>IFERROR(__xludf.DUMMYFUNCTION("""COMPUTED_VALUE"""),418.89955)</f>
        <v>418.89955</v>
      </c>
    </row>
    <row r="2230">
      <c r="A2230" s="3">
        <f>IFERROR(__xludf.DUMMYFUNCTION("""COMPUTED_VALUE"""),42714.99861111111)</f>
        <v>42714.99861</v>
      </c>
      <c r="B2230" s="1">
        <f>IFERROR(__xludf.DUMMYFUNCTION("""COMPUTED_VALUE"""),407.209465)</f>
        <v>407.209465</v>
      </c>
    </row>
    <row r="2231">
      <c r="A2231" s="3">
        <f>IFERROR(__xludf.DUMMYFUNCTION("""COMPUTED_VALUE"""),42715.99861111111)</f>
        <v>42715.99861</v>
      </c>
      <c r="B2231" s="1">
        <f>IFERROR(__xludf.DUMMYFUNCTION("""COMPUTED_VALUE"""),419.4098)</f>
        <v>419.4098</v>
      </c>
    </row>
    <row r="2232">
      <c r="A2232" s="3">
        <f>IFERROR(__xludf.DUMMYFUNCTION("""COMPUTED_VALUE"""),42716.99861111111)</f>
        <v>42716.99861</v>
      </c>
      <c r="B2232" s="1">
        <f>IFERROR(__xludf.DUMMYFUNCTION("""COMPUTED_VALUE"""),416.66364)</f>
        <v>416.66364</v>
      </c>
    </row>
    <row r="2233">
      <c r="A2233" s="3">
        <f>IFERROR(__xludf.DUMMYFUNCTION("""COMPUTED_VALUE"""),42717.99861111111)</f>
        <v>42717.99861</v>
      </c>
      <c r="B2233" s="1">
        <f>IFERROR(__xludf.DUMMYFUNCTION("""COMPUTED_VALUE"""),417.5232)</f>
        <v>417.5232</v>
      </c>
    </row>
    <row r="2234">
      <c r="A2234" s="3">
        <f>IFERROR(__xludf.DUMMYFUNCTION("""COMPUTED_VALUE"""),42718.99861111111)</f>
        <v>42718.99861</v>
      </c>
      <c r="B2234" s="1">
        <f>IFERROR(__xludf.DUMMYFUNCTION("""COMPUTED_VALUE"""),421.59356)</f>
        <v>421.59356</v>
      </c>
    </row>
    <row r="2235">
      <c r="A2235" s="3">
        <f>IFERROR(__xludf.DUMMYFUNCTION("""COMPUTED_VALUE"""),42719.99861111111)</f>
        <v>42719.99861</v>
      </c>
      <c r="B2235" s="1">
        <f>IFERROR(__xludf.DUMMYFUNCTION("""COMPUTED_VALUE"""),420.16663)</f>
        <v>420.16663</v>
      </c>
    </row>
    <row r="2236">
      <c r="A2236" s="3">
        <f>IFERROR(__xludf.DUMMYFUNCTION("""COMPUTED_VALUE"""),42720.99861111111)</f>
        <v>42720.99861</v>
      </c>
      <c r="B2236" s="1">
        <f>IFERROR(__xludf.DUMMYFUNCTION("""COMPUTED_VALUE"""),419.43352)</f>
        <v>419.43352</v>
      </c>
    </row>
    <row r="2237">
      <c r="A2237" s="3">
        <f>IFERROR(__xludf.DUMMYFUNCTION("""COMPUTED_VALUE"""),42721.99861111111)</f>
        <v>42721.99861</v>
      </c>
      <c r="B2237" s="1">
        <f>IFERROR(__xludf.DUMMYFUNCTION("""COMPUTED_VALUE"""),418.22671)</f>
        <v>418.22671</v>
      </c>
    </row>
    <row r="2238">
      <c r="A2238" s="3">
        <f>IFERROR(__xludf.DUMMYFUNCTION("""COMPUTED_VALUE"""),42722.99861111111)</f>
        <v>42722.99861</v>
      </c>
      <c r="B2238" s="1">
        <f>IFERROR(__xludf.DUMMYFUNCTION("""COMPUTED_VALUE"""),417.41577)</f>
        <v>417.41577</v>
      </c>
    </row>
    <row r="2239">
      <c r="A2239" s="3">
        <f>IFERROR(__xludf.DUMMYFUNCTION("""COMPUTED_VALUE"""),42723.99861111111)</f>
        <v>42723.99861</v>
      </c>
      <c r="B2239" s="1">
        <f>IFERROR(__xludf.DUMMYFUNCTION("""COMPUTED_VALUE"""),418.2136)</f>
        <v>418.2136</v>
      </c>
    </row>
    <row r="2240">
      <c r="A2240" s="3">
        <f>IFERROR(__xludf.DUMMYFUNCTION("""COMPUTED_VALUE"""),42724.99861111111)</f>
        <v>42724.99861</v>
      </c>
      <c r="B2240" s="1">
        <f>IFERROR(__xludf.DUMMYFUNCTION("""COMPUTED_VALUE"""),419.13783)</f>
        <v>419.13783</v>
      </c>
    </row>
    <row r="2241">
      <c r="A2241" s="3">
        <f>IFERROR(__xludf.DUMMYFUNCTION("""COMPUTED_VALUE"""),42725.99861111111)</f>
        <v>42725.99861</v>
      </c>
      <c r="B2241" s="1">
        <f>IFERROR(__xludf.DUMMYFUNCTION("""COMPUTED_VALUE"""),419.56558)</f>
        <v>419.56558</v>
      </c>
    </row>
    <row r="2242">
      <c r="A2242" s="3">
        <f>IFERROR(__xludf.DUMMYFUNCTION("""COMPUTED_VALUE"""),42726.99861111111)</f>
        <v>42726.99861</v>
      </c>
      <c r="B2242" s="1">
        <f>IFERROR(__xludf.DUMMYFUNCTION("""COMPUTED_VALUE"""),419.74329)</f>
        <v>419.74329</v>
      </c>
    </row>
    <row r="2243">
      <c r="A2243" s="3">
        <f>IFERROR(__xludf.DUMMYFUNCTION("""COMPUTED_VALUE"""),42727.99861111111)</f>
        <v>42727.99861</v>
      </c>
      <c r="B2243" s="1">
        <f>IFERROR(__xludf.DUMMYFUNCTION("""COMPUTED_VALUE"""),417.63197)</f>
        <v>417.63197</v>
      </c>
    </row>
    <row r="2244">
      <c r="A2244" s="3">
        <f>IFERROR(__xludf.DUMMYFUNCTION("""COMPUTED_VALUE"""),42728.99861111111)</f>
        <v>42728.99861</v>
      </c>
      <c r="B2244" s="1">
        <f>IFERROR(__xludf.DUMMYFUNCTION("""COMPUTED_VALUE"""),416.82599)</f>
        <v>416.82599</v>
      </c>
    </row>
    <row r="2245">
      <c r="A2245" s="3">
        <f>IFERROR(__xludf.DUMMYFUNCTION("""COMPUTED_VALUE"""),42729.99861111111)</f>
        <v>42729.99861</v>
      </c>
      <c r="B2245" s="1">
        <f>IFERROR(__xludf.DUMMYFUNCTION("""COMPUTED_VALUE"""),417.50852)</f>
        <v>417.50852</v>
      </c>
    </row>
    <row r="2246">
      <c r="A2246" s="3">
        <f>IFERROR(__xludf.DUMMYFUNCTION("""COMPUTED_VALUE"""),42730.99861111111)</f>
        <v>42730.99861</v>
      </c>
      <c r="B2246" s="1">
        <f>IFERROR(__xludf.DUMMYFUNCTION("""COMPUTED_VALUE"""),416.83642)</f>
        <v>416.83642</v>
      </c>
    </row>
    <row r="2247">
      <c r="A2247" s="3">
        <f>IFERROR(__xludf.DUMMYFUNCTION("""COMPUTED_VALUE"""),42731.99861111111)</f>
        <v>42731.99861</v>
      </c>
      <c r="B2247" s="1">
        <f>IFERROR(__xludf.DUMMYFUNCTION("""COMPUTED_VALUE"""),416.03042)</f>
        <v>416.03042</v>
      </c>
    </row>
    <row r="2248">
      <c r="A2248" s="3">
        <f>IFERROR(__xludf.DUMMYFUNCTION("""COMPUTED_VALUE"""),42732.99861111111)</f>
        <v>42732.99861</v>
      </c>
      <c r="B2248" s="1">
        <f>IFERROR(__xludf.DUMMYFUNCTION("""COMPUTED_VALUE"""),417.2457)</f>
        <v>417.2457</v>
      </c>
    </row>
    <row r="2249">
      <c r="A2249" s="3">
        <f>IFERROR(__xludf.DUMMYFUNCTION("""COMPUTED_VALUE"""),42733.99861111111)</f>
        <v>42733.99861</v>
      </c>
      <c r="B2249" s="1">
        <f>IFERROR(__xludf.DUMMYFUNCTION("""COMPUTED_VALUE"""),416.90736)</f>
        <v>416.90736</v>
      </c>
    </row>
    <row r="2250">
      <c r="A2250" s="3">
        <f>IFERROR(__xludf.DUMMYFUNCTION("""COMPUTED_VALUE"""),42734.99861111111)</f>
        <v>42734.99861</v>
      </c>
      <c r="B2250" s="1">
        <f>IFERROR(__xludf.DUMMYFUNCTION("""COMPUTED_VALUE"""),418.92282)</f>
        <v>418.92282</v>
      </c>
    </row>
    <row r="2251">
      <c r="A2251" s="3">
        <f>IFERROR(__xludf.DUMMYFUNCTION("""COMPUTED_VALUE"""),42735.99861111111)</f>
        <v>42735.99861</v>
      </c>
      <c r="B2251" s="1">
        <f>IFERROR(__xludf.DUMMYFUNCTION("""COMPUTED_VALUE"""),416.3544)</f>
        <v>416.3544</v>
      </c>
    </row>
    <row r="2252">
      <c r="A2252" s="3">
        <f>IFERROR(__xludf.DUMMYFUNCTION("""COMPUTED_VALUE"""),42736.99861111111)</f>
        <v>42736.99861</v>
      </c>
      <c r="B2252" s="1">
        <f>IFERROR(__xludf.DUMMYFUNCTION("""COMPUTED_VALUE"""),416.1696)</f>
        <v>416.1696</v>
      </c>
    </row>
    <row r="2253">
      <c r="A2253" s="3">
        <f>IFERROR(__xludf.DUMMYFUNCTION("""COMPUTED_VALUE"""),42737.99861111111)</f>
        <v>42737.99861</v>
      </c>
      <c r="B2253" s="1">
        <f>IFERROR(__xludf.DUMMYFUNCTION("""COMPUTED_VALUE"""),418.41588)</f>
        <v>418.41588</v>
      </c>
    </row>
    <row r="2254">
      <c r="A2254" s="3">
        <f>IFERROR(__xludf.DUMMYFUNCTION("""COMPUTED_VALUE"""),42738.99861111111)</f>
        <v>42738.99861</v>
      </c>
      <c r="B2254" s="1">
        <f>IFERROR(__xludf.DUMMYFUNCTION("""COMPUTED_VALUE"""),416.733)</f>
        <v>416.733</v>
      </c>
    </row>
    <row r="2255">
      <c r="A2255" s="3">
        <f>IFERROR(__xludf.DUMMYFUNCTION("""COMPUTED_VALUE"""),42739.99861111111)</f>
        <v>42739.99861</v>
      </c>
      <c r="B2255" s="1">
        <f>IFERROR(__xludf.DUMMYFUNCTION("""COMPUTED_VALUE"""),413.788)</f>
        <v>413.788</v>
      </c>
    </row>
    <row r="2256">
      <c r="A2256" s="3">
        <f>IFERROR(__xludf.DUMMYFUNCTION("""COMPUTED_VALUE"""),42740.99861111111)</f>
        <v>42740.99861</v>
      </c>
      <c r="B2256" s="1">
        <f>IFERROR(__xludf.DUMMYFUNCTION("""COMPUTED_VALUE"""),416.61832)</f>
        <v>416.61832</v>
      </c>
    </row>
    <row r="2257">
      <c r="A2257" s="3">
        <f>IFERROR(__xludf.DUMMYFUNCTION("""COMPUTED_VALUE"""),42741.99861111111)</f>
        <v>42741.99861</v>
      </c>
      <c r="B2257" s="1">
        <f>IFERROR(__xludf.DUMMYFUNCTION("""COMPUTED_VALUE"""),417.07092)</f>
        <v>417.07092</v>
      </c>
    </row>
    <row r="2258">
      <c r="A2258" s="3">
        <f>IFERROR(__xludf.DUMMYFUNCTION("""COMPUTED_VALUE"""),42742.99861111111)</f>
        <v>42742.99861</v>
      </c>
      <c r="B2258" s="1">
        <f>IFERROR(__xludf.DUMMYFUNCTION("""COMPUTED_VALUE"""),416.00356)</f>
        <v>416.00356</v>
      </c>
    </row>
    <row r="2259">
      <c r="A2259" s="3">
        <f>IFERROR(__xludf.DUMMYFUNCTION("""COMPUTED_VALUE"""),42743.99861111111)</f>
        <v>42743.99861</v>
      </c>
      <c r="B2259" s="1">
        <f>IFERROR(__xludf.DUMMYFUNCTION("""COMPUTED_VALUE"""),416.28418)</f>
        <v>416.28418</v>
      </c>
    </row>
    <row r="2260">
      <c r="A2260" s="3">
        <f>IFERROR(__xludf.DUMMYFUNCTION("""COMPUTED_VALUE"""),42744.99861111111)</f>
        <v>42744.99861</v>
      </c>
      <c r="B2260" s="1">
        <f>IFERROR(__xludf.DUMMYFUNCTION("""COMPUTED_VALUE"""),415.66308)</f>
        <v>415.66308</v>
      </c>
    </row>
    <row r="2261">
      <c r="A2261" s="3">
        <f>IFERROR(__xludf.DUMMYFUNCTION("""COMPUTED_VALUE"""),42745.99861111111)</f>
        <v>42745.99861</v>
      </c>
      <c r="B2261" s="1">
        <f>IFERROR(__xludf.DUMMYFUNCTION("""COMPUTED_VALUE"""),415.87539)</f>
        <v>415.87539</v>
      </c>
    </row>
    <row r="2262">
      <c r="A2262" s="3">
        <f>IFERROR(__xludf.DUMMYFUNCTION("""COMPUTED_VALUE"""),42746.99861111111)</f>
        <v>42746.99861</v>
      </c>
      <c r="B2262" s="1">
        <f>IFERROR(__xludf.DUMMYFUNCTION("""COMPUTED_VALUE"""),414.4433)</f>
        <v>414.4433</v>
      </c>
    </row>
    <row r="2263">
      <c r="A2263" s="3">
        <f>IFERROR(__xludf.DUMMYFUNCTION("""COMPUTED_VALUE"""),42747.99861111111)</f>
        <v>42747.99861</v>
      </c>
      <c r="B2263" s="1">
        <f>IFERROR(__xludf.DUMMYFUNCTION("""COMPUTED_VALUE"""),417.75958)</f>
        <v>417.75958</v>
      </c>
    </row>
    <row r="2264">
      <c r="A2264" s="3">
        <f>IFERROR(__xludf.DUMMYFUNCTION("""COMPUTED_VALUE"""),42748.99861111111)</f>
        <v>42748.99861</v>
      </c>
      <c r="B2264" s="1">
        <f>IFERROR(__xludf.DUMMYFUNCTION("""COMPUTED_VALUE"""),421.35645)</f>
        <v>421.35645</v>
      </c>
    </row>
    <row r="2265">
      <c r="A2265" s="3">
        <f>IFERROR(__xludf.DUMMYFUNCTION("""COMPUTED_VALUE"""),42749.99861111111)</f>
        <v>42749.99861</v>
      </c>
      <c r="B2265" s="1">
        <f>IFERROR(__xludf.DUMMYFUNCTION("""COMPUTED_VALUE"""),421.09019)</f>
        <v>421.09019</v>
      </c>
    </row>
    <row r="2266">
      <c r="A2266" s="3">
        <f>IFERROR(__xludf.DUMMYFUNCTION("""COMPUTED_VALUE"""),42750.99861111111)</f>
        <v>42750.99861</v>
      </c>
      <c r="B2266" s="1">
        <f>IFERROR(__xludf.DUMMYFUNCTION("""COMPUTED_VALUE"""),421.09019)</f>
        <v>421.09019</v>
      </c>
    </row>
    <row r="2267">
      <c r="A2267" s="3">
        <f>IFERROR(__xludf.DUMMYFUNCTION("""COMPUTED_VALUE"""),42751.99861111111)</f>
        <v>42751.99861</v>
      </c>
      <c r="B2267" s="1">
        <f>IFERROR(__xludf.DUMMYFUNCTION("""COMPUTED_VALUE"""),420.89397)</f>
        <v>420.89397</v>
      </c>
    </row>
    <row r="2268">
      <c r="A2268" s="3">
        <f>IFERROR(__xludf.DUMMYFUNCTION("""COMPUTED_VALUE"""),42752.99861111111)</f>
        <v>42752.99861</v>
      </c>
      <c r="B2268" s="1">
        <f>IFERROR(__xludf.DUMMYFUNCTION("""COMPUTED_VALUE"""),423.74352)</f>
        <v>423.74352</v>
      </c>
    </row>
    <row r="2269">
      <c r="A2269" s="3">
        <f>IFERROR(__xludf.DUMMYFUNCTION("""COMPUTED_VALUE"""),42753.99861111111)</f>
        <v>42753.99861</v>
      </c>
      <c r="B2269" s="1">
        <f>IFERROR(__xludf.DUMMYFUNCTION("""COMPUTED_VALUE"""),423.0268)</f>
        <v>423.0268</v>
      </c>
    </row>
    <row r="2270">
      <c r="A2270" s="3">
        <f>IFERROR(__xludf.DUMMYFUNCTION("""COMPUTED_VALUE"""),42754.99861111111)</f>
        <v>42754.99861</v>
      </c>
      <c r="B2270" s="1">
        <f>IFERROR(__xludf.DUMMYFUNCTION("""COMPUTED_VALUE"""),423.14614)</f>
        <v>423.14614</v>
      </c>
    </row>
    <row r="2271">
      <c r="A2271" s="3">
        <f>IFERROR(__xludf.DUMMYFUNCTION("""COMPUTED_VALUE"""),42755.99861111111)</f>
        <v>42755.99861</v>
      </c>
      <c r="B2271" s="1">
        <f>IFERROR(__xludf.DUMMYFUNCTION("""COMPUTED_VALUE"""),424.69203)</f>
        <v>424.69203</v>
      </c>
    </row>
    <row r="2272">
      <c r="A2272" s="3">
        <f>IFERROR(__xludf.DUMMYFUNCTION("""COMPUTED_VALUE"""),42756.99861111111)</f>
        <v>42756.99861</v>
      </c>
      <c r="B2272" s="1">
        <f>IFERROR(__xludf.DUMMYFUNCTION("""COMPUTED_VALUE"""),424.5581)</f>
        <v>424.5581</v>
      </c>
    </row>
    <row r="2273">
      <c r="A2273" s="3">
        <f>IFERROR(__xludf.DUMMYFUNCTION("""COMPUTED_VALUE"""),42757.99861111111)</f>
        <v>42757.99861</v>
      </c>
      <c r="B2273" s="1">
        <f>IFERROR(__xludf.DUMMYFUNCTION("""COMPUTED_VALUE"""),424.83614)</f>
        <v>424.83614</v>
      </c>
    </row>
    <row r="2274">
      <c r="A2274" s="3">
        <f>IFERROR(__xludf.DUMMYFUNCTION("""COMPUTED_VALUE"""),42758.99861111111)</f>
        <v>42758.99861</v>
      </c>
      <c r="B2274" s="1">
        <f>IFERROR(__xludf.DUMMYFUNCTION("""COMPUTED_VALUE"""),424.371)</f>
        <v>424.371</v>
      </c>
    </row>
    <row r="2275">
      <c r="A2275" s="3">
        <f>IFERROR(__xludf.DUMMYFUNCTION("""COMPUTED_VALUE"""),42759.99861111111)</f>
        <v>42759.99861</v>
      </c>
      <c r="B2275" s="1">
        <f>IFERROR(__xludf.DUMMYFUNCTION("""COMPUTED_VALUE"""),425.20954)</f>
        <v>425.20954</v>
      </c>
    </row>
    <row r="2276">
      <c r="A2276" s="3">
        <f>IFERROR(__xludf.DUMMYFUNCTION("""COMPUTED_VALUE"""),42760.99861111111)</f>
        <v>42760.99861</v>
      </c>
      <c r="B2276" s="1">
        <f>IFERROR(__xludf.DUMMYFUNCTION("""COMPUTED_VALUE"""),425.04672)</f>
        <v>425.04672</v>
      </c>
    </row>
    <row r="2277">
      <c r="A2277" s="3">
        <f>IFERROR(__xludf.DUMMYFUNCTION("""COMPUTED_VALUE"""),42761.99861111111)</f>
        <v>42761.99861</v>
      </c>
      <c r="B2277" s="1">
        <f>IFERROR(__xludf.DUMMYFUNCTION("""COMPUTED_VALUE"""),426.77756)</f>
        <v>426.77756</v>
      </c>
    </row>
    <row r="2278">
      <c r="A2278" s="3">
        <f>IFERROR(__xludf.DUMMYFUNCTION("""COMPUTED_VALUE"""),42762.99861111111)</f>
        <v>42762.99861</v>
      </c>
      <c r="B2278" s="1">
        <f>IFERROR(__xludf.DUMMYFUNCTION("""COMPUTED_VALUE"""),425.95473)</f>
        <v>425.95473</v>
      </c>
    </row>
    <row r="2279">
      <c r="A2279" s="3">
        <f>IFERROR(__xludf.DUMMYFUNCTION("""COMPUTED_VALUE"""),42763.99861111111)</f>
        <v>42763.99861</v>
      </c>
      <c r="B2279" s="1">
        <f>IFERROR(__xludf.DUMMYFUNCTION("""COMPUTED_VALUE"""),412.7004126)</f>
        <v>412.7004126</v>
      </c>
    </row>
    <row r="2280">
      <c r="A2280" s="3">
        <f>IFERROR(__xludf.DUMMYFUNCTION("""COMPUTED_VALUE"""),42764.99861111111)</f>
        <v>42764.99861</v>
      </c>
      <c r="B2280" s="1">
        <f>IFERROR(__xludf.DUMMYFUNCTION("""COMPUTED_VALUE"""),422.4342)</f>
        <v>422.4342</v>
      </c>
    </row>
    <row r="2281">
      <c r="A2281" s="3">
        <f>IFERROR(__xludf.DUMMYFUNCTION("""COMPUTED_VALUE"""),42765.99861111111)</f>
        <v>42765.99861</v>
      </c>
      <c r="B2281" s="1">
        <f>IFERROR(__xludf.DUMMYFUNCTION("""COMPUTED_VALUE"""),424.68192)</f>
        <v>424.68192</v>
      </c>
    </row>
    <row r="2282">
      <c r="A2282" s="3">
        <f>IFERROR(__xludf.DUMMYFUNCTION("""COMPUTED_VALUE"""),42766.99861111111)</f>
        <v>42766.99861</v>
      </c>
      <c r="B2282" s="1">
        <f>IFERROR(__xludf.DUMMYFUNCTION("""COMPUTED_VALUE"""),425.7055)</f>
        <v>425.7055</v>
      </c>
    </row>
    <row r="2283">
      <c r="A2283" s="3">
        <f>IFERROR(__xludf.DUMMYFUNCTION("""COMPUTED_VALUE"""),42767.99861111111)</f>
        <v>42767.99861</v>
      </c>
      <c r="B2283" s="1">
        <f>IFERROR(__xludf.DUMMYFUNCTION("""COMPUTED_VALUE"""),426.7184)</f>
        <v>426.7184</v>
      </c>
    </row>
    <row r="2284">
      <c r="A2284" s="3">
        <f>IFERROR(__xludf.DUMMYFUNCTION("""COMPUTED_VALUE"""),42768.99861111111)</f>
        <v>42768.99861</v>
      </c>
      <c r="B2284" s="1">
        <f>IFERROR(__xludf.DUMMYFUNCTION("""COMPUTED_VALUE"""),428.94044)</f>
        <v>428.94044</v>
      </c>
    </row>
    <row r="2285">
      <c r="A2285" s="3">
        <f>IFERROR(__xludf.DUMMYFUNCTION("""COMPUTED_VALUE"""),42769.99861111111)</f>
        <v>42769.99861</v>
      </c>
      <c r="B2285" s="1">
        <f>IFERROR(__xludf.DUMMYFUNCTION("""COMPUTED_VALUE"""),418.45156)</f>
        <v>418.45156</v>
      </c>
    </row>
    <row r="2286">
      <c r="A2286" s="3">
        <f>IFERROR(__xludf.DUMMYFUNCTION("""COMPUTED_VALUE"""),42770.99861111111)</f>
        <v>42770.99861</v>
      </c>
      <c r="B2286" s="1">
        <f>IFERROR(__xludf.DUMMYFUNCTION("""COMPUTED_VALUE"""),418.9332286)</f>
        <v>418.9332286</v>
      </c>
    </row>
    <row r="2287">
      <c r="A2287" s="3">
        <f>IFERROR(__xludf.DUMMYFUNCTION("""COMPUTED_VALUE"""),42771.99861111111)</f>
        <v>42771.99861</v>
      </c>
      <c r="B2287" s="1">
        <f>IFERROR(__xludf.DUMMYFUNCTION("""COMPUTED_VALUE"""),431.88444)</f>
        <v>431.88444</v>
      </c>
    </row>
    <row r="2288">
      <c r="A2288" s="3">
        <f>IFERROR(__xludf.DUMMYFUNCTION("""COMPUTED_VALUE"""),42772.99861111111)</f>
        <v>42772.99861</v>
      </c>
      <c r="B2288" s="1">
        <f>IFERROR(__xludf.DUMMYFUNCTION("""COMPUTED_VALUE"""),430.56306)</f>
        <v>430.56306</v>
      </c>
    </row>
    <row r="2289">
      <c r="A2289" s="3">
        <f>IFERROR(__xludf.DUMMYFUNCTION("""COMPUTED_VALUE"""),42773.99861111111)</f>
        <v>42773.99861</v>
      </c>
      <c r="B2289" s="1">
        <f>IFERROR(__xludf.DUMMYFUNCTION("""COMPUTED_VALUE"""),428.582)</f>
        <v>428.582</v>
      </c>
    </row>
    <row r="2290">
      <c r="A2290" s="3">
        <f>IFERROR(__xludf.DUMMYFUNCTION("""COMPUTED_VALUE"""),42774.99861111111)</f>
        <v>42774.99861</v>
      </c>
      <c r="B2290" s="1">
        <f>IFERROR(__xludf.DUMMYFUNCTION("""COMPUTED_VALUE"""),427.12722)</f>
        <v>427.12722</v>
      </c>
    </row>
    <row r="2291">
      <c r="A2291" s="3">
        <f>IFERROR(__xludf.DUMMYFUNCTION("""COMPUTED_VALUE"""),42775.99861111111)</f>
        <v>42775.99861</v>
      </c>
      <c r="B2291" s="1">
        <f>IFERROR(__xludf.DUMMYFUNCTION("""COMPUTED_VALUE"""),428.00648)</f>
        <v>428.00648</v>
      </c>
    </row>
    <row r="2292">
      <c r="A2292" s="3">
        <f>IFERROR(__xludf.DUMMYFUNCTION("""COMPUTED_VALUE"""),42776.99861111111)</f>
        <v>42776.99861</v>
      </c>
      <c r="B2292" s="1">
        <f>IFERROR(__xludf.DUMMYFUNCTION("""COMPUTED_VALUE"""),428.81173)</f>
        <v>428.81173</v>
      </c>
    </row>
    <row r="2293">
      <c r="A2293" s="3">
        <f>IFERROR(__xludf.DUMMYFUNCTION("""COMPUTED_VALUE"""),42777.99861111111)</f>
        <v>42777.99861</v>
      </c>
      <c r="B2293" s="1">
        <f>IFERROR(__xludf.DUMMYFUNCTION("""COMPUTED_VALUE"""),417.4665623)</f>
        <v>417.4665623</v>
      </c>
    </row>
    <row r="2294">
      <c r="A2294" s="3">
        <f>IFERROR(__xludf.DUMMYFUNCTION("""COMPUTED_VALUE"""),42778.99861111111)</f>
        <v>42778.99861</v>
      </c>
      <c r="B2294" s="1">
        <f>IFERROR(__xludf.DUMMYFUNCTION("""COMPUTED_VALUE"""),430.4538)</f>
        <v>430.4538</v>
      </c>
    </row>
    <row r="2295">
      <c r="A2295" s="3">
        <f>IFERROR(__xludf.DUMMYFUNCTION("""COMPUTED_VALUE"""),42779.99861111111)</f>
        <v>42779.99861</v>
      </c>
      <c r="B2295" s="1">
        <f>IFERROR(__xludf.DUMMYFUNCTION("""COMPUTED_VALUE"""),429.26706)</f>
        <v>429.26706</v>
      </c>
    </row>
    <row r="2296">
      <c r="A2296" s="3">
        <f>IFERROR(__xludf.DUMMYFUNCTION("""COMPUTED_VALUE"""),42780.99861111111)</f>
        <v>42780.99861</v>
      </c>
      <c r="B2296" s="1">
        <f>IFERROR(__xludf.DUMMYFUNCTION("""COMPUTED_VALUE"""),432.66608)</f>
        <v>432.66608</v>
      </c>
    </row>
    <row r="2297">
      <c r="A2297" s="3">
        <f>IFERROR(__xludf.DUMMYFUNCTION("""COMPUTED_VALUE"""),42781.99861111111)</f>
        <v>42781.99861</v>
      </c>
      <c r="B2297" s="1">
        <f>IFERROR(__xludf.DUMMYFUNCTION("""COMPUTED_VALUE"""),432.63684)</f>
        <v>432.63684</v>
      </c>
    </row>
    <row r="2298">
      <c r="A2298" s="3">
        <f>IFERROR(__xludf.DUMMYFUNCTION("""COMPUTED_VALUE"""),42782.99861111111)</f>
        <v>42782.99861</v>
      </c>
      <c r="B2298" s="1">
        <f>IFERROR(__xludf.DUMMYFUNCTION("""COMPUTED_VALUE"""),432.39966)</f>
        <v>432.39966</v>
      </c>
    </row>
    <row r="2299">
      <c r="A2299" s="3">
        <f>IFERROR(__xludf.DUMMYFUNCTION("""COMPUTED_VALUE"""),42783.99861111111)</f>
        <v>42783.99861</v>
      </c>
      <c r="B2299" s="1">
        <f>IFERROR(__xludf.DUMMYFUNCTION("""COMPUTED_VALUE"""),433.35162)</f>
        <v>433.35162</v>
      </c>
    </row>
    <row r="2300">
      <c r="A2300" s="3">
        <f>IFERROR(__xludf.DUMMYFUNCTION("""COMPUTED_VALUE"""),42784.99861111111)</f>
        <v>42784.99861</v>
      </c>
      <c r="B2300" s="1">
        <f>IFERROR(__xludf.DUMMYFUNCTION("""COMPUTED_VALUE"""),418.4244142)</f>
        <v>418.4244142</v>
      </c>
    </row>
    <row r="2301">
      <c r="A2301" s="3">
        <f>IFERROR(__xludf.DUMMYFUNCTION("""COMPUTED_VALUE"""),42785.99861111111)</f>
        <v>42785.99861</v>
      </c>
      <c r="B2301" s="1">
        <f>IFERROR(__xludf.DUMMYFUNCTION("""COMPUTED_VALUE"""),431.6055)</f>
        <v>431.6055</v>
      </c>
    </row>
    <row r="2302">
      <c r="A2302" s="3">
        <f>IFERROR(__xludf.DUMMYFUNCTION("""COMPUTED_VALUE"""),42786.99861111111)</f>
        <v>42786.99861</v>
      </c>
      <c r="B2302" s="1">
        <f>IFERROR(__xludf.DUMMYFUNCTION("""COMPUTED_VALUE"""),433.11015)</f>
        <v>433.11015</v>
      </c>
    </row>
    <row r="2303">
      <c r="A2303" s="3">
        <f>IFERROR(__xludf.DUMMYFUNCTION("""COMPUTED_VALUE"""),42787.99861111111)</f>
        <v>42787.99861</v>
      </c>
      <c r="B2303" s="1">
        <f>IFERROR(__xludf.DUMMYFUNCTION("""COMPUTED_VALUE"""),433.73426)</f>
        <v>433.73426</v>
      </c>
    </row>
    <row r="2304">
      <c r="A2304" s="3">
        <f>IFERROR(__xludf.DUMMYFUNCTION("""COMPUTED_VALUE"""),42788.99861111111)</f>
        <v>42788.99861</v>
      </c>
      <c r="B2304" s="1">
        <f>IFERROR(__xludf.DUMMYFUNCTION("""COMPUTED_VALUE"""),433.08486)</f>
        <v>433.08486</v>
      </c>
    </row>
    <row r="2305">
      <c r="A2305" s="3">
        <f>IFERROR(__xludf.DUMMYFUNCTION("""COMPUTED_VALUE"""),42789.99861111111)</f>
        <v>42789.99861</v>
      </c>
      <c r="B2305" s="1">
        <f>IFERROR(__xludf.DUMMYFUNCTION("""COMPUTED_VALUE"""),433.329)</f>
        <v>433.329</v>
      </c>
    </row>
    <row r="2306">
      <c r="A2306" s="3">
        <f>IFERROR(__xludf.DUMMYFUNCTION("""COMPUTED_VALUE"""),42790.99861111111)</f>
        <v>42790.99861</v>
      </c>
      <c r="B2306" s="1">
        <f>IFERROR(__xludf.DUMMYFUNCTION("""COMPUTED_VALUE"""),434.59626)</f>
        <v>434.59626</v>
      </c>
    </row>
    <row r="2307">
      <c r="A2307" s="3">
        <f>IFERROR(__xludf.DUMMYFUNCTION("""COMPUTED_VALUE"""),42791.99861111111)</f>
        <v>42791.99861</v>
      </c>
      <c r="B2307" s="1">
        <f>IFERROR(__xludf.DUMMYFUNCTION("""COMPUTED_VALUE"""),434.46303)</f>
        <v>434.46303</v>
      </c>
    </row>
    <row r="2308">
      <c r="A2308" s="3">
        <f>IFERROR(__xludf.DUMMYFUNCTION("""COMPUTED_VALUE"""),42792.99861111111)</f>
        <v>42792.99861</v>
      </c>
      <c r="B2308" s="1">
        <f>IFERROR(__xludf.DUMMYFUNCTION("""COMPUTED_VALUE"""),434.22916)</f>
        <v>434.22916</v>
      </c>
    </row>
    <row r="2309">
      <c r="A2309" s="3">
        <f>IFERROR(__xludf.DUMMYFUNCTION("""COMPUTED_VALUE"""),42793.99861111111)</f>
        <v>42793.99861</v>
      </c>
      <c r="B2309" s="1">
        <f>IFERROR(__xludf.DUMMYFUNCTION("""COMPUTED_VALUE"""),435.11818)</f>
        <v>435.11818</v>
      </c>
    </row>
    <row r="2310">
      <c r="A2310" s="3">
        <f>IFERROR(__xludf.DUMMYFUNCTION("""COMPUTED_VALUE"""),42794.99861111111)</f>
        <v>42794.99861</v>
      </c>
      <c r="B2310" s="1">
        <f>IFERROR(__xludf.DUMMYFUNCTION("""COMPUTED_VALUE"""),436.68051)</f>
        <v>436.68051</v>
      </c>
    </row>
    <row r="2311">
      <c r="A2311" s="3">
        <f>IFERROR(__xludf.DUMMYFUNCTION("""COMPUTED_VALUE"""),42795.99861111111)</f>
        <v>42795.99861</v>
      </c>
      <c r="B2311" s="1">
        <f>IFERROR(__xludf.DUMMYFUNCTION("""COMPUTED_VALUE"""),434.97216)</f>
        <v>434.97216</v>
      </c>
    </row>
    <row r="2312">
      <c r="A2312" s="3">
        <f>IFERROR(__xludf.DUMMYFUNCTION("""COMPUTED_VALUE"""),42796.99861111111)</f>
        <v>42796.99861</v>
      </c>
      <c r="B2312" s="1">
        <f>IFERROR(__xludf.DUMMYFUNCTION("""COMPUTED_VALUE"""),433.95385)</f>
        <v>433.95385</v>
      </c>
    </row>
    <row r="2313">
      <c r="A2313" s="3">
        <f>IFERROR(__xludf.DUMMYFUNCTION("""COMPUTED_VALUE"""),42797.99861111111)</f>
        <v>42797.99861</v>
      </c>
      <c r="B2313" s="1">
        <f>IFERROR(__xludf.DUMMYFUNCTION("""COMPUTED_VALUE"""),429.17468)</f>
        <v>429.17468</v>
      </c>
    </row>
    <row r="2314">
      <c r="A2314" s="3">
        <f>IFERROR(__xludf.DUMMYFUNCTION("""COMPUTED_VALUE"""),42798.99861111111)</f>
        <v>42798.99861</v>
      </c>
      <c r="B2314" s="1">
        <f>IFERROR(__xludf.DUMMYFUNCTION("""COMPUTED_VALUE"""),420.3998949)</f>
        <v>420.3998949</v>
      </c>
    </row>
    <row r="2315">
      <c r="A2315" s="3">
        <f>IFERROR(__xludf.DUMMYFUNCTION("""COMPUTED_VALUE"""),42799.99861111111)</f>
        <v>42799.99861</v>
      </c>
      <c r="B2315" s="1">
        <f>IFERROR(__xludf.DUMMYFUNCTION("""COMPUTED_VALUE"""),429.14496)</f>
        <v>429.14496</v>
      </c>
    </row>
    <row r="2316">
      <c r="A2316" s="3">
        <f>IFERROR(__xludf.DUMMYFUNCTION("""COMPUTED_VALUE"""),42800.99861111111)</f>
        <v>42800.99861</v>
      </c>
      <c r="B2316" s="1">
        <f>IFERROR(__xludf.DUMMYFUNCTION("""COMPUTED_VALUE"""),430.41292)</f>
        <v>430.41292</v>
      </c>
    </row>
    <row r="2317">
      <c r="A2317" s="3">
        <f>IFERROR(__xludf.DUMMYFUNCTION("""COMPUTED_VALUE"""),42801.99861111111)</f>
        <v>42801.99861</v>
      </c>
      <c r="B2317" s="1">
        <f>IFERROR(__xludf.DUMMYFUNCTION("""COMPUTED_VALUE"""),431.95304)</f>
        <v>431.95304</v>
      </c>
    </row>
    <row r="2318">
      <c r="A2318" s="3">
        <f>IFERROR(__xludf.DUMMYFUNCTION("""COMPUTED_VALUE"""),42802.99861111111)</f>
        <v>42802.99861</v>
      </c>
      <c r="B2318" s="1">
        <f>IFERROR(__xludf.DUMMYFUNCTION("""COMPUTED_VALUE"""),432.98952)</f>
        <v>432.98952</v>
      </c>
    </row>
    <row r="2319">
      <c r="A2319" s="3">
        <f>IFERROR(__xludf.DUMMYFUNCTION("""COMPUTED_VALUE"""),42803.99861111111)</f>
        <v>42803.99861</v>
      </c>
      <c r="B2319" s="1">
        <f>IFERROR(__xludf.DUMMYFUNCTION("""COMPUTED_VALUE"""),431.97869)</f>
        <v>431.97869</v>
      </c>
    </row>
    <row r="2320">
      <c r="A2320" s="3">
        <f>IFERROR(__xludf.DUMMYFUNCTION("""COMPUTED_VALUE"""),42804.99861111111)</f>
        <v>42804.99861</v>
      </c>
      <c r="B2320" s="1">
        <f>IFERROR(__xludf.DUMMYFUNCTION("""COMPUTED_VALUE"""),429.97129)</f>
        <v>429.97129</v>
      </c>
    </row>
    <row r="2321">
      <c r="A2321" s="3">
        <f>IFERROR(__xludf.DUMMYFUNCTION("""COMPUTED_VALUE"""),42806.99861111111)</f>
        <v>42806.99861</v>
      </c>
      <c r="B2321" s="1">
        <f>IFERROR(__xludf.DUMMYFUNCTION("""COMPUTED_VALUE"""),429.7412)</f>
        <v>429.7412</v>
      </c>
    </row>
    <row r="2322">
      <c r="A2322" s="3">
        <f>IFERROR(__xludf.DUMMYFUNCTION("""COMPUTED_VALUE"""),42807.99861111111)</f>
        <v>42807.99861</v>
      </c>
      <c r="B2322" s="1">
        <f>IFERROR(__xludf.DUMMYFUNCTION("""COMPUTED_VALUE"""),432.04932)</f>
        <v>432.04932</v>
      </c>
    </row>
    <row r="2323">
      <c r="A2323" s="3">
        <f>IFERROR(__xludf.DUMMYFUNCTION("""COMPUTED_VALUE"""),42808.99861111111)</f>
        <v>42808.99861</v>
      </c>
      <c r="B2323" s="1">
        <f>IFERROR(__xludf.DUMMYFUNCTION("""COMPUTED_VALUE"""),432.2292)</f>
        <v>432.2292</v>
      </c>
    </row>
    <row r="2324">
      <c r="A2324" s="3">
        <f>IFERROR(__xludf.DUMMYFUNCTION("""COMPUTED_VALUE"""),42809.99861111111)</f>
        <v>42809.99861</v>
      </c>
      <c r="B2324" s="1">
        <f>IFERROR(__xludf.DUMMYFUNCTION("""COMPUTED_VALUE"""),432.85675)</f>
        <v>432.85675</v>
      </c>
    </row>
    <row r="2325">
      <c r="A2325" s="3">
        <f>IFERROR(__xludf.DUMMYFUNCTION("""COMPUTED_VALUE"""),42810.99861111111)</f>
        <v>42810.99861</v>
      </c>
      <c r="B2325" s="1">
        <f>IFERROR(__xludf.DUMMYFUNCTION("""COMPUTED_VALUE"""),432.22882)</f>
        <v>432.22882</v>
      </c>
    </row>
    <row r="2326">
      <c r="A2326" s="3">
        <f>IFERROR(__xludf.DUMMYFUNCTION("""COMPUTED_VALUE"""),42811.99861111111)</f>
        <v>42811.99861</v>
      </c>
      <c r="B2326" s="1">
        <f>IFERROR(__xludf.DUMMYFUNCTION("""COMPUTED_VALUE"""),435.4176)</f>
        <v>435.4176</v>
      </c>
    </row>
    <row r="2327">
      <c r="A2327" s="3">
        <f>IFERROR(__xludf.DUMMYFUNCTION("""COMPUTED_VALUE"""),42812.99861111111)</f>
        <v>42812.99861</v>
      </c>
      <c r="B2327" s="1">
        <f>IFERROR(__xludf.DUMMYFUNCTION("""COMPUTED_VALUE"""),436.7516)</f>
        <v>436.7516</v>
      </c>
    </row>
    <row r="2328">
      <c r="A2328" s="3">
        <f>IFERROR(__xludf.DUMMYFUNCTION("""COMPUTED_VALUE"""),42813.99861111111)</f>
        <v>42813.99861</v>
      </c>
      <c r="B2328" s="1">
        <f>IFERROR(__xludf.DUMMYFUNCTION("""COMPUTED_VALUE"""),436.4242)</f>
        <v>436.4242</v>
      </c>
    </row>
    <row r="2329">
      <c r="A2329" s="3">
        <f>IFERROR(__xludf.DUMMYFUNCTION("""COMPUTED_VALUE"""),42814.99861111111)</f>
        <v>42814.99861</v>
      </c>
      <c r="B2329" s="1">
        <f>IFERROR(__xludf.DUMMYFUNCTION("""COMPUTED_VALUE"""),436.623)</f>
        <v>436.623</v>
      </c>
    </row>
    <row r="2330">
      <c r="A2330" s="3">
        <f>IFERROR(__xludf.DUMMYFUNCTION("""COMPUTED_VALUE"""),42815.99861111111)</f>
        <v>42815.99861</v>
      </c>
      <c r="B2330" s="1">
        <f>IFERROR(__xludf.DUMMYFUNCTION("""COMPUTED_VALUE"""),436.76856)</f>
        <v>436.76856</v>
      </c>
    </row>
    <row r="2331">
      <c r="A2331" s="3">
        <f>IFERROR(__xludf.DUMMYFUNCTION("""COMPUTED_VALUE"""),42816.99861111111)</f>
        <v>42816.99861</v>
      </c>
      <c r="B2331" s="1">
        <f>IFERROR(__xludf.DUMMYFUNCTION("""COMPUTED_VALUE"""),436.99233)</f>
        <v>436.99233</v>
      </c>
    </row>
    <row r="2332">
      <c r="A2332" s="3">
        <f>IFERROR(__xludf.DUMMYFUNCTION("""COMPUTED_VALUE"""),42817.99861111111)</f>
        <v>42817.99861</v>
      </c>
      <c r="B2332" s="1">
        <f>IFERROR(__xludf.DUMMYFUNCTION("""COMPUTED_VALUE"""),436.8304)</f>
        <v>436.8304</v>
      </c>
    </row>
    <row r="2333">
      <c r="A2333" s="3">
        <f>IFERROR(__xludf.DUMMYFUNCTION("""COMPUTED_VALUE"""),42818.99861111111)</f>
        <v>42818.99861</v>
      </c>
      <c r="B2333" s="1">
        <f>IFERROR(__xludf.DUMMYFUNCTION("""COMPUTED_VALUE"""),436.0104)</f>
        <v>436.0104</v>
      </c>
    </row>
    <row r="2334">
      <c r="A2334" s="3">
        <f>IFERROR(__xludf.DUMMYFUNCTION("""COMPUTED_VALUE"""),42819.99861111111)</f>
        <v>42819.99861</v>
      </c>
      <c r="B2334" s="1">
        <f>IFERROR(__xludf.DUMMYFUNCTION("""COMPUTED_VALUE"""),437.87142)</f>
        <v>437.87142</v>
      </c>
    </row>
    <row r="2335">
      <c r="A2335" s="3">
        <f>IFERROR(__xludf.DUMMYFUNCTION("""COMPUTED_VALUE"""),42820.99861111111)</f>
        <v>42820.99861</v>
      </c>
      <c r="B2335" s="1">
        <f>IFERROR(__xludf.DUMMYFUNCTION("""COMPUTED_VALUE"""),438.7608)</f>
        <v>438.7608</v>
      </c>
    </row>
    <row r="2336">
      <c r="A2336" s="3">
        <f>IFERROR(__xludf.DUMMYFUNCTION("""COMPUTED_VALUE"""),42821.99861111111)</f>
        <v>42821.99861</v>
      </c>
      <c r="B2336" s="1">
        <f>IFERROR(__xludf.DUMMYFUNCTION("""COMPUTED_VALUE"""),439.8294)</f>
        <v>439.8294</v>
      </c>
    </row>
    <row r="2337">
      <c r="A2337" s="3">
        <f>IFERROR(__xludf.DUMMYFUNCTION("""COMPUTED_VALUE"""),42822.99861111111)</f>
        <v>42822.99861</v>
      </c>
      <c r="B2337" s="1">
        <f>IFERROR(__xludf.DUMMYFUNCTION("""COMPUTED_VALUE"""),441.19335)</f>
        <v>441.19335</v>
      </c>
    </row>
    <row r="2338">
      <c r="A2338" s="3">
        <f>IFERROR(__xludf.DUMMYFUNCTION("""COMPUTED_VALUE"""),42823.99861111111)</f>
        <v>42823.99861</v>
      </c>
      <c r="B2338" s="1">
        <f>IFERROR(__xludf.DUMMYFUNCTION("""COMPUTED_VALUE"""),439.13203)</f>
        <v>439.13203</v>
      </c>
    </row>
    <row r="2339">
      <c r="A2339" s="3">
        <f>IFERROR(__xludf.DUMMYFUNCTION("""COMPUTED_VALUE"""),42824.99861111111)</f>
        <v>42824.99861</v>
      </c>
      <c r="B2339" s="1">
        <f>IFERROR(__xludf.DUMMYFUNCTION("""COMPUTED_VALUE"""),438.46803)</f>
        <v>438.46803</v>
      </c>
    </row>
    <row r="2340">
      <c r="A2340" s="3">
        <f>IFERROR(__xludf.DUMMYFUNCTION("""COMPUTED_VALUE"""),42825.99861111111)</f>
        <v>42825.99861</v>
      </c>
      <c r="B2340" s="1">
        <f>IFERROR(__xludf.DUMMYFUNCTION("""COMPUTED_VALUE"""),438.92695)</f>
        <v>438.92695</v>
      </c>
    </row>
    <row r="2341">
      <c r="A2341" s="3">
        <f>IFERROR(__xludf.DUMMYFUNCTION("""COMPUTED_VALUE"""),42827.99861111111)</f>
        <v>42827.99861</v>
      </c>
      <c r="B2341" s="1">
        <f>IFERROR(__xludf.DUMMYFUNCTION("""COMPUTED_VALUE"""),439.38825)</f>
        <v>439.38825</v>
      </c>
    </row>
    <row r="2342">
      <c r="A2342" s="3">
        <f>IFERROR(__xludf.DUMMYFUNCTION("""COMPUTED_VALUE"""),42828.99861111111)</f>
        <v>42828.99861</v>
      </c>
      <c r="B2342" s="1">
        <f>IFERROR(__xludf.DUMMYFUNCTION("""COMPUTED_VALUE"""),437.96324)</f>
        <v>437.96324</v>
      </c>
    </row>
    <row r="2343">
      <c r="A2343" s="3">
        <f>IFERROR(__xludf.DUMMYFUNCTION("""COMPUTED_VALUE"""),42829.99861111111)</f>
        <v>42829.99861</v>
      </c>
      <c r="B2343" s="1">
        <f>IFERROR(__xludf.DUMMYFUNCTION("""COMPUTED_VALUE"""),437.15628)</f>
        <v>437.15628</v>
      </c>
    </row>
    <row r="2344">
      <c r="A2344" s="3">
        <f>IFERROR(__xludf.DUMMYFUNCTION("""COMPUTED_VALUE"""),42830.99861111111)</f>
        <v>42830.99861</v>
      </c>
      <c r="B2344" s="1">
        <f>IFERROR(__xludf.DUMMYFUNCTION("""COMPUTED_VALUE"""),438.19347)</f>
        <v>438.19347</v>
      </c>
    </row>
    <row r="2345">
      <c r="A2345" s="3">
        <f>IFERROR(__xludf.DUMMYFUNCTION("""COMPUTED_VALUE"""),42831.99861111111)</f>
        <v>42831.99861</v>
      </c>
      <c r="B2345" s="1">
        <f>IFERROR(__xludf.DUMMYFUNCTION("""COMPUTED_VALUE"""),436.91016)</f>
        <v>436.91016</v>
      </c>
    </row>
    <row r="2346">
      <c r="A2346" s="3">
        <f>IFERROR(__xludf.DUMMYFUNCTION("""COMPUTED_VALUE"""),42832.99861111111)</f>
        <v>42832.99861</v>
      </c>
      <c r="B2346" s="1">
        <f>IFERROR(__xludf.DUMMYFUNCTION("""COMPUTED_VALUE"""),435.5211)</f>
        <v>435.5211</v>
      </c>
    </row>
    <row r="2347">
      <c r="A2347" s="3">
        <f>IFERROR(__xludf.DUMMYFUNCTION("""COMPUTED_VALUE"""),42833.99861111111)</f>
        <v>42833.99861</v>
      </c>
      <c r="B2347" s="1">
        <f>IFERROR(__xludf.DUMMYFUNCTION("""COMPUTED_VALUE"""),422.0292193)</f>
        <v>422.0292193</v>
      </c>
    </row>
    <row r="2348">
      <c r="A2348" s="3">
        <f>IFERROR(__xludf.DUMMYFUNCTION("""COMPUTED_VALUE"""),42834.99861111111)</f>
        <v>42834.99861</v>
      </c>
      <c r="B2348" s="1">
        <f>IFERROR(__xludf.DUMMYFUNCTION("""COMPUTED_VALUE"""),436.62845)</f>
        <v>436.62845</v>
      </c>
    </row>
    <row r="2349">
      <c r="A2349" s="3">
        <f>IFERROR(__xludf.DUMMYFUNCTION("""COMPUTED_VALUE"""),42835.99861111111)</f>
        <v>42835.99861</v>
      </c>
      <c r="B2349" s="1">
        <f>IFERROR(__xludf.DUMMYFUNCTION("""COMPUTED_VALUE"""),432.90002)</f>
        <v>432.90002</v>
      </c>
    </row>
    <row r="2350">
      <c r="A2350" s="3">
        <f>IFERROR(__xludf.DUMMYFUNCTION("""COMPUTED_VALUE"""),42836.99861111111)</f>
        <v>42836.99861</v>
      </c>
      <c r="B2350" s="1">
        <f>IFERROR(__xludf.DUMMYFUNCTION("""COMPUTED_VALUE"""),433.55242)</f>
        <v>433.55242</v>
      </c>
    </row>
    <row r="2351">
      <c r="A2351" s="3">
        <f>IFERROR(__xludf.DUMMYFUNCTION("""COMPUTED_VALUE"""),42837.99861111111)</f>
        <v>42837.99861</v>
      </c>
      <c r="B2351" s="1">
        <f>IFERROR(__xludf.DUMMYFUNCTION("""COMPUTED_VALUE"""),436.68053)</f>
        <v>436.68053</v>
      </c>
    </row>
    <row r="2352">
      <c r="A2352" s="3">
        <f>IFERROR(__xludf.DUMMYFUNCTION("""COMPUTED_VALUE"""),42838.99861111111)</f>
        <v>42838.99861</v>
      </c>
      <c r="B2352" s="1">
        <f>IFERROR(__xludf.DUMMYFUNCTION("""COMPUTED_VALUE"""),437.57696)</f>
        <v>437.57696</v>
      </c>
    </row>
    <row r="2353">
      <c r="A2353" s="3">
        <f>IFERROR(__xludf.DUMMYFUNCTION("""COMPUTED_VALUE"""),42839.99861111111)</f>
        <v>42839.99861</v>
      </c>
      <c r="B2353" s="1">
        <f>IFERROR(__xludf.DUMMYFUNCTION("""COMPUTED_VALUE"""),436.81209)</f>
        <v>436.81209</v>
      </c>
    </row>
    <row r="2354">
      <c r="A2354" s="3">
        <f>IFERROR(__xludf.DUMMYFUNCTION("""COMPUTED_VALUE"""),42840.99861111111)</f>
        <v>42840.99861</v>
      </c>
      <c r="B2354" s="1">
        <f>IFERROR(__xludf.DUMMYFUNCTION("""COMPUTED_VALUE"""),436.84498)</f>
        <v>436.84498</v>
      </c>
    </row>
    <row r="2355">
      <c r="A2355" s="3">
        <f>IFERROR(__xludf.DUMMYFUNCTION("""COMPUTED_VALUE"""),42841.99861111111)</f>
        <v>42841.99861</v>
      </c>
      <c r="B2355" s="1">
        <f>IFERROR(__xludf.DUMMYFUNCTION("""COMPUTED_VALUE"""),436.87656)</f>
        <v>436.87656</v>
      </c>
    </row>
    <row r="2356">
      <c r="A2356" s="3">
        <f>IFERROR(__xludf.DUMMYFUNCTION("""COMPUTED_VALUE"""),42842.99861111111)</f>
        <v>42842.99861</v>
      </c>
      <c r="B2356" s="1">
        <f>IFERROR(__xludf.DUMMYFUNCTION("""COMPUTED_VALUE"""),437.41026)</f>
        <v>437.41026</v>
      </c>
    </row>
    <row r="2357">
      <c r="A2357" s="3">
        <f>IFERROR(__xludf.DUMMYFUNCTION("""COMPUTED_VALUE"""),42843.99861111111)</f>
        <v>42843.99861</v>
      </c>
      <c r="B2357" s="1">
        <f>IFERROR(__xludf.DUMMYFUNCTION("""COMPUTED_VALUE"""),437.17248)</f>
        <v>437.17248</v>
      </c>
    </row>
    <row r="2358">
      <c r="A2358" s="3">
        <f>IFERROR(__xludf.DUMMYFUNCTION("""COMPUTED_VALUE"""),42844.99861111111)</f>
        <v>42844.99861</v>
      </c>
      <c r="B2358" s="1">
        <f>IFERROR(__xludf.DUMMYFUNCTION("""COMPUTED_VALUE"""),438.45098)</f>
        <v>438.45098</v>
      </c>
    </row>
    <row r="2359">
      <c r="A2359" s="3">
        <f>IFERROR(__xludf.DUMMYFUNCTION("""COMPUTED_VALUE"""),42845.99861111111)</f>
        <v>42845.99861</v>
      </c>
      <c r="B2359" s="1">
        <f>IFERROR(__xludf.DUMMYFUNCTION("""COMPUTED_VALUE"""),437.72979)</f>
        <v>437.72979</v>
      </c>
    </row>
    <row r="2360">
      <c r="A2360" s="3">
        <f>IFERROR(__xludf.DUMMYFUNCTION("""COMPUTED_VALUE"""),42846.99861111111)</f>
        <v>42846.99861</v>
      </c>
      <c r="B2360" s="1">
        <f>IFERROR(__xludf.DUMMYFUNCTION("""COMPUTED_VALUE"""),437.70556)</f>
        <v>437.70556</v>
      </c>
    </row>
    <row r="2361">
      <c r="A2361" s="3">
        <f>IFERROR(__xludf.DUMMYFUNCTION("""COMPUTED_VALUE"""),42848.99861111111)</f>
        <v>42848.99861</v>
      </c>
      <c r="B2361" s="1">
        <f>IFERROR(__xludf.DUMMYFUNCTION("""COMPUTED_VALUE"""),431.54765)</f>
        <v>431.54765</v>
      </c>
    </row>
    <row r="2362">
      <c r="A2362" s="3">
        <f>IFERROR(__xludf.DUMMYFUNCTION("""COMPUTED_VALUE"""),42849.99861111111)</f>
        <v>42849.99861</v>
      </c>
      <c r="B2362" s="1">
        <f>IFERROR(__xludf.DUMMYFUNCTION("""COMPUTED_VALUE"""),433.35448)</f>
        <v>433.35448</v>
      </c>
    </row>
    <row r="2363">
      <c r="A2363" s="3">
        <f>IFERROR(__xludf.DUMMYFUNCTION("""COMPUTED_VALUE"""),42850.99861111111)</f>
        <v>42850.99861</v>
      </c>
      <c r="B2363" s="1">
        <f>IFERROR(__xludf.DUMMYFUNCTION("""COMPUTED_VALUE"""),441.12748)</f>
        <v>441.12748</v>
      </c>
    </row>
    <row r="2364">
      <c r="A2364" s="3">
        <f>IFERROR(__xludf.DUMMYFUNCTION("""COMPUTED_VALUE"""),42851.99861111111)</f>
        <v>42851.99861</v>
      </c>
      <c r="B2364" s="1">
        <f>IFERROR(__xludf.DUMMYFUNCTION("""COMPUTED_VALUE"""),439.99998)</f>
        <v>439.99998</v>
      </c>
    </row>
    <row r="2365">
      <c r="A2365" s="3">
        <f>IFERROR(__xludf.DUMMYFUNCTION("""COMPUTED_VALUE"""),42852.99861111111)</f>
        <v>42852.99861</v>
      </c>
      <c r="B2365" s="1">
        <f>IFERROR(__xludf.DUMMYFUNCTION("""COMPUTED_VALUE"""),442.45214)</f>
        <v>442.45214</v>
      </c>
    </row>
    <row r="2366">
      <c r="A2366" s="3">
        <f>IFERROR(__xludf.DUMMYFUNCTION("""COMPUTED_VALUE"""),42853.99861111111)</f>
        <v>42853.99861</v>
      </c>
      <c r="B2366" s="1">
        <f>IFERROR(__xludf.DUMMYFUNCTION("""COMPUTED_VALUE"""),441.55296)</f>
        <v>441.55296</v>
      </c>
    </row>
    <row r="2367">
      <c r="A2367" s="3">
        <f>IFERROR(__xludf.DUMMYFUNCTION("""COMPUTED_VALUE"""),42854.99861111111)</f>
        <v>42854.99861</v>
      </c>
      <c r="B2367" s="1">
        <f>IFERROR(__xludf.DUMMYFUNCTION("""COMPUTED_VALUE"""),427.1026487)</f>
        <v>427.1026487</v>
      </c>
    </row>
    <row r="2368">
      <c r="A2368" s="3">
        <f>IFERROR(__xludf.DUMMYFUNCTION("""COMPUTED_VALUE"""),42855.99861111111)</f>
        <v>42855.99861</v>
      </c>
      <c r="B2368" s="1">
        <f>IFERROR(__xludf.DUMMYFUNCTION("""COMPUTED_VALUE"""),440.82498)</f>
        <v>440.82498</v>
      </c>
    </row>
    <row r="2369">
      <c r="A2369" s="3">
        <f>IFERROR(__xludf.DUMMYFUNCTION("""COMPUTED_VALUE"""),42856.99861111111)</f>
        <v>42856.99861</v>
      </c>
      <c r="B2369" s="1">
        <f>IFERROR(__xludf.DUMMYFUNCTION("""COMPUTED_VALUE"""),440.92425)</f>
        <v>440.92425</v>
      </c>
    </row>
    <row r="2370">
      <c r="A2370" s="3">
        <f>IFERROR(__xludf.DUMMYFUNCTION("""COMPUTED_VALUE"""),42857.99861111111)</f>
        <v>42857.99861</v>
      </c>
      <c r="B2370" s="1">
        <f>IFERROR(__xludf.DUMMYFUNCTION("""COMPUTED_VALUE"""),442.1917)</f>
        <v>442.1917</v>
      </c>
    </row>
    <row r="2371">
      <c r="A2371" s="3">
        <f>IFERROR(__xludf.DUMMYFUNCTION("""COMPUTED_VALUE"""),42858.99861111111)</f>
        <v>42858.99861</v>
      </c>
      <c r="B2371" s="1">
        <f>IFERROR(__xludf.DUMMYFUNCTION("""COMPUTED_VALUE"""),442.358)</f>
        <v>442.358</v>
      </c>
    </row>
    <row r="2372">
      <c r="A2372" s="3">
        <f>IFERROR(__xludf.DUMMYFUNCTION("""COMPUTED_VALUE"""),42859.99861111111)</f>
        <v>42859.99861</v>
      </c>
      <c r="B2372" s="1">
        <f>IFERROR(__xludf.DUMMYFUNCTION("""COMPUTED_VALUE"""),442.4878)</f>
        <v>442.4878</v>
      </c>
    </row>
    <row r="2373">
      <c r="A2373" s="3">
        <f>IFERROR(__xludf.DUMMYFUNCTION("""COMPUTED_VALUE"""),42860.99861111111)</f>
        <v>42860.99861</v>
      </c>
      <c r="B2373" s="1">
        <f>IFERROR(__xludf.DUMMYFUNCTION("""COMPUTED_VALUE"""),440.9928)</f>
        <v>440.9928</v>
      </c>
    </row>
    <row r="2374">
      <c r="A2374" s="3">
        <f>IFERROR(__xludf.DUMMYFUNCTION("""COMPUTED_VALUE"""),42863.99861111111)</f>
        <v>42863.99861</v>
      </c>
      <c r="B2374" s="1">
        <f>IFERROR(__xludf.DUMMYFUNCTION("""COMPUTED_VALUE"""),441.55736)</f>
        <v>441.55736</v>
      </c>
    </row>
    <row r="2375">
      <c r="A2375" s="3">
        <f>IFERROR(__xludf.DUMMYFUNCTION("""COMPUTED_VALUE"""),42864.99861111111)</f>
        <v>42864.99861</v>
      </c>
      <c r="B2375" s="1">
        <f>IFERROR(__xludf.DUMMYFUNCTION("""COMPUTED_VALUE"""),441.38136)</f>
        <v>441.38136</v>
      </c>
    </row>
    <row r="2376">
      <c r="A2376" s="3">
        <f>IFERROR(__xludf.DUMMYFUNCTION("""COMPUTED_VALUE"""),42865.99861111111)</f>
        <v>42865.99861</v>
      </c>
      <c r="B2376" s="1">
        <f>IFERROR(__xludf.DUMMYFUNCTION("""COMPUTED_VALUE"""),441.04959)</f>
        <v>441.04959</v>
      </c>
    </row>
    <row r="2377">
      <c r="A2377" s="3">
        <f>IFERROR(__xludf.DUMMYFUNCTION("""COMPUTED_VALUE"""),42866.99861111111)</f>
        <v>42866.99861</v>
      </c>
      <c r="B2377" s="1">
        <f>IFERROR(__xludf.DUMMYFUNCTION("""COMPUTED_VALUE"""),440.49408)</f>
        <v>440.49408</v>
      </c>
    </row>
    <row r="2378">
      <c r="A2378" s="3">
        <f>IFERROR(__xludf.DUMMYFUNCTION("""COMPUTED_VALUE"""),42867.99861111111)</f>
        <v>42867.99861</v>
      </c>
      <c r="B2378" s="1">
        <f>IFERROR(__xludf.DUMMYFUNCTION("""COMPUTED_VALUE"""),440.85965)</f>
        <v>440.85965</v>
      </c>
    </row>
    <row r="2379">
      <c r="A2379" s="3">
        <f>IFERROR(__xludf.DUMMYFUNCTION("""COMPUTED_VALUE"""),42869.99861111111)</f>
        <v>42869.99861</v>
      </c>
      <c r="B2379" s="1">
        <f>IFERROR(__xludf.DUMMYFUNCTION("""COMPUTED_VALUE"""),441.65745)</f>
        <v>441.65745</v>
      </c>
    </row>
    <row r="2380">
      <c r="A2380" s="3">
        <f>IFERROR(__xludf.DUMMYFUNCTION("""COMPUTED_VALUE"""),42870.99861111111)</f>
        <v>42870.99861</v>
      </c>
      <c r="B2380" s="1">
        <f>IFERROR(__xludf.DUMMYFUNCTION("""COMPUTED_VALUE"""),441.8591)</f>
        <v>441.8591</v>
      </c>
    </row>
    <row r="2381">
      <c r="A2381" s="3">
        <f>IFERROR(__xludf.DUMMYFUNCTION("""COMPUTED_VALUE"""),42871.99861111111)</f>
        <v>42871.99861</v>
      </c>
      <c r="B2381" s="1">
        <f>IFERROR(__xludf.DUMMYFUNCTION("""COMPUTED_VALUE"""),440.56406)</f>
        <v>440.56406</v>
      </c>
    </row>
    <row r="2382">
      <c r="A2382" s="3">
        <f>IFERROR(__xludf.DUMMYFUNCTION("""COMPUTED_VALUE"""),42872.99861111111)</f>
        <v>42872.99861</v>
      </c>
      <c r="B2382" s="1">
        <f>IFERROR(__xludf.DUMMYFUNCTION("""COMPUTED_VALUE"""),441.75806)</f>
        <v>441.75806</v>
      </c>
    </row>
    <row r="2383">
      <c r="A2383" s="3">
        <f>IFERROR(__xludf.DUMMYFUNCTION("""COMPUTED_VALUE"""),42873.99861111111)</f>
        <v>42873.99861</v>
      </c>
      <c r="B2383" s="1">
        <f>IFERROR(__xludf.DUMMYFUNCTION("""COMPUTED_VALUE"""),443.23892)</f>
        <v>443.23892</v>
      </c>
    </row>
    <row r="2384">
      <c r="A2384" s="3">
        <f>IFERROR(__xludf.DUMMYFUNCTION("""COMPUTED_VALUE"""),42874.99861111111)</f>
        <v>42874.99861</v>
      </c>
      <c r="B2384" s="1">
        <f>IFERROR(__xludf.DUMMYFUNCTION("""COMPUTED_VALUE"""),441.09142)</f>
        <v>441.09142</v>
      </c>
    </row>
    <row r="2385">
      <c r="A2385" s="3">
        <f>IFERROR(__xludf.DUMMYFUNCTION("""COMPUTED_VALUE"""),42875.99861111111)</f>
        <v>42875.99861</v>
      </c>
      <c r="B2385" s="1">
        <f>IFERROR(__xludf.DUMMYFUNCTION("""COMPUTED_VALUE"""),432.6665585)</f>
        <v>432.6665585</v>
      </c>
    </row>
    <row r="2386">
      <c r="A2386" s="3">
        <f>IFERROR(__xludf.DUMMYFUNCTION("""COMPUTED_VALUE"""),42876.99861111111)</f>
        <v>42876.99861</v>
      </c>
      <c r="B2386" s="1">
        <f>IFERROR(__xludf.DUMMYFUNCTION("""COMPUTED_VALUE"""),443.95568)</f>
        <v>443.95568</v>
      </c>
    </row>
    <row r="2387">
      <c r="A2387" s="3">
        <f>IFERROR(__xludf.DUMMYFUNCTION("""COMPUTED_VALUE"""),42877.99861111111)</f>
        <v>42877.99861</v>
      </c>
      <c r="B2387" s="1">
        <f>IFERROR(__xludf.DUMMYFUNCTION("""COMPUTED_VALUE"""),442.22496)</f>
        <v>442.22496</v>
      </c>
    </row>
    <row r="2388">
      <c r="A2388" s="3">
        <f>IFERROR(__xludf.DUMMYFUNCTION("""COMPUTED_VALUE"""),42878.99861111111)</f>
        <v>42878.99861</v>
      </c>
      <c r="B2388" s="1">
        <f>IFERROR(__xludf.DUMMYFUNCTION("""COMPUTED_VALUE"""),440.7624)</f>
        <v>440.7624</v>
      </c>
    </row>
    <row r="2389">
      <c r="A2389" s="3">
        <f>IFERROR(__xludf.DUMMYFUNCTION("""COMPUTED_VALUE"""),42879.99861111111)</f>
        <v>42879.99861</v>
      </c>
      <c r="B2389" s="1">
        <f>IFERROR(__xludf.DUMMYFUNCTION("""COMPUTED_VALUE"""),440.69526)</f>
        <v>440.69526</v>
      </c>
    </row>
    <row r="2390">
      <c r="A2390" s="3">
        <f>IFERROR(__xludf.DUMMYFUNCTION("""COMPUTED_VALUE"""),42880.99861111111)</f>
        <v>42880.99861</v>
      </c>
      <c r="B2390" s="1">
        <f>IFERROR(__xludf.DUMMYFUNCTION("""COMPUTED_VALUE"""),442.02546)</f>
        <v>442.02546</v>
      </c>
    </row>
    <row r="2391">
      <c r="A2391" s="3">
        <f>IFERROR(__xludf.DUMMYFUNCTION("""COMPUTED_VALUE"""),42881.99861111111)</f>
        <v>42881.99861</v>
      </c>
      <c r="B2391" s="1">
        <f>IFERROR(__xludf.DUMMYFUNCTION("""COMPUTED_VALUE"""),441.26105)</f>
        <v>441.26105</v>
      </c>
    </row>
    <row r="2392">
      <c r="A2392" s="3">
        <f>IFERROR(__xludf.DUMMYFUNCTION("""COMPUTED_VALUE"""),42882.99861111111)</f>
        <v>42882.99861</v>
      </c>
      <c r="B2392" s="1">
        <f>IFERROR(__xludf.DUMMYFUNCTION("""COMPUTED_VALUE"""),441.02872)</f>
        <v>441.02872</v>
      </c>
    </row>
    <row r="2393">
      <c r="A2393" s="3">
        <f>IFERROR(__xludf.DUMMYFUNCTION("""COMPUTED_VALUE"""),42883.99861111111)</f>
        <v>42883.99861</v>
      </c>
      <c r="B2393" s="1">
        <f>IFERROR(__xludf.DUMMYFUNCTION("""COMPUTED_VALUE"""),441.02872)</f>
        <v>441.02872</v>
      </c>
    </row>
    <row r="2394">
      <c r="A2394" s="3">
        <f>IFERROR(__xludf.DUMMYFUNCTION("""COMPUTED_VALUE"""),42884.99861111111)</f>
        <v>42884.99861</v>
      </c>
      <c r="B2394" s="1">
        <f>IFERROR(__xludf.DUMMYFUNCTION("""COMPUTED_VALUE"""),442.058)</f>
        <v>442.058</v>
      </c>
    </row>
    <row r="2395">
      <c r="A2395" s="3">
        <f>IFERROR(__xludf.DUMMYFUNCTION("""COMPUTED_VALUE"""),42885.99861111111)</f>
        <v>42885.99861</v>
      </c>
      <c r="B2395" s="1">
        <f>IFERROR(__xludf.DUMMYFUNCTION("""COMPUTED_VALUE"""),442.32399)</f>
        <v>442.32399</v>
      </c>
    </row>
    <row r="2396">
      <c r="A2396" s="3">
        <f>IFERROR(__xludf.DUMMYFUNCTION("""COMPUTED_VALUE"""),42886.99861111111)</f>
        <v>42886.99861</v>
      </c>
      <c r="B2396" s="1">
        <f>IFERROR(__xludf.DUMMYFUNCTION("""COMPUTED_VALUE"""),441.49374)</f>
        <v>441.49374</v>
      </c>
    </row>
    <row r="2397">
      <c r="A2397" s="3">
        <f>IFERROR(__xludf.DUMMYFUNCTION("""COMPUTED_VALUE"""),42887.99861111111)</f>
        <v>42887.99861</v>
      </c>
      <c r="B2397" s="1">
        <f>IFERROR(__xludf.DUMMYFUNCTION("""COMPUTED_VALUE"""),441.1616)</f>
        <v>441.1616</v>
      </c>
    </row>
    <row r="2398">
      <c r="A2398" s="3">
        <f>IFERROR(__xludf.DUMMYFUNCTION("""COMPUTED_VALUE"""),42888.99861111111)</f>
        <v>42888.99861</v>
      </c>
      <c r="B2398" s="1">
        <f>IFERROR(__xludf.DUMMYFUNCTION("""COMPUTED_VALUE"""),441.22806)</f>
        <v>441.22806</v>
      </c>
    </row>
    <row r="2399">
      <c r="A2399" s="3">
        <f>IFERROR(__xludf.DUMMYFUNCTION("""COMPUTED_VALUE"""),42889.99861111111)</f>
        <v>42889.99861</v>
      </c>
      <c r="B2399" s="1">
        <f>IFERROR(__xludf.DUMMYFUNCTION("""COMPUTED_VALUE"""),441.6928)</f>
        <v>441.6928</v>
      </c>
    </row>
    <row r="2400">
      <c r="A2400" s="3">
        <f>IFERROR(__xludf.DUMMYFUNCTION("""COMPUTED_VALUE"""),42890.99861111111)</f>
        <v>42890.99861</v>
      </c>
      <c r="B2400" s="1">
        <f>IFERROR(__xludf.DUMMYFUNCTION("""COMPUTED_VALUE"""),441.6928)</f>
        <v>441.6928</v>
      </c>
    </row>
    <row r="2401">
      <c r="A2401" s="3">
        <f>IFERROR(__xludf.DUMMYFUNCTION("""COMPUTED_VALUE"""),42891.99861111111)</f>
        <v>42891.99861</v>
      </c>
      <c r="B2401" s="1">
        <f>IFERROR(__xludf.DUMMYFUNCTION("""COMPUTED_VALUE"""),441.26126)</f>
        <v>441.26126</v>
      </c>
    </row>
    <row r="2402">
      <c r="A2402" s="3">
        <f>IFERROR(__xludf.DUMMYFUNCTION("""COMPUTED_VALUE"""),42892.99861111111)</f>
        <v>42892.99861</v>
      </c>
      <c r="B2402" s="1">
        <f>IFERROR(__xludf.DUMMYFUNCTION("""COMPUTED_VALUE"""),440.46398)</f>
        <v>440.46398</v>
      </c>
    </row>
    <row r="2403">
      <c r="A2403" s="3">
        <f>IFERROR(__xludf.DUMMYFUNCTION("""COMPUTED_VALUE"""),42893.99861111111)</f>
        <v>42893.99861</v>
      </c>
      <c r="B2403" s="1">
        <f>IFERROR(__xludf.DUMMYFUNCTION("""COMPUTED_VALUE"""),440.92656)</f>
        <v>440.92656</v>
      </c>
    </row>
    <row r="2404">
      <c r="A2404" s="3">
        <f>IFERROR(__xludf.DUMMYFUNCTION("""COMPUTED_VALUE"""),42894.99861111111)</f>
        <v>42894.99861</v>
      </c>
      <c r="B2404" s="1">
        <f>IFERROR(__xludf.DUMMYFUNCTION("""COMPUTED_VALUE"""),441.3276)</f>
        <v>441.3276</v>
      </c>
    </row>
    <row r="2405">
      <c r="A2405" s="3">
        <f>IFERROR(__xludf.DUMMYFUNCTION("""COMPUTED_VALUE"""),42895.99861111111)</f>
        <v>42895.99861</v>
      </c>
      <c r="B2405" s="1">
        <f>IFERROR(__xludf.DUMMYFUNCTION("""COMPUTED_VALUE"""),441.46058)</f>
        <v>441.46058</v>
      </c>
    </row>
    <row r="2406">
      <c r="A2406" s="3">
        <f>IFERROR(__xludf.DUMMYFUNCTION("""COMPUTED_VALUE"""),42896.99861111111)</f>
        <v>42896.99861</v>
      </c>
      <c r="B2406" s="1">
        <f>IFERROR(__xludf.DUMMYFUNCTION("""COMPUTED_VALUE"""),440.9292)</f>
        <v>440.9292</v>
      </c>
    </row>
    <row r="2407">
      <c r="A2407" s="3">
        <f>IFERROR(__xludf.DUMMYFUNCTION("""COMPUTED_VALUE"""),42897.99861111111)</f>
        <v>42897.99861</v>
      </c>
      <c r="B2407" s="1">
        <f>IFERROR(__xludf.DUMMYFUNCTION("""COMPUTED_VALUE"""),440.19745)</f>
        <v>440.19745</v>
      </c>
    </row>
    <row r="2408">
      <c r="A2408" s="3">
        <f>IFERROR(__xludf.DUMMYFUNCTION("""COMPUTED_VALUE"""),42898.99861111111)</f>
        <v>42898.99861</v>
      </c>
      <c r="B2408" s="1">
        <f>IFERROR(__xludf.DUMMYFUNCTION("""COMPUTED_VALUE"""),441.09282)</f>
        <v>441.09282</v>
      </c>
    </row>
    <row r="2409">
      <c r="A2409" s="3">
        <f>IFERROR(__xludf.DUMMYFUNCTION("""COMPUTED_VALUE"""),42899.99861111111)</f>
        <v>42899.99861</v>
      </c>
      <c r="B2409" s="1">
        <f>IFERROR(__xludf.DUMMYFUNCTION("""COMPUTED_VALUE"""),439.23574)</f>
        <v>439.23574</v>
      </c>
    </row>
    <row r="2410">
      <c r="A2410" s="3">
        <f>IFERROR(__xludf.DUMMYFUNCTION("""COMPUTED_VALUE"""),42900.99861111111)</f>
        <v>42900.99861</v>
      </c>
      <c r="B2410" s="1">
        <f>IFERROR(__xludf.DUMMYFUNCTION("""COMPUTED_VALUE"""),439.50088)</f>
        <v>439.50088</v>
      </c>
    </row>
    <row r="2411">
      <c r="A2411" s="3">
        <f>IFERROR(__xludf.DUMMYFUNCTION("""COMPUTED_VALUE"""),42901.99861111111)</f>
        <v>42901.99861</v>
      </c>
      <c r="B2411" s="1">
        <f>IFERROR(__xludf.DUMMYFUNCTION("""COMPUTED_VALUE"""),439.3667)</f>
        <v>439.3667</v>
      </c>
    </row>
    <row r="2412">
      <c r="A2412" s="3">
        <f>IFERROR(__xludf.DUMMYFUNCTION("""COMPUTED_VALUE"""),42902.99861111111)</f>
        <v>42902.99861</v>
      </c>
      <c r="B2412" s="1">
        <f>IFERROR(__xludf.DUMMYFUNCTION("""COMPUTED_VALUE"""),437.5068)</f>
        <v>437.5068</v>
      </c>
    </row>
    <row r="2413">
      <c r="A2413" s="3">
        <f>IFERROR(__xludf.DUMMYFUNCTION("""COMPUTED_VALUE"""),42903.99861111111)</f>
        <v>42903.99861</v>
      </c>
      <c r="B2413" s="1">
        <f>IFERROR(__xludf.DUMMYFUNCTION("""COMPUTED_VALUE"""),437.44096)</f>
        <v>437.44096</v>
      </c>
    </row>
    <row r="2414">
      <c r="A2414" s="3">
        <f>IFERROR(__xludf.DUMMYFUNCTION("""COMPUTED_VALUE"""),42904.99861111111)</f>
        <v>42904.99861</v>
      </c>
      <c r="B2414" s="1">
        <f>IFERROR(__xludf.DUMMYFUNCTION("""COMPUTED_VALUE"""),437.47715)</f>
        <v>437.47715</v>
      </c>
    </row>
    <row r="2415">
      <c r="A2415" s="3">
        <f>IFERROR(__xludf.DUMMYFUNCTION("""COMPUTED_VALUE"""),42905.99861111111)</f>
        <v>42905.99861</v>
      </c>
      <c r="B2415" s="1">
        <f>IFERROR(__xludf.DUMMYFUNCTION("""COMPUTED_VALUE"""),437.24226)</f>
        <v>437.24226</v>
      </c>
    </row>
    <row r="2416">
      <c r="A2416" s="3">
        <f>IFERROR(__xludf.DUMMYFUNCTION("""COMPUTED_VALUE"""),42906.99861111111)</f>
        <v>42906.99861</v>
      </c>
      <c r="B2416" s="1">
        <f>IFERROR(__xludf.DUMMYFUNCTION("""COMPUTED_VALUE"""),435.81189)</f>
        <v>435.81189</v>
      </c>
    </row>
    <row r="2417">
      <c r="A2417" s="3">
        <f>IFERROR(__xludf.DUMMYFUNCTION("""COMPUTED_VALUE"""),42907.99861111111)</f>
        <v>42907.99861</v>
      </c>
      <c r="B2417" s="1">
        <f>IFERROR(__xludf.DUMMYFUNCTION("""COMPUTED_VALUE"""),436.53882)</f>
        <v>436.53882</v>
      </c>
    </row>
    <row r="2418">
      <c r="A2418" s="3">
        <f>IFERROR(__xludf.DUMMYFUNCTION("""COMPUTED_VALUE"""),42908.99861111111)</f>
        <v>42908.99861</v>
      </c>
      <c r="B2418" s="1">
        <f>IFERROR(__xludf.DUMMYFUNCTION("""COMPUTED_VALUE"""),437.98503)</f>
        <v>437.98503</v>
      </c>
    </row>
    <row r="2419">
      <c r="A2419" s="3">
        <f>IFERROR(__xludf.DUMMYFUNCTION("""COMPUTED_VALUE"""),42909.99861111111)</f>
        <v>42909.99861</v>
      </c>
      <c r="B2419" s="1">
        <f>IFERROR(__xludf.DUMMYFUNCTION("""COMPUTED_VALUE"""),437.8661)</f>
        <v>437.8661</v>
      </c>
    </row>
    <row r="2420">
      <c r="A2420" s="3">
        <f>IFERROR(__xludf.DUMMYFUNCTION("""COMPUTED_VALUE"""),42910.99861111111)</f>
        <v>42910.99861</v>
      </c>
      <c r="B2420" s="1">
        <f>IFERROR(__xludf.DUMMYFUNCTION("""COMPUTED_VALUE"""),427.429797)</f>
        <v>427.429797</v>
      </c>
    </row>
    <row r="2421">
      <c r="A2421" s="3">
        <f>IFERROR(__xludf.DUMMYFUNCTION("""COMPUTED_VALUE"""),42911.99861111111)</f>
        <v>42911.99861</v>
      </c>
      <c r="B2421" s="1">
        <f>IFERROR(__xludf.DUMMYFUNCTION("""COMPUTED_VALUE"""),438.77052)</f>
        <v>438.77052</v>
      </c>
    </row>
    <row r="2422">
      <c r="A2422" s="3">
        <f>IFERROR(__xludf.DUMMYFUNCTION("""COMPUTED_VALUE"""),42912.99861111111)</f>
        <v>42912.99861</v>
      </c>
      <c r="B2422" s="1">
        <f>IFERROR(__xludf.DUMMYFUNCTION("""COMPUTED_VALUE"""),438.96128)</f>
        <v>438.96128</v>
      </c>
    </row>
    <row r="2423">
      <c r="A2423" s="3">
        <f>IFERROR(__xludf.DUMMYFUNCTION("""COMPUTED_VALUE"""),42913.99861111111)</f>
        <v>42913.99861</v>
      </c>
      <c r="B2423" s="1">
        <f>IFERROR(__xludf.DUMMYFUNCTION("""COMPUTED_VALUE"""),437.56704)</f>
        <v>437.56704</v>
      </c>
    </row>
    <row r="2424">
      <c r="A2424" s="3">
        <f>IFERROR(__xludf.DUMMYFUNCTION("""COMPUTED_VALUE"""),42914.99861111111)</f>
        <v>42914.99861</v>
      </c>
      <c r="B2424" s="1">
        <f>IFERROR(__xludf.DUMMYFUNCTION("""COMPUTED_VALUE"""),436.7736)</f>
        <v>436.7736</v>
      </c>
    </row>
    <row r="2425">
      <c r="A2425" s="3">
        <f>IFERROR(__xludf.DUMMYFUNCTION("""COMPUTED_VALUE"""),42915.99861111111)</f>
        <v>42915.99861</v>
      </c>
      <c r="B2425" s="1">
        <f>IFERROR(__xludf.DUMMYFUNCTION("""COMPUTED_VALUE"""),436.97898)</f>
        <v>436.97898</v>
      </c>
    </row>
    <row r="2426">
      <c r="A2426" s="3">
        <f>IFERROR(__xludf.DUMMYFUNCTION("""COMPUTED_VALUE"""),42916.99861111111)</f>
        <v>42916.99861</v>
      </c>
      <c r="B2426" s="1">
        <f>IFERROR(__xludf.DUMMYFUNCTION("""COMPUTED_VALUE"""),437.19892)</f>
        <v>437.19892</v>
      </c>
    </row>
    <row r="2427">
      <c r="A2427" s="3">
        <f>IFERROR(__xludf.DUMMYFUNCTION("""COMPUTED_VALUE"""),42917.99861111111)</f>
        <v>42917.99861</v>
      </c>
      <c r="B2427" s="1">
        <f>IFERROR(__xludf.DUMMYFUNCTION("""COMPUTED_VALUE"""),436.6078)</f>
        <v>436.6078</v>
      </c>
    </row>
    <row r="2428">
      <c r="A2428" s="3">
        <f>IFERROR(__xludf.DUMMYFUNCTION("""COMPUTED_VALUE"""),42918.99861111111)</f>
        <v>42918.99861</v>
      </c>
      <c r="B2428" s="1">
        <f>IFERROR(__xludf.DUMMYFUNCTION("""COMPUTED_VALUE"""),436.70632)</f>
        <v>436.70632</v>
      </c>
    </row>
    <row r="2429">
      <c r="A2429" s="3">
        <f>IFERROR(__xludf.DUMMYFUNCTION("""COMPUTED_VALUE"""),42919.99861111111)</f>
        <v>42919.99861</v>
      </c>
      <c r="B2429" s="1">
        <f>IFERROR(__xludf.DUMMYFUNCTION("""COMPUTED_VALUE"""),439.27468)</f>
        <v>439.27468</v>
      </c>
    </row>
    <row r="2430">
      <c r="A2430" s="3">
        <f>IFERROR(__xludf.DUMMYFUNCTION("""COMPUTED_VALUE"""),42920.99861111111)</f>
        <v>42920.99861</v>
      </c>
      <c r="B2430" s="1">
        <f>IFERROR(__xludf.DUMMYFUNCTION("""COMPUTED_VALUE"""),437.11174)</f>
        <v>437.11174</v>
      </c>
    </row>
    <row r="2431">
      <c r="A2431" s="3">
        <f>IFERROR(__xludf.DUMMYFUNCTION("""COMPUTED_VALUE"""),42921.99861111111)</f>
        <v>42921.99861</v>
      </c>
      <c r="B2431" s="1">
        <f>IFERROR(__xludf.DUMMYFUNCTION("""COMPUTED_VALUE"""),437.90551)</f>
        <v>437.90551</v>
      </c>
    </row>
    <row r="2432">
      <c r="A2432" s="3">
        <f>IFERROR(__xludf.DUMMYFUNCTION("""COMPUTED_VALUE"""),42922.99861111111)</f>
        <v>42922.99861</v>
      </c>
      <c r="B2432" s="1">
        <f>IFERROR(__xludf.DUMMYFUNCTION("""COMPUTED_VALUE"""),437.22261)</f>
        <v>437.22261</v>
      </c>
    </row>
    <row r="2433">
      <c r="A2433" s="3">
        <f>IFERROR(__xludf.DUMMYFUNCTION("""COMPUTED_VALUE"""),42923.99861111111)</f>
        <v>42923.99861</v>
      </c>
      <c r="B2433" s="1">
        <f>IFERROR(__xludf.DUMMYFUNCTION("""COMPUTED_VALUE"""),437.94135)</f>
        <v>437.94135</v>
      </c>
    </row>
    <row r="2434">
      <c r="A2434" s="3">
        <f>IFERROR(__xludf.DUMMYFUNCTION("""COMPUTED_VALUE"""),42924.99861111111)</f>
        <v>42924.99861</v>
      </c>
      <c r="B2434" s="1">
        <f>IFERROR(__xludf.DUMMYFUNCTION("""COMPUTED_VALUE"""),426.7111299)</f>
        <v>426.7111299</v>
      </c>
    </row>
    <row r="2435">
      <c r="A2435" s="3">
        <f>IFERROR(__xludf.DUMMYFUNCTION("""COMPUTED_VALUE"""),42925.99861111111)</f>
        <v>42925.99861</v>
      </c>
      <c r="B2435" s="1">
        <f>IFERROR(__xludf.DUMMYFUNCTION("""COMPUTED_VALUE"""),437.90528)</f>
        <v>437.90528</v>
      </c>
    </row>
    <row r="2436">
      <c r="A2436" s="3">
        <f>IFERROR(__xludf.DUMMYFUNCTION("""COMPUTED_VALUE"""),42926.99861111111)</f>
        <v>42926.99861</v>
      </c>
      <c r="B2436" s="1">
        <f>IFERROR(__xludf.DUMMYFUNCTION("""COMPUTED_VALUE"""),437.51984)</f>
        <v>437.51984</v>
      </c>
    </row>
    <row r="2437">
      <c r="A2437" s="3">
        <f>IFERROR(__xludf.DUMMYFUNCTION("""COMPUTED_VALUE"""),42927.99861111111)</f>
        <v>42927.99861</v>
      </c>
      <c r="B2437" s="1">
        <f>IFERROR(__xludf.DUMMYFUNCTION("""COMPUTED_VALUE"""),436.24532)</f>
        <v>436.24532</v>
      </c>
    </row>
    <row r="2438">
      <c r="A2438" s="3">
        <f>IFERROR(__xludf.DUMMYFUNCTION("""COMPUTED_VALUE"""),42928.99861111111)</f>
        <v>42928.99861</v>
      </c>
      <c r="B2438" s="1">
        <f>IFERROR(__xludf.DUMMYFUNCTION("""COMPUTED_VALUE"""),438.17277)</f>
        <v>438.17277</v>
      </c>
    </row>
    <row r="2439">
      <c r="A2439" s="3">
        <f>IFERROR(__xludf.DUMMYFUNCTION("""COMPUTED_VALUE"""),42929.99861111111)</f>
        <v>42929.99861</v>
      </c>
      <c r="B2439" s="1">
        <f>IFERROR(__xludf.DUMMYFUNCTION("""COMPUTED_VALUE"""),438.9189)</f>
        <v>438.9189</v>
      </c>
    </row>
    <row r="2440">
      <c r="A2440" s="3">
        <f>IFERROR(__xludf.DUMMYFUNCTION("""COMPUTED_VALUE"""),42930.99861111111)</f>
        <v>42930.99861</v>
      </c>
      <c r="B2440" s="1">
        <f>IFERROR(__xludf.DUMMYFUNCTION("""COMPUTED_VALUE"""),437.1396)</f>
        <v>437.1396</v>
      </c>
    </row>
    <row r="2441">
      <c r="A2441" s="3">
        <f>IFERROR(__xludf.DUMMYFUNCTION("""COMPUTED_VALUE"""),42932.99861111111)</f>
        <v>42932.99861</v>
      </c>
      <c r="B2441" s="1">
        <f>IFERROR(__xludf.DUMMYFUNCTION("""COMPUTED_VALUE"""),438.88944)</f>
        <v>438.88944</v>
      </c>
    </row>
    <row r="2442">
      <c r="A2442" s="3">
        <f>IFERROR(__xludf.DUMMYFUNCTION("""COMPUTED_VALUE"""),42933.99861111111)</f>
        <v>42933.99861</v>
      </c>
      <c r="B2442" s="1">
        <f>IFERROR(__xludf.DUMMYFUNCTION("""COMPUTED_VALUE"""),437.86127)</f>
        <v>437.86127</v>
      </c>
    </row>
    <row r="2443">
      <c r="A2443" s="3">
        <f>IFERROR(__xludf.DUMMYFUNCTION("""COMPUTED_VALUE"""),42934.99861111111)</f>
        <v>42934.99861</v>
      </c>
      <c r="B2443" s="1">
        <f>IFERROR(__xludf.DUMMYFUNCTION("""COMPUTED_VALUE"""),437.90184)</f>
        <v>437.90184</v>
      </c>
    </row>
    <row r="2444">
      <c r="A2444" s="3">
        <f>IFERROR(__xludf.DUMMYFUNCTION("""COMPUTED_VALUE"""),42935.99861111111)</f>
        <v>42935.99861</v>
      </c>
      <c r="B2444" s="1">
        <f>IFERROR(__xludf.DUMMYFUNCTION("""COMPUTED_VALUE"""),437.73301)</f>
        <v>437.73301</v>
      </c>
    </row>
    <row r="2445">
      <c r="A2445" s="3">
        <f>IFERROR(__xludf.DUMMYFUNCTION("""COMPUTED_VALUE"""),42936.99861111111)</f>
        <v>42936.99861</v>
      </c>
      <c r="B2445" s="1">
        <f>IFERROR(__xludf.DUMMYFUNCTION("""COMPUTED_VALUE"""),436.87052)</f>
        <v>436.87052</v>
      </c>
    </row>
    <row r="2446">
      <c r="A2446" s="3">
        <f>IFERROR(__xludf.DUMMYFUNCTION("""COMPUTED_VALUE"""),42937.99861111111)</f>
        <v>42937.99861</v>
      </c>
      <c r="B2446" s="1">
        <f>IFERROR(__xludf.DUMMYFUNCTION("""COMPUTED_VALUE"""),437.46164)</f>
        <v>437.46164</v>
      </c>
    </row>
    <row r="2447">
      <c r="A2447" s="3">
        <f>IFERROR(__xludf.DUMMYFUNCTION("""COMPUTED_VALUE"""),42938.99861111111)</f>
        <v>42938.99861</v>
      </c>
      <c r="B2447" s="1">
        <f>IFERROR(__xludf.DUMMYFUNCTION("""COMPUTED_VALUE"""),437.36126)</f>
        <v>437.36126</v>
      </c>
    </row>
    <row r="2448">
      <c r="A2448" s="3">
        <f>IFERROR(__xludf.DUMMYFUNCTION("""COMPUTED_VALUE"""),42939.99861111111)</f>
        <v>42939.99861</v>
      </c>
      <c r="B2448" s="1">
        <f>IFERROR(__xludf.DUMMYFUNCTION("""COMPUTED_VALUE"""),435.48995)</f>
        <v>435.48995</v>
      </c>
    </row>
    <row r="2449">
      <c r="A2449" s="3">
        <f>IFERROR(__xludf.DUMMYFUNCTION("""COMPUTED_VALUE"""),42940.99861111111)</f>
        <v>42940.99861</v>
      </c>
      <c r="B2449" s="1">
        <f>IFERROR(__xludf.DUMMYFUNCTION("""COMPUTED_VALUE"""),438.49588)</f>
        <v>438.49588</v>
      </c>
    </row>
    <row r="2450">
      <c r="A2450" s="3">
        <f>IFERROR(__xludf.DUMMYFUNCTION("""COMPUTED_VALUE"""),42941.99861111111)</f>
        <v>42941.99861</v>
      </c>
      <c r="B2450" s="1">
        <f>IFERROR(__xludf.DUMMYFUNCTION("""COMPUTED_VALUE"""),438.75776)</f>
        <v>438.75776</v>
      </c>
    </row>
    <row r="2451">
      <c r="A2451" s="3">
        <f>IFERROR(__xludf.DUMMYFUNCTION("""COMPUTED_VALUE"""),42942.99861111111)</f>
        <v>42942.99861</v>
      </c>
      <c r="B2451" s="1">
        <f>IFERROR(__xludf.DUMMYFUNCTION("""COMPUTED_VALUE"""),440.25687)</f>
        <v>440.25687</v>
      </c>
    </row>
    <row r="2452">
      <c r="A2452" s="3">
        <f>IFERROR(__xludf.DUMMYFUNCTION("""COMPUTED_VALUE"""),42943.99861111111)</f>
        <v>42943.99861</v>
      </c>
      <c r="B2452" s="1">
        <f>IFERROR(__xludf.DUMMYFUNCTION("""COMPUTED_VALUE"""),439.79544)</f>
        <v>439.79544</v>
      </c>
    </row>
    <row r="2453">
      <c r="A2453" s="3">
        <f>IFERROR(__xludf.DUMMYFUNCTION("""COMPUTED_VALUE"""),42944.99861111111)</f>
        <v>42944.99861</v>
      </c>
      <c r="B2453" s="1">
        <f>IFERROR(__xludf.DUMMYFUNCTION("""COMPUTED_VALUE"""),440.055)</f>
        <v>440.055</v>
      </c>
    </row>
    <row r="2454">
      <c r="A2454" s="3">
        <f>IFERROR(__xludf.DUMMYFUNCTION("""COMPUTED_VALUE"""),42945.99861111111)</f>
        <v>42945.99861</v>
      </c>
      <c r="B2454" s="1">
        <f>IFERROR(__xludf.DUMMYFUNCTION("""COMPUTED_VALUE"""),439.4268)</f>
        <v>439.4268</v>
      </c>
    </row>
    <row r="2455">
      <c r="A2455" s="3">
        <f>IFERROR(__xludf.DUMMYFUNCTION("""COMPUTED_VALUE"""),42946.99861111111)</f>
        <v>42946.99861</v>
      </c>
      <c r="B2455" s="1">
        <f>IFERROR(__xludf.DUMMYFUNCTION("""COMPUTED_VALUE"""),439.9596)</f>
        <v>439.9596</v>
      </c>
    </row>
    <row r="2456">
      <c r="A2456" s="3">
        <f>IFERROR(__xludf.DUMMYFUNCTION("""COMPUTED_VALUE"""),42947.99861111111)</f>
        <v>42947.99861</v>
      </c>
      <c r="B2456" s="1">
        <f>IFERROR(__xludf.DUMMYFUNCTION("""COMPUTED_VALUE"""),440.55944)</f>
        <v>440.55944</v>
      </c>
    </row>
    <row r="2457">
      <c r="A2457" s="3">
        <f>IFERROR(__xludf.DUMMYFUNCTION("""COMPUTED_VALUE"""),42948.99861111111)</f>
        <v>42948.99861</v>
      </c>
      <c r="B2457" s="1">
        <f>IFERROR(__xludf.DUMMYFUNCTION("""COMPUTED_VALUE"""),439.99368)</f>
        <v>439.99368</v>
      </c>
    </row>
    <row r="2458">
      <c r="A2458" s="3">
        <f>IFERROR(__xludf.DUMMYFUNCTION("""COMPUTED_VALUE"""),42949.99861111111)</f>
        <v>42949.99861</v>
      </c>
      <c r="B2458" s="1">
        <f>IFERROR(__xludf.DUMMYFUNCTION("""COMPUTED_VALUE"""),439.99368)</f>
        <v>439.99368</v>
      </c>
    </row>
    <row r="2459">
      <c r="A2459" s="3">
        <f>IFERROR(__xludf.DUMMYFUNCTION("""COMPUTED_VALUE"""),42950.99861111111)</f>
        <v>42950.99861</v>
      </c>
      <c r="B2459" s="1">
        <f>IFERROR(__xludf.DUMMYFUNCTION("""COMPUTED_VALUE"""),440.59252)</f>
        <v>440.59252</v>
      </c>
    </row>
    <row r="2460">
      <c r="A2460" s="3">
        <f>IFERROR(__xludf.DUMMYFUNCTION("""COMPUTED_VALUE"""),42951.99861111111)</f>
        <v>42951.99861</v>
      </c>
      <c r="B2460" s="1">
        <f>IFERROR(__xludf.DUMMYFUNCTION("""COMPUTED_VALUE"""),440.6272)</f>
        <v>440.6272</v>
      </c>
    </row>
    <row r="2461">
      <c r="A2461" s="3">
        <f>IFERROR(__xludf.DUMMYFUNCTION("""COMPUTED_VALUE"""),42953.99861111111)</f>
        <v>42953.99861</v>
      </c>
      <c r="B2461" s="1">
        <f>IFERROR(__xludf.DUMMYFUNCTION("""COMPUTED_VALUE"""),440.26172)</f>
        <v>440.26172</v>
      </c>
    </row>
    <row r="2462">
      <c r="A2462" s="3">
        <f>IFERROR(__xludf.DUMMYFUNCTION("""COMPUTED_VALUE"""),42954.99861111111)</f>
        <v>42954.99861</v>
      </c>
      <c r="B2462" s="1">
        <f>IFERROR(__xludf.DUMMYFUNCTION("""COMPUTED_VALUE"""),440.1939)</f>
        <v>440.1939</v>
      </c>
    </row>
    <row r="2463">
      <c r="A2463" s="3">
        <f>IFERROR(__xludf.DUMMYFUNCTION("""COMPUTED_VALUE"""),42955.99861111111)</f>
        <v>42955.99861</v>
      </c>
      <c r="B2463" s="1">
        <f>IFERROR(__xludf.DUMMYFUNCTION("""COMPUTED_VALUE"""),440.4286)</f>
        <v>440.4286</v>
      </c>
    </row>
    <row r="2464">
      <c r="A2464" s="3">
        <f>IFERROR(__xludf.DUMMYFUNCTION("""COMPUTED_VALUE"""),42956.99861111111)</f>
        <v>42956.99861</v>
      </c>
      <c r="B2464" s="1">
        <f>IFERROR(__xludf.DUMMYFUNCTION("""COMPUTED_VALUE"""),440.82408)</f>
        <v>440.82408</v>
      </c>
    </row>
    <row r="2465">
      <c r="A2465" s="3">
        <f>IFERROR(__xludf.DUMMYFUNCTION("""COMPUTED_VALUE"""),42957.99861111111)</f>
        <v>42957.99861</v>
      </c>
      <c r="B2465" s="1">
        <f>IFERROR(__xludf.DUMMYFUNCTION("""COMPUTED_VALUE"""),439.52446)</f>
        <v>439.52446</v>
      </c>
    </row>
    <row r="2466">
      <c r="A2466" s="3">
        <f>IFERROR(__xludf.DUMMYFUNCTION("""COMPUTED_VALUE"""),42958.99861111111)</f>
        <v>42958.99861</v>
      </c>
      <c r="B2466" s="1">
        <f>IFERROR(__xludf.DUMMYFUNCTION("""COMPUTED_VALUE"""),439.71606)</f>
        <v>439.71606</v>
      </c>
    </row>
    <row r="2467">
      <c r="A2467" s="3">
        <f>IFERROR(__xludf.DUMMYFUNCTION("""COMPUTED_VALUE"""),42959.99861111111)</f>
        <v>42959.99861</v>
      </c>
      <c r="B2467" s="1">
        <f>IFERROR(__xludf.DUMMYFUNCTION("""COMPUTED_VALUE"""),439.78194)</f>
        <v>439.78194</v>
      </c>
    </row>
    <row r="2468">
      <c r="A2468" s="3">
        <f>IFERROR(__xludf.DUMMYFUNCTION("""COMPUTED_VALUE"""),42960.99861111111)</f>
        <v>42960.99861</v>
      </c>
      <c r="B2468" s="1">
        <f>IFERROR(__xludf.DUMMYFUNCTION("""COMPUTED_VALUE"""),439.78194)</f>
        <v>439.78194</v>
      </c>
    </row>
    <row r="2469">
      <c r="A2469" s="3">
        <f>IFERROR(__xludf.DUMMYFUNCTION("""COMPUTED_VALUE"""),42961.99861111111)</f>
        <v>42961.99861</v>
      </c>
      <c r="B2469" s="1">
        <f>IFERROR(__xludf.DUMMYFUNCTION("""COMPUTED_VALUE"""),440.15258)</f>
        <v>440.15258</v>
      </c>
    </row>
    <row r="2470">
      <c r="A2470" s="3">
        <f>IFERROR(__xludf.DUMMYFUNCTION("""COMPUTED_VALUE"""),42962.99861111111)</f>
        <v>42962.99861</v>
      </c>
      <c r="B2470" s="1">
        <f>IFERROR(__xludf.DUMMYFUNCTION("""COMPUTED_VALUE"""),440.54846)</f>
        <v>440.54846</v>
      </c>
    </row>
    <row r="2471">
      <c r="A2471" s="3">
        <f>IFERROR(__xludf.DUMMYFUNCTION("""COMPUTED_VALUE"""),42963.99861111111)</f>
        <v>42963.99861</v>
      </c>
      <c r="B2471" s="1">
        <f>IFERROR(__xludf.DUMMYFUNCTION("""COMPUTED_VALUE"""),439.482)</f>
        <v>439.482</v>
      </c>
    </row>
    <row r="2472">
      <c r="A2472" s="3">
        <f>IFERROR(__xludf.DUMMYFUNCTION("""COMPUTED_VALUE"""),42964.99861111111)</f>
        <v>42964.99861</v>
      </c>
      <c r="B2472" s="1">
        <f>IFERROR(__xludf.DUMMYFUNCTION("""COMPUTED_VALUE"""),441.00856)</f>
        <v>441.00856</v>
      </c>
    </row>
    <row r="2473">
      <c r="A2473" s="3">
        <f>IFERROR(__xludf.DUMMYFUNCTION("""COMPUTED_VALUE"""),42965.99861111111)</f>
        <v>42965.99861</v>
      </c>
      <c r="B2473" s="1">
        <f>IFERROR(__xludf.DUMMYFUNCTION("""COMPUTED_VALUE"""),440.41326)</f>
        <v>440.41326</v>
      </c>
    </row>
    <row r="2474">
      <c r="A2474" s="3">
        <f>IFERROR(__xludf.DUMMYFUNCTION("""COMPUTED_VALUE"""),42966.99861111111)</f>
        <v>42966.99861</v>
      </c>
      <c r="B2474" s="1">
        <f>IFERROR(__xludf.DUMMYFUNCTION("""COMPUTED_VALUE"""),440.1808)</f>
        <v>440.1808</v>
      </c>
    </row>
    <row r="2475">
      <c r="A2475" s="3">
        <f>IFERROR(__xludf.DUMMYFUNCTION("""COMPUTED_VALUE"""),42967.99861111111)</f>
        <v>42967.99861</v>
      </c>
      <c r="B2475" s="1">
        <f>IFERROR(__xludf.DUMMYFUNCTION("""COMPUTED_VALUE"""),440.1808)</f>
        <v>440.1808</v>
      </c>
    </row>
    <row r="2476">
      <c r="A2476" s="3">
        <f>IFERROR(__xludf.DUMMYFUNCTION("""COMPUTED_VALUE"""),42968.99861111111)</f>
        <v>42968.99861</v>
      </c>
      <c r="B2476" s="1">
        <f>IFERROR(__xludf.DUMMYFUNCTION("""COMPUTED_VALUE"""),439.81824)</f>
        <v>439.81824</v>
      </c>
    </row>
    <row r="2477">
      <c r="A2477" s="3">
        <f>IFERROR(__xludf.DUMMYFUNCTION("""COMPUTED_VALUE"""),42969.99861111111)</f>
        <v>42969.99861</v>
      </c>
      <c r="B2477" s="1">
        <f>IFERROR(__xludf.DUMMYFUNCTION("""COMPUTED_VALUE"""),439.59175)</f>
        <v>439.59175</v>
      </c>
    </row>
    <row r="2478">
      <c r="A2478" s="3">
        <f>IFERROR(__xludf.DUMMYFUNCTION("""COMPUTED_VALUE"""),42970.99861111111)</f>
        <v>42970.99861</v>
      </c>
      <c r="B2478" s="1">
        <f>IFERROR(__xludf.DUMMYFUNCTION("""COMPUTED_VALUE"""),440.583)</f>
        <v>440.583</v>
      </c>
    </row>
    <row r="2479">
      <c r="A2479" s="3">
        <f>IFERROR(__xludf.DUMMYFUNCTION("""COMPUTED_VALUE"""),42971.99861111111)</f>
        <v>42971.99861</v>
      </c>
      <c r="B2479" s="1">
        <f>IFERROR(__xludf.DUMMYFUNCTION("""COMPUTED_VALUE"""),440.38899)</f>
        <v>440.38899</v>
      </c>
    </row>
    <row r="2480">
      <c r="A2480" s="3">
        <f>IFERROR(__xludf.DUMMYFUNCTION("""COMPUTED_VALUE"""),42972.99861111111)</f>
        <v>42972.99861</v>
      </c>
      <c r="B2480" s="1">
        <f>IFERROR(__xludf.DUMMYFUNCTION("""COMPUTED_VALUE"""),441.05346)</f>
        <v>441.05346</v>
      </c>
    </row>
    <row r="2481">
      <c r="A2481" s="3">
        <f>IFERROR(__xludf.DUMMYFUNCTION("""COMPUTED_VALUE"""),42973.99861111111)</f>
        <v>42973.99861</v>
      </c>
      <c r="B2481" s="1">
        <f>IFERROR(__xludf.DUMMYFUNCTION("""COMPUTED_VALUE"""),442.52097)</f>
        <v>442.52097</v>
      </c>
    </row>
    <row r="2482">
      <c r="A2482" s="3">
        <f>IFERROR(__xludf.DUMMYFUNCTION("""COMPUTED_VALUE"""),42974.99861111111)</f>
        <v>42974.99861</v>
      </c>
      <c r="B2482" s="1">
        <f>IFERROR(__xludf.DUMMYFUNCTION("""COMPUTED_VALUE"""),442.58802)</f>
        <v>442.58802</v>
      </c>
    </row>
    <row r="2483">
      <c r="A2483" s="3">
        <f>IFERROR(__xludf.DUMMYFUNCTION("""COMPUTED_VALUE"""),42975.99861111111)</f>
        <v>42975.99861</v>
      </c>
      <c r="B2483" s="1">
        <f>IFERROR(__xludf.DUMMYFUNCTION("""COMPUTED_VALUE"""),440.86142)</f>
        <v>440.86142</v>
      </c>
    </row>
    <row r="2484">
      <c r="A2484" s="3">
        <f>IFERROR(__xludf.DUMMYFUNCTION("""COMPUTED_VALUE"""),42976.99861111111)</f>
        <v>42976.99861</v>
      </c>
      <c r="B2484" s="1">
        <f>IFERROR(__xludf.DUMMYFUNCTION("""COMPUTED_VALUE"""),441.3223)</f>
        <v>441.3223</v>
      </c>
    </row>
    <row r="2485">
      <c r="A2485" s="3">
        <f>IFERROR(__xludf.DUMMYFUNCTION("""COMPUTED_VALUE"""),42977.99861111111)</f>
        <v>42977.99861</v>
      </c>
      <c r="B2485" s="1">
        <f>IFERROR(__xludf.DUMMYFUNCTION("""COMPUTED_VALUE"""),442.0221)</f>
        <v>442.0221</v>
      </c>
    </row>
    <row r="2486">
      <c r="A2486" s="3">
        <f>IFERROR(__xludf.DUMMYFUNCTION("""COMPUTED_VALUE"""),42978.99861111111)</f>
        <v>42978.99861</v>
      </c>
      <c r="B2486" s="1">
        <f>IFERROR(__xludf.DUMMYFUNCTION("""COMPUTED_VALUE"""),440.9251)</f>
        <v>440.9251</v>
      </c>
    </row>
    <row r="2487">
      <c r="A2487" s="3">
        <f>IFERROR(__xludf.DUMMYFUNCTION("""COMPUTED_VALUE"""),42979.99861111111)</f>
        <v>42979.99861</v>
      </c>
      <c r="B2487" s="1">
        <f>IFERROR(__xludf.DUMMYFUNCTION("""COMPUTED_VALUE"""),442.12228)</f>
        <v>442.12228</v>
      </c>
    </row>
    <row r="2488">
      <c r="A2488" s="3">
        <f>IFERROR(__xludf.DUMMYFUNCTION("""COMPUTED_VALUE"""),42980.99861111111)</f>
        <v>42980.99861</v>
      </c>
      <c r="B2488" s="1">
        <f>IFERROR(__xludf.DUMMYFUNCTION("""COMPUTED_VALUE"""),442.32195)</f>
        <v>442.32195</v>
      </c>
    </row>
    <row r="2489">
      <c r="A2489" s="3">
        <f>IFERROR(__xludf.DUMMYFUNCTION("""COMPUTED_VALUE"""),42981.99861111111)</f>
        <v>42981.99861</v>
      </c>
      <c r="B2489" s="1">
        <f>IFERROR(__xludf.DUMMYFUNCTION("""COMPUTED_VALUE"""),442.05596)</f>
        <v>442.05596</v>
      </c>
    </row>
    <row r="2490">
      <c r="A2490" s="3">
        <f>IFERROR(__xludf.DUMMYFUNCTION("""COMPUTED_VALUE"""),42982.99861111111)</f>
        <v>42982.99861</v>
      </c>
      <c r="B2490" s="1">
        <f>IFERROR(__xludf.DUMMYFUNCTION("""COMPUTED_VALUE"""),443.58666)</f>
        <v>443.58666</v>
      </c>
    </row>
    <row r="2491">
      <c r="A2491" s="3">
        <f>IFERROR(__xludf.DUMMYFUNCTION("""COMPUTED_VALUE"""),42983.99861111111)</f>
        <v>42983.99861</v>
      </c>
      <c r="B2491" s="1">
        <f>IFERROR(__xludf.DUMMYFUNCTION("""COMPUTED_VALUE"""),443.32225)</f>
        <v>443.32225</v>
      </c>
    </row>
    <row r="2492">
      <c r="A2492" s="3">
        <f>IFERROR(__xludf.DUMMYFUNCTION("""COMPUTED_VALUE"""),42984.99861111111)</f>
        <v>42984.99861</v>
      </c>
      <c r="B2492" s="1">
        <f>IFERROR(__xludf.DUMMYFUNCTION("""COMPUTED_VALUE"""),443.12158)</f>
        <v>443.12158</v>
      </c>
    </row>
    <row r="2493">
      <c r="A2493" s="3">
        <f>IFERROR(__xludf.DUMMYFUNCTION("""COMPUTED_VALUE"""),42985.99861111111)</f>
        <v>42985.99861</v>
      </c>
      <c r="B2493" s="1">
        <f>IFERROR(__xludf.DUMMYFUNCTION("""COMPUTED_VALUE"""),441.99214)</f>
        <v>441.99214</v>
      </c>
    </row>
    <row r="2494">
      <c r="A2494" s="3">
        <f>IFERROR(__xludf.DUMMYFUNCTION("""COMPUTED_VALUE"""),42986.99861111111)</f>
        <v>42986.99861</v>
      </c>
      <c r="B2494" s="1">
        <f>IFERROR(__xludf.DUMMYFUNCTION("""COMPUTED_VALUE"""),439.85601)</f>
        <v>439.85601</v>
      </c>
    </row>
    <row r="2495">
      <c r="A2495" s="3">
        <f>IFERROR(__xludf.DUMMYFUNCTION("""COMPUTED_VALUE"""),42987.99861111111)</f>
        <v>42987.99861</v>
      </c>
      <c r="B2495" s="1">
        <f>IFERROR(__xludf.DUMMYFUNCTION("""COMPUTED_VALUE"""),439.52545)</f>
        <v>439.52545</v>
      </c>
    </row>
    <row r="2496">
      <c r="A2496" s="3">
        <f>IFERROR(__xludf.DUMMYFUNCTION("""COMPUTED_VALUE"""),42988.99861111111)</f>
        <v>42988.99861</v>
      </c>
      <c r="B2496" s="1">
        <f>IFERROR(__xludf.DUMMYFUNCTION("""COMPUTED_VALUE"""),439.59207)</f>
        <v>439.59207</v>
      </c>
    </row>
    <row r="2497">
      <c r="A2497" s="3">
        <f>IFERROR(__xludf.DUMMYFUNCTION("""COMPUTED_VALUE"""),42989.99861111111)</f>
        <v>42989.99861</v>
      </c>
      <c r="B2497" s="1">
        <f>IFERROR(__xludf.DUMMYFUNCTION("""COMPUTED_VALUE"""),438.62904)</f>
        <v>438.62904</v>
      </c>
    </row>
    <row r="2498">
      <c r="A2498" s="3">
        <f>IFERROR(__xludf.DUMMYFUNCTION("""COMPUTED_VALUE"""),42990.99861111111)</f>
        <v>42990.99861</v>
      </c>
      <c r="B2498" s="1">
        <f>IFERROR(__xludf.DUMMYFUNCTION("""COMPUTED_VALUE"""),439.69432)</f>
        <v>439.69432</v>
      </c>
    </row>
    <row r="2499">
      <c r="A2499" s="3">
        <f>IFERROR(__xludf.DUMMYFUNCTION("""COMPUTED_VALUE"""),42991.99861111111)</f>
        <v>42991.99861</v>
      </c>
      <c r="B2499" s="1">
        <f>IFERROR(__xludf.DUMMYFUNCTION("""COMPUTED_VALUE"""),440.42892)</f>
        <v>440.42892</v>
      </c>
    </row>
    <row r="2500">
      <c r="A2500" s="3">
        <f>IFERROR(__xludf.DUMMYFUNCTION("""COMPUTED_VALUE"""),42992.99861111111)</f>
        <v>42992.99861</v>
      </c>
      <c r="B2500" s="1">
        <f>IFERROR(__xludf.DUMMYFUNCTION("""COMPUTED_VALUE"""),440.2984)</f>
        <v>440.2984</v>
      </c>
    </row>
    <row r="2501">
      <c r="A2501" s="3">
        <f>IFERROR(__xludf.DUMMYFUNCTION("""COMPUTED_VALUE"""),42993.99861111111)</f>
        <v>42993.99861</v>
      </c>
      <c r="B2501" s="1">
        <f>IFERROR(__xludf.DUMMYFUNCTION("""COMPUTED_VALUE"""),428.64056)</f>
        <v>428.64056</v>
      </c>
    </row>
    <row r="2502">
      <c r="A2502" s="3">
        <f>IFERROR(__xludf.DUMMYFUNCTION("""COMPUTED_VALUE"""),42995.99861111111)</f>
        <v>42995.99861</v>
      </c>
      <c r="B2502" s="1">
        <f>IFERROR(__xludf.DUMMYFUNCTION("""COMPUTED_VALUE"""),440.49648)</f>
        <v>440.49648</v>
      </c>
    </row>
    <row r="2503">
      <c r="A2503" s="3">
        <f>IFERROR(__xludf.DUMMYFUNCTION("""COMPUTED_VALUE"""),42996.99861111111)</f>
        <v>42996.99861</v>
      </c>
      <c r="B2503" s="1">
        <f>IFERROR(__xludf.DUMMYFUNCTION("""COMPUTED_VALUE"""),440.4976)</f>
        <v>440.4976</v>
      </c>
    </row>
    <row r="2504">
      <c r="A2504" s="3">
        <f>IFERROR(__xludf.DUMMYFUNCTION("""COMPUTED_VALUE"""),42997.99861111111)</f>
        <v>42997.99861</v>
      </c>
      <c r="B2504" s="1">
        <f>IFERROR(__xludf.DUMMYFUNCTION("""COMPUTED_VALUE"""),439.70152)</f>
        <v>439.70152</v>
      </c>
    </row>
    <row r="2505">
      <c r="A2505" s="3">
        <f>IFERROR(__xludf.DUMMYFUNCTION("""COMPUTED_VALUE"""),42998.99861111111)</f>
        <v>42998.99861</v>
      </c>
      <c r="B2505" s="1">
        <f>IFERROR(__xludf.DUMMYFUNCTION("""COMPUTED_VALUE"""),440.6636)</f>
        <v>440.6636</v>
      </c>
    </row>
    <row r="2506">
      <c r="A2506" s="3">
        <f>IFERROR(__xludf.DUMMYFUNCTION("""COMPUTED_VALUE"""),42999.99861111111)</f>
        <v>42999.99861</v>
      </c>
      <c r="B2506" s="1">
        <f>IFERROR(__xludf.DUMMYFUNCTION("""COMPUTED_VALUE"""),439.20357)</f>
        <v>439.20357</v>
      </c>
    </row>
    <row r="2507">
      <c r="A2507" s="3">
        <f>IFERROR(__xludf.DUMMYFUNCTION("""COMPUTED_VALUE"""),43000.99861111111)</f>
        <v>43000.99861</v>
      </c>
      <c r="B2507" s="1">
        <f>IFERROR(__xludf.DUMMYFUNCTION("""COMPUTED_VALUE"""),440.1648)</f>
        <v>440.1648</v>
      </c>
    </row>
    <row r="2508">
      <c r="A2508" s="3">
        <f>IFERROR(__xludf.DUMMYFUNCTION("""COMPUTED_VALUE"""),43002.99861111111)</f>
        <v>43002.99861</v>
      </c>
      <c r="B2508" s="1">
        <f>IFERROR(__xludf.DUMMYFUNCTION("""COMPUTED_VALUE"""),440.69472)</f>
        <v>440.69472</v>
      </c>
    </row>
    <row r="2509">
      <c r="A2509" s="3">
        <f>IFERROR(__xludf.DUMMYFUNCTION("""COMPUTED_VALUE"""),43003.99861111111)</f>
        <v>43003.99861</v>
      </c>
      <c r="B2509" s="1">
        <f>IFERROR(__xludf.DUMMYFUNCTION("""COMPUTED_VALUE"""),440.59252)</f>
        <v>440.59252</v>
      </c>
    </row>
    <row r="2510">
      <c r="A2510" s="3">
        <f>IFERROR(__xludf.DUMMYFUNCTION("""COMPUTED_VALUE"""),43004.99861111111)</f>
        <v>43004.99861</v>
      </c>
      <c r="B2510" s="1">
        <f>IFERROR(__xludf.DUMMYFUNCTION("""COMPUTED_VALUE"""),442.445)</f>
        <v>442.445</v>
      </c>
    </row>
    <row r="2511">
      <c r="A2511" s="3">
        <f>IFERROR(__xludf.DUMMYFUNCTION("""COMPUTED_VALUE"""),43005.99861111111)</f>
        <v>43005.99861</v>
      </c>
      <c r="B2511" s="1">
        <f>IFERROR(__xludf.DUMMYFUNCTION("""COMPUTED_VALUE"""),443.15467)</f>
        <v>443.15467</v>
      </c>
    </row>
    <row r="2512">
      <c r="A2512" s="3">
        <f>IFERROR(__xludf.DUMMYFUNCTION("""COMPUTED_VALUE"""),43006.99861111111)</f>
        <v>43006.99861</v>
      </c>
      <c r="B2512" s="1">
        <f>IFERROR(__xludf.DUMMYFUNCTION("""COMPUTED_VALUE"""),444.14304)</f>
        <v>444.14304</v>
      </c>
    </row>
    <row r="2513">
      <c r="A2513" s="3">
        <f>IFERROR(__xludf.DUMMYFUNCTION("""COMPUTED_VALUE"""),43007.99861111111)</f>
        <v>43007.99861</v>
      </c>
      <c r="B2513" s="1">
        <f>IFERROR(__xludf.DUMMYFUNCTION("""COMPUTED_VALUE"""),443.7762)</f>
        <v>443.7762</v>
      </c>
    </row>
    <row r="2514">
      <c r="A2514" s="3">
        <f>IFERROR(__xludf.DUMMYFUNCTION("""COMPUTED_VALUE"""),43009.99861111111)</f>
        <v>43009.99861</v>
      </c>
      <c r="B2514" s="1">
        <f>IFERROR(__xludf.DUMMYFUNCTION("""COMPUTED_VALUE"""),443.8064)</f>
        <v>443.8064</v>
      </c>
    </row>
    <row r="2515">
      <c r="A2515" s="3">
        <f>IFERROR(__xludf.DUMMYFUNCTION("""COMPUTED_VALUE"""),43010.99861111111)</f>
        <v>43010.99861</v>
      </c>
      <c r="B2515" s="1">
        <f>IFERROR(__xludf.DUMMYFUNCTION("""COMPUTED_VALUE"""),444.08742)</f>
        <v>444.08742</v>
      </c>
    </row>
    <row r="2516">
      <c r="A2516" s="3">
        <f>IFERROR(__xludf.DUMMYFUNCTION("""COMPUTED_VALUE"""),43011.99861111111)</f>
        <v>43011.99861</v>
      </c>
      <c r="B2516" s="1">
        <f>IFERROR(__xludf.DUMMYFUNCTION("""COMPUTED_VALUE"""),444.38688)</f>
        <v>444.38688</v>
      </c>
    </row>
    <row r="2517">
      <c r="A2517" s="3">
        <f>IFERROR(__xludf.DUMMYFUNCTION("""COMPUTED_VALUE"""),43012.99861111111)</f>
        <v>43012.99861</v>
      </c>
      <c r="B2517" s="1">
        <f>IFERROR(__xludf.DUMMYFUNCTION("""COMPUTED_VALUE"""),442.2201)</f>
        <v>442.2201</v>
      </c>
    </row>
    <row r="2518">
      <c r="A2518" s="3">
        <f>IFERROR(__xludf.DUMMYFUNCTION("""COMPUTED_VALUE"""),43013.99861111111)</f>
        <v>43013.99861</v>
      </c>
      <c r="B2518" s="1">
        <f>IFERROR(__xludf.DUMMYFUNCTION("""COMPUTED_VALUE"""),443.07594)</f>
        <v>443.07594</v>
      </c>
    </row>
    <row r="2519">
      <c r="A2519" s="3">
        <f>IFERROR(__xludf.DUMMYFUNCTION("""COMPUTED_VALUE"""),43014.99861111111)</f>
        <v>43014.99861</v>
      </c>
      <c r="B2519" s="1">
        <f>IFERROR(__xludf.DUMMYFUNCTION("""COMPUTED_VALUE"""),444.35082)</f>
        <v>444.35082</v>
      </c>
    </row>
    <row r="2520">
      <c r="A2520" s="3">
        <f>IFERROR(__xludf.DUMMYFUNCTION("""COMPUTED_VALUE"""),43015.99861111111)</f>
        <v>43015.99861</v>
      </c>
      <c r="B2520" s="1">
        <f>IFERROR(__xludf.DUMMYFUNCTION("""COMPUTED_VALUE"""),432.84879)</f>
        <v>432.84879</v>
      </c>
    </row>
    <row r="2521">
      <c r="A2521" s="3">
        <f>IFERROR(__xludf.DUMMYFUNCTION("""COMPUTED_VALUE"""),43016.99861111111)</f>
        <v>43016.99861</v>
      </c>
      <c r="B2521" s="1">
        <f>IFERROR(__xludf.DUMMYFUNCTION("""COMPUTED_VALUE"""),444.18627)</f>
        <v>444.18627</v>
      </c>
    </row>
    <row r="2522">
      <c r="A2522" s="3">
        <f>IFERROR(__xludf.DUMMYFUNCTION("""COMPUTED_VALUE"""),43017.99861111111)</f>
        <v>43017.99861</v>
      </c>
      <c r="B2522" s="1">
        <f>IFERROR(__xludf.DUMMYFUNCTION("""COMPUTED_VALUE"""),444.7492)</f>
        <v>444.7492</v>
      </c>
    </row>
    <row r="2523">
      <c r="A2523" s="3">
        <f>IFERROR(__xludf.DUMMYFUNCTION("""COMPUTED_VALUE"""),43018.99861111111)</f>
        <v>43018.99861</v>
      </c>
      <c r="B2523" s="1">
        <f>IFERROR(__xludf.DUMMYFUNCTION("""COMPUTED_VALUE"""),444.6141)</f>
        <v>444.6141</v>
      </c>
    </row>
    <row r="2524">
      <c r="A2524" s="3">
        <f>IFERROR(__xludf.DUMMYFUNCTION("""COMPUTED_VALUE"""),43019.99861111111)</f>
        <v>43019.99861</v>
      </c>
      <c r="B2524" s="1">
        <f>IFERROR(__xludf.DUMMYFUNCTION("""COMPUTED_VALUE"""),446.7757)</f>
        <v>446.7757</v>
      </c>
    </row>
    <row r="2525">
      <c r="A2525" s="3">
        <f>IFERROR(__xludf.DUMMYFUNCTION("""COMPUTED_VALUE"""),43020.99861111111)</f>
        <v>43020.99861</v>
      </c>
      <c r="B2525" s="1">
        <f>IFERROR(__xludf.DUMMYFUNCTION("""COMPUTED_VALUE"""),446.64882)</f>
        <v>446.64882</v>
      </c>
    </row>
    <row r="2526">
      <c r="A2526" s="3">
        <f>IFERROR(__xludf.DUMMYFUNCTION("""COMPUTED_VALUE"""),43021.99861111111)</f>
        <v>43021.99861</v>
      </c>
      <c r="B2526" s="1">
        <f>IFERROR(__xludf.DUMMYFUNCTION("""COMPUTED_VALUE"""),444.9359)</f>
        <v>444.9359</v>
      </c>
    </row>
    <row r="2527">
      <c r="A2527" s="3">
        <f>IFERROR(__xludf.DUMMYFUNCTION("""COMPUTED_VALUE"""),43022.99861111111)</f>
        <v>43022.99861</v>
      </c>
      <c r="B2527" s="1">
        <f>IFERROR(__xludf.DUMMYFUNCTION("""COMPUTED_VALUE"""),447.12488)</f>
        <v>447.12488</v>
      </c>
    </row>
    <row r="2528">
      <c r="A2528" s="3">
        <f>IFERROR(__xludf.DUMMYFUNCTION("""COMPUTED_VALUE"""),43023.99861111111)</f>
        <v>43023.99861</v>
      </c>
      <c r="B2528" s="1">
        <f>IFERROR(__xludf.DUMMYFUNCTION("""COMPUTED_VALUE"""),447.12488)</f>
        <v>447.12488</v>
      </c>
    </row>
    <row r="2529">
      <c r="A2529" s="3">
        <f>IFERROR(__xludf.DUMMYFUNCTION("""COMPUTED_VALUE"""),43024.99861111111)</f>
        <v>43024.99861</v>
      </c>
      <c r="B2529" s="1">
        <f>IFERROR(__xludf.DUMMYFUNCTION("""COMPUTED_VALUE"""),446.59464)</f>
        <v>446.59464</v>
      </c>
    </row>
    <row r="2530">
      <c r="A2530" s="3">
        <f>IFERROR(__xludf.DUMMYFUNCTION("""COMPUTED_VALUE"""),43025.99861111111)</f>
        <v>43025.99861</v>
      </c>
      <c r="B2530" s="1">
        <f>IFERROR(__xludf.DUMMYFUNCTION("""COMPUTED_VALUE"""),446.6845)</f>
        <v>446.6845</v>
      </c>
    </row>
    <row r="2531">
      <c r="A2531" s="3">
        <f>IFERROR(__xludf.DUMMYFUNCTION("""COMPUTED_VALUE"""),43026.99861111111)</f>
        <v>43026.99861</v>
      </c>
      <c r="B2531" s="1">
        <f>IFERROR(__xludf.DUMMYFUNCTION("""COMPUTED_VALUE"""),447.3161)</f>
        <v>447.3161</v>
      </c>
    </row>
    <row r="2532">
      <c r="A2532" s="3">
        <f>IFERROR(__xludf.DUMMYFUNCTION("""COMPUTED_VALUE"""),43027.99861111111)</f>
        <v>43027.99861</v>
      </c>
      <c r="B2532" s="1">
        <f>IFERROR(__xludf.DUMMYFUNCTION("""COMPUTED_VALUE"""),446.1143)</f>
        <v>446.1143</v>
      </c>
    </row>
    <row r="2533">
      <c r="A2533" s="3">
        <f>IFERROR(__xludf.DUMMYFUNCTION("""COMPUTED_VALUE"""),43028.99861111111)</f>
        <v>43028.99861</v>
      </c>
      <c r="B2533" s="1">
        <f>IFERROR(__xludf.DUMMYFUNCTION("""COMPUTED_VALUE"""),446.83896)</f>
        <v>446.83896</v>
      </c>
    </row>
    <row r="2534">
      <c r="A2534" s="3">
        <f>IFERROR(__xludf.DUMMYFUNCTION("""COMPUTED_VALUE"""),43029.99861111111)</f>
        <v>43029.99861</v>
      </c>
      <c r="B2534" s="1">
        <f>IFERROR(__xludf.DUMMYFUNCTION("""COMPUTED_VALUE"""),446.83896)</f>
        <v>446.83896</v>
      </c>
    </row>
    <row r="2535">
      <c r="A2535" s="3">
        <f>IFERROR(__xludf.DUMMYFUNCTION("""COMPUTED_VALUE"""),43030.99861111111)</f>
        <v>43030.99861</v>
      </c>
      <c r="B2535" s="1">
        <f>IFERROR(__xludf.DUMMYFUNCTION("""COMPUTED_VALUE"""),446.83896)</f>
        <v>446.83896</v>
      </c>
    </row>
    <row r="2536">
      <c r="A2536" s="3">
        <f>IFERROR(__xludf.DUMMYFUNCTION("""COMPUTED_VALUE"""),43031.99861111111)</f>
        <v>43031.99861</v>
      </c>
      <c r="B2536" s="1">
        <f>IFERROR(__xludf.DUMMYFUNCTION("""COMPUTED_VALUE"""),447.06105)</f>
        <v>447.06105</v>
      </c>
    </row>
    <row r="2537">
      <c r="A2537" s="3">
        <f>IFERROR(__xludf.DUMMYFUNCTION("""COMPUTED_VALUE"""),43032.99861111111)</f>
        <v>43032.99861</v>
      </c>
      <c r="B2537" s="1">
        <f>IFERROR(__xludf.DUMMYFUNCTION("""COMPUTED_VALUE"""),446.5955)</f>
        <v>446.5955</v>
      </c>
    </row>
    <row r="2538">
      <c r="A2538" s="3">
        <f>IFERROR(__xludf.DUMMYFUNCTION("""COMPUTED_VALUE"""),43033.99861111111)</f>
        <v>43033.99861</v>
      </c>
      <c r="B2538" s="1">
        <f>IFERROR(__xludf.DUMMYFUNCTION("""COMPUTED_VALUE"""),448.28316)</f>
        <v>448.28316</v>
      </c>
    </row>
    <row r="2539">
      <c r="A2539" s="3">
        <f>IFERROR(__xludf.DUMMYFUNCTION("""COMPUTED_VALUE"""),43034.99861111111)</f>
        <v>43034.99861</v>
      </c>
      <c r="B2539" s="1">
        <f>IFERROR(__xludf.DUMMYFUNCTION("""COMPUTED_VALUE"""),451.17401)</f>
        <v>451.17401</v>
      </c>
    </row>
    <row r="2540">
      <c r="A2540" s="3">
        <f>IFERROR(__xludf.DUMMYFUNCTION("""COMPUTED_VALUE"""),43035.99861111111)</f>
        <v>43035.99861</v>
      </c>
      <c r="B2540" s="1">
        <f>IFERROR(__xludf.DUMMYFUNCTION("""COMPUTED_VALUE"""),450.54165)</f>
        <v>450.54165</v>
      </c>
    </row>
    <row r="2541">
      <c r="A2541" s="3">
        <f>IFERROR(__xludf.DUMMYFUNCTION("""COMPUTED_VALUE"""),43037.99861111111)</f>
        <v>43037.99861</v>
      </c>
      <c r="B2541" s="1">
        <f>IFERROR(__xludf.DUMMYFUNCTION("""COMPUTED_VALUE"""),450.4422)</f>
        <v>450.4422</v>
      </c>
    </row>
    <row r="2542">
      <c r="A2542" s="3">
        <f>IFERROR(__xludf.DUMMYFUNCTION("""COMPUTED_VALUE"""),43038.99861111111)</f>
        <v>43038.99861</v>
      </c>
      <c r="B2542" s="1">
        <f>IFERROR(__xludf.DUMMYFUNCTION("""COMPUTED_VALUE"""),449.2994)</f>
        <v>449.2994</v>
      </c>
    </row>
    <row r="2543">
      <c r="A2543" s="3">
        <f>IFERROR(__xludf.DUMMYFUNCTION("""COMPUTED_VALUE"""),43039.99861111111)</f>
        <v>43039.99861</v>
      </c>
      <c r="B2543" s="1">
        <f>IFERROR(__xludf.DUMMYFUNCTION("""COMPUTED_VALUE"""),449.3151)</f>
        <v>449.3151</v>
      </c>
    </row>
    <row r="2544">
      <c r="A2544" s="3">
        <f>IFERROR(__xludf.DUMMYFUNCTION("""COMPUTED_VALUE"""),43040.99861111111)</f>
        <v>43040.99861</v>
      </c>
      <c r="B2544" s="1">
        <f>IFERROR(__xludf.DUMMYFUNCTION("""COMPUTED_VALUE"""),449.41748)</f>
        <v>449.41748</v>
      </c>
    </row>
    <row r="2545">
      <c r="A2545" s="3">
        <f>IFERROR(__xludf.DUMMYFUNCTION("""COMPUTED_VALUE"""),43041.99861111111)</f>
        <v>43041.99861</v>
      </c>
      <c r="B2545" s="1">
        <f>IFERROR(__xludf.DUMMYFUNCTION("""COMPUTED_VALUE"""),448.67959)</f>
        <v>448.67959</v>
      </c>
    </row>
    <row r="2546">
      <c r="A2546" s="3">
        <f>IFERROR(__xludf.DUMMYFUNCTION("""COMPUTED_VALUE"""),43042.99861111111)</f>
        <v>43042.99861</v>
      </c>
      <c r="B2546" s="1">
        <f>IFERROR(__xludf.DUMMYFUNCTION("""COMPUTED_VALUE"""),446.5924)</f>
        <v>446.5924</v>
      </c>
    </row>
    <row r="2547">
      <c r="A2547" s="3">
        <f>IFERROR(__xludf.DUMMYFUNCTION("""COMPUTED_VALUE"""),43043.99861111111)</f>
        <v>43043.99861</v>
      </c>
      <c r="B2547" s="1">
        <f>IFERROR(__xludf.DUMMYFUNCTION("""COMPUTED_VALUE"""),446.5924)</f>
        <v>446.5924</v>
      </c>
    </row>
    <row r="2548">
      <c r="A2548" s="3">
        <f>IFERROR(__xludf.DUMMYFUNCTION("""COMPUTED_VALUE"""),43044.99861111111)</f>
        <v>43044.99861</v>
      </c>
      <c r="B2548" s="1">
        <f>IFERROR(__xludf.DUMMYFUNCTION("""COMPUTED_VALUE"""),446.5924)</f>
        <v>446.5924</v>
      </c>
    </row>
    <row r="2549">
      <c r="A2549" s="3">
        <f>IFERROR(__xludf.DUMMYFUNCTION("""COMPUTED_VALUE"""),43045.99861111111)</f>
        <v>43045.99861</v>
      </c>
      <c r="B2549" s="1">
        <f>IFERROR(__xludf.DUMMYFUNCTION("""COMPUTED_VALUE"""),446.42213)</f>
        <v>446.42213</v>
      </c>
    </row>
    <row r="2550">
      <c r="A2550" s="3">
        <f>IFERROR(__xludf.DUMMYFUNCTION("""COMPUTED_VALUE"""),43046.99861111111)</f>
        <v>43046.99861</v>
      </c>
      <c r="B2550" s="1">
        <f>IFERROR(__xludf.DUMMYFUNCTION("""COMPUTED_VALUE"""),447.44854)</f>
        <v>447.44854</v>
      </c>
    </row>
    <row r="2551">
      <c r="A2551" s="3">
        <f>IFERROR(__xludf.DUMMYFUNCTION("""COMPUTED_VALUE"""),43047.99861111111)</f>
        <v>43047.99861</v>
      </c>
      <c r="B2551" s="1">
        <f>IFERROR(__xludf.DUMMYFUNCTION("""COMPUTED_VALUE"""),447.08433)</f>
        <v>447.08433</v>
      </c>
    </row>
    <row r="2552">
      <c r="A2552" s="3">
        <f>IFERROR(__xludf.DUMMYFUNCTION("""COMPUTED_VALUE"""),43048.99861111111)</f>
        <v>43048.99861</v>
      </c>
      <c r="B2552" s="1">
        <f>IFERROR(__xludf.DUMMYFUNCTION("""COMPUTED_VALUE"""),448.14951)</f>
        <v>448.14951</v>
      </c>
    </row>
    <row r="2553">
      <c r="A2553" s="3">
        <f>IFERROR(__xludf.DUMMYFUNCTION("""COMPUTED_VALUE"""),43049.99861111111)</f>
        <v>43049.99861</v>
      </c>
      <c r="B2553" s="1">
        <f>IFERROR(__xludf.DUMMYFUNCTION("""COMPUTED_VALUE"""),448.78188)</f>
        <v>448.78188</v>
      </c>
    </row>
    <row r="2554">
      <c r="A2554" s="3">
        <f>IFERROR(__xludf.DUMMYFUNCTION("""COMPUTED_VALUE"""),43050.99861111111)</f>
        <v>43050.99861</v>
      </c>
      <c r="B2554" s="1">
        <f>IFERROR(__xludf.DUMMYFUNCTION("""COMPUTED_VALUE"""),437.3981964)</f>
        <v>437.3981964</v>
      </c>
    </row>
    <row r="2555">
      <c r="A2555" s="3">
        <f>IFERROR(__xludf.DUMMYFUNCTION("""COMPUTED_VALUE"""),43051.99861111111)</f>
        <v>43051.99861</v>
      </c>
      <c r="B2555" s="1">
        <f>IFERROR(__xludf.DUMMYFUNCTION("""COMPUTED_VALUE"""),448.32816)</f>
        <v>448.32816</v>
      </c>
    </row>
    <row r="2556">
      <c r="A2556" s="3">
        <f>IFERROR(__xludf.DUMMYFUNCTION("""COMPUTED_VALUE"""),43052.99861111111)</f>
        <v>43052.99861</v>
      </c>
      <c r="B2556" s="1">
        <f>IFERROR(__xludf.DUMMYFUNCTION("""COMPUTED_VALUE"""),449.01089)</f>
        <v>449.01089</v>
      </c>
    </row>
    <row r="2557">
      <c r="A2557" s="3">
        <f>IFERROR(__xludf.DUMMYFUNCTION("""COMPUTED_VALUE"""),43053.99861111111)</f>
        <v>43053.99861</v>
      </c>
      <c r="B2557" s="1">
        <f>IFERROR(__xludf.DUMMYFUNCTION("""COMPUTED_VALUE"""),448.8813)</f>
        <v>448.8813</v>
      </c>
    </row>
    <row r="2558">
      <c r="A2558" s="3">
        <f>IFERROR(__xludf.DUMMYFUNCTION("""COMPUTED_VALUE"""),43054.99861111111)</f>
        <v>43054.99861</v>
      </c>
      <c r="B2558" s="1">
        <f>IFERROR(__xludf.DUMMYFUNCTION("""COMPUTED_VALUE"""),449.6327)</f>
        <v>449.6327</v>
      </c>
    </row>
    <row r="2559">
      <c r="A2559" s="3">
        <f>IFERROR(__xludf.DUMMYFUNCTION("""COMPUTED_VALUE"""),43055.99861111111)</f>
        <v>43055.99861</v>
      </c>
      <c r="B2559" s="1">
        <f>IFERROR(__xludf.DUMMYFUNCTION("""COMPUTED_VALUE"""),448.12424)</f>
        <v>448.12424</v>
      </c>
    </row>
    <row r="2560">
      <c r="A2560" s="3">
        <f>IFERROR(__xludf.DUMMYFUNCTION("""COMPUTED_VALUE"""),43056.99861111111)</f>
        <v>43056.99861</v>
      </c>
      <c r="B2560" s="1">
        <f>IFERROR(__xludf.DUMMYFUNCTION("""COMPUTED_VALUE"""),448.73576)</f>
        <v>448.73576</v>
      </c>
    </row>
    <row r="2561">
      <c r="A2561" s="3">
        <f>IFERROR(__xludf.DUMMYFUNCTION("""COMPUTED_VALUE"""),43057.99861111111)</f>
        <v>43057.99861</v>
      </c>
      <c r="B2561" s="1">
        <f>IFERROR(__xludf.DUMMYFUNCTION("""COMPUTED_VALUE"""),437.0269134)</f>
        <v>437.0269134</v>
      </c>
    </row>
    <row r="2562">
      <c r="A2562" s="3">
        <f>IFERROR(__xludf.DUMMYFUNCTION("""COMPUTED_VALUE"""),43058.99861111111)</f>
        <v>43058.99861</v>
      </c>
      <c r="B2562" s="1">
        <f>IFERROR(__xludf.DUMMYFUNCTION("""COMPUTED_VALUE"""),448.73576)</f>
        <v>448.73576</v>
      </c>
    </row>
    <row r="2563">
      <c r="A2563" s="3">
        <f>IFERROR(__xludf.DUMMYFUNCTION("""COMPUTED_VALUE"""),43059.99861111111)</f>
        <v>43059.99861</v>
      </c>
      <c r="B2563" s="1">
        <f>IFERROR(__xludf.DUMMYFUNCTION("""COMPUTED_VALUE"""),449.16525)</f>
        <v>449.16525</v>
      </c>
    </row>
    <row r="2564">
      <c r="A2564" s="3">
        <f>IFERROR(__xludf.DUMMYFUNCTION("""COMPUTED_VALUE"""),43060.99861111111)</f>
        <v>43060.99861</v>
      </c>
      <c r="B2564" s="1">
        <f>IFERROR(__xludf.DUMMYFUNCTION("""COMPUTED_VALUE"""),450.1827)</f>
        <v>450.1827</v>
      </c>
    </row>
    <row r="2565">
      <c r="A2565" s="3">
        <f>IFERROR(__xludf.DUMMYFUNCTION("""COMPUTED_VALUE"""),43061.99861111111)</f>
        <v>43061.99861</v>
      </c>
      <c r="B2565" s="1">
        <f>IFERROR(__xludf.DUMMYFUNCTION("""COMPUTED_VALUE"""),449.38521)</f>
        <v>449.38521</v>
      </c>
    </row>
    <row r="2566">
      <c r="A2566" s="3">
        <f>IFERROR(__xludf.DUMMYFUNCTION("""COMPUTED_VALUE"""),43062.99861111111)</f>
        <v>43062.99861</v>
      </c>
      <c r="B2566" s="1">
        <f>IFERROR(__xludf.DUMMYFUNCTION("""COMPUTED_VALUE"""),449.58837)</f>
        <v>449.58837</v>
      </c>
    </row>
    <row r="2567">
      <c r="A2567" s="3">
        <f>IFERROR(__xludf.DUMMYFUNCTION("""COMPUTED_VALUE"""),43063.99861111111)</f>
        <v>43063.99861</v>
      </c>
      <c r="B2567" s="1">
        <f>IFERROR(__xludf.DUMMYFUNCTION("""COMPUTED_VALUE"""),449.75336)</f>
        <v>449.75336</v>
      </c>
    </row>
    <row r="2568">
      <c r="A2568" s="3">
        <f>IFERROR(__xludf.DUMMYFUNCTION("""COMPUTED_VALUE"""),43064.99861111111)</f>
        <v>43064.99861</v>
      </c>
      <c r="B2568" s="1">
        <f>IFERROR(__xludf.DUMMYFUNCTION("""COMPUTED_VALUE"""),449.88834)</f>
        <v>449.88834</v>
      </c>
    </row>
    <row r="2569">
      <c r="A2569" s="3">
        <f>IFERROR(__xludf.DUMMYFUNCTION("""COMPUTED_VALUE"""),43065.99861111111)</f>
        <v>43065.99861</v>
      </c>
      <c r="B2569" s="1">
        <f>IFERROR(__xludf.DUMMYFUNCTION("""COMPUTED_VALUE"""),449.88834)</f>
        <v>449.88834</v>
      </c>
    </row>
    <row r="2570">
      <c r="A2570" s="3">
        <f>IFERROR(__xludf.DUMMYFUNCTION("""COMPUTED_VALUE"""),43066.99861111111)</f>
        <v>43066.99861</v>
      </c>
      <c r="B2570" s="1">
        <f>IFERROR(__xludf.DUMMYFUNCTION("""COMPUTED_VALUE"""),450.18652)</f>
        <v>450.18652</v>
      </c>
    </row>
    <row r="2571">
      <c r="A2571" s="3">
        <f>IFERROR(__xludf.DUMMYFUNCTION("""COMPUTED_VALUE"""),43067.99861111111)</f>
        <v>43067.99861</v>
      </c>
      <c r="B2571" s="1">
        <f>IFERROR(__xludf.DUMMYFUNCTION("""COMPUTED_VALUE"""),449.82)</f>
        <v>449.82</v>
      </c>
    </row>
    <row r="2572">
      <c r="A2572" s="3">
        <f>IFERROR(__xludf.DUMMYFUNCTION("""COMPUTED_VALUE"""),43068.99861111111)</f>
        <v>43068.99861</v>
      </c>
      <c r="B2572" s="1">
        <f>IFERROR(__xludf.DUMMYFUNCTION("""COMPUTED_VALUE"""),450.08832)</f>
        <v>450.08832</v>
      </c>
    </row>
    <row r="2573">
      <c r="A2573" s="3">
        <f>IFERROR(__xludf.DUMMYFUNCTION("""COMPUTED_VALUE"""),43069.99861111111)</f>
        <v>43069.99861</v>
      </c>
      <c r="B2573" s="1">
        <f>IFERROR(__xludf.DUMMYFUNCTION("""COMPUTED_VALUE"""),451.18612)</f>
        <v>451.18612</v>
      </c>
    </row>
    <row r="2574">
      <c r="A2574" s="3">
        <f>IFERROR(__xludf.DUMMYFUNCTION("""COMPUTED_VALUE"""),43070.99861111111)</f>
        <v>43070.99861</v>
      </c>
      <c r="B2574" s="1">
        <f>IFERROR(__xludf.DUMMYFUNCTION("""COMPUTED_VALUE"""),450.4158)</f>
        <v>450.4158</v>
      </c>
    </row>
    <row r="2575">
      <c r="A2575" s="3">
        <f>IFERROR(__xludf.DUMMYFUNCTION("""COMPUTED_VALUE"""),43071.99861111111)</f>
        <v>43071.99861</v>
      </c>
      <c r="B2575" s="1">
        <f>IFERROR(__xludf.DUMMYFUNCTION("""COMPUTED_VALUE"""),438.7006318)</f>
        <v>438.7006318</v>
      </c>
    </row>
    <row r="2576">
      <c r="A2576" s="3">
        <f>IFERROR(__xludf.DUMMYFUNCTION("""COMPUTED_VALUE"""),43072.99861111111)</f>
        <v>43072.99861</v>
      </c>
      <c r="B2576" s="1">
        <f>IFERROR(__xludf.DUMMYFUNCTION("""COMPUTED_VALUE"""),451.6836)</f>
        <v>451.6836</v>
      </c>
    </row>
    <row r="2577">
      <c r="A2577" s="3">
        <f>IFERROR(__xludf.DUMMYFUNCTION("""COMPUTED_VALUE"""),43073.99861111111)</f>
        <v>43073.99861</v>
      </c>
      <c r="B2577" s="1">
        <f>IFERROR(__xludf.DUMMYFUNCTION("""COMPUTED_VALUE"""),449.3502)</f>
        <v>449.3502</v>
      </c>
    </row>
    <row r="2578">
      <c r="A2578" s="3">
        <f>IFERROR(__xludf.DUMMYFUNCTION("""COMPUTED_VALUE"""),43074.99861111111)</f>
        <v>43074.99861</v>
      </c>
      <c r="B2578" s="1">
        <f>IFERROR(__xludf.DUMMYFUNCTION("""COMPUTED_VALUE"""),450.38829)</f>
        <v>450.38829</v>
      </c>
    </row>
    <row r="2579">
      <c r="A2579" s="3">
        <f>IFERROR(__xludf.DUMMYFUNCTION("""COMPUTED_VALUE"""),43075.99861111111)</f>
        <v>43075.99861</v>
      </c>
      <c r="B2579" s="1">
        <f>IFERROR(__xludf.DUMMYFUNCTION("""COMPUTED_VALUE"""),450.81754)</f>
        <v>450.81754</v>
      </c>
    </row>
    <row r="2580">
      <c r="A2580" s="3">
        <f>IFERROR(__xludf.DUMMYFUNCTION("""COMPUTED_VALUE"""),43076.99861111111)</f>
        <v>43076.99861</v>
      </c>
      <c r="B2580" s="1">
        <f>IFERROR(__xludf.DUMMYFUNCTION("""COMPUTED_VALUE"""),451.17937)</f>
        <v>451.17937</v>
      </c>
    </row>
    <row r="2581">
      <c r="A2581" s="3">
        <f>IFERROR(__xludf.DUMMYFUNCTION("""COMPUTED_VALUE"""),43077.99861111111)</f>
        <v>43077.99861</v>
      </c>
      <c r="B2581" s="1">
        <f>IFERROR(__xludf.DUMMYFUNCTION("""COMPUTED_VALUE"""),451.08616)</f>
        <v>451.08616</v>
      </c>
    </row>
    <row r="2582">
      <c r="A2582" s="3">
        <f>IFERROR(__xludf.DUMMYFUNCTION("""COMPUTED_VALUE"""),43078.99861111111)</f>
        <v>43078.99861</v>
      </c>
      <c r="B2582" s="1">
        <f>IFERROR(__xludf.DUMMYFUNCTION("""COMPUTED_VALUE"""),450.8154)</f>
        <v>450.8154</v>
      </c>
    </row>
    <row r="2583">
      <c r="A2583" s="3">
        <f>IFERROR(__xludf.DUMMYFUNCTION("""COMPUTED_VALUE"""),43079.99861111111)</f>
        <v>43079.99861</v>
      </c>
      <c r="B2583" s="1">
        <f>IFERROR(__xludf.DUMMYFUNCTION("""COMPUTED_VALUE"""),449.7831)</f>
        <v>449.7831</v>
      </c>
    </row>
    <row r="2584">
      <c r="A2584" s="3">
        <f>IFERROR(__xludf.DUMMYFUNCTION("""COMPUTED_VALUE"""),43080.99861111111)</f>
        <v>43080.99861</v>
      </c>
      <c r="B2584" s="1">
        <f>IFERROR(__xludf.DUMMYFUNCTION("""COMPUTED_VALUE"""),451.14608)</f>
        <v>451.14608</v>
      </c>
    </row>
    <row r="2585">
      <c r="A2585" s="3">
        <f>IFERROR(__xludf.DUMMYFUNCTION("""COMPUTED_VALUE"""),43081.99861111111)</f>
        <v>43081.99861</v>
      </c>
      <c r="B2585" s="1">
        <f>IFERROR(__xludf.DUMMYFUNCTION("""COMPUTED_VALUE"""),451.2483)</f>
        <v>451.2483</v>
      </c>
    </row>
    <row r="2586">
      <c r="A2586" s="3">
        <f>IFERROR(__xludf.DUMMYFUNCTION("""COMPUTED_VALUE"""),43082.99861111111)</f>
        <v>43082.99861</v>
      </c>
      <c r="B2586" s="1">
        <f>IFERROR(__xludf.DUMMYFUNCTION("""COMPUTED_VALUE"""),451.0174)</f>
        <v>451.0174</v>
      </c>
    </row>
    <row r="2587">
      <c r="A2587" s="3">
        <f>IFERROR(__xludf.DUMMYFUNCTION("""COMPUTED_VALUE"""),43083.99861111111)</f>
        <v>43083.99861</v>
      </c>
      <c r="B2587" s="1">
        <f>IFERROR(__xludf.DUMMYFUNCTION("""COMPUTED_VALUE"""),451.75482)</f>
        <v>451.75482</v>
      </c>
    </row>
    <row r="2588">
      <c r="A2588" s="3">
        <f>IFERROR(__xludf.DUMMYFUNCTION("""COMPUTED_VALUE"""),43084.99861111111)</f>
        <v>43084.99861</v>
      </c>
      <c r="B2588" s="1">
        <f>IFERROR(__xludf.DUMMYFUNCTION("""COMPUTED_VALUE"""),452.08576)</f>
        <v>452.08576</v>
      </c>
    </row>
    <row r="2589">
      <c r="A2589" s="3">
        <f>IFERROR(__xludf.DUMMYFUNCTION("""COMPUTED_VALUE"""),43086.99861111111)</f>
        <v>43086.99861</v>
      </c>
      <c r="B2589" s="1">
        <f>IFERROR(__xludf.DUMMYFUNCTION("""COMPUTED_VALUE"""),452.35712)</f>
        <v>452.35712</v>
      </c>
    </row>
    <row r="2590">
      <c r="A2590" s="3">
        <f>IFERROR(__xludf.DUMMYFUNCTION("""COMPUTED_VALUE"""),43087.99861111111)</f>
        <v>43087.99861</v>
      </c>
      <c r="B2590" s="1">
        <f>IFERROR(__xludf.DUMMYFUNCTION("""COMPUTED_VALUE"""),452.3498)</f>
        <v>452.3498</v>
      </c>
    </row>
    <row r="2591">
      <c r="A2591" s="3">
        <f>IFERROR(__xludf.DUMMYFUNCTION("""COMPUTED_VALUE"""),43088.99861111111)</f>
        <v>43088.99861</v>
      </c>
      <c r="B2591" s="1">
        <f>IFERROR(__xludf.DUMMYFUNCTION("""COMPUTED_VALUE"""),452.72625)</f>
        <v>452.72625</v>
      </c>
    </row>
    <row r="2592">
      <c r="A2592" s="3">
        <f>IFERROR(__xludf.DUMMYFUNCTION("""COMPUTED_VALUE"""),43089.99861111111)</f>
        <v>43089.99861</v>
      </c>
      <c r="B2592" s="1">
        <f>IFERROR(__xludf.DUMMYFUNCTION("""COMPUTED_VALUE"""),452.25236)</f>
        <v>452.25236</v>
      </c>
    </row>
    <row r="2593">
      <c r="A2593" s="3">
        <f>IFERROR(__xludf.DUMMYFUNCTION("""COMPUTED_VALUE"""),43090.99861111111)</f>
        <v>43090.99861</v>
      </c>
      <c r="B2593" s="1">
        <f>IFERROR(__xludf.DUMMYFUNCTION("""COMPUTED_VALUE"""),452.15708)</f>
        <v>452.15708</v>
      </c>
    </row>
    <row r="2594">
      <c r="A2594" s="3">
        <f>IFERROR(__xludf.DUMMYFUNCTION("""COMPUTED_VALUE"""),43091.99861111111)</f>
        <v>43091.99861</v>
      </c>
      <c r="B2594" s="1">
        <f>IFERROR(__xludf.DUMMYFUNCTION("""COMPUTED_VALUE"""),452.06339)</f>
        <v>452.06339</v>
      </c>
    </row>
    <row r="2595">
      <c r="A2595" s="3">
        <f>IFERROR(__xludf.DUMMYFUNCTION("""COMPUTED_VALUE"""),43092.99861111111)</f>
        <v>43092.99861</v>
      </c>
      <c r="B2595" s="1">
        <f>IFERROR(__xludf.DUMMYFUNCTION("""COMPUTED_VALUE"""),452.87621)</f>
        <v>452.87621</v>
      </c>
    </row>
    <row r="2596">
      <c r="A2596" s="3">
        <f>IFERROR(__xludf.DUMMYFUNCTION("""COMPUTED_VALUE"""),43093.99861111111)</f>
        <v>43093.99861</v>
      </c>
      <c r="B2596" s="1">
        <f>IFERROR(__xludf.DUMMYFUNCTION("""COMPUTED_VALUE"""),453.00993)</f>
        <v>453.00993</v>
      </c>
    </row>
    <row r="2597">
      <c r="A2597" s="3">
        <f>IFERROR(__xludf.DUMMYFUNCTION("""COMPUTED_VALUE"""),43094.99861111111)</f>
        <v>43094.99861</v>
      </c>
      <c r="B2597" s="1">
        <f>IFERROR(__xludf.DUMMYFUNCTION("""COMPUTED_VALUE"""),452.10412)</f>
        <v>452.10412</v>
      </c>
    </row>
    <row r="2598">
      <c r="A2598" s="3">
        <f>IFERROR(__xludf.DUMMYFUNCTION("""COMPUTED_VALUE"""),43095.99861111111)</f>
        <v>43095.99861</v>
      </c>
      <c r="B2598" s="1">
        <f>IFERROR(__xludf.DUMMYFUNCTION("""COMPUTED_VALUE"""),452.23024)</f>
        <v>452.23024</v>
      </c>
    </row>
    <row r="2599">
      <c r="A2599" s="3">
        <f>IFERROR(__xludf.DUMMYFUNCTION("""COMPUTED_VALUE"""),43096.99861111111)</f>
        <v>43096.99861</v>
      </c>
      <c r="B2599" s="1">
        <f>IFERROR(__xludf.DUMMYFUNCTION("""COMPUTED_VALUE"""),452.8372)</f>
        <v>452.8372</v>
      </c>
    </row>
    <row r="2600">
      <c r="A2600" s="3">
        <f>IFERROR(__xludf.DUMMYFUNCTION("""COMPUTED_VALUE"""),43097.99861111111)</f>
        <v>43097.99861</v>
      </c>
      <c r="B2600" s="1">
        <f>IFERROR(__xludf.DUMMYFUNCTION("""COMPUTED_VALUE"""),454.32858)</f>
        <v>454.32858</v>
      </c>
    </row>
    <row r="2601">
      <c r="A2601" s="3">
        <f>IFERROR(__xludf.DUMMYFUNCTION("""COMPUTED_VALUE"""),43098.99861111111)</f>
        <v>43098.99861</v>
      </c>
      <c r="B2601" s="1">
        <f>IFERROR(__xludf.DUMMYFUNCTION("""COMPUTED_VALUE"""),451.845)</f>
        <v>451.845</v>
      </c>
    </row>
    <row r="2602">
      <c r="A2602" s="3">
        <f>IFERROR(__xludf.DUMMYFUNCTION("""COMPUTED_VALUE"""),43099.99861111111)</f>
        <v>43099.99861</v>
      </c>
      <c r="B2602" s="1">
        <f>IFERROR(__xludf.DUMMYFUNCTION("""COMPUTED_VALUE"""),454.04013)</f>
        <v>454.04013</v>
      </c>
    </row>
    <row r="2603">
      <c r="A2603" s="3">
        <f>IFERROR(__xludf.DUMMYFUNCTION("""COMPUTED_VALUE"""),43100.99861111111)</f>
        <v>43100.99861</v>
      </c>
      <c r="B2603" s="1">
        <f>IFERROR(__xludf.DUMMYFUNCTION("""COMPUTED_VALUE"""),456.22998)</f>
        <v>456.22998</v>
      </c>
    </row>
    <row r="2604">
      <c r="A2604" s="3">
        <f>IFERROR(__xludf.DUMMYFUNCTION("""COMPUTED_VALUE"""),43101.99861111111)</f>
        <v>43101.99861</v>
      </c>
      <c r="B2604" s="1">
        <f>IFERROR(__xludf.DUMMYFUNCTION("""COMPUTED_VALUE"""),454.6025)</f>
        <v>454.6025</v>
      </c>
    </row>
    <row r="2605">
      <c r="A2605" s="3">
        <f>IFERROR(__xludf.DUMMYFUNCTION("""COMPUTED_VALUE"""),43102.99861111111)</f>
        <v>43102.99861</v>
      </c>
      <c r="B2605" s="1">
        <f>IFERROR(__xludf.DUMMYFUNCTION("""COMPUTED_VALUE"""),455.62496)</f>
        <v>455.62496</v>
      </c>
    </row>
    <row r="2606">
      <c r="A2606" s="3">
        <f>IFERROR(__xludf.DUMMYFUNCTION("""COMPUTED_VALUE"""),43103.99861111111)</f>
        <v>43103.99861</v>
      </c>
      <c r="B2606" s="1">
        <f>IFERROR(__xludf.DUMMYFUNCTION("""COMPUTED_VALUE"""),455.08372)</f>
        <v>455.08372</v>
      </c>
    </row>
    <row r="2607">
      <c r="A2607" s="3">
        <f>IFERROR(__xludf.DUMMYFUNCTION("""COMPUTED_VALUE"""),43104.99861111111)</f>
        <v>43104.99861</v>
      </c>
      <c r="B2607" s="1">
        <f>IFERROR(__xludf.DUMMYFUNCTION("""COMPUTED_VALUE"""),453.1587)</f>
        <v>453.1587</v>
      </c>
    </row>
    <row r="2608">
      <c r="A2608" s="3">
        <f>IFERROR(__xludf.DUMMYFUNCTION("""COMPUTED_VALUE"""),43105.99861111111)</f>
        <v>43105.99861</v>
      </c>
      <c r="B2608" s="1">
        <f>IFERROR(__xludf.DUMMYFUNCTION("""COMPUTED_VALUE"""),454.23057)</f>
        <v>454.23057</v>
      </c>
    </row>
    <row r="2609">
      <c r="A2609" s="3">
        <f>IFERROR(__xludf.DUMMYFUNCTION("""COMPUTED_VALUE"""),43107.99861111111)</f>
        <v>43107.99861</v>
      </c>
      <c r="B2609" s="1">
        <f>IFERROR(__xludf.DUMMYFUNCTION("""COMPUTED_VALUE"""),455.1753)</f>
        <v>455.1753</v>
      </c>
    </row>
    <row r="2610">
      <c r="A2610" s="3">
        <f>IFERROR(__xludf.DUMMYFUNCTION("""COMPUTED_VALUE"""),43108.99861111111)</f>
        <v>43108.99861</v>
      </c>
      <c r="B2610" s="1">
        <f>IFERROR(__xludf.DUMMYFUNCTION("""COMPUTED_VALUE"""),454.63822)</f>
        <v>454.63822</v>
      </c>
    </row>
    <row r="2611">
      <c r="A2611" s="3">
        <f>IFERROR(__xludf.DUMMYFUNCTION("""COMPUTED_VALUE"""),43109.99861111111)</f>
        <v>43109.99861</v>
      </c>
      <c r="B2611" s="1">
        <f>IFERROR(__xludf.DUMMYFUNCTION("""COMPUTED_VALUE"""),454.4712)</f>
        <v>454.4712</v>
      </c>
    </row>
    <row r="2612">
      <c r="A2612" s="3">
        <f>IFERROR(__xludf.DUMMYFUNCTION("""COMPUTED_VALUE"""),43110.99861111111)</f>
        <v>43110.99861</v>
      </c>
      <c r="B2612" s="1">
        <f>IFERROR(__xludf.DUMMYFUNCTION("""COMPUTED_VALUE"""),454.17139)</f>
        <v>454.17139</v>
      </c>
    </row>
    <row r="2613">
      <c r="A2613" s="3">
        <f>IFERROR(__xludf.DUMMYFUNCTION("""COMPUTED_VALUE"""),43111.99861111111)</f>
        <v>43111.99861</v>
      </c>
      <c r="B2613" s="1">
        <f>IFERROR(__xludf.DUMMYFUNCTION("""COMPUTED_VALUE"""),452.14768)</f>
        <v>452.14768</v>
      </c>
    </row>
    <row r="2614">
      <c r="A2614" s="3">
        <f>IFERROR(__xludf.DUMMYFUNCTION("""COMPUTED_VALUE"""),43112.99861111111)</f>
        <v>43112.99861</v>
      </c>
      <c r="B2614" s="1">
        <f>IFERROR(__xludf.DUMMYFUNCTION("""COMPUTED_VALUE"""),450.0828)</f>
        <v>450.0828</v>
      </c>
    </row>
    <row r="2615">
      <c r="A2615" s="3">
        <f>IFERROR(__xludf.DUMMYFUNCTION("""COMPUTED_VALUE"""),43113.99861111111)</f>
        <v>43113.99861</v>
      </c>
      <c r="B2615" s="1">
        <f>IFERROR(__xludf.DUMMYFUNCTION("""COMPUTED_VALUE"""),448.97215)</f>
        <v>448.97215</v>
      </c>
    </row>
    <row r="2616">
      <c r="A2616" s="3">
        <f>IFERROR(__xludf.DUMMYFUNCTION("""COMPUTED_VALUE"""),43114.99861111111)</f>
        <v>43114.99861</v>
      </c>
      <c r="B2616" s="1">
        <f>IFERROR(__xludf.DUMMYFUNCTION("""COMPUTED_VALUE"""),448.97215)</f>
        <v>448.97215</v>
      </c>
    </row>
    <row r="2617">
      <c r="A2617" s="3">
        <f>IFERROR(__xludf.DUMMYFUNCTION("""COMPUTED_VALUE"""),43115.99861111111)</f>
        <v>43115.99861</v>
      </c>
      <c r="B2617" s="1">
        <f>IFERROR(__xludf.DUMMYFUNCTION("""COMPUTED_VALUE"""),450.2412)</f>
        <v>450.2412</v>
      </c>
    </row>
    <row r="2618">
      <c r="A2618" s="3">
        <f>IFERROR(__xludf.DUMMYFUNCTION("""COMPUTED_VALUE"""),43116.99861111111)</f>
        <v>43116.99861</v>
      </c>
      <c r="B2618" s="1">
        <f>IFERROR(__xludf.DUMMYFUNCTION("""COMPUTED_VALUE"""),450.27504)</f>
        <v>450.27504</v>
      </c>
    </row>
    <row r="2619">
      <c r="A2619" s="3">
        <f>IFERROR(__xludf.DUMMYFUNCTION("""COMPUTED_VALUE"""),43117.99861111111)</f>
        <v>43117.99861</v>
      </c>
      <c r="B2619" s="1">
        <f>IFERROR(__xludf.DUMMYFUNCTION("""COMPUTED_VALUE"""),451.15688)</f>
        <v>451.15688</v>
      </c>
    </row>
    <row r="2620">
      <c r="A2620" s="3">
        <f>IFERROR(__xludf.DUMMYFUNCTION("""COMPUTED_VALUE"""),43118.99861111111)</f>
        <v>43118.99861</v>
      </c>
      <c r="B2620" s="1">
        <f>IFERROR(__xludf.DUMMYFUNCTION("""COMPUTED_VALUE"""),450.82254)</f>
        <v>450.82254</v>
      </c>
    </row>
    <row r="2621">
      <c r="A2621" s="3">
        <f>IFERROR(__xludf.DUMMYFUNCTION("""COMPUTED_VALUE"""),43119.99861111111)</f>
        <v>43119.99861</v>
      </c>
      <c r="B2621" s="1">
        <f>IFERROR(__xludf.DUMMYFUNCTION("""COMPUTED_VALUE"""),452.4437)</f>
        <v>452.4437</v>
      </c>
    </row>
    <row r="2622">
      <c r="A2622" s="3">
        <f>IFERROR(__xludf.DUMMYFUNCTION("""COMPUTED_VALUE"""),43120.99861111111)</f>
        <v>43120.99861</v>
      </c>
      <c r="B2622" s="1">
        <f>IFERROR(__xludf.DUMMYFUNCTION("""COMPUTED_VALUE"""),440.1332233)</f>
        <v>440.1332233</v>
      </c>
    </row>
    <row r="2623">
      <c r="A2623" s="3">
        <f>IFERROR(__xludf.DUMMYFUNCTION("""COMPUTED_VALUE"""),43121.99861111111)</f>
        <v>43121.99861</v>
      </c>
      <c r="B2623" s="1">
        <f>IFERROR(__xludf.DUMMYFUNCTION("""COMPUTED_VALUE"""),453.3165)</f>
        <v>453.3165</v>
      </c>
    </row>
    <row r="2624">
      <c r="A2624" s="3">
        <f>IFERROR(__xludf.DUMMYFUNCTION("""COMPUTED_VALUE"""),43122.99861111111)</f>
        <v>43122.99861</v>
      </c>
      <c r="B2624" s="1">
        <f>IFERROR(__xludf.DUMMYFUNCTION("""COMPUTED_VALUE"""),455.49588)</f>
        <v>455.49588</v>
      </c>
    </row>
    <row r="2625">
      <c r="A2625" s="3">
        <f>IFERROR(__xludf.DUMMYFUNCTION("""COMPUTED_VALUE"""),43123.99861111111)</f>
        <v>43123.99861</v>
      </c>
      <c r="B2625" s="1">
        <f>IFERROR(__xludf.DUMMYFUNCTION("""COMPUTED_VALUE"""),455.15768)</f>
        <v>455.15768</v>
      </c>
    </row>
    <row r="2626">
      <c r="A2626" s="3">
        <f>IFERROR(__xludf.DUMMYFUNCTION("""COMPUTED_VALUE"""),43124.99861111111)</f>
        <v>43124.99861</v>
      </c>
      <c r="B2626" s="1">
        <f>IFERROR(__xludf.DUMMYFUNCTION("""COMPUTED_VALUE"""),456.65332)</f>
        <v>456.65332</v>
      </c>
    </row>
    <row r="2627">
      <c r="A2627" s="3">
        <f>IFERROR(__xludf.DUMMYFUNCTION("""COMPUTED_VALUE"""),43125.99861111111)</f>
        <v>43125.99861</v>
      </c>
      <c r="B2627" s="1">
        <f>IFERROR(__xludf.DUMMYFUNCTION("""COMPUTED_VALUE"""),457.4856)</f>
        <v>457.4856</v>
      </c>
    </row>
    <row r="2628">
      <c r="A2628" s="3">
        <f>IFERROR(__xludf.DUMMYFUNCTION("""COMPUTED_VALUE"""),43126.99861111111)</f>
        <v>43126.99861</v>
      </c>
      <c r="B2628" s="1">
        <f>IFERROR(__xludf.DUMMYFUNCTION("""COMPUTED_VALUE"""),457.02236)</f>
        <v>457.02236</v>
      </c>
    </row>
    <row r="2629">
      <c r="A2629" s="3">
        <f>IFERROR(__xludf.DUMMYFUNCTION("""COMPUTED_VALUE"""),43129.99861111111)</f>
        <v>43129.99861</v>
      </c>
      <c r="B2629" s="1">
        <f>IFERROR(__xludf.DUMMYFUNCTION("""COMPUTED_VALUE"""),458.35443)</f>
        <v>458.35443</v>
      </c>
    </row>
    <row r="2630">
      <c r="A2630" s="3">
        <f>IFERROR(__xludf.DUMMYFUNCTION("""COMPUTED_VALUE"""),43130.99861111111)</f>
        <v>43130.99861</v>
      </c>
      <c r="B2630" s="1">
        <f>IFERROR(__xludf.DUMMYFUNCTION("""COMPUTED_VALUE"""),458.86399)</f>
        <v>458.86399</v>
      </c>
    </row>
    <row r="2631">
      <c r="A2631" s="3">
        <f>IFERROR(__xludf.DUMMYFUNCTION("""COMPUTED_VALUE"""),43131.99861111111)</f>
        <v>43131.99861</v>
      </c>
      <c r="B2631" s="1">
        <f>IFERROR(__xludf.DUMMYFUNCTION("""COMPUTED_VALUE"""),459.17073)</f>
        <v>459.17073</v>
      </c>
    </row>
    <row r="2632">
      <c r="A2632" s="3">
        <f>IFERROR(__xludf.DUMMYFUNCTION("""COMPUTED_VALUE"""),43132.99861111111)</f>
        <v>43132.99861</v>
      </c>
      <c r="B2632" s="1">
        <f>IFERROR(__xludf.DUMMYFUNCTION("""COMPUTED_VALUE"""),458.20278)</f>
        <v>458.20278</v>
      </c>
    </row>
    <row r="2633">
      <c r="A2633" s="3">
        <f>IFERROR(__xludf.DUMMYFUNCTION("""COMPUTED_VALUE"""),43133.99861111111)</f>
        <v>43133.99861</v>
      </c>
      <c r="B2633" s="1">
        <f>IFERROR(__xludf.DUMMYFUNCTION("""COMPUTED_VALUE"""),456.51044)</f>
        <v>456.51044</v>
      </c>
    </row>
    <row r="2634">
      <c r="A2634" s="3">
        <f>IFERROR(__xludf.DUMMYFUNCTION("""COMPUTED_VALUE"""),43134.99861111111)</f>
        <v>43134.99861</v>
      </c>
      <c r="B2634" s="1">
        <f>IFERROR(__xludf.DUMMYFUNCTION("""COMPUTED_VALUE"""),456.51044)</f>
        <v>456.51044</v>
      </c>
    </row>
    <row r="2635">
      <c r="A2635" s="3">
        <f>IFERROR(__xludf.DUMMYFUNCTION("""COMPUTED_VALUE"""),43135.99861111111)</f>
        <v>43135.99861</v>
      </c>
      <c r="B2635" s="1">
        <f>IFERROR(__xludf.DUMMYFUNCTION("""COMPUTED_VALUE"""),456.51044)</f>
        <v>456.51044</v>
      </c>
    </row>
    <row r="2636">
      <c r="A2636" s="3">
        <f>IFERROR(__xludf.DUMMYFUNCTION("""COMPUTED_VALUE"""),43136.99861111111)</f>
        <v>43136.99861</v>
      </c>
      <c r="B2636" s="1">
        <f>IFERROR(__xludf.DUMMYFUNCTION("""COMPUTED_VALUE"""),462.93932)</f>
        <v>462.93932</v>
      </c>
    </row>
    <row r="2637">
      <c r="A2637" s="3">
        <f>IFERROR(__xludf.DUMMYFUNCTION("""COMPUTED_VALUE"""),43137.99861111111)</f>
        <v>43137.99861</v>
      </c>
      <c r="B2637" s="1">
        <f>IFERROR(__xludf.DUMMYFUNCTION("""COMPUTED_VALUE"""),461.03776)</f>
        <v>461.03776</v>
      </c>
    </row>
    <row r="2638">
      <c r="A2638" s="3">
        <f>IFERROR(__xludf.DUMMYFUNCTION("""COMPUTED_VALUE"""),43138.99861111111)</f>
        <v>43138.99861</v>
      </c>
      <c r="B2638" s="1">
        <f>IFERROR(__xludf.DUMMYFUNCTION("""COMPUTED_VALUE"""),466.11297)</f>
        <v>466.11297</v>
      </c>
    </row>
    <row r="2639">
      <c r="A2639" s="3">
        <f>IFERROR(__xludf.DUMMYFUNCTION("""COMPUTED_VALUE"""),43139.99861111111)</f>
        <v>43139.99861</v>
      </c>
      <c r="B2639" s="1">
        <f>IFERROR(__xludf.DUMMYFUNCTION("""COMPUTED_VALUE"""),462.46798)</f>
        <v>462.46798</v>
      </c>
    </row>
    <row r="2640">
      <c r="A2640" s="3">
        <f>IFERROR(__xludf.DUMMYFUNCTION("""COMPUTED_VALUE"""),43140.99861111111)</f>
        <v>43140.99861</v>
      </c>
      <c r="B2640" s="1">
        <f>IFERROR(__xludf.DUMMYFUNCTION("""COMPUTED_VALUE"""),463.82854)</f>
        <v>463.82854</v>
      </c>
    </row>
    <row r="2641">
      <c r="A2641" s="3">
        <f>IFERROR(__xludf.DUMMYFUNCTION("""COMPUTED_VALUE"""),43141.99861111111)</f>
        <v>43141.99861</v>
      </c>
      <c r="B2641" s="1">
        <f>IFERROR(__xludf.DUMMYFUNCTION("""COMPUTED_VALUE"""),463.82854)</f>
        <v>463.82854</v>
      </c>
    </row>
    <row r="2642">
      <c r="A2642" s="3">
        <f>IFERROR(__xludf.DUMMYFUNCTION("""COMPUTED_VALUE"""),43142.99861111111)</f>
        <v>43142.99861</v>
      </c>
      <c r="B2642" s="1">
        <f>IFERROR(__xludf.DUMMYFUNCTION("""COMPUTED_VALUE"""),463.9649)</f>
        <v>463.9649</v>
      </c>
    </row>
    <row r="2643">
      <c r="A2643" s="3">
        <f>IFERROR(__xludf.DUMMYFUNCTION("""COMPUTED_VALUE"""),43143.99861111111)</f>
        <v>43143.99861</v>
      </c>
      <c r="B2643" s="1">
        <f>IFERROR(__xludf.DUMMYFUNCTION("""COMPUTED_VALUE"""),464.13486)</f>
        <v>464.13486</v>
      </c>
    </row>
    <row r="2644">
      <c r="A2644" s="3">
        <f>IFERROR(__xludf.DUMMYFUNCTION("""COMPUTED_VALUE"""),43144.99861111111)</f>
        <v>43144.99861</v>
      </c>
      <c r="B2644" s="1">
        <f>IFERROR(__xludf.DUMMYFUNCTION("""COMPUTED_VALUE"""),464.442)</f>
        <v>464.442</v>
      </c>
    </row>
    <row r="2645">
      <c r="A2645" s="3">
        <f>IFERROR(__xludf.DUMMYFUNCTION("""COMPUTED_VALUE"""),43145.99861111111)</f>
        <v>43145.99861</v>
      </c>
      <c r="B2645" s="1">
        <f>IFERROR(__xludf.DUMMYFUNCTION("""COMPUTED_VALUE"""),467.09838)</f>
        <v>467.09838</v>
      </c>
    </row>
    <row r="2646">
      <c r="A2646" s="3">
        <f>IFERROR(__xludf.DUMMYFUNCTION("""COMPUTED_VALUE"""),43146.99861111111)</f>
        <v>43146.99861</v>
      </c>
      <c r="B2646" s="1">
        <f>IFERROR(__xludf.DUMMYFUNCTION("""COMPUTED_VALUE"""),467.81504)</f>
        <v>467.81504</v>
      </c>
    </row>
    <row r="2647">
      <c r="A2647" s="3">
        <f>IFERROR(__xludf.DUMMYFUNCTION("""COMPUTED_VALUE"""),43147.99861111111)</f>
        <v>43147.99861</v>
      </c>
      <c r="B2647" s="1">
        <f>IFERROR(__xludf.DUMMYFUNCTION("""COMPUTED_VALUE"""),465.78224)</f>
        <v>465.78224</v>
      </c>
    </row>
    <row r="2648">
      <c r="A2648" s="3">
        <f>IFERROR(__xludf.DUMMYFUNCTION("""COMPUTED_VALUE"""),43148.99861111111)</f>
        <v>43148.99861</v>
      </c>
      <c r="B2648" s="1">
        <f>IFERROR(__xludf.DUMMYFUNCTION("""COMPUTED_VALUE"""),465.78224)</f>
        <v>465.78224</v>
      </c>
    </row>
    <row r="2649">
      <c r="A2649" s="3">
        <f>IFERROR(__xludf.DUMMYFUNCTION("""COMPUTED_VALUE"""),43149.99861111111)</f>
        <v>43149.99861</v>
      </c>
      <c r="B2649" s="1">
        <f>IFERROR(__xludf.DUMMYFUNCTION("""COMPUTED_VALUE"""),465.78224)</f>
        <v>465.78224</v>
      </c>
    </row>
    <row r="2650">
      <c r="A2650" s="3">
        <f>IFERROR(__xludf.DUMMYFUNCTION("""COMPUTED_VALUE"""),43150.99861111111)</f>
        <v>43150.99861</v>
      </c>
      <c r="B2650" s="1">
        <f>IFERROR(__xludf.DUMMYFUNCTION("""COMPUTED_VALUE"""),466.52868)</f>
        <v>466.52868</v>
      </c>
    </row>
    <row r="2651">
      <c r="A2651" s="3">
        <f>IFERROR(__xludf.DUMMYFUNCTION("""COMPUTED_VALUE"""),43151.99861111111)</f>
        <v>43151.99861</v>
      </c>
      <c r="B2651" s="1">
        <f>IFERROR(__xludf.DUMMYFUNCTION("""COMPUTED_VALUE"""),463.62456)</f>
        <v>463.62456</v>
      </c>
    </row>
    <row r="2652">
      <c r="A2652" s="3">
        <f>IFERROR(__xludf.DUMMYFUNCTION("""COMPUTED_VALUE"""),43152.99861111111)</f>
        <v>43152.99861</v>
      </c>
      <c r="B2652" s="1">
        <f>IFERROR(__xludf.DUMMYFUNCTION("""COMPUTED_VALUE"""),465.39428)</f>
        <v>465.39428</v>
      </c>
    </row>
    <row r="2653">
      <c r="A2653" s="3">
        <f>IFERROR(__xludf.DUMMYFUNCTION("""COMPUTED_VALUE"""),43153.99861111111)</f>
        <v>43153.99861</v>
      </c>
      <c r="B2653" s="1">
        <f>IFERROR(__xludf.DUMMYFUNCTION("""COMPUTED_VALUE"""),466.62512)</f>
        <v>466.62512</v>
      </c>
    </row>
    <row r="2654">
      <c r="A2654" s="3">
        <f>IFERROR(__xludf.DUMMYFUNCTION("""COMPUTED_VALUE"""),43154.99861111111)</f>
        <v>43154.99861</v>
      </c>
      <c r="B2654" s="1">
        <f>IFERROR(__xludf.DUMMYFUNCTION("""COMPUTED_VALUE"""),466.35232)</f>
        <v>466.35232</v>
      </c>
    </row>
    <row r="2655">
      <c r="A2655" s="3">
        <f>IFERROR(__xludf.DUMMYFUNCTION("""COMPUTED_VALUE"""),43155.99861111111)</f>
        <v>43155.99861</v>
      </c>
      <c r="B2655" s="1">
        <f>IFERROR(__xludf.DUMMYFUNCTION("""COMPUTED_VALUE"""),453.51944)</f>
        <v>453.51944</v>
      </c>
    </row>
    <row r="2656">
      <c r="A2656" s="3">
        <f>IFERROR(__xludf.DUMMYFUNCTION("""COMPUTED_VALUE"""),43156.99861111111)</f>
        <v>43156.99861</v>
      </c>
      <c r="B2656" s="1">
        <f>IFERROR(__xludf.DUMMYFUNCTION("""COMPUTED_VALUE"""),453.825064)</f>
        <v>453.825064</v>
      </c>
    </row>
    <row r="2657">
      <c r="A2657" s="3">
        <f>IFERROR(__xludf.DUMMYFUNCTION("""COMPUTED_VALUE"""),43157.99861111111)</f>
        <v>43157.99861</v>
      </c>
      <c r="B2657" s="1">
        <f>IFERROR(__xludf.DUMMYFUNCTION("""COMPUTED_VALUE"""),467.00071)</f>
        <v>467.00071</v>
      </c>
    </row>
    <row r="2658">
      <c r="A2658" s="3">
        <f>IFERROR(__xludf.DUMMYFUNCTION("""COMPUTED_VALUE"""),43158.99861111111)</f>
        <v>43158.99861</v>
      </c>
      <c r="B2658" s="1">
        <f>IFERROR(__xludf.DUMMYFUNCTION("""COMPUTED_VALUE"""),467.37622)</f>
        <v>467.37622</v>
      </c>
    </row>
    <row r="2659">
      <c r="A2659" s="3">
        <f>IFERROR(__xludf.DUMMYFUNCTION("""COMPUTED_VALUE"""),43159.99861111111)</f>
        <v>43159.99861</v>
      </c>
      <c r="B2659" s="1">
        <f>IFERROR(__xludf.DUMMYFUNCTION("""COMPUTED_VALUE"""),468.52936)</f>
        <v>468.52936</v>
      </c>
    </row>
    <row r="2660">
      <c r="A2660" s="3">
        <f>IFERROR(__xludf.DUMMYFUNCTION("""COMPUTED_VALUE"""),43160.99861111111)</f>
        <v>43160.99861</v>
      </c>
      <c r="B2660" s="1">
        <f>IFERROR(__xludf.DUMMYFUNCTION("""COMPUTED_VALUE"""),468.70551)</f>
        <v>468.70551</v>
      </c>
    </row>
    <row r="2661">
      <c r="A2661" s="3">
        <f>IFERROR(__xludf.DUMMYFUNCTION("""COMPUTED_VALUE"""),43161.99861111111)</f>
        <v>43161.99861</v>
      </c>
      <c r="B2661" s="1">
        <f>IFERROR(__xludf.DUMMYFUNCTION("""COMPUTED_VALUE"""),469.32163)</f>
        <v>469.32163</v>
      </c>
    </row>
    <row r="2662">
      <c r="A2662" s="3">
        <f>IFERROR(__xludf.DUMMYFUNCTION("""COMPUTED_VALUE"""),43162.99861111111)</f>
        <v>43162.99861</v>
      </c>
      <c r="B2662" s="1">
        <f>IFERROR(__xludf.DUMMYFUNCTION("""COMPUTED_VALUE"""),469.32163)</f>
        <v>469.32163</v>
      </c>
    </row>
    <row r="2663">
      <c r="A2663" s="3">
        <f>IFERROR(__xludf.DUMMYFUNCTION("""COMPUTED_VALUE"""),43163.99861111111)</f>
        <v>43163.99861</v>
      </c>
      <c r="B2663" s="1">
        <f>IFERROR(__xludf.DUMMYFUNCTION("""COMPUTED_VALUE"""),469.32163)</f>
        <v>469.32163</v>
      </c>
    </row>
    <row r="2664">
      <c r="A2664" s="3">
        <f>IFERROR(__xludf.DUMMYFUNCTION("""COMPUTED_VALUE"""),43164.99861111111)</f>
        <v>43164.99861</v>
      </c>
      <c r="B2664" s="1">
        <f>IFERROR(__xludf.DUMMYFUNCTION("""COMPUTED_VALUE"""),468.84381)</f>
        <v>468.84381</v>
      </c>
    </row>
    <row r="2665">
      <c r="A2665" s="3">
        <f>IFERROR(__xludf.DUMMYFUNCTION("""COMPUTED_VALUE"""),43165.99861111111)</f>
        <v>43165.99861</v>
      </c>
      <c r="B2665" s="1">
        <f>IFERROR(__xludf.DUMMYFUNCTION("""COMPUTED_VALUE"""),470.69539)</f>
        <v>470.69539</v>
      </c>
    </row>
    <row r="2666">
      <c r="A2666" s="3">
        <f>IFERROR(__xludf.DUMMYFUNCTION("""COMPUTED_VALUE"""),43166.99861111111)</f>
        <v>43166.99861</v>
      </c>
      <c r="B2666" s="1">
        <f>IFERROR(__xludf.DUMMYFUNCTION("""COMPUTED_VALUE"""),469.2543)</f>
        <v>469.2543</v>
      </c>
    </row>
    <row r="2667">
      <c r="A2667" s="3">
        <f>IFERROR(__xludf.DUMMYFUNCTION("""COMPUTED_VALUE"""),43167.99861111111)</f>
        <v>43167.99861</v>
      </c>
      <c r="B2667" s="1">
        <f>IFERROR(__xludf.DUMMYFUNCTION("""COMPUTED_VALUE"""),469.55116)</f>
        <v>469.55116</v>
      </c>
    </row>
    <row r="2668">
      <c r="A2668" s="3">
        <f>IFERROR(__xludf.DUMMYFUNCTION("""COMPUTED_VALUE"""),43168.99861111111)</f>
        <v>43168.99861</v>
      </c>
      <c r="B2668" s="1">
        <f>IFERROR(__xludf.DUMMYFUNCTION("""COMPUTED_VALUE"""),470.5209)</f>
        <v>470.5209</v>
      </c>
    </row>
    <row r="2669">
      <c r="A2669" s="3">
        <f>IFERROR(__xludf.DUMMYFUNCTION("""COMPUTED_VALUE"""),43170.99861111111)</f>
        <v>43170.99861</v>
      </c>
      <c r="B2669" s="1">
        <f>IFERROR(__xludf.DUMMYFUNCTION("""COMPUTED_VALUE"""),470.45152)</f>
        <v>470.45152</v>
      </c>
    </row>
    <row r="2670">
      <c r="A2670" s="3">
        <f>IFERROR(__xludf.DUMMYFUNCTION("""COMPUTED_VALUE"""),43171.99861111111)</f>
        <v>43171.99861</v>
      </c>
      <c r="B2670" s="1">
        <f>IFERROR(__xludf.DUMMYFUNCTION("""COMPUTED_VALUE"""),469.73325)</f>
        <v>469.73325</v>
      </c>
    </row>
    <row r="2671">
      <c r="A2671" s="3">
        <f>IFERROR(__xludf.DUMMYFUNCTION("""COMPUTED_VALUE"""),43172.99861111111)</f>
        <v>43172.99861</v>
      </c>
      <c r="B2671" s="1">
        <f>IFERROR(__xludf.DUMMYFUNCTION("""COMPUTED_VALUE"""),469.4958)</f>
        <v>469.4958</v>
      </c>
    </row>
    <row r="2672">
      <c r="A2672" s="3">
        <f>IFERROR(__xludf.DUMMYFUNCTION("""COMPUTED_VALUE"""),43173.99861111111)</f>
        <v>43173.99861</v>
      </c>
      <c r="B2672" s="1">
        <f>IFERROR(__xludf.DUMMYFUNCTION("""COMPUTED_VALUE"""),469.944)</f>
        <v>469.944</v>
      </c>
    </row>
    <row r="2673">
      <c r="A2673" s="3">
        <f>IFERROR(__xludf.DUMMYFUNCTION("""COMPUTED_VALUE"""),43174.99861111111)</f>
        <v>43174.99861</v>
      </c>
      <c r="B2673" s="1">
        <f>IFERROR(__xludf.DUMMYFUNCTION("""COMPUTED_VALUE"""),471.8994)</f>
        <v>471.8994</v>
      </c>
    </row>
    <row r="2674">
      <c r="A2674" s="3">
        <f>IFERROR(__xludf.DUMMYFUNCTION("""COMPUTED_VALUE"""),43175.99861111111)</f>
        <v>43175.99861</v>
      </c>
      <c r="B2674" s="1">
        <f>IFERROR(__xludf.DUMMYFUNCTION("""COMPUTED_VALUE"""),471.55664)</f>
        <v>471.55664</v>
      </c>
    </row>
    <row r="2675">
      <c r="A2675" s="3">
        <f>IFERROR(__xludf.DUMMYFUNCTION("""COMPUTED_VALUE"""),43177.99861111111)</f>
        <v>43177.99861</v>
      </c>
      <c r="B2675" s="1">
        <f>IFERROR(__xludf.DUMMYFUNCTION("""COMPUTED_VALUE"""),471.69388)</f>
        <v>471.69388</v>
      </c>
    </row>
    <row r="2676">
      <c r="A2676" s="3">
        <f>IFERROR(__xludf.DUMMYFUNCTION("""COMPUTED_VALUE"""),43178.99861111111)</f>
        <v>43178.99861</v>
      </c>
      <c r="B2676" s="1">
        <f>IFERROR(__xludf.DUMMYFUNCTION("""COMPUTED_VALUE"""),471.79446)</f>
        <v>471.79446</v>
      </c>
    </row>
    <row r="2677">
      <c r="A2677" s="3">
        <f>IFERROR(__xludf.DUMMYFUNCTION("""COMPUTED_VALUE"""),43179.99861111111)</f>
        <v>43179.99861</v>
      </c>
      <c r="B2677" s="1">
        <f>IFERROR(__xludf.DUMMYFUNCTION("""COMPUTED_VALUE"""),471.11004)</f>
        <v>471.11004</v>
      </c>
    </row>
    <row r="2678">
      <c r="A2678" s="3">
        <f>IFERROR(__xludf.DUMMYFUNCTION("""COMPUTED_VALUE"""),43180.99861111111)</f>
        <v>43180.99861</v>
      </c>
      <c r="B2678" s="1">
        <f>IFERROR(__xludf.DUMMYFUNCTION("""COMPUTED_VALUE"""),470.9038)</f>
        <v>470.9038</v>
      </c>
    </row>
    <row r="2679">
      <c r="A2679" s="3">
        <f>IFERROR(__xludf.DUMMYFUNCTION("""COMPUTED_VALUE"""),43181.99861111111)</f>
        <v>43181.99861</v>
      </c>
      <c r="B2679" s="1">
        <f>IFERROR(__xludf.DUMMYFUNCTION("""COMPUTED_VALUE"""),470.93696)</f>
        <v>470.93696</v>
      </c>
    </row>
    <row r="2680">
      <c r="A2680" s="3">
        <f>IFERROR(__xludf.DUMMYFUNCTION("""COMPUTED_VALUE"""),43182.99861111111)</f>
        <v>43182.99861</v>
      </c>
      <c r="B2680" s="1">
        <f>IFERROR(__xludf.DUMMYFUNCTION("""COMPUTED_VALUE"""),471.72448)</f>
        <v>471.72448</v>
      </c>
    </row>
    <row r="2681">
      <c r="A2681" s="3">
        <f>IFERROR(__xludf.DUMMYFUNCTION("""COMPUTED_VALUE"""),43183.99861111111)</f>
        <v>43183.99861</v>
      </c>
      <c r="B2681" s="1">
        <f>IFERROR(__xludf.DUMMYFUNCTION("""COMPUTED_VALUE"""),471.72448)</f>
        <v>471.72448</v>
      </c>
    </row>
    <row r="2682">
      <c r="A2682" s="3">
        <f>IFERROR(__xludf.DUMMYFUNCTION("""COMPUTED_VALUE"""),43184.99861111111)</f>
        <v>43184.99861</v>
      </c>
      <c r="B2682" s="1">
        <f>IFERROR(__xludf.DUMMYFUNCTION("""COMPUTED_VALUE"""),471.21088)</f>
        <v>471.21088</v>
      </c>
    </row>
    <row r="2683">
      <c r="A2683" s="3">
        <f>IFERROR(__xludf.DUMMYFUNCTION("""COMPUTED_VALUE"""),43185.99861111111)</f>
        <v>43185.99861</v>
      </c>
      <c r="B2683" s="1">
        <f>IFERROR(__xludf.DUMMYFUNCTION("""COMPUTED_VALUE"""),471.35048)</f>
        <v>471.35048</v>
      </c>
    </row>
    <row r="2684">
      <c r="A2684" s="3">
        <f>IFERROR(__xludf.DUMMYFUNCTION("""COMPUTED_VALUE"""),43186.99861111111)</f>
        <v>43186.99861</v>
      </c>
      <c r="B2684" s="1">
        <f>IFERROR(__xludf.DUMMYFUNCTION("""COMPUTED_VALUE"""),470.4576)</f>
        <v>470.4576</v>
      </c>
    </row>
    <row r="2685">
      <c r="A2685" s="3">
        <f>IFERROR(__xludf.DUMMYFUNCTION("""COMPUTED_VALUE"""),43187.99861111111)</f>
        <v>43187.99861</v>
      </c>
      <c r="B2685" s="1">
        <f>IFERROR(__xludf.DUMMYFUNCTION("""COMPUTED_VALUE"""),471.69324)</f>
        <v>471.69324</v>
      </c>
    </row>
    <row r="2686">
      <c r="A2686" s="3">
        <f>IFERROR(__xludf.DUMMYFUNCTION("""COMPUTED_VALUE"""),43188.99861111111)</f>
        <v>43188.99861</v>
      </c>
      <c r="B2686" s="1">
        <f>IFERROR(__xludf.DUMMYFUNCTION("""COMPUTED_VALUE"""),472.27781)</f>
        <v>472.27781</v>
      </c>
    </row>
    <row r="2687">
      <c r="A2687" s="3">
        <f>IFERROR(__xludf.DUMMYFUNCTION("""COMPUTED_VALUE"""),43189.99861111111)</f>
        <v>43189.99861</v>
      </c>
      <c r="B2687" s="1">
        <f>IFERROR(__xludf.DUMMYFUNCTION("""COMPUTED_VALUE"""),473.61728)</f>
        <v>473.61728</v>
      </c>
    </row>
    <row r="2688">
      <c r="A2688" s="3">
        <f>IFERROR(__xludf.DUMMYFUNCTION("""COMPUTED_VALUE"""),43190.99861111111)</f>
        <v>43190.99861</v>
      </c>
      <c r="B2688" s="1">
        <f>IFERROR(__xludf.DUMMYFUNCTION("""COMPUTED_VALUE"""),474.03104)</f>
        <v>474.03104</v>
      </c>
    </row>
    <row r="2689">
      <c r="A2689" s="3">
        <f>IFERROR(__xludf.DUMMYFUNCTION("""COMPUTED_VALUE"""),43191.99861111111)</f>
        <v>43191.99861</v>
      </c>
      <c r="B2689" s="1">
        <f>IFERROR(__xludf.DUMMYFUNCTION("""COMPUTED_VALUE"""),474.72064)</f>
        <v>474.72064</v>
      </c>
    </row>
    <row r="2690">
      <c r="A2690" s="3">
        <f>IFERROR(__xludf.DUMMYFUNCTION("""COMPUTED_VALUE"""),43192.99861111111)</f>
        <v>43192.99861</v>
      </c>
      <c r="B2690" s="1">
        <f>IFERROR(__xludf.DUMMYFUNCTION("""COMPUTED_VALUE"""),471.69388)</f>
        <v>471.69388</v>
      </c>
    </row>
    <row r="2691">
      <c r="A2691" s="3">
        <f>IFERROR(__xludf.DUMMYFUNCTION("""COMPUTED_VALUE"""),43193.99861111111)</f>
        <v>43193.99861</v>
      </c>
      <c r="B2691" s="1">
        <f>IFERROR(__xludf.DUMMYFUNCTION("""COMPUTED_VALUE"""),471.3163)</f>
        <v>471.3163</v>
      </c>
    </row>
    <row r="2692">
      <c r="A2692" s="3">
        <f>IFERROR(__xludf.DUMMYFUNCTION("""COMPUTED_VALUE"""),43194.99861111111)</f>
        <v>43194.99861</v>
      </c>
      <c r="B2692" s="1">
        <f>IFERROR(__xludf.DUMMYFUNCTION("""COMPUTED_VALUE"""),470.69673)</f>
        <v>470.69673</v>
      </c>
    </row>
    <row r="2693">
      <c r="A2693" s="3">
        <f>IFERROR(__xludf.DUMMYFUNCTION("""COMPUTED_VALUE"""),43195.99861111111)</f>
        <v>43195.99861</v>
      </c>
      <c r="B2693" s="1">
        <f>IFERROR(__xludf.DUMMYFUNCTION("""COMPUTED_VALUE"""),470.1792)</f>
        <v>470.1792</v>
      </c>
    </row>
    <row r="2694">
      <c r="A2694" s="3">
        <f>IFERROR(__xludf.DUMMYFUNCTION("""COMPUTED_VALUE"""),43196.99861111111)</f>
        <v>43196.99861</v>
      </c>
      <c r="B2694" s="1">
        <f>IFERROR(__xludf.DUMMYFUNCTION("""COMPUTED_VALUE"""),469.04304)</f>
        <v>469.04304</v>
      </c>
    </row>
    <row r="2695">
      <c r="A2695" s="3">
        <f>IFERROR(__xludf.DUMMYFUNCTION("""COMPUTED_VALUE"""),43197.99861111111)</f>
        <v>43197.99861</v>
      </c>
      <c r="B2695" s="1">
        <f>IFERROR(__xludf.DUMMYFUNCTION("""COMPUTED_VALUE"""),469.04304)</f>
        <v>469.04304</v>
      </c>
    </row>
    <row r="2696">
      <c r="A2696" s="3">
        <f>IFERROR(__xludf.DUMMYFUNCTION("""COMPUTED_VALUE"""),43198.99861111111)</f>
        <v>43198.99861</v>
      </c>
      <c r="B2696" s="1">
        <f>IFERROR(__xludf.DUMMYFUNCTION("""COMPUTED_VALUE"""),469.04304)</f>
        <v>469.04304</v>
      </c>
    </row>
    <row r="2697">
      <c r="A2697" s="3">
        <f>IFERROR(__xludf.DUMMYFUNCTION("""COMPUTED_VALUE"""),43199.99861111111)</f>
        <v>43199.99861</v>
      </c>
      <c r="B2697" s="1">
        <f>IFERROR(__xludf.DUMMYFUNCTION("""COMPUTED_VALUE"""),470.31488)</f>
        <v>470.31488</v>
      </c>
    </row>
    <row r="2698">
      <c r="A2698" s="3">
        <f>IFERROR(__xludf.DUMMYFUNCTION("""COMPUTED_VALUE"""),43200.99861111111)</f>
        <v>43200.99861</v>
      </c>
      <c r="B2698" s="1">
        <f>IFERROR(__xludf.DUMMYFUNCTION("""COMPUTED_VALUE"""),470.804346)</f>
        <v>470.804346</v>
      </c>
    </row>
    <row r="2699">
      <c r="A2699" s="3">
        <f>IFERROR(__xludf.DUMMYFUNCTION("""COMPUTED_VALUE"""),43201.99861111111)</f>
        <v>43201.99861</v>
      </c>
      <c r="B2699" s="1">
        <f>IFERROR(__xludf.DUMMYFUNCTION("""COMPUTED_VALUE"""),470.782305)</f>
        <v>470.782305</v>
      </c>
    </row>
    <row r="2700">
      <c r="A2700" s="3">
        <f>IFERROR(__xludf.DUMMYFUNCTION("""COMPUTED_VALUE"""),43202.99861111111)</f>
        <v>43202.99861</v>
      </c>
      <c r="B2700" s="1">
        <f>IFERROR(__xludf.DUMMYFUNCTION("""COMPUTED_VALUE"""),469.59237)</f>
        <v>469.59237</v>
      </c>
    </row>
    <row r="2701">
      <c r="A2701" s="3">
        <f>IFERROR(__xludf.DUMMYFUNCTION("""COMPUTED_VALUE"""),43203.99861111111)</f>
        <v>43203.99861</v>
      </c>
      <c r="B2701" s="1">
        <f>IFERROR(__xludf.DUMMYFUNCTION("""COMPUTED_VALUE"""),469.24752)</f>
        <v>469.24752</v>
      </c>
    </row>
    <row r="2702">
      <c r="A2702" s="3">
        <f>IFERROR(__xludf.DUMMYFUNCTION("""COMPUTED_VALUE"""),43205.99861111111)</f>
        <v>43205.99861</v>
      </c>
      <c r="B2702" s="1">
        <f>IFERROR(__xludf.DUMMYFUNCTION("""COMPUTED_VALUE"""),468.02064)</f>
        <v>468.02064</v>
      </c>
    </row>
    <row r="2703">
      <c r="A2703" s="3">
        <f>IFERROR(__xludf.DUMMYFUNCTION("""COMPUTED_VALUE"""),43206.99861111111)</f>
        <v>43206.99861</v>
      </c>
      <c r="B2703" s="1">
        <f>IFERROR(__xludf.DUMMYFUNCTION("""COMPUTED_VALUE"""),468.59464)</f>
        <v>468.59464</v>
      </c>
    </row>
    <row r="2704">
      <c r="A2704" s="3">
        <f>IFERROR(__xludf.DUMMYFUNCTION("""COMPUTED_VALUE"""),43207.99861111111)</f>
        <v>43207.99861</v>
      </c>
      <c r="B2704" s="1">
        <f>IFERROR(__xludf.DUMMYFUNCTION("""COMPUTED_VALUE"""),468.28828)</f>
        <v>468.28828</v>
      </c>
    </row>
    <row r="2705">
      <c r="A2705" s="3">
        <f>IFERROR(__xludf.DUMMYFUNCTION("""COMPUTED_VALUE"""),43208.99861111111)</f>
        <v>43208.99861</v>
      </c>
      <c r="B2705" s="1">
        <f>IFERROR(__xludf.DUMMYFUNCTION("""COMPUTED_VALUE"""),469.79828)</f>
        <v>469.79828</v>
      </c>
    </row>
    <row r="2706">
      <c r="A2706" s="3">
        <f>IFERROR(__xludf.DUMMYFUNCTION("""COMPUTED_VALUE"""),43209.99861111111)</f>
        <v>43209.99861</v>
      </c>
      <c r="B2706" s="1">
        <f>IFERROR(__xludf.DUMMYFUNCTION("""COMPUTED_VALUE"""),469.2)</f>
        <v>469.2</v>
      </c>
    </row>
    <row r="2707">
      <c r="A2707" s="3">
        <f>IFERROR(__xludf.DUMMYFUNCTION("""COMPUTED_VALUE"""),43210.99861111111)</f>
        <v>43210.99861</v>
      </c>
      <c r="B2707" s="1">
        <f>IFERROR(__xludf.DUMMYFUNCTION("""COMPUTED_VALUE"""),469.55456)</f>
        <v>469.55456</v>
      </c>
    </row>
    <row r="2708">
      <c r="A2708" s="3">
        <f>IFERROR(__xludf.DUMMYFUNCTION("""COMPUTED_VALUE"""),43211.99861111111)</f>
        <v>43211.99861</v>
      </c>
      <c r="B2708" s="1">
        <f>IFERROR(__xludf.DUMMYFUNCTION("""COMPUTED_VALUE"""),458.5870751)</f>
        <v>458.5870751</v>
      </c>
    </row>
    <row r="2709">
      <c r="A2709" s="3">
        <f>IFERROR(__xludf.DUMMYFUNCTION("""COMPUTED_VALUE"""),43212.99861111111)</f>
        <v>43212.99861</v>
      </c>
      <c r="B2709" s="1">
        <f>IFERROR(__xludf.DUMMYFUNCTION("""COMPUTED_VALUE"""),471.1761)</f>
        <v>471.1761</v>
      </c>
    </row>
    <row r="2710">
      <c r="A2710" s="3">
        <f>IFERROR(__xludf.DUMMYFUNCTION("""COMPUTED_VALUE"""),43213.99861111111)</f>
        <v>43213.99861</v>
      </c>
      <c r="B2710" s="1">
        <f>IFERROR(__xludf.DUMMYFUNCTION("""COMPUTED_VALUE"""),471.18375)</f>
        <v>471.18375</v>
      </c>
    </row>
    <row r="2711">
      <c r="A2711" s="3">
        <f>IFERROR(__xludf.DUMMYFUNCTION("""COMPUTED_VALUE"""),43214.99861111111)</f>
        <v>43214.99861</v>
      </c>
      <c r="B2711" s="1">
        <f>IFERROR(__xludf.DUMMYFUNCTION("""COMPUTED_VALUE"""),468.04128)</f>
        <v>468.04128</v>
      </c>
    </row>
    <row r="2712">
      <c r="A2712" s="3">
        <f>IFERROR(__xludf.DUMMYFUNCTION("""COMPUTED_VALUE"""),43215.99861111111)</f>
        <v>43215.99861</v>
      </c>
      <c r="B2712" s="1">
        <f>IFERROR(__xludf.DUMMYFUNCTION("""COMPUTED_VALUE"""),468.51354)</f>
        <v>468.51354</v>
      </c>
    </row>
    <row r="2713">
      <c r="A2713" s="3">
        <f>IFERROR(__xludf.DUMMYFUNCTION("""COMPUTED_VALUE"""),43216.99861111111)</f>
        <v>43216.99861</v>
      </c>
      <c r="B2713" s="1">
        <f>IFERROR(__xludf.DUMMYFUNCTION("""COMPUTED_VALUE"""),467.86109)</f>
        <v>467.86109</v>
      </c>
    </row>
    <row r="2714">
      <c r="A2714" s="3">
        <f>IFERROR(__xludf.DUMMYFUNCTION("""COMPUTED_VALUE"""),43217.99861111111)</f>
        <v>43217.99861</v>
      </c>
      <c r="B2714" s="1">
        <f>IFERROR(__xludf.DUMMYFUNCTION("""COMPUTED_VALUE"""),468.00116)</f>
        <v>468.00116</v>
      </c>
    </row>
    <row r="2715">
      <c r="A2715" s="3">
        <f>IFERROR(__xludf.DUMMYFUNCTION("""COMPUTED_VALUE"""),43219.99861111111)</f>
        <v>43219.99861</v>
      </c>
      <c r="B2715" s="1">
        <f>IFERROR(__xludf.DUMMYFUNCTION("""COMPUTED_VALUE"""),469.0834)</f>
        <v>469.0834</v>
      </c>
    </row>
    <row r="2716">
      <c r="A2716" s="3">
        <f>IFERROR(__xludf.DUMMYFUNCTION("""COMPUTED_VALUE"""),43220.99861111111)</f>
        <v>43220.99861</v>
      </c>
      <c r="B2716" s="1">
        <f>IFERROR(__xludf.DUMMYFUNCTION("""COMPUTED_VALUE"""),468.74172)</f>
        <v>468.74172</v>
      </c>
    </row>
    <row r="2717">
      <c r="A2717" s="3">
        <f>IFERROR(__xludf.DUMMYFUNCTION("""COMPUTED_VALUE"""),43221.99861111111)</f>
        <v>43221.99861</v>
      </c>
      <c r="B2717" s="1">
        <f>IFERROR(__xludf.DUMMYFUNCTION("""COMPUTED_VALUE"""),470.784041)</f>
        <v>470.784041</v>
      </c>
    </row>
    <row r="2718">
      <c r="A2718" s="3">
        <f>IFERROR(__xludf.DUMMYFUNCTION("""COMPUTED_VALUE"""),43222.99861111111)</f>
        <v>43222.99861</v>
      </c>
      <c r="B2718" s="1">
        <f>IFERROR(__xludf.DUMMYFUNCTION("""COMPUTED_VALUE"""),469.777165)</f>
        <v>469.777165</v>
      </c>
    </row>
    <row r="2719">
      <c r="A2719" s="3">
        <f>IFERROR(__xludf.DUMMYFUNCTION("""COMPUTED_VALUE"""),43223.99861111111)</f>
        <v>43223.99861</v>
      </c>
      <c r="B2719" s="1">
        <f>IFERROR(__xludf.DUMMYFUNCTION("""COMPUTED_VALUE"""),469.05677)</f>
        <v>469.05677</v>
      </c>
    </row>
    <row r="2720">
      <c r="A2720" s="3">
        <f>IFERROR(__xludf.DUMMYFUNCTION("""COMPUTED_VALUE"""),43224.99861111111)</f>
        <v>43224.99861</v>
      </c>
      <c r="B2720" s="1">
        <f>IFERROR(__xludf.DUMMYFUNCTION("""COMPUTED_VALUE"""),469.278117)</f>
        <v>469.278117</v>
      </c>
    </row>
    <row r="2721">
      <c r="A2721" s="3">
        <f>IFERROR(__xludf.DUMMYFUNCTION("""COMPUTED_VALUE"""),43225.99861111111)</f>
        <v>43225.99861</v>
      </c>
      <c r="B2721" s="1">
        <f>IFERROR(__xludf.DUMMYFUNCTION("""COMPUTED_VALUE"""),456.2671932)</f>
        <v>456.2671932</v>
      </c>
    </row>
    <row r="2722">
      <c r="A2722" s="3">
        <f>IFERROR(__xludf.DUMMYFUNCTION("""COMPUTED_VALUE"""),43226.99861111111)</f>
        <v>43226.99861</v>
      </c>
      <c r="B2722" s="1">
        <f>IFERROR(__xludf.DUMMYFUNCTION("""COMPUTED_VALUE"""),469.12411)</f>
        <v>469.12411</v>
      </c>
    </row>
    <row r="2723">
      <c r="A2723" s="3">
        <f>IFERROR(__xludf.DUMMYFUNCTION("""COMPUTED_VALUE"""),43227.99861111111)</f>
        <v>43227.99861</v>
      </c>
      <c r="B2723" s="1">
        <f>IFERROR(__xludf.DUMMYFUNCTION("""COMPUTED_VALUE"""),478.137435)</f>
        <v>478.137435</v>
      </c>
    </row>
    <row r="2724">
      <c r="A2724" s="3">
        <f>IFERROR(__xludf.DUMMYFUNCTION("""COMPUTED_VALUE"""),43228.99861111111)</f>
        <v>43228.99861</v>
      </c>
      <c r="B2724" s="1">
        <f>IFERROR(__xludf.DUMMYFUNCTION("""COMPUTED_VALUE"""),478.132632)</f>
        <v>478.132632</v>
      </c>
    </row>
    <row r="2725">
      <c r="A2725" s="3">
        <f>IFERROR(__xludf.DUMMYFUNCTION("""COMPUTED_VALUE"""),43229.99861111111)</f>
        <v>43229.99861</v>
      </c>
      <c r="B2725" s="1">
        <f>IFERROR(__xludf.DUMMYFUNCTION("""COMPUTED_VALUE"""),470.46039)</f>
        <v>470.46039</v>
      </c>
    </row>
    <row r="2726">
      <c r="A2726" s="3">
        <f>IFERROR(__xludf.DUMMYFUNCTION("""COMPUTED_VALUE"""),43230.99861111111)</f>
        <v>43230.99861</v>
      </c>
      <c r="B2726" s="1">
        <f>IFERROR(__xludf.DUMMYFUNCTION("""COMPUTED_VALUE"""),473.27499)</f>
        <v>473.27499</v>
      </c>
    </row>
    <row r="2727">
      <c r="A2727" s="3">
        <f>IFERROR(__xludf.DUMMYFUNCTION("""COMPUTED_VALUE"""),43231.99861111111)</f>
        <v>43231.99861</v>
      </c>
      <c r="B2727" s="1">
        <f>IFERROR(__xludf.DUMMYFUNCTION("""COMPUTED_VALUE"""),468.1052)</f>
        <v>468.1052</v>
      </c>
    </row>
    <row r="2728">
      <c r="A2728" s="3">
        <f>IFERROR(__xludf.DUMMYFUNCTION("""COMPUTED_VALUE"""),43232.99861111111)</f>
        <v>43232.99861</v>
      </c>
      <c r="B2728" s="1">
        <f>IFERROR(__xludf.DUMMYFUNCTION("""COMPUTED_VALUE"""),468.20594)</f>
        <v>468.20594</v>
      </c>
    </row>
    <row r="2729">
      <c r="A2729" s="3">
        <f>IFERROR(__xludf.DUMMYFUNCTION("""COMPUTED_VALUE"""),43233.99861111111)</f>
        <v>43233.99861</v>
      </c>
      <c r="B2729" s="1">
        <f>IFERROR(__xludf.DUMMYFUNCTION("""COMPUTED_VALUE"""),469.46081)</f>
        <v>469.46081</v>
      </c>
    </row>
    <row r="2730">
      <c r="A2730" s="3">
        <f>IFERROR(__xludf.DUMMYFUNCTION("""COMPUTED_VALUE"""),43234.99861111111)</f>
        <v>43234.99861</v>
      </c>
      <c r="B2730" s="1">
        <f>IFERROR(__xludf.DUMMYFUNCTION("""COMPUTED_VALUE"""),468.59828)</f>
        <v>468.59828</v>
      </c>
    </row>
    <row r="2731">
      <c r="A2731" s="3">
        <f>IFERROR(__xludf.DUMMYFUNCTION("""COMPUTED_VALUE"""),43235.99861111111)</f>
        <v>43235.99861</v>
      </c>
      <c r="B2731" s="1">
        <f>IFERROR(__xludf.DUMMYFUNCTION("""COMPUTED_VALUE"""),469.0229)</f>
        <v>469.0229</v>
      </c>
    </row>
    <row r="2732">
      <c r="A2732" s="3">
        <f>IFERROR(__xludf.DUMMYFUNCTION("""COMPUTED_VALUE"""),43236.99861111111)</f>
        <v>43236.99861</v>
      </c>
      <c r="B2732" s="1">
        <f>IFERROR(__xludf.DUMMYFUNCTION("""COMPUTED_VALUE"""),474.139692)</f>
        <v>474.139692</v>
      </c>
    </row>
    <row r="2733">
      <c r="A2733" s="3">
        <f>IFERROR(__xludf.DUMMYFUNCTION("""COMPUTED_VALUE"""),43237.99861111111)</f>
        <v>43237.99861</v>
      </c>
      <c r="B2733" s="1">
        <f>IFERROR(__xludf.DUMMYFUNCTION("""COMPUTED_VALUE"""),473.00997)</f>
        <v>473.00997</v>
      </c>
    </row>
    <row r="2734">
      <c r="A2734" s="3">
        <f>IFERROR(__xludf.DUMMYFUNCTION("""COMPUTED_VALUE"""),43238.99861111111)</f>
        <v>43238.99861</v>
      </c>
      <c r="B2734" s="1">
        <f>IFERROR(__xludf.DUMMYFUNCTION("""COMPUTED_VALUE"""),471.93426)</f>
        <v>471.93426</v>
      </c>
    </row>
    <row r="2735">
      <c r="A2735" s="3">
        <f>IFERROR(__xludf.DUMMYFUNCTION("""COMPUTED_VALUE"""),43239.99861111111)</f>
        <v>43239.99861</v>
      </c>
      <c r="B2735" s="1">
        <f>IFERROR(__xludf.DUMMYFUNCTION("""COMPUTED_VALUE"""),471.79292)</f>
        <v>471.79292</v>
      </c>
    </row>
    <row r="2736">
      <c r="A2736" s="3">
        <f>IFERROR(__xludf.DUMMYFUNCTION("""COMPUTED_VALUE"""),43240.99861111111)</f>
        <v>43240.99861</v>
      </c>
      <c r="B2736" s="1">
        <f>IFERROR(__xludf.DUMMYFUNCTION("""COMPUTED_VALUE"""),472.76094)</f>
        <v>472.76094</v>
      </c>
    </row>
    <row r="2737">
      <c r="A2737" s="3">
        <f>IFERROR(__xludf.DUMMYFUNCTION("""COMPUTED_VALUE"""),43241.99861111111)</f>
        <v>43241.99861</v>
      </c>
      <c r="B2737" s="1">
        <f>IFERROR(__xludf.DUMMYFUNCTION("""COMPUTED_VALUE"""),474.8058)</f>
        <v>474.8058</v>
      </c>
    </row>
    <row r="2738">
      <c r="A2738" s="3">
        <f>IFERROR(__xludf.DUMMYFUNCTION("""COMPUTED_VALUE"""),43242.99861111111)</f>
        <v>43242.99861</v>
      </c>
      <c r="B2738" s="1">
        <f>IFERROR(__xludf.DUMMYFUNCTION("""COMPUTED_VALUE"""),475.584792)</f>
        <v>475.584792</v>
      </c>
    </row>
    <row r="2739">
      <c r="A2739" s="3">
        <f>IFERROR(__xludf.DUMMYFUNCTION("""COMPUTED_VALUE"""),43243.99861111111)</f>
        <v>43243.99861</v>
      </c>
      <c r="B2739" s="1">
        <f>IFERROR(__xludf.DUMMYFUNCTION("""COMPUTED_VALUE"""),473.2446)</f>
        <v>473.2446</v>
      </c>
    </row>
    <row r="2740">
      <c r="A2740" s="3">
        <f>IFERROR(__xludf.DUMMYFUNCTION("""COMPUTED_VALUE"""),43244.99861111111)</f>
        <v>43244.99861</v>
      </c>
      <c r="B2740" s="1">
        <f>IFERROR(__xludf.DUMMYFUNCTION("""COMPUTED_VALUE"""),471.7416)</f>
        <v>471.7416</v>
      </c>
    </row>
    <row r="2741">
      <c r="A2741" s="3">
        <f>IFERROR(__xludf.DUMMYFUNCTION("""COMPUTED_VALUE"""),43245.99861111111)</f>
        <v>43245.99861</v>
      </c>
      <c r="B2741" s="1">
        <f>IFERROR(__xludf.DUMMYFUNCTION("""COMPUTED_VALUE"""),470.7096)</f>
        <v>470.7096</v>
      </c>
    </row>
    <row r="2742">
      <c r="A2742" s="3">
        <f>IFERROR(__xludf.DUMMYFUNCTION("""COMPUTED_VALUE"""),43246.99861111111)</f>
        <v>43246.99861</v>
      </c>
      <c r="B2742" s="1">
        <f>IFERROR(__xludf.DUMMYFUNCTION("""COMPUTED_VALUE"""),468.57456)</f>
        <v>468.57456</v>
      </c>
    </row>
    <row r="2743">
      <c r="A2743" s="3">
        <f>IFERROR(__xludf.DUMMYFUNCTION("""COMPUTED_VALUE"""),43247.99861111111)</f>
        <v>43247.99861</v>
      </c>
      <c r="B2743" s="1">
        <f>IFERROR(__xludf.DUMMYFUNCTION("""COMPUTED_VALUE"""),469.64208)</f>
        <v>469.64208</v>
      </c>
    </row>
    <row r="2744">
      <c r="A2744" s="3">
        <f>IFERROR(__xludf.DUMMYFUNCTION("""COMPUTED_VALUE"""),43248.99861111111)</f>
        <v>43248.99861</v>
      </c>
      <c r="B2744" s="1">
        <f>IFERROR(__xludf.DUMMYFUNCTION("""COMPUTED_VALUE"""),468.2142)</f>
        <v>468.2142</v>
      </c>
    </row>
    <row r="2745">
      <c r="A2745" s="3">
        <f>IFERROR(__xludf.DUMMYFUNCTION("""COMPUTED_VALUE"""),43249.99861111111)</f>
        <v>43249.99861</v>
      </c>
      <c r="B2745" s="1">
        <f>IFERROR(__xludf.DUMMYFUNCTION("""COMPUTED_VALUE"""),466.18367)</f>
        <v>466.18367</v>
      </c>
    </row>
    <row r="2746">
      <c r="A2746" s="3">
        <f>IFERROR(__xludf.DUMMYFUNCTION("""COMPUTED_VALUE"""),43250.99861111111)</f>
        <v>43250.99861</v>
      </c>
      <c r="B2746" s="1">
        <f>IFERROR(__xludf.DUMMYFUNCTION("""COMPUTED_VALUE"""),467.11134)</f>
        <v>467.11134</v>
      </c>
    </row>
    <row r="2747">
      <c r="A2747" s="3">
        <f>IFERROR(__xludf.DUMMYFUNCTION("""COMPUTED_VALUE"""),43251.99861111111)</f>
        <v>43251.99861</v>
      </c>
      <c r="B2747" s="1">
        <f>IFERROR(__xludf.DUMMYFUNCTION("""COMPUTED_VALUE"""),462.6204)</f>
        <v>462.6204</v>
      </c>
    </row>
    <row r="2748">
      <c r="A2748" s="3">
        <f>IFERROR(__xludf.DUMMYFUNCTION("""COMPUTED_VALUE"""),43252.99861111111)</f>
        <v>43252.99861</v>
      </c>
      <c r="B2748" s="1">
        <f>IFERROR(__xludf.DUMMYFUNCTION("""COMPUTED_VALUE"""),463.31344)</f>
        <v>463.31344</v>
      </c>
    </row>
    <row r="2749">
      <c r="A2749" s="3">
        <f>IFERROR(__xludf.DUMMYFUNCTION("""COMPUTED_VALUE"""),43253.99861111111)</f>
        <v>43253.99861</v>
      </c>
      <c r="B2749" s="1">
        <f>IFERROR(__xludf.DUMMYFUNCTION("""COMPUTED_VALUE"""),449.1006875)</f>
        <v>449.1006875</v>
      </c>
    </row>
    <row r="2750">
      <c r="A2750" s="3">
        <f>IFERROR(__xludf.DUMMYFUNCTION("""COMPUTED_VALUE"""),43254.99861111111)</f>
        <v>43254.99861</v>
      </c>
      <c r="B2750" s="1">
        <f>IFERROR(__xludf.DUMMYFUNCTION("""COMPUTED_VALUE"""),467.20176)</f>
        <v>467.20176</v>
      </c>
    </row>
    <row r="2751">
      <c r="A2751" s="3">
        <f>IFERROR(__xludf.DUMMYFUNCTION("""COMPUTED_VALUE"""),43255.99861111111)</f>
        <v>43255.99861</v>
      </c>
      <c r="B2751" s="1">
        <f>IFERROR(__xludf.DUMMYFUNCTION("""COMPUTED_VALUE"""),467.082)</f>
        <v>467.082</v>
      </c>
    </row>
    <row r="2752">
      <c r="A2752" s="3">
        <f>IFERROR(__xludf.DUMMYFUNCTION("""COMPUTED_VALUE"""),43256.99861111111)</f>
        <v>43256.99861</v>
      </c>
      <c r="B2752" s="1">
        <f>IFERROR(__xludf.DUMMYFUNCTION("""COMPUTED_VALUE"""),464.9224)</f>
        <v>464.9224</v>
      </c>
    </row>
    <row r="2753">
      <c r="A2753" s="3">
        <f>IFERROR(__xludf.DUMMYFUNCTION("""COMPUTED_VALUE"""),43257.99861111111)</f>
        <v>43257.99861</v>
      </c>
      <c r="B2753" s="1">
        <f>IFERROR(__xludf.DUMMYFUNCTION("""COMPUTED_VALUE"""),465.24852)</f>
        <v>465.24852</v>
      </c>
    </row>
    <row r="2754">
      <c r="A2754" s="3">
        <f>IFERROR(__xludf.DUMMYFUNCTION("""COMPUTED_VALUE"""),43258.99861111111)</f>
        <v>43258.99861</v>
      </c>
      <c r="B2754" s="1">
        <f>IFERROR(__xludf.DUMMYFUNCTION("""COMPUTED_VALUE"""),465.38091)</f>
        <v>465.38091</v>
      </c>
    </row>
    <row r="2755">
      <c r="A2755" s="3">
        <f>IFERROR(__xludf.DUMMYFUNCTION("""COMPUTED_VALUE"""),43259.99861111111)</f>
        <v>43259.99861</v>
      </c>
      <c r="B2755" s="1">
        <f>IFERROR(__xludf.DUMMYFUNCTION("""COMPUTED_VALUE"""),466.47684)</f>
        <v>466.47684</v>
      </c>
    </row>
    <row r="2756">
      <c r="A2756" s="3">
        <f>IFERROR(__xludf.DUMMYFUNCTION("""COMPUTED_VALUE"""),43260.99861111111)</f>
        <v>43260.99861</v>
      </c>
      <c r="B2756" s="1">
        <f>IFERROR(__xludf.DUMMYFUNCTION("""COMPUTED_VALUE"""),454.95114)</f>
        <v>454.95114</v>
      </c>
    </row>
    <row r="2757">
      <c r="A2757" s="3">
        <f>IFERROR(__xludf.DUMMYFUNCTION("""COMPUTED_VALUE"""),43261.99861111111)</f>
        <v>43261.99861</v>
      </c>
      <c r="B2757" s="1">
        <f>IFERROR(__xludf.DUMMYFUNCTION("""COMPUTED_VALUE"""),464.23368)</f>
        <v>464.23368</v>
      </c>
    </row>
    <row r="2758">
      <c r="A2758" s="3">
        <f>IFERROR(__xludf.DUMMYFUNCTION("""COMPUTED_VALUE"""),43262.99861111111)</f>
        <v>43262.99861</v>
      </c>
      <c r="B2758" s="1">
        <f>IFERROR(__xludf.DUMMYFUNCTION("""COMPUTED_VALUE"""),466.55973)</f>
        <v>466.55973</v>
      </c>
    </row>
    <row r="2759">
      <c r="A2759" s="3">
        <f>IFERROR(__xludf.DUMMYFUNCTION("""COMPUTED_VALUE"""),43263.99861111111)</f>
        <v>43263.99861</v>
      </c>
      <c r="B2759" s="1">
        <f>IFERROR(__xludf.DUMMYFUNCTION("""COMPUTED_VALUE"""),466.69896)</f>
        <v>466.69896</v>
      </c>
    </row>
    <row r="2760">
      <c r="A2760" s="3">
        <f>IFERROR(__xludf.DUMMYFUNCTION("""COMPUTED_VALUE"""),43264.99861111111)</f>
        <v>43264.99861</v>
      </c>
      <c r="B2760" s="1">
        <f>IFERROR(__xludf.DUMMYFUNCTION("""COMPUTED_VALUE"""),466.69896)</f>
        <v>466.69896</v>
      </c>
    </row>
    <row r="2761">
      <c r="A2761" s="3">
        <f>IFERROR(__xludf.DUMMYFUNCTION("""COMPUTED_VALUE"""),43265.99861111111)</f>
        <v>43265.99861</v>
      </c>
      <c r="B2761" s="1">
        <f>IFERROR(__xludf.DUMMYFUNCTION("""COMPUTED_VALUE"""),472.078402)</f>
        <v>472.078402</v>
      </c>
    </row>
    <row r="2762">
      <c r="A2762" s="3">
        <f>IFERROR(__xludf.DUMMYFUNCTION("""COMPUTED_VALUE"""),43266.99861111111)</f>
        <v>43266.99861</v>
      </c>
      <c r="B2762" s="1">
        <f>IFERROR(__xludf.DUMMYFUNCTION("""COMPUTED_VALUE"""),466.41387)</f>
        <v>466.41387</v>
      </c>
    </row>
    <row r="2763">
      <c r="A2763" s="3">
        <f>IFERROR(__xludf.DUMMYFUNCTION("""COMPUTED_VALUE"""),43268.99861111111)</f>
        <v>43268.99861</v>
      </c>
      <c r="B2763" s="1">
        <f>IFERROR(__xludf.DUMMYFUNCTION("""COMPUTED_VALUE"""),461.54745)</f>
        <v>461.54745</v>
      </c>
    </row>
    <row r="2764">
      <c r="A2764" s="3">
        <f>IFERROR(__xludf.DUMMYFUNCTION("""COMPUTED_VALUE"""),43269.99861111111)</f>
        <v>43269.99861</v>
      </c>
      <c r="B2764" s="1">
        <f>IFERROR(__xludf.DUMMYFUNCTION("""COMPUTED_VALUE"""),461.12976)</f>
        <v>461.12976</v>
      </c>
    </row>
    <row r="2765">
      <c r="A2765" s="3">
        <f>IFERROR(__xludf.DUMMYFUNCTION("""COMPUTED_VALUE"""),43270.99861111111)</f>
        <v>43270.99861</v>
      </c>
      <c r="B2765" s="1">
        <f>IFERROR(__xludf.DUMMYFUNCTION("""COMPUTED_VALUE"""),460.99053)</f>
        <v>460.99053</v>
      </c>
    </row>
    <row r="2766">
      <c r="A2766" s="3">
        <f>IFERROR(__xludf.DUMMYFUNCTION("""COMPUTED_VALUE"""),43271.99861111111)</f>
        <v>43271.99861</v>
      </c>
      <c r="B2766" s="1">
        <f>IFERROR(__xludf.DUMMYFUNCTION("""COMPUTED_VALUE"""),461.12976)</f>
        <v>461.12976</v>
      </c>
    </row>
    <row r="2767">
      <c r="A2767" s="3">
        <f>IFERROR(__xludf.DUMMYFUNCTION("""COMPUTED_VALUE"""),43272.99861111111)</f>
        <v>43272.99861</v>
      </c>
      <c r="B2767" s="1">
        <f>IFERROR(__xludf.DUMMYFUNCTION("""COMPUTED_VALUE"""),464.1996)</f>
        <v>464.1996</v>
      </c>
    </row>
    <row r="2768">
      <c r="A2768" s="3">
        <f>IFERROR(__xludf.DUMMYFUNCTION("""COMPUTED_VALUE"""),43273.99861111111)</f>
        <v>43273.99861</v>
      </c>
      <c r="B2768" s="1">
        <f>IFERROR(__xludf.DUMMYFUNCTION("""COMPUTED_VALUE"""),464.756522)</f>
        <v>464.756522</v>
      </c>
    </row>
    <row r="2769">
      <c r="A2769" s="3">
        <f>IFERROR(__xludf.DUMMYFUNCTION("""COMPUTED_VALUE"""),43275.99861111111)</f>
        <v>43275.99861</v>
      </c>
      <c r="B2769" s="1">
        <f>IFERROR(__xludf.DUMMYFUNCTION("""COMPUTED_VALUE"""),463.98681)</f>
        <v>463.98681</v>
      </c>
    </row>
    <row r="2770">
      <c r="A2770" s="3">
        <f>IFERROR(__xludf.DUMMYFUNCTION("""COMPUTED_VALUE"""),43276.99861111111)</f>
        <v>43276.99861</v>
      </c>
      <c r="B2770" s="1">
        <f>IFERROR(__xludf.DUMMYFUNCTION("""COMPUTED_VALUE"""),465.89364)</f>
        <v>465.89364</v>
      </c>
    </row>
    <row r="2771">
      <c r="A2771" s="3">
        <f>IFERROR(__xludf.DUMMYFUNCTION("""COMPUTED_VALUE"""),43277.99861111111)</f>
        <v>43277.99861</v>
      </c>
      <c r="B2771" s="1">
        <f>IFERROR(__xludf.DUMMYFUNCTION("""COMPUTED_VALUE"""),466.0758)</f>
        <v>466.0758</v>
      </c>
    </row>
    <row r="2772">
      <c r="A2772" s="3">
        <f>IFERROR(__xludf.DUMMYFUNCTION("""COMPUTED_VALUE"""),43278.99861111111)</f>
        <v>43278.99861</v>
      </c>
      <c r="B2772" s="1">
        <f>IFERROR(__xludf.DUMMYFUNCTION("""COMPUTED_VALUE"""),466.3386)</f>
        <v>466.3386</v>
      </c>
    </row>
    <row r="2773">
      <c r="A2773" s="3">
        <f>IFERROR(__xludf.DUMMYFUNCTION("""COMPUTED_VALUE"""),43279.99861111111)</f>
        <v>43279.99861</v>
      </c>
      <c r="B2773" s="1">
        <f>IFERROR(__xludf.DUMMYFUNCTION("""COMPUTED_VALUE"""),468.958)</f>
        <v>468.958</v>
      </c>
    </row>
    <row r="2774">
      <c r="A2774" s="3">
        <f>IFERROR(__xludf.DUMMYFUNCTION("""COMPUTED_VALUE"""),43280.99861111111)</f>
        <v>43280.99861</v>
      </c>
      <c r="B2774" s="1">
        <f>IFERROR(__xludf.DUMMYFUNCTION("""COMPUTED_VALUE"""),468.01167)</f>
        <v>468.01167</v>
      </c>
    </row>
    <row r="2775">
      <c r="A2775" s="3">
        <f>IFERROR(__xludf.DUMMYFUNCTION("""COMPUTED_VALUE"""),43281.99861111111)</f>
        <v>43281.99861</v>
      </c>
      <c r="B2775" s="1">
        <f>IFERROR(__xludf.DUMMYFUNCTION("""COMPUTED_VALUE"""),468.01167)</f>
        <v>468.01167</v>
      </c>
    </row>
    <row r="2776">
      <c r="A2776" s="3">
        <f>IFERROR(__xludf.DUMMYFUNCTION("""COMPUTED_VALUE"""),43282.99861111111)</f>
        <v>43282.99861</v>
      </c>
      <c r="B2776" s="1">
        <f>IFERROR(__xludf.DUMMYFUNCTION("""COMPUTED_VALUE"""),469.45443)</f>
        <v>469.45443</v>
      </c>
    </row>
    <row r="2777">
      <c r="A2777" s="3">
        <f>IFERROR(__xludf.DUMMYFUNCTION("""COMPUTED_VALUE"""),43283.99861111111)</f>
        <v>43283.99861</v>
      </c>
      <c r="B2777" s="1">
        <f>IFERROR(__xludf.DUMMYFUNCTION("""COMPUTED_VALUE"""),469.43384)</f>
        <v>469.43384</v>
      </c>
    </row>
    <row r="2778">
      <c r="A2778" s="3">
        <f>IFERROR(__xludf.DUMMYFUNCTION("""COMPUTED_VALUE"""),43284.99861111111)</f>
        <v>43284.99861</v>
      </c>
      <c r="B2778" s="1">
        <f>IFERROR(__xludf.DUMMYFUNCTION("""COMPUTED_VALUE"""),469.91722)</f>
        <v>469.91722</v>
      </c>
    </row>
    <row r="2779">
      <c r="A2779" s="3">
        <f>IFERROR(__xludf.DUMMYFUNCTION("""COMPUTED_VALUE"""),43285.99861111111)</f>
        <v>43285.99861</v>
      </c>
      <c r="B2779" s="1">
        <f>IFERROR(__xludf.DUMMYFUNCTION("""COMPUTED_VALUE"""),471.6)</f>
        <v>471.6</v>
      </c>
    </row>
    <row r="2780">
      <c r="A2780" s="3">
        <f>IFERROR(__xludf.DUMMYFUNCTION("""COMPUTED_VALUE"""),43286.99861111111)</f>
        <v>43286.99861</v>
      </c>
      <c r="B2780" s="1">
        <f>IFERROR(__xludf.DUMMYFUNCTION("""COMPUTED_VALUE"""),470.9057)</f>
        <v>470.9057</v>
      </c>
    </row>
    <row r="2781">
      <c r="A2781" s="3">
        <f>IFERROR(__xludf.DUMMYFUNCTION("""COMPUTED_VALUE"""),43287.99861111111)</f>
        <v>43287.99861</v>
      </c>
      <c r="B2781" s="1">
        <f>IFERROR(__xludf.DUMMYFUNCTION("""COMPUTED_VALUE"""),470.68371)</f>
        <v>470.68371</v>
      </c>
    </row>
    <row r="2782">
      <c r="A2782" s="3">
        <f>IFERROR(__xludf.DUMMYFUNCTION("""COMPUTED_VALUE"""),43288.99861111111)</f>
        <v>43288.99861</v>
      </c>
      <c r="B2782" s="1">
        <f>IFERROR(__xludf.DUMMYFUNCTION("""COMPUTED_VALUE"""),470.712384)</f>
        <v>470.712384</v>
      </c>
    </row>
    <row r="2783">
      <c r="A2783" s="3">
        <f>IFERROR(__xludf.DUMMYFUNCTION("""COMPUTED_VALUE"""),43289.99861111111)</f>
        <v>43289.99861</v>
      </c>
      <c r="B2783" s="1">
        <f>IFERROR(__xludf.DUMMYFUNCTION("""COMPUTED_VALUE"""),469.727424)</f>
        <v>469.727424</v>
      </c>
    </row>
    <row r="2784">
      <c r="A2784" s="3">
        <f>IFERROR(__xludf.DUMMYFUNCTION("""COMPUTED_VALUE"""),43290.99861111111)</f>
        <v>43290.99861</v>
      </c>
      <c r="B2784" s="1">
        <f>IFERROR(__xludf.DUMMYFUNCTION("""COMPUTED_VALUE"""),471.704871)</f>
        <v>471.704871</v>
      </c>
    </row>
    <row r="2785">
      <c r="A2785" s="3">
        <f>IFERROR(__xludf.DUMMYFUNCTION("""COMPUTED_VALUE"""),43291.99861111111)</f>
        <v>43291.99861</v>
      </c>
      <c r="B2785" s="1">
        <f>IFERROR(__xludf.DUMMYFUNCTION("""COMPUTED_VALUE"""),471.313125)</f>
        <v>471.313125</v>
      </c>
    </row>
    <row r="2786">
      <c r="A2786" s="3">
        <f>IFERROR(__xludf.DUMMYFUNCTION("""COMPUTED_VALUE"""),43292.99861111111)</f>
        <v>43292.99861</v>
      </c>
      <c r="B2786" s="1">
        <f>IFERROR(__xludf.DUMMYFUNCTION("""COMPUTED_VALUE"""),468.7228)</f>
        <v>468.7228</v>
      </c>
    </row>
    <row r="2787">
      <c r="A2787" s="3">
        <f>IFERROR(__xludf.DUMMYFUNCTION("""COMPUTED_VALUE"""),43293.99861111111)</f>
        <v>43293.99861</v>
      </c>
      <c r="B2787" s="1">
        <f>IFERROR(__xludf.DUMMYFUNCTION("""COMPUTED_VALUE"""),471.497145)</f>
        <v>471.497145</v>
      </c>
    </row>
    <row r="2788">
      <c r="A2788" s="3">
        <f>IFERROR(__xludf.DUMMYFUNCTION("""COMPUTED_VALUE"""),43294.99861111111)</f>
        <v>43294.99861</v>
      </c>
      <c r="B2788" s="1">
        <f>IFERROR(__xludf.DUMMYFUNCTION("""COMPUTED_VALUE"""),469.7573268)</f>
        <v>469.7573268</v>
      </c>
    </row>
    <row r="2789">
      <c r="A2789" s="3">
        <f>IFERROR(__xludf.DUMMYFUNCTION("""COMPUTED_VALUE"""),43295.99861111111)</f>
        <v>43295.99861</v>
      </c>
      <c r="B2789" s="1">
        <f>IFERROR(__xludf.DUMMYFUNCTION("""COMPUTED_VALUE"""),469.767132)</f>
        <v>469.767132</v>
      </c>
    </row>
    <row r="2790">
      <c r="A2790" s="3">
        <f>IFERROR(__xludf.DUMMYFUNCTION("""COMPUTED_VALUE"""),43296.99861111111)</f>
        <v>43296.99861</v>
      </c>
      <c r="B2790" s="1">
        <f>IFERROR(__xludf.DUMMYFUNCTION("""COMPUTED_VALUE"""),469.767132)</f>
        <v>469.767132</v>
      </c>
    </row>
    <row r="2791">
      <c r="A2791" s="3">
        <f>IFERROR(__xludf.DUMMYFUNCTION("""COMPUTED_VALUE"""),43297.99861111111)</f>
        <v>43297.99861</v>
      </c>
      <c r="B2791" s="1">
        <f>IFERROR(__xludf.DUMMYFUNCTION("""COMPUTED_VALUE"""),470.5419525)</f>
        <v>470.5419525</v>
      </c>
    </row>
    <row r="2792">
      <c r="A2792" s="3">
        <f>IFERROR(__xludf.DUMMYFUNCTION("""COMPUTED_VALUE"""),43298.99861111111)</f>
        <v>43298.99861</v>
      </c>
      <c r="B2792" s="1">
        <f>IFERROR(__xludf.DUMMYFUNCTION("""COMPUTED_VALUE"""),471.148667)</f>
        <v>471.148667</v>
      </c>
    </row>
    <row r="2793">
      <c r="A2793" s="3">
        <f>IFERROR(__xludf.DUMMYFUNCTION("""COMPUTED_VALUE"""),43299.99861111111)</f>
        <v>43299.99861</v>
      </c>
      <c r="B2793" s="1">
        <f>IFERROR(__xludf.DUMMYFUNCTION("""COMPUTED_VALUE"""),472.07629)</f>
        <v>472.07629</v>
      </c>
    </row>
    <row r="2794">
      <c r="A2794" s="3">
        <f>IFERROR(__xludf.DUMMYFUNCTION("""COMPUTED_VALUE"""),43300.99861111111)</f>
        <v>43300.99861</v>
      </c>
      <c r="B2794" s="1">
        <f>IFERROR(__xludf.DUMMYFUNCTION("""COMPUTED_VALUE"""),471.266164)</f>
        <v>471.266164</v>
      </c>
    </row>
    <row r="2795">
      <c r="A2795" s="3">
        <f>IFERROR(__xludf.DUMMYFUNCTION("""COMPUTED_VALUE"""),43301.99861111111)</f>
        <v>43301.99861</v>
      </c>
      <c r="B2795" s="1">
        <f>IFERROR(__xludf.DUMMYFUNCTION("""COMPUTED_VALUE"""),473.3455113)</f>
        <v>473.3455113</v>
      </c>
    </row>
    <row r="2796">
      <c r="A2796" s="3">
        <f>IFERROR(__xludf.DUMMYFUNCTION("""COMPUTED_VALUE"""),43302.99861111111)</f>
        <v>43302.99861</v>
      </c>
      <c r="B2796" s="1">
        <f>IFERROR(__xludf.DUMMYFUNCTION("""COMPUTED_VALUE"""),462.7705477)</f>
        <v>462.7705477</v>
      </c>
    </row>
    <row r="2797">
      <c r="A2797" s="3">
        <f>IFERROR(__xludf.DUMMYFUNCTION("""COMPUTED_VALUE"""),43303.99861111111)</f>
        <v>43303.99861</v>
      </c>
      <c r="B2797" s="1">
        <f>IFERROR(__xludf.DUMMYFUNCTION("""COMPUTED_VALUE"""),472.963167)</f>
        <v>472.963167</v>
      </c>
    </row>
    <row r="2798">
      <c r="A2798" s="3">
        <f>IFERROR(__xludf.DUMMYFUNCTION("""COMPUTED_VALUE"""),43304.99861111111)</f>
        <v>43304.99861</v>
      </c>
      <c r="B2798" s="1">
        <f>IFERROR(__xludf.DUMMYFUNCTION("""COMPUTED_VALUE"""),476.0659)</f>
        <v>476.0659</v>
      </c>
    </row>
    <row r="2799">
      <c r="A2799" s="3">
        <f>IFERROR(__xludf.DUMMYFUNCTION("""COMPUTED_VALUE"""),43305.99861111111)</f>
        <v>43305.99861</v>
      </c>
      <c r="B2799" s="1">
        <f>IFERROR(__xludf.DUMMYFUNCTION("""COMPUTED_VALUE"""),474.8823749)</f>
        <v>474.8823749</v>
      </c>
    </row>
    <row r="2800">
      <c r="A2800" s="3">
        <f>IFERROR(__xludf.DUMMYFUNCTION("""COMPUTED_VALUE"""),43306.99861111111)</f>
        <v>43306.99861</v>
      </c>
      <c r="B2800" s="1">
        <f>IFERROR(__xludf.DUMMYFUNCTION("""COMPUTED_VALUE"""),475.37776)</f>
        <v>475.37776</v>
      </c>
    </row>
    <row r="2801">
      <c r="A2801" s="3">
        <f>IFERROR(__xludf.DUMMYFUNCTION("""COMPUTED_VALUE"""),43307.99861111111)</f>
        <v>43307.99861</v>
      </c>
      <c r="B2801" s="1">
        <f>IFERROR(__xludf.DUMMYFUNCTION("""COMPUTED_VALUE"""),474.53175)</f>
        <v>474.53175</v>
      </c>
    </row>
    <row r="2802">
      <c r="A2802" s="3">
        <f>IFERROR(__xludf.DUMMYFUNCTION("""COMPUTED_VALUE"""),43308.99861111111)</f>
        <v>43308.99861</v>
      </c>
      <c r="B2802" s="1">
        <f>IFERROR(__xludf.DUMMYFUNCTION("""COMPUTED_VALUE"""),470.1657078)</f>
        <v>470.1657078</v>
      </c>
    </row>
    <row r="2803">
      <c r="A2803" s="3">
        <f>IFERROR(__xludf.DUMMYFUNCTION("""COMPUTED_VALUE"""),43310.99861111111)</f>
        <v>43310.99861</v>
      </c>
      <c r="B2803" s="1">
        <f>IFERROR(__xludf.DUMMYFUNCTION("""COMPUTED_VALUE"""),471.182056)</f>
        <v>471.182056</v>
      </c>
    </row>
    <row r="2804">
      <c r="A2804" s="3">
        <f>IFERROR(__xludf.DUMMYFUNCTION("""COMPUTED_VALUE"""),43311.99861111111)</f>
        <v>43311.99861</v>
      </c>
      <c r="B2804" s="1">
        <f>IFERROR(__xludf.DUMMYFUNCTION("""COMPUTED_VALUE"""),470.661234)</f>
        <v>470.661234</v>
      </c>
    </row>
    <row r="2805">
      <c r="A2805" s="3">
        <f>IFERROR(__xludf.DUMMYFUNCTION("""COMPUTED_VALUE"""),43312.99861111111)</f>
        <v>43312.99861</v>
      </c>
      <c r="B2805" s="1">
        <f>IFERROR(__xludf.DUMMYFUNCTION("""COMPUTED_VALUE"""),470.8782468)</f>
        <v>470.8782468</v>
      </c>
    </row>
    <row r="2806">
      <c r="A2806" s="3">
        <f>IFERROR(__xludf.DUMMYFUNCTION("""COMPUTED_VALUE"""),43313.99861111111)</f>
        <v>43313.99861</v>
      </c>
      <c r="B2806" s="1">
        <f>IFERROR(__xludf.DUMMYFUNCTION("""COMPUTED_VALUE"""),473.080339)</f>
        <v>473.080339</v>
      </c>
    </row>
    <row r="2807">
      <c r="A2807" s="3">
        <f>IFERROR(__xludf.DUMMYFUNCTION("""COMPUTED_VALUE"""),43314.99861111111)</f>
        <v>43314.99861</v>
      </c>
      <c r="B2807" s="1">
        <f>IFERROR(__xludf.DUMMYFUNCTION("""COMPUTED_VALUE"""),473.021575)</f>
        <v>473.021575</v>
      </c>
    </row>
    <row r="2808">
      <c r="A2808" s="3">
        <f>IFERROR(__xludf.DUMMYFUNCTION("""COMPUTED_VALUE"""),43315.99861111111)</f>
        <v>43315.99861</v>
      </c>
      <c r="B2808" s="1">
        <f>IFERROR(__xludf.DUMMYFUNCTION("""COMPUTED_VALUE"""),472.9538272)</f>
        <v>472.9538272</v>
      </c>
    </row>
    <row r="2809">
      <c r="A2809" s="3">
        <f>IFERROR(__xludf.DUMMYFUNCTION("""COMPUTED_VALUE"""),43317.99861111111)</f>
        <v>43317.99861</v>
      </c>
      <c r="B2809" s="1">
        <f>IFERROR(__xludf.DUMMYFUNCTION("""COMPUTED_VALUE"""),473.359022)</f>
        <v>473.359022</v>
      </c>
    </row>
    <row r="2810">
      <c r="A2810" s="3">
        <f>IFERROR(__xludf.DUMMYFUNCTION("""COMPUTED_VALUE"""),43318.99861111111)</f>
        <v>43318.99861</v>
      </c>
      <c r="B2810" s="1">
        <f>IFERROR(__xludf.DUMMYFUNCTION("""COMPUTED_VALUE"""),475.2459574)</f>
        <v>475.2459574</v>
      </c>
    </row>
    <row r="2811">
      <c r="A2811" s="3">
        <f>IFERROR(__xludf.DUMMYFUNCTION("""COMPUTED_VALUE"""),43319.99861111111)</f>
        <v>43319.99861</v>
      </c>
      <c r="B2811" s="1">
        <f>IFERROR(__xludf.DUMMYFUNCTION("""COMPUTED_VALUE"""),472.89738)</f>
        <v>472.89738</v>
      </c>
    </row>
    <row r="2812">
      <c r="A2812" s="3">
        <f>IFERROR(__xludf.DUMMYFUNCTION("""COMPUTED_VALUE"""),43320.99861111111)</f>
        <v>43320.99861</v>
      </c>
      <c r="B2812" s="1">
        <f>IFERROR(__xludf.DUMMYFUNCTION("""COMPUTED_VALUE"""),470.483446)</f>
        <v>470.483446</v>
      </c>
    </row>
    <row r="2813">
      <c r="A2813" s="3">
        <f>IFERROR(__xludf.DUMMYFUNCTION("""COMPUTED_VALUE"""),43321.99861111111)</f>
        <v>43321.99861</v>
      </c>
      <c r="B2813" s="1">
        <f>IFERROR(__xludf.DUMMYFUNCTION("""COMPUTED_VALUE"""),472.597632)</f>
        <v>472.597632</v>
      </c>
    </row>
    <row r="2814">
      <c r="A2814" s="3">
        <f>IFERROR(__xludf.DUMMYFUNCTION("""COMPUTED_VALUE"""),43322.99861111111)</f>
        <v>43322.99861</v>
      </c>
      <c r="B2814" s="1">
        <f>IFERROR(__xludf.DUMMYFUNCTION("""COMPUTED_VALUE"""),470.839038)</f>
        <v>470.839038</v>
      </c>
    </row>
    <row r="2815">
      <c r="A2815" s="3">
        <f>IFERROR(__xludf.DUMMYFUNCTION("""COMPUTED_VALUE"""),43324.99861111111)</f>
        <v>43324.99861</v>
      </c>
      <c r="B2815" s="1">
        <f>IFERROR(__xludf.DUMMYFUNCTION("""COMPUTED_VALUE"""),470.502757)</f>
        <v>470.502757</v>
      </c>
    </row>
    <row r="2816">
      <c r="A2816" s="3">
        <f>IFERROR(__xludf.DUMMYFUNCTION("""COMPUTED_VALUE"""),43325.99861111111)</f>
        <v>43325.99861</v>
      </c>
      <c r="B2816" s="1">
        <f>IFERROR(__xludf.DUMMYFUNCTION("""COMPUTED_VALUE"""),472.641284)</f>
        <v>472.641284</v>
      </c>
    </row>
    <row r="2817">
      <c r="A2817" s="3">
        <f>IFERROR(__xludf.DUMMYFUNCTION("""COMPUTED_VALUE"""),43326.99861111111)</f>
        <v>43326.99861</v>
      </c>
      <c r="B2817" s="1">
        <f>IFERROR(__xludf.DUMMYFUNCTION("""COMPUTED_VALUE"""),474.76685)</f>
        <v>474.76685</v>
      </c>
    </row>
    <row r="2818">
      <c r="A2818" s="3">
        <f>IFERROR(__xludf.DUMMYFUNCTION("""COMPUTED_VALUE"""),43327.99861111111)</f>
        <v>43327.99861</v>
      </c>
      <c r="B2818" s="1">
        <f>IFERROR(__xludf.DUMMYFUNCTION("""COMPUTED_VALUE"""),471.7389222)</f>
        <v>471.7389222</v>
      </c>
    </row>
    <row r="2819">
      <c r="A2819" s="3">
        <f>IFERROR(__xludf.DUMMYFUNCTION("""COMPUTED_VALUE"""),43328.99861111111)</f>
        <v>43328.99861</v>
      </c>
      <c r="B2819" s="1">
        <f>IFERROR(__xludf.DUMMYFUNCTION("""COMPUTED_VALUE"""),474.381507)</f>
        <v>474.381507</v>
      </c>
    </row>
    <row r="2820">
      <c r="A2820" s="3">
        <f>IFERROR(__xludf.DUMMYFUNCTION("""COMPUTED_VALUE"""),43329.99861111111)</f>
        <v>43329.99861</v>
      </c>
      <c r="B2820" s="1">
        <f>IFERROR(__xludf.DUMMYFUNCTION("""COMPUTED_VALUE"""),474.455588)</f>
        <v>474.455588</v>
      </c>
    </row>
    <row r="2821">
      <c r="A2821" s="3">
        <f>IFERROR(__xludf.DUMMYFUNCTION("""COMPUTED_VALUE"""),43331.99861111111)</f>
        <v>43331.99861</v>
      </c>
      <c r="B2821" s="1">
        <f>IFERROR(__xludf.DUMMYFUNCTION("""COMPUTED_VALUE"""),474.886908)</f>
        <v>474.886908</v>
      </c>
    </row>
    <row r="2822">
      <c r="A2822" s="3">
        <f>IFERROR(__xludf.DUMMYFUNCTION("""COMPUTED_VALUE"""),43332.99861111111)</f>
        <v>43332.99861</v>
      </c>
      <c r="B2822" s="1">
        <f>IFERROR(__xludf.DUMMYFUNCTION("""COMPUTED_VALUE"""),473.77467)</f>
        <v>473.77467</v>
      </c>
    </row>
    <row r="2823">
      <c r="A2823" s="3">
        <f>IFERROR(__xludf.DUMMYFUNCTION("""COMPUTED_VALUE"""),43333.99861111111)</f>
        <v>43333.99861</v>
      </c>
      <c r="B2823" s="1">
        <f>IFERROR(__xludf.DUMMYFUNCTION("""COMPUTED_VALUE"""),475.20055)</f>
        <v>475.20055</v>
      </c>
    </row>
    <row r="2824">
      <c r="A2824" s="3">
        <f>IFERROR(__xludf.DUMMYFUNCTION("""COMPUTED_VALUE"""),43334.99861111111)</f>
        <v>43334.99861</v>
      </c>
      <c r="B2824" s="1">
        <f>IFERROR(__xludf.DUMMYFUNCTION("""COMPUTED_VALUE"""),474.697472)</f>
        <v>474.697472</v>
      </c>
    </row>
    <row r="2825">
      <c r="A2825" s="3">
        <f>IFERROR(__xludf.DUMMYFUNCTION("""COMPUTED_VALUE"""),43335.99861111111)</f>
        <v>43335.99861</v>
      </c>
      <c r="B2825" s="1">
        <f>IFERROR(__xludf.DUMMYFUNCTION("""COMPUTED_VALUE"""),475.436208)</f>
        <v>475.436208</v>
      </c>
    </row>
    <row r="2826">
      <c r="A2826" s="3">
        <f>IFERROR(__xludf.DUMMYFUNCTION("""COMPUTED_VALUE"""),43336.99861111111)</f>
        <v>43336.99861</v>
      </c>
      <c r="B2826" s="1">
        <f>IFERROR(__xludf.DUMMYFUNCTION("""COMPUTED_VALUE"""),474.64261)</f>
        <v>474.64261</v>
      </c>
    </row>
    <row r="2827">
      <c r="A2827" s="3">
        <f>IFERROR(__xludf.DUMMYFUNCTION("""COMPUTED_VALUE"""),43338.99861111111)</f>
        <v>43338.99861</v>
      </c>
      <c r="B2827" s="1">
        <f>IFERROR(__xludf.DUMMYFUNCTION("""COMPUTED_VALUE"""),474.390456)</f>
        <v>474.390456</v>
      </c>
    </row>
    <row r="2828">
      <c r="A2828" s="3">
        <f>IFERROR(__xludf.DUMMYFUNCTION("""COMPUTED_VALUE"""),43339.99861111111)</f>
        <v>43339.99861</v>
      </c>
      <c r="B2828" s="1">
        <f>IFERROR(__xludf.DUMMYFUNCTION("""COMPUTED_VALUE"""),473.984274)</f>
        <v>473.984274</v>
      </c>
    </row>
    <row r="2829">
      <c r="A2829" s="3">
        <f>IFERROR(__xludf.DUMMYFUNCTION("""COMPUTED_VALUE"""),43340.99861111111)</f>
        <v>43340.99861</v>
      </c>
      <c r="B2829" s="1">
        <f>IFERROR(__xludf.DUMMYFUNCTION("""COMPUTED_VALUE"""),478.552327)</f>
        <v>478.552327</v>
      </c>
    </row>
    <row r="2830">
      <c r="A2830" s="3">
        <f>IFERROR(__xludf.DUMMYFUNCTION("""COMPUTED_VALUE"""),43341.99861111111)</f>
        <v>43341.99861</v>
      </c>
      <c r="B2830" s="1">
        <f>IFERROR(__xludf.DUMMYFUNCTION("""COMPUTED_VALUE"""),477.05843)</f>
        <v>477.05843</v>
      </c>
    </row>
    <row r="2831">
      <c r="A2831" s="3">
        <f>IFERROR(__xludf.DUMMYFUNCTION("""COMPUTED_VALUE"""),43342.99861111111)</f>
        <v>43342.99861</v>
      </c>
      <c r="B2831" s="1">
        <f>IFERROR(__xludf.DUMMYFUNCTION("""COMPUTED_VALUE"""),480.29256)</f>
        <v>480.29256</v>
      </c>
    </row>
    <row r="2832">
      <c r="A2832" s="3">
        <f>IFERROR(__xludf.DUMMYFUNCTION("""COMPUTED_VALUE"""),43343.99861111111)</f>
        <v>43343.99861</v>
      </c>
      <c r="B2832" s="1">
        <f>IFERROR(__xludf.DUMMYFUNCTION("""COMPUTED_VALUE"""),479.65215)</f>
        <v>479.65215</v>
      </c>
    </row>
    <row r="2833">
      <c r="A2833" s="3">
        <f>IFERROR(__xludf.DUMMYFUNCTION("""COMPUTED_VALUE"""),43344.99861111111)</f>
        <v>43344.99861</v>
      </c>
      <c r="B2833" s="1">
        <f>IFERROR(__xludf.DUMMYFUNCTION("""COMPUTED_VALUE"""),479.587002)</f>
        <v>479.587002</v>
      </c>
    </row>
    <row r="2834">
      <c r="A2834" s="3">
        <f>IFERROR(__xludf.DUMMYFUNCTION("""COMPUTED_VALUE"""),43345.99861111111)</f>
        <v>43345.99861</v>
      </c>
      <c r="B2834" s="1">
        <f>IFERROR(__xludf.DUMMYFUNCTION("""COMPUTED_VALUE"""),479.587002)</f>
        <v>479.587002</v>
      </c>
    </row>
    <row r="2835">
      <c r="A2835" s="3">
        <f>IFERROR(__xludf.DUMMYFUNCTION("""COMPUTED_VALUE"""),43346.99861111111)</f>
        <v>43346.99861</v>
      </c>
      <c r="B2835" s="1">
        <f>IFERROR(__xludf.DUMMYFUNCTION("""COMPUTED_VALUE"""),482.18832)</f>
        <v>482.18832</v>
      </c>
    </row>
    <row r="2836">
      <c r="A2836" s="3">
        <f>IFERROR(__xludf.DUMMYFUNCTION("""COMPUTED_VALUE"""),43347.99861111111)</f>
        <v>43347.99861</v>
      </c>
      <c r="B2836" s="1">
        <f>IFERROR(__xludf.DUMMYFUNCTION("""COMPUTED_VALUE"""),485.62811)</f>
        <v>485.62811</v>
      </c>
    </row>
    <row r="2837">
      <c r="A2837" s="3">
        <f>IFERROR(__xludf.DUMMYFUNCTION("""COMPUTED_VALUE"""),43348.99861111111)</f>
        <v>43348.99861</v>
      </c>
      <c r="B2837" s="1">
        <f>IFERROR(__xludf.DUMMYFUNCTION("""COMPUTED_VALUE"""),487.0265088)</f>
        <v>487.0265088</v>
      </c>
    </row>
    <row r="2838">
      <c r="A2838" s="3">
        <f>IFERROR(__xludf.DUMMYFUNCTION("""COMPUTED_VALUE"""),43349.99861111111)</f>
        <v>43349.99861</v>
      </c>
      <c r="B2838" s="1">
        <f>IFERROR(__xludf.DUMMYFUNCTION("""COMPUTED_VALUE"""),483.769319)</f>
        <v>483.769319</v>
      </c>
    </row>
    <row r="2839">
      <c r="A2839" s="3">
        <f>IFERROR(__xludf.DUMMYFUNCTION("""COMPUTED_VALUE"""),43350.99861111111)</f>
        <v>43350.99861</v>
      </c>
      <c r="B2839" s="1">
        <f>IFERROR(__xludf.DUMMYFUNCTION("""COMPUTED_VALUE"""),485.6380095)</f>
        <v>485.6380095</v>
      </c>
    </row>
    <row r="2840">
      <c r="A2840" s="3">
        <f>IFERROR(__xludf.DUMMYFUNCTION("""COMPUTED_VALUE"""),43351.99861111111)</f>
        <v>43351.99861</v>
      </c>
      <c r="B2840" s="1">
        <f>IFERROR(__xludf.DUMMYFUNCTION("""COMPUTED_VALUE"""),480.400403)</f>
        <v>480.400403</v>
      </c>
    </row>
    <row r="2841">
      <c r="A2841" s="3">
        <f>IFERROR(__xludf.DUMMYFUNCTION("""COMPUTED_VALUE"""),43352.99861111111)</f>
        <v>43352.99861</v>
      </c>
      <c r="B2841" s="1">
        <f>IFERROR(__xludf.DUMMYFUNCTION("""COMPUTED_VALUE"""),480.400403)</f>
        <v>480.400403</v>
      </c>
    </row>
    <row r="2842">
      <c r="A2842" s="3">
        <f>IFERROR(__xludf.DUMMYFUNCTION("""COMPUTED_VALUE"""),43353.99861111111)</f>
        <v>43353.99861</v>
      </c>
      <c r="B2842" s="1">
        <f>IFERROR(__xludf.DUMMYFUNCTION("""COMPUTED_VALUE"""),481.7782475)</f>
        <v>481.7782475</v>
      </c>
    </row>
    <row r="2843">
      <c r="A2843" s="3">
        <f>IFERROR(__xludf.DUMMYFUNCTION("""COMPUTED_VALUE"""),43354.99861111111)</f>
        <v>43354.99861</v>
      </c>
      <c r="B2843" s="1">
        <f>IFERROR(__xludf.DUMMYFUNCTION("""COMPUTED_VALUE"""),482.157989)</f>
        <v>482.157989</v>
      </c>
    </row>
    <row r="2844">
      <c r="A2844" s="3">
        <f>IFERROR(__xludf.DUMMYFUNCTION("""COMPUTED_VALUE"""),43355.99861111111)</f>
        <v>43355.99861</v>
      </c>
      <c r="B2844" s="1">
        <f>IFERROR(__xludf.DUMMYFUNCTION("""COMPUTED_VALUE"""),481.553254)</f>
        <v>481.553254</v>
      </c>
    </row>
    <row r="2845">
      <c r="A2845" s="3">
        <f>IFERROR(__xludf.DUMMYFUNCTION("""COMPUTED_VALUE"""),43356.99861111111)</f>
        <v>43356.99861</v>
      </c>
      <c r="B2845" s="1">
        <f>IFERROR(__xludf.DUMMYFUNCTION("""COMPUTED_VALUE"""),479.7133)</f>
        <v>479.7133</v>
      </c>
    </row>
    <row r="2846">
      <c r="A2846" s="3">
        <f>IFERROR(__xludf.DUMMYFUNCTION("""COMPUTED_VALUE"""),43357.99861111111)</f>
        <v>43357.99861</v>
      </c>
      <c r="B2846" s="1">
        <f>IFERROR(__xludf.DUMMYFUNCTION("""COMPUTED_VALUE"""),480.751281)</f>
        <v>480.751281</v>
      </c>
    </row>
    <row r="2847">
      <c r="A2847" s="3">
        <f>IFERROR(__xludf.DUMMYFUNCTION("""COMPUTED_VALUE"""),43359.99861111111)</f>
        <v>43359.99861</v>
      </c>
      <c r="B2847" s="1">
        <f>IFERROR(__xludf.DUMMYFUNCTION("""COMPUTED_VALUE"""),480.946167)</f>
        <v>480.946167</v>
      </c>
    </row>
    <row r="2848">
      <c r="A2848" s="3">
        <f>IFERROR(__xludf.DUMMYFUNCTION("""COMPUTED_VALUE"""),43360.99861111111)</f>
        <v>43360.99861</v>
      </c>
      <c r="B2848" s="1">
        <f>IFERROR(__xludf.DUMMYFUNCTION("""COMPUTED_VALUE"""),483.5416027)</f>
        <v>483.5416027</v>
      </c>
    </row>
    <row r="2849">
      <c r="A2849" s="3">
        <f>IFERROR(__xludf.DUMMYFUNCTION("""COMPUTED_VALUE"""),43361.99861111111)</f>
        <v>43361.99861</v>
      </c>
      <c r="B2849" s="1">
        <f>IFERROR(__xludf.DUMMYFUNCTION("""COMPUTED_VALUE"""),483.489707)</f>
        <v>483.489707</v>
      </c>
    </row>
    <row r="2850">
      <c r="A2850" s="3">
        <f>IFERROR(__xludf.DUMMYFUNCTION("""COMPUTED_VALUE"""),43362.99861111111)</f>
        <v>43362.99861</v>
      </c>
      <c r="B2850" s="1">
        <f>IFERROR(__xludf.DUMMYFUNCTION("""COMPUTED_VALUE"""),484.68624)</f>
        <v>484.68624</v>
      </c>
    </row>
    <row r="2851">
      <c r="A2851" s="3">
        <f>IFERROR(__xludf.DUMMYFUNCTION("""COMPUTED_VALUE"""),43363.99861111111)</f>
        <v>43363.99861</v>
      </c>
      <c r="B2851" s="1">
        <f>IFERROR(__xludf.DUMMYFUNCTION("""COMPUTED_VALUE"""),482.48496)</f>
        <v>482.48496</v>
      </c>
    </row>
    <row r="2852">
      <c r="A2852" s="3">
        <f>IFERROR(__xludf.DUMMYFUNCTION("""COMPUTED_VALUE"""),43364.99861111111)</f>
        <v>43364.99861</v>
      </c>
      <c r="B2852" s="1">
        <f>IFERROR(__xludf.DUMMYFUNCTION("""COMPUTED_VALUE"""),484.80778)</f>
        <v>484.80778</v>
      </c>
    </row>
    <row r="2853">
      <c r="A2853" s="3">
        <f>IFERROR(__xludf.DUMMYFUNCTION("""COMPUTED_VALUE"""),43365.99861111111)</f>
        <v>43365.99861</v>
      </c>
      <c r="B2853" s="1">
        <f>IFERROR(__xludf.DUMMYFUNCTION("""COMPUTED_VALUE"""),483.16744)</f>
        <v>483.16744</v>
      </c>
    </row>
    <row r="2854">
      <c r="A2854" s="3">
        <f>IFERROR(__xludf.DUMMYFUNCTION("""COMPUTED_VALUE"""),43366.99861111111)</f>
        <v>43366.99861</v>
      </c>
      <c r="B2854" s="1">
        <f>IFERROR(__xludf.DUMMYFUNCTION("""COMPUTED_VALUE"""),483.345184)</f>
        <v>483.345184</v>
      </c>
    </row>
    <row r="2855">
      <c r="A2855" s="3">
        <f>IFERROR(__xludf.DUMMYFUNCTION("""COMPUTED_VALUE"""),43367.99861111111)</f>
        <v>43367.99861</v>
      </c>
      <c r="B2855" s="1">
        <f>IFERROR(__xludf.DUMMYFUNCTION("""COMPUTED_VALUE"""),484.111936)</f>
        <v>484.111936</v>
      </c>
    </row>
    <row r="2856">
      <c r="A2856" s="3">
        <f>IFERROR(__xludf.DUMMYFUNCTION("""COMPUTED_VALUE"""),43368.99861111111)</f>
        <v>43368.99861</v>
      </c>
      <c r="B2856" s="1">
        <f>IFERROR(__xludf.DUMMYFUNCTION("""COMPUTED_VALUE"""),490.5571255)</f>
        <v>490.5571255</v>
      </c>
    </row>
    <row r="2857">
      <c r="A2857" s="3">
        <f>IFERROR(__xludf.DUMMYFUNCTION("""COMPUTED_VALUE"""),43369.99861111111)</f>
        <v>43369.99861</v>
      </c>
      <c r="B2857" s="1">
        <f>IFERROR(__xludf.DUMMYFUNCTION("""COMPUTED_VALUE"""),489.365145)</f>
        <v>489.365145</v>
      </c>
    </row>
    <row r="2858">
      <c r="A2858" s="3">
        <f>IFERROR(__xludf.DUMMYFUNCTION("""COMPUTED_VALUE"""),43370.99861111111)</f>
        <v>43370.99861</v>
      </c>
      <c r="B2858" s="1">
        <f>IFERROR(__xludf.DUMMYFUNCTION("""COMPUTED_VALUE"""),488.3221616)</f>
        <v>488.3221616</v>
      </c>
    </row>
    <row r="2859">
      <c r="A2859" s="3">
        <f>IFERROR(__xludf.DUMMYFUNCTION("""COMPUTED_VALUE"""),43371.99861111111)</f>
        <v>43371.99861</v>
      </c>
      <c r="B2859" s="1">
        <f>IFERROR(__xludf.DUMMYFUNCTION("""COMPUTED_VALUE"""),488.80892)</f>
        <v>488.80892</v>
      </c>
    </row>
    <row r="2860">
      <c r="A2860" s="3">
        <f>IFERROR(__xludf.DUMMYFUNCTION("""COMPUTED_VALUE"""),43373.99861111111)</f>
        <v>43373.99861</v>
      </c>
      <c r="B2860" s="1">
        <f>IFERROR(__xludf.DUMMYFUNCTION("""COMPUTED_VALUE"""),488.964424)</f>
        <v>488.964424</v>
      </c>
    </row>
    <row r="2861">
      <c r="A2861" s="3">
        <f>IFERROR(__xludf.DUMMYFUNCTION("""COMPUTED_VALUE"""),43374.99861111111)</f>
        <v>43374.99861</v>
      </c>
      <c r="B2861" s="1">
        <f>IFERROR(__xludf.DUMMYFUNCTION("""COMPUTED_VALUE"""),492.7246156)</f>
        <v>492.7246156</v>
      </c>
    </row>
    <row r="2862">
      <c r="A2862" s="3">
        <f>IFERROR(__xludf.DUMMYFUNCTION("""COMPUTED_VALUE"""),43375.99861111111)</f>
        <v>43375.99861</v>
      </c>
      <c r="B2862" s="1">
        <f>IFERROR(__xludf.DUMMYFUNCTION("""COMPUTED_VALUE"""),490.283914)</f>
        <v>490.283914</v>
      </c>
    </row>
    <row r="2863">
      <c r="A2863" s="3">
        <f>IFERROR(__xludf.DUMMYFUNCTION("""COMPUTED_VALUE"""),43376.99861111111)</f>
        <v>43376.99861</v>
      </c>
      <c r="B2863" s="1">
        <f>IFERROR(__xludf.DUMMYFUNCTION("""COMPUTED_VALUE"""),492.1602528)</f>
        <v>492.1602528</v>
      </c>
    </row>
    <row r="2864">
      <c r="A2864" s="3">
        <f>IFERROR(__xludf.DUMMYFUNCTION("""COMPUTED_VALUE"""),43377.99861111111)</f>
        <v>43377.99861</v>
      </c>
      <c r="B2864" s="1">
        <f>IFERROR(__xludf.DUMMYFUNCTION("""COMPUTED_VALUE"""),499.6489914)</f>
        <v>499.6489914</v>
      </c>
    </row>
    <row r="2865">
      <c r="A2865" s="3">
        <f>IFERROR(__xludf.DUMMYFUNCTION("""COMPUTED_VALUE"""),43378.99861111111)</f>
        <v>43378.99861</v>
      </c>
      <c r="B2865" s="1">
        <f>IFERROR(__xludf.DUMMYFUNCTION("""COMPUTED_VALUE"""),488.2895075)</f>
        <v>488.2895075</v>
      </c>
    </row>
    <row r="2866">
      <c r="A2866" s="3">
        <f>IFERROR(__xludf.DUMMYFUNCTION("""COMPUTED_VALUE"""),43379.99861111111)</f>
        <v>43379.99861</v>
      </c>
      <c r="B2866" s="1">
        <f>IFERROR(__xludf.DUMMYFUNCTION("""COMPUTED_VALUE"""),479.6045984)</f>
        <v>479.6045984</v>
      </c>
    </row>
    <row r="2867">
      <c r="A2867" s="3">
        <f>IFERROR(__xludf.DUMMYFUNCTION("""COMPUTED_VALUE"""),43380.99861111111)</f>
        <v>43380.99861</v>
      </c>
      <c r="B2867" s="1">
        <f>IFERROR(__xludf.DUMMYFUNCTION("""COMPUTED_VALUE"""),490.54309)</f>
        <v>490.54309</v>
      </c>
    </row>
    <row r="2868">
      <c r="A2868" s="3">
        <f>IFERROR(__xludf.DUMMYFUNCTION("""COMPUTED_VALUE"""),43381.99861111111)</f>
        <v>43381.99861</v>
      </c>
      <c r="B2868" s="1">
        <f>IFERROR(__xludf.DUMMYFUNCTION("""COMPUTED_VALUE"""),497.0504)</f>
        <v>497.0504</v>
      </c>
    </row>
    <row r="2869">
      <c r="A2869" s="3">
        <f>IFERROR(__xludf.DUMMYFUNCTION("""COMPUTED_VALUE"""),43382.99861111111)</f>
        <v>43382.99861</v>
      </c>
      <c r="B2869" s="1">
        <f>IFERROR(__xludf.DUMMYFUNCTION("""COMPUTED_VALUE"""),491.520224)</f>
        <v>491.520224</v>
      </c>
    </row>
    <row r="2870">
      <c r="A2870" s="3">
        <f>IFERROR(__xludf.DUMMYFUNCTION("""COMPUTED_VALUE"""),43383.99861111111)</f>
        <v>43383.99861</v>
      </c>
      <c r="B2870" s="1">
        <f>IFERROR(__xludf.DUMMYFUNCTION("""COMPUTED_VALUE"""),488.62738)</f>
        <v>488.62738</v>
      </c>
    </row>
    <row r="2871">
      <c r="A2871" s="3">
        <f>IFERROR(__xludf.DUMMYFUNCTION("""COMPUTED_VALUE"""),43384.99861111111)</f>
        <v>43384.99861</v>
      </c>
      <c r="B2871" s="1">
        <f>IFERROR(__xludf.DUMMYFUNCTION("""COMPUTED_VALUE"""),493.9499712)</f>
        <v>493.9499712</v>
      </c>
    </row>
    <row r="2872">
      <c r="A2872" s="3">
        <f>IFERROR(__xludf.DUMMYFUNCTION("""COMPUTED_VALUE"""),43385.99861111111)</f>
        <v>43385.99861</v>
      </c>
      <c r="B2872" s="1">
        <f>IFERROR(__xludf.DUMMYFUNCTION("""COMPUTED_VALUE"""),491.0192065)</f>
        <v>491.0192065</v>
      </c>
    </row>
    <row r="2873">
      <c r="A2873" s="3">
        <f>IFERROR(__xludf.DUMMYFUNCTION("""COMPUTED_VALUE"""),43387.99861111111)</f>
        <v>43387.99861</v>
      </c>
      <c r="B2873" s="1">
        <f>IFERROR(__xludf.DUMMYFUNCTION("""COMPUTED_VALUE"""),491.488122)</f>
        <v>491.488122</v>
      </c>
    </row>
    <row r="2874">
      <c r="A2874" s="3">
        <f>IFERROR(__xludf.DUMMYFUNCTION("""COMPUTED_VALUE"""),43388.99861111111)</f>
        <v>43388.99861</v>
      </c>
      <c r="B2874" s="1">
        <f>IFERROR(__xludf.DUMMYFUNCTION("""COMPUTED_VALUE"""),492.431058)</f>
        <v>492.431058</v>
      </c>
    </row>
    <row r="2875">
      <c r="A2875" s="3">
        <f>IFERROR(__xludf.DUMMYFUNCTION("""COMPUTED_VALUE"""),43389.99861111111)</f>
        <v>43389.99861</v>
      </c>
      <c r="B2875" s="1">
        <f>IFERROR(__xludf.DUMMYFUNCTION("""COMPUTED_VALUE"""),492.511481)</f>
        <v>492.511481</v>
      </c>
    </row>
    <row r="2876">
      <c r="A2876" s="3">
        <f>IFERROR(__xludf.DUMMYFUNCTION("""COMPUTED_VALUE"""),43390.99861111111)</f>
        <v>43390.99861</v>
      </c>
      <c r="B2876" s="1">
        <f>IFERROR(__xludf.DUMMYFUNCTION("""COMPUTED_VALUE"""),495.0823062)</f>
        <v>495.0823062</v>
      </c>
    </row>
    <row r="2877">
      <c r="A2877" s="3">
        <f>IFERROR(__xludf.DUMMYFUNCTION("""COMPUTED_VALUE"""),43391.99861111111)</f>
        <v>43391.99861</v>
      </c>
      <c r="B2877" s="1">
        <f>IFERROR(__xludf.DUMMYFUNCTION("""COMPUTED_VALUE"""),494.834637)</f>
        <v>494.834637</v>
      </c>
    </row>
    <row r="2878">
      <c r="A2878" s="3">
        <f>IFERROR(__xludf.DUMMYFUNCTION("""COMPUTED_VALUE"""),43392.99861111111)</f>
        <v>43392.99861</v>
      </c>
      <c r="B2878" s="1">
        <f>IFERROR(__xludf.DUMMYFUNCTION("""COMPUTED_VALUE"""),490.615967)</f>
        <v>490.615967</v>
      </c>
    </row>
    <row r="2879">
      <c r="A2879" s="3">
        <f>IFERROR(__xludf.DUMMYFUNCTION("""COMPUTED_VALUE"""),43394.99861111111)</f>
        <v>43394.99861</v>
      </c>
      <c r="B2879" s="1">
        <f>IFERROR(__xludf.DUMMYFUNCTION("""COMPUTED_VALUE"""),491.059807)</f>
        <v>491.059807</v>
      </c>
    </row>
    <row r="2880">
      <c r="A2880" s="3">
        <f>IFERROR(__xludf.DUMMYFUNCTION("""COMPUTED_VALUE"""),43395.99861111111)</f>
        <v>43395.99861</v>
      </c>
      <c r="B2880" s="1">
        <f>IFERROR(__xludf.DUMMYFUNCTION("""COMPUTED_VALUE"""),494.4083683)</f>
        <v>494.4083683</v>
      </c>
    </row>
    <row r="2881">
      <c r="A2881" s="3">
        <f>IFERROR(__xludf.DUMMYFUNCTION("""COMPUTED_VALUE"""),43396.99861111111)</f>
        <v>43396.99861</v>
      </c>
      <c r="B2881" s="1">
        <f>IFERROR(__xludf.DUMMYFUNCTION("""COMPUTED_VALUE"""),490.274253)</f>
        <v>490.274253</v>
      </c>
    </row>
    <row r="2882">
      <c r="A2882" s="3">
        <f>IFERROR(__xludf.DUMMYFUNCTION("""COMPUTED_VALUE"""),43397.99861111111)</f>
        <v>43397.99861</v>
      </c>
      <c r="B2882" s="1">
        <f>IFERROR(__xludf.DUMMYFUNCTION("""COMPUTED_VALUE"""),493.601857)</f>
        <v>493.601857</v>
      </c>
    </row>
    <row r="2883">
      <c r="A2883" s="3">
        <f>IFERROR(__xludf.DUMMYFUNCTION("""COMPUTED_VALUE"""),43398.99861111111)</f>
        <v>43398.99861</v>
      </c>
      <c r="B2883" s="1">
        <f>IFERROR(__xludf.DUMMYFUNCTION("""COMPUTED_VALUE"""),493.5889123)</f>
        <v>493.5889123</v>
      </c>
    </row>
    <row r="2884">
      <c r="A2884" s="3">
        <f>IFERROR(__xludf.DUMMYFUNCTION("""COMPUTED_VALUE"""),43399.99861111111)</f>
        <v>43399.99861</v>
      </c>
      <c r="B2884" s="1">
        <f>IFERROR(__xludf.DUMMYFUNCTION("""COMPUTED_VALUE"""),490.3677586)</f>
        <v>490.3677586</v>
      </c>
    </row>
    <row r="2885">
      <c r="A2885" s="3">
        <f>IFERROR(__xludf.DUMMYFUNCTION("""COMPUTED_VALUE"""),43400.99861111111)</f>
        <v>43400.99861</v>
      </c>
      <c r="B2885" s="1">
        <f>IFERROR(__xludf.DUMMYFUNCTION("""COMPUTED_VALUE"""),490.75065)</f>
        <v>490.75065</v>
      </c>
    </row>
    <row r="2886">
      <c r="A2886" s="3">
        <f>IFERROR(__xludf.DUMMYFUNCTION("""COMPUTED_VALUE"""),43401.99861111111)</f>
        <v>43401.99861</v>
      </c>
      <c r="B2886" s="1">
        <f>IFERROR(__xludf.DUMMYFUNCTION("""COMPUTED_VALUE"""),490.75065)</f>
        <v>490.75065</v>
      </c>
    </row>
    <row r="2887">
      <c r="A2887" s="3">
        <f>IFERROR(__xludf.DUMMYFUNCTION("""COMPUTED_VALUE"""),43402.99861111111)</f>
        <v>43402.99861</v>
      </c>
      <c r="B2887" s="1">
        <f>IFERROR(__xludf.DUMMYFUNCTION("""COMPUTED_VALUE"""),494.6390652)</f>
        <v>494.6390652</v>
      </c>
    </row>
    <row r="2888">
      <c r="A2888" s="3">
        <f>IFERROR(__xludf.DUMMYFUNCTION("""COMPUTED_VALUE"""),43403.99861111111)</f>
        <v>43403.99861</v>
      </c>
      <c r="B2888" s="1">
        <f>IFERROR(__xludf.DUMMYFUNCTION("""COMPUTED_VALUE"""),494.4666125)</f>
        <v>494.4666125</v>
      </c>
    </row>
    <row r="2889">
      <c r="A2889" s="3">
        <f>IFERROR(__xludf.DUMMYFUNCTION("""COMPUTED_VALUE"""),43404.99861111111)</f>
        <v>43404.99861</v>
      </c>
      <c r="B2889" s="1">
        <f>IFERROR(__xludf.DUMMYFUNCTION("""COMPUTED_VALUE"""),490.815604)</f>
        <v>490.815604</v>
      </c>
    </row>
    <row r="2890">
      <c r="A2890" s="3">
        <f>IFERROR(__xludf.DUMMYFUNCTION("""COMPUTED_VALUE"""),43405.99861111111)</f>
        <v>43405.99861</v>
      </c>
      <c r="B2890" s="1">
        <f>IFERROR(__xludf.DUMMYFUNCTION("""COMPUTED_VALUE"""),491.6314062)</f>
        <v>491.6314062</v>
      </c>
    </row>
    <row r="2891">
      <c r="A2891" s="3">
        <f>IFERROR(__xludf.DUMMYFUNCTION("""COMPUTED_VALUE"""),43406.99861111111)</f>
        <v>43406.99861</v>
      </c>
      <c r="B2891" s="1">
        <f>IFERROR(__xludf.DUMMYFUNCTION("""COMPUTED_VALUE"""),488.121414)</f>
        <v>488.121414</v>
      </c>
    </row>
    <row r="2892">
      <c r="A2892" s="3">
        <f>IFERROR(__xludf.DUMMYFUNCTION("""COMPUTED_VALUE"""),43408.99861111111)</f>
        <v>43408.99861</v>
      </c>
      <c r="B2892" s="1">
        <f>IFERROR(__xludf.DUMMYFUNCTION("""COMPUTED_VALUE"""),488.076576)</f>
        <v>488.076576</v>
      </c>
    </row>
    <row r="2893">
      <c r="A2893" s="3">
        <f>IFERROR(__xludf.DUMMYFUNCTION("""COMPUTED_VALUE"""),43409.99861111111)</f>
        <v>43409.99861</v>
      </c>
      <c r="B2893" s="1">
        <f>IFERROR(__xludf.DUMMYFUNCTION("""COMPUTED_VALUE"""),485.6533152)</f>
        <v>485.6533152</v>
      </c>
    </row>
    <row r="2894">
      <c r="A2894" s="3">
        <f>IFERROR(__xludf.DUMMYFUNCTION("""COMPUTED_VALUE"""),43410.99861111111)</f>
        <v>43410.99861</v>
      </c>
      <c r="B2894" s="1">
        <f>IFERROR(__xludf.DUMMYFUNCTION("""COMPUTED_VALUE"""),483.26521)</f>
        <v>483.26521</v>
      </c>
    </row>
    <row r="2895">
      <c r="A2895" s="3">
        <f>IFERROR(__xludf.DUMMYFUNCTION("""COMPUTED_VALUE"""),43411.99861111111)</f>
        <v>43411.99861</v>
      </c>
      <c r="B2895" s="1">
        <f>IFERROR(__xludf.DUMMYFUNCTION("""COMPUTED_VALUE"""),477.1066509)</f>
        <v>477.1066509</v>
      </c>
    </row>
    <row r="2896">
      <c r="A2896" s="3">
        <f>IFERROR(__xludf.DUMMYFUNCTION("""COMPUTED_VALUE"""),43412.99861111111)</f>
        <v>43412.99861</v>
      </c>
      <c r="B2896" s="1">
        <f>IFERROR(__xludf.DUMMYFUNCTION("""COMPUTED_VALUE"""),480.35776)</f>
        <v>480.35776</v>
      </c>
    </row>
    <row r="2897">
      <c r="A2897" s="3">
        <f>IFERROR(__xludf.DUMMYFUNCTION("""COMPUTED_VALUE"""),43413.99861111111)</f>
        <v>43413.99861</v>
      </c>
      <c r="B2897" s="1">
        <f>IFERROR(__xludf.DUMMYFUNCTION("""COMPUTED_VALUE"""),476.491914)</f>
        <v>476.491914</v>
      </c>
    </row>
    <row r="2898">
      <c r="A2898" s="3">
        <f>IFERROR(__xludf.DUMMYFUNCTION("""COMPUTED_VALUE"""),43414.99861111111)</f>
        <v>43414.99861</v>
      </c>
      <c r="B2898" s="1">
        <f>IFERROR(__xludf.DUMMYFUNCTION("""COMPUTED_VALUE"""),476.491914)</f>
        <v>476.491914</v>
      </c>
    </row>
    <row r="2899">
      <c r="A2899" s="3">
        <f>IFERROR(__xludf.DUMMYFUNCTION("""COMPUTED_VALUE"""),43415.99861111111)</f>
        <v>43415.99861</v>
      </c>
      <c r="B2899" s="1">
        <f>IFERROR(__xludf.DUMMYFUNCTION("""COMPUTED_VALUE"""),476.491914)</f>
        <v>476.491914</v>
      </c>
    </row>
    <row r="2900">
      <c r="A2900" s="3">
        <f>IFERROR(__xludf.DUMMYFUNCTION("""COMPUTED_VALUE"""),43416.99861111111)</f>
        <v>43416.99861</v>
      </c>
      <c r="B2900" s="1">
        <f>IFERROR(__xludf.DUMMYFUNCTION("""COMPUTED_VALUE"""),478.935144)</f>
        <v>478.935144</v>
      </c>
    </row>
    <row r="2901">
      <c r="A2901" s="3">
        <f>IFERROR(__xludf.DUMMYFUNCTION("""COMPUTED_VALUE"""),43417.99861111111)</f>
        <v>43417.99861</v>
      </c>
      <c r="B2901" s="1">
        <f>IFERROR(__xludf.DUMMYFUNCTION("""COMPUTED_VALUE"""),480.4005096)</f>
        <v>480.4005096</v>
      </c>
    </row>
    <row r="2902">
      <c r="A2902" s="3">
        <f>IFERROR(__xludf.DUMMYFUNCTION("""COMPUTED_VALUE"""),43418.99861111111)</f>
        <v>43418.99861</v>
      </c>
      <c r="B2902" s="1">
        <f>IFERROR(__xludf.DUMMYFUNCTION("""COMPUTED_VALUE"""),481.0471042)</f>
        <v>481.0471042</v>
      </c>
    </row>
    <row r="2903">
      <c r="A2903" s="3">
        <f>IFERROR(__xludf.DUMMYFUNCTION("""COMPUTED_VALUE"""),43419.99861111111)</f>
        <v>43419.99861</v>
      </c>
      <c r="B2903" s="1">
        <f>IFERROR(__xludf.DUMMYFUNCTION("""COMPUTED_VALUE"""),472.5288278)</f>
        <v>472.5288278</v>
      </c>
    </row>
    <row r="2904">
      <c r="A2904" s="3">
        <f>IFERROR(__xludf.DUMMYFUNCTION("""COMPUTED_VALUE"""),43420.99861111111)</f>
        <v>43420.99861</v>
      </c>
      <c r="B2904" s="1">
        <f>IFERROR(__xludf.DUMMYFUNCTION("""COMPUTED_VALUE"""),473.69857)</f>
        <v>473.69857</v>
      </c>
    </row>
    <row r="2905">
      <c r="A2905" s="3">
        <f>IFERROR(__xludf.DUMMYFUNCTION("""COMPUTED_VALUE"""),43421.99861111111)</f>
        <v>43421.99861</v>
      </c>
      <c r="B2905" s="1">
        <f>IFERROR(__xludf.DUMMYFUNCTION("""COMPUTED_VALUE"""),463.12455)</f>
        <v>463.12455</v>
      </c>
    </row>
    <row r="2906">
      <c r="A2906" s="3">
        <f>IFERROR(__xludf.DUMMYFUNCTION("""COMPUTED_VALUE"""),43422.99861111111)</f>
        <v>43422.99861</v>
      </c>
      <c r="B2906" s="1">
        <f>IFERROR(__xludf.DUMMYFUNCTION("""COMPUTED_VALUE"""),474.19514)</f>
        <v>474.19514</v>
      </c>
    </row>
    <row r="2907">
      <c r="A2907" s="3">
        <f>IFERROR(__xludf.DUMMYFUNCTION("""COMPUTED_VALUE"""),43423.99861111111)</f>
        <v>43423.99861</v>
      </c>
      <c r="B2907" s="1">
        <f>IFERROR(__xludf.DUMMYFUNCTION("""COMPUTED_VALUE"""),473.5899167)</f>
        <v>473.5899167</v>
      </c>
    </row>
    <row r="2908">
      <c r="A2908" s="3">
        <f>IFERROR(__xludf.DUMMYFUNCTION("""COMPUTED_VALUE"""),43424.99861111111)</f>
        <v>43424.99861</v>
      </c>
      <c r="B2908" s="1">
        <f>IFERROR(__xludf.DUMMYFUNCTION("""COMPUTED_VALUE"""),473.4809184)</f>
        <v>473.4809184</v>
      </c>
    </row>
    <row r="2909">
      <c r="A2909" s="3">
        <f>IFERROR(__xludf.DUMMYFUNCTION("""COMPUTED_VALUE"""),43425.99861111111)</f>
        <v>43425.99861</v>
      </c>
      <c r="B2909" s="1">
        <f>IFERROR(__xludf.DUMMYFUNCTION("""COMPUTED_VALUE"""),473.80718)</f>
        <v>473.80718</v>
      </c>
    </row>
    <row r="2910">
      <c r="A2910" s="3">
        <f>IFERROR(__xludf.DUMMYFUNCTION("""COMPUTED_VALUE"""),43426.99861111111)</f>
        <v>43426.99861</v>
      </c>
      <c r="B2910" s="1">
        <f>IFERROR(__xludf.DUMMYFUNCTION("""COMPUTED_VALUE"""),473.624)</f>
        <v>473.624</v>
      </c>
    </row>
    <row r="2911">
      <c r="A2911" s="3">
        <f>IFERROR(__xludf.DUMMYFUNCTION("""COMPUTED_VALUE"""),43427.99861111111)</f>
        <v>43427.99861</v>
      </c>
      <c r="B2911" s="1">
        <f>IFERROR(__xludf.DUMMYFUNCTION("""COMPUTED_VALUE"""),469.459499)</f>
        <v>469.459499</v>
      </c>
    </row>
    <row r="2912">
      <c r="A2912" s="3">
        <f>IFERROR(__xludf.DUMMYFUNCTION("""COMPUTED_VALUE"""),43428.99861111111)</f>
        <v>43428.99861</v>
      </c>
      <c r="B2912" s="1">
        <f>IFERROR(__xludf.DUMMYFUNCTION("""COMPUTED_VALUE"""),457.1663691)</f>
        <v>457.1663691</v>
      </c>
    </row>
    <row r="2913">
      <c r="A2913" s="3">
        <f>IFERROR(__xludf.DUMMYFUNCTION("""COMPUTED_VALUE"""),43429.99861111111)</f>
        <v>43429.99861</v>
      </c>
      <c r="B2913" s="1">
        <f>IFERROR(__xludf.DUMMYFUNCTION("""COMPUTED_VALUE"""),469.793758)</f>
        <v>469.793758</v>
      </c>
    </row>
    <row r="2914">
      <c r="A2914" s="3">
        <f>IFERROR(__xludf.DUMMYFUNCTION("""COMPUTED_VALUE"""),43430.99861111111)</f>
        <v>43430.99861</v>
      </c>
      <c r="B2914" s="1">
        <f>IFERROR(__xludf.DUMMYFUNCTION("""COMPUTED_VALUE"""),470.3955489)</f>
        <v>470.3955489</v>
      </c>
    </row>
    <row r="2915">
      <c r="A2915" s="3">
        <f>IFERROR(__xludf.DUMMYFUNCTION("""COMPUTED_VALUE"""),43431.99861111111)</f>
        <v>43431.99861</v>
      </c>
      <c r="B2915" s="1">
        <f>IFERROR(__xludf.DUMMYFUNCTION("""COMPUTED_VALUE"""),471.2987925)</f>
        <v>471.2987925</v>
      </c>
    </row>
    <row r="2916">
      <c r="A2916" s="3">
        <f>IFERROR(__xludf.DUMMYFUNCTION("""COMPUTED_VALUE"""),43432.99861111111)</f>
        <v>43432.99861</v>
      </c>
      <c r="B2916" s="1">
        <f>IFERROR(__xludf.DUMMYFUNCTION("""COMPUTED_VALUE"""),470.2037764)</f>
        <v>470.2037764</v>
      </c>
    </row>
    <row r="2917">
      <c r="A2917" s="3">
        <f>IFERROR(__xludf.DUMMYFUNCTION("""COMPUTED_VALUE"""),43433.99861111111)</f>
        <v>43433.99861</v>
      </c>
      <c r="B2917" s="1">
        <f>IFERROR(__xludf.DUMMYFUNCTION("""COMPUTED_VALUE"""),468.048668)</f>
        <v>468.048668</v>
      </c>
    </row>
    <row r="2918">
      <c r="A2918" s="3">
        <f>IFERROR(__xludf.DUMMYFUNCTION("""COMPUTED_VALUE"""),43434.99861111111)</f>
        <v>43434.99861</v>
      </c>
      <c r="B2918" s="1">
        <f>IFERROR(__xludf.DUMMYFUNCTION("""COMPUTED_VALUE"""),464.012841)</f>
        <v>464.012841</v>
      </c>
    </row>
    <row r="2919">
      <c r="A2919" s="3">
        <f>IFERROR(__xludf.DUMMYFUNCTION("""COMPUTED_VALUE"""),43435.99861111111)</f>
        <v>43435.99861</v>
      </c>
      <c r="B2919" s="1">
        <f>IFERROR(__xludf.DUMMYFUNCTION("""COMPUTED_VALUE"""),451.6629244)</f>
        <v>451.6629244</v>
      </c>
    </row>
    <row r="2920">
      <c r="A2920" s="3">
        <f>IFERROR(__xludf.DUMMYFUNCTION("""COMPUTED_VALUE"""),43436.99861111111)</f>
        <v>43436.99861</v>
      </c>
      <c r="B2920" s="1">
        <f>IFERROR(__xludf.DUMMYFUNCTION("""COMPUTED_VALUE"""),463.218992)</f>
        <v>463.218992</v>
      </c>
    </row>
    <row r="2921">
      <c r="A2921" s="3">
        <f>IFERROR(__xludf.DUMMYFUNCTION("""COMPUTED_VALUE"""),43437.99861111111)</f>
        <v>43437.99861</v>
      </c>
      <c r="B2921" s="1">
        <f>IFERROR(__xludf.DUMMYFUNCTION("""COMPUTED_VALUE"""),464.135)</f>
        <v>464.135</v>
      </c>
    </row>
    <row r="2922">
      <c r="A2922" s="3">
        <f>IFERROR(__xludf.DUMMYFUNCTION("""COMPUTED_VALUE"""),43438.99861111111)</f>
        <v>43438.99861</v>
      </c>
      <c r="B2922" s="1">
        <f>IFERROR(__xludf.DUMMYFUNCTION("""COMPUTED_VALUE"""),465.81)</f>
        <v>465.81</v>
      </c>
    </row>
    <row r="2923">
      <c r="A2923" s="3">
        <f>IFERROR(__xludf.DUMMYFUNCTION("""COMPUTED_VALUE"""),43439.99861111111)</f>
        <v>43439.99861</v>
      </c>
      <c r="B2923" s="1">
        <f>IFERROR(__xludf.DUMMYFUNCTION("""COMPUTED_VALUE"""),462.185)</f>
        <v>462.185</v>
      </c>
    </row>
    <row r="2924">
      <c r="A2924" s="3">
        <f>IFERROR(__xludf.DUMMYFUNCTION("""COMPUTED_VALUE"""),43440.99861111111)</f>
        <v>43440.99861</v>
      </c>
      <c r="B2924" s="1">
        <f>IFERROR(__xludf.DUMMYFUNCTION("""COMPUTED_VALUE"""),472.425)</f>
        <v>472.425</v>
      </c>
    </row>
    <row r="2925">
      <c r="A2925" s="3">
        <f>IFERROR(__xludf.DUMMYFUNCTION("""COMPUTED_VALUE"""),43441.99861111111)</f>
        <v>43441.99861</v>
      </c>
      <c r="B2925" s="1">
        <f>IFERROR(__xludf.DUMMYFUNCTION("""COMPUTED_VALUE"""),468.88)</f>
        <v>468.88</v>
      </c>
    </row>
    <row r="2926">
      <c r="A2926" s="3">
        <f>IFERROR(__xludf.DUMMYFUNCTION("""COMPUTED_VALUE"""),43442.99861111111)</f>
        <v>43442.99861</v>
      </c>
      <c r="B2926" s="1">
        <f>IFERROR(__xludf.DUMMYFUNCTION("""COMPUTED_VALUE"""),468.88)</f>
        <v>468.88</v>
      </c>
    </row>
    <row r="2927">
      <c r="A2927" s="3">
        <f>IFERROR(__xludf.DUMMYFUNCTION("""COMPUTED_VALUE"""),43443.99861111111)</f>
        <v>43443.99861</v>
      </c>
      <c r="B2927" s="1">
        <f>IFERROR(__xludf.DUMMYFUNCTION("""COMPUTED_VALUE"""),468.88)</f>
        <v>468.88</v>
      </c>
    </row>
    <row r="2928">
      <c r="A2928" s="3">
        <f>IFERROR(__xludf.DUMMYFUNCTION("""COMPUTED_VALUE"""),43444.99861111111)</f>
        <v>43444.99861</v>
      </c>
      <c r="B2928" s="1">
        <f>IFERROR(__xludf.DUMMYFUNCTION("""COMPUTED_VALUE"""),469.25)</f>
        <v>469.25</v>
      </c>
    </row>
    <row r="2929">
      <c r="A2929" s="3">
        <f>IFERROR(__xludf.DUMMYFUNCTION("""COMPUTED_VALUE"""),43445.99861111111)</f>
        <v>43445.99861</v>
      </c>
      <c r="B2929" s="1">
        <f>IFERROR(__xludf.DUMMYFUNCTION("""COMPUTED_VALUE"""),470.47)</f>
        <v>470.47</v>
      </c>
    </row>
    <row r="2930">
      <c r="A2930" s="3">
        <f>IFERROR(__xludf.DUMMYFUNCTION("""COMPUTED_VALUE"""),43446.99861111111)</f>
        <v>43446.99861</v>
      </c>
      <c r="B2930" s="1">
        <f>IFERROR(__xludf.DUMMYFUNCTION("""COMPUTED_VALUE"""),474.265)</f>
        <v>474.265</v>
      </c>
    </row>
    <row r="2931">
      <c r="A2931" s="3">
        <f>IFERROR(__xludf.DUMMYFUNCTION("""COMPUTED_VALUE"""),43447.99861111111)</f>
        <v>43447.99861</v>
      </c>
      <c r="B2931" s="1">
        <f>IFERROR(__xludf.DUMMYFUNCTION("""COMPUTED_VALUE"""),472.4)</f>
        <v>472.4</v>
      </c>
    </row>
    <row r="2932">
      <c r="A2932" s="3">
        <f>IFERROR(__xludf.DUMMYFUNCTION("""COMPUTED_VALUE"""),43448.99861111111)</f>
        <v>43448.99861</v>
      </c>
      <c r="B2932" s="1">
        <f>IFERROR(__xludf.DUMMYFUNCTION("""COMPUTED_VALUE"""),472.905)</f>
        <v>472.905</v>
      </c>
    </row>
    <row r="2933">
      <c r="A2933" s="3">
        <f>IFERROR(__xludf.DUMMYFUNCTION("""COMPUTED_VALUE"""),43449.99861111111)</f>
        <v>43449.99861</v>
      </c>
      <c r="B2933" s="1">
        <f>IFERROR(__xludf.DUMMYFUNCTION("""COMPUTED_VALUE"""),472.905)</f>
        <v>472.905</v>
      </c>
    </row>
    <row r="2934">
      <c r="A2934" s="3">
        <f>IFERROR(__xludf.DUMMYFUNCTION("""COMPUTED_VALUE"""),43450.99861111111)</f>
        <v>43450.99861</v>
      </c>
      <c r="B2934" s="1">
        <f>IFERROR(__xludf.DUMMYFUNCTION("""COMPUTED_VALUE"""),472.905)</f>
        <v>472.905</v>
      </c>
    </row>
    <row r="2935">
      <c r="A2935" s="3">
        <f>IFERROR(__xludf.DUMMYFUNCTION("""COMPUTED_VALUE"""),43451.99861111111)</f>
        <v>43451.99861</v>
      </c>
      <c r="B2935" s="1">
        <f>IFERROR(__xludf.DUMMYFUNCTION("""COMPUTED_VALUE"""),472.795)</f>
        <v>472.795</v>
      </c>
    </row>
    <row r="2936">
      <c r="A2936" s="3">
        <f>IFERROR(__xludf.DUMMYFUNCTION("""COMPUTED_VALUE"""),43452.99861111111)</f>
        <v>43452.99861</v>
      </c>
      <c r="B2936" s="1">
        <f>IFERROR(__xludf.DUMMYFUNCTION("""COMPUTED_VALUE"""),469.69)</f>
        <v>469.69</v>
      </c>
    </row>
    <row r="2937">
      <c r="A2937" s="3">
        <f>IFERROR(__xludf.DUMMYFUNCTION("""COMPUTED_VALUE"""),43453.99861111111)</f>
        <v>43453.99861</v>
      </c>
      <c r="B2937" s="1">
        <f>IFERROR(__xludf.DUMMYFUNCTION("""COMPUTED_VALUE"""),469.515)</f>
        <v>469.515</v>
      </c>
    </row>
    <row r="2938">
      <c r="A2938" s="3">
        <f>IFERROR(__xludf.DUMMYFUNCTION("""COMPUTED_VALUE"""),43454.99861111111)</f>
        <v>43454.99861</v>
      </c>
      <c r="B2938" s="1">
        <f>IFERROR(__xludf.DUMMYFUNCTION("""COMPUTED_VALUE"""),468.53)</f>
        <v>468.53</v>
      </c>
    </row>
    <row r="2939">
      <c r="A2939" s="3">
        <f>IFERROR(__xludf.DUMMYFUNCTION("""COMPUTED_VALUE"""),43455.99861111111)</f>
        <v>43455.99861</v>
      </c>
      <c r="B2939" s="1">
        <f>IFERROR(__xludf.DUMMYFUNCTION("""COMPUTED_VALUE"""),471.89)</f>
        <v>471.89</v>
      </c>
    </row>
    <row r="2940">
      <c r="A2940" s="3">
        <f>IFERROR(__xludf.DUMMYFUNCTION("""COMPUTED_VALUE"""),43456.99861111111)</f>
        <v>43456.99861</v>
      </c>
      <c r="B2940" s="1">
        <f>IFERROR(__xludf.DUMMYFUNCTION("""COMPUTED_VALUE"""),471.89)</f>
        <v>471.89</v>
      </c>
    </row>
    <row r="2941">
      <c r="A2941" s="3">
        <f>IFERROR(__xludf.DUMMYFUNCTION("""COMPUTED_VALUE"""),43457.99861111111)</f>
        <v>43457.99861</v>
      </c>
      <c r="B2941" s="1">
        <f>IFERROR(__xludf.DUMMYFUNCTION("""COMPUTED_VALUE"""),471.89)</f>
        <v>471.89</v>
      </c>
    </row>
    <row r="2942">
      <c r="A2942" s="3">
        <f>IFERROR(__xludf.DUMMYFUNCTION("""COMPUTED_VALUE"""),43458.99861111111)</f>
        <v>43458.99861</v>
      </c>
      <c r="B2942" s="1">
        <f>IFERROR(__xludf.DUMMYFUNCTION("""COMPUTED_VALUE"""),472.075)</f>
        <v>472.075</v>
      </c>
    </row>
    <row r="2943">
      <c r="A2943" s="3">
        <f>IFERROR(__xludf.DUMMYFUNCTION("""COMPUTED_VALUE"""),43459.99861111111)</f>
        <v>43459.99861</v>
      </c>
      <c r="B2943" s="1">
        <f>IFERROR(__xludf.DUMMYFUNCTION("""COMPUTED_VALUE"""),472.075)</f>
        <v>472.075</v>
      </c>
    </row>
    <row r="2944">
      <c r="A2944" s="3">
        <f>IFERROR(__xludf.DUMMYFUNCTION("""COMPUTED_VALUE"""),43460.99861111111)</f>
        <v>43460.99861</v>
      </c>
      <c r="B2944" s="1">
        <f>IFERROR(__xludf.DUMMYFUNCTION("""COMPUTED_VALUE"""),470.89)</f>
        <v>470.89</v>
      </c>
    </row>
    <row r="2945">
      <c r="A2945" s="3">
        <f>IFERROR(__xludf.DUMMYFUNCTION("""COMPUTED_VALUE"""),43461.99861111111)</f>
        <v>43461.99861</v>
      </c>
      <c r="B2945" s="1">
        <f>IFERROR(__xludf.DUMMYFUNCTION("""COMPUTED_VALUE"""),474.985)</f>
        <v>474.985</v>
      </c>
    </row>
    <row r="2946">
      <c r="A2946" s="3">
        <f>IFERROR(__xludf.DUMMYFUNCTION("""COMPUTED_VALUE"""),43462.99861111111)</f>
        <v>43462.99861</v>
      </c>
      <c r="B2946" s="1">
        <f>IFERROR(__xludf.DUMMYFUNCTION("""COMPUTED_VALUE"""),473.52)</f>
        <v>473.52</v>
      </c>
    </row>
    <row r="2947">
      <c r="A2947" s="3">
        <f>IFERROR(__xludf.DUMMYFUNCTION("""COMPUTED_VALUE"""),43463.99861111111)</f>
        <v>43463.99861</v>
      </c>
      <c r="B2947" s="1">
        <f>IFERROR(__xludf.DUMMYFUNCTION("""COMPUTED_VALUE"""),473.52)</f>
        <v>473.52</v>
      </c>
    </row>
    <row r="2948">
      <c r="A2948" s="3">
        <f>IFERROR(__xludf.DUMMYFUNCTION("""COMPUTED_VALUE"""),43464.99861111111)</f>
        <v>43464.99861</v>
      </c>
      <c r="B2948" s="1">
        <f>IFERROR(__xludf.DUMMYFUNCTION("""COMPUTED_VALUE"""),473.52)</f>
        <v>473.52</v>
      </c>
    </row>
    <row r="2949">
      <c r="A2949" s="3">
        <f>IFERROR(__xludf.DUMMYFUNCTION("""COMPUTED_VALUE"""),43465.99861111111)</f>
        <v>43465.99861</v>
      </c>
      <c r="B2949" s="1">
        <f>IFERROR(__xludf.DUMMYFUNCTION("""COMPUTED_VALUE"""),472.805)</f>
        <v>472.805</v>
      </c>
    </row>
    <row r="2950">
      <c r="A2950" s="3">
        <f>IFERROR(__xludf.DUMMYFUNCTION("""COMPUTED_VALUE"""),43466.99861111111)</f>
        <v>43466.99861</v>
      </c>
      <c r="B2950" s="1">
        <f>IFERROR(__xludf.DUMMYFUNCTION("""COMPUTED_VALUE"""),470.165)</f>
        <v>470.165</v>
      </c>
    </row>
    <row r="2951">
      <c r="A2951" s="3">
        <f>IFERROR(__xludf.DUMMYFUNCTION("""COMPUTED_VALUE"""),43467.99861111111)</f>
        <v>43467.99861</v>
      </c>
      <c r="B2951" s="1">
        <f>IFERROR(__xludf.DUMMYFUNCTION("""COMPUTED_VALUE"""),465.765)</f>
        <v>465.765</v>
      </c>
    </row>
    <row r="2952">
      <c r="A2952" s="3">
        <f>IFERROR(__xludf.DUMMYFUNCTION("""COMPUTED_VALUE"""),43468.99861111111)</f>
        <v>43468.99861</v>
      </c>
      <c r="B2952" s="1">
        <f>IFERROR(__xludf.DUMMYFUNCTION("""COMPUTED_VALUE"""),468.105)</f>
        <v>468.105</v>
      </c>
    </row>
    <row r="2953">
      <c r="A2953" s="3">
        <f>IFERROR(__xludf.DUMMYFUNCTION("""COMPUTED_VALUE"""),43469.99861111111)</f>
        <v>43469.99861</v>
      </c>
      <c r="B2953" s="1">
        <f>IFERROR(__xludf.DUMMYFUNCTION("""COMPUTED_VALUE"""),464.455)</f>
        <v>464.455</v>
      </c>
    </row>
    <row r="2954">
      <c r="A2954" s="3">
        <f>IFERROR(__xludf.DUMMYFUNCTION("""COMPUTED_VALUE"""),43470.99861111111)</f>
        <v>43470.99861</v>
      </c>
      <c r="B2954" s="1">
        <f>IFERROR(__xludf.DUMMYFUNCTION("""COMPUTED_VALUE"""),464.455)</f>
        <v>464.455</v>
      </c>
    </row>
    <row r="2955">
      <c r="A2955" s="3">
        <f>IFERROR(__xludf.DUMMYFUNCTION("""COMPUTED_VALUE"""),43471.99861111111)</f>
        <v>43471.99861</v>
      </c>
      <c r="B2955" s="1">
        <f>IFERROR(__xludf.DUMMYFUNCTION("""COMPUTED_VALUE"""),464.455)</f>
        <v>464.455</v>
      </c>
    </row>
    <row r="2956">
      <c r="A2956" s="3">
        <f>IFERROR(__xludf.DUMMYFUNCTION("""COMPUTED_VALUE"""),43472.99861111111)</f>
        <v>43472.99861</v>
      </c>
      <c r="B2956" s="1">
        <f>IFERROR(__xludf.DUMMYFUNCTION("""COMPUTED_VALUE"""),458.27)</f>
        <v>458.27</v>
      </c>
    </row>
    <row r="2957">
      <c r="A2957" s="3">
        <f>IFERROR(__xludf.DUMMYFUNCTION("""COMPUTED_VALUE"""),43473.99861111111)</f>
        <v>43473.99861</v>
      </c>
      <c r="B2957" s="1">
        <f>IFERROR(__xludf.DUMMYFUNCTION("""COMPUTED_VALUE"""),457.79)</f>
        <v>457.79</v>
      </c>
    </row>
    <row r="2958">
      <c r="A2958" s="3">
        <f>IFERROR(__xludf.DUMMYFUNCTION("""COMPUTED_VALUE"""),43474.99861111111)</f>
        <v>43474.99861</v>
      </c>
      <c r="B2958" s="1">
        <f>IFERROR(__xludf.DUMMYFUNCTION("""COMPUTED_VALUE"""),458.535)</f>
        <v>458.535</v>
      </c>
    </row>
    <row r="2959">
      <c r="A2959" s="3">
        <f>IFERROR(__xludf.DUMMYFUNCTION("""COMPUTED_VALUE"""),43475.99861111111)</f>
        <v>43475.99861</v>
      </c>
      <c r="B2959" s="1">
        <f>IFERROR(__xludf.DUMMYFUNCTION("""COMPUTED_VALUE"""),455.86)</f>
        <v>455.86</v>
      </c>
    </row>
    <row r="2960">
      <c r="A2960" s="3">
        <f>IFERROR(__xludf.DUMMYFUNCTION("""COMPUTED_VALUE"""),43476.99861111111)</f>
        <v>43476.99861</v>
      </c>
      <c r="B2960" s="1">
        <f>IFERROR(__xludf.DUMMYFUNCTION("""COMPUTED_VALUE"""),456.73)</f>
        <v>456.73</v>
      </c>
    </row>
    <row r="2961">
      <c r="A2961" s="3">
        <f>IFERROR(__xludf.DUMMYFUNCTION("""COMPUTED_VALUE"""),43477.99861111111)</f>
        <v>43477.99861</v>
      </c>
      <c r="B2961" s="1">
        <f>IFERROR(__xludf.DUMMYFUNCTION("""COMPUTED_VALUE"""),456.73)</f>
        <v>456.73</v>
      </c>
    </row>
    <row r="2962">
      <c r="A2962" s="3">
        <f>IFERROR(__xludf.DUMMYFUNCTION("""COMPUTED_VALUE"""),43478.99861111111)</f>
        <v>43478.99861</v>
      </c>
      <c r="B2962" s="1">
        <f>IFERROR(__xludf.DUMMYFUNCTION("""COMPUTED_VALUE"""),456.73)</f>
        <v>456.73</v>
      </c>
    </row>
    <row r="2963">
      <c r="A2963" s="3">
        <f>IFERROR(__xludf.DUMMYFUNCTION("""COMPUTED_VALUE"""),43479.99861111111)</f>
        <v>43479.99861</v>
      </c>
      <c r="B2963" s="1">
        <f>IFERROR(__xludf.DUMMYFUNCTION("""COMPUTED_VALUE"""),457.66)</f>
        <v>457.66</v>
      </c>
    </row>
    <row r="2964">
      <c r="A2964" s="3">
        <f>IFERROR(__xludf.DUMMYFUNCTION("""COMPUTED_VALUE"""),43480.99861111111)</f>
        <v>43480.99861</v>
      </c>
      <c r="B2964" s="1">
        <f>IFERROR(__xludf.DUMMYFUNCTION("""COMPUTED_VALUE"""),456.33)</f>
        <v>456.33</v>
      </c>
    </row>
    <row r="2965">
      <c r="A2965" s="3">
        <f>IFERROR(__xludf.DUMMYFUNCTION("""COMPUTED_VALUE"""),43481.99861111111)</f>
        <v>43481.99861</v>
      </c>
      <c r="B2965" s="1">
        <f>IFERROR(__xludf.DUMMYFUNCTION("""COMPUTED_VALUE"""),458.74)</f>
        <v>458.74</v>
      </c>
    </row>
    <row r="2966">
      <c r="A2966" s="3">
        <f>IFERROR(__xludf.DUMMYFUNCTION("""COMPUTED_VALUE"""),43482.99861111111)</f>
        <v>43482.99861</v>
      </c>
      <c r="B2966" s="1">
        <f>IFERROR(__xludf.DUMMYFUNCTION("""COMPUTED_VALUE"""),459.155)</f>
        <v>459.155</v>
      </c>
    </row>
    <row r="2967">
      <c r="A2967" s="3">
        <f>IFERROR(__xludf.DUMMYFUNCTION("""COMPUTED_VALUE"""),43483.99861111111)</f>
        <v>43483.99861</v>
      </c>
      <c r="B2967" s="1">
        <f>IFERROR(__xludf.DUMMYFUNCTION("""COMPUTED_VALUE"""),457.7)</f>
        <v>457.7</v>
      </c>
    </row>
    <row r="2968">
      <c r="A2968" s="3">
        <f>IFERROR(__xludf.DUMMYFUNCTION("""COMPUTED_VALUE"""),43484.99861111111)</f>
        <v>43484.99861</v>
      </c>
      <c r="B2968" s="1">
        <f>IFERROR(__xludf.DUMMYFUNCTION("""COMPUTED_VALUE"""),457.7)</f>
        <v>457.7</v>
      </c>
    </row>
    <row r="2969">
      <c r="A2969" s="3">
        <f>IFERROR(__xludf.DUMMYFUNCTION("""COMPUTED_VALUE"""),43485.99861111111)</f>
        <v>43485.99861</v>
      </c>
      <c r="B2969" s="1">
        <f>IFERROR(__xludf.DUMMYFUNCTION("""COMPUTED_VALUE"""),457.7)</f>
        <v>457.7</v>
      </c>
    </row>
    <row r="2970">
      <c r="A2970" s="3">
        <f>IFERROR(__xludf.DUMMYFUNCTION("""COMPUTED_VALUE"""),43486.99861111111)</f>
        <v>43486.99861</v>
      </c>
      <c r="B2970" s="1">
        <f>IFERROR(__xludf.DUMMYFUNCTION("""COMPUTED_VALUE"""),460.5)</f>
        <v>460.5</v>
      </c>
    </row>
    <row r="2971">
      <c r="A2971" s="3">
        <f>IFERROR(__xludf.DUMMYFUNCTION("""COMPUTED_VALUE"""),43487.99861111111)</f>
        <v>43487.99861</v>
      </c>
      <c r="B2971" s="1">
        <f>IFERROR(__xludf.DUMMYFUNCTION("""COMPUTED_VALUE"""),460.23)</f>
        <v>460.23</v>
      </c>
    </row>
    <row r="2972">
      <c r="A2972" s="3">
        <f>IFERROR(__xludf.DUMMYFUNCTION("""COMPUTED_VALUE"""),43488.99861111111)</f>
        <v>43488.99861</v>
      </c>
      <c r="B2972" s="1">
        <f>IFERROR(__xludf.DUMMYFUNCTION("""COMPUTED_VALUE"""),460.095)</f>
        <v>460.095</v>
      </c>
    </row>
    <row r="2973">
      <c r="A2973" s="3">
        <f>IFERROR(__xludf.DUMMYFUNCTION("""COMPUTED_VALUE"""),43489.99861111111)</f>
        <v>43489.99861</v>
      </c>
      <c r="B2973" s="1">
        <f>IFERROR(__xludf.DUMMYFUNCTION("""COMPUTED_VALUE"""),456.5)</f>
        <v>456.5</v>
      </c>
    </row>
    <row r="2974">
      <c r="A2974" s="3">
        <f>IFERROR(__xludf.DUMMYFUNCTION("""COMPUTED_VALUE"""),43490.99861111111)</f>
        <v>43490.99861</v>
      </c>
      <c r="B2974" s="1">
        <f>IFERROR(__xludf.DUMMYFUNCTION("""COMPUTED_VALUE"""),458.015)</f>
        <v>458.015</v>
      </c>
    </row>
    <row r="2975">
      <c r="A2975" s="3">
        <f>IFERROR(__xludf.DUMMYFUNCTION("""COMPUTED_VALUE"""),43491.99861111111)</f>
        <v>43491.99861</v>
      </c>
      <c r="B2975" s="1">
        <f>IFERROR(__xludf.DUMMYFUNCTION("""COMPUTED_VALUE"""),457.395)</f>
        <v>457.395</v>
      </c>
    </row>
    <row r="2976">
      <c r="A2976" s="3">
        <f>IFERROR(__xludf.DUMMYFUNCTION("""COMPUTED_VALUE"""),43492.99861111111)</f>
        <v>43492.99861</v>
      </c>
      <c r="B2976" s="1">
        <f>IFERROR(__xludf.DUMMYFUNCTION("""COMPUTED_VALUE"""),457.395)</f>
        <v>457.395</v>
      </c>
    </row>
    <row r="2977">
      <c r="A2977" s="3">
        <f>IFERROR(__xludf.DUMMYFUNCTION("""COMPUTED_VALUE"""),43493.99861111111)</f>
        <v>43493.99861</v>
      </c>
      <c r="B2977" s="1">
        <f>IFERROR(__xludf.DUMMYFUNCTION("""COMPUTED_VALUE"""),457.845)</f>
        <v>457.845</v>
      </c>
    </row>
    <row r="2978">
      <c r="A2978" s="3">
        <f>IFERROR(__xludf.DUMMYFUNCTION("""COMPUTED_VALUE"""),43494.99861111111)</f>
        <v>43494.99861</v>
      </c>
      <c r="B2978" s="1">
        <f>IFERROR(__xludf.DUMMYFUNCTION("""COMPUTED_VALUE"""),456.88)</f>
        <v>456.88</v>
      </c>
    </row>
    <row r="2979">
      <c r="A2979" s="3">
        <f>IFERROR(__xludf.DUMMYFUNCTION("""COMPUTED_VALUE"""),43495.99861111111)</f>
        <v>43495.99861</v>
      </c>
      <c r="B2979" s="1">
        <f>IFERROR(__xludf.DUMMYFUNCTION("""COMPUTED_VALUE"""),460.86)</f>
        <v>460.86</v>
      </c>
    </row>
    <row r="2980">
      <c r="A2980" s="3">
        <f>IFERROR(__xludf.DUMMYFUNCTION("""COMPUTED_VALUE"""),43496.99861111111)</f>
        <v>43496.99861</v>
      </c>
      <c r="B2980" s="1">
        <f>IFERROR(__xludf.DUMMYFUNCTION("""COMPUTED_VALUE"""),455.275)</f>
        <v>455.275</v>
      </c>
    </row>
    <row r="2981">
      <c r="A2981" s="3">
        <f>IFERROR(__xludf.DUMMYFUNCTION("""COMPUTED_VALUE"""),43497.99861111111)</f>
        <v>43497.99861</v>
      </c>
      <c r="B2981" s="1">
        <f>IFERROR(__xludf.DUMMYFUNCTION("""COMPUTED_VALUE"""),453.42)</f>
        <v>453.42</v>
      </c>
    </row>
    <row r="2982">
      <c r="A2982" s="3">
        <f>IFERROR(__xludf.DUMMYFUNCTION("""COMPUTED_VALUE"""),43498.99861111111)</f>
        <v>43498.99861</v>
      </c>
      <c r="B2982" s="1">
        <f>IFERROR(__xludf.DUMMYFUNCTION("""COMPUTED_VALUE"""),453.42)</f>
        <v>453.42</v>
      </c>
    </row>
    <row r="2983">
      <c r="A2983" s="3">
        <f>IFERROR(__xludf.DUMMYFUNCTION("""COMPUTED_VALUE"""),43499.99861111111)</f>
        <v>43499.99861</v>
      </c>
      <c r="B2983" s="1">
        <f>IFERROR(__xludf.DUMMYFUNCTION("""COMPUTED_VALUE"""),453.42)</f>
        <v>453.42</v>
      </c>
    </row>
    <row r="2984">
      <c r="A2984" s="3">
        <f>IFERROR(__xludf.DUMMYFUNCTION("""COMPUTED_VALUE"""),43500.99861111111)</f>
        <v>43500.99861</v>
      </c>
      <c r="B2984" s="1">
        <f>IFERROR(__xludf.DUMMYFUNCTION("""COMPUTED_VALUE"""),452.17)</f>
        <v>452.17</v>
      </c>
    </row>
    <row r="2985">
      <c r="A2985" s="3">
        <f>IFERROR(__xludf.DUMMYFUNCTION("""COMPUTED_VALUE"""),43501.99861111111)</f>
        <v>43501.99861</v>
      </c>
      <c r="B2985" s="1">
        <f>IFERROR(__xludf.DUMMYFUNCTION("""COMPUTED_VALUE"""),453.2)</f>
        <v>453.2</v>
      </c>
    </row>
    <row r="2986">
      <c r="A2986" s="3">
        <f>IFERROR(__xludf.DUMMYFUNCTION("""COMPUTED_VALUE"""),43502.99861111111)</f>
        <v>43502.99861</v>
      </c>
      <c r="B2986" s="1">
        <f>IFERROR(__xludf.DUMMYFUNCTION("""COMPUTED_VALUE"""),451.42)</f>
        <v>451.42</v>
      </c>
    </row>
    <row r="2987">
      <c r="A2987" s="3">
        <f>IFERROR(__xludf.DUMMYFUNCTION("""COMPUTED_VALUE"""),43503.99861111111)</f>
        <v>43503.99861</v>
      </c>
      <c r="B2987" s="1">
        <f>IFERROR(__xludf.DUMMYFUNCTION("""COMPUTED_VALUE"""),454.39)</f>
        <v>454.39</v>
      </c>
    </row>
    <row r="2988">
      <c r="A2988" s="3">
        <f>IFERROR(__xludf.DUMMYFUNCTION("""COMPUTED_VALUE"""),43504.99861111111)</f>
        <v>43504.99861</v>
      </c>
      <c r="B2988" s="1">
        <f>IFERROR(__xludf.DUMMYFUNCTION("""COMPUTED_VALUE"""),452.445)</f>
        <v>452.445</v>
      </c>
    </row>
    <row r="2989">
      <c r="A2989" s="3">
        <f>IFERROR(__xludf.DUMMYFUNCTION("""COMPUTED_VALUE"""),43505.99861111111)</f>
        <v>43505.99861</v>
      </c>
      <c r="B2989" s="1">
        <f>IFERROR(__xludf.DUMMYFUNCTION("""COMPUTED_VALUE"""),453.09)</f>
        <v>453.09</v>
      </c>
    </row>
    <row r="2990">
      <c r="A2990" s="3">
        <f>IFERROR(__xludf.DUMMYFUNCTION("""COMPUTED_VALUE"""),43506.99861111111)</f>
        <v>43506.99861</v>
      </c>
      <c r="B2990" s="1">
        <f>IFERROR(__xludf.DUMMYFUNCTION("""COMPUTED_VALUE"""),453.09)</f>
        <v>453.09</v>
      </c>
    </row>
    <row r="2991">
      <c r="A2991" s="3">
        <f>IFERROR(__xludf.DUMMYFUNCTION("""COMPUTED_VALUE"""),43507.99861111111)</f>
        <v>43507.99861</v>
      </c>
      <c r="B2991" s="1">
        <f>IFERROR(__xludf.DUMMYFUNCTION("""COMPUTED_VALUE"""),453.365)</f>
        <v>453.365</v>
      </c>
    </row>
    <row r="2992">
      <c r="A2992" s="3">
        <f>IFERROR(__xludf.DUMMYFUNCTION("""COMPUTED_VALUE"""),43508.99861111111)</f>
        <v>43508.99861</v>
      </c>
      <c r="B2992" s="1">
        <f>IFERROR(__xludf.DUMMYFUNCTION("""COMPUTED_VALUE"""),458.175)</f>
        <v>458.175</v>
      </c>
    </row>
    <row r="2993">
      <c r="A2993" s="3">
        <f>IFERROR(__xludf.DUMMYFUNCTION("""COMPUTED_VALUE"""),43509.99861111111)</f>
        <v>43509.99861</v>
      </c>
      <c r="B2993" s="1">
        <f>IFERROR(__xludf.DUMMYFUNCTION("""COMPUTED_VALUE"""),453.81)</f>
        <v>453.81</v>
      </c>
    </row>
    <row r="2994">
      <c r="A2994" s="3">
        <f>IFERROR(__xludf.DUMMYFUNCTION("""COMPUTED_VALUE"""),43510.99861111111)</f>
        <v>43510.99861</v>
      </c>
      <c r="B2994" s="1">
        <f>IFERROR(__xludf.DUMMYFUNCTION("""COMPUTED_VALUE"""),457.965)</f>
        <v>457.965</v>
      </c>
    </row>
    <row r="2995">
      <c r="A2995" s="3">
        <f>IFERROR(__xludf.DUMMYFUNCTION("""COMPUTED_VALUE"""),43511.99861111111)</f>
        <v>43511.99861</v>
      </c>
      <c r="B2995" s="1">
        <f>IFERROR(__xludf.DUMMYFUNCTION("""COMPUTED_VALUE"""),458.73)</f>
        <v>458.73</v>
      </c>
    </row>
    <row r="2996">
      <c r="A2996" s="3">
        <f>IFERROR(__xludf.DUMMYFUNCTION("""COMPUTED_VALUE"""),43512.99861111111)</f>
        <v>43512.99861</v>
      </c>
      <c r="B2996" s="1">
        <f>IFERROR(__xludf.DUMMYFUNCTION("""COMPUTED_VALUE"""),458.73)</f>
        <v>458.73</v>
      </c>
    </row>
    <row r="2997">
      <c r="A2997" s="3">
        <f>IFERROR(__xludf.DUMMYFUNCTION("""COMPUTED_VALUE"""),43513.99861111111)</f>
        <v>43513.99861</v>
      </c>
      <c r="B2997" s="1">
        <f>IFERROR(__xludf.DUMMYFUNCTION("""COMPUTED_VALUE"""),458.73)</f>
        <v>458.73</v>
      </c>
    </row>
    <row r="2998">
      <c r="A2998" s="3">
        <f>IFERROR(__xludf.DUMMYFUNCTION("""COMPUTED_VALUE"""),43514.99861111111)</f>
        <v>43514.99861</v>
      </c>
      <c r="B2998" s="1">
        <f>IFERROR(__xludf.DUMMYFUNCTION("""COMPUTED_VALUE"""),457.605)</f>
        <v>457.605</v>
      </c>
    </row>
    <row r="2999">
      <c r="A2999" s="3">
        <f>IFERROR(__xludf.DUMMYFUNCTION("""COMPUTED_VALUE"""),43515.99861111111)</f>
        <v>43515.99861</v>
      </c>
      <c r="B2999" s="1">
        <f>IFERROR(__xludf.DUMMYFUNCTION("""COMPUTED_VALUE"""),460.015)</f>
        <v>460.015</v>
      </c>
    </row>
    <row r="3000">
      <c r="A3000" s="3">
        <f>IFERROR(__xludf.DUMMYFUNCTION("""COMPUTED_VALUE"""),43516.99861111111)</f>
        <v>43516.99861</v>
      </c>
      <c r="B3000" s="1">
        <f>IFERROR(__xludf.DUMMYFUNCTION("""COMPUTED_VALUE"""),457.095)</f>
        <v>457.095</v>
      </c>
    </row>
    <row r="3001">
      <c r="A3001" s="3">
        <f>IFERROR(__xludf.DUMMYFUNCTION("""COMPUTED_VALUE"""),43517.99861111111)</f>
        <v>43517.99861</v>
      </c>
      <c r="B3001" s="1">
        <f>IFERROR(__xludf.DUMMYFUNCTION("""COMPUTED_VALUE"""),455.655)</f>
        <v>455.655</v>
      </c>
    </row>
    <row r="3002">
      <c r="A3002" s="3">
        <f>IFERROR(__xludf.DUMMYFUNCTION("""COMPUTED_VALUE"""),43518.99861111111)</f>
        <v>43518.99861</v>
      </c>
      <c r="B3002" s="1">
        <f>IFERROR(__xludf.DUMMYFUNCTION("""COMPUTED_VALUE"""),456.595)</f>
        <v>456.595</v>
      </c>
    </row>
    <row r="3003">
      <c r="A3003" s="3">
        <f>IFERROR(__xludf.DUMMYFUNCTION("""COMPUTED_VALUE"""),43519.99861111111)</f>
        <v>43519.99861</v>
      </c>
      <c r="B3003" s="1">
        <f>IFERROR(__xludf.DUMMYFUNCTION("""COMPUTED_VALUE"""),456.8)</f>
        <v>456.8</v>
      </c>
    </row>
    <row r="3004">
      <c r="A3004" s="3">
        <f>IFERROR(__xludf.DUMMYFUNCTION("""COMPUTED_VALUE"""),43520.99861111111)</f>
        <v>43520.99861</v>
      </c>
      <c r="B3004" s="1">
        <f>IFERROR(__xludf.DUMMYFUNCTION("""COMPUTED_VALUE"""),456.8)</f>
        <v>456.8</v>
      </c>
    </row>
    <row r="3005">
      <c r="A3005" s="3">
        <f>IFERROR(__xludf.DUMMYFUNCTION("""COMPUTED_VALUE"""),43521.99861111111)</f>
        <v>43521.99861</v>
      </c>
      <c r="B3005" s="1">
        <f>IFERROR(__xludf.DUMMYFUNCTION("""COMPUTED_VALUE"""),456.175)</f>
        <v>456.175</v>
      </c>
    </row>
    <row r="3006">
      <c r="A3006" s="3">
        <f>IFERROR(__xludf.DUMMYFUNCTION("""COMPUTED_VALUE"""),43522.99861111111)</f>
        <v>43522.99861</v>
      </c>
      <c r="B3006" s="1">
        <f>IFERROR(__xludf.DUMMYFUNCTION("""COMPUTED_VALUE"""),455.13)</f>
        <v>455.13</v>
      </c>
    </row>
    <row r="3007">
      <c r="A3007" s="3">
        <f>IFERROR(__xludf.DUMMYFUNCTION("""COMPUTED_VALUE"""),43523.99861111111)</f>
        <v>43523.99861</v>
      </c>
      <c r="B3007" s="1">
        <f>IFERROR(__xludf.DUMMYFUNCTION("""COMPUTED_VALUE"""),455.165)</f>
        <v>455.165</v>
      </c>
    </row>
    <row r="3008">
      <c r="A3008" s="3">
        <f>IFERROR(__xludf.DUMMYFUNCTION("""COMPUTED_VALUE"""),43524.99861111111)</f>
        <v>43524.99861</v>
      </c>
      <c r="B3008" s="1">
        <f>IFERROR(__xludf.DUMMYFUNCTION("""COMPUTED_VALUE"""),455.33)</f>
        <v>455.33</v>
      </c>
    </row>
    <row r="3009">
      <c r="A3009" s="3">
        <f>IFERROR(__xludf.DUMMYFUNCTION("""COMPUTED_VALUE"""),43525.99861111111)</f>
        <v>43525.99861</v>
      </c>
      <c r="B3009" s="1">
        <f>IFERROR(__xludf.DUMMYFUNCTION("""COMPUTED_VALUE"""),457.085)</f>
        <v>457.085</v>
      </c>
    </row>
    <row r="3010">
      <c r="A3010" s="3">
        <f>IFERROR(__xludf.DUMMYFUNCTION("""COMPUTED_VALUE"""),43526.99861111111)</f>
        <v>43526.99861</v>
      </c>
      <c r="B3010" s="1">
        <f>IFERROR(__xludf.DUMMYFUNCTION("""COMPUTED_VALUE"""),457.085)</f>
        <v>457.085</v>
      </c>
    </row>
    <row r="3011">
      <c r="A3011" s="3">
        <f>IFERROR(__xludf.DUMMYFUNCTION("""COMPUTED_VALUE"""),43527.99861111111)</f>
        <v>43527.99861</v>
      </c>
      <c r="B3011" s="1">
        <f>IFERROR(__xludf.DUMMYFUNCTION("""COMPUTED_VALUE"""),457.085)</f>
        <v>457.085</v>
      </c>
    </row>
    <row r="3012">
      <c r="A3012" s="3">
        <f>IFERROR(__xludf.DUMMYFUNCTION("""COMPUTED_VALUE"""),43528.99861111111)</f>
        <v>43528.99861</v>
      </c>
      <c r="B3012" s="1">
        <f>IFERROR(__xludf.DUMMYFUNCTION("""COMPUTED_VALUE"""),458.27)</f>
        <v>458.27</v>
      </c>
    </row>
    <row r="3013">
      <c r="A3013" s="3">
        <f>IFERROR(__xludf.DUMMYFUNCTION("""COMPUTED_VALUE"""),43529.99861111111)</f>
        <v>43529.99861</v>
      </c>
      <c r="B3013" s="1">
        <f>IFERROR(__xludf.DUMMYFUNCTION("""COMPUTED_VALUE"""),458.215)</f>
        <v>458.215</v>
      </c>
    </row>
    <row r="3014">
      <c r="A3014" s="3">
        <f>IFERROR(__xludf.DUMMYFUNCTION("""COMPUTED_VALUE"""),43530.99861111111)</f>
        <v>43530.99861</v>
      </c>
      <c r="B3014" s="1">
        <f>IFERROR(__xludf.DUMMYFUNCTION("""COMPUTED_VALUE"""),459.125)</f>
        <v>459.125</v>
      </c>
    </row>
    <row r="3015">
      <c r="A3015" s="3">
        <f>IFERROR(__xludf.DUMMYFUNCTION("""COMPUTED_VALUE"""),43531.99861111111)</f>
        <v>43531.99861</v>
      </c>
      <c r="B3015" s="1">
        <f>IFERROR(__xludf.DUMMYFUNCTION("""COMPUTED_VALUE"""),453.055)</f>
        <v>453.055</v>
      </c>
    </row>
    <row r="3016">
      <c r="A3016" s="3">
        <f>IFERROR(__xludf.DUMMYFUNCTION("""COMPUTED_VALUE"""),43532.99861111111)</f>
        <v>43532.99861</v>
      </c>
      <c r="B3016" s="1">
        <f>IFERROR(__xludf.DUMMYFUNCTION("""COMPUTED_VALUE"""),456.015)</f>
        <v>456.015</v>
      </c>
    </row>
    <row r="3017">
      <c r="A3017" s="3">
        <f>IFERROR(__xludf.DUMMYFUNCTION("""COMPUTED_VALUE"""),43533.99861111111)</f>
        <v>43533.99861</v>
      </c>
      <c r="B3017" s="1">
        <f>IFERROR(__xludf.DUMMYFUNCTION("""COMPUTED_VALUE"""),456.015)</f>
        <v>456.015</v>
      </c>
    </row>
    <row r="3018">
      <c r="A3018" s="3">
        <f>IFERROR(__xludf.DUMMYFUNCTION("""COMPUTED_VALUE"""),43534.99861111111)</f>
        <v>43534.99861</v>
      </c>
      <c r="B3018" s="1">
        <f>IFERROR(__xludf.DUMMYFUNCTION("""COMPUTED_VALUE"""),462.855)</f>
        <v>462.855</v>
      </c>
    </row>
    <row r="3019">
      <c r="A3019" s="3">
        <f>IFERROR(__xludf.DUMMYFUNCTION("""COMPUTED_VALUE"""),43535.99861111111)</f>
        <v>43535.99861</v>
      </c>
      <c r="B3019" s="1">
        <f>IFERROR(__xludf.DUMMYFUNCTION("""COMPUTED_VALUE"""),461.405)</f>
        <v>461.405</v>
      </c>
    </row>
    <row r="3020">
      <c r="A3020" s="3">
        <f>IFERROR(__xludf.DUMMYFUNCTION("""COMPUTED_VALUE"""),43536.99861111111)</f>
        <v>43536.99861</v>
      </c>
      <c r="B3020" s="1">
        <f>IFERROR(__xludf.DUMMYFUNCTION("""COMPUTED_VALUE"""),462.59)</f>
        <v>462.59</v>
      </c>
    </row>
    <row r="3021">
      <c r="A3021" s="3">
        <f>IFERROR(__xludf.DUMMYFUNCTION("""COMPUTED_VALUE"""),43537.99861111111)</f>
        <v>43537.99861</v>
      </c>
      <c r="B3021" s="1">
        <f>IFERROR(__xludf.DUMMYFUNCTION("""COMPUTED_VALUE"""),461.615)</f>
        <v>461.615</v>
      </c>
    </row>
    <row r="3022">
      <c r="A3022" s="3">
        <f>IFERROR(__xludf.DUMMYFUNCTION("""COMPUTED_VALUE"""),43538.99861111111)</f>
        <v>43538.99861</v>
      </c>
      <c r="B3022" s="1">
        <f>IFERROR(__xludf.DUMMYFUNCTION("""COMPUTED_VALUE"""),461.185)</f>
        <v>461.185</v>
      </c>
    </row>
    <row r="3023">
      <c r="A3023" s="3">
        <f>IFERROR(__xludf.DUMMYFUNCTION("""COMPUTED_VALUE"""),43539.99861111111)</f>
        <v>43539.99861</v>
      </c>
      <c r="B3023" s="1">
        <f>IFERROR(__xludf.DUMMYFUNCTION("""COMPUTED_VALUE"""),461.75)</f>
        <v>461.75</v>
      </c>
    </row>
    <row r="3024">
      <c r="A3024" s="3">
        <f>IFERROR(__xludf.DUMMYFUNCTION("""COMPUTED_VALUE"""),43540.99861111111)</f>
        <v>43540.99861</v>
      </c>
      <c r="B3024" s="1">
        <f>IFERROR(__xludf.DUMMYFUNCTION("""COMPUTED_VALUE"""),461.75)</f>
        <v>461.75</v>
      </c>
    </row>
    <row r="3025">
      <c r="A3025" s="3">
        <f>IFERROR(__xludf.DUMMYFUNCTION("""COMPUTED_VALUE"""),43541.99861111111)</f>
        <v>43541.99861</v>
      </c>
      <c r="B3025" s="1">
        <f>IFERROR(__xludf.DUMMYFUNCTION("""COMPUTED_VALUE"""),461.75)</f>
        <v>461.75</v>
      </c>
    </row>
    <row r="3026">
      <c r="A3026" s="3">
        <f>IFERROR(__xludf.DUMMYFUNCTION("""COMPUTED_VALUE"""),43542.99861111111)</f>
        <v>43542.99861</v>
      </c>
      <c r="B3026" s="1">
        <f>IFERROR(__xludf.DUMMYFUNCTION("""COMPUTED_VALUE"""),462.36)</f>
        <v>462.36</v>
      </c>
    </row>
    <row r="3027">
      <c r="A3027" s="3">
        <f>IFERROR(__xludf.DUMMYFUNCTION("""COMPUTED_VALUE"""),43543.99861111111)</f>
        <v>43543.99861</v>
      </c>
      <c r="B3027" s="1">
        <f>IFERROR(__xludf.DUMMYFUNCTION("""COMPUTED_VALUE"""),462.045)</f>
        <v>462.045</v>
      </c>
    </row>
    <row r="3028">
      <c r="A3028" s="3">
        <f>IFERROR(__xludf.DUMMYFUNCTION("""COMPUTED_VALUE"""),43544.99861111111)</f>
        <v>43544.99861</v>
      </c>
      <c r="B3028" s="1">
        <f>IFERROR(__xludf.DUMMYFUNCTION("""COMPUTED_VALUE"""),461.86)</f>
        <v>461.86</v>
      </c>
    </row>
    <row r="3029">
      <c r="A3029" s="3">
        <f>IFERROR(__xludf.DUMMYFUNCTION("""COMPUTED_VALUE"""),43545.99861111111)</f>
        <v>43545.99861</v>
      </c>
      <c r="B3029" s="1">
        <f>IFERROR(__xludf.DUMMYFUNCTION("""COMPUTED_VALUE"""),457.045)</f>
        <v>457.045</v>
      </c>
    </row>
    <row r="3030">
      <c r="A3030" s="3">
        <f>IFERROR(__xludf.DUMMYFUNCTION("""COMPUTED_VALUE"""),43546.99861111111)</f>
        <v>43546.99861</v>
      </c>
      <c r="B3030" s="1">
        <f>IFERROR(__xludf.DUMMYFUNCTION("""COMPUTED_VALUE"""),459.05)</f>
        <v>459.05</v>
      </c>
    </row>
    <row r="3031">
      <c r="A3031" s="3">
        <f>IFERROR(__xludf.DUMMYFUNCTION("""COMPUTED_VALUE"""),43547.99861111111)</f>
        <v>43547.99861</v>
      </c>
      <c r="B3031" s="1">
        <f>IFERROR(__xludf.DUMMYFUNCTION("""COMPUTED_VALUE"""),459.05)</f>
        <v>459.05</v>
      </c>
    </row>
    <row r="3032">
      <c r="A3032" s="3">
        <f>IFERROR(__xludf.DUMMYFUNCTION("""COMPUTED_VALUE"""),43548.99861111111)</f>
        <v>43548.99861</v>
      </c>
      <c r="B3032" s="1">
        <f>IFERROR(__xludf.DUMMYFUNCTION("""COMPUTED_VALUE"""),459.05)</f>
        <v>459.05</v>
      </c>
    </row>
    <row r="3033">
      <c r="A3033" s="3">
        <f>IFERROR(__xludf.DUMMYFUNCTION("""COMPUTED_VALUE"""),43549.99861111111)</f>
        <v>43549.99861</v>
      </c>
      <c r="B3033" s="1">
        <f>IFERROR(__xludf.DUMMYFUNCTION("""COMPUTED_VALUE"""),459.815)</f>
        <v>459.815</v>
      </c>
    </row>
    <row r="3034">
      <c r="A3034" s="3">
        <f>IFERROR(__xludf.DUMMYFUNCTION("""COMPUTED_VALUE"""),43550.99861111111)</f>
        <v>43550.99861</v>
      </c>
      <c r="B3034" s="1">
        <f>IFERROR(__xludf.DUMMYFUNCTION("""COMPUTED_VALUE"""),458.475)</f>
        <v>458.475</v>
      </c>
    </row>
    <row r="3035">
      <c r="A3035" s="3">
        <f>IFERROR(__xludf.DUMMYFUNCTION("""COMPUTED_VALUE"""),43551.99861111111)</f>
        <v>43551.99861</v>
      </c>
      <c r="B3035" s="1">
        <f>IFERROR(__xludf.DUMMYFUNCTION("""COMPUTED_VALUE"""),458.655)</f>
        <v>458.655</v>
      </c>
    </row>
    <row r="3036">
      <c r="A3036" s="3">
        <f>IFERROR(__xludf.DUMMYFUNCTION("""COMPUTED_VALUE"""),43552.99861111111)</f>
        <v>43552.99861</v>
      </c>
      <c r="B3036" s="1">
        <f>IFERROR(__xludf.DUMMYFUNCTION("""COMPUTED_VALUE"""),460.875)</f>
        <v>460.875</v>
      </c>
    </row>
    <row r="3037">
      <c r="A3037" s="3">
        <f>IFERROR(__xludf.DUMMYFUNCTION("""COMPUTED_VALUE"""),43553.99861111111)</f>
        <v>43553.99861</v>
      </c>
      <c r="B3037" s="1">
        <f>IFERROR(__xludf.DUMMYFUNCTION("""COMPUTED_VALUE"""),461.045)</f>
        <v>461.045</v>
      </c>
    </row>
    <row r="3038">
      <c r="A3038" s="3">
        <f>IFERROR(__xludf.DUMMYFUNCTION("""COMPUTED_VALUE"""),43554.99861111111)</f>
        <v>43554.99861</v>
      </c>
      <c r="B3038" s="1">
        <f>IFERROR(__xludf.DUMMYFUNCTION("""COMPUTED_VALUE"""),461.045)</f>
        <v>461.045</v>
      </c>
    </row>
    <row r="3039">
      <c r="A3039" s="3">
        <f>IFERROR(__xludf.DUMMYFUNCTION("""COMPUTED_VALUE"""),43555.99861111111)</f>
        <v>43555.99861</v>
      </c>
      <c r="B3039" s="1">
        <f>IFERROR(__xludf.DUMMYFUNCTION("""COMPUTED_VALUE"""),461.045)</f>
        <v>461.045</v>
      </c>
    </row>
    <row r="3040">
      <c r="A3040" s="3">
        <f>IFERROR(__xludf.DUMMYFUNCTION("""COMPUTED_VALUE"""),43556.99861111111)</f>
        <v>43556.99861</v>
      </c>
      <c r="B3040" s="1">
        <f>IFERROR(__xludf.DUMMYFUNCTION("""COMPUTED_VALUE"""),460.625)</f>
        <v>460.625</v>
      </c>
    </row>
    <row r="3041">
      <c r="A3041" s="3">
        <f>IFERROR(__xludf.DUMMYFUNCTION("""COMPUTED_VALUE"""),43557.99861111111)</f>
        <v>43557.99861</v>
      </c>
      <c r="B3041" s="1">
        <f>IFERROR(__xludf.DUMMYFUNCTION("""COMPUTED_VALUE"""),461.705)</f>
        <v>461.705</v>
      </c>
    </row>
    <row r="3042">
      <c r="A3042" s="3">
        <f>IFERROR(__xludf.DUMMYFUNCTION("""COMPUTED_VALUE"""),43558.99861111111)</f>
        <v>43558.99861</v>
      </c>
      <c r="B3042" s="1">
        <f>IFERROR(__xludf.DUMMYFUNCTION("""COMPUTED_VALUE"""),461.21)</f>
        <v>461.21</v>
      </c>
    </row>
    <row r="3043">
      <c r="A3043" s="3">
        <f>IFERROR(__xludf.DUMMYFUNCTION("""COMPUTED_VALUE"""),43559.99861111111)</f>
        <v>43559.99861</v>
      </c>
      <c r="B3043" s="1">
        <f>IFERROR(__xludf.DUMMYFUNCTION("""COMPUTED_VALUE"""),459.735)</f>
        <v>459.735</v>
      </c>
    </row>
    <row r="3044">
      <c r="A3044" s="3">
        <f>IFERROR(__xludf.DUMMYFUNCTION("""COMPUTED_VALUE"""),43560.99861111111)</f>
        <v>43560.99861</v>
      </c>
      <c r="B3044" s="1">
        <f>IFERROR(__xludf.DUMMYFUNCTION("""COMPUTED_VALUE"""),457.585)</f>
        <v>457.585</v>
      </c>
    </row>
    <row r="3045">
      <c r="A3045" s="3">
        <f>IFERROR(__xludf.DUMMYFUNCTION("""COMPUTED_VALUE"""),43561.99861111111)</f>
        <v>43561.99861</v>
      </c>
      <c r="B3045" s="1">
        <f>IFERROR(__xludf.DUMMYFUNCTION("""COMPUTED_VALUE"""),457.585)</f>
        <v>457.585</v>
      </c>
    </row>
    <row r="3046">
      <c r="A3046" s="3">
        <f>IFERROR(__xludf.DUMMYFUNCTION("""COMPUTED_VALUE"""),43562.99861111111)</f>
        <v>43562.99861</v>
      </c>
      <c r="B3046" s="1">
        <f>IFERROR(__xludf.DUMMYFUNCTION("""COMPUTED_VALUE"""),457.585)</f>
        <v>457.585</v>
      </c>
    </row>
    <row r="3047">
      <c r="A3047" s="3">
        <f>IFERROR(__xludf.DUMMYFUNCTION("""COMPUTED_VALUE"""),43563.99861111111)</f>
        <v>43563.99861</v>
      </c>
      <c r="B3047" s="1">
        <f>IFERROR(__xludf.DUMMYFUNCTION("""COMPUTED_VALUE"""),459.85)</f>
        <v>459.85</v>
      </c>
    </row>
    <row r="3048">
      <c r="A3048" s="3">
        <f>IFERROR(__xludf.DUMMYFUNCTION("""COMPUTED_VALUE"""),43564.99861111111)</f>
        <v>43564.99861</v>
      </c>
      <c r="B3048" s="1">
        <f>IFERROR(__xludf.DUMMYFUNCTION("""COMPUTED_VALUE"""),457.88)</f>
        <v>457.88</v>
      </c>
    </row>
    <row r="3049">
      <c r="A3049" s="3">
        <f>IFERROR(__xludf.DUMMYFUNCTION("""COMPUTED_VALUE"""),43565.99861111111)</f>
        <v>43565.99861</v>
      </c>
      <c r="B3049" s="1">
        <f>IFERROR(__xludf.DUMMYFUNCTION("""COMPUTED_VALUE"""),458.415)</f>
        <v>458.415</v>
      </c>
    </row>
    <row r="3050">
      <c r="A3050" s="3">
        <f>IFERROR(__xludf.DUMMYFUNCTION("""COMPUTED_VALUE"""),43566.99861111111)</f>
        <v>43566.99861</v>
      </c>
      <c r="B3050" s="1">
        <f>IFERROR(__xludf.DUMMYFUNCTION("""COMPUTED_VALUE"""),458.125)</f>
        <v>458.125</v>
      </c>
    </row>
    <row r="3051">
      <c r="A3051" s="3">
        <f>IFERROR(__xludf.DUMMYFUNCTION("""COMPUTED_VALUE"""),43567.99861111111)</f>
        <v>43567.99861</v>
      </c>
      <c r="B3051" s="1">
        <f>IFERROR(__xludf.DUMMYFUNCTION("""COMPUTED_VALUE"""),456.185)</f>
        <v>456.185</v>
      </c>
    </row>
    <row r="3052">
      <c r="A3052" s="3">
        <f>IFERROR(__xludf.DUMMYFUNCTION("""COMPUTED_VALUE"""),43568.99861111111)</f>
        <v>43568.99861</v>
      </c>
      <c r="B3052" s="1">
        <f>IFERROR(__xludf.DUMMYFUNCTION("""COMPUTED_VALUE"""),456.85)</f>
        <v>456.85</v>
      </c>
    </row>
    <row r="3053">
      <c r="A3053" s="3">
        <f>IFERROR(__xludf.DUMMYFUNCTION("""COMPUTED_VALUE"""),43569.99861111111)</f>
        <v>43569.99861</v>
      </c>
      <c r="B3053" s="1">
        <f>IFERROR(__xludf.DUMMYFUNCTION("""COMPUTED_VALUE"""),456.85)</f>
        <v>456.85</v>
      </c>
    </row>
    <row r="3054">
      <c r="A3054" s="3">
        <f>IFERROR(__xludf.DUMMYFUNCTION("""COMPUTED_VALUE"""),43570.99861111111)</f>
        <v>43570.99861</v>
      </c>
      <c r="B3054" s="1">
        <f>IFERROR(__xludf.DUMMYFUNCTION("""COMPUTED_VALUE"""),455.47)</f>
        <v>455.47</v>
      </c>
    </row>
    <row r="3055">
      <c r="A3055" s="3">
        <f>IFERROR(__xludf.DUMMYFUNCTION("""COMPUTED_VALUE"""),43571.99861111111)</f>
        <v>43571.99861</v>
      </c>
      <c r="B3055" s="1">
        <f>IFERROR(__xludf.DUMMYFUNCTION("""COMPUTED_VALUE"""),455.705)</f>
        <v>455.705</v>
      </c>
    </row>
    <row r="3056">
      <c r="A3056" s="3">
        <f>IFERROR(__xludf.DUMMYFUNCTION("""COMPUTED_VALUE"""),43572.99861111111)</f>
        <v>43572.99861</v>
      </c>
      <c r="B3056" s="1">
        <f>IFERROR(__xludf.DUMMYFUNCTION("""COMPUTED_VALUE"""),456.59)</f>
        <v>456.59</v>
      </c>
    </row>
    <row r="3057">
      <c r="A3057" s="3">
        <f>IFERROR(__xludf.DUMMYFUNCTION("""COMPUTED_VALUE"""),43573.99861111111)</f>
        <v>43573.99861</v>
      </c>
      <c r="B3057" s="1">
        <f>IFERROR(__xludf.DUMMYFUNCTION("""COMPUTED_VALUE"""),454.765)</f>
        <v>454.765</v>
      </c>
    </row>
    <row r="3058">
      <c r="A3058" s="3">
        <f>IFERROR(__xludf.DUMMYFUNCTION("""COMPUTED_VALUE"""),43574.99861111111)</f>
        <v>43574.99861</v>
      </c>
      <c r="B3058" s="1">
        <f>IFERROR(__xludf.DUMMYFUNCTION("""COMPUTED_VALUE"""),455.59)</f>
        <v>455.59</v>
      </c>
    </row>
    <row r="3059">
      <c r="A3059" s="3">
        <f>IFERROR(__xludf.DUMMYFUNCTION("""COMPUTED_VALUE"""),43575.99861111111)</f>
        <v>43575.99861</v>
      </c>
      <c r="B3059" s="1">
        <f>IFERROR(__xludf.DUMMYFUNCTION("""COMPUTED_VALUE"""),455.59)</f>
        <v>455.59</v>
      </c>
    </row>
    <row r="3060">
      <c r="A3060" s="3">
        <f>IFERROR(__xludf.DUMMYFUNCTION("""COMPUTED_VALUE"""),43576.99861111111)</f>
        <v>43576.99861</v>
      </c>
      <c r="B3060" s="1">
        <f>IFERROR(__xludf.DUMMYFUNCTION("""COMPUTED_VALUE"""),455.59)</f>
        <v>455.59</v>
      </c>
    </row>
    <row r="3061">
      <c r="A3061" s="3">
        <f>IFERROR(__xludf.DUMMYFUNCTION("""COMPUTED_VALUE"""),43577.99861111111)</f>
        <v>43577.99861</v>
      </c>
      <c r="B3061" s="1">
        <f>IFERROR(__xludf.DUMMYFUNCTION("""COMPUTED_VALUE"""),456.785)</f>
        <v>456.785</v>
      </c>
    </row>
    <row r="3062">
      <c r="A3062" s="3">
        <f>IFERROR(__xludf.DUMMYFUNCTION("""COMPUTED_VALUE"""),43578.99861111111)</f>
        <v>43578.99861</v>
      </c>
      <c r="B3062" s="1">
        <f>IFERROR(__xludf.DUMMYFUNCTION("""COMPUTED_VALUE"""),454.555)</f>
        <v>454.555</v>
      </c>
    </row>
    <row r="3063">
      <c r="A3063" s="3">
        <f>IFERROR(__xludf.DUMMYFUNCTION("""COMPUTED_VALUE"""),43579.99861111111)</f>
        <v>43579.99861</v>
      </c>
      <c r="B3063" s="1">
        <f>IFERROR(__xludf.DUMMYFUNCTION("""COMPUTED_VALUE"""),454.555)</f>
        <v>454.555</v>
      </c>
    </row>
    <row r="3064">
      <c r="A3064" s="3">
        <f>IFERROR(__xludf.DUMMYFUNCTION("""COMPUTED_VALUE"""),43580.99861111111)</f>
        <v>43580.99861</v>
      </c>
      <c r="B3064" s="1">
        <f>IFERROR(__xludf.DUMMYFUNCTION("""COMPUTED_VALUE"""),456.235)</f>
        <v>456.235</v>
      </c>
    </row>
    <row r="3065">
      <c r="A3065" s="3">
        <f>IFERROR(__xludf.DUMMYFUNCTION("""COMPUTED_VALUE"""),43581.99861111111)</f>
        <v>43581.99861</v>
      </c>
      <c r="B3065" s="1">
        <f>IFERROR(__xludf.DUMMYFUNCTION("""COMPUTED_VALUE"""),502.73)</f>
        <v>502.73</v>
      </c>
    </row>
    <row r="3066">
      <c r="A3066" s="3">
        <f>IFERROR(__xludf.DUMMYFUNCTION("""COMPUTED_VALUE"""),43582.99861111111)</f>
        <v>43582.99861</v>
      </c>
      <c r="B3066" s="1">
        <f>IFERROR(__xludf.DUMMYFUNCTION("""COMPUTED_VALUE"""),458.755)</f>
        <v>458.755</v>
      </c>
    </row>
    <row r="3067">
      <c r="A3067" s="3">
        <f>IFERROR(__xludf.DUMMYFUNCTION("""COMPUTED_VALUE"""),43583.99861111111)</f>
        <v>43583.99861</v>
      </c>
      <c r="B3067" s="1">
        <f>IFERROR(__xludf.DUMMYFUNCTION("""COMPUTED_VALUE"""),458.755)</f>
        <v>458.755</v>
      </c>
    </row>
    <row r="3068">
      <c r="A3068" s="3">
        <f>IFERROR(__xludf.DUMMYFUNCTION("""COMPUTED_VALUE"""),43584.99861111111)</f>
        <v>43584.99861</v>
      </c>
      <c r="B3068" s="1">
        <f>IFERROR(__xludf.DUMMYFUNCTION("""COMPUTED_VALUE"""),503.25)</f>
        <v>503.25</v>
      </c>
    </row>
    <row r="3069">
      <c r="A3069" s="3">
        <f>IFERROR(__xludf.DUMMYFUNCTION("""COMPUTED_VALUE"""),43585.99861111111)</f>
        <v>43585.99861</v>
      </c>
      <c r="B3069" s="1">
        <f>IFERROR(__xludf.DUMMYFUNCTION("""COMPUTED_VALUE"""),461.265)</f>
        <v>461.265</v>
      </c>
    </row>
    <row r="3070">
      <c r="A3070" s="3">
        <f>IFERROR(__xludf.DUMMYFUNCTION("""COMPUTED_VALUE"""),43586.99861111111)</f>
        <v>43586.99861</v>
      </c>
      <c r="B3070" s="1">
        <f>IFERROR(__xludf.DUMMYFUNCTION("""COMPUTED_VALUE"""),461.265)</f>
        <v>461.265</v>
      </c>
    </row>
    <row r="3071">
      <c r="A3071" s="3">
        <f>IFERROR(__xludf.DUMMYFUNCTION("""COMPUTED_VALUE"""),43587.99861111111)</f>
        <v>43587.99861</v>
      </c>
      <c r="B3071" s="1">
        <f>IFERROR(__xludf.DUMMYFUNCTION("""COMPUTED_VALUE"""),460.055)</f>
        <v>460.055</v>
      </c>
    </row>
    <row r="3072">
      <c r="A3072" s="3">
        <f>IFERROR(__xludf.DUMMYFUNCTION("""COMPUTED_VALUE"""),43588.99861111111)</f>
        <v>43588.99861</v>
      </c>
      <c r="B3072" s="1">
        <f>IFERROR(__xludf.DUMMYFUNCTION("""COMPUTED_VALUE"""),461.935)</f>
        <v>461.935</v>
      </c>
    </row>
    <row r="3073">
      <c r="A3073" s="3">
        <f>IFERROR(__xludf.DUMMYFUNCTION("""COMPUTED_VALUE"""),43589.99861111111)</f>
        <v>43589.99861</v>
      </c>
      <c r="B3073" s="1">
        <f>IFERROR(__xludf.DUMMYFUNCTION("""COMPUTED_VALUE"""),461.935)</f>
        <v>461.935</v>
      </c>
    </row>
    <row r="3074">
      <c r="A3074" s="3">
        <f>IFERROR(__xludf.DUMMYFUNCTION("""COMPUTED_VALUE"""),43590.99861111111)</f>
        <v>43590.99861</v>
      </c>
      <c r="B3074" s="1">
        <f>IFERROR(__xludf.DUMMYFUNCTION("""COMPUTED_VALUE"""),461.935)</f>
        <v>461.935</v>
      </c>
    </row>
    <row r="3075">
      <c r="A3075" s="3">
        <f>IFERROR(__xludf.DUMMYFUNCTION("""COMPUTED_VALUE"""),43591.99861111111)</f>
        <v>43591.99861</v>
      </c>
      <c r="B3075" s="1">
        <f>IFERROR(__xludf.DUMMYFUNCTION("""COMPUTED_VALUE"""),462.52)</f>
        <v>462.52</v>
      </c>
    </row>
    <row r="3076">
      <c r="A3076" s="3">
        <f>IFERROR(__xludf.DUMMYFUNCTION("""COMPUTED_VALUE"""),43592.99861111111)</f>
        <v>43592.99861</v>
      </c>
      <c r="B3076" s="1">
        <f>IFERROR(__xludf.DUMMYFUNCTION("""COMPUTED_VALUE"""),461.035)</f>
        <v>461.035</v>
      </c>
    </row>
    <row r="3077">
      <c r="A3077" s="3">
        <f>IFERROR(__xludf.DUMMYFUNCTION("""COMPUTED_VALUE"""),43593.99861111111)</f>
        <v>43593.99861</v>
      </c>
      <c r="B3077" s="1">
        <f>IFERROR(__xludf.DUMMYFUNCTION("""COMPUTED_VALUE"""),461.395)</f>
        <v>461.395</v>
      </c>
    </row>
    <row r="3078">
      <c r="A3078" s="3">
        <f>IFERROR(__xludf.DUMMYFUNCTION("""COMPUTED_VALUE"""),43594.99861111111)</f>
        <v>43594.99861</v>
      </c>
      <c r="B3078" s="1">
        <f>IFERROR(__xludf.DUMMYFUNCTION("""COMPUTED_VALUE"""),464.125)</f>
        <v>464.125</v>
      </c>
    </row>
    <row r="3079">
      <c r="A3079" s="3">
        <f>IFERROR(__xludf.DUMMYFUNCTION("""COMPUTED_VALUE"""),43595.99861111111)</f>
        <v>43595.99861</v>
      </c>
      <c r="B3079" s="1">
        <f>IFERROR(__xludf.DUMMYFUNCTION("""COMPUTED_VALUE"""),462.225)</f>
        <v>462.225</v>
      </c>
    </row>
    <row r="3080">
      <c r="A3080" s="3">
        <f>IFERROR(__xludf.DUMMYFUNCTION("""COMPUTED_VALUE"""),43596.99861111111)</f>
        <v>43596.99861</v>
      </c>
      <c r="B3080" s="1">
        <f>IFERROR(__xludf.DUMMYFUNCTION("""COMPUTED_VALUE"""),462.225)</f>
        <v>462.225</v>
      </c>
    </row>
    <row r="3081">
      <c r="A3081" s="3">
        <f>IFERROR(__xludf.DUMMYFUNCTION("""COMPUTED_VALUE"""),43597.99861111111)</f>
        <v>43597.99861</v>
      </c>
      <c r="B3081" s="1">
        <f>IFERROR(__xludf.DUMMYFUNCTION("""COMPUTED_VALUE"""),462.225)</f>
        <v>462.225</v>
      </c>
    </row>
    <row r="3082">
      <c r="A3082" s="3">
        <f>IFERROR(__xludf.DUMMYFUNCTION("""COMPUTED_VALUE"""),43598.99861111111)</f>
        <v>43598.99861</v>
      </c>
      <c r="B3082" s="1">
        <f>IFERROR(__xludf.DUMMYFUNCTION("""COMPUTED_VALUE"""),460.56)</f>
        <v>460.56</v>
      </c>
    </row>
    <row r="3083">
      <c r="A3083" s="3">
        <f>IFERROR(__xludf.DUMMYFUNCTION("""COMPUTED_VALUE"""),43599.99861111111)</f>
        <v>43599.99861</v>
      </c>
      <c r="B3083" s="1">
        <f>IFERROR(__xludf.DUMMYFUNCTION("""COMPUTED_VALUE"""),462.78)</f>
        <v>462.78</v>
      </c>
    </row>
    <row r="3084">
      <c r="A3084" s="3">
        <f>IFERROR(__xludf.DUMMYFUNCTION("""COMPUTED_VALUE"""),43600.99861111111)</f>
        <v>43600.99861</v>
      </c>
      <c r="B3084" s="1">
        <f>IFERROR(__xludf.DUMMYFUNCTION("""COMPUTED_VALUE"""),464.82)</f>
        <v>464.82</v>
      </c>
    </row>
    <row r="3085">
      <c r="A3085" s="3">
        <f>IFERROR(__xludf.DUMMYFUNCTION("""COMPUTED_VALUE"""),43601.99861111111)</f>
        <v>43601.99861</v>
      </c>
      <c r="B3085" s="1">
        <f>IFERROR(__xludf.DUMMYFUNCTION("""COMPUTED_VALUE"""),462.815)</f>
        <v>462.815</v>
      </c>
    </row>
    <row r="3086">
      <c r="A3086" s="3">
        <f>IFERROR(__xludf.DUMMYFUNCTION("""COMPUTED_VALUE"""),43602.99861111111)</f>
        <v>43602.99861</v>
      </c>
      <c r="B3086" s="1">
        <f>IFERROR(__xludf.DUMMYFUNCTION("""COMPUTED_VALUE"""),460.86)</f>
        <v>460.86</v>
      </c>
    </row>
    <row r="3087">
      <c r="A3087" s="3">
        <f>IFERROR(__xludf.DUMMYFUNCTION("""COMPUTED_VALUE"""),43603.99861111111)</f>
        <v>43603.99861</v>
      </c>
      <c r="B3087" s="1">
        <f>IFERROR(__xludf.DUMMYFUNCTION("""COMPUTED_VALUE"""),460.86)</f>
        <v>460.86</v>
      </c>
    </row>
    <row r="3088">
      <c r="A3088" s="3">
        <f>IFERROR(__xludf.DUMMYFUNCTION("""COMPUTED_VALUE"""),43604.99861111111)</f>
        <v>43604.99861</v>
      </c>
      <c r="B3088" s="1">
        <f>IFERROR(__xludf.DUMMYFUNCTION("""COMPUTED_VALUE"""),460.86)</f>
        <v>460.86</v>
      </c>
    </row>
    <row r="3089">
      <c r="A3089" s="3">
        <f>IFERROR(__xludf.DUMMYFUNCTION("""COMPUTED_VALUE"""),43605.99861111111)</f>
        <v>43605.99861</v>
      </c>
      <c r="B3089" s="1">
        <f>IFERROR(__xludf.DUMMYFUNCTION("""COMPUTED_VALUE"""),460.135)</f>
        <v>460.135</v>
      </c>
    </row>
    <row r="3090">
      <c r="A3090" s="3">
        <f>IFERROR(__xludf.DUMMYFUNCTION("""COMPUTED_VALUE"""),43606.99861111111)</f>
        <v>43606.99861</v>
      </c>
      <c r="B3090" s="1">
        <f>IFERROR(__xludf.DUMMYFUNCTION("""COMPUTED_VALUE"""),459.945)</f>
        <v>459.945</v>
      </c>
    </row>
    <row r="3091">
      <c r="A3091" s="3">
        <f>IFERROR(__xludf.DUMMYFUNCTION("""COMPUTED_VALUE"""),43607.99861111111)</f>
        <v>43607.99861</v>
      </c>
      <c r="B3091" s="1">
        <f>IFERROR(__xludf.DUMMYFUNCTION("""COMPUTED_VALUE"""),461.775)</f>
        <v>461.775</v>
      </c>
    </row>
    <row r="3092">
      <c r="A3092" s="3">
        <f>IFERROR(__xludf.DUMMYFUNCTION("""COMPUTED_VALUE"""),43608.99861111111)</f>
        <v>43608.99861</v>
      </c>
      <c r="B3092" s="1">
        <f>IFERROR(__xludf.DUMMYFUNCTION("""COMPUTED_VALUE"""),459.77)</f>
        <v>459.77</v>
      </c>
    </row>
    <row r="3093">
      <c r="A3093" s="3">
        <f>IFERROR(__xludf.DUMMYFUNCTION("""COMPUTED_VALUE"""),43609.99861111111)</f>
        <v>43609.99861</v>
      </c>
      <c r="B3093" s="1">
        <f>IFERROR(__xludf.DUMMYFUNCTION("""COMPUTED_VALUE"""),457.38)</f>
        <v>457.38</v>
      </c>
    </row>
    <row r="3094">
      <c r="A3094" s="3">
        <f>IFERROR(__xludf.DUMMYFUNCTION("""COMPUTED_VALUE"""),43610.99861111111)</f>
        <v>43610.99861</v>
      </c>
      <c r="B3094" s="1">
        <f>IFERROR(__xludf.DUMMYFUNCTION("""COMPUTED_VALUE"""),456.795)</f>
        <v>456.795</v>
      </c>
    </row>
    <row r="3095">
      <c r="A3095" s="3">
        <f>IFERROR(__xludf.DUMMYFUNCTION("""COMPUTED_VALUE"""),43611.99861111111)</f>
        <v>43611.99861</v>
      </c>
      <c r="B3095" s="1">
        <f>IFERROR(__xludf.DUMMYFUNCTION("""COMPUTED_VALUE"""),456.795)</f>
        <v>456.795</v>
      </c>
    </row>
    <row r="3096">
      <c r="A3096" s="3">
        <f>IFERROR(__xludf.DUMMYFUNCTION("""COMPUTED_VALUE"""),43612.99861111111)</f>
        <v>43612.99861</v>
      </c>
      <c r="B3096" s="1">
        <f>IFERROR(__xludf.DUMMYFUNCTION("""COMPUTED_VALUE"""),457.07)</f>
        <v>457.07</v>
      </c>
    </row>
    <row r="3097">
      <c r="A3097" s="3">
        <f>IFERROR(__xludf.DUMMYFUNCTION("""COMPUTED_VALUE"""),43613.99861111111)</f>
        <v>43613.99861</v>
      </c>
      <c r="B3097" s="1">
        <f>IFERROR(__xludf.DUMMYFUNCTION("""COMPUTED_VALUE"""),456.17)</f>
        <v>456.17</v>
      </c>
    </row>
    <row r="3098">
      <c r="A3098" s="3">
        <f>IFERROR(__xludf.DUMMYFUNCTION("""COMPUTED_VALUE"""),43614.99861111111)</f>
        <v>43614.99861</v>
      </c>
      <c r="B3098" s="1">
        <f>IFERROR(__xludf.DUMMYFUNCTION("""COMPUTED_VALUE"""),455.08)</f>
        <v>455.08</v>
      </c>
    </row>
    <row r="3099">
      <c r="A3099" s="3">
        <f>IFERROR(__xludf.DUMMYFUNCTION("""COMPUTED_VALUE"""),43615.99861111111)</f>
        <v>43615.99861</v>
      </c>
      <c r="B3099" s="1">
        <f>IFERROR(__xludf.DUMMYFUNCTION("""COMPUTED_VALUE"""),455.48)</f>
        <v>455.48</v>
      </c>
    </row>
    <row r="3100">
      <c r="A3100" s="3">
        <f>IFERROR(__xludf.DUMMYFUNCTION("""COMPUTED_VALUE"""),43616.99861111111)</f>
        <v>43616.99861</v>
      </c>
      <c r="B3100" s="1">
        <f>IFERROR(__xludf.DUMMYFUNCTION("""COMPUTED_VALUE"""),454.965)</f>
        <v>454.965</v>
      </c>
    </row>
    <row r="3101">
      <c r="A3101" s="3">
        <f>IFERROR(__xludf.DUMMYFUNCTION("""COMPUTED_VALUE"""),43617.99861111111)</f>
        <v>43617.99861</v>
      </c>
      <c r="B3101" s="1">
        <f>IFERROR(__xludf.DUMMYFUNCTION("""COMPUTED_VALUE"""),454.965)</f>
        <v>454.965</v>
      </c>
    </row>
    <row r="3102">
      <c r="A3102" s="3">
        <f>IFERROR(__xludf.DUMMYFUNCTION("""COMPUTED_VALUE"""),43618.99861111111)</f>
        <v>43618.99861</v>
      </c>
      <c r="B3102" s="1">
        <f>IFERROR(__xludf.DUMMYFUNCTION("""COMPUTED_VALUE"""),451.375)</f>
        <v>451.375</v>
      </c>
    </row>
    <row r="3103">
      <c r="A3103" s="3">
        <f>IFERROR(__xludf.DUMMYFUNCTION("""COMPUTED_VALUE"""),43619.99861111111)</f>
        <v>43619.99861</v>
      </c>
      <c r="B3103" s="1">
        <f>IFERROR(__xludf.DUMMYFUNCTION("""COMPUTED_VALUE"""),456.15)</f>
        <v>456.15</v>
      </c>
    </row>
    <row r="3104">
      <c r="A3104" s="3">
        <f>IFERROR(__xludf.DUMMYFUNCTION("""COMPUTED_VALUE"""),43620.99861111111)</f>
        <v>43620.99861</v>
      </c>
      <c r="B3104" s="1">
        <f>IFERROR(__xludf.DUMMYFUNCTION("""COMPUTED_VALUE"""),453.725)</f>
        <v>453.725</v>
      </c>
    </row>
    <row r="3105">
      <c r="A3105" s="3">
        <f>IFERROR(__xludf.DUMMYFUNCTION("""COMPUTED_VALUE"""),43621.99861111111)</f>
        <v>43621.99861</v>
      </c>
      <c r="B3105" s="1">
        <f>IFERROR(__xludf.DUMMYFUNCTION("""COMPUTED_VALUE"""),455.83)</f>
        <v>455.83</v>
      </c>
    </row>
    <row r="3106">
      <c r="A3106" s="3">
        <f>IFERROR(__xludf.DUMMYFUNCTION("""COMPUTED_VALUE"""),43622.99861111111)</f>
        <v>43622.99861</v>
      </c>
      <c r="B3106" s="1">
        <f>IFERROR(__xludf.DUMMYFUNCTION("""COMPUTED_VALUE"""),457.805)</f>
        <v>457.805</v>
      </c>
    </row>
    <row r="3107">
      <c r="A3107" s="3">
        <f>IFERROR(__xludf.DUMMYFUNCTION("""COMPUTED_VALUE"""),43623.99861111111)</f>
        <v>43623.99861</v>
      </c>
      <c r="B3107" s="1">
        <f>IFERROR(__xludf.DUMMYFUNCTION("""COMPUTED_VALUE"""),456.56)</f>
        <v>456.56</v>
      </c>
    </row>
    <row r="3108">
      <c r="A3108" s="3">
        <f>IFERROR(__xludf.DUMMYFUNCTION("""COMPUTED_VALUE"""),43624.99861111111)</f>
        <v>43624.99861</v>
      </c>
      <c r="B3108" s="1">
        <f>IFERROR(__xludf.DUMMYFUNCTION("""COMPUTED_VALUE"""),456.56)</f>
        <v>456.56</v>
      </c>
    </row>
    <row r="3109">
      <c r="A3109" s="3">
        <f>IFERROR(__xludf.DUMMYFUNCTION("""COMPUTED_VALUE"""),43625.99861111111)</f>
        <v>43625.99861</v>
      </c>
      <c r="B3109" s="1">
        <f>IFERROR(__xludf.DUMMYFUNCTION("""COMPUTED_VALUE"""),456.56)</f>
        <v>456.56</v>
      </c>
    </row>
    <row r="3110">
      <c r="A3110" s="3">
        <f>IFERROR(__xludf.DUMMYFUNCTION("""COMPUTED_VALUE"""),43626.99861111111)</f>
        <v>43626.99861</v>
      </c>
      <c r="B3110" s="1">
        <f>IFERROR(__xludf.DUMMYFUNCTION("""COMPUTED_VALUE"""),453.65)</f>
        <v>453.65</v>
      </c>
    </row>
    <row r="3111">
      <c r="A3111" s="3">
        <f>IFERROR(__xludf.DUMMYFUNCTION("""COMPUTED_VALUE"""),43627.99861111111)</f>
        <v>43627.99861</v>
      </c>
      <c r="B3111" s="1">
        <f>IFERROR(__xludf.DUMMYFUNCTION("""COMPUTED_VALUE"""),454.125)</f>
        <v>454.125</v>
      </c>
    </row>
    <row r="3112">
      <c r="A3112" s="3">
        <f>IFERROR(__xludf.DUMMYFUNCTION("""COMPUTED_VALUE"""),43628.99861111111)</f>
        <v>43628.99861</v>
      </c>
      <c r="B3112" s="1">
        <f>IFERROR(__xludf.DUMMYFUNCTION("""COMPUTED_VALUE"""),452.295)</f>
        <v>452.295</v>
      </c>
    </row>
    <row r="3113">
      <c r="A3113" s="3">
        <f>IFERROR(__xludf.DUMMYFUNCTION("""COMPUTED_VALUE"""),43629.99861111111)</f>
        <v>43629.99861</v>
      </c>
      <c r="B3113" s="1">
        <f>IFERROR(__xludf.DUMMYFUNCTION("""COMPUTED_VALUE"""),453.02)</f>
        <v>453.02</v>
      </c>
    </row>
    <row r="3114">
      <c r="A3114" s="3">
        <f>IFERROR(__xludf.DUMMYFUNCTION("""COMPUTED_VALUE"""),43630.99861111111)</f>
        <v>43630.99861</v>
      </c>
      <c r="B3114" s="1">
        <f>IFERROR(__xludf.DUMMYFUNCTION("""COMPUTED_VALUE"""),453.14)</f>
        <v>453.14</v>
      </c>
    </row>
    <row r="3115">
      <c r="A3115" s="3">
        <f>IFERROR(__xludf.DUMMYFUNCTION("""COMPUTED_VALUE"""),43631.99861111111)</f>
        <v>43631.99861</v>
      </c>
      <c r="B3115" s="1">
        <f>IFERROR(__xludf.DUMMYFUNCTION("""COMPUTED_VALUE"""),454.855)</f>
        <v>454.855</v>
      </c>
    </row>
    <row r="3116">
      <c r="A3116" s="3">
        <f>IFERROR(__xludf.DUMMYFUNCTION("""COMPUTED_VALUE"""),43632.99861111111)</f>
        <v>43632.99861</v>
      </c>
      <c r="B3116" s="1">
        <f>IFERROR(__xludf.DUMMYFUNCTION("""COMPUTED_VALUE"""),454.855)</f>
        <v>454.855</v>
      </c>
    </row>
    <row r="3117">
      <c r="A3117" s="3">
        <f>IFERROR(__xludf.DUMMYFUNCTION("""COMPUTED_VALUE"""),43633.99861111111)</f>
        <v>43633.99861</v>
      </c>
      <c r="B3117" s="1">
        <f>IFERROR(__xludf.DUMMYFUNCTION("""COMPUTED_VALUE"""),454.705)</f>
        <v>454.705</v>
      </c>
    </row>
    <row r="3118">
      <c r="A3118" s="3">
        <f>IFERROR(__xludf.DUMMYFUNCTION("""COMPUTED_VALUE"""),43634.99861111111)</f>
        <v>43634.99861</v>
      </c>
      <c r="B3118" s="1">
        <f>IFERROR(__xludf.DUMMYFUNCTION("""COMPUTED_VALUE"""),455.815)</f>
        <v>455.815</v>
      </c>
    </row>
    <row r="3119">
      <c r="A3119" s="3">
        <f>IFERROR(__xludf.DUMMYFUNCTION("""COMPUTED_VALUE"""),43635.99861111111)</f>
        <v>43635.99861</v>
      </c>
      <c r="B3119" s="1">
        <f>IFERROR(__xludf.DUMMYFUNCTION("""COMPUTED_VALUE"""),456.52)</f>
        <v>456.52</v>
      </c>
    </row>
    <row r="3120">
      <c r="A3120" s="3">
        <f>IFERROR(__xludf.DUMMYFUNCTION("""COMPUTED_VALUE"""),43636.99861111111)</f>
        <v>43636.99861</v>
      </c>
      <c r="B3120" s="1">
        <f>IFERROR(__xludf.DUMMYFUNCTION("""COMPUTED_VALUE"""),456.595)</f>
        <v>456.595</v>
      </c>
    </row>
    <row r="3121">
      <c r="A3121" s="3">
        <f>IFERROR(__xludf.DUMMYFUNCTION("""COMPUTED_VALUE"""),43637.99861111111)</f>
        <v>43637.99861</v>
      </c>
      <c r="B3121" s="1">
        <f>IFERROR(__xludf.DUMMYFUNCTION("""COMPUTED_VALUE"""),501.48)</f>
        <v>501.48</v>
      </c>
    </row>
    <row r="3122">
      <c r="A3122" s="3">
        <f>IFERROR(__xludf.DUMMYFUNCTION("""COMPUTED_VALUE"""),43638.99861111111)</f>
        <v>43638.99861</v>
      </c>
      <c r="B3122" s="1">
        <f>IFERROR(__xludf.DUMMYFUNCTION("""COMPUTED_VALUE"""),501.48)</f>
        <v>501.48</v>
      </c>
    </row>
    <row r="3123">
      <c r="A3123" s="3">
        <f>IFERROR(__xludf.DUMMYFUNCTION("""COMPUTED_VALUE"""),43639.99861111111)</f>
        <v>43639.99861</v>
      </c>
      <c r="B3123" s="1">
        <f>IFERROR(__xludf.DUMMYFUNCTION("""COMPUTED_VALUE"""),501.48)</f>
        <v>501.48</v>
      </c>
    </row>
    <row r="3124">
      <c r="A3124" s="3">
        <f>IFERROR(__xludf.DUMMYFUNCTION("""COMPUTED_VALUE"""),43640.99861111111)</f>
        <v>43640.99861</v>
      </c>
      <c r="B3124" s="1">
        <f>IFERROR(__xludf.DUMMYFUNCTION("""COMPUTED_VALUE"""),498.135)</f>
        <v>498.135</v>
      </c>
    </row>
    <row r="3125">
      <c r="A3125" s="3">
        <f>IFERROR(__xludf.DUMMYFUNCTION("""COMPUTED_VALUE"""),43641.99861111111)</f>
        <v>43641.99861</v>
      </c>
      <c r="B3125" s="1">
        <f>IFERROR(__xludf.DUMMYFUNCTION("""COMPUTED_VALUE"""),453.93)</f>
        <v>453.93</v>
      </c>
    </row>
    <row r="3126">
      <c r="A3126" s="3">
        <f>IFERROR(__xludf.DUMMYFUNCTION("""COMPUTED_VALUE"""),43642.99861111111)</f>
        <v>43642.99861</v>
      </c>
      <c r="B3126" s="1">
        <f>IFERROR(__xludf.DUMMYFUNCTION("""COMPUTED_VALUE"""),456.71)</f>
        <v>456.71</v>
      </c>
    </row>
    <row r="3127">
      <c r="A3127" s="3">
        <f>IFERROR(__xludf.DUMMYFUNCTION("""COMPUTED_VALUE"""),43643.99861111111)</f>
        <v>43643.99861</v>
      </c>
      <c r="B3127" s="1">
        <f>IFERROR(__xludf.DUMMYFUNCTION("""COMPUTED_VALUE"""),454.605)</f>
        <v>454.605</v>
      </c>
    </row>
    <row r="3128">
      <c r="A3128" s="3">
        <f>IFERROR(__xludf.DUMMYFUNCTION("""COMPUTED_VALUE"""),43644.99861111111)</f>
        <v>43644.99861</v>
      </c>
      <c r="B3128" s="1">
        <f>IFERROR(__xludf.DUMMYFUNCTION("""COMPUTED_VALUE"""),455.17)</f>
        <v>455.17</v>
      </c>
    </row>
    <row r="3129">
      <c r="A3129" s="3">
        <f>IFERROR(__xludf.DUMMYFUNCTION("""COMPUTED_VALUE"""),43645.99861111111)</f>
        <v>43645.99861</v>
      </c>
      <c r="B3129" s="1">
        <f>IFERROR(__xludf.DUMMYFUNCTION("""COMPUTED_VALUE"""),455.17)</f>
        <v>455.17</v>
      </c>
    </row>
    <row r="3130">
      <c r="A3130" s="3">
        <f>IFERROR(__xludf.DUMMYFUNCTION("""COMPUTED_VALUE"""),43646.99861111111)</f>
        <v>43646.99861</v>
      </c>
      <c r="B3130" s="1">
        <f>IFERROR(__xludf.DUMMYFUNCTION("""COMPUTED_VALUE"""),455.17)</f>
        <v>455.17</v>
      </c>
    </row>
    <row r="3131">
      <c r="A3131" s="3">
        <f>IFERROR(__xludf.DUMMYFUNCTION("""COMPUTED_VALUE"""),43647.99861111111)</f>
        <v>43647.99861</v>
      </c>
      <c r="B3131" s="1">
        <f>IFERROR(__xludf.DUMMYFUNCTION("""COMPUTED_VALUE"""),453.83)</f>
        <v>453.83</v>
      </c>
    </row>
    <row r="3132">
      <c r="A3132" s="3">
        <f>IFERROR(__xludf.DUMMYFUNCTION("""COMPUTED_VALUE"""),43648.99861111111)</f>
        <v>43648.99861</v>
      </c>
      <c r="B3132" s="1">
        <f>IFERROR(__xludf.DUMMYFUNCTION("""COMPUTED_VALUE"""),455.62)</f>
        <v>455.62</v>
      </c>
    </row>
    <row r="3133">
      <c r="A3133" s="3">
        <f>IFERROR(__xludf.DUMMYFUNCTION("""COMPUTED_VALUE"""),43649.99861111111)</f>
        <v>43649.99861</v>
      </c>
      <c r="B3133" s="1">
        <f>IFERROR(__xludf.DUMMYFUNCTION("""COMPUTED_VALUE"""),453.37)</f>
        <v>453.37</v>
      </c>
    </row>
    <row r="3134">
      <c r="A3134" s="3">
        <f>IFERROR(__xludf.DUMMYFUNCTION("""COMPUTED_VALUE"""),43650.99861111111)</f>
        <v>43650.99861</v>
      </c>
      <c r="B3134" s="1">
        <f>IFERROR(__xludf.DUMMYFUNCTION("""COMPUTED_VALUE"""),455.09)</f>
        <v>455.09</v>
      </c>
    </row>
    <row r="3135">
      <c r="A3135" s="3">
        <f>IFERROR(__xludf.DUMMYFUNCTION("""COMPUTED_VALUE"""),43651.99861111111)</f>
        <v>43651.99861</v>
      </c>
      <c r="B3135" s="1">
        <f>IFERROR(__xludf.DUMMYFUNCTION("""COMPUTED_VALUE"""),450.7)</f>
        <v>450.7</v>
      </c>
    </row>
    <row r="3136">
      <c r="A3136" s="3">
        <f>IFERROR(__xludf.DUMMYFUNCTION("""COMPUTED_VALUE"""),43652.99861111111)</f>
        <v>43652.99861</v>
      </c>
      <c r="B3136" s="1">
        <f>IFERROR(__xludf.DUMMYFUNCTION("""COMPUTED_VALUE"""),450.7)</f>
        <v>450.7</v>
      </c>
    </row>
    <row r="3137">
      <c r="A3137" s="3">
        <f>IFERROR(__xludf.DUMMYFUNCTION("""COMPUTED_VALUE"""),43653.99861111111)</f>
        <v>43653.99861</v>
      </c>
      <c r="B3137" s="1">
        <f>IFERROR(__xludf.DUMMYFUNCTION("""COMPUTED_VALUE"""),450.7)</f>
        <v>450.7</v>
      </c>
    </row>
    <row r="3138">
      <c r="A3138" s="3">
        <f>IFERROR(__xludf.DUMMYFUNCTION("""COMPUTED_VALUE"""),43654.99861111111)</f>
        <v>43654.99861</v>
      </c>
      <c r="B3138" s="1">
        <f>IFERROR(__xludf.DUMMYFUNCTION("""COMPUTED_VALUE"""),495.165)</f>
        <v>495.165</v>
      </c>
    </row>
    <row r="3139">
      <c r="A3139" s="3">
        <f>IFERROR(__xludf.DUMMYFUNCTION("""COMPUTED_VALUE"""),43655.99861111111)</f>
        <v>43655.99861</v>
      </c>
      <c r="B3139" s="1">
        <f>IFERROR(__xludf.DUMMYFUNCTION("""COMPUTED_VALUE"""),496.175)</f>
        <v>496.175</v>
      </c>
    </row>
    <row r="3140">
      <c r="A3140" s="3">
        <f>IFERROR(__xludf.DUMMYFUNCTION("""COMPUTED_VALUE"""),43656.99861111111)</f>
        <v>43656.99861</v>
      </c>
      <c r="B3140" s="1">
        <f>IFERROR(__xludf.DUMMYFUNCTION("""COMPUTED_VALUE"""),455.605)</f>
        <v>455.605</v>
      </c>
    </row>
    <row r="3141">
      <c r="A3141" s="3">
        <f>IFERROR(__xludf.DUMMYFUNCTION("""COMPUTED_VALUE"""),43657.99861111111)</f>
        <v>43657.99861</v>
      </c>
      <c r="B3141" s="1">
        <f>IFERROR(__xludf.DUMMYFUNCTION("""COMPUTED_VALUE"""),454.575)</f>
        <v>454.575</v>
      </c>
    </row>
    <row r="3142">
      <c r="A3142" s="3">
        <f>IFERROR(__xludf.DUMMYFUNCTION("""COMPUTED_VALUE"""),43658.99861111111)</f>
        <v>43658.99861</v>
      </c>
      <c r="B3142" s="1">
        <f>IFERROR(__xludf.DUMMYFUNCTION("""COMPUTED_VALUE"""),451.015)</f>
        <v>451.015</v>
      </c>
    </row>
    <row r="3143">
      <c r="A3143" s="3">
        <f>IFERROR(__xludf.DUMMYFUNCTION("""COMPUTED_VALUE"""),43659.99861111111)</f>
        <v>43659.99861</v>
      </c>
      <c r="B3143" s="1">
        <f>IFERROR(__xludf.DUMMYFUNCTION("""COMPUTED_VALUE"""),451.015)</f>
        <v>451.015</v>
      </c>
    </row>
    <row r="3144">
      <c r="A3144" s="3">
        <f>IFERROR(__xludf.DUMMYFUNCTION("""COMPUTED_VALUE"""),43660.99861111111)</f>
        <v>43660.99861</v>
      </c>
      <c r="B3144" s="1">
        <f>IFERROR(__xludf.DUMMYFUNCTION("""COMPUTED_VALUE"""),451.015)</f>
        <v>451.015</v>
      </c>
    </row>
    <row r="3145">
      <c r="A3145" s="3">
        <f>IFERROR(__xludf.DUMMYFUNCTION("""COMPUTED_VALUE"""),43661.99861111111)</f>
        <v>43661.99861</v>
      </c>
      <c r="B3145" s="1">
        <f>IFERROR(__xludf.DUMMYFUNCTION("""COMPUTED_VALUE"""),447.305)</f>
        <v>447.305</v>
      </c>
    </row>
    <row r="3146">
      <c r="A3146" s="3">
        <f>IFERROR(__xludf.DUMMYFUNCTION("""COMPUTED_VALUE"""),43662.99861111111)</f>
        <v>43662.99861</v>
      </c>
      <c r="B3146" s="1">
        <f>IFERROR(__xludf.DUMMYFUNCTION("""COMPUTED_VALUE"""),448.36)</f>
        <v>448.36</v>
      </c>
    </row>
    <row r="3147">
      <c r="A3147" s="3">
        <f>IFERROR(__xludf.DUMMYFUNCTION("""COMPUTED_VALUE"""),43663.99861111111)</f>
        <v>43663.99861</v>
      </c>
      <c r="B3147" s="1">
        <f>IFERROR(__xludf.DUMMYFUNCTION("""COMPUTED_VALUE"""),449.82)</f>
        <v>449.82</v>
      </c>
    </row>
    <row r="3148">
      <c r="A3148" s="3">
        <f>IFERROR(__xludf.DUMMYFUNCTION("""COMPUTED_VALUE"""),43664.99861111111)</f>
        <v>43664.99861</v>
      </c>
      <c r="B3148" s="1">
        <f>IFERROR(__xludf.DUMMYFUNCTION("""COMPUTED_VALUE"""),449.755)</f>
        <v>449.755</v>
      </c>
    </row>
    <row r="3149">
      <c r="A3149" s="3">
        <f>IFERROR(__xludf.DUMMYFUNCTION("""COMPUTED_VALUE"""),43665.99861111111)</f>
        <v>43665.99861</v>
      </c>
      <c r="B3149" s="1">
        <f>IFERROR(__xludf.DUMMYFUNCTION("""COMPUTED_VALUE"""),448.255)</f>
        <v>448.255</v>
      </c>
    </row>
    <row r="3150">
      <c r="A3150" s="3">
        <f>IFERROR(__xludf.DUMMYFUNCTION("""COMPUTED_VALUE"""),43666.99861111111)</f>
        <v>43666.99861</v>
      </c>
      <c r="B3150" s="1">
        <f>IFERROR(__xludf.DUMMYFUNCTION("""COMPUTED_VALUE"""),448.935)</f>
        <v>448.935</v>
      </c>
    </row>
    <row r="3151">
      <c r="A3151" s="3">
        <f>IFERROR(__xludf.DUMMYFUNCTION("""COMPUTED_VALUE"""),43667.99861111111)</f>
        <v>43667.99861</v>
      </c>
      <c r="B3151" s="1">
        <f>IFERROR(__xludf.DUMMYFUNCTION("""COMPUTED_VALUE"""),448.935)</f>
        <v>448.935</v>
      </c>
    </row>
    <row r="3152">
      <c r="A3152" s="3">
        <f>IFERROR(__xludf.DUMMYFUNCTION("""COMPUTED_VALUE"""),43668.99861111111)</f>
        <v>43668.99861</v>
      </c>
      <c r="B3152" s="1">
        <f>IFERROR(__xludf.DUMMYFUNCTION("""COMPUTED_VALUE"""),447.915)</f>
        <v>447.915</v>
      </c>
    </row>
    <row r="3153">
      <c r="A3153" s="3">
        <f>IFERROR(__xludf.DUMMYFUNCTION("""COMPUTED_VALUE"""),43669.99861111111)</f>
        <v>43669.99861</v>
      </c>
      <c r="B3153" s="1">
        <f>IFERROR(__xludf.DUMMYFUNCTION("""COMPUTED_VALUE"""),449.85)</f>
        <v>449.85</v>
      </c>
    </row>
    <row r="3154">
      <c r="A3154" s="3">
        <f>IFERROR(__xludf.DUMMYFUNCTION("""COMPUTED_VALUE"""),43670.99861111111)</f>
        <v>43670.99861</v>
      </c>
      <c r="B3154" s="1">
        <f>IFERROR(__xludf.DUMMYFUNCTION("""COMPUTED_VALUE"""),450.035)</f>
        <v>450.035</v>
      </c>
    </row>
    <row r="3155">
      <c r="A3155" s="3">
        <f>IFERROR(__xludf.DUMMYFUNCTION("""COMPUTED_VALUE"""),43671.99861111111)</f>
        <v>43671.99861</v>
      </c>
      <c r="B3155" s="1">
        <f>IFERROR(__xludf.DUMMYFUNCTION("""COMPUTED_VALUE"""),450.145)</f>
        <v>450.145</v>
      </c>
    </row>
    <row r="3156">
      <c r="A3156" s="3">
        <f>IFERROR(__xludf.DUMMYFUNCTION("""COMPUTED_VALUE"""),43672.99861111111)</f>
        <v>43672.99861</v>
      </c>
      <c r="B3156" s="1">
        <f>IFERROR(__xludf.DUMMYFUNCTION("""COMPUTED_VALUE"""),449.905)</f>
        <v>449.905</v>
      </c>
    </row>
    <row r="3157">
      <c r="A3157" s="3">
        <f>IFERROR(__xludf.DUMMYFUNCTION("""COMPUTED_VALUE"""),43673.99861111111)</f>
        <v>43673.99861</v>
      </c>
      <c r="B3157" s="1">
        <f>IFERROR(__xludf.DUMMYFUNCTION("""COMPUTED_VALUE"""),449.905)</f>
        <v>449.905</v>
      </c>
    </row>
    <row r="3158">
      <c r="A3158" s="3">
        <f>IFERROR(__xludf.DUMMYFUNCTION("""COMPUTED_VALUE"""),43674.99861111111)</f>
        <v>43674.99861</v>
      </c>
      <c r="B3158" s="1">
        <f>IFERROR(__xludf.DUMMYFUNCTION("""COMPUTED_VALUE"""),449.905)</f>
        <v>449.905</v>
      </c>
    </row>
    <row r="3159">
      <c r="A3159" s="3">
        <f>IFERROR(__xludf.DUMMYFUNCTION("""COMPUTED_VALUE"""),43675.99861111111)</f>
        <v>43675.99861</v>
      </c>
      <c r="B3159" s="1">
        <f>IFERROR(__xludf.DUMMYFUNCTION("""COMPUTED_VALUE"""),465.975)</f>
        <v>465.975</v>
      </c>
    </row>
    <row r="3160">
      <c r="A3160" s="3">
        <f>IFERROR(__xludf.DUMMYFUNCTION("""COMPUTED_VALUE"""),43676.99861111111)</f>
        <v>43676.99861</v>
      </c>
      <c r="B3160" s="1">
        <f>IFERROR(__xludf.DUMMYFUNCTION("""COMPUTED_VALUE"""),451.445)</f>
        <v>451.445</v>
      </c>
    </row>
    <row r="3161">
      <c r="A3161" s="3">
        <f>IFERROR(__xludf.DUMMYFUNCTION("""COMPUTED_VALUE"""),43677.99861111111)</f>
        <v>43677.99861</v>
      </c>
      <c r="B3161" s="1">
        <f>IFERROR(__xludf.DUMMYFUNCTION("""COMPUTED_VALUE"""),450.345)</f>
        <v>450.345</v>
      </c>
    </row>
    <row r="3162">
      <c r="A3162" s="3">
        <f>IFERROR(__xludf.DUMMYFUNCTION("""COMPUTED_VALUE"""),43678.99861111111)</f>
        <v>43678.99861</v>
      </c>
      <c r="B3162" s="1">
        <f>IFERROR(__xludf.DUMMYFUNCTION("""COMPUTED_VALUE"""),454.845)</f>
        <v>454.845</v>
      </c>
    </row>
    <row r="3163">
      <c r="A3163" s="3">
        <f>IFERROR(__xludf.DUMMYFUNCTION("""COMPUTED_VALUE"""),43679.99861111111)</f>
        <v>43679.99861</v>
      </c>
      <c r="B3163" s="1">
        <f>IFERROR(__xludf.DUMMYFUNCTION("""COMPUTED_VALUE"""),451.535)</f>
        <v>451.535</v>
      </c>
    </row>
    <row r="3164">
      <c r="A3164" s="3">
        <f>IFERROR(__xludf.DUMMYFUNCTION("""COMPUTED_VALUE"""),43680.99861111111)</f>
        <v>43680.99861</v>
      </c>
      <c r="B3164" s="1">
        <f>IFERROR(__xludf.DUMMYFUNCTION("""COMPUTED_VALUE"""),451.535)</f>
        <v>451.535</v>
      </c>
    </row>
    <row r="3165">
      <c r="A3165" s="3">
        <f>IFERROR(__xludf.DUMMYFUNCTION("""COMPUTED_VALUE"""),43681.99861111111)</f>
        <v>43681.99861</v>
      </c>
      <c r="B3165" s="1">
        <f>IFERROR(__xludf.DUMMYFUNCTION("""COMPUTED_VALUE"""),451.535)</f>
        <v>451.535</v>
      </c>
    </row>
    <row r="3166">
      <c r="A3166" s="3">
        <f>IFERROR(__xludf.DUMMYFUNCTION("""COMPUTED_VALUE"""),43682.99861111111)</f>
        <v>43682.99861</v>
      </c>
      <c r="B3166" s="1">
        <f>IFERROR(__xludf.DUMMYFUNCTION("""COMPUTED_VALUE"""),451.7)</f>
        <v>451.7</v>
      </c>
    </row>
    <row r="3167">
      <c r="A3167" s="3">
        <f>IFERROR(__xludf.DUMMYFUNCTION("""COMPUTED_VALUE"""),43683.99861111111)</f>
        <v>43683.99861</v>
      </c>
      <c r="B3167" s="1">
        <f>IFERROR(__xludf.DUMMYFUNCTION("""COMPUTED_VALUE"""),451.4)</f>
        <v>451.4</v>
      </c>
    </row>
    <row r="3168">
      <c r="A3168" s="3">
        <f>IFERROR(__xludf.DUMMYFUNCTION("""COMPUTED_VALUE"""),43684.99861111111)</f>
        <v>43684.99861</v>
      </c>
      <c r="B3168" s="1">
        <f>IFERROR(__xludf.DUMMYFUNCTION("""COMPUTED_VALUE"""),453.71)</f>
        <v>453.71</v>
      </c>
    </row>
    <row r="3169">
      <c r="A3169" s="3">
        <f>IFERROR(__xludf.DUMMYFUNCTION("""COMPUTED_VALUE"""),43685.99861111111)</f>
        <v>43685.99861</v>
      </c>
      <c r="B3169" s="1">
        <f>IFERROR(__xludf.DUMMYFUNCTION("""COMPUTED_VALUE"""),453.66)</f>
        <v>453.66</v>
      </c>
    </row>
    <row r="3170">
      <c r="A3170" s="3">
        <f>IFERROR(__xludf.DUMMYFUNCTION("""COMPUTED_VALUE"""),43686.99861111111)</f>
        <v>43686.99861</v>
      </c>
      <c r="B3170" s="1">
        <f>IFERROR(__xludf.DUMMYFUNCTION("""COMPUTED_VALUE"""),452.555)</f>
        <v>452.555</v>
      </c>
    </row>
    <row r="3171">
      <c r="A3171" s="3">
        <f>IFERROR(__xludf.DUMMYFUNCTION("""COMPUTED_VALUE"""),43687.99861111111)</f>
        <v>43687.99861</v>
      </c>
      <c r="B3171" s="1">
        <f>IFERROR(__xludf.DUMMYFUNCTION("""COMPUTED_VALUE"""),452.555)</f>
        <v>452.555</v>
      </c>
    </row>
    <row r="3172">
      <c r="A3172" s="3">
        <f>IFERROR(__xludf.DUMMYFUNCTION("""COMPUTED_VALUE"""),43688.99861111111)</f>
        <v>43688.99861</v>
      </c>
      <c r="B3172" s="1">
        <f>IFERROR(__xludf.DUMMYFUNCTION("""COMPUTED_VALUE"""),452.555)</f>
        <v>452.555</v>
      </c>
    </row>
    <row r="3173">
      <c r="A3173" s="3">
        <f>IFERROR(__xludf.DUMMYFUNCTION("""COMPUTED_VALUE"""),43689.99861111111)</f>
        <v>43689.99861</v>
      </c>
      <c r="B3173" s="1">
        <f>IFERROR(__xludf.DUMMYFUNCTION("""COMPUTED_VALUE"""),452.87)</f>
        <v>452.87</v>
      </c>
    </row>
    <row r="3174">
      <c r="A3174" s="3">
        <f>IFERROR(__xludf.DUMMYFUNCTION("""COMPUTED_VALUE"""),43690.99861111111)</f>
        <v>43690.99861</v>
      </c>
      <c r="B3174" s="1">
        <f>IFERROR(__xludf.DUMMYFUNCTION("""COMPUTED_VALUE"""),454.55)</f>
        <v>454.55</v>
      </c>
    </row>
    <row r="3175">
      <c r="A3175" s="3">
        <f>IFERROR(__xludf.DUMMYFUNCTION("""COMPUTED_VALUE"""),43691.99861111111)</f>
        <v>43691.99861</v>
      </c>
      <c r="B3175" s="1">
        <f>IFERROR(__xludf.DUMMYFUNCTION("""COMPUTED_VALUE"""),454.27)</f>
        <v>454.27</v>
      </c>
    </row>
    <row r="3176">
      <c r="A3176" s="3">
        <f>IFERROR(__xludf.DUMMYFUNCTION("""COMPUTED_VALUE"""),43692.99861111111)</f>
        <v>43692.99861</v>
      </c>
      <c r="B3176" s="1">
        <f>IFERROR(__xludf.DUMMYFUNCTION("""COMPUTED_VALUE"""),453.84)</f>
        <v>453.84</v>
      </c>
    </row>
    <row r="3177">
      <c r="A3177" s="3">
        <f>IFERROR(__xludf.DUMMYFUNCTION("""COMPUTED_VALUE"""),43693.99861111111)</f>
        <v>43693.99861</v>
      </c>
      <c r="B3177" s="1">
        <f>IFERROR(__xludf.DUMMYFUNCTION("""COMPUTED_VALUE"""),454.5)</f>
        <v>454.5</v>
      </c>
    </row>
    <row r="3178">
      <c r="A3178" s="3">
        <f>IFERROR(__xludf.DUMMYFUNCTION("""COMPUTED_VALUE"""),43694.99861111111)</f>
        <v>43694.99861</v>
      </c>
      <c r="B3178" s="1">
        <f>IFERROR(__xludf.DUMMYFUNCTION("""COMPUTED_VALUE"""),454.5)</f>
        <v>454.5</v>
      </c>
    </row>
    <row r="3179">
      <c r="A3179" s="3">
        <f>IFERROR(__xludf.DUMMYFUNCTION("""COMPUTED_VALUE"""),43695.99861111111)</f>
        <v>43695.99861</v>
      </c>
      <c r="B3179" s="1">
        <f>IFERROR(__xludf.DUMMYFUNCTION("""COMPUTED_VALUE"""),454.5)</f>
        <v>454.5</v>
      </c>
    </row>
    <row r="3180">
      <c r="A3180" s="3">
        <f>IFERROR(__xludf.DUMMYFUNCTION("""COMPUTED_VALUE"""),43696.99861111111)</f>
        <v>43696.99861</v>
      </c>
      <c r="B3180" s="1">
        <f>IFERROR(__xludf.DUMMYFUNCTION("""COMPUTED_VALUE"""),454.145)</f>
        <v>454.145</v>
      </c>
    </row>
    <row r="3181">
      <c r="A3181" s="3">
        <f>IFERROR(__xludf.DUMMYFUNCTION("""COMPUTED_VALUE"""),43697.99861111111)</f>
        <v>43697.99861</v>
      </c>
      <c r="B3181" s="1">
        <f>IFERROR(__xludf.DUMMYFUNCTION("""COMPUTED_VALUE"""),454.87)</f>
        <v>454.87</v>
      </c>
    </row>
    <row r="3182">
      <c r="A3182" s="3">
        <f>IFERROR(__xludf.DUMMYFUNCTION("""COMPUTED_VALUE"""),43698.99861111111)</f>
        <v>43698.99861</v>
      </c>
      <c r="B3182" s="1">
        <f>IFERROR(__xludf.DUMMYFUNCTION("""COMPUTED_VALUE"""),453.905)</f>
        <v>453.905</v>
      </c>
    </row>
    <row r="3183">
      <c r="A3183" s="3">
        <f>IFERROR(__xludf.DUMMYFUNCTION("""COMPUTED_VALUE"""),43699.99861111111)</f>
        <v>43699.99861</v>
      </c>
      <c r="B3183" s="1">
        <f>IFERROR(__xludf.DUMMYFUNCTION("""COMPUTED_VALUE"""),453.705)</f>
        <v>453.705</v>
      </c>
    </row>
    <row r="3184">
      <c r="A3184" s="3">
        <f>IFERROR(__xludf.DUMMYFUNCTION("""COMPUTED_VALUE"""),43700.99861111111)</f>
        <v>43700.99861</v>
      </c>
      <c r="B3184" s="1">
        <f>IFERROR(__xludf.DUMMYFUNCTION("""COMPUTED_VALUE"""),453.31)</f>
        <v>453.31</v>
      </c>
    </row>
    <row r="3185">
      <c r="A3185" s="3">
        <f>IFERROR(__xludf.DUMMYFUNCTION("""COMPUTED_VALUE"""),43701.99861111111)</f>
        <v>43701.99861</v>
      </c>
      <c r="B3185" s="1">
        <f>IFERROR(__xludf.DUMMYFUNCTION("""COMPUTED_VALUE"""),453.31)</f>
        <v>453.31</v>
      </c>
    </row>
    <row r="3186">
      <c r="A3186" s="3">
        <f>IFERROR(__xludf.DUMMYFUNCTION("""COMPUTED_VALUE"""),43702.99861111111)</f>
        <v>43702.99861</v>
      </c>
      <c r="B3186" s="1">
        <f>IFERROR(__xludf.DUMMYFUNCTION("""COMPUTED_VALUE"""),453.31)</f>
        <v>453.31</v>
      </c>
    </row>
    <row r="3187">
      <c r="A3187" s="3">
        <f>IFERROR(__xludf.DUMMYFUNCTION("""COMPUTED_VALUE"""),43703.99861111111)</f>
        <v>43703.99861</v>
      </c>
      <c r="B3187" s="1">
        <f>IFERROR(__xludf.DUMMYFUNCTION("""COMPUTED_VALUE"""),452.295)</f>
        <v>452.295</v>
      </c>
    </row>
    <row r="3188">
      <c r="A3188" s="3">
        <f>IFERROR(__xludf.DUMMYFUNCTION("""COMPUTED_VALUE"""),43704.99861111111)</f>
        <v>43704.99861</v>
      </c>
      <c r="B3188" s="1">
        <f>IFERROR(__xludf.DUMMYFUNCTION("""COMPUTED_VALUE"""),453.715)</f>
        <v>453.715</v>
      </c>
    </row>
    <row r="3189">
      <c r="A3189" s="3">
        <f>IFERROR(__xludf.DUMMYFUNCTION("""COMPUTED_VALUE"""),43705.99861111111)</f>
        <v>43705.99861</v>
      </c>
      <c r="B3189" s="1">
        <f>IFERROR(__xludf.DUMMYFUNCTION("""COMPUTED_VALUE"""),453.09)</f>
        <v>453.09</v>
      </c>
    </row>
    <row r="3190">
      <c r="A3190" s="3">
        <f>IFERROR(__xludf.DUMMYFUNCTION("""COMPUTED_VALUE"""),43706.99861111111)</f>
        <v>43706.99861</v>
      </c>
      <c r="B3190" s="1">
        <f>IFERROR(__xludf.DUMMYFUNCTION("""COMPUTED_VALUE"""),453.17)</f>
        <v>453.17</v>
      </c>
    </row>
    <row r="3191">
      <c r="A3191" s="3">
        <f>IFERROR(__xludf.DUMMYFUNCTION("""COMPUTED_VALUE"""),43707.99861111111)</f>
        <v>43707.99861</v>
      </c>
      <c r="B3191" s="1">
        <f>IFERROR(__xludf.DUMMYFUNCTION("""COMPUTED_VALUE"""),453.02)</f>
        <v>453.02</v>
      </c>
    </row>
    <row r="3192">
      <c r="A3192" s="3">
        <f>IFERROR(__xludf.DUMMYFUNCTION("""COMPUTED_VALUE"""),43708.99861111111)</f>
        <v>43708.99861</v>
      </c>
      <c r="B3192" s="1">
        <f>IFERROR(__xludf.DUMMYFUNCTION("""COMPUTED_VALUE"""),453.02)</f>
        <v>453.02</v>
      </c>
    </row>
    <row r="3193">
      <c r="A3193" s="3">
        <f>IFERROR(__xludf.DUMMYFUNCTION("""COMPUTED_VALUE"""),43709.99861111111)</f>
        <v>43709.99861</v>
      </c>
      <c r="B3193" s="1">
        <f>IFERROR(__xludf.DUMMYFUNCTION("""COMPUTED_VALUE"""),453.02)</f>
        <v>453.02</v>
      </c>
    </row>
    <row r="3194">
      <c r="A3194" s="3">
        <f>IFERROR(__xludf.DUMMYFUNCTION("""COMPUTED_VALUE"""),43710.99861111111)</f>
        <v>43710.99861</v>
      </c>
      <c r="B3194" s="1">
        <f>IFERROR(__xludf.DUMMYFUNCTION("""COMPUTED_VALUE"""),452.485)</f>
        <v>452.485</v>
      </c>
    </row>
    <row r="3195">
      <c r="A3195" s="3">
        <f>IFERROR(__xludf.DUMMYFUNCTION("""COMPUTED_VALUE"""),43711.99861111111)</f>
        <v>43711.99861</v>
      </c>
      <c r="B3195" s="1">
        <f>IFERROR(__xludf.DUMMYFUNCTION("""COMPUTED_VALUE"""),454.35)</f>
        <v>454.35</v>
      </c>
    </row>
    <row r="3196">
      <c r="A3196" s="3">
        <f>IFERROR(__xludf.DUMMYFUNCTION("""COMPUTED_VALUE"""),43712.99861111111)</f>
        <v>43712.99861</v>
      </c>
      <c r="B3196" s="1">
        <f>IFERROR(__xludf.DUMMYFUNCTION("""COMPUTED_VALUE"""),452.815)</f>
        <v>452.815</v>
      </c>
    </row>
    <row r="3197">
      <c r="A3197" s="3">
        <f>IFERROR(__xludf.DUMMYFUNCTION("""COMPUTED_VALUE"""),43713.99861111111)</f>
        <v>43713.99861</v>
      </c>
      <c r="B3197" s="1">
        <f>IFERROR(__xludf.DUMMYFUNCTION("""COMPUTED_VALUE"""),452.095)</f>
        <v>452.095</v>
      </c>
    </row>
    <row r="3198">
      <c r="A3198" s="3">
        <f>IFERROR(__xludf.DUMMYFUNCTION("""COMPUTED_VALUE"""),43714.99861111111)</f>
        <v>43714.99861</v>
      </c>
      <c r="B3198" s="1">
        <f>IFERROR(__xludf.DUMMYFUNCTION("""COMPUTED_VALUE"""),451.725)</f>
        <v>451.725</v>
      </c>
    </row>
    <row r="3199">
      <c r="A3199" s="3">
        <f>IFERROR(__xludf.DUMMYFUNCTION("""COMPUTED_VALUE"""),43715.99861111111)</f>
        <v>43715.99861</v>
      </c>
      <c r="B3199" s="1">
        <f>IFERROR(__xludf.DUMMYFUNCTION("""COMPUTED_VALUE"""),451.56)</f>
        <v>451.56</v>
      </c>
    </row>
    <row r="3200">
      <c r="A3200" s="3">
        <f>IFERROR(__xludf.DUMMYFUNCTION("""COMPUTED_VALUE"""),43716.99861111111)</f>
        <v>43716.99861</v>
      </c>
      <c r="B3200" s="1">
        <f>IFERROR(__xludf.DUMMYFUNCTION("""COMPUTED_VALUE"""),451.56)</f>
        <v>451.56</v>
      </c>
    </row>
    <row r="3201">
      <c r="A3201" s="3">
        <f>IFERROR(__xludf.DUMMYFUNCTION("""COMPUTED_VALUE"""),43717.99861111111)</f>
        <v>43717.99861</v>
      </c>
      <c r="B3201" s="1">
        <f>IFERROR(__xludf.DUMMYFUNCTION("""COMPUTED_VALUE"""),450.395)</f>
        <v>450.395</v>
      </c>
    </row>
    <row r="3202">
      <c r="A3202" s="3">
        <f>IFERROR(__xludf.DUMMYFUNCTION("""COMPUTED_VALUE"""),43718.99861111111)</f>
        <v>43718.99861</v>
      </c>
      <c r="B3202" s="1">
        <f>IFERROR(__xludf.DUMMYFUNCTION("""COMPUTED_VALUE"""),450.035)</f>
        <v>450.035</v>
      </c>
    </row>
    <row r="3203">
      <c r="A3203" s="3">
        <f>IFERROR(__xludf.DUMMYFUNCTION("""COMPUTED_VALUE"""),43719.99861111111)</f>
        <v>43719.99861</v>
      </c>
      <c r="B3203" s="1">
        <f>IFERROR(__xludf.DUMMYFUNCTION("""COMPUTED_VALUE"""),451.095)</f>
        <v>451.095</v>
      </c>
    </row>
    <row r="3204">
      <c r="A3204" s="3">
        <f>IFERROR(__xludf.DUMMYFUNCTION("""COMPUTED_VALUE"""),43720.99861111111)</f>
        <v>43720.99861</v>
      </c>
      <c r="B3204" s="1">
        <f>IFERROR(__xludf.DUMMYFUNCTION("""COMPUTED_VALUE"""),452.885)</f>
        <v>452.885</v>
      </c>
    </row>
    <row r="3205">
      <c r="A3205" s="3">
        <f>IFERROR(__xludf.DUMMYFUNCTION("""COMPUTED_VALUE"""),43721.99861111111)</f>
        <v>43721.99861</v>
      </c>
      <c r="B3205" s="1">
        <f>IFERROR(__xludf.DUMMYFUNCTION("""COMPUTED_VALUE"""),451.305)</f>
        <v>451.305</v>
      </c>
    </row>
    <row r="3206">
      <c r="A3206" s="3">
        <f>IFERROR(__xludf.DUMMYFUNCTION("""COMPUTED_VALUE"""),43722.99861111111)</f>
        <v>43722.99861</v>
      </c>
      <c r="B3206" s="1">
        <f>IFERROR(__xludf.DUMMYFUNCTION("""COMPUTED_VALUE"""),451.305)</f>
        <v>451.305</v>
      </c>
    </row>
    <row r="3207">
      <c r="A3207" s="3">
        <f>IFERROR(__xludf.DUMMYFUNCTION("""COMPUTED_VALUE"""),43723.99861111111)</f>
        <v>43723.99861</v>
      </c>
      <c r="B3207" s="1">
        <f>IFERROR(__xludf.DUMMYFUNCTION("""COMPUTED_VALUE"""),451.305)</f>
        <v>451.305</v>
      </c>
    </row>
    <row r="3208">
      <c r="A3208" s="3">
        <f>IFERROR(__xludf.DUMMYFUNCTION("""COMPUTED_VALUE"""),43724.99861111111)</f>
        <v>43724.99861</v>
      </c>
      <c r="B3208" s="1">
        <f>IFERROR(__xludf.DUMMYFUNCTION("""COMPUTED_VALUE"""),452.84)</f>
        <v>452.84</v>
      </c>
    </row>
    <row r="3209">
      <c r="A3209" s="3">
        <f>IFERROR(__xludf.DUMMYFUNCTION("""COMPUTED_VALUE"""),43725.99861111111)</f>
        <v>43725.99861</v>
      </c>
      <c r="B3209" s="1">
        <f>IFERROR(__xludf.DUMMYFUNCTION("""COMPUTED_VALUE"""),451.98)</f>
        <v>451.98</v>
      </c>
    </row>
    <row r="3210">
      <c r="A3210" s="3">
        <f>IFERROR(__xludf.DUMMYFUNCTION("""COMPUTED_VALUE"""),43726.99861111111)</f>
        <v>43726.99861</v>
      </c>
      <c r="B3210" s="1">
        <f>IFERROR(__xludf.DUMMYFUNCTION("""COMPUTED_VALUE"""),456.045)</f>
        <v>456.045</v>
      </c>
    </row>
    <row r="3211">
      <c r="A3211" s="3">
        <f>IFERROR(__xludf.DUMMYFUNCTION("""COMPUTED_VALUE"""),43727.99861111111)</f>
        <v>43727.99861</v>
      </c>
      <c r="B3211" s="1">
        <f>IFERROR(__xludf.DUMMYFUNCTION("""COMPUTED_VALUE"""),454.945)</f>
        <v>454.945</v>
      </c>
    </row>
    <row r="3212">
      <c r="A3212" s="3">
        <f>IFERROR(__xludf.DUMMYFUNCTION("""COMPUTED_VALUE"""),43728.99861111111)</f>
        <v>43728.99861</v>
      </c>
      <c r="B3212" s="1">
        <f>IFERROR(__xludf.DUMMYFUNCTION("""COMPUTED_VALUE"""),452.785)</f>
        <v>452.785</v>
      </c>
    </row>
    <row r="3213">
      <c r="A3213" s="3">
        <f>IFERROR(__xludf.DUMMYFUNCTION("""COMPUTED_VALUE"""),43729.99861111111)</f>
        <v>43729.99861</v>
      </c>
      <c r="B3213" s="1">
        <f>IFERROR(__xludf.DUMMYFUNCTION("""COMPUTED_VALUE"""),452.785)</f>
        <v>452.785</v>
      </c>
    </row>
    <row r="3214">
      <c r="A3214" s="3">
        <f>IFERROR(__xludf.DUMMYFUNCTION("""COMPUTED_VALUE"""),43730.99861111111)</f>
        <v>43730.99861</v>
      </c>
      <c r="B3214" s="1">
        <f>IFERROR(__xludf.DUMMYFUNCTION("""COMPUTED_VALUE"""),452.785)</f>
        <v>452.785</v>
      </c>
    </row>
    <row r="3215">
      <c r="A3215" s="3">
        <f>IFERROR(__xludf.DUMMYFUNCTION("""COMPUTED_VALUE"""),43731.99861111111)</f>
        <v>43731.99861</v>
      </c>
      <c r="B3215" s="1">
        <f>IFERROR(__xludf.DUMMYFUNCTION("""COMPUTED_VALUE"""),454.19)</f>
        <v>454.19</v>
      </c>
    </row>
    <row r="3216">
      <c r="A3216" s="3">
        <f>IFERROR(__xludf.DUMMYFUNCTION("""COMPUTED_VALUE"""),43732.99861111111)</f>
        <v>43732.99861</v>
      </c>
      <c r="B3216" s="1">
        <f>IFERROR(__xludf.DUMMYFUNCTION("""COMPUTED_VALUE"""),456.175)</f>
        <v>456.175</v>
      </c>
    </row>
    <row r="3217">
      <c r="A3217" s="3">
        <f>IFERROR(__xludf.DUMMYFUNCTION("""COMPUTED_VALUE"""),43733.99861111111)</f>
        <v>43733.99861</v>
      </c>
      <c r="B3217" s="1">
        <f>IFERROR(__xludf.DUMMYFUNCTION("""COMPUTED_VALUE"""),453.56)</f>
        <v>453.56</v>
      </c>
    </row>
    <row r="3218">
      <c r="A3218" s="3">
        <f>IFERROR(__xludf.DUMMYFUNCTION("""COMPUTED_VALUE"""),43734.99861111111)</f>
        <v>43734.99861</v>
      </c>
      <c r="B3218" s="1">
        <f>IFERROR(__xludf.DUMMYFUNCTION("""COMPUTED_VALUE"""),456.75)</f>
        <v>456.75</v>
      </c>
    </row>
    <row r="3219">
      <c r="A3219" s="3">
        <f>IFERROR(__xludf.DUMMYFUNCTION("""COMPUTED_VALUE"""),43735.99861111111)</f>
        <v>43735.99861</v>
      </c>
      <c r="B3219" s="1">
        <f>IFERROR(__xludf.DUMMYFUNCTION("""COMPUTED_VALUE"""),456.5)</f>
        <v>456.5</v>
      </c>
    </row>
    <row r="3220">
      <c r="A3220" s="3">
        <f>IFERROR(__xludf.DUMMYFUNCTION("""COMPUTED_VALUE"""),43736.99861111111)</f>
        <v>43736.99861</v>
      </c>
      <c r="B3220" s="1">
        <f>IFERROR(__xludf.DUMMYFUNCTION("""COMPUTED_VALUE"""),456.505)</f>
        <v>456.505</v>
      </c>
    </row>
    <row r="3221">
      <c r="A3221" s="3">
        <f>IFERROR(__xludf.DUMMYFUNCTION("""COMPUTED_VALUE"""),43737.99861111111)</f>
        <v>43737.99861</v>
      </c>
      <c r="B3221" s="1">
        <f>IFERROR(__xludf.DUMMYFUNCTION("""COMPUTED_VALUE"""),456.505)</f>
        <v>456.505</v>
      </c>
    </row>
    <row r="3222">
      <c r="A3222" s="3">
        <f>IFERROR(__xludf.DUMMYFUNCTION("""COMPUTED_VALUE"""),43738.99861111111)</f>
        <v>43738.99861</v>
      </c>
      <c r="B3222" s="1">
        <f>IFERROR(__xludf.DUMMYFUNCTION("""COMPUTED_VALUE"""),457.06)</f>
        <v>457.06</v>
      </c>
    </row>
    <row r="3223">
      <c r="A3223" s="3">
        <f>IFERROR(__xludf.DUMMYFUNCTION("""COMPUTED_VALUE"""),43739.99861111111)</f>
        <v>43739.99861</v>
      </c>
      <c r="B3223" s="1">
        <f>IFERROR(__xludf.DUMMYFUNCTION("""COMPUTED_VALUE"""),457.725)</f>
        <v>457.725</v>
      </c>
    </row>
    <row r="3224">
      <c r="A3224" s="3">
        <f>IFERROR(__xludf.DUMMYFUNCTION("""COMPUTED_VALUE"""),43740.99861111111)</f>
        <v>43740.99861</v>
      </c>
      <c r="B3224" s="1">
        <f>IFERROR(__xludf.DUMMYFUNCTION("""COMPUTED_VALUE"""),456.69)</f>
        <v>456.69</v>
      </c>
    </row>
    <row r="3225">
      <c r="A3225" s="3">
        <f>IFERROR(__xludf.DUMMYFUNCTION("""COMPUTED_VALUE"""),43741.99861111111)</f>
        <v>43741.99861</v>
      </c>
      <c r="B3225" s="1">
        <f>IFERROR(__xludf.DUMMYFUNCTION("""COMPUTED_VALUE"""),458.345)</f>
        <v>458.345</v>
      </c>
    </row>
    <row r="3226">
      <c r="A3226" s="3">
        <f>IFERROR(__xludf.DUMMYFUNCTION("""COMPUTED_VALUE"""),43742.99861111111)</f>
        <v>43742.99861</v>
      </c>
      <c r="B3226" s="1">
        <f>IFERROR(__xludf.DUMMYFUNCTION("""COMPUTED_VALUE"""),456.055)</f>
        <v>456.055</v>
      </c>
    </row>
    <row r="3227">
      <c r="A3227" s="3">
        <f>IFERROR(__xludf.DUMMYFUNCTION("""COMPUTED_VALUE"""),43743.99861111111)</f>
        <v>43743.99861</v>
      </c>
      <c r="B3227" s="1">
        <f>IFERROR(__xludf.DUMMYFUNCTION("""COMPUTED_VALUE"""),456.875)</f>
        <v>456.875</v>
      </c>
    </row>
    <row r="3228">
      <c r="A3228" s="3">
        <f>IFERROR(__xludf.DUMMYFUNCTION("""COMPUTED_VALUE"""),43744.99861111111)</f>
        <v>43744.99861</v>
      </c>
      <c r="B3228" s="1">
        <f>IFERROR(__xludf.DUMMYFUNCTION("""COMPUTED_VALUE"""),456.875)</f>
        <v>456.875</v>
      </c>
    </row>
    <row r="3229">
      <c r="A3229" s="3">
        <f>IFERROR(__xludf.DUMMYFUNCTION("""COMPUTED_VALUE"""),43745.99861111111)</f>
        <v>43745.99861</v>
      </c>
      <c r="B3229" s="1">
        <f>IFERROR(__xludf.DUMMYFUNCTION("""COMPUTED_VALUE"""),458.115)</f>
        <v>458.115</v>
      </c>
    </row>
    <row r="3230">
      <c r="A3230" s="3">
        <f>IFERROR(__xludf.DUMMYFUNCTION("""COMPUTED_VALUE"""),43746.99861111111)</f>
        <v>43746.99861</v>
      </c>
      <c r="B3230" s="1">
        <f>IFERROR(__xludf.DUMMYFUNCTION("""COMPUTED_VALUE"""),458.855)</f>
        <v>458.855</v>
      </c>
    </row>
    <row r="3231">
      <c r="A3231" s="3">
        <f>IFERROR(__xludf.DUMMYFUNCTION("""COMPUTED_VALUE"""),43747.99861111111)</f>
        <v>43747.99861</v>
      </c>
      <c r="B3231" s="1">
        <f>IFERROR(__xludf.DUMMYFUNCTION("""COMPUTED_VALUE"""),459.79)</f>
        <v>459.79</v>
      </c>
    </row>
    <row r="3232">
      <c r="A3232" s="3">
        <f>IFERROR(__xludf.DUMMYFUNCTION("""COMPUTED_VALUE"""),43748.99861111111)</f>
        <v>43748.99861</v>
      </c>
      <c r="B3232" s="1">
        <f>IFERROR(__xludf.DUMMYFUNCTION("""COMPUTED_VALUE"""),460.44)</f>
        <v>460.44</v>
      </c>
    </row>
    <row r="3233">
      <c r="A3233" s="3">
        <f>IFERROR(__xludf.DUMMYFUNCTION("""COMPUTED_VALUE"""),43749.99861111111)</f>
        <v>43749.99861</v>
      </c>
      <c r="B3233" s="1">
        <f>IFERROR(__xludf.DUMMYFUNCTION("""COMPUTED_VALUE"""),460.69)</f>
        <v>460.69</v>
      </c>
    </row>
    <row r="3234">
      <c r="A3234" s="3">
        <f>IFERROR(__xludf.DUMMYFUNCTION("""COMPUTED_VALUE"""),43750.99861111111)</f>
        <v>43750.99861</v>
      </c>
      <c r="B3234" s="1">
        <f>IFERROR(__xludf.DUMMYFUNCTION("""COMPUTED_VALUE"""),460.6884)</f>
        <v>460.6884</v>
      </c>
    </row>
    <row r="3235">
      <c r="A3235" s="3">
        <f>IFERROR(__xludf.DUMMYFUNCTION("""COMPUTED_VALUE"""),43751.99861111111)</f>
        <v>43751.99861</v>
      </c>
      <c r="B3235" s="1">
        <f>IFERROR(__xludf.DUMMYFUNCTION("""COMPUTED_VALUE"""),460.645)</f>
        <v>460.645</v>
      </c>
    </row>
    <row r="3236">
      <c r="A3236" s="3">
        <f>IFERROR(__xludf.DUMMYFUNCTION("""COMPUTED_VALUE"""),43752.99861111111)</f>
        <v>43752.99861</v>
      </c>
      <c r="B3236" s="1">
        <f>IFERROR(__xludf.DUMMYFUNCTION("""COMPUTED_VALUE"""),462.044)</f>
        <v>462.044</v>
      </c>
    </row>
    <row r="3237">
      <c r="A3237" s="3">
        <f>IFERROR(__xludf.DUMMYFUNCTION("""COMPUTED_VALUE"""),43753.99861111111)</f>
        <v>43753.99861</v>
      </c>
      <c r="B3237" s="1">
        <f>IFERROR(__xludf.DUMMYFUNCTION("""COMPUTED_VALUE"""),463.2484)</f>
        <v>463.2484</v>
      </c>
    </row>
    <row r="3238">
      <c r="A3238" s="3">
        <f>IFERROR(__xludf.DUMMYFUNCTION("""COMPUTED_VALUE"""),43754.99861111111)</f>
        <v>43754.99861</v>
      </c>
      <c r="B3238" s="1">
        <f>IFERROR(__xludf.DUMMYFUNCTION("""COMPUTED_VALUE"""),462.3946)</f>
        <v>462.3946</v>
      </c>
    </row>
    <row r="3239">
      <c r="A3239" s="3">
        <f>IFERROR(__xludf.DUMMYFUNCTION("""COMPUTED_VALUE"""),43755.99861111111)</f>
        <v>43755.99861</v>
      </c>
      <c r="B3239" s="1">
        <f>IFERROR(__xludf.DUMMYFUNCTION("""COMPUTED_VALUE"""),462.5536)</f>
        <v>462.5536</v>
      </c>
    </row>
    <row r="3240">
      <c r="A3240" s="3">
        <f>IFERROR(__xludf.DUMMYFUNCTION("""COMPUTED_VALUE"""),43756.99861111111)</f>
        <v>43756.99861</v>
      </c>
      <c r="B3240" s="1">
        <f>IFERROR(__xludf.DUMMYFUNCTION("""COMPUTED_VALUE"""),463.6919)</f>
        <v>463.6919</v>
      </c>
    </row>
    <row r="3241">
      <c r="A3241" s="3">
        <f>IFERROR(__xludf.DUMMYFUNCTION("""COMPUTED_VALUE"""),43757.99861111111)</f>
        <v>43757.99861</v>
      </c>
      <c r="B3241" s="1">
        <f>IFERROR(__xludf.DUMMYFUNCTION("""COMPUTED_VALUE"""),463.6919)</f>
        <v>463.6919</v>
      </c>
    </row>
    <row r="3242">
      <c r="A3242" s="3">
        <f>IFERROR(__xludf.DUMMYFUNCTION("""COMPUTED_VALUE"""),43758.99861111111)</f>
        <v>43758.99861</v>
      </c>
      <c r="B3242" s="1">
        <f>IFERROR(__xludf.DUMMYFUNCTION("""COMPUTED_VALUE"""),463.6919)</f>
        <v>463.6919</v>
      </c>
    </row>
    <row r="3243">
      <c r="A3243" s="3">
        <f>IFERROR(__xludf.DUMMYFUNCTION("""COMPUTED_VALUE"""),43759.99861111111)</f>
        <v>43759.99861</v>
      </c>
      <c r="B3243" s="1">
        <f>IFERROR(__xludf.DUMMYFUNCTION("""COMPUTED_VALUE"""),460.1186)</f>
        <v>460.1186</v>
      </c>
    </row>
    <row r="3244">
      <c r="A3244" s="3">
        <f>IFERROR(__xludf.DUMMYFUNCTION("""COMPUTED_VALUE"""),43760.99861111111)</f>
        <v>43760.99861</v>
      </c>
      <c r="B3244" s="1">
        <f>IFERROR(__xludf.DUMMYFUNCTION("""COMPUTED_VALUE"""),460.5535)</f>
        <v>460.5535</v>
      </c>
    </row>
    <row r="3245">
      <c r="A3245" s="3">
        <f>IFERROR(__xludf.DUMMYFUNCTION("""COMPUTED_VALUE"""),43761.99861111111)</f>
        <v>43761.99861</v>
      </c>
      <c r="B3245" s="1">
        <f>IFERROR(__xludf.DUMMYFUNCTION("""COMPUTED_VALUE"""),458.3587)</f>
        <v>458.3587</v>
      </c>
    </row>
    <row r="3246">
      <c r="A3246" s="3">
        <f>IFERROR(__xludf.DUMMYFUNCTION("""COMPUTED_VALUE"""),43762.99861111111)</f>
        <v>43762.99861</v>
      </c>
      <c r="B3246" s="1">
        <f>IFERROR(__xludf.DUMMYFUNCTION("""COMPUTED_VALUE"""),458.5976)</f>
        <v>458.5976</v>
      </c>
    </row>
    <row r="3247">
      <c r="A3247" s="3">
        <f>IFERROR(__xludf.DUMMYFUNCTION("""COMPUTED_VALUE"""),43763.99861111111)</f>
        <v>43763.99861</v>
      </c>
      <c r="B3247" s="1">
        <f>IFERROR(__xludf.DUMMYFUNCTION("""COMPUTED_VALUE"""),457.1437)</f>
        <v>457.1437</v>
      </c>
    </row>
    <row r="3248">
      <c r="A3248" s="3">
        <f>IFERROR(__xludf.DUMMYFUNCTION("""COMPUTED_VALUE"""),43764.99861111111)</f>
        <v>43764.99861</v>
      </c>
      <c r="B3248" s="1">
        <f>IFERROR(__xludf.DUMMYFUNCTION("""COMPUTED_VALUE"""),457.1437)</f>
        <v>457.1437</v>
      </c>
    </row>
    <row r="3249">
      <c r="A3249" s="3">
        <f>IFERROR(__xludf.DUMMYFUNCTION("""COMPUTED_VALUE"""),43765.99861111111)</f>
        <v>43765.99861</v>
      </c>
      <c r="B3249" s="1">
        <f>IFERROR(__xludf.DUMMYFUNCTION("""COMPUTED_VALUE"""),457.1437)</f>
        <v>457.1437</v>
      </c>
    </row>
    <row r="3250">
      <c r="A3250" s="3">
        <f>IFERROR(__xludf.DUMMYFUNCTION("""COMPUTED_VALUE"""),43766.99861111111)</f>
        <v>43766.99861</v>
      </c>
      <c r="B3250" s="1">
        <f>IFERROR(__xludf.DUMMYFUNCTION("""COMPUTED_VALUE"""),459.1391)</f>
        <v>459.1391</v>
      </c>
    </row>
    <row r="3251">
      <c r="A3251" s="3">
        <f>IFERROR(__xludf.DUMMYFUNCTION("""COMPUTED_VALUE"""),43767.99861111111)</f>
        <v>43767.99861</v>
      </c>
      <c r="B3251" s="1">
        <f>IFERROR(__xludf.DUMMYFUNCTION("""COMPUTED_VALUE"""),460.2108)</f>
        <v>460.2108</v>
      </c>
    </row>
    <row r="3252">
      <c r="A3252" s="3">
        <f>IFERROR(__xludf.DUMMYFUNCTION("""COMPUTED_VALUE"""),43768.99861111111)</f>
        <v>43768.99861</v>
      </c>
      <c r="B3252" s="1">
        <f>IFERROR(__xludf.DUMMYFUNCTION("""COMPUTED_VALUE"""),461.0125)</f>
        <v>461.0125</v>
      </c>
    </row>
    <row r="3253">
      <c r="A3253" s="3">
        <f>IFERROR(__xludf.DUMMYFUNCTION("""COMPUTED_VALUE"""),43769.99861111111)</f>
        <v>43769.99861</v>
      </c>
      <c r="B3253" s="1">
        <f>IFERROR(__xludf.DUMMYFUNCTION("""COMPUTED_VALUE"""),460.2594)</f>
        <v>460.2594</v>
      </c>
    </row>
    <row r="3254">
      <c r="A3254" s="3">
        <f>IFERROR(__xludf.DUMMYFUNCTION("""COMPUTED_VALUE"""),43770.99861111111)</f>
        <v>43770.99861</v>
      </c>
      <c r="B3254" s="1">
        <f>IFERROR(__xludf.DUMMYFUNCTION("""COMPUTED_VALUE"""),460.6171)</f>
        <v>460.6171</v>
      </c>
    </row>
    <row r="3255">
      <c r="A3255" s="3">
        <f>IFERROR(__xludf.DUMMYFUNCTION("""COMPUTED_VALUE"""),43771.99861111111)</f>
        <v>43771.99861</v>
      </c>
      <c r="B3255" s="1">
        <f>IFERROR(__xludf.DUMMYFUNCTION("""COMPUTED_VALUE"""),460.6171)</f>
        <v>460.6171</v>
      </c>
    </row>
    <row r="3256">
      <c r="A3256" s="3">
        <f>IFERROR(__xludf.DUMMYFUNCTION("""COMPUTED_VALUE"""),43772.99861111111)</f>
        <v>43772.99861</v>
      </c>
      <c r="B3256" s="1">
        <f>IFERROR(__xludf.DUMMYFUNCTION("""COMPUTED_VALUE"""),460.6171)</f>
        <v>460.6171</v>
      </c>
    </row>
    <row r="3257">
      <c r="A3257" s="3">
        <f>IFERROR(__xludf.DUMMYFUNCTION("""COMPUTED_VALUE"""),43773.99861111111)</f>
        <v>43773.99861</v>
      </c>
      <c r="B3257" s="1">
        <f>IFERROR(__xludf.DUMMYFUNCTION("""COMPUTED_VALUE"""),460.8378)</f>
        <v>460.8378</v>
      </c>
    </row>
    <row r="3258">
      <c r="A3258" s="3">
        <f>IFERROR(__xludf.DUMMYFUNCTION("""COMPUTED_VALUE"""),43774.99861111111)</f>
        <v>43774.99861</v>
      </c>
      <c r="B3258" s="1">
        <f>IFERROR(__xludf.DUMMYFUNCTION("""COMPUTED_VALUE"""),460.5542)</f>
        <v>460.5542</v>
      </c>
    </row>
    <row r="3259">
      <c r="A3259" s="3">
        <f>IFERROR(__xludf.DUMMYFUNCTION("""COMPUTED_VALUE"""),43775.99861111111)</f>
        <v>43775.99861</v>
      </c>
      <c r="B3259" s="1">
        <f>IFERROR(__xludf.DUMMYFUNCTION("""COMPUTED_VALUE"""),460.5154)</f>
        <v>460.5154</v>
      </c>
    </row>
    <row r="3260">
      <c r="A3260" s="3">
        <f>IFERROR(__xludf.DUMMYFUNCTION("""COMPUTED_VALUE"""),43776.99861111111)</f>
        <v>43776.99861</v>
      </c>
      <c r="B3260" s="1">
        <f>IFERROR(__xludf.DUMMYFUNCTION("""COMPUTED_VALUE"""),459.5944)</f>
        <v>459.5944</v>
      </c>
    </row>
    <row r="3261">
      <c r="A3261" s="3">
        <f>IFERROR(__xludf.DUMMYFUNCTION("""COMPUTED_VALUE"""),43777.99861111111)</f>
        <v>43777.99861</v>
      </c>
      <c r="B3261" s="1">
        <f>IFERROR(__xludf.DUMMYFUNCTION("""COMPUTED_VALUE"""),461.2477)</f>
        <v>461.2477</v>
      </c>
    </row>
    <row r="3262">
      <c r="A3262" s="3">
        <f>IFERROR(__xludf.DUMMYFUNCTION("""COMPUTED_VALUE"""),43778.99861111111)</f>
        <v>43778.99861</v>
      </c>
      <c r="B3262" s="1">
        <f>IFERROR(__xludf.DUMMYFUNCTION("""COMPUTED_VALUE"""),461.2477)</f>
        <v>461.2477</v>
      </c>
    </row>
    <row r="3263">
      <c r="A3263" s="3">
        <f>IFERROR(__xludf.DUMMYFUNCTION("""COMPUTED_VALUE"""),43779.99861111111)</f>
        <v>43779.99861</v>
      </c>
      <c r="B3263" s="1">
        <f>IFERROR(__xludf.DUMMYFUNCTION("""COMPUTED_VALUE"""),461.2477)</f>
        <v>461.2477</v>
      </c>
    </row>
    <row r="3264">
      <c r="A3264" s="3">
        <f>IFERROR(__xludf.DUMMYFUNCTION("""COMPUTED_VALUE"""),43780.99861111111)</f>
        <v>43780.99861</v>
      </c>
      <c r="B3264" s="1">
        <f>IFERROR(__xludf.DUMMYFUNCTION("""COMPUTED_VALUE"""),460.4916)</f>
        <v>460.4916</v>
      </c>
    </row>
    <row r="3265">
      <c r="A3265" s="3">
        <f>IFERROR(__xludf.DUMMYFUNCTION("""COMPUTED_VALUE"""),43781.99861111111)</f>
        <v>43781.99861</v>
      </c>
      <c r="B3265" s="1">
        <f>IFERROR(__xludf.DUMMYFUNCTION("""COMPUTED_VALUE"""),461.5839)</f>
        <v>461.5839</v>
      </c>
    </row>
    <row r="3266">
      <c r="A3266" s="3">
        <f>IFERROR(__xludf.DUMMYFUNCTION("""COMPUTED_VALUE"""),43782.99861111111)</f>
        <v>43782.99861</v>
      </c>
      <c r="B3266" s="1">
        <f>IFERROR(__xludf.DUMMYFUNCTION("""COMPUTED_VALUE"""),461.4448)</f>
        <v>461.4448</v>
      </c>
    </row>
    <row r="3267">
      <c r="A3267" s="3">
        <f>IFERROR(__xludf.DUMMYFUNCTION("""COMPUTED_VALUE"""),43783.99861111111)</f>
        <v>43783.99861</v>
      </c>
      <c r="B3267" s="1">
        <f>IFERROR(__xludf.DUMMYFUNCTION("""COMPUTED_VALUE"""),462.1029)</f>
        <v>462.1029</v>
      </c>
    </row>
    <row r="3268">
      <c r="A3268" s="3">
        <f>IFERROR(__xludf.DUMMYFUNCTION("""COMPUTED_VALUE"""),43784.99861111111)</f>
        <v>43784.99861</v>
      </c>
      <c r="B3268" s="1">
        <f>IFERROR(__xludf.DUMMYFUNCTION("""COMPUTED_VALUE"""),461.8834)</f>
        <v>461.8834</v>
      </c>
    </row>
    <row r="3269">
      <c r="A3269" s="3">
        <f>IFERROR(__xludf.DUMMYFUNCTION("""COMPUTED_VALUE"""),43785.99861111111)</f>
        <v>43785.99861</v>
      </c>
      <c r="B3269" s="1">
        <f>IFERROR(__xludf.DUMMYFUNCTION("""COMPUTED_VALUE"""),461.0618)</f>
        <v>461.0618</v>
      </c>
    </row>
    <row r="3270">
      <c r="A3270" s="3">
        <f>IFERROR(__xludf.DUMMYFUNCTION("""COMPUTED_VALUE"""),43786.99861111111)</f>
        <v>43786.99861</v>
      </c>
      <c r="B3270" s="1">
        <f>IFERROR(__xludf.DUMMYFUNCTION("""COMPUTED_VALUE"""),461.0618)</f>
        <v>461.0618</v>
      </c>
    </row>
    <row r="3271">
      <c r="A3271" s="3">
        <f>IFERROR(__xludf.DUMMYFUNCTION("""COMPUTED_VALUE"""),43787.99861111111)</f>
        <v>43787.99861</v>
      </c>
      <c r="B3271" s="1">
        <f>IFERROR(__xludf.DUMMYFUNCTION("""COMPUTED_VALUE"""),461.6607)</f>
        <v>461.6607</v>
      </c>
    </row>
    <row r="3272">
      <c r="A3272" s="3">
        <f>IFERROR(__xludf.DUMMYFUNCTION("""COMPUTED_VALUE"""),43788.99861111111)</f>
        <v>43788.99861</v>
      </c>
      <c r="B3272" s="1">
        <f>IFERROR(__xludf.DUMMYFUNCTION("""COMPUTED_VALUE"""),461.9977)</f>
        <v>461.9977</v>
      </c>
    </row>
    <row r="3273">
      <c r="A3273" s="3">
        <f>IFERROR(__xludf.DUMMYFUNCTION("""COMPUTED_VALUE"""),43789.99861111111)</f>
        <v>43789.99861</v>
      </c>
      <c r="B3273" s="1">
        <f>IFERROR(__xludf.DUMMYFUNCTION("""COMPUTED_VALUE"""),460.4408)</f>
        <v>460.4408</v>
      </c>
    </row>
    <row r="3274">
      <c r="A3274" s="3">
        <f>IFERROR(__xludf.DUMMYFUNCTION("""COMPUTED_VALUE"""),43790.99861111111)</f>
        <v>43790.99861</v>
      </c>
      <c r="B3274" s="1">
        <f>IFERROR(__xludf.DUMMYFUNCTION("""COMPUTED_VALUE"""),460.4289)</f>
        <v>460.4289</v>
      </c>
    </row>
    <row r="3275">
      <c r="A3275" s="3">
        <f>IFERROR(__xludf.DUMMYFUNCTION("""COMPUTED_VALUE"""),43791.99861111111)</f>
        <v>43791.99861</v>
      </c>
      <c r="B3275" s="1">
        <f>IFERROR(__xludf.DUMMYFUNCTION("""COMPUTED_VALUE"""),459.4137)</f>
        <v>459.4137</v>
      </c>
    </row>
    <row r="3276">
      <c r="A3276" s="3">
        <f>IFERROR(__xludf.DUMMYFUNCTION("""COMPUTED_VALUE"""),43792.99861111111)</f>
        <v>43792.99861</v>
      </c>
      <c r="B3276" s="1">
        <f>IFERROR(__xludf.DUMMYFUNCTION("""COMPUTED_VALUE"""),459.4137)</f>
        <v>459.4137</v>
      </c>
    </row>
    <row r="3277">
      <c r="A3277" s="3">
        <f>IFERROR(__xludf.DUMMYFUNCTION("""COMPUTED_VALUE"""),43793.99861111111)</f>
        <v>43793.99861</v>
      </c>
      <c r="B3277" s="1">
        <f>IFERROR(__xludf.DUMMYFUNCTION("""COMPUTED_VALUE"""),459.4137)</f>
        <v>459.4137</v>
      </c>
    </row>
    <row r="3278">
      <c r="A3278" s="3">
        <f>IFERROR(__xludf.DUMMYFUNCTION("""COMPUTED_VALUE"""),43794.99861111111)</f>
        <v>43794.99861</v>
      </c>
      <c r="B3278" s="1">
        <f>IFERROR(__xludf.DUMMYFUNCTION("""COMPUTED_VALUE"""),460.4856)</f>
        <v>460.4856</v>
      </c>
    </row>
    <row r="3279">
      <c r="A3279" s="3">
        <f>IFERROR(__xludf.DUMMYFUNCTION("""COMPUTED_VALUE"""),43795.99861111111)</f>
        <v>43795.99861</v>
      </c>
      <c r="B3279" s="1">
        <f>IFERROR(__xludf.DUMMYFUNCTION("""COMPUTED_VALUE"""),461.4296)</f>
        <v>461.4296</v>
      </c>
    </row>
    <row r="3280">
      <c r="A3280" s="3">
        <f>IFERROR(__xludf.DUMMYFUNCTION("""COMPUTED_VALUE"""),43796.99861111111)</f>
        <v>43796.99861</v>
      </c>
      <c r="B3280" s="1">
        <f>IFERROR(__xludf.DUMMYFUNCTION("""COMPUTED_VALUE"""),461.4753)</f>
        <v>461.4753</v>
      </c>
    </row>
    <row r="3281">
      <c r="A3281" s="3">
        <f>IFERROR(__xludf.DUMMYFUNCTION("""COMPUTED_VALUE"""),43797.99861111111)</f>
        <v>43797.99861</v>
      </c>
      <c r="B3281" s="1">
        <f>IFERROR(__xludf.DUMMYFUNCTION("""COMPUTED_VALUE"""),462.0576)</f>
        <v>462.0576</v>
      </c>
    </row>
    <row r="3282">
      <c r="A3282" s="3">
        <f>IFERROR(__xludf.DUMMYFUNCTION("""COMPUTED_VALUE"""),43798.99861111111)</f>
        <v>43798.99861</v>
      </c>
      <c r="B3282" s="1">
        <f>IFERROR(__xludf.DUMMYFUNCTION("""COMPUTED_VALUE"""),462.5035)</f>
        <v>462.5035</v>
      </c>
    </row>
    <row r="3283">
      <c r="A3283" s="3">
        <f>IFERROR(__xludf.DUMMYFUNCTION("""COMPUTED_VALUE"""),43799.99861111111)</f>
        <v>43799.99861</v>
      </c>
      <c r="B3283" s="1">
        <f>IFERROR(__xludf.DUMMYFUNCTION("""COMPUTED_VALUE"""),462.216)</f>
        <v>462.216</v>
      </c>
    </row>
    <row r="3284">
      <c r="A3284" s="3">
        <f>IFERROR(__xludf.DUMMYFUNCTION("""COMPUTED_VALUE"""),43800.99861111111)</f>
        <v>43800.99861</v>
      </c>
      <c r="B3284" s="1">
        <f>IFERROR(__xludf.DUMMYFUNCTION("""COMPUTED_VALUE"""),462.216)</f>
        <v>462.216</v>
      </c>
    </row>
    <row r="3285">
      <c r="A3285" s="3">
        <f>IFERROR(__xludf.DUMMYFUNCTION("""COMPUTED_VALUE"""),43801.99861111111)</f>
        <v>43801.99861</v>
      </c>
      <c r="B3285" s="1">
        <f>IFERROR(__xludf.DUMMYFUNCTION("""COMPUTED_VALUE"""),465.8466)</f>
        <v>465.8466</v>
      </c>
    </row>
    <row r="3286">
      <c r="A3286" s="3">
        <f>IFERROR(__xludf.DUMMYFUNCTION("""COMPUTED_VALUE"""),43802.99861111111)</f>
        <v>43802.99861</v>
      </c>
      <c r="B3286" s="1">
        <f>IFERROR(__xludf.DUMMYFUNCTION("""COMPUTED_VALUE"""),462.3409)</f>
        <v>462.3409</v>
      </c>
    </row>
    <row r="3287">
      <c r="A3287" s="3">
        <f>IFERROR(__xludf.DUMMYFUNCTION("""COMPUTED_VALUE"""),43803.99861111111)</f>
        <v>43803.99861</v>
      </c>
      <c r="B3287" s="1">
        <f>IFERROR(__xludf.DUMMYFUNCTION("""COMPUTED_VALUE"""),460.0499)</f>
        <v>460.0499</v>
      </c>
    </row>
    <row r="3288">
      <c r="A3288" s="3">
        <f>IFERROR(__xludf.DUMMYFUNCTION("""COMPUTED_VALUE"""),43804.99861111111)</f>
        <v>43804.99861</v>
      </c>
      <c r="B3288" s="1">
        <f>IFERROR(__xludf.DUMMYFUNCTION("""COMPUTED_VALUE"""),459.0427)</f>
        <v>459.0427</v>
      </c>
    </row>
    <row r="3289">
      <c r="A3289" s="3">
        <f>IFERROR(__xludf.DUMMYFUNCTION("""COMPUTED_VALUE"""),43805.99861111111)</f>
        <v>43805.99861</v>
      </c>
      <c r="B3289" s="1">
        <f>IFERROR(__xludf.DUMMYFUNCTION("""COMPUTED_VALUE"""),459.0965)</f>
        <v>459.0965</v>
      </c>
    </row>
    <row r="3290">
      <c r="A3290" s="3">
        <f>IFERROR(__xludf.DUMMYFUNCTION("""COMPUTED_VALUE"""),43806.99861111111)</f>
        <v>43806.99861</v>
      </c>
      <c r="B3290" s="1">
        <f>IFERROR(__xludf.DUMMYFUNCTION("""COMPUTED_VALUE"""),459.0965)</f>
        <v>459.0965</v>
      </c>
    </row>
    <row r="3291">
      <c r="A3291" s="3">
        <f>IFERROR(__xludf.DUMMYFUNCTION("""COMPUTED_VALUE"""),43807.99861111111)</f>
        <v>43807.99861</v>
      </c>
      <c r="B3291" s="1">
        <f>IFERROR(__xludf.DUMMYFUNCTION("""COMPUTED_VALUE"""),459.0965)</f>
        <v>459.0965</v>
      </c>
    </row>
    <row r="3292">
      <c r="A3292" s="3">
        <f>IFERROR(__xludf.DUMMYFUNCTION("""COMPUTED_VALUE"""),43808.99861111111)</f>
        <v>43808.99861</v>
      </c>
      <c r="B3292" s="1">
        <f>IFERROR(__xludf.DUMMYFUNCTION("""COMPUTED_VALUE"""),458.9411)</f>
        <v>458.9411</v>
      </c>
    </row>
    <row r="3293">
      <c r="A3293" s="3">
        <f>IFERROR(__xludf.DUMMYFUNCTION("""COMPUTED_VALUE"""),43809.99861111111)</f>
        <v>43809.99861</v>
      </c>
      <c r="B3293" s="1">
        <f>IFERROR(__xludf.DUMMYFUNCTION("""COMPUTED_VALUE"""),460.355)</f>
        <v>460.355</v>
      </c>
    </row>
    <row r="3294">
      <c r="A3294" s="3">
        <f>IFERROR(__xludf.DUMMYFUNCTION("""COMPUTED_VALUE"""),43810.99861111111)</f>
        <v>43810.99861</v>
      </c>
      <c r="B3294" s="1">
        <f>IFERROR(__xludf.DUMMYFUNCTION("""COMPUTED_VALUE"""),460.9598)</f>
        <v>460.9598</v>
      </c>
    </row>
    <row r="3295">
      <c r="A3295" s="3">
        <f>IFERROR(__xludf.DUMMYFUNCTION("""COMPUTED_VALUE"""),43811.99861111111)</f>
        <v>43811.99861</v>
      </c>
      <c r="B3295" s="1">
        <f>IFERROR(__xludf.DUMMYFUNCTION("""COMPUTED_VALUE"""),461.4305)</f>
        <v>461.4305</v>
      </c>
    </row>
    <row r="3296">
      <c r="A3296" s="3">
        <f>IFERROR(__xludf.DUMMYFUNCTION("""COMPUTED_VALUE"""),43812.99861111111)</f>
        <v>43812.99861</v>
      </c>
      <c r="B3296" s="1">
        <f>IFERROR(__xludf.DUMMYFUNCTION("""COMPUTED_VALUE"""),460.2938)</f>
        <v>460.2938</v>
      </c>
    </row>
    <row r="3297">
      <c r="A3297" s="3">
        <f>IFERROR(__xludf.DUMMYFUNCTION("""COMPUTED_VALUE"""),43813.99861111111)</f>
        <v>43813.99861</v>
      </c>
      <c r="B3297" s="1">
        <f>IFERROR(__xludf.DUMMYFUNCTION("""COMPUTED_VALUE"""),460.2938)</f>
        <v>460.2938</v>
      </c>
    </row>
    <row r="3298">
      <c r="A3298" s="3">
        <f>IFERROR(__xludf.DUMMYFUNCTION("""COMPUTED_VALUE"""),43814.99861111111)</f>
        <v>43814.99861</v>
      </c>
      <c r="B3298" s="1">
        <f>IFERROR(__xludf.DUMMYFUNCTION("""COMPUTED_VALUE"""),460.2938)</f>
        <v>460.2938</v>
      </c>
    </row>
    <row r="3299">
      <c r="A3299" s="3">
        <f>IFERROR(__xludf.DUMMYFUNCTION("""COMPUTED_VALUE"""),43815.99861111111)</f>
        <v>43815.99861</v>
      </c>
      <c r="B3299" s="1">
        <f>IFERROR(__xludf.DUMMYFUNCTION("""COMPUTED_VALUE"""),464.6102)</f>
        <v>464.6102</v>
      </c>
    </row>
    <row r="3300">
      <c r="A3300" s="3">
        <f>IFERROR(__xludf.DUMMYFUNCTION("""COMPUTED_VALUE"""),43816.99861111111)</f>
        <v>43816.99861</v>
      </c>
      <c r="B3300" s="1">
        <f>IFERROR(__xludf.DUMMYFUNCTION("""COMPUTED_VALUE"""),463.756)</f>
        <v>463.756</v>
      </c>
    </row>
    <row r="3301">
      <c r="A3301" s="3">
        <f>IFERROR(__xludf.DUMMYFUNCTION("""COMPUTED_VALUE"""),43817.99861111111)</f>
        <v>43817.99861</v>
      </c>
      <c r="B3301" s="1">
        <f>IFERROR(__xludf.DUMMYFUNCTION("""COMPUTED_VALUE"""),462.814)</f>
        <v>462.814</v>
      </c>
    </row>
    <row r="3302">
      <c r="A3302" s="3">
        <f>IFERROR(__xludf.DUMMYFUNCTION("""COMPUTED_VALUE"""),43818.99861111111)</f>
        <v>43818.99861</v>
      </c>
      <c r="B3302" s="1">
        <f>IFERROR(__xludf.DUMMYFUNCTION("""COMPUTED_VALUE"""),463.1918)</f>
        <v>463.1918</v>
      </c>
    </row>
    <row r="3303">
      <c r="A3303" s="3">
        <f>IFERROR(__xludf.DUMMYFUNCTION("""COMPUTED_VALUE"""),43819.99861111111)</f>
        <v>43819.99861</v>
      </c>
      <c r="B3303" s="1">
        <f>IFERROR(__xludf.DUMMYFUNCTION("""COMPUTED_VALUE"""),461.9193)</f>
        <v>461.9193</v>
      </c>
    </row>
    <row r="3304">
      <c r="A3304" s="3">
        <f>IFERROR(__xludf.DUMMYFUNCTION("""COMPUTED_VALUE"""),43820.99861111111)</f>
        <v>43820.99861</v>
      </c>
      <c r="B3304" s="1">
        <f>IFERROR(__xludf.DUMMYFUNCTION("""COMPUTED_VALUE"""),461.9193)</f>
        <v>461.9193</v>
      </c>
    </row>
    <row r="3305">
      <c r="A3305" s="3">
        <f>IFERROR(__xludf.DUMMYFUNCTION("""COMPUTED_VALUE"""),43821.99861111111)</f>
        <v>43821.99861</v>
      </c>
      <c r="B3305" s="1">
        <f>IFERROR(__xludf.DUMMYFUNCTION("""COMPUTED_VALUE"""),461.9193)</f>
        <v>461.9193</v>
      </c>
    </row>
    <row r="3306">
      <c r="A3306" s="3">
        <f>IFERROR(__xludf.DUMMYFUNCTION("""COMPUTED_VALUE"""),43822.99861111111)</f>
        <v>43822.99861</v>
      </c>
      <c r="B3306" s="1">
        <f>IFERROR(__xludf.DUMMYFUNCTION("""COMPUTED_VALUE"""),463.6505)</f>
        <v>463.6505</v>
      </c>
    </row>
    <row r="3307">
      <c r="A3307" s="3">
        <f>IFERROR(__xludf.DUMMYFUNCTION("""COMPUTED_VALUE"""),43823.99861111111)</f>
        <v>43823.99861</v>
      </c>
      <c r="B3307" s="1">
        <f>IFERROR(__xludf.DUMMYFUNCTION("""COMPUTED_VALUE"""),463.8355)</f>
        <v>463.8355</v>
      </c>
    </row>
    <row r="3308">
      <c r="A3308" s="3">
        <f>IFERROR(__xludf.DUMMYFUNCTION("""COMPUTED_VALUE"""),43824.99861111111)</f>
        <v>43824.99861</v>
      </c>
      <c r="B3308" s="1">
        <f>IFERROR(__xludf.DUMMYFUNCTION("""COMPUTED_VALUE"""),463.4517)</f>
        <v>463.4517</v>
      </c>
    </row>
    <row r="3309">
      <c r="A3309" s="3">
        <f>IFERROR(__xludf.DUMMYFUNCTION("""COMPUTED_VALUE"""),43825.99861111111)</f>
        <v>43825.99861</v>
      </c>
      <c r="B3309" s="1">
        <f>IFERROR(__xludf.DUMMYFUNCTION("""COMPUTED_VALUE"""),464.225)</f>
        <v>464.225</v>
      </c>
    </row>
    <row r="3310">
      <c r="A3310" s="3">
        <f>IFERROR(__xludf.DUMMYFUNCTION("""COMPUTED_VALUE"""),43826.99861111111)</f>
        <v>43826.99861</v>
      </c>
      <c r="B3310" s="1">
        <f>IFERROR(__xludf.DUMMYFUNCTION("""COMPUTED_VALUE"""),464.4556)</f>
        <v>464.4556</v>
      </c>
    </row>
    <row r="3311">
      <c r="A3311" s="3">
        <f>IFERROR(__xludf.DUMMYFUNCTION("""COMPUTED_VALUE"""),43827.99861111111)</f>
        <v>43827.99861</v>
      </c>
      <c r="B3311" s="1">
        <f>IFERROR(__xludf.DUMMYFUNCTION("""COMPUTED_VALUE"""),464.4556)</f>
        <v>464.4556</v>
      </c>
    </row>
    <row r="3312">
      <c r="A3312" s="3">
        <f>IFERROR(__xludf.DUMMYFUNCTION("""COMPUTED_VALUE"""),43828.99861111111)</f>
        <v>43828.99861</v>
      </c>
      <c r="B3312" s="1">
        <f>IFERROR(__xludf.DUMMYFUNCTION("""COMPUTED_VALUE"""),464.4556)</f>
        <v>464.4556</v>
      </c>
    </row>
    <row r="3313">
      <c r="A3313" s="3">
        <f>IFERROR(__xludf.DUMMYFUNCTION("""COMPUTED_VALUE"""),43829.99861111111)</f>
        <v>43829.99861</v>
      </c>
      <c r="B3313" s="1">
        <f>IFERROR(__xludf.DUMMYFUNCTION("""COMPUTED_VALUE"""),463.8246)</f>
        <v>463.8246</v>
      </c>
    </row>
    <row r="3314">
      <c r="A3314" s="3">
        <f>IFERROR(__xludf.DUMMYFUNCTION("""COMPUTED_VALUE"""),43830.99861111111)</f>
        <v>43830.99861</v>
      </c>
      <c r="B3314" s="1">
        <f>IFERROR(__xludf.DUMMYFUNCTION("""COMPUTED_VALUE"""),464.1811)</f>
        <v>464.1811</v>
      </c>
    </row>
    <row r="3315">
      <c r="A3315" s="3">
        <f>IFERROR(__xludf.DUMMYFUNCTION("""COMPUTED_VALUE"""),43831.99861111111)</f>
        <v>43831.99861</v>
      </c>
      <c r="B3315" s="1">
        <f>IFERROR(__xludf.DUMMYFUNCTION("""COMPUTED_VALUE"""),464.1811)</f>
        <v>464.1811</v>
      </c>
    </row>
    <row r="3316">
      <c r="A3316" s="3">
        <f>IFERROR(__xludf.DUMMYFUNCTION("""COMPUTED_VALUE"""),43832.99861111111)</f>
        <v>43832.99861</v>
      </c>
      <c r="B3316" s="1">
        <f>IFERROR(__xludf.DUMMYFUNCTION("""COMPUTED_VALUE"""),461.6584)</f>
        <v>461.6584</v>
      </c>
    </row>
    <row r="3317">
      <c r="A3317" s="3">
        <f>IFERROR(__xludf.DUMMYFUNCTION("""COMPUTED_VALUE"""),43833.99861111111)</f>
        <v>43833.99861</v>
      </c>
      <c r="B3317" s="1">
        <f>IFERROR(__xludf.DUMMYFUNCTION("""COMPUTED_VALUE"""),464.9877)</f>
        <v>464.9877</v>
      </c>
    </row>
    <row r="3318">
      <c r="A3318" s="3">
        <f>IFERROR(__xludf.DUMMYFUNCTION("""COMPUTED_VALUE"""),43834.99861111111)</f>
        <v>43834.99861</v>
      </c>
      <c r="B3318" s="1">
        <f>IFERROR(__xludf.DUMMYFUNCTION("""COMPUTED_VALUE"""),464.9877)</f>
        <v>464.9877</v>
      </c>
    </row>
    <row r="3319">
      <c r="A3319" s="3">
        <f>IFERROR(__xludf.DUMMYFUNCTION("""COMPUTED_VALUE"""),43835.99861111111)</f>
        <v>43835.99861</v>
      </c>
      <c r="B3319" s="1">
        <f>IFERROR(__xludf.DUMMYFUNCTION("""COMPUTED_VALUE"""),464.9877)</f>
        <v>464.9877</v>
      </c>
    </row>
    <row r="3320">
      <c r="A3320" s="3">
        <f>IFERROR(__xludf.DUMMYFUNCTION("""COMPUTED_VALUE"""),43836.99861111111)</f>
        <v>43836.99861</v>
      </c>
      <c r="B3320" s="1">
        <f>IFERROR(__xludf.DUMMYFUNCTION("""COMPUTED_VALUE"""),461.7947)</f>
        <v>461.7947</v>
      </c>
    </row>
    <row r="3321">
      <c r="A3321" s="3">
        <f>IFERROR(__xludf.DUMMYFUNCTION("""COMPUTED_VALUE"""),43837.99861111111)</f>
        <v>43837.99861</v>
      </c>
      <c r="B3321" s="1">
        <f>IFERROR(__xludf.DUMMYFUNCTION("""COMPUTED_VALUE"""),460.2651)</f>
        <v>460.2651</v>
      </c>
    </row>
    <row r="3322">
      <c r="A3322" s="3">
        <f>IFERROR(__xludf.DUMMYFUNCTION("""COMPUTED_VALUE"""),43838.99861111111)</f>
        <v>43838.99861</v>
      </c>
      <c r="B3322" s="1">
        <f>IFERROR(__xludf.DUMMYFUNCTION("""COMPUTED_VALUE"""),462.3446)</f>
        <v>462.3446</v>
      </c>
    </row>
    <row r="3323">
      <c r="A3323" s="3">
        <f>IFERROR(__xludf.DUMMYFUNCTION("""COMPUTED_VALUE"""),43839.99861111111)</f>
        <v>43839.99861</v>
      </c>
      <c r="B3323" s="1">
        <f>IFERROR(__xludf.DUMMYFUNCTION("""COMPUTED_VALUE"""),461.9997)</f>
        <v>461.9997</v>
      </c>
    </row>
    <row r="3324">
      <c r="A3324" s="3">
        <f>IFERROR(__xludf.DUMMYFUNCTION("""COMPUTED_VALUE"""),43840.99861111111)</f>
        <v>43840.99861</v>
      </c>
      <c r="B3324" s="1">
        <f>IFERROR(__xludf.DUMMYFUNCTION("""COMPUTED_VALUE"""),460.0037)</f>
        <v>460.0037</v>
      </c>
    </row>
    <row r="3325">
      <c r="A3325" s="3">
        <f>IFERROR(__xludf.DUMMYFUNCTION("""COMPUTED_VALUE"""),43841.99861111111)</f>
        <v>43841.99861</v>
      </c>
      <c r="B3325" s="1">
        <f>IFERROR(__xludf.DUMMYFUNCTION("""COMPUTED_VALUE"""),459.01)</f>
        <v>459.01</v>
      </c>
    </row>
    <row r="3326">
      <c r="A3326" s="3">
        <f>IFERROR(__xludf.DUMMYFUNCTION("""COMPUTED_VALUE"""),43842.99861111111)</f>
        <v>43842.99861</v>
      </c>
      <c r="B3326" s="1">
        <f>IFERROR(__xludf.DUMMYFUNCTION("""COMPUTED_VALUE"""),459.01)</f>
        <v>459.01</v>
      </c>
    </row>
    <row r="3327">
      <c r="A3327" s="3">
        <f>IFERROR(__xludf.DUMMYFUNCTION("""COMPUTED_VALUE"""),43843.99861111111)</f>
        <v>43843.99861</v>
      </c>
      <c r="B3327" s="1">
        <f>IFERROR(__xludf.DUMMYFUNCTION("""COMPUTED_VALUE"""),457.8307)</f>
        <v>457.8307</v>
      </c>
    </row>
    <row r="3328">
      <c r="A3328" s="3">
        <f>IFERROR(__xludf.DUMMYFUNCTION("""COMPUTED_VALUE"""),43844.99861111111)</f>
        <v>43844.99861</v>
      </c>
      <c r="B3328" s="1">
        <f>IFERROR(__xludf.DUMMYFUNCTION("""COMPUTED_VALUE"""),456.7383)</f>
        <v>456.7383</v>
      </c>
    </row>
    <row r="3329">
      <c r="A3329" s="3">
        <f>IFERROR(__xludf.DUMMYFUNCTION("""COMPUTED_VALUE"""),43845.99861111111)</f>
        <v>43845.99861</v>
      </c>
      <c r="B3329" s="1">
        <f>IFERROR(__xludf.DUMMYFUNCTION("""COMPUTED_VALUE"""),456.4933)</f>
        <v>456.4933</v>
      </c>
    </row>
    <row r="3330">
      <c r="A3330" s="3">
        <f>IFERROR(__xludf.DUMMYFUNCTION("""COMPUTED_VALUE"""),43846.99861111111)</f>
        <v>43846.99861</v>
      </c>
      <c r="B3330" s="1">
        <f>IFERROR(__xludf.DUMMYFUNCTION("""COMPUTED_VALUE"""),454.5264)</f>
        <v>454.5264</v>
      </c>
    </row>
    <row r="3331">
      <c r="A3331" s="3">
        <f>IFERROR(__xludf.DUMMYFUNCTION("""COMPUTED_VALUE"""),43847.99861111111)</f>
        <v>43847.99861</v>
      </c>
      <c r="B3331" s="1">
        <f>IFERROR(__xludf.DUMMYFUNCTION("""COMPUTED_VALUE"""),455.2203)</f>
        <v>455.2203</v>
      </c>
    </row>
    <row r="3332">
      <c r="A3332" s="3">
        <f>IFERROR(__xludf.DUMMYFUNCTION("""COMPUTED_VALUE"""),43848.99861111111)</f>
        <v>43848.99861</v>
      </c>
      <c r="B3332" s="1">
        <f>IFERROR(__xludf.DUMMYFUNCTION("""COMPUTED_VALUE"""),455.2203)</f>
        <v>455.2203</v>
      </c>
    </row>
    <row r="3333">
      <c r="A3333" s="3">
        <f>IFERROR(__xludf.DUMMYFUNCTION("""COMPUTED_VALUE"""),43849.99861111111)</f>
        <v>43849.99861</v>
      </c>
      <c r="B3333" s="1">
        <f>IFERROR(__xludf.DUMMYFUNCTION("""COMPUTED_VALUE"""),455.2203)</f>
        <v>455.2203</v>
      </c>
    </row>
    <row r="3334">
      <c r="A3334" s="3">
        <f>IFERROR(__xludf.DUMMYFUNCTION("""COMPUTED_VALUE"""),43850.99861111111)</f>
        <v>43850.99861</v>
      </c>
      <c r="B3334" s="1">
        <f>IFERROR(__xludf.DUMMYFUNCTION("""COMPUTED_VALUE"""),455.312)</f>
        <v>455.312</v>
      </c>
    </row>
    <row r="3335">
      <c r="A3335" s="3">
        <f>IFERROR(__xludf.DUMMYFUNCTION("""COMPUTED_VALUE"""),43851.99861111111)</f>
        <v>43851.99861</v>
      </c>
      <c r="B3335" s="1">
        <f>IFERROR(__xludf.DUMMYFUNCTION("""COMPUTED_VALUE"""),454.2578)</f>
        <v>454.2578</v>
      </c>
    </row>
    <row r="3336">
      <c r="A3336" s="3">
        <f>IFERROR(__xludf.DUMMYFUNCTION("""COMPUTED_VALUE"""),43852.99861111111)</f>
        <v>43852.99861</v>
      </c>
      <c r="B3336" s="1">
        <f>IFERROR(__xludf.DUMMYFUNCTION("""COMPUTED_VALUE"""),454.953)</f>
        <v>454.953</v>
      </c>
    </row>
    <row r="3337">
      <c r="A3337" s="3">
        <f>IFERROR(__xludf.DUMMYFUNCTION("""COMPUTED_VALUE"""),43853.99861111111)</f>
        <v>43853.99861</v>
      </c>
      <c r="B3337" s="1">
        <f>IFERROR(__xludf.DUMMYFUNCTION("""COMPUTED_VALUE"""),451.5939)</f>
        <v>451.5939</v>
      </c>
    </row>
    <row r="3338">
      <c r="A3338" s="3">
        <f>IFERROR(__xludf.DUMMYFUNCTION("""COMPUTED_VALUE"""),43854.99861111111)</f>
        <v>43854.99861</v>
      </c>
      <c r="B3338" s="1">
        <f>IFERROR(__xludf.DUMMYFUNCTION("""COMPUTED_VALUE"""),456.283)</f>
        <v>456.283</v>
      </c>
    </row>
    <row r="3339">
      <c r="A3339" s="3">
        <f>IFERROR(__xludf.DUMMYFUNCTION("""COMPUTED_VALUE"""),43855.99861111111)</f>
        <v>43855.99861</v>
      </c>
      <c r="B3339" s="1">
        <f>IFERROR(__xludf.DUMMYFUNCTION("""COMPUTED_VALUE"""),456.283)</f>
        <v>456.283</v>
      </c>
    </row>
    <row r="3340">
      <c r="A3340" s="3">
        <f>IFERROR(__xludf.DUMMYFUNCTION("""COMPUTED_VALUE"""),43856.99861111111)</f>
        <v>43856.99861</v>
      </c>
      <c r="B3340" s="1">
        <f>IFERROR(__xludf.DUMMYFUNCTION("""COMPUTED_VALUE"""),456.283)</f>
        <v>456.283</v>
      </c>
    </row>
    <row r="3341">
      <c r="A3341" s="3">
        <f>IFERROR(__xludf.DUMMYFUNCTION("""COMPUTED_VALUE"""),43857.99861111111)</f>
        <v>43857.99861</v>
      </c>
      <c r="B3341" s="1">
        <f>IFERROR(__xludf.DUMMYFUNCTION("""COMPUTED_VALUE"""),438.3892)</f>
        <v>438.3892</v>
      </c>
    </row>
    <row r="3342">
      <c r="A3342" s="3">
        <f>IFERROR(__xludf.DUMMYFUNCTION("""COMPUTED_VALUE"""),43858.99861111111)</f>
        <v>43858.99861</v>
      </c>
      <c r="B3342" s="1">
        <f>IFERROR(__xludf.DUMMYFUNCTION("""COMPUTED_VALUE"""),452.13)</f>
        <v>452.13</v>
      </c>
    </row>
    <row r="3343">
      <c r="A3343" s="3">
        <f>IFERROR(__xludf.DUMMYFUNCTION("""COMPUTED_VALUE"""),43859.99861111111)</f>
        <v>43859.99861</v>
      </c>
      <c r="B3343" s="1">
        <f>IFERROR(__xludf.DUMMYFUNCTION("""COMPUTED_VALUE"""),453.0448)</f>
        <v>453.0448</v>
      </c>
    </row>
    <row r="3344">
      <c r="A3344" s="3">
        <f>IFERROR(__xludf.DUMMYFUNCTION("""COMPUTED_VALUE"""),43860.99861111111)</f>
        <v>43860.99861</v>
      </c>
      <c r="B3344" s="1">
        <f>IFERROR(__xludf.DUMMYFUNCTION("""COMPUTED_VALUE"""),450.751)</f>
        <v>450.751</v>
      </c>
    </row>
    <row r="3345">
      <c r="A3345" s="3">
        <f>IFERROR(__xludf.DUMMYFUNCTION("""COMPUTED_VALUE"""),43861.99861111111)</f>
        <v>43861.99861</v>
      </c>
      <c r="B3345" s="1">
        <f>IFERROR(__xludf.DUMMYFUNCTION("""COMPUTED_VALUE"""),452.1601)</f>
        <v>452.1601</v>
      </c>
    </row>
    <row r="3346">
      <c r="A3346" s="3">
        <f>IFERROR(__xludf.DUMMYFUNCTION("""COMPUTED_VALUE"""),43862.99861111111)</f>
        <v>43862.99861</v>
      </c>
      <c r="B3346" s="1">
        <f>IFERROR(__xludf.DUMMYFUNCTION("""COMPUTED_VALUE"""),452.1601)</f>
        <v>452.1601</v>
      </c>
    </row>
    <row r="3347">
      <c r="A3347" s="3">
        <f>IFERROR(__xludf.DUMMYFUNCTION("""COMPUTED_VALUE"""),43863.99861111111)</f>
        <v>43863.99861</v>
      </c>
      <c r="B3347" s="1">
        <f>IFERROR(__xludf.DUMMYFUNCTION("""COMPUTED_VALUE"""),452.1601)</f>
        <v>452.1601</v>
      </c>
    </row>
    <row r="3348">
      <c r="A3348" s="3">
        <f>IFERROR(__xludf.DUMMYFUNCTION("""COMPUTED_VALUE"""),43864.99861111111)</f>
        <v>43864.99861</v>
      </c>
      <c r="B3348" s="1">
        <f>IFERROR(__xludf.DUMMYFUNCTION("""COMPUTED_VALUE"""),453.7871)</f>
        <v>453.7871</v>
      </c>
    </row>
    <row r="3349">
      <c r="A3349" s="3">
        <f>IFERROR(__xludf.DUMMYFUNCTION("""COMPUTED_VALUE"""),43865.99861111111)</f>
        <v>43865.99861</v>
      </c>
      <c r="B3349" s="1">
        <f>IFERROR(__xludf.DUMMYFUNCTION("""COMPUTED_VALUE"""),453.773)</f>
        <v>453.773</v>
      </c>
    </row>
    <row r="3350">
      <c r="A3350" s="3">
        <f>IFERROR(__xludf.DUMMYFUNCTION("""COMPUTED_VALUE"""),43866.99861111111)</f>
        <v>43866.99861</v>
      </c>
      <c r="B3350" s="1">
        <f>IFERROR(__xludf.DUMMYFUNCTION("""COMPUTED_VALUE"""),454.3738)</f>
        <v>454.3738</v>
      </c>
    </row>
    <row r="3351">
      <c r="A3351" s="3">
        <f>IFERROR(__xludf.DUMMYFUNCTION("""COMPUTED_VALUE"""),43867.99861111111)</f>
        <v>43867.99861</v>
      </c>
      <c r="B3351" s="1">
        <f>IFERROR(__xludf.DUMMYFUNCTION("""COMPUTED_VALUE"""),453.5458)</f>
        <v>453.5458</v>
      </c>
    </row>
    <row r="3352">
      <c r="A3352" s="3">
        <f>IFERROR(__xludf.DUMMYFUNCTION("""COMPUTED_VALUE"""),43868.99861111111)</f>
        <v>43868.99861</v>
      </c>
      <c r="B3352" s="1">
        <f>IFERROR(__xludf.DUMMYFUNCTION("""COMPUTED_VALUE"""),453.4553)</f>
        <v>453.4553</v>
      </c>
    </row>
    <row r="3353">
      <c r="A3353" s="3">
        <f>IFERROR(__xludf.DUMMYFUNCTION("""COMPUTED_VALUE"""),43869.99861111111)</f>
        <v>43869.99861</v>
      </c>
      <c r="B3353" s="1">
        <f>IFERROR(__xludf.DUMMYFUNCTION("""COMPUTED_VALUE"""),453.4553)</f>
        <v>453.4553</v>
      </c>
    </row>
    <row r="3354">
      <c r="A3354" s="3">
        <f>IFERROR(__xludf.DUMMYFUNCTION("""COMPUTED_VALUE"""),43870.99861111111)</f>
        <v>43870.99861</v>
      </c>
      <c r="B3354" s="1">
        <f>IFERROR(__xludf.DUMMYFUNCTION("""COMPUTED_VALUE"""),453.4553)</f>
        <v>453.4553</v>
      </c>
    </row>
    <row r="3355">
      <c r="A3355" s="3">
        <f>IFERROR(__xludf.DUMMYFUNCTION("""COMPUTED_VALUE"""),43871.99861111111)</f>
        <v>43871.99861</v>
      </c>
      <c r="B3355" s="1">
        <f>IFERROR(__xludf.DUMMYFUNCTION("""COMPUTED_VALUE"""),453.977)</f>
        <v>453.977</v>
      </c>
    </row>
    <row r="3356">
      <c r="A3356" s="3">
        <f>IFERROR(__xludf.DUMMYFUNCTION("""COMPUTED_VALUE"""),43872.99861111111)</f>
        <v>43872.99861</v>
      </c>
      <c r="B3356" s="1">
        <f>IFERROR(__xludf.DUMMYFUNCTION("""COMPUTED_VALUE"""),455.2696)</f>
        <v>455.2696</v>
      </c>
    </row>
    <row r="3357">
      <c r="A3357" s="3">
        <f>IFERROR(__xludf.DUMMYFUNCTION("""COMPUTED_VALUE"""),43873.99861111111)</f>
        <v>43873.99861</v>
      </c>
      <c r="B3357" s="1">
        <f>IFERROR(__xludf.DUMMYFUNCTION("""COMPUTED_VALUE"""),455.4245)</f>
        <v>455.4245</v>
      </c>
    </row>
    <row r="3358">
      <c r="A3358" s="3">
        <f>IFERROR(__xludf.DUMMYFUNCTION("""COMPUTED_VALUE"""),43874.99861111111)</f>
        <v>43874.99861</v>
      </c>
      <c r="B3358" s="1">
        <f>IFERROR(__xludf.DUMMYFUNCTION("""COMPUTED_VALUE"""),455.5057)</f>
        <v>455.5057</v>
      </c>
    </row>
    <row r="3359">
      <c r="A3359" s="3">
        <f>IFERROR(__xludf.DUMMYFUNCTION("""COMPUTED_VALUE"""),43875.99861111111)</f>
        <v>43875.99861</v>
      </c>
      <c r="B3359" s="1">
        <f>IFERROR(__xludf.DUMMYFUNCTION("""COMPUTED_VALUE"""),455.7473)</f>
        <v>455.7473</v>
      </c>
    </row>
    <row r="3360">
      <c r="A3360" s="3">
        <f>IFERROR(__xludf.DUMMYFUNCTION("""COMPUTED_VALUE"""),43876.99861111111)</f>
        <v>43876.99861</v>
      </c>
      <c r="B3360" s="1">
        <f>IFERROR(__xludf.DUMMYFUNCTION("""COMPUTED_VALUE"""),455.7473)</f>
        <v>455.7473</v>
      </c>
    </row>
    <row r="3361">
      <c r="A3361" s="3">
        <f>IFERROR(__xludf.DUMMYFUNCTION("""COMPUTED_VALUE"""),43877.99861111111)</f>
        <v>43877.99861</v>
      </c>
      <c r="B3361" s="1">
        <f>IFERROR(__xludf.DUMMYFUNCTION("""COMPUTED_VALUE"""),455.7473)</f>
        <v>455.7473</v>
      </c>
    </row>
    <row r="3362">
      <c r="A3362" s="3">
        <f>IFERROR(__xludf.DUMMYFUNCTION("""COMPUTED_VALUE"""),43878.99861111111)</f>
        <v>43878.99861</v>
      </c>
      <c r="B3362" s="1">
        <f>IFERROR(__xludf.DUMMYFUNCTION("""COMPUTED_VALUE"""),454.9494)</f>
        <v>454.9494</v>
      </c>
    </row>
    <row r="3363">
      <c r="A3363" s="3">
        <f>IFERROR(__xludf.DUMMYFUNCTION("""COMPUTED_VALUE"""),43879.99861111111)</f>
        <v>43879.99861</v>
      </c>
      <c r="B3363" s="1">
        <f>IFERROR(__xludf.DUMMYFUNCTION("""COMPUTED_VALUE"""),452.1735)</f>
        <v>452.1735</v>
      </c>
    </row>
    <row r="3364">
      <c r="A3364" s="3">
        <f>IFERROR(__xludf.DUMMYFUNCTION("""COMPUTED_VALUE"""),43880.99861111111)</f>
        <v>43880.99861</v>
      </c>
      <c r="B3364" s="1">
        <f>IFERROR(__xludf.DUMMYFUNCTION("""COMPUTED_VALUE"""),454.1919)</f>
        <v>454.1919</v>
      </c>
    </row>
    <row r="3365">
      <c r="A3365" s="3">
        <f>IFERROR(__xludf.DUMMYFUNCTION("""COMPUTED_VALUE"""),43881.99861111111)</f>
        <v>43881.99861</v>
      </c>
      <c r="B3365" s="1">
        <f>IFERROR(__xludf.DUMMYFUNCTION("""COMPUTED_VALUE"""),451.425)</f>
        <v>451.425</v>
      </c>
    </row>
    <row r="3366">
      <c r="A3366" s="3">
        <f>IFERROR(__xludf.DUMMYFUNCTION("""COMPUTED_VALUE"""),43882.99861111111)</f>
        <v>43882.99861</v>
      </c>
      <c r="B3366" s="1">
        <f>IFERROR(__xludf.DUMMYFUNCTION("""COMPUTED_VALUE"""),454.1572)</f>
        <v>454.1572</v>
      </c>
    </row>
    <row r="3367">
      <c r="A3367" s="3">
        <f>IFERROR(__xludf.DUMMYFUNCTION("""COMPUTED_VALUE"""),43883.99861111111)</f>
        <v>43883.99861</v>
      </c>
      <c r="B3367" s="1">
        <f>IFERROR(__xludf.DUMMYFUNCTION("""COMPUTED_VALUE"""),454.1572)</f>
        <v>454.1572</v>
      </c>
    </row>
    <row r="3368">
      <c r="A3368" s="3">
        <f>IFERROR(__xludf.DUMMYFUNCTION("""COMPUTED_VALUE"""),43884.99861111111)</f>
        <v>43884.99861</v>
      </c>
      <c r="B3368" s="1">
        <f>IFERROR(__xludf.DUMMYFUNCTION("""COMPUTED_VALUE"""),454.1572)</f>
        <v>454.1572</v>
      </c>
    </row>
    <row r="3369">
      <c r="A3369" s="3">
        <f>IFERROR(__xludf.DUMMYFUNCTION("""COMPUTED_VALUE"""),43885.99861111111)</f>
        <v>43885.99861</v>
      </c>
      <c r="B3369" s="1">
        <f>IFERROR(__xludf.DUMMYFUNCTION("""COMPUTED_VALUE"""),457.2506)</f>
        <v>457.2506</v>
      </c>
    </row>
    <row r="3370">
      <c r="A3370" s="3">
        <f>IFERROR(__xludf.DUMMYFUNCTION("""COMPUTED_VALUE"""),43886.99861111111)</f>
        <v>43886.99861</v>
      </c>
      <c r="B3370" s="1">
        <f>IFERROR(__xludf.DUMMYFUNCTION("""COMPUTED_VALUE"""),458.0289)</f>
        <v>458.0289</v>
      </c>
    </row>
    <row r="3371">
      <c r="A3371" s="3">
        <f>IFERROR(__xludf.DUMMYFUNCTION("""COMPUTED_VALUE"""),43887.99861111111)</f>
        <v>43887.99861</v>
      </c>
      <c r="B3371" s="1">
        <f>IFERROR(__xludf.DUMMYFUNCTION("""COMPUTED_VALUE"""),459.4408)</f>
        <v>459.4408</v>
      </c>
    </row>
    <row r="3372">
      <c r="A3372" s="3">
        <f>IFERROR(__xludf.DUMMYFUNCTION("""COMPUTED_VALUE"""),43888.99861111111)</f>
        <v>43888.99861</v>
      </c>
      <c r="B3372" s="1">
        <f>IFERROR(__xludf.DUMMYFUNCTION("""COMPUTED_VALUE"""),465.5286)</f>
        <v>465.5286</v>
      </c>
    </row>
    <row r="3373">
      <c r="A3373" s="3">
        <f>IFERROR(__xludf.DUMMYFUNCTION("""COMPUTED_VALUE"""),43889.99861111111)</f>
        <v>43889.99861</v>
      </c>
      <c r="B3373" s="1">
        <f>IFERROR(__xludf.DUMMYFUNCTION("""COMPUTED_VALUE"""),463.6828)</f>
        <v>463.6828</v>
      </c>
    </row>
    <row r="3374">
      <c r="A3374" s="3">
        <f>IFERROR(__xludf.DUMMYFUNCTION("""COMPUTED_VALUE"""),43890.99861111111)</f>
        <v>43890.99861</v>
      </c>
      <c r="B3374" s="1">
        <f>IFERROR(__xludf.DUMMYFUNCTION("""COMPUTED_VALUE"""),463.6828)</f>
        <v>463.6828</v>
      </c>
    </row>
    <row r="3375">
      <c r="A3375" s="3">
        <f>IFERROR(__xludf.DUMMYFUNCTION("""COMPUTED_VALUE"""),43891.99861111111)</f>
        <v>43891.99861</v>
      </c>
      <c r="B3375" s="1">
        <f>IFERROR(__xludf.DUMMYFUNCTION("""COMPUTED_VALUE"""),463.6828)</f>
        <v>463.6828</v>
      </c>
    </row>
    <row r="3376">
      <c r="A3376" s="3">
        <f>IFERROR(__xludf.DUMMYFUNCTION("""COMPUTED_VALUE"""),43892.99861111111)</f>
        <v>43892.99861</v>
      </c>
      <c r="B3376" s="1">
        <f>IFERROR(__xludf.DUMMYFUNCTION("""COMPUTED_VALUE"""),475.2621)</f>
        <v>475.2621</v>
      </c>
    </row>
    <row r="3377">
      <c r="A3377" s="3">
        <f>IFERROR(__xludf.DUMMYFUNCTION("""COMPUTED_VALUE"""),43893.99861111111)</f>
        <v>43893.99861</v>
      </c>
      <c r="B3377" s="1">
        <f>IFERROR(__xludf.DUMMYFUNCTION("""COMPUTED_VALUE"""),476.8287)</f>
        <v>476.8287</v>
      </c>
    </row>
    <row r="3378">
      <c r="A3378" s="3">
        <f>IFERROR(__xludf.DUMMYFUNCTION("""COMPUTED_VALUE"""),43894.99861111111)</f>
        <v>43894.99861</v>
      </c>
      <c r="B3378" s="1">
        <f>IFERROR(__xludf.DUMMYFUNCTION("""COMPUTED_VALUE"""),480.671)</f>
        <v>480.671</v>
      </c>
    </row>
    <row r="3379">
      <c r="A3379" s="3">
        <f>IFERROR(__xludf.DUMMYFUNCTION("""COMPUTED_VALUE"""),43895.99861111111)</f>
        <v>43895.99861</v>
      </c>
      <c r="B3379" s="1">
        <f>IFERROR(__xludf.DUMMYFUNCTION("""COMPUTED_VALUE"""),480.671)</f>
        <v>480.671</v>
      </c>
    </row>
    <row r="3380">
      <c r="A3380" s="3">
        <f>IFERROR(__xludf.DUMMYFUNCTION("""COMPUTED_VALUE"""),43896.99861111111)</f>
        <v>43896.99861</v>
      </c>
      <c r="B3380" s="1">
        <f>IFERROR(__xludf.DUMMYFUNCTION("""COMPUTED_VALUE"""),480.671)</f>
        <v>480.671</v>
      </c>
    </row>
    <row r="3381">
      <c r="A3381" s="3">
        <f>IFERROR(__xludf.DUMMYFUNCTION("""COMPUTED_VALUE"""),43897.99861111111)</f>
        <v>43897.99861</v>
      </c>
      <c r="B3381" s="1">
        <f>IFERROR(__xludf.DUMMYFUNCTION("""COMPUTED_VALUE"""),480.671)</f>
        <v>480.671</v>
      </c>
    </row>
    <row r="3382">
      <c r="A3382" s="3">
        <f>IFERROR(__xludf.DUMMYFUNCTION("""COMPUTED_VALUE"""),43898.99861111111)</f>
        <v>43898.99861</v>
      </c>
      <c r="B3382" s="1">
        <f>IFERROR(__xludf.DUMMYFUNCTION("""COMPUTED_VALUE"""),480.671)</f>
        <v>480.671</v>
      </c>
    </row>
    <row r="3383">
      <c r="A3383" s="3">
        <f>IFERROR(__xludf.DUMMYFUNCTION("""COMPUTED_VALUE"""),43899.99861111111)</f>
        <v>43899.99861</v>
      </c>
      <c r="B3383" s="1">
        <f>IFERROR(__xludf.DUMMYFUNCTION("""COMPUTED_VALUE"""),480.671)</f>
        <v>480.671</v>
      </c>
    </row>
    <row r="3384">
      <c r="A3384" s="3">
        <f>IFERROR(__xludf.DUMMYFUNCTION("""COMPUTED_VALUE"""),43900.99861111111)</f>
        <v>43900.99861</v>
      </c>
      <c r="B3384" s="1">
        <f>IFERROR(__xludf.DUMMYFUNCTION("""COMPUTED_VALUE"""),480.671)</f>
        <v>480.671</v>
      </c>
    </row>
    <row r="3385">
      <c r="A3385" s="3">
        <f>IFERROR(__xludf.DUMMYFUNCTION("""COMPUTED_VALUE"""),43901.99861111111)</f>
        <v>43901.99861</v>
      </c>
      <c r="B3385" s="1">
        <f>IFERROR(__xludf.DUMMYFUNCTION("""COMPUTED_VALUE"""),480.671)</f>
        <v>480.671</v>
      </c>
    </row>
    <row r="3386">
      <c r="A3386" s="3">
        <f>IFERROR(__xludf.DUMMYFUNCTION("""COMPUTED_VALUE"""),43902.99861111111)</f>
        <v>43902.99861</v>
      </c>
      <c r="B3386" s="1">
        <f>IFERROR(__xludf.DUMMYFUNCTION("""COMPUTED_VALUE"""),480.671)</f>
        <v>480.671</v>
      </c>
    </row>
    <row r="3387">
      <c r="A3387" s="3">
        <f>IFERROR(__xludf.DUMMYFUNCTION("""COMPUTED_VALUE"""),43903.99861111111)</f>
        <v>43903.99861</v>
      </c>
      <c r="B3387" s="1">
        <f>IFERROR(__xludf.DUMMYFUNCTION("""COMPUTED_VALUE"""),480.671)</f>
        <v>480.671</v>
      </c>
    </row>
    <row r="3388">
      <c r="A3388" s="3">
        <f>IFERROR(__xludf.DUMMYFUNCTION("""COMPUTED_VALUE"""),43904.99861111111)</f>
        <v>43904.99861</v>
      </c>
      <c r="B3388" s="1">
        <f>IFERROR(__xludf.DUMMYFUNCTION("""COMPUTED_VALUE"""),480.671)</f>
        <v>480.671</v>
      </c>
    </row>
    <row r="3389">
      <c r="A3389" s="3">
        <f>IFERROR(__xludf.DUMMYFUNCTION("""COMPUTED_VALUE"""),43905.99861111111)</f>
        <v>43905.99861</v>
      </c>
      <c r="B3389" s="1">
        <f>IFERROR(__xludf.DUMMYFUNCTION("""COMPUTED_VALUE"""),480.671)</f>
        <v>480.671</v>
      </c>
    </row>
    <row r="3390">
      <c r="A3390" s="3">
        <f>IFERROR(__xludf.DUMMYFUNCTION("""COMPUTED_VALUE"""),43906.99861111111)</f>
        <v>43906.99861</v>
      </c>
      <c r="B3390" s="1">
        <f>IFERROR(__xludf.DUMMYFUNCTION("""COMPUTED_VALUE"""),480.671)</f>
        <v>480.671</v>
      </c>
    </row>
    <row r="3391">
      <c r="A3391" s="3">
        <f>IFERROR(__xludf.DUMMYFUNCTION("""COMPUTED_VALUE"""),43907.99861111111)</f>
        <v>43907.99861</v>
      </c>
      <c r="B3391" s="1">
        <f>IFERROR(__xludf.DUMMYFUNCTION("""COMPUTED_VALUE"""),480.671)</f>
        <v>480.671</v>
      </c>
    </row>
    <row r="3392">
      <c r="A3392" s="3">
        <f>IFERROR(__xludf.DUMMYFUNCTION("""COMPUTED_VALUE"""),43908.99861111111)</f>
        <v>43908.99861</v>
      </c>
      <c r="B3392" s="1">
        <f>IFERROR(__xludf.DUMMYFUNCTION("""COMPUTED_VALUE"""),480.671)</f>
        <v>480.671</v>
      </c>
    </row>
    <row r="3393">
      <c r="A3393" s="3">
        <f>IFERROR(__xludf.DUMMYFUNCTION("""COMPUTED_VALUE"""),43909.99861111111)</f>
        <v>43909.99861</v>
      </c>
      <c r="B3393" s="1">
        <f>IFERROR(__xludf.DUMMYFUNCTION("""COMPUTED_VALUE"""),480.671)</f>
        <v>480.671</v>
      </c>
    </row>
    <row r="3394">
      <c r="A3394" s="3">
        <f>IFERROR(__xludf.DUMMYFUNCTION("""COMPUTED_VALUE"""),43910.99861111111)</f>
        <v>43910.99861</v>
      </c>
      <c r="B3394" s="1">
        <f>IFERROR(__xludf.DUMMYFUNCTION("""COMPUTED_VALUE"""),480.671)</f>
        <v>480.671</v>
      </c>
    </row>
    <row r="3395">
      <c r="A3395" s="3">
        <f>IFERROR(__xludf.DUMMYFUNCTION("""COMPUTED_VALUE"""),43911.99861111111)</f>
        <v>43911.99861</v>
      </c>
      <c r="B3395" s="1">
        <f>IFERROR(__xludf.DUMMYFUNCTION("""COMPUTED_VALUE"""),480.671)</f>
        <v>480.671</v>
      </c>
    </row>
    <row r="3396">
      <c r="A3396" s="3">
        <f>IFERROR(__xludf.DUMMYFUNCTION("""COMPUTED_VALUE"""),43912.99861111111)</f>
        <v>43912.99861</v>
      </c>
      <c r="B3396" s="1">
        <f>IFERROR(__xludf.DUMMYFUNCTION("""COMPUTED_VALUE"""),480.671)</f>
        <v>480.671</v>
      </c>
    </row>
    <row r="3397">
      <c r="A3397" s="3">
        <f>IFERROR(__xludf.DUMMYFUNCTION("""COMPUTED_VALUE"""),43913.99861111111)</f>
        <v>43913.99861</v>
      </c>
      <c r="B3397" s="1">
        <f>IFERROR(__xludf.DUMMYFUNCTION("""COMPUTED_VALUE"""),480.671)</f>
        <v>480.671</v>
      </c>
    </row>
    <row r="3398">
      <c r="A3398" s="3">
        <f>IFERROR(__xludf.DUMMYFUNCTION("""COMPUTED_VALUE"""),43914.99861111111)</f>
        <v>43914.99861</v>
      </c>
      <c r="B3398" s="1">
        <f>IFERROR(__xludf.DUMMYFUNCTION("""COMPUTED_VALUE"""),480.671)</f>
        <v>480.671</v>
      </c>
    </row>
    <row r="3399">
      <c r="A3399" s="3">
        <f>IFERROR(__xludf.DUMMYFUNCTION("""COMPUTED_VALUE"""),43915.99861111111)</f>
        <v>43915.99861</v>
      </c>
      <c r="B3399" s="1">
        <f>IFERROR(__xludf.DUMMYFUNCTION("""COMPUTED_VALUE"""),480.671)</f>
        <v>480.671</v>
      </c>
    </row>
    <row r="3400">
      <c r="A3400" s="3">
        <f>IFERROR(__xludf.DUMMYFUNCTION("""COMPUTED_VALUE"""),43916.99861111111)</f>
        <v>43916.99861</v>
      </c>
      <c r="B3400" s="1">
        <f>IFERROR(__xludf.DUMMYFUNCTION("""COMPUTED_VALUE"""),480.671)</f>
        <v>480.671</v>
      </c>
    </row>
    <row r="3401">
      <c r="A3401" s="3">
        <f>IFERROR(__xludf.DUMMYFUNCTION("""COMPUTED_VALUE"""),43917.99861111111)</f>
        <v>43917.99861</v>
      </c>
      <c r="B3401" s="1">
        <f>IFERROR(__xludf.DUMMYFUNCTION("""COMPUTED_VALUE"""),480.671)</f>
        <v>480.671</v>
      </c>
    </row>
    <row r="3402">
      <c r="A3402" s="3">
        <f>IFERROR(__xludf.DUMMYFUNCTION("""COMPUTED_VALUE"""),43918.99861111111)</f>
        <v>43918.99861</v>
      </c>
      <c r="B3402" s="1">
        <f>IFERROR(__xludf.DUMMYFUNCTION("""COMPUTED_VALUE"""),480.671)</f>
        <v>480.671</v>
      </c>
    </row>
    <row r="3403">
      <c r="A3403" s="3">
        <f>IFERROR(__xludf.DUMMYFUNCTION("""COMPUTED_VALUE"""),43919.99861111111)</f>
        <v>43919.99861</v>
      </c>
      <c r="B3403" s="1">
        <f>IFERROR(__xludf.DUMMYFUNCTION("""COMPUTED_VALUE"""),480.671)</f>
        <v>480.671</v>
      </c>
    </row>
    <row r="3404">
      <c r="A3404" s="3">
        <f>IFERROR(__xludf.DUMMYFUNCTION("""COMPUTED_VALUE"""),43920.99861111111)</f>
        <v>43920.99861</v>
      </c>
      <c r="B3404" s="1">
        <f>IFERROR(__xludf.DUMMYFUNCTION("""COMPUTED_VALUE"""),480.671)</f>
        <v>480.671</v>
      </c>
    </row>
    <row r="3405">
      <c r="A3405" s="3">
        <f>IFERROR(__xludf.DUMMYFUNCTION("""COMPUTED_VALUE"""),43921.99861111111)</f>
        <v>43921.99861</v>
      </c>
      <c r="B3405" s="1">
        <f>IFERROR(__xludf.DUMMYFUNCTION("""COMPUTED_VALUE"""),480.671)</f>
        <v>480.671</v>
      </c>
    </row>
    <row r="3406">
      <c r="A3406" s="3">
        <f>IFERROR(__xludf.DUMMYFUNCTION("""COMPUTED_VALUE"""),43922.99861111111)</f>
        <v>43922.99861</v>
      </c>
      <c r="B3406" s="1">
        <f>IFERROR(__xludf.DUMMYFUNCTION("""COMPUTED_VALUE"""),480.671)</f>
        <v>480.671</v>
      </c>
    </row>
    <row r="3407">
      <c r="A3407" s="3">
        <f>IFERROR(__xludf.DUMMYFUNCTION("""COMPUTED_VALUE"""),43923.99861111111)</f>
        <v>43923.99861</v>
      </c>
      <c r="B3407" s="1">
        <f>IFERROR(__xludf.DUMMYFUNCTION("""COMPUTED_VALUE"""),480.671)</f>
        <v>480.671</v>
      </c>
    </row>
    <row r="3408">
      <c r="A3408" s="3">
        <f>IFERROR(__xludf.DUMMYFUNCTION("""COMPUTED_VALUE"""),43924.99861111111)</f>
        <v>43924.99861</v>
      </c>
      <c r="B3408" s="1">
        <f>IFERROR(__xludf.DUMMYFUNCTION("""COMPUTED_VALUE"""),480.671)</f>
        <v>480.671</v>
      </c>
    </row>
    <row r="3409">
      <c r="A3409" s="3">
        <f>IFERROR(__xludf.DUMMYFUNCTION("""COMPUTED_VALUE"""),43925.99861111111)</f>
        <v>43925.99861</v>
      </c>
      <c r="B3409" s="1">
        <f>IFERROR(__xludf.DUMMYFUNCTION("""COMPUTED_VALUE"""),480.671)</f>
        <v>480.671</v>
      </c>
    </row>
    <row r="3410">
      <c r="A3410" s="3">
        <f>IFERROR(__xludf.DUMMYFUNCTION("""COMPUTED_VALUE"""),43926.99861111111)</f>
        <v>43926.99861</v>
      </c>
      <c r="B3410" s="1">
        <f>IFERROR(__xludf.DUMMYFUNCTION("""COMPUTED_VALUE"""),480.671)</f>
        <v>480.671</v>
      </c>
    </row>
    <row r="3411">
      <c r="A3411" s="3">
        <f>IFERROR(__xludf.DUMMYFUNCTION("""COMPUTED_VALUE"""),43927.99861111111)</f>
        <v>43927.99861</v>
      </c>
      <c r="B3411" s="1">
        <f>IFERROR(__xludf.DUMMYFUNCTION("""COMPUTED_VALUE"""),480.671)</f>
        <v>480.671</v>
      </c>
    </row>
    <row r="3412">
      <c r="A3412" s="3">
        <f>IFERROR(__xludf.DUMMYFUNCTION("""COMPUTED_VALUE"""),43928.99861111111)</f>
        <v>43928.99861</v>
      </c>
      <c r="B3412" s="1">
        <f>IFERROR(__xludf.DUMMYFUNCTION("""COMPUTED_VALUE"""),480.671)</f>
        <v>480.671</v>
      </c>
    </row>
    <row r="3413">
      <c r="A3413" s="3">
        <f>IFERROR(__xludf.DUMMYFUNCTION("""COMPUTED_VALUE"""),43929.99861111111)</f>
        <v>43929.99861</v>
      </c>
      <c r="B3413" s="1">
        <f>IFERROR(__xludf.DUMMYFUNCTION("""COMPUTED_VALUE"""),480.671)</f>
        <v>480.671</v>
      </c>
    </row>
    <row r="3414">
      <c r="A3414" s="3">
        <f>IFERROR(__xludf.DUMMYFUNCTION("""COMPUTED_VALUE"""),43930.99861111111)</f>
        <v>43930.99861</v>
      </c>
      <c r="B3414" s="1">
        <f>IFERROR(__xludf.DUMMYFUNCTION("""COMPUTED_VALUE"""),480.671)</f>
        <v>480.671</v>
      </c>
    </row>
    <row r="3415">
      <c r="A3415" s="3">
        <f>IFERROR(__xludf.DUMMYFUNCTION("""COMPUTED_VALUE"""),43931.99861111111)</f>
        <v>43931.99861</v>
      </c>
      <c r="B3415" s="1">
        <f>IFERROR(__xludf.DUMMYFUNCTION("""COMPUTED_VALUE"""),480.671)</f>
        <v>480.671</v>
      </c>
    </row>
    <row r="3416">
      <c r="A3416" s="3">
        <f>IFERROR(__xludf.DUMMYFUNCTION("""COMPUTED_VALUE"""),43932.99861111111)</f>
        <v>43932.99861</v>
      </c>
      <c r="B3416" s="1">
        <f>IFERROR(__xludf.DUMMYFUNCTION("""COMPUTED_VALUE"""),480.671)</f>
        <v>480.671</v>
      </c>
    </row>
    <row r="3417">
      <c r="A3417" s="3">
        <f>IFERROR(__xludf.DUMMYFUNCTION("""COMPUTED_VALUE"""),43933.99861111111)</f>
        <v>43933.99861</v>
      </c>
      <c r="B3417" s="1">
        <f>IFERROR(__xludf.DUMMYFUNCTION("""COMPUTED_VALUE"""),480.671)</f>
        <v>480.671</v>
      </c>
    </row>
    <row r="3418">
      <c r="A3418" s="3">
        <f>IFERROR(__xludf.DUMMYFUNCTION("""COMPUTED_VALUE"""),43934.99861111111)</f>
        <v>43934.99861</v>
      </c>
      <c r="B3418" s="1">
        <f>IFERROR(__xludf.DUMMYFUNCTION("""COMPUTED_VALUE"""),480.671)</f>
        <v>480.671</v>
      </c>
    </row>
    <row r="3419">
      <c r="A3419" s="3">
        <f>IFERROR(__xludf.DUMMYFUNCTION("""COMPUTED_VALUE"""),43935.99861111111)</f>
        <v>43935.99861</v>
      </c>
      <c r="B3419" s="1">
        <f>IFERROR(__xludf.DUMMYFUNCTION("""COMPUTED_VALUE"""),480.671)</f>
        <v>480.671</v>
      </c>
    </row>
    <row r="3420">
      <c r="A3420" s="3">
        <f>IFERROR(__xludf.DUMMYFUNCTION("""COMPUTED_VALUE"""),43936.99861111111)</f>
        <v>43936.99861</v>
      </c>
      <c r="B3420" s="1">
        <f>IFERROR(__xludf.DUMMYFUNCTION("""COMPUTED_VALUE"""),480.671)</f>
        <v>480.671</v>
      </c>
    </row>
    <row r="3421">
      <c r="A3421" s="3">
        <f>IFERROR(__xludf.DUMMYFUNCTION("""COMPUTED_VALUE"""),43937.99861111111)</f>
        <v>43937.99861</v>
      </c>
      <c r="B3421" s="1">
        <f>IFERROR(__xludf.DUMMYFUNCTION("""COMPUTED_VALUE"""),480.671)</f>
        <v>480.671</v>
      </c>
    </row>
    <row r="3422">
      <c r="A3422" s="3">
        <f>IFERROR(__xludf.DUMMYFUNCTION("""COMPUTED_VALUE"""),43938.99861111111)</f>
        <v>43938.99861</v>
      </c>
      <c r="B3422" s="1">
        <f>IFERROR(__xludf.DUMMYFUNCTION("""COMPUTED_VALUE"""),480.671)</f>
        <v>480.671</v>
      </c>
    </row>
    <row r="3423">
      <c r="A3423" s="3">
        <f>IFERROR(__xludf.DUMMYFUNCTION("""COMPUTED_VALUE"""),43939.99861111111)</f>
        <v>43939.99861</v>
      </c>
      <c r="B3423" s="1">
        <f>IFERROR(__xludf.DUMMYFUNCTION("""COMPUTED_VALUE"""),480.671)</f>
        <v>480.671</v>
      </c>
    </row>
    <row r="3424">
      <c r="A3424" s="3">
        <f>IFERROR(__xludf.DUMMYFUNCTION("""COMPUTED_VALUE"""),43940.99861111111)</f>
        <v>43940.99861</v>
      </c>
      <c r="B3424" s="1">
        <f>IFERROR(__xludf.DUMMYFUNCTION("""COMPUTED_VALUE"""),480.671)</f>
        <v>480.671</v>
      </c>
    </row>
    <row r="3425">
      <c r="A3425" s="3">
        <f>IFERROR(__xludf.DUMMYFUNCTION("""COMPUTED_VALUE"""),43941.99861111111)</f>
        <v>43941.99861</v>
      </c>
      <c r="B3425" s="1">
        <f>IFERROR(__xludf.DUMMYFUNCTION("""COMPUTED_VALUE"""),480.671)</f>
        <v>480.671</v>
      </c>
    </row>
    <row r="3426">
      <c r="A3426" s="3">
        <f>IFERROR(__xludf.DUMMYFUNCTION("""COMPUTED_VALUE"""),43942.99861111111)</f>
        <v>43942.99861</v>
      </c>
      <c r="B3426" s="1">
        <f>IFERROR(__xludf.DUMMYFUNCTION("""COMPUTED_VALUE"""),480.671)</f>
        <v>480.671</v>
      </c>
    </row>
    <row r="3427">
      <c r="A3427" s="3">
        <f>IFERROR(__xludf.DUMMYFUNCTION("""COMPUTED_VALUE"""),43943.99861111111)</f>
        <v>43943.99861</v>
      </c>
      <c r="B3427" s="1">
        <f>IFERROR(__xludf.DUMMYFUNCTION("""COMPUTED_VALUE"""),480.671)</f>
        <v>480.671</v>
      </c>
    </row>
    <row r="3428">
      <c r="A3428" s="3">
        <f>IFERROR(__xludf.DUMMYFUNCTION("""COMPUTED_VALUE"""),43944.99861111111)</f>
        <v>43944.99861</v>
      </c>
      <c r="B3428" s="1">
        <f>IFERROR(__xludf.DUMMYFUNCTION("""COMPUTED_VALUE"""),480.671)</f>
        <v>480.671</v>
      </c>
    </row>
    <row r="3429">
      <c r="A3429" s="3">
        <f>IFERROR(__xludf.DUMMYFUNCTION("""COMPUTED_VALUE"""),43945.99861111111)</f>
        <v>43945.99861</v>
      </c>
      <c r="B3429" s="1">
        <f>IFERROR(__xludf.DUMMYFUNCTION("""COMPUTED_VALUE"""),480.671)</f>
        <v>480.671</v>
      </c>
    </row>
    <row r="3430">
      <c r="A3430" s="3">
        <f>IFERROR(__xludf.DUMMYFUNCTION("""COMPUTED_VALUE"""),43946.99861111111)</f>
        <v>43946.99861</v>
      </c>
      <c r="B3430" s="1">
        <f>IFERROR(__xludf.DUMMYFUNCTION("""COMPUTED_VALUE"""),480.671)</f>
        <v>480.671</v>
      </c>
    </row>
    <row r="3431">
      <c r="A3431" s="3">
        <f>IFERROR(__xludf.DUMMYFUNCTION("""COMPUTED_VALUE"""),43947.99861111111)</f>
        <v>43947.99861</v>
      </c>
      <c r="B3431" s="1">
        <f>IFERROR(__xludf.DUMMYFUNCTION("""COMPUTED_VALUE"""),480.671)</f>
        <v>480.671</v>
      </c>
    </row>
    <row r="3432">
      <c r="A3432" s="3">
        <f>IFERROR(__xludf.DUMMYFUNCTION("""COMPUTED_VALUE"""),43948.99861111111)</f>
        <v>43948.99861</v>
      </c>
      <c r="B3432" s="1">
        <f>IFERROR(__xludf.DUMMYFUNCTION("""COMPUTED_VALUE"""),480.671)</f>
        <v>480.671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IFERROR(__xludf.DUMMYFUNCTION("googlefinance(""Currency:JPYIDR"",""price"",""01/01/2010"",""28/04/2020"",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IFERROR(__xludf.DUMMYFUNCTION("""COMPUTED_VALUE"""),40179.99861111111)</f>
        <v>40179.99861</v>
      </c>
      <c r="B2" s="1">
        <f>IFERROR(__xludf.DUMMYFUNCTION("""COMPUTED_VALUE"""),100.989056)</f>
        <v>100.989056</v>
      </c>
    </row>
    <row r="3">
      <c r="A3" s="3">
        <f>IFERROR(__xludf.DUMMYFUNCTION("""COMPUTED_VALUE"""),40182.99861111111)</f>
        <v>40182.99861</v>
      </c>
      <c r="B3" s="1">
        <f>IFERROR(__xludf.DUMMYFUNCTION("""COMPUTED_VALUE"""),101.227002)</f>
        <v>101.227002</v>
      </c>
    </row>
    <row r="4">
      <c r="A4" s="3">
        <f>IFERROR(__xludf.DUMMYFUNCTION("""COMPUTED_VALUE"""),40183.99861111111)</f>
        <v>40183.99861</v>
      </c>
      <c r="B4" s="1">
        <f>IFERROR(__xludf.DUMMYFUNCTION("""COMPUTED_VALUE"""),101.612784)</f>
        <v>101.612784</v>
      </c>
    </row>
    <row r="5">
      <c r="A5" s="3">
        <f>IFERROR(__xludf.DUMMYFUNCTION("""COMPUTED_VALUE"""),40184.99861111111)</f>
        <v>40184.99861</v>
      </c>
      <c r="B5" s="1">
        <f>IFERROR(__xludf.DUMMYFUNCTION("""COMPUTED_VALUE"""),99.739842)</f>
        <v>99.739842</v>
      </c>
    </row>
    <row r="6">
      <c r="A6" s="3">
        <f>IFERROR(__xludf.DUMMYFUNCTION("""COMPUTED_VALUE"""),40185.99861111111)</f>
        <v>40185.99861</v>
      </c>
      <c r="B6" s="1">
        <f>IFERROR(__xludf.DUMMYFUNCTION("""COMPUTED_VALUE"""),99.21575)</f>
        <v>99.21575</v>
      </c>
    </row>
    <row r="7">
      <c r="A7" s="3">
        <f>IFERROR(__xludf.DUMMYFUNCTION("""COMPUTED_VALUE"""),40186.99861111111)</f>
        <v>40186.99861</v>
      </c>
      <c r="B7" s="1">
        <f>IFERROR(__xludf.DUMMYFUNCTION("""COMPUTED_VALUE"""),99.405033)</f>
        <v>99.405033</v>
      </c>
    </row>
    <row r="8">
      <c r="A8" s="3">
        <f>IFERROR(__xludf.DUMMYFUNCTION("""COMPUTED_VALUE"""),40189.99861111111)</f>
        <v>40189.99861</v>
      </c>
      <c r="B8" s="1">
        <f>IFERROR(__xludf.DUMMYFUNCTION("""COMPUTED_VALUE"""),99.256885)</f>
        <v>99.256885</v>
      </c>
    </row>
    <row r="9">
      <c r="A9" s="3">
        <f>IFERROR(__xludf.DUMMYFUNCTION("""COMPUTED_VALUE"""),40190.99861111111)</f>
        <v>40190.99861</v>
      </c>
      <c r="B9" s="1">
        <f>IFERROR(__xludf.DUMMYFUNCTION("""COMPUTED_VALUE"""),100.69758)</f>
        <v>100.69758</v>
      </c>
    </row>
    <row r="10">
      <c r="A10" s="3">
        <f>IFERROR(__xludf.DUMMYFUNCTION("""COMPUTED_VALUE"""),40191.99861111111)</f>
        <v>40191.99861</v>
      </c>
      <c r="B10" s="1">
        <f>IFERROR(__xludf.DUMMYFUNCTION("""COMPUTED_VALUE"""),100.00254)</f>
        <v>100.00254</v>
      </c>
    </row>
    <row r="11">
      <c r="A11" s="3">
        <f>IFERROR(__xludf.DUMMYFUNCTION("""COMPUTED_VALUE"""),40192.99861111111)</f>
        <v>40192.99861</v>
      </c>
      <c r="B11" s="1">
        <f>IFERROR(__xludf.DUMMYFUNCTION("""COMPUTED_VALUE"""),100.347568)</f>
        <v>100.347568</v>
      </c>
    </row>
    <row r="12">
      <c r="A12" s="3">
        <f>IFERROR(__xludf.DUMMYFUNCTION("""COMPUTED_VALUE"""),40193.99861111111)</f>
        <v>40193.99861</v>
      </c>
      <c r="B12" s="1">
        <f>IFERROR(__xludf.DUMMYFUNCTION("""COMPUTED_VALUE"""),101.579361)</f>
        <v>101.579361</v>
      </c>
    </row>
    <row r="13">
      <c r="A13" s="3">
        <f>IFERROR(__xludf.DUMMYFUNCTION("""COMPUTED_VALUE"""),40196.99861111111)</f>
        <v>40196.99861</v>
      </c>
      <c r="B13" s="1">
        <f>IFERROR(__xludf.DUMMYFUNCTION("""COMPUTED_VALUE"""),100.6126)</f>
        <v>100.6126</v>
      </c>
    </row>
    <row r="14">
      <c r="A14" s="3">
        <f>IFERROR(__xludf.DUMMYFUNCTION("""COMPUTED_VALUE"""),40197.99861111111)</f>
        <v>40197.99861</v>
      </c>
      <c r="B14" s="1">
        <f>IFERROR(__xludf.DUMMYFUNCTION("""COMPUTED_VALUE"""),101.160252)</f>
        <v>101.160252</v>
      </c>
    </row>
    <row r="15">
      <c r="A15" s="3">
        <f>IFERROR(__xludf.DUMMYFUNCTION("""COMPUTED_VALUE"""),40198.99861111111)</f>
        <v>40198.99861</v>
      </c>
      <c r="B15" s="1">
        <f>IFERROR(__xludf.DUMMYFUNCTION("""COMPUTED_VALUE"""),101.872652)</f>
        <v>101.872652</v>
      </c>
    </row>
    <row r="16">
      <c r="A16" s="3">
        <f>IFERROR(__xludf.DUMMYFUNCTION("""COMPUTED_VALUE"""),40199.99861111111)</f>
        <v>40199.99861</v>
      </c>
      <c r="B16" s="1">
        <f>IFERROR(__xludf.DUMMYFUNCTION("""COMPUTED_VALUE"""),101.47215)</f>
        <v>101.47215</v>
      </c>
    </row>
    <row r="17">
      <c r="A17" s="3">
        <f>IFERROR(__xludf.DUMMYFUNCTION("""COMPUTED_VALUE"""),40200.99861111111)</f>
        <v>40200.99861</v>
      </c>
      <c r="B17" s="1">
        <f>IFERROR(__xludf.DUMMYFUNCTION("""COMPUTED_VALUE"""),102.8412)</f>
        <v>102.8412</v>
      </c>
    </row>
    <row r="18">
      <c r="A18" s="3">
        <f>IFERROR(__xludf.DUMMYFUNCTION("""COMPUTED_VALUE"""),40203.99861111111)</f>
        <v>40203.99861</v>
      </c>
      <c r="B18" s="1">
        <f>IFERROR(__xludf.DUMMYFUNCTION("""COMPUTED_VALUE"""),103.078647)</f>
        <v>103.078647</v>
      </c>
    </row>
    <row r="19">
      <c r="A19" s="3">
        <f>IFERROR(__xludf.DUMMYFUNCTION("""COMPUTED_VALUE"""),40204.99861111111)</f>
        <v>40204.99861</v>
      </c>
      <c r="B19" s="1">
        <f>IFERROR(__xludf.DUMMYFUNCTION("""COMPUTED_VALUE"""),104.5864425)</f>
        <v>104.5864425</v>
      </c>
    </row>
    <row r="20">
      <c r="A20" s="3">
        <f>IFERROR(__xludf.DUMMYFUNCTION("""COMPUTED_VALUE"""),40205.99861111111)</f>
        <v>40205.99861</v>
      </c>
      <c r="B20" s="1">
        <f>IFERROR(__xludf.DUMMYFUNCTION("""COMPUTED_VALUE"""),104.4334445)</f>
        <v>104.4334445</v>
      </c>
    </row>
    <row r="21">
      <c r="A21" s="3">
        <f>IFERROR(__xludf.DUMMYFUNCTION("""COMPUTED_VALUE"""),40206.99861111111)</f>
        <v>40206.99861</v>
      </c>
      <c r="B21" s="1">
        <f>IFERROR(__xludf.DUMMYFUNCTION("""COMPUTED_VALUE"""),103.7866935)</f>
        <v>103.7866935</v>
      </c>
    </row>
    <row r="22">
      <c r="A22" s="3">
        <f>IFERROR(__xludf.DUMMYFUNCTION("""COMPUTED_VALUE"""),40207.99861111111)</f>
        <v>40207.99861</v>
      </c>
      <c r="B22" s="1">
        <f>IFERROR(__xludf.DUMMYFUNCTION("""COMPUTED_VALUE"""),102.3975)</f>
        <v>102.3975</v>
      </c>
    </row>
    <row r="23">
      <c r="A23" s="3">
        <f>IFERROR(__xludf.DUMMYFUNCTION("""COMPUTED_VALUE"""),40210.99861111111)</f>
        <v>40210.99861</v>
      </c>
      <c r="B23" s="1">
        <f>IFERROR(__xludf.DUMMYFUNCTION("""COMPUTED_VALUE"""),101.912964)</f>
        <v>101.912964</v>
      </c>
    </row>
    <row r="24">
      <c r="A24" s="3">
        <f>IFERROR(__xludf.DUMMYFUNCTION("""COMPUTED_VALUE"""),40211.99861111111)</f>
        <v>40211.99861</v>
      </c>
      <c r="B24" s="1">
        <f>IFERROR(__xludf.DUMMYFUNCTION("""COMPUTED_VALUE"""),102.916385)</f>
        <v>102.916385</v>
      </c>
    </row>
    <row r="25">
      <c r="A25" s="3">
        <f>IFERROR(__xludf.DUMMYFUNCTION("""COMPUTED_VALUE"""),40212.99861111111)</f>
        <v>40212.99861</v>
      </c>
      <c r="B25" s="1">
        <f>IFERROR(__xludf.DUMMYFUNCTION("""COMPUTED_VALUE"""),103.104246)</f>
        <v>103.104246</v>
      </c>
    </row>
    <row r="26">
      <c r="A26" s="3">
        <f>IFERROR(__xludf.DUMMYFUNCTION("""COMPUTED_VALUE"""),40213.99861111111)</f>
        <v>40213.99861</v>
      </c>
      <c r="B26" s="1">
        <f>IFERROR(__xludf.DUMMYFUNCTION("""COMPUTED_VALUE"""),104.945542)</f>
        <v>104.945542</v>
      </c>
    </row>
    <row r="27">
      <c r="A27" s="3">
        <f>IFERROR(__xludf.DUMMYFUNCTION("""COMPUTED_VALUE"""),40214.99861111111)</f>
        <v>40214.99861</v>
      </c>
      <c r="B27" s="1">
        <f>IFERROR(__xludf.DUMMYFUNCTION("""COMPUTED_VALUE"""),106.137401)</f>
        <v>106.137401</v>
      </c>
    </row>
    <row r="28">
      <c r="A28" s="3">
        <f>IFERROR(__xludf.DUMMYFUNCTION("""COMPUTED_VALUE"""),40217.99861111111)</f>
        <v>40217.99861</v>
      </c>
      <c r="B28" s="1">
        <f>IFERROR(__xludf.DUMMYFUNCTION("""COMPUTED_VALUE"""),106.2264)</f>
        <v>106.2264</v>
      </c>
    </row>
    <row r="29">
      <c r="A29" s="3">
        <f>IFERROR(__xludf.DUMMYFUNCTION("""COMPUTED_VALUE"""),40218.99861111111)</f>
        <v>40218.99861</v>
      </c>
      <c r="B29" s="1">
        <f>IFERROR(__xludf.DUMMYFUNCTION("""COMPUTED_VALUE"""),104.039802)</f>
        <v>104.039802</v>
      </c>
    </row>
    <row r="30">
      <c r="A30" s="3">
        <f>IFERROR(__xludf.DUMMYFUNCTION("""COMPUTED_VALUE"""),40219.99861111111)</f>
        <v>40219.99861</v>
      </c>
      <c r="B30" s="1">
        <f>IFERROR(__xludf.DUMMYFUNCTION("""COMPUTED_VALUE"""),103.576128)</f>
        <v>103.576128</v>
      </c>
    </row>
    <row r="31">
      <c r="A31" s="3">
        <f>IFERROR(__xludf.DUMMYFUNCTION("""COMPUTED_VALUE"""),40220.99861111111)</f>
        <v>40220.99861</v>
      </c>
      <c r="B31" s="1">
        <f>IFERROR(__xludf.DUMMYFUNCTION("""COMPUTED_VALUE"""),103.844013)</f>
        <v>103.844013</v>
      </c>
    </row>
    <row r="32">
      <c r="A32" s="3">
        <f>IFERROR(__xludf.DUMMYFUNCTION("""COMPUTED_VALUE"""),40221.99861111111)</f>
        <v>40221.99861</v>
      </c>
      <c r="B32" s="1">
        <f>IFERROR(__xludf.DUMMYFUNCTION("""COMPUTED_VALUE"""),103.586307)</f>
        <v>103.586307</v>
      </c>
    </row>
    <row r="33">
      <c r="A33" s="3">
        <f>IFERROR(__xludf.DUMMYFUNCTION("""COMPUTED_VALUE"""),40224.99861111111)</f>
        <v>40224.99861</v>
      </c>
      <c r="B33" s="1">
        <f>IFERROR(__xludf.DUMMYFUNCTION("""COMPUTED_VALUE"""),103.72728)</f>
        <v>103.72728</v>
      </c>
    </row>
    <row r="34">
      <c r="A34" s="3">
        <f>IFERROR(__xludf.DUMMYFUNCTION("""COMPUTED_VALUE"""),40225.99861111111)</f>
        <v>40225.99861</v>
      </c>
      <c r="B34" s="1">
        <f>IFERROR(__xludf.DUMMYFUNCTION("""COMPUTED_VALUE"""),102.965332)</f>
        <v>102.965332</v>
      </c>
    </row>
    <row r="35">
      <c r="A35" s="3">
        <f>IFERROR(__xludf.DUMMYFUNCTION("""COMPUTED_VALUE"""),40226.99861111111)</f>
        <v>40226.99861</v>
      </c>
      <c r="B35" s="1">
        <f>IFERROR(__xludf.DUMMYFUNCTION("""COMPUTED_VALUE"""),103.218588)</f>
        <v>103.218588</v>
      </c>
    </row>
    <row r="36">
      <c r="A36" s="3">
        <f>IFERROR(__xludf.DUMMYFUNCTION("""COMPUTED_VALUE"""),40227.99861111111)</f>
        <v>40227.99861</v>
      </c>
      <c r="B36" s="1">
        <f>IFERROR(__xludf.DUMMYFUNCTION("""COMPUTED_VALUE"""),103.262826)</f>
        <v>103.262826</v>
      </c>
    </row>
    <row r="37">
      <c r="A37" s="3">
        <f>IFERROR(__xludf.DUMMYFUNCTION("""COMPUTED_VALUE"""),40228.99861111111)</f>
        <v>40228.99861</v>
      </c>
      <c r="B37" s="1">
        <f>IFERROR(__xludf.DUMMYFUNCTION("""COMPUTED_VALUE"""),101.470824)</f>
        <v>101.470824</v>
      </c>
    </row>
    <row r="38">
      <c r="A38" s="3">
        <f>IFERROR(__xludf.DUMMYFUNCTION("""COMPUTED_VALUE"""),40231.99861111111)</f>
        <v>40231.99861</v>
      </c>
      <c r="B38" s="1">
        <f>IFERROR(__xludf.DUMMYFUNCTION("""COMPUTED_VALUE"""),101.727432)</f>
        <v>101.727432</v>
      </c>
    </row>
    <row r="39">
      <c r="A39" s="3">
        <f>IFERROR(__xludf.DUMMYFUNCTION("""COMPUTED_VALUE"""),40232.99861111111)</f>
        <v>40232.99861</v>
      </c>
      <c r="B39" s="1">
        <f>IFERROR(__xludf.DUMMYFUNCTION("""COMPUTED_VALUE"""),103.600562)</f>
        <v>103.600562</v>
      </c>
    </row>
    <row r="40">
      <c r="A40" s="3">
        <f>IFERROR(__xludf.DUMMYFUNCTION("""COMPUTED_VALUE"""),40233.99861111111)</f>
        <v>40233.99861</v>
      </c>
      <c r="B40" s="1">
        <f>IFERROR(__xludf.DUMMYFUNCTION("""COMPUTED_VALUE"""),103.529961)</f>
        <v>103.529961</v>
      </c>
    </row>
    <row r="41">
      <c r="A41" s="3">
        <f>IFERROR(__xludf.DUMMYFUNCTION("""COMPUTED_VALUE"""),40234.99861111111)</f>
        <v>40234.99861</v>
      </c>
      <c r="B41" s="1">
        <f>IFERROR(__xludf.DUMMYFUNCTION("""COMPUTED_VALUE"""),104.55424)</f>
        <v>104.55424</v>
      </c>
    </row>
    <row r="42">
      <c r="A42" s="3">
        <f>IFERROR(__xludf.DUMMYFUNCTION("""COMPUTED_VALUE"""),40235.99861111111)</f>
        <v>40235.99861</v>
      </c>
      <c r="B42" s="1">
        <f>IFERROR(__xludf.DUMMYFUNCTION("""COMPUTED_VALUE"""),104.9816)</f>
        <v>104.9816</v>
      </c>
    </row>
    <row r="43">
      <c r="A43" s="3">
        <f>IFERROR(__xludf.DUMMYFUNCTION("""COMPUTED_VALUE"""),40238.99861111111)</f>
        <v>40238.99861</v>
      </c>
      <c r="B43" s="1">
        <f>IFERROR(__xludf.DUMMYFUNCTION("""COMPUTED_VALUE"""),105.300822)</f>
        <v>105.300822</v>
      </c>
    </row>
    <row r="44">
      <c r="A44" s="3">
        <f>IFERROR(__xludf.DUMMYFUNCTION("""COMPUTED_VALUE"""),40239.99861111111)</f>
        <v>40239.99861</v>
      </c>
      <c r="B44" s="1">
        <f>IFERROR(__xludf.DUMMYFUNCTION("""COMPUTED_VALUE"""),103.416344)</f>
        <v>103.416344</v>
      </c>
    </row>
    <row r="45">
      <c r="A45" s="3">
        <f>IFERROR(__xludf.DUMMYFUNCTION("""COMPUTED_VALUE"""),40240.99861111111)</f>
        <v>40240.99861</v>
      </c>
      <c r="B45" s="1">
        <f>IFERROR(__xludf.DUMMYFUNCTION("""COMPUTED_VALUE"""),103.295597)</f>
        <v>103.295597</v>
      </c>
    </row>
    <row r="46">
      <c r="A46" s="3">
        <f>IFERROR(__xludf.DUMMYFUNCTION("""COMPUTED_VALUE"""),40241.99861111111)</f>
        <v>40241.99861</v>
      </c>
      <c r="B46" s="1">
        <f>IFERROR(__xludf.DUMMYFUNCTION("""COMPUTED_VALUE"""),104.576969)</f>
        <v>104.576969</v>
      </c>
    </row>
    <row r="47">
      <c r="A47" s="3">
        <f>IFERROR(__xludf.DUMMYFUNCTION("""COMPUTED_VALUE"""),40242.99861111111)</f>
        <v>40242.99861</v>
      </c>
      <c r="B47" s="1">
        <f>IFERROR(__xludf.DUMMYFUNCTION("""COMPUTED_VALUE"""),101.826288)</f>
        <v>101.826288</v>
      </c>
    </row>
    <row r="48">
      <c r="A48" s="3">
        <f>IFERROR(__xludf.DUMMYFUNCTION("""COMPUTED_VALUE"""),40245.99861111111)</f>
        <v>40245.99861</v>
      </c>
      <c r="B48" s="1">
        <f>IFERROR(__xludf.DUMMYFUNCTION("""COMPUTED_VALUE"""),101.6226)</f>
        <v>101.6226</v>
      </c>
    </row>
    <row r="49">
      <c r="A49" s="3">
        <f>IFERROR(__xludf.DUMMYFUNCTION("""COMPUTED_VALUE"""),40246.99861111111)</f>
        <v>40246.99861</v>
      </c>
      <c r="B49" s="1">
        <f>IFERROR(__xludf.DUMMYFUNCTION("""COMPUTED_VALUE"""),101.913141)</f>
        <v>101.913141</v>
      </c>
    </row>
    <row r="50">
      <c r="A50" s="3">
        <f>IFERROR(__xludf.DUMMYFUNCTION("""COMPUTED_VALUE"""),40247.99861111111)</f>
        <v>40247.99861</v>
      </c>
      <c r="B50" s="1">
        <f>IFERROR(__xludf.DUMMYFUNCTION("""COMPUTED_VALUE"""),101.327395)</f>
        <v>101.327395</v>
      </c>
    </row>
    <row r="51">
      <c r="A51" s="3">
        <f>IFERROR(__xludf.DUMMYFUNCTION("""COMPUTED_VALUE"""),40248.99861111111)</f>
        <v>40248.99861</v>
      </c>
      <c r="B51" s="1">
        <f>IFERROR(__xludf.DUMMYFUNCTION("""COMPUTED_VALUE"""),100.956487)</f>
        <v>100.956487</v>
      </c>
    </row>
    <row r="52">
      <c r="A52" s="3">
        <f>IFERROR(__xludf.DUMMYFUNCTION("""COMPUTED_VALUE"""),40249.99861111111)</f>
        <v>40249.99861</v>
      </c>
      <c r="B52" s="1">
        <f>IFERROR(__xludf.DUMMYFUNCTION("""COMPUTED_VALUE"""),100.957488)</f>
        <v>100.957488</v>
      </c>
    </row>
    <row r="53">
      <c r="A53" s="3">
        <f>IFERROR(__xludf.DUMMYFUNCTION("""COMPUTED_VALUE"""),40252.99861111111)</f>
        <v>40252.99861</v>
      </c>
      <c r="B53" s="1">
        <f>IFERROR(__xludf.DUMMYFUNCTION("""COMPUTED_VALUE"""),101.909313)</f>
        <v>101.909313</v>
      </c>
    </row>
    <row r="54">
      <c r="A54" s="3">
        <f>IFERROR(__xludf.DUMMYFUNCTION("""COMPUTED_VALUE"""),40253.99861111111)</f>
        <v>40253.99861</v>
      </c>
      <c r="B54" s="1">
        <f>IFERROR(__xludf.DUMMYFUNCTION("""COMPUTED_VALUE"""),101.310426)</f>
        <v>101.310426</v>
      </c>
    </row>
    <row r="55">
      <c r="A55" s="3">
        <f>IFERROR(__xludf.DUMMYFUNCTION("""COMPUTED_VALUE"""),40254.99861111111)</f>
        <v>40254.99861</v>
      </c>
      <c r="B55" s="1">
        <f>IFERROR(__xludf.DUMMYFUNCTION("""COMPUTED_VALUE"""),100.64047)</f>
        <v>100.64047</v>
      </c>
    </row>
    <row r="56">
      <c r="A56" s="3">
        <f>IFERROR(__xludf.DUMMYFUNCTION("""COMPUTED_VALUE"""),40255.99861111111)</f>
        <v>40255.99861</v>
      </c>
      <c r="B56" s="1">
        <f>IFERROR(__xludf.DUMMYFUNCTION("""COMPUTED_VALUE"""),100.779315)</f>
        <v>100.779315</v>
      </c>
    </row>
    <row r="57">
      <c r="A57" s="3">
        <f>IFERROR(__xludf.DUMMYFUNCTION("""COMPUTED_VALUE"""),40256.99861111111)</f>
        <v>40256.99861</v>
      </c>
      <c r="B57" s="1">
        <f>IFERROR(__xludf.DUMMYFUNCTION("""COMPUTED_VALUE"""),100.578816)</f>
        <v>100.578816</v>
      </c>
    </row>
    <row r="58">
      <c r="A58" s="3">
        <f>IFERROR(__xludf.DUMMYFUNCTION("""COMPUTED_VALUE"""),40259.99861111111)</f>
        <v>40259.99861</v>
      </c>
      <c r="B58" s="1">
        <f>IFERROR(__xludf.DUMMYFUNCTION("""COMPUTED_VALUE"""),100.816324)</f>
        <v>100.816324</v>
      </c>
    </row>
    <row r="59">
      <c r="A59" s="3">
        <f>IFERROR(__xludf.DUMMYFUNCTION("""COMPUTED_VALUE"""),40260.99861111111)</f>
        <v>40260.99861</v>
      </c>
      <c r="B59" s="1">
        <f>IFERROR(__xludf.DUMMYFUNCTION("""COMPUTED_VALUE"""),101.139276)</f>
        <v>101.139276</v>
      </c>
    </row>
    <row r="60">
      <c r="A60" s="3">
        <f>IFERROR(__xludf.DUMMYFUNCTION("""COMPUTED_VALUE"""),40261.99861111111)</f>
        <v>40261.99861</v>
      </c>
      <c r="B60" s="1">
        <f>IFERROR(__xludf.DUMMYFUNCTION("""COMPUTED_VALUE"""),99.076789)</f>
        <v>99.076789</v>
      </c>
    </row>
    <row r="61">
      <c r="A61" s="3">
        <f>IFERROR(__xludf.DUMMYFUNCTION("""COMPUTED_VALUE"""),40262.99861111111)</f>
        <v>40262.99861</v>
      </c>
      <c r="B61" s="1">
        <f>IFERROR(__xludf.DUMMYFUNCTION("""COMPUTED_VALUE"""),98.723406)</f>
        <v>98.723406</v>
      </c>
    </row>
    <row r="62">
      <c r="A62" s="3">
        <f>IFERROR(__xludf.DUMMYFUNCTION("""COMPUTED_VALUE"""),40263.99861111111)</f>
        <v>40263.99861</v>
      </c>
      <c r="B62" s="1">
        <f>IFERROR(__xludf.DUMMYFUNCTION("""COMPUTED_VALUE"""),98.510449)</f>
        <v>98.510449</v>
      </c>
    </row>
    <row r="63">
      <c r="A63" s="3">
        <f>IFERROR(__xludf.DUMMYFUNCTION("""COMPUTED_VALUE"""),40266.99861111111)</f>
        <v>40266.99861</v>
      </c>
      <c r="B63" s="1">
        <f>IFERROR(__xludf.DUMMYFUNCTION("""COMPUTED_VALUE"""),98.07913)</f>
        <v>98.07913</v>
      </c>
    </row>
    <row r="64">
      <c r="A64" s="3">
        <f>IFERROR(__xludf.DUMMYFUNCTION("""COMPUTED_VALUE"""),40267.99861111111)</f>
        <v>40267.99861</v>
      </c>
      <c r="B64" s="1">
        <f>IFERROR(__xludf.DUMMYFUNCTION("""COMPUTED_VALUE"""),97.742058)</f>
        <v>97.742058</v>
      </c>
    </row>
    <row r="65">
      <c r="A65" s="3">
        <f>IFERROR(__xludf.DUMMYFUNCTION("""COMPUTED_VALUE"""),40268.99861111111)</f>
        <v>40268.99861</v>
      </c>
      <c r="B65" s="1">
        <f>IFERROR(__xludf.DUMMYFUNCTION("""COMPUTED_VALUE"""),97.31107)</f>
        <v>97.31107</v>
      </c>
    </row>
    <row r="66">
      <c r="A66" s="3">
        <f>IFERROR(__xludf.DUMMYFUNCTION("""COMPUTED_VALUE"""),40269.99861111111)</f>
        <v>40269.99861</v>
      </c>
      <c r="B66" s="1">
        <f>IFERROR(__xludf.DUMMYFUNCTION("""COMPUTED_VALUE"""),96.29091)</f>
        <v>96.29091</v>
      </c>
    </row>
    <row r="67">
      <c r="A67" s="3">
        <f>IFERROR(__xludf.DUMMYFUNCTION("""COMPUTED_VALUE"""),40270.99861111111)</f>
        <v>40270.99861</v>
      </c>
      <c r="B67" s="1">
        <f>IFERROR(__xludf.DUMMYFUNCTION("""COMPUTED_VALUE"""),96.133093)</f>
        <v>96.133093</v>
      </c>
    </row>
    <row r="68">
      <c r="A68" s="3">
        <f>IFERROR(__xludf.DUMMYFUNCTION("""COMPUTED_VALUE"""),40273.99861111111)</f>
        <v>40273.99861</v>
      </c>
      <c r="B68" s="1">
        <f>IFERROR(__xludf.DUMMYFUNCTION("""COMPUTED_VALUE"""),95.95968)</f>
        <v>95.95968</v>
      </c>
    </row>
    <row r="69">
      <c r="A69" s="3">
        <f>IFERROR(__xludf.DUMMYFUNCTION("""COMPUTED_VALUE"""),40274.99861111111)</f>
        <v>40274.99861</v>
      </c>
      <c r="B69" s="1">
        <f>IFERROR(__xludf.DUMMYFUNCTION("""COMPUTED_VALUE"""),96.337618)</f>
        <v>96.337618</v>
      </c>
    </row>
    <row r="70">
      <c r="A70" s="3">
        <f>IFERROR(__xludf.DUMMYFUNCTION("""COMPUTED_VALUE"""),40275.99861111111)</f>
        <v>40275.99861</v>
      </c>
      <c r="B70" s="1">
        <f>IFERROR(__xludf.DUMMYFUNCTION("""COMPUTED_VALUE"""),97.06424)</f>
        <v>97.06424</v>
      </c>
    </row>
    <row r="71">
      <c r="A71" s="3">
        <f>IFERROR(__xludf.DUMMYFUNCTION("""COMPUTED_VALUE"""),40276.99861111111)</f>
        <v>40276.99861</v>
      </c>
      <c r="B71" s="1">
        <f>IFERROR(__xludf.DUMMYFUNCTION("""COMPUTED_VALUE"""),96.91739)</f>
        <v>96.91739</v>
      </c>
    </row>
    <row r="72">
      <c r="A72" s="3">
        <f>IFERROR(__xludf.DUMMYFUNCTION("""COMPUTED_VALUE"""),40277.99861111111)</f>
        <v>40277.99861</v>
      </c>
      <c r="B72" s="1">
        <f>IFERROR(__xludf.DUMMYFUNCTION("""COMPUTED_VALUE"""),96.493817)</f>
        <v>96.493817</v>
      </c>
    </row>
    <row r="73">
      <c r="A73" s="3">
        <f>IFERROR(__xludf.DUMMYFUNCTION("""COMPUTED_VALUE"""),40280.99861111111)</f>
        <v>40280.99861</v>
      </c>
      <c r="B73" s="1">
        <f>IFERROR(__xludf.DUMMYFUNCTION("""COMPUTED_VALUE"""),96.68803)</f>
        <v>96.68803</v>
      </c>
    </row>
    <row r="74">
      <c r="A74" s="3">
        <f>IFERROR(__xludf.DUMMYFUNCTION("""COMPUTED_VALUE"""),40281.99861111111)</f>
        <v>40281.99861</v>
      </c>
      <c r="B74" s="1">
        <f>IFERROR(__xludf.DUMMYFUNCTION("""COMPUTED_VALUE"""),96.671935)</f>
        <v>96.671935</v>
      </c>
    </row>
    <row r="75">
      <c r="A75" s="3">
        <f>IFERROR(__xludf.DUMMYFUNCTION("""COMPUTED_VALUE"""),40282.99861111111)</f>
        <v>40282.99861</v>
      </c>
      <c r="B75" s="1">
        <f>IFERROR(__xludf.DUMMYFUNCTION("""COMPUTED_VALUE"""),96.512094)</f>
        <v>96.512094</v>
      </c>
    </row>
    <row r="76">
      <c r="A76" s="3">
        <f>IFERROR(__xludf.DUMMYFUNCTION("""COMPUTED_VALUE"""),40283.99861111111)</f>
        <v>40283.99861</v>
      </c>
      <c r="B76" s="1">
        <f>IFERROR(__xludf.DUMMYFUNCTION("""COMPUTED_VALUE"""),96.671814)</f>
        <v>96.671814</v>
      </c>
    </row>
    <row r="77">
      <c r="A77" s="3">
        <f>IFERROR(__xludf.DUMMYFUNCTION("""COMPUTED_VALUE"""),40284.99861111111)</f>
        <v>40284.99861</v>
      </c>
      <c r="B77" s="1">
        <f>IFERROR(__xludf.DUMMYFUNCTION("""COMPUTED_VALUE"""),97.626124)</f>
        <v>97.626124</v>
      </c>
    </row>
    <row r="78">
      <c r="A78" s="3">
        <f>IFERROR(__xludf.DUMMYFUNCTION("""COMPUTED_VALUE"""),40287.99861111111)</f>
        <v>40287.99861</v>
      </c>
      <c r="B78" s="1">
        <f>IFERROR(__xludf.DUMMYFUNCTION("""COMPUTED_VALUE"""),97.467284)</f>
        <v>97.467284</v>
      </c>
    </row>
    <row r="79">
      <c r="A79" s="3">
        <f>IFERROR(__xludf.DUMMYFUNCTION("""COMPUTED_VALUE"""),40288.99861111111)</f>
        <v>40288.99861</v>
      </c>
      <c r="B79" s="1">
        <f>IFERROR(__xludf.DUMMYFUNCTION("""COMPUTED_VALUE"""),96.760994)</f>
        <v>96.760994</v>
      </c>
    </row>
    <row r="80">
      <c r="A80" s="3">
        <f>IFERROR(__xludf.DUMMYFUNCTION("""COMPUTED_VALUE"""),40289.99861111111)</f>
        <v>40289.99861</v>
      </c>
      <c r="B80" s="1">
        <f>IFERROR(__xludf.DUMMYFUNCTION("""COMPUTED_VALUE"""),96.910242)</f>
        <v>96.910242</v>
      </c>
    </row>
    <row r="81">
      <c r="A81" s="3">
        <f>IFERROR(__xludf.DUMMYFUNCTION("""COMPUTED_VALUE"""),40290.99861111111)</f>
        <v>40290.99861</v>
      </c>
      <c r="B81" s="1">
        <f>IFERROR(__xludf.DUMMYFUNCTION("""COMPUTED_VALUE"""),97.41601)</f>
        <v>97.41601</v>
      </c>
    </row>
    <row r="82">
      <c r="A82" s="3">
        <f>IFERROR(__xludf.DUMMYFUNCTION("""COMPUTED_VALUE"""),40291.99861111111)</f>
        <v>40291.99861</v>
      </c>
      <c r="B82" s="1">
        <f>IFERROR(__xludf.DUMMYFUNCTION("""COMPUTED_VALUE"""),95.80256)</f>
        <v>95.80256</v>
      </c>
    </row>
    <row r="83">
      <c r="A83" s="3">
        <f>IFERROR(__xludf.DUMMYFUNCTION("""COMPUTED_VALUE"""),40294.99861111111)</f>
        <v>40294.99861</v>
      </c>
      <c r="B83" s="1">
        <f>IFERROR(__xludf.DUMMYFUNCTION("""COMPUTED_VALUE"""),95.444235)</f>
        <v>95.444235</v>
      </c>
    </row>
    <row r="84">
      <c r="A84" s="3">
        <f>IFERROR(__xludf.DUMMYFUNCTION("""COMPUTED_VALUE"""),40295.99861111111)</f>
        <v>40295.99861</v>
      </c>
      <c r="B84" s="1">
        <f>IFERROR(__xludf.DUMMYFUNCTION("""COMPUTED_VALUE"""),97.601153)</f>
        <v>97.601153</v>
      </c>
    </row>
    <row r="85">
      <c r="A85" s="3">
        <f>IFERROR(__xludf.DUMMYFUNCTION("""COMPUTED_VALUE"""),40296.99861111111)</f>
        <v>40296.99861</v>
      </c>
      <c r="B85" s="1">
        <f>IFERROR(__xludf.DUMMYFUNCTION("""COMPUTED_VALUE"""),95.998336)</f>
        <v>95.998336</v>
      </c>
    </row>
    <row r="86">
      <c r="A86" s="3">
        <f>IFERROR(__xludf.DUMMYFUNCTION("""COMPUTED_VALUE"""),40297.99861111111)</f>
        <v>40297.99861</v>
      </c>
      <c r="B86" s="1">
        <f>IFERROR(__xludf.DUMMYFUNCTION("""COMPUTED_VALUE"""),95.696575)</f>
        <v>95.696575</v>
      </c>
    </row>
    <row r="87">
      <c r="A87" s="3">
        <f>IFERROR(__xludf.DUMMYFUNCTION("""COMPUTED_VALUE"""),40298.99861111111)</f>
        <v>40298.99861</v>
      </c>
      <c r="B87" s="1">
        <f>IFERROR(__xludf.DUMMYFUNCTION("""COMPUTED_VALUE"""),96.155655)</f>
        <v>96.155655</v>
      </c>
    </row>
    <row r="88">
      <c r="A88" s="3">
        <f>IFERROR(__xludf.DUMMYFUNCTION("""COMPUTED_VALUE"""),40301.99861111111)</f>
        <v>40301.99861</v>
      </c>
      <c r="B88" s="1">
        <f>IFERROR(__xludf.DUMMYFUNCTION("""COMPUTED_VALUE"""),95.262816)</f>
        <v>95.262816</v>
      </c>
    </row>
    <row r="89">
      <c r="A89" s="3">
        <f>IFERROR(__xludf.DUMMYFUNCTION("""COMPUTED_VALUE"""),40302.99861111111)</f>
        <v>40302.99861</v>
      </c>
      <c r="B89" s="1">
        <f>IFERROR(__xludf.DUMMYFUNCTION("""COMPUTED_VALUE"""),95.776032)</f>
        <v>95.776032</v>
      </c>
    </row>
    <row r="90">
      <c r="A90" s="3">
        <f>IFERROR(__xludf.DUMMYFUNCTION("""COMPUTED_VALUE"""),40303.99861111111)</f>
        <v>40303.99861</v>
      </c>
      <c r="B90" s="1">
        <f>IFERROR(__xludf.DUMMYFUNCTION("""COMPUTED_VALUE"""),97.18189)</f>
        <v>97.18189</v>
      </c>
    </row>
    <row r="91">
      <c r="A91" s="3">
        <f>IFERROR(__xludf.DUMMYFUNCTION("""COMPUTED_VALUE"""),40304.99861111111)</f>
        <v>40304.99861</v>
      </c>
      <c r="B91" s="1">
        <f>IFERROR(__xludf.DUMMYFUNCTION("""COMPUTED_VALUE"""),102.100134)</f>
        <v>102.100134</v>
      </c>
    </row>
    <row r="92">
      <c r="A92" s="3">
        <f>IFERROR(__xludf.DUMMYFUNCTION("""COMPUTED_VALUE"""),40305.99861111111)</f>
        <v>40305.99861</v>
      </c>
      <c r="B92" s="1">
        <f>IFERROR(__xludf.DUMMYFUNCTION("""COMPUTED_VALUE"""),100.593473)</f>
        <v>100.593473</v>
      </c>
    </row>
    <row r="93">
      <c r="A93" s="3">
        <f>IFERROR(__xludf.DUMMYFUNCTION("""COMPUTED_VALUE"""),40308.99861111111)</f>
        <v>40308.99861</v>
      </c>
      <c r="B93" s="1">
        <f>IFERROR(__xludf.DUMMYFUNCTION("""COMPUTED_VALUE"""),98.750336)</f>
        <v>98.750336</v>
      </c>
    </row>
    <row r="94">
      <c r="A94" s="3">
        <f>IFERROR(__xludf.DUMMYFUNCTION("""COMPUTED_VALUE"""),40309.99861111111)</f>
        <v>40309.99861</v>
      </c>
      <c r="B94" s="1">
        <f>IFERROR(__xludf.DUMMYFUNCTION("""COMPUTED_VALUE"""),99.308227)</f>
        <v>99.308227</v>
      </c>
    </row>
    <row r="95">
      <c r="A95" s="3">
        <f>IFERROR(__xludf.DUMMYFUNCTION("""COMPUTED_VALUE"""),40310.99861111111)</f>
        <v>40310.99861</v>
      </c>
      <c r="B95" s="1">
        <f>IFERROR(__xludf.DUMMYFUNCTION("""COMPUTED_VALUE"""),98.49067)</f>
        <v>98.49067</v>
      </c>
    </row>
    <row r="96">
      <c r="A96" s="3">
        <f>IFERROR(__xludf.DUMMYFUNCTION("""COMPUTED_VALUE"""),40311.99861111111)</f>
        <v>40311.99861</v>
      </c>
      <c r="B96" s="1">
        <f>IFERROR(__xludf.DUMMYFUNCTION("""COMPUTED_VALUE"""),98.137886)</f>
        <v>98.137886</v>
      </c>
    </row>
    <row r="97">
      <c r="A97" s="3">
        <f>IFERROR(__xludf.DUMMYFUNCTION("""COMPUTED_VALUE"""),40312.99861111111)</f>
        <v>40312.99861</v>
      </c>
      <c r="B97" s="1">
        <f>IFERROR(__xludf.DUMMYFUNCTION("""COMPUTED_VALUE"""),98.416402)</f>
        <v>98.416402</v>
      </c>
    </row>
    <row r="98">
      <c r="A98" s="3">
        <f>IFERROR(__xludf.DUMMYFUNCTION("""COMPUTED_VALUE"""),40315.99861111111)</f>
        <v>40315.99861</v>
      </c>
      <c r="B98" s="1">
        <f>IFERROR(__xludf.DUMMYFUNCTION("""COMPUTED_VALUE"""),98.05104)</f>
        <v>98.05104</v>
      </c>
    </row>
    <row r="99">
      <c r="A99" s="3">
        <f>IFERROR(__xludf.DUMMYFUNCTION("""COMPUTED_VALUE"""),40316.99861111111)</f>
        <v>40316.99861</v>
      </c>
      <c r="B99" s="1">
        <f>IFERROR(__xludf.DUMMYFUNCTION("""COMPUTED_VALUE"""),101.00448)</f>
        <v>101.00448</v>
      </c>
    </row>
    <row r="100">
      <c r="A100" s="3">
        <f>IFERROR(__xludf.DUMMYFUNCTION("""COMPUTED_VALUE"""),40317.99861111111)</f>
        <v>40317.99861</v>
      </c>
      <c r="B100" s="1">
        <f>IFERROR(__xludf.DUMMYFUNCTION("""COMPUTED_VALUE"""),99.632988)</f>
        <v>99.632988</v>
      </c>
    </row>
    <row r="101">
      <c r="A101" s="3">
        <f>IFERROR(__xludf.DUMMYFUNCTION("""COMPUTED_VALUE"""),40318.99861111111)</f>
        <v>40318.99861</v>
      </c>
      <c r="B101" s="1">
        <f>IFERROR(__xludf.DUMMYFUNCTION("""COMPUTED_VALUE"""),101.973898)</f>
        <v>101.973898</v>
      </c>
    </row>
    <row r="102">
      <c r="A102" s="3">
        <f>IFERROR(__xludf.DUMMYFUNCTION("""COMPUTED_VALUE"""),40319.99861111111)</f>
        <v>40319.99861</v>
      </c>
      <c r="B102" s="1">
        <f>IFERROR(__xludf.DUMMYFUNCTION("""COMPUTED_VALUE"""),102.79266)</f>
        <v>102.79266</v>
      </c>
    </row>
    <row r="103">
      <c r="A103" s="3">
        <f>IFERROR(__xludf.DUMMYFUNCTION("""COMPUTED_VALUE"""),40322.99861111111)</f>
        <v>40322.99861</v>
      </c>
      <c r="B103" s="1">
        <f>IFERROR(__xludf.DUMMYFUNCTION("""COMPUTED_VALUE"""),102.848992)</f>
        <v>102.848992</v>
      </c>
    </row>
    <row r="104">
      <c r="A104" s="3">
        <f>IFERROR(__xludf.DUMMYFUNCTION("""COMPUTED_VALUE"""),40323.99861111111)</f>
        <v>40323.99861</v>
      </c>
      <c r="B104" s="1">
        <f>IFERROR(__xludf.DUMMYFUNCTION("""COMPUTED_VALUE"""),102.772773)</f>
        <v>102.772773</v>
      </c>
    </row>
    <row r="105">
      <c r="A105" s="3">
        <f>IFERROR(__xludf.DUMMYFUNCTION("""COMPUTED_VALUE"""),40324.99861111111)</f>
        <v>40324.99861</v>
      </c>
      <c r="B105" s="1">
        <f>IFERROR(__xludf.DUMMYFUNCTION("""COMPUTED_VALUE"""),104.169582)</f>
        <v>104.169582</v>
      </c>
    </row>
    <row r="106">
      <c r="A106" s="3">
        <f>IFERROR(__xludf.DUMMYFUNCTION("""COMPUTED_VALUE"""),40325.99861111111)</f>
        <v>40325.99861</v>
      </c>
      <c r="B106" s="1">
        <f>IFERROR(__xludf.DUMMYFUNCTION("""COMPUTED_VALUE"""),101.365)</f>
        <v>101.365</v>
      </c>
    </row>
    <row r="107">
      <c r="A107" s="3">
        <f>IFERROR(__xludf.DUMMYFUNCTION("""COMPUTED_VALUE"""),40326.99861111111)</f>
        <v>40326.99861</v>
      </c>
      <c r="B107" s="1">
        <f>IFERROR(__xludf.DUMMYFUNCTION("""COMPUTED_VALUE"""),102.065688)</f>
        <v>102.065688</v>
      </c>
    </row>
    <row r="108">
      <c r="A108" s="3">
        <f>IFERROR(__xludf.DUMMYFUNCTION("""COMPUTED_VALUE"""),40329.99861111111)</f>
        <v>40329.99861</v>
      </c>
      <c r="B108" s="1">
        <f>IFERROR(__xludf.DUMMYFUNCTION("""COMPUTED_VALUE"""),101.759216)</f>
        <v>101.759216</v>
      </c>
    </row>
    <row r="109">
      <c r="A109" s="3">
        <f>IFERROR(__xludf.DUMMYFUNCTION("""COMPUTED_VALUE"""),40330.99861111111)</f>
        <v>40330.99861</v>
      </c>
      <c r="B109" s="1">
        <f>IFERROR(__xludf.DUMMYFUNCTION("""COMPUTED_VALUE"""),101.418747)</f>
        <v>101.418747</v>
      </c>
    </row>
    <row r="110">
      <c r="A110" s="3">
        <f>IFERROR(__xludf.DUMMYFUNCTION("""COMPUTED_VALUE"""),40331.99861111111)</f>
        <v>40331.99861</v>
      </c>
      <c r="B110" s="1">
        <f>IFERROR(__xludf.DUMMYFUNCTION("""COMPUTED_VALUE"""),100.184364)</f>
        <v>100.184364</v>
      </c>
    </row>
    <row r="111">
      <c r="A111" s="3">
        <f>IFERROR(__xludf.DUMMYFUNCTION("""COMPUTED_VALUE"""),40332.99861111111)</f>
        <v>40332.99861</v>
      </c>
      <c r="B111" s="1">
        <f>IFERROR(__xludf.DUMMYFUNCTION("""COMPUTED_VALUE"""),99.765)</f>
        <v>99.765</v>
      </c>
    </row>
    <row r="112">
      <c r="A112" s="3">
        <f>IFERROR(__xludf.DUMMYFUNCTION("""COMPUTED_VALUE"""),40333.99861111111)</f>
        <v>40333.99861</v>
      </c>
      <c r="B112" s="1">
        <f>IFERROR(__xludf.DUMMYFUNCTION("""COMPUTED_VALUE"""),100.995776)</f>
        <v>100.995776</v>
      </c>
    </row>
    <row r="113">
      <c r="A113" s="3">
        <f>IFERROR(__xludf.DUMMYFUNCTION("""COMPUTED_VALUE"""),40336.99861111111)</f>
        <v>40336.99861</v>
      </c>
      <c r="B113" s="1">
        <f>IFERROR(__xludf.DUMMYFUNCTION("""COMPUTED_VALUE"""),101.753652)</f>
        <v>101.753652</v>
      </c>
    </row>
    <row r="114">
      <c r="A114" s="3">
        <f>IFERROR(__xludf.DUMMYFUNCTION("""COMPUTED_VALUE"""),40337.99861111111)</f>
        <v>40337.99861</v>
      </c>
      <c r="B114" s="1">
        <f>IFERROR(__xludf.DUMMYFUNCTION("""COMPUTED_VALUE"""),100.903996)</f>
        <v>100.903996</v>
      </c>
    </row>
    <row r="115">
      <c r="A115" s="3">
        <f>IFERROR(__xludf.DUMMYFUNCTION("""COMPUTED_VALUE"""),40338.99861111111)</f>
        <v>40338.99861</v>
      </c>
      <c r="B115" s="1">
        <f>IFERROR(__xludf.DUMMYFUNCTION("""COMPUTED_VALUE"""),101.536328)</f>
        <v>101.536328</v>
      </c>
    </row>
    <row r="116">
      <c r="A116" s="3">
        <f>IFERROR(__xludf.DUMMYFUNCTION("""COMPUTED_VALUE"""),40339.99861111111)</f>
        <v>40339.99861</v>
      </c>
      <c r="B116" s="1">
        <f>IFERROR(__xludf.DUMMYFUNCTION("""COMPUTED_VALUE"""),100.66773)</f>
        <v>100.66773</v>
      </c>
    </row>
    <row r="117">
      <c r="A117" s="3">
        <f>IFERROR(__xludf.DUMMYFUNCTION("""COMPUTED_VALUE"""),40340.99861111111)</f>
        <v>40340.99861</v>
      </c>
      <c r="B117" s="1">
        <f>IFERROR(__xludf.DUMMYFUNCTION("""COMPUTED_VALUE"""),100.334906)</f>
        <v>100.334906</v>
      </c>
    </row>
    <row r="118">
      <c r="A118" s="3">
        <f>IFERROR(__xludf.DUMMYFUNCTION("""COMPUTED_VALUE"""),40343.99861111111)</f>
        <v>40343.99861</v>
      </c>
      <c r="B118" s="1">
        <f>IFERROR(__xludf.DUMMYFUNCTION("""COMPUTED_VALUE"""),100.428732)</f>
        <v>100.428732</v>
      </c>
    </row>
    <row r="119">
      <c r="A119" s="3">
        <f>IFERROR(__xludf.DUMMYFUNCTION("""COMPUTED_VALUE"""),40344.99861111111)</f>
        <v>40344.99861</v>
      </c>
      <c r="B119" s="1">
        <f>IFERROR(__xludf.DUMMYFUNCTION("""COMPUTED_VALUE"""),99.91113)</f>
        <v>99.91113</v>
      </c>
    </row>
    <row r="120">
      <c r="A120" s="3">
        <f>IFERROR(__xludf.DUMMYFUNCTION("""COMPUTED_VALUE"""),40345.99861111111)</f>
        <v>40345.99861</v>
      </c>
      <c r="B120" s="1">
        <f>IFERROR(__xludf.DUMMYFUNCTION("""COMPUTED_VALUE"""),100.246502)</f>
        <v>100.246502</v>
      </c>
    </row>
    <row r="121">
      <c r="A121" s="3">
        <f>IFERROR(__xludf.DUMMYFUNCTION("""COMPUTED_VALUE"""),40346.99861111111)</f>
        <v>40346.99861</v>
      </c>
      <c r="B121" s="1">
        <f>IFERROR(__xludf.DUMMYFUNCTION("""COMPUTED_VALUE"""),100.5719)</f>
        <v>100.5719</v>
      </c>
    </row>
    <row r="122">
      <c r="A122" s="3">
        <f>IFERROR(__xludf.DUMMYFUNCTION("""COMPUTED_VALUE"""),40347.99861111111)</f>
        <v>40347.99861</v>
      </c>
      <c r="B122" s="1">
        <f>IFERROR(__xludf.DUMMYFUNCTION("""COMPUTED_VALUE"""),99.96793)</f>
        <v>99.96793</v>
      </c>
    </row>
    <row r="123">
      <c r="A123" s="3">
        <f>IFERROR(__xludf.DUMMYFUNCTION("""COMPUTED_VALUE"""),40350.99861111111)</f>
        <v>40350.99861</v>
      </c>
      <c r="B123" s="1">
        <f>IFERROR(__xludf.DUMMYFUNCTION("""COMPUTED_VALUE"""),98.886921)</f>
        <v>98.886921</v>
      </c>
    </row>
    <row r="124">
      <c r="A124" s="3">
        <f>IFERROR(__xludf.DUMMYFUNCTION("""COMPUTED_VALUE"""),40351.99861111111)</f>
        <v>40351.99861</v>
      </c>
      <c r="B124" s="1">
        <f>IFERROR(__xludf.DUMMYFUNCTION("""COMPUTED_VALUE"""),99.49248)</f>
        <v>99.49248</v>
      </c>
    </row>
    <row r="125">
      <c r="A125" s="3">
        <f>IFERROR(__xludf.DUMMYFUNCTION("""COMPUTED_VALUE"""),40352.99861111111)</f>
        <v>40352.99861</v>
      </c>
      <c r="B125" s="1">
        <f>IFERROR(__xludf.DUMMYFUNCTION("""COMPUTED_VALUE"""),99.85204)</f>
        <v>99.85204</v>
      </c>
    </row>
    <row r="126">
      <c r="A126" s="3">
        <f>IFERROR(__xludf.DUMMYFUNCTION("""COMPUTED_VALUE"""),40353.99861111111)</f>
        <v>40353.99861</v>
      </c>
      <c r="B126" s="1">
        <f>IFERROR(__xludf.DUMMYFUNCTION("""COMPUTED_VALUE"""),101.080325)</f>
        <v>101.080325</v>
      </c>
    </row>
    <row r="127">
      <c r="A127" s="3">
        <f>IFERROR(__xludf.DUMMYFUNCTION("""COMPUTED_VALUE"""),40354.99861111111)</f>
        <v>40354.99861</v>
      </c>
      <c r="B127" s="1">
        <f>IFERROR(__xludf.DUMMYFUNCTION("""COMPUTED_VALUE"""),101.53472)</f>
        <v>101.53472</v>
      </c>
    </row>
    <row r="128">
      <c r="A128" s="3">
        <f>IFERROR(__xludf.DUMMYFUNCTION("""COMPUTED_VALUE"""),40357.99861111111)</f>
        <v>40357.99861</v>
      </c>
      <c r="B128" s="1">
        <f>IFERROR(__xludf.DUMMYFUNCTION("""COMPUTED_VALUE"""),101.371329)</f>
        <v>101.371329</v>
      </c>
    </row>
    <row r="129">
      <c r="A129" s="3">
        <f>IFERROR(__xludf.DUMMYFUNCTION("""COMPUTED_VALUE"""),40358.99861111111)</f>
        <v>40358.99861</v>
      </c>
      <c r="B129" s="1">
        <f>IFERROR(__xludf.DUMMYFUNCTION("""COMPUTED_VALUE"""),102.389688)</f>
        <v>102.389688</v>
      </c>
    </row>
    <row r="130">
      <c r="A130" s="3">
        <f>IFERROR(__xludf.DUMMYFUNCTION("""COMPUTED_VALUE"""),40359.99861111111)</f>
        <v>40359.99861</v>
      </c>
      <c r="B130" s="1">
        <f>IFERROR(__xludf.DUMMYFUNCTION("""COMPUTED_VALUE"""),102.20624)</f>
        <v>102.20624</v>
      </c>
    </row>
    <row r="131">
      <c r="A131" s="3">
        <f>IFERROR(__xludf.DUMMYFUNCTION("""COMPUTED_VALUE"""),40360.99861111111)</f>
        <v>40360.99861</v>
      </c>
      <c r="B131" s="1">
        <f>IFERROR(__xludf.DUMMYFUNCTION("""COMPUTED_VALUE"""),103.097337)</f>
        <v>103.097337</v>
      </c>
    </row>
    <row r="132">
      <c r="A132" s="3">
        <f>IFERROR(__xludf.DUMMYFUNCTION("""COMPUTED_VALUE"""),40361.99861111111)</f>
        <v>40361.99861</v>
      </c>
      <c r="B132" s="1">
        <f>IFERROR(__xludf.DUMMYFUNCTION("""COMPUTED_VALUE"""),103.224153)</f>
        <v>103.224153</v>
      </c>
    </row>
    <row r="133">
      <c r="A133" s="3">
        <f>IFERROR(__xludf.DUMMYFUNCTION("""COMPUTED_VALUE"""),40364.99861111111)</f>
        <v>40364.99861</v>
      </c>
      <c r="B133" s="1">
        <f>IFERROR(__xludf.DUMMYFUNCTION("""COMPUTED_VALUE"""),103.660991)</f>
        <v>103.660991</v>
      </c>
    </row>
    <row r="134">
      <c r="A134" s="3">
        <f>IFERROR(__xludf.DUMMYFUNCTION("""COMPUTED_VALUE"""),40365.99861111111)</f>
        <v>40365.99861</v>
      </c>
      <c r="B134" s="1">
        <f>IFERROR(__xludf.DUMMYFUNCTION("""COMPUTED_VALUE"""),103.139748)</f>
        <v>103.139748</v>
      </c>
    </row>
    <row r="135">
      <c r="A135" s="3">
        <f>IFERROR(__xludf.DUMMYFUNCTION("""COMPUTED_VALUE"""),40366.99861111111)</f>
        <v>40366.99861</v>
      </c>
      <c r="B135" s="1">
        <f>IFERROR(__xludf.DUMMYFUNCTION("""COMPUTED_VALUE"""),103.28742)</f>
        <v>103.28742</v>
      </c>
    </row>
    <row r="136">
      <c r="A136" s="3">
        <f>IFERROR(__xludf.DUMMYFUNCTION("""COMPUTED_VALUE"""),40367.99861111111)</f>
        <v>40367.99861</v>
      </c>
      <c r="B136" s="1">
        <f>IFERROR(__xludf.DUMMYFUNCTION("""COMPUTED_VALUE"""),102.297819)</f>
        <v>102.297819</v>
      </c>
    </row>
    <row r="137">
      <c r="A137" s="3">
        <f>IFERROR(__xludf.DUMMYFUNCTION("""COMPUTED_VALUE"""),40368.99861111111)</f>
        <v>40368.99861</v>
      </c>
      <c r="B137" s="1">
        <f>IFERROR(__xludf.DUMMYFUNCTION("""COMPUTED_VALUE"""),101.994989)</f>
        <v>101.994989</v>
      </c>
    </row>
    <row r="138">
      <c r="A138" s="3">
        <f>IFERROR(__xludf.DUMMYFUNCTION("""COMPUTED_VALUE"""),40371.99861111111)</f>
        <v>40371.99861</v>
      </c>
      <c r="B138" s="1">
        <f>IFERROR(__xludf.DUMMYFUNCTION("""COMPUTED_VALUE"""),102.333288)</f>
        <v>102.333288</v>
      </c>
    </row>
    <row r="139">
      <c r="A139" s="3">
        <f>IFERROR(__xludf.DUMMYFUNCTION("""COMPUTED_VALUE"""),40372.99861111111)</f>
        <v>40372.99861</v>
      </c>
      <c r="B139" s="1">
        <f>IFERROR(__xludf.DUMMYFUNCTION("""COMPUTED_VALUE"""),101.091154)</f>
        <v>101.091154</v>
      </c>
    </row>
    <row r="140">
      <c r="A140" s="3">
        <f>IFERROR(__xludf.DUMMYFUNCTION("""COMPUTED_VALUE"""),40373.99861111111)</f>
        <v>40373.99861</v>
      </c>
      <c r="B140" s="1">
        <f>IFERROR(__xludf.DUMMYFUNCTION("""COMPUTED_VALUE"""),102.092816)</f>
        <v>102.092816</v>
      </c>
    </row>
    <row r="141">
      <c r="A141" s="3">
        <f>IFERROR(__xludf.DUMMYFUNCTION("""COMPUTED_VALUE"""),40374.99861111111)</f>
        <v>40374.99861</v>
      </c>
      <c r="B141" s="1">
        <f>IFERROR(__xludf.DUMMYFUNCTION("""COMPUTED_VALUE"""),103.387856)</f>
        <v>103.387856</v>
      </c>
    </row>
    <row r="142">
      <c r="A142" s="3">
        <f>IFERROR(__xludf.DUMMYFUNCTION("""COMPUTED_VALUE"""),40375.99861111111)</f>
        <v>40375.99861</v>
      </c>
      <c r="B142" s="1">
        <f>IFERROR(__xludf.DUMMYFUNCTION("""COMPUTED_VALUE"""),104.3427)</f>
        <v>104.3427</v>
      </c>
    </row>
    <row r="143">
      <c r="A143" s="3">
        <f>IFERROR(__xludf.DUMMYFUNCTION("""COMPUTED_VALUE"""),40378.99861111111)</f>
        <v>40378.99861</v>
      </c>
      <c r="B143" s="1">
        <f>IFERROR(__xludf.DUMMYFUNCTION("""COMPUTED_VALUE"""),104.59584)</f>
        <v>104.59584</v>
      </c>
    </row>
    <row r="144">
      <c r="A144" s="3">
        <f>IFERROR(__xludf.DUMMYFUNCTION("""COMPUTED_VALUE"""),40379.99861111111)</f>
        <v>40379.99861</v>
      </c>
      <c r="B144" s="1">
        <f>IFERROR(__xludf.DUMMYFUNCTION("""COMPUTED_VALUE"""),103.572042)</f>
        <v>103.572042</v>
      </c>
    </row>
    <row r="145">
      <c r="A145" s="3">
        <f>IFERROR(__xludf.DUMMYFUNCTION("""COMPUTED_VALUE"""),40380.99861111111)</f>
        <v>40380.99861</v>
      </c>
      <c r="B145" s="1">
        <f>IFERROR(__xludf.DUMMYFUNCTION("""COMPUTED_VALUE"""),104.632806)</f>
        <v>104.632806</v>
      </c>
    </row>
    <row r="146">
      <c r="A146" s="3">
        <f>IFERROR(__xludf.DUMMYFUNCTION("""COMPUTED_VALUE"""),40381.99861111111)</f>
        <v>40381.99861</v>
      </c>
      <c r="B146" s="1">
        <f>IFERROR(__xludf.DUMMYFUNCTION("""COMPUTED_VALUE"""),103.178385)</f>
        <v>103.178385</v>
      </c>
    </row>
    <row r="147">
      <c r="A147" s="3">
        <f>IFERROR(__xludf.DUMMYFUNCTION("""COMPUTED_VALUE"""),40382.99861111111)</f>
        <v>40382.99861</v>
      </c>
      <c r="B147" s="1">
        <f>IFERROR(__xludf.DUMMYFUNCTION("""COMPUTED_VALUE"""),102.612825)</f>
        <v>102.612825</v>
      </c>
    </row>
    <row r="148">
      <c r="A148" s="3">
        <f>IFERROR(__xludf.DUMMYFUNCTION("""COMPUTED_VALUE"""),40385.99861111111)</f>
        <v>40385.99861</v>
      </c>
      <c r="B148" s="1">
        <f>IFERROR(__xludf.DUMMYFUNCTION("""COMPUTED_VALUE"""),102.457479)</f>
        <v>102.457479</v>
      </c>
    </row>
    <row r="149">
      <c r="A149" s="3">
        <f>IFERROR(__xludf.DUMMYFUNCTION("""COMPUTED_VALUE"""),40386.99861111111)</f>
        <v>40386.99861</v>
      </c>
      <c r="B149" s="1">
        <f>IFERROR(__xludf.DUMMYFUNCTION("""COMPUTED_VALUE"""),101.531222)</f>
        <v>101.531222</v>
      </c>
    </row>
    <row r="150">
      <c r="A150" s="3">
        <f>IFERROR(__xludf.DUMMYFUNCTION("""COMPUTED_VALUE"""),40387.99861111111)</f>
        <v>40387.99861</v>
      </c>
      <c r="B150" s="1">
        <f>IFERROR(__xludf.DUMMYFUNCTION("""COMPUTED_VALUE"""),103.15575)</f>
        <v>103.15575</v>
      </c>
    </row>
    <row r="151">
      <c r="A151" s="3">
        <f>IFERROR(__xludf.DUMMYFUNCTION("""COMPUTED_VALUE"""),40388.99861111111)</f>
        <v>40388.99861</v>
      </c>
      <c r="B151" s="1">
        <f>IFERROR(__xludf.DUMMYFUNCTION("""COMPUTED_VALUE"""),103.431018)</f>
        <v>103.431018</v>
      </c>
    </row>
    <row r="152">
      <c r="A152" s="3">
        <f>IFERROR(__xludf.DUMMYFUNCTION("""COMPUTED_VALUE"""),40389.99861111111)</f>
        <v>40389.99861</v>
      </c>
      <c r="B152" s="1">
        <f>IFERROR(__xludf.DUMMYFUNCTION("""COMPUTED_VALUE"""),103.246052)</f>
        <v>103.246052</v>
      </c>
    </row>
    <row r="153">
      <c r="A153" s="3">
        <f>IFERROR(__xludf.DUMMYFUNCTION("""COMPUTED_VALUE"""),40392.99861111111)</f>
        <v>40392.99861</v>
      </c>
      <c r="B153" s="1">
        <f>IFERROR(__xludf.DUMMYFUNCTION("""COMPUTED_VALUE"""),101.918972)</f>
        <v>101.918972</v>
      </c>
    </row>
    <row r="154">
      <c r="A154" s="3">
        <f>IFERROR(__xludf.DUMMYFUNCTION("""COMPUTED_VALUE"""),40393.99861111111)</f>
        <v>40393.99861</v>
      </c>
      <c r="B154" s="1">
        <f>IFERROR(__xludf.DUMMYFUNCTION("""COMPUTED_VALUE"""),102.500195)</f>
        <v>102.500195</v>
      </c>
    </row>
    <row r="155">
      <c r="A155" s="3">
        <f>IFERROR(__xludf.DUMMYFUNCTION("""COMPUTED_VALUE"""),40394.99861111111)</f>
        <v>40394.99861</v>
      </c>
      <c r="B155" s="1">
        <f>IFERROR(__xludf.DUMMYFUNCTION("""COMPUTED_VALUE"""),103.55994)</f>
        <v>103.55994</v>
      </c>
    </row>
    <row r="156">
      <c r="A156" s="3">
        <f>IFERROR(__xludf.DUMMYFUNCTION("""COMPUTED_VALUE"""),40395.99861111111)</f>
        <v>40395.99861</v>
      </c>
      <c r="B156" s="1">
        <f>IFERROR(__xludf.DUMMYFUNCTION("""COMPUTED_VALUE"""),104.00421)</f>
        <v>104.00421</v>
      </c>
    </row>
    <row r="157">
      <c r="A157" s="3">
        <f>IFERROR(__xludf.DUMMYFUNCTION("""COMPUTED_VALUE"""),40396.99861111111)</f>
        <v>40396.99861</v>
      </c>
      <c r="B157" s="1">
        <f>IFERROR(__xludf.DUMMYFUNCTION("""COMPUTED_VALUE"""),103.63185)</f>
        <v>103.63185</v>
      </c>
    </row>
    <row r="158">
      <c r="A158" s="3">
        <f>IFERROR(__xludf.DUMMYFUNCTION("""COMPUTED_VALUE"""),40399.99861111111)</f>
        <v>40399.99861</v>
      </c>
      <c r="B158" s="1">
        <f>IFERROR(__xludf.DUMMYFUNCTION("""COMPUTED_VALUE"""),104.018532)</f>
        <v>104.018532</v>
      </c>
    </row>
    <row r="159">
      <c r="A159" s="3">
        <f>IFERROR(__xludf.DUMMYFUNCTION("""COMPUTED_VALUE"""),40400.99861111111)</f>
        <v>40400.99861</v>
      </c>
      <c r="B159" s="1">
        <f>IFERROR(__xludf.DUMMYFUNCTION("""COMPUTED_VALUE"""),104.000023)</f>
        <v>104.000023</v>
      </c>
    </row>
    <row r="160">
      <c r="A160" s="3">
        <f>IFERROR(__xludf.DUMMYFUNCTION("""COMPUTED_VALUE"""),40401.99861111111)</f>
        <v>40401.99861</v>
      </c>
      <c r="B160" s="1">
        <f>IFERROR(__xludf.DUMMYFUNCTION("""COMPUTED_VALUE"""),105.735136)</f>
        <v>105.735136</v>
      </c>
    </row>
    <row r="161">
      <c r="A161" s="3">
        <f>IFERROR(__xludf.DUMMYFUNCTION("""COMPUTED_VALUE"""),40402.99861111111)</f>
        <v>40402.99861</v>
      </c>
      <c r="B161" s="1">
        <f>IFERROR(__xludf.DUMMYFUNCTION("""COMPUTED_VALUE"""),104.879796)</f>
        <v>104.879796</v>
      </c>
    </row>
    <row r="162">
      <c r="A162" s="3">
        <f>IFERROR(__xludf.DUMMYFUNCTION("""COMPUTED_VALUE"""),40403.99861111111)</f>
        <v>40403.99861</v>
      </c>
      <c r="B162" s="1">
        <f>IFERROR(__xludf.DUMMYFUNCTION("""COMPUTED_VALUE"""),103.937961)</f>
        <v>103.937961</v>
      </c>
    </row>
    <row r="163">
      <c r="A163" s="3">
        <f>IFERROR(__xludf.DUMMYFUNCTION("""COMPUTED_VALUE"""),40406.99861111111)</f>
        <v>40406.99861</v>
      </c>
      <c r="B163" s="1">
        <f>IFERROR(__xludf.DUMMYFUNCTION("""COMPUTED_VALUE"""),104.585764)</f>
        <v>104.585764</v>
      </c>
    </row>
    <row r="164">
      <c r="A164" s="3">
        <f>IFERROR(__xludf.DUMMYFUNCTION("""COMPUTED_VALUE"""),40407.99861111111)</f>
        <v>40407.99861</v>
      </c>
      <c r="B164" s="1">
        <f>IFERROR(__xludf.DUMMYFUNCTION("""COMPUTED_VALUE"""),103.699712)</f>
        <v>103.699712</v>
      </c>
    </row>
    <row r="165">
      <c r="A165" s="3">
        <f>IFERROR(__xludf.DUMMYFUNCTION("""COMPUTED_VALUE"""),40408.99861111111)</f>
        <v>40408.99861</v>
      </c>
      <c r="B165" s="1">
        <f>IFERROR(__xludf.DUMMYFUNCTION("""COMPUTED_VALUE"""),104.09958)</f>
        <v>104.09958</v>
      </c>
    </row>
    <row r="166">
      <c r="A166" s="3">
        <f>IFERROR(__xludf.DUMMYFUNCTION("""COMPUTED_VALUE"""),40409.99861111111)</f>
        <v>40409.99861</v>
      </c>
      <c r="B166" s="1">
        <f>IFERROR(__xludf.DUMMYFUNCTION("""COMPUTED_VALUE"""),104.553906)</f>
        <v>104.553906</v>
      </c>
    </row>
    <row r="167">
      <c r="A167" s="3">
        <f>IFERROR(__xludf.DUMMYFUNCTION("""COMPUTED_VALUE"""),40410.99861111111)</f>
        <v>40410.99861</v>
      </c>
      <c r="B167" s="1">
        <f>IFERROR(__xludf.DUMMYFUNCTION("""COMPUTED_VALUE"""),105.010161)</f>
        <v>105.010161</v>
      </c>
    </row>
    <row r="168">
      <c r="A168" s="3">
        <f>IFERROR(__xludf.DUMMYFUNCTION("""COMPUTED_VALUE"""),40413.99861111111)</f>
        <v>40413.99861</v>
      </c>
      <c r="B168" s="1">
        <f>IFERROR(__xludf.DUMMYFUNCTION("""COMPUTED_VALUE"""),104.09858)</f>
        <v>104.09858</v>
      </c>
    </row>
    <row r="169">
      <c r="A169" s="3">
        <f>IFERROR(__xludf.DUMMYFUNCTION("""COMPUTED_VALUE"""),40414.99861111111)</f>
        <v>40414.99861</v>
      </c>
      <c r="B169" s="1">
        <f>IFERROR(__xludf.DUMMYFUNCTION("""COMPUTED_VALUE"""),106.5623315)</f>
        <v>106.5623315</v>
      </c>
    </row>
    <row r="170">
      <c r="A170" s="3">
        <f>IFERROR(__xludf.DUMMYFUNCTION("""COMPUTED_VALUE"""),40415.99861111111)</f>
        <v>40415.99861</v>
      </c>
      <c r="B170" s="1">
        <f>IFERROR(__xludf.DUMMYFUNCTION("""COMPUTED_VALUE"""),104.84918)</f>
        <v>104.84918</v>
      </c>
    </row>
    <row r="171">
      <c r="A171" s="3">
        <f>IFERROR(__xludf.DUMMYFUNCTION("""COMPUTED_VALUE"""),40416.99861111111)</f>
        <v>40416.99861</v>
      </c>
      <c r="B171" s="1">
        <f>IFERROR(__xludf.DUMMYFUNCTION("""COMPUTED_VALUE"""),106.5012825)</f>
        <v>106.5012825</v>
      </c>
    </row>
    <row r="172">
      <c r="A172" s="3">
        <f>IFERROR(__xludf.DUMMYFUNCTION("""COMPUTED_VALUE"""),40417.99861111111)</f>
        <v>40417.99861</v>
      </c>
      <c r="B172" s="1">
        <f>IFERROR(__xludf.DUMMYFUNCTION("""COMPUTED_VALUE"""),105.655214)</f>
        <v>105.655214</v>
      </c>
    </row>
    <row r="173">
      <c r="A173" s="3">
        <f>IFERROR(__xludf.DUMMYFUNCTION("""COMPUTED_VALUE"""),40420.99861111111)</f>
        <v>40420.99861</v>
      </c>
      <c r="B173" s="1">
        <f>IFERROR(__xludf.DUMMYFUNCTION("""COMPUTED_VALUE"""),105.49994)</f>
        <v>105.49994</v>
      </c>
    </row>
    <row r="174">
      <c r="A174" s="3">
        <f>IFERROR(__xludf.DUMMYFUNCTION("""COMPUTED_VALUE"""),40421.99861111111)</f>
        <v>40421.99861</v>
      </c>
      <c r="B174" s="1">
        <f>IFERROR(__xludf.DUMMYFUNCTION("""COMPUTED_VALUE"""),107.088696)</f>
        <v>107.088696</v>
      </c>
    </row>
    <row r="175">
      <c r="A175" s="3">
        <f>IFERROR(__xludf.DUMMYFUNCTION("""COMPUTED_VALUE"""),40422.99861111111)</f>
        <v>40422.99861</v>
      </c>
      <c r="B175" s="1">
        <f>IFERROR(__xludf.DUMMYFUNCTION("""COMPUTED_VALUE"""),106.73058)</f>
        <v>106.73058</v>
      </c>
    </row>
    <row r="176">
      <c r="A176" s="3">
        <f>IFERROR(__xludf.DUMMYFUNCTION("""COMPUTED_VALUE"""),40423.99861111111)</f>
        <v>40423.99861</v>
      </c>
      <c r="B176" s="1">
        <f>IFERROR(__xludf.DUMMYFUNCTION("""COMPUTED_VALUE"""),106.716048)</f>
        <v>106.716048</v>
      </c>
    </row>
    <row r="177">
      <c r="A177" s="3">
        <f>IFERROR(__xludf.DUMMYFUNCTION("""COMPUTED_VALUE"""),40424.99861111111)</f>
        <v>40424.99861</v>
      </c>
      <c r="B177" s="1">
        <f>IFERROR(__xludf.DUMMYFUNCTION("""COMPUTED_VALUE"""),106.333856)</f>
        <v>106.333856</v>
      </c>
    </row>
    <row r="178">
      <c r="A178" s="3">
        <f>IFERROR(__xludf.DUMMYFUNCTION("""COMPUTED_VALUE"""),40427.99861111111)</f>
        <v>40427.99861</v>
      </c>
      <c r="B178" s="1">
        <f>IFERROR(__xludf.DUMMYFUNCTION("""COMPUTED_VALUE"""),106.899804)</f>
        <v>106.899804</v>
      </c>
    </row>
    <row r="179">
      <c r="A179" s="3">
        <f>IFERROR(__xludf.DUMMYFUNCTION("""COMPUTED_VALUE"""),40428.99861111111)</f>
        <v>40428.99861</v>
      </c>
      <c r="B179" s="1">
        <f>IFERROR(__xludf.DUMMYFUNCTION("""COMPUTED_VALUE"""),107.838498)</f>
        <v>107.838498</v>
      </c>
    </row>
    <row r="180">
      <c r="A180" s="3">
        <f>IFERROR(__xludf.DUMMYFUNCTION("""COMPUTED_VALUE"""),40429.99861111111)</f>
        <v>40429.99861</v>
      </c>
      <c r="B180" s="1">
        <f>IFERROR(__xludf.DUMMYFUNCTION("""COMPUTED_VALUE"""),107.243595)</f>
        <v>107.243595</v>
      </c>
    </row>
    <row r="181">
      <c r="A181" s="3">
        <f>IFERROR(__xludf.DUMMYFUNCTION("""COMPUTED_VALUE"""),40430.99861111111)</f>
        <v>40430.99861</v>
      </c>
      <c r="B181" s="1">
        <f>IFERROR(__xludf.DUMMYFUNCTION("""COMPUTED_VALUE"""),107.5473)</f>
        <v>107.5473</v>
      </c>
    </row>
    <row r="182">
      <c r="A182" s="3">
        <f>IFERROR(__xludf.DUMMYFUNCTION("""COMPUTED_VALUE"""),40431.99861111111)</f>
        <v>40431.99861</v>
      </c>
      <c r="B182" s="1">
        <f>IFERROR(__xludf.DUMMYFUNCTION("""COMPUTED_VALUE"""),107.171856)</f>
        <v>107.171856</v>
      </c>
    </row>
    <row r="183">
      <c r="A183" s="3">
        <f>IFERROR(__xludf.DUMMYFUNCTION("""COMPUTED_VALUE"""),40434.99861111111)</f>
        <v>40434.99861</v>
      </c>
      <c r="B183" s="1">
        <f>IFERROR(__xludf.DUMMYFUNCTION("""COMPUTED_VALUE"""),107.52371)</f>
        <v>107.52371</v>
      </c>
    </row>
    <row r="184">
      <c r="A184" s="3">
        <f>IFERROR(__xludf.DUMMYFUNCTION("""COMPUTED_VALUE"""),40435.99861111111)</f>
        <v>40435.99861</v>
      </c>
      <c r="B184" s="1">
        <f>IFERROR(__xludf.DUMMYFUNCTION("""COMPUTED_VALUE"""),108.207092)</f>
        <v>108.207092</v>
      </c>
    </row>
    <row r="185">
      <c r="A185" s="3">
        <f>IFERROR(__xludf.DUMMYFUNCTION("""COMPUTED_VALUE"""),40436.99861111111)</f>
        <v>40436.99861</v>
      </c>
      <c r="B185" s="1">
        <f>IFERROR(__xludf.DUMMYFUNCTION("""COMPUTED_VALUE"""),104.655496)</f>
        <v>104.655496</v>
      </c>
    </row>
    <row r="186">
      <c r="A186" s="3">
        <f>IFERROR(__xludf.DUMMYFUNCTION("""COMPUTED_VALUE"""),40437.99861111111)</f>
        <v>40437.99861</v>
      </c>
      <c r="B186" s="1">
        <f>IFERROR(__xludf.DUMMYFUNCTION("""COMPUTED_VALUE"""),104.0345)</f>
        <v>104.0345</v>
      </c>
    </row>
    <row r="187">
      <c r="A187" s="3">
        <f>IFERROR(__xludf.DUMMYFUNCTION("""COMPUTED_VALUE"""),40438.99861111111)</f>
        <v>40438.99861</v>
      </c>
      <c r="B187" s="1">
        <f>IFERROR(__xludf.DUMMYFUNCTION("""COMPUTED_VALUE"""),104.56807)</f>
        <v>104.56807</v>
      </c>
    </row>
    <row r="188">
      <c r="A188" s="3">
        <f>IFERROR(__xludf.DUMMYFUNCTION("""COMPUTED_VALUE"""),40441.99861111111)</f>
        <v>40441.99861</v>
      </c>
      <c r="B188" s="1">
        <f>IFERROR(__xludf.DUMMYFUNCTION("""COMPUTED_VALUE"""),104.822274)</f>
        <v>104.822274</v>
      </c>
    </row>
    <row r="189">
      <c r="A189" s="3">
        <f>IFERROR(__xludf.DUMMYFUNCTION("""COMPUTED_VALUE"""),40442.99861111111)</f>
        <v>40442.99861</v>
      </c>
      <c r="B189" s="1">
        <f>IFERROR(__xludf.DUMMYFUNCTION("""COMPUTED_VALUE"""),104.2742)</f>
        <v>104.2742</v>
      </c>
    </row>
    <row r="190">
      <c r="A190" s="3">
        <f>IFERROR(__xludf.DUMMYFUNCTION("""COMPUTED_VALUE"""),40443.99861111111)</f>
        <v>40443.99861</v>
      </c>
      <c r="B190" s="1">
        <f>IFERROR(__xludf.DUMMYFUNCTION("""COMPUTED_VALUE"""),105.504672)</f>
        <v>105.504672</v>
      </c>
    </row>
    <row r="191">
      <c r="A191" s="3">
        <f>IFERROR(__xludf.DUMMYFUNCTION("""COMPUTED_VALUE"""),40444.99861111111)</f>
        <v>40444.99861</v>
      </c>
      <c r="B191" s="1">
        <f>IFERROR(__xludf.DUMMYFUNCTION("""COMPUTED_VALUE"""),106.083159)</f>
        <v>106.083159</v>
      </c>
    </row>
    <row r="192">
      <c r="A192" s="3">
        <f>IFERROR(__xludf.DUMMYFUNCTION("""COMPUTED_VALUE"""),40445.99861111111)</f>
        <v>40445.99861</v>
      </c>
      <c r="B192" s="1">
        <f>IFERROR(__xludf.DUMMYFUNCTION("""COMPUTED_VALUE"""),105.06137)</f>
        <v>105.06137</v>
      </c>
    </row>
    <row r="193">
      <c r="A193" s="3">
        <f>IFERROR(__xludf.DUMMYFUNCTION("""COMPUTED_VALUE"""),40448.99861111111)</f>
        <v>40448.99861</v>
      </c>
      <c r="B193" s="1">
        <f>IFERROR(__xludf.DUMMYFUNCTION("""COMPUTED_VALUE"""),106.37827)</f>
        <v>106.37827</v>
      </c>
    </row>
    <row r="194">
      <c r="A194" s="3">
        <f>IFERROR(__xludf.DUMMYFUNCTION("""COMPUTED_VALUE"""),40449.99861111111)</f>
        <v>40449.99861</v>
      </c>
      <c r="B194" s="1">
        <f>IFERROR(__xludf.DUMMYFUNCTION("""COMPUTED_VALUE"""),106.691152)</f>
        <v>106.691152</v>
      </c>
    </row>
    <row r="195">
      <c r="A195" s="3">
        <f>IFERROR(__xludf.DUMMYFUNCTION("""COMPUTED_VALUE"""),40450.99861111111)</f>
        <v>40450.99861</v>
      </c>
      <c r="B195" s="1">
        <f>IFERROR(__xludf.DUMMYFUNCTION("""COMPUTED_VALUE"""),106.556374)</f>
        <v>106.556374</v>
      </c>
    </row>
    <row r="196">
      <c r="A196" s="3">
        <f>IFERROR(__xludf.DUMMYFUNCTION("""COMPUTED_VALUE"""),40451.99861111111)</f>
        <v>40451.99861</v>
      </c>
      <c r="B196" s="1">
        <f>IFERROR(__xludf.DUMMYFUNCTION("""COMPUTED_VALUE"""),106.870972)</f>
        <v>106.870972</v>
      </c>
    </row>
    <row r="197">
      <c r="A197" s="3">
        <f>IFERROR(__xludf.DUMMYFUNCTION("""COMPUTED_VALUE"""),40452.99861111111)</f>
        <v>40452.99861</v>
      </c>
      <c r="B197" s="1">
        <f>IFERROR(__xludf.DUMMYFUNCTION("""COMPUTED_VALUE"""),107.0484)</f>
        <v>107.0484</v>
      </c>
    </row>
    <row r="198">
      <c r="A198" s="3">
        <f>IFERROR(__xludf.DUMMYFUNCTION("""COMPUTED_VALUE"""),40455.99861111111)</f>
        <v>40455.99861</v>
      </c>
      <c r="B198" s="1">
        <f>IFERROR(__xludf.DUMMYFUNCTION("""COMPUTED_VALUE"""),106.92801)</f>
        <v>106.92801</v>
      </c>
    </row>
    <row r="199">
      <c r="A199" s="3">
        <f>IFERROR(__xludf.DUMMYFUNCTION("""COMPUTED_VALUE"""),40456.99861111111)</f>
        <v>40456.99861</v>
      </c>
      <c r="B199" s="1">
        <f>IFERROR(__xludf.DUMMYFUNCTION("""COMPUTED_VALUE"""),106.037491)</f>
        <v>106.037491</v>
      </c>
    </row>
    <row r="200">
      <c r="A200" s="3">
        <f>IFERROR(__xludf.DUMMYFUNCTION("""COMPUTED_VALUE"""),40457.99861111111)</f>
        <v>40457.99861</v>
      </c>
      <c r="B200" s="1">
        <f>IFERROR(__xludf.DUMMYFUNCTION("""COMPUTED_VALUE"""),106.91724)</f>
        <v>106.91724</v>
      </c>
    </row>
    <row r="201">
      <c r="A201" s="3">
        <f>IFERROR(__xludf.DUMMYFUNCTION("""COMPUTED_VALUE"""),40458.99861111111)</f>
        <v>40458.99861</v>
      </c>
      <c r="B201" s="1">
        <f>IFERROR(__xludf.DUMMYFUNCTION("""COMPUTED_VALUE"""),108.201392)</f>
        <v>108.201392</v>
      </c>
    </row>
    <row r="202">
      <c r="A202" s="3">
        <f>IFERROR(__xludf.DUMMYFUNCTION("""COMPUTED_VALUE"""),40459.99861111111)</f>
        <v>40459.99861</v>
      </c>
      <c r="B202" s="1">
        <f>IFERROR(__xludf.DUMMYFUNCTION("""COMPUTED_VALUE"""),108.620022)</f>
        <v>108.620022</v>
      </c>
    </row>
    <row r="203">
      <c r="A203" s="3">
        <f>IFERROR(__xludf.DUMMYFUNCTION("""COMPUTED_VALUE"""),40462.99861111111)</f>
        <v>40462.99861</v>
      </c>
      <c r="B203" s="1">
        <f>IFERROR(__xludf.DUMMYFUNCTION("""COMPUTED_VALUE"""),109.562754)</f>
        <v>109.562754</v>
      </c>
    </row>
    <row r="204">
      <c r="A204" s="3">
        <f>IFERROR(__xludf.DUMMYFUNCTION("""COMPUTED_VALUE"""),40463.99861111111)</f>
        <v>40463.99861</v>
      </c>
      <c r="B204" s="1">
        <f>IFERROR(__xludf.DUMMYFUNCTION("""COMPUTED_VALUE"""),108.883866)</f>
        <v>108.883866</v>
      </c>
    </row>
    <row r="205">
      <c r="A205" s="3">
        <f>IFERROR(__xludf.DUMMYFUNCTION("""COMPUTED_VALUE"""),40464.99861111111)</f>
        <v>40464.99861</v>
      </c>
      <c r="B205" s="1">
        <f>IFERROR(__xludf.DUMMYFUNCTION("""COMPUTED_VALUE"""),108.497714)</f>
        <v>108.497714</v>
      </c>
    </row>
    <row r="206">
      <c r="A206" s="3">
        <f>IFERROR(__xludf.DUMMYFUNCTION("""COMPUTED_VALUE"""),40465.99861111111)</f>
        <v>40465.99861</v>
      </c>
      <c r="B206" s="1">
        <f>IFERROR(__xludf.DUMMYFUNCTION("""COMPUTED_VALUE"""),109.254534)</f>
        <v>109.254534</v>
      </c>
    </row>
    <row r="207">
      <c r="A207" s="3">
        <f>IFERROR(__xludf.DUMMYFUNCTION("""COMPUTED_VALUE"""),40466.99861111111)</f>
        <v>40466.99861</v>
      </c>
      <c r="B207" s="1">
        <f>IFERROR(__xludf.DUMMYFUNCTION("""COMPUTED_VALUE"""),109.818812)</f>
        <v>109.818812</v>
      </c>
    </row>
    <row r="208">
      <c r="A208" s="3">
        <f>IFERROR(__xludf.DUMMYFUNCTION("""COMPUTED_VALUE"""),40469.99861111111)</f>
        <v>40469.99861</v>
      </c>
      <c r="B208" s="1">
        <f>IFERROR(__xludf.DUMMYFUNCTION("""COMPUTED_VALUE"""),110.133877)</f>
        <v>110.133877</v>
      </c>
    </row>
    <row r="209">
      <c r="A209" s="3">
        <f>IFERROR(__xludf.DUMMYFUNCTION("""COMPUTED_VALUE"""),40470.99861111111)</f>
        <v>40470.99861</v>
      </c>
      <c r="B209" s="1">
        <f>IFERROR(__xludf.DUMMYFUNCTION("""COMPUTED_VALUE"""),109.948906)</f>
        <v>109.948906</v>
      </c>
    </row>
    <row r="210">
      <c r="A210" s="3">
        <f>IFERROR(__xludf.DUMMYFUNCTION("""COMPUTED_VALUE"""),40471.99861111111)</f>
        <v>40471.99861</v>
      </c>
      <c r="B210" s="1">
        <f>IFERROR(__xludf.DUMMYFUNCTION("""COMPUTED_VALUE"""),108.812886)</f>
        <v>108.812886</v>
      </c>
    </row>
    <row r="211">
      <c r="A211" s="3">
        <f>IFERROR(__xludf.DUMMYFUNCTION("""COMPUTED_VALUE"""),40472.99861111111)</f>
        <v>40472.99861</v>
      </c>
      <c r="B211" s="1">
        <f>IFERROR(__xludf.DUMMYFUNCTION("""COMPUTED_VALUE"""),108.84885)</f>
        <v>108.84885</v>
      </c>
    </row>
    <row r="212">
      <c r="A212" s="3">
        <f>IFERROR(__xludf.DUMMYFUNCTION("""COMPUTED_VALUE"""),40473.99861111111)</f>
        <v>40473.99861</v>
      </c>
      <c r="B212" s="1">
        <f>IFERROR(__xludf.DUMMYFUNCTION("""COMPUTED_VALUE"""),109.609594)</f>
        <v>109.609594</v>
      </c>
    </row>
    <row r="213">
      <c r="A213" s="3">
        <f>IFERROR(__xludf.DUMMYFUNCTION("""COMPUTED_VALUE"""),40476.99861111111)</f>
        <v>40476.99861</v>
      </c>
      <c r="B213" s="1">
        <f>IFERROR(__xludf.DUMMYFUNCTION("""COMPUTED_VALUE"""),110.51626)</f>
        <v>110.51626</v>
      </c>
    </row>
    <row r="214">
      <c r="A214" s="3">
        <f>IFERROR(__xludf.DUMMYFUNCTION("""COMPUTED_VALUE"""),40477.99861111111)</f>
        <v>40477.99861</v>
      </c>
      <c r="B214" s="1">
        <f>IFERROR(__xludf.DUMMYFUNCTION("""COMPUTED_VALUE"""),109.561663)</f>
        <v>109.561663</v>
      </c>
    </row>
    <row r="215">
      <c r="A215" s="3">
        <f>IFERROR(__xludf.DUMMYFUNCTION("""COMPUTED_VALUE"""),40478.99861111111)</f>
        <v>40478.99861</v>
      </c>
      <c r="B215" s="1">
        <f>IFERROR(__xludf.DUMMYFUNCTION("""COMPUTED_VALUE"""),109.237104)</f>
        <v>109.237104</v>
      </c>
    </row>
    <row r="216">
      <c r="A216" s="3">
        <f>IFERROR(__xludf.DUMMYFUNCTION("""COMPUTED_VALUE"""),40479.99861111111)</f>
        <v>40479.99861</v>
      </c>
      <c r="B216" s="1">
        <f>IFERROR(__xludf.DUMMYFUNCTION("""COMPUTED_VALUE"""),108.932584)</f>
        <v>108.932584</v>
      </c>
    </row>
    <row r="217">
      <c r="A217" s="3">
        <f>IFERROR(__xludf.DUMMYFUNCTION("""COMPUTED_VALUE"""),40480.99861111111)</f>
        <v>40480.99861</v>
      </c>
      <c r="B217" s="1">
        <f>IFERROR(__xludf.DUMMYFUNCTION("""COMPUTED_VALUE"""),111.02476)</f>
        <v>111.02476</v>
      </c>
    </row>
    <row r="218">
      <c r="A218" s="3">
        <f>IFERROR(__xludf.DUMMYFUNCTION("""COMPUTED_VALUE"""),40483.99861111111)</f>
        <v>40483.99861</v>
      </c>
      <c r="B218" s="1">
        <f>IFERROR(__xludf.DUMMYFUNCTION("""COMPUTED_VALUE"""),110.547039)</f>
        <v>110.547039</v>
      </c>
    </row>
    <row r="219">
      <c r="A219" s="3">
        <f>IFERROR(__xludf.DUMMYFUNCTION("""COMPUTED_VALUE"""),40484.99861111111)</f>
        <v>40484.99861</v>
      </c>
      <c r="B219" s="1">
        <f>IFERROR(__xludf.DUMMYFUNCTION("""COMPUTED_VALUE"""),109.360335)</f>
        <v>109.360335</v>
      </c>
    </row>
    <row r="220">
      <c r="A220" s="3">
        <f>IFERROR(__xludf.DUMMYFUNCTION("""COMPUTED_VALUE"""),40485.99861111111)</f>
        <v>40485.99861</v>
      </c>
      <c r="B220" s="1">
        <f>IFERROR(__xludf.DUMMYFUNCTION("""COMPUTED_VALUE"""),108.155061)</f>
        <v>108.155061</v>
      </c>
    </row>
    <row r="221">
      <c r="A221" s="3">
        <f>IFERROR(__xludf.DUMMYFUNCTION("""COMPUTED_VALUE"""),40486.99861111111)</f>
        <v>40486.99861</v>
      </c>
      <c r="B221" s="1">
        <f>IFERROR(__xludf.DUMMYFUNCTION("""COMPUTED_VALUE"""),110.305181)</f>
        <v>110.305181</v>
      </c>
    </row>
    <row r="222">
      <c r="A222" s="3">
        <f>IFERROR(__xludf.DUMMYFUNCTION("""COMPUTED_VALUE"""),40487.99861111111)</f>
        <v>40487.99861</v>
      </c>
      <c r="B222" s="1">
        <f>IFERROR(__xludf.DUMMYFUNCTION("""COMPUTED_VALUE"""),109.47)</f>
        <v>109.47</v>
      </c>
    </row>
    <row r="223">
      <c r="A223" s="3">
        <f>IFERROR(__xludf.DUMMYFUNCTION("""COMPUTED_VALUE"""),40490.99861111111)</f>
        <v>40490.99861</v>
      </c>
      <c r="B223" s="1">
        <f>IFERROR(__xludf.DUMMYFUNCTION("""COMPUTED_VALUE"""),109.7918685)</f>
        <v>109.7918685</v>
      </c>
    </row>
    <row r="224">
      <c r="A224" s="3">
        <f>IFERROR(__xludf.DUMMYFUNCTION("""COMPUTED_VALUE"""),40491.99861111111)</f>
        <v>40491.99861</v>
      </c>
      <c r="B224" s="1">
        <f>IFERROR(__xludf.DUMMYFUNCTION("""COMPUTED_VALUE"""),107.86125)</f>
        <v>107.86125</v>
      </c>
    </row>
    <row r="225">
      <c r="A225" s="3">
        <f>IFERROR(__xludf.DUMMYFUNCTION("""COMPUTED_VALUE"""),40492.99861111111)</f>
        <v>40492.99861</v>
      </c>
      <c r="B225" s="1">
        <f>IFERROR(__xludf.DUMMYFUNCTION("""COMPUTED_VALUE"""),106.759936)</f>
        <v>106.759936</v>
      </c>
    </row>
    <row r="226">
      <c r="A226" s="3">
        <f>IFERROR(__xludf.DUMMYFUNCTION("""COMPUTED_VALUE"""),40493.99861111111)</f>
        <v>40493.99861</v>
      </c>
      <c r="B226" s="1">
        <f>IFERROR(__xludf.DUMMYFUNCTION("""COMPUTED_VALUE"""),106.71974)</f>
        <v>106.71974</v>
      </c>
    </row>
    <row r="227">
      <c r="A227" s="3">
        <f>IFERROR(__xludf.DUMMYFUNCTION("""COMPUTED_VALUE"""),40494.99861111111)</f>
        <v>40494.99861</v>
      </c>
      <c r="B227" s="1">
        <f>IFERROR(__xludf.DUMMYFUNCTION("""COMPUTED_VALUE"""),108.2535785)</f>
        <v>108.2535785</v>
      </c>
    </row>
    <row r="228">
      <c r="A228" s="3">
        <f>IFERROR(__xludf.DUMMYFUNCTION("""COMPUTED_VALUE"""),40497.99861111111)</f>
        <v>40497.99861</v>
      </c>
      <c r="B228" s="1">
        <f>IFERROR(__xludf.DUMMYFUNCTION("""COMPUTED_VALUE"""),107.788749)</f>
        <v>107.788749</v>
      </c>
    </row>
    <row r="229">
      <c r="A229" s="3">
        <f>IFERROR(__xludf.DUMMYFUNCTION("""COMPUTED_VALUE"""),40498.99861111111)</f>
        <v>40498.99861</v>
      </c>
      <c r="B229" s="1">
        <f>IFERROR(__xludf.DUMMYFUNCTION("""COMPUTED_VALUE"""),106.18344)</f>
        <v>106.18344</v>
      </c>
    </row>
    <row r="230">
      <c r="A230" s="3">
        <f>IFERROR(__xludf.DUMMYFUNCTION("""COMPUTED_VALUE"""),40499.99861111111)</f>
        <v>40499.99861</v>
      </c>
      <c r="B230" s="1">
        <f>IFERROR(__xludf.DUMMYFUNCTION("""COMPUTED_VALUE"""),106.32892)</f>
        <v>106.32892</v>
      </c>
    </row>
    <row r="231">
      <c r="A231" s="3">
        <f>IFERROR(__xludf.DUMMYFUNCTION("""COMPUTED_VALUE"""),40500.99861111111)</f>
        <v>40500.99861</v>
      </c>
      <c r="B231" s="1">
        <f>IFERROR(__xludf.DUMMYFUNCTION("""COMPUTED_VALUE"""),105.85071)</f>
        <v>105.85071</v>
      </c>
    </row>
    <row r="232">
      <c r="A232" s="3">
        <f>IFERROR(__xludf.DUMMYFUNCTION("""COMPUTED_VALUE"""),40501.99861111111)</f>
        <v>40501.99861</v>
      </c>
      <c r="B232" s="1">
        <f>IFERROR(__xludf.DUMMYFUNCTION("""COMPUTED_VALUE"""),106.998771)</f>
        <v>106.998771</v>
      </c>
    </row>
    <row r="233">
      <c r="A233" s="3">
        <f>IFERROR(__xludf.DUMMYFUNCTION("""COMPUTED_VALUE"""),40504.99861111111)</f>
        <v>40504.99861</v>
      </c>
      <c r="B233" s="1">
        <f>IFERROR(__xludf.DUMMYFUNCTION("""COMPUTED_VALUE"""),107.1534)</f>
        <v>107.1534</v>
      </c>
    </row>
    <row r="234">
      <c r="A234" s="3">
        <f>IFERROR(__xludf.DUMMYFUNCTION("""COMPUTED_VALUE"""),40505.99861111111)</f>
        <v>40505.99861</v>
      </c>
      <c r="B234" s="1">
        <f>IFERROR(__xludf.DUMMYFUNCTION("""COMPUTED_VALUE"""),107.685263)</f>
        <v>107.685263</v>
      </c>
    </row>
    <row r="235">
      <c r="A235" s="3">
        <f>IFERROR(__xludf.DUMMYFUNCTION("""COMPUTED_VALUE"""),40506.99861111111)</f>
        <v>40506.99861</v>
      </c>
      <c r="B235" s="1">
        <f>IFERROR(__xludf.DUMMYFUNCTION("""COMPUTED_VALUE"""),107.2805265)</f>
        <v>107.2805265</v>
      </c>
    </row>
    <row r="236">
      <c r="A236" s="3">
        <f>IFERROR(__xludf.DUMMYFUNCTION("""COMPUTED_VALUE"""),40507.99861111111)</f>
        <v>40507.99861</v>
      </c>
      <c r="B236" s="1">
        <f>IFERROR(__xludf.DUMMYFUNCTION("""COMPUTED_VALUE"""),107.1610275)</f>
        <v>107.1610275</v>
      </c>
    </row>
    <row r="237">
      <c r="A237" s="3">
        <f>IFERROR(__xludf.DUMMYFUNCTION("""COMPUTED_VALUE"""),40508.99861111111)</f>
        <v>40508.99861</v>
      </c>
      <c r="B237" s="1">
        <f>IFERROR(__xludf.DUMMYFUNCTION("""COMPUTED_VALUE"""),105.79722)</f>
        <v>105.79722</v>
      </c>
    </row>
    <row r="238">
      <c r="A238" s="3">
        <f>IFERROR(__xludf.DUMMYFUNCTION("""COMPUTED_VALUE"""),40511.99861111111)</f>
        <v>40511.99861</v>
      </c>
      <c r="B238" s="1">
        <f>IFERROR(__xludf.DUMMYFUNCTION("""COMPUTED_VALUE"""),107.0133915)</f>
        <v>107.0133915</v>
      </c>
    </row>
    <row r="239">
      <c r="A239" s="3">
        <f>IFERROR(__xludf.DUMMYFUNCTION("""COMPUTED_VALUE"""),40512.99861111111)</f>
        <v>40512.99861</v>
      </c>
      <c r="B239" s="1">
        <f>IFERROR(__xludf.DUMMYFUNCTION("""COMPUTED_VALUE"""),107.9557025)</f>
        <v>107.9557025</v>
      </c>
    </row>
    <row r="240">
      <c r="A240" s="3">
        <f>IFERROR(__xludf.DUMMYFUNCTION("""COMPUTED_VALUE"""),40513.99861111111)</f>
        <v>40513.99861</v>
      </c>
      <c r="B240" s="1">
        <f>IFERROR(__xludf.DUMMYFUNCTION("""COMPUTED_VALUE"""),107.139186)</f>
        <v>107.139186</v>
      </c>
    </row>
    <row r="241">
      <c r="A241" s="3">
        <f>IFERROR(__xludf.DUMMYFUNCTION("""COMPUTED_VALUE"""),40514.99861111111)</f>
        <v>40514.99861</v>
      </c>
      <c r="B241" s="1">
        <f>IFERROR(__xludf.DUMMYFUNCTION("""COMPUTED_VALUE"""),106.45704)</f>
        <v>106.45704</v>
      </c>
    </row>
    <row r="242">
      <c r="A242" s="3">
        <f>IFERROR(__xludf.DUMMYFUNCTION("""COMPUTED_VALUE"""),40515.99861111111)</f>
        <v>40515.99861</v>
      </c>
      <c r="B242" s="1">
        <f>IFERROR(__xludf.DUMMYFUNCTION("""COMPUTED_VALUE"""),108.62865)</f>
        <v>108.62865</v>
      </c>
    </row>
    <row r="243">
      <c r="A243" s="3">
        <f>IFERROR(__xludf.DUMMYFUNCTION("""COMPUTED_VALUE"""),40518.99861111111)</f>
        <v>40518.99861</v>
      </c>
      <c r="B243" s="1">
        <f>IFERROR(__xludf.DUMMYFUNCTION("""COMPUTED_VALUE"""),108.9302955)</f>
        <v>108.9302955</v>
      </c>
    </row>
    <row r="244">
      <c r="A244" s="3">
        <f>IFERROR(__xludf.DUMMYFUNCTION("""COMPUTED_VALUE"""),40519.99861111111)</f>
        <v>40519.99861</v>
      </c>
      <c r="B244" s="1">
        <f>IFERROR(__xludf.DUMMYFUNCTION("""COMPUTED_VALUE"""),107.7002)</f>
        <v>107.7002</v>
      </c>
    </row>
    <row r="245">
      <c r="A245" s="3">
        <f>IFERROR(__xludf.DUMMYFUNCTION("""COMPUTED_VALUE"""),40520.99861111111)</f>
        <v>40520.99861</v>
      </c>
      <c r="B245" s="1">
        <f>IFERROR(__xludf.DUMMYFUNCTION("""COMPUTED_VALUE"""),107.2478)</f>
        <v>107.2478</v>
      </c>
    </row>
    <row r="246">
      <c r="A246" s="3">
        <f>IFERROR(__xludf.DUMMYFUNCTION("""COMPUTED_VALUE"""),40521.99861111111)</f>
        <v>40521.99861</v>
      </c>
      <c r="B246" s="1">
        <f>IFERROR(__xludf.DUMMYFUNCTION("""COMPUTED_VALUE"""),107.58474)</f>
        <v>107.58474</v>
      </c>
    </row>
    <row r="247">
      <c r="A247" s="3">
        <f>IFERROR(__xludf.DUMMYFUNCTION("""COMPUTED_VALUE"""),40522.99861111111)</f>
        <v>40522.99861</v>
      </c>
      <c r="B247" s="1">
        <f>IFERROR(__xludf.DUMMYFUNCTION("""COMPUTED_VALUE"""),107.36865)</f>
        <v>107.36865</v>
      </c>
    </row>
    <row r="248">
      <c r="A248" s="3">
        <f>IFERROR(__xludf.DUMMYFUNCTION("""COMPUTED_VALUE"""),40525.99861111111)</f>
        <v>40525.99861</v>
      </c>
      <c r="B248" s="1">
        <f>IFERROR(__xludf.DUMMYFUNCTION("""COMPUTED_VALUE"""),107.9997)</f>
        <v>107.9997</v>
      </c>
    </row>
    <row r="249">
      <c r="A249" s="3">
        <f>IFERROR(__xludf.DUMMYFUNCTION("""COMPUTED_VALUE"""),40526.99861111111)</f>
        <v>40526.99861</v>
      </c>
      <c r="B249" s="1">
        <f>IFERROR(__xludf.DUMMYFUNCTION("""COMPUTED_VALUE"""),107.4827385)</f>
        <v>107.4827385</v>
      </c>
    </row>
    <row r="250">
      <c r="A250" s="3">
        <f>IFERROR(__xludf.DUMMYFUNCTION("""COMPUTED_VALUE"""),40527.99861111111)</f>
        <v>40527.99861</v>
      </c>
      <c r="B250" s="1">
        <f>IFERROR(__xludf.DUMMYFUNCTION("""COMPUTED_VALUE"""),107.0964815)</f>
        <v>107.0964815</v>
      </c>
    </row>
    <row r="251">
      <c r="A251" s="3">
        <f>IFERROR(__xludf.DUMMYFUNCTION("""COMPUTED_VALUE"""),40528.99861111111)</f>
        <v>40528.99861</v>
      </c>
      <c r="B251" s="1">
        <f>IFERROR(__xludf.DUMMYFUNCTION("""COMPUTED_VALUE"""),106.3622)</f>
        <v>106.3622</v>
      </c>
    </row>
    <row r="252">
      <c r="A252" s="3">
        <f>IFERROR(__xludf.DUMMYFUNCTION("""COMPUTED_VALUE"""),40529.99861111111)</f>
        <v>40529.99861</v>
      </c>
      <c r="B252" s="1">
        <f>IFERROR(__xludf.DUMMYFUNCTION("""COMPUTED_VALUE"""),107.690644)</f>
        <v>107.690644</v>
      </c>
    </row>
    <row r="253">
      <c r="A253" s="3">
        <f>IFERROR(__xludf.DUMMYFUNCTION("""COMPUTED_VALUE"""),40532.99861111111)</f>
        <v>40532.99861</v>
      </c>
      <c r="B253" s="1">
        <f>IFERROR(__xludf.DUMMYFUNCTION("""COMPUTED_VALUE"""),106.68999)</f>
        <v>106.68999</v>
      </c>
    </row>
    <row r="254">
      <c r="A254" s="3">
        <f>IFERROR(__xludf.DUMMYFUNCTION("""COMPUTED_VALUE"""),40533.99861111111)</f>
        <v>40533.99861</v>
      </c>
      <c r="B254" s="1">
        <f>IFERROR(__xludf.DUMMYFUNCTION("""COMPUTED_VALUE"""),107.8704635)</f>
        <v>107.8704635</v>
      </c>
    </row>
    <row r="255">
      <c r="A255" s="3">
        <f>IFERROR(__xludf.DUMMYFUNCTION("""COMPUTED_VALUE"""),40534.99861111111)</f>
        <v>40534.99861</v>
      </c>
      <c r="B255" s="1">
        <f>IFERROR(__xludf.DUMMYFUNCTION("""COMPUTED_VALUE"""),108.137536)</f>
        <v>108.137536</v>
      </c>
    </row>
    <row r="256">
      <c r="A256" s="3">
        <f>IFERROR(__xludf.DUMMYFUNCTION("""COMPUTED_VALUE"""),40535.99861111111)</f>
        <v>40535.99861</v>
      </c>
      <c r="B256" s="1">
        <f>IFERROR(__xludf.DUMMYFUNCTION("""COMPUTED_VALUE"""),108.828356)</f>
        <v>108.828356</v>
      </c>
    </row>
    <row r="257">
      <c r="A257" s="3">
        <f>IFERROR(__xludf.DUMMYFUNCTION("""COMPUTED_VALUE"""),40536.99861111111)</f>
        <v>40536.99861</v>
      </c>
      <c r="B257" s="1">
        <f>IFERROR(__xludf.DUMMYFUNCTION("""COMPUTED_VALUE"""),108.92592)</f>
        <v>108.92592</v>
      </c>
    </row>
    <row r="258">
      <c r="A258" s="3">
        <f>IFERROR(__xludf.DUMMYFUNCTION("""COMPUTED_VALUE"""),40539.99861111111)</f>
        <v>40539.99861</v>
      </c>
      <c r="B258" s="1">
        <f>IFERROR(__xludf.DUMMYFUNCTION("""COMPUTED_VALUE"""),107.98312)</f>
        <v>107.98312</v>
      </c>
    </row>
    <row r="259">
      <c r="A259" s="3">
        <f>IFERROR(__xludf.DUMMYFUNCTION("""COMPUTED_VALUE"""),40540.99861111111)</f>
        <v>40540.99861</v>
      </c>
      <c r="B259" s="1">
        <f>IFERROR(__xludf.DUMMYFUNCTION("""COMPUTED_VALUE"""),109.471843)</f>
        <v>109.471843</v>
      </c>
    </row>
    <row r="260">
      <c r="A260" s="3">
        <f>IFERROR(__xludf.DUMMYFUNCTION("""COMPUTED_VALUE"""),40541.99861111111)</f>
        <v>40541.99861</v>
      </c>
      <c r="B260" s="1">
        <f>IFERROR(__xludf.DUMMYFUNCTION("""COMPUTED_VALUE"""),110.2677625)</f>
        <v>110.2677625</v>
      </c>
    </row>
    <row r="261">
      <c r="A261" s="3">
        <f>IFERROR(__xludf.DUMMYFUNCTION("""COMPUTED_VALUE"""),40542.99861111111)</f>
        <v>40542.99861</v>
      </c>
      <c r="B261" s="1">
        <f>IFERROR(__xludf.DUMMYFUNCTION("""COMPUTED_VALUE"""),109.03122)</f>
        <v>109.03122</v>
      </c>
    </row>
    <row r="262">
      <c r="A262" s="3">
        <f>IFERROR(__xludf.DUMMYFUNCTION("""COMPUTED_VALUE"""),40543.99861111111)</f>
        <v>40543.99861</v>
      </c>
      <c r="B262" s="1">
        <f>IFERROR(__xludf.DUMMYFUNCTION("""COMPUTED_VALUE"""),111.002584)</f>
        <v>111.002584</v>
      </c>
    </row>
    <row r="263">
      <c r="A263" s="3">
        <f>IFERROR(__xludf.DUMMYFUNCTION("""COMPUTED_VALUE"""),40546.99861111111)</f>
        <v>40546.99861</v>
      </c>
      <c r="B263" s="1">
        <f>IFERROR(__xludf.DUMMYFUNCTION("""COMPUTED_VALUE"""),110.036988)</f>
        <v>110.036988</v>
      </c>
    </row>
    <row r="264">
      <c r="A264" s="3">
        <f>IFERROR(__xludf.DUMMYFUNCTION("""COMPUTED_VALUE"""),40547.99861111111)</f>
        <v>40547.99861</v>
      </c>
      <c r="B264" s="1">
        <f>IFERROR(__xludf.DUMMYFUNCTION("""COMPUTED_VALUE"""),108.23148)</f>
        <v>108.23148</v>
      </c>
    </row>
    <row r="265">
      <c r="A265" s="3">
        <f>IFERROR(__xludf.DUMMYFUNCTION("""COMPUTED_VALUE"""),40548.99861111111)</f>
        <v>40548.99861</v>
      </c>
      <c r="B265" s="1">
        <f>IFERROR(__xludf.DUMMYFUNCTION("""COMPUTED_VALUE"""),107.987079)</f>
        <v>107.987079</v>
      </c>
    </row>
    <row r="266">
      <c r="A266" s="3">
        <f>IFERROR(__xludf.DUMMYFUNCTION("""COMPUTED_VALUE"""),40549.99861111111)</f>
        <v>40549.99861</v>
      </c>
      <c r="B266" s="1">
        <f>IFERROR(__xludf.DUMMYFUNCTION("""COMPUTED_VALUE"""),108.1896)</f>
        <v>108.1896</v>
      </c>
    </row>
    <row r="267">
      <c r="A267" s="3">
        <f>IFERROR(__xludf.DUMMYFUNCTION("""COMPUTED_VALUE"""),40550.99861111111)</f>
        <v>40550.99861</v>
      </c>
      <c r="B267" s="1">
        <f>IFERROR(__xludf.DUMMYFUNCTION("""COMPUTED_VALUE"""),107.24028)</f>
        <v>107.24028</v>
      </c>
    </row>
    <row r="268">
      <c r="A268" s="3">
        <f>IFERROR(__xludf.DUMMYFUNCTION("""COMPUTED_VALUE"""),40553.99861111111)</f>
        <v>40553.99861</v>
      </c>
      <c r="B268" s="1">
        <f>IFERROR(__xludf.DUMMYFUNCTION("""COMPUTED_VALUE"""),109.4259855)</f>
        <v>109.4259855</v>
      </c>
    </row>
    <row r="269">
      <c r="A269" s="3">
        <f>IFERROR(__xludf.DUMMYFUNCTION("""COMPUTED_VALUE"""),40554.99861111111)</f>
        <v>40554.99861</v>
      </c>
      <c r="B269" s="1">
        <f>IFERROR(__xludf.DUMMYFUNCTION("""COMPUTED_VALUE"""),107.139043)</f>
        <v>107.139043</v>
      </c>
    </row>
    <row r="270">
      <c r="A270" s="3">
        <f>IFERROR(__xludf.DUMMYFUNCTION("""COMPUTED_VALUE"""),40555.99861111111)</f>
        <v>40555.99861</v>
      </c>
      <c r="B270" s="1">
        <f>IFERROR(__xludf.DUMMYFUNCTION("""COMPUTED_VALUE"""),108.7512)</f>
        <v>108.7512</v>
      </c>
    </row>
    <row r="271">
      <c r="A271" s="3">
        <f>IFERROR(__xludf.DUMMYFUNCTION("""COMPUTED_VALUE"""),40556.99861111111)</f>
        <v>40556.99861</v>
      </c>
      <c r="B271" s="1">
        <f>IFERROR(__xludf.DUMMYFUNCTION("""COMPUTED_VALUE"""),109.323396)</f>
        <v>109.323396</v>
      </c>
    </row>
    <row r="272">
      <c r="A272" s="3">
        <f>IFERROR(__xludf.DUMMYFUNCTION("""COMPUTED_VALUE"""),40557.99861111111)</f>
        <v>40557.99861</v>
      </c>
      <c r="B272" s="1">
        <f>IFERROR(__xludf.DUMMYFUNCTION("""COMPUTED_VALUE"""),109.0759975)</f>
        <v>109.0759975</v>
      </c>
    </row>
    <row r="273">
      <c r="A273" s="3">
        <f>IFERROR(__xludf.DUMMYFUNCTION("""COMPUTED_VALUE"""),40560.99861111111)</f>
        <v>40560.99861</v>
      </c>
      <c r="B273" s="1">
        <f>IFERROR(__xludf.DUMMYFUNCTION("""COMPUTED_VALUE"""),109.5354)</f>
        <v>109.5354</v>
      </c>
    </row>
    <row r="274">
      <c r="A274" s="3">
        <f>IFERROR(__xludf.DUMMYFUNCTION("""COMPUTED_VALUE"""),40561.99861111111)</f>
        <v>40561.99861</v>
      </c>
      <c r="B274" s="1">
        <f>IFERROR(__xludf.DUMMYFUNCTION("""COMPUTED_VALUE"""),109.552795)</f>
        <v>109.552795</v>
      </c>
    </row>
    <row r="275">
      <c r="A275" s="3">
        <f>IFERROR(__xludf.DUMMYFUNCTION("""COMPUTED_VALUE"""),40562.99861111111)</f>
        <v>40562.99861</v>
      </c>
      <c r="B275" s="1">
        <f>IFERROR(__xludf.DUMMYFUNCTION("""COMPUTED_VALUE"""),108.89716)</f>
        <v>108.89716</v>
      </c>
    </row>
    <row r="276">
      <c r="A276" s="3">
        <f>IFERROR(__xludf.DUMMYFUNCTION("""COMPUTED_VALUE"""),40563.99861111111)</f>
        <v>40563.99861</v>
      </c>
      <c r="B276" s="1">
        <f>IFERROR(__xludf.DUMMYFUNCTION("""COMPUTED_VALUE"""),107.37996)</f>
        <v>107.37996</v>
      </c>
    </row>
    <row r="277">
      <c r="A277" s="3">
        <f>IFERROR(__xludf.DUMMYFUNCTION("""COMPUTED_VALUE"""),40564.99861111111)</f>
        <v>40564.99861</v>
      </c>
      <c r="B277" s="1">
        <f>IFERROR(__xludf.DUMMYFUNCTION("""COMPUTED_VALUE"""),106.901025)</f>
        <v>106.901025</v>
      </c>
    </row>
    <row r="278">
      <c r="A278" s="3">
        <f>IFERROR(__xludf.DUMMYFUNCTION("""COMPUTED_VALUE"""),40567.99861111111)</f>
        <v>40567.99861</v>
      </c>
      <c r="B278" s="1">
        <f>IFERROR(__xludf.DUMMYFUNCTION("""COMPUTED_VALUE"""),109.686)</f>
        <v>109.686</v>
      </c>
    </row>
    <row r="279">
      <c r="A279" s="3">
        <f>IFERROR(__xludf.DUMMYFUNCTION("""COMPUTED_VALUE"""),40568.99861111111)</f>
        <v>40568.99861</v>
      </c>
      <c r="B279" s="1">
        <f>IFERROR(__xludf.DUMMYFUNCTION("""COMPUTED_VALUE"""),109.7928675)</f>
        <v>109.7928675</v>
      </c>
    </row>
    <row r="280">
      <c r="A280" s="3">
        <f>IFERROR(__xludf.DUMMYFUNCTION("""COMPUTED_VALUE"""),40569.99861111111)</f>
        <v>40569.99861</v>
      </c>
      <c r="B280" s="1">
        <f>IFERROR(__xludf.DUMMYFUNCTION("""COMPUTED_VALUE"""),108.474496)</f>
        <v>108.474496</v>
      </c>
    </row>
    <row r="281">
      <c r="A281" s="3">
        <f>IFERROR(__xludf.DUMMYFUNCTION("""COMPUTED_VALUE"""),40570.99861111111)</f>
        <v>40570.99861</v>
      </c>
      <c r="B281" s="1">
        <f>IFERROR(__xludf.DUMMYFUNCTION("""COMPUTED_VALUE"""),108.865017)</f>
        <v>108.865017</v>
      </c>
    </row>
    <row r="282">
      <c r="A282" s="3">
        <f>IFERROR(__xludf.DUMMYFUNCTION("""COMPUTED_VALUE"""),40571.99861111111)</f>
        <v>40571.99861</v>
      </c>
      <c r="B282" s="1">
        <f>IFERROR(__xludf.DUMMYFUNCTION("""COMPUTED_VALUE"""),109.8701515)</f>
        <v>109.8701515</v>
      </c>
    </row>
    <row r="283">
      <c r="A283" s="3">
        <f>IFERROR(__xludf.DUMMYFUNCTION("""COMPUTED_VALUE"""),40574.99861111111)</f>
        <v>40574.99861</v>
      </c>
      <c r="B283" s="1">
        <f>IFERROR(__xludf.DUMMYFUNCTION("""COMPUTED_VALUE"""),109.10844)</f>
        <v>109.10844</v>
      </c>
    </row>
    <row r="284">
      <c r="A284" s="3">
        <f>IFERROR(__xludf.DUMMYFUNCTION("""COMPUTED_VALUE"""),40575.99861111111)</f>
        <v>40575.99861</v>
      </c>
      <c r="B284" s="1">
        <f>IFERROR(__xludf.DUMMYFUNCTION("""COMPUTED_VALUE"""),110.52)</f>
        <v>110.52</v>
      </c>
    </row>
    <row r="285">
      <c r="A285" s="3">
        <f>IFERROR(__xludf.DUMMYFUNCTION("""COMPUTED_VALUE"""),40576.99861111111)</f>
        <v>40576.99861</v>
      </c>
      <c r="B285" s="1">
        <f>IFERROR(__xludf.DUMMYFUNCTION("""COMPUTED_VALUE"""),110.6870565)</f>
        <v>110.6870565</v>
      </c>
    </row>
    <row r="286">
      <c r="A286" s="3">
        <f>IFERROR(__xludf.DUMMYFUNCTION("""COMPUTED_VALUE"""),40577.99861111111)</f>
        <v>40577.99861</v>
      </c>
      <c r="B286" s="1">
        <f>IFERROR(__xludf.DUMMYFUNCTION("""COMPUTED_VALUE"""),109.19304)</f>
        <v>109.19304</v>
      </c>
    </row>
    <row r="287">
      <c r="A287" s="3">
        <f>IFERROR(__xludf.DUMMYFUNCTION("""COMPUTED_VALUE"""),40578.99861111111)</f>
        <v>40578.99861</v>
      </c>
      <c r="B287" s="1">
        <f>IFERROR(__xludf.DUMMYFUNCTION("""COMPUTED_VALUE"""),109.348192)</f>
        <v>109.348192</v>
      </c>
    </row>
    <row r="288">
      <c r="A288" s="3">
        <f>IFERROR(__xludf.DUMMYFUNCTION("""COMPUTED_VALUE"""),40581.99861111111)</f>
        <v>40581.99861</v>
      </c>
      <c r="B288" s="1">
        <f>IFERROR(__xludf.DUMMYFUNCTION("""COMPUTED_VALUE"""),107.20674)</f>
        <v>107.20674</v>
      </c>
    </row>
    <row r="289">
      <c r="A289" s="3">
        <f>IFERROR(__xludf.DUMMYFUNCTION("""COMPUTED_VALUE"""),40582.99861111111)</f>
        <v>40582.99861</v>
      </c>
      <c r="B289" s="1">
        <f>IFERROR(__xludf.DUMMYFUNCTION("""COMPUTED_VALUE"""),108.135)</f>
        <v>108.135</v>
      </c>
    </row>
    <row r="290">
      <c r="A290" s="3">
        <f>IFERROR(__xludf.DUMMYFUNCTION("""COMPUTED_VALUE"""),40583.99861111111)</f>
        <v>40583.99861</v>
      </c>
      <c r="B290" s="1">
        <f>IFERROR(__xludf.DUMMYFUNCTION("""COMPUTED_VALUE"""),108.3202935)</f>
        <v>108.3202935</v>
      </c>
    </row>
    <row r="291">
      <c r="A291" s="3">
        <f>IFERROR(__xludf.DUMMYFUNCTION("""COMPUTED_VALUE"""),40584.99861111111)</f>
        <v>40584.99861</v>
      </c>
      <c r="B291" s="1">
        <f>IFERROR(__xludf.DUMMYFUNCTION("""COMPUTED_VALUE"""),107.1)</f>
        <v>107.1</v>
      </c>
    </row>
    <row r="292">
      <c r="A292" s="3">
        <f>IFERROR(__xludf.DUMMYFUNCTION("""COMPUTED_VALUE"""),40585.99861111111)</f>
        <v>40585.99861</v>
      </c>
      <c r="B292" s="1">
        <f>IFERROR(__xludf.DUMMYFUNCTION("""COMPUTED_VALUE"""),106.971816)</f>
        <v>106.971816</v>
      </c>
    </row>
    <row r="293">
      <c r="A293" s="3">
        <f>IFERROR(__xludf.DUMMYFUNCTION("""COMPUTED_VALUE"""),40588.99861111111)</f>
        <v>40588.99861</v>
      </c>
      <c r="B293" s="1">
        <f>IFERROR(__xludf.DUMMYFUNCTION("""COMPUTED_VALUE"""),106.795111)</f>
        <v>106.795111</v>
      </c>
    </row>
    <row r="294">
      <c r="A294" s="3">
        <f>IFERROR(__xludf.DUMMYFUNCTION("""COMPUTED_VALUE"""),40589.99861111111)</f>
        <v>40589.99861</v>
      </c>
      <c r="B294" s="1">
        <f>IFERROR(__xludf.DUMMYFUNCTION("""COMPUTED_VALUE"""),105.33925)</f>
        <v>105.33925</v>
      </c>
    </row>
    <row r="295">
      <c r="A295" s="3">
        <f>IFERROR(__xludf.DUMMYFUNCTION("""COMPUTED_VALUE"""),40590.99861111111)</f>
        <v>40590.99861</v>
      </c>
      <c r="B295" s="1">
        <f>IFERROR(__xludf.DUMMYFUNCTION("""COMPUTED_VALUE"""),106.383602)</f>
        <v>106.383602</v>
      </c>
    </row>
    <row r="296">
      <c r="A296" s="3">
        <f>IFERROR(__xludf.DUMMYFUNCTION("""COMPUTED_VALUE"""),40591.99861111111)</f>
        <v>40591.99861</v>
      </c>
      <c r="B296" s="1">
        <f>IFERROR(__xludf.DUMMYFUNCTION("""COMPUTED_VALUE"""),105.36)</f>
        <v>105.36</v>
      </c>
    </row>
    <row r="297">
      <c r="A297" s="3">
        <f>IFERROR(__xludf.DUMMYFUNCTION("""COMPUTED_VALUE"""),40592.99861111111)</f>
        <v>40592.99861</v>
      </c>
      <c r="B297" s="1">
        <f>IFERROR(__xludf.DUMMYFUNCTION("""COMPUTED_VALUE"""),106.5551235)</f>
        <v>106.5551235</v>
      </c>
    </row>
    <row r="298">
      <c r="A298" s="3">
        <f>IFERROR(__xludf.DUMMYFUNCTION("""COMPUTED_VALUE"""),40595.99861111111)</f>
        <v>40595.99861</v>
      </c>
      <c r="B298" s="1">
        <f>IFERROR(__xludf.DUMMYFUNCTION("""COMPUTED_VALUE"""),105.35)</f>
        <v>105.35</v>
      </c>
    </row>
    <row r="299">
      <c r="A299" s="3">
        <f>IFERROR(__xludf.DUMMYFUNCTION("""COMPUTED_VALUE"""),40596.99861111111)</f>
        <v>40596.99861</v>
      </c>
      <c r="B299" s="1">
        <f>IFERROR(__xludf.DUMMYFUNCTION("""COMPUTED_VALUE"""),107.227516)</f>
        <v>107.227516</v>
      </c>
    </row>
    <row r="300">
      <c r="A300" s="3">
        <f>IFERROR(__xludf.DUMMYFUNCTION("""COMPUTED_VALUE"""),40597.99861111111)</f>
        <v>40597.99861</v>
      </c>
      <c r="B300" s="1">
        <f>IFERROR(__xludf.DUMMYFUNCTION("""COMPUTED_VALUE"""),107.61736)</f>
        <v>107.61736</v>
      </c>
    </row>
    <row r="301">
      <c r="A301" s="3">
        <f>IFERROR(__xludf.DUMMYFUNCTION("""COMPUTED_VALUE"""),40598.99861111111)</f>
        <v>40598.99861</v>
      </c>
      <c r="B301" s="1">
        <f>IFERROR(__xludf.DUMMYFUNCTION("""COMPUTED_VALUE"""),108.06435)</f>
        <v>108.06435</v>
      </c>
    </row>
    <row r="302">
      <c r="A302" s="3">
        <f>IFERROR(__xludf.DUMMYFUNCTION("""COMPUTED_VALUE"""),40599.99861111111)</f>
        <v>40599.99861</v>
      </c>
      <c r="B302" s="1">
        <f>IFERROR(__xludf.DUMMYFUNCTION("""COMPUTED_VALUE"""),108.219348)</f>
        <v>108.219348</v>
      </c>
    </row>
    <row r="303">
      <c r="A303" s="3">
        <f>IFERROR(__xludf.DUMMYFUNCTION("""COMPUTED_VALUE"""),40602.99861111111)</f>
        <v>40602.99861</v>
      </c>
      <c r="B303" s="1">
        <f>IFERROR(__xludf.DUMMYFUNCTION("""COMPUTED_VALUE"""),107.7099045)</f>
        <v>107.7099045</v>
      </c>
    </row>
    <row r="304">
      <c r="A304" s="3">
        <f>IFERROR(__xludf.DUMMYFUNCTION("""COMPUTED_VALUE"""),40603.99861111111)</f>
        <v>40603.99861</v>
      </c>
      <c r="B304" s="1">
        <f>IFERROR(__xludf.DUMMYFUNCTION("""COMPUTED_VALUE"""),107.42358)</f>
        <v>107.42358</v>
      </c>
    </row>
    <row r="305">
      <c r="A305" s="3">
        <f>IFERROR(__xludf.DUMMYFUNCTION("""COMPUTED_VALUE"""),40604.99861111111)</f>
        <v>40604.99861</v>
      </c>
      <c r="B305" s="1">
        <f>IFERROR(__xludf.DUMMYFUNCTION("""COMPUTED_VALUE"""),107.688139)</f>
        <v>107.688139</v>
      </c>
    </row>
    <row r="306">
      <c r="A306" s="3">
        <f>IFERROR(__xludf.DUMMYFUNCTION("""COMPUTED_VALUE"""),40605.99861111111)</f>
        <v>40605.99861</v>
      </c>
      <c r="B306" s="1">
        <f>IFERROR(__xludf.DUMMYFUNCTION("""COMPUTED_VALUE"""),106.8101085)</f>
        <v>106.8101085</v>
      </c>
    </row>
    <row r="307">
      <c r="A307" s="3">
        <f>IFERROR(__xludf.DUMMYFUNCTION("""COMPUTED_VALUE"""),40606.99861111111)</f>
        <v>40606.99861</v>
      </c>
      <c r="B307" s="1">
        <f>IFERROR(__xludf.DUMMYFUNCTION("""COMPUTED_VALUE"""),106.469235)</f>
        <v>106.469235</v>
      </c>
    </row>
    <row r="308">
      <c r="A308" s="3">
        <f>IFERROR(__xludf.DUMMYFUNCTION("""COMPUTED_VALUE"""),40609.99861111111)</f>
        <v>40609.99861</v>
      </c>
      <c r="B308" s="1">
        <f>IFERROR(__xludf.DUMMYFUNCTION("""COMPUTED_VALUE"""),106.7492925)</f>
        <v>106.7492925</v>
      </c>
    </row>
    <row r="309">
      <c r="A309" s="3">
        <f>IFERROR(__xludf.DUMMYFUNCTION("""COMPUTED_VALUE"""),40610.99861111111)</f>
        <v>40610.99861</v>
      </c>
      <c r="B309" s="1">
        <f>IFERROR(__xludf.DUMMYFUNCTION("""COMPUTED_VALUE"""),106.13488)</f>
        <v>106.13488</v>
      </c>
    </row>
    <row r="310">
      <c r="A310" s="3">
        <f>IFERROR(__xludf.DUMMYFUNCTION("""COMPUTED_VALUE"""),40611.99861111111)</f>
        <v>40611.99861</v>
      </c>
      <c r="B310" s="1">
        <f>IFERROR(__xludf.DUMMYFUNCTION("""COMPUTED_VALUE"""),105.7332)</f>
        <v>105.7332</v>
      </c>
    </row>
    <row r="311">
      <c r="A311" s="3">
        <f>IFERROR(__xludf.DUMMYFUNCTION("""COMPUTED_VALUE"""),40612.99861111111)</f>
        <v>40612.99861</v>
      </c>
      <c r="B311" s="1">
        <f>IFERROR(__xludf.DUMMYFUNCTION("""COMPUTED_VALUE"""),105.928407)</f>
        <v>105.928407</v>
      </c>
    </row>
    <row r="312">
      <c r="A312" s="3">
        <f>IFERROR(__xludf.DUMMYFUNCTION("""COMPUTED_VALUE"""),40613.99861111111)</f>
        <v>40613.99861</v>
      </c>
      <c r="B312" s="1">
        <f>IFERROR(__xludf.DUMMYFUNCTION("""COMPUTED_VALUE"""),107.1665595)</f>
        <v>107.1665595</v>
      </c>
    </row>
    <row r="313">
      <c r="A313" s="3">
        <f>IFERROR(__xludf.DUMMYFUNCTION("""COMPUTED_VALUE"""),40616.99861111111)</f>
        <v>40616.99861</v>
      </c>
      <c r="B313" s="1">
        <f>IFERROR(__xludf.DUMMYFUNCTION("""COMPUTED_VALUE"""),107.077139)</f>
        <v>107.077139</v>
      </c>
    </row>
    <row r="314">
      <c r="A314" s="3">
        <f>IFERROR(__xludf.DUMMYFUNCTION("""COMPUTED_VALUE"""),40617.99861111111)</f>
        <v>40617.99861</v>
      </c>
      <c r="B314" s="1">
        <f>IFERROR(__xludf.DUMMYFUNCTION("""COMPUTED_VALUE"""),108.19575)</f>
        <v>108.19575</v>
      </c>
    </row>
    <row r="315">
      <c r="A315" s="3">
        <f>IFERROR(__xludf.DUMMYFUNCTION("""COMPUTED_VALUE"""),40618.99861111111)</f>
        <v>40618.99861</v>
      </c>
      <c r="B315" s="1">
        <f>IFERROR(__xludf.DUMMYFUNCTION("""COMPUTED_VALUE"""),110.55751)</f>
        <v>110.55751</v>
      </c>
    </row>
    <row r="316">
      <c r="A316" s="3">
        <f>IFERROR(__xludf.DUMMYFUNCTION("""COMPUTED_VALUE"""),40619.99861111111)</f>
        <v>40619.99861</v>
      </c>
      <c r="B316" s="1">
        <f>IFERROR(__xludf.DUMMYFUNCTION("""COMPUTED_VALUE"""),110.2389)</f>
        <v>110.2389</v>
      </c>
    </row>
    <row r="317">
      <c r="A317" s="3">
        <f>IFERROR(__xludf.DUMMYFUNCTION("""COMPUTED_VALUE"""),40620.99861111111)</f>
        <v>40620.99861</v>
      </c>
      <c r="B317" s="1">
        <f>IFERROR(__xludf.DUMMYFUNCTION("""COMPUTED_VALUE"""),108.52545)</f>
        <v>108.52545</v>
      </c>
    </row>
    <row r="318">
      <c r="A318" s="3">
        <f>IFERROR(__xludf.DUMMYFUNCTION("""COMPUTED_VALUE"""),40623.99861111111)</f>
        <v>40623.99861</v>
      </c>
      <c r="B318" s="1">
        <f>IFERROR(__xludf.DUMMYFUNCTION("""COMPUTED_VALUE"""),107.3432)</f>
        <v>107.3432</v>
      </c>
    </row>
    <row r="319">
      <c r="A319" s="3">
        <f>IFERROR(__xludf.DUMMYFUNCTION("""COMPUTED_VALUE"""),40624.99861111111)</f>
        <v>40624.99861</v>
      </c>
      <c r="B319" s="1">
        <f>IFERROR(__xludf.DUMMYFUNCTION("""COMPUTED_VALUE"""),107.52993)</f>
        <v>107.52993</v>
      </c>
    </row>
    <row r="320">
      <c r="A320" s="3">
        <f>IFERROR(__xludf.DUMMYFUNCTION("""COMPUTED_VALUE"""),40625.99861111111)</f>
        <v>40625.99861</v>
      </c>
      <c r="B320" s="1">
        <f>IFERROR(__xludf.DUMMYFUNCTION("""COMPUTED_VALUE"""),107.797122)</f>
        <v>107.797122</v>
      </c>
    </row>
    <row r="321">
      <c r="A321" s="3">
        <f>IFERROR(__xludf.DUMMYFUNCTION("""COMPUTED_VALUE"""),40626.99861111111)</f>
        <v>40626.99861</v>
      </c>
      <c r="B321" s="1">
        <f>IFERROR(__xludf.DUMMYFUNCTION("""COMPUTED_VALUE"""),107.4814)</f>
        <v>107.4814</v>
      </c>
    </row>
    <row r="322">
      <c r="A322" s="3">
        <f>IFERROR(__xludf.DUMMYFUNCTION("""COMPUTED_VALUE"""),40627.99861111111)</f>
        <v>40627.99861</v>
      </c>
      <c r="B322" s="1">
        <f>IFERROR(__xludf.DUMMYFUNCTION("""COMPUTED_VALUE"""),106.986908)</f>
        <v>106.986908</v>
      </c>
    </row>
    <row r="323">
      <c r="A323" s="3">
        <f>IFERROR(__xludf.DUMMYFUNCTION("""COMPUTED_VALUE"""),40630.99861111111)</f>
        <v>40630.99861</v>
      </c>
      <c r="B323" s="1">
        <f>IFERROR(__xludf.DUMMYFUNCTION("""COMPUTED_VALUE"""),106.536404)</f>
        <v>106.536404</v>
      </c>
    </row>
    <row r="324">
      <c r="A324" s="3">
        <f>IFERROR(__xludf.DUMMYFUNCTION("""COMPUTED_VALUE"""),40631.99861111111)</f>
        <v>40631.99861</v>
      </c>
      <c r="B324" s="1">
        <f>IFERROR(__xludf.DUMMYFUNCTION("""COMPUTED_VALUE"""),105.396357)</f>
        <v>105.396357</v>
      </c>
    </row>
    <row r="325">
      <c r="A325" s="3">
        <f>IFERROR(__xludf.DUMMYFUNCTION("""COMPUTED_VALUE"""),40632.99861111111)</f>
        <v>40632.99861</v>
      </c>
      <c r="B325" s="1">
        <f>IFERROR(__xludf.DUMMYFUNCTION("""COMPUTED_VALUE"""),104.657391)</f>
        <v>104.657391</v>
      </c>
    </row>
    <row r="326">
      <c r="A326" s="3">
        <f>IFERROR(__xludf.DUMMYFUNCTION("""COMPUTED_VALUE"""),40633.99861111111)</f>
        <v>40633.99861</v>
      </c>
      <c r="B326" s="1">
        <f>IFERROR(__xludf.DUMMYFUNCTION("""COMPUTED_VALUE"""),104.545606)</f>
        <v>104.545606</v>
      </c>
    </row>
    <row r="327">
      <c r="A327" s="3">
        <f>IFERROR(__xludf.DUMMYFUNCTION("""COMPUTED_VALUE"""),40634.99861111111)</f>
        <v>40634.99861</v>
      </c>
      <c r="B327" s="1">
        <f>IFERROR(__xludf.DUMMYFUNCTION("""COMPUTED_VALUE"""),103.023283)</f>
        <v>103.023283</v>
      </c>
    </row>
    <row r="328">
      <c r="A328" s="3">
        <f>IFERROR(__xludf.DUMMYFUNCTION("""COMPUTED_VALUE"""),40635.99861111111)</f>
        <v>40635.99861</v>
      </c>
      <c r="B328" s="1">
        <f>IFERROR(__xludf.DUMMYFUNCTION("""COMPUTED_VALUE"""),102.993558)</f>
        <v>102.993558</v>
      </c>
    </row>
    <row r="329">
      <c r="A329" s="3">
        <f>IFERROR(__xludf.DUMMYFUNCTION("""COMPUTED_VALUE"""),40636.99861111111)</f>
        <v>40636.99861</v>
      </c>
      <c r="B329" s="1">
        <f>IFERROR(__xludf.DUMMYFUNCTION("""COMPUTED_VALUE"""),102.883225)</f>
        <v>102.883225</v>
      </c>
    </row>
    <row r="330">
      <c r="A330" s="3">
        <f>IFERROR(__xludf.DUMMYFUNCTION("""COMPUTED_VALUE"""),40637.99861111111)</f>
        <v>40637.99861</v>
      </c>
      <c r="B330" s="1">
        <f>IFERROR(__xludf.DUMMYFUNCTION("""COMPUTED_VALUE"""),102.713292)</f>
        <v>102.713292</v>
      </c>
    </row>
    <row r="331">
      <c r="A331" s="3">
        <f>IFERROR(__xludf.DUMMYFUNCTION("""COMPUTED_VALUE"""),40638.99861111111)</f>
        <v>40638.99861</v>
      </c>
      <c r="B331" s="1">
        <f>IFERROR(__xludf.DUMMYFUNCTION("""COMPUTED_VALUE"""),101.589742)</f>
        <v>101.589742</v>
      </c>
    </row>
    <row r="332">
      <c r="A332" s="3">
        <f>IFERROR(__xludf.DUMMYFUNCTION("""COMPUTED_VALUE"""),40639.99861111111)</f>
        <v>40639.99861</v>
      </c>
      <c r="B332" s="1">
        <f>IFERROR(__xludf.DUMMYFUNCTION("""COMPUTED_VALUE"""),101.226812)</f>
        <v>101.226812</v>
      </c>
    </row>
    <row r="333">
      <c r="A333" s="3">
        <f>IFERROR(__xludf.DUMMYFUNCTION("""COMPUTED_VALUE"""),40640.99861111111)</f>
        <v>40640.99861</v>
      </c>
      <c r="B333" s="1">
        <f>IFERROR(__xludf.DUMMYFUNCTION("""COMPUTED_VALUE"""),101.729287)</f>
        <v>101.729287</v>
      </c>
    </row>
    <row r="334">
      <c r="A334" s="3">
        <f>IFERROR(__xludf.DUMMYFUNCTION("""COMPUTED_VALUE"""),40641.99861111111)</f>
        <v>40641.99861</v>
      </c>
      <c r="B334" s="1">
        <f>IFERROR(__xludf.DUMMYFUNCTION("""COMPUTED_VALUE"""),101.58856)</f>
        <v>101.58856</v>
      </c>
    </row>
    <row r="335">
      <c r="A335" s="3">
        <f>IFERROR(__xludf.DUMMYFUNCTION("""COMPUTED_VALUE"""),40642.99861111111)</f>
        <v>40642.99861</v>
      </c>
      <c r="B335" s="1">
        <f>IFERROR(__xludf.DUMMYFUNCTION("""COMPUTED_VALUE"""),101.511144)</f>
        <v>101.511144</v>
      </c>
    </row>
    <row r="336">
      <c r="A336" s="3">
        <f>IFERROR(__xludf.DUMMYFUNCTION("""COMPUTED_VALUE"""),40643.99861111111)</f>
        <v>40643.99861</v>
      </c>
      <c r="B336" s="1">
        <f>IFERROR(__xludf.DUMMYFUNCTION("""COMPUTED_VALUE"""),101.33004)</f>
        <v>101.33004</v>
      </c>
    </row>
    <row r="337">
      <c r="A337" s="3">
        <f>IFERROR(__xludf.DUMMYFUNCTION("""COMPUTED_VALUE"""),40644.99861111111)</f>
        <v>40644.99861</v>
      </c>
      <c r="B337" s="1">
        <f>IFERROR(__xludf.DUMMYFUNCTION("""COMPUTED_VALUE"""),102.221455)</f>
        <v>102.221455</v>
      </c>
    </row>
    <row r="338">
      <c r="A338" s="3">
        <f>IFERROR(__xludf.DUMMYFUNCTION("""COMPUTED_VALUE"""),40645.99861111111)</f>
        <v>40645.99861</v>
      </c>
      <c r="B338" s="1">
        <f>IFERROR(__xludf.DUMMYFUNCTION("""COMPUTED_VALUE"""),103.05334)</f>
        <v>103.05334</v>
      </c>
    </row>
    <row r="339">
      <c r="A339" s="3">
        <f>IFERROR(__xludf.DUMMYFUNCTION("""COMPUTED_VALUE"""),40646.99861111111)</f>
        <v>40646.99861</v>
      </c>
      <c r="B339" s="1">
        <f>IFERROR(__xludf.DUMMYFUNCTION("""COMPUTED_VALUE"""),103.415205)</f>
        <v>103.415205</v>
      </c>
    </row>
    <row r="340">
      <c r="A340" s="3">
        <f>IFERROR(__xludf.DUMMYFUNCTION("""COMPUTED_VALUE"""),40647.99861111111)</f>
        <v>40647.99861</v>
      </c>
      <c r="B340" s="1">
        <f>IFERROR(__xludf.DUMMYFUNCTION("""COMPUTED_VALUE"""),103.409748)</f>
        <v>103.409748</v>
      </c>
    </row>
    <row r="341">
      <c r="A341" s="3">
        <f>IFERROR(__xludf.DUMMYFUNCTION("""COMPUTED_VALUE"""),40648.99861111111)</f>
        <v>40648.99861</v>
      </c>
      <c r="B341" s="1">
        <f>IFERROR(__xludf.DUMMYFUNCTION("""COMPUTED_VALUE"""),104.292882)</f>
        <v>104.292882</v>
      </c>
    </row>
    <row r="342">
      <c r="A342" s="3">
        <f>IFERROR(__xludf.DUMMYFUNCTION("""COMPUTED_VALUE"""),40649.99861111111)</f>
        <v>40649.99861</v>
      </c>
      <c r="B342" s="1">
        <f>IFERROR(__xludf.DUMMYFUNCTION("""COMPUTED_VALUE"""),104.292882)</f>
        <v>104.292882</v>
      </c>
    </row>
    <row r="343">
      <c r="A343" s="3">
        <f>IFERROR(__xludf.DUMMYFUNCTION("""COMPUTED_VALUE"""),40650.99861111111)</f>
        <v>40650.99861</v>
      </c>
      <c r="B343" s="1">
        <f>IFERROR(__xludf.DUMMYFUNCTION("""COMPUTED_VALUE"""),103.835972)</f>
        <v>103.835972</v>
      </c>
    </row>
    <row r="344">
      <c r="A344" s="3">
        <f>IFERROR(__xludf.DUMMYFUNCTION("""COMPUTED_VALUE"""),40651.99861111111)</f>
        <v>40651.99861</v>
      </c>
      <c r="B344" s="1">
        <f>IFERROR(__xludf.DUMMYFUNCTION("""COMPUTED_VALUE"""),105.092338)</f>
        <v>105.092338</v>
      </c>
    </row>
    <row r="345">
      <c r="A345" s="3">
        <f>IFERROR(__xludf.DUMMYFUNCTION("""COMPUTED_VALUE"""),40652.99861111111)</f>
        <v>40652.99861</v>
      </c>
      <c r="B345" s="1">
        <f>IFERROR(__xludf.DUMMYFUNCTION("""COMPUTED_VALUE"""),104.87554)</f>
        <v>104.87554</v>
      </c>
    </row>
    <row r="346">
      <c r="A346" s="3">
        <f>IFERROR(__xludf.DUMMYFUNCTION("""COMPUTED_VALUE"""),40653.99861111111)</f>
        <v>40653.99861</v>
      </c>
      <c r="B346" s="1">
        <f>IFERROR(__xludf.DUMMYFUNCTION("""COMPUTED_VALUE"""),104.725568)</f>
        <v>104.725568</v>
      </c>
    </row>
    <row r="347">
      <c r="A347" s="3">
        <f>IFERROR(__xludf.DUMMYFUNCTION("""COMPUTED_VALUE"""),40654.99861111111)</f>
        <v>40654.99861</v>
      </c>
      <c r="B347" s="1">
        <f>IFERROR(__xludf.DUMMYFUNCTION("""COMPUTED_VALUE"""),105.498063)</f>
        <v>105.498063</v>
      </c>
    </row>
    <row r="348">
      <c r="A348" s="3">
        <f>IFERROR(__xludf.DUMMYFUNCTION("""COMPUTED_VALUE"""),40655.99861111111)</f>
        <v>40655.99861</v>
      </c>
      <c r="B348" s="1">
        <f>IFERROR(__xludf.DUMMYFUNCTION("""COMPUTED_VALUE"""),105.443118)</f>
        <v>105.443118</v>
      </c>
    </row>
    <row r="349">
      <c r="A349" s="3">
        <f>IFERROR(__xludf.DUMMYFUNCTION("""COMPUTED_VALUE"""),40656.99861111111)</f>
        <v>40656.99861</v>
      </c>
      <c r="B349" s="1">
        <f>IFERROR(__xludf.DUMMYFUNCTION("""COMPUTED_VALUE"""),105.443118)</f>
        <v>105.443118</v>
      </c>
    </row>
    <row r="350">
      <c r="A350" s="3">
        <f>IFERROR(__xludf.DUMMYFUNCTION("""COMPUTED_VALUE"""),40657.99861111111)</f>
        <v>40657.99861</v>
      </c>
      <c r="B350" s="1">
        <f>IFERROR(__xludf.DUMMYFUNCTION("""COMPUTED_VALUE"""),105.285609)</f>
        <v>105.285609</v>
      </c>
    </row>
    <row r="351">
      <c r="A351" s="3">
        <f>IFERROR(__xludf.DUMMYFUNCTION("""COMPUTED_VALUE"""),40658.99861111111)</f>
        <v>40658.99861</v>
      </c>
      <c r="B351" s="1">
        <f>IFERROR(__xludf.DUMMYFUNCTION("""COMPUTED_VALUE"""),105.289272)</f>
        <v>105.289272</v>
      </c>
    </row>
    <row r="352">
      <c r="A352" s="3">
        <f>IFERROR(__xludf.DUMMYFUNCTION("""COMPUTED_VALUE"""),40659.99861111111)</f>
        <v>40659.99861</v>
      </c>
      <c r="B352" s="1">
        <f>IFERROR(__xludf.DUMMYFUNCTION("""COMPUTED_VALUE"""),105.728136)</f>
        <v>105.728136</v>
      </c>
    </row>
    <row r="353">
      <c r="A353" s="3">
        <f>IFERROR(__xludf.DUMMYFUNCTION("""COMPUTED_VALUE"""),40660.99861111111)</f>
        <v>40660.99861</v>
      </c>
      <c r="B353" s="1">
        <f>IFERROR(__xludf.DUMMYFUNCTION("""COMPUTED_VALUE"""),104.184448)</f>
        <v>104.184448</v>
      </c>
    </row>
    <row r="354">
      <c r="A354" s="3">
        <f>IFERROR(__xludf.DUMMYFUNCTION("""COMPUTED_VALUE"""),40661.99861111111)</f>
        <v>40661.99861</v>
      </c>
      <c r="B354" s="1">
        <f>IFERROR(__xludf.DUMMYFUNCTION("""COMPUTED_VALUE"""),104.861006)</f>
        <v>104.861006</v>
      </c>
    </row>
    <row r="355">
      <c r="A355" s="3">
        <f>IFERROR(__xludf.DUMMYFUNCTION("""COMPUTED_VALUE"""),40662.99861111111)</f>
        <v>40662.99861</v>
      </c>
      <c r="B355" s="1">
        <f>IFERROR(__xludf.DUMMYFUNCTION("""COMPUTED_VALUE"""),105.493007)</f>
        <v>105.493007</v>
      </c>
    </row>
    <row r="356">
      <c r="A356" s="3">
        <f>IFERROR(__xludf.DUMMYFUNCTION("""COMPUTED_VALUE"""),40663.99861111111)</f>
        <v>40663.99861</v>
      </c>
      <c r="B356" s="1">
        <f>IFERROR(__xludf.DUMMYFUNCTION("""COMPUTED_VALUE"""),105.19575)</f>
        <v>105.19575</v>
      </c>
    </row>
    <row r="357">
      <c r="A357" s="3">
        <f>IFERROR(__xludf.DUMMYFUNCTION("""COMPUTED_VALUE"""),40664.99861111111)</f>
        <v>40664.99861</v>
      </c>
      <c r="B357" s="1">
        <f>IFERROR(__xludf.DUMMYFUNCTION("""COMPUTED_VALUE"""),105.39132)</f>
        <v>105.39132</v>
      </c>
    </row>
    <row r="358">
      <c r="A358" s="3">
        <f>IFERROR(__xludf.DUMMYFUNCTION("""COMPUTED_VALUE"""),40665.99861111111)</f>
        <v>40665.99861</v>
      </c>
      <c r="B358" s="1">
        <f>IFERROR(__xludf.DUMMYFUNCTION("""COMPUTED_VALUE"""),105.390834)</f>
        <v>105.390834</v>
      </c>
    </row>
    <row r="359">
      <c r="A359" s="3">
        <f>IFERROR(__xludf.DUMMYFUNCTION("""COMPUTED_VALUE"""),40666.99861111111)</f>
        <v>40666.99861</v>
      </c>
      <c r="B359" s="1">
        <f>IFERROR(__xludf.DUMMYFUNCTION("""COMPUTED_VALUE"""),105.709825)</f>
        <v>105.709825</v>
      </c>
    </row>
    <row r="360">
      <c r="A360" s="3">
        <f>IFERROR(__xludf.DUMMYFUNCTION("""COMPUTED_VALUE"""),40667.99861111111)</f>
        <v>40667.99861</v>
      </c>
      <c r="B360" s="1">
        <f>IFERROR(__xludf.DUMMYFUNCTION("""COMPUTED_VALUE"""),105.83648)</f>
        <v>105.83648</v>
      </c>
    </row>
    <row r="361">
      <c r="A361" s="3">
        <f>IFERROR(__xludf.DUMMYFUNCTION("""COMPUTED_VALUE"""),40668.99861111111)</f>
        <v>40668.99861</v>
      </c>
      <c r="B361" s="1">
        <f>IFERROR(__xludf.DUMMYFUNCTION("""COMPUTED_VALUE"""),106.751372)</f>
        <v>106.751372</v>
      </c>
    </row>
    <row r="362">
      <c r="A362" s="3">
        <f>IFERROR(__xludf.DUMMYFUNCTION("""COMPUTED_VALUE"""),40669.99861111111)</f>
        <v>40669.99861</v>
      </c>
      <c r="B362" s="1">
        <f>IFERROR(__xludf.DUMMYFUNCTION("""COMPUTED_VALUE"""),107.79444)</f>
        <v>107.79444</v>
      </c>
    </row>
    <row r="363">
      <c r="A363" s="3">
        <f>IFERROR(__xludf.DUMMYFUNCTION("""COMPUTED_VALUE"""),40670.99861111111)</f>
        <v>40670.99861</v>
      </c>
      <c r="B363" s="1">
        <f>IFERROR(__xludf.DUMMYFUNCTION("""COMPUTED_VALUE"""),105.999732)</f>
        <v>105.999732</v>
      </c>
    </row>
    <row r="364">
      <c r="A364" s="3">
        <f>IFERROR(__xludf.DUMMYFUNCTION("""COMPUTED_VALUE"""),40671.99861111111)</f>
        <v>40671.99861</v>
      </c>
      <c r="B364" s="1">
        <f>IFERROR(__xludf.DUMMYFUNCTION("""COMPUTED_VALUE"""),106.694554)</f>
        <v>106.694554</v>
      </c>
    </row>
    <row r="365">
      <c r="A365" s="3">
        <f>IFERROR(__xludf.DUMMYFUNCTION("""COMPUTED_VALUE"""),40672.99861111111)</f>
        <v>40672.99861</v>
      </c>
      <c r="B365" s="1">
        <f>IFERROR(__xludf.DUMMYFUNCTION("""COMPUTED_VALUE"""),106.0989)</f>
        <v>106.0989</v>
      </c>
    </row>
    <row r="366">
      <c r="A366" s="3">
        <f>IFERROR(__xludf.DUMMYFUNCTION("""COMPUTED_VALUE"""),40673.99861111111)</f>
        <v>40673.99861</v>
      </c>
      <c r="B366" s="1">
        <f>IFERROR(__xludf.DUMMYFUNCTION("""COMPUTED_VALUE"""),105.237988)</f>
        <v>105.237988</v>
      </c>
    </row>
    <row r="367">
      <c r="A367" s="3">
        <f>IFERROR(__xludf.DUMMYFUNCTION("""COMPUTED_VALUE"""),40674.99861111111)</f>
        <v>40674.99861</v>
      </c>
      <c r="B367" s="1">
        <f>IFERROR(__xludf.DUMMYFUNCTION("""COMPUTED_VALUE"""),105.958644)</f>
        <v>105.958644</v>
      </c>
    </row>
    <row r="368">
      <c r="A368" s="3">
        <f>IFERROR(__xludf.DUMMYFUNCTION("""COMPUTED_VALUE"""),40675.99861111111)</f>
        <v>40675.99861</v>
      </c>
      <c r="B368" s="1">
        <f>IFERROR(__xludf.DUMMYFUNCTION("""COMPUTED_VALUE"""),105.4215)</f>
        <v>105.4215</v>
      </c>
    </row>
    <row r="369">
      <c r="A369" s="3">
        <f>IFERROR(__xludf.DUMMYFUNCTION("""COMPUTED_VALUE"""),40676.99861111111)</f>
        <v>40676.99861</v>
      </c>
      <c r="B369" s="1">
        <f>IFERROR(__xludf.DUMMYFUNCTION("""COMPUTED_VALUE"""),106.545994)</f>
        <v>106.545994</v>
      </c>
    </row>
    <row r="370">
      <c r="A370" s="3">
        <f>IFERROR(__xludf.DUMMYFUNCTION("""COMPUTED_VALUE"""),40677.99861111111)</f>
        <v>40677.99861</v>
      </c>
      <c r="B370" s="1">
        <f>IFERROR(__xludf.DUMMYFUNCTION("""COMPUTED_VALUE"""),106.452509)</f>
        <v>106.452509</v>
      </c>
    </row>
    <row r="371">
      <c r="A371" s="3">
        <f>IFERROR(__xludf.DUMMYFUNCTION("""COMPUTED_VALUE"""),40678.99861111111)</f>
        <v>40678.99861</v>
      </c>
      <c r="B371" s="1">
        <f>IFERROR(__xludf.DUMMYFUNCTION("""COMPUTED_VALUE"""),105.80061)</f>
        <v>105.80061</v>
      </c>
    </row>
    <row r="372">
      <c r="A372" s="3">
        <f>IFERROR(__xludf.DUMMYFUNCTION("""COMPUTED_VALUE"""),40679.99861111111)</f>
        <v>40679.99861</v>
      </c>
      <c r="B372" s="1">
        <f>IFERROR(__xludf.DUMMYFUNCTION("""COMPUTED_VALUE"""),106.373912)</f>
        <v>106.373912</v>
      </c>
    </row>
    <row r="373">
      <c r="A373" s="3">
        <f>IFERROR(__xludf.DUMMYFUNCTION("""COMPUTED_VALUE"""),40680.99861111111)</f>
        <v>40680.99861</v>
      </c>
      <c r="B373" s="1">
        <f>IFERROR(__xludf.DUMMYFUNCTION("""COMPUTED_VALUE"""),102.880612)</f>
        <v>102.880612</v>
      </c>
    </row>
    <row r="374">
      <c r="A374" s="3">
        <f>IFERROR(__xludf.DUMMYFUNCTION("""COMPUTED_VALUE"""),40681.99861111111)</f>
        <v>40681.99861</v>
      </c>
      <c r="B374" s="1">
        <f>IFERROR(__xludf.DUMMYFUNCTION("""COMPUTED_VALUE"""),104.569992)</f>
        <v>104.569992</v>
      </c>
    </row>
    <row r="375">
      <c r="A375" s="3">
        <f>IFERROR(__xludf.DUMMYFUNCTION("""COMPUTED_VALUE"""),40682.99861111111)</f>
        <v>40682.99861</v>
      </c>
      <c r="B375" s="1">
        <f>IFERROR(__xludf.DUMMYFUNCTION("""COMPUTED_VALUE"""),104.59096)</f>
        <v>104.59096</v>
      </c>
    </row>
    <row r="376">
      <c r="A376" s="3">
        <f>IFERROR(__xludf.DUMMYFUNCTION("""COMPUTED_VALUE"""),40683.99861111111)</f>
        <v>40683.99861</v>
      </c>
      <c r="B376" s="1">
        <f>IFERROR(__xludf.DUMMYFUNCTION("""COMPUTED_VALUE"""),104.74992)</f>
        <v>104.74992</v>
      </c>
    </row>
    <row r="377">
      <c r="A377" s="3">
        <f>IFERROR(__xludf.DUMMYFUNCTION("""COMPUTED_VALUE"""),40684.99861111111)</f>
        <v>40684.99861</v>
      </c>
      <c r="B377" s="1">
        <f>IFERROR(__xludf.DUMMYFUNCTION("""COMPUTED_VALUE"""),103.05468)</f>
        <v>103.05468</v>
      </c>
    </row>
    <row r="378">
      <c r="A378" s="3">
        <f>IFERROR(__xludf.DUMMYFUNCTION("""COMPUTED_VALUE"""),40685.99861111111)</f>
        <v>40685.99861</v>
      </c>
      <c r="B378" s="1">
        <f>IFERROR(__xludf.DUMMYFUNCTION("""COMPUTED_VALUE"""),104.7945103)</f>
        <v>104.7945103</v>
      </c>
    </row>
    <row r="379">
      <c r="A379" s="3">
        <f>IFERROR(__xludf.DUMMYFUNCTION("""COMPUTED_VALUE"""),40686.99861111111)</f>
        <v>40686.99861</v>
      </c>
      <c r="B379" s="1">
        <f>IFERROR(__xludf.DUMMYFUNCTION("""COMPUTED_VALUE"""),104.92)</f>
        <v>104.92</v>
      </c>
    </row>
    <row r="380">
      <c r="A380" s="3">
        <f>IFERROR(__xludf.DUMMYFUNCTION("""COMPUTED_VALUE"""),40687.99861111111)</f>
        <v>40687.99861</v>
      </c>
      <c r="B380" s="1">
        <f>IFERROR(__xludf.DUMMYFUNCTION("""COMPUTED_VALUE"""),102.382644)</f>
        <v>102.382644</v>
      </c>
    </row>
    <row r="381">
      <c r="A381" s="3">
        <f>IFERROR(__xludf.DUMMYFUNCTION("""COMPUTED_VALUE"""),40688.99861111111)</f>
        <v>40688.99861</v>
      </c>
      <c r="B381" s="1">
        <f>IFERROR(__xludf.DUMMYFUNCTION("""COMPUTED_VALUE"""),104.7358705)</f>
        <v>104.7358705</v>
      </c>
    </row>
    <row r="382">
      <c r="A382" s="3">
        <f>IFERROR(__xludf.DUMMYFUNCTION("""COMPUTED_VALUE"""),40689.99861111111)</f>
        <v>40689.99861</v>
      </c>
      <c r="B382" s="1">
        <f>IFERROR(__xludf.DUMMYFUNCTION("""COMPUTED_VALUE"""),105.4725)</f>
        <v>105.4725</v>
      </c>
    </row>
    <row r="383">
      <c r="A383" s="3">
        <f>IFERROR(__xludf.DUMMYFUNCTION("""COMPUTED_VALUE"""),40690.99861111111)</f>
        <v>40690.99861</v>
      </c>
      <c r="B383" s="1">
        <f>IFERROR(__xludf.DUMMYFUNCTION("""COMPUTED_VALUE"""),105.8865815)</f>
        <v>105.8865815</v>
      </c>
    </row>
    <row r="384">
      <c r="A384" s="3">
        <f>IFERROR(__xludf.DUMMYFUNCTION("""COMPUTED_VALUE"""),40691.99861111111)</f>
        <v>40691.99861</v>
      </c>
      <c r="B384" s="1">
        <f>IFERROR(__xludf.DUMMYFUNCTION("""COMPUTED_VALUE"""),103.501752)</f>
        <v>103.501752</v>
      </c>
    </row>
    <row r="385">
      <c r="A385" s="3">
        <f>IFERROR(__xludf.DUMMYFUNCTION("""COMPUTED_VALUE"""),40692.99861111111)</f>
        <v>40692.99861</v>
      </c>
      <c r="B385" s="1">
        <f>IFERROR(__xludf.DUMMYFUNCTION("""COMPUTED_VALUE"""),105.8865815)</f>
        <v>105.8865815</v>
      </c>
    </row>
    <row r="386">
      <c r="A386" s="3">
        <f>IFERROR(__xludf.DUMMYFUNCTION("""COMPUTED_VALUE"""),40693.99861111111)</f>
        <v>40693.99861</v>
      </c>
      <c r="B386" s="1">
        <f>IFERROR(__xludf.DUMMYFUNCTION("""COMPUTED_VALUE"""),105.609402)</f>
        <v>105.609402</v>
      </c>
    </row>
    <row r="387">
      <c r="A387" s="3">
        <f>IFERROR(__xludf.DUMMYFUNCTION("""COMPUTED_VALUE"""),40694.99861111111)</f>
        <v>40694.99861</v>
      </c>
      <c r="B387" s="1">
        <f>IFERROR(__xludf.DUMMYFUNCTION("""COMPUTED_VALUE"""),104.760033)</f>
        <v>104.760033</v>
      </c>
    </row>
    <row r="388">
      <c r="A388" s="3">
        <f>IFERROR(__xludf.DUMMYFUNCTION("""COMPUTED_VALUE"""),40695.99861111111)</f>
        <v>40695.99861</v>
      </c>
      <c r="B388" s="1">
        <f>IFERROR(__xludf.DUMMYFUNCTION("""COMPUTED_VALUE"""),105.5544)</f>
        <v>105.5544</v>
      </c>
    </row>
    <row r="389">
      <c r="A389" s="3">
        <f>IFERROR(__xludf.DUMMYFUNCTION("""COMPUTED_VALUE"""),40696.99861111111)</f>
        <v>40696.99861</v>
      </c>
      <c r="B389" s="1">
        <f>IFERROR(__xludf.DUMMYFUNCTION("""COMPUTED_VALUE"""),105.470235)</f>
        <v>105.470235</v>
      </c>
    </row>
    <row r="390">
      <c r="A390" s="3">
        <f>IFERROR(__xludf.DUMMYFUNCTION("""COMPUTED_VALUE"""),40697.99861111111)</f>
        <v>40697.99861</v>
      </c>
      <c r="B390" s="1">
        <f>IFERROR(__xludf.DUMMYFUNCTION("""COMPUTED_VALUE"""),106.0796025)</f>
        <v>106.0796025</v>
      </c>
    </row>
    <row r="391">
      <c r="A391" s="3">
        <f>IFERROR(__xludf.DUMMYFUNCTION("""COMPUTED_VALUE"""),40698.99861111111)</f>
        <v>40698.99861</v>
      </c>
      <c r="B391" s="1">
        <f>IFERROR(__xludf.DUMMYFUNCTION("""COMPUTED_VALUE"""),106.2180508)</f>
        <v>106.2180508</v>
      </c>
    </row>
    <row r="392">
      <c r="A392" s="3">
        <f>IFERROR(__xludf.DUMMYFUNCTION("""COMPUTED_VALUE"""),40699.99861111111)</f>
        <v>40699.99861</v>
      </c>
      <c r="B392" s="1">
        <f>IFERROR(__xludf.DUMMYFUNCTION("""COMPUTED_VALUE"""),106.164807)</f>
        <v>106.164807</v>
      </c>
    </row>
    <row r="393">
      <c r="A393" s="3">
        <f>IFERROR(__xludf.DUMMYFUNCTION("""COMPUTED_VALUE"""),40700.99861111111)</f>
        <v>40700.99861</v>
      </c>
      <c r="B393" s="1">
        <f>IFERROR(__xludf.DUMMYFUNCTION("""COMPUTED_VALUE"""),106.08)</f>
        <v>106.08</v>
      </c>
    </row>
    <row r="394">
      <c r="A394" s="3">
        <f>IFERROR(__xludf.DUMMYFUNCTION("""COMPUTED_VALUE"""),40701.99861111111)</f>
        <v>40701.99861</v>
      </c>
      <c r="B394" s="1">
        <f>IFERROR(__xludf.DUMMYFUNCTION("""COMPUTED_VALUE"""),106.1876615)</f>
        <v>106.1876615</v>
      </c>
    </row>
    <row r="395">
      <c r="A395" s="3">
        <f>IFERROR(__xludf.DUMMYFUNCTION("""COMPUTED_VALUE"""),40702.99861111111)</f>
        <v>40702.99861</v>
      </c>
      <c r="B395" s="1">
        <f>IFERROR(__xludf.DUMMYFUNCTION("""COMPUTED_VALUE"""),106.217406)</f>
        <v>106.217406</v>
      </c>
    </row>
    <row r="396">
      <c r="A396" s="3">
        <f>IFERROR(__xludf.DUMMYFUNCTION("""COMPUTED_VALUE"""),40703.99861111111)</f>
        <v>40703.99861</v>
      </c>
      <c r="B396" s="1">
        <f>IFERROR(__xludf.DUMMYFUNCTION("""COMPUTED_VALUE"""),106.074)</f>
        <v>106.074</v>
      </c>
    </row>
    <row r="397">
      <c r="A397" s="3">
        <f>IFERROR(__xludf.DUMMYFUNCTION("""COMPUTED_VALUE"""),40704.99861111111)</f>
        <v>40704.99861</v>
      </c>
      <c r="B397" s="1">
        <f>IFERROR(__xludf.DUMMYFUNCTION("""COMPUTED_VALUE"""),106.184805)</f>
        <v>106.184805</v>
      </c>
    </row>
    <row r="398">
      <c r="A398" s="3">
        <f>IFERROR(__xludf.DUMMYFUNCTION("""COMPUTED_VALUE"""),40705.99861111111)</f>
        <v>40705.99861</v>
      </c>
      <c r="B398" s="1">
        <f>IFERROR(__xludf.DUMMYFUNCTION("""COMPUTED_VALUE"""),105.7752)</f>
        <v>105.7752</v>
      </c>
    </row>
    <row r="399">
      <c r="A399" s="3">
        <f>IFERROR(__xludf.DUMMYFUNCTION("""COMPUTED_VALUE"""),40706.99861111111)</f>
        <v>40706.99861</v>
      </c>
      <c r="B399" s="1">
        <f>IFERROR(__xludf.DUMMYFUNCTION("""COMPUTED_VALUE"""),106.0422525)</f>
        <v>106.0422525</v>
      </c>
    </row>
    <row r="400">
      <c r="A400" s="3">
        <f>IFERROR(__xludf.DUMMYFUNCTION("""COMPUTED_VALUE"""),40707.99861111111)</f>
        <v>40707.99861</v>
      </c>
      <c r="B400" s="1">
        <f>IFERROR(__xludf.DUMMYFUNCTION("""COMPUTED_VALUE"""),106.4869415)</f>
        <v>106.4869415</v>
      </c>
    </row>
    <row r="401">
      <c r="A401" s="3">
        <f>IFERROR(__xludf.DUMMYFUNCTION("""COMPUTED_VALUE"""),40708.99861111111)</f>
        <v>40708.99861</v>
      </c>
      <c r="B401" s="1">
        <f>IFERROR(__xludf.DUMMYFUNCTION("""COMPUTED_VALUE"""),105.9063195)</f>
        <v>105.9063195</v>
      </c>
    </row>
    <row r="402">
      <c r="A402" s="3">
        <f>IFERROR(__xludf.DUMMYFUNCTION("""COMPUTED_VALUE"""),40709.99861111111)</f>
        <v>40709.99861</v>
      </c>
      <c r="B402" s="1">
        <f>IFERROR(__xludf.DUMMYFUNCTION("""COMPUTED_VALUE"""),105.326976)</f>
        <v>105.326976</v>
      </c>
    </row>
    <row r="403">
      <c r="A403" s="3">
        <f>IFERROR(__xludf.DUMMYFUNCTION("""COMPUTED_VALUE"""),40710.99861111111)</f>
        <v>40710.99861</v>
      </c>
      <c r="B403" s="1">
        <f>IFERROR(__xludf.DUMMYFUNCTION("""COMPUTED_VALUE"""),106.8501)</f>
        <v>106.8501</v>
      </c>
    </row>
    <row r="404">
      <c r="A404" s="3">
        <f>IFERROR(__xludf.DUMMYFUNCTION("""COMPUTED_VALUE"""),40711.99861111111)</f>
        <v>40711.99861</v>
      </c>
      <c r="B404" s="1">
        <f>IFERROR(__xludf.DUMMYFUNCTION("""COMPUTED_VALUE"""),107.1642)</f>
        <v>107.1642</v>
      </c>
    </row>
    <row r="405">
      <c r="A405" s="3">
        <f>IFERROR(__xludf.DUMMYFUNCTION("""COMPUTED_VALUE"""),40712.99861111111)</f>
        <v>40712.99861</v>
      </c>
      <c r="B405" s="1">
        <f>IFERROR(__xludf.DUMMYFUNCTION("""COMPUTED_VALUE"""),104.667264)</f>
        <v>104.667264</v>
      </c>
    </row>
    <row r="406">
      <c r="A406" s="3">
        <f>IFERROR(__xludf.DUMMYFUNCTION("""COMPUTED_VALUE"""),40713.99861111111)</f>
        <v>40713.99861</v>
      </c>
      <c r="B406" s="1">
        <f>IFERROR(__xludf.DUMMYFUNCTION("""COMPUTED_VALUE"""),107.4010204)</f>
        <v>107.4010204</v>
      </c>
    </row>
    <row r="407">
      <c r="A407" s="3">
        <f>IFERROR(__xludf.DUMMYFUNCTION("""COMPUTED_VALUE"""),40714.99861111111)</f>
        <v>40714.99861</v>
      </c>
      <c r="B407" s="1">
        <f>IFERROR(__xludf.DUMMYFUNCTION("""COMPUTED_VALUE"""),107.298044)</f>
        <v>107.298044</v>
      </c>
    </row>
    <row r="408">
      <c r="A408" s="3">
        <f>IFERROR(__xludf.DUMMYFUNCTION("""COMPUTED_VALUE"""),40715.99861111111)</f>
        <v>40715.99861</v>
      </c>
      <c r="B408" s="1">
        <f>IFERROR(__xludf.DUMMYFUNCTION("""COMPUTED_VALUE"""),107.156)</f>
        <v>107.156</v>
      </c>
    </row>
    <row r="409">
      <c r="A409" s="3">
        <f>IFERROR(__xludf.DUMMYFUNCTION("""COMPUTED_VALUE"""),40716.99861111111)</f>
        <v>40716.99861</v>
      </c>
      <c r="B409" s="1">
        <f>IFERROR(__xludf.DUMMYFUNCTION("""COMPUTED_VALUE"""),106.6494)</f>
        <v>106.6494</v>
      </c>
    </row>
    <row r="410">
      <c r="A410" s="3">
        <f>IFERROR(__xludf.DUMMYFUNCTION("""COMPUTED_VALUE"""),40717.99861111111)</f>
        <v>40717.99861</v>
      </c>
      <c r="B410" s="1">
        <f>IFERROR(__xludf.DUMMYFUNCTION("""COMPUTED_VALUE"""),106.8973785)</f>
        <v>106.8973785</v>
      </c>
    </row>
    <row r="411">
      <c r="A411" s="3">
        <f>IFERROR(__xludf.DUMMYFUNCTION("""COMPUTED_VALUE"""),40718.99861111111)</f>
        <v>40718.99861</v>
      </c>
      <c r="B411" s="1">
        <f>IFERROR(__xludf.DUMMYFUNCTION("""COMPUTED_VALUE"""),106.5015)</f>
        <v>106.5015</v>
      </c>
    </row>
    <row r="412">
      <c r="A412" s="3">
        <f>IFERROR(__xludf.DUMMYFUNCTION("""COMPUTED_VALUE"""),40719.99861111111)</f>
        <v>40719.99861</v>
      </c>
      <c r="B412" s="1">
        <f>IFERROR(__xludf.DUMMYFUNCTION("""COMPUTED_VALUE"""),105.088144)</f>
        <v>105.088144</v>
      </c>
    </row>
    <row r="413">
      <c r="A413" s="3">
        <f>IFERROR(__xludf.DUMMYFUNCTION("""COMPUTED_VALUE"""),40720.99861111111)</f>
        <v>40720.99861</v>
      </c>
      <c r="B413" s="1">
        <f>IFERROR(__xludf.DUMMYFUNCTION("""COMPUTED_VALUE"""),106.8973785)</f>
        <v>106.8973785</v>
      </c>
    </row>
    <row r="414">
      <c r="A414" s="3">
        <f>IFERROR(__xludf.DUMMYFUNCTION("""COMPUTED_VALUE"""),40721.99861111111)</f>
        <v>40721.99861</v>
      </c>
      <c r="B414" s="1">
        <f>IFERROR(__xludf.DUMMYFUNCTION("""COMPUTED_VALUE"""),106.69125)</f>
        <v>106.69125</v>
      </c>
    </row>
    <row r="415">
      <c r="A415" s="3">
        <f>IFERROR(__xludf.DUMMYFUNCTION("""COMPUTED_VALUE"""),40722.99861111111)</f>
        <v>40722.99861</v>
      </c>
      <c r="B415" s="1">
        <f>IFERROR(__xludf.DUMMYFUNCTION("""COMPUTED_VALUE"""),106.2846)</f>
        <v>106.2846</v>
      </c>
    </row>
    <row r="416">
      <c r="A416" s="3">
        <f>IFERROR(__xludf.DUMMYFUNCTION("""COMPUTED_VALUE"""),40723.99861111111)</f>
        <v>40723.99861</v>
      </c>
      <c r="B416" s="1">
        <f>IFERROR(__xludf.DUMMYFUNCTION("""COMPUTED_VALUE"""),106.7640105)</f>
        <v>106.7640105</v>
      </c>
    </row>
    <row r="417">
      <c r="A417" s="3">
        <f>IFERROR(__xludf.DUMMYFUNCTION("""COMPUTED_VALUE"""),40724.99861111111)</f>
        <v>40724.99861</v>
      </c>
      <c r="B417" s="1">
        <f>IFERROR(__xludf.DUMMYFUNCTION("""COMPUTED_VALUE"""),106.2432)</f>
        <v>106.2432</v>
      </c>
    </row>
    <row r="418">
      <c r="A418" s="3">
        <f>IFERROR(__xludf.DUMMYFUNCTION("""COMPUTED_VALUE"""),40725.99861111111)</f>
        <v>40725.99861</v>
      </c>
      <c r="B418" s="1">
        <f>IFERROR(__xludf.DUMMYFUNCTION("""COMPUTED_VALUE"""),105.65217)</f>
        <v>105.65217</v>
      </c>
    </row>
    <row r="419">
      <c r="A419" s="3">
        <f>IFERROR(__xludf.DUMMYFUNCTION("""COMPUTED_VALUE"""),40726.99861111111)</f>
        <v>40726.99861</v>
      </c>
      <c r="B419" s="1">
        <f>IFERROR(__xludf.DUMMYFUNCTION("""COMPUTED_VALUE"""),103.597513)</f>
        <v>103.597513</v>
      </c>
    </row>
    <row r="420">
      <c r="A420" s="3">
        <f>IFERROR(__xludf.DUMMYFUNCTION("""COMPUTED_VALUE"""),40727.99861111111)</f>
        <v>40727.99861</v>
      </c>
      <c r="B420" s="1">
        <f>IFERROR(__xludf.DUMMYFUNCTION("""COMPUTED_VALUE"""),105.621762)</f>
        <v>105.621762</v>
      </c>
    </row>
    <row r="421">
      <c r="A421" s="3">
        <f>IFERROR(__xludf.DUMMYFUNCTION("""COMPUTED_VALUE"""),40728.99861111111)</f>
        <v>40728.99861</v>
      </c>
      <c r="B421" s="1">
        <f>IFERROR(__xludf.DUMMYFUNCTION("""COMPUTED_VALUE"""),105.507931)</f>
        <v>105.507931</v>
      </c>
    </row>
    <row r="422">
      <c r="A422" s="3">
        <f>IFERROR(__xludf.DUMMYFUNCTION("""COMPUTED_VALUE"""),40729.99861111111)</f>
        <v>40729.99861</v>
      </c>
      <c r="B422" s="1">
        <f>IFERROR(__xludf.DUMMYFUNCTION("""COMPUTED_VALUE"""),105.2667585)</f>
        <v>105.2667585</v>
      </c>
    </row>
    <row r="423">
      <c r="A423" s="3">
        <f>IFERROR(__xludf.DUMMYFUNCTION("""COMPUTED_VALUE"""),40730.99861111111)</f>
        <v>40730.99861</v>
      </c>
      <c r="B423" s="1">
        <f>IFERROR(__xludf.DUMMYFUNCTION("""COMPUTED_VALUE"""),105.410955)</f>
        <v>105.410955</v>
      </c>
    </row>
    <row r="424">
      <c r="A424" s="3">
        <f>IFERROR(__xludf.DUMMYFUNCTION("""COMPUTED_VALUE"""),40731.99861111111)</f>
        <v>40731.99861</v>
      </c>
      <c r="B424" s="1">
        <f>IFERROR(__xludf.DUMMYFUNCTION("""COMPUTED_VALUE"""),105.0467695)</f>
        <v>105.0467695</v>
      </c>
    </row>
    <row r="425">
      <c r="A425" s="3">
        <f>IFERROR(__xludf.DUMMYFUNCTION("""COMPUTED_VALUE"""),40732.99861111111)</f>
        <v>40732.99861</v>
      </c>
      <c r="B425" s="1">
        <f>IFERROR(__xludf.DUMMYFUNCTION("""COMPUTED_VALUE"""),105.55438)</f>
        <v>105.55438</v>
      </c>
    </row>
    <row r="426">
      <c r="A426" s="3">
        <f>IFERROR(__xludf.DUMMYFUNCTION("""COMPUTED_VALUE"""),40733.99861111111)</f>
        <v>40733.99861</v>
      </c>
      <c r="B426" s="1">
        <f>IFERROR(__xludf.DUMMYFUNCTION("""COMPUTED_VALUE"""),105.8923916)</f>
        <v>105.8923916</v>
      </c>
    </row>
    <row r="427">
      <c r="A427" s="3">
        <f>IFERROR(__xludf.DUMMYFUNCTION("""COMPUTED_VALUE"""),40734.99861111111)</f>
        <v>40734.99861</v>
      </c>
      <c r="B427" s="1">
        <f>IFERROR(__xludf.DUMMYFUNCTION("""COMPUTED_VALUE"""),105.4692555)</f>
        <v>105.4692555</v>
      </c>
    </row>
    <row r="428">
      <c r="A428" s="3">
        <f>IFERROR(__xludf.DUMMYFUNCTION("""COMPUTED_VALUE"""),40735.99861111111)</f>
        <v>40735.99861</v>
      </c>
      <c r="B428" s="1">
        <f>IFERROR(__xludf.DUMMYFUNCTION("""COMPUTED_VALUE"""),106.1480775)</f>
        <v>106.1480775</v>
      </c>
    </row>
    <row r="429">
      <c r="A429" s="3">
        <f>IFERROR(__xludf.DUMMYFUNCTION("""COMPUTED_VALUE"""),40736.99861111111)</f>
        <v>40736.99861</v>
      </c>
      <c r="B429" s="1">
        <f>IFERROR(__xludf.DUMMYFUNCTION("""COMPUTED_VALUE"""),107.94357)</f>
        <v>107.94357</v>
      </c>
    </row>
    <row r="430">
      <c r="A430" s="3">
        <f>IFERROR(__xludf.DUMMYFUNCTION("""COMPUTED_VALUE"""),40737.99861111111)</f>
        <v>40737.99861</v>
      </c>
      <c r="B430" s="1">
        <f>IFERROR(__xludf.DUMMYFUNCTION("""COMPUTED_VALUE"""),108.243)</f>
        <v>108.243</v>
      </c>
    </row>
    <row r="431">
      <c r="A431" s="3">
        <f>IFERROR(__xludf.DUMMYFUNCTION("""COMPUTED_VALUE"""),40738.99861111111)</f>
        <v>40738.99861</v>
      </c>
      <c r="B431" s="1">
        <f>IFERROR(__xludf.DUMMYFUNCTION("""COMPUTED_VALUE"""),107.7585285)</f>
        <v>107.7585285</v>
      </c>
    </row>
    <row r="432">
      <c r="A432" s="3">
        <f>IFERROR(__xludf.DUMMYFUNCTION("""COMPUTED_VALUE"""),40739.99861111111)</f>
        <v>40739.99861</v>
      </c>
      <c r="B432" s="1">
        <f>IFERROR(__xludf.DUMMYFUNCTION("""COMPUTED_VALUE"""),107.7837885)</f>
        <v>107.7837885</v>
      </c>
    </row>
    <row r="433">
      <c r="A433" s="3">
        <f>IFERROR(__xludf.DUMMYFUNCTION("""COMPUTED_VALUE"""),40740.99861111111)</f>
        <v>40740.99861</v>
      </c>
      <c r="B433" s="1">
        <f>IFERROR(__xludf.DUMMYFUNCTION("""COMPUTED_VALUE"""),105.831165)</f>
        <v>105.831165</v>
      </c>
    </row>
    <row r="434">
      <c r="A434" s="3">
        <f>IFERROR(__xludf.DUMMYFUNCTION("""COMPUTED_VALUE"""),40741.99861111111)</f>
        <v>40741.99861</v>
      </c>
      <c r="B434" s="1">
        <f>IFERROR(__xludf.DUMMYFUNCTION("""COMPUTED_VALUE"""),108.4120047)</f>
        <v>108.4120047</v>
      </c>
    </row>
    <row r="435">
      <c r="A435" s="3">
        <f>IFERROR(__xludf.DUMMYFUNCTION("""COMPUTED_VALUE"""),40742.99861111111)</f>
        <v>40742.99861</v>
      </c>
      <c r="B435" s="1">
        <f>IFERROR(__xludf.DUMMYFUNCTION("""COMPUTED_VALUE"""),108.32954)</f>
        <v>108.32954</v>
      </c>
    </row>
    <row r="436">
      <c r="A436" s="3">
        <f>IFERROR(__xludf.DUMMYFUNCTION("""COMPUTED_VALUE"""),40743.99861111111)</f>
        <v>40743.99861</v>
      </c>
      <c r="B436" s="1">
        <f>IFERROR(__xludf.DUMMYFUNCTION("""COMPUTED_VALUE"""),107.8602)</f>
        <v>107.8602</v>
      </c>
    </row>
    <row r="437">
      <c r="A437" s="3">
        <f>IFERROR(__xludf.DUMMYFUNCTION("""COMPUTED_VALUE"""),40744.99861111111)</f>
        <v>40744.99861</v>
      </c>
      <c r="B437" s="1">
        <f>IFERROR(__xludf.DUMMYFUNCTION("""COMPUTED_VALUE"""),108.2457)</f>
        <v>108.2457</v>
      </c>
    </row>
    <row r="438">
      <c r="A438" s="3">
        <f>IFERROR(__xludf.DUMMYFUNCTION("""COMPUTED_VALUE"""),40745.99861111111)</f>
        <v>40745.99861</v>
      </c>
      <c r="B438" s="1">
        <f>IFERROR(__xludf.DUMMYFUNCTION("""COMPUTED_VALUE"""),108.67601)</f>
        <v>108.67601</v>
      </c>
    </row>
    <row r="439">
      <c r="A439" s="3">
        <f>IFERROR(__xludf.DUMMYFUNCTION("""COMPUTED_VALUE"""),40746.99861111111)</f>
        <v>40746.99861</v>
      </c>
      <c r="B439" s="1">
        <f>IFERROR(__xludf.DUMMYFUNCTION("""COMPUTED_VALUE"""),108.52325)</f>
        <v>108.52325</v>
      </c>
    </row>
    <row r="440">
      <c r="A440" s="3">
        <f>IFERROR(__xludf.DUMMYFUNCTION("""COMPUTED_VALUE"""),40747.99861111111)</f>
        <v>40747.99861</v>
      </c>
      <c r="B440" s="1">
        <f>IFERROR(__xludf.DUMMYFUNCTION("""COMPUTED_VALUE"""),108.7958926)</f>
        <v>108.7958926</v>
      </c>
    </row>
    <row r="441">
      <c r="A441" s="3">
        <f>IFERROR(__xludf.DUMMYFUNCTION("""COMPUTED_VALUE"""),40748.99861111111)</f>
        <v>40748.99861</v>
      </c>
      <c r="B441" s="1">
        <f>IFERROR(__xludf.DUMMYFUNCTION("""COMPUTED_VALUE"""),108.803882)</f>
        <v>108.803882</v>
      </c>
    </row>
    <row r="442">
      <c r="A442" s="3">
        <f>IFERROR(__xludf.DUMMYFUNCTION("""COMPUTED_VALUE"""),40749.99861111111)</f>
        <v>40749.99861</v>
      </c>
      <c r="B442" s="1">
        <f>IFERROR(__xludf.DUMMYFUNCTION("""COMPUTED_VALUE"""),108.8380715)</f>
        <v>108.8380715</v>
      </c>
    </row>
    <row r="443">
      <c r="A443" s="3">
        <f>IFERROR(__xludf.DUMMYFUNCTION("""COMPUTED_VALUE"""),40750.99861111111)</f>
        <v>40750.99861</v>
      </c>
      <c r="B443" s="1">
        <f>IFERROR(__xludf.DUMMYFUNCTION("""COMPUTED_VALUE"""),109.055)</f>
        <v>109.055</v>
      </c>
    </row>
    <row r="444">
      <c r="A444" s="3">
        <f>IFERROR(__xludf.DUMMYFUNCTION("""COMPUTED_VALUE"""),40751.99861111111)</f>
        <v>40751.99861</v>
      </c>
      <c r="B444" s="1">
        <f>IFERROR(__xludf.DUMMYFUNCTION("""COMPUTED_VALUE"""),108.73924)</f>
        <v>108.73924</v>
      </c>
    </row>
    <row r="445">
      <c r="A445" s="3">
        <f>IFERROR(__xludf.DUMMYFUNCTION("""COMPUTED_VALUE"""),40752.99861111111)</f>
        <v>40752.99861</v>
      </c>
      <c r="B445" s="1">
        <f>IFERROR(__xludf.DUMMYFUNCTION("""COMPUTED_VALUE"""),109.2457)</f>
        <v>109.2457</v>
      </c>
    </row>
    <row r="446">
      <c r="A446" s="3">
        <f>IFERROR(__xludf.DUMMYFUNCTION("""COMPUTED_VALUE"""),40753.99861111111)</f>
        <v>40753.99861</v>
      </c>
      <c r="B446" s="1">
        <f>IFERROR(__xludf.DUMMYFUNCTION("""COMPUTED_VALUE"""),110.67)</f>
        <v>110.67</v>
      </c>
    </row>
    <row r="447">
      <c r="A447" s="3">
        <f>IFERROR(__xludf.DUMMYFUNCTION("""COMPUTED_VALUE"""),40754.99861111111)</f>
        <v>40754.99861</v>
      </c>
      <c r="B447" s="1">
        <f>IFERROR(__xludf.DUMMYFUNCTION("""COMPUTED_VALUE"""),106.921675)</f>
        <v>106.921675</v>
      </c>
    </row>
    <row r="448">
      <c r="A448" s="3">
        <f>IFERROR(__xludf.DUMMYFUNCTION("""COMPUTED_VALUE"""),40755.99861111111)</f>
        <v>40755.99861</v>
      </c>
      <c r="B448" s="1">
        <f>IFERROR(__xludf.DUMMYFUNCTION("""COMPUTED_VALUE"""),109.989353)</f>
        <v>109.989353</v>
      </c>
    </row>
    <row r="449">
      <c r="A449" s="3">
        <f>IFERROR(__xludf.DUMMYFUNCTION("""COMPUTED_VALUE"""),40756.99861111111)</f>
        <v>40756.99861</v>
      </c>
      <c r="B449" s="1">
        <f>IFERROR(__xludf.DUMMYFUNCTION("""COMPUTED_VALUE"""),108.79344)</f>
        <v>108.79344</v>
      </c>
    </row>
    <row r="450">
      <c r="A450" s="3">
        <f>IFERROR(__xludf.DUMMYFUNCTION("""COMPUTED_VALUE"""),40757.99861111111)</f>
        <v>40757.99861</v>
      </c>
      <c r="B450" s="1">
        <f>IFERROR(__xludf.DUMMYFUNCTION("""COMPUTED_VALUE"""),109.568803)</f>
        <v>109.568803</v>
      </c>
    </row>
    <row r="451">
      <c r="A451" s="3">
        <f>IFERROR(__xludf.DUMMYFUNCTION("""COMPUTED_VALUE"""),40758.99861111111)</f>
        <v>40758.99861</v>
      </c>
      <c r="B451" s="1">
        <f>IFERROR(__xludf.DUMMYFUNCTION("""COMPUTED_VALUE"""),107.894592)</f>
        <v>107.894592</v>
      </c>
    </row>
    <row r="452">
      <c r="A452" s="3">
        <f>IFERROR(__xludf.DUMMYFUNCTION("""COMPUTED_VALUE"""),40759.99861111111)</f>
        <v>40759.99861</v>
      </c>
      <c r="B452" s="1">
        <f>IFERROR(__xludf.DUMMYFUNCTION("""COMPUTED_VALUE"""),106.921688)</f>
        <v>106.921688</v>
      </c>
    </row>
    <row r="453">
      <c r="A453" s="3">
        <f>IFERROR(__xludf.DUMMYFUNCTION("""COMPUTED_VALUE"""),40760.99861111111)</f>
        <v>40760.99861</v>
      </c>
      <c r="B453" s="1">
        <f>IFERROR(__xludf.DUMMYFUNCTION("""COMPUTED_VALUE"""),108.5656125)</f>
        <v>108.5656125</v>
      </c>
    </row>
    <row r="454">
      <c r="A454" s="3">
        <f>IFERROR(__xludf.DUMMYFUNCTION("""COMPUTED_VALUE"""),40761.99861111111)</f>
        <v>40761.99861</v>
      </c>
      <c r="B454" s="1">
        <f>IFERROR(__xludf.DUMMYFUNCTION("""COMPUTED_VALUE"""),106.464358)</f>
        <v>106.464358</v>
      </c>
    </row>
    <row r="455">
      <c r="A455" s="3">
        <f>IFERROR(__xludf.DUMMYFUNCTION("""COMPUTED_VALUE"""),40762.99861111111)</f>
        <v>40762.99861</v>
      </c>
      <c r="B455" s="1">
        <f>IFERROR(__xludf.DUMMYFUNCTION("""COMPUTED_VALUE"""),108.7359115)</f>
        <v>108.7359115</v>
      </c>
    </row>
    <row r="456">
      <c r="A456" s="3">
        <f>IFERROR(__xludf.DUMMYFUNCTION("""COMPUTED_VALUE"""),40763.99861111111)</f>
        <v>40763.99861</v>
      </c>
      <c r="B456" s="1">
        <f>IFERROR(__xludf.DUMMYFUNCTION("""COMPUTED_VALUE"""),109.285287)</f>
        <v>109.285287</v>
      </c>
    </row>
    <row r="457">
      <c r="A457" s="3">
        <f>IFERROR(__xludf.DUMMYFUNCTION("""COMPUTED_VALUE"""),40764.99861111111)</f>
        <v>40764.99861</v>
      </c>
      <c r="B457" s="1">
        <f>IFERROR(__xludf.DUMMYFUNCTION("""COMPUTED_VALUE"""),110.473272)</f>
        <v>110.473272</v>
      </c>
    </row>
    <row r="458">
      <c r="A458" s="3">
        <f>IFERROR(__xludf.DUMMYFUNCTION("""COMPUTED_VALUE"""),40765.99861111111)</f>
        <v>40765.99861</v>
      </c>
      <c r="B458" s="1">
        <f>IFERROR(__xludf.DUMMYFUNCTION("""COMPUTED_VALUE"""),110.758909)</f>
        <v>110.758909</v>
      </c>
    </row>
    <row r="459">
      <c r="A459" s="3">
        <f>IFERROR(__xludf.DUMMYFUNCTION("""COMPUTED_VALUE"""),40766.99861111111)</f>
        <v>40766.99861</v>
      </c>
      <c r="B459" s="1">
        <f>IFERROR(__xludf.DUMMYFUNCTION("""COMPUTED_VALUE"""),110.6209)</f>
        <v>110.6209</v>
      </c>
    </row>
    <row r="460">
      <c r="A460" s="3">
        <f>IFERROR(__xludf.DUMMYFUNCTION("""COMPUTED_VALUE"""),40770.99861111111)</f>
        <v>40770.99861</v>
      </c>
      <c r="B460" s="1">
        <f>IFERROR(__xludf.DUMMYFUNCTION("""COMPUTED_VALUE"""),107.888027)</f>
        <v>107.888027</v>
      </c>
    </row>
    <row r="461">
      <c r="A461" s="3">
        <f>IFERROR(__xludf.DUMMYFUNCTION("""COMPUTED_VALUE"""),40771.99861111111)</f>
        <v>40771.99861</v>
      </c>
      <c r="B461" s="1">
        <f>IFERROR(__xludf.DUMMYFUNCTION("""COMPUTED_VALUE"""),108.830274)</f>
        <v>108.830274</v>
      </c>
    </row>
    <row r="462">
      <c r="A462" s="3">
        <f>IFERROR(__xludf.DUMMYFUNCTION("""COMPUTED_VALUE"""),40772.99861111111)</f>
        <v>40772.99861</v>
      </c>
      <c r="B462" s="1">
        <f>IFERROR(__xludf.DUMMYFUNCTION("""COMPUTED_VALUE"""),109.367052)</f>
        <v>109.367052</v>
      </c>
    </row>
    <row r="463">
      <c r="A463" s="3">
        <f>IFERROR(__xludf.DUMMYFUNCTION("""COMPUTED_VALUE"""),40773.99861111111)</f>
        <v>40773.99861</v>
      </c>
      <c r="B463" s="1">
        <f>IFERROR(__xludf.DUMMYFUNCTION("""COMPUTED_VALUE"""),111.708)</f>
        <v>111.708</v>
      </c>
    </row>
    <row r="464">
      <c r="A464" s="3">
        <f>IFERROR(__xludf.DUMMYFUNCTION("""COMPUTED_VALUE"""),40774.99861111111)</f>
        <v>40774.99861</v>
      </c>
      <c r="B464" s="1">
        <f>IFERROR(__xludf.DUMMYFUNCTION("""COMPUTED_VALUE"""),111.527176)</f>
        <v>111.527176</v>
      </c>
    </row>
    <row r="465">
      <c r="A465" s="3">
        <f>IFERROR(__xludf.DUMMYFUNCTION("""COMPUTED_VALUE"""),40775.99861111111)</f>
        <v>40775.99861</v>
      </c>
      <c r="B465" s="1">
        <f>IFERROR(__xludf.DUMMYFUNCTION("""COMPUTED_VALUE"""),108.994651)</f>
        <v>108.994651</v>
      </c>
    </row>
    <row r="466">
      <c r="A466" s="3">
        <f>IFERROR(__xludf.DUMMYFUNCTION("""COMPUTED_VALUE"""),40776.99861111111)</f>
        <v>40776.99861</v>
      </c>
      <c r="B466" s="1">
        <f>IFERROR(__xludf.DUMMYFUNCTION("""COMPUTED_VALUE"""),111.6638035)</f>
        <v>111.6638035</v>
      </c>
    </row>
    <row r="467">
      <c r="A467" s="3">
        <f>IFERROR(__xludf.DUMMYFUNCTION("""COMPUTED_VALUE"""),40777.99861111111)</f>
        <v>40777.99861</v>
      </c>
      <c r="B467" s="1">
        <f>IFERROR(__xludf.DUMMYFUNCTION("""COMPUTED_VALUE"""),111.06637)</f>
        <v>111.06637</v>
      </c>
    </row>
    <row r="468">
      <c r="A468" s="3">
        <f>IFERROR(__xludf.DUMMYFUNCTION("""COMPUTED_VALUE"""),40778.99861111111)</f>
        <v>40778.99861</v>
      </c>
      <c r="B468" s="1">
        <f>IFERROR(__xludf.DUMMYFUNCTION("""COMPUTED_VALUE"""),111.40072)</f>
        <v>111.40072</v>
      </c>
    </row>
    <row r="469">
      <c r="A469" s="3">
        <f>IFERROR(__xludf.DUMMYFUNCTION("""COMPUTED_VALUE"""),40779.99861111111)</f>
        <v>40779.99861</v>
      </c>
      <c r="B469" s="1">
        <f>IFERROR(__xludf.DUMMYFUNCTION("""COMPUTED_VALUE"""),110.8935)</f>
        <v>110.8935</v>
      </c>
    </row>
    <row r="470">
      <c r="A470" s="3">
        <f>IFERROR(__xludf.DUMMYFUNCTION("""COMPUTED_VALUE"""),40780.99861111111)</f>
        <v>40780.99861</v>
      </c>
      <c r="B470" s="1">
        <f>IFERROR(__xludf.DUMMYFUNCTION("""COMPUTED_VALUE"""),111.026)</f>
        <v>111.026</v>
      </c>
    </row>
    <row r="471">
      <c r="A471" s="3">
        <f>IFERROR(__xludf.DUMMYFUNCTION("""COMPUTED_VALUE"""),40781.99861111111)</f>
        <v>40781.99861</v>
      </c>
      <c r="B471" s="1">
        <f>IFERROR(__xludf.DUMMYFUNCTION("""COMPUTED_VALUE"""),111.41376)</f>
        <v>111.41376</v>
      </c>
    </row>
    <row r="472">
      <c r="A472" s="3">
        <f>IFERROR(__xludf.DUMMYFUNCTION("""COMPUTED_VALUE"""),40782.99861111111)</f>
        <v>40782.99861</v>
      </c>
      <c r="B472" s="1">
        <f>IFERROR(__xludf.DUMMYFUNCTION("""COMPUTED_VALUE"""),109.003968)</f>
        <v>109.003968</v>
      </c>
    </row>
    <row r="473">
      <c r="A473" s="3">
        <f>IFERROR(__xludf.DUMMYFUNCTION("""COMPUTED_VALUE"""),40783.99861111111)</f>
        <v>40783.99861</v>
      </c>
      <c r="B473" s="1">
        <f>IFERROR(__xludf.DUMMYFUNCTION("""COMPUTED_VALUE"""),111.269668)</f>
        <v>111.269668</v>
      </c>
    </row>
    <row r="474">
      <c r="A474" s="3">
        <f>IFERROR(__xludf.DUMMYFUNCTION("""COMPUTED_VALUE"""),40784.99861111111)</f>
        <v>40784.99861</v>
      </c>
      <c r="B474" s="1">
        <f>IFERROR(__xludf.DUMMYFUNCTION("""COMPUTED_VALUE"""),110.6748)</f>
        <v>110.6748</v>
      </c>
    </row>
    <row r="475">
      <c r="A475" s="3">
        <f>IFERROR(__xludf.DUMMYFUNCTION("""COMPUTED_VALUE"""),40785.99861111111)</f>
        <v>40785.99861</v>
      </c>
      <c r="B475" s="1">
        <f>IFERROR(__xludf.DUMMYFUNCTION("""COMPUTED_VALUE"""),111.1843385)</f>
        <v>111.1843385</v>
      </c>
    </row>
    <row r="476">
      <c r="A476" s="3">
        <f>IFERROR(__xludf.DUMMYFUNCTION("""COMPUTED_VALUE"""),40786.99861111111)</f>
        <v>40786.99861</v>
      </c>
      <c r="B476" s="1">
        <f>IFERROR(__xludf.DUMMYFUNCTION("""COMPUTED_VALUE"""),111.1843385)</f>
        <v>111.1843385</v>
      </c>
    </row>
    <row r="477">
      <c r="A477" s="3">
        <f>IFERROR(__xludf.DUMMYFUNCTION("""COMPUTED_VALUE"""),40787.99861111111)</f>
        <v>40787.99861</v>
      </c>
      <c r="B477" s="1">
        <f>IFERROR(__xludf.DUMMYFUNCTION("""COMPUTED_VALUE"""),110.4549)</f>
        <v>110.4549</v>
      </c>
    </row>
    <row r="478">
      <c r="A478" s="3">
        <f>IFERROR(__xludf.DUMMYFUNCTION("""COMPUTED_VALUE"""),40788.99861111111)</f>
        <v>40788.99861</v>
      </c>
      <c r="B478" s="1">
        <f>IFERROR(__xludf.DUMMYFUNCTION("""COMPUTED_VALUE"""),110.67)</f>
        <v>110.67</v>
      </c>
    </row>
    <row r="479">
      <c r="A479" s="3">
        <f>IFERROR(__xludf.DUMMYFUNCTION("""COMPUTED_VALUE"""),40789.99861111111)</f>
        <v>40789.99861</v>
      </c>
      <c r="B479" s="1">
        <f>IFERROR(__xludf.DUMMYFUNCTION("""COMPUTED_VALUE"""),109.39404)</f>
        <v>109.39404</v>
      </c>
    </row>
    <row r="480">
      <c r="A480" s="3">
        <f>IFERROR(__xludf.DUMMYFUNCTION("""COMPUTED_VALUE"""),40790.99861111111)</f>
        <v>40790.99861</v>
      </c>
      <c r="B480" s="1">
        <f>IFERROR(__xludf.DUMMYFUNCTION("""COMPUTED_VALUE"""),111.58797)</f>
        <v>111.58797</v>
      </c>
    </row>
    <row r="481">
      <c r="A481" s="3">
        <f>IFERROR(__xludf.DUMMYFUNCTION("""COMPUTED_VALUE"""),40791.99861111111)</f>
        <v>40791.99861</v>
      </c>
      <c r="B481" s="1">
        <f>IFERROR(__xludf.DUMMYFUNCTION("""COMPUTED_VALUE"""),108.9335)</f>
        <v>108.9335</v>
      </c>
    </row>
    <row r="482">
      <c r="A482" s="3">
        <f>IFERROR(__xludf.DUMMYFUNCTION("""COMPUTED_VALUE"""),40792.99861111111)</f>
        <v>40792.99861</v>
      </c>
      <c r="B482" s="1">
        <f>IFERROR(__xludf.DUMMYFUNCTION("""COMPUTED_VALUE"""),110.161996)</f>
        <v>110.161996</v>
      </c>
    </row>
    <row r="483">
      <c r="A483" s="3">
        <f>IFERROR(__xludf.DUMMYFUNCTION("""COMPUTED_VALUE"""),40793.99861111111)</f>
        <v>40793.99861</v>
      </c>
      <c r="B483" s="1">
        <f>IFERROR(__xludf.DUMMYFUNCTION("""COMPUTED_VALUE"""),110.35755)</f>
        <v>110.35755</v>
      </c>
    </row>
    <row r="484">
      <c r="A484" s="3">
        <f>IFERROR(__xludf.DUMMYFUNCTION("""COMPUTED_VALUE"""),40794.99861111111)</f>
        <v>40794.99861</v>
      </c>
      <c r="B484" s="1">
        <f>IFERROR(__xludf.DUMMYFUNCTION("""COMPUTED_VALUE"""),110.526555)</f>
        <v>110.526555</v>
      </c>
    </row>
    <row r="485">
      <c r="A485" s="3">
        <f>IFERROR(__xludf.DUMMYFUNCTION("""COMPUTED_VALUE"""),40795.99861111111)</f>
        <v>40795.99861</v>
      </c>
      <c r="B485" s="1">
        <f>IFERROR(__xludf.DUMMYFUNCTION("""COMPUTED_VALUE"""),110.380956)</f>
        <v>110.380956</v>
      </c>
    </row>
    <row r="486">
      <c r="A486" s="3">
        <f>IFERROR(__xludf.DUMMYFUNCTION("""COMPUTED_VALUE"""),40796.99861111111)</f>
        <v>40796.99861</v>
      </c>
      <c r="B486" s="1">
        <f>IFERROR(__xludf.DUMMYFUNCTION("""COMPUTED_VALUE"""),110.5579272)</f>
        <v>110.5579272</v>
      </c>
    </row>
    <row r="487">
      <c r="A487" s="3">
        <f>IFERROR(__xludf.DUMMYFUNCTION("""COMPUTED_VALUE"""),40797.99861111111)</f>
        <v>40797.99861</v>
      </c>
      <c r="B487" s="1">
        <f>IFERROR(__xludf.DUMMYFUNCTION("""COMPUTED_VALUE"""),109.54293)</f>
        <v>109.54293</v>
      </c>
    </row>
    <row r="488">
      <c r="A488" s="3">
        <f>IFERROR(__xludf.DUMMYFUNCTION("""COMPUTED_VALUE"""),40798.99861111111)</f>
        <v>40798.99861</v>
      </c>
      <c r="B488" s="1">
        <f>IFERROR(__xludf.DUMMYFUNCTION("""COMPUTED_VALUE"""),111.011285)</f>
        <v>111.011285</v>
      </c>
    </row>
    <row r="489">
      <c r="A489" s="3">
        <f>IFERROR(__xludf.DUMMYFUNCTION("""COMPUTED_VALUE"""),40799.99861111111)</f>
        <v>40799.99861</v>
      </c>
      <c r="B489" s="1">
        <f>IFERROR(__xludf.DUMMYFUNCTION("""COMPUTED_VALUE"""),112.11669)</f>
        <v>112.11669</v>
      </c>
    </row>
    <row r="490">
      <c r="A490" s="3">
        <f>IFERROR(__xludf.DUMMYFUNCTION("""COMPUTED_VALUE"""),40800.99861111111)</f>
        <v>40800.99861</v>
      </c>
      <c r="B490" s="1">
        <f>IFERROR(__xludf.DUMMYFUNCTION("""COMPUTED_VALUE"""),113.708148)</f>
        <v>113.708148</v>
      </c>
    </row>
    <row r="491">
      <c r="A491" s="3">
        <f>IFERROR(__xludf.DUMMYFUNCTION("""COMPUTED_VALUE"""),40801.99861111111)</f>
        <v>40801.99861</v>
      </c>
      <c r="B491" s="1">
        <f>IFERROR(__xludf.DUMMYFUNCTION("""COMPUTED_VALUE"""),114.78127)</f>
        <v>114.78127</v>
      </c>
    </row>
    <row r="492">
      <c r="A492" s="3">
        <f>IFERROR(__xludf.DUMMYFUNCTION("""COMPUTED_VALUE"""),40802.99861111111)</f>
        <v>40802.99861</v>
      </c>
      <c r="B492" s="1">
        <f>IFERROR(__xludf.DUMMYFUNCTION("""COMPUTED_VALUE"""),114.119649)</f>
        <v>114.119649</v>
      </c>
    </row>
    <row r="493">
      <c r="A493" s="3">
        <f>IFERROR(__xludf.DUMMYFUNCTION("""COMPUTED_VALUE"""),40803.99861111111)</f>
        <v>40803.99861</v>
      </c>
      <c r="B493" s="1">
        <f>IFERROR(__xludf.DUMMYFUNCTION("""COMPUTED_VALUE"""),114.7136474)</f>
        <v>114.7136474</v>
      </c>
    </row>
    <row r="494">
      <c r="A494" s="3">
        <f>IFERROR(__xludf.DUMMYFUNCTION("""COMPUTED_VALUE"""),40804.99861111111)</f>
        <v>40804.99861</v>
      </c>
      <c r="B494" s="1">
        <f>IFERROR(__xludf.DUMMYFUNCTION("""COMPUTED_VALUE"""),113.94435)</f>
        <v>113.94435</v>
      </c>
    </row>
    <row r="495">
      <c r="A495" s="3">
        <f>IFERROR(__xludf.DUMMYFUNCTION("""COMPUTED_VALUE"""),40805.99861111111)</f>
        <v>40805.99861</v>
      </c>
      <c r="B495" s="1">
        <f>IFERROR(__xludf.DUMMYFUNCTION("""COMPUTED_VALUE"""),115.13232)</f>
        <v>115.13232</v>
      </c>
    </row>
    <row r="496">
      <c r="A496" s="3">
        <f>IFERROR(__xludf.DUMMYFUNCTION("""COMPUTED_VALUE"""),40806.99861111111)</f>
        <v>40806.99861</v>
      </c>
      <c r="B496" s="1">
        <f>IFERROR(__xludf.DUMMYFUNCTION("""COMPUTED_VALUE"""),115.270116)</f>
        <v>115.270116</v>
      </c>
    </row>
    <row r="497">
      <c r="A497" s="3">
        <f>IFERROR(__xludf.DUMMYFUNCTION("""COMPUTED_VALUE"""),40807.99861111111)</f>
        <v>40807.99861</v>
      </c>
      <c r="B497" s="1">
        <f>IFERROR(__xludf.DUMMYFUNCTION("""COMPUTED_VALUE"""),115.462154)</f>
        <v>115.462154</v>
      </c>
    </row>
    <row r="498">
      <c r="A498" s="3">
        <f>IFERROR(__xludf.DUMMYFUNCTION("""COMPUTED_VALUE"""),40808.99861111111)</f>
        <v>40808.99861</v>
      </c>
      <c r="B498" s="1">
        <f>IFERROR(__xludf.DUMMYFUNCTION("""COMPUTED_VALUE"""),114.794645)</f>
        <v>114.794645</v>
      </c>
    </row>
    <row r="499">
      <c r="A499" s="3">
        <f>IFERROR(__xludf.DUMMYFUNCTION("""COMPUTED_VALUE"""),40809.99861111111)</f>
        <v>40809.99861</v>
      </c>
      <c r="B499" s="1">
        <f>IFERROR(__xludf.DUMMYFUNCTION("""COMPUTED_VALUE"""),114.22143)</f>
        <v>114.22143</v>
      </c>
    </row>
    <row r="500">
      <c r="A500" s="3">
        <f>IFERROR(__xludf.DUMMYFUNCTION("""COMPUTED_VALUE"""),40810.99861111111)</f>
        <v>40810.99861</v>
      </c>
      <c r="B500" s="1">
        <f>IFERROR(__xludf.DUMMYFUNCTION("""COMPUTED_VALUE"""),112.29451)</f>
        <v>112.29451</v>
      </c>
    </row>
    <row r="501">
      <c r="A501" s="3">
        <f>IFERROR(__xludf.DUMMYFUNCTION("""COMPUTED_VALUE"""),40811.99861111111)</f>
        <v>40811.99861</v>
      </c>
      <c r="B501" s="1">
        <f>IFERROR(__xludf.DUMMYFUNCTION("""COMPUTED_VALUE"""),114.666147)</f>
        <v>114.666147</v>
      </c>
    </row>
    <row r="502">
      <c r="A502" s="3">
        <f>IFERROR(__xludf.DUMMYFUNCTION("""COMPUTED_VALUE"""),40812.99861111111)</f>
        <v>40812.99861</v>
      </c>
      <c r="B502" s="1">
        <f>IFERROR(__xludf.DUMMYFUNCTION("""COMPUTED_VALUE"""),118.948)</f>
        <v>118.948</v>
      </c>
    </row>
    <row r="503">
      <c r="A503" s="3">
        <f>IFERROR(__xludf.DUMMYFUNCTION("""COMPUTED_VALUE"""),40813.99861111111)</f>
        <v>40813.99861</v>
      </c>
      <c r="B503" s="1">
        <f>IFERROR(__xludf.DUMMYFUNCTION("""COMPUTED_VALUE"""),115.942449)</f>
        <v>115.942449</v>
      </c>
    </row>
    <row r="504">
      <c r="A504" s="3">
        <f>IFERROR(__xludf.DUMMYFUNCTION("""COMPUTED_VALUE"""),40814.99861111111)</f>
        <v>40814.99861</v>
      </c>
      <c r="B504" s="1">
        <f>IFERROR(__xludf.DUMMYFUNCTION("""COMPUTED_VALUE"""),116.102747)</f>
        <v>116.102747</v>
      </c>
    </row>
    <row r="505">
      <c r="A505" s="3">
        <f>IFERROR(__xludf.DUMMYFUNCTION("""COMPUTED_VALUE"""),40815.99861111111)</f>
        <v>40815.99861</v>
      </c>
      <c r="B505" s="1">
        <f>IFERROR(__xludf.DUMMYFUNCTION("""COMPUTED_VALUE"""),116.652378)</f>
        <v>116.652378</v>
      </c>
    </row>
    <row r="506">
      <c r="A506" s="3">
        <f>IFERROR(__xludf.DUMMYFUNCTION("""COMPUTED_VALUE"""),40816.99861111111)</f>
        <v>40816.99861</v>
      </c>
      <c r="B506" s="1">
        <f>IFERROR(__xludf.DUMMYFUNCTION("""COMPUTED_VALUE"""),114.0056515)</f>
        <v>114.0056515</v>
      </c>
    </row>
    <row r="507">
      <c r="A507" s="3">
        <f>IFERROR(__xludf.DUMMYFUNCTION("""COMPUTED_VALUE"""),40817.99861111111)</f>
        <v>40817.99861</v>
      </c>
      <c r="B507" s="1">
        <f>IFERROR(__xludf.DUMMYFUNCTION("""COMPUTED_VALUE"""),117.3913041)</f>
        <v>117.3913041</v>
      </c>
    </row>
    <row r="508">
      <c r="A508" s="3">
        <f>IFERROR(__xludf.DUMMYFUNCTION("""COMPUTED_VALUE"""),40818.99861111111)</f>
        <v>40818.99861</v>
      </c>
      <c r="B508" s="1">
        <f>IFERROR(__xludf.DUMMYFUNCTION("""COMPUTED_VALUE"""),113.8298525)</f>
        <v>113.8298525</v>
      </c>
    </row>
    <row r="509">
      <c r="A509" s="3">
        <f>IFERROR(__xludf.DUMMYFUNCTION("""COMPUTED_VALUE"""),40819.99861111111)</f>
        <v>40819.99861</v>
      </c>
      <c r="B509" s="1">
        <f>IFERROR(__xludf.DUMMYFUNCTION("""COMPUTED_VALUE"""),116.1117225)</f>
        <v>116.1117225</v>
      </c>
    </row>
    <row r="510">
      <c r="A510" s="3">
        <f>IFERROR(__xludf.DUMMYFUNCTION("""COMPUTED_VALUE"""),40820.99861111111)</f>
        <v>40820.99861</v>
      </c>
      <c r="B510" s="1">
        <f>IFERROR(__xludf.DUMMYFUNCTION("""COMPUTED_VALUE"""),112.25844)</f>
        <v>112.25844</v>
      </c>
    </row>
    <row r="511">
      <c r="A511" s="3">
        <f>IFERROR(__xludf.DUMMYFUNCTION("""COMPUTED_VALUE"""),40821.99861111111)</f>
        <v>40821.99861</v>
      </c>
      <c r="B511" s="1">
        <f>IFERROR(__xludf.DUMMYFUNCTION("""COMPUTED_VALUE"""),116.611026)</f>
        <v>116.611026</v>
      </c>
    </row>
    <row r="512">
      <c r="A512" s="3">
        <f>IFERROR(__xludf.DUMMYFUNCTION("""COMPUTED_VALUE"""),40822.99861111111)</f>
        <v>40822.99861</v>
      </c>
      <c r="B512" s="1">
        <f>IFERROR(__xludf.DUMMYFUNCTION("""COMPUTED_VALUE"""),115.9256)</f>
        <v>115.9256</v>
      </c>
    </row>
    <row r="513">
      <c r="A513" s="3">
        <f>IFERROR(__xludf.DUMMYFUNCTION("""COMPUTED_VALUE"""),40823.99861111111)</f>
        <v>40823.99861</v>
      </c>
      <c r="B513" s="1">
        <f>IFERROR(__xludf.DUMMYFUNCTION("""COMPUTED_VALUE"""),115.9337735)</f>
        <v>115.9337735</v>
      </c>
    </row>
    <row r="514">
      <c r="A514" s="3">
        <f>IFERROR(__xludf.DUMMYFUNCTION("""COMPUTED_VALUE"""),40824.99861111111)</f>
        <v>40824.99861</v>
      </c>
      <c r="B514" s="1">
        <f>IFERROR(__xludf.DUMMYFUNCTION("""COMPUTED_VALUE"""),118.1323644)</f>
        <v>118.1323644</v>
      </c>
    </row>
    <row r="515">
      <c r="A515" s="3">
        <f>IFERROR(__xludf.DUMMYFUNCTION("""COMPUTED_VALUE"""),40825.99861111111)</f>
        <v>40825.99861</v>
      </c>
      <c r="B515" s="1">
        <f>IFERROR(__xludf.DUMMYFUNCTION("""COMPUTED_VALUE"""),115.844799)</f>
        <v>115.844799</v>
      </c>
    </row>
    <row r="516">
      <c r="A516" s="3">
        <f>IFERROR(__xludf.DUMMYFUNCTION("""COMPUTED_VALUE"""),40826.99861111111)</f>
        <v>40826.99861</v>
      </c>
      <c r="B516" s="1">
        <f>IFERROR(__xludf.DUMMYFUNCTION("""COMPUTED_VALUE"""),115.957548)</f>
        <v>115.957548</v>
      </c>
    </row>
    <row r="517">
      <c r="A517" s="3">
        <f>IFERROR(__xludf.DUMMYFUNCTION("""COMPUTED_VALUE"""),40827.99861111111)</f>
        <v>40827.99861</v>
      </c>
      <c r="B517" s="1">
        <f>IFERROR(__xludf.DUMMYFUNCTION("""COMPUTED_VALUE"""),113.66968)</f>
        <v>113.66968</v>
      </c>
    </row>
    <row r="518">
      <c r="A518" s="3">
        <f>IFERROR(__xludf.DUMMYFUNCTION("""COMPUTED_VALUE"""),40828.99861111111)</f>
        <v>40828.99861</v>
      </c>
      <c r="B518" s="1">
        <f>IFERROR(__xludf.DUMMYFUNCTION("""COMPUTED_VALUE"""),114.70592)</f>
        <v>114.70592</v>
      </c>
    </row>
    <row r="519">
      <c r="A519" s="3">
        <f>IFERROR(__xludf.DUMMYFUNCTION("""COMPUTED_VALUE"""),40829.99861111111)</f>
        <v>40829.99861</v>
      </c>
      <c r="B519" s="1">
        <f>IFERROR(__xludf.DUMMYFUNCTION("""COMPUTED_VALUE"""),115.30935)</f>
        <v>115.30935</v>
      </c>
    </row>
    <row r="520">
      <c r="A520" s="3">
        <f>IFERROR(__xludf.DUMMYFUNCTION("""COMPUTED_VALUE"""),40830.99861111111)</f>
        <v>40830.99861</v>
      </c>
      <c r="B520" s="1">
        <f>IFERROR(__xludf.DUMMYFUNCTION("""COMPUTED_VALUE"""),114.59714)</f>
        <v>114.59714</v>
      </c>
    </row>
    <row r="521">
      <c r="A521" s="3">
        <f>IFERROR(__xludf.DUMMYFUNCTION("""COMPUTED_VALUE"""),40831.99861111111)</f>
        <v>40831.99861</v>
      </c>
      <c r="B521" s="1">
        <f>IFERROR(__xludf.DUMMYFUNCTION("""COMPUTED_VALUE"""),111.597792)</f>
        <v>111.597792</v>
      </c>
    </row>
    <row r="522">
      <c r="A522" s="3">
        <f>IFERROR(__xludf.DUMMYFUNCTION("""COMPUTED_VALUE"""),40832.99861111111)</f>
        <v>40832.99861</v>
      </c>
      <c r="B522" s="1">
        <f>IFERROR(__xludf.DUMMYFUNCTION("""COMPUTED_VALUE"""),115.1110996)</f>
        <v>115.1110996</v>
      </c>
    </row>
    <row r="523">
      <c r="A523" s="3">
        <f>IFERROR(__xludf.DUMMYFUNCTION("""COMPUTED_VALUE"""),40833.99861111111)</f>
        <v>40833.99861</v>
      </c>
      <c r="B523" s="1">
        <f>IFERROR(__xludf.DUMMYFUNCTION("""COMPUTED_VALUE"""),115.531402)</f>
        <v>115.531402</v>
      </c>
    </row>
    <row r="524">
      <c r="A524" s="3">
        <f>IFERROR(__xludf.DUMMYFUNCTION("""COMPUTED_VALUE"""),40834.99861111111)</f>
        <v>40834.99861</v>
      </c>
      <c r="B524" s="1">
        <f>IFERROR(__xludf.DUMMYFUNCTION("""COMPUTED_VALUE"""),115.6176)</f>
        <v>115.6176</v>
      </c>
    </row>
    <row r="525">
      <c r="A525" s="3">
        <f>IFERROR(__xludf.DUMMYFUNCTION("""COMPUTED_VALUE"""),40835.99861111111)</f>
        <v>40835.99861</v>
      </c>
      <c r="B525" s="1">
        <f>IFERROR(__xludf.DUMMYFUNCTION("""COMPUTED_VALUE"""),115.107216)</f>
        <v>115.107216</v>
      </c>
    </row>
    <row r="526">
      <c r="A526" s="3">
        <f>IFERROR(__xludf.DUMMYFUNCTION("""COMPUTED_VALUE"""),40836.99861111111)</f>
        <v>40836.99861</v>
      </c>
      <c r="B526" s="1">
        <f>IFERROR(__xludf.DUMMYFUNCTION("""COMPUTED_VALUE"""),114.8125995)</f>
        <v>114.8125995</v>
      </c>
    </row>
    <row r="527">
      <c r="A527" s="3">
        <f>IFERROR(__xludf.DUMMYFUNCTION("""COMPUTED_VALUE"""),40837.99861111111)</f>
        <v>40837.99861</v>
      </c>
      <c r="B527" s="1">
        <f>IFERROR(__xludf.DUMMYFUNCTION("""COMPUTED_VALUE"""),115.935)</f>
        <v>115.935</v>
      </c>
    </row>
    <row r="528">
      <c r="A528" s="3">
        <f>IFERROR(__xludf.DUMMYFUNCTION("""COMPUTED_VALUE"""),40838.99861111111)</f>
        <v>40838.99861</v>
      </c>
      <c r="B528" s="1">
        <f>IFERROR(__xludf.DUMMYFUNCTION("""COMPUTED_VALUE"""),112.420584)</f>
        <v>112.420584</v>
      </c>
    </row>
    <row r="529">
      <c r="A529" s="3">
        <f>IFERROR(__xludf.DUMMYFUNCTION("""COMPUTED_VALUE"""),40839.99861111111)</f>
        <v>40839.99861</v>
      </c>
      <c r="B529" s="1">
        <f>IFERROR(__xludf.DUMMYFUNCTION("""COMPUTED_VALUE"""),116.1539445)</f>
        <v>116.1539445</v>
      </c>
    </row>
    <row r="530">
      <c r="A530" s="3">
        <f>IFERROR(__xludf.DUMMYFUNCTION("""COMPUTED_VALUE"""),40840.99861111111)</f>
        <v>40840.99861</v>
      </c>
      <c r="B530" s="1">
        <f>IFERROR(__xludf.DUMMYFUNCTION("""COMPUTED_VALUE"""),116.0685435)</f>
        <v>116.0685435</v>
      </c>
    </row>
    <row r="531">
      <c r="A531" s="3">
        <f>IFERROR(__xludf.DUMMYFUNCTION("""COMPUTED_VALUE"""),40841.99861111111)</f>
        <v>40841.99861</v>
      </c>
      <c r="B531" s="1">
        <f>IFERROR(__xludf.DUMMYFUNCTION("""COMPUTED_VALUE"""),116.288343)</f>
        <v>116.288343</v>
      </c>
    </row>
    <row r="532">
      <c r="A532" s="3">
        <f>IFERROR(__xludf.DUMMYFUNCTION("""COMPUTED_VALUE"""),40842.99861111111)</f>
        <v>40842.99861</v>
      </c>
      <c r="B532" s="1">
        <f>IFERROR(__xludf.DUMMYFUNCTION("""COMPUTED_VALUE"""),116.5018335)</f>
        <v>116.5018335</v>
      </c>
    </row>
    <row r="533">
      <c r="A533" s="3">
        <f>IFERROR(__xludf.DUMMYFUNCTION("""COMPUTED_VALUE"""),40843.99861111111)</f>
        <v>40843.99861</v>
      </c>
      <c r="B533" s="1">
        <f>IFERROR(__xludf.DUMMYFUNCTION("""COMPUTED_VALUE"""),116.526536)</f>
        <v>116.526536</v>
      </c>
    </row>
    <row r="534">
      <c r="A534" s="3">
        <f>IFERROR(__xludf.DUMMYFUNCTION("""COMPUTED_VALUE"""),40844.99861111111)</f>
        <v>40844.99861</v>
      </c>
      <c r="B534" s="1">
        <f>IFERROR(__xludf.DUMMYFUNCTION("""COMPUTED_VALUE"""),116.086804)</f>
        <v>116.086804</v>
      </c>
    </row>
    <row r="535">
      <c r="A535" s="3">
        <f>IFERROR(__xludf.DUMMYFUNCTION("""COMPUTED_VALUE"""),40845.99861111111)</f>
        <v>40845.99861</v>
      </c>
      <c r="B535" s="1">
        <f>IFERROR(__xludf.DUMMYFUNCTION("""COMPUTED_VALUE"""),116.3139309)</f>
        <v>116.3139309</v>
      </c>
    </row>
    <row r="536">
      <c r="A536" s="3">
        <f>IFERROR(__xludf.DUMMYFUNCTION("""COMPUTED_VALUE"""),40846.99861111111)</f>
        <v>40846.99861</v>
      </c>
      <c r="B536" s="1">
        <f>IFERROR(__xludf.DUMMYFUNCTION("""COMPUTED_VALUE"""),116.4165887)</f>
        <v>116.4165887</v>
      </c>
    </row>
    <row r="537">
      <c r="A537" s="3">
        <f>IFERROR(__xludf.DUMMYFUNCTION("""COMPUTED_VALUE"""),40847.99861111111)</f>
        <v>40847.99861</v>
      </c>
      <c r="B537" s="1">
        <f>IFERROR(__xludf.DUMMYFUNCTION("""COMPUTED_VALUE"""),112.614656)</f>
        <v>112.614656</v>
      </c>
    </row>
    <row r="538">
      <c r="A538" s="3">
        <f>IFERROR(__xludf.DUMMYFUNCTION("""COMPUTED_VALUE"""),40848.99861111111)</f>
        <v>40848.99861</v>
      </c>
      <c r="B538" s="1">
        <f>IFERROR(__xludf.DUMMYFUNCTION("""COMPUTED_VALUE"""),113.225205)</f>
        <v>113.225205</v>
      </c>
    </row>
    <row r="539">
      <c r="A539" s="3">
        <f>IFERROR(__xludf.DUMMYFUNCTION("""COMPUTED_VALUE"""),40849.99861111111)</f>
        <v>40849.99861</v>
      </c>
      <c r="B539" s="1">
        <f>IFERROR(__xludf.DUMMYFUNCTION("""COMPUTED_VALUE"""),113.839953)</f>
        <v>113.839953</v>
      </c>
    </row>
    <row r="540">
      <c r="A540" s="3">
        <f>IFERROR(__xludf.DUMMYFUNCTION("""COMPUTED_VALUE"""),40850.99861111111)</f>
        <v>40850.99861</v>
      </c>
      <c r="B540" s="1">
        <f>IFERROR(__xludf.DUMMYFUNCTION("""COMPUTED_VALUE"""),114.567516)</f>
        <v>114.567516</v>
      </c>
    </row>
    <row r="541">
      <c r="A541" s="3">
        <f>IFERROR(__xludf.DUMMYFUNCTION("""COMPUTED_VALUE"""),40851.99861111111)</f>
        <v>40851.99861</v>
      </c>
      <c r="B541" s="1">
        <f>IFERROR(__xludf.DUMMYFUNCTION("""COMPUTED_VALUE"""),114.3171)</f>
        <v>114.3171</v>
      </c>
    </row>
    <row r="542">
      <c r="A542" s="3">
        <f>IFERROR(__xludf.DUMMYFUNCTION("""COMPUTED_VALUE"""),40852.99861111111)</f>
        <v>40852.99861</v>
      </c>
      <c r="B542" s="1">
        <f>IFERROR(__xludf.DUMMYFUNCTION("""COMPUTED_VALUE"""),112.929192)</f>
        <v>112.929192</v>
      </c>
    </row>
    <row r="543">
      <c r="A543" s="3">
        <f>IFERROR(__xludf.DUMMYFUNCTION("""COMPUTED_VALUE"""),40853.99861111111)</f>
        <v>40853.99861</v>
      </c>
      <c r="B543" s="1">
        <f>IFERROR(__xludf.DUMMYFUNCTION("""COMPUTED_VALUE"""),114.4698605)</f>
        <v>114.4698605</v>
      </c>
    </row>
    <row r="544">
      <c r="A544" s="3">
        <f>IFERROR(__xludf.DUMMYFUNCTION("""COMPUTED_VALUE"""),40854.99861111111)</f>
        <v>40854.99861</v>
      </c>
      <c r="B544" s="1">
        <f>IFERROR(__xludf.DUMMYFUNCTION("""COMPUTED_VALUE"""),114.7129095)</f>
        <v>114.7129095</v>
      </c>
    </row>
    <row r="545">
      <c r="A545" s="3">
        <f>IFERROR(__xludf.DUMMYFUNCTION("""COMPUTED_VALUE"""),40855.99861111111)</f>
        <v>40855.99861</v>
      </c>
      <c r="B545" s="1">
        <f>IFERROR(__xludf.DUMMYFUNCTION("""COMPUTED_VALUE"""),114.73605)</f>
        <v>114.73605</v>
      </c>
    </row>
    <row r="546">
      <c r="A546" s="3">
        <f>IFERROR(__xludf.DUMMYFUNCTION("""COMPUTED_VALUE"""),40856.99861111111)</f>
        <v>40856.99861</v>
      </c>
      <c r="B546" s="1">
        <f>IFERROR(__xludf.DUMMYFUNCTION("""COMPUTED_VALUE"""),114.324757)</f>
        <v>114.324757</v>
      </c>
    </row>
    <row r="547">
      <c r="A547" s="3">
        <f>IFERROR(__xludf.DUMMYFUNCTION("""COMPUTED_VALUE"""),40857.99861111111)</f>
        <v>40857.99861</v>
      </c>
      <c r="B547" s="1">
        <f>IFERROR(__xludf.DUMMYFUNCTION("""COMPUTED_VALUE"""),115.4432565)</f>
        <v>115.4432565</v>
      </c>
    </row>
    <row r="548">
      <c r="A548" s="3">
        <f>IFERROR(__xludf.DUMMYFUNCTION("""COMPUTED_VALUE"""),40858.99861111111)</f>
        <v>40858.99861</v>
      </c>
      <c r="B548" s="1">
        <f>IFERROR(__xludf.DUMMYFUNCTION("""COMPUTED_VALUE"""),115.96466)</f>
        <v>115.96466</v>
      </c>
    </row>
    <row r="549">
      <c r="A549" s="3">
        <f>IFERROR(__xludf.DUMMYFUNCTION("""COMPUTED_VALUE"""),40859.99861111111)</f>
        <v>40859.99861</v>
      </c>
      <c r="B549" s="1">
        <f>IFERROR(__xludf.DUMMYFUNCTION("""COMPUTED_VALUE"""),116.129026)</f>
        <v>116.129026</v>
      </c>
    </row>
    <row r="550">
      <c r="A550" s="3">
        <f>IFERROR(__xludf.DUMMYFUNCTION("""COMPUTED_VALUE"""),40860.99861111111)</f>
        <v>40860.99861</v>
      </c>
      <c r="B550" s="1">
        <f>IFERROR(__xludf.DUMMYFUNCTION("""COMPUTED_VALUE"""),116.1349525)</f>
        <v>116.1349525</v>
      </c>
    </row>
    <row r="551">
      <c r="A551" s="3">
        <f>IFERROR(__xludf.DUMMYFUNCTION("""COMPUTED_VALUE"""),40861.99861111111)</f>
        <v>40861.99861</v>
      </c>
      <c r="B551" s="1">
        <f>IFERROR(__xludf.DUMMYFUNCTION("""COMPUTED_VALUE"""),116.2754015)</f>
        <v>116.2754015</v>
      </c>
    </row>
    <row r="552">
      <c r="A552" s="3">
        <f>IFERROR(__xludf.DUMMYFUNCTION("""COMPUTED_VALUE"""),40862.99861111111)</f>
        <v>40862.99861</v>
      </c>
      <c r="B552" s="1">
        <f>IFERROR(__xludf.DUMMYFUNCTION("""COMPUTED_VALUE"""),116.6645015)</f>
        <v>116.6645015</v>
      </c>
    </row>
    <row r="553">
      <c r="A553" s="3">
        <f>IFERROR(__xludf.DUMMYFUNCTION("""COMPUTED_VALUE"""),40863.99861111111)</f>
        <v>40863.99861</v>
      </c>
      <c r="B553" s="1">
        <f>IFERROR(__xludf.DUMMYFUNCTION("""COMPUTED_VALUE"""),116.6450465)</f>
        <v>116.6450465</v>
      </c>
    </row>
    <row r="554">
      <c r="A554" s="3">
        <f>IFERROR(__xludf.DUMMYFUNCTION("""COMPUTED_VALUE"""),40864.99861111111)</f>
        <v>40864.99861</v>
      </c>
      <c r="B554" s="1">
        <f>IFERROR(__xludf.DUMMYFUNCTION("""COMPUTED_VALUE"""),116.555373)</f>
        <v>116.555373</v>
      </c>
    </row>
    <row r="555">
      <c r="A555" s="3">
        <f>IFERROR(__xludf.DUMMYFUNCTION("""COMPUTED_VALUE"""),40865.99861111111)</f>
        <v>40865.99861</v>
      </c>
      <c r="B555" s="1">
        <f>IFERROR(__xludf.DUMMYFUNCTION("""COMPUTED_VALUE"""),116.8895)</f>
        <v>116.8895</v>
      </c>
    </row>
    <row r="556">
      <c r="A556" s="3">
        <f>IFERROR(__xludf.DUMMYFUNCTION("""COMPUTED_VALUE"""),40866.99861111111)</f>
        <v>40866.99861</v>
      </c>
      <c r="B556" s="1">
        <f>IFERROR(__xludf.DUMMYFUNCTION("""COMPUTED_VALUE"""),115.614897)</f>
        <v>115.614897</v>
      </c>
    </row>
    <row r="557">
      <c r="A557" s="3">
        <f>IFERROR(__xludf.DUMMYFUNCTION("""COMPUTED_VALUE"""),40867.99861111111)</f>
        <v>40867.99861</v>
      </c>
      <c r="B557" s="1">
        <f>IFERROR(__xludf.DUMMYFUNCTION("""COMPUTED_VALUE"""),117.25935)</f>
        <v>117.25935</v>
      </c>
    </row>
    <row r="558">
      <c r="A558" s="3">
        <f>IFERROR(__xludf.DUMMYFUNCTION("""COMPUTED_VALUE"""),40868.99861111111)</f>
        <v>40868.99861</v>
      </c>
      <c r="B558" s="1">
        <f>IFERROR(__xludf.DUMMYFUNCTION("""COMPUTED_VALUE"""),117.2341005)</f>
        <v>117.2341005</v>
      </c>
    </row>
    <row r="559">
      <c r="A559" s="3">
        <f>IFERROR(__xludf.DUMMYFUNCTION("""COMPUTED_VALUE"""),40869.99861111111)</f>
        <v>40869.99861</v>
      </c>
      <c r="B559" s="1">
        <f>IFERROR(__xludf.DUMMYFUNCTION("""COMPUTED_VALUE"""),117.4939005)</f>
        <v>117.4939005</v>
      </c>
    </row>
    <row r="560">
      <c r="A560" s="3">
        <f>IFERROR(__xludf.DUMMYFUNCTION("""COMPUTED_VALUE"""),40870.99861111111)</f>
        <v>40870.99861</v>
      </c>
      <c r="B560" s="1">
        <f>IFERROR(__xludf.DUMMYFUNCTION("""COMPUTED_VALUE"""),116.588517)</f>
        <v>116.588517</v>
      </c>
    </row>
    <row r="561">
      <c r="A561" s="3">
        <f>IFERROR(__xludf.DUMMYFUNCTION("""COMPUTED_VALUE"""),40871.99861111111)</f>
        <v>40871.99861</v>
      </c>
      <c r="B561" s="1">
        <f>IFERROR(__xludf.DUMMYFUNCTION("""COMPUTED_VALUE"""),116.06308)</f>
        <v>116.06308</v>
      </c>
    </row>
    <row r="562">
      <c r="A562" s="3">
        <f>IFERROR(__xludf.DUMMYFUNCTION("""COMPUTED_VALUE"""),40872.99861111111)</f>
        <v>40872.99861</v>
      </c>
      <c r="B562" s="1">
        <f>IFERROR(__xludf.DUMMYFUNCTION("""COMPUTED_VALUE"""),116.082076)</f>
        <v>116.082076</v>
      </c>
    </row>
    <row r="563">
      <c r="A563" s="3">
        <f>IFERROR(__xludf.DUMMYFUNCTION("""COMPUTED_VALUE"""),40873.99861111111)</f>
        <v>40873.99861</v>
      </c>
      <c r="B563" s="1">
        <f>IFERROR(__xludf.DUMMYFUNCTION("""COMPUTED_VALUE"""),116.261145)</f>
        <v>116.261145</v>
      </c>
    </row>
    <row r="564">
      <c r="A564" s="3">
        <f>IFERROR(__xludf.DUMMYFUNCTION("""COMPUTED_VALUE"""),40874.99861111111)</f>
        <v>40874.99861</v>
      </c>
      <c r="B564" s="1">
        <f>IFERROR(__xludf.DUMMYFUNCTION("""COMPUTED_VALUE"""),116.5372065)</f>
        <v>116.5372065</v>
      </c>
    </row>
    <row r="565">
      <c r="A565" s="3">
        <f>IFERROR(__xludf.DUMMYFUNCTION("""COMPUTED_VALUE"""),40875.99861111111)</f>
        <v>40875.99861</v>
      </c>
      <c r="B565" s="1">
        <f>IFERROR(__xludf.DUMMYFUNCTION("""COMPUTED_VALUE"""),116.67136)</f>
        <v>116.67136</v>
      </c>
    </row>
    <row r="566">
      <c r="A566" s="3">
        <f>IFERROR(__xludf.DUMMYFUNCTION("""COMPUTED_VALUE"""),40876.99861111111)</f>
        <v>40876.99861</v>
      </c>
      <c r="B566" s="1">
        <f>IFERROR(__xludf.DUMMYFUNCTION("""COMPUTED_VALUE"""),116.92481)</f>
        <v>116.92481</v>
      </c>
    </row>
    <row r="567">
      <c r="A567" s="3">
        <f>IFERROR(__xludf.DUMMYFUNCTION("""COMPUTED_VALUE"""),40877.99861111111)</f>
        <v>40877.99861</v>
      </c>
      <c r="B567" s="1">
        <f>IFERROR(__xludf.DUMMYFUNCTION("""COMPUTED_VALUE"""),116.907896)</f>
        <v>116.907896</v>
      </c>
    </row>
    <row r="568">
      <c r="A568" s="3">
        <f>IFERROR(__xludf.DUMMYFUNCTION("""COMPUTED_VALUE"""),40878.99861111111)</f>
        <v>40878.99861</v>
      </c>
      <c r="B568" s="1">
        <f>IFERROR(__xludf.DUMMYFUNCTION("""COMPUTED_VALUE"""),115.675057)</f>
        <v>115.675057</v>
      </c>
    </row>
    <row r="569">
      <c r="A569" s="3">
        <f>IFERROR(__xludf.DUMMYFUNCTION("""COMPUTED_VALUE"""),40879.99861111111)</f>
        <v>40879.99861</v>
      </c>
      <c r="B569" s="1">
        <f>IFERROR(__xludf.DUMMYFUNCTION("""COMPUTED_VALUE"""),115.5723)</f>
        <v>115.5723</v>
      </c>
    </row>
    <row r="570">
      <c r="A570" s="3">
        <f>IFERROR(__xludf.DUMMYFUNCTION("""COMPUTED_VALUE"""),40880.99861111111)</f>
        <v>40880.99861</v>
      </c>
      <c r="B570" s="1">
        <f>IFERROR(__xludf.DUMMYFUNCTION("""COMPUTED_VALUE"""),114.190304)</f>
        <v>114.190304</v>
      </c>
    </row>
    <row r="571">
      <c r="A571" s="3">
        <f>IFERROR(__xludf.DUMMYFUNCTION("""COMPUTED_VALUE"""),40881.99861111111)</f>
        <v>40881.99861</v>
      </c>
      <c r="B571" s="1">
        <f>IFERROR(__xludf.DUMMYFUNCTION("""COMPUTED_VALUE"""),115.4815095)</f>
        <v>115.4815095</v>
      </c>
    </row>
    <row r="572">
      <c r="A572" s="3">
        <f>IFERROR(__xludf.DUMMYFUNCTION("""COMPUTED_VALUE"""),40882.99861111111)</f>
        <v>40882.99861</v>
      </c>
      <c r="B572" s="1">
        <f>IFERROR(__xludf.DUMMYFUNCTION("""COMPUTED_VALUE"""),115.86331)</f>
        <v>115.86331</v>
      </c>
    </row>
    <row r="573">
      <c r="A573" s="3">
        <f>IFERROR(__xludf.DUMMYFUNCTION("""COMPUTED_VALUE"""),40883.99861111111)</f>
        <v>40883.99861</v>
      </c>
      <c r="B573" s="1">
        <f>IFERROR(__xludf.DUMMYFUNCTION("""COMPUTED_VALUE"""),116.189457)</f>
        <v>116.189457</v>
      </c>
    </row>
    <row r="574">
      <c r="A574" s="3">
        <f>IFERROR(__xludf.DUMMYFUNCTION("""COMPUTED_VALUE"""),40884.99861111111)</f>
        <v>40884.99861</v>
      </c>
      <c r="B574" s="1">
        <f>IFERROR(__xludf.DUMMYFUNCTION("""COMPUTED_VALUE"""),116.182638)</f>
        <v>116.182638</v>
      </c>
    </row>
    <row r="575">
      <c r="A575" s="3">
        <f>IFERROR(__xludf.DUMMYFUNCTION("""COMPUTED_VALUE"""),40885.99861111111)</f>
        <v>40885.99861</v>
      </c>
      <c r="B575" s="1">
        <f>IFERROR(__xludf.DUMMYFUNCTION("""COMPUTED_VALUE"""),115.7650065)</f>
        <v>115.7650065</v>
      </c>
    </row>
    <row r="576">
      <c r="A576" s="3">
        <f>IFERROR(__xludf.DUMMYFUNCTION("""COMPUTED_VALUE"""),40886.99861111111)</f>
        <v>40886.99861</v>
      </c>
      <c r="B576" s="1">
        <f>IFERROR(__xludf.DUMMYFUNCTION("""COMPUTED_VALUE"""),116.4735)</f>
        <v>116.4735</v>
      </c>
    </row>
    <row r="577">
      <c r="A577" s="3">
        <f>IFERROR(__xludf.DUMMYFUNCTION("""COMPUTED_VALUE"""),40887.99861111111)</f>
        <v>40887.99861</v>
      </c>
      <c r="B577" s="1">
        <f>IFERROR(__xludf.DUMMYFUNCTION("""COMPUTED_VALUE"""),114.665488)</f>
        <v>114.665488</v>
      </c>
    </row>
    <row r="578">
      <c r="A578" s="3">
        <f>IFERROR(__xludf.DUMMYFUNCTION("""COMPUTED_VALUE"""),40888.99861111111)</f>
        <v>40888.99861</v>
      </c>
      <c r="B578" s="1">
        <f>IFERROR(__xludf.DUMMYFUNCTION("""COMPUTED_VALUE"""),117.1974512)</f>
        <v>117.1974512</v>
      </c>
    </row>
    <row r="579">
      <c r="A579" s="3">
        <f>IFERROR(__xludf.DUMMYFUNCTION("""COMPUTED_VALUE"""),40889.99861111111)</f>
        <v>40889.99861</v>
      </c>
      <c r="B579" s="1">
        <f>IFERROR(__xludf.DUMMYFUNCTION("""COMPUTED_VALUE"""),116.1108585)</f>
        <v>116.1108585</v>
      </c>
    </row>
    <row r="580">
      <c r="A580" s="3">
        <f>IFERROR(__xludf.DUMMYFUNCTION("""COMPUTED_VALUE"""),40890.99861111111)</f>
        <v>40890.99861</v>
      </c>
      <c r="B580" s="1">
        <f>IFERROR(__xludf.DUMMYFUNCTION("""COMPUTED_VALUE"""),116.817122)</f>
        <v>116.817122</v>
      </c>
    </row>
    <row r="581">
      <c r="A581" s="3">
        <f>IFERROR(__xludf.DUMMYFUNCTION("""COMPUTED_VALUE"""),40891.99861111111)</f>
        <v>40891.99861</v>
      </c>
      <c r="B581" s="1">
        <f>IFERROR(__xludf.DUMMYFUNCTION("""COMPUTED_VALUE"""),116.48)</f>
        <v>116.48</v>
      </c>
    </row>
    <row r="582">
      <c r="A582" s="3">
        <f>IFERROR(__xludf.DUMMYFUNCTION("""COMPUTED_VALUE"""),40892.99861111111)</f>
        <v>40892.99861</v>
      </c>
      <c r="B582" s="1">
        <f>IFERROR(__xludf.DUMMYFUNCTION("""COMPUTED_VALUE"""),116.714958)</f>
        <v>116.714958</v>
      </c>
    </row>
    <row r="583">
      <c r="A583" s="3">
        <f>IFERROR(__xludf.DUMMYFUNCTION("""COMPUTED_VALUE"""),40893.99861111111)</f>
        <v>40893.99861</v>
      </c>
      <c r="B583" s="1">
        <f>IFERROR(__xludf.DUMMYFUNCTION("""COMPUTED_VALUE"""),116.671064)</f>
        <v>116.671064</v>
      </c>
    </row>
    <row r="584">
      <c r="A584" s="3">
        <f>IFERROR(__xludf.DUMMYFUNCTION("""COMPUTED_VALUE"""),40894.99861111111)</f>
        <v>40894.99861</v>
      </c>
      <c r="B584" s="1">
        <f>IFERROR(__xludf.DUMMYFUNCTION("""COMPUTED_VALUE"""),116.6969126)</f>
        <v>116.6969126</v>
      </c>
    </row>
    <row r="585">
      <c r="A585" s="3">
        <f>IFERROR(__xludf.DUMMYFUNCTION("""COMPUTED_VALUE"""),40895.99861111111)</f>
        <v>40895.99861</v>
      </c>
      <c r="B585" s="1">
        <f>IFERROR(__xludf.DUMMYFUNCTION("""COMPUTED_VALUE"""),115.862025)</f>
        <v>115.862025</v>
      </c>
    </row>
    <row r="586">
      <c r="A586" s="3">
        <f>IFERROR(__xludf.DUMMYFUNCTION("""COMPUTED_VALUE"""),40896.99861111111)</f>
        <v>40896.99861</v>
      </c>
      <c r="B586" s="1">
        <f>IFERROR(__xludf.DUMMYFUNCTION("""COMPUTED_VALUE"""),116.754183)</f>
        <v>116.754183</v>
      </c>
    </row>
    <row r="587">
      <c r="A587" s="3">
        <f>IFERROR(__xludf.DUMMYFUNCTION("""COMPUTED_VALUE"""),40897.99861111111)</f>
        <v>40897.99861</v>
      </c>
      <c r="B587" s="1">
        <f>IFERROR(__xludf.DUMMYFUNCTION("""COMPUTED_VALUE"""),116.171184)</f>
        <v>116.171184</v>
      </c>
    </row>
    <row r="588">
      <c r="A588" s="3">
        <f>IFERROR(__xludf.DUMMYFUNCTION("""COMPUTED_VALUE"""),40898.99861111111)</f>
        <v>40898.99861</v>
      </c>
      <c r="B588" s="1">
        <f>IFERROR(__xludf.DUMMYFUNCTION("""COMPUTED_VALUE"""),115.7568)</f>
        <v>115.7568</v>
      </c>
    </row>
    <row r="589">
      <c r="A589" s="3">
        <f>IFERROR(__xludf.DUMMYFUNCTION("""COMPUTED_VALUE"""),40899.99861111111)</f>
        <v>40899.99861</v>
      </c>
      <c r="B589" s="1">
        <f>IFERROR(__xludf.DUMMYFUNCTION("""COMPUTED_VALUE"""),116.855835)</f>
        <v>116.855835</v>
      </c>
    </row>
    <row r="590">
      <c r="A590" s="3">
        <f>IFERROR(__xludf.DUMMYFUNCTION("""COMPUTED_VALUE"""),40900.99861111111)</f>
        <v>40900.99861</v>
      </c>
      <c r="B590" s="1">
        <f>IFERROR(__xludf.DUMMYFUNCTION("""COMPUTED_VALUE"""),115.712)</f>
        <v>115.712</v>
      </c>
    </row>
    <row r="591">
      <c r="A591" s="3">
        <f>IFERROR(__xludf.DUMMYFUNCTION("""COMPUTED_VALUE"""),40901.99861111111)</f>
        <v>40901.99861</v>
      </c>
      <c r="B591" s="1">
        <f>IFERROR(__xludf.DUMMYFUNCTION("""COMPUTED_VALUE"""),115.601136)</f>
        <v>115.601136</v>
      </c>
    </row>
    <row r="592">
      <c r="A592" s="3">
        <f>IFERROR(__xludf.DUMMYFUNCTION("""COMPUTED_VALUE"""),40902.99861111111)</f>
        <v>40902.99861</v>
      </c>
      <c r="B592" s="1">
        <f>IFERROR(__xludf.DUMMYFUNCTION("""COMPUTED_VALUE"""),116.4695168)</f>
        <v>116.4695168</v>
      </c>
    </row>
    <row r="593">
      <c r="A593" s="3">
        <f>IFERROR(__xludf.DUMMYFUNCTION("""COMPUTED_VALUE"""),40903.99861111111)</f>
        <v>40903.99861</v>
      </c>
      <c r="B593" s="1">
        <f>IFERROR(__xludf.DUMMYFUNCTION("""COMPUTED_VALUE"""),116.5454533)</f>
        <v>116.5454533</v>
      </c>
    </row>
    <row r="594">
      <c r="A594" s="3">
        <f>IFERROR(__xludf.DUMMYFUNCTION("""COMPUTED_VALUE"""),40904.99861111111)</f>
        <v>40904.99861</v>
      </c>
      <c r="B594" s="1">
        <f>IFERROR(__xludf.DUMMYFUNCTION("""COMPUTED_VALUE"""),116.35608)</f>
        <v>116.35608</v>
      </c>
    </row>
    <row r="595">
      <c r="A595" s="3">
        <f>IFERROR(__xludf.DUMMYFUNCTION("""COMPUTED_VALUE"""),40905.99861111111)</f>
        <v>40905.99861</v>
      </c>
      <c r="B595" s="1">
        <f>IFERROR(__xludf.DUMMYFUNCTION("""COMPUTED_VALUE"""),116.039652)</f>
        <v>116.039652</v>
      </c>
    </row>
    <row r="596">
      <c r="A596" s="3">
        <f>IFERROR(__xludf.DUMMYFUNCTION("""COMPUTED_VALUE"""),40906.99861111111)</f>
        <v>40906.99861</v>
      </c>
      <c r="B596" s="1">
        <f>IFERROR(__xludf.DUMMYFUNCTION("""COMPUTED_VALUE"""),113.961276)</f>
        <v>113.961276</v>
      </c>
    </row>
    <row r="597">
      <c r="A597" s="3">
        <f>IFERROR(__xludf.DUMMYFUNCTION("""COMPUTED_VALUE"""),40907.99861111111)</f>
        <v>40907.99861</v>
      </c>
      <c r="B597" s="1">
        <f>IFERROR(__xludf.DUMMYFUNCTION("""COMPUTED_VALUE"""),117.78)</f>
        <v>117.78</v>
      </c>
    </row>
    <row r="598">
      <c r="A598" s="3">
        <f>IFERROR(__xludf.DUMMYFUNCTION("""COMPUTED_VALUE"""),40908.99861111111)</f>
        <v>40908.99861</v>
      </c>
      <c r="B598" s="1">
        <f>IFERROR(__xludf.DUMMYFUNCTION("""COMPUTED_VALUE"""),117.5339)</f>
        <v>117.5339</v>
      </c>
    </row>
    <row r="599">
      <c r="A599" s="3">
        <f>IFERROR(__xludf.DUMMYFUNCTION("""COMPUTED_VALUE"""),40909.99861111111)</f>
        <v>40909.99861</v>
      </c>
      <c r="B599" s="1">
        <f>IFERROR(__xludf.DUMMYFUNCTION("""COMPUTED_VALUE"""),118.2149346)</f>
        <v>118.2149346</v>
      </c>
    </row>
    <row r="600">
      <c r="A600" s="3">
        <f>IFERROR(__xludf.DUMMYFUNCTION("""COMPUTED_VALUE"""),40910.99861111111)</f>
        <v>40910.99861</v>
      </c>
      <c r="B600" s="1">
        <f>IFERROR(__xludf.DUMMYFUNCTION("""COMPUTED_VALUE"""),115.660362)</f>
        <v>115.660362</v>
      </c>
    </row>
    <row r="601">
      <c r="A601" s="3">
        <f>IFERROR(__xludf.DUMMYFUNCTION("""COMPUTED_VALUE"""),40911.99861111111)</f>
        <v>40911.99861</v>
      </c>
      <c r="B601" s="1">
        <f>IFERROR(__xludf.DUMMYFUNCTION("""COMPUTED_VALUE"""),118.76845)</f>
        <v>118.76845</v>
      </c>
    </row>
    <row r="602">
      <c r="A602" s="3">
        <f>IFERROR(__xludf.DUMMYFUNCTION("""COMPUTED_VALUE"""),40912.99861111111)</f>
        <v>40912.99861</v>
      </c>
      <c r="B602" s="1">
        <f>IFERROR(__xludf.DUMMYFUNCTION("""COMPUTED_VALUE"""),118.778874)</f>
        <v>118.778874</v>
      </c>
    </row>
    <row r="603">
      <c r="A603" s="3">
        <f>IFERROR(__xludf.DUMMYFUNCTION("""COMPUTED_VALUE"""),40913.99861111111)</f>
        <v>40913.99861</v>
      </c>
      <c r="B603" s="1">
        <f>IFERROR(__xludf.DUMMYFUNCTION("""COMPUTED_VALUE"""),118.0656)</f>
        <v>118.0656</v>
      </c>
    </row>
    <row r="604">
      <c r="A604" s="3">
        <f>IFERROR(__xludf.DUMMYFUNCTION("""COMPUTED_VALUE"""),40914.99861111111)</f>
        <v>40914.99861</v>
      </c>
      <c r="B604" s="1">
        <f>IFERROR(__xludf.DUMMYFUNCTION("""COMPUTED_VALUE"""),118.0791)</f>
        <v>118.0791</v>
      </c>
    </row>
    <row r="605">
      <c r="A605" s="3">
        <f>IFERROR(__xludf.DUMMYFUNCTION("""COMPUTED_VALUE"""),40915.99861111111)</f>
        <v>40915.99861</v>
      </c>
      <c r="B605" s="1">
        <f>IFERROR(__xludf.DUMMYFUNCTION("""COMPUTED_VALUE"""),117.487448)</f>
        <v>117.487448</v>
      </c>
    </row>
    <row r="606">
      <c r="A606" s="3">
        <f>IFERROR(__xludf.DUMMYFUNCTION("""COMPUTED_VALUE"""),40916.99861111111)</f>
        <v>40916.99861</v>
      </c>
      <c r="B606" s="1">
        <f>IFERROR(__xludf.DUMMYFUNCTION("""COMPUTED_VALUE"""),118.4138523)</f>
        <v>118.4138523</v>
      </c>
    </row>
    <row r="607">
      <c r="A607" s="3">
        <f>IFERROR(__xludf.DUMMYFUNCTION("""COMPUTED_VALUE"""),40917.99861111111)</f>
        <v>40917.99861</v>
      </c>
      <c r="B607" s="1">
        <f>IFERROR(__xludf.DUMMYFUNCTION("""COMPUTED_VALUE"""),118.98946)</f>
        <v>118.98946</v>
      </c>
    </row>
    <row r="608">
      <c r="A608" s="3">
        <f>IFERROR(__xludf.DUMMYFUNCTION("""COMPUTED_VALUE"""),40918.99861111111)</f>
        <v>40918.99861</v>
      </c>
      <c r="B608" s="1">
        <f>IFERROR(__xludf.DUMMYFUNCTION("""COMPUTED_VALUE"""),118.97645)</f>
        <v>118.97645</v>
      </c>
    </row>
    <row r="609">
      <c r="A609" s="3">
        <f>IFERROR(__xludf.DUMMYFUNCTION("""COMPUTED_VALUE"""),40919.99861111111)</f>
        <v>40919.99861</v>
      </c>
      <c r="B609" s="1">
        <f>IFERROR(__xludf.DUMMYFUNCTION("""COMPUTED_VALUE"""),119.47)</f>
        <v>119.47</v>
      </c>
    </row>
    <row r="610">
      <c r="A610" s="3">
        <f>IFERROR(__xludf.DUMMYFUNCTION("""COMPUTED_VALUE"""),40920.99861111111)</f>
        <v>40920.99861</v>
      </c>
      <c r="B610" s="1">
        <f>IFERROR(__xludf.DUMMYFUNCTION("""COMPUTED_VALUE"""),119.133)</f>
        <v>119.133</v>
      </c>
    </row>
    <row r="611">
      <c r="A611" s="3">
        <f>IFERROR(__xludf.DUMMYFUNCTION("""COMPUTED_VALUE"""),40921.99861111111)</f>
        <v>40921.99861</v>
      </c>
      <c r="B611" s="1">
        <f>IFERROR(__xludf.DUMMYFUNCTION("""COMPUTED_VALUE"""),117.92322)</f>
        <v>117.92322</v>
      </c>
    </row>
    <row r="612">
      <c r="A612" s="3">
        <f>IFERROR(__xludf.DUMMYFUNCTION("""COMPUTED_VALUE"""),40922.99861111111)</f>
        <v>40922.99861</v>
      </c>
      <c r="B612" s="1">
        <f>IFERROR(__xludf.DUMMYFUNCTION("""COMPUTED_VALUE"""),117.6877)</f>
        <v>117.6877</v>
      </c>
    </row>
    <row r="613">
      <c r="A613" s="3">
        <f>IFERROR(__xludf.DUMMYFUNCTION("""COMPUTED_VALUE"""),40923.99861111111)</f>
        <v>40923.99861</v>
      </c>
      <c r="B613" s="1">
        <f>IFERROR(__xludf.DUMMYFUNCTION("""COMPUTED_VALUE"""),118.50501)</f>
        <v>118.50501</v>
      </c>
    </row>
    <row r="614">
      <c r="A614" s="3">
        <f>IFERROR(__xludf.DUMMYFUNCTION("""COMPUTED_VALUE"""),40924.99861111111)</f>
        <v>40924.99861</v>
      </c>
      <c r="B614" s="1">
        <f>IFERROR(__xludf.DUMMYFUNCTION("""COMPUTED_VALUE"""),118.389699)</f>
        <v>118.389699</v>
      </c>
    </row>
    <row r="615">
      <c r="A615" s="3">
        <f>IFERROR(__xludf.DUMMYFUNCTION("""COMPUTED_VALUE"""),40925.99861111111)</f>
        <v>40925.99861</v>
      </c>
      <c r="B615" s="1">
        <f>IFERROR(__xludf.DUMMYFUNCTION("""COMPUTED_VALUE"""),118.0007)</f>
        <v>118.0007</v>
      </c>
    </row>
    <row r="616">
      <c r="A616" s="3">
        <f>IFERROR(__xludf.DUMMYFUNCTION("""COMPUTED_VALUE"""),40926.99861111111)</f>
        <v>40926.99861</v>
      </c>
      <c r="B616" s="1">
        <f>IFERROR(__xludf.DUMMYFUNCTION("""COMPUTED_VALUE"""),117.285462)</f>
        <v>117.285462</v>
      </c>
    </row>
    <row r="617">
      <c r="A617" s="3">
        <f>IFERROR(__xludf.DUMMYFUNCTION("""COMPUTED_VALUE"""),40927.99861111111)</f>
        <v>40927.99861</v>
      </c>
      <c r="B617" s="1">
        <f>IFERROR(__xludf.DUMMYFUNCTION("""COMPUTED_VALUE"""),116.01665)</f>
        <v>116.01665</v>
      </c>
    </row>
    <row r="618">
      <c r="A618" s="3">
        <f>IFERROR(__xludf.DUMMYFUNCTION("""COMPUTED_VALUE"""),40928.99861111111)</f>
        <v>40928.99861</v>
      </c>
      <c r="B618" s="1">
        <f>IFERROR(__xludf.DUMMYFUNCTION("""COMPUTED_VALUE"""),116.06716)</f>
        <v>116.06716</v>
      </c>
    </row>
    <row r="619">
      <c r="A619" s="3">
        <f>IFERROR(__xludf.DUMMYFUNCTION("""COMPUTED_VALUE"""),40929.99861111111)</f>
        <v>40929.99861</v>
      </c>
      <c r="B619" s="1">
        <f>IFERROR(__xludf.DUMMYFUNCTION("""COMPUTED_VALUE"""),115.8708)</f>
        <v>115.8708</v>
      </c>
    </row>
    <row r="620">
      <c r="A620" s="3">
        <f>IFERROR(__xludf.DUMMYFUNCTION("""COMPUTED_VALUE"""),40930.99861111111)</f>
        <v>40930.99861</v>
      </c>
      <c r="B620" s="1">
        <f>IFERROR(__xludf.DUMMYFUNCTION("""COMPUTED_VALUE"""),116.5022309)</f>
        <v>116.5022309</v>
      </c>
    </row>
    <row r="621">
      <c r="A621" s="3">
        <f>IFERROR(__xludf.DUMMYFUNCTION("""COMPUTED_VALUE"""),40931.99861111111)</f>
        <v>40931.99861</v>
      </c>
      <c r="B621" s="1">
        <f>IFERROR(__xludf.DUMMYFUNCTION("""COMPUTED_VALUE"""),115.8708)</f>
        <v>115.8708</v>
      </c>
    </row>
    <row r="622">
      <c r="A622" s="3">
        <f>IFERROR(__xludf.DUMMYFUNCTION("""COMPUTED_VALUE"""),40932.99861111111)</f>
        <v>40932.99861</v>
      </c>
      <c r="B622" s="1">
        <f>IFERROR(__xludf.DUMMYFUNCTION("""COMPUTED_VALUE"""),115.28946)</f>
        <v>115.28946</v>
      </c>
    </row>
    <row r="623">
      <c r="A623" s="3">
        <f>IFERROR(__xludf.DUMMYFUNCTION("""COMPUTED_VALUE"""),40933.99861111111)</f>
        <v>40933.99861</v>
      </c>
      <c r="B623" s="1">
        <f>IFERROR(__xludf.DUMMYFUNCTION("""COMPUTED_VALUE"""),116.390716)</f>
        <v>116.390716</v>
      </c>
    </row>
    <row r="624">
      <c r="A624" s="3">
        <f>IFERROR(__xludf.DUMMYFUNCTION("""COMPUTED_VALUE"""),40934.99861111111)</f>
        <v>40934.99861</v>
      </c>
      <c r="B624" s="1">
        <f>IFERROR(__xludf.DUMMYFUNCTION("""COMPUTED_VALUE"""),115.853049)</f>
        <v>115.853049</v>
      </c>
    </row>
    <row r="625">
      <c r="A625" s="3">
        <f>IFERROR(__xludf.DUMMYFUNCTION("""COMPUTED_VALUE"""),40935.99861111111)</f>
        <v>40935.99861</v>
      </c>
      <c r="B625" s="1">
        <f>IFERROR(__xludf.DUMMYFUNCTION("""COMPUTED_VALUE"""),117.063992)</f>
        <v>117.063992</v>
      </c>
    </row>
    <row r="626">
      <c r="A626" s="3">
        <f>IFERROR(__xludf.DUMMYFUNCTION("""COMPUTED_VALUE"""),40936.99861111111)</f>
        <v>40936.99861</v>
      </c>
      <c r="B626" s="1">
        <f>IFERROR(__xludf.DUMMYFUNCTION("""COMPUTED_VALUE"""),116.73408)</f>
        <v>116.73408</v>
      </c>
    </row>
    <row r="627">
      <c r="A627" s="3">
        <f>IFERROR(__xludf.DUMMYFUNCTION("""COMPUTED_VALUE"""),40937.99861111111)</f>
        <v>40937.99861</v>
      </c>
      <c r="B627" s="1">
        <f>IFERROR(__xludf.DUMMYFUNCTION("""COMPUTED_VALUE"""),117.281727)</f>
        <v>117.281727</v>
      </c>
    </row>
    <row r="628">
      <c r="A628" s="3">
        <f>IFERROR(__xludf.DUMMYFUNCTION("""COMPUTED_VALUE"""),40938.99861111111)</f>
        <v>40938.99861</v>
      </c>
      <c r="B628" s="1">
        <f>IFERROR(__xludf.DUMMYFUNCTION("""COMPUTED_VALUE"""),117.44348)</f>
        <v>117.44348</v>
      </c>
    </row>
    <row r="629">
      <c r="A629" s="3">
        <f>IFERROR(__xludf.DUMMYFUNCTION("""COMPUTED_VALUE"""),40939.99861111111)</f>
        <v>40939.99861</v>
      </c>
      <c r="B629" s="1">
        <f>IFERROR(__xludf.DUMMYFUNCTION("""COMPUTED_VALUE"""),117.66289)</f>
        <v>117.66289</v>
      </c>
    </row>
    <row r="630">
      <c r="A630" s="3">
        <f>IFERROR(__xludf.DUMMYFUNCTION("""COMPUTED_VALUE"""),40940.99861111111)</f>
        <v>40940.99861</v>
      </c>
      <c r="B630" s="1">
        <f>IFERROR(__xludf.DUMMYFUNCTION("""COMPUTED_VALUE"""),117.8176)</f>
        <v>117.8176</v>
      </c>
    </row>
    <row r="631">
      <c r="A631" s="3">
        <f>IFERROR(__xludf.DUMMYFUNCTION("""COMPUTED_VALUE"""),40941.99861111111)</f>
        <v>40941.99861</v>
      </c>
      <c r="B631" s="1">
        <f>IFERROR(__xludf.DUMMYFUNCTION("""COMPUTED_VALUE"""),117.629044)</f>
        <v>117.629044</v>
      </c>
    </row>
    <row r="632">
      <c r="A632" s="3">
        <f>IFERROR(__xludf.DUMMYFUNCTION("""COMPUTED_VALUE"""),40942.99861111111)</f>
        <v>40942.99861</v>
      </c>
      <c r="B632" s="1">
        <f>IFERROR(__xludf.DUMMYFUNCTION("""COMPUTED_VALUE"""),116.887545)</f>
        <v>116.887545</v>
      </c>
    </row>
    <row r="633">
      <c r="A633" s="3">
        <f>IFERROR(__xludf.DUMMYFUNCTION("""COMPUTED_VALUE"""),40943.99861111111)</f>
        <v>40943.99861</v>
      </c>
      <c r="B633" s="1">
        <f>IFERROR(__xludf.DUMMYFUNCTION("""COMPUTED_VALUE"""),116.511705)</f>
        <v>116.511705</v>
      </c>
    </row>
    <row r="634">
      <c r="A634" s="3">
        <f>IFERROR(__xludf.DUMMYFUNCTION("""COMPUTED_VALUE"""),40944.99861111111)</f>
        <v>40944.99861</v>
      </c>
      <c r="B634" s="1">
        <f>IFERROR(__xludf.DUMMYFUNCTION("""COMPUTED_VALUE"""),117.1300335)</f>
        <v>117.1300335</v>
      </c>
    </row>
    <row r="635">
      <c r="A635" s="3">
        <f>IFERROR(__xludf.DUMMYFUNCTION("""COMPUTED_VALUE"""),40945.99861111111)</f>
        <v>40945.99861</v>
      </c>
      <c r="B635" s="1">
        <f>IFERROR(__xludf.DUMMYFUNCTION("""COMPUTED_VALUE"""),117.2412)</f>
        <v>117.2412</v>
      </c>
    </row>
    <row r="636">
      <c r="A636" s="3">
        <f>IFERROR(__xludf.DUMMYFUNCTION("""COMPUTED_VALUE"""),40946.99861111111)</f>
        <v>40946.99861</v>
      </c>
      <c r="B636" s="1">
        <f>IFERROR(__xludf.DUMMYFUNCTION("""COMPUTED_VALUE"""),116.2686)</f>
        <v>116.2686</v>
      </c>
    </row>
    <row r="637">
      <c r="A637" s="3">
        <f>IFERROR(__xludf.DUMMYFUNCTION("""COMPUTED_VALUE"""),40947.99861111111)</f>
        <v>40947.99861</v>
      </c>
      <c r="B637" s="1">
        <f>IFERROR(__xludf.DUMMYFUNCTION("""COMPUTED_VALUE"""),114.89247)</f>
        <v>114.89247</v>
      </c>
    </row>
    <row r="638">
      <c r="A638" s="3">
        <f>IFERROR(__xludf.DUMMYFUNCTION("""COMPUTED_VALUE"""),40948.99861111111)</f>
        <v>40948.99861</v>
      </c>
      <c r="B638" s="1">
        <f>IFERROR(__xludf.DUMMYFUNCTION("""COMPUTED_VALUE"""),114.8896)</f>
        <v>114.8896</v>
      </c>
    </row>
    <row r="639">
      <c r="A639" s="3">
        <f>IFERROR(__xludf.DUMMYFUNCTION("""COMPUTED_VALUE"""),40949.99861111111)</f>
        <v>40949.99861</v>
      </c>
      <c r="B639" s="1">
        <f>IFERROR(__xludf.DUMMYFUNCTION("""COMPUTED_VALUE"""),115.4692)</f>
        <v>115.4692</v>
      </c>
    </row>
    <row r="640">
      <c r="A640" s="3">
        <f>IFERROR(__xludf.DUMMYFUNCTION("""COMPUTED_VALUE"""),40950.99861111111)</f>
        <v>40950.99861</v>
      </c>
      <c r="B640" s="1">
        <f>IFERROR(__xludf.DUMMYFUNCTION("""COMPUTED_VALUE"""),115.37955)</f>
        <v>115.37955</v>
      </c>
    </row>
    <row r="641">
      <c r="A641" s="3">
        <f>IFERROR(__xludf.DUMMYFUNCTION("""COMPUTED_VALUE"""),40951.99861111111)</f>
        <v>40951.99861</v>
      </c>
      <c r="B641" s="1">
        <f>IFERROR(__xludf.DUMMYFUNCTION("""COMPUTED_VALUE"""),115.37955)</f>
        <v>115.37955</v>
      </c>
    </row>
    <row r="642">
      <c r="A642" s="3">
        <f>IFERROR(__xludf.DUMMYFUNCTION("""COMPUTED_VALUE"""),40952.99861111111)</f>
        <v>40952.99861</v>
      </c>
      <c r="B642" s="1">
        <f>IFERROR(__xludf.DUMMYFUNCTION("""COMPUTED_VALUE"""),115.73235)</f>
        <v>115.73235</v>
      </c>
    </row>
    <row r="643">
      <c r="A643" s="3">
        <f>IFERROR(__xludf.DUMMYFUNCTION("""COMPUTED_VALUE"""),40953.99861111111)</f>
        <v>40953.99861</v>
      </c>
      <c r="B643" s="1">
        <f>IFERROR(__xludf.DUMMYFUNCTION("""COMPUTED_VALUE"""),114.7245)</f>
        <v>114.7245</v>
      </c>
    </row>
    <row r="644">
      <c r="A644" s="3">
        <f>IFERROR(__xludf.DUMMYFUNCTION("""COMPUTED_VALUE"""),40954.99861111111)</f>
        <v>40954.99861</v>
      </c>
      <c r="B644" s="1">
        <f>IFERROR(__xludf.DUMMYFUNCTION("""COMPUTED_VALUE"""),113.7682)</f>
        <v>113.7682</v>
      </c>
    </row>
    <row r="645">
      <c r="A645" s="3">
        <f>IFERROR(__xludf.DUMMYFUNCTION("""COMPUTED_VALUE"""),40955.99861111111)</f>
        <v>40955.99861</v>
      </c>
      <c r="B645" s="1">
        <f>IFERROR(__xludf.DUMMYFUNCTION("""COMPUTED_VALUE"""),113.9562)</f>
        <v>113.9562</v>
      </c>
    </row>
    <row r="646">
      <c r="A646" s="3">
        <f>IFERROR(__xludf.DUMMYFUNCTION("""COMPUTED_VALUE"""),40956.99861111111)</f>
        <v>40956.99861</v>
      </c>
      <c r="B646" s="1">
        <f>IFERROR(__xludf.DUMMYFUNCTION("""COMPUTED_VALUE"""),113.16771)</f>
        <v>113.16771</v>
      </c>
    </row>
    <row r="647">
      <c r="A647" s="3">
        <f>IFERROR(__xludf.DUMMYFUNCTION("""COMPUTED_VALUE"""),40957.99861111111)</f>
        <v>40957.99861</v>
      </c>
      <c r="B647" s="1">
        <f>IFERROR(__xludf.DUMMYFUNCTION("""COMPUTED_VALUE"""),112.918824)</f>
        <v>112.918824</v>
      </c>
    </row>
    <row r="648">
      <c r="A648" s="3">
        <f>IFERROR(__xludf.DUMMYFUNCTION("""COMPUTED_VALUE"""),40958.99861111111)</f>
        <v>40958.99861</v>
      </c>
      <c r="B648" s="1">
        <f>IFERROR(__xludf.DUMMYFUNCTION("""COMPUTED_VALUE"""),112.469664)</f>
        <v>112.469664</v>
      </c>
    </row>
    <row r="649">
      <c r="A649" s="3">
        <f>IFERROR(__xludf.DUMMYFUNCTION("""COMPUTED_VALUE"""),40959.99861111111)</f>
        <v>40959.99861</v>
      </c>
      <c r="B649" s="1">
        <f>IFERROR(__xludf.DUMMYFUNCTION("""COMPUTED_VALUE"""),112.683296)</f>
        <v>112.683296</v>
      </c>
    </row>
    <row r="650">
      <c r="A650" s="3">
        <f>IFERROR(__xludf.DUMMYFUNCTION("""COMPUTED_VALUE"""),40960.99861111111)</f>
        <v>40960.99861</v>
      </c>
      <c r="B650" s="1">
        <f>IFERROR(__xludf.DUMMYFUNCTION("""COMPUTED_VALUE"""),113.1459)</f>
        <v>113.1459</v>
      </c>
    </row>
    <row r="651">
      <c r="A651" s="3">
        <f>IFERROR(__xludf.DUMMYFUNCTION("""COMPUTED_VALUE"""),40961.99861111111)</f>
        <v>40961.99861</v>
      </c>
      <c r="B651" s="1">
        <f>IFERROR(__xludf.DUMMYFUNCTION("""COMPUTED_VALUE"""),112.6384)</f>
        <v>112.6384</v>
      </c>
    </row>
    <row r="652">
      <c r="A652" s="3">
        <f>IFERROR(__xludf.DUMMYFUNCTION("""COMPUTED_VALUE"""),40962.99861111111)</f>
        <v>40962.99861</v>
      </c>
      <c r="B652" s="1">
        <f>IFERROR(__xludf.DUMMYFUNCTION("""COMPUTED_VALUE"""),113.0904)</f>
        <v>113.0904</v>
      </c>
    </row>
    <row r="653">
      <c r="A653" s="3">
        <f>IFERROR(__xludf.DUMMYFUNCTION("""COMPUTED_VALUE"""),40963.99861111111)</f>
        <v>40963.99861</v>
      </c>
      <c r="B653" s="1">
        <f>IFERROR(__xludf.DUMMYFUNCTION("""COMPUTED_VALUE"""),111.2824)</f>
        <v>111.2824</v>
      </c>
    </row>
    <row r="654">
      <c r="A654" s="3">
        <f>IFERROR(__xludf.DUMMYFUNCTION("""COMPUTED_VALUE"""),40964.99861111111)</f>
        <v>40964.99861</v>
      </c>
      <c r="B654" s="1">
        <f>IFERROR(__xludf.DUMMYFUNCTION("""COMPUTED_VALUE"""),111.408115)</f>
        <v>111.408115</v>
      </c>
    </row>
    <row r="655">
      <c r="A655" s="3">
        <f>IFERROR(__xludf.DUMMYFUNCTION("""COMPUTED_VALUE"""),40965.99861111111)</f>
        <v>40965.99861</v>
      </c>
      <c r="B655" s="1">
        <f>IFERROR(__xludf.DUMMYFUNCTION("""COMPUTED_VALUE"""),111.2420654)</f>
        <v>111.2420654</v>
      </c>
    </row>
    <row r="656">
      <c r="A656" s="3">
        <f>IFERROR(__xludf.DUMMYFUNCTION("""COMPUTED_VALUE"""),40966.99861111111)</f>
        <v>40966.99861</v>
      </c>
      <c r="B656" s="1">
        <f>IFERROR(__xludf.DUMMYFUNCTION("""COMPUTED_VALUE"""),113.17515)</f>
        <v>113.17515</v>
      </c>
    </row>
    <row r="657">
      <c r="A657" s="3">
        <f>IFERROR(__xludf.DUMMYFUNCTION("""COMPUTED_VALUE"""),40967.99861111111)</f>
        <v>40967.99861</v>
      </c>
      <c r="B657" s="1">
        <f>IFERROR(__xludf.DUMMYFUNCTION("""COMPUTED_VALUE"""),111.8421)</f>
        <v>111.8421</v>
      </c>
    </row>
    <row r="658">
      <c r="A658" s="3">
        <f>IFERROR(__xludf.DUMMYFUNCTION("""COMPUTED_VALUE"""),40968.99861111111)</f>
        <v>40968.99861</v>
      </c>
      <c r="B658" s="1">
        <f>IFERROR(__xludf.DUMMYFUNCTION("""COMPUTED_VALUE"""),110.823)</f>
        <v>110.823</v>
      </c>
    </row>
    <row r="659">
      <c r="A659" s="3">
        <f>IFERROR(__xludf.DUMMYFUNCTION("""COMPUTED_VALUE"""),40969.99861111111)</f>
        <v>40969.99861</v>
      </c>
      <c r="B659" s="1">
        <f>IFERROR(__xludf.DUMMYFUNCTION("""COMPUTED_VALUE"""),111.64815)</f>
        <v>111.64815</v>
      </c>
    </row>
    <row r="660">
      <c r="A660" s="3">
        <f>IFERROR(__xludf.DUMMYFUNCTION("""COMPUTED_VALUE"""),40970.99861111111)</f>
        <v>40970.99861</v>
      </c>
      <c r="B660" s="1">
        <f>IFERROR(__xludf.DUMMYFUNCTION("""COMPUTED_VALUE"""),110.6521)</f>
        <v>110.6521</v>
      </c>
    </row>
    <row r="661">
      <c r="A661" s="3">
        <f>IFERROR(__xludf.DUMMYFUNCTION("""COMPUTED_VALUE"""),40971.99861111111)</f>
        <v>40971.99861</v>
      </c>
      <c r="B661" s="1">
        <f>IFERROR(__xludf.DUMMYFUNCTION("""COMPUTED_VALUE"""),110.6521)</f>
        <v>110.6521</v>
      </c>
    </row>
    <row r="662">
      <c r="A662" s="3">
        <f>IFERROR(__xludf.DUMMYFUNCTION("""COMPUTED_VALUE"""),40972.99861111111)</f>
        <v>40972.99861</v>
      </c>
      <c r="B662" s="1">
        <f>IFERROR(__xludf.DUMMYFUNCTION("""COMPUTED_VALUE"""),110.92375)</f>
        <v>110.92375</v>
      </c>
    </row>
    <row r="663">
      <c r="A663" s="3">
        <f>IFERROR(__xludf.DUMMYFUNCTION("""COMPUTED_VALUE"""),40973.99861111111)</f>
        <v>40973.99861</v>
      </c>
      <c r="B663" s="1">
        <f>IFERROR(__xludf.DUMMYFUNCTION("""COMPUTED_VALUE"""),111.72538)</f>
        <v>111.72538</v>
      </c>
    </row>
    <row r="664">
      <c r="A664" s="3">
        <f>IFERROR(__xludf.DUMMYFUNCTION("""COMPUTED_VALUE"""),40974.99861111111)</f>
        <v>40974.99861</v>
      </c>
      <c r="B664" s="1">
        <f>IFERROR(__xludf.DUMMYFUNCTION("""COMPUTED_VALUE"""),113.026)</f>
        <v>113.026</v>
      </c>
    </row>
    <row r="665">
      <c r="A665" s="3">
        <f>IFERROR(__xludf.DUMMYFUNCTION("""COMPUTED_VALUE"""),40975.99861111111)</f>
        <v>40975.99861</v>
      </c>
      <c r="B665" s="1">
        <f>IFERROR(__xludf.DUMMYFUNCTION("""COMPUTED_VALUE"""),111.7455)</f>
        <v>111.7455</v>
      </c>
    </row>
    <row r="666">
      <c r="A666" s="3">
        <f>IFERROR(__xludf.DUMMYFUNCTION("""COMPUTED_VALUE"""),40976.99861111111)</f>
        <v>40976.99861</v>
      </c>
      <c r="B666" s="1">
        <f>IFERROR(__xludf.DUMMYFUNCTION("""COMPUTED_VALUE"""),111.6273)</f>
        <v>111.6273</v>
      </c>
    </row>
    <row r="667">
      <c r="A667" s="3">
        <f>IFERROR(__xludf.DUMMYFUNCTION("""COMPUTED_VALUE"""),40977.99861111111)</f>
        <v>40977.99861</v>
      </c>
      <c r="B667" s="1">
        <f>IFERROR(__xludf.DUMMYFUNCTION("""COMPUTED_VALUE"""),110.44365)</f>
        <v>110.44365</v>
      </c>
    </row>
    <row r="668">
      <c r="A668" s="3">
        <f>IFERROR(__xludf.DUMMYFUNCTION("""COMPUTED_VALUE"""),40978.99861111111)</f>
        <v>40978.99861</v>
      </c>
      <c r="B668" s="1">
        <f>IFERROR(__xludf.DUMMYFUNCTION("""COMPUTED_VALUE"""),110.8874556)</f>
        <v>110.8874556</v>
      </c>
    </row>
    <row r="669">
      <c r="A669" s="3">
        <f>IFERROR(__xludf.DUMMYFUNCTION("""COMPUTED_VALUE"""),40979.99861111111)</f>
        <v>40979.99861</v>
      </c>
      <c r="B669" s="1">
        <f>IFERROR(__xludf.DUMMYFUNCTION("""COMPUTED_VALUE"""),110.867943)</f>
        <v>110.867943</v>
      </c>
    </row>
    <row r="670">
      <c r="A670" s="3">
        <f>IFERROR(__xludf.DUMMYFUNCTION("""COMPUTED_VALUE"""),40980.99861111111)</f>
        <v>40980.99861</v>
      </c>
      <c r="B670" s="1">
        <f>IFERROR(__xludf.DUMMYFUNCTION("""COMPUTED_VALUE"""),110.87462)</f>
        <v>110.87462</v>
      </c>
    </row>
    <row r="671">
      <c r="A671" s="3">
        <f>IFERROR(__xludf.DUMMYFUNCTION("""COMPUTED_VALUE"""),40981.99861111111)</f>
        <v>40981.99861</v>
      </c>
      <c r="B671" s="1">
        <f>IFERROR(__xludf.DUMMYFUNCTION("""COMPUTED_VALUE"""),110.05265)</f>
        <v>110.05265</v>
      </c>
    </row>
    <row r="672">
      <c r="A672" s="3">
        <f>IFERROR(__xludf.DUMMYFUNCTION("""COMPUTED_VALUE"""),40982.99861111111)</f>
        <v>40982.99861</v>
      </c>
      <c r="B672" s="1">
        <f>IFERROR(__xludf.DUMMYFUNCTION("""COMPUTED_VALUE"""),109.22296)</f>
        <v>109.22296</v>
      </c>
    </row>
    <row r="673">
      <c r="A673" s="3">
        <f>IFERROR(__xludf.DUMMYFUNCTION("""COMPUTED_VALUE"""),40983.99861111111)</f>
        <v>40983.99861</v>
      </c>
      <c r="B673" s="1">
        <f>IFERROR(__xludf.DUMMYFUNCTION("""COMPUTED_VALUE"""),109.68111)</f>
        <v>109.68111</v>
      </c>
    </row>
    <row r="674">
      <c r="A674" s="3">
        <f>IFERROR(__xludf.DUMMYFUNCTION("""COMPUTED_VALUE"""),40984.99861111111)</f>
        <v>40984.99861</v>
      </c>
      <c r="B674" s="1">
        <f>IFERROR(__xludf.DUMMYFUNCTION("""COMPUTED_VALUE"""),109.018)</f>
        <v>109.018</v>
      </c>
    </row>
    <row r="675">
      <c r="A675" s="3">
        <f>IFERROR(__xludf.DUMMYFUNCTION("""COMPUTED_VALUE"""),40985.99861111111)</f>
        <v>40985.99861</v>
      </c>
      <c r="B675" s="1">
        <f>IFERROR(__xludf.DUMMYFUNCTION("""COMPUTED_VALUE"""),108.851478)</f>
        <v>108.851478</v>
      </c>
    </row>
    <row r="676">
      <c r="A676" s="3">
        <f>IFERROR(__xludf.DUMMYFUNCTION("""COMPUTED_VALUE"""),40986.99861111111)</f>
        <v>40986.99861</v>
      </c>
      <c r="B676" s="1">
        <f>IFERROR(__xludf.DUMMYFUNCTION("""COMPUTED_VALUE"""),109.2576)</f>
        <v>109.2576</v>
      </c>
    </row>
    <row r="677">
      <c r="A677" s="3">
        <f>IFERROR(__xludf.DUMMYFUNCTION("""COMPUTED_VALUE"""),40987.99861111111)</f>
        <v>40987.99861</v>
      </c>
      <c r="B677" s="1">
        <f>IFERROR(__xludf.DUMMYFUNCTION("""COMPUTED_VALUE"""),109.2289)</f>
        <v>109.2289</v>
      </c>
    </row>
    <row r="678">
      <c r="A678" s="3">
        <f>IFERROR(__xludf.DUMMYFUNCTION("""COMPUTED_VALUE"""),40988.99861111111)</f>
        <v>40988.99861</v>
      </c>
      <c r="B678" s="1">
        <f>IFERROR(__xludf.DUMMYFUNCTION("""COMPUTED_VALUE"""),109.28275)</f>
        <v>109.28275</v>
      </c>
    </row>
    <row r="679">
      <c r="A679" s="3">
        <f>IFERROR(__xludf.DUMMYFUNCTION("""COMPUTED_VALUE"""),40989.99861111111)</f>
        <v>40989.99861</v>
      </c>
      <c r="B679" s="1">
        <f>IFERROR(__xludf.DUMMYFUNCTION("""COMPUTED_VALUE"""),109.83145)</f>
        <v>109.83145</v>
      </c>
    </row>
    <row r="680">
      <c r="A680" s="3">
        <f>IFERROR(__xludf.DUMMYFUNCTION("""COMPUTED_VALUE"""),40990.99861111111)</f>
        <v>40990.99861</v>
      </c>
      <c r="B680" s="1">
        <f>IFERROR(__xludf.DUMMYFUNCTION("""COMPUTED_VALUE"""),111.6542)</f>
        <v>111.6542</v>
      </c>
    </row>
    <row r="681">
      <c r="A681" s="3">
        <f>IFERROR(__xludf.DUMMYFUNCTION("""COMPUTED_VALUE"""),40991.99861111111)</f>
        <v>40991.99861</v>
      </c>
      <c r="B681" s="1">
        <f>IFERROR(__xludf.DUMMYFUNCTION("""COMPUTED_VALUE"""),111.0203)</f>
        <v>111.0203</v>
      </c>
    </row>
    <row r="682">
      <c r="A682" s="3">
        <f>IFERROR(__xludf.DUMMYFUNCTION("""COMPUTED_VALUE"""),40992.99861111111)</f>
        <v>40992.99861</v>
      </c>
      <c r="B682" s="1">
        <f>IFERROR(__xludf.DUMMYFUNCTION("""COMPUTED_VALUE"""),108.71977)</f>
        <v>108.71977</v>
      </c>
    </row>
    <row r="683">
      <c r="A683" s="3">
        <f>IFERROR(__xludf.DUMMYFUNCTION("""COMPUTED_VALUE"""),40993.99861111111)</f>
        <v>40993.99861</v>
      </c>
      <c r="B683" s="1">
        <f>IFERROR(__xludf.DUMMYFUNCTION("""COMPUTED_VALUE"""),110.8065)</f>
        <v>110.8065</v>
      </c>
    </row>
    <row r="684">
      <c r="A684" s="3">
        <f>IFERROR(__xludf.DUMMYFUNCTION("""COMPUTED_VALUE"""),40994.99861111111)</f>
        <v>40994.99861</v>
      </c>
      <c r="B684" s="1">
        <f>IFERROR(__xludf.DUMMYFUNCTION("""COMPUTED_VALUE"""),110.4405)</f>
        <v>110.4405</v>
      </c>
    </row>
    <row r="685">
      <c r="A685" s="3">
        <f>IFERROR(__xludf.DUMMYFUNCTION("""COMPUTED_VALUE"""),40995.99861111111)</f>
        <v>40995.99861</v>
      </c>
      <c r="B685" s="1">
        <f>IFERROR(__xludf.DUMMYFUNCTION("""COMPUTED_VALUE"""),110.0745)</f>
        <v>110.0745</v>
      </c>
    </row>
    <row r="686">
      <c r="A686" s="3">
        <f>IFERROR(__xludf.DUMMYFUNCTION("""COMPUTED_VALUE"""),40996.99861111111)</f>
        <v>40996.99861</v>
      </c>
      <c r="B686" s="1">
        <f>IFERROR(__xludf.DUMMYFUNCTION("""COMPUTED_VALUE"""),110.349)</f>
        <v>110.349</v>
      </c>
    </row>
    <row r="687">
      <c r="A687" s="3">
        <f>IFERROR(__xludf.DUMMYFUNCTION("""COMPUTED_VALUE"""),40997.99861111111)</f>
        <v>40997.99861</v>
      </c>
      <c r="B687" s="1">
        <f>IFERROR(__xludf.DUMMYFUNCTION("""COMPUTED_VALUE"""),110.898)</f>
        <v>110.898</v>
      </c>
    </row>
    <row r="688">
      <c r="A688" s="3">
        <f>IFERROR(__xludf.DUMMYFUNCTION("""COMPUTED_VALUE"""),40998.99861111111)</f>
        <v>40998.99861</v>
      </c>
      <c r="B688" s="1">
        <f>IFERROR(__xludf.DUMMYFUNCTION("""COMPUTED_VALUE"""),110.0784)</f>
        <v>110.0784</v>
      </c>
    </row>
    <row r="689">
      <c r="A689" s="3">
        <f>IFERROR(__xludf.DUMMYFUNCTION("""COMPUTED_VALUE"""),40999.99861111111)</f>
        <v>40999.99861</v>
      </c>
      <c r="B689" s="1">
        <f>IFERROR(__xludf.DUMMYFUNCTION("""COMPUTED_VALUE"""),109.98184)</f>
        <v>109.98184</v>
      </c>
    </row>
    <row r="690">
      <c r="A690" s="3">
        <f>IFERROR(__xludf.DUMMYFUNCTION("""COMPUTED_VALUE"""),41000.99861111111)</f>
        <v>41000.99861</v>
      </c>
      <c r="B690" s="1">
        <f>IFERROR(__xludf.DUMMYFUNCTION("""COMPUTED_VALUE"""),110.6324371)</f>
        <v>110.6324371</v>
      </c>
    </row>
    <row r="691">
      <c r="A691" s="3">
        <f>IFERROR(__xludf.DUMMYFUNCTION("""COMPUTED_VALUE"""),41001.99861111111)</f>
        <v>41001.99861</v>
      </c>
      <c r="B691" s="1">
        <f>IFERROR(__xludf.DUMMYFUNCTION("""COMPUTED_VALUE"""),111.05724)</f>
        <v>111.05724</v>
      </c>
    </row>
    <row r="692">
      <c r="A692" s="3">
        <f>IFERROR(__xludf.DUMMYFUNCTION("""COMPUTED_VALUE"""),41002.99861111111)</f>
        <v>41002.99861</v>
      </c>
      <c r="B692" s="1">
        <f>IFERROR(__xludf.DUMMYFUNCTION("""COMPUTED_VALUE"""),110.27152)</f>
        <v>110.27152</v>
      </c>
    </row>
    <row r="693">
      <c r="A693" s="3">
        <f>IFERROR(__xludf.DUMMYFUNCTION("""COMPUTED_VALUE"""),41003.99861111111)</f>
        <v>41003.99861</v>
      </c>
      <c r="B693" s="1">
        <f>IFERROR(__xludf.DUMMYFUNCTION("""COMPUTED_VALUE"""),110.87462)</f>
        <v>110.87462</v>
      </c>
    </row>
    <row r="694">
      <c r="A694" s="3">
        <f>IFERROR(__xludf.DUMMYFUNCTION("""COMPUTED_VALUE"""),41004.99861111111)</f>
        <v>41004.99861</v>
      </c>
      <c r="B694" s="1">
        <f>IFERROR(__xludf.DUMMYFUNCTION("""COMPUTED_VALUE"""),110.38275)</f>
        <v>110.38275</v>
      </c>
    </row>
    <row r="695">
      <c r="A695" s="3">
        <f>IFERROR(__xludf.DUMMYFUNCTION("""COMPUTED_VALUE"""),41005.99861111111)</f>
        <v>41005.99861</v>
      </c>
      <c r="B695" s="1">
        <f>IFERROR(__xludf.DUMMYFUNCTION("""COMPUTED_VALUE"""),112.701225)</f>
        <v>112.701225</v>
      </c>
    </row>
    <row r="696">
      <c r="A696" s="3">
        <f>IFERROR(__xludf.DUMMYFUNCTION("""COMPUTED_VALUE"""),41006.99861111111)</f>
        <v>41006.99861</v>
      </c>
      <c r="B696" s="1">
        <f>IFERROR(__xludf.DUMMYFUNCTION("""COMPUTED_VALUE"""),110.289472)</f>
        <v>110.289472</v>
      </c>
    </row>
    <row r="697">
      <c r="A697" s="3">
        <f>IFERROR(__xludf.DUMMYFUNCTION("""COMPUTED_VALUE"""),41007.99861111111)</f>
        <v>41007.99861</v>
      </c>
      <c r="B697" s="1">
        <f>IFERROR(__xludf.DUMMYFUNCTION("""COMPUTED_VALUE"""),111.7455)</f>
        <v>111.7455</v>
      </c>
    </row>
    <row r="698">
      <c r="A698" s="3">
        <f>IFERROR(__xludf.DUMMYFUNCTION("""COMPUTED_VALUE"""),41008.99861111111)</f>
        <v>41008.99861</v>
      </c>
      <c r="B698" s="1">
        <f>IFERROR(__xludf.DUMMYFUNCTION("""COMPUTED_VALUE"""),112.105875)</f>
        <v>112.105875</v>
      </c>
    </row>
    <row r="699">
      <c r="A699" s="3">
        <f>IFERROR(__xludf.DUMMYFUNCTION("""COMPUTED_VALUE"""),41009.99861111111)</f>
        <v>41009.99861</v>
      </c>
      <c r="B699" s="1">
        <f>IFERROR(__xludf.DUMMYFUNCTION("""COMPUTED_VALUE"""),113.35611)</f>
        <v>113.35611</v>
      </c>
    </row>
    <row r="700">
      <c r="A700" s="3">
        <f>IFERROR(__xludf.DUMMYFUNCTION("""COMPUTED_VALUE"""),41010.99861111111)</f>
        <v>41010.99861</v>
      </c>
      <c r="B700" s="1">
        <f>IFERROR(__xludf.DUMMYFUNCTION("""COMPUTED_VALUE"""),113.08164)</f>
        <v>113.08164</v>
      </c>
    </row>
    <row r="701">
      <c r="A701" s="3">
        <f>IFERROR(__xludf.DUMMYFUNCTION("""COMPUTED_VALUE"""),41011.99861111111)</f>
        <v>41011.99861</v>
      </c>
      <c r="B701" s="1">
        <f>IFERROR(__xludf.DUMMYFUNCTION("""COMPUTED_VALUE"""),113.08164)</f>
        <v>113.08164</v>
      </c>
    </row>
    <row r="702">
      <c r="A702" s="3">
        <f>IFERROR(__xludf.DUMMYFUNCTION("""COMPUTED_VALUE"""),41012.99861111111)</f>
        <v>41012.99861</v>
      </c>
      <c r="B702" s="1">
        <f>IFERROR(__xludf.DUMMYFUNCTION("""COMPUTED_VALUE"""),112.57025)</f>
        <v>112.57025</v>
      </c>
    </row>
    <row r="703">
      <c r="A703" s="3">
        <f>IFERROR(__xludf.DUMMYFUNCTION("""COMPUTED_VALUE"""),41013.99861111111)</f>
        <v>41013.99861</v>
      </c>
      <c r="B703" s="1">
        <f>IFERROR(__xludf.DUMMYFUNCTION("""COMPUTED_VALUE"""),111.474805)</f>
        <v>111.474805</v>
      </c>
    </row>
    <row r="704">
      <c r="A704" s="3">
        <f>IFERROR(__xludf.DUMMYFUNCTION("""COMPUTED_VALUE"""),41014.99861111111)</f>
        <v>41014.99861</v>
      </c>
      <c r="B704" s="1">
        <f>IFERROR(__xludf.DUMMYFUNCTION("""COMPUTED_VALUE"""),112.969782)</f>
        <v>112.969782</v>
      </c>
    </row>
    <row r="705">
      <c r="A705" s="3">
        <f>IFERROR(__xludf.DUMMYFUNCTION("""COMPUTED_VALUE"""),41015.99861111111)</f>
        <v>41015.99861</v>
      </c>
      <c r="B705" s="1">
        <f>IFERROR(__xludf.DUMMYFUNCTION("""COMPUTED_VALUE"""),113.79665)</f>
        <v>113.79665</v>
      </c>
    </row>
    <row r="706">
      <c r="A706" s="3">
        <f>IFERROR(__xludf.DUMMYFUNCTION("""COMPUTED_VALUE"""),41016.99861111111)</f>
        <v>41016.99861</v>
      </c>
      <c r="B706" s="1">
        <f>IFERROR(__xludf.DUMMYFUNCTION("""COMPUTED_VALUE"""),113.06425)</f>
        <v>113.06425</v>
      </c>
    </row>
    <row r="707">
      <c r="A707" s="3">
        <f>IFERROR(__xludf.DUMMYFUNCTION("""COMPUTED_VALUE"""),41017.99861111111)</f>
        <v>41017.99861</v>
      </c>
      <c r="B707" s="1">
        <f>IFERROR(__xludf.DUMMYFUNCTION("""COMPUTED_VALUE"""),112.6065)</f>
        <v>112.6065</v>
      </c>
    </row>
    <row r="708">
      <c r="A708" s="3">
        <f>IFERROR(__xludf.DUMMYFUNCTION("""COMPUTED_VALUE"""),41018.99861111111)</f>
        <v>41018.99861</v>
      </c>
      <c r="B708" s="1">
        <f>IFERROR(__xludf.DUMMYFUNCTION("""COMPUTED_VALUE"""),112.04496)</f>
        <v>112.04496</v>
      </c>
    </row>
    <row r="709">
      <c r="A709" s="3">
        <f>IFERROR(__xludf.DUMMYFUNCTION("""COMPUTED_VALUE"""),41019.99861111111)</f>
        <v>41019.99861</v>
      </c>
      <c r="B709" s="1">
        <f>IFERROR(__xludf.DUMMYFUNCTION("""COMPUTED_VALUE"""),112.22804)</f>
        <v>112.22804</v>
      </c>
    </row>
    <row r="710">
      <c r="A710" s="3">
        <f>IFERROR(__xludf.DUMMYFUNCTION("""COMPUTED_VALUE"""),41020.99861111111)</f>
        <v>41020.99861</v>
      </c>
      <c r="B710" s="1">
        <f>IFERROR(__xludf.DUMMYFUNCTION("""COMPUTED_VALUE"""),112.8794846)</f>
        <v>112.8794846</v>
      </c>
    </row>
    <row r="711">
      <c r="A711" s="3">
        <f>IFERROR(__xludf.DUMMYFUNCTION("""COMPUTED_VALUE"""),41021.99861111111)</f>
        <v>41021.99861</v>
      </c>
      <c r="B711" s="1">
        <f>IFERROR(__xludf.DUMMYFUNCTION("""COMPUTED_VALUE"""),112.010325)</f>
        <v>112.010325</v>
      </c>
    </row>
    <row r="712">
      <c r="A712" s="3">
        <f>IFERROR(__xludf.DUMMYFUNCTION("""COMPUTED_VALUE"""),41022.99861111111)</f>
        <v>41022.99861</v>
      </c>
      <c r="B712" s="1">
        <f>IFERROR(__xludf.DUMMYFUNCTION("""COMPUTED_VALUE"""),112.88816)</f>
        <v>112.88816</v>
      </c>
    </row>
    <row r="713">
      <c r="A713" s="3">
        <f>IFERROR(__xludf.DUMMYFUNCTION("""COMPUTED_VALUE"""),41023.99861111111)</f>
        <v>41023.99861</v>
      </c>
      <c r="B713" s="1">
        <f>IFERROR(__xludf.DUMMYFUNCTION("""COMPUTED_VALUE"""),112.61327)</f>
        <v>112.61327</v>
      </c>
    </row>
    <row r="714">
      <c r="A714" s="3">
        <f>IFERROR(__xludf.DUMMYFUNCTION("""COMPUTED_VALUE"""),41024.99861111111)</f>
        <v>41024.99861</v>
      </c>
      <c r="B714" s="1">
        <f>IFERROR(__xludf.DUMMYFUNCTION("""COMPUTED_VALUE"""),112.7049)</f>
        <v>112.7049</v>
      </c>
    </row>
    <row r="715">
      <c r="A715" s="3">
        <f>IFERROR(__xludf.DUMMYFUNCTION("""COMPUTED_VALUE"""),41025.99861111111)</f>
        <v>41025.99861</v>
      </c>
      <c r="B715" s="1">
        <f>IFERROR(__xludf.DUMMYFUNCTION("""COMPUTED_VALUE"""),112.993678)</f>
        <v>112.993678</v>
      </c>
    </row>
    <row r="716">
      <c r="A716" s="3">
        <f>IFERROR(__xludf.DUMMYFUNCTION("""COMPUTED_VALUE"""),41026.99861111111)</f>
        <v>41026.99861</v>
      </c>
      <c r="B716" s="1">
        <f>IFERROR(__xludf.DUMMYFUNCTION("""COMPUTED_VALUE"""),114.4024275)</f>
        <v>114.4024275</v>
      </c>
    </row>
    <row r="717">
      <c r="A717" s="3">
        <f>IFERROR(__xludf.DUMMYFUNCTION("""COMPUTED_VALUE"""),41027.99861111111)</f>
        <v>41027.99861</v>
      </c>
      <c r="B717" s="1">
        <f>IFERROR(__xludf.DUMMYFUNCTION("""COMPUTED_VALUE"""),114.5220529)</f>
        <v>114.5220529</v>
      </c>
    </row>
    <row r="718">
      <c r="A718" s="3">
        <f>IFERROR(__xludf.DUMMYFUNCTION("""COMPUTED_VALUE"""),41029.99861111111)</f>
        <v>41029.99861</v>
      </c>
      <c r="B718" s="1">
        <f>IFERROR(__xludf.DUMMYFUNCTION("""COMPUTED_VALUE"""),114.4024275)</f>
        <v>114.4024275</v>
      </c>
    </row>
    <row r="719">
      <c r="A719" s="3">
        <f>IFERROR(__xludf.DUMMYFUNCTION("""COMPUTED_VALUE"""),41030.99861111111)</f>
        <v>41030.99861</v>
      </c>
      <c r="B719" s="1">
        <f>IFERROR(__xludf.DUMMYFUNCTION("""COMPUTED_VALUE"""),114.582624)</f>
        <v>114.582624</v>
      </c>
    </row>
    <row r="720">
      <c r="A720" s="3">
        <f>IFERROR(__xludf.DUMMYFUNCTION("""COMPUTED_VALUE"""),41031.99861111111)</f>
        <v>41031.99861</v>
      </c>
      <c r="B720" s="1">
        <f>IFERROR(__xludf.DUMMYFUNCTION("""COMPUTED_VALUE"""),114.3792)</f>
        <v>114.3792</v>
      </c>
    </row>
    <row r="721">
      <c r="A721" s="3">
        <f>IFERROR(__xludf.DUMMYFUNCTION("""COMPUTED_VALUE"""),41032.99861111111)</f>
        <v>41032.99861</v>
      </c>
      <c r="B721" s="1">
        <f>IFERROR(__xludf.DUMMYFUNCTION("""COMPUTED_VALUE"""),114.1959)</f>
        <v>114.1959</v>
      </c>
    </row>
    <row r="722">
      <c r="A722" s="3">
        <f>IFERROR(__xludf.DUMMYFUNCTION("""COMPUTED_VALUE"""),41033.99861111111)</f>
        <v>41033.99861</v>
      </c>
      <c r="B722" s="1">
        <f>IFERROR(__xludf.DUMMYFUNCTION("""COMPUTED_VALUE"""),115.058174)</f>
        <v>115.058174</v>
      </c>
    </row>
    <row r="723">
      <c r="A723" s="3">
        <f>IFERROR(__xludf.DUMMYFUNCTION("""COMPUTED_VALUE"""),41034.99861111111)</f>
        <v>41034.99861</v>
      </c>
      <c r="B723" s="1">
        <f>IFERROR(__xludf.DUMMYFUNCTION("""COMPUTED_VALUE"""),113.387729)</f>
        <v>113.387729</v>
      </c>
    </row>
    <row r="724">
      <c r="A724" s="3">
        <f>IFERROR(__xludf.DUMMYFUNCTION("""COMPUTED_VALUE"""),41035.99861111111)</f>
        <v>41035.99861</v>
      </c>
      <c r="B724" s="1">
        <f>IFERROR(__xludf.DUMMYFUNCTION("""COMPUTED_VALUE"""),113.366428)</f>
        <v>113.366428</v>
      </c>
    </row>
    <row r="725">
      <c r="A725" s="3">
        <f>IFERROR(__xludf.DUMMYFUNCTION("""COMPUTED_VALUE"""),41036.99861111111)</f>
        <v>41036.99861</v>
      </c>
      <c r="B725" s="1">
        <f>IFERROR(__xludf.DUMMYFUNCTION("""COMPUTED_VALUE"""),114.8084)</f>
        <v>114.8084</v>
      </c>
    </row>
    <row r="726">
      <c r="A726" s="3">
        <f>IFERROR(__xludf.DUMMYFUNCTION("""COMPUTED_VALUE"""),41037.99861111111)</f>
        <v>41037.99861</v>
      </c>
      <c r="B726" s="1">
        <f>IFERROR(__xludf.DUMMYFUNCTION("""COMPUTED_VALUE"""),114.75832)</f>
        <v>114.75832</v>
      </c>
    </row>
    <row r="727">
      <c r="A727" s="3">
        <f>IFERROR(__xludf.DUMMYFUNCTION("""COMPUTED_VALUE"""),41038.99861111111)</f>
        <v>41038.99861</v>
      </c>
      <c r="B727" s="1">
        <f>IFERROR(__xludf.DUMMYFUNCTION("""COMPUTED_VALUE"""),115.62315)</f>
        <v>115.62315</v>
      </c>
    </row>
    <row r="728">
      <c r="A728" s="3">
        <f>IFERROR(__xludf.DUMMYFUNCTION("""COMPUTED_VALUE"""),41039.99861111111)</f>
        <v>41039.99861</v>
      </c>
      <c r="B728" s="1">
        <f>IFERROR(__xludf.DUMMYFUNCTION("""COMPUTED_VALUE"""),114.8084)</f>
        <v>114.8084</v>
      </c>
    </row>
    <row r="729">
      <c r="A729" s="3">
        <f>IFERROR(__xludf.DUMMYFUNCTION("""COMPUTED_VALUE"""),41040.99861111111)</f>
        <v>41040.99861</v>
      </c>
      <c r="B729" s="1">
        <f>IFERROR(__xludf.DUMMYFUNCTION("""COMPUTED_VALUE"""),114.87933)</f>
        <v>114.87933</v>
      </c>
    </row>
    <row r="730">
      <c r="A730" s="3">
        <f>IFERROR(__xludf.DUMMYFUNCTION("""COMPUTED_VALUE"""),41041.99861111111)</f>
        <v>41041.99861</v>
      </c>
      <c r="B730" s="1">
        <f>IFERROR(__xludf.DUMMYFUNCTION("""COMPUTED_VALUE"""),114.835545)</f>
        <v>114.835545</v>
      </c>
    </row>
    <row r="731">
      <c r="A731" s="3">
        <f>IFERROR(__xludf.DUMMYFUNCTION("""COMPUTED_VALUE"""),41042.99861111111)</f>
        <v>41042.99861</v>
      </c>
      <c r="B731" s="1">
        <f>IFERROR(__xludf.DUMMYFUNCTION("""COMPUTED_VALUE"""),114.65415)</f>
        <v>114.65415</v>
      </c>
    </row>
    <row r="732">
      <c r="A732" s="3">
        <f>IFERROR(__xludf.DUMMYFUNCTION("""COMPUTED_VALUE"""),41043.99861111111)</f>
        <v>41043.99861</v>
      </c>
      <c r="B732" s="1">
        <f>IFERROR(__xludf.DUMMYFUNCTION("""COMPUTED_VALUE"""),115.65976)</f>
        <v>115.65976</v>
      </c>
    </row>
    <row r="733">
      <c r="A733" s="3">
        <f>IFERROR(__xludf.DUMMYFUNCTION("""COMPUTED_VALUE"""),41044.99861111111)</f>
        <v>41044.99861</v>
      </c>
      <c r="B733" s="1">
        <f>IFERROR(__xludf.DUMMYFUNCTION("""COMPUTED_VALUE"""),115.10548)</f>
        <v>115.10548</v>
      </c>
    </row>
    <row r="734">
      <c r="A734" s="3">
        <f>IFERROR(__xludf.DUMMYFUNCTION("""COMPUTED_VALUE"""),41045.99861111111)</f>
        <v>41045.99861</v>
      </c>
      <c r="B734" s="1">
        <f>IFERROR(__xludf.DUMMYFUNCTION("""COMPUTED_VALUE"""),114.92072)</f>
        <v>114.92072</v>
      </c>
    </row>
    <row r="735">
      <c r="A735" s="3">
        <f>IFERROR(__xludf.DUMMYFUNCTION("""COMPUTED_VALUE"""),41046.99861111111)</f>
        <v>41046.99861</v>
      </c>
      <c r="B735" s="1">
        <f>IFERROR(__xludf.DUMMYFUNCTION("""COMPUTED_VALUE"""),116.1342)</f>
        <v>116.1342</v>
      </c>
    </row>
    <row r="736">
      <c r="A736" s="3">
        <f>IFERROR(__xludf.DUMMYFUNCTION("""COMPUTED_VALUE"""),41047.99861111111)</f>
        <v>41047.99861</v>
      </c>
      <c r="B736" s="1">
        <f>IFERROR(__xludf.DUMMYFUNCTION("""COMPUTED_VALUE"""),116.44831)</f>
        <v>116.44831</v>
      </c>
    </row>
    <row r="737">
      <c r="A737" s="3">
        <f>IFERROR(__xludf.DUMMYFUNCTION("""COMPUTED_VALUE"""),41048.99861111111)</f>
        <v>41048.99861</v>
      </c>
      <c r="B737" s="1">
        <f>IFERROR(__xludf.DUMMYFUNCTION("""COMPUTED_VALUE"""),113.879232)</f>
        <v>113.879232</v>
      </c>
    </row>
    <row r="738">
      <c r="A738" s="3">
        <f>IFERROR(__xludf.DUMMYFUNCTION("""COMPUTED_VALUE"""),41049.99861111111)</f>
        <v>41049.99861</v>
      </c>
      <c r="B738" s="1">
        <f>IFERROR(__xludf.DUMMYFUNCTION("""COMPUTED_VALUE"""),117.1613993)</f>
        <v>117.1613993</v>
      </c>
    </row>
    <row r="739">
      <c r="A739" s="3">
        <f>IFERROR(__xludf.DUMMYFUNCTION("""COMPUTED_VALUE"""),41050.99861111111)</f>
        <v>41050.99861</v>
      </c>
      <c r="B739" s="1">
        <f>IFERROR(__xludf.DUMMYFUNCTION("""COMPUTED_VALUE"""),116.4618)</f>
        <v>116.4618</v>
      </c>
    </row>
    <row r="740">
      <c r="A740" s="3">
        <f>IFERROR(__xludf.DUMMYFUNCTION("""COMPUTED_VALUE"""),41051.99861111111)</f>
        <v>41051.99861</v>
      </c>
      <c r="B740" s="1">
        <f>IFERROR(__xludf.DUMMYFUNCTION("""COMPUTED_VALUE"""),115.125)</f>
        <v>115.125</v>
      </c>
    </row>
    <row r="741">
      <c r="A741" s="3">
        <f>IFERROR(__xludf.DUMMYFUNCTION("""COMPUTED_VALUE"""),41052.99861111111)</f>
        <v>41052.99861</v>
      </c>
      <c r="B741" s="1">
        <f>IFERROR(__xludf.DUMMYFUNCTION("""COMPUTED_VALUE"""),116.4279)</f>
        <v>116.4279</v>
      </c>
    </row>
    <row r="742">
      <c r="A742" s="3">
        <f>IFERROR(__xludf.DUMMYFUNCTION("""COMPUTED_VALUE"""),41053.99861111111)</f>
        <v>41053.99861</v>
      </c>
      <c r="B742" s="1">
        <f>IFERROR(__xludf.DUMMYFUNCTION("""COMPUTED_VALUE"""),116.33535)</f>
        <v>116.33535</v>
      </c>
    </row>
    <row r="743">
      <c r="A743" s="3">
        <f>IFERROR(__xludf.DUMMYFUNCTION("""COMPUTED_VALUE"""),41054.99861111111)</f>
        <v>41054.99861</v>
      </c>
      <c r="B743" s="1">
        <f>IFERROR(__xludf.DUMMYFUNCTION("""COMPUTED_VALUE"""),116.27575)</f>
        <v>116.27575</v>
      </c>
    </row>
    <row r="744">
      <c r="A744" s="3">
        <f>IFERROR(__xludf.DUMMYFUNCTION("""COMPUTED_VALUE"""),41055.99861111111)</f>
        <v>41055.99861</v>
      </c>
      <c r="B744" s="1">
        <f>IFERROR(__xludf.DUMMYFUNCTION("""COMPUTED_VALUE"""),116.8528743)</f>
        <v>116.8528743</v>
      </c>
    </row>
    <row r="745">
      <c r="A745" s="3">
        <f>IFERROR(__xludf.DUMMYFUNCTION("""COMPUTED_VALUE"""),41056.99861111111)</f>
        <v>41056.99861</v>
      </c>
      <c r="B745" s="1">
        <f>IFERROR(__xludf.DUMMYFUNCTION("""COMPUTED_VALUE"""),116.7432465)</f>
        <v>116.7432465</v>
      </c>
    </row>
    <row r="746">
      <c r="A746" s="3">
        <f>IFERROR(__xludf.DUMMYFUNCTION("""COMPUTED_VALUE"""),41057.99861111111)</f>
        <v>41057.99861</v>
      </c>
      <c r="B746" s="1">
        <f>IFERROR(__xludf.DUMMYFUNCTION("""COMPUTED_VALUE"""),116.46105)</f>
        <v>116.46105</v>
      </c>
    </row>
    <row r="747">
      <c r="A747" s="3">
        <f>IFERROR(__xludf.DUMMYFUNCTION("""COMPUTED_VALUE"""),41058.99861111111)</f>
        <v>41058.99861</v>
      </c>
      <c r="B747" s="1">
        <f>IFERROR(__xludf.DUMMYFUNCTION("""COMPUTED_VALUE"""),117.8746)</f>
        <v>117.8746</v>
      </c>
    </row>
    <row r="748">
      <c r="A748" s="3">
        <f>IFERROR(__xludf.DUMMYFUNCTION("""COMPUTED_VALUE"""),41059.99861111111)</f>
        <v>41059.99861</v>
      </c>
      <c r="B748" s="1">
        <f>IFERROR(__xludf.DUMMYFUNCTION("""COMPUTED_VALUE"""),118.9424)</f>
        <v>118.9424</v>
      </c>
    </row>
    <row r="749">
      <c r="A749" s="3">
        <f>IFERROR(__xludf.DUMMYFUNCTION("""COMPUTED_VALUE"""),41060.99861111111)</f>
        <v>41060.99861</v>
      </c>
      <c r="B749" s="1">
        <f>IFERROR(__xludf.DUMMYFUNCTION("""COMPUTED_VALUE"""),119.625)</f>
        <v>119.625</v>
      </c>
    </row>
    <row r="750">
      <c r="A750" s="3">
        <f>IFERROR(__xludf.DUMMYFUNCTION("""COMPUTED_VALUE"""),41061.99861111111)</f>
        <v>41061.99861</v>
      </c>
      <c r="B750" s="1">
        <f>IFERROR(__xludf.DUMMYFUNCTION("""COMPUTED_VALUE"""),120.09375)</f>
        <v>120.09375</v>
      </c>
    </row>
    <row r="751">
      <c r="A751" s="3">
        <f>IFERROR(__xludf.DUMMYFUNCTION("""COMPUTED_VALUE"""),41062.99861111111)</f>
        <v>41062.99861</v>
      </c>
      <c r="B751" s="1">
        <f>IFERROR(__xludf.DUMMYFUNCTION("""COMPUTED_VALUE"""),120.5466453)</f>
        <v>120.5466453</v>
      </c>
    </row>
    <row r="752">
      <c r="A752" s="3">
        <f>IFERROR(__xludf.DUMMYFUNCTION("""COMPUTED_VALUE"""),41063.99861111111)</f>
        <v>41063.99861</v>
      </c>
      <c r="B752" s="1">
        <f>IFERROR(__xludf.DUMMYFUNCTION("""COMPUTED_VALUE"""),120.0654855)</f>
        <v>120.0654855</v>
      </c>
    </row>
    <row r="753">
      <c r="A753" s="3">
        <f>IFERROR(__xludf.DUMMYFUNCTION("""COMPUTED_VALUE"""),41064.99861111111)</f>
        <v>41064.99861</v>
      </c>
      <c r="B753" s="1">
        <f>IFERROR(__xludf.DUMMYFUNCTION("""COMPUTED_VALUE"""),119.625)</f>
        <v>119.625</v>
      </c>
    </row>
    <row r="754">
      <c r="A754" s="3">
        <f>IFERROR(__xludf.DUMMYFUNCTION("""COMPUTED_VALUE"""),41065.99861111111)</f>
        <v>41065.99861</v>
      </c>
      <c r="B754" s="1">
        <f>IFERROR(__xludf.DUMMYFUNCTION("""COMPUTED_VALUE"""),119.00682)</f>
        <v>119.00682</v>
      </c>
    </row>
    <row r="755">
      <c r="A755" s="3">
        <f>IFERROR(__xludf.DUMMYFUNCTION("""COMPUTED_VALUE"""),41066.99861111111)</f>
        <v>41066.99861</v>
      </c>
      <c r="B755" s="1">
        <f>IFERROR(__xludf.DUMMYFUNCTION("""COMPUTED_VALUE"""),116.865)</f>
        <v>116.865</v>
      </c>
    </row>
    <row r="756">
      <c r="A756" s="3">
        <f>IFERROR(__xludf.DUMMYFUNCTION("""COMPUTED_VALUE"""),41067.99861111111)</f>
        <v>41067.99861</v>
      </c>
      <c r="B756" s="1">
        <f>IFERROR(__xludf.DUMMYFUNCTION("""COMPUTED_VALUE"""),117.40525)</f>
        <v>117.40525</v>
      </c>
    </row>
    <row r="757">
      <c r="A757" s="3">
        <f>IFERROR(__xludf.DUMMYFUNCTION("""COMPUTED_VALUE"""),41068.99861111111)</f>
        <v>41068.99861</v>
      </c>
      <c r="B757" s="1">
        <f>IFERROR(__xludf.DUMMYFUNCTION("""COMPUTED_VALUE"""),117.7488)</f>
        <v>117.7488</v>
      </c>
    </row>
    <row r="758">
      <c r="A758" s="3">
        <f>IFERROR(__xludf.DUMMYFUNCTION("""COMPUTED_VALUE"""),41069.99861111111)</f>
        <v>41069.99861</v>
      </c>
      <c r="B758" s="1">
        <f>IFERROR(__xludf.DUMMYFUNCTION("""COMPUTED_VALUE"""),115.282853)</f>
        <v>115.282853</v>
      </c>
    </row>
    <row r="759">
      <c r="A759" s="3">
        <f>IFERROR(__xludf.DUMMYFUNCTION("""COMPUTED_VALUE"""),41070.99861111111)</f>
        <v>41070.99861</v>
      </c>
      <c r="B759" s="1">
        <f>IFERROR(__xludf.DUMMYFUNCTION("""COMPUTED_VALUE"""),117.9688215)</f>
        <v>117.9688215</v>
      </c>
    </row>
    <row r="760">
      <c r="A760" s="3">
        <f>IFERROR(__xludf.DUMMYFUNCTION("""COMPUTED_VALUE"""),41071.99861111111)</f>
        <v>41071.99861</v>
      </c>
      <c r="B760" s="1">
        <f>IFERROR(__xludf.DUMMYFUNCTION("""COMPUTED_VALUE"""),118.2818)</f>
        <v>118.2818</v>
      </c>
    </row>
    <row r="761">
      <c r="A761" s="3">
        <f>IFERROR(__xludf.DUMMYFUNCTION("""COMPUTED_VALUE"""),41072.99861111111)</f>
        <v>41072.99861</v>
      </c>
      <c r="B761" s="1">
        <f>IFERROR(__xludf.DUMMYFUNCTION("""COMPUTED_VALUE"""),118.03275)</f>
        <v>118.03275</v>
      </c>
    </row>
    <row r="762">
      <c r="A762" s="3">
        <f>IFERROR(__xludf.DUMMYFUNCTION("""COMPUTED_VALUE"""),41073.99861111111)</f>
        <v>41073.99861</v>
      </c>
      <c r="B762" s="1">
        <f>IFERROR(__xludf.DUMMYFUNCTION("""COMPUTED_VALUE"""),118.1891)</f>
        <v>118.1891</v>
      </c>
    </row>
    <row r="763">
      <c r="A763" s="3">
        <f>IFERROR(__xludf.DUMMYFUNCTION("""COMPUTED_VALUE"""),41074.99861111111)</f>
        <v>41074.99861</v>
      </c>
      <c r="B763" s="1">
        <f>IFERROR(__xludf.DUMMYFUNCTION("""COMPUTED_VALUE"""),118.1891)</f>
        <v>118.1891</v>
      </c>
    </row>
    <row r="764">
      <c r="A764" s="3">
        <f>IFERROR(__xludf.DUMMYFUNCTION("""COMPUTED_VALUE"""),41075.99861111111)</f>
        <v>41075.99861</v>
      </c>
      <c r="B764" s="1">
        <f>IFERROR(__xludf.DUMMYFUNCTION("""COMPUTED_VALUE"""),118.9355)</f>
        <v>118.9355</v>
      </c>
    </row>
    <row r="765">
      <c r="A765" s="3">
        <f>IFERROR(__xludf.DUMMYFUNCTION("""COMPUTED_VALUE"""),41076.99861111111)</f>
        <v>41076.99861</v>
      </c>
      <c r="B765" s="1">
        <f>IFERROR(__xludf.DUMMYFUNCTION("""COMPUTED_VALUE"""),118.0211)</f>
        <v>118.0211</v>
      </c>
    </row>
    <row r="766">
      <c r="A766" s="3">
        <f>IFERROR(__xludf.DUMMYFUNCTION("""COMPUTED_VALUE"""),41077.99861111111)</f>
        <v>41077.99861</v>
      </c>
      <c r="B766" s="1">
        <f>IFERROR(__xludf.DUMMYFUNCTION("""COMPUTED_VALUE"""),121.1685816)</f>
        <v>121.1685816</v>
      </c>
    </row>
    <row r="767">
      <c r="A767" s="3">
        <f>IFERROR(__xludf.DUMMYFUNCTION("""COMPUTED_VALUE"""),41078.99861111111)</f>
        <v>41078.99861</v>
      </c>
      <c r="B767" s="1">
        <f>IFERROR(__xludf.DUMMYFUNCTION("""COMPUTED_VALUE"""),118.369845)</f>
        <v>118.369845</v>
      </c>
    </row>
    <row r="768">
      <c r="A768" s="3">
        <f>IFERROR(__xludf.DUMMYFUNCTION("""COMPUTED_VALUE"""),41079.99861111111)</f>
        <v>41079.99861</v>
      </c>
      <c r="B768" s="1">
        <f>IFERROR(__xludf.DUMMYFUNCTION("""COMPUTED_VALUE"""),118.60387)</f>
        <v>118.60387</v>
      </c>
    </row>
    <row r="769">
      <c r="A769" s="3">
        <f>IFERROR(__xludf.DUMMYFUNCTION("""COMPUTED_VALUE"""),41080.99861111111)</f>
        <v>41080.99861</v>
      </c>
      <c r="B769" s="1">
        <f>IFERROR(__xludf.DUMMYFUNCTION("""COMPUTED_VALUE"""),118.129974)</f>
        <v>118.129974</v>
      </c>
    </row>
    <row r="770">
      <c r="A770" s="3">
        <f>IFERROR(__xludf.DUMMYFUNCTION("""COMPUTED_VALUE"""),41081.99861111111)</f>
        <v>41081.99861</v>
      </c>
      <c r="B770" s="1">
        <f>IFERROR(__xludf.DUMMYFUNCTION("""COMPUTED_VALUE"""),117.216753)</f>
        <v>117.216753</v>
      </c>
    </row>
    <row r="771">
      <c r="A771" s="3">
        <f>IFERROR(__xludf.DUMMYFUNCTION("""COMPUTED_VALUE"""),41082.99861111111)</f>
        <v>41082.99861</v>
      </c>
      <c r="B771" s="1">
        <f>IFERROR(__xludf.DUMMYFUNCTION("""COMPUTED_VALUE"""),117.00359)</f>
        <v>117.00359</v>
      </c>
    </row>
    <row r="772">
      <c r="A772" s="3">
        <f>IFERROR(__xludf.DUMMYFUNCTION("""COMPUTED_VALUE"""),41083.99861111111)</f>
        <v>41083.99861</v>
      </c>
      <c r="B772" s="1">
        <f>IFERROR(__xludf.DUMMYFUNCTION("""COMPUTED_VALUE"""),115.88489)</f>
        <v>115.88489</v>
      </c>
    </row>
    <row r="773">
      <c r="A773" s="3">
        <f>IFERROR(__xludf.DUMMYFUNCTION("""COMPUTED_VALUE"""),41084.99861111111)</f>
        <v>41084.99861</v>
      </c>
      <c r="B773" s="1">
        <f>IFERROR(__xludf.DUMMYFUNCTION("""COMPUTED_VALUE"""),117.1187545)</f>
        <v>117.1187545</v>
      </c>
    </row>
    <row r="774">
      <c r="A774" s="3">
        <f>IFERROR(__xludf.DUMMYFUNCTION("""COMPUTED_VALUE"""),41085.99861111111)</f>
        <v>41085.99861</v>
      </c>
      <c r="B774" s="1">
        <f>IFERROR(__xludf.DUMMYFUNCTION("""COMPUTED_VALUE"""),118.19588)</f>
        <v>118.19588</v>
      </c>
    </row>
    <row r="775">
      <c r="A775" s="3">
        <f>IFERROR(__xludf.DUMMYFUNCTION("""COMPUTED_VALUE"""),41086.99861111111)</f>
        <v>41086.99861</v>
      </c>
      <c r="B775" s="1">
        <f>IFERROR(__xludf.DUMMYFUNCTION("""COMPUTED_VALUE"""),118.380316)</f>
        <v>118.380316</v>
      </c>
    </row>
    <row r="776">
      <c r="A776" s="3">
        <f>IFERROR(__xludf.DUMMYFUNCTION("""COMPUTED_VALUE"""),41087.99861111111)</f>
        <v>41087.99861</v>
      </c>
      <c r="B776" s="1">
        <f>IFERROR(__xludf.DUMMYFUNCTION("""COMPUTED_VALUE"""),118.062846)</f>
        <v>118.062846</v>
      </c>
    </row>
    <row r="777">
      <c r="A777" s="3">
        <f>IFERROR(__xludf.DUMMYFUNCTION("""COMPUTED_VALUE"""),41088.99861111111)</f>
        <v>41088.99861</v>
      </c>
      <c r="B777" s="1">
        <f>IFERROR(__xludf.DUMMYFUNCTION("""COMPUTED_VALUE"""),118.62396)</f>
        <v>118.62396</v>
      </c>
    </row>
    <row r="778">
      <c r="A778" s="3">
        <f>IFERROR(__xludf.DUMMYFUNCTION("""COMPUTED_VALUE"""),41089.99861111111)</f>
        <v>41089.99861</v>
      </c>
      <c r="B778" s="1">
        <f>IFERROR(__xludf.DUMMYFUNCTION("""COMPUTED_VALUE"""),117.38104)</f>
        <v>117.38104</v>
      </c>
    </row>
    <row r="779">
      <c r="A779" s="3">
        <f>IFERROR(__xludf.DUMMYFUNCTION("""COMPUTED_VALUE"""),41090.99861111111)</f>
        <v>41090.99861</v>
      </c>
      <c r="B779" s="1">
        <f>IFERROR(__xludf.DUMMYFUNCTION("""COMPUTED_VALUE"""),117.38104)</f>
        <v>117.38104</v>
      </c>
    </row>
    <row r="780">
      <c r="A780" s="3">
        <f>IFERROR(__xludf.DUMMYFUNCTION("""COMPUTED_VALUE"""),41091.99861111111)</f>
        <v>41091.99861</v>
      </c>
      <c r="B780" s="1">
        <f>IFERROR(__xludf.DUMMYFUNCTION("""COMPUTED_VALUE"""),117.8907614)</f>
        <v>117.8907614</v>
      </c>
    </row>
    <row r="781">
      <c r="A781" s="3">
        <f>IFERROR(__xludf.DUMMYFUNCTION("""COMPUTED_VALUE"""),41092.99861111111)</f>
        <v>41092.99861</v>
      </c>
      <c r="B781" s="1">
        <f>IFERROR(__xludf.DUMMYFUNCTION("""COMPUTED_VALUE"""),118.031221)</f>
        <v>118.031221</v>
      </c>
    </row>
    <row r="782">
      <c r="A782" s="3">
        <f>IFERROR(__xludf.DUMMYFUNCTION("""COMPUTED_VALUE"""),41093.99861111111)</f>
        <v>41093.99861</v>
      </c>
      <c r="B782" s="1">
        <f>IFERROR(__xludf.DUMMYFUNCTION("""COMPUTED_VALUE"""),116.694396)</f>
        <v>116.694396</v>
      </c>
    </row>
    <row r="783">
      <c r="A783" s="3">
        <f>IFERROR(__xludf.DUMMYFUNCTION("""COMPUTED_VALUE"""),41094.99861111111)</f>
        <v>41094.99861</v>
      </c>
      <c r="B783" s="1">
        <f>IFERROR(__xludf.DUMMYFUNCTION("""COMPUTED_VALUE"""),116.744571)</f>
        <v>116.744571</v>
      </c>
    </row>
    <row r="784">
      <c r="A784" s="3">
        <f>IFERROR(__xludf.DUMMYFUNCTION("""COMPUTED_VALUE"""),41095.99861111111)</f>
        <v>41095.99861</v>
      </c>
      <c r="B784" s="1">
        <f>IFERROR(__xludf.DUMMYFUNCTION("""COMPUTED_VALUE"""),117.121122)</f>
        <v>117.121122</v>
      </c>
    </row>
    <row r="785">
      <c r="A785" s="3">
        <f>IFERROR(__xludf.DUMMYFUNCTION("""COMPUTED_VALUE"""),41096.99861111111)</f>
        <v>41096.99861</v>
      </c>
      <c r="B785" s="1">
        <f>IFERROR(__xludf.DUMMYFUNCTION("""COMPUTED_VALUE"""),118.18335)</f>
        <v>118.18335</v>
      </c>
    </row>
    <row r="786">
      <c r="A786" s="3">
        <f>IFERROR(__xludf.DUMMYFUNCTION("""COMPUTED_VALUE"""),41097.99861111111)</f>
        <v>41097.99861</v>
      </c>
      <c r="B786" s="1">
        <f>IFERROR(__xludf.DUMMYFUNCTION("""COMPUTED_VALUE"""),116.65978)</f>
        <v>116.65978</v>
      </c>
    </row>
    <row r="787">
      <c r="A787" s="3">
        <f>IFERROR(__xludf.DUMMYFUNCTION("""COMPUTED_VALUE"""),41098.99861111111)</f>
        <v>41098.99861</v>
      </c>
      <c r="B787" s="1">
        <f>IFERROR(__xludf.DUMMYFUNCTION("""COMPUTED_VALUE"""),118.4964725)</f>
        <v>118.4964725</v>
      </c>
    </row>
    <row r="788">
      <c r="A788" s="3">
        <f>IFERROR(__xludf.DUMMYFUNCTION("""COMPUTED_VALUE"""),41099.99861111111)</f>
        <v>41099.99861</v>
      </c>
      <c r="B788" s="1">
        <f>IFERROR(__xludf.DUMMYFUNCTION("""COMPUTED_VALUE"""),117.802752)</f>
        <v>117.802752</v>
      </c>
    </row>
    <row r="789">
      <c r="A789" s="3">
        <f>IFERROR(__xludf.DUMMYFUNCTION("""COMPUTED_VALUE"""),41100.99861111111)</f>
        <v>41100.99861</v>
      </c>
      <c r="B789" s="1">
        <f>IFERROR(__xludf.DUMMYFUNCTION("""COMPUTED_VALUE"""),118.328374)</f>
        <v>118.328374</v>
      </c>
    </row>
    <row r="790">
      <c r="A790" s="3">
        <f>IFERROR(__xludf.DUMMYFUNCTION("""COMPUTED_VALUE"""),41101.99861111111)</f>
        <v>41101.99861</v>
      </c>
      <c r="B790" s="1">
        <f>IFERROR(__xludf.DUMMYFUNCTION("""COMPUTED_VALUE"""),117.770455)</f>
        <v>117.770455</v>
      </c>
    </row>
    <row r="791">
      <c r="A791" s="3">
        <f>IFERROR(__xludf.DUMMYFUNCTION("""COMPUTED_VALUE"""),41102.99861111111)</f>
        <v>41102.99861</v>
      </c>
      <c r="B791" s="1">
        <f>IFERROR(__xludf.DUMMYFUNCTION("""COMPUTED_VALUE"""),118.715584)</f>
        <v>118.715584</v>
      </c>
    </row>
    <row r="792">
      <c r="A792" s="3">
        <f>IFERROR(__xludf.DUMMYFUNCTION("""COMPUTED_VALUE"""),41103.99861111111)</f>
        <v>41103.99861</v>
      </c>
      <c r="B792" s="1">
        <f>IFERROR(__xludf.DUMMYFUNCTION("""COMPUTED_VALUE"""),118.91826)</f>
        <v>118.91826</v>
      </c>
    </row>
    <row r="793">
      <c r="A793" s="3">
        <f>IFERROR(__xludf.DUMMYFUNCTION("""COMPUTED_VALUE"""),41104.99861111111)</f>
        <v>41104.99861</v>
      </c>
      <c r="B793" s="1">
        <f>IFERROR(__xludf.DUMMYFUNCTION("""COMPUTED_VALUE"""),118.91826)</f>
        <v>118.91826</v>
      </c>
    </row>
    <row r="794">
      <c r="A794" s="3">
        <f>IFERROR(__xludf.DUMMYFUNCTION("""COMPUTED_VALUE"""),41105.99861111111)</f>
        <v>41105.99861</v>
      </c>
      <c r="B794" s="1">
        <f>IFERROR(__xludf.DUMMYFUNCTION("""COMPUTED_VALUE"""),119.6022604)</f>
        <v>119.6022604</v>
      </c>
    </row>
    <row r="795">
      <c r="A795" s="3">
        <f>IFERROR(__xludf.DUMMYFUNCTION("""COMPUTED_VALUE"""),41106.99861111111)</f>
        <v>41106.99861</v>
      </c>
      <c r="B795" s="1">
        <f>IFERROR(__xludf.DUMMYFUNCTION("""COMPUTED_VALUE"""),119.543607)</f>
        <v>119.543607</v>
      </c>
    </row>
    <row r="796">
      <c r="A796" s="3">
        <f>IFERROR(__xludf.DUMMYFUNCTION("""COMPUTED_VALUE"""),41107.99861111111)</f>
        <v>41107.99861</v>
      </c>
      <c r="B796" s="1">
        <f>IFERROR(__xludf.DUMMYFUNCTION("""COMPUTED_VALUE"""),118.939872)</f>
        <v>118.939872</v>
      </c>
    </row>
    <row r="797">
      <c r="A797" s="3">
        <f>IFERROR(__xludf.DUMMYFUNCTION("""COMPUTED_VALUE"""),41108.99861111111)</f>
        <v>41108.99861</v>
      </c>
      <c r="B797" s="1">
        <f>IFERROR(__xludf.DUMMYFUNCTION("""COMPUTED_VALUE"""),119.52711)</f>
        <v>119.52711</v>
      </c>
    </row>
    <row r="798">
      <c r="A798" s="3">
        <f>IFERROR(__xludf.DUMMYFUNCTION("""COMPUTED_VALUE"""),41109.99861111111)</f>
        <v>41109.99861</v>
      </c>
      <c r="B798" s="1">
        <f>IFERROR(__xludf.DUMMYFUNCTION("""COMPUTED_VALUE"""),119.687528)</f>
        <v>119.687528</v>
      </c>
    </row>
    <row r="799">
      <c r="A799" s="3">
        <f>IFERROR(__xludf.DUMMYFUNCTION("""COMPUTED_VALUE"""),41110.99861111111)</f>
        <v>41110.99861</v>
      </c>
      <c r="B799" s="1">
        <f>IFERROR(__xludf.DUMMYFUNCTION("""COMPUTED_VALUE"""),120.0745)</f>
        <v>120.0745</v>
      </c>
    </row>
    <row r="800">
      <c r="A800" s="3">
        <f>IFERROR(__xludf.DUMMYFUNCTION("""COMPUTED_VALUE"""),41111.99861111111)</f>
        <v>41111.99861</v>
      </c>
      <c r="B800" s="1">
        <f>IFERROR(__xludf.DUMMYFUNCTION("""COMPUTED_VALUE"""),120.0745)</f>
        <v>120.0745</v>
      </c>
    </row>
    <row r="801">
      <c r="A801" s="3">
        <f>IFERROR(__xludf.DUMMYFUNCTION("""COMPUTED_VALUE"""),41112.99861111111)</f>
        <v>41112.99861</v>
      </c>
      <c r="B801" s="1">
        <f>IFERROR(__xludf.DUMMYFUNCTION("""COMPUTED_VALUE"""),120.7582812)</f>
        <v>120.7582812</v>
      </c>
    </row>
    <row r="802">
      <c r="A802" s="3">
        <f>IFERROR(__xludf.DUMMYFUNCTION("""COMPUTED_VALUE"""),41113.99861111111)</f>
        <v>41113.99861</v>
      </c>
      <c r="B802" s="1">
        <f>IFERROR(__xludf.DUMMYFUNCTION("""COMPUTED_VALUE"""),120.34448)</f>
        <v>120.34448</v>
      </c>
    </row>
    <row r="803">
      <c r="A803" s="3">
        <f>IFERROR(__xludf.DUMMYFUNCTION("""COMPUTED_VALUE"""),41114.99861111111)</f>
        <v>41114.99861</v>
      </c>
      <c r="B803" s="1">
        <f>IFERROR(__xludf.DUMMYFUNCTION("""COMPUTED_VALUE"""),120.676208)</f>
        <v>120.676208</v>
      </c>
    </row>
    <row r="804">
      <c r="A804" s="3">
        <f>IFERROR(__xludf.DUMMYFUNCTION("""COMPUTED_VALUE"""),41115.99861111111)</f>
        <v>41115.99861</v>
      </c>
      <c r="B804" s="1">
        <f>IFERROR(__xludf.DUMMYFUNCTION("""COMPUTED_VALUE"""),120.910265)</f>
        <v>120.910265</v>
      </c>
    </row>
    <row r="805">
      <c r="A805" s="3">
        <f>IFERROR(__xludf.DUMMYFUNCTION("""COMPUTED_VALUE"""),41116.99861111111)</f>
        <v>41116.99861</v>
      </c>
      <c r="B805" s="1">
        <f>IFERROR(__xludf.DUMMYFUNCTION("""COMPUTED_VALUE"""),120.727548)</f>
        <v>120.727548</v>
      </c>
    </row>
    <row r="806">
      <c r="A806" s="3">
        <f>IFERROR(__xludf.DUMMYFUNCTION("""COMPUTED_VALUE"""),41117.99861111111)</f>
        <v>41117.99861</v>
      </c>
      <c r="B806" s="1">
        <f>IFERROR(__xludf.DUMMYFUNCTION("""COMPUTED_VALUE"""),120.1382)</f>
        <v>120.1382</v>
      </c>
    </row>
    <row r="807">
      <c r="A807" s="3">
        <f>IFERROR(__xludf.DUMMYFUNCTION("""COMPUTED_VALUE"""),41118.99861111111)</f>
        <v>41118.99861</v>
      </c>
      <c r="B807" s="1">
        <f>IFERROR(__xludf.DUMMYFUNCTION("""COMPUTED_VALUE"""),120.7582812)</f>
        <v>120.7582812</v>
      </c>
    </row>
    <row r="808">
      <c r="A808" s="3">
        <f>IFERROR(__xludf.DUMMYFUNCTION("""COMPUTED_VALUE"""),41119.99861111111)</f>
        <v>41119.99861</v>
      </c>
      <c r="B808" s="1">
        <f>IFERROR(__xludf.DUMMYFUNCTION("""COMPUTED_VALUE"""),120.1382)</f>
        <v>120.1382</v>
      </c>
    </row>
    <row r="809">
      <c r="A809" s="3">
        <f>IFERROR(__xludf.DUMMYFUNCTION("""COMPUTED_VALUE"""),41120.99861111111)</f>
        <v>41120.99861</v>
      </c>
      <c r="B809" s="1">
        <f>IFERROR(__xludf.DUMMYFUNCTION("""COMPUTED_VALUE"""),120.53296)</f>
        <v>120.53296</v>
      </c>
    </row>
    <row r="810">
      <c r="A810" s="3">
        <f>IFERROR(__xludf.DUMMYFUNCTION("""COMPUTED_VALUE"""),41121.99861111111)</f>
        <v>41121.99861</v>
      </c>
      <c r="B810" s="1">
        <f>IFERROR(__xludf.DUMMYFUNCTION("""COMPUTED_VALUE"""),120.50432)</f>
        <v>120.50432</v>
      </c>
    </row>
    <row r="811">
      <c r="A811" s="3">
        <f>IFERROR(__xludf.DUMMYFUNCTION("""COMPUTED_VALUE"""),41122.99861111111)</f>
        <v>41122.99861</v>
      </c>
      <c r="B811" s="1">
        <f>IFERROR(__xludf.DUMMYFUNCTION("""COMPUTED_VALUE"""),120.01065)</f>
        <v>120.01065</v>
      </c>
    </row>
    <row r="812">
      <c r="A812" s="3">
        <f>IFERROR(__xludf.DUMMYFUNCTION("""COMPUTED_VALUE"""),41123.99861111111)</f>
        <v>41123.99861</v>
      </c>
      <c r="B812" s="1">
        <f>IFERROR(__xludf.DUMMYFUNCTION("""COMPUTED_VALUE"""),120.586968)</f>
        <v>120.586968</v>
      </c>
    </row>
    <row r="813">
      <c r="A813" s="3">
        <f>IFERROR(__xludf.DUMMYFUNCTION("""COMPUTED_VALUE"""),41124.99861111111)</f>
        <v>41124.99861</v>
      </c>
      <c r="B813" s="1">
        <f>IFERROR(__xludf.DUMMYFUNCTION("""COMPUTED_VALUE"""),120.30382)</f>
        <v>120.30382</v>
      </c>
    </row>
    <row r="814">
      <c r="A814" s="3">
        <f>IFERROR(__xludf.DUMMYFUNCTION("""COMPUTED_VALUE"""),41125.99861111111)</f>
        <v>41125.99861</v>
      </c>
      <c r="B814" s="1">
        <f>IFERROR(__xludf.DUMMYFUNCTION("""COMPUTED_VALUE"""),120.149666)</f>
        <v>120.149666</v>
      </c>
    </row>
    <row r="815">
      <c r="A815" s="3">
        <f>IFERROR(__xludf.DUMMYFUNCTION("""COMPUTED_VALUE"""),41126.99861111111)</f>
        <v>41126.99861</v>
      </c>
      <c r="B815" s="1">
        <f>IFERROR(__xludf.DUMMYFUNCTION("""COMPUTED_VALUE"""),120.6831115)</f>
        <v>120.6831115</v>
      </c>
    </row>
    <row r="816">
      <c r="A816" s="3">
        <f>IFERROR(__xludf.DUMMYFUNCTION("""COMPUTED_VALUE"""),41127.99861111111)</f>
        <v>41127.99861</v>
      </c>
      <c r="B816" s="1">
        <f>IFERROR(__xludf.DUMMYFUNCTION("""COMPUTED_VALUE"""),120.57291)</f>
        <v>120.57291</v>
      </c>
    </row>
    <row r="817">
      <c r="A817" s="3">
        <f>IFERROR(__xludf.DUMMYFUNCTION("""COMPUTED_VALUE"""),41128.99861111111)</f>
        <v>41128.99861</v>
      </c>
      <c r="B817" s="1">
        <f>IFERROR(__xludf.DUMMYFUNCTION("""COMPUTED_VALUE"""),120.3637)</f>
        <v>120.3637</v>
      </c>
    </row>
    <row r="818">
      <c r="A818" s="3">
        <f>IFERROR(__xludf.DUMMYFUNCTION("""COMPUTED_VALUE"""),41129.99861111111)</f>
        <v>41129.99861</v>
      </c>
      <c r="B818" s="1">
        <f>IFERROR(__xludf.DUMMYFUNCTION("""COMPUTED_VALUE"""),120.358725)</f>
        <v>120.358725</v>
      </c>
    </row>
    <row r="819">
      <c r="A819" s="3">
        <f>IFERROR(__xludf.DUMMYFUNCTION("""COMPUTED_VALUE"""),41130.99861111111)</f>
        <v>41130.99861</v>
      </c>
      <c r="B819" s="1">
        <f>IFERROR(__xludf.DUMMYFUNCTION("""COMPUTED_VALUE"""),120.088248)</f>
        <v>120.088248</v>
      </c>
    </row>
    <row r="820">
      <c r="A820" s="3">
        <f>IFERROR(__xludf.DUMMYFUNCTION("""COMPUTED_VALUE"""),41131.99861111111)</f>
        <v>41131.99861</v>
      </c>
      <c r="B820" s="1">
        <f>IFERROR(__xludf.DUMMYFUNCTION("""COMPUTED_VALUE"""),120.654791)</f>
        <v>120.654791</v>
      </c>
    </row>
    <row r="821">
      <c r="A821" s="3">
        <f>IFERROR(__xludf.DUMMYFUNCTION("""COMPUTED_VALUE"""),41132.99861111111)</f>
        <v>41132.99861</v>
      </c>
      <c r="B821" s="1">
        <f>IFERROR(__xludf.DUMMYFUNCTION("""COMPUTED_VALUE"""),120.80934)</f>
        <v>120.80934</v>
      </c>
    </row>
    <row r="822">
      <c r="A822" s="3">
        <f>IFERROR(__xludf.DUMMYFUNCTION("""COMPUTED_VALUE"""),41133.99861111111)</f>
        <v>41133.99861</v>
      </c>
      <c r="B822" s="1">
        <f>IFERROR(__xludf.DUMMYFUNCTION("""COMPUTED_VALUE"""),121.0270365)</f>
        <v>121.0270365</v>
      </c>
    </row>
    <row r="823">
      <c r="A823" s="3">
        <f>IFERROR(__xludf.DUMMYFUNCTION("""COMPUTED_VALUE"""),41134.99861111111)</f>
        <v>41134.99861</v>
      </c>
      <c r="B823" s="1">
        <f>IFERROR(__xludf.DUMMYFUNCTION("""COMPUTED_VALUE"""),120.638144)</f>
        <v>120.638144</v>
      </c>
    </row>
    <row r="824">
      <c r="A824" s="3">
        <f>IFERROR(__xludf.DUMMYFUNCTION("""COMPUTED_VALUE"""),41135.99861111111)</f>
        <v>41135.99861</v>
      </c>
      <c r="B824" s="1">
        <f>IFERROR(__xludf.DUMMYFUNCTION("""COMPUTED_VALUE"""),119.947149)</f>
        <v>119.947149</v>
      </c>
    </row>
    <row r="825">
      <c r="A825" s="3">
        <f>IFERROR(__xludf.DUMMYFUNCTION("""COMPUTED_VALUE"""),41136.99861111111)</f>
        <v>41136.99861</v>
      </c>
      <c r="B825" s="1">
        <f>IFERROR(__xludf.DUMMYFUNCTION("""COMPUTED_VALUE"""),119.76514)</f>
        <v>119.76514</v>
      </c>
    </row>
    <row r="826">
      <c r="A826" s="3">
        <f>IFERROR(__xludf.DUMMYFUNCTION("""COMPUTED_VALUE"""),41137.99861111111)</f>
        <v>41137.99861</v>
      </c>
      <c r="B826" s="1">
        <f>IFERROR(__xludf.DUMMYFUNCTION("""COMPUTED_VALUE"""),119.18466)</f>
        <v>119.18466</v>
      </c>
    </row>
    <row r="827">
      <c r="A827" s="3">
        <f>IFERROR(__xludf.DUMMYFUNCTION("""COMPUTED_VALUE"""),41138.99861111111)</f>
        <v>41138.99861</v>
      </c>
      <c r="B827" s="1">
        <f>IFERROR(__xludf.DUMMYFUNCTION("""COMPUTED_VALUE"""),118.97505)</f>
        <v>118.97505</v>
      </c>
    </row>
    <row r="828">
      <c r="A828" s="3">
        <f>IFERROR(__xludf.DUMMYFUNCTION("""COMPUTED_VALUE"""),41139.99861111111)</f>
        <v>41139.99861</v>
      </c>
      <c r="B828" s="1">
        <f>IFERROR(__xludf.DUMMYFUNCTION("""COMPUTED_VALUE"""),118.97505)</f>
        <v>118.97505</v>
      </c>
    </row>
    <row r="829">
      <c r="A829" s="3">
        <f>IFERROR(__xludf.DUMMYFUNCTION("""COMPUTED_VALUE"""),41140.99861111111)</f>
        <v>41140.99861</v>
      </c>
      <c r="B829" s="1">
        <f>IFERROR(__xludf.DUMMYFUNCTION("""COMPUTED_VALUE"""),119.383571)</f>
        <v>119.383571</v>
      </c>
    </row>
    <row r="830">
      <c r="A830" s="3">
        <f>IFERROR(__xludf.DUMMYFUNCTION("""COMPUTED_VALUE"""),41141.99861111111)</f>
        <v>41141.99861</v>
      </c>
      <c r="B830" s="1">
        <f>IFERROR(__xludf.DUMMYFUNCTION("""COMPUTED_VALUE"""),119.093846)</f>
        <v>119.093846</v>
      </c>
    </row>
    <row r="831">
      <c r="A831" s="3">
        <f>IFERROR(__xludf.DUMMYFUNCTION("""COMPUTED_VALUE"""),41143.99861111111)</f>
        <v>41143.99861</v>
      </c>
      <c r="B831" s="1">
        <f>IFERROR(__xludf.DUMMYFUNCTION("""COMPUTED_VALUE"""),120.3948)</f>
        <v>120.3948</v>
      </c>
    </row>
    <row r="832">
      <c r="A832" s="3">
        <f>IFERROR(__xludf.DUMMYFUNCTION("""COMPUTED_VALUE"""),41144.99861111111)</f>
        <v>41144.99861</v>
      </c>
      <c r="B832" s="1">
        <f>IFERROR(__xludf.DUMMYFUNCTION("""COMPUTED_VALUE"""),120.570086)</f>
        <v>120.570086</v>
      </c>
    </row>
    <row r="833">
      <c r="A833" s="3">
        <f>IFERROR(__xludf.DUMMYFUNCTION("""COMPUTED_VALUE"""),41145.99861111111)</f>
        <v>41145.99861</v>
      </c>
      <c r="B833" s="1">
        <f>IFERROR(__xludf.DUMMYFUNCTION("""COMPUTED_VALUE"""),120.4908)</f>
        <v>120.4908</v>
      </c>
    </row>
    <row r="834">
      <c r="A834" s="3">
        <f>IFERROR(__xludf.DUMMYFUNCTION("""COMPUTED_VALUE"""),41146.99861111111)</f>
        <v>41146.99861</v>
      </c>
      <c r="B834" s="1">
        <f>IFERROR(__xludf.DUMMYFUNCTION("""COMPUTED_VALUE"""),120.4908)</f>
        <v>120.4908</v>
      </c>
    </row>
    <row r="835">
      <c r="A835" s="3">
        <f>IFERROR(__xludf.DUMMYFUNCTION("""COMPUTED_VALUE"""),41147.99861111111)</f>
        <v>41147.99861</v>
      </c>
      <c r="B835" s="1">
        <f>IFERROR(__xludf.DUMMYFUNCTION("""COMPUTED_VALUE"""),121.1630064)</f>
        <v>121.1630064</v>
      </c>
    </row>
    <row r="836">
      <c r="A836" s="3">
        <f>IFERROR(__xludf.DUMMYFUNCTION("""COMPUTED_VALUE"""),41148.99861111111)</f>
        <v>41148.99861</v>
      </c>
      <c r="B836" s="1">
        <f>IFERROR(__xludf.DUMMYFUNCTION("""COMPUTED_VALUE"""),120.36465)</f>
        <v>120.36465</v>
      </c>
    </row>
    <row r="837">
      <c r="A837" s="3">
        <f>IFERROR(__xludf.DUMMYFUNCTION("""COMPUTED_VALUE"""),41149.99861111111)</f>
        <v>41149.99861</v>
      </c>
      <c r="B837" s="1">
        <f>IFERROR(__xludf.DUMMYFUNCTION("""COMPUTED_VALUE"""),120.997377)</f>
        <v>120.997377</v>
      </c>
    </row>
    <row r="838">
      <c r="A838" s="3">
        <f>IFERROR(__xludf.DUMMYFUNCTION("""COMPUTED_VALUE"""),41150.99861111111)</f>
        <v>41150.99861</v>
      </c>
      <c r="B838" s="1">
        <f>IFERROR(__xludf.DUMMYFUNCTION("""COMPUTED_VALUE"""),120.86336)</f>
        <v>120.86336</v>
      </c>
    </row>
    <row r="839">
      <c r="A839" s="3">
        <f>IFERROR(__xludf.DUMMYFUNCTION("""COMPUTED_VALUE"""),41151.99861111111)</f>
        <v>41151.99861</v>
      </c>
      <c r="B839" s="1">
        <f>IFERROR(__xludf.DUMMYFUNCTION("""COMPUTED_VALUE"""),121.025712)</f>
        <v>121.025712</v>
      </c>
    </row>
    <row r="840">
      <c r="A840" s="3">
        <f>IFERROR(__xludf.DUMMYFUNCTION("""COMPUTED_VALUE"""),41152.99861111111)</f>
        <v>41152.99861</v>
      </c>
      <c r="B840" s="1">
        <f>IFERROR(__xludf.DUMMYFUNCTION("""COMPUTED_VALUE"""),121.2525)</f>
        <v>121.2525</v>
      </c>
    </row>
    <row r="841">
      <c r="A841" s="3">
        <f>IFERROR(__xludf.DUMMYFUNCTION("""COMPUTED_VALUE"""),41153.99861111111)</f>
        <v>41153.99861</v>
      </c>
      <c r="B841" s="1">
        <f>IFERROR(__xludf.DUMMYFUNCTION("""COMPUTED_VALUE"""),121.3476)</f>
        <v>121.3476</v>
      </c>
    </row>
    <row r="842">
      <c r="A842" s="3">
        <f>IFERROR(__xludf.DUMMYFUNCTION("""COMPUTED_VALUE"""),41154.99861111111)</f>
        <v>41154.99861</v>
      </c>
      <c r="B842" s="1">
        <f>IFERROR(__xludf.DUMMYFUNCTION("""COMPUTED_VALUE"""),121.665962)</f>
        <v>121.665962</v>
      </c>
    </row>
    <row r="843">
      <c r="A843" s="3">
        <f>IFERROR(__xludf.DUMMYFUNCTION("""COMPUTED_VALUE"""),41155.99861111111)</f>
        <v>41155.99861</v>
      </c>
      <c r="B843" s="1">
        <f>IFERROR(__xludf.DUMMYFUNCTION("""COMPUTED_VALUE"""),121.385235)</f>
        <v>121.385235</v>
      </c>
    </row>
    <row r="844">
      <c r="A844" s="3">
        <f>IFERROR(__xludf.DUMMYFUNCTION("""COMPUTED_VALUE"""),41156.99861111111)</f>
        <v>41156.99861</v>
      </c>
      <c r="B844" s="1">
        <f>IFERROR(__xludf.DUMMYFUNCTION("""COMPUTED_VALUE"""),121.551066)</f>
        <v>121.551066</v>
      </c>
    </row>
    <row r="845">
      <c r="A845" s="3">
        <f>IFERROR(__xludf.DUMMYFUNCTION("""COMPUTED_VALUE"""),41157.99861111111)</f>
        <v>41157.99861</v>
      </c>
      <c r="B845" s="1">
        <f>IFERROR(__xludf.DUMMYFUNCTION("""COMPUTED_VALUE"""),121.64265)</f>
        <v>121.64265</v>
      </c>
    </row>
    <row r="846">
      <c r="A846" s="3">
        <f>IFERROR(__xludf.DUMMYFUNCTION("""COMPUTED_VALUE"""),41158.99861111111)</f>
        <v>41158.99861</v>
      </c>
      <c r="B846" s="1">
        <f>IFERROR(__xludf.DUMMYFUNCTION("""COMPUTED_VALUE"""),120.807183)</f>
        <v>120.807183</v>
      </c>
    </row>
    <row r="847">
      <c r="A847" s="3">
        <f>IFERROR(__xludf.DUMMYFUNCTION("""COMPUTED_VALUE"""),41159.99861111111)</f>
        <v>41159.99861</v>
      </c>
      <c r="B847" s="1">
        <f>IFERROR(__xludf.DUMMYFUNCTION("""COMPUTED_VALUE"""),121.9851)</f>
        <v>121.9851</v>
      </c>
    </row>
    <row r="848">
      <c r="A848" s="3">
        <f>IFERROR(__xludf.DUMMYFUNCTION("""COMPUTED_VALUE"""),41160.99861111111)</f>
        <v>41160.99861</v>
      </c>
      <c r="B848" s="1">
        <f>IFERROR(__xludf.DUMMYFUNCTION("""COMPUTED_VALUE"""),121.850063)</f>
        <v>121.850063</v>
      </c>
    </row>
    <row r="849">
      <c r="A849" s="3">
        <f>IFERROR(__xludf.DUMMYFUNCTION("""COMPUTED_VALUE"""),41161.99861111111)</f>
        <v>41161.99861</v>
      </c>
      <c r="B849" s="1">
        <f>IFERROR(__xludf.DUMMYFUNCTION("""COMPUTED_VALUE"""),122.8846075)</f>
        <v>122.8846075</v>
      </c>
    </row>
    <row r="850">
      <c r="A850" s="3">
        <f>IFERROR(__xludf.DUMMYFUNCTION("""COMPUTED_VALUE"""),41162.99861111111)</f>
        <v>41162.99861</v>
      </c>
      <c r="B850" s="1">
        <f>IFERROR(__xludf.DUMMYFUNCTION("""COMPUTED_VALUE"""),122.027274)</f>
        <v>122.027274</v>
      </c>
    </row>
    <row r="851">
      <c r="A851" s="3">
        <f>IFERROR(__xludf.DUMMYFUNCTION("""COMPUTED_VALUE"""),41163.99861111111)</f>
        <v>41163.99861</v>
      </c>
      <c r="B851" s="1">
        <f>IFERROR(__xludf.DUMMYFUNCTION("""COMPUTED_VALUE"""),122.785994)</f>
        <v>122.785994</v>
      </c>
    </row>
    <row r="852">
      <c r="A852" s="3">
        <f>IFERROR(__xludf.DUMMYFUNCTION("""COMPUTED_VALUE"""),41164.99861111111)</f>
        <v>41164.99861</v>
      </c>
      <c r="B852" s="1">
        <f>IFERROR(__xludf.DUMMYFUNCTION("""COMPUTED_VALUE"""),122.469204)</f>
        <v>122.469204</v>
      </c>
    </row>
    <row r="853">
      <c r="A853" s="3">
        <f>IFERROR(__xludf.DUMMYFUNCTION("""COMPUTED_VALUE"""),41165.99861111111)</f>
        <v>41165.99861</v>
      </c>
      <c r="B853" s="1">
        <f>IFERROR(__xludf.DUMMYFUNCTION("""COMPUTED_VALUE"""),123.085321)</f>
        <v>123.085321</v>
      </c>
    </row>
    <row r="854">
      <c r="A854" s="3">
        <f>IFERROR(__xludf.DUMMYFUNCTION("""COMPUTED_VALUE"""),41166.99861111111)</f>
        <v>41166.99861</v>
      </c>
      <c r="B854" s="1">
        <f>IFERROR(__xludf.DUMMYFUNCTION("""COMPUTED_VALUE"""),120.87)</f>
        <v>120.87</v>
      </c>
    </row>
    <row r="855">
      <c r="A855" s="3">
        <f>IFERROR(__xludf.DUMMYFUNCTION("""COMPUTED_VALUE"""),41167.99861111111)</f>
        <v>41167.99861</v>
      </c>
      <c r="B855" s="1">
        <f>IFERROR(__xludf.DUMMYFUNCTION("""COMPUTED_VALUE"""),118.761148)</f>
        <v>118.761148</v>
      </c>
    </row>
    <row r="856">
      <c r="A856" s="3">
        <f>IFERROR(__xludf.DUMMYFUNCTION("""COMPUTED_VALUE"""),41168.99861111111)</f>
        <v>41168.99861</v>
      </c>
      <c r="B856" s="1">
        <f>IFERROR(__xludf.DUMMYFUNCTION("""COMPUTED_VALUE"""),123.404244)</f>
        <v>123.404244</v>
      </c>
    </row>
    <row r="857">
      <c r="A857" s="3">
        <f>IFERROR(__xludf.DUMMYFUNCTION("""COMPUTED_VALUE"""),41169.99861111111)</f>
        <v>41169.99861</v>
      </c>
      <c r="B857" s="1">
        <f>IFERROR(__xludf.DUMMYFUNCTION("""COMPUTED_VALUE"""),119.899785)</f>
        <v>119.899785</v>
      </c>
    </row>
    <row r="858">
      <c r="A858" s="3">
        <f>IFERROR(__xludf.DUMMYFUNCTION("""COMPUTED_VALUE"""),41170.99861111111)</f>
        <v>41170.99861</v>
      </c>
      <c r="B858" s="1">
        <f>IFERROR(__xludf.DUMMYFUNCTION("""COMPUTED_VALUE"""),120.217446)</f>
        <v>120.217446</v>
      </c>
    </row>
    <row r="859">
      <c r="A859" s="3">
        <f>IFERROR(__xludf.DUMMYFUNCTION("""COMPUTED_VALUE"""),41171.99861111111)</f>
        <v>41171.99861</v>
      </c>
      <c r="B859" s="1">
        <f>IFERROR(__xludf.DUMMYFUNCTION("""COMPUTED_VALUE"""),121.235925)</f>
        <v>121.235925</v>
      </c>
    </row>
    <row r="860">
      <c r="A860" s="3">
        <f>IFERROR(__xludf.DUMMYFUNCTION("""COMPUTED_VALUE"""),41172.99861111111)</f>
        <v>41172.99861</v>
      </c>
      <c r="B860" s="1">
        <f>IFERROR(__xludf.DUMMYFUNCTION("""COMPUTED_VALUE"""),121.459301)</f>
        <v>121.459301</v>
      </c>
    </row>
    <row r="861">
      <c r="A861" s="3">
        <f>IFERROR(__xludf.DUMMYFUNCTION("""COMPUTED_VALUE"""),41173.99861111111)</f>
        <v>41173.99861</v>
      </c>
      <c r="B861" s="1">
        <f>IFERROR(__xludf.DUMMYFUNCTION("""COMPUTED_VALUE"""),121.7608)</f>
        <v>121.7608</v>
      </c>
    </row>
    <row r="862">
      <c r="A862" s="3">
        <f>IFERROR(__xludf.DUMMYFUNCTION("""COMPUTED_VALUE"""),41174.99861111111)</f>
        <v>41174.99861</v>
      </c>
      <c r="B862" s="1">
        <f>IFERROR(__xludf.DUMMYFUNCTION("""COMPUTED_VALUE"""),121.7608)</f>
        <v>121.7608</v>
      </c>
    </row>
    <row r="863">
      <c r="A863" s="3">
        <f>IFERROR(__xludf.DUMMYFUNCTION("""COMPUTED_VALUE"""),41175.99861111111)</f>
        <v>41175.99861</v>
      </c>
      <c r="B863" s="1">
        <f>IFERROR(__xludf.DUMMYFUNCTION("""COMPUTED_VALUE"""),122.6053632)</f>
        <v>122.6053632</v>
      </c>
    </row>
    <row r="864">
      <c r="A864" s="3">
        <f>IFERROR(__xludf.DUMMYFUNCTION("""COMPUTED_VALUE"""),41176.99861111111)</f>
        <v>41176.99861</v>
      </c>
      <c r="B864" s="1">
        <f>IFERROR(__xludf.DUMMYFUNCTION("""COMPUTED_VALUE"""),122.408856)</f>
        <v>122.408856</v>
      </c>
    </row>
    <row r="865">
      <c r="A865" s="3">
        <f>IFERROR(__xludf.DUMMYFUNCTION("""COMPUTED_VALUE"""),41177.99861111111)</f>
        <v>41177.99861</v>
      </c>
      <c r="B865" s="1">
        <f>IFERROR(__xludf.DUMMYFUNCTION("""COMPUTED_VALUE"""),122.66867)</f>
        <v>122.66867</v>
      </c>
    </row>
    <row r="866">
      <c r="A866" s="3">
        <f>IFERROR(__xludf.DUMMYFUNCTION("""COMPUTED_VALUE"""),41178.99861111111)</f>
        <v>41178.99861</v>
      </c>
      <c r="B866" s="1">
        <f>IFERROR(__xludf.DUMMYFUNCTION("""COMPUTED_VALUE"""),122.980572)</f>
        <v>122.980572</v>
      </c>
    </row>
    <row r="867">
      <c r="A867" s="3">
        <f>IFERROR(__xludf.DUMMYFUNCTION("""COMPUTED_VALUE"""),41179.99861111111)</f>
        <v>41179.99861</v>
      </c>
      <c r="B867" s="1">
        <f>IFERROR(__xludf.DUMMYFUNCTION("""COMPUTED_VALUE"""),123.055674)</f>
        <v>123.055674</v>
      </c>
    </row>
    <row r="868">
      <c r="A868" s="3">
        <f>IFERROR(__xludf.DUMMYFUNCTION("""COMPUTED_VALUE"""),41180.99861111111)</f>
        <v>41180.99861</v>
      </c>
      <c r="B868" s="1">
        <f>IFERROR(__xludf.DUMMYFUNCTION("""COMPUTED_VALUE"""),122.46235)</f>
        <v>122.46235</v>
      </c>
    </row>
    <row r="869">
      <c r="A869" s="3">
        <f>IFERROR(__xludf.DUMMYFUNCTION("""COMPUTED_VALUE"""),41181.99861111111)</f>
        <v>41181.99861</v>
      </c>
      <c r="B869" s="1">
        <f>IFERROR(__xludf.DUMMYFUNCTION("""COMPUTED_VALUE"""),122.46235)</f>
        <v>122.46235</v>
      </c>
    </row>
    <row r="870">
      <c r="A870" s="3">
        <f>IFERROR(__xludf.DUMMYFUNCTION("""COMPUTED_VALUE"""),41182.99861111111)</f>
        <v>41182.99861</v>
      </c>
      <c r="B870" s="1">
        <f>IFERROR(__xludf.DUMMYFUNCTION("""COMPUTED_VALUE"""),122.686759)</f>
        <v>122.686759</v>
      </c>
    </row>
    <row r="871">
      <c r="A871" s="3">
        <f>IFERROR(__xludf.DUMMYFUNCTION("""COMPUTED_VALUE"""),41183.99861111111)</f>
        <v>41183.99861</v>
      </c>
      <c r="B871" s="1">
        <f>IFERROR(__xludf.DUMMYFUNCTION("""COMPUTED_VALUE"""),122.43741)</f>
        <v>122.43741</v>
      </c>
    </row>
    <row r="872">
      <c r="A872" s="3">
        <f>IFERROR(__xludf.DUMMYFUNCTION("""COMPUTED_VALUE"""),41184.99861111111)</f>
        <v>41184.99861</v>
      </c>
      <c r="B872" s="1">
        <f>IFERROR(__xludf.DUMMYFUNCTION("""COMPUTED_VALUE"""),122.15729)</f>
        <v>122.15729</v>
      </c>
    </row>
    <row r="873">
      <c r="A873" s="3">
        <f>IFERROR(__xludf.DUMMYFUNCTION("""COMPUTED_VALUE"""),41185.99861111111)</f>
        <v>41185.99861</v>
      </c>
      <c r="B873" s="1">
        <f>IFERROR(__xludf.DUMMYFUNCTION("""COMPUTED_VALUE"""),121.742166)</f>
        <v>121.742166</v>
      </c>
    </row>
    <row r="874">
      <c r="A874" s="3">
        <f>IFERROR(__xludf.DUMMYFUNCTION("""COMPUTED_VALUE"""),41186.99861111111)</f>
        <v>41186.99861</v>
      </c>
      <c r="B874" s="1">
        <f>IFERROR(__xludf.DUMMYFUNCTION("""COMPUTED_VALUE"""),121.810962)</f>
        <v>121.810962</v>
      </c>
    </row>
    <row r="875">
      <c r="A875" s="3">
        <f>IFERROR(__xludf.DUMMYFUNCTION("""COMPUTED_VALUE"""),41187.99861111111)</f>
        <v>41187.99861</v>
      </c>
      <c r="B875" s="1">
        <f>IFERROR(__xludf.DUMMYFUNCTION("""COMPUTED_VALUE"""),121.55844)</f>
        <v>121.55844</v>
      </c>
    </row>
    <row r="876">
      <c r="A876" s="3">
        <f>IFERROR(__xludf.DUMMYFUNCTION("""COMPUTED_VALUE"""),41188.99861111111)</f>
        <v>41188.99861</v>
      </c>
      <c r="B876" s="1">
        <f>IFERROR(__xludf.DUMMYFUNCTION("""COMPUTED_VALUE"""),122.2115306)</f>
        <v>122.2115306</v>
      </c>
    </row>
    <row r="877">
      <c r="A877" s="3">
        <f>IFERROR(__xludf.DUMMYFUNCTION("""COMPUTED_VALUE"""),41189.99861111111)</f>
        <v>41189.99861</v>
      </c>
      <c r="B877" s="1">
        <f>IFERROR(__xludf.DUMMYFUNCTION("""COMPUTED_VALUE"""),119.47144)</f>
        <v>119.47144</v>
      </c>
    </row>
    <row r="878">
      <c r="A878" s="3">
        <f>IFERROR(__xludf.DUMMYFUNCTION("""COMPUTED_VALUE"""),41190.99861111111)</f>
        <v>41190.99861</v>
      </c>
      <c r="B878" s="1">
        <f>IFERROR(__xludf.DUMMYFUNCTION("""COMPUTED_VALUE"""),122.000912)</f>
        <v>122.000912</v>
      </c>
    </row>
    <row r="879">
      <c r="A879" s="3">
        <f>IFERROR(__xludf.DUMMYFUNCTION("""COMPUTED_VALUE"""),41191.99861111111)</f>
        <v>41191.99861</v>
      </c>
      <c r="B879" s="1">
        <f>IFERROR(__xludf.DUMMYFUNCTION("""COMPUTED_VALUE"""),122.224086)</f>
        <v>122.224086</v>
      </c>
    </row>
    <row r="880">
      <c r="A880" s="3">
        <f>IFERROR(__xludf.DUMMYFUNCTION("""COMPUTED_VALUE"""),41192.99861111111)</f>
        <v>41192.99861</v>
      </c>
      <c r="B880" s="1">
        <f>IFERROR(__xludf.DUMMYFUNCTION("""COMPUTED_VALUE"""),122.40128)</f>
        <v>122.40128</v>
      </c>
    </row>
    <row r="881">
      <c r="A881" s="3">
        <f>IFERROR(__xludf.DUMMYFUNCTION("""COMPUTED_VALUE"""),41193.99861111111)</f>
        <v>41193.99861</v>
      </c>
      <c r="B881" s="1">
        <f>IFERROR(__xludf.DUMMYFUNCTION("""COMPUTED_VALUE"""),121.910316)</f>
        <v>121.910316</v>
      </c>
    </row>
    <row r="882">
      <c r="A882" s="3">
        <f>IFERROR(__xludf.DUMMYFUNCTION("""COMPUTED_VALUE"""),41194.99861111111)</f>
        <v>41194.99861</v>
      </c>
      <c r="B882" s="1">
        <f>IFERROR(__xludf.DUMMYFUNCTION("""COMPUTED_VALUE"""),121.80075)</f>
        <v>121.80075</v>
      </c>
    </row>
    <row r="883">
      <c r="A883" s="3">
        <f>IFERROR(__xludf.DUMMYFUNCTION("""COMPUTED_VALUE"""),41195.99861111111)</f>
        <v>41195.99861</v>
      </c>
      <c r="B883" s="1">
        <f>IFERROR(__xludf.DUMMYFUNCTION("""COMPUTED_VALUE"""),121.80075)</f>
        <v>121.80075</v>
      </c>
    </row>
    <row r="884">
      <c r="A884" s="3">
        <f>IFERROR(__xludf.DUMMYFUNCTION("""COMPUTED_VALUE"""),41196.99861111111)</f>
        <v>41196.99861</v>
      </c>
      <c r="B884" s="1">
        <f>IFERROR(__xludf.DUMMYFUNCTION("""COMPUTED_VALUE"""),122.1124875)</f>
        <v>122.1124875</v>
      </c>
    </row>
    <row r="885">
      <c r="A885" s="3">
        <f>IFERROR(__xludf.DUMMYFUNCTION("""COMPUTED_VALUE"""),41197.99861111111)</f>
        <v>41197.99861</v>
      </c>
      <c r="B885" s="1">
        <f>IFERROR(__xludf.DUMMYFUNCTION("""COMPUTED_VALUE"""),121.41962)</f>
        <v>121.41962</v>
      </c>
    </row>
    <row r="886">
      <c r="A886" s="3">
        <f>IFERROR(__xludf.DUMMYFUNCTION("""COMPUTED_VALUE"""),41198.99861111111)</f>
        <v>41198.99861</v>
      </c>
      <c r="B886" s="1">
        <f>IFERROR(__xludf.DUMMYFUNCTION("""COMPUTED_VALUE"""),121.165008)</f>
        <v>121.165008</v>
      </c>
    </row>
    <row r="887">
      <c r="A887" s="3">
        <f>IFERROR(__xludf.DUMMYFUNCTION("""COMPUTED_VALUE"""),41199.99861111111)</f>
        <v>41199.99861</v>
      </c>
      <c r="B887" s="1">
        <f>IFERROR(__xludf.DUMMYFUNCTION("""COMPUTED_VALUE"""),120.69936)</f>
        <v>120.69936</v>
      </c>
    </row>
    <row r="888">
      <c r="A888" s="3">
        <f>IFERROR(__xludf.DUMMYFUNCTION("""COMPUTED_VALUE"""),41200.99861111111)</f>
        <v>41200.99861</v>
      </c>
      <c r="B888" s="1">
        <f>IFERROR(__xludf.DUMMYFUNCTION("""COMPUTED_VALUE"""),120.544034)</f>
        <v>120.544034</v>
      </c>
    </row>
    <row r="889">
      <c r="A889" s="3">
        <f>IFERROR(__xludf.DUMMYFUNCTION("""COMPUTED_VALUE"""),41201.99861111111)</f>
        <v>41201.99861</v>
      </c>
      <c r="B889" s="1">
        <f>IFERROR(__xludf.DUMMYFUNCTION("""COMPUTED_VALUE"""),120.5568)</f>
        <v>120.5568</v>
      </c>
    </row>
    <row r="890">
      <c r="A890" s="3">
        <f>IFERROR(__xludf.DUMMYFUNCTION("""COMPUTED_VALUE"""),41202.99861111111)</f>
        <v>41202.99861</v>
      </c>
      <c r="B890" s="1">
        <f>IFERROR(__xludf.DUMMYFUNCTION("""COMPUTED_VALUE"""),120.50388)</f>
        <v>120.50388</v>
      </c>
    </row>
    <row r="891">
      <c r="A891" s="3">
        <f>IFERROR(__xludf.DUMMYFUNCTION("""COMPUTED_VALUE"""),41203.99861111111)</f>
        <v>41203.99861</v>
      </c>
      <c r="B891" s="1">
        <f>IFERROR(__xludf.DUMMYFUNCTION("""COMPUTED_VALUE"""),121.056719)</f>
        <v>121.056719</v>
      </c>
    </row>
    <row r="892">
      <c r="A892" s="3">
        <f>IFERROR(__xludf.DUMMYFUNCTION("""COMPUTED_VALUE"""),41204.99861111111)</f>
        <v>41204.99861</v>
      </c>
      <c r="B892" s="1">
        <f>IFERROR(__xludf.DUMMYFUNCTION("""COMPUTED_VALUE"""),119.79576)</f>
        <v>119.79576</v>
      </c>
    </row>
    <row r="893">
      <c r="A893" s="3">
        <f>IFERROR(__xludf.DUMMYFUNCTION("""COMPUTED_VALUE"""),41205.99861111111)</f>
        <v>41205.99861</v>
      </c>
      <c r="B893" s="1">
        <f>IFERROR(__xludf.DUMMYFUNCTION("""COMPUTED_VALUE"""),119.91656)</f>
        <v>119.91656</v>
      </c>
    </row>
    <row r="894">
      <c r="A894" s="3">
        <f>IFERROR(__xludf.DUMMYFUNCTION("""COMPUTED_VALUE"""),41206.99861111111)</f>
        <v>41206.99861</v>
      </c>
      <c r="B894" s="1">
        <f>IFERROR(__xludf.DUMMYFUNCTION("""COMPUTED_VALUE"""),119.946608)</f>
        <v>119.946608</v>
      </c>
    </row>
    <row r="895">
      <c r="A895" s="3">
        <f>IFERROR(__xludf.DUMMYFUNCTION("""COMPUTED_VALUE"""),41207.99861111111)</f>
        <v>41207.99861</v>
      </c>
      <c r="B895" s="1">
        <f>IFERROR(__xludf.DUMMYFUNCTION("""COMPUTED_VALUE"""),119.21871)</f>
        <v>119.21871</v>
      </c>
    </row>
    <row r="896">
      <c r="A896" s="3">
        <f>IFERROR(__xludf.DUMMYFUNCTION("""COMPUTED_VALUE"""),41208.99861111111)</f>
        <v>41208.99861</v>
      </c>
      <c r="B896" s="1">
        <f>IFERROR(__xludf.DUMMYFUNCTION("""COMPUTED_VALUE"""),120.229)</f>
        <v>120.229</v>
      </c>
    </row>
    <row r="897">
      <c r="A897" s="3">
        <f>IFERROR(__xludf.DUMMYFUNCTION("""COMPUTED_VALUE"""),41209.99861111111)</f>
        <v>41209.99861</v>
      </c>
      <c r="B897" s="1">
        <f>IFERROR(__xludf.DUMMYFUNCTION("""COMPUTED_VALUE"""),120.229)</f>
        <v>120.229</v>
      </c>
    </row>
    <row r="898">
      <c r="A898" s="3">
        <f>IFERROR(__xludf.DUMMYFUNCTION("""COMPUTED_VALUE"""),41210.99861111111)</f>
        <v>41210.99861</v>
      </c>
      <c r="B898" s="1">
        <f>IFERROR(__xludf.DUMMYFUNCTION("""COMPUTED_VALUE"""),120.5421225)</f>
        <v>120.5421225</v>
      </c>
    </row>
    <row r="899">
      <c r="A899" s="3">
        <f>IFERROR(__xludf.DUMMYFUNCTION("""COMPUTED_VALUE"""),41211.99861111111)</f>
        <v>41211.99861</v>
      </c>
      <c r="B899" s="1">
        <f>IFERROR(__xludf.DUMMYFUNCTION("""COMPUTED_VALUE"""),119.982268)</f>
        <v>119.982268</v>
      </c>
    </row>
    <row r="900">
      <c r="A900" s="3">
        <f>IFERROR(__xludf.DUMMYFUNCTION("""COMPUTED_VALUE"""),41212.99861111111)</f>
        <v>41212.99861</v>
      </c>
      <c r="B900" s="1">
        <f>IFERROR(__xludf.DUMMYFUNCTION("""COMPUTED_VALUE"""),120.303045)</f>
        <v>120.303045</v>
      </c>
    </row>
    <row r="901">
      <c r="A901" s="3">
        <f>IFERROR(__xludf.DUMMYFUNCTION("""COMPUTED_VALUE"""),41213.99861111111)</f>
        <v>41213.99861</v>
      </c>
      <c r="B901" s="1">
        <f>IFERROR(__xludf.DUMMYFUNCTION("""COMPUTED_VALUE"""),119.89152)</f>
        <v>119.89152</v>
      </c>
    </row>
    <row r="902">
      <c r="A902" s="3">
        <f>IFERROR(__xludf.DUMMYFUNCTION("""COMPUTED_VALUE"""),41214.99861111111)</f>
        <v>41214.99861</v>
      </c>
      <c r="B902" s="1">
        <f>IFERROR(__xludf.DUMMYFUNCTION("""COMPUTED_VALUE"""),119.606005)</f>
        <v>119.606005</v>
      </c>
    </row>
    <row r="903">
      <c r="A903" s="3">
        <f>IFERROR(__xludf.DUMMYFUNCTION("""COMPUTED_VALUE"""),41215.99861111111)</f>
        <v>41215.99861</v>
      </c>
      <c r="B903" s="1">
        <f>IFERROR(__xludf.DUMMYFUNCTION("""COMPUTED_VALUE"""),119.144036)</f>
        <v>119.144036</v>
      </c>
    </row>
    <row r="904">
      <c r="A904" s="3">
        <f>IFERROR(__xludf.DUMMYFUNCTION("""COMPUTED_VALUE"""),41216.99861111111)</f>
        <v>41216.99861</v>
      </c>
      <c r="B904" s="1">
        <f>IFERROR(__xludf.DUMMYFUNCTION("""COMPUTED_VALUE"""),119.2037)</f>
        <v>119.2037</v>
      </c>
    </row>
    <row r="905">
      <c r="A905" s="3">
        <f>IFERROR(__xludf.DUMMYFUNCTION("""COMPUTED_VALUE"""),41217.99861111111)</f>
        <v>41217.99861</v>
      </c>
      <c r="B905" s="1">
        <f>IFERROR(__xludf.DUMMYFUNCTION("""COMPUTED_VALUE"""),118.849464)</f>
        <v>118.849464</v>
      </c>
    </row>
    <row r="906">
      <c r="A906" s="3">
        <f>IFERROR(__xludf.DUMMYFUNCTION("""COMPUTED_VALUE"""),41218.99861111111)</f>
        <v>41218.99861</v>
      </c>
      <c r="B906" s="1">
        <f>IFERROR(__xludf.DUMMYFUNCTION("""COMPUTED_VALUE"""),119.604758)</f>
        <v>119.604758</v>
      </c>
    </row>
    <row r="907">
      <c r="A907" s="3">
        <f>IFERROR(__xludf.DUMMYFUNCTION("""COMPUTED_VALUE"""),41219.99861111111)</f>
        <v>41219.99861</v>
      </c>
      <c r="B907" s="1">
        <f>IFERROR(__xludf.DUMMYFUNCTION("""COMPUTED_VALUE"""),119.40297)</f>
        <v>119.40297</v>
      </c>
    </row>
    <row r="908">
      <c r="A908" s="3">
        <f>IFERROR(__xludf.DUMMYFUNCTION("""COMPUTED_VALUE"""),41220.99861111111)</f>
        <v>41220.99861</v>
      </c>
      <c r="B908" s="1">
        <f>IFERROR(__xludf.DUMMYFUNCTION("""COMPUTED_VALUE"""),119.792007)</f>
        <v>119.792007</v>
      </c>
    </row>
    <row r="909">
      <c r="A909" s="3">
        <f>IFERROR(__xludf.DUMMYFUNCTION("""COMPUTED_VALUE"""),41221.99861111111)</f>
        <v>41221.99861</v>
      </c>
      <c r="B909" s="1">
        <f>IFERROR(__xludf.DUMMYFUNCTION("""COMPUTED_VALUE"""),120.790644)</f>
        <v>120.790644</v>
      </c>
    </row>
    <row r="910">
      <c r="A910" s="3">
        <f>IFERROR(__xludf.DUMMYFUNCTION("""COMPUTED_VALUE"""),41222.99861111111)</f>
        <v>41222.99861</v>
      </c>
      <c r="B910" s="1">
        <f>IFERROR(__xludf.DUMMYFUNCTION("""COMPUTED_VALUE"""),120.656038)</f>
        <v>120.656038</v>
      </c>
    </row>
    <row r="911">
      <c r="A911" s="3">
        <f>IFERROR(__xludf.DUMMYFUNCTION("""COMPUTED_VALUE"""),41223.99861111111)</f>
        <v>41223.99861</v>
      </c>
      <c r="B911" s="1">
        <f>IFERROR(__xludf.DUMMYFUNCTION("""COMPUTED_VALUE"""),120.7051)</f>
        <v>120.7051</v>
      </c>
    </row>
    <row r="912">
      <c r="A912" s="3">
        <f>IFERROR(__xludf.DUMMYFUNCTION("""COMPUTED_VALUE"""),41224.99861111111)</f>
        <v>41224.99861</v>
      </c>
      <c r="B912" s="1">
        <f>IFERROR(__xludf.DUMMYFUNCTION("""COMPUTED_VALUE"""),121.316488)</f>
        <v>121.316488</v>
      </c>
    </row>
    <row r="913">
      <c r="A913" s="3">
        <f>IFERROR(__xludf.DUMMYFUNCTION("""COMPUTED_VALUE"""),41225.99861111111)</f>
        <v>41225.99861</v>
      </c>
      <c r="B913" s="1">
        <f>IFERROR(__xludf.DUMMYFUNCTION("""COMPUTED_VALUE"""),120.451656)</f>
        <v>120.451656</v>
      </c>
    </row>
    <row r="914">
      <c r="A914" s="3">
        <f>IFERROR(__xludf.DUMMYFUNCTION("""COMPUTED_VALUE"""),41226.99861111111)</f>
        <v>41226.99861</v>
      </c>
      <c r="B914" s="1">
        <f>IFERROR(__xludf.DUMMYFUNCTION("""COMPUTED_VALUE"""),120.710132)</f>
        <v>120.710132</v>
      </c>
    </row>
    <row r="915">
      <c r="A915" s="3">
        <f>IFERROR(__xludf.DUMMYFUNCTION("""COMPUTED_VALUE"""),41227.99861111111)</f>
        <v>41227.99861</v>
      </c>
      <c r="B915" s="1">
        <f>IFERROR(__xludf.DUMMYFUNCTION("""COMPUTED_VALUE"""),119.557438)</f>
        <v>119.557438</v>
      </c>
    </row>
    <row r="916">
      <c r="A916" s="3">
        <f>IFERROR(__xludf.DUMMYFUNCTION("""COMPUTED_VALUE"""),41228.99861111111)</f>
        <v>41228.99861</v>
      </c>
      <c r="B916" s="1">
        <f>IFERROR(__xludf.DUMMYFUNCTION("""COMPUTED_VALUE"""),118.21656)</f>
        <v>118.21656</v>
      </c>
    </row>
    <row r="917">
      <c r="A917" s="3">
        <f>IFERROR(__xludf.DUMMYFUNCTION("""COMPUTED_VALUE"""),41229.99861111111)</f>
        <v>41229.99861</v>
      </c>
      <c r="B917" s="1">
        <f>IFERROR(__xludf.DUMMYFUNCTION("""COMPUTED_VALUE"""),118.04679)</f>
        <v>118.04679</v>
      </c>
    </row>
    <row r="918">
      <c r="A918" s="3">
        <f>IFERROR(__xludf.DUMMYFUNCTION("""COMPUTED_VALUE"""),41230.99861111111)</f>
        <v>41230.99861</v>
      </c>
      <c r="B918" s="1">
        <f>IFERROR(__xludf.DUMMYFUNCTION("""COMPUTED_VALUE"""),118.08)</f>
        <v>118.08</v>
      </c>
    </row>
    <row r="919">
      <c r="A919" s="3">
        <f>IFERROR(__xludf.DUMMYFUNCTION("""COMPUTED_VALUE"""),41231.99861111111)</f>
        <v>41231.99861</v>
      </c>
      <c r="B919" s="1">
        <f>IFERROR(__xludf.DUMMYFUNCTION("""COMPUTED_VALUE"""),118.194386)</f>
        <v>118.194386</v>
      </c>
    </row>
    <row r="920">
      <c r="A920" s="3">
        <f>IFERROR(__xludf.DUMMYFUNCTION("""COMPUTED_VALUE"""),41232.99861111111)</f>
        <v>41232.99861</v>
      </c>
      <c r="B920" s="1">
        <f>IFERROR(__xludf.DUMMYFUNCTION("""COMPUTED_VALUE"""),117.987687)</f>
        <v>117.987687</v>
      </c>
    </row>
    <row r="921">
      <c r="A921" s="3">
        <f>IFERROR(__xludf.DUMMYFUNCTION("""COMPUTED_VALUE"""),41233.99861111111)</f>
        <v>41233.99861</v>
      </c>
      <c r="B921" s="1">
        <f>IFERROR(__xludf.DUMMYFUNCTION("""COMPUTED_VALUE"""),117.551736)</f>
        <v>117.551736</v>
      </c>
    </row>
    <row r="922">
      <c r="A922" s="3">
        <f>IFERROR(__xludf.DUMMYFUNCTION("""COMPUTED_VALUE"""),41234.99861111111)</f>
        <v>41234.99861</v>
      </c>
      <c r="B922" s="1">
        <f>IFERROR(__xludf.DUMMYFUNCTION("""COMPUTED_VALUE"""),116.322605)</f>
        <v>116.322605</v>
      </c>
    </row>
    <row r="923">
      <c r="A923" s="3">
        <f>IFERROR(__xludf.DUMMYFUNCTION("""COMPUTED_VALUE"""),41235.99861111111)</f>
        <v>41235.99861</v>
      </c>
      <c r="B923" s="1">
        <f>IFERROR(__xludf.DUMMYFUNCTION("""COMPUTED_VALUE"""),116.51972)</f>
        <v>116.51972</v>
      </c>
    </row>
    <row r="924">
      <c r="A924" s="3">
        <f>IFERROR(__xludf.DUMMYFUNCTION("""COMPUTED_VALUE"""),41236.99861111111)</f>
        <v>41236.99861</v>
      </c>
      <c r="B924" s="1">
        <f>IFERROR(__xludf.DUMMYFUNCTION("""COMPUTED_VALUE"""),116.206613)</f>
        <v>116.206613</v>
      </c>
    </row>
    <row r="925">
      <c r="A925" s="3">
        <f>IFERROR(__xludf.DUMMYFUNCTION("""COMPUTED_VALUE"""),41237.99861111111)</f>
        <v>41237.99861</v>
      </c>
      <c r="B925" s="1">
        <f>IFERROR(__xludf.DUMMYFUNCTION("""COMPUTED_VALUE"""),116.19327)</f>
        <v>116.19327</v>
      </c>
    </row>
    <row r="926">
      <c r="A926" s="3">
        <f>IFERROR(__xludf.DUMMYFUNCTION("""COMPUTED_VALUE"""),41238.99861111111)</f>
        <v>41238.99861</v>
      </c>
      <c r="B926" s="1">
        <f>IFERROR(__xludf.DUMMYFUNCTION("""COMPUTED_VALUE"""),116.502894)</f>
        <v>116.502894</v>
      </c>
    </row>
    <row r="927">
      <c r="A927" s="3">
        <f>IFERROR(__xludf.DUMMYFUNCTION("""COMPUTED_VALUE"""),41239.99861111111)</f>
        <v>41239.99861</v>
      </c>
      <c r="B927" s="1">
        <f>IFERROR(__xludf.DUMMYFUNCTION("""COMPUTED_VALUE"""),116.863131)</f>
        <v>116.863131</v>
      </c>
    </row>
    <row r="928">
      <c r="A928" s="3">
        <f>IFERROR(__xludf.DUMMYFUNCTION("""COMPUTED_VALUE"""),41240.99861111111)</f>
        <v>41240.99861</v>
      </c>
      <c r="B928" s="1">
        <f>IFERROR(__xludf.DUMMYFUNCTION("""COMPUTED_VALUE"""),116.583306)</f>
        <v>116.583306</v>
      </c>
    </row>
    <row r="929">
      <c r="A929" s="3">
        <f>IFERROR(__xludf.DUMMYFUNCTION("""COMPUTED_VALUE"""),41241.99861111111)</f>
        <v>41241.99861</v>
      </c>
      <c r="B929" s="1">
        <f>IFERROR(__xludf.DUMMYFUNCTION("""COMPUTED_VALUE"""),116.485155)</f>
        <v>116.485155</v>
      </c>
    </row>
    <row r="930">
      <c r="A930" s="3">
        <f>IFERROR(__xludf.DUMMYFUNCTION("""COMPUTED_VALUE"""),41242.99861111111)</f>
        <v>41242.99861</v>
      </c>
      <c r="B930" s="1">
        <f>IFERROR(__xludf.DUMMYFUNCTION("""COMPUTED_VALUE"""),116.483938)</f>
        <v>116.483938</v>
      </c>
    </row>
    <row r="931">
      <c r="A931" s="3">
        <f>IFERROR(__xludf.DUMMYFUNCTION("""COMPUTED_VALUE"""),41243.99861111111)</f>
        <v>41243.99861</v>
      </c>
      <c r="B931" s="1">
        <f>IFERROR(__xludf.DUMMYFUNCTION("""COMPUTED_VALUE"""),116.10354)</f>
        <v>116.10354</v>
      </c>
    </row>
    <row r="932">
      <c r="A932" s="3">
        <f>IFERROR(__xludf.DUMMYFUNCTION("""COMPUTED_VALUE"""),41244.99861111111)</f>
        <v>41244.99861</v>
      </c>
      <c r="B932" s="1">
        <f>IFERROR(__xludf.DUMMYFUNCTION("""COMPUTED_VALUE"""),116.07197)</f>
        <v>116.07197</v>
      </c>
    </row>
    <row r="933">
      <c r="A933" s="3">
        <f>IFERROR(__xludf.DUMMYFUNCTION("""COMPUTED_VALUE"""),41245.99861111111)</f>
        <v>41245.99861</v>
      </c>
      <c r="B933" s="1">
        <f>IFERROR(__xludf.DUMMYFUNCTION("""COMPUTED_VALUE"""),116.6346079)</f>
        <v>116.6346079</v>
      </c>
    </row>
    <row r="934">
      <c r="A934" s="3">
        <f>IFERROR(__xludf.DUMMYFUNCTION("""COMPUTED_VALUE"""),41246.99861111111)</f>
        <v>41246.99861</v>
      </c>
      <c r="B934" s="1">
        <f>IFERROR(__xludf.DUMMYFUNCTION("""COMPUTED_VALUE"""),116.413352)</f>
        <v>116.413352</v>
      </c>
    </row>
    <row r="935">
      <c r="A935" s="3">
        <f>IFERROR(__xludf.DUMMYFUNCTION("""COMPUTED_VALUE"""),41247.99861111111)</f>
        <v>41247.99861</v>
      </c>
      <c r="B935" s="1">
        <f>IFERROR(__xludf.DUMMYFUNCTION("""COMPUTED_VALUE"""),116.989392)</f>
        <v>116.989392</v>
      </c>
    </row>
    <row r="936">
      <c r="A936" s="3">
        <f>IFERROR(__xludf.DUMMYFUNCTION("""COMPUTED_VALUE"""),41248.99861111111)</f>
        <v>41248.99861</v>
      </c>
      <c r="B936" s="1">
        <f>IFERROR(__xludf.DUMMYFUNCTION("""COMPUTED_VALUE"""),116.093804)</f>
        <v>116.093804</v>
      </c>
    </row>
    <row r="937">
      <c r="A937" s="3">
        <f>IFERROR(__xludf.DUMMYFUNCTION("""COMPUTED_VALUE"""),41249.99861111111)</f>
        <v>41249.99861</v>
      </c>
      <c r="B937" s="1">
        <f>IFERROR(__xludf.DUMMYFUNCTION("""COMPUTED_VALUE"""),116.216317)</f>
        <v>116.216317</v>
      </c>
    </row>
    <row r="938">
      <c r="A938" s="3">
        <f>IFERROR(__xludf.DUMMYFUNCTION("""COMPUTED_VALUE"""),41250.99861111111)</f>
        <v>41250.99861</v>
      </c>
      <c r="B938" s="1">
        <f>IFERROR(__xludf.DUMMYFUNCTION("""COMPUTED_VALUE"""),116.258676)</f>
        <v>116.258676</v>
      </c>
    </row>
    <row r="939">
      <c r="A939" s="3">
        <f>IFERROR(__xludf.DUMMYFUNCTION("""COMPUTED_VALUE"""),41251.99861111111)</f>
        <v>41251.99861</v>
      </c>
      <c r="B939" s="1">
        <f>IFERROR(__xludf.DUMMYFUNCTION("""COMPUTED_VALUE"""),116.2914)</f>
        <v>116.2914</v>
      </c>
    </row>
    <row r="940">
      <c r="A940" s="3">
        <f>IFERROR(__xludf.DUMMYFUNCTION("""COMPUTED_VALUE"""),41252.99861111111)</f>
        <v>41252.99861</v>
      </c>
      <c r="B940" s="1">
        <f>IFERROR(__xludf.DUMMYFUNCTION("""COMPUTED_VALUE"""),116.4067695)</f>
        <v>116.4067695</v>
      </c>
    </row>
    <row r="941">
      <c r="A941" s="3">
        <f>IFERROR(__xludf.DUMMYFUNCTION("""COMPUTED_VALUE"""),41253.99861111111)</f>
        <v>41253.99861</v>
      </c>
      <c r="B941" s="1">
        <f>IFERROR(__xludf.DUMMYFUNCTION("""COMPUTED_VALUE"""),116.553712)</f>
        <v>116.553712</v>
      </c>
    </row>
    <row r="942">
      <c r="A942" s="3">
        <f>IFERROR(__xludf.DUMMYFUNCTION("""COMPUTED_VALUE"""),41254.99861111111)</f>
        <v>41254.99861</v>
      </c>
      <c r="B942" s="1">
        <f>IFERROR(__xludf.DUMMYFUNCTION("""COMPUTED_VALUE"""),116.323816)</f>
        <v>116.323816</v>
      </c>
    </row>
    <row r="943">
      <c r="A943" s="3">
        <f>IFERROR(__xludf.DUMMYFUNCTION("""COMPUTED_VALUE"""),41255.99861111111)</f>
        <v>41255.99861</v>
      </c>
      <c r="B943" s="1">
        <f>IFERROR(__xludf.DUMMYFUNCTION("""COMPUTED_VALUE"""),115.317618)</f>
        <v>115.317618</v>
      </c>
    </row>
    <row r="944">
      <c r="A944" s="3">
        <f>IFERROR(__xludf.DUMMYFUNCTION("""COMPUTED_VALUE"""),41256.99861111111)</f>
        <v>41256.99861</v>
      </c>
      <c r="B944" s="1">
        <f>IFERROR(__xludf.DUMMYFUNCTION("""COMPUTED_VALUE"""),114.792895)</f>
        <v>114.792895</v>
      </c>
    </row>
    <row r="945">
      <c r="A945" s="3">
        <f>IFERROR(__xludf.DUMMYFUNCTION("""COMPUTED_VALUE"""),41257.99861111111)</f>
        <v>41257.99861</v>
      </c>
      <c r="B945" s="1">
        <f>IFERROR(__xludf.DUMMYFUNCTION("""COMPUTED_VALUE"""),115.01973)</f>
        <v>115.01973</v>
      </c>
    </row>
    <row r="946">
      <c r="A946" s="3">
        <f>IFERROR(__xludf.DUMMYFUNCTION("""COMPUTED_VALUE"""),41258.99861111111)</f>
        <v>41258.99861</v>
      </c>
      <c r="B946" s="1">
        <f>IFERROR(__xludf.DUMMYFUNCTION("""COMPUTED_VALUE"""),115.113424)</f>
        <v>115.113424</v>
      </c>
    </row>
    <row r="947">
      <c r="A947" s="3">
        <f>IFERROR(__xludf.DUMMYFUNCTION("""COMPUTED_VALUE"""),41259.99861111111)</f>
        <v>41259.99861</v>
      </c>
      <c r="B947" s="1">
        <f>IFERROR(__xludf.DUMMYFUNCTION("""COMPUTED_VALUE"""),114.195906)</f>
        <v>114.195906</v>
      </c>
    </row>
    <row r="948">
      <c r="A948" s="3">
        <f>IFERROR(__xludf.DUMMYFUNCTION("""COMPUTED_VALUE"""),41260.99861111111)</f>
        <v>41260.99861</v>
      </c>
      <c r="B948" s="1">
        <f>IFERROR(__xludf.DUMMYFUNCTION("""COMPUTED_VALUE"""),114.476538)</f>
        <v>114.476538</v>
      </c>
    </row>
    <row r="949">
      <c r="A949" s="3">
        <f>IFERROR(__xludf.DUMMYFUNCTION("""COMPUTED_VALUE"""),41261.99861111111)</f>
        <v>41261.99861</v>
      </c>
      <c r="B949" s="1">
        <f>IFERROR(__xludf.DUMMYFUNCTION("""COMPUTED_VALUE"""),113.946045)</f>
        <v>113.946045</v>
      </c>
    </row>
    <row r="950">
      <c r="A950" s="3">
        <f>IFERROR(__xludf.DUMMYFUNCTION("""COMPUTED_VALUE"""),41262.99861111111)</f>
        <v>41262.99861</v>
      </c>
      <c r="B950" s="1">
        <f>IFERROR(__xludf.DUMMYFUNCTION("""COMPUTED_VALUE"""),114.216701)</f>
        <v>114.216701</v>
      </c>
    </row>
    <row r="951">
      <c r="A951" s="3">
        <f>IFERROR(__xludf.DUMMYFUNCTION("""COMPUTED_VALUE"""),41263.99861111111)</f>
        <v>41263.99861</v>
      </c>
      <c r="B951" s="1">
        <f>IFERROR(__xludf.DUMMYFUNCTION("""COMPUTED_VALUE"""),114.0444)</f>
        <v>114.0444</v>
      </c>
    </row>
    <row r="952">
      <c r="A952" s="3">
        <f>IFERROR(__xludf.DUMMYFUNCTION("""COMPUTED_VALUE"""),41264.99861111111)</f>
        <v>41264.99861</v>
      </c>
      <c r="B952" s="1">
        <f>IFERROR(__xludf.DUMMYFUNCTION("""COMPUTED_VALUE"""),114.266555)</f>
        <v>114.266555</v>
      </c>
    </row>
    <row r="953">
      <c r="A953" s="3">
        <f>IFERROR(__xludf.DUMMYFUNCTION("""COMPUTED_VALUE"""),41265.99861111111)</f>
        <v>41265.99861</v>
      </c>
      <c r="B953" s="1">
        <f>IFERROR(__xludf.DUMMYFUNCTION("""COMPUTED_VALUE"""),114.0707)</f>
        <v>114.0707</v>
      </c>
    </row>
    <row r="954">
      <c r="A954" s="3">
        <f>IFERROR(__xludf.DUMMYFUNCTION("""COMPUTED_VALUE"""),41266.99861111111)</f>
        <v>41266.99861</v>
      </c>
      <c r="B954" s="1">
        <f>IFERROR(__xludf.DUMMYFUNCTION("""COMPUTED_VALUE"""),114.7286764)</f>
        <v>114.7286764</v>
      </c>
    </row>
    <row r="955">
      <c r="A955" s="3">
        <f>IFERROR(__xludf.DUMMYFUNCTION("""COMPUTED_VALUE"""),41267.99861111111)</f>
        <v>41267.99861</v>
      </c>
      <c r="B955" s="1">
        <f>IFERROR(__xludf.DUMMYFUNCTION("""COMPUTED_VALUE"""),113.474384)</f>
        <v>113.474384</v>
      </c>
    </row>
    <row r="956">
      <c r="A956" s="3">
        <f>IFERROR(__xludf.DUMMYFUNCTION("""COMPUTED_VALUE"""),41268.99861111111)</f>
        <v>41268.99861</v>
      </c>
      <c r="B956" s="1">
        <f>IFERROR(__xludf.DUMMYFUNCTION("""COMPUTED_VALUE"""),113.25468)</f>
        <v>113.25468</v>
      </c>
    </row>
    <row r="957">
      <c r="A957" s="3">
        <f>IFERROR(__xludf.DUMMYFUNCTION("""COMPUTED_VALUE"""),41269.99861111111)</f>
        <v>41269.99861</v>
      </c>
      <c r="B957" s="1">
        <f>IFERROR(__xludf.DUMMYFUNCTION("""COMPUTED_VALUE"""),112.46672)</f>
        <v>112.46672</v>
      </c>
    </row>
    <row r="958">
      <c r="A958" s="3">
        <f>IFERROR(__xludf.DUMMYFUNCTION("""COMPUTED_VALUE"""),41270.99861111111)</f>
        <v>41270.99861</v>
      </c>
      <c r="B958" s="1">
        <f>IFERROR(__xludf.DUMMYFUNCTION("""COMPUTED_VALUE"""),111.464223)</f>
        <v>111.464223</v>
      </c>
    </row>
    <row r="959">
      <c r="A959" s="3">
        <f>IFERROR(__xludf.DUMMYFUNCTION("""COMPUTED_VALUE"""),41271.99861111111)</f>
        <v>41271.99861</v>
      </c>
      <c r="B959" s="1">
        <f>IFERROR(__xludf.DUMMYFUNCTION("""COMPUTED_VALUE"""),111.9969)</f>
        <v>111.9969</v>
      </c>
    </row>
    <row r="960">
      <c r="A960" s="3">
        <f>IFERROR(__xludf.DUMMYFUNCTION("""COMPUTED_VALUE"""),41272.99861111111)</f>
        <v>41272.99861</v>
      </c>
      <c r="B960" s="1">
        <f>IFERROR(__xludf.DUMMYFUNCTION("""COMPUTED_VALUE"""),111.794538)</f>
        <v>111.794538</v>
      </c>
    </row>
    <row r="961">
      <c r="A961" s="3">
        <f>IFERROR(__xludf.DUMMYFUNCTION("""COMPUTED_VALUE"""),41273.99861111111)</f>
        <v>41273.99861</v>
      </c>
      <c r="B961" s="1">
        <f>IFERROR(__xludf.DUMMYFUNCTION("""COMPUTED_VALUE"""),111.7927935)</f>
        <v>111.7927935</v>
      </c>
    </row>
    <row r="962">
      <c r="A962" s="3">
        <f>IFERROR(__xludf.DUMMYFUNCTION("""COMPUTED_VALUE"""),41274.99861111111)</f>
        <v>41274.99861</v>
      </c>
      <c r="B962" s="1">
        <f>IFERROR(__xludf.DUMMYFUNCTION("""COMPUTED_VALUE"""),110.79177)</f>
        <v>110.79177</v>
      </c>
    </row>
    <row r="963">
      <c r="A963" s="3">
        <f>IFERROR(__xludf.DUMMYFUNCTION("""COMPUTED_VALUE"""),41275.99861111111)</f>
        <v>41275.99861</v>
      </c>
      <c r="B963" s="1">
        <f>IFERROR(__xludf.DUMMYFUNCTION("""COMPUTED_VALUE"""),110.88786)</f>
        <v>110.88786</v>
      </c>
    </row>
    <row r="964">
      <c r="A964" s="3">
        <f>IFERROR(__xludf.DUMMYFUNCTION("""COMPUTED_VALUE"""),41276.99861111111)</f>
        <v>41276.99861</v>
      </c>
      <c r="B964" s="1">
        <f>IFERROR(__xludf.DUMMYFUNCTION("""COMPUTED_VALUE"""),110.177625)</f>
        <v>110.177625</v>
      </c>
    </row>
    <row r="965">
      <c r="A965" s="3">
        <f>IFERROR(__xludf.DUMMYFUNCTION("""COMPUTED_VALUE"""),41277.99861111111)</f>
        <v>41277.99861</v>
      </c>
      <c r="B965" s="1">
        <f>IFERROR(__xludf.DUMMYFUNCTION("""COMPUTED_VALUE"""),109.73982)</f>
        <v>109.73982</v>
      </c>
    </row>
    <row r="966">
      <c r="A966" s="3">
        <f>IFERROR(__xludf.DUMMYFUNCTION("""COMPUTED_VALUE"""),41278.99861111111)</f>
        <v>41278.99861</v>
      </c>
      <c r="B966" s="1">
        <f>IFERROR(__xludf.DUMMYFUNCTION("""COMPUTED_VALUE"""),109.257498)</f>
        <v>109.257498</v>
      </c>
    </row>
    <row r="967">
      <c r="A967" s="3">
        <f>IFERROR(__xludf.DUMMYFUNCTION("""COMPUTED_VALUE"""),41279.99861111111)</f>
        <v>41279.99861</v>
      </c>
      <c r="B967" s="1">
        <f>IFERROR(__xludf.DUMMYFUNCTION("""COMPUTED_VALUE"""),110.7918)</f>
        <v>110.7918</v>
      </c>
    </row>
    <row r="968">
      <c r="A968" s="3">
        <f>IFERROR(__xludf.DUMMYFUNCTION("""COMPUTED_VALUE"""),41280.99861111111)</f>
        <v>41280.99861</v>
      </c>
      <c r="B968" s="1">
        <f>IFERROR(__xludf.DUMMYFUNCTION("""COMPUTED_VALUE"""),110.8610475)</f>
        <v>110.8610475</v>
      </c>
    </row>
    <row r="969">
      <c r="A969" s="3">
        <f>IFERROR(__xludf.DUMMYFUNCTION("""COMPUTED_VALUE"""),41281.99861111111)</f>
        <v>41281.99861</v>
      </c>
      <c r="B969" s="1">
        <f>IFERROR(__xludf.DUMMYFUNCTION("""COMPUTED_VALUE"""),110.464086)</f>
        <v>110.464086</v>
      </c>
    </row>
    <row r="970">
      <c r="A970" s="3">
        <f>IFERROR(__xludf.DUMMYFUNCTION("""COMPUTED_VALUE"""),41282.99861111111)</f>
        <v>41282.99861</v>
      </c>
      <c r="B970" s="1">
        <f>IFERROR(__xludf.DUMMYFUNCTION("""COMPUTED_VALUE"""),110.970212)</f>
        <v>110.970212</v>
      </c>
    </row>
    <row r="971">
      <c r="A971" s="3">
        <f>IFERROR(__xludf.DUMMYFUNCTION("""COMPUTED_VALUE"""),41283.99861111111)</f>
        <v>41283.99861</v>
      </c>
      <c r="B971" s="1">
        <f>IFERROR(__xludf.DUMMYFUNCTION("""COMPUTED_VALUE"""),109.228014)</f>
        <v>109.228014</v>
      </c>
    </row>
    <row r="972">
      <c r="A972" s="3">
        <f>IFERROR(__xludf.DUMMYFUNCTION("""COMPUTED_VALUE"""),41284.99861111111)</f>
        <v>41284.99861</v>
      </c>
      <c r="B972" s="1">
        <f>IFERROR(__xludf.DUMMYFUNCTION("""COMPUTED_VALUE"""),107.97472)</f>
        <v>107.97472</v>
      </c>
    </row>
    <row r="973">
      <c r="A973" s="3">
        <f>IFERROR(__xludf.DUMMYFUNCTION("""COMPUTED_VALUE"""),41285.99861111111)</f>
        <v>41285.99861</v>
      </c>
      <c r="B973" s="1">
        <f>IFERROR(__xludf.DUMMYFUNCTION("""COMPUTED_VALUE"""),107.676534)</f>
        <v>107.676534</v>
      </c>
    </row>
    <row r="974">
      <c r="A974" s="3">
        <f>IFERROR(__xludf.DUMMYFUNCTION("""COMPUTED_VALUE"""),41286.99861111111)</f>
        <v>41286.99861</v>
      </c>
      <c r="B974" s="1">
        <f>IFERROR(__xludf.DUMMYFUNCTION("""COMPUTED_VALUE"""),107.664203)</f>
        <v>107.664203</v>
      </c>
    </row>
    <row r="975">
      <c r="A975" s="3">
        <f>IFERROR(__xludf.DUMMYFUNCTION("""COMPUTED_VALUE"""),41287.99861111111)</f>
        <v>41287.99861</v>
      </c>
      <c r="B975" s="1">
        <f>IFERROR(__xludf.DUMMYFUNCTION("""COMPUTED_VALUE"""),107.3710665)</f>
        <v>107.3710665</v>
      </c>
    </row>
    <row r="976">
      <c r="A976" s="3">
        <f>IFERROR(__xludf.DUMMYFUNCTION("""COMPUTED_VALUE"""),41288.99861111111)</f>
        <v>41288.99861</v>
      </c>
      <c r="B976" s="1">
        <f>IFERROR(__xludf.DUMMYFUNCTION("""COMPUTED_VALUE"""),107.307956)</f>
        <v>107.307956</v>
      </c>
    </row>
    <row r="977">
      <c r="A977" s="3">
        <f>IFERROR(__xludf.DUMMYFUNCTION("""COMPUTED_VALUE"""),41289.99861111111)</f>
        <v>41289.99861</v>
      </c>
      <c r="B977" s="1">
        <f>IFERROR(__xludf.DUMMYFUNCTION("""COMPUTED_VALUE"""),108.339216)</f>
        <v>108.339216</v>
      </c>
    </row>
    <row r="978">
      <c r="A978" s="3">
        <f>IFERROR(__xludf.DUMMYFUNCTION("""COMPUTED_VALUE"""),41290.99861111111)</f>
        <v>41290.99861</v>
      </c>
      <c r="B978" s="1">
        <f>IFERROR(__xludf.DUMMYFUNCTION("""COMPUTED_VALUE"""),108.583536)</f>
        <v>108.583536</v>
      </c>
    </row>
    <row r="979">
      <c r="A979" s="3">
        <f>IFERROR(__xludf.DUMMYFUNCTION("""COMPUTED_VALUE"""),41291.99861111111)</f>
        <v>41291.99861</v>
      </c>
      <c r="B979" s="1">
        <f>IFERROR(__xludf.DUMMYFUNCTION("""COMPUTED_VALUE"""),106.994416)</f>
        <v>106.994416</v>
      </c>
    </row>
    <row r="980">
      <c r="A980" s="3">
        <f>IFERROR(__xludf.DUMMYFUNCTION("""COMPUTED_VALUE"""),41292.99861111111)</f>
        <v>41292.99861</v>
      </c>
      <c r="B980" s="1">
        <f>IFERROR(__xludf.DUMMYFUNCTION("""COMPUTED_VALUE"""),106.58997)</f>
        <v>106.58997</v>
      </c>
    </row>
    <row r="981">
      <c r="A981" s="3">
        <f>IFERROR(__xludf.DUMMYFUNCTION("""COMPUTED_VALUE"""),41293.99861111111)</f>
        <v>41293.99861</v>
      </c>
      <c r="B981" s="1">
        <f>IFERROR(__xludf.DUMMYFUNCTION("""COMPUTED_VALUE"""),106.55778)</f>
        <v>106.55778</v>
      </c>
    </row>
    <row r="982">
      <c r="A982" s="3">
        <f>IFERROR(__xludf.DUMMYFUNCTION("""COMPUTED_VALUE"""),41294.99861111111)</f>
        <v>41294.99861</v>
      </c>
      <c r="B982" s="1">
        <f>IFERROR(__xludf.DUMMYFUNCTION("""COMPUTED_VALUE"""),107.27656)</f>
        <v>107.27656</v>
      </c>
    </row>
    <row r="983">
      <c r="A983" s="3">
        <f>IFERROR(__xludf.DUMMYFUNCTION("""COMPUTED_VALUE"""),41295.99861111111)</f>
        <v>41295.99861</v>
      </c>
      <c r="B983" s="1">
        <f>IFERROR(__xludf.DUMMYFUNCTION("""COMPUTED_VALUE"""),107.017704)</f>
        <v>107.017704</v>
      </c>
    </row>
    <row r="984">
      <c r="A984" s="3">
        <f>IFERROR(__xludf.DUMMYFUNCTION("""COMPUTED_VALUE"""),41296.99861111111)</f>
        <v>41296.99861</v>
      </c>
      <c r="B984" s="1">
        <f>IFERROR(__xludf.DUMMYFUNCTION("""COMPUTED_VALUE"""),108.38508)</f>
        <v>108.38508</v>
      </c>
    </row>
    <row r="985">
      <c r="A985" s="3">
        <f>IFERROR(__xludf.DUMMYFUNCTION("""COMPUTED_VALUE"""),41297.99861111111)</f>
        <v>41297.99861</v>
      </c>
      <c r="B985" s="1">
        <f>IFERROR(__xludf.DUMMYFUNCTION("""COMPUTED_VALUE"""),108.349001)</f>
        <v>108.349001</v>
      </c>
    </row>
    <row r="986">
      <c r="A986" s="3">
        <f>IFERROR(__xludf.DUMMYFUNCTION("""COMPUTED_VALUE"""),41298.99861111111)</f>
        <v>41298.99861</v>
      </c>
      <c r="B986" s="1">
        <f>IFERROR(__xludf.DUMMYFUNCTION("""COMPUTED_VALUE"""),105.860425)</f>
        <v>105.860425</v>
      </c>
    </row>
    <row r="987">
      <c r="A987" s="3">
        <f>IFERROR(__xludf.DUMMYFUNCTION("""COMPUTED_VALUE"""),41299.99861111111)</f>
        <v>41299.99861</v>
      </c>
      <c r="B987" s="1">
        <f>IFERROR(__xludf.DUMMYFUNCTION("""COMPUTED_VALUE"""),105.8464)</f>
        <v>105.8464</v>
      </c>
    </row>
    <row r="988">
      <c r="A988" s="3">
        <f>IFERROR(__xludf.DUMMYFUNCTION("""COMPUTED_VALUE"""),41300.99861111111)</f>
        <v>41300.99861</v>
      </c>
      <c r="B988" s="1">
        <f>IFERROR(__xludf.DUMMYFUNCTION("""COMPUTED_VALUE"""),105.4064)</f>
        <v>105.4064</v>
      </c>
    </row>
    <row r="989">
      <c r="A989" s="3">
        <f>IFERROR(__xludf.DUMMYFUNCTION("""COMPUTED_VALUE"""),41301.99861111111)</f>
        <v>41301.99861</v>
      </c>
      <c r="B989" s="1">
        <f>IFERROR(__xludf.DUMMYFUNCTION("""COMPUTED_VALUE"""),105.352452)</f>
        <v>105.352452</v>
      </c>
    </row>
    <row r="990">
      <c r="A990" s="3">
        <f>IFERROR(__xludf.DUMMYFUNCTION("""COMPUTED_VALUE"""),41302.99861111111)</f>
        <v>41302.99861</v>
      </c>
      <c r="B990" s="1">
        <f>IFERROR(__xludf.DUMMYFUNCTION("""COMPUTED_VALUE"""),106.726788)</f>
        <v>106.726788</v>
      </c>
    </row>
    <row r="991">
      <c r="A991" s="3">
        <f>IFERROR(__xludf.DUMMYFUNCTION("""COMPUTED_VALUE"""),41303.99861111111)</f>
        <v>41303.99861</v>
      </c>
      <c r="B991" s="1">
        <f>IFERROR(__xludf.DUMMYFUNCTION("""COMPUTED_VALUE"""),106.2465)</f>
        <v>106.2465</v>
      </c>
    </row>
    <row r="992">
      <c r="A992" s="3">
        <f>IFERROR(__xludf.DUMMYFUNCTION("""COMPUTED_VALUE"""),41304.99861111111)</f>
        <v>41304.99861</v>
      </c>
      <c r="B992" s="1">
        <f>IFERROR(__xludf.DUMMYFUNCTION("""COMPUTED_VALUE"""),106.063506)</f>
        <v>106.063506</v>
      </c>
    </row>
    <row r="993">
      <c r="A993" s="3">
        <f>IFERROR(__xludf.DUMMYFUNCTION("""COMPUTED_VALUE"""),41305.99861111111)</f>
        <v>41305.99861</v>
      </c>
      <c r="B993" s="1">
        <f>IFERROR(__xludf.DUMMYFUNCTION("""COMPUTED_VALUE"""),105.40191)</f>
        <v>105.40191</v>
      </c>
    </row>
    <row r="994">
      <c r="A994" s="3">
        <f>IFERROR(__xludf.DUMMYFUNCTION("""COMPUTED_VALUE"""),41306.99861111111)</f>
        <v>41306.99861</v>
      </c>
      <c r="B994" s="1">
        <f>IFERROR(__xludf.DUMMYFUNCTION("""COMPUTED_VALUE"""),104.398995)</f>
        <v>104.398995</v>
      </c>
    </row>
    <row r="995">
      <c r="A995" s="3">
        <f>IFERROR(__xludf.DUMMYFUNCTION("""COMPUTED_VALUE"""),41307.99861111111)</f>
        <v>41307.99861</v>
      </c>
      <c r="B995" s="1">
        <f>IFERROR(__xludf.DUMMYFUNCTION("""COMPUTED_VALUE"""),104.9707527)</f>
        <v>104.9707527</v>
      </c>
    </row>
    <row r="996">
      <c r="A996" s="3">
        <f>IFERROR(__xludf.DUMMYFUNCTION("""COMPUTED_VALUE"""),41308.99861111111)</f>
        <v>41308.99861</v>
      </c>
      <c r="B996" s="1">
        <f>IFERROR(__xludf.DUMMYFUNCTION("""COMPUTED_VALUE"""),103.5260865)</f>
        <v>103.5260865</v>
      </c>
    </row>
    <row r="997">
      <c r="A997" s="3">
        <f>IFERROR(__xludf.DUMMYFUNCTION("""COMPUTED_VALUE"""),41309.99861111111)</f>
        <v>41309.99861</v>
      </c>
      <c r="B997" s="1">
        <f>IFERROR(__xludf.DUMMYFUNCTION("""COMPUTED_VALUE"""),104.623295)</f>
        <v>104.623295</v>
      </c>
    </row>
    <row r="998">
      <c r="A998" s="3">
        <f>IFERROR(__xludf.DUMMYFUNCTION("""COMPUTED_VALUE"""),41310.99861111111)</f>
        <v>41310.99861</v>
      </c>
      <c r="B998" s="1">
        <f>IFERROR(__xludf.DUMMYFUNCTION("""COMPUTED_VALUE"""),103.039572)</f>
        <v>103.039572</v>
      </c>
    </row>
    <row r="999">
      <c r="A999" s="3">
        <f>IFERROR(__xludf.DUMMYFUNCTION("""COMPUTED_VALUE"""),41311.99861111111)</f>
        <v>41311.99861</v>
      </c>
      <c r="B999" s="1">
        <f>IFERROR(__xludf.DUMMYFUNCTION("""COMPUTED_VALUE"""),103.59847)</f>
        <v>103.59847</v>
      </c>
    </row>
    <row r="1000">
      <c r="A1000" s="3">
        <f>IFERROR(__xludf.DUMMYFUNCTION("""COMPUTED_VALUE"""),41312.99861111111)</f>
        <v>41312.99861</v>
      </c>
      <c r="B1000" s="1">
        <f>IFERROR(__xludf.DUMMYFUNCTION("""COMPUTED_VALUE"""),103.13622)</f>
        <v>103.13622</v>
      </c>
    </row>
    <row r="1001">
      <c r="A1001" s="3">
        <f>IFERROR(__xludf.DUMMYFUNCTION("""COMPUTED_VALUE"""),41313.99861111111)</f>
        <v>41313.99861</v>
      </c>
      <c r="B1001" s="1">
        <f>IFERROR(__xludf.DUMMYFUNCTION("""COMPUTED_VALUE"""),103.918122)</f>
        <v>103.918122</v>
      </c>
    </row>
    <row r="1002">
      <c r="A1002" s="3">
        <f>IFERROR(__xludf.DUMMYFUNCTION("""COMPUTED_VALUE"""),41314.99861111111)</f>
        <v>41314.99861</v>
      </c>
      <c r="B1002" s="1">
        <f>IFERROR(__xludf.DUMMYFUNCTION("""COMPUTED_VALUE"""),103.992941)</f>
        <v>103.992941</v>
      </c>
    </row>
    <row r="1003">
      <c r="A1003" s="3">
        <f>IFERROR(__xludf.DUMMYFUNCTION("""COMPUTED_VALUE"""),41315.99861111111)</f>
        <v>41315.99861</v>
      </c>
      <c r="B1003" s="1">
        <f>IFERROR(__xludf.DUMMYFUNCTION("""COMPUTED_VALUE"""),103.9105845)</f>
        <v>103.9105845</v>
      </c>
    </row>
    <row r="1004">
      <c r="A1004" s="3">
        <f>IFERROR(__xludf.DUMMYFUNCTION("""COMPUTED_VALUE"""),41316.99861111111)</f>
        <v>41316.99861</v>
      </c>
      <c r="B1004" s="1">
        <f>IFERROR(__xludf.DUMMYFUNCTION("""COMPUTED_VALUE"""),101.782791)</f>
        <v>101.782791</v>
      </c>
    </row>
    <row r="1005">
      <c r="A1005" s="3">
        <f>IFERROR(__xludf.DUMMYFUNCTION("""COMPUTED_VALUE"""),41317.99861111111)</f>
        <v>41317.99861</v>
      </c>
      <c r="B1005" s="1">
        <f>IFERROR(__xludf.DUMMYFUNCTION("""COMPUTED_VALUE"""),103.005567)</f>
        <v>103.005567</v>
      </c>
    </row>
    <row r="1006">
      <c r="A1006" s="3">
        <f>IFERROR(__xludf.DUMMYFUNCTION("""COMPUTED_VALUE"""),41318.99861111111)</f>
        <v>41318.99861</v>
      </c>
      <c r="B1006" s="1">
        <f>IFERROR(__xludf.DUMMYFUNCTION("""COMPUTED_VALUE"""),103.11032)</f>
        <v>103.11032</v>
      </c>
    </row>
    <row r="1007">
      <c r="A1007" s="3">
        <f>IFERROR(__xludf.DUMMYFUNCTION("""COMPUTED_VALUE"""),41319.99861111111)</f>
        <v>41319.99861</v>
      </c>
      <c r="B1007" s="1">
        <f>IFERROR(__xludf.DUMMYFUNCTION("""COMPUTED_VALUE"""),103.636016)</f>
        <v>103.636016</v>
      </c>
    </row>
    <row r="1008">
      <c r="A1008" s="3">
        <f>IFERROR(__xludf.DUMMYFUNCTION("""COMPUTED_VALUE"""),41320.99861111111)</f>
        <v>41320.99861</v>
      </c>
      <c r="B1008" s="1">
        <f>IFERROR(__xludf.DUMMYFUNCTION("""COMPUTED_VALUE"""),103.032358)</f>
        <v>103.032358</v>
      </c>
    </row>
    <row r="1009">
      <c r="A1009" s="3">
        <f>IFERROR(__xludf.DUMMYFUNCTION("""COMPUTED_VALUE"""),41321.99861111111)</f>
        <v>41321.99861</v>
      </c>
      <c r="B1009" s="1">
        <f>IFERROR(__xludf.DUMMYFUNCTION("""COMPUTED_VALUE"""),103.10505)</f>
        <v>103.10505</v>
      </c>
    </row>
    <row r="1010">
      <c r="A1010" s="3">
        <f>IFERROR(__xludf.DUMMYFUNCTION("""COMPUTED_VALUE"""),41322.99861111111)</f>
        <v>41322.99861</v>
      </c>
      <c r="B1010" s="1">
        <f>IFERROR(__xludf.DUMMYFUNCTION("""COMPUTED_VALUE"""),103.3947618)</f>
        <v>103.3947618</v>
      </c>
    </row>
    <row r="1011">
      <c r="A1011" s="3">
        <f>IFERROR(__xludf.DUMMYFUNCTION("""COMPUTED_VALUE"""),41323.99861111111)</f>
        <v>41323.99861</v>
      </c>
      <c r="B1011" s="1">
        <f>IFERROR(__xludf.DUMMYFUNCTION("""COMPUTED_VALUE"""),103.003912)</f>
        <v>103.003912</v>
      </c>
    </row>
    <row r="1012">
      <c r="A1012" s="3">
        <f>IFERROR(__xludf.DUMMYFUNCTION("""COMPUTED_VALUE"""),41324.99861111111)</f>
        <v>41324.99861</v>
      </c>
      <c r="B1012" s="1">
        <f>IFERROR(__xludf.DUMMYFUNCTION("""COMPUTED_VALUE"""),103.231183)</f>
        <v>103.231183</v>
      </c>
    </row>
    <row r="1013">
      <c r="A1013" s="3">
        <f>IFERROR(__xludf.DUMMYFUNCTION("""COMPUTED_VALUE"""),41325.99861111111)</f>
        <v>41325.99861</v>
      </c>
      <c r="B1013" s="1">
        <f>IFERROR(__xludf.DUMMYFUNCTION("""COMPUTED_VALUE"""),103.024185)</f>
        <v>103.024185</v>
      </c>
    </row>
    <row r="1014">
      <c r="A1014" s="3">
        <f>IFERROR(__xludf.DUMMYFUNCTION("""COMPUTED_VALUE"""),41326.99861111111)</f>
        <v>41326.99861</v>
      </c>
      <c r="B1014" s="1">
        <f>IFERROR(__xludf.DUMMYFUNCTION("""COMPUTED_VALUE"""),103.90413)</f>
        <v>103.90413</v>
      </c>
    </row>
    <row r="1015">
      <c r="A1015" s="3">
        <f>IFERROR(__xludf.DUMMYFUNCTION("""COMPUTED_VALUE"""),41327.99861111111)</f>
        <v>41327.99861</v>
      </c>
      <c r="B1015" s="1">
        <f>IFERROR(__xludf.DUMMYFUNCTION("""COMPUTED_VALUE"""),103.52785)</f>
        <v>103.52785</v>
      </c>
    </row>
    <row r="1016">
      <c r="A1016" s="3">
        <f>IFERROR(__xludf.DUMMYFUNCTION("""COMPUTED_VALUE"""),41328.99861111111)</f>
        <v>41328.99861</v>
      </c>
      <c r="B1016" s="1">
        <f>IFERROR(__xludf.DUMMYFUNCTION("""COMPUTED_VALUE"""),103.6188)</f>
        <v>103.6188</v>
      </c>
    </row>
    <row r="1017">
      <c r="A1017" s="3">
        <f>IFERROR(__xludf.DUMMYFUNCTION("""COMPUTED_VALUE"""),41329.99861111111)</f>
        <v>41329.99861</v>
      </c>
      <c r="B1017" s="1">
        <f>IFERROR(__xludf.DUMMYFUNCTION("""COMPUTED_VALUE"""),103.3106097)</f>
        <v>103.3106097</v>
      </c>
    </row>
    <row r="1018">
      <c r="A1018" s="3">
        <f>IFERROR(__xludf.DUMMYFUNCTION("""COMPUTED_VALUE"""),41330.99861111111)</f>
        <v>41330.99861</v>
      </c>
      <c r="B1018" s="1">
        <f>IFERROR(__xludf.DUMMYFUNCTION("""COMPUTED_VALUE"""),104.698648)</f>
        <v>104.698648</v>
      </c>
    </row>
    <row r="1019">
      <c r="A1019" s="3">
        <f>IFERROR(__xludf.DUMMYFUNCTION("""COMPUTED_VALUE"""),41331.99861111111)</f>
        <v>41331.99861</v>
      </c>
      <c r="B1019" s="1">
        <f>IFERROR(__xludf.DUMMYFUNCTION("""COMPUTED_VALUE"""),105.011725)</f>
        <v>105.011725</v>
      </c>
    </row>
    <row r="1020">
      <c r="A1020" s="3">
        <f>IFERROR(__xludf.DUMMYFUNCTION("""COMPUTED_VALUE"""),41332.99861111111)</f>
        <v>41332.99861</v>
      </c>
      <c r="B1020" s="1">
        <f>IFERROR(__xludf.DUMMYFUNCTION("""COMPUTED_VALUE"""),104.588559)</f>
        <v>104.588559</v>
      </c>
    </row>
    <row r="1021">
      <c r="A1021" s="3">
        <f>IFERROR(__xludf.DUMMYFUNCTION("""COMPUTED_VALUE"""),41333.99861111111)</f>
        <v>41333.99861</v>
      </c>
      <c r="B1021" s="1">
        <f>IFERROR(__xludf.DUMMYFUNCTION("""COMPUTED_VALUE"""),104.04504)</f>
        <v>104.04504</v>
      </c>
    </row>
    <row r="1022">
      <c r="A1022" s="3">
        <f>IFERROR(__xludf.DUMMYFUNCTION("""COMPUTED_VALUE"""),41334.99861111111)</f>
        <v>41334.99861</v>
      </c>
      <c r="B1022" s="1">
        <f>IFERROR(__xludf.DUMMYFUNCTION("""COMPUTED_VALUE"""),103.037436)</f>
        <v>103.037436</v>
      </c>
    </row>
    <row r="1023">
      <c r="A1023" s="3">
        <f>IFERROR(__xludf.DUMMYFUNCTION("""COMPUTED_VALUE"""),41335.99861111111)</f>
        <v>41335.99861</v>
      </c>
      <c r="B1023" s="1">
        <f>IFERROR(__xludf.DUMMYFUNCTION("""COMPUTED_VALUE"""),103.09404)</f>
        <v>103.09404</v>
      </c>
    </row>
    <row r="1024">
      <c r="A1024" s="3">
        <f>IFERROR(__xludf.DUMMYFUNCTION("""COMPUTED_VALUE"""),41336.99861111111)</f>
        <v>41336.99861</v>
      </c>
      <c r="B1024" s="1">
        <f>IFERROR(__xludf.DUMMYFUNCTION("""COMPUTED_VALUE"""),102.7570905)</f>
        <v>102.7570905</v>
      </c>
    </row>
    <row r="1025">
      <c r="A1025" s="3">
        <f>IFERROR(__xludf.DUMMYFUNCTION("""COMPUTED_VALUE"""),41337.99861111111)</f>
        <v>41337.99861</v>
      </c>
      <c r="B1025" s="1">
        <f>IFERROR(__xludf.DUMMYFUNCTION("""COMPUTED_VALUE"""),103.54925)</f>
        <v>103.54925</v>
      </c>
    </row>
    <row r="1026">
      <c r="A1026" s="3">
        <f>IFERROR(__xludf.DUMMYFUNCTION("""COMPUTED_VALUE"""),41338.99861111111)</f>
        <v>41338.99861</v>
      </c>
      <c r="B1026" s="1">
        <f>IFERROR(__xludf.DUMMYFUNCTION("""COMPUTED_VALUE"""),103.595936)</f>
        <v>103.595936</v>
      </c>
    </row>
    <row r="1027">
      <c r="A1027" s="3">
        <f>IFERROR(__xludf.DUMMYFUNCTION("""COMPUTED_VALUE"""),41339.99861111111)</f>
        <v>41339.99861</v>
      </c>
      <c r="B1027" s="1">
        <f>IFERROR(__xludf.DUMMYFUNCTION("""COMPUTED_VALUE"""),102.769632)</f>
        <v>102.769632</v>
      </c>
    </row>
    <row r="1028">
      <c r="A1028" s="3">
        <f>IFERROR(__xludf.DUMMYFUNCTION("""COMPUTED_VALUE"""),41340.99861111111)</f>
        <v>41340.99861</v>
      </c>
      <c r="B1028" s="1">
        <f>IFERROR(__xludf.DUMMYFUNCTION("""COMPUTED_VALUE"""),101.664228)</f>
        <v>101.664228</v>
      </c>
    </row>
    <row r="1029">
      <c r="A1029" s="3">
        <f>IFERROR(__xludf.DUMMYFUNCTION("""COMPUTED_VALUE"""),41341.99861111111)</f>
        <v>41341.99861</v>
      </c>
      <c r="B1029" s="1">
        <f>IFERROR(__xludf.DUMMYFUNCTION("""COMPUTED_VALUE"""),100.465869)</f>
        <v>100.465869</v>
      </c>
    </row>
    <row r="1030">
      <c r="A1030" s="3">
        <f>IFERROR(__xludf.DUMMYFUNCTION("""COMPUTED_VALUE"""),41342.99861111111)</f>
        <v>41342.99861</v>
      </c>
      <c r="B1030" s="1">
        <f>IFERROR(__xludf.DUMMYFUNCTION("""COMPUTED_VALUE"""),100.457541)</f>
        <v>100.457541</v>
      </c>
    </row>
    <row r="1031">
      <c r="A1031" s="3">
        <f>IFERROR(__xludf.DUMMYFUNCTION("""COMPUTED_VALUE"""),41343.99861111111)</f>
        <v>41343.99861</v>
      </c>
      <c r="B1031" s="1">
        <f>IFERROR(__xludf.DUMMYFUNCTION("""COMPUTED_VALUE"""),99.96948)</f>
        <v>99.96948</v>
      </c>
    </row>
    <row r="1032">
      <c r="A1032" s="3">
        <f>IFERROR(__xludf.DUMMYFUNCTION("""COMPUTED_VALUE"""),41344.99861111111)</f>
        <v>41344.99861</v>
      </c>
      <c r="B1032" s="1">
        <f>IFERROR(__xludf.DUMMYFUNCTION("""COMPUTED_VALUE"""),100.07001)</f>
        <v>100.07001</v>
      </c>
    </row>
    <row r="1033">
      <c r="A1033" s="3">
        <f>IFERROR(__xludf.DUMMYFUNCTION("""COMPUTED_VALUE"""),41345.99861111111)</f>
        <v>41345.99861</v>
      </c>
      <c r="B1033" s="1">
        <f>IFERROR(__xludf.DUMMYFUNCTION("""COMPUTED_VALUE"""),100.93392)</f>
        <v>100.93392</v>
      </c>
    </row>
    <row r="1034">
      <c r="A1034" s="3">
        <f>IFERROR(__xludf.DUMMYFUNCTION("""COMPUTED_VALUE"""),41346.99861111111)</f>
        <v>41346.99861</v>
      </c>
      <c r="B1034" s="1">
        <f>IFERROR(__xludf.DUMMYFUNCTION("""COMPUTED_VALUE"""),100.579338)</f>
        <v>100.579338</v>
      </c>
    </row>
    <row r="1035">
      <c r="A1035" s="3">
        <f>IFERROR(__xludf.DUMMYFUNCTION("""COMPUTED_VALUE"""),41347.99861111111)</f>
        <v>41347.99861</v>
      </c>
      <c r="B1035" s="1">
        <f>IFERROR(__xludf.DUMMYFUNCTION("""COMPUTED_VALUE"""),100.700094)</f>
        <v>100.700094</v>
      </c>
    </row>
    <row r="1036">
      <c r="A1036" s="3">
        <f>IFERROR(__xludf.DUMMYFUNCTION("""COMPUTED_VALUE"""),41348.99861111111)</f>
        <v>41348.99861</v>
      </c>
      <c r="B1036" s="1">
        <f>IFERROR(__xludf.DUMMYFUNCTION("""COMPUTED_VALUE"""),101.525367)</f>
        <v>101.525367</v>
      </c>
    </row>
    <row r="1037">
      <c r="A1037" s="3">
        <f>IFERROR(__xludf.DUMMYFUNCTION("""COMPUTED_VALUE"""),41349.99861111111)</f>
        <v>41349.99861</v>
      </c>
      <c r="B1037" s="1">
        <f>IFERROR(__xludf.DUMMYFUNCTION("""COMPUTED_VALUE"""),101.499142)</f>
        <v>101.499142</v>
      </c>
    </row>
    <row r="1038">
      <c r="A1038" s="3">
        <f>IFERROR(__xludf.DUMMYFUNCTION("""COMPUTED_VALUE"""),41350.99861111111)</f>
        <v>41350.99861</v>
      </c>
      <c r="B1038" s="1">
        <f>IFERROR(__xludf.DUMMYFUNCTION("""COMPUTED_VALUE"""),102.6290129)</f>
        <v>102.6290129</v>
      </c>
    </row>
    <row r="1039">
      <c r="A1039" s="3">
        <f>IFERROR(__xludf.DUMMYFUNCTION("""COMPUTED_VALUE"""),41351.99861111111)</f>
        <v>41351.99861</v>
      </c>
      <c r="B1039" s="1">
        <f>IFERROR(__xludf.DUMMYFUNCTION("""COMPUTED_VALUE"""),101.56418)</f>
        <v>101.56418</v>
      </c>
    </row>
    <row r="1040">
      <c r="A1040" s="3">
        <f>IFERROR(__xludf.DUMMYFUNCTION("""COMPUTED_VALUE"""),41352.99861111111)</f>
        <v>41352.99861</v>
      </c>
      <c r="B1040" s="1">
        <f>IFERROR(__xludf.DUMMYFUNCTION("""COMPUTED_VALUE"""),101.862004)</f>
        <v>101.862004</v>
      </c>
    </row>
    <row r="1041">
      <c r="A1041" s="3">
        <f>IFERROR(__xludf.DUMMYFUNCTION("""COMPUTED_VALUE"""),41353.99861111111)</f>
        <v>41353.99861</v>
      </c>
      <c r="B1041" s="1">
        <f>IFERROR(__xludf.DUMMYFUNCTION("""COMPUTED_VALUE"""),101.023984)</f>
        <v>101.023984</v>
      </c>
    </row>
    <row r="1042">
      <c r="A1042" s="3">
        <f>IFERROR(__xludf.DUMMYFUNCTION("""COMPUTED_VALUE"""),41354.99861111111)</f>
        <v>41354.99861</v>
      </c>
      <c r="B1042" s="1">
        <f>IFERROR(__xludf.DUMMYFUNCTION("""COMPUTED_VALUE"""),102.174696)</f>
        <v>102.174696</v>
      </c>
    </row>
    <row r="1043">
      <c r="A1043" s="3">
        <f>IFERROR(__xludf.DUMMYFUNCTION("""COMPUTED_VALUE"""),41355.99861111111)</f>
        <v>41355.99861</v>
      </c>
      <c r="B1043" s="1">
        <f>IFERROR(__xludf.DUMMYFUNCTION("""COMPUTED_VALUE"""),102.769888)</f>
        <v>102.769888</v>
      </c>
    </row>
    <row r="1044">
      <c r="A1044" s="3">
        <f>IFERROR(__xludf.DUMMYFUNCTION("""COMPUTED_VALUE"""),41356.99861111111)</f>
        <v>41356.99861</v>
      </c>
      <c r="B1044" s="1">
        <f>IFERROR(__xludf.DUMMYFUNCTION("""COMPUTED_VALUE"""),102.81644)</f>
        <v>102.81644</v>
      </c>
    </row>
    <row r="1045">
      <c r="A1045" s="3">
        <f>IFERROR(__xludf.DUMMYFUNCTION("""COMPUTED_VALUE"""),41357.99861111111)</f>
        <v>41357.99861</v>
      </c>
      <c r="B1045" s="1">
        <f>IFERROR(__xludf.DUMMYFUNCTION("""COMPUTED_VALUE"""),101.315223)</f>
        <v>101.315223</v>
      </c>
    </row>
    <row r="1046">
      <c r="A1046" s="3">
        <f>IFERROR(__xludf.DUMMYFUNCTION("""COMPUTED_VALUE"""),41358.99861111111)</f>
        <v>41358.99861</v>
      </c>
      <c r="B1046" s="1">
        <f>IFERROR(__xludf.DUMMYFUNCTION("""COMPUTED_VALUE"""),103.2612)</f>
        <v>103.2612</v>
      </c>
    </row>
    <row r="1047">
      <c r="A1047" s="3">
        <f>IFERROR(__xludf.DUMMYFUNCTION("""COMPUTED_VALUE"""),41359.99861111111)</f>
        <v>41359.99861</v>
      </c>
      <c r="B1047" s="1">
        <f>IFERROR(__xludf.DUMMYFUNCTION("""COMPUTED_VALUE"""),102.558596)</f>
        <v>102.558596</v>
      </c>
    </row>
    <row r="1048">
      <c r="A1048" s="3">
        <f>IFERROR(__xludf.DUMMYFUNCTION("""COMPUTED_VALUE"""),41360.99861111111)</f>
        <v>41360.99861</v>
      </c>
      <c r="B1048" s="1">
        <f>IFERROR(__xludf.DUMMYFUNCTION("""COMPUTED_VALUE"""),102.76488)</f>
        <v>102.76488</v>
      </c>
    </row>
    <row r="1049">
      <c r="A1049" s="3">
        <f>IFERROR(__xludf.DUMMYFUNCTION("""COMPUTED_VALUE"""),41361.99861111111)</f>
        <v>41361.99861</v>
      </c>
      <c r="B1049" s="1">
        <f>IFERROR(__xludf.DUMMYFUNCTION("""COMPUTED_VALUE"""),102.892932)</f>
        <v>102.892932</v>
      </c>
    </row>
    <row r="1050">
      <c r="A1050" s="3">
        <f>IFERROR(__xludf.DUMMYFUNCTION("""COMPUTED_VALUE"""),41362.99861111111)</f>
        <v>41362.99861</v>
      </c>
      <c r="B1050" s="1">
        <f>IFERROR(__xludf.DUMMYFUNCTION("""COMPUTED_VALUE"""),102.73663)</f>
        <v>102.73663</v>
      </c>
    </row>
    <row r="1051">
      <c r="A1051" s="3">
        <f>IFERROR(__xludf.DUMMYFUNCTION("""COMPUTED_VALUE"""),41363.99861111111)</f>
        <v>41363.99861</v>
      </c>
      <c r="B1051" s="1">
        <f>IFERROR(__xludf.DUMMYFUNCTION("""COMPUTED_VALUE"""),102.84273)</f>
        <v>102.84273</v>
      </c>
    </row>
    <row r="1052">
      <c r="A1052" s="3">
        <f>IFERROR(__xludf.DUMMYFUNCTION("""COMPUTED_VALUE"""),41364.99861111111)</f>
        <v>41364.99861</v>
      </c>
      <c r="B1052" s="1">
        <f>IFERROR(__xludf.DUMMYFUNCTION("""COMPUTED_VALUE"""),101.89197)</f>
        <v>101.89197</v>
      </c>
    </row>
    <row r="1053">
      <c r="A1053" s="3">
        <f>IFERROR(__xludf.DUMMYFUNCTION("""COMPUTED_VALUE"""),41365.99861111111)</f>
        <v>41365.99861</v>
      </c>
      <c r="B1053" s="1">
        <f>IFERROR(__xludf.DUMMYFUNCTION("""COMPUTED_VALUE"""),104.24195)</f>
        <v>104.24195</v>
      </c>
    </row>
    <row r="1054">
      <c r="A1054" s="3">
        <f>IFERROR(__xludf.DUMMYFUNCTION("""COMPUTED_VALUE"""),41366.99861111111)</f>
        <v>41366.99861</v>
      </c>
      <c r="B1054" s="1">
        <f>IFERROR(__xludf.DUMMYFUNCTION("""COMPUTED_VALUE"""),103.978035)</f>
        <v>103.978035</v>
      </c>
    </row>
    <row r="1055">
      <c r="A1055" s="3">
        <f>IFERROR(__xludf.DUMMYFUNCTION("""COMPUTED_VALUE"""),41367.99861111111)</f>
        <v>41367.99861</v>
      </c>
      <c r="B1055" s="1">
        <f>IFERROR(__xludf.DUMMYFUNCTION("""COMPUTED_VALUE"""),104.465275)</f>
        <v>104.465275</v>
      </c>
    </row>
    <row r="1056">
      <c r="A1056" s="3">
        <f>IFERROR(__xludf.DUMMYFUNCTION("""COMPUTED_VALUE"""),41368.99861111111)</f>
        <v>41368.99861</v>
      </c>
      <c r="B1056" s="1">
        <f>IFERROR(__xludf.DUMMYFUNCTION("""COMPUTED_VALUE"""),100.88841)</f>
        <v>100.88841</v>
      </c>
    </row>
    <row r="1057">
      <c r="A1057" s="3">
        <f>IFERROR(__xludf.DUMMYFUNCTION("""COMPUTED_VALUE"""),41369.99861111111)</f>
        <v>41369.99861</v>
      </c>
      <c r="B1057" s="1">
        <f>IFERROR(__xludf.DUMMYFUNCTION("""COMPUTED_VALUE"""),101.617317)</f>
        <v>101.617317</v>
      </c>
    </row>
    <row r="1058">
      <c r="A1058" s="3">
        <f>IFERROR(__xludf.DUMMYFUNCTION("""COMPUTED_VALUE"""),41370.99861111111)</f>
        <v>41370.99861</v>
      </c>
      <c r="B1058" s="1">
        <f>IFERROR(__xludf.DUMMYFUNCTION("""COMPUTED_VALUE"""),102.2637724)</f>
        <v>102.2637724</v>
      </c>
    </row>
    <row r="1059">
      <c r="A1059" s="3">
        <f>IFERROR(__xludf.DUMMYFUNCTION("""COMPUTED_VALUE"""),41371.99861111111)</f>
        <v>41371.99861</v>
      </c>
      <c r="B1059" s="1">
        <f>IFERROR(__xludf.DUMMYFUNCTION("""COMPUTED_VALUE"""),98.839528)</f>
        <v>98.839528</v>
      </c>
    </row>
    <row r="1060">
      <c r="A1060" s="3">
        <f>IFERROR(__xludf.DUMMYFUNCTION("""COMPUTED_VALUE"""),41372.99861111111)</f>
        <v>41372.99861</v>
      </c>
      <c r="B1060" s="1">
        <f>IFERROR(__xludf.DUMMYFUNCTION("""COMPUTED_VALUE"""),97.587796)</f>
        <v>97.587796</v>
      </c>
    </row>
    <row r="1061">
      <c r="A1061" s="3">
        <f>IFERROR(__xludf.DUMMYFUNCTION("""COMPUTED_VALUE"""),41373.99861111111)</f>
        <v>41373.99861</v>
      </c>
      <c r="B1061" s="1">
        <f>IFERROR(__xludf.DUMMYFUNCTION("""COMPUTED_VALUE"""),97.69032)</f>
        <v>97.69032</v>
      </c>
    </row>
    <row r="1062">
      <c r="A1062" s="3">
        <f>IFERROR(__xludf.DUMMYFUNCTION("""COMPUTED_VALUE"""),41374.99861111111)</f>
        <v>41374.99861</v>
      </c>
      <c r="B1062" s="1">
        <f>IFERROR(__xludf.DUMMYFUNCTION("""COMPUTED_VALUE"""),96.810234)</f>
        <v>96.810234</v>
      </c>
    </row>
    <row r="1063">
      <c r="A1063" s="3">
        <f>IFERROR(__xludf.DUMMYFUNCTION("""COMPUTED_VALUE"""),41375.99861111111)</f>
        <v>41375.99861</v>
      </c>
      <c r="B1063" s="1">
        <f>IFERROR(__xludf.DUMMYFUNCTION("""COMPUTED_VALUE"""),97.039247)</f>
        <v>97.039247</v>
      </c>
    </row>
    <row r="1064">
      <c r="A1064" s="3">
        <f>IFERROR(__xludf.DUMMYFUNCTION("""COMPUTED_VALUE"""),41376.99861111111)</f>
        <v>41376.99861</v>
      </c>
      <c r="B1064" s="1">
        <f>IFERROR(__xludf.DUMMYFUNCTION("""COMPUTED_VALUE"""),98.3996)</f>
        <v>98.3996</v>
      </c>
    </row>
    <row r="1065">
      <c r="A1065" s="3">
        <f>IFERROR(__xludf.DUMMYFUNCTION("""COMPUTED_VALUE"""),41377.99861111111)</f>
        <v>41377.99861</v>
      </c>
      <c r="B1065" s="1">
        <f>IFERROR(__xludf.DUMMYFUNCTION("""COMPUTED_VALUE"""),98.43008)</f>
        <v>98.43008</v>
      </c>
    </row>
    <row r="1066">
      <c r="A1066" s="3">
        <f>IFERROR(__xludf.DUMMYFUNCTION("""COMPUTED_VALUE"""),41378.99861111111)</f>
        <v>41378.99861</v>
      </c>
      <c r="B1066" s="1">
        <f>IFERROR(__xludf.DUMMYFUNCTION("""COMPUTED_VALUE"""),98.38436)</f>
        <v>98.38436</v>
      </c>
    </row>
    <row r="1067">
      <c r="A1067" s="3">
        <f>IFERROR(__xludf.DUMMYFUNCTION("""COMPUTED_VALUE"""),41379.99861111111)</f>
        <v>41379.99861</v>
      </c>
      <c r="B1067" s="1">
        <f>IFERROR(__xludf.DUMMYFUNCTION("""COMPUTED_VALUE"""),99.926496)</f>
        <v>99.926496</v>
      </c>
    </row>
    <row r="1068">
      <c r="A1068" s="3">
        <f>IFERROR(__xludf.DUMMYFUNCTION("""COMPUTED_VALUE"""),41380.99861111111)</f>
        <v>41380.99861</v>
      </c>
      <c r="B1068" s="1">
        <f>IFERROR(__xludf.DUMMYFUNCTION("""COMPUTED_VALUE"""),99.228672)</f>
        <v>99.228672</v>
      </c>
    </row>
    <row r="1069">
      <c r="A1069" s="3">
        <f>IFERROR(__xludf.DUMMYFUNCTION("""COMPUTED_VALUE"""),41381.99861111111)</f>
        <v>41381.99861</v>
      </c>
      <c r="B1069" s="1">
        <f>IFERROR(__xludf.DUMMYFUNCTION("""COMPUTED_VALUE"""),98.76456)</f>
        <v>98.76456</v>
      </c>
    </row>
    <row r="1070">
      <c r="A1070" s="3">
        <f>IFERROR(__xludf.DUMMYFUNCTION("""COMPUTED_VALUE"""),41382.99861111111)</f>
        <v>41382.99861</v>
      </c>
      <c r="B1070" s="1">
        <f>IFERROR(__xludf.DUMMYFUNCTION("""COMPUTED_VALUE"""),98.495433)</f>
        <v>98.495433</v>
      </c>
    </row>
    <row r="1071">
      <c r="A1071" s="3">
        <f>IFERROR(__xludf.DUMMYFUNCTION("""COMPUTED_VALUE"""),41383.99861111111)</f>
        <v>41383.99861</v>
      </c>
      <c r="B1071" s="1">
        <f>IFERROR(__xludf.DUMMYFUNCTION("""COMPUTED_VALUE"""),97.35033)</f>
        <v>97.35033</v>
      </c>
    </row>
    <row r="1072">
      <c r="A1072" s="3">
        <f>IFERROR(__xludf.DUMMYFUNCTION("""COMPUTED_VALUE"""),41384.99861111111)</f>
        <v>41384.99861</v>
      </c>
      <c r="B1072" s="1">
        <f>IFERROR(__xludf.DUMMYFUNCTION("""COMPUTED_VALUE"""),97.9532094)</f>
        <v>97.9532094</v>
      </c>
    </row>
    <row r="1073">
      <c r="A1073" s="3">
        <f>IFERROR(__xludf.DUMMYFUNCTION("""COMPUTED_VALUE"""),41385.99861111111)</f>
        <v>41385.99861</v>
      </c>
      <c r="B1073" s="1">
        <f>IFERROR(__xludf.DUMMYFUNCTION("""COMPUTED_VALUE"""),96.97688)</f>
        <v>96.97688</v>
      </c>
    </row>
    <row r="1074">
      <c r="A1074" s="3">
        <f>IFERROR(__xludf.DUMMYFUNCTION("""COMPUTED_VALUE"""),41386.99861111111)</f>
        <v>41386.99861</v>
      </c>
      <c r="B1074" s="1">
        <f>IFERROR(__xludf.DUMMYFUNCTION("""COMPUTED_VALUE"""),97.573265)</f>
        <v>97.573265</v>
      </c>
    </row>
    <row r="1075">
      <c r="A1075" s="3">
        <f>IFERROR(__xludf.DUMMYFUNCTION("""COMPUTED_VALUE"""),41387.99861111111)</f>
        <v>41387.99861</v>
      </c>
      <c r="B1075" s="1">
        <f>IFERROR(__xludf.DUMMYFUNCTION("""COMPUTED_VALUE"""),97.528682)</f>
        <v>97.528682</v>
      </c>
    </row>
    <row r="1076">
      <c r="A1076" s="3">
        <f>IFERROR(__xludf.DUMMYFUNCTION("""COMPUTED_VALUE"""),41388.99861111111)</f>
        <v>41388.99861</v>
      </c>
      <c r="B1076" s="1">
        <f>IFERROR(__xludf.DUMMYFUNCTION("""COMPUTED_VALUE"""),97.37244)</f>
        <v>97.37244</v>
      </c>
    </row>
    <row r="1077">
      <c r="A1077" s="3">
        <f>IFERROR(__xludf.DUMMYFUNCTION("""COMPUTED_VALUE"""),41389.99861111111)</f>
        <v>41389.99861</v>
      </c>
      <c r="B1077" s="1">
        <f>IFERROR(__xludf.DUMMYFUNCTION("""COMPUTED_VALUE"""),97.478382)</f>
        <v>97.478382</v>
      </c>
    </row>
    <row r="1078">
      <c r="A1078" s="3">
        <f>IFERROR(__xludf.DUMMYFUNCTION("""COMPUTED_VALUE"""),41390.99861111111)</f>
        <v>41390.99861</v>
      </c>
      <c r="B1078" s="1">
        <f>IFERROR(__xludf.DUMMYFUNCTION("""COMPUTED_VALUE"""),98.8992)</f>
        <v>98.8992</v>
      </c>
    </row>
    <row r="1079">
      <c r="A1079" s="3">
        <f>IFERROR(__xludf.DUMMYFUNCTION("""COMPUTED_VALUE"""),41391.99861111111)</f>
        <v>41391.99861</v>
      </c>
      <c r="B1079" s="1">
        <f>IFERROR(__xludf.DUMMYFUNCTION("""COMPUTED_VALUE"""),98.86044)</f>
        <v>98.86044</v>
      </c>
    </row>
    <row r="1080">
      <c r="A1080" s="3">
        <f>IFERROR(__xludf.DUMMYFUNCTION("""COMPUTED_VALUE"""),41392.99861111111)</f>
        <v>41392.99861</v>
      </c>
      <c r="B1080" s="1">
        <f>IFERROR(__xludf.DUMMYFUNCTION("""COMPUTED_VALUE"""),98.1431145)</f>
        <v>98.1431145</v>
      </c>
    </row>
    <row r="1081">
      <c r="A1081" s="3">
        <f>IFERROR(__xludf.DUMMYFUNCTION("""COMPUTED_VALUE"""),41393.99861111111)</f>
        <v>41393.99861</v>
      </c>
      <c r="B1081" s="1">
        <f>IFERROR(__xludf.DUMMYFUNCTION("""COMPUTED_VALUE"""),98.949194)</f>
        <v>98.949194</v>
      </c>
    </row>
    <row r="1082">
      <c r="A1082" s="3">
        <f>IFERROR(__xludf.DUMMYFUNCTION("""COMPUTED_VALUE"""),41394.99861111111)</f>
        <v>41394.99861</v>
      </c>
      <c r="B1082" s="1">
        <f>IFERROR(__xludf.DUMMYFUNCTION("""COMPUTED_VALUE"""),99.459414)</f>
        <v>99.459414</v>
      </c>
    </row>
    <row r="1083">
      <c r="A1083" s="3">
        <f>IFERROR(__xludf.DUMMYFUNCTION("""COMPUTED_VALUE"""),41395.99861111111)</f>
        <v>41395.99861</v>
      </c>
      <c r="B1083" s="1">
        <f>IFERROR(__xludf.DUMMYFUNCTION("""COMPUTED_VALUE"""),99.554299)</f>
        <v>99.554299</v>
      </c>
    </row>
    <row r="1084">
      <c r="A1084" s="3">
        <f>IFERROR(__xludf.DUMMYFUNCTION("""COMPUTED_VALUE"""),41396.99861111111)</f>
        <v>41396.99861</v>
      </c>
      <c r="B1084" s="1">
        <f>IFERROR(__xludf.DUMMYFUNCTION("""COMPUTED_VALUE"""),99.132974)</f>
        <v>99.132974</v>
      </c>
    </row>
    <row r="1085">
      <c r="A1085" s="3">
        <f>IFERROR(__xludf.DUMMYFUNCTION("""COMPUTED_VALUE"""),41397.99861111111)</f>
        <v>41397.99861</v>
      </c>
      <c r="B1085" s="1">
        <f>IFERROR(__xludf.DUMMYFUNCTION("""COMPUTED_VALUE"""),98.01242)</f>
        <v>98.01242</v>
      </c>
    </row>
    <row r="1086">
      <c r="A1086" s="3">
        <f>IFERROR(__xludf.DUMMYFUNCTION("""COMPUTED_VALUE"""),41398.99861111111)</f>
        <v>41398.99861</v>
      </c>
      <c r="B1086" s="1">
        <f>IFERROR(__xludf.DUMMYFUNCTION("""COMPUTED_VALUE"""),98.071)</f>
        <v>98.071</v>
      </c>
    </row>
    <row r="1087">
      <c r="A1087" s="3">
        <f>IFERROR(__xludf.DUMMYFUNCTION("""COMPUTED_VALUE"""),41399.99861111111)</f>
        <v>41399.99861</v>
      </c>
      <c r="B1087" s="1">
        <f>IFERROR(__xludf.DUMMYFUNCTION("""COMPUTED_VALUE"""),96.893496)</f>
        <v>96.893496</v>
      </c>
    </row>
    <row r="1088">
      <c r="A1088" s="3">
        <f>IFERROR(__xludf.DUMMYFUNCTION("""COMPUTED_VALUE"""),41400.99861111111)</f>
        <v>41400.99861</v>
      </c>
      <c r="B1088" s="1">
        <f>IFERROR(__xludf.DUMMYFUNCTION("""COMPUTED_VALUE"""),97.63733)</f>
        <v>97.63733</v>
      </c>
    </row>
    <row r="1089">
      <c r="A1089" s="3">
        <f>IFERROR(__xludf.DUMMYFUNCTION("""COMPUTED_VALUE"""),41401.99861111111)</f>
        <v>41401.99861</v>
      </c>
      <c r="B1089" s="1">
        <f>IFERROR(__xludf.DUMMYFUNCTION("""COMPUTED_VALUE"""),98.231804)</f>
        <v>98.231804</v>
      </c>
    </row>
    <row r="1090">
      <c r="A1090" s="3">
        <f>IFERROR(__xludf.DUMMYFUNCTION("""COMPUTED_VALUE"""),41402.99861111111)</f>
        <v>41402.99861</v>
      </c>
      <c r="B1090" s="1">
        <f>IFERROR(__xludf.DUMMYFUNCTION("""COMPUTED_VALUE"""),98.11755)</f>
        <v>98.11755</v>
      </c>
    </row>
    <row r="1091">
      <c r="A1091" s="3">
        <f>IFERROR(__xludf.DUMMYFUNCTION("""COMPUTED_VALUE"""),41403.99861111111)</f>
        <v>41403.99861</v>
      </c>
      <c r="B1091" s="1">
        <f>IFERROR(__xludf.DUMMYFUNCTION("""COMPUTED_VALUE"""),96.329937)</f>
        <v>96.329937</v>
      </c>
    </row>
    <row r="1092">
      <c r="A1092" s="3">
        <f>IFERROR(__xludf.DUMMYFUNCTION("""COMPUTED_VALUE"""),41404.99861111111)</f>
        <v>41404.99861</v>
      </c>
      <c r="B1092" s="1">
        <f>IFERROR(__xludf.DUMMYFUNCTION("""COMPUTED_VALUE"""),95.53656)</f>
        <v>95.53656</v>
      </c>
    </row>
    <row r="1093">
      <c r="A1093" s="3">
        <f>IFERROR(__xludf.DUMMYFUNCTION("""COMPUTED_VALUE"""),41405.99861111111)</f>
        <v>41405.99861</v>
      </c>
      <c r="B1093" s="1">
        <f>IFERROR(__xludf.DUMMYFUNCTION("""COMPUTED_VALUE"""),95.53656)</f>
        <v>95.53656</v>
      </c>
    </row>
    <row r="1094">
      <c r="A1094" s="3">
        <f>IFERROR(__xludf.DUMMYFUNCTION("""COMPUTED_VALUE"""),41406.99861111111)</f>
        <v>41406.99861</v>
      </c>
      <c r="B1094" s="1">
        <f>IFERROR(__xludf.DUMMYFUNCTION("""COMPUTED_VALUE"""),95.80487254)</f>
        <v>95.80487254</v>
      </c>
    </row>
    <row r="1095">
      <c r="A1095" s="3">
        <f>IFERROR(__xludf.DUMMYFUNCTION("""COMPUTED_VALUE"""),41407.99861111111)</f>
        <v>41407.99861</v>
      </c>
      <c r="B1095" s="1">
        <f>IFERROR(__xludf.DUMMYFUNCTION("""COMPUTED_VALUE"""),95.340416)</f>
        <v>95.340416</v>
      </c>
    </row>
    <row r="1096">
      <c r="A1096" s="3">
        <f>IFERROR(__xludf.DUMMYFUNCTION("""COMPUTED_VALUE"""),41408.99861111111)</f>
        <v>41408.99861</v>
      </c>
      <c r="B1096" s="1">
        <f>IFERROR(__xludf.DUMMYFUNCTION("""COMPUTED_VALUE"""),94.940328)</f>
        <v>94.940328</v>
      </c>
    </row>
    <row r="1097">
      <c r="A1097" s="3">
        <f>IFERROR(__xludf.DUMMYFUNCTION("""COMPUTED_VALUE"""),41409.99861111111)</f>
        <v>41409.99861</v>
      </c>
      <c r="B1097" s="1">
        <f>IFERROR(__xludf.DUMMYFUNCTION("""COMPUTED_VALUE"""),95.043996)</f>
        <v>95.043996</v>
      </c>
    </row>
    <row r="1098">
      <c r="A1098" s="3">
        <f>IFERROR(__xludf.DUMMYFUNCTION("""COMPUTED_VALUE"""),41410.99861111111)</f>
        <v>41410.99861</v>
      </c>
      <c r="B1098" s="1">
        <f>IFERROR(__xludf.DUMMYFUNCTION("""COMPUTED_VALUE"""),95.072358)</f>
        <v>95.072358</v>
      </c>
    </row>
    <row r="1099">
      <c r="A1099" s="3">
        <f>IFERROR(__xludf.DUMMYFUNCTION("""COMPUTED_VALUE"""),41411.99861111111)</f>
        <v>41411.99861</v>
      </c>
      <c r="B1099" s="1">
        <f>IFERROR(__xludf.DUMMYFUNCTION("""COMPUTED_VALUE"""),94.19608)</f>
        <v>94.19608</v>
      </c>
    </row>
    <row r="1100">
      <c r="A1100" s="3">
        <f>IFERROR(__xludf.DUMMYFUNCTION("""COMPUTED_VALUE"""),41412.99861111111)</f>
        <v>41412.99861</v>
      </c>
      <c r="B1100" s="1">
        <f>IFERROR(__xludf.DUMMYFUNCTION("""COMPUTED_VALUE"""),94.19608)</f>
        <v>94.19608</v>
      </c>
    </row>
    <row r="1101">
      <c r="A1101" s="3">
        <f>IFERROR(__xludf.DUMMYFUNCTION("""COMPUTED_VALUE"""),41413.99861111111)</f>
        <v>41413.99861</v>
      </c>
      <c r="B1101" s="1">
        <f>IFERROR(__xludf.DUMMYFUNCTION("""COMPUTED_VALUE"""),94.58532)</f>
        <v>94.58532</v>
      </c>
    </row>
    <row r="1102">
      <c r="A1102" s="3">
        <f>IFERROR(__xludf.DUMMYFUNCTION("""COMPUTED_VALUE"""),41414.99861111111)</f>
        <v>41414.99861</v>
      </c>
      <c r="B1102" s="1">
        <f>IFERROR(__xludf.DUMMYFUNCTION("""COMPUTED_VALUE"""),95.247889)</f>
        <v>95.247889</v>
      </c>
    </row>
    <row r="1103">
      <c r="A1103" s="3">
        <f>IFERROR(__xludf.DUMMYFUNCTION("""COMPUTED_VALUE"""),41415.99861111111)</f>
        <v>41415.99861</v>
      </c>
      <c r="B1103" s="1">
        <f>IFERROR(__xludf.DUMMYFUNCTION("""COMPUTED_VALUE"""),95.004816)</f>
        <v>95.004816</v>
      </c>
    </row>
    <row r="1104">
      <c r="A1104" s="3">
        <f>IFERROR(__xludf.DUMMYFUNCTION("""COMPUTED_VALUE"""),41416.99861111111)</f>
        <v>41416.99861</v>
      </c>
      <c r="B1104" s="1">
        <f>IFERROR(__xludf.DUMMYFUNCTION("""COMPUTED_VALUE"""),94.344747)</f>
        <v>94.344747</v>
      </c>
    </row>
    <row r="1105">
      <c r="A1105" s="3">
        <f>IFERROR(__xludf.DUMMYFUNCTION("""COMPUTED_VALUE"""),41417.99861111111)</f>
        <v>41417.99861</v>
      </c>
      <c r="B1105" s="1">
        <f>IFERROR(__xludf.DUMMYFUNCTION("""COMPUTED_VALUE"""),95.47748)</f>
        <v>95.47748</v>
      </c>
    </row>
    <row r="1106">
      <c r="A1106" s="3">
        <f>IFERROR(__xludf.DUMMYFUNCTION("""COMPUTED_VALUE"""),41418.99861111111)</f>
        <v>41418.99861</v>
      </c>
      <c r="B1106" s="1">
        <f>IFERROR(__xludf.DUMMYFUNCTION("""COMPUTED_VALUE"""),96.21276)</f>
        <v>96.21276</v>
      </c>
    </row>
    <row r="1107">
      <c r="A1107" s="3">
        <f>IFERROR(__xludf.DUMMYFUNCTION("""COMPUTED_VALUE"""),41419.99861111111)</f>
        <v>41419.99861</v>
      </c>
      <c r="B1107" s="1">
        <f>IFERROR(__xludf.DUMMYFUNCTION("""COMPUTED_VALUE"""),96.17328)</f>
        <v>96.17328</v>
      </c>
    </row>
    <row r="1108">
      <c r="A1108" s="3">
        <f>IFERROR(__xludf.DUMMYFUNCTION("""COMPUTED_VALUE"""),41420.99861111111)</f>
        <v>41420.99861</v>
      </c>
      <c r="B1108" s="1">
        <f>IFERROR(__xludf.DUMMYFUNCTION("""COMPUTED_VALUE"""),96.86273948)</f>
        <v>96.86273948</v>
      </c>
    </row>
    <row r="1109">
      <c r="A1109" s="3">
        <f>IFERROR(__xludf.DUMMYFUNCTION("""COMPUTED_VALUE"""),41421.99861111111)</f>
        <v>41421.99861</v>
      </c>
      <c r="B1109" s="1">
        <f>IFERROR(__xludf.DUMMYFUNCTION("""COMPUTED_VALUE"""),96.533323)</f>
        <v>96.533323</v>
      </c>
    </row>
    <row r="1110">
      <c r="A1110" s="3">
        <f>IFERROR(__xludf.DUMMYFUNCTION("""COMPUTED_VALUE"""),41422.99861111111)</f>
        <v>41422.99861</v>
      </c>
      <c r="B1110" s="1">
        <f>IFERROR(__xludf.DUMMYFUNCTION("""COMPUTED_VALUE"""),95.488008)</f>
        <v>95.488008</v>
      </c>
    </row>
    <row r="1111">
      <c r="A1111" s="3">
        <f>IFERROR(__xludf.DUMMYFUNCTION("""COMPUTED_VALUE"""),41423.99861111111)</f>
        <v>41423.99861</v>
      </c>
      <c r="B1111" s="1">
        <f>IFERROR(__xludf.DUMMYFUNCTION("""COMPUTED_VALUE"""),96.652992)</f>
        <v>96.652992</v>
      </c>
    </row>
    <row r="1112">
      <c r="A1112" s="3">
        <f>IFERROR(__xludf.DUMMYFUNCTION("""COMPUTED_VALUE"""),41424.99861111111)</f>
        <v>41424.99861</v>
      </c>
      <c r="B1112" s="1">
        <f>IFERROR(__xludf.DUMMYFUNCTION("""COMPUTED_VALUE"""),96.78537)</f>
        <v>96.78537</v>
      </c>
    </row>
    <row r="1113">
      <c r="A1113" s="3">
        <f>IFERROR(__xludf.DUMMYFUNCTION("""COMPUTED_VALUE"""),41425.99861111111)</f>
        <v>41425.99861</v>
      </c>
      <c r="B1113" s="1">
        <f>IFERROR(__xludf.DUMMYFUNCTION("""COMPUTED_VALUE"""),97.2115)</f>
        <v>97.2115</v>
      </c>
    </row>
    <row r="1114">
      <c r="A1114" s="3">
        <f>IFERROR(__xludf.DUMMYFUNCTION("""COMPUTED_VALUE"""),41426.99861111111)</f>
        <v>41426.99861</v>
      </c>
      <c r="B1114" s="1">
        <f>IFERROR(__xludf.DUMMYFUNCTION("""COMPUTED_VALUE"""),97.7406609)</f>
        <v>97.7406609</v>
      </c>
    </row>
    <row r="1115">
      <c r="A1115" s="3">
        <f>IFERROR(__xludf.DUMMYFUNCTION("""COMPUTED_VALUE"""),41427.99861111111)</f>
        <v>41427.99861</v>
      </c>
      <c r="B1115" s="1">
        <f>IFERROR(__xludf.DUMMYFUNCTION("""COMPUTED_VALUE"""),95.547753)</f>
        <v>95.547753</v>
      </c>
    </row>
    <row r="1116">
      <c r="A1116" s="3">
        <f>IFERROR(__xludf.DUMMYFUNCTION("""COMPUTED_VALUE"""),41428.99861111111)</f>
        <v>41428.99861</v>
      </c>
      <c r="B1116" s="1">
        <f>IFERROR(__xludf.DUMMYFUNCTION("""COMPUTED_VALUE"""),98.25081)</f>
        <v>98.25081</v>
      </c>
    </row>
    <row r="1117">
      <c r="A1117" s="3">
        <f>IFERROR(__xludf.DUMMYFUNCTION("""COMPUTED_VALUE"""),41429.99861111111)</f>
        <v>41429.99861</v>
      </c>
      <c r="B1117" s="1">
        <f>IFERROR(__xludf.DUMMYFUNCTION("""COMPUTED_VALUE"""),97.5018153)</f>
        <v>97.5018153</v>
      </c>
    </row>
    <row r="1118">
      <c r="A1118" s="3">
        <f>IFERROR(__xludf.DUMMYFUNCTION("""COMPUTED_VALUE"""),41430.99861111111)</f>
        <v>41430.99861</v>
      </c>
      <c r="B1118" s="1">
        <f>IFERROR(__xludf.DUMMYFUNCTION("""COMPUTED_VALUE"""),98.4689315)</f>
        <v>98.4689315</v>
      </c>
    </row>
    <row r="1119">
      <c r="A1119" s="3">
        <f>IFERROR(__xludf.DUMMYFUNCTION("""COMPUTED_VALUE"""),41431.99861111111)</f>
        <v>41431.99861</v>
      </c>
      <c r="B1119" s="1">
        <f>IFERROR(__xludf.DUMMYFUNCTION("""COMPUTED_VALUE"""),100.3826559)</f>
        <v>100.3826559</v>
      </c>
    </row>
    <row r="1120">
      <c r="A1120" s="3">
        <f>IFERROR(__xludf.DUMMYFUNCTION("""COMPUTED_VALUE"""),41432.99861111111)</f>
        <v>41432.99861</v>
      </c>
      <c r="B1120" s="1">
        <f>IFERROR(__xludf.DUMMYFUNCTION("""COMPUTED_VALUE"""),100.245)</f>
        <v>100.245</v>
      </c>
    </row>
    <row r="1121">
      <c r="A1121" s="3">
        <f>IFERROR(__xludf.DUMMYFUNCTION("""COMPUTED_VALUE"""),41433.99861111111)</f>
        <v>41433.99861</v>
      </c>
      <c r="B1121" s="1">
        <f>IFERROR(__xludf.DUMMYFUNCTION("""COMPUTED_VALUE"""),100.662175)</f>
        <v>100.662175</v>
      </c>
    </row>
    <row r="1122">
      <c r="A1122" s="3">
        <f>IFERROR(__xludf.DUMMYFUNCTION("""COMPUTED_VALUE"""),41434.99861111111)</f>
        <v>41434.99861</v>
      </c>
      <c r="B1122" s="1">
        <f>IFERROR(__xludf.DUMMYFUNCTION("""COMPUTED_VALUE"""),99.4626)</f>
        <v>99.4626</v>
      </c>
    </row>
    <row r="1123">
      <c r="A1123" s="3">
        <f>IFERROR(__xludf.DUMMYFUNCTION("""COMPUTED_VALUE"""),41435.99861111111)</f>
        <v>41435.99861</v>
      </c>
      <c r="B1123" s="1">
        <f>IFERROR(__xludf.DUMMYFUNCTION("""COMPUTED_VALUE"""),98.918262)</f>
        <v>98.918262</v>
      </c>
    </row>
    <row r="1124">
      <c r="A1124" s="3">
        <f>IFERROR(__xludf.DUMMYFUNCTION("""COMPUTED_VALUE"""),41436.99861111111)</f>
        <v>41436.99861</v>
      </c>
      <c r="B1124" s="1">
        <f>IFERROR(__xludf.DUMMYFUNCTION("""COMPUTED_VALUE"""),101.8429335)</f>
        <v>101.8429335</v>
      </c>
    </row>
    <row r="1125">
      <c r="A1125" s="3">
        <f>IFERROR(__xludf.DUMMYFUNCTION("""COMPUTED_VALUE"""),41437.99861111111)</f>
        <v>41437.99861</v>
      </c>
      <c r="B1125" s="1">
        <f>IFERROR(__xludf.DUMMYFUNCTION("""COMPUTED_VALUE"""),102.442146)</f>
        <v>102.442146</v>
      </c>
    </row>
    <row r="1126">
      <c r="A1126" s="3">
        <f>IFERROR(__xludf.DUMMYFUNCTION("""COMPUTED_VALUE"""),41438.99861111111)</f>
        <v>41438.99861</v>
      </c>
      <c r="B1126" s="1">
        <f>IFERROR(__xludf.DUMMYFUNCTION("""COMPUTED_VALUE"""),103.176615)</f>
        <v>103.176615</v>
      </c>
    </row>
    <row r="1127">
      <c r="A1127" s="3">
        <f>IFERROR(__xludf.DUMMYFUNCTION("""COMPUTED_VALUE"""),41439.99861111111)</f>
        <v>41439.99861</v>
      </c>
      <c r="B1127" s="1">
        <f>IFERROR(__xludf.DUMMYFUNCTION("""COMPUTED_VALUE"""),104.58576)</f>
        <v>104.58576</v>
      </c>
    </row>
    <row r="1128">
      <c r="A1128" s="3">
        <f>IFERROR(__xludf.DUMMYFUNCTION("""COMPUTED_VALUE"""),41440.99861111111)</f>
        <v>41440.99861</v>
      </c>
      <c r="B1128" s="1">
        <f>IFERROR(__xludf.DUMMYFUNCTION("""COMPUTED_VALUE"""),103.654193)</f>
        <v>103.654193</v>
      </c>
    </row>
    <row r="1129">
      <c r="A1129" s="3">
        <f>IFERROR(__xludf.DUMMYFUNCTION("""COMPUTED_VALUE"""),41441.99861111111)</f>
        <v>41441.99861</v>
      </c>
      <c r="B1129" s="1">
        <f>IFERROR(__xludf.DUMMYFUNCTION("""COMPUTED_VALUE"""),101.9880945)</f>
        <v>101.9880945</v>
      </c>
    </row>
    <row r="1130">
      <c r="A1130" s="3">
        <f>IFERROR(__xludf.DUMMYFUNCTION("""COMPUTED_VALUE"""),41442.99861111111)</f>
        <v>41442.99861</v>
      </c>
      <c r="B1130" s="1">
        <f>IFERROR(__xludf.DUMMYFUNCTION("""COMPUTED_VALUE"""),104.122656)</f>
        <v>104.122656</v>
      </c>
    </row>
    <row r="1131">
      <c r="A1131" s="3">
        <f>IFERROR(__xludf.DUMMYFUNCTION("""COMPUTED_VALUE"""),41443.99861111111)</f>
        <v>41443.99861</v>
      </c>
      <c r="B1131" s="1">
        <f>IFERROR(__xludf.DUMMYFUNCTION("""COMPUTED_VALUE"""),103.3846524)</f>
        <v>103.3846524</v>
      </c>
    </row>
    <row r="1132">
      <c r="A1132" s="3">
        <f>IFERROR(__xludf.DUMMYFUNCTION("""COMPUTED_VALUE"""),41444.99861111111)</f>
        <v>41444.99861</v>
      </c>
      <c r="B1132" s="1">
        <f>IFERROR(__xludf.DUMMYFUNCTION("""COMPUTED_VALUE"""),102.2304294)</f>
        <v>102.2304294</v>
      </c>
    </row>
    <row r="1133">
      <c r="A1133" s="3">
        <f>IFERROR(__xludf.DUMMYFUNCTION("""COMPUTED_VALUE"""),41445.99861111111)</f>
        <v>41445.99861</v>
      </c>
      <c r="B1133" s="1">
        <f>IFERROR(__xludf.DUMMYFUNCTION("""COMPUTED_VALUE"""),101.794759)</f>
        <v>101.794759</v>
      </c>
    </row>
    <row r="1134">
      <c r="A1134" s="3">
        <f>IFERROR(__xludf.DUMMYFUNCTION("""COMPUTED_VALUE"""),41446.99861111111)</f>
        <v>41446.99861</v>
      </c>
      <c r="B1134" s="1">
        <f>IFERROR(__xludf.DUMMYFUNCTION("""COMPUTED_VALUE"""),101.2832)</f>
        <v>101.2832</v>
      </c>
    </row>
    <row r="1135">
      <c r="A1135" s="3">
        <f>IFERROR(__xludf.DUMMYFUNCTION("""COMPUTED_VALUE"""),41447.99861111111)</f>
        <v>41447.99861</v>
      </c>
      <c r="B1135" s="1">
        <f>IFERROR(__xludf.DUMMYFUNCTION("""COMPUTED_VALUE"""),101.065727)</f>
        <v>101.065727</v>
      </c>
    </row>
    <row r="1136">
      <c r="A1136" s="3">
        <f>IFERROR(__xludf.DUMMYFUNCTION("""COMPUTED_VALUE"""),41448.99861111111)</f>
        <v>41448.99861</v>
      </c>
      <c r="B1136" s="1">
        <f>IFERROR(__xludf.DUMMYFUNCTION("""COMPUTED_VALUE"""),97.7586165)</f>
        <v>97.7586165</v>
      </c>
    </row>
    <row r="1137">
      <c r="A1137" s="3">
        <f>IFERROR(__xludf.DUMMYFUNCTION("""COMPUTED_VALUE"""),41449.99861111111)</f>
        <v>41449.99861</v>
      </c>
      <c r="B1137" s="1">
        <f>IFERROR(__xludf.DUMMYFUNCTION("""COMPUTED_VALUE"""),101.4538428)</f>
        <v>101.4538428</v>
      </c>
    </row>
    <row r="1138">
      <c r="A1138" s="3">
        <f>IFERROR(__xludf.DUMMYFUNCTION("""COMPUTED_VALUE"""),41450.99861111111)</f>
        <v>41450.99861</v>
      </c>
      <c r="B1138" s="1">
        <f>IFERROR(__xludf.DUMMYFUNCTION("""COMPUTED_VALUE"""),100.79948)</f>
        <v>100.79948</v>
      </c>
    </row>
    <row r="1139">
      <c r="A1139" s="3">
        <f>IFERROR(__xludf.DUMMYFUNCTION("""COMPUTED_VALUE"""),41451.99861111111)</f>
        <v>41451.99861</v>
      </c>
      <c r="B1139" s="1">
        <f>IFERROR(__xludf.DUMMYFUNCTION("""COMPUTED_VALUE"""),101.234034)</f>
        <v>101.234034</v>
      </c>
    </row>
    <row r="1140">
      <c r="A1140" s="3">
        <f>IFERROR(__xludf.DUMMYFUNCTION("""COMPUTED_VALUE"""),41452.99861111111)</f>
        <v>41452.99861</v>
      </c>
      <c r="B1140" s="1">
        <f>IFERROR(__xludf.DUMMYFUNCTION("""COMPUTED_VALUE"""),100.4862716)</f>
        <v>100.4862716</v>
      </c>
    </row>
    <row r="1141">
      <c r="A1141" s="3">
        <f>IFERROR(__xludf.DUMMYFUNCTION("""COMPUTED_VALUE"""),41453.99861111111)</f>
        <v>41453.99861</v>
      </c>
      <c r="B1141" s="1">
        <f>IFERROR(__xludf.DUMMYFUNCTION("""COMPUTED_VALUE"""),99.792)</f>
        <v>99.792</v>
      </c>
    </row>
    <row r="1142">
      <c r="A1142" s="3">
        <f>IFERROR(__xludf.DUMMYFUNCTION("""COMPUTED_VALUE"""),41454.99861111111)</f>
        <v>41454.99861</v>
      </c>
      <c r="B1142" s="1">
        <f>IFERROR(__xludf.DUMMYFUNCTION("""COMPUTED_VALUE"""),99.792)</f>
        <v>99.792</v>
      </c>
    </row>
    <row r="1143">
      <c r="A1143" s="3">
        <f>IFERROR(__xludf.DUMMYFUNCTION("""COMPUTED_VALUE"""),41455.99861111111)</f>
        <v>41455.99861</v>
      </c>
      <c r="B1143" s="1">
        <f>IFERROR(__xludf.DUMMYFUNCTION("""COMPUTED_VALUE"""),96.701247)</f>
        <v>96.701247</v>
      </c>
    </row>
    <row r="1144">
      <c r="A1144" s="3">
        <f>IFERROR(__xludf.DUMMYFUNCTION("""COMPUTED_VALUE"""),41456.99861111111)</f>
        <v>41456.99861</v>
      </c>
      <c r="B1144" s="1">
        <f>IFERROR(__xludf.DUMMYFUNCTION("""COMPUTED_VALUE"""),99.2987424)</f>
        <v>99.2987424</v>
      </c>
    </row>
    <row r="1145">
      <c r="A1145" s="3">
        <f>IFERROR(__xludf.DUMMYFUNCTION("""COMPUTED_VALUE"""),41457.99861111111)</f>
        <v>41457.99861</v>
      </c>
      <c r="B1145" s="1">
        <f>IFERROR(__xludf.DUMMYFUNCTION("""COMPUTED_VALUE"""),98.295215)</f>
        <v>98.295215</v>
      </c>
    </row>
    <row r="1146">
      <c r="A1146" s="3">
        <f>IFERROR(__xludf.DUMMYFUNCTION("""COMPUTED_VALUE"""),41458.99861111111)</f>
        <v>41458.99861</v>
      </c>
      <c r="B1146" s="1">
        <f>IFERROR(__xludf.DUMMYFUNCTION("""COMPUTED_VALUE"""),99.107)</f>
        <v>99.107</v>
      </c>
    </row>
    <row r="1147">
      <c r="A1147" s="3">
        <f>IFERROR(__xludf.DUMMYFUNCTION("""COMPUTED_VALUE"""),41459.99861111111)</f>
        <v>41459.99861</v>
      </c>
      <c r="B1147" s="1">
        <f>IFERROR(__xludf.DUMMYFUNCTION("""COMPUTED_VALUE"""),98.862225)</f>
        <v>98.862225</v>
      </c>
    </row>
    <row r="1148">
      <c r="A1148" s="3">
        <f>IFERROR(__xludf.DUMMYFUNCTION("""COMPUTED_VALUE"""),41460.99861111111)</f>
        <v>41460.99861</v>
      </c>
      <c r="B1148" s="1">
        <f>IFERROR(__xludf.DUMMYFUNCTION("""COMPUTED_VALUE"""),97.98984)</f>
        <v>97.98984</v>
      </c>
    </row>
    <row r="1149">
      <c r="A1149" s="3">
        <f>IFERROR(__xludf.DUMMYFUNCTION("""COMPUTED_VALUE"""),41461.99861111111)</f>
        <v>41461.99861</v>
      </c>
      <c r="B1149" s="1">
        <f>IFERROR(__xludf.DUMMYFUNCTION("""COMPUTED_VALUE"""),97.98984)</f>
        <v>97.98984</v>
      </c>
    </row>
    <row r="1150">
      <c r="A1150" s="3">
        <f>IFERROR(__xludf.DUMMYFUNCTION("""COMPUTED_VALUE"""),41462.99861111111)</f>
        <v>41462.99861</v>
      </c>
      <c r="B1150" s="1">
        <f>IFERROR(__xludf.DUMMYFUNCTION("""COMPUTED_VALUE"""),97.79148)</f>
        <v>97.79148</v>
      </c>
    </row>
    <row r="1151">
      <c r="A1151" s="3">
        <f>IFERROR(__xludf.DUMMYFUNCTION("""COMPUTED_VALUE"""),41463.99861111111)</f>
        <v>41463.99861</v>
      </c>
      <c r="B1151" s="1">
        <f>IFERROR(__xludf.DUMMYFUNCTION("""COMPUTED_VALUE"""),98.424222)</f>
        <v>98.424222</v>
      </c>
    </row>
    <row r="1152">
      <c r="A1152" s="3">
        <f>IFERROR(__xludf.DUMMYFUNCTION("""COMPUTED_VALUE"""),41464.99861111111)</f>
        <v>41464.99861</v>
      </c>
      <c r="B1152" s="1">
        <f>IFERROR(__xludf.DUMMYFUNCTION("""COMPUTED_VALUE"""),98.1362592)</f>
        <v>98.1362592</v>
      </c>
    </row>
    <row r="1153">
      <c r="A1153" s="3">
        <f>IFERROR(__xludf.DUMMYFUNCTION("""COMPUTED_VALUE"""),41465.99861111111)</f>
        <v>41465.99861</v>
      </c>
      <c r="B1153" s="1">
        <f>IFERROR(__xludf.DUMMYFUNCTION("""COMPUTED_VALUE"""),100.7347775)</f>
        <v>100.7347775</v>
      </c>
    </row>
    <row r="1154">
      <c r="A1154" s="3">
        <f>IFERROR(__xludf.DUMMYFUNCTION("""COMPUTED_VALUE"""),41466.99861111111)</f>
        <v>41466.99861</v>
      </c>
      <c r="B1154" s="1">
        <f>IFERROR(__xludf.DUMMYFUNCTION("""COMPUTED_VALUE"""),100.306708)</f>
        <v>100.306708</v>
      </c>
    </row>
    <row r="1155">
      <c r="A1155" s="3">
        <f>IFERROR(__xludf.DUMMYFUNCTION("""COMPUTED_VALUE"""),41467.99861111111)</f>
        <v>41467.99861</v>
      </c>
      <c r="B1155" s="1">
        <f>IFERROR(__xludf.DUMMYFUNCTION("""COMPUTED_VALUE"""),100.37776)</f>
        <v>100.37776</v>
      </c>
    </row>
    <row r="1156">
      <c r="A1156" s="3">
        <f>IFERROR(__xludf.DUMMYFUNCTION("""COMPUTED_VALUE"""),41468.99861111111)</f>
        <v>41468.99861</v>
      </c>
      <c r="B1156" s="1">
        <f>IFERROR(__xludf.DUMMYFUNCTION("""COMPUTED_VALUE"""),100.052064)</f>
        <v>100.052064</v>
      </c>
    </row>
    <row r="1157">
      <c r="A1157" s="3">
        <f>IFERROR(__xludf.DUMMYFUNCTION("""COMPUTED_VALUE"""),41469.99861111111)</f>
        <v>41469.99861</v>
      </c>
      <c r="B1157" s="1">
        <f>IFERROR(__xludf.DUMMYFUNCTION("""COMPUTED_VALUE"""),96.893496)</f>
        <v>96.893496</v>
      </c>
    </row>
    <row r="1158">
      <c r="A1158" s="3">
        <f>IFERROR(__xludf.DUMMYFUNCTION("""COMPUTED_VALUE"""),41470.99861111111)</f>
        <v>41470.99861</v>
      </c>
      <c r="B1158" s="1">
        <f>IFERROR(__xludf.DUMMYFUNCTION("""COMPUTED_VALUE"""),99.892)</f>
        <v>99.892</v>
      </c>
    </row>
    <row r="1159">
      <c r="A1159" s="3">
        <f>IFERROR(__xludf.DUMMYFUNCTION("""COMPUTED_VALUE"""),41471.99861111111)</f>
        <v>41471.99861</v>
      </c>
      <c r="B1159" s="1">
        <f>IFERROR(__xludf.DUMMYFUNCTION("""COMPUTED_VALUE"""),100.87056)</f>
        <v>100.87056</v>
      </c>
    </row>
    <row r="1160">
      <c r="A1160" s="3">
        <f>IFERROR(__xludf.DUMMYFUNCTION("""COMPUTED_VALUE"""),41472.99861111111)</f>
        <v>41472.99861</v>
      </c>
      <c r="B1160" s="1">
        <f>IFERROR(__xludf.DUMMYFUNCTION("""COMPUTED_VALUE"""),100.480527)</f>
        <v>100.480527</v>
      </c>
    </row>
    <row r="1161">
      <c r="A1161" s="3">
        <f>IFERROR(__xludf.DUMMYFUNCTION("""COMPUTED_VALUE"""),41473.99861111111)</f>
        <v>41473.99861</v>
      </c>
      <c r="B1161" s="1">
        <f>IFERROR(__xludf.DUMMYFUNCTION("""COMPUTED_VALUE"""),99.758208)</f>
        <v>99.758208</v>
      </c>
    </row>
    <row r="1162">
      <c r="A1162" s="3">
        <f>IFERROR(__xludf.DUMMYFUNCTION("""COMPUTED_VALUE"""),41474.99861111111)</f>
        <v>41474.99861</v>
      </c>
      <c r="B1162" s="1">
        <f>IFERROR(__xludf.DUMMYFUNCTION("""COMPUTED_VALUE"""),100.1952)</f>
        <v>100.1952</v>
      </c>
    </row>
    <row r="1163">
      <c r="A1163" s="3">
        <f>IFERROR(__xludf.DUMMYFUNCTION("""COMPUTED_VALUE"""),41475.99861111111)</f>
        <v>41475.99861</v>
      </c>
      <c r="B1163" s="1">
        <f>IFERROR(__xludf.DUMMYFUNCTION("""COMPUTED_VALUE"""),99.82629)</f>
        <v>99.82629</v>
      </c>
    </row>
    <row r="1164">
      <c r="A1164" s="3">
        <f>IFERROR(__xludf.DUMMYFUNCTION("""COMPUTED_VALUE"""),41476.99861111111)</f>
        <v>41476.99861</v>
      </c>
      <c r="B1164" s="1">
        <f>IFERROR(__xludf.DUMMYFUNCTION("""COMPUTED_VALUE"""),100.12788)</f>
        <v>100.12788</v>
      </c>
    </row>
    <row r="1165">
      <c r="A1165" s="3">
        <f>IFERROR(__xludf.DUMMYFUNCTION("""COMPUTED_VALUE"""),41477.99861111111)</f>
        <v>41477.99861</v>
      </c>
      <c r="B1165" s="1">
        <f>IFERROR(__xludf.DUMMYFUNCTION("""COMPUTED_VALUE"""),100.761443)</f>
        <v>100.761443</v>
      </c>
    </row>
    <row r="1166">
      <c r="A1166" s="3">
        <f>IFERROR(__xludf.DUMMYFUNCTION("""COMPUTED_VALUE"""),41478.99861111111)</f>
        <v>41478.99861</v>
      </c>
      <c r="B1166" s="1">
        <f>IFERROR(__xludf.DUMMYFUNCTION("""COMPUTED_VALUE"""),102.218428)</f>
        <v>102.218428</v>
      </c>
    </row>
    <row r="1167">
      <c r="A1167" s="3">
        <f>IFERROR(__xludf.DUMMYFUNCTION("""COMPUTED_VALUE"""),41479.99861111111)</f>
        <v>41479.99861</v>
      </c>
      <c r="B1167" s="1">
        <f>IFERROR(__xludf.DUMMYFUNCTION("""COMPUTED_VALUE"""),101.992839)</f>
        <v>101.992839</v>
      </c>
    </row>
    <row r="1168">
      <c r="A1168" s="3">
        <f>IFERROR(__xludf.DUMMYFUNCTION("""COMPUTED_VALUE"""),41480.99861111111)</f>
        <v>41480.99861</v>
      </c>
      <c r="B1168" s="1">
        <f>IFERROR(__xludf.DUMMYFUNCTION("""COMPUTED_VALUE"""),103.198881)</f>
        <v>103.198881</v>
      </c>
    </row>
    <row r="1169">
      <c r="A1169" s="3">
        <f>IFERROR(__xludf.DUMMYFUNCTION("""COMPUTED_VALUE"""),41481.99861111111)</f>
        <v>41481.99861</v>
      </c>
      <c r="B1169" s="1">
        <f>IFERROR(__xludf.DUMMYFUNCTION("""COMPUTED_VALUE"""),104.06961)</f>
        <v>104.06961</v>
      </c>
    </row>
    <row r="1170">
      <c r="A1170" s="3">
        <f>IFERROR(__xludf.DUMMYFUNCTION("""COMPUTED_VALUE"""),41482.99861111111)</f>
        <v>41482.99861</v>
      </c>
      <c r="B1170" s="1">
        <f>IFERROR(__xludf.DUMMYFUNCTION("""COMPUTED_VALUE"""),104.1408)</f>
        <v>104.1408</v>
      </c>
    </row>
    <row r="1171">
      <c r="A1171" s="3">
        <f>IFERROR(__xludf.DUMMYFUNCTION("""COMPUTED_VALUE"""),41483.99861111111)</f>
        <v>41483.99861</v>
      </c>
      <c r="B1171" s="1">
        <f>IFERROR(__xludf.DUMMYFUNCTION("""COMPUTED_VALUE"""),104.64111)</f>
        <v>104.64111</v>
      </c>
    </row>
    <row r="1172">
      <c r="A1172" s="3">
        <f>IFERROR(__xludf.DUMMYFUNCTION("""COMPUTED_VALUE"""),41484.99861111111)</f>
        <v>41484.99861</v>
      </c>
      <c r="B1172" s="1">
        <f>IFERROR(__xludf.DUMMYFUNCTION("""COMPUTED_VALUE"""),104.580996)</f>
        <v>104.580996</v>
      </c>
    </row>
    <row r="1173">
      <c r="A1173" s="3">
        <f>IFERROR(__xludf.DUMMYFUNCTION("""COMPUTED_VALUE"""),41485.99861111111)</f>
        <v>41485.99861</v>
      </c>
      <c r="B1173" s="1">
        <f>IFERROR(__xludf.DUMMYFUNCTION("""COMPUTED_VALUE"""),104.376116)</f>
        <v>104.376116</v>
      </c>
    </row>
    <row r="1174">
      <c r="A1174" s="3">
        <f>IFERROR(__xludf.DUMMYFUNCTION("""COMPUTED_VALUE"""),41486.99861111111)</f>
        <v>41486.99861</v>
      </c>
      <c r="B1174" s="1">
        <f>IFERROR(__xludf.DUMMYFUNCTION("""COMPUTED_VALUE"""),104.714)</f>
        <v>104.714</v>
      </c>
    </row>
    <row r="1175">
      <c r="A1175" s="3">
        <f>IFERROR(__xludf.DUMMYFUNCTION("""COMPUTED_VALUE"""),41487.99861111111)</f>
        <v>41487.99861</v>
      </c>
      <c r="B1175" s="1">
        <f>IFERROR(__xludf.DUMMYFUNCTION("""COMPUTED_VALUE"""),103.063356)</f>
        <v>103.063356</v>
      </c>
    </row>
    <row r="1176">
      <c r="A1176" s="3">
        <f>IFERROR(__xludf.DUMMYFUNCTION("""COMPUTED_VALUE"""),41488.99861111111)</f>
        <v>41488.99861</v>
      </c>
      <c r="B1176" s="1">
        <f>IFERROR(__xludf.DUMMYFUNCTION("""COMPUTED_VALUE"""),103.8297)</f>
        <v>103.8297</v>
      </c>
    </row>
    <row r="1177">
      <c r="A1177" s="3">
        <f>IFERROR(__xludf.DUMMYFUNCTION("""COMPUTED_VALUE"""),41489.99861111111)</f>
        <v>41489.99861</v>
      </c>
      <c r="B1177" s="1">
        <f>IFERROR(__xludf.DUMMYFUNCTION("""COMPUTED_VALUE"""),103.626)</f>
        <v>103.626</v>
      </c>
    </row>
    <row r="1178">
      <c r="A1178" s="3">
        <f>IFERROR(__xludf.DUMMYFUNCTION("""COMPUTED_VALUE"""),41490.99861111111)</f>
        <v>41490.99861</v>
      </c>
      <c r="B1178" s="1">
        <f>IFERROR(__xludf.DUMMYFUNCTION("""COMPUTED_VALUE"""),103.41519)</f>
        <v>103.41519</v>
      </c>
    </row>
    <row r="1179">
      <c r="A1179" s="3">
        <f>IFERROR(__xludf.DUMMYFUNCTION("""COMPUTED_VALUE"""),41491.99861111111)</f>
        <v>41491.99861</v>
      </c>
      <c r="B1179" s="1">
        <f>IFERROR(__xludf.DUMMYFUNCTION("""COMPUTED_VALUE"""),104.365056)</f>
        <v>104.365056</v>
      </c>
    </row>
    <row r="1180">
      <c r="A1180" s="3">
        <f>IFERROR(__xludf.DUMMYFUNCTION("""COMPUTED_VALUE"""),41492.99861111111)</f>
        <v>41492.99861</v>
      </c>
      <c r="B1180" s="1">
        <f>IFERROR(__xludf.DUMMYFUNCTION("""COMPUTED_VALUE"""),104.92911)</f>
        <v>104.92911</v>
      </c>
    </row>
    <row r="1181">
      <c r="A1181" s="3">
        <f>IFERROR(__xludf.DUMMYFUNCTION("""COMPUTED_VALUE"""),41493.99861111111)</f>
        <v>41493.99861</v>
      </c>
      <c r="B1181" s="1">
        <f>IFERROR(__xludf.DUMMYFUNCTION("""COMPUTED_VALUE"""),106.334428)</f>
        <v>106.334428</v>
      </c>
    </row>
    <row r="1182">
      <c r="A1182" s="3">
        <f>IFERROR(__xludf.DUMMYFUNCTION("""COMPUTED_VALUE"""),41494.99861111111)</f>
        <v>41494.99861</v>
      </c>
      <c r="B1182" s="1">
        <f>IFERROR(__xludf.DUMMYFUNCTION("""COMPUTED_VALUE"""),106.098408)</f>
        <v>106.098408</v>
      </c>
    </row>
    <row r="1183">
      <c r="A1183" s="3">
        <f>IFERROR(__xludf.DUMMYFUNCTION("""COMPUTED_VALUE"""),41495.99861111111)</f>
        <v>41495.99861</v>
      </c>
      <c r="B1183" s="1">
        <f>IFERROR(__xludf.DUMMYFUNCTION("""COMPUTED_VALUE"""),106.6014)</f>
        <v>106.6014</v>
      </c>
    </row>
    <row r="1184">
      <c r="A1184" s="3">
        <f>IFERROR(__xludf.DUMMYFUNCTION("""COMPUTED_VALUE"""),41496.99861111111)</f>
        <v>41496.99861</v>
      </c>
      <c r="B1184" s="1">
        <f>IFERROR(__xludf.DUMMYFUNCTION("""COMPUTED_VALUE"""),106.7053)</f>
        <v>106.7053</v>
      </c>
    </row>
    <row r="1185">
      <c r="A1185" s="3">
        <f>IFERROR(__xludf.DUMMYFUNCTION("""COMPUTED_VALUE"""),41497.99861111111)</f>
        <v>41497.99861</v>
      </c>
      <c r="B1185" s="1">
        <f>IFERROR(__xludf.DUMMYFUNCTION("""COMPUTED_VALUE"""),106.59222)</f>
        <v>106.59222</v>
      </c>
    </row>
    <row r="1186">
      <c r="A1186" s="3">
        <f>IFERROR(__xludf.DUMMYFUNCTION("""COMPUTED_VALUE"""),41498.99861111111)</f>
        <v>41498.99861</v>
      </c>
      <c r="B1186" s="1">
        <f>IFERROR(__xludf.DUMMYFUNCTION("""COMPUTED_VALUE"""),105.513884)</f>
        <v>105.513884</v>
      </c>
    </row>
    <row r="1187">
      <c r="A1187" s="3">
        <f>IFERROR(__xludf.DUMMYFUNCTION("""COMPUTED_VALUE"""),41499.99861111111)</f>
        <v>41499.99861</v>
      </c>
      <c r="B1187" s="1">
        <f>IFERROR(__xludf.DUMMYFUNCTION("""COMPUTED_VALUE"""),104.863808)</f>
        <v>104.863808</v>
      </c>
    </row>
    <row r="1188">
      <c r="A1188" s="3">
        <f>IFERROR(__xludf.DUMMYFUNCTION("""COMPUTED_VALUE"""),41500.99861111111)</f>
        <v>41500.99861</v>
      </c>
      <c r="B1188" s="1">
        <f>IFERROR(__xludf.DUMMYFUNCTION("""COMPUTED_VALUE"""),105.060099)</f>
        <v>105.060099</v>
      </c>
    </row>
    <row r="1189">
      <c r="A1189" s="3">
        <f>IFERROR(__xludf.DUMMYFUNCTION("""COMPUTED_VALUE"""),41501.99861111111)</f>
        <v>41501.99861</v>
      </c>
      <c r="B1189" s="1">
        <f>IFERROR(__xludf.DUMMYFUNCTION("""COMPUTED_VALUE"""),106.12044)</f>
        <v>106.12044</v>
      </c>
    </row>
    <row r="1190">
      <c r="A1190" s="3">
        <f>IFERROR(__xludf.DUMMYFUNCTION("""COMPUTED_VALUE"""),41502.99861111111)</f>
        <v>41502.99861</v>
      </c>
      <c r="B1190" s="1">
        <f>IFERROR(__xludf.DUMMYFUNCTION("""COMPUTED_VALUE"""),106.19)</f>
        <v>106.19</v>
      </c>
    </row>
    <row r="1191">
      <c r="A1191" s="3">
        <f>IFERROR(__xludf.DUMMYFUNCTION("""COMPUTED_VALUE"""),41503.99861111111)</f>
        <v>41503.99861</v>
      </c>
      <c r="B1191" s="1">
        <f>IFERROR(__xludf.DUMMYFUNCTION("""COMPUTED_VALUE"""),106.149)</f>
        <v>106.149</v>
      </c>
    </row>
    <row r="1192">
      <c r="A1192" s="3">
        <f>IFERROR(__xludf.DUMMYFUNCTION("""COMPUTED_VALUE"""),41504.99861111111)</f>
        <v>41504.99861</v>
      </c>
      <c r="B1192" s="1">
        <f>IFERROR(__xludf.DUMMYFUNCTION("""COMPUTED_VALUE"""),106.06464)</f>
        <v>106.06464</v>
      </c>
    </row>
    <row r="1193">
      <c r="A1193" s="3">
        <f>IFERROR(__xludf.DUMMYFUNCTION("""COMPUTED_VALUE"""),41505.99861111111)</f>
        <v>41505.99861</v>
      </c>
      <c r="B1193" s="1">
        <f>IFERROR(__xludf.DUMMYFUNCTION("""COMPUTED_VALUE"""),107.01603)</f>
        <v>107.01603</v>
      </c>
    </row>
    <row r="1194">
      <c r="A1194" s="3">
        <f>IFERROR(__xludf.DUMMYFUNCTION("""COMPUTED_VALUE"""),41506.99861111111)</f>
        <v>41506.99861</v>
      </c>
      <c r="B1194" s="1">
        <f>IFERROR(__xludf.DUMMYFUNCTION("""COMPUTED_VALUE"""),109.436733)</f>
        <v>109.436733</v>
      </c>
    </row>
    <row r="1195">
      <c r="A1195" s="3">
        <f>IFERROR(__xludf.DUMMYFUNCTION("""COMPUTED_VALUE"""),41507.99861111111)</f>
        <v>41507.99861</v>
      </c>
      <c r="B1195" s="1">
        <f>IFERROR(__xludf.DUMMYFUNCTION("""COMPUTED_VALUE"""),109.866056)</f>
        <v>109.866056</v>
      </c>
    </row>
    <row r="1196">
      <c r="A1196" s="3">
        <f>IFERROR(__xludf.DUMMYFUNCTION("""COMPUTED_VALUE"""),41508.99861111111)</f>
        <v>41508.99861</v>
      </c>
      <c r="B1196" s="1">
        <f>IFERROR(__xludf.DUMMYFUNCTION("""COMPUTED_VALUE"""),111.699)</f>
        <v>111.699</v>
      </c>
    </row>
    <row r="1197">
      <c r="A1197" s="3">
        <f>IFERROR(__xludf.DUMMYFUNCTION("""COMPUTED_VALUE"""),41509.99861111111)</f>
        <v>41509.99861</v>
      </c>
      <c r="B1197" s="1">
        <f>IFERROR(__xludf.DUMMYFUNCTION("""COMPUTED_VALUE"""),108.8975)</f>
        <v>108.8975</v>
      </c>
    </row>
    <row r="1198">
      <c r="A1198" s="3">
        <f>IFERROR(__xludf.DUMMYFUNCTION("""COMPUTED_VALUE"""),41510.99861111111)</f>
        <v>41510.99861</v>
      </c>
      <c r="B1198" s="1">
        <f>IFERROR(__xludf.DUMMYFUNCTION("""COMPUTED_VALUE"""),108.8975)</f>
        <v>108.8975</v>
      </c>
    </row>
    <row r="1199">
      <c r="A1199" s="3">
        <f>IFERROR(__xludf.DUMMYFUNCTION("""COMPUTED_VALUE"""),41511.99861111111)</f>
        <v>41511.99861</v>
      </c>
      <c r="B1199" s="1">
        <f>IFERROR(__xludf.DUMMYFUNCTION("""COMPUTED_VALUE"""),111.48065)</f>
        <v>111.48065</v>
      </c>
    </row>
    <row r="1200">
      <c r="A1200" s="3">
        <f>IFERROR(__xludf.DUMMYFUNCTION("""COMPUTED_VALUE"""),41512.99861111111)</f>
        <v>41512.99861</v>
      </c>
      <c r="B1200" s="1">
        <f>IFERROR(__xludf.DUMMYFUNCTION("""COMPUTED_VALUE"""),112.827744)</f>
        <v>112.827744</v>
      </c>
    </row>
    <row r="1201">
      <c r="A1201" s="3">
        <f>IFERROR(__xludf.DUMMYFUNCTION("""COMPUTED_VALUE"""),41513.99861111111)</f>
        <v>41513.99861</v>
      </c>
      <c r="B1201" s="1">
        <f>IFERROR(__xludf.DUMMYFUNCTION("""COMPUTED_VALUE"""),112.184615)</f>
        <v>112.184615</v>
      </c>
    </row>
    <row r="1202">
      <c r="A1202" s="3">
        <f>IFERROR(__xludf.DUMMYFUNCTION("""COMPUTED_VALUE"""),41514.99861111111)</f>
        <v>41514.99861</v>
      </c>
      <c r="B1202" s="1">
        <f>IFERROR(__xludf.DUMMYFUNCTION("""COMPUTED_VALUE"""),111.724578)</f>
        <v>111.724578</v>
      </c>
    </row>
    <row r="1203">
      <c r="A1203" s="3">
        <f>IFERROR(__xludf.DUMMYFUNCTION("""COMPUTED_VALUE"""),41515.99861111111)</f>
        <v>41515.99861</v>
      </c>
      <c r="B1203" s="1">
        <f>IFERROR(__xludf.DUMMYFUNCTION("""COMPUTED_VALUE"""),110.847841)</f>
        <v>110.847841</v>
      </c>
    </row>
    <row r="1204">
      <c r="A1204" s="3">
        <f>IFERROR(__xludf.DUMMYFUNCTION("""COMPUTED_VALUE"""),41516.99861111111)</f>
        <v>41516.99861</v>
      </c>
      <c r="B1204" s="1">
        <f>IFERROR(__xludf.DUMMYFUNCTION("""COMPUTED_VALUE"""),110.82966)</f>
        <v>110.82966</v>
      </c>
    </row>
    <row r="1205">
      <c r="A1205" s="3">
        <f>IFERROR(__xludf.DUMMYFUNCTION("""COMPUTED_VALUE"""),41517.99861111111)</f>
        <v>41517.99861</v>
      </c>
      <c r="B1205" s="1">
        <f>IFERROR(__xludf.DUMMYFUNCTION("""COMPUTED_VALUE"""),111.02005)</f>
        <v>111.02005</v>
      </c>
    </row>
    <row r="1206">
      <c r="A1206" s="3">
        <f>IFERROR(__xludf.DUMMYFUNCTION("""COMPUTED_VALUE"""),41518.99861111111)</f>
        <v>41518.99861</v>
      </c>
      <c r="B1206" s="1">
        <f>IFERROR(__xludf.DUMMYFUNCTION("""COMPUTED_VALUE"""),110.6932)</f>
        <v>110.6932</v>
      </c>
    </row>
    <row r="1207">
      <c r="A1207" s="3">
        <f>IFERROR(__xludf.DUMMYFUNCTION("""COMPUTED_VALUE"""),41519.99861111111)</f>
        <v>41519.99861</v>
      </c>
      <c r="B1207" s="1">
        <f>IFERROR(__xludf.DUMMYFUNCTION("""COMPUTED_VALUE"""),110.005504)</f>
        <v>110.005504</v>
      </c>
    </row>
    <row r="1208">
      <c r="A1208" s="3">
        <f>IFERROR(__xludf.DUMMYFUNCTION("""COMPUTED_VALUE"""),41520.99861111111)</f>
        <v>41520.99861</v>
      </c>
      <c r="B1208" s="1">
        <f>IFERROR(__xludf.DUMMYFUNCTION("""COMPUTED_VALUE"""),110.756295)</f>
        <v>110.756295</v>
      </c>
    </row>
    <row r="1209">
      <c r="A1209" s="3">
        <f>IFERROR(__xludf.DUMMYFUNCTION("""COMPUTED_VALUE"""),41521.99861111111)</f>
        <v>41521.99861</v>
      </c>
      <c r="B1209" s="1">
        <f>IFERROR(__xludf.DUMMYFUNCTION("""COMPUTED_VALUE"""),111.225231)</f>
        <v>111.225231</v>
      </c>
    </row>
    <row r="1210">
      <c r="A1210" s="3">
        <f>IFERROR(__xludf.DUMMYFUNCTION("""COMPUTED_VALUE"""),41522.99861111111)</f>
        <v>41522.99861</v>
      </c>
      <c r="B1210" s="1">
        <f>IFERROR(__xludf.DUMMYFUNCTION("""COMPUTED_VALUE"""),110.770254)</f>
        <v>110.770254</v>
      </c>
    </row>
    <row r="1211">
      <c r="A1211" s="3">
        <f>IFERROR(__xludf.DUMMYFUNCTION("""COMPUTED_VALUE"""),41523.99861111111)</f>
        <v>41523.99861</v>
      </c>
      <c r="B1211" s="1">
        <f>IFERROR(__xludf.DUMMYFUNCTION("""COMPUTED_VALUE"""),112.47323)</f>
        <v>112.47323</v>
      </c>
    </row>
    <row r="1212">
      <c r="A1212" s="3">
        <f>IFERROR(__xludf.DUMMYFUNCTION("""COMPUTED_VALUE"""),41524.99861111111)</f>
        <v>41524.99861</v>
      </c>
      <c r="B1212" s="1">
        <f>IFERROR(__xludf.DUMMYFUNCTION("""COMPUTED_VALUE"""),112.5035)</f>
        <v>112.5035</v>
      </c>
    </row>
    <row r="1213">
      <c r="A1213" s="3">
        <f>IFERROR(__xludf.DUMMYFUNCTION("""COMPUTED_VALUE"""),41525.99861111111)</f>
        <v>41525.99861</v>
      </c>
      <c r="B1213" s="1">
        <f>IFERROR(__xludf.DUMMYFUNCTION("""COMPUTED_VALUE"""),111.6115)</f>
        <v>111.6115</v>
      </c>
    </row>
    <row r="1214">
      <c r="A1214" s="3">
        <f>IFERROR(__xludf.DUMMYFUNCTION("""COMPUTED_VALUE"""),41526.99861111111)</f>
        <v>41526.99861</v>
      </c>
      <c r="B1214" s="1">
        <f>IFERROR(__xludf.DUMMYFUNCTION("""COMPUTED_VALUE"""),111.65396)</f>
        <v>111.65396</v>
      </c>
    </row>
    <row r="1215">
      <c r="A1215" s="3">
        <f>IFERROR(__xludf.DUMMYFUNCTION("""COMPUTED_VALUE"""),41527.99861111111)</f>
        <v>41527.99861</v>
      </c>
      <c r="B1215" s="1">
        <f>IFERROR(__xludf.DUMMYFUNCTION("""COMPUTED_VALUE"""),111.62918)</f>
        <v>111.62918</v>
      </c>
    </row>
    <row r="1216">
      <c r="A1216" s="3">
        <f>IFERROR(__xludf.DUMMYFUNCTION("""COMPUTED_VALUE"""),41528.99861111111)</f>
        <v>41528.99861</v>
      </c>
      <c r="B1216" s="1">
        <f>IFERROR(__xludf.DUMMYFUNCTION("""COMPUTED_VALUE"""),113.16)</f>
        <v>113.16</v>
      </c>
    </row>
    <row r="1217">
      <c r="A1217" s="3">
        <f>IFERROR(__xludf.DUMMYFUNCTION("""COMPUTED_VALUE"""),41529.99861111111)</f>
        <v>41529.99861</v>
      </c>
      <c r="B1217" s="1">
        <f>IFERROR(__xludf.DUMMYFUNCTION("""COMPUTED_VALUE"""),113.695524)</f>
        <v>113.695524</v>
      </c>
    </row>
    <row r="1218">
      <c r="A1218" s="3">
        <f>IFERROR(__xludf.DUMMYFUNCTION("""COMPUTED_VALUE"""),41530.99861111111)</f>
        <v>41530.99861</v>
      </c>
      <c r="B1218" s="1">
        <f>IFERROR(__xludf.DUMMYFUNCTION("""COMPUTED_VALUE"""),114.49286)</f>
        <v>114.49286</v>
      </c>
    </row>
    <row r="1219">
      <c r="A1219" s="3">
        <f>IFERROR(__xludf.DUMMYFUNCTION("""COMPUTED_VALUE"""),41531.99861111111)</f>
        <v>41531.99861</v>
      </c>
      <c r="B1219" s="1">
        <f>IFERROR(__xludf.DUMMYFUNCTION("""COMPUTED_VALUE"""),114.49286)</f>
        <v>114.49286</v>
      </c>
    </row>
    <row r="1220">
      <c r="A1220" s="3">
        <f>IFERROR(__xludf.DUMMYFUNCTION("""COMPUTED_VALUE"""),41532.99861111111)</f>
        <v>41532.99861</v>
      </c>
      <c r="B1220" s="1">
        <f>IFERROR(__xludf.DUMMYFUNCTION("""COMPUTED_VALUE"""),115.06191)</f>
        <v>115.06191</v>
      </c>
    </row>
    <row r="1221">
      <c r="A1221" s="3">
        <f>IFERROR(__xludf.DUMMYFUNCTION("""COMPUTED_VALUE"""),41533.99861111111)</f>
        <v>41533.99861</v>
      </c>
      <c r="B1221" s="1">
        <f>IFERROR(__xludf.DUMMYFUNCTION("""COMPUTED_VALUE"""),114.602202)</f>
        <v>114.602202</v>
      </c>
    </row>
    <row r="1222">
      <c r="A1222" s="3">
        <f>IFERROR(__xludf.DUMMYFUNCTION("""COMPUTED_VALUE"""),41534.99861111111)</f>
        <v>41534.99861</v>
      </c>
      <c r="B1222" s="1">
        <f>IFERROR(__xludf.DUMMYFUNCTION("""COMPUTED_VALUE"""),115.08336)</f>
        <v>115.08336</v>
      </c>
    </row>
    <row r="1223">
      <c r="A1223" s="3">
        <f>IFERROR(__xludf.DUMMYFUNCTION("""COMPUTED_VALUE"""),41535.99861111111)</f>
        <v>41535.99861</v>
      </c>
      <c r="B1223" s="1">
        <f>IFERROR(__xludf.DUMMYFUNCTION("""COMPUTED_VALUE"""),116.529192)</f>
        <v>116.529192</v>
      </c>
    </row>
    <row r="1224">
      <c r="A1224" s="3">
        <f>IFERROR(__xludf.DUMMYFUNCTION("""COMPUTED_VALUE"""),41536.99861111111)</f>
        <v>41536.99861</v>
      </c>
      <c r="B1224" s="1">
        <f>IFERROR(__xludf.DUMMYFUNCTION("""COMPUTED_VALUE"""),113.20279)</f>
        <v>113.20279</v>
      </c>
    </row>
    <row r="1225">
      <c r="A1225" s="3">
        <f>IFERROR(__xludf.DUMMYFUNCTION("""COMPUTED_VALUE"""),41537.99861111111)</f>
        <v>41537.99861</v>
      </c>
      <c r="B1225" s="1">
        <f>IFERROR(__xludf.DUMMYFUNCTION("""COMPUTED_VALUE"""),114.01254)</f>
        <v>114.01254</v>
      </c>
    </row>
    <row r="1226">
      <c r="A1226" s="3">
        <f>IFERROR(__xludf.DUMMYFUNCTION("""COMPUTED_VALUE"""),41538.99861111111)</f>
        <v>41538.99861</v>
      </c>
      <c r="B1226" s="1">
        <f>IFERROR(__xludf.DUMMYFUNCTION("""COMPUTED_VALUE"""),114.04275)</f>
        <v>114.04275</v>
      </c>
    </row>
    <row r="1227">
      <c r="A1227" s="3">
        <f>IFERROR(__xludf.DUMMYFUNCTION("""COMPUTED_VALUE"""),41539.99861111111)</f>
        <v>41539.99861</v>
      </c>
      <c r="B1227" s="1">
        <f>IFERROR(__xludf.DUMMYFUNCTION("""COMPUTED_VALUE"""),114.2945)</f>
        <v>114.2945</v>
      </c>
    </row>
    <row r="1228">
      <c r="A1228" s="3">
        <f>IFERROR(__xludf.DUMMYFUNCTION("""COMPUTED_VALUE"""),41540.99861111111)</f>
        <v>41540.99861</v>
      </c>
      <c r="B1228" s="1">
        <f>IFERROR(__xludf.DUMMYFUNCTION("""COMPUTED_VALUE"""),115.585708)</f>
        <v>115.585708</v>
      </c>
    </row>
    <row r="1229">
      <c r="A1229" s="3">
        <f>IFERROR(__xludf.DUMMYFUNCTION("""COMPUTED_VALUE"""),41541.99861111111)</f>
        <v>41541.99861</v>
      </c>
      <c r="B1229" s="1">
        <f>IFERROR(__xludf.DUMMYFUNCTION("""COMPUTED_VALUE"""),115.84629)</f>
        <v>115.84629</v>
      </c>
    </row>
    <row r="1230">
      <c r="A1230" s="3">
        <f>IFERROR(__xludf.DUMMYFUNCTION("""COMPUTED_VALUE"""),41542.99861111111)</f>
        <v>41542.99861</v>
      </c>
      <c r="B1230" s="1">
        <f>IFERROR(__xludf.DUMMYFUNCTION("""COMPUTED_VALUE"""),116.333074)</f>
        <v>116.333074</v>
      </c>
    </row>
    <row r="1231">
      <c r="A1231" s="3">
        <f>IFERROR(__xludf.DUMMYFUNCTION("""COMPUTED_VALUE"""),41543.99861111111)</f>
        <v>41543.99861</v>
      </c>
      <c r="B1231" s="1">
        <f>IFERROR(__xludf.DUMMYFUNCTION("""COMPUTED_VALUE"""),115.443)</f>
        <v>115.443</v>
      </c>
    </row>
    <row r="1232">
      <c r="A1232" s="3">
        <f>IFERROR(__xludf.DUMMYFUNCTION("""COMPUTED_VALUE"""),41544.99861111111)</f>
        <v>41544.99861</v>
      </c>
      <c r="B1232" s="1">
        <f>IFERROR(__xludf.DUMMYFUNCTION("""COMPUTED_VALUE"""),117.16162)</f>
        <v>117.16162</v>
      </c>
    </row>
    <row r="1233">
      <c r="A1233" s="3">
        <f>IFERROR(__xludf.DUMMYFUNCTION("""COMPUTED_VALUE"""),41545.99861111111)</f>
        <v>41545.99861</v>
      </c>
      <c r="B1233" s="1">
        <f>IFERROR(__xludf.DUMMYFUNCTION("""COMPUTED_VALUE"""),117.6878242)</f>
        <v>117.6878242</v>
      </c>
    </row>
    <row r="1234">
      <c r="A1234" s="3">
        <f>IFERROR(__xludf.DUMMYFUNCTION("""COMPUTED_VALUE"""),41546.99861111111)</f>
        <v>41546.99861</v>
      </c>
      <c r="B1234" s="1">
        <f>IFERROR(__xludf.DUMMYFUNCTION("""COMPUTED_VALUE"""),117.50689)</f>
        <v>117.50689</v>
      </c>
    </row>
    <row r="1235">
      <c r="A1235" s="3">
        <f>IFERROR(__xludf.DUMMYFUNCTION("""COMPUTED_VALUE"""),41547.99861111111)</f>
        <v>41547.99861</v>
      </c>
      <c r="B1235" s="1">
        <f>IFERROR(__xludf.DUMMYFUNCTION("""COMPUTED_VALUE"""),117.460736)</f>
        <v>117.460736</v>
      </c>
    </row>
    <row r="1236">
      <c r="A1236" s="3">
        <f>IFERROR(__xludf.DUMMYFUNCTION("""COMPUTED_VALUE"""),41548.99861111111)</f>
        <v>41548.99861</v>
      </c>
      <c r="B1236" s="1">
        <f>IFERROR(__xludf.DUMMYFUNCTION("""COMPUTED_VALUE"""),117.030969)</f>
        <v>117.030969</v>
      </c>
    </row>
    <row r="1237">
      <c r="A1237" s="3">
        <f>IFERROR(__xludf.DUMMYFUNCTION("""COMPUTED_VALUE"""),41549.99861111111)</f>
        <v>41549.99861</v>
      </c>
      <c r="B1237" s="1">
        <f>IFERROR(__xludf.DUMMYFUNCTION("""COMPUTED_VALUE"""),117.999018)</f>
        <v>117.999018</v>
      </c>
    </row>
    <row r="1238">
      <c r="A1238" s="3">
        <f>IFERROR(__xludf.DUMMYFUNCTION("""COMPUTED_VALUE"""),41550.99861111111)</f>
        <v>41550.99861</v>
      </c>
      <c r="B1238" s="1">
        <f>IFERROR(__xludf.DUMMYFUNCTION("""COMPUTED_VALUE"""),118.262343)</f>
        <v>118.262343</v>
      </c>
    </row>
    <row r="1239">
      <c r="A1239" s="3">
        <f>IFERROR(__xludf.DUMMYFUNCTION("""COMPUTED_VALUE"""),41551.99861111111)</f>
        <v>41551.99861</v>
      </c>
      <c r="B1239" s="1">
        <f>IFERROR(__xludf.DUMMYFUNCTION("""COMPUTED_VALUE"""),117.89766)</f>
        <v>117.89766</v>
      </c>
    </row>
    <row r="1240">
      <c r="A1240" s="3">
        <f>IFERROR(__xludf.DUMMYFUNCTION("""COMPUTED_VALUE"""),41552.99861111111)</f>
        <v>41552.99861</v>
      </c>
      <c r="B1240" s="1">
        <f>IFERROR(__xludf.DUMMYFUNCTION("""COMPUTED_VALUE"""),117.96948)</f>
        <v>117.96948</v>
      </c>
    </row>
    <row r="1241">
      <c r="A1241" s="3">
        <f>IFERROR(__xludf.DUMMYFUNCTION("""COMPUTED_VALUE"""),41553.99861111111)</f>
        <v>41553.99861</v>
      </c>
      <c r="B1241" s="1">
        <f>IFERROR(__xludf.DUMMYFUNCTION("""COMPUTED_VALUE"""),118.1172)</f>
        <v>118.1172</v>
      </c>
    </row>
    <row r="1242">
      <c r="A1242" s="3">
        <f>IFERROR(__xludf.DUMMYFUNCTION("""COMPUTED_VALUE"""),41554.99861111111)</f>
        <v>41554.99861</v>
      </c>
      <c r="B1242" s="1">
        <f>IFERROR(__xludf.DUMMYFUNCTION("""COMPUTED_VALUE"""),118.87898)</f>
        <v>118.87898</v>
      </c>
    </row>
    <row r="1243">
      <c r="A1243" s="3">
        <f>IFERROR(__xludf.DUMMYFUNCTION("""COMPUTED_VALUE"""),41555.99861111111)</f>
        <v>41555.99861</v>
      </c>
      <c r="B1243" s="1">
        <f>IFERROR(__xludf.DUMMYFUNCTION("""COMPUTED_VALUE"""),118.521696)</f>
        <v>118.521696</v>
      </c>
    </row>
    <row r="1244">
      <c r="A1244" s="3">
        <f>IFERROR(__xludf.DUMMYFUNCTION("""COMPUTED_VALUE"""),41556.99861111111)</f>
        <v>41556.99861</v>
      </c>
      <c r="B1244" s="1">
        <f>IFERROR(__xludf.DUMMYFUNCTION("""COMPUTED_VALUE"""),118.06431)</f>
        <v>118.06431</v>
      </c>
    </row>
    <row r="1245">
      <c r="A1245" s="3">
        <f>IFERROR(__xludf.DUMMYFUNCTION("""COMPUTED_VALUE"""),41557.99861111111)</f>
        <v>41557.99861</v>
      </c>
      <c r="B1245" s="1">
        <f>IFERROR(__xludf.DUMMYFUNCTION("""COMPUTED_VALUE"""),116.796507)</f>
        <v>116.796507</v>
      </c>
    </row>
    <row r="1246">
      <c r="A1246" s="3">
        <f>IFERROR(__xludf.DUMMYFUNCTION("""COMPUTED_VALUE"""),41558.99861111111)</f>
        <v>41558.99861</v>
      </c>
      <c r="B1246" s="1">
        <f>IFERROR(__xludf.DUMMYFUNCTION("""COMPUTED_VALUE"""),114.9876)</f>
        <v>114.9876</v>
      </c>
    </row>
    <row r="1247">
      <c r="A1247" s="3">
        <f>IFERROR(__xludf.DUMMYFUNCTION("""COMPUTED_VALUE"""),41559.99861111111)</f>
        <v>41559.99861</v>
      </c>
      <c r="B1247" s="1">
        <f>IFERROR(__xludf.DUMMYFUNCTION("""COMPUTED_VALUE"""),114.9876)</f>
        <v>114.9876</v>
      </c>
    </row>
    <row r="1248">
      <c r="A1248" s="3">
        <f>IFERROR(__xludf.DUMMYFUNCTION("""COMPUTED_VALUE"""),41560.99861111111)</f>
        <v>41560.99861</v>
      </c>
      <c r="B1248" s="1">
        <f>IFERROR(__xludf.DUMMYFUNCTION("""COMPUTED_VALUE"""),115.3278)</f>
        <v>115.3278</v>
      </c>
    </row>
    <row r="1249">
      <c r="A1249" s="3">
        <f>IFERROR(__xludf.DUMMYFUNCTION("""COMPUTED_VALUE"""),41561.99861111111)</f>
        <v>41561.99861</v>
      </c>
      <c r="B1249" s="1">
        <f>IFERROR(__xludf.DUMMYFUNCTION("""COMPUTED_VALUE"""),114.911832)</f>
        <v>114.911832</v>
      </c>
    </row>
    <row r="1250">
      <c r="A1250" s="3">
        <f>IFERROR(__xludf.DUMMYFUNCTION("""COMPUTED_VALUE"""),41562.99861111111)</f>
        <v>41562.99861</v>
      </c>
      <c r="B1250" s="1">
        <f>IFERROR(__xludf.DUMMYFUNCTION("""COMPUTED_VALUE"""),115.342638)</f>
        <v>115.342638</v>
      </c>
    </row>
    <row r="1251">
      <c r="A1251" s="3">
        <f>IFERROR(__xludf.DUMMYFUNCTION("""COMPUTED_VALUE"""),41563.99861111111)</f>
        <v>41563.99861</v>
      </c>
      <c r="B1251" s="1">
        <f>IFERROR(__xludf.DUMMYFUNCTION("""COMPUTED_VALUE"""),114.629632)</f>
        <v>114.629632</v>
      </c>
    </row>
    <row r="1252">
      <c r="A1252" s="3">
        <f>IFERROR(__xludf.DUMMYFUNCTION("""COMPUTED_VALUE"""),41564.99861111111)</f>
        <v>41564.99861</v>
      </c>
      <c r="B1252" s="1">
        <f>IFERROR(__xludf.DUMMYFUNCTION("""COMPUTED_VALUE"""),115.2804)</f>
        <v>115.2804</v>
      </c>
    </row>
    <row r="1253">
      <c r="A1253" s="3">
        <f>IFERROR(__xludf.DUMMYFUNCTION("""COMPUTED_VALUE"""),41565.99861111111)</f>
        <v>41565.99861</v>
      </c>
      <c r="B1253" s="1">
        <f>IFERROR(__xludf.DUMMYFUNCTION("""COMPUTED_VALUE"""),115.57854)</f>
        <v>115.57854</v>
      </c>
    </row>
    <row r="1254">
      <c r="A1254" s="3">
        <f>IFERROR(__xludf.DUMMYFUNCTION("""COMPUTED_VALUE"""),41566.99861111111)</f>
        <v>41566.99861</v>
      </c>
      <c r="B1254" s="1">
        <f>IFERROR(__xludf.DUMMYFUNCTION("""COMPUTED_VALUE"""),115.57854)</f>
        <v>115.57854</v>
      </c>
    </row>
    <row r="1255">
      <c r="A1255" s="3">
        <f>IFERROR(__xludf.DUMMYFUNCTION("""COMPUTED_VALUE"""),41567.99861111111)</f>
        <v>41567.99861</v>
      </c>
      <c r="B1255" s="1">
        <f>IFERROR(__xludf.DUMMYFUNCTION("""COMPUTED_VALUE"""),115.40907)</f>
        <v>115.40907</v>
      </c>
    </row>
    <row r="1256">
      <c r="A1256" s="3">
        <f>IFERROR(__xludf.DUMMYFUNCTION("""COMPUTED_VALUE"""),41568.99861111111)</f>
        <v>41568.99861</v>
      </c>
      <c r="B1256" s="1">
        <f>IFERROR(__xludf.DUMMYFUNCTION("""COMPUTED_VALUE"""),115.149364)</f>
        <v>115.149364</v>
      </c>
    </row>
    <row r="1257">
      <c r="A1257" s="3">
        <f>IFERROR(__xludf.DUMMYFUNCTION("""COMPUTED_VALUE"""),41569.99861111111)</f>
        <v>41569.99861</v>
      </c>
      <c r="B1257" s="1">
        <f>IFERROR(__xludf.DUMMYFUNCTION("""COMPUTED_VALUE"""),114.757632)</f>
        <v>114.757632</v>
      </c>
    </row>
    <row r="1258">
      <c r="A1258" s="3">
        <f>IFERROR(__xludf.DUMMYFUNCTION("""COMPUTED_VALUE"""),41570.99861111111)</f>
        <v>41570.99861</v>
      </c>
      <c r="B1258" s="1">
        <f>IFERROR(__xludf.DUMMYFUNCTION("""COMPUTED_VALUE"""),115.47588)</f>
        <v>115.47588</v>
      </c>
    </row>
    <row r="1259">
      <c r="A1259" s="3">
        <f>IFERROR(__xludf.DUMMYFUNCTION("""COMPUTED_VALUE"""),41571.99861111111)</f>
        <v>41571.99861</v>
      </c>
      <c r="B1259" s="1">
        <f>IFERROR(__xludf.DUMMYFUNCTION("""COMPUTED_VALUE"""),114.273432)</f>
        <v>114.273432</v>
      </c>
    </row>
    <row r="1260">
      <c r="A1260" s="3">
        <f>IFERROR(__xludf.DUMMYFUNCTION("""COMPUTED_VALUE"""),41572.99861111111)</f>
        <v>41572.99861</v>
      </c>
      <c r="B1260" s="1">
        <f>IFERROR(__xludf.DUMMYFUNCTION("""COMPUTED_VALUE"""),112.7574)</f>
        <v>112.7574</v>
      </c>
    </row>
    <row r="1261">
      <c r="A1261" s="3">
        <f>IFERROR(__xludf.DUMMYFUNCTION("""COMPUTED_VALUE"""),41573.99861111111)</f>
        <v>41573.99861</v>
      </c>
      <c r="B1261" s="1">
        <f>IFERROR(__xludf.DUMMYFUNCTION("""COMPUTED_VALUE"""),112.7574)</f>
        <v>112.7574</v>
      </c>
    </row>
    <row r="1262">
      <c r="A1262" s="3">
        <f>IFERROR(__xludf.DUMMYFUNCTION("""COMPUTED_VALUE"""),41574.99861111111)</f>
        <v>41574.99861</v>
      </c>
      <c r="B1262" s="1">
        <f>IFERROR(__xludf.DUMMYFUNCTION("""COMPUTED_VALUE"""),112.55958)</f>
        <v>112.55958</v>
      </c>
    </row>
    <row r="1263">
      <c r="A1263" s="3">
        <f>IFERROR(__xludf.DUMMYFUNCTION("""COMPUTED_VALUE"""),41575.99861111111)</f>
        <v>41575.99861</v>
      </c>
      <c r="B1263" s="1">
        <f>IFERROR(__xludf.DUMMYFUNCTION("""COMPUTED_VALUE"""),112.907025)</f>
        <v>112.907025</v>
      </c>
    </row>
    <row r="1264">
      <c r="A1264" s="3">
        <f>IFERROR(__xludf.DUMMYFUNCTION("""COMPUTED_VALUE"""),41576.99861111111)</f>
        <v>41576.99861</v>
      </c>
      <c r="B1264" s="1">
        <f>IFERROR(__xludf.DUMMYFUNCTION("""COMPUTED_VALUE"""),112.798875)</f>
        <v>112.798875</v>
      </c>
    </row>
    <row r="1265">
      <c r="A1265" s="3">
        <f>IFERROR(__xludf.DUMMYFUNCTION("""COMPUTED_VALUE"""),41577.99861111111)</f>
        <v>41577.99861</v>
      </c>
      <c r="B1265" s="1">
        <f>IFERROR(__xludf.DUMMYFUNCTION("""COMPUTED_VALUE"""),113.14205)</f>
        <v>113.14205</v>
      </c>
    </row>
    <row r="1266">
      <c r="A1266" s="3">
        <f>IFERROR(__xludf.DUMMYFUNCTION("""COMPUTED_VALUE"""),41578.99861111111)</f>
        <v>41578.99861</v>
      </c>
      <c r="B1266" s="1">
        <f>IFERROR(__xludf.DUMMYFUNCTION("""COMPUTED_VALUE"""),114.33916)</f>
        <v>114.33916</v>
      </c>
    </row>
    <row r="1267">
      <c r="A1267" s="3">
        <f>IFERROR(__xludf.DUMMYFUNCTION("""COMPUTED_VALUE"""),41579.99861111111)</f>
        <v>41579.99861</v>
      </c>
      <c r="B1267" s="1">
        <f>IFERROR(__xludf.DUMMYFUNCTION("""COMPUTED_VALUE"""),114.55004)</f>
        <v>114.55004</v>
      </c>
    </row>
    <row r="1268">
      <c r="A1268" s="3">
        <f>IFERROR(__xludf.DUMMYFUNCTION("""COMPUTED_VALUE"""),41580.99861111111)</f>
        <v>41580.99861</v>
      </c>
      <c r="B1268" s="1">
        <f>IFERROR(__xludf.DUMMYFUNCTION("""COMPUTED_VALUE"""),114.55004)</f>
        <v>114.55004</v>
      </c>
    </row>
    <row r="1269">
      <c r="A1269" s="3">
        <f>IFERROR(__xludf.DUMMYFUNCTION("""COMPUTED_VALUE"""),41581.99861111111)</f>
        <v>41581.99861</v>
      </c>
      <c r="B1269" s="1">
        <f>IFERROR(__xludf.DUMMYFUNCTION("""COMPUTED_VALUE"""),115.1135719)</f>
        <v>115.1135719</v>
      </c>
    </row>
    <row r="1270">
      <c r="A1270" s="3">
        <f>IFERROR(__xludf.DUMMYFUNCTION("""COMPUTED_VALUE"""),41582.99861111111)</f>
        <v>41582.99861</v>
      </c>
      <c r="B1270" s="1">
        <f>IFERROR(__xludf.DUMMYFUNCTION("""COMPUTED_VALUE"""),114.85578)</f>
        <v>114.85578</v>
      </c>
    </row>
    <row r="1271">
      <c r="A1271" s="3">
        <f>IFERROR(__xludf.DUMMYFUNCTION("""COMPUTED_VALUE"""),41583.99861111111)</f>
        <v>41583.99861</v>
      </c>
      <c r="B1271" s="1">
        <f>IFERROR(__xludf.DUMMYFUNCTION("""COMPUTED_VALUE"""),115.02216)</f>
        <v>115.02216</v>
      </c>
    </row>
    <row r="1272">
      <c r="A1272" s="3">
        <f>IFERROR(__xludf.DUMMYFUNCTION("""COMPUTED_VALUE"""),41584.99861111111)</f>
        <v>41584.99861</v>
      </c>
      <c r="B1272" s="1">
        <f>IFERROR(__xludf.DUMMYFUNCTION("""COMPUTED_VALUE"""),115.3363)</f>
        <v>115.3363</v>
      </c>
    </row>
    <row r="1273">
      <c r="A1273" s="3">
        <f>IFERROR(__xludf.DUMMYFUNCTION("""COMPUTED_VALUE"""),41585.99861111111)</f>
        <v>41585.99861</v>
      </c>
      <c r="B1273" s="1">
        <f>IFERROR(__xludf.DUMMYFUNCTION("""COMPUTED_VALUE"""),115.699246)</f>
        <v>115.699246</v>
      </c>
    </row>
    <row r="1274">
      <c r="A1274" s="3">
        <f>IFERROR(__xludf.DUMMYFUNCTION("""COMPUTED_VALUE"""),41586.99861111111)</f>
        <v>41586.99861</v>
      </c>
      <c r="B1274" s="1">
        <f>IFERROR(__xludf.DUMMYFUNCTION("""COMPUTED_VALUE"""),114.84438)</f>
        <v>114.84438</v>
      </c>
    </row>
    <row r="1275">
      <c r="A1275" s="3">
        <f>IFERROR(__xludf.DUMMYFUNCTION("""COMPUTED_VALUE"""),41587.99861111111)</f>
        <v>41587.99861</v>
      </c>
      <c r="B1275" s="1">
        <f>IFERROR(__xludf.DUMMYFUNCTION("""COMPUTED_VALUE"""),115.4461476)</f>
        <v>115.4461476</v>
      </c>
    </row>
    <row r="1276">
      <c r="A1276" s="3">
        <f>IFERROR(__xludf.DUMMYFUNCTION("""COMPUTED_VALUE"""),41588.99861111111)</f>
        <v>41588.99861</v>
      </c>
      <c r="B1276" s="1">
        <f>IFERROR(__xludf.DUMMYFUNCTION("""COMPUTED_VALUE"""),114.711699)</f>
        <v>114.711699</v>
      </c>
    </row>
    <row r="1277">
      <c r="A1277" s="3">
        <f>IFERROR(__xludf.DUMMYFUNCTION("""COMPUTED_VALUE"""),41589.99861111111)</f>
        <v>41589.99861</v>
      </c>
      <c r="B1277" s="1">
        <f>IFERROR(__xludf.DUMMYFUNCTION("""COMPUTED_VALUE"""),116.30022)</f>
        <v>116.30022</v>
      </c>
    </row>
    <row r="1278">
      <c r="A1278" s="3">
        <f>IFERROR(__xludf.DUMMYFUNCTION("""COMPUTED_VALUE"""),41590.99861111111)</f>
        <v>41590.99861</v>
      </c>
      <c r="B1278" s="1">
        <f>IFERROR(__xludf.DUMMYFUNCTION("""COMPUTED_VALUE"""),116.06634)</f>
        <v>116.06634</v>
      </c>
    </row>
    <row r="1279">
      <c r="A1279" s="3">
        <f>IFERROR(__xludf.DUMMYFUNCTION("""COMPUTED_VALUE"""),41591.99861111111)</f>
        <v>41591.99861</v>
      </c>
      <c r="B1279" s="1">
        <f>IFERROR(__xludf.DUMMYFUNCTION("""COMPUTED_VALUE"""),116.626698)</f>
        <v>116.626698</v>
      </c>
    </row>
    <row r="1280">
      <c r="A1280" s="3">
        <f>IFERROR(__xludf.DUMMYFUNCTION("""COMPUTED_VALUE"""),41592.99861111111)</f>
        <v>41592.99861</v>
      </c>
      <c r="B1280" s="1">
        <f>IFERROR(__xludf.DUMMYFUNCTION("""COMPUTED_VALUE"""),114.875178)</f>
        <v>114.875178</v>
      </c>
    </row>
    <row r="1281">
      <c r="A1281" s="3">
        <f>IFERROR(__xludf.DUMMYFUNCTION("""COMPUTED_VALUE"""),41593.99861111111)</f>
        <v>41593.99861</v>
      </c>
      <c r="B1281" s="1">
        <f>IFERROR(__xludf.DUMMYFUNCTION("""COMPUTED_VALUE"""),115.7181)</f>
        <v>115.7181</v>
      </c>
    </row>
    <row r="1282">
      <c r="A1282" s="3">
        <f>IFERROR(__xludf.DUMMYFUNCTION("""COMPUTED_VALUE"""),41594.99861111111)</f>
        <v>41594.99861</v>
      </c>
      <c r="B1282" s="1">
        <f>IFERROR(__xludf.DUMMYFUNCTION("""COMPUTED_VALUE"""),116.1815712)</f>
        <v>116.1815712</v>
      </c>
    </row>
    <row r="1283">
      <c r="A1283" s="3">
        <f>IFERROR(__xludf.DUMMYFUNCTION("""COMPUTED_VALUE"""),41595.99861111111)</f>
        <v>41595.99861</v>
      </c>
      <c r="B1283" s="1">
        <f>IFERROR(__xludf.DUMMYFUNCTION("""COMPUTED_VALUE"""),115.4862)</f>
        <v>115.4862</v>
      </c>
    </row>
    <row r="1284">
      <c r="A1284" s="3">
        <f>IFERROR(__xludf.DUMMYFUNCTION("""COMPUTED_VALUE"""),41596.99861111111)</f>
        <v>41596.99861</v>
      </c>
      <c r="B1284" s="1">
        <f>IFERROR(__xludf.DUMMYFUNCTION("""COMPUTED_VALUE"""),116.16605)</f>
        <v>116.16605</v>
      </c>
    </row>
    <row r="1285">
      <c r="A1285" s="3">
        <f>IFERROR(__xludf.DUMMYFUNCTION("""COMPUTED_VALUE"""),41597.99861111111)</f>
        <v>41597.99861</v>
      </c>
      <c r="B1285" s="1">
        <f>IFERROR(__xludf.DUMMYFUNCTION("""COMPUTED_VALUE"""),115.43389)</f>
        <v>115.43389</v>
      </c>
    </row>
    <row r="1286">
      <c r="A1286" s="3">
        <f>IFERROR(__xludf.DUMMYFUNCTION("""COMPUTED_VALUE"""),41598.99861111111)</f>
        <v>41598.99861</v>
      </c>
      <c r="B1286" s="1">
        <f>IFERROR(__xludf.DUMMYFUNCTION("""COMPUTED_VALUE"""),116.045791)</f>
        <v>116.045791</v>
      </c>
    </row>
    <row r="1287">
      <c r="A1287" s="3">
        <f>IFERROR(__xludf.DUMMYFUNCTION("""COMPUTED_VALUE"""),41599.99861111111)</f>
        <v>41599.99861</v>
      </c>
      <c r="B1287" s="1">
        <f>IFERROR(__xludf.DUMMYFUNCTION("""COMPUTED_VALUE"""),115.22238)</f>
        <v>115.22238</v>
      </c>
    </row>
    <row r="1288">
      <c r="A1288" s="3">
        <f>IFERROR(__xludf.DUMMYFUNCTION("""COMPUTED_VALUE"""),41600.99861111111)</f>
        <v>41600.99861</v>
      </c>
      <c r="B1288" s="1">
        <f>IFERROR(__xludf.DUMMYFUNCTION("""COMPUTED_VALUE"""),115.15329)</f>
        <v>115.15329</v>
      </c>
    </row>
    <row r="1289">
      <c r="A1289" s="3">
        <f>IFERROR(__xludf.DUMMYFUNCTION("""COMPUTED_VALUE"""),41601.99861111111)</f>
        <v>41601.99861</v>
      </c>
      <c r="B1289" s="1">
        <f>IFERROR(__xludf.DUMMYFUNCTION("""COMPUTED_VALUE"""),115.15329)</f>
        <v>115.15329</v>
      </c>
    </row>
    <row r="1290">
      <c r="A1290" s="3">
        <f>IFERROR(__xludf.DUMMYFUNCTION("""COMPUTED_VALUE"""),41602.99861111111)</f>
        <v>41602.99861</v>
      </c>
      <c r="B1290" s="1">
        <f>IFERROR(__xludf.DUMMYFUNCTION("""COMPUTED_VALUE"""),115.15329)</f>
        <v>115.15329</v>
      </c>
    </row>
    <row r="1291">
      <c r="A1291" s="3">
        <f>IFERROR(__xludf.DUMMYFUNCTION("""COMPUTED_VALUE"""),41603.99861111111)</f>
        <v>41603.99861</v>
      </c>
      <c r="B1291" s="1">
        <f>IFERROR(__xludf.DUMMYFUNCTION("""COMPUTED_VALUE"""),115.54934)</f>
        <v>115.54934</v>
      </c>
    </row>
    <row r="1292">
      <c r="A1292" s="3">
        <f>IFERROR(__xludf.DUMMYFUNCTION("""COMPUTED_VALUE"""),41604.99861111111)</f>
        <v>41604.99861</v>
      </c>
      <c r="B1292" s="1">
        <f>IFERROR(__xludf.DUMMYFUNCTION("""COMPUTED_VALUE"""),116.09)</f>
        <v>116.09</v>
      </c>
    </row>
    <row r="1293">
      <c r="A1293" s="3">
        <f>IFERROR(__xludf.DUMMYFUNCTION("""COMPUTED_VALUE"""),41605.99861111111)</f>
        <v>41605.99861</v>
      </c>
      <c r="B1293" s="1">
        <f>IFERROR(__xludf.DUMMYFUNCTION("""COMPUTED_VALUE"""),116.1864)</f>
        <v>116.1864</v>
      </c>
    </row>
    <row r="1294">
      <c r="A1294" s="3">
        <f>IFERROR(__xludf.DUMMYFUNCTION("""COMPUTED_VALUE"""),41606.99861111111)</f>
        <v>41606.99861</v>
      </c>
      <c r="B1294" s="1">
        <f>IFERROR(__xludf.DUMMYFUNCTION("""COMPUTED_VALUE"""),116.09136)</f>
        <v>116.09136</v>
      </c>
    </row>
    <row r="1295">
      <c r="A1295" s="3">
        <f>IFERROR(__xludf.DUMMYFUNCTION("""COMPUTED_VALUE"""),41607.99861111111)</f>
        <v>41607.99861</v>
      </c>
      <c r="B1295" s="1">
        <f>IFERROR(__xludf.DUMMYFUNCTION("""COMPUTED_VALUE"""),115.73408)</f>
        <v>115.73408</v>
      </c>
    </row>
    <row r="1296">
      <c r="A1296" s="3">
        <f>IFERROR(__xludf.DUMMYFUNCTION("""COMPUTED_VALUE"""),41608.99861111111)</f>
        <v>41608.99861</v>
      </c>
      <c r="B1296" s="1">
        <f>IFERROR(__xludf.DUMMYFUNCTION("""COMPUTED_VALUE"""),113.46)</f>
        <v>113.46</v>
      </c>
    </row>
    <row r="1297">
      <c r="A1297" s="3">
        <f>IFERROR(__xludf.DUMMYFUNCTION("""COMPUTED_VALUE"""),41609.99861111111)</f>
        <v>41609.99861</v>
      </c>
      <c r="B1297" s="1">
        <f>IFERROR(__xludf.DUMMYFUNCTION("""COMPUTED_VALUE"""),113.34375)</f>
        <v>113.34375</v>
      </c>
    </row>
    <row r="1298">
      <c r="A1298" s="3">
        <f>IFERROR(__xludf.DUMMYFUNCTION("""COMPUTED_VALUE"""),41610.99861111111)</f>
        <v>41610.99861</v>
      </c>
      <c r="B1298" s="1">
        <f>IFERROR(__xludf.DUMMYFUNCTION("""COMPUTED_VALUE"""),115.415235)</f>
        <v>115.415235</v>
      </c>
    </row>
    <row r="1299">
      <c r="A1299" s="3">
        <f>IFERROR(__xludf.DUMMYFUNCTION("""COMPUTED_VALUE"""),41611.99861111111)</f>
        <v>41611.99861</v>
      </c>
      <c r="B1299" s="1">
        <f>IFERROR(__xludf.DUMMYFUNCTION("""COMPUTED_VALUE"""),116.09268)</f>
        <v>116.09268</v>
      </c>
    </row>
    <row r="1300">
      <c r="A1300" s="3">
        <f>IFERROR(__xludf.DUMMYFUNCTION("""COMPUTED_VALUE"""),41612.99861111111)</f>
        <v>41612.99861</v>
      </c>
      <c r="B1300" s="1">
        <f>IFERROR(__xludf.DUMMYFUNCTION("""COMPUTED_VALUE"""),116.84672)</f>
        <v>116.84672</v>
      </c>
    </row>
    <row r="1301">
      <c r="A1301" s="3">
        <f>IFERROR(__xludf.DUMMYFUNCTION("""COMPUTED_VALUE"""),41613.99861111111)</f>
        <v>41613.99861</v>
      </c>
      <c r="B1301" s="1">
        <f>IFERROR(__xludf.DUMMYFUNCTION("""COMPUTED_VALUE"""),117.6424)</f>
        <v>117.6424</v>
      </c>
    </row>
    <row r="1302">
      <c r="A1302" s="3">
        <f>IFERROR(__xludf.DUMMYFUNCTION("""COMPUTED_VALUE"""),41614.99861111111)</f>
        <v>41614.99861</v>
      </c>
      <c r="B1302" s="1">
        <f>IFERROR(__xludf.DUMMYFUNCTION("""COMPUTED_VALUE"""),116.154)</f>
        <v>116.154</v>
      </c>
    </row>
    <row r="1303">
      <c r="A1303" s="3">
        <f>IFERROR(__xludf.DUMMYFUNCTION("""COMPUTED_VALUE"""),41615.99861111111)</f>
        <v>41615.99861</v>
      </c>
      <c r="B1303" s="1">
        <f>IFERROR(__xludf.DUMMYFUNCTION("""COMPUTED_VALUE"""),113.51016)</f>
        <v>113.51016</v>
      </c>
    </row>
    <row r="1304">
      <c r="A1304" s="3">
        <f>IFERROR(__xludf.DUMMYFUNCTION("""COMPUTED_VALUE"""),41616.99861111111)</f>
        <v>41616.99861</v>
      </c>
      <c r="B1304" s="1">
        <f>IFERROR(__xludf.DUMMYFUNCTION("""COMPUTED_VALUE"""),113.148142)</f>
        <v>113.148142</v>
      </c>
    </row>
    <row r="1305">
      <c r="A1305" s="3">
        <f>IFERROR(__xludf.DUMMYFUNCTION("""COMPUTED_VALUE"""),41617.99861111111)</f>
        <v>41617.99861</v>
      </c>
      <c r="B1305" s="1">
        <f>IFERROR(__xludf.DUMMYFUNCTION("""COMPUTED_VALUE"""),114.373466)</f>
        <v>114.373466</v>
      </c>
    </row>
    <row r="1306">
      <c r="A1306" s="3">
        <f>IFERROR(__xludf.DUMMYFUNCTION("""COMPUTED_VALUE"""),41618.99861111111)</f>
        <v>41618.99861</v>
      </c>
      <c r="B1306" s="1">
        <f>IFERROR(__xludf.DUMMYFUNCTION("""COMPUTED_VALUE"""),115.038314)</f>
        <v>115.038314</v>
      </c>
    </row>
    <row r="1307">
      <c r="A1307" s="3">
        <f>IFERROR(__xludf.DUMMYFUNCTION("""COMPUTED_VALUE"""),41619.99861111111)</f>
        <v>41619.99861</v>
      </c>
      <c r="B1307" s="1">
        <f>IFERROR(__xludf.DUMMYFUNCTION("""COMPUTED_VALUE"""),115.881768)</f>
        <v>115.881768</v>
      </c>
    </row>
    <row r="1308">
      <c r="A1308" s="3">
        <f>IFERROR(__xludf.DUMMYFUNCTION("""COMPUTED_VALUE"""),41620.99861111111)</f>
        <v>41620.99861</v>
      </c>
      <c r="B1308" s="1">
        <f>IFERROR(__xludf.DUMMYFUNCTION("""COMPUTED_VALUE"""),115.826347)</f>
        <v>115.826347</v>
      </c>
    </row>
    <row r="1309">
      <c r="A1309" s="3">
        <f>IFERROR(__xludf.DUMMYFUNCTION("""COMPUTED_VALUE"""),41621.99861111111)</f>
        <v>41621.99861</v>
      </c>
      <c r="B1309" s="1">
        <f>IFERROR(__xludf.DUMMYFUNCTION("""COMPUTED_VALUE"""),116.46411)</f>
        <v>116.46411</v>
      </c>
    </row>
    <row r="1310">
      <c r="A1310" s="3">
        <f>IFERROR(__xludf.DUMMYFUNCTION("""COMPUTED_VALUE"""),41622.99861111111)</f>
        <v>41622.99861</v>
      </c>
      <c r="B1310" s="1">
        <f>IFERROR(__xludf.DUMMYFUNCTION("""COMPUTED_VALUE"""),116.4663387)</f>
        <v>116.4663387</v>
      </c>
    </row>
    <row r="1311">
      <c r="A1311" s="3">
        <f>IFERROR(__xludf.DUMMYFUNCTION("""COMPUTED_VALUE"""),41623.99861111111)</f>
        <v>41623.99861</v>
      </c>
      <c r="B1311" s="1">
        <f>IFERROR(__xludf.DUMMYFUNCTION("""COMPUTED_VALUE"""),116.04384)</f>
        <v>116.04384</v>
      </c>
    </row>
    <row r="1312">
      <c r="A1312" s="3">
        <f>IFERROR(__xludf.DUMMYFUNCTION("""COMPUTED_VALUE"""),41624.99861111111)</f>
        <v>41624.99861</v>
      </c>
      <c r="B1312" s="1">
        <f>IFERROR(__xludf.DUMMYFUNCTION("""COMPUTED_VALUE"""),116.098656)</f>
        <v>116.098656</v>
      </c>
    </row>
    <row r="1313">
      <c r="A1313" s="3">
        <f>IFERROR(__xludf.DUMMYFUNCTION("""COMPUTED_VALUE"""),41625.99861111111)</f>
        <v>41625.99861</v>
      </c>
      <c r="B1313" s="1">
        <f>IFERROR(__xludf.DUMMYFUNCTION("""COMPUTED_VALUE"""),116.736144)</f>
        <v>116.736144</v>
      </c>
    </row>
    <row r="1314">
      <c r="A1314" s="3">
        <f>IFERROR(__xludf.DUMMYFUNCTION("""COMPUTED_VALUE"""),41626.99861111111)</f>
        <v>41626.99861</v>
      </c>
      <c r="B1314" s="1">
        <f>IFERROR(__xludf.DUMMYFUNCTION("""COMPUTED_VALUE"""),115.183068)</f>
        <v>115.183068</v>
      </c>
    </row>
    <row r="1315">
      <c r="A1315" s="3">
        <f>IFERROR(__xludf.DUMMYFUNCTION("""COMPUTED_VALUE"""),41627.99861111111)</f>
        <v>41627.99861</v>
      </c>
      <c r="B1315" s="1">
        <f>IFERROR(__xludf.DUMMYFUNCTION("""COMPUTED_VALUE"""),116.199502)</f>
        <v>116.199502</v>
      </c>
    </row>
    <row r="1316">
      <c r="A1316" s="3">
        <f>IFERROR(__xludf.DUMMYFUNCTION("""COMPUTED_VALUE"""),41628.99861111111)</f>
        <v>41628.99861</v>
      </c>
      <c r="B1316" s="1">
        <f>IFERROR(__xludf.DUMMYFUNCTION("""COMPUTED_VALUE"""),116.6688)</f>
        <v>116.6688</v>
      </c>
    </row>
    <row r="1317">
      <c r="A1317" s="3">
        <f>IFERROR(__xludf.DUMMYFUNCTION("""COMPUTED_VALUE"""),41629.99861111111)</f>
        <v>41629.99861</v>
      </c>
      <c r="B1317" s="1">
        <f>IFERROR(__xludf.DUMMYFUNCTION("""COMPUTED_VALUE"""),116.7678426)</f>
        <v>116.7678426</v>
      </c>
    </row>
    <row r="1318">
      <c r="A1318" s="3">
        <f>IFERROR(__xludf.DUMMYFUNCTION("""COMPUTED_VALUE"""),41630.99861111111)</f>
        <v>41630.99861</v>
      </c>
      <c r="B1318" s="1">
        <f>IFERROR(__xludf.DUMMYFUNCTION("""COMPUTED_VALUE"""),116.79033)</f>
        <v>116.79033</v>
      </c>
    </row>
    <row r="1319">
      <c r="A1319" s="3">
        <f>IFERROR(__xludf.DUMMYFUNCTION("""COMPUTED_VALUE"""),41631.99861111111)</f>
        <v>41631.99861</v>
      </c>
      <c r="B1319" s="1">
        <f>IFERROR(__xludf.DUMMYFUNCTION("""COMPUTED_VALUE"""),116.562612)</f>
        <v>116.562612</v>
      </c>
    </row>
    <row r="1320">
      <c r="A1320" s="3">
        <f>IFERROR(__xludf.DUMMYFUNCTION("""COMPUTED_VALUE"""),41632.99861111111)</f>
        <v>41632.99861</v>
      </c>
      <c r="B1320" s="1">
        <f>IFERROR(__xludf.DUMMYFUNCTION("""COMPUTED_VALUE"""),116.462876)</f>
        <v>116.462876</v>
      </c>
    </row>
    <row r="1321">
      <c r="A1321" s="3">
        <f>IFERROR(__xludf.DUMMYFUNCTION("""COMPUTED_VALUE"""),41633.99861111111)</f>
        <v>41633.99861</v>
      </c>
      <c r="B1321" s="1">
        <f>IFERROR(__xludf.DUMMYFUNCTION("""COMPUTED_VALUE"""),116.13488)</f>
        <v>116.13488</v>
      </c>
    </row>
    <row r="1322">
      <c r="A1322" s="3">
        <f>IFERROR(__xludf.DUMMYFUNCTION("""COMPUTED_VALUE"""),41634.99861111111)</f>
        <v>41634.99861</v>
      </c>
      <c r="B1322" s="1">
        <f>IFERROR(__xludf.DUMMYFUNCTION("""COMPUTED_VALUE"""),115.794736)</f>
        <v>115.794736</v>
      </c>
    </row>
    <row r="1323">
      <c r="A1323" s="3">
        <f>IFERROR(__xludf.DUMMYFUNCTION("""COMPUTED_VALUE"""),41635.99861111111)</f>
        <v>41635.99861</v>
      </c>
      <c r="B1323" s="1">
        <f>IFERROR(__xludf.DUMMYFUNCTION("""COMPUTED_VALUE"""),115.47042)</f>
        <v>115.47042</v>
      </c>
    </row>
    <row r="1324">
      <c r="A1324" s="3">
        <f>IFERROR(__xludf.DUMMYFUNCTION("""COMPUTED_VALUE"""),41636.99861111111)</f>
        <v>41636.99861</v>
      </c>
      <c r="B1324" s="1">
        <f>IFERROR(__xludf.DUMMYFUNCTION("""COMPUTED_VALUE"""),115.5527766)</f>
        <v>115.5527766</v>
      </c>
    </row>
    <row r="1325">
      <c r="A1325" s="3">
        <f>IFERROR(__xludf.DUMMYFUNCTION("""COMPUTED_VALUE"""),41637.99861111111)</f>
        <v>41637.99861</v>
      </c>
      <c r="B1325" s="1">
        <f>IFERROR(__xludf.DUMMYFUNCTION("""COMPUTED_VALUE"""),115.22758)</f>
        <v>115.22758</v>
      </c>
    </row>
    <row r="1326">
      <c r="A1326" s="3">
        <f>IFERROR(__xludf.DUMMYFUNCTION("""COMPUTED_VALUE"""),41638.99861111111)</f>
        <v>41638.99861</v>
      </c>
      <c r="B1326" s="1">
        <f>IFERROR(__xludf.DUMMYFUNCTION("""COMPUTED_VALUE"""),116.34224)</f>
        <v>116.34224</v>
      </c>
    </row>
    <row r="1327">
      <c r="A1327" s="3">
        <f>IFERROR(__xludf.DUMMYFUNCTION("""COMPUTED_VALUE"""),41639.99861111111)</f>
        <v>41639.99861</v>
      </c>
      <c r="B1327" s="1">
        <f>IFERROR(__xludf.DUMMYFUNCTION("""COMPUTED_VALUE"""),115.501)</f>
        <v>115.501</v>
      </c>
    </row>
    <row r="1328">
      <c r="A1328" s="3">
        <f>IFERROR(__xludf.DUMMYFUNCTION("""COMPUTED_VALUE"""),41640.99861111111)</f>
        <v>41640.99861</v>
      </c>
      <c r="B1328" s="1">
        <f>IFERROR(__xludf.DUMMYFUNCTION("""COMPUTED_VALUE"""),115.403736)</f>
        <v>115.403736</v>
      </c>
    </row>
    <row r="1329">
      <c r="A1329" s="3">
        <f>IFERROR(__xludf.DUMMYFUNCTION("""COMPUTED_VALUE"""),41641.99861111111)</f>
        <v>41641.99861</v>
      </c>
      <c r="B1329" s="1">
        <f>IFERROR(__xludf.DUMMYFUNCTION("""COMPUTED_VALUE"""),115.404672)</f>
        <v>115.404672</v>
      </c>
    </row>
    <row r="1330">
      <c r="A1330" s="3">
        <f>IFERROR(__xludf.DUMMYFUNCTION("""COMPUTED_VALUE"""),41642.99861111111)</f>
        <v>41642.99861</v>
      </c>
      <c r="B1330" s="1">
        <f>IFERROR(__xludf.DUMMYFUNCTION("""COMPUTED_VALUE"""),115.38924)</f>
        <v>115.38924</v>
      </c>
    </row>
    <row r="1331">
      <c r="A1331" s="3">
        <f>IFERROR(__xludf.DUMMYFUNCTION("""COMPUTED_VALUE"""),41643.99861111111)</f>
        <v>41643.99861</v>
      </c>
      <c r="B1331" s="1">
        <f>IFERROR(__xludf.DUMMYFUNCTION("""COMPUTED_VALUE"""),115.4962962)</f>
        <v>115.4962962</v>
      </c>
    </row>
    <row r="1332">
      <c r="A1332" s="3">
        <f>IFERROR(__xludf.DUMMYFUNCTION("""COMPUTED_VALUE"""),41644.99861111111)</f>
        <v>41644.99861</v>
      </c>
      <c r="B1332" s="1">
        <f>IFERROR(__xludf.DUMMYFUNCTION("""COMPUTED_VALUE"""),115.42736)</f>
        <v>115.42736</v>
      </c>
    </row>
    <row r="1333">
      <c r="A1333" s="3">
        <f>IFERROR(__xludf.DUMMYFUNCTION("""COMPUTED_VALUE"""),41645.99861111111)</f>
        <v>41645.99861</v>
      </c>
      <c r="B1333" s="1">
        <f>IFERROR(__xludf.DUMMYFUNCTION("""COMPUTED_VALUE"""),116.391869)</f>
        <v>116.391869</v>
      </c>
    </row>
    <row r="1334">
      <c r="A1334" s="3">
        <f>IFERROR(__xludf.DUMMYFUNCTION("""COMPUTED_VALUE"""),41646.99861111111)</f>
        <v>41646.99861</v>
      </c>
      <c r="B1334" s="1">
        <f>IFERROR(__xludf.DUMMYFUNCTION("""COMPUTED_VALUE"""),115.24488)</f>
        <v>115.24488</v>
      </c>
    </row>
    <row r="1335">
      <c r="A1335" s="3">
        <f>IFERROR(__xludf.DUMMYFUNCTION("""COMPUTED_VALUE"""),41647.99861111111)</f>
        <v>41647.99861</v>
      </c>
      <c r="B1335" s="1">
        <f>IFERROR(__xludf.DUMMYFUNCTION("""COMPUTED_VALUE"""),115.142118)</f>
        <v>115.142118</v>
      </c>
    </row>
    <row r="1336">
      <c r="A1336" s="3">
        <f>IFERROR(__xludf.DUMMYFUNCTION("""COMPUTED_VALUE"""),41648.99861111111)</f>
        <v>41648.99861</v>
      </c>
      <c r="B1336" s="1">
        <f>IFERROR(__xludf.DUMMYFUNCTION("""COMPUTED_VALUE"""),114.72512)</f>
        <v>114.72512</v>
      </c>
    </row>
    <row r="1337">
      <c r="A1337" s="3">
        <f>IFERROR(__xludf.DUMMYFUNCTION("""COMPUTED_VALUE"""),41649.99861111111)</f>
        <v>41649.99861</v>
      </c>
      <c r="B1337" s="1">
        <f>IFERROR(__xludf.DUMMYFUNCTION("""COMPUTED_VALUE"""),113.5104)</f>
        <v>113.5104</v>
      </c>
    </row>
    <row r="1338">
      <c r="A1338" s="3">
        <f>IFERROR(__xludf.DUMMYFUNCTION("""COMPUTED_VALUE"""),41650.99861111111)</f>
        <v>41650.99861</v>
      </c>
      <c r="B1338" s="1">
        <f>IFERROR(__xludf.DUMMYFUNCTION("""COMPUTED_VALUE"""),113.475168)</f>
        <v>113.475168</v>
      </c>
    </row>
    <row r="1339">
      <c r="A1339" s="3">
        <f>IFERROR(__xludf.DUMMYFUNCTION("""COMPUTED_VALUE"""),41651.99861111111)</f>
        <v>41651.99861</v>
      </c>
      <c r="B1339" s="1">
        <f>IFERROR(__xludf.DUMMYFUNCTION("""COMPUTED_VALUE"""),115.48337)</f>
        <v>115.48337</v>
      </c>
    </row>
    <row r="1340">
      <c r="A1340" s="3">
        <f>IFERROR(__xludf.DUMMYFUNCTION("""COMPUTED_VALUE"""),41652.99861111111)</f>
        <v>41652.99861</v>
      </c>
      <c r="B1340" s="1">
        <f>IFERROR(__xludf.DUMMYFUNCTION("""COMPUTED_VALUE"""),114.505528)</f>
        <v>114.505528</v>
      </c>
    </row>
    <row r="1341">
      <c r="A1341" s="3">
        <f>IFERROR(__xludf.DUMMYFUNCTION("""COMPUTED_VALUE"""),41653.99861111111)</f>
        <v>41653.99861</v>
      </c>
      <c r="B1341" s="1">
        <f>IFERROR(__xludf.DUMMYFUNCTION("""COMPUTED_VALUE"""),113.230595)</f>
        <v>113.230595</v>
      </c>
    </row>
    <row r="1342">
      <c r="A1342" s="3">
        <f>IFERROR(__xludf.DUMMYFUNCTION("""COMPUTED_VALUE"""),41654.99861111111)</f>
        <v>41654.99861</v>
      </c>
      <c r="B1342" s="1">
        <f>IFERROR(__xludf.DUMMYFUNCTION("""COMPUTED_VALUE"""),113.063852)</f>
        <v>113.063852</v>
      </c>
    </row>
    <row r="1343">
      <c r="A1343" s="3">
        <f>IFERROR(__xludf.DUMMYFUNCTION("""COMPUTED_VALUE"""),41655.99861111111)</f>
        <v>41655.99861</v>
      </c>
      <c r="B1343" s="1">
        <f>IFERROR(__xludf.DUMMYFUNCTION("""COMPUTED_VALUE"""),113.921898)</f>
        <v>113.921898</v>
      </c>
    </row>
    <row r="1344">
      <c r="A1344" s="3">
        <f>IFERROR(__xludf.DUMMYFUNCTION("""COMPUTED_VALUE"""),41656.99861111111)</f>
        <v>41656.99861</v>
      </c>
      <c r="B1344" s="1">
        <f>IFERROR(__xludf.DUMMYFUNCTION("""COMPUTED_VALUE"""),113.59964)</f>
        <v>113.59964</v>
      </c>
    </row>
    <row r="1345">
      <c r="A1345" s="3">
        <f>IFERROR(__xludf.DUMMYFUNCTION("""COMPUTED_VALUE"""),41657.99861111111)</f>
        <v>41657.99861</v>
      </c>
      <c r="B1345" s="1">
        <f>IFERROR(__xludf.DUMMYFUNCTION("""COMPUTED_VALUE"""),113.6416962)</f>
        <v>113.6416962</v>
      </c>
    </row>
    <row r="1346">
      <c r="A1346" s="3">
        <f>IFERROR(__xludf.DUMMYFUNCTION("""COMPUTED_VALUE"""),41658.99861111111)</f>
        <v>41658.99861</v>
      </c>
      <c r="B1346" s="1">
        <f>IFERROR(__xludf.DUMMYFUNCTION("""COMPUTED_VALUE"""),113.71822)</f>
        <v>113.71822</v>
      </c>
    </row>
    <row r="1347">
      <c r="A1347" s="3">
        <f>IFERROR(__xludf.DUMMYFUNCTION("""COMPUTED_VALUE"""),41659.99861111111)</f>
        <v>41659.99861</v>
      </c>
      <c r="B1347" s="1">
        <f>IFERROR(__xludf.DUMMYFUNCTION("""COMPUTED_VALUE"""),114.080333)</f>
        <v>114.080333</v>
      </c>
    </row>
    <row r="1348">
      <c r="A1348" s="3">
        <f>IFERROR(__xludf.DUMMYFUNCTION("""COMPUTED_VALUE"""),41660.99861111111)</f>
        <v>41660.99861</v>
      </c>
      <c r="B1348" s="1">
        <f>IFERROR(__xludf.DUMMYFUNCTION("""COMPUTED_VALUE"""),115.710766)</f>
        <v>115.710766</v>
      </c>
    </row>
    <row r="1349">
      <c r="A1349" s="3">
        <f>IFERROR(__xludf.DUMMYFUNCTION("""COMPUTED_VALUE"""),41661.99861111111)</f>
        <v>41661.99861</v>
      </c>
      <c r="B1349" s="1">
        <f>IFERROR(__xludf.DUMMYFUNCTION("""COMPUTED_VALUE"""),115.144808)</f>
        <v>115.144808</v>
      </c>
    </row>
    <row r="1350">
      <c r="A1350" s="3">
        <f>IFERROR(__xludf.DUMMYFUNCTION("""COMPUTED_VALUE"""),41662.99861111111)</f>
        <v>41662.99861</v>
      </c>
      <c r="B1350" s="1">
        <f>IFERROR(__xludf.DUMMYFUNCTION("""COMPUTED_VALUE"""),116.987682)</f>
        <v>116.987682</v>
      </c>
    </row>
    <row r="1351">
      <c r="A1351" s="3">
        <f>IFERROR(__xludf.DUMMYFUNCTION("""COMPUTED_VALUE"""),41663.99861111111)</f>
        <v>41663.99861</v>
      </c>
      <c r="B1351" s="1">
        <f>IFERROR(__xludf.DUMMYFUNCTION("""COMPUTED_VALUE"""),118.48079)</f>
        <v>118.48079</v>
      </c>
    </row>
    <row r="1352">
      <c r="A1352" s="3">
        <f>IFERROR(__xludf.DUMMYFUNCTION("""COMPUTED_VALUE"""),41664.99861111111)</f>
        <v>41664.99861</v>
      </c>
      <c r="B1352" s="1">
        <f>IFERROR(__xludf.DUMMYFUNCTION("""COMPUTED_VALUE"""),118.5679384)</f>
        <v>118.5679384</v>
      </c>
    </row>
    <row r="1353">
      <c r="A1353" s="3">
        <f>IFERROR(__xludf.DUMMYFUNCTION("""COMPUTED_VALUE"""),41665.99861111111)</f>
        <v>41665.99861</v>
      </c>
      <c r="B1353" s="1">
        <f>IFERROR(__xludf.DUMMYFUNCTION("""COMPUTED_VALUE"""),118.72333)</f>
        <v>118.72333</v>
      </c>
    </row>
    <row r="1354">
      <c r="A1354" s="3">
        <f>IFERROR(__xludf.DUMMYFUNCTION("""COMPUTED_VALUE"""),41666.99861111111)</f>
        <v>41666.99861</v>
      </c>
      <c r="B1354" s="1">
        <f>IFERROR(__xludf.DUMMYFUNCTION("""COMPUTED_VALUE"""),118.810977)</f>
        <v>118.810977</v>
      </c>
    </row>
    <row r="1355">
      <c r="A1355" s="3">
        <f>IFERROR(__xludf.DUMMYFUNCTION("""COMPUTED_VALUE"""),41667.99861111111)</f>
        <v>41667.99861</v>
      </c>
      <c r="B1355" s="1">
        <f>IFERROR(__xludf.DUMMYFUNCTION("""COMPUTED_VALUE"""),117.072333)</f>
        <v>117.072333</v>
      </c>
    </row>
    <row r="1356">
      <c r="A1356" s="3">
        <f>IFERROR(__xludf.DUMMYFUNCTION("""COMPUTED_VALUE"""),41668.99861111111)</f>
        <v>41668.99861</v>
      </c>
      <c r="B1356" s="1">
        <f>IFERROR(__xludf.DUMMYFUNCTION("""COMPUTED_VALUE"""),118.138338)</f>
        <v>118.138338</v>
      </c>
    </row>
    <row r="1357">
      <c r="A1357" s="3">
        <f>IFERROR(__xludf.DUMMYFUNCTION("""COMPUTED_VALUE"""),41669.99861111111)</f>
        <v>41669.99861</v>
      </c>
      <c r="B1357" s="1">
        <f>IFERROR(__xludf.DUMMYFUNCTION("""COMPUTED_VALUE"""),118.15139)</f>
        <v>118.15139</v>
      </c>
    </row>
    <row r="1358">
      <c r="A1358" s="3">
        <f>IFERROR(__xludf.DUMMYFUNCTION("""COMPUTED_VALUE"""),41670.99861111111)</f>
        <v>41670.99861</v>
      </c>
      <c r="B1358" s="1">
        <f>IFERROR(__xludf.DUMMYFUNCTION("""COMPUTED_VALUE"""),119.07)</f>
        <v>119.07</v>
      </c>
    </row>
    <row r="1359">
      <c r="A1359" s="3">
        <f>IFERROR(__xludf.DUMMYFUNCTION("""COMPUTED_VALUE"""),41671.99861111111)</f>
        <v>41671.99861</v>
      </c>
      <c r="B1359" s="1">
        <f>IFERROR(__xludf.DUMMYFUNCTION("""COMPUTED_VALUE"""),119.366548)</f>
        <v>119.366548</v>
      </c>
    </row>
    <row r="1360">
      <c r="A1360" s="3">
        <f>IFERROR(__xludf.DUMMYFUNCTION("""COMPUTED_VALUE"""),41672.99861111111)</f>
        <v>41672.99861</v>
      </c>
      <c r="B1360" s="1">
        <f>IFERROR(__xludf.DUMMYFUNCTION("""COMPUTED_VALUE"""),118.9485)</f>
        <v>118.9485</v>
      </c>
    </row>
    <row r="1361">
      <c r="A1361" s="3">
        <f>IFERROR(__xludf.DUMMYFUNCTION("""COMPUTED_VALUE"""),41673.99861111111)</f>
        <v>41673.99861</v>
      </c>
      <c r="B1361" s="1">
        <f>IFERROR(__xludf.DUMMYFUNCTION("""COMPUTED_VALUE"""),119.527212)</f>
        <v>119.527212</v>
      </c>
    </row>
    <row r="1362">
      <c r="A1362" s="3">
        <f>IFERROR(__xludf.DUMMYFUNCTION("""COMPUTED_VALUE"""),41674.99861111111)</f>
        <v>41674.99861</v>
      </c>
      <c r="B1362" s="1">
        <f>IFERROR(__xludf.DUMMYFUNCTION("""COMPUTED_VALUE"""),117.797192)</f>
        <v>117.797192</v>
      </c>
    </row>
    <row r="1363">
      <c r="A1363" s="3">
        <f>IFERROR(__xludf.DUMMYFUNCTION("""COMPUTED_VALUE"""),41675.99861111111)</f>
        <v>41675.99861</v>
      </c>
      <c r="B1363" s="1">
        <f>IFERROR(__xludf.DUMMYFUNCTION("""COMPUTED_VALUE"""),118.46912)</f>
        <v>118.46912</v>
      </c>
    </row>
    <row r="1364">
      <c r="A1364" s="3">
        <f>IFERROR(__xludf.DUMMYFUNCTION("""COMPUTED_VALUE"""),41676.99861111111)</f>
        <v>41676.99861</v>
      </c>
      <c r="B1364" s="1">
        <f>IFERROR(__xludf.DUMMYFUNCTION("""COMPUTED_VALUE"""),117.012)</f>
        <v>117.012</v>
      </c>
    </row>
    <row r="1365">
      <c r="A1365" s="3">
        <f>IFERROR(__xludf.DUMMYFUNCTION("""COMPUTED_VALUE"""),41677.99861111111)</f>
        <v>41677.99861</v>
      </c>
      <c r="B1365" s="1">
        <f>IFERROR(__xludf.DUMMYFUNCTION("""COMPUTED_VALUE"""),117.24977)</f>
        <v>117.24977</v>
      </c>
    </row>
    <row r="1366">
      <c r="A1366" s="3">
        <f>IFERROR(__xludf.DUMMYFUNCTION("""COMPUTED_VALUE"""),41678.99861111111)</f>
        <v>41678.99861</v>
      </c>
      <c r="B1366" s="1">
        <f>IFERROR(__xludf.DUMMYFUNCTION("""COMPUTED_VALUE"""),117.4278771)</f>
        <v>117.4278771</v>
      </c>
    </row>
    <row r="1367">
      <c r="A1367" s="3">
        <f>IFERROR(__xludf.DUMMYFUNCTION("""COMPUTED_VALUE"""),41679.99861111111)</f>
        <v>41679.99861</v>
      </c>
      <c r="B1367" s="1">
        <f>IFERROR(__xludf.DUMMYFUNCTION("""COMPUTED_VALUE"""),117.00975)</f>
        <v>117.00975</v>
      </c>
    </row>
    <row r="1368">
      <c r="A1368" s="3">
        <f>IFERROR(__xludf.DUMMYFUNCTION("""COMPUTED_VALUE"""),41680.99861111111)</f>
        <v>41680.99861</v>
      </c>
      <c r="B1368" s="1">
        <f>IFERROR(__xludf.DUMMYFUNCTION("""COMPUTED_VALUE"""),117.710488)</f>
        <v>117.710488</v>
      </c>
    </row>
    <row r="1369">
      <c r="A1369" s="3">
        <f>IFERROR(__xludf.DUMMYFUNCTION("""COMPUTED_VALUE"""),41681.99861111111)</f>
        <v>41681.99861</v>
      </c>
      <c r="B1369" s="1">
        <f>IFERROR(__xludf.DUMMYFUNCTION("""COMPUTED_VALUE"""),116.91449)</f>
        <v>116.91449</v>
      </c>
    </row>
    <row r="1370">
      <c r="A1370" s="3">
        <f>IFERROR(__xludf.DUMMYFUNCTION("""COMPUTED_VALUE"""),41682.99861111111)</f>
        <v>41682.99861</v>
      </c>
      <c r="B1370" s="1">
        <f>IFERROR(__xludf.DUMMYFUNCTION("""COMPUTED_VALUE"""),116.434629)</f>
        <v>116.434629</v>
      </c>
    </row>
    <row r="1371">
      <c r="A1371" s="3">
        <f>IFERROR(__xludf.DUMMYFUNCTION("""COMPUTED_VALUE"""),41683.99861111111)</f>
        <v>41683.99861</v>
      </c>
      <c r="B1371" s="1">
        <f>IFERROR(__xludf.DUMMYFUNCTION("""COMPUTED_VALUE"""),116.218536)</f>
        <v>116.218536</v>
      </c>
    </row>
    <row r="1372">
      <c r="A1372" s="3">
        <f>IFERROR(__xludf.DUMMYFUNCTION("""COMPUTED_VALUE"""),41684.99861111111)</f>
        <v>41684.99861</v>
      </c>
      <c r="B1372" s="1">
        <f>IFERROR(__xludf.DUMMYFUNCTION("""COMPUTED_VALUE"""),113.97092)</f>
        <v>113.97092</v>
      </c>
    </row>
    <row r="1373">
      <c r="A1373" s="3">
        <f>IFERROR(__xludf.DUMMYFUNCTION("""COMPUTED_VALUE"""),41685.99861111111)</f>
        <v>41685.99861</v>
      </c>
      <c r="B1373" s="1">
        <f>IFERROR(__xludf.DUMMYFUNCTION("""COMPUTED_VALUE"""),114.185978)</f>
        <v>114.185978</v>
      </c>
    </row>
    <row r="1374">
      <c r="A1374" s="3">
        <f>IFERROR(__xludf.DUMMYFUNCTION("""COMPUTED_VALUE"""),41686.99861111111)</f>
        <v>41686.99861</v>
      </c>
      <c r="B1374" s="1">
        <f>IFERROR(__xludf.DUMMYFUNCTION("""COMPUTED_VALUE"""),114.99024)</f>
        <v>114.99024</v>
      </c>
    </row>
    <row r="1375">
      <c r="A1375" s="3">
        <f>IFERROR(__xludf.DUMMYFUNCTION("""COMPUTED_VALUE"""),41687.99861111111)</f>
        <v>41687.99861</v>
      </c>
      <c r="B1375" s="1">
        <f>IFERROR(__xludf.DUMMYFUNCTION("""COMPUTED_VALUE"""),113.925645)</f>
        <v>113.925645</v>
      </c>
    </row>
    <row r="1376">
      <c r="A1376" s="3">
        <f>IFERROR(__xludf.DUMMYFUNCTION("""COMPUTED_VALUE"""),41688.99861111111)</f>
        <v>41688.99861</v>
      </c>
      <c r="B1376" s="1">
        <f>IFERROR(__xludf.DUMMYFUNCTION("""COMPUTED_VALUE"""),115.65312)</f>
        <v>115.65312</v>
      </c>
    </row>
    <row r="1377">
      <c r="A1377" s="3">
        <f>IFERROR(__xludf.DUMMYFUNCTION("""COMPUTED_VALUE"""),41689.99861111111)</f>
        <v>41689.99861</v>
      </c>
      <c r="B1377" s="1">
        <f>IFERROR(__xludf.DUMMYFUNCTION("""COMPUTED_VALUE"""),114.02567)</f>
        <v>114.02567</v>
      </c>
    </row>
    <row r="1378">
      <c r="A1378" s="3">
        <f>IFERROR(__xludf.DUMMYFUNCTION("""COMPUTED_VALUE"""),41690.99861111111)</f>
        <v>41690.99861</v>
      </c>
      <c r="B1378" s="1">
        <f>IFERROR(__xludf.DUMMYFUNCTION("""COMPUTED_VALUE"""),114.90497)</f>
        <v>114.90497</v>
      </c>
    </row>
    <row r="1379">
      <c r="A1379" s="3">
        <f>IFERROR(__xludf.DUMMYFUNCTION("""COMPUTED_VALUE"""),41691.99861111111)</f>
        <v>41691.99861</v>
      </c>
      <c r="B1379" s="1">
        <f>IFERROR(__xludf.DUMMYFUNCTION("""COMPUTED_VALUE"""),114.00656)</f>
        <v>114.00656</v>
      </c>
    </row>
    <row r="1380">
      <c r="A1380" s="3">
        <f>IFERROR(__xludf.DUMMYFUNCTION("""COMPUTED_VALUE"""),41692.99861111111)</f>
        <v>41692.99861</v>
      </c>
      <c r="B1380" s="1">
        <f>IFERROR(__xludf.DUMMYFUNCTION("""COMPUTED_VALUE"""),114.035025)</f>
        <v>114.035025</v>
      </c>
    </row>
    <row r="1381">
      <c r="A1381" s="3">
        <f>IFERROR(__xludf.DUMMYFUNCTION("""COMPUTED_VALUE"""),41693.99861111111)</f>
        <v>41693.99861</v>
      </c>
      <c r="B1381" s="1">
        <f>IFERROR(__xludf.DUMMYFUNCTION("""COMPUTED_VALUE"""),113.88975)</f>
        <v>113.88975</v>
      </c>
    </row>
    <row r="1382">
      <c r="A1382" s="3">
        <f>IFERROR(__xludf.DUMMYFUNCTION("""COMPUTED_VALUE"""),41694.99861111111)</f>
        <v>41694.99861</v>
      </c>
      <c r="B1382" s="1">
        <f>IFERROR(__xludf.DUMMYFUNCTION("""COMPUTED_VALUE"""),112.92388)</f>
        <v>112.92388</v>
      </c>
    </row>
    <row r="1383">
      <c r="A1383" s="3">
        <f>IFERROR(__xludf.DUMMYFUNCTION("""COMPUTED_VALUE"""),41695.99861111111)</f>
        <v>41695.99861</v>
      </c>
      <c r="B1383" s="1">
        <f>IFERROR(__xludf.DUMMYFUNCTION("""COMPUTED_VALUE"""),113.74818)</f>
        <v>113.74818</v>
      </c>
    </row>
    <row r="1384">
      <c r="A1384" s="3">
        <f>IFERROR(__xludf.DUMMYFUNCTION("""COMPUTED_VALUE"""),41696.99861111111)</f>
        <v>41696.99861</v>
      </c>
      <c r="B1384" s="1">
        <f>IFERROR(__xludf.DUMMYFUNCTION("""COMPUTED_VALUE"""),113.97682)</f>
        <v>113.97682</v>
      </c>
    </row>
    <row r="1385">
      <c r="A1385" s="3">
        <f>IFERROR(__xludf.DUMMYFUNCTION("""COMPUTED_VALUE"""),41697.99861111111)</f>
        <v>41697.99861</v>
      </c>
      <c r="B1385" s="1">
        <f>IFERROR(__xludf.DUMMYFUNCTION("""COMPUTED_VALUE"""),113.596992)</f>
        <v>113.596992</v>
      </c>
    </row>
    <row r="1386">
      <c r="A1386" s="3">
        <f>IFERROR(__xludf.DUMMYFUNCTION("""COMPUTED_VALUE"""),41698.99861111111)</f>
        <v>41698.99861</v>
      </c>
      <c r="B1386" s="1">
        <f>IFERROR(__xludf.DUMMYFUNCTION("""COMPUTED_VALUE"""),113.60758)</f>
        <v>113.60758</v>
      </c>
    </row>
    <row r="1387">
      <c r="A1387" s="3">
        <f>IFERROR(__xludf.DUMMYFUNCTION("""COMPUTED_VALUE"""),41699.99861111111)</f>
        <v>41699.99861</v>
      </c>
      <c r="B1387" s="1">
        <f>IFERROR(__xludf.DUMMYFUNCTION("""COMPUTED_VALUE"""),113.7890536)</f>
        <v>113.7890536</v>
      </c>
    </row>
    <row r="1388">
      <c r="A1388" s="3">
        <f>IFERROR(__xludf.DUMMYFUNCTION("""COMPUTED_VALUE"""),41700.99861111111)</f>
        <v>41700.99861</v>
      </c>
      <c r="B1388" s="1">
        <f>IFERROR(__xludf.DUMMYFUNCTION("""COMPUTED_VALUE"""),114.18603)</f>
        <v>114.18603</v>
      </c>
    </row>
    <row r="1389">
      <c r="A1389" s="3">
        <f>IFERROR(__xludf.DUMMYFUNCTION("""COMPUTED_VALUE"""),41701.99861111111)</f>
        <v>41701.99861</v>
      </c>
      <c r="B1389" s="1">
        <f>IFERROR(__xludf.DUMMYFUNCTION("""COMPUTED_VALUE"""),114.893192)</f>
        <v>114.893192</v>
      </c>
    </row>
    <row r="1390">
      <c r="A1390" s="3">
        <f>IFERROR(__xludf.DUMMYFUNCTION("""COMPUTED_VALUE"""),41702.99861111111)</f>
        <v>41702.99861</v>
      </c>
      <c r="B1390" s="1">
        <f>IFERROR(__xludf.DUMMYFUNCTION("""COMPUTED_VALUE"""),113.150178)</f>
        <v>113.150178</v>
      </c>
    </row>
    <row r="1391">
      <c r="A1391" s="3">
        <f>IFERROR(__xludf.DUMMYFUNCTION("""COMPUTED_VALUE"""),41703.99861111111)</f>
        <v>41703.99861</v>
      </c>
      <c r="B1391" s="1">
        <f>IFERROR(__xludf.DUMMYFUNCTION("""COMPUTED_VALUE"""),113.04867)</f>
        <v>113.04867</v>
      </c>
    </row>
    <row r="1392">
      <c r="A1392" s="3">
        <f>IFERROR(__xludf.DUMMYFUNCTION("""COMPUTED_VALUE"""),41704.99861111111)</f>
        <v>41704.99861</v>
      </c>
      <c r="B1392" s="1">
        <f>IFERROR(__xludf.DUMMYFUNCTION("""COMPUTED_VALUE"""),110.68841)</f>
        <v>110.68841</v>
      </c>
    </row>
    <row r="1393">
      <c r="A1393" s="3">
        <f>IFERROR(__xludf.DUMMYFUNCTION("""COMPUTED_VALUE"""),41705.99861111111)</f>
        <v>41705.99861</v>
      </c>
      <c r="B1393" s="1">
        <f>IFERROR(__xludf.DUMMYFUNCTION("""COMPUTED_VALUE"""),110.21648)</f>
        <v>110.21648</v>
      </c>
    </row>
    <row r="1394">
      <c r="A1394" s="3">
        <f>IFERROR(__xludf.DUMMYFUNCTION("""COMPUTED_VALUE"""),41706.99861111111)</f>
        <v>41706.99861</v>
      </c>
      <c r="B1394" s="1">
        <f>IFERROR(__xludf.DUMMYFUNCTION("""COMPUTED_VALUE"""),110.3762)</f>
        <v>110.3762</v>
      </c>
    </row>
    <row r="1395">
      <c r="A1395" s="3">
        <f>IFERROR(__xludf.DUMMYFUNCTION("""COMPUTED_VALUE"""),41707.99861111111)</f>
        <v>41707.99861</v>
      </c>
      <c r="B1395" s="1">
        <f>IFERROR(__xludf.DUMMYFUNCTION("""COMPUTED_VALUE"""),110.33034)</f>
        <v>110.33034</v>
      </c>
    </row>
    <row r="1396">
      <c r="A1396" s="3">
        <f>IFERROR(__xludf.DUMMYFUNCTION("""COMPUTED_VALUE"""),41708.99861111111)</f>
        <v>41708.99861</v>
      </c>
      <c r="B1396" s="1">
        <f>IFERROR(__xludf.DUMMYFUNCTION("""COMPUTED_VALUE"""),110.6424)</f>
        <v>110.6424</v>
      </c>
    </row>
    <row r="1397">
      <c r="A1397" s="3">
        <f>IFERROR(__xludf.DUMMYFUNCTION("""COMPUTED_VALUE"""),41709.99861111111)</f>
        <v>41709.99861</v>
      </c>
      <c r="B1397" s="1">
        <f>IFERROR(__xludf.DUMMYFUNCTION("""COMPUTED_VALUE"""),111.668655)</f>
        <v>111.668655</v>
      </c>
    </row>
    <row r="1398">
      <c r="A1398" s="3">
        <f>IFERROR(__xludf.DUMMYFUNCTION("""COMPUTED_VALUE"""),41710.99861111111)</f>
        <v>41710.99861</v>
      </c>
      <c r="B1398" s="1">
        <f>IFERROR(__xludf.DUMMYFUNCTION("""COMPUTED_VALUE"""),111.19394)</f>
        <v>111.19394</v>
      </c>
    </row>
    <row r="1399">
      <c r="A1399" s="3">
        <f>IFERROR(__xludf.DUMMYFUNCTION("""COMPUTED_VALUE"""),41711.99861111111)</f>
        <v>41711.99861</v>
      </c>
      <c r="B1399" s="1">
        <f>IFERROR(__xludf.DUMMYFUNCTION("""COMPUTED_VALUE"""),112.199904)</f>
        <v>112.199904</v>
      </c>
    </row>
    <row r="1400">
      <c r="A1400" s="3">
        <f>IFERROR(__xludf.DUMMYFUNCTION("""COMPUTED_VALUE"""),41712.99861111111)</f>
        <v>41712.99861</v>
      </c>
      <c r="B1400" s="1">
        <f>IFERROR(__xludf.DUMMYFUNCTION("""COMPUTED_VALUE"""),111.37856)</f>
        <v>111.37856</v>
      </c>
    </row>
    <row r="1401">
      <c r="A1401" s="3">
        <f>IFERROR(__xludf.DUMMYFUNCTION("""COMPUTED_VALUE"""),41713.99861111111)</f>
        <v>41713.99861</v>
      </c>
      <c r="B1401" s="1">
        <f>IFERROR(__xludf.DUMMYFUNCTION("""COMPUTED_VALUE"""),111.5383906)</f>
        <v>111.5383906</v>
      </c>
    </row>
    <row r="1402">
      <c r="A1402" s="3">
        <f>IFERROR(__xludf.DUMMYFUNCTION("""COMPUTED_VALUE"""),41714.99861111111)</f>
        <v>41714.99861</v>
      </c>
      <c r="B1402" s="1">
        <f>IFERROR(__xludf.DUMMYFUNCTION("""COMPUTED_VALUE"""),111.37856)</f>
        <v>111.37856</v>
      </c>
    </row>
    <row r="1403">
      <c r="A1403" s="3">
        <f>IFERROR(__xludf.DUMMYFUNCTION("""COMPUTED_VALUE"""),41715.99861111111)</f>
        <v>41715.99861</v>
      </c>
      <c r="B1403" s="1">
        <f>IFERROR(__xludf.DUMMYFUNCTION("""COMPUTED_VALUE"""),110.77209)</f>
        <v>110.77209</v>
      </c>
    </row>
    <row r="1404">
      <c r="A1404" s="3">
        <f>IFERROR(__xludf.DUMMYFUNCTION("""COMPUTED_VALUE"""),41716.99861111111)</f>
        <v>41716.99861</v>
      </c>
      <c r="B1404" s="1">
        <f>IFERROR(__xludf.DUMMYFUNCTION("""COMPUTED_VALUE"""),111.653175)</f>
        <v>111.653175</v>
      </c>
    </row>
    <row r="1405">
      <c r="A1405" s="3">
        <f>IFERROR(__xludf.DUMMYFUNCTION("""COMPUTED_VALUE"""),41717.99861111111)</f>
        <v>41717.99861</v>
      </c>
      <c r="B1405" s="1">
        <f>IFERROR(__xludf.DUMMYFUNCTION("""COMPUTED_VALUE"""),110.36298)</f>
        <v>110.36298</v>
      </c>
    </row>
    <row r="1406">
      <c r="A1406" s="3">
        <f>IFERROR(__xludf.DUMMYFUNCTION("""COMPUTED_VALUE"""),41718.99861111111)</f>
        <v>41718.99861</v>
      </c>
      <c r="B1406" s="1">
        <f>IFERROR(__xludf.DUMMYFUNCTION("""COMPUTED_VALUE"""),111.62847)</f>
        <v>111.62847</v>
      </c>
    </row>
    <row r="1407">
      <c r="A1407" s="3">
        <f>IFERROR(__xludf.DUMMYFUNCTION("""COMPUTED_VALUE"""),41719.99861111111)</f>
        <v>41719.99861</v>
      </c>
      <c r="B1407" s="1">
        <f>IFERROR(__xludf.DUMMYFUNCTION("""COMPUTED_VALUE"""),111.50178)</f>
        <v>111.50178</v>
      </c>
    </row>
    <row r="1408">
      <c r="A1408" s="3">
        <f>IFERROR(__xludf.DUMMYFUNCTION("""COMPUTED_VALUE"""),41720.99861111111)</f>
        <v>41720.99861</v>
      </c>
      <c r="B1408" s="1">
        <f>IFERROR(__xludf.DUMMYFUNCTION("""COMPUTED_VALUE"""),111.6437856)</f>
        <v>111.6437856</v>
      </c>
    </row>
    <row r="1409">
      <c r="A1409" s="3">
        <f>IFERROR(__xludf.DUMMYFUNCTION("""COMPUTED_VALUE"""),41721.99861111111)</f>
        <v>41721.99861</v>
      </c>
      <c r="B1409" s="1">
        <f>IFERROR(__xludf.DUMMYFUNCTION("""COMPUTED_VALUE"""),111.50178)</f>
        <v>111.50178</v>
      </c>
    </row>
    <row r="1410">
      <c r="A1410" s="3">
        <f>IFERROR(__xludf.DUMMYFUNCTION("""COMPUTED_VALUE"""),41722.99861111111)</f>
        <v>41722.99861</v>
      </c>
      <c r="B1410" s="1">
        <f>IFERROR(__xludf.DUMMYFUNCTION("""COMPUTED_VALUE"""),111.167385)</f>
        <v>111.167385</v>
      </c>
    </row>
    <row r="1411">
      <c r="A1411" s="3">
        <f>IFERROR(__xludf.DUMMYFUNCTION("""COMPUTED_VALUE"""),41723.99861111111)</f>
        <v>41723.99861</v>
      </c>
      <c r="B1411" s="1">
        <f>IFERROR(__xludf.DUMMYFUNCTION("""COMPUTED_VALUE"""),111.237894)</f>
        <v>111.237894</v>
      </c>
    </row>
    <row r="1412">
      <c r="A1412" s="3">
        <f>IFERROR(__xludf.DUMMYFUNCTION("""COMPUTED_VALUE"""),41724.99861111111)</f>
        <v>41724.99861</v>
      </c>
      <c r="B1412" s="1">
        <f>IFERROR(__xludf.DUMMYFUNCTION("""COMPUTED_VALUE"""),112.188785)</f>
        <v>112.188785</v>
      </c>
    </row>
    <row r="1413">
      <c r="A1413" s="3">
        <f>IFERROR(__xludf.DUMMYFUNCTION("""COMPUTED_VALUE"""),41725.99861111111)</f>
        <v>41725.99861</v>
      </c>
      <c r="B1413" s="1">
        <f>IFERROR(__xludf.DUMMYFUNCTION("""COMPUTED_VALUE"""),111.374466)</f>
        <v>111.374466</v>
      </c>
    </row>
    <row r="1414">
      <c r="A1414" s="3">
        <f>IFERROR(__xludf.DUMMYFUNCTION("""COMPUTED_VALUE"""),41726.99861111111)</f>
        <v>41726.99861</v>
      </c>
      <c r="B1414" s="1">
        <f>IFERROR(__xludf.DUMMYFUNCTION("""COMPUTED_VALUE"""),109.8846)</f>
        <v>109.8846</v>
      </c>
    </row>
    <row r="1415">
      <c r="A1415" s="3">
        <f>IFERROR(__xludf.DUMMYFUNCTION("""COMPUTED_VALUE"""),41727.99861111111)</f>
        <v>41727.99861</v>
      </c>
      <c r="B1415" s="1">
        <f>IFERROR(__xludf.DUMMYFUNCTION("""COMPUTED_VALUE"""),110.0791944)</f>
        <v>110.0791944</v>
      </c>
    </row>
    <row r="1416">
      <c r="A1416" s="3">
        <f>IFERROR(__xludf.DUMMYFUNCTION("""COMPUTED_VALUE"""),41728.99861111111)</f>
        <v>41728.99861</v>
      </c>
      <c r="B1416" s="1">
        <f>IFERROR(__xludf.DUMMYFUNCTION("""COMPUTED_VALUE"""),109.828075)</f>
        <v>109.828075</v>
      </c>
    </row>
    <row r="1417">
      <c r="A1417" s="3">
        <f>IFERROR(__xludf.DUMMYFUNCTION("""COMPUTED_VALUE"""),41729.99861111111)</f>
        <v>41729.99861</v>
      </c>
      <c r="B1417" s="1">
        <f>IFERROR(__xludf.DUMMYFUNCTION("""COMPUTED_VALUE"""),109.004675)</f>
        <v>109.004675</v>
      </c>
    </row>
    <row r="1418">
      <c r="A1418" s="3">
        <f>IFERROR(__xludf.DUMMYFUNCTION("""COMPUTED_VALUE"""),41730.99861111111)</f>
        <v>41730.99861</v>
      </c>
      <c r="B1418" s="1">
        <f>IFERROR(__xludf.DUMMYFUNCTION("""COMPUTED_VALUE"""),108.617184)</f>
        <v>108.617184</v>
      </c>
    </row>
    <row r="1419">
      <c r="A1419" s="3">
        <f>IFERROR(__xludf.DUMMYFUNCTION("""COMPUTED_VALUE"""),41731.99861111111)</f>
        <v>41731.99861</v>
      </c>
      <c r="B1419" s="1">
        <f>IFERROR(__xludf.DUMMYFUNCTION("""COMPUTED_VALUE"""),108.544425)</f>
        <v>108.544425</v>
      </c>
    </row>
    <row r="1420">
      <c r="A1420" s="3">
        <f>IFERROR(__xludf.DUMMYFUNCTION("""COMPUTED_VALUE"""),41732.99861111111)</f>
        <v>41732.99861</v>
      </c>
      <c r="B1420" s="1">
        <f>IFERROR(__xludf.DUMMYFUNCTION("""COMPUTED_VALUE"""),109.0427)</f>
        <v>109.0427</v>
      </c>
    </row>
    <row r="1421">
      <c r="A1421" s="3">
        <f>IFERROR(__xludf.DUMMYFUNCTION("""COMPUTED_VALUE"""),41733.99861111111)</f>
        <v>41733.99861</v>
      </c>
      <c r="B1421" s="1">
        <f>IFERROR(__xludf.DUMMYFUNCTION("""COMPUTED_VALUE"""),109.4808)</f>
        <v>109.4808</v>
      </c>
    </row>
    <row r="1422">
      <c r="A1422" s="3">
        <f>IFERROR(__xludf.DUMMYFUNCTION("""COMPUTED_VALUE"""),41734.99861111111)</f>
        <v>41734.99861</v>
      </c>
      <c r="B1422" s="1">
        <f>IFERROR(__xludf.DUMMYFUNCTION("""COMPUTED_VALUE"""),109.6261936)</f>
        <v>109.6261936</v>
      </c>
    </row>
    <row r="1423">
      <c r="A1423" s="3">
        <f>IFERROR(__xludf.DUMMYFUNCTION("""COMPUTED_VALUE"""),41735.99861111111)</f>
        <v>41735.99861</v>
      </c>
      <c r="B1423" s="1">
        <f>IFERROR(__xludf.DUMMYFUNCTION("""COMPUTED_VALUE"""),109.4808)</f>
        <v>109.4808</v>
      </c>
    </row>
    <row r="1424">
      <c r="A1424" s="3">
        <f>IFERROR(__xludf.DUMMYFUNCTION("""COMPUTED_VALUE"""),41736.99861111111)</f>
        <v>41736.99861</v>
      </c>
      <c r="B1424" s="1">
        <f>IFERROR(__xludf.DUMMYFUNCTION("""COMPUTED_VALUE"""),109.53891)</f>
        <v>109.53891</v>
      </c>
    </row>
    <row r="1425">
      <c r="A1425" s="3">
        <f>IFERROR(__xludf.DUMMYFUNCTION("""COMPUTED_VALUE"""),41737.99861111111)</f>
        <v>41737.99861</v>
      </c>
      <c r="B1425" s="1">
        <f>IFERROR(__xludf.DUMMYFUNCTION("""COMPUTED_VALUE"""),110.49438)</f>
        <v>110.49438</v>
      </c>
    </row>
    <row r="1426">
      <c r="A1426" s="3">
        <f>IFERROR(__xludf.DUMMYFUNCTION("""COMPUTED_VALUE"""),41738.99861111111)</f>
        <v>41738.99861</v>
      </c>
      <c r="B1426" s="1">
        <f>IFERROR(__xludf.DUMMYFUNCTION("""COMPUTED_VALUE"""),110.43473)</f>
        <v>110.43473</v>
      </c>
    </row>
    <row r="1427">
      <c r="A1427" s="3">
        <f>IFERROR(__xludf.DUMMYFUNCTION("""COMPUTED_VALUE"""),41739.99861111111)</f>
        <v>41739.99861</v>
      </c>
      <c r="B1427" s="1">
        <f>IFERROR(__xludf.DUMMYFUNCTION("""COMPUTED_VALUE"""),111.804975)</f>
        <v>111.804975</v>
      </c>
    </row>
    <row r="1428">
      <c r="A1428" s="3">
        <f>IFERROR(__xludf.DUMMYFUNCTION("""COMPUTED_VALUE"""),41740.99861111111)</f>
        <v>41740.99861</v>
      </c>
      <c r="B1428" s="1">
        <f>IFERROR(__xludf.DUMMYFUNCTION("""COMPUTED_VALUE"""),112.1268)</f>
        <v>112.1268</v>
      </c>
    </row>
    <row r="1429">
      <c r="A1429" s="3">
        <f>IFERROR(__xludf.DUMMYFUNCTION("""COMPUTED_VALUE"""),41741.99861111111)</f>
        <v>41741.99861</v>
      </c>
      <c r="B1429" s="1">
        <f>IFERROR(__xludf.DUMMYFUNCTION("""COMPUTED_VALUE"""),112.3287168)</f>
        <v>112.3287168</v>
      </c>
    </row>
    <row r="1430">
      <c r="A1430" s="3">
        <f>IFERROR(__xludf.DUMMYFUNCTION("""COMPUTED_VALUE"""),41742.99861111111)</f>
        <v>41742.99861</v>
      </c>
      <c r="B1430" s="1">
        <f>IFERROR(__xludf.DUMMYFUNCTION("""COMPUTED_VALUE"""),112.3547)</f>
        <v>112.3547</v>
      </c>
    </row>
    <row r="1431">
      <c r="A1431" s="3">
        <f>IFERROR(__xludf.DUMMYFUNCTION("""COMPUTED_VALUE"""),41743.99861111111)</f>
        <v>41743.99861</v>
      </c>
      <c r="B1431" s="1">
        <f>IFERROR(__xludf.DUMMYFUNCTION("""COMPUTED_VALUE"""),112.18716)</f>
        <v>112.18716</v>
      </c>
    </row>
    <row r="1432">
      <c r="A1432" s="3">
        <f>IFERROR(__xludf.DUMMYFUNCTION("""COMPUTED_VALUE"""),41744.99861111111)</f>
        <v>41744.99861</v>
      </c>
      <c r="B1432" s="1">
        <f>IFERROR(__xludf.DUMMYFUNCTION("""COMPUTED_VALUE"""),112.439)</f>
        <v>112.439</v>
      </c>
    </row>
    <row r="1433">
      <c r="A1433" s="3">
        <f>IFERROR(__xludf.DUMMYFUNCTION("""COMPUTED_VALUE"""),41745.99861111111)</f>
        <v>41745.99861</v>
      </c>
      <c r="B1433" s="1">
        <f>IFERROR(__xludf.DUMMYFUNCTION("""COMPUTED_VALUE"""),111.56371)</f>
        <v>111.56371</v>
      </c>
    </row>
    <row r="1434">
      <c r="A1434" s="3">
        <f>IFERROR(__xludf.DUMMYFUNCTION("""COMPUTED_VALUE"""),41746.99861111111)</f>
        <v>41746.99861</v>
      </c>
      <c r="B1434" s="1">
        <f>IFERROR(__xludf.DUMMYFUNCTION("""COMPUTED_VALUE"""),111.7032)</f>
        <v>111.7032</v>
      </c>
    </row>
    <row r="1435">
      <c r="A1435" s="3">
        <f>IFERROR(__xludf.DUMMYFUNCTION("""COMPUTED_VALUE"""),41747.99861111111)</f>
        <v>41747.99861</v>
      </c>
      <c r="B1435" s="1">
        <f>IFERROR(__xludf.DUMMYFUNCTION("""COMPUTED_VALUE"""),111.7032)</f>
        <v>111.7032</v>
      </c>
    </row>
    <row r="1436">
      <c r="A1436" s="3">
        <f>IFERROR(__xludf.DUMMYFUNCTION("""COMPUTED_VALUE"""),41748.99861111111)</f>
        <v>41748.99861</v>
      </c>
      <c r="B1436" s="1">
        <f>IFERROR(__xludf.DUMMYFUNCTION("""COMPUTED_VALUE"""),111.9265088)</f>
        <v>111.9265088</v>
      </c>
    </row>
    <row r="1437">
      <c r="A1437" s="3">
        <f>IFERROR(__xludf.DUMMYFUNCTION("""COMPUTED_VALUE"""),41749.99861111111)</f>
        <v>41749.99861</v>
      </c>
      <c r="B1437" s="1">
        <f>IFERROR(__xludf.DUMMYFUNCTION("""COMPUTED_VALUE"""),111.7032)</f>
        <v>111.7032</v>
      </c>
    </row>
    <row r="1438">
      <c r="A1438" s="3">
        <f>IFERROR(__xludf.DUMMYFUNCTION("""COMPUTED_VALUE"""),41750.99861111111)</f>
        <v>41750.99861</v>
      </c>
      <c r="B1438" s="1">
        <f>IFERROR(__xludf.DUMMYFUNCTION("""COMPUTED_VALUE"""),111.3769)</f>
        <v>111.3769</v>
      </c>
    </row>
    <row r="1439">
      <c r="A1439" s="3">
        <f>IFERROR(__xludf.DUMMYFUNCTION("""COMPUTED_VALUE"""),41751.99861111111)</f>
        <v>41751.99861</v>
      </c>
      <c r="B1439" s="1">
        <f>IFERROR(__xludf.DUMMYFUNCTION("""COMPUTED_VALUE"""),112.44576)</f>
        <v>112.44576</v>
      </c>
    </row>
    <row r="1440">
      <c r="A1440" s="3">
        <f>IFERROR(__xludf.DUMMYFUNCTION("""COMPUTED_VALUE"""),41752.99861111111)</f>
        <v>41752.99861</v>
      </c>
      <c r="B1440" s="1">
        <f>IFERROR(__xludf.DUMMYFUNCTION("""COMPUTED_VALUE"""),113.37634)</f>
        <v>113.37634</v>
      </c>
    </row>
    <row r="1441">
      <c r="A1441" s="3">
        <f>IFERROR(__xludf.DUMMYFUNCTION("""COMPUTED_VALUE"""),41753.99861111111)</f>
        <v>41753.99861</v>
      </c>
      <c r="B1441" s="1">
        <f>IFERROR(__xludf.DUMMYFUNCTION("""COMPUTED_VALUE"""),113.3991)</f>
        <v>113.3991</v>
      </c>
    </row>
    <row r="1442">
      <c r="A1442" s="3">
        <f>IFERROR(__xludf.DUMMYFUNCTION("""COMPUTED_VALUE"""),41754.99861111111)</f>
        <v>41754.99861</v>
      </c>
      <c r="B1442" s="1">
        <f>IFERROR(__xludf.DUMMYFUNCTION("""COMPUTED_VALUE"""),113.1057)</f>
        <v>113.1057</v>
      </c>
    </row>
    <row r="1443">
      <c r="A1443" s="3">
        <f>IFERROR(__xludf.DUMMYFUNCTION("""COMPUTED_VALUE"""),41755.99861111111)</f>
        <v>41755.99861</v>
      </c>
      <c r="B1443" s="1">
        <f>IFERROR(__xludf.DUMMYFUNCTION("""COMPUTED_VALUE"""),113.1791551)</f>
        <v>113.1791551</v>
      </c>
    </row>
    <row r="1444">
      <c r="A1444" s="3">
        <f>IFERROR(__xludf.DUMMYFUNCTION("""COMPUTED_VALUE"""),41756.99861111111)</f>
        <v>41756.99861</v>
      </c>
      <c r="B1444" s="1">
        <f>IFERROR(__xludf.DUMMYFUNCTION("""COMPUTED_VALUE"""),113.22135)</f>
        <v>113.22135</v>
      </c>
    </row>
    <row r="1445">
      <c r="A1445" s="3">
        <f>IFERROR(__xludf.DUMMYFUNCTION("""COMPUTED_VALUE"""),41757.99861111111)</f>
        <v>41757.99861</v>
      </c>
      <c r="B1445" s="1">
        <f>IFERROR(__xludf.DUMMYFUNCTION("""COMPUTED_VALUE"""),113.02326)</f>
        <v>113.02326</v>
      </c>
    </row>
    <row r="1446">
      <c r="A1446" s="3">
        <f>IFERROR(__xludf.DUMMYFUNCTION("""COMPUTED_VALUE"""),41758.99861111111)</f>
        <v>41758.99861</v>
      </c>
      <c r="B1446" s="1">
        <f>IFERROR(__xludf.DUMMYFUNCTION("""COMPUTED_VALUE"""),112.4483)</f>
        <v>112.4483</v>
      </c>
    </row>
    <row r="1447">
      <c r="A1447" s="3">
        <f>IFERROR(__xludf.DUMMYFUNCTION("""COMPUTED_VALUE"""),41759.99861111111)</f>
        <v>41759.99861</v>
      </c>
      <c r="B1447" s="1">
        <f>IFERROR(__xludf.DUMMYFUNCTION("""COMPUTED_VALUE"""),112.898555)</f>
        <v>112.898555</v>
      </c>
    </row>
    <row r="1448">
      <c r="A1448" s="3">
        <f>IFERROR(__xludf.DUMMYFUNCTION("""COMPUTED_VALUE"""),41760.99861111111)</f>
        <v>41760.99861</v>
      </c>
      <c r="B1448" s="1">
        <f>IFERROR(__xludf.DUMMYFUNCTION("""COMPUTED_VALUE"""),112.79465)</f>
        <v>112.79465</v>
      </c>
    </row>
    <row r="1449">
      <c r="A1449" s="3">
        <f>IFERROR(__xludf.DUMMYFUNCTION("""COMPUTED_VALUE"""),41761.99861111111)</f>
        <v>41761.99861</v>
      </c>
      <c r="B1449" s="1">
        <f>IFERROR(__xludf.DUMMYFUNCTION("""COMPUTED_VALUE"""),112.6167)</f>
        <v>112.6167</v>
      </c>
    </row>
    <row r="1450">
      <c r="A1450" s="3">
        <f>IFERROR(__xludf.DUMMYFUNCTION("""COMPUTED_VALUE"""),41762.99861111111)</f>
        <v>41762.99861</v>
      </c>
      <c r="B1450" s="1">
        <f>IFERROR(__xludf.DUMMYFUNCTION("""COMPUTED_VALUE"""),112.8027156)</f>
        <v>112.8027156</v>
      </c>
    </row>
    <row r="1451">
      <c r="A1451" s="3">
        <f>IFERROR(__xludf.DUMMYFUNCTION("""COMPUTED_VALUE"""),41763.99861111111)</f>
        <v>41763.99861</v>
      </c>
      <c r="B1451" s="1">
        <f>IFERROR(__xludf.DUMMYFUNCTION("""COMPUTED_VALUE"""),112.6167)</f>
        <v>112.6167</v>
      </c>
    </row>
    <row r="1452">
      <c r="A1452" s="3">
        <f>IFERROR(__xludf.DUMMYFUNCTION("""COMPUTED_VALUE"""),41764.99861111111)</f>
        <v>41764.99861</v>
      </c>
      <c r="B1452" s="1">
        <f>IFERROR(__xludf.DUMMYFUNCTION("""COMPUTED_VALUE"""),112.63395)</f>
        <v>112.63395</v>
      </c>
    </row>
    <row r="1453">
      <c r="A1453" s="3">
        <f>IFERROR(__xludf.DUMMYFUNCTION("""COMPUTED_VALUE"""),41765.99861111111)</f>
        <v>41765.99861</v>
      </c>
      <c r="B1453" s="1">
        <f>IFERROR(__xludf.DUMMYFUNCTION("""COMPUTED_VALUE"""),113.16632)</f>
        <v>113.16632</v>
      </c>
    </row>
    <row r="1454">
      <c r="A1454" s="3">
        <f>IFERROR(__xludf.DUMMYFUNCTION("""COMPUTED_VALUE"""),41766.99861111111)</f>
        <v>41766.99861</v>
      </c>
      <c r="B1454" s="1">
        <f>IFERROR(__xludf.DUMMYFUNCTION("""COMPUTED_VALUE"""),113.58269)</f>
        <v>113.58269</v>
      </c>
    </row>
    <row r="1455">
      <c r="A1455" s="3">
        <f>IFERROR(__xludf.DUMMYFUNCTION("""COMPUTED_VALUE"""),41767.99861111111)</f>
        <v>41767.99861</v>
      </c>
      <c r="B1455" s="1">
        <f>IFERROR(__xludf.DUMMYFUNCTION("""COMPUTED_VALUE"""),113.394475)</f>
        <v>113.394475</v>
      </c>
    </row>
    <row r="1456">
      <c r="A1456" s="3">
        <f>IFERROR(__xludf.DUMMYFUNCTION("""COMPUTED_VALUE"""),41768.99861111111)</f>
        <v>41768.99861</v>
      </c>
      <c r="B1456" s="1">
        <f>IFERROR(__xludf.DUMMYFUNCTION("""COMPUTED_VALUE"""),113.2737)</f>
        <v>113.2737</v>
      </c>
    </row>
    <row r="1457">
      <c r="A1457" s="3">
        <f>IFERROR(__xludf.DUMMYFUNCTION("""COMPUTED_VALUE"""),41769.99861111111)</f>
        <v>41769.99861</v>
      </c>
      <c r="B1457" s="1">
        <f>IFERROR(__xludf.DUMMYFUNCTION("""COMPUTED_VALUE"""),113.5259758)</f>
        <v>113.5259758</v>
      </c>
    </row>
    <row r="1458">
      <c r="A1458" s="3">
        <f>IFERROR(__xludf.DUMMYFUNCTION("""COMPUTED_VALUE"""),41770.99861111111)</f>
        <v>41770.99861</v>
      </c>
      <c r="B1458" s="1">
        <f>IFERROR(__xludf.DUMMYFUNCTION("""COMPUTED_VALUE"""),112.5863)</f>
        <v>112.5863</v>
      </c>
    </row>
    <row r="1459">
      <c r="A1459" s="3">
        <f>IFERROR(__xludf.DUMMYFUNCTION("""COMPUTED_VALUE"""),41771.99861111111)</f>
        <v>41771.99861</v>
      </c>
      <c r="B1459" s="1">
        <f>IFERROR(__xludf.DUMMYFUNCTION("""COMPUTED_VALUE"""),112.68864)</f>
        <v>112.68864</v>
      </c>
    </row>
    <row r="1460">
      <c r="A1460" s="3">
        <f>IFERROR(__xludf.DUMMYFUNCTION("""COMPUTED_VALUE"""),41772.99861111111)</f>
        <v>41772.99861</v>
      </c>
      <c r="B1460" s="1">
        <f>IFERROR(__xludf.DUMMYFUNCTION("""COMPUTED_VALUE"""),112.311815)</f>
        <v>112.311815</v>
      </c>
    </row>
    <row r="1461">
      <c r="A1461" s="3">
        <f>IFERROR(__xludf.DUMMYFUNCTION("""COMPUTED_VALUE"""),41773.99861111111)</f>
        <v>41773.99861</v>
      </c>
      <c r="B1461" s="1">
        <f>IFERROR(__xludf.DUMMYFUNCTION("""COMPUTED_VALUE"""),111.985695)</f>
        <v>111.985695</v>
      </c>
    </row>
    <row r="1462">
      <c r="A1462" s="3">
        <f>IFERROR(__xludf.DUMMYFUNCTION("""COMPUTED_VALUE"""),41774.99861111111)</f>
        <v>41774.99861</v>
      </c>
      <c r="B1462" s="1">
        <f>IFERROR(__xludf.DUMMYFUNCTION("""COMPUTED_VALUE"""),112.11948)</f>
        <v>112.11948</v>
      </c>
    </row>
    <row r="1463">
      <c r="A1463" s="3">
        <f>IFERROR(__xludf.DUMMYFUNCTION("""COMPUTED_VALUE"""),41775.99861111111)</f>
        <v>41775.99861</v>
      </c>
      <c r="B1463" s="1">
        <f>IFERROR(__xludf.DUMMYFUNCTION("""COMPUTED_VALUE"""),111.502)</f>
        <v>111.502</v>
      </c>
    </row>
    <row r="1464">
      <c r="A1464" s="3">
        <f>IFERROR(__xludf.DUMMYFUNCTION("""COMPUTED_VALUE"""),41776.99861111111)</f>
        <v>41776.99861</v>
      </c>
      <c r="B1464" s="1">
        <f>IFERROR(__xludf.DUMMYFUNCTION("""COMPUTED_VALUE"""),111.8046905)</f>
        <v>111.8046905</v>
      </c>
    </row>
    <row r="1465">
      <c r="A1465" s="3">
        <f>IFERROR(__xludf.DUMMYFUNCTION("""COMPUTED_VALUE"""),41777.99861111111)</f>
        <v>41777.99861</v>
      </c>
      <c r="B1465" s="1">
        <f>IFERROR(__xludf.DUMMYFUNCTION("""COMPUTED_VALUE"""),112.1915)</f>
        <v>112.1915</v>
      </c>
    </row>
    <row r="1466">
      <c r="A1466" s="3">
        <f>IFERROR(__xludf.DUMMYFUNCTION("""COMPUTED_VALUE"""),41778.99861111111)</f>
        <v>41778.99861</v>
      </c>
      <c r="B1466" s="1">
        <f>IFERROR(__xludf.DUMMYFUNCTION("""COMPUTED_VALUE"""),112.49842)</f>
        <v>112.49842</v>
      </c>
    </row>
    <row r="1467">
      <c r="A1467" s="3">
        <f>IFERROR(__xludf.DUMMYFUNCTION("""COMPUTED_VALUE"""),41779.99861111111)</f>
        <v>41779.99861</v>
      </c>
      <c r="B1467" s="1">
        <f>IFERROR(__xludf.DUMMYFUNCTION("""COMPUTED_VALUE"""),113.1102)</f>
        <v>113.1102</v>
      </c>
    </row>
    <row r="1468">
      <c r="A1468" s="3">
        <f>IFERROR(__xludf.DUMMYFUNCTION("""COMPUTED_VALUE"""),41780.99861111111)</f>
        <v>41780.99861</v>
      </c>
      <c r="B1468" s="1">
        <f>IFERROR(__xludf.DUMMYFUNCTION("""COMPUTED_VALUE"""),113.29472)</f>
        <v>113.29472</v>
      </c>
    </row>
    <row r="1469">
      <c r="A1469" s="3">
        <f>IFERROR(__xludf.DUMMYFUNCTION("""COMPUTED_VALUE"""),41781.99861111111)</f>
        <v>41781.99861</v>
      </c>
      <c r="B1469" s="1">
        <f>IFERROR(__xludf.DUMMYFUNCTION("""COMPUTED_VALUE"""),113.06273)</f>
        <v>113.06273</v>
      </c>
    </row>
    <row r="1470">
      <c r="A1470" s="3">
        <f>IFERROR(__xludf.DUMMYFUNCTION("""COMPUTED_VALUE"""),41782.99861111111)</f>
        <v>41782.99861</v>
      </c>
      <c r="B1470" s="1">
        <f>IFERROR(__xludf.DUMMYFUNCTION("""COMPUTED_VALUE"""),113.631)</f>
        <v>113.631</v>
      </c>
    </row>
    <row r="1471">
      <c r="A1471" s="3">
        <f>IFERROR(__xludf.DUMMYFUNCTION("""COMPUTED_VALUE"""),41783.99861111111)</f>
        <v>41783.99861</v>
      </c>
      <c r="B1471" s="1">
        <f>IFERROR(__xludf.DUMMYFUNCTION("""COMPUTED_VALUE"""),113.294762)</f>
        <v>113.294762</v>
      </c>
    </row>
    <row r="1472">
      <c r="A1472" s="3">
        <f>IFERROR(__xludf.DUMMYFUNCTION("""COMPUTED_VALUE"""),41784.99861111111)</f>
        <v>41784.99861</v>
      </c>
      <c r="B1472" s="1">
        <f>IFERROR(__xludf.DUMMYFUNCTION("""COMPUTED_VALUE"""),113.74695)</f>
        <v>113.74695</v>
      </c>
    </row>
    <row r="1473">
      <c r="A1473" s="3">
        <f>IFERROR(__xludf.DUMMYFUNCTION("""COMPUTED_VALUE"""),41785.99861111111)</f>
        <v>41785.99861</v>
      </c>
      <c r="B1473" s="1">
        <f>IFERROR(__xludf.DUMMYFUNCTION("""COMPUTED_VALUE"""),113.4036)</f>
        <v>113.4036</v>
      </c>
    </row>
    <row r="1474">
      <c r="A1474" s="3">
        <f>IFERROR(__xludf.DUMMYFUNCTION("""COMPUTED_VALUE"""),41786.99861111111)</f>
        <v>41786.99861</v>
      </c>
      <c r="B1474" s="1">
        <f>IFERROR(__xludf.DUMMYFUNCTION("""COMPUTED_VALUE"""),113.32268)</f>
        <v>113.32268</v>
      </c>
    </row>
    <row r="1475">
      <c r="A1475" s="3">
        <f>IFERROR(__xludf.DUMMYFUNCTION("""COMPUTED_VALUE"""),41787.99861111111)</f>
        <v>41787.99861</v>
      </c>
      <c r="B1475" s="1">
        <f>IFERROR(__xludf.DUMMYFUNCTION("""COMPUTED_VALUE"""),114.24149)</f>
        <v>114.24149</v>
      </c>
    </row>
    <row r="1476">
      <c r="A1476" s="3">
        <f>IFERROR(__xludf.DUMMYFUNCTION("""COMPUTED_VALUE"""),41788.99861111111)</f>
        <v>41788.99861</v>
      </c>
      <c r="B1476" s="1">
        <f>IFERROR(__xludf.DUMMYFUNCTION("""COMPUTED_VALUE"""),113.97885)</f>
        <v>113.97885</v>
      </c>
    </row>
    <row r="1477">
      <c r="A1477" s="3">
        <f>IFERROR(__xludf.DUMMYFUNCTION("""COMPUTED_VALUE"""),41789.99861111111)</f>
        <v>41789.99861</v>
      </c>
      <c r="B1477" s="1">
        <f>IFERROR(__xludf.DUMMYFUNCTION("""COMPUTED_VALUE"""),114.5012)</f>
        <v>114.5012</v>
      </c>
    </row>
    <row r="1478">
      <c r="A1478" s="3">
        <f>IFERROR(__xludf.DUMMYFUNCTION("""COMPUTED_VALUE"""),41790.99861111111)</f>
        <v>41790.99861</v>
      </c>
      <c r="B1478" s="1">
        <f>IFERROR(__xludf.DUMMYFUNCTION("""COMPUTED_VALUE"""),114.853738)</f>
        <v>114.853738</v>
      </c>
    </row>
    <row r="1479">
      <c r="A1479" s="3">
        <f>IFERROR(__xludf.DUMMYFUNCTION("""COMPUTED_VALUE"""),41791.99861111111)</f>
        <v>41791.99861</v>
      </c>
      <c r="B1479" s="1">
        <f>IFERROR(__xludf.DUMMYFUNCTION("""COMPUTED_VALUE"""),114.853738)</f>
        <v>114.853738</v>
      </c>
    </row>
    <row r="1480">
      <c r="A1480" s="3">
        <f>IFERROR(__xludf.DUMMYFUNCTION("""COMPUTED_VALUE"""),41792.99861111111)</f>
        <v>41792.99861</v>
      </c>
      <c r="B1480" s="1">
        <f>IFERROR(__xludf.DUMMYFUNCTION("""COMPUTED_VALUE"""),114.82464)</f>
        <v>114.82464</v>
      </c>
    </row>
    <row r="1481">
      <c r="A1481" s="3">
        <f>IFERROR(__xludf.DUMMYFUNCTION("""COMPUTED_VALUE"""),41793.99861111111)</f>
        <v>41793.99861</v>
      </c>
      <c r="B1481" s="1">
        <f>IFERROR(__xludf.DUMMYFUNCTION("""COMPUTED_VALUE"""),114.7575)</f>
        <v>114.7575</v>
      </c>
    </row>
    <row r="1482">
      <c r="A1482" s="3">
        <f>IFERROR(__xludf.DUMMYFUNCTION("""COMPUTED_VALUE"""),41794.99861111111)</f>
        <v>41794.99861</v>
      </c>
      <c r="B1482" s="1">
        <f>IFERROR(__xludf.DUMMYFUNCTION("""COMPUTED_VALUE"""),115.615)</f>
        <v>115.615</v>
      </c>
    </row>
    <row r="1483">
      <c r="A1483" s="3">
        <f>IFERROR(__xludf.DUMMYFUNCTION("""COMPUTED_VALUE"""),41795.99861111111)</f>
        <v>41795.99861</v>
      </c>
      <c r="B1483" s="1">
        <f>IFERROR(__xludf.DUMMYFUNCTION("""COMPUTED_VALUE"""),115.6072)</f>
        <v>115.6072</v>
      </c>
    </row>
    <row r="1484">
      <c r="A1484" s="3">
        <f>IFERROR(__xludf.DUMMYFUNCTION("""COMPUTED_VALUE"""),41796.99861111111)</f>
        <v>41796.99861</v>
      </c>
      <c r="B1484" s="1">
        <f>IFERROR(__xludf.DUMMYFUNCTION("""COMPUTED_VALUE"""),115.3144)</f>
        <v>115.3144</v>
      </c>
    </row>
    <row r="1485">
      <c r="A1485" s="3">
        <f>IFERROR(__xludf.DUMMYFUNCTION("""COMPUTED_VALUE"""),41797.99861111111)</f>
        <v>41797.99861</v>
      </c>
      <c r="B1485" s="1">
        <f>IFERROR(__xludf.DUMMYFUNCTION("""COMPUTED_VALUE"""),115.5028656)</f>
        <v>115.5028656</v>
      </c>
    </row>
    <row r="1486">
      <c r="A1486" s="3">
        <f>IFERROR(__xludf.DUMMYFUNCTION("""COMPUTED_VALUE"""),41798.99861111111)</f>
        <v>41798.99861</v>
      </c>
      <c r="B1486" s="1">
        <f>IFERROR(__xludf.DUMMYFUNCTION("""COMPUTED_VALUE"""),115.5028656)</f>
        <v>115.5028656</v>
      </c>
    </row>
    <row r="1487">
      <c r="A1487" s="3">
        <f>IFERROR(__xludf.DUMMYFUNCTION("""COMPUTED_VALUE"""),41799.99861111111)</f>
        <v>41799.99861</v>
      </c>
      <c r="B1487" s="1">
        <f>IFERROR(__xludf.DUMMYFUNCTION("""COMPUTED_VALUE"""),114.80625)</f>
        <v>114.80625</v>
      </c>
    </row>
    <row r="1488">
      <c r="A1488" s="3">
        <f>IFERROR(__xludf.DUMMYFUNCTION("""COMPUTED_VALUE"""),41800.99861111111)</f>
        <v>41800.99861</v>
      </c>
      <c r="B1488" s="1">
        <f>IFERROR(__xludf.DUMMYFUNCTION("""COMPUTED_VALUE"""),115.43255)</f>
        <v>115.43255</v>
      </c>
    </row>
    <row r="1489">
      <c r="A1489" s="3">
        <f>IFERROR(__xludf.DUMMYFUNCTION("""COMPUTED_VALUE"""),41801.99861111111)</f>
        <v>41801.99861</v>
      </c>
      <c r="B1489" s="1">
        <f>IFERROR(__xludf.DUMMYFUNCTION("""COMPUTED_VALUE"""),115.689)</f>
        <v>115.689</v>
      </c>
    </row>
    <row r="1490">
      <c r="A1490" s="3">
        <f>IFERROR(__xludf.DUMMYFUNCTION("""COMPUTED_VALUE"""),41802.99861111111)</f>
        <v>41802.99861</v>
      </c>
      <c r="B1490" s="1">
        <f>IFERROR(__xludf.DUMMYFUNCTION("""COMPUTED_VALUE"""),115.80918)</f>
        <v>115.80918</v>
      </c>
    </row>
    <row r="1491">
      <c r="A1491" s="3">
        <f>IFERROR(__xludf.DUMMYFUNCTION("""COMPUTED_VALUE"""),41803.99861111111)</f>
        <v>41803.99861</v>
      </c>
      <c r="B1491" s="1">
        <f>IFERROR(__xludf.DUMMYFUNCTION("""COMPUTED_VALUE"""),115.493)</f>
        <v>115.493</v>
      </c>
    </row>
    <row r="1492">
      <c r="A1492" s="3">
        <f>IFERROR(__xludf.DUMMYFUNCTION("""COMPUTED_VALUE"""),41804.99861111111)</f>
        <v>41804.99861</v>
      </c>
      <c r="B1492" s="1">
        <f>IFERROR(__xludf.DUMMYFUNCTION("""COMPUTED_VALUE"""),115.702426)</f>
        <v>115.702426</v>
      </c>
    </row>
    <row r="1493">
      <c r="A1493" s="3">
        <f>IFERROR(__xludf.DUMMYFUNCTION("""COMPUTED_VALUE"""),41805.99861111111)</f>
        <v>41805.99861</v>
      </c>
      <c r="B1493" s="1">
        <f>IFERROR(__xludf.DUMMYFUNCTION("""COMPUTED_VALUE"""),115.702426)</f>
        <v>115.702426</v>
      </c>
    </row>
    <row r="1494">
      <c r="A1494" s="3">
        <f>IFERROR(__xludf.DUMMYFUNCTION("""COMPUTED_VALUE"""),41806.99861111111)</f>
        <v>41806.99861</v>
      </c>
      <c r="B1494" s="1">
        <f>IFERROR(__xludf.DUMMYFUNCTION("""COMPUTED_VALUE"""),115.99967)</f>
        <v>115.99967</v>
      </c>
    </row>
    <row r="1495">
      <c r="A1495" s="3">
        <f>IFERROR(__xludf.DUMMYFUNCTION("""COMPUTED_VALUE"""),41807.99861111111)</f>
        <v>41807.99861</v>
      </c>
      <c r="B1495" s="1">
        <f>IFERROR(__xludf.DUMMYFUNCTION("""COMPUTED_VALUE"""),116.318495)</f>
        <v>116.318495</v>
      </c>
    </row>
    <row r="1496">
      <c r="A1496" s="3">
        <f>IFERROR(__xludf.DUMMYFUNCTION("""COMPUTED_VALUE"""),41808.99861111111)</f>
        <v>41808.99861</v>
      </c>
      <c r="B1496" s="1">
        <f>IFERROR(__xludf.DUMMYFUNCTION("""COMPUTED_VALUE"""),117.76905)</f>
        <v>117.76905</v>
      </c>
    </row>
    <row r="1497">
      <c r="A1497" s="3">
        <f>IFERROR(__xludf.DUMMYFUNCTION("""COMPUTED_VALUE"""),41809.99861111111)</f>
        <v>41809.99861</v>
      </c>
      <c r="B1497" s="1">
        <f>IFERROR(__xludf.DUMMYFUNCTION("""COMPUTED_VALUE"""),116.874235)</f>
        <v>116.874235</v>
      </c>
    </row>
    <row r="1498">
      <c r="A1498" s="3">
        <f>IFERROR(__xludf.DUMMYFUNCTION("""COMPUTED_VALUE"""),41810.99861111111)</f>
        <v>41810.99861</v>
      </c>
      <c r="B1498" s="1">
        <f>IFERROR(__xludf.DUMMYFUNCTION("""COMPUTED_VALUE"""),116.9905)</f>
        <v>116.9905</v>
      </c>
    </row>
    <row r="1499">
      <c r="A1499" s="3">
        <f>IFERROR(__xludf.DUMMYFUNCTION("""COMPUTED_VALUE"""),41811.99861111111)</f>
        <v>41811.99861</v>
      </c>
      <c r="B1499" s="1">
        <f>IFERROR(__xludf.DUMMYFUNCTION("""COMPUTED_VALUE"""),117.365192)</f>
        <v>117.365192</v>
      </c>
    </row>
    <row r="1500">
      <c r="A1500" s="3">
        <f>IFERROR(__xludf.DUMMYFUNCTION("""COMPUTED_VALUE"""),41812.99861111111)</f>
        <v>41812.99861</v>
      </c>
      <c r="B1500" s="1">
        <f>IFERROR(__xludf.DUMMYFUNCTION("""COMPUTED_VALUE"""),117.2454316)</f>
        <v>117.2454316</v>
      </c>
    </row>
    <row r="1501">
      <c r="A1501" s="3">
        <f>IFERROR(__xludf.DUMMYFUNCTION("""COMPUTED_VALUE"""),41813.99861111111)</f>
        <v>41813.99861</v>
      </c>
      <c r="B1501" s="1">
        <f>IFERROR(__xludf.DUMMYFUNCTION("""COMPUTED_VALUE"""),117.626256)</f>
        <v>117.626256</v>
      </c>
    </row>
    <row r="1502">
      <c r="A1502" s="3">
        <f>IFERROR(__xludf.DUMMYFUNCTION("""COMPUTED_VALUE"""),41814.99861111111)</f>
        <v>41814.99861</v>
      </c>
      <c r="B1502" s="1">
        <f>IFERROR(__xludf.DUMMYFUNCTION("""COMPUTED_VALUE"""),117.64696)</f>
        <v>117.64696</v>
      </c>
    </row>
    <row r="1503">
      <c r="A1503" s="3">
        <f>IFERROR(__xludf.DUMMYFUNCTION("""COMPUTED_VALUE"""),41815.99861111111)</f>
        <v>41815.99861</v>
      </c>
      <c r="B1503" s="1">
        <f>IFERROR(__xludf.DUMMYFUNCTION("""COMPUTED_VALUE"""),118.73589)</f>
        <v>118.73589</v>
      </c>
    </row>
    <row r="1504">
      <c r="A1504" s="3">
        <f>IFERROR(__xludf.DUMMYFUNCTION("""COMPUTED_VALUE"""),41816.99861111111)</f>
        <v>41816.99861</v>
      </c>
      <c r="B1504" s="1">
        <f>IFERROR(__xludf.DUMMYFUNCTION("""COMPUTED_VALUE"""),118.90515)</f>
        <v>118.90515</v>
      </c>
    </row>
    <row r="1505">
      <c r="A1505" s="3">
        <f>IFERROR(__xludf.DUMMYFUNCTION("""COMPUTED_VALUE"""),41817.99861111111)</f>
        <v>41817.99861</v>
      </c>
      <c r="B1505" s="1">
        <f>IFERROR(__xludf.DUMMYFUNCTION("""COMPUTED_VALUE"""),118.5172)</f>
        <v>118.5172</v>
      </c>
    </row>
    <row r="1506">
      <c r="A1506" s="3">
        <f>IFERROR(__xludf.DUMMYFUNCTION("""COMPUTED_VALUE"""),41818.99861111111)</f>
        <v>41818.99861</v>
      </c>
      <c r="B1506" s="1">
        <f>IFERROR(__xludf.DUMMYFUNCTION("""COMPUTED_VALUE"""),118.5096078)</f>
        <v>118.5096078</v>
      </c>
    </row>
    <row r="1507">
      <c r="A1507" s="3">
        <f>IFERROR(__xludf.DUMMYFUNCTION("""COMPUTED_VALUE"""),41819.99861111111)</f>
        <v>41819.99861</v>
      </c>
      <c r="B1507" s="1">
        <f>IFERROR(__xludf.DUMMYFUNCTION("""COMPUTED_VALUE"""),118.5096078)</f>
        <v>118.5096078</v>
      </c>
    </row>
    <row r="1508">
      <c r="A1508" s="3">
        <f>IFERROR(__xludf.DUMMYFUNCTION("""COMPUTED_VALUE"""),41820.99861111111)</f>
        <v>41820.99861</v>
      </c>
      <c r="B1508" s="1">
        <f>IFERROR(__xludf.DUMMYFUNCTION("""COMPUTED_VALUE"""),117.30495)</f>
        <v>117.30495</v>
      </c>
    </row>
    <row r="1509">
      <c r="A1509" s="3">
        <f>IFERROR(__xludf.DUMMYFUNCTION("""COMPUTED_VALUE"""),41821.99861111111)</f>
        <v>41821.99861</v>
      </c>
      <c r="B1509" s="1">
        <f>IFERROR(__xludf.DUMMYFUNCTION("""COMPUTED_VALUE"""),117.1793)</f>
        <v>117.1793</v>
      </c>
    </row>
    <row r="1510">
      <c r="A1510" s="3">
        <f>IFERROR(__xludf.DUMMYFUNCTION("""COMPUTED_VALUE"""),41822.99861111111)</f>
        <v>41822.99861</v>
      </c>
      <c r="B1510" s="1">
        <f>IFERROR(__xludf.DUMMYFUNCTION("""COMPUTED_VALUE"""),116.858)</f>
        <v>116.858</v>
      </c>
    </row>
    <row r="1511">
      <c r="A1511" s="3">
        <f>IFERROR(__xludf.DUMMYFUNCTION("""COMPUTED_VALUE"""),41823.99861111111)</f>
        <v>41823.99861</v>
      </c>
      <c r="B1511" s="1">
        <f>IFERROR(__xludf.DUMMYFUNCTION("""COMPUTED_VALUE"""),116.442805)</f>
        <v>116.442805</v>
      </c>
    </row>
    <row r="1512">
      <c r="A1512" s="3">
        <f>IFERROR(__xludf.DUMMYFUNCTION("""COMPUTED_VALUE"""),41824.99861111111)</f>
        <v>41824.99861</v>
      </c>
      <c r="B1512" s="1">
        <f>IFERROR(__xludf.DUMMYFUNCTION("""COMPUTED_VALUE"""),116.1094)</f>
        <v>116.1094</v>
      </c>
    </row>
    <row r="1513">
      <c r="A1513" s="3">
        <f>IFERROR(__xludf.DUMMYFUNCTION("""COMPUTED_VALUE"""),41825.99861111111)</f>
        <v>41825.99861</v>
      </c>
      <c r="B1513" s="1">
        <f>IFERROR(__xludf.DUMMYFUNCTION("""COMPUTED_VALUE"""),116.2707392)</f>
        <v>116.2707392</v>
      </c>
    </row>
    <row r="1514">
      <c r="A1514" s="3">
        <f>IFERROR(__xludf.DUMMYFUNCTION("""COMPUTED_VALUE"""),41826.99861111111)</f>
        <v>41826.99861</v>
      </c>
      <c r="B1514" s="1">
        <f>IFERROR(__xludf.DUMMYFUNCTION("""COMPUTED_VALUE"""),116.2707392)</f>
        <v>116.2707392</v>
      </c>
    </row>
    <row r="1515">
      <c r="A1515" s="3">
        <f>IFERROR(__xludf.DUMMYFUNCTION("""COMPUTED_VALUE"""),41827.99861111111)</f>
        <v>41827.99861</v>
      </c>
      <c r="B1515" s="1">
        <f>IFERROR(__xludf.DUMMYFUNCTION("""COMPUTED_VALUE"""),115.1395)</f>
        <v>115.1395</v>
      </c>
    </row>
    <row r="1516">
      <c r="A1516" s="3">
        <f>IFERROR(__xludf.DUMMYFUNCTION("""COMPUTED_VALUE"""),41828.99861111111)</f>
        <v>41828.99861</v>
      </c>
      <c r="B1516" s="1">
        <f>IFERROR(__xludf.DUMMYFUNCTION("""COMPUTED_VALUE"""),114.90025)</f>
        <v>114.90025</v>
      </c>
    </row>
    <row r="1517">
      <c r="A1517" s="3">
        <f>IFERROR(__xludf.DUMMYFUNCTION("""COMPUTED_VALUE"""),41829.99861111111)</f>
        <v>41829.99861</v>
      </c>
      <c r="B1517" s="1">
        <f>IFERROR(__xludf.DUMMYFUNCTION("""COMPUTED_VALUE"""),114.2916)</f>
        <v>114.2916</v>
      </c>
    </row>
    <row r="1518">
      <c r="A1518" s="3">
        <f>IFERROR(__xludf.DUMMYFUNCTION("""COMPUTED_VALUE"""),41830.99861111111)</f>
        <v>41830.99861</v>
      </c>
      <c r="B1518" s="1">
        <f>IFERROR(__xludf.DUMMYFUNCTION("""COMPUTED_VALUE"""),114.1959)</f>
        <v>114.1959</v>
      </c>
    </row>
    <row r="1519">
      <c r="A1519" s="3">
        <f>IFERROR(__xludf.DUMMYFUNCTION("""COMPUTED_VALUE"""),41831.99861111111)</f>
        <v>41831.99861</v>
      </c>
      <c r="B1519" s="1">
        <f>IFERROR(__xludf.DUMMYFUNCTION("""COMPUTED_VALUE"""),114.54135)</f>
        <v>114.54135</v>
      </c>
    </row>
    <row r="1520">
      <c r="A1520" s="3">
        <f>IFERROR(__xludf.DUMMYFUNCTION("""COMPUTED_VALUE"""),41832.99861111111)</f>
        <v>41832.99861</v>
      </c>
      <c r="B1520" s="1">
        <f>IFERROR(__xludf.DUMMYFUNCTION("""COMPUTED_VALUE"""),114.9010128)</f>
        <v>114.9010128</v>
      </c>
    </row>
    <row r="1521">
      <c r="A1521" s="3">
        <f>IFERROR(__xludf.DUMMYFUNCTION("""COMPUTED_VALUE"""),41833.99861111111)</f>
        <v>41833.99861</v>
      </c>
      <c r="B1521" s="1">
        <f>IFERROR(__xludf.DUMMYFUNCTION("""COMPUTED_VALUE"""),114.7845984)</f>
        <v>114.7845984</v>
      </c>
    </row>
    <row r="1522">
      <c r="A1522" s="3">
        <f>IFERROR(__xludf.DUMMYFUNCTION("""COMPUTED_VALUE"""),41834.99861111111)</f>
        <v>41834.99861</v>
      </c>
      <c r="B1522" s="1">
        <f>IFERROR(__xludf.DUMMYFUNCTION("""COMPUTED_VALUE"""),114.851)</f>
        <v>114.851</v>
      </c>
    </row>
    <row r="1523">
      <c r="A1523" s="3">
        <f>IFERROR(__xludf.DUMMYFUNCTION("""COMPUTED_VALUE"""),41835.99861111111)</f>
        <v>41835.99861</v>
      </c>
      <c r="B1523" s="1">
        <f>IFERROR(__xludf.DUMMYFUNCTION("""COMPUTED_VALUE"""),115.25448)</f>
        <v>115.25448</v>
      </c>
    </row>
    <row r="1524">
      <c r="A1524" s="3">
        <f>IFERROR(__xludf.DUMMYFUNCTION("""COMPUTED_VALUE"""),41836.99861111111)</f>
        <v>41836.99861</v>
      </c>
      <c r="B1524" s="1">
        <f>IFERROR(__xludf.DUMMYFUNCTION("""COMPUTED_VALUE"""),114.44086)</f>
        <v>114.44086</v>
      </c>
    </row>
    <row r="1525">
      <c r="A1525" s="3">
        <f>IFERROR(__xludf.DUMMYFUNCTION("""COMPUTED_VALUE"""),41837.99861111111)</f>
        <v>41837.99861</v>
      </c>
      <c r="B1525" s="1">
        <f>IFERROR(__xludf.DUMMYFUNCTION("""COMPUTED_VALUE"""),115.27076)</f>
        <v>115.27076</v>
      </c>
    </row>
    <row r="1526">
      <c r="A1526" s="3">
        <f>IFERROR(__xludf.DUMMYFUNCTION("""COMPUTED_VALUE"""),41838.99861111111)</f>
        <v>41838.99861</v>
      </c>
      <c r="B1526" s="1">
        <f>IFERROR(__xludf.DUMMYFUNCTION("""COMPUTED_VALUE"""),114.64005)</f>
        <v>114.64005</v>
      </c>
    </row>
    <row r="1527">
      <c r="A1527" s="3">
        <f>IFERROR(__xludf.DUMMYFUNCTION("""COMPUTED_VALUE"""),41839.99861111111)</f>
        <v>41839.99861</v>
      </c>
      <c r="B1527" s="1">
        <f>IFERROR(__xludf.DUMMYFUNCTION("""COMPUTED_VALUE"""),114.9010128)</f>
        <v>114.9010128</v>
      </c>
    </row>
    <row r="1528">
      <c r="A1528" s="3">
        <f>IFERROR(__xludf.DUMMYFUNCTION("""COMPUTED_VALUE"""),41840.99861111111)</f>
        <v>41840.99861</v>
      </c>
      <c r="B1528" s="1">
        <f>IFERROR(__xludf.DUMMYFUNCTION("""COMPUTED_VALUE"""),114.7845984)</f>
        <v>114.7845984</v>
      </c>
    </row>
    <row r="1529">
      <c r="A1529" s="3">
        <f>IFERROR(__xludf.DUMMYFUNCTION("""COMPUTED_VALUE"""),41841.99861111111)</f>
        <v>41841.99861</v>
      </c>
      <c r="B1529" s="1">
        <f>IFERROR(__xludf.DUMMYFUNCTION("""COMPUTED_VALUE"""),113.99316)</f>
        <v>113.99316</v>
      </c>
    </row>
    <row r="1530">
      <c r="A1530" s="3">
        <f>IFERROR(__xludf.DUMMYFUNCTION("""COMPUTED_VALUE"""),41842.99861111111)</f>
        <v>41842.99861</v>
      </c>
      <c r="B1530" s="1">
        <f>IFERROR(__xludf.DUMMYFUNCTION("""COMPUTED_VALUE"""),114.063)</f>
        <v>114.063</v>
      </c>
    </row>
    <row r="1531">
      <c r="A1531" s="3">
        <f>IFERROR(__xludf.DUMMYFUNCTION("""COMPUTED_VALUE"""),41843.99861111111)</f>
        <v>41843.99861</v>
      </c>
      <c r="B1531" s="1">
        <f>IFERROR(__xludf.DUMMYFUNCTION("""COMPUTED_VALUE"""),113.092795)</f>
        <v>113.092795</v>
      </c>
    </row>
    <row r="1532">
      <c r="A1532" s="3">
        <f>IFERROR(__xludf.DUMMYFUNCTION("""COMPUTED_VALUE"""),41844.99861111111)</f>
        <v>41844.99861</v>
      </c>
      <c r="B1532" s="1">
        <f>IFERROR(__xludf.DUMMYFUNCTION("""COMPUTED_VALUE"""),113.475296)</f>
        <v>113.475296</v>
      </c>
    </row>
    <row r="1533">
      <c r="A1533" s="3">
        <f>IFERROR(__xludf.DUMMYFUNCTION("""COMPUTED_VALUE"""),41845.99861111111)</f>
        <v>41845.99861</v>
      </c>
      <c r="B1533" s="1">
        <f>IFERROR(__xludf.DUMMYFUNCTION("""COMPUTED_VALUE"""),113.52902)</f>
        <v>113.52902</v>
      </c>
    </row>
    <row r="1534">
      <c r="A1534" s="3">
        <f>IFERROR(__xludf.DUMMYFUNCTION("""COMPUTED_VALUE"""),41846.99861111111)</f>
        <v>41846.99861</v>
      </c>
      <c r="B1534" s="1">
        <f>IFERROR(__xludf.DUMMYFUNCTION("""COMPUTED_VALUE"""),113.7890536)</f>
        <v>113.7890536</v>
      </c>
    </row>
    <row r="1535">
      <c r="A1535" s="3">
        <f>IFERROR(__xludf.DUMMYFUNCTION("""COMPUTED_VALUE"""),41847.99861111111)</f>
        <v>41847.99861</v>
      </c>
      <c r="B1535" s="1">
        <f>IFERROR(__xludf.DUMMYFUNCTION("""COMPUTED_VALUE"""),113.7890536)</f>
        <v>113.7890536</v>
      </c>
    </row>
    <row r="1536">
      <c r="A1536" s="3">
        <f>IFERROR(__xludf.DUMMYFUNCTION("""COMPUTED_VALUE"""),41848.99861111111)</f>
        <v>41848.99861</v>
      </c>
      <c r="B1536" s="1">
        <f>IFERROR(__xludf.DUMMYFUNCTION("""COMPUTED_VALUE"""),113.494337)</f>
        <v>113.494337</v>
      </c>
    </row>
    <row r="1537">
      <c r="A1537" s="3">
        <f>IFERROR(__xludf.DUMMYFUNCTION("""COMPUTED_VALUE"""),41849.99861111111)</f>
        <v>41849.99861</v>
      </c>
      <c r="B1537" s="1">
        <f>IFERROR(__xludf.DUMMYFUNCTION("""COMPUTED_VALUE"""),113.18219)</f>
        <v>113.18219</v>
      </c>
    </row>
    <row r="1538">
      <c r="A1538" s="3">
        <f>IFERROR(__xludf.DUMMYFUNCTION("""COMPUTED_VALUE"""),41850.99861111111)</f>
        <v>41850.99861</v>
      </c>
      <c r="B1538" s="1">
        <f>IFERROR(__xludf.DUMMYFUNCTION("""COMPUTED_VALUE"""),112.361359)</f>
        <v>112.361359</v>
      </c>
    </row>
    <row r="1539">
      <c r="A1539" s="3">
        <f>IFERROR(__xludf.DUMMYFUNCTION("""COMPUTED_VALUE"""),41851.99861111111)</f>
        <v>41851.99861</v>
      </c>
      <c r="B1539" s="1">
        <f>IFERROR(__xludf.DUMMYFUNCTION("""COMPUTED_VALUE"""),114.375725)</f>
        <v>114.375725</v>
      </c>
    </row>
    <row r="1540">
      <c r="A1540" s="3">
        <f>IFERROR(__xludf.DUMMYFUNCTION("""COMPUTED_VALUE"""),41852.99861111111)</f>
        <v>41852.99861</v>
      </c>
      <c r="B1540" s="1">
        <f>IFERROR(__xludf.DUMMYFUNCTION("""COMPUTED_VALUE"""),115.52614)</f>
        <v>115.52614</v>
      </c>
    </row>
    <row r="1541">
      <c r="A1541" s="3">
        <f>IFERROR(__xludf.DUMMYFUNCTION("""COMPUTED_VALUE"""),41853.99861111111)</f>
        <v>41853.99861</v>
      </c>
      <c r="B1541" s="1">
        <f>IFERROR(__xludf.DUMMYFUNCTION("""COMPUTED_VALUE"""),114.9940438)</f>
        <v>114.9940438</v>
      </c>
    </row>
    <row r="1542">
      <c r="A1542" s="3">
        <f>IFERROR(__xludf.DUMMYFUNCTION("""COMPUTED_VALUE"""),41854.99861111111)</f>
        <v>41854.99861</v>
      </c>
      <c r="B1542" s="1">
        <f>IFERROR(__xludf.DUMMYFUNCTION("""COMPUTED_VALUE"""),115.79568)</f>
        <v>115.79568</v>
      </c>
    </row>
    <row r="1543">
      <c r="A1543" s="3">
        <f>IFERROR(__xludf.DUMMYFUNCTION("""COMPUTED_VALUE"""),41855.99861111111)</f>
        <v>41855.99861</v>
      </c>
      <c r="B1543" s="1">
        <f>IFERROR(__xludf.DUMMYFUNCTION("""COMPUTED_VALUE"""),114.58774)</f>
        <v>114.58774</v>
      </c>
    </row>
    <row r="1544">
      <c r="A1544" s="3">
        <f>IFERROR(__xludf.DUMMYFUNCTION("""COMPUTED_VALUE"""),41856.99861111111)</f>
        <v>41856.99861</v>
      </c>
      <c r="B1544" s="1">
        <f>IFERROR(__xludf.DUMMYFUNCTION("""COMPUTED_VALUE"""),113.749525)</f>
        <v>113.749525</v>
      </c>
    </row>
    <row r="1545">
      <c r="A1545" s="3">
        <f>IFERROR(__xludf.DUMMYFUNCTION("""COMPUTED_VALUE"""),41857.99861111111)</f>
        <v>41857.99861</v>
      </c>
      <c r="B1545" s="1">
        <f>IFERROR(__xludf.DUMMYFUNCTION("""COMPUTED_VALUE"""),115.11082)</f>
        <v>115.11082</v>
      </c>
    </row>
    <row r="1546">
      <c r="A1546" s="3">
        <f>IFERROR(__xludf.DUMMYFUNCTION("""COMPUTED_VALUE"""),41858.99861111111)</f>
        <v>41858.99861</v>
      </c>
      <c r="B1546" s="1">
        <f>IFERROR(__xludf.DUMMYFUNCTION("""COMPUTED_VALUE"""),115.661372)</f>
        <v>115.661372</v>
      </c>
    </row>
    <row r="1547">
      <c r="A1547" s="3">
        <f>IFERROR(__xludf.DUMMYFUNCTION("""COMPUTED_VALUE"""),41859.99861111111)</f>
        <v>41859.99861</v>
      </c>
      <c r="B1547" s="1">
        <f>IFERROR(__xludf.DUMMYFUNCTION("""COMPUTED_VALUE"""),115.101)</f>
        <v>115.101</v>
      </c>
    </row>
    <row r="1548">
      <c r="A1548" s="3">
        <f>IFERROR(__xludf.DUMMYFUNCTION("""COMPUTED_VALUE"""),41860.99861111111)</f>
        <v>41860.99861</v>
      </c>
      <c r="B1548" s="1">
        <f>IFERROR(__xludf.DUMMYFUNCTION("""COMPUTED_VALUE"""),115.702426)</f>
        <v>115.702426</v>
      </c>
    </row>
    <row r="1549">
      <c r="A1549" s="3">
        <f>IFERROR(__xludf.DUMMYFUNCTION("""COMPUTED_VALUE"""),41861.99861111111)</f>
        <v>41861.99861</v>
      </c>
      <c r="B1549" s="1">
        <f>IFERROR(__xludf.DUMMYFUNCTION("""COMPUTED_VALUE"""),115.7210307)</f>
        <v>115.7210307</v>
      </c>
    </row>
    <row r="1550">
      <c r="A1550" s="3">
        <f>IFERROR(__xludf.DUMMYFUNCTION("""COMPUTED_VALUE"""),41862.99861111111)</f>
        <v>41862.99861</v>
      </c>
      <c r="B1550" s="1">
        <f>IFERROR(__xludf.DUMMYFUNCTION("""COMPUTED_VALUE"""),114.4143)</f>
        <v>114.4143</v>
      </c>
    </row>
    <row r="1551">
      <c r="A1551" s="3">
        <f>IFERROR(__xludf.DUMMYFUNCTION("""COMPUTED_VALUE"""),41863.99861111111)</f>
        <v>41863.99861</v>
      </c>
      <c r="B1551" s="1">
        <f>IFERROR(__xludf.DUMMYFUNCTION("""COMPUTED_VALUE"""),114.172)</f>
        <v>114.172</v>
      </c>
    </row>
    <row r="1552">
      <c r="A1552" s="3">
        <f>IFERROR(__xludf.DUMMYFUNCTION("""COMPUTED_VALUE"""),41864.99861111111)</f>
        <v>41864.99861</v>
      </c>
      <c r="B1552" s="1">
        <f>IFERROR(__xludf.DUMMYFUNCTION("""COMPUTED_VALUE"""),114.049446)</f>
        <v>114.049446</v>
      </c>
    </row>
    <row r="1553">
      <c r="A1553" s="3">
        <f>IFERROR(__xludf.DUMMYFUNCTION("""COMPUTED_VALUE"""),41865.99861111111)</f>
        <v>41865.99861</v>
      </c>
      <c r="B1553" s="1">
        <f>IFERROR(__xludf.DUMMYFUNCTION("""COMPUTED_VALUE"""),113.8992)</f>
        <v>113.8992</v>
      </c>
    </row>
    <row r="1554">
      <c r="A1554" s="3">
        <f>IFERROR(__xludf.DUMMYFUNCTION("""COMPUTED_VALUE"""),41866.99861111111)</f>
        <v>41866.99861</v>
      </c>
      <c r="B1554" s="1">
        <f>IFERROR(__xludf.DUMMYFUNCTION("""COMPUTED_VALUE"""),113.98659)</f>
        <v>113.98659</v>
      </c>
    </row>
    <row r="1555">
      <c r="A1555" s="3">
        <f>IFERROR(__xludf.DUMMYFUNCTION("""COMPUTED_VALUE"""),41867.99861111111)</f>
        <v>41867.99861</v>
      </c>
      <c r="B1555" s="1">
        <f>IFERROR(__xludf.DUMMYFUNCTION("""COMPUTED_VALUE"""),114.1354848)</f>
        <v>114.1354848</v>
      </c>
    </row>
    <row r="1556">
      <c r="A1556" s="3">
        <f>IFERROR(__xludf.DUMMYFUNCTION("""COMPUTED_VALUE"""),41868.99861111111)</f>
        <v>41868.99861</v>
      </c>
      <c r="B1556" s="1">
        <f>IFERROR(__xludf.DUMMYFUNCTION("""COMPUTED_VALUE"""),114.0186624)</f>
        <v>114.0186624</v>
      </c>
    </row>
    <row r="1557">
      <c r="A1557" s="3">
        <f>IFERROR(__xludf.DUMMYFUNCTION("""COMPUTED_VALUE"""),41869.99861111111)</f>
        <v>41869.99861</v>
      </c>
      <c r="B1557" s="1">
        <f>IFERROR(__xludf.DUMMYFUNCTION("""COMPUTED_VALUE"""),113.8216)</f>
        <v>113.8216</v>
      </c>
    </row>
    <row r="1558">
      <c r="A1558" s="3">
        <f>IFERROR(__xludf.DUMMYFUNCTION("""COMPUTED_VALUE"""),41870.99861111111)</f>
        <v>41870.99861</v>
      </c>
      <c r="B1558" s="1">
        <f>IFERROR(__xludf.DUMMYFUNCTION("""COMPUTED_VALUE"""),113.36436)</f>
        <v>113.36436</v>
      </c>
    </row>
    <row r="1559">
      <c r="A1559" s="3">
        <f>IFERROR(__xludf.DUMMYFUNCTION("""COMPUTED_VALUE"""),41871.99861111111)</f>
        <v>41871.99861</v>
      </c>
      <c r="B1559" s="1">
        <f>IFERROR(__xludf.DUMMYFUNCTION("""COMPUTED_VALUE"""),112.788)</f>
        <v>112.788</v>
      </c>
    </row>
    <row r="1560">
      <c r="A1560" s="3">
        <f>IFERROR(__xludf.DUMMYFUNCTION("""COMPUTED_VALUE"""),41872.99861111111)</f>
        <v>41872.99861</v>
      </c>
      <c r="B1560" s="1">
        <f>IFERROR(__xludf.DUMMYFUNCTION("""COMPUTED_VALUE"""),112.55544)</f>
        <v>112.55544</v>
      </c>
    </row>
    <row r="1561">
      <c r="A1561" s="3">
        <f>IFERROR(__xludf.DUMMYFUNCTION("""COMPUTED_VALUE"""),41873.99861111111)</f>
        <v>41873.99861</v>
      </c>
      <c r="B1561" s="1">
        <f>IFERROR(__xludf.DUMMYFUNCTION("""COMPUTED_VALUE"""),112.1692)</f>
        <v>112.1692</v>
      </c>
    </row>
    <row r="1562">
      <c r="A1562" s="3">
        <f>IFERROR(__xludf.DUMMYFUNCTION("""COMPUTED_VALUE"""),41874.99861111111)</f>
        <v>41874.99861</v>
      </c>
      <c r="B1562" s="1">
        <f>IFERROR(__xludf.DUMMYFUNCTION("""COMPUTED_VALUE"""),112.3831488)</f>
        <v>112.3831488</v>
      </c>
    </row>
    <row r="1563">
      <c r="A1563" s="3">
        <f>IFERROR(__xludf.DUMMYFUNCTION("""COMPUTED_VALUE"""),41875.99861111111)</f>
        <v>41875.99861</v>
      </c>
      <c r="B1563" s="1">
        <f>IFERROR(__xludf.DUMMYFUNCTION("""COMPUTED_VALUE"""),112.0443638)</f>
        <v>112.0443638</v>
      </c>
    </row>
    <row r="1564">
      <c r="A1564" s="3">
        <f>IFERROR(__xludf.DUMMYFUNCTION("""COMPUTED_VALUE"""),41876.99861111111)</f>
        <v>41876.99861</v>
      </c>
      <c r="B1564" s="1">
        <f>IFERROR(__xludf.DUMMYFUNCTION("""COMPUTED_VALUE"""),112.41778)</f>
        <v>112.41778</v>
      </c>
    </row>
    <row r="1565">
      <c r="A1565" s="3">
        <f>IFERROR(__xludf.DUMMYFUNCTION("""COMPUTED_VALUE"""),41877.99861111111)</f>
        <v>41877.99861</v>
      </c>
      <c r="B1565" s="1">
        <f>IFERROR(__xludf.DUMMYFUNCTION("""COMPUTED_VALUE"""),112.35929)</f>
        <v>112.35929</v>
      </c>
    </row>
    <row r="1566">
      <c r="A1566" s="3">
        <f>IFERROR(__xludf.DUMMYFUNCTION("""COMPUTED_VALUE"""),41878.99861111111)</f>
        <v>41878.99861</v>
      </c>
      <c r="B1566" s="1">
        <f>IFERROR(__xludf.DUMMYFUNCTION("""COMPUTED_VALUE"""),112.2173)</f>
        <v>112.2173</v>
      </c>
    </row>
    <row r="1567">
      <c r="A1567" s="3">
        <f>IFERROR(__xludf.DUMMYFUNCTION("""COMPUTED_VALUE"""),41879.99861111111)</f>
        <v>41879.99861</v>
      </c>
      <c r="B1567" s="1">
        <f>IFERROR(__xludf.DUMMYFUNCTION("""COMPUTED_VALUE"""),112.9326)</f>
        <v>112.9326</v>
      </c>
    </row>
    <row r="1568">
      <c r="A1568" s="3">
        <f>IFERROR(__xludf.DUMMYFUNCTION("""COMPUTED_VALUE"""),41880.99861111111)</f>
        <v>41880.99861</v>
      </c>
      <c r="B1568" s="1">
        <f>IFERROR(__xludf.DUMMYFUNCTION("""COMPUTED_VALUE"""),112.37934)</f>
        <v>112.37934</v>
      </c>
    </row>
    <row r="1569">
      <c r="A1569" s="3">
        <f>IFERROR(__xludf.DUMMYFUNCTION("""COMPUTED_VALUE"""),41881.99861111111)</f>
        <v>41881.99861</v>
      </c>
      <c r="B1569" s="1">
        <f>IFERROR(__xludf.DUMMYFUNCTION("""COMPUTED_VALUE"""),112.529256)</f>
        <v>112.529256</v>
      </c>
    </row>
    <row r="1570">
      <c r="A1570" s="3">
        <f>IFERROR(__xludf.DUMMYFUNCTION("""COMPUTED_VALUE"""),41882.99861111111)</f>
        <v>41882.99861</v>
      </c>
      <c r="B1570" s="1">
        <f>IFERROR(__xludf.DUMMYFUNCTION("""COMPUTED_VALUE"""),112.41216)</f>
        <v>112.41216</v>
      </c>
    </row>
    <row r="1571">
      <c r="A1571" s="3">
        <f>IFERROR(__xludf.DUMMYFUNCTION("""COMPUTED_VALUE"""),41883.99861111111)</f>
        <v>41883.99861</v>
      </c>
      <c r="B1571" s="1">
        <f>IFERROR(__xludf.DUMMYFUNCTION("""COMPUTED_VALUE"""),112.209472)</f>
        <v>112.209472</v>
      </c>
    </row>
    <row r="1572">
      <c r="A1572" s="3">
        <f>IFERROR(__xludf.DUMMYFUNCTION("""COMPUTED_VALUE"""),41884.99861111111)</f>
        <v>41884.99861</v>
      </c>
      <c r="B1572" s="1">
        <f>IFERROR(__xludf.DUMMYFUNCTION("""COMPUTED_VALUE"""),111.722902)</f>
        <v>111.722902</v>
      </c>
    </row>
    <row r="1573">
      <c r="A1573" s="3">
        <f>IFERROR(__xludf.DUMMYFUNCTION("""COMPUTED_VALUE"""),41885.99861111111)</f>
        <v>41885.99861</v>
      </c>
      <c r="B1573" s="1">
        <f>IFERROR(__xludf.DUMMYFUNCTION("""COMPUTED_VALUE"""),112.25718)</f>
        <v>112.25718</v>
      </c>
    </row>
    <row r="1574">
      <c r="A1574" s="3">
        <f>IFERROR(__xludf.DUMMYFUNCTION("""COMPUTED_VALUE"""),41886.99861111111)</f>
        <v>41886.99861</v>
      </c>
      <c r="B1574" s="1">
        <f>IFERROR(__xludf.DUMMYFUNCTION("""COMPUTED_VALUE"""),111.42209)</f>
        <v>111.42209</v>
      </c>
    </row>
    <row r="1575">
      <c r="A1575" s="3">
        <f>IFERROR(__xludf.DUMMYFUNCTION("""COMPUTED_VALUE"""),41887.99861111111)</f>
        <v>41887.99861</v>
      </c>
      <c r="B1575" s="1">
        <f>IFERROR(__xludf.DUMMYFUNCTION("""COMPUTED_VALUE"""),111.47622)</f>
        <v>111.47622</v>
      </c>
    </row>
    <row r="1576">
      <c r="A1576" s="3">
        <f>IFERROR(__xludf.DUMMYFUNCTION("""COMPUTED_VALUE"""),41888.99861111111)</f>
        <v>41888.99861</v>
      </c>
      <c r="B1576" s="1">
        <f>IFERROR(__xludf.DUMMYFUNCTION("""COMPUTED_VALUE"""),111.6196308)</f>
        <v>111.6196308</v>
      </c>
    </row>
    <row r="1577">
      <c r="A1577" s="3">
        <f>IFERROR(__xludf.DUMMYFUNCTION("""COMPUTED_VALUE"""),41889.99861111111)</f>
        <v>41889.99861</v>
      </c>
      <c r="B1577" s="1">
        <f>IFERROR(__xludf.DUMMYFUNCTION("""COMPUTED_VALUE"""),111.6196308)</f>
        <v>111.6196308</v>
      </c>
    </row>
    <row r="1578">
      <c r="A1578" s="3">
        <f>IFERROR(__xludf.DUMMYFUNCTION("""COMPUTED_VALUE"""),41890.99861111111)</f>
        <v>41890.99861</v>
      </c>
      <c r="B1578" s="1">
        <f>IFERROR(__xludf.DUMMYFUNCTION("""COMPUTED_VALUE"""),110.477016)</f>
        <v>110.477016</v>
      </c>
    </row>
    <row r="1579">
      <c r="A1579" s="3">
        <f>IFERROR(__xludf.DUMMYFUNCTION("""COMPUTED_VALUE"""),41891.99861111111)</f>
        <v>41891.99861</v>
      </c>
      <c r="B1579" s="1">
        <f>IFERROR(__xludf.DUMMYFUNCTION("""COMPUTED_VALUE"""),111.05682)</f>
        <v>111.05682</v>
      </c>
    </row>
    <row r="1580">
      <c r="A1580" s="3">
        <f>IFERROR(__xludf.DUMMYFUNCTION("""COMPUTED_VALUE"""),41892.99861111111)</f>
        <v>41892.99861</v>
      </c>
      <c r="B1580" s="1">
        <f>IFERROR(__xludf.DUMMYFUNCTION("""COMPUTED_VALUE"""),110.56477)</f>
        <v>110.56477</v>
      </c>
    </row>
    <row r="1581">
      <c r="A1581" s="3">
        <f>IFERROR(__xludf.DUMMYFUNCTION("""COMPUTED_VALUE"""),41893.99861111111)</f>
        <v>41893.99861</v>
      </c>
      <c r="B1581" s="1">
        <f>IFERROR(__xludf.DUMMYFUNCTION("""COMPUTED_VALUE"""),110.50403)</f>
        <v>110.50403</v>
      </c>
    </row>
    <row r="1582">
      <c r="A1582" s="3">
        <f>IFERROR(__xludf.DUMMYFUNCTION("""COMPUTED_VALUE"""),41894.99861111111)</f>
        <v>41894.99861</v>
      </c>
      <c r="B1582" s="1">
        <f>IFERROR(__xludf.DUMMYFUNCTION("""COMPUTED_VALUE"""),110.64935)</f>
        <v>110.64935</v>
      </c>
    </row>
    <row r="1583">
      <c r="A1583" s="3">
        <f>IFERROR(__xludf.DUMMYFUNCTION("""COMPUTED_VALUE"""),41895.99861111111)</f>
        <v>41895.99861</v>
      </c>
      <c r="B1583" s="1">
        <f>IFERROR(__xludf.DUMMYFUNCTION("""COMPUTED_VALUE"""),110.9523632)</f>
        <v>110.9523632</v>
      </c>
    </row>
    <row r="1584">
      <c r="A1584" s="3">
        <f>IFERROR(__xludf.DUMMYFUNCTION("""COMPUTED_VALUE"""),41896.99861111111)</f>
        <v>41896.99861</v>
      </c>
      <c r="B1584" s="1">
        <f>IFERROR(__xludf.DUMMYFUNCTION("""COMPUTED_VALUE"""),110.9523632)</f>
        <v>110.9523632</v>
      </c>
    </row>
    <row r="1585">
      <c r="A1585" s="3">
        <f>IFERROR(__xludf.DUMMYFUNCTION("""COMPUTED_VALUE"""),41897.99861111111)</f>
        <v>41897.99861</v>
      </c>
      <c r="B1585" s="1">
        <f>IFERROR(__xludf.DUMMYFUNCTION("""COMPUTED_VALUE"""),111.35355)</f>
        <v>111.35355</v>
      </c>
    </row>
    <row r="1586">
      <c r="A1586" s="3">
        <f>IFERROR(__xludf.DUMMYFUNCTION("""COMPUTED_VALUE"""),41898.99861111111)</f>
        <v>41898.99861</v>
      </c>
      <c r="B1586" s="1">
        <f>IFERROR(__xludf.DUMMYFUNCTION("""COMPUTED_VALUE"""),111.808065)</f>
        <v>111.808065</v>
      </c>
    </row>
    <row r="1587">
      <c r="A1587" s="3">
        <f>IFERROR(__xludf.DUMMYFUNCTION("""COMPUTED_VALUE"""),41899.99861111111)</f>
        <v>41899.99861</v>
      </c>
      <c r="B1587" s="1">
        <f>IFERROR(__xludf.DUMMYFUNCTION("""COMPUTED_VALUE"""),110.146096)</f>
        <v>110.146096</v>
      </c>
    </row>
    <row r="1588">
      <c r="A1588" s="3">
        <f>IFERROR(__xludf.DUMMYFUNCTION("""COMPUTED_VALUE"""),41900.99861111111)</f>
        <v>41900.99861</v>
      </c>
      <c r="B1588" s="1">
        <f>IFERROR(__xludf.DUMMYFUNCTION("""COMPUTED_VALUE"""),110.042986)</f>
        <v>110.042986</v>
      </c>
    </row>
    <row r="1589">
      <c r="A1589" s="3">
        <f>IFERROR(__xludf.DUMMYFUNCTION("""COMPUTED_VALUE"""),41901.99861111111)</f>
        <v>41901.99861</v>
      </c>
      <c r="B1589" s="1">
        <f>IFERROR(__xludf.DUMMYFUNCTION("""COMPUTED_VALUE"""),109.88411)</f>
        <v>109.88411</v>
      </c>
    </row>
    <row r="1590">
      <c r="A1590" s="3">
        <f>IFERROR(__xludf.DUMMYFUNCTION("""COMPUTED_VALUE"""),41902.99861111111)</f>
        <v>41902.99861</v>
      </c>
      <c r="B1590" s="1">
        <f>IFERROR(__xludf.DUMMYFUNCTION("""COMPUTED_VALUE"""),110.084016)</f>
        <v>110.084016</v>
      </c>
    </row>
    <row r="1591">
      <c r="A1591" s="3">
        <f>IFERROR(__xludf.DUMMYFUNCTION("""COMPUTED_VALUE"""),41903.99861111111)</f>
        <v>41903.99861</v>
      </c>
      <c r="B1591" s="1">
        <f>IFERROR(__xludf.DUMMYFUNCTION("""COMPUTED_VALUE"""),110.204064)</f>
        <v>110.204064</v>
      </c>
    </row>
    <row r="1592">
      <c r="A1592" s="3">
        <f>IFERROR(__xludf.DUMMYFUNCTION("""COMPUTED_VALUE"""),41904.99861111111)</f>
        <v>41904.99861</v>
      </c>
      <c r="B1592" s="1">
        <f>IFERROR(__xludf.DUMMYFUNCTION("""COMPUTED_VALUE"""),110.16972)</f>
        <v>110.16972</v>
      </c>
    </row>
    <row r="1593">
      <c r="A1593" s="3">
        <f>IFERROR(__xludf.DUMMYFUNCTION("""COMPUTED_VALUE"""),41905.99861111111)</f>
        <v>41905.99861</v>
      </c>
      <c r="B1593" s="1">
        <f>IFERROR(__xludf.DUMMYFUNCTION("""COMPUTED_VALUE"""),110.0043)</f>
        <v>110.0043</v>
      </c>
    </row>
    <row r="1594">
      <c r="A1594" s="3">
        <f>IFERROR(__xludf.DUMMYFUNCTION("""COMPUTED_VALUE"""),41906.99861111111)</f>
        <v>41906.99861</v>
      </c>
      <c r="B1594" s="1">
        <f>IFERROR(__xludf.DUMMYFUNCTION("""COMPUTED_VALUE"""),109.409823)</f>
        <v>109.409823</v>
      </c>
    </row>
    <row r="1595">
      <c r="A1595" s="3">
        <f>IFERROR(__xludf.DUMMYFUNCTION("""COMPUTED_VALUE"""),41907.99861111111)</f>
        <v>41907.99861</v>
      </c>
      <c r="B1595" s="1">
        <f>IFERROR(__xludf.DUMMYFUNCTION("""COMPUTED_VALUE"""),110.1976)</f>
        <v>110.1976</v>
      </c>
    </row>
    <row r="1596">
      <c r="A1596" s="3">
        <f>IFERROR(__xludf.DUMMYFUNCTION("""COMPUTED_VALUE"""),41908.99861111111)</f>
        <v>41908.99861</v>
      </c>
      <c r="B1596" s="1">
        <f>IFERROR(__xludf.DUMMYFUNCTION("""COMPUTED_VALUE"""),110.2575)</f>
        <v>110.2575</v>
      </c>
    </row>
    <row r="1597">
      <c r="A1597" s="3">
        <f>IFERROR(__xludf.DUMMYFUNCTION("""COMPUTED_VALUE"""),41909.99861111111)</f>
        <v>41909.99861</v>
      </c>
      <c r="B1597" s="1">
        <f>IFERROR(__xludf.DUMMYFUNCTION("""COMPUTED_VALUE"""),110.373888)</f>
        <v>110.373888</v>
      </c>
    </row>
    <row r="1598">
      <c r="A1598" s="3">
        <f>IFERROR(__xludf.DUMMYFUNCTION("""COMPUTED_VALUE"""),41910.99861111111)</f>
        <v>41910.99861</v>
      </c>
      <c r="B1598" s="1">
        <f>IFERROR(__xludf.DUMMYFUNCTION("""COMPUTED_VALUE"""),110.2532608)</f>
        <v>110.2532608</v>
      </c>
    </row>
    <row r="1599">
      <c r="A1599" s="3">
        <f>IFERROR(__xludf.DUMMYFUNCTION("""COMPUTED_VALUE"""),41911.99861111111)</f>
        <v>41911.99861</v>
      </c>
      <c r="B1599" s="1">
        <f>IFERROR(__xludf.DUMMYFUNCTION("""COMPUTED_VALUE"""),110.941454)</f>
        <v>110.941454</v>
      </c>
    </row>
    <row r="1600">
      <c r="A1600" s="3">
        <f>IFERROR(__xludf.DUMMYFUNCTION("""COMPUTED_VALUE"""),41912.99861111111)</f>
        <v>41912.99861</v>
      </c>
      <c r="B1600" s="1">
        <f>IFERROR(__xludf.DUMMYFUNCTION("""COMPUTED_VALUE"""),111.06035)</f>
        <v>111.06035</v>
      </c>
    </row>
    <row r="1601">
      <c r="A1601" s="3">
        <f>IFERROR(__xludf.DUMMYFUNCTION("""COMPUTED_VALUE"""),41913.99861111111)</f>
        <v>41913.99861</v>
      </c>
      <c r="B1601" s="1">
        <f>IFERROR(__xludf.DUMMYFUNCTION("""COMPUTED_VALUE"""),111.21997)</f>
        <v>111.21997</v>
      </c>
    </row>
    <row r="1602">
      <c r="A1602" s="3">
        <f>IFERROR(__xludf.DUMMYFUNCTION("""COMPUTED_VALUE"""),41914.99861111111)</f>
        <v>41914.99861</v>
      </c>
      <c r="B1602" s="1">
        <f>IFERROR(__xludf.DUMMYFUNCTION("""COMPUTED_VALUE"""),111.7332)</f>
        <v>111.7332</v>
      </c>
    </row>
    <row r="1603">
      <c r="A1603" s="3">
        <f>IFERROR(__xludf.DUMMYFUNCTION("""COMPUTED_VALUE"""),41915.99861111111)</f>
        <v>41915.99861</v>
      </c>
      <c r="B1603" s="1">
        <f>IFERROR(__xludf.DUMMYFUNCTION("""COMPUTED_VALUE"""),110.96891)</f>
        <v>110.96891</v>
      </c>
    </row>
    <row r="1604">
      <c r="A1604" s="3">
        <f>IFERROR(__xludf.DUMMYFUNCTION("""COMPUTED_VALUE"""),41916.99861111111)</f>
        <v>41916.99861</v>
      </c>
      <c r="B1604" s="1">
        <f>IFERROR(__xludf.DUMMYFUNCTION("""COMPUTED_VALUE"""),111.0975432)</f>
        <v>111.0975432</v>
      </c>
    </row>
    <row r="1605">
      <c r="A1605" s="3">
        <f>IFERROR(__xludf.DUMMYFUNCTION("""COMPUTED_VALUE"""),41917.99861111111)</f>
        <v>41917.99861</v>
      </c>
      <c r="B1605" s="1">
        <f>IFERROR(__xludf.DUMMYFUNCTION("""COMPUTED_VALUE"""),110.975592)</f>
        <v>110.975592</v>
      </c>
    </row>
    <row r="1606">
      <c r="A1606" s="3">
        <f>IFERROR(__xludf.DUMMYFUNCTION("""COMPUTED_VALUE"""),41918.99861111111)</f>
        <v>41918.99861</v>
      </c>
      <c r="B1606" s="1">
        <f>IFERROR(__xludf.DUMMYFUNCTION("""COMPUTED_VALUE"""),111.643077)</f>
        <v>111.643077</v>
      </c>
    </row>
    <row r="1607">
      <c r="A1607" s="3">
        <f>IFERROR(__xludf.DUMMYFUNCTION("""COMPUTED_VALUE"""),41919.99861111111)</f>
        <v>41919.99861</v>
      </c>
      <c r="B1607" s="1">
        <f>IFERROR(__xludf.DUMMYFUNCTION("""COMPUTED_VALUE"""),113.0165)</f>
        <v>113.0165</v>
      </c>
    </row>
    <row r="1608">
      <c r="A1608" s="3">
        <f>IFERROR(__xludf.DUMMYFUNCTION("""COMPUTED_VALUE"""),41920.99861111111)</f>
        <v>41920.99861</v>
      </c>
      <c r="B1608" s="1">
        <f>IFERROR(__xludf.DUMMYFUNCTION("""COMPUTED_VALUE"""),112.84482)</f>
        <v>112.84482</v>
      </c>
    </row>
    <row r="1609">
      <c r="A1609" s="3">
        <f>IFERROR(__xludf.DUMMYFUNCTION("""COMPUTED_VALUE"""),41921.99861111111)</f>
        <v>41921.99861</v>
      </c>
      <c r="B1609" s="1">
        <f>IFERROR(__xludf.DUMMYFUNCTION("""COMPUTED_VALUE"""),112.971072)</f>
        <v>112.971072</v>
      </c>
    </row>
    <row r="1610">
      <c r="A1610" s="3">
        <f>IFERROR(__xludf.DUMMYFUNCTION("""COMPUTED_VALUE"""),41922.99861111111)</f>
        <v>41922.99861</v>
      </c>
      <c r="B1610" s="1">
        <f>IFERROR(__xludf.DUMMYFUNCTION("""COMPUTED_VALUE"""),113.4309)</f>
        <v>113.4309</v>
      </c>
    </row>
    <row r="1611">
      <c r="A1611" s="3">
        <f>IFERROR(__xludf.DUMMYFUNCTION("""COMPUTED_VALUE"""),41923.99861111111)</f>
        <v>41923.99861</v>
      </c>
      <c r="B1611" s="1">
        <f>IFERROR(__xludf.DUMMYFUNCTION("""COMPUTED_VALUE"""),113.5695997)</f>
        <v>113.5695997</v>
      </c>
    </row>
    <row r="1612">
      <c r="A1612" s="3">
        <f>IFERROR(__xludf.DUMMYFUNCTION("""COMPUTED_VALUE"""),41924.99861111111)</f>
        <v>41924.99861</v>
      </c>
      <c r="B1612" s="1">
        <f>IFERROR(__xludf.DUMMYFUNCTION("""COMPUTED_VALUE"""),113.9363476)</f>
        <v>113.9363476</v>
      </c>
    </row>
    <row r="1613">
      <c r="A1613" s="3">
        <f>IFERROR(__xludf.DUMMYFUNCTION("""COMPUTED_VALUE"""),41925.99861111111)</f>
        <v>41925.99861</v>
      </c>
      <c r="B1613" s="1">
        <f>IFERROR(__xludf.DUMMYFUNCTION("""COMPUTED_VALUE"""),113.9968)</f>
        <v>113.9968</v>
      </c>
    </row>
    <row r="1614">
      <c r="A1614" s="3">
        <f>IFERROR(__xludf.DUMMYFUNCTION("""COMPUTED_VALUE"""),41926.99861111111)</f>
        <v>41926.99861</v>
      </c>
      <c r="B1614" s="1">
        <f>IFERROR(__xludf.DUMMYFUNCTION("""COMPUTED_VALUE"""),113.709756)</f>
        <v>113.709756</v>
      </c>
    </row>
    <row r="1615">
      <c r="A1615" s="3">
        <f>IFERROR(__xludf.DUMMYFUNCTION("""COMPUTED_VALUE"""),41927.99861111111)</f>
        <v>41927.99861</v>
      </c>
      <c r="B1615" s="1">
        <f>IFERROR(__xludf.DUMMYFUNCTION("""COMPUTED_VALUE"""),115.325064)</f>
        <v>115.325064</v>
      </c>
    </row>
    <row r="1616">
      <c r="A1616" s="3">
        <f>IFERROR(__xludf.DUMMYFUNCTION("""COMPUTED_VALUE"""),41928.99861111111)</f>
        <v>41928.99861</v>
      </c>
      <c r="B1616" s="1">
        <f>IFERROR(__xludf.DUMMYFUNCTION("""COMPUTED_VALUE"""),114.76179)</f>
        <v>114.76179</v>
      </c>
    </row>
    <row r="1617">
      <c r="A1617" s="3">
        <f>IFERROR(__xludf.DUMMYFUNCTION("""COMPUTED_VALUE"""),41929.99861111111)</f>
        <v>41929.99861</v>
      </c>
      <c r="B1617" s="1">
        <f>IFERROR(__xludf.DUMMYFUNCTION("""COMPUTED_VALUE"""),113.1537)</f>
        <v>113.1537</v>
      </c>
    </row>
    <row r="1618">
      <c r="A1618" s="3">
        <f>IFERROR(__xludf.DUMMYFUNCTION("""COMPUTED_VALUE"""),41930.99861111111)</f>
        <v>41930.99861</v>
      </c>
      <c r="B1618" s="1">
        <f>IFERROR(__xludf.DUMMYFUNCTION("""COMPUTED_VALUE"""),113.3333135)</f>
        <v>113.3333135</v>
      </c>
    </row>
    <row r="1619">
      <c r="A1619" s="3">
        <f>IFERROR(__xludf.DUMMYFUNCTION("""COMPUTED_VALUE"""),41931.99861111111)</f>
        <v>41931.99861</v>
      </c>
      <c r="B1619" s="1">
        <f>IFERROR(__xludf.DUMMYFUNCTION("""COMPUTED_VALUE"""),113.0908893)</f>
        <v>113.0908893</v>
      </c>
    </row>
    <row r="1620">
      <c r="A1620" s="3">
        <f>IFERROR(__xludf.DUMMYFUNCTION("""COMPUTED_VALUE"""),41932.99861111111)</f>
        <v>41932.99861</v>
      </c>
      <c r="B1620" s="1">
        <f>IFERROR(__xludf.DUMMYFUNCTION("""COMPUTED_VALUE"""),112.3683)</f>
        <v>112.3683</v>
      </c>
    </row>
    <row r="1621">
      <c r="A1621" s="3">
        <f>IFERROR(__xludf.DUMMYFUNCTION("""COMPUTED_VALUE"""),41933.99861111111)</f>
        <v>41933.99861</v>
      </c>
      <c r="B1621" s="1">
        <f>IFERROR(__xludf.DUMMYFUNCTION("""COMPUTED_VALUE"""),111.982554)</f>
        <v>111.982554</v>
      </c>
    </row>
    <row r="1622">
      <c r="A1622" s="3">
        <f>IFERROR(__xludf.DUMMYFUNCTION("""COMPUTED_VALUE"""),41934.99861111111)</f>
        <v>41934.99861</v>
      </c>
      <c r="B1622" s="1">
        <f>IFERROR(__xludf.DUMMYFUNCTION("""COMPUTED_VALUE"""),111.7734)</f>
        <v>111.7734</v>
      </c>
    </row>
    <row r="1623">
      <c r="A1623" s="3">
        <f>IFERROR(__xludf.DUMMYFUNCTION("""COMPUTED_VALUE"""),41935.99861111111)</f>
        <v>41935.99861</v>
      </c>
      <c r="B1623" s="1">
        <f>IFERROR(__xludf.DUMMYFUNCTION("""COMPUTED_VALUE"""),111.41231)</f>
        <v>111.41231</v>
      </c>
    </row>
    <row r="1624">
      <c r="A1624" s="3">
        <f>IFERROR(__xludf.DUMMYFUNCTION("""COMPUTED_VALUE"""),41936.99861111111)</f>
        <v>41936.99861</v>
      </c>
      <c r="B1624" s="1">
        <f>IFERROR(__xludf.DUMMYFUNCTION("""COMPUTED_VALUE"""),111.573)</f>
        <v>111.573</v>
      </c>
    </row>
    <row r="1625">
      <c r="A1625" s="3">
        <f>IFERROR(__xludf.DUMMYFUNCTION("""COMPUTED_VALUE"""),41937.99861111111)</f>
        <v>41937.99861</v>
      </c>
      <c r="B1625" s="1">
        <f>IFERROR(__xludf.DUMMYFUNCTION("""COMPUTED_VALUE"""),111.7290636)</f>
        <v>111.7290636</v>
      </c>
    </row>
    <row r="1626">
      <c r="A1626" s="3">
        <f>IFERROR(__xludf.DUMMYFUNCTION("""COMPUTED_VALUE"""),41938.99861111111)</f>
        <v>41938.99861</v>
      </c>
      <c r="B1626" s="1">
        <f>IFERROR(__xludf.DUMMYFUNCTION("""COMPUTED_VALUE"""),111.7290636)</f>
        <v>111.7290636</v>
      </c>
    </row>
    <row r="1627">
      <c r="A1627" s="3">
        <f>IFERROR(__xludf.DUMMYFUNCTION("""COMPUTED_VALUE"""),41939.99861111111)</f>
        <v>41939.99861</v>
      </c>
      <c r="B1627" s="1">
        <f>IFERROR(__xludf.DUMMYFUNCTION("""COMPUTED_VALUE"""),112.167)</f>
        <v>112.167</v>
      </c>
    </row>
    <row r="1628">
      <c r="A1628" s="3">
        <f>IFERROR(__xludf.DUMMYFUNCTION("""COMPUTED_VALUE"""),41940.99861111111)</f>
        <v>41940.99861</v>
      </c>
      <c r="B1628" s="1">
        <f>IFERROR(__xludf.DUMMYFUNCTION("""COMPUTED_VALUE"""),112.230839)</f>
        <v>112.230839</v>
      </c>
    </row>
    <row r="1629">
      <c r="A1629" s="3">
        <f>IFERROR(__xludf.DUMMYFUNCTION("""COMPUTED_VALUE"""),41941.99861111111)</f>
        <v>41941.99861</v>
      </c>
      <c r="B1629" s="1">
        <f>IFERROR(__xludf.DUMMYFUNCTION("""COMPUTED_VALUE"""),111.12548)</f>
        <v>111.12548</v>
      </c>
    </row>
    <row r="1630">
      <c r="A1630" s="3">
        <f>IFERROR(__xludf.DUMMYFUNCTION("""COMPUTED_VALUE"""),41942.99861111111)</f>
        <v>41942.99861</v>
      </c>
      <c r="B1630" s="1">
        <f>IFERROR(__xludf.DUMMYFUNCTION("""COMPUTED_VALUE"""),111.20895)</f>
        <v>111.20895</v>
      </c>
    </row>
    <row r="1631">
      <c r="A1631" s="3">
        <f>IFERROR(__xludf.DUMMYFUNCTION("""COMPUTED_VALUE"""),41943.99861111111)</f>
        <v>41943.99861</v>
      </c>
      <c r="B1631" s="1">
        <f>IFERROR(__xludf.DUMMYFUNCTION("""COMPUTED_VALUE"""),107.423)</f>
        <v>107.423</v>
      </c>
    </row>
    <row r="1632">
      <c r="A1632" s="3">
        <f>IFERROR(__xludf.DUMMYFUNCTION("""COMPUTED_VALUE"""),41944.99861111111)</f>
        <v>41944.99861</v>
      </c>
      <c r="B1632" s="1">
        <f>IFERROR(__xludf.DUMMYFUNCTION("""COMPUTED_VALUE"""),107.617821)</f>
        <v>107.617821</v>
      </c>
    </row>
    <row r="1633">
      <c r="A1633" s="3">
        <f>IFERROR(__xludf.DUMMYFUNCTION("""COMPUTED_VALUE"""),41945.99861111111)</f>
        <v>41945.99861</v>
      </c>
      <c r="B1633" s="1">
        <f>IFERROR(__xludf.DUMMYFUNCTION("""COMPUTED_VALUE"""),107.1341454)</f>
        <v>107.1341454</v>
      </c>
    </row>
    <row r="1634">
      <c r="A1634" s="3">
        <f>IFERROR(__xludf.DUMMYFUNCTION("""COMPUTED_VALUE"""),41946.99861111111)</f>
        <v>41946.99861</v>
      </c>
      <c r="B1634" s="1">
        <f>IFERROR(__xludf.DUMMYFUNCTION("""COMPUTED_VALUE"""),106.505279)</f>
        <v>106.505279</v>
      </c>
    </row>
    <row r="1635">
      <c r="A1635" s="3">
        <f>IFERROR(__xludf.DUMMYFUNCTION("""COMPUTED_VALUE"""),41947.99861111111)</f>
        <v>41947.99861</v>
      </c>
      <c r="B1635" s="1">
        <f>IFERROR(__xludf.DUMMYFUNCTION("""COMPUTED_VALUE"""),106.72543)</f>
        <v>106.72543</v>
      </c>
    </row>
    <row r="1636">
      <c r="A1636" s="3">
        <f>IFERROR(__xludf.DUMMYFUNCTION("""COMPUTED_VALUE"""),41948.99861111111)</f>
        <v>41948.99861</v>
      </c>
      <c r="B1636" s="1">
        <f>IFERROR(__xludf.DUMMYFUNCTION("""COMPUTED_VALUE"""),106.153825)</f>
        <v>106.153825</v>
      </c>
    </row>
    <row r="1637">
      <c r="A1637" s="3">
        <f>IFERROR(__xludf.DUMMYFUNCTION("""COMPUTED_VALUE"""),41949.99861111111)</f>
        <v>41949.99861</v>
      </c>
      <c r="B1637" s="1">
        <f>IFERROR(__xludf.DUMMYFUNCTION("""COMPUTED_VALUE"""),105.5106)</f>
        <v>105.5106</v>
      </c>
    </row>
    <row r="1638">
      <c r="A1638" s="3">
        <f>IFERROR(__xludf.DUMMYFUNCTION("""COMPUTED_VALUE"""),41950.99861111111)</f>
        <v>41950.99861</v>
      </c>
      <c r="B1638" s="1">
        <f>IFERROR(__xludf.DUMMYFUNCTION("""COMPUTED_VALUE"""),106.166)</f>
        <v>106.166</v>
      </c>
    </row>
    <row r="1639">
      <c r="A1639" s="3">
        <f>IFERROR(__xludf.DUMMYFUNCTION("""COMPUTED_VALUE"""),41951.99861111111)</f>
        <v>41951.99861</v>
      </c>
      <c r="B1639" s="1">
        <f>IFERROR(__xludf.DUMMYFUNCTION("""COMPUTED_VALUE"""),106.3414464)</f>
        <v>106.3414464</v>
      </c>
    </row>
    <row r="1640">
      <c r="A1640" s="3">
        <f>IFERROR(__xludf.DUMMYFUNCTION("""COMPUTED_VALUE"""),41952.99861111111)</f>
        <v>41952.99861</v>
      </c>
      <c r="B1640" s="1">
        <f>IFERROR(__xludf.DUMMYFUNCTION("""COMPUTED_VALUE"""),106.4633976)</f>
        <v>106.4633976</v>
      </c>
    </row>
    <row r="1641">
      <c r="A1641" s="3">
        <f>IFERROR(__xludf.DUMMYFUNCTION("""COMPUTED_VALUE"""),41953.99861111111)</f>
        <v>41953.99861</v>
      </c>
      <c r="B1641" s="1">
        <f>IFERROR(__xludf.DUMMYFUNCTION("""COMPUTED_VALUE"""),105.91867)</f>
        <v>105.91867</v>
      </c>
    </row>
    <row r="1642">
      <c r="A1642" s="3">
        <f>IFERROR(__xludf.DUMMYFUNCTION("""COMPUTED_VALUE"""),41954.99861111111)</f>
        <v>41954.99861</v>
      </c>
      <c r="B1642" s="1">
        <f>IFERROR(__xludf.DUMMYFUNCTION("""COMPUTED_VALUE"""),104.749536)</f>
        <v>104.749536</v>
      </c>
    </row>
    <row r="1643">
      <c r="A1643" s="3">
        <f>IFERROR(__xludf.DUMMYFUNCTION("""COMPUTED_VALUE"""),41955.99861111111)</f>
        <v>41955.99861</v>
      </c>
      <c r="B1643" s="1">
        <f>IFERROR(__xludf.DUMMYFUNCTION("""COMPUTED_VALUE"""),105.368802)</f>
        <v>105.368802</v>
      </c>
    </row>
    <row r="1644">
      <c r="A1644" s="3">
        <f>IFERROR(__xludf.DUMMYFUNCTION("""COMPUTED_VALUE"""),41956.99861111111)</f>
        <v>41956.99861</v>
      </c>
      <c r="B1644" s="1">
        <f>IFERROR(__xludf.DUMMYFUNCTION("""COMPUTED_VALUE"""),105.185997)</f>
        <v>105.185997</v>
      </c>
    </row>
    <row r="1645">
      <c r="A1645" s="3">
        <f>IFERROR(__xludf.DUMMYFUNCTION("""COMPUTED_VALUE"""),41957.99861111111)</f>
        <v>41957.99861</v>
      </c>
      <c r="B1645" s="1">
        <f>IFERROR(__xludf.DUMMYFUNCTION("""COMPUTED_VALUE"""),104.92)</f>
        <v>104.92</v>
      </c>
    </row>
    <row r="1646">
      <c r="A1646" s="3">
        <f>IFERROR(__xludf.DUMMYFUNCTION("""COMPUTED_VALUE"""),41958.99861111111)</f>
        <v>41958.99861</v>
      </c>
      <c r="B1646" s="1">
        <f>IFERROR(__xludf.DUMMYFUNCTION("""COMPUTED_VALUE"""),105.134398)</f>
        <v>105.134398</v>
      </c>
    </row>
    <row r="1647">
      <c r="A1647" s="3">
        <f>IFERROR(__xludf.DUMMYFUNCTION("""COMPUTED_VALUE"""),41959.99861111111)</f>
        <v>41959.99861</v>
      </c>
      <c r="B1647" s="1">
        <f>IFERROR(__xludf.DUMMYFUNCTION("""COMPUTED_VALUE"""),104.5231515)</f>
        <v>104.5231515</v>
      </c>
    </row>
    <row r="1648">
      <c r="A1648" s="3">
        <f>IFERROR(__xludf.DUMMYFUNCTION("""COMPUTED_VALUE"""),41960.99861111111)</f>
        <v>41960.99861</v>
      </c>
      <c r="B1648" s="1">
        <f>IFERROR(__xludf.DUMMYFUNCTION("""COMPUTED_VALUE"""),104.498955)</f>
        <v>104.498955</v>
      </c>
    </row>
    <row r="1649">
      <c r="A1649" s="3">
        <f>IFERROR(__xludf.DUMMYFUNCTION("""COMPUTED_VALUE"""),41961.99861111111)</f>
        <v>41961.99861</v>
      </c>
      <c r="B1649" s="1">
        <f>IFERROR(__xludf.DUMMYFUNCTION("""COMPUTED_VALUE"""),103.71725)</f>
        <v>103.71725</v>
      </c>
    </row>
    <row r="1650">
      <c r="A1650" s="3">
        <f>IFERROR(__xludf.DUMMYFUNCTION("""COMPUTED_VALUE"""),41962.99861111111)</f>
        <v>41962.99861</v>
      </c>
      <c r="B1650" s="1">
        <f>IFERROR(__xludf.DUMMYFUNCTION("""COMPUTED_VALUE"""),102.358716)</f>
        <v>102.358716</v>
      </c>
    </row>
    <row r="1651">
      <c r="A1651" s="3">
        <f>IFERROR(__xludf.DUMMYFUNCTION("""COMPUTED_VALUE"""),41963.99861111111)</f>
        <v>41963.99861</v>
      </c>
      <c r="B1651" s="1">
        <f>IFERROR(__xludf.DUMMYFUNCTION("""COMPUTED_VALUE"""),102.572382)</f>
        <v>102.572382</v>
      </c>
    </row>
    <row r="1652">
      <c r="A1652" s="3">
        <f>IFERROR(__xludf.DUMMYFUNCTION("""COMPUTED_VALUE"""),41964.99861111111)</f>
        <v>41964.99861</v>
      </c>
      <c r="B1652" s="1">
        <f>IFERROR(__xludf.DUMMYFUNCTION("""COMPUTED_VALUE"""),103.00917)</f>
        <v>103.00917</v>
      </c>
    </row>
    <row r="1653">
      <c r="A1653" s="3">
        <f>IFERROR(__xludf.DUMMYFUNCTION("""COMPUTED_VALUE"""),41965.99861111111)</f>
        <v>41965.99861</v>
      </c>
      <c r="B1653" s="1">
        <f>IFERROR(__xludf.DUMMYFUNCTION("""COMPUTED_VALUE"""),104.044101)</f>
        <v>104.044101</v>
      </c>
    </row>
    <row r="1654">
      <c r="A1654" s="3">
        <f>IFERROR(__xludf.DUMMYFUNCTION("""COMPUTED_VALUE"""),41966.99861111111)</f>
        <v>41966.99861</v>
      </c>
      <c r="B1654" s="1">
        <f>IFERROR(__xludf.DUMMYFUNCTION("""COMPUTED_VALUE"""),103.171254)</f>
        <v>103.171254</v>
      </c>
    </row>
    <row r="1655">
      <c r="A1655" s="3">
        <f>IFERROR(__xludf.DUMMYFUNCTION("""COMPUTED_VALUE"""),41967.99861111111)</f>
        <v>41967.99861</v>
      </c>
      <c r="B1655" s="1">
        <f>IFERROR(__xludf.DUMMYFUNCTION("""COMPUTED_VALUE"""),102.353988)</f>
        <v>102.353988</v>
      </c>
    </row>
    <row r="1656">
      <c r="A1656" s="3">
        <f>IFERROR(__xludf.DUMMYFUNCTION("""COMPUTED_VALUE"""),41968.99861111111)</f>
        <v>41968.99861</v>
      </c>
      <c r="B1656" s="1">
        <f>IFERROR(__xludf.DUMMYFUNCTION("""COMPUTED_VALUE"""),102.88784)</f>
        <v>102.88784</v>
      </c>
    </row>
    <row r="1657">
      <c r="A1657" s="3">
        <f>IFERROR(__xludf.DUMMYFUNCTION("""COMPUTED_VALUE"""),41969.99861111111)</f>
        <v>41969.99861</v>
      </c>
      <c r="B1657" s="1">
        <f>IFERROR(__xludf.DUMMYFUNCTION("""COMPUTED_VALUE"""),103.4875)</f>
        <v>103.4875</v>
      </c>
    </row>
    <row r="1658">
      <c r="A1658" s="3">
        <f>IFERROR(__xludf.DUMMYFUNCTION("""COMPUTED_VALUE"""),41970.99861111111)</f>
        <v>41970.99861</v>
      </c>
      <c r="B1658" s="1">
        <f>IFERROR(__xludf.DUMMYFUNCTION("""COMPUTED_VALUE"""),103.26835)</f>
        <v>103.26835</v>
      </c>
    </row>
    <row r="1659">
      <c r="A1659" s="3">
        <f>IFERROR(__xludf.DUMMYFUNCTION("""COMPUTED_VALUE"""),41971.99861111111)</f>
        <v>41971.99861</v>
      </c>
      <c r="B1659" s="1">
        <f>IFERROR(__xludf.DUMMYFUNCTION("""COMPUTED_VALUE"""),102.63525)</f>
        <v>102.63525</v>
      </c>
    </row>
    <row r="1660">
      <c r="A1660" s="3">
        <f>IFERROR(__xludf.DUMMYFUNCTION("""COMPUTED_VALUE"""),41972.99861111111)</f>
        <v>41972.99861</v>
      </c>
      <c r="B1660" s="1">
        <f>IFERROR(__xludf.DUMMYFUNCTION("""COMPUTED_VALUE"""),102.8048616)</f>
        <v>102.8048616</v>
      </c>
    </row>
    <row r="1661">
      <c r="A1661" s="3">
        <f>IFERROR(__xludf.DUMMYFUNCTION("""COMPUTED_VALUE"""),41973.99861111111)</f>
        <v>41973.99861</v>
      </c>
      <c r="B1661" s="1">
        <f>IFERROR(__xludf.DUMMYFUNCTION("""COMPUTED_VALUE"""),102.6097396)</f>
        <v>102.6097396</v>
      </c>
    </row>
    <row r="1662">
      <c r="A1662" s="3">
        <f>IFERROR(__xludf.DUMMYFUNCTION("""COMPUTED_VALUE"""),41974.99861111111)</f>
        <v>41974.99861</v>
      </c>
      <c r="B1662" s="1">
        <f>IFERROR(__xludf.DUMMYFUNCTION("""COMPUTED_VALUE"""),103.80825)</f>
        <v>103.80825</v>
      </c>
    </row>
    <row r="1663">
      <c r="A1663" s="3">
        <f>IFERROR(__xludf.DUMMYFUNCTION("""COMPUTED_VALUE"""),41975.99861111111)</f>
        <v>41975.99861</v>
      </c>
      <c r="B1663" s="1">
        <f>IFERROR(__xludf.DUMMYFUNCTION("""COMPUTED_VALUE"""),103.07115)</f>
        <v>103.07115</v>
      </c>
    </row>
    <row r="1664">
      <c r="A1664" s="3">
        <f>IFERROR(__xludf.DUMMYFUNCTION("""COMPUTED_VALUE"""),41976.99861111111)</f>
        <v>41976.99861</v>
      </c>
      <c r="B1664" s="1">
        <f>IFERROR(__xludf.DUMMYFUNCTION("""COMPUTED_VALUE"""),102.48147)</f>
        <v>102.48147</v>
      </c>
    </row>
    <row r="1665">
      <c r="A1665" s="3">
        <f>IFERROR(__xludf.DUMMYFUNCTION("""COMPUTED_VALUE"""),41977.99861111111)</f>
        <v>41977.99861</v>
      </c>
      <c r="B1665" s="1">
        <f>IFERROR(__xludf.DUMMYFUNCTION("""COMPUTED_VALUE"""),102.50604)</f>
        <v>102.50604</v>
      </c>
    </row>
    <row r="1666">
      <c r="A1666" s="3">
        <f>IFERROR(__xludf.DUMMYFUNCTION("""COMPUTED_VALUE"""),41978.99861111111)</f>
        <v>41978.99861</v>
      </c>
      <c r="B1666" s="1">
        <f>IFERROR(__xludf.DUMMYFUNCTION("""COMPUTED_VALUE"""),101.10555)</f>
        <v>101.10555</v>
      </c>
    </row>
    <row r="1667">
      <c r="A1667" s="3">
        <f>IFERROR(__xludf.DUMMYFUNCTION("""COMPUTED_VALUE"""),41979.99861111111)</f>
        <v>41979.99861</v>
      </c>
      <c r="B1667" s="1">
        <f>IFERROR(__xludf.DUMMYFUNCTION("""COMPUTED_VALUE"""),102.1091162)</f>
        <v>102.1091162</v>
      </c>
    </row>
    <row r="1668">
      <c r="A1668" s="3">
        <f>IFERROR(__xludf.DUMMYFUNCTION("""COMPUTED_VALUE"""),41980.99861111111)</f>
        <v>41980.99861</v>
      </c>
      <c r="B1668" s="1">
        <f>IFERROR(__xludf.DUMMYFUNCTION("""COMPUTED_VALUE"""),101.1069864)</f>
        <v>101.1069864</v>
      </c>
    </row>
    <row r="1669">
      <c r="A1669" s="3">
        <f>IFERROR(__xludf.DUMMYFUNCTION("""COMPUTED_VALUE"""),41981.99861111111)</f>
        <v>41981.99861</v>
      </c>
      <c r="B1669" s="1">
        <f>IFERROR(__xludf.DUMMYFUNCTION("""COMPUTED_VALUE"""),101.756655)</f>
        <v>101.756655</v>
      </c>
    </row>
    <row r="1670">
      <c r="A1670" s="3">
        <f>IFERROR(__xludf.DUMMYFUNCTION("""COMPUTED_VALUE"""),41982.99861111111)</f>
        <v>41982.99861</v>
      </c>
      <c r="B1670" s="1">
        <f>IFERROR(__xludf.DUMMYFUNCTION("""COMPUTED_VALUE"""),102.985155)</f>
        <v>102.985155</v>
      </c>
    </row>
    <row r="1671">
      <c r="A1671" s="3">
        <f>IFERROR(__xludf.DUMMYFUNCTION("""COMPUTED_VALUE"""),41983.99861111111)</f>
        <v>41983.99861</v>
      </c>
      <c r="B1671" s="1">
        <f>IFERROR(__xludf.DUMMYFUNCTION("""COMPUTED_VALUE"""),104.238225)</f>
        <v>104.238225</v>
      </c>
    </row>
    <row r="1672">
      <c r="A1672" s="3">
        <f>IFERROR(__xludf.DUMMYFUNCTION("""COMPUTED_VALUE"""),41984.99861111111)</f>
        <v>41984.99861</v>
      </c>
      <c r="B1672" s="1">
        <f>IFERROR(__xludf.DUMMYFUNCTION("""COMPUTED_VALUE"""),104.6892)</f>
        <v>104.6892</v>
      </c>
    </row>
    <row r="1673">
      <c r="A1673" s="3">
        <f>IFERROR(__xludf.DUMMYFUNCTION("""COMPUTED_VALUE"""),41985.99861111111)</f>
        <v>41985.99861</v>
      </c>
      <c r="B1673" s="1">
        <f>IFERROR(__xludf.DUMMYFUNCTION("""COMPUTED_VALUE"""),106.19304)</f>
        <v>106.19304</v>
      </c>
    </row>
    <row r="1674">
      <c r="A1674" s="3">
        <f>IFERROR(__xludf.DUMMYFUNCTION("""COMPUTED_VALUE"""),41986.99861111111)</f>
        <v>41986.99861</v>
      </c>
      <c r="B1674" s="1">
        <f>IFERROR(__xludf.DUMMYFUNCTION("""COMPUTED_VALUE"""),106.3131092)</f>
        <v>106.3131092</v>
      </c>
    </row>
    <row r="1675">
      <c r="A1675" s="3">
        <f>IFERROR(__xludf.DUMMYFUNCTION("""COMPUTED_VALUE"""),41987.99861111111)</f>
        <v>41987.99861</v>
      </c>
      <c r="B1675" s="1">
        <f>IFERROR(__xludf.DUMMYFUNCTION("""COMPUTED_VALUE"""),106.9444222)</f>
        <v>106.9444222</v>
      </c>
    </row>
    <row r="1676">
      <c r="A1676" s="3">
        <f>IFERROR(__xludf.DUMMYFUNCTION("""COMPUTED_VALUE"""),41988.99861111111)</f>
        <v>41988.99861</v>
      </c>
      <c r="B1676" s="1">
        <f>IFERROR(__xludf.DUMMYFUNCTION("""COMPUTED_VALUE"""),109.08365)</f>
        <v>109.08365</v>
      </c>
    </row>
    <row r="1677">
      <c r="A1677" s="3">
        <f>IFERROR(__xludf.DUMMYFUNCTION("""COMPUTED_VALUE"""),41989.99861111111)</f>
        <v>41989.99861</v>
      </c>
      <c r="B1677" s="1">
        <f>IFERROR(__xludf.DUMMYFUNCTION("""COMPUTED_VALUE"""),108.894555)</f>
        <v>108.894555</v>
      </c>
    </row>
    <row r="1678">
      <c r="A1678" s="3">
        <f>IFERROR(__xludf.DUMMYFUNCTION("""COMPUTED_VALUE"""),41990.99861111111)</f>
        <v>41990.99861</v>
      </c>
      <c r="B1678" s="1">
        <f>IFERROR(__xludf.DUMMYFUNCTION("""COMPUTED_VALUE"""),106.693987)</f>
        <v>106.693987</v>
      </c>
    </row>
    <row r="1679">
      <c r="A1679" s="3">
        <f>IFERROR(__xludf.DUMMYFUNCTION("""COMPUTED_VALUE"""),41991.99861111111)</f>
        <v>41991.99861</v>
      </c>
      <c r="B1679" s="1">
        <f>IFERROR(__xludf.DUMMYFUNCTION("""COMPUTED_VALUE"""),104.85696)</f>
        <v>104.85696</v>
      </c>
    </row>
    <row r="1680">
      <c r="A1680" s="3">
        <f>IFERROR(__xludf.DUMMYFUNCTION("""COMPUTED_VALUE"""),41992.99861111111)</f>
        <v>41992.99861</v>
      </c>
      <c r="B1680" s="1">
        <f>IFERROR(__xludf.DUMMYFUNCTION("""COMPUTED_VALUE"""),103.38812)</f>
        <v>103.38812</v>
      </c>
    </row>
    <row r="1681">
      <c r="A1681" s="3">
        <f>IFERROR(__xludf.DUMMYFUNCTION("""COMPUTED_VALUE"""),41993.99861111111)</f>
        <v>41993.99861</v>
      </c>
      <c r="B1681" s="1">
        <f>IFERROR(__xludf.DUMMYFUNCTION("""COMPUTED_VALUE"""),103.9751532)</f>
        <v>103.9751532</v>
      </c>
    </row>
    <row r="1682">
      <c r="A1682" s="3">
        <f>IFERROR(__xludf.DUMMYFUNCTION("""COMPUTED_VALUE"""),41994.99861111111)</f>
        <v>41994.99861</v>
      </c>
      <c r="B1682" s="1">
        <f>IFERROR(__xludf.DUMMYFUNCTION("""COMPUTED_VALUE"""),103.9751532)</f>
        <v>103.9751532</v>
      </c>
    </row>
    <row r="1683">
      <c r="A1683" s="3">
        <f>IFERROR(__xludf.DUMMYFUNCTION("""COMPUTED_VALUE"""),41995.99861111111)</f>
        <v>41995.99861</v>
      </c>
      <c r="B1683" s="1">
        <f>IFERROR(__xludf.DUMMYFUNCTION("""COMPUTED_VALUE"""),103.67966)</f>
        <v>103.67966</v>
      </c>
    </row>
    <row r="1684">
      <c r="A1684" s="3">
        <f>IFERROR(__xludf.DUMMYFUNCTION("""COMPUTED_VALUE"""),41996.99861111111)</f>
        <v>41996.99861</v>
      </c>
      <c r="B1684" s="1">
        <f>IFERROR(__xludf.DUMMYFUNCTION("""COMPUTED_VALUE"""),102.833445)</f>
        <v>102.833445</v>
      </c>
    </row>
    <row r="1685">
      <c r="A1685" s="3">
        <f>IFERROR(__xludf.DUMMYFUNCTION("""COMPUTED_VALUE"""),41997.99861111111)</f>
        <v>41997.99861</v>
      </c>
      <c r="B1685" s="1">
        <f>IFERROR(__xludf.DUMMYFUNCTION("""COMPUTED_VALUE"""),103.501)</f>
        <v>103.501</v>
      </c>
    </row>
    <row r="1686">
      <c r="A1686" s="3">
        <f>IFERROR(__xludf.DUMMYFUNCTION("""COMPUTED_VALUE"""),41998.99861111111)</f>
        <v>41998.99861</v>
      </c>
      <c r="B1686" s="1">
        <f>IFERROR(__xludf.DUMMYFUNCTION("""COMPUTED_VALUE"""),103.501)</f>
        <v>103.501</v>
      </c>
    </row>
    <row r="1687">
      <c r="A1687" s="3">
        <f>IFERROR(__xludf.DUMMYFUNCTION("""COMPUTED_VALUE"""),41999.99861111111)</f>
        <v>41999.99861</v>
      </c>
      <c r="B1687" s="1">
        <f>IFERROR(__xludf.DUMMYFUNCTION("""COMPUTED_VALUE"""),103.003)</f>
        <v>103.003</v>
      </c>
    </row>
    <row r="1688">
      <c r="A1688" s="3">
        <f>IFERROR(__xludf.DUMMYFUNCTION("""COMPUTED_VALUE"""),42000.99861111111)</f>
        <v>42000.99861</v>
      </c>
      <c r="B1688" s="1">
        <f>IFERROR(__xludf.DUMMYFUNCTION("""COMPUTED_VALUE"""),102.9615)</f>
        <v>102.9615</v>
      </c>
    </row>
    <row r="1689">
      <c r="A1689" s="3">
        <f>IFERROR(__xludf.DUMMYFUNCTION("""COMPUTED_VALUE"""),42001.99861111111)</f>
        <v>42001.99861</v>
      </c>
      <c r="B1689" s="1">
        <f>IFERROR(__xludf.DUMMYFUNCTION("""COMPUTED_VALUE"""),103.36239)</f>
        <v>103.36239</v>
      </c>
    </row>
    <row r="1690">
      <c r="A1690" s="3">
        <f>IFERROR(__xludf.DUMMYFUNCTION("""COMPUTED_VALUE"""),42002.99861111111)</f>
        <v>42002.99861</v>
      </c>
      <c r="B1690" s="1">
        <f>IFERROR(__xludf.DUMMYFUNCTION("""COMPUTED_VALUE"""),102.8789)</f>
        <v>102.8789</v>
      </c>
    </row>
    <row r="1691">
      <c r="A1691" s="3">
        <f>IFERROR(__xludf.DUMMYFUNCTION("""COMPUTED_VALUE"""),42003.99861111111)</f>
        <v>42003.99861</v>
      </c>
      <c r="B1691" s="1">
        <f>IFERROR(__xludf.DUMMYFUNCTION("""COMPUTED_VALUE"""),103.9554)</f>
        <v>103.9554</v>
      </c>
    </row>
    <row r="1692">
      <c r="A1692" s="3">
        <f>IFERROR(__xludf.DUMMYFUNCTION("""COMPUTED_VALUE"""),42004.99861111111)</f>
        <v>42004.99861</v>
      </c>
      <c r="B1692" s="1">
        <f>IFERROR(__xludf.DUMMYFUNCTION("""COMPUTED_VALUE"""),103.4565)</f>
        <v>103.4565</v>
      </c>
    </row>
    <row r="1693">
      <c r="A1693" s="3">
        <f>IFERROR(__xludf.DUMMYFUNCTION("""COMPUTED_VALUE"""),42005.99861111111)</f>
        <v>42005.99861</v>
      </c>
      <c r="B1693" s="1">
        <f>IFERROR(__xludf.DUMMYFUNCTION("""COMPUTED_VALUE"""),103.34499)</f>
        <v>103.34499</v>
      </c>
    </row>
    <row r="1694">
      <c r="A1694" s="3">
        <f>IFERROR(__xludf.DUMMYFUNCTION("""COMPUTED_VALUE"""),42006.99861111111)</f>
        <v>42006.99861</v>
      </c>
      <c r="B1694" s="1">
        <f>IFERROR(__xludf.DUMMYFUNCTION("""COMPUTED_VALUE"""),103.584)</f>
        <v>103.584</v>
      </c>
    </row>
    <row r="1695">
      <c r="A1695" s="3">
        <f>IFERROR(__xludf.DUMMYFUNCTION("""COMPUTED_VALUE"""),42007.99861111111)</f>
        <v>42007.99861</v>
      </c>
      <c r="B1695" s="1">
        <f>IFERROR(__xludf.DUMMYFUNCTION("""COMPUTED_VALUE"""),104.140515)</f>
        <v>104.140515</v>
      </c>
    </row>
    <row r="1696">
      <c r="A1696" s="3">
        <f>IFERROR(__xludf.DUMMYFUNCTION("""COMPUTED_VALUE"""),42008.99861111111)</f>
        <v>42008.99861</v>
      </c>
      <c r="B1696" s="1">
        <f>IFERROR(__xludf.DUMMYFUNCTION("""COMPUTED_VALUE"""),104.140515)</f>
        <v>104.140515</v>
      </c>
    </row>
    <row r="1697">
      <c r="A1697" s="3">
        <f>IFERROR(__xludf.DUMMYFUNCTION("""COMPUTED_VALUE"""),42009.99861111111)</f>
        <v>42009.99861</v>
      </c>
      <c r="B1697" s="1">
        <f>IFERROR(__xludf.DUMMYFUNCTION("""COMPUTED_VALUE"""),105.6977625)</f>
        <v>105.6977625</v>
      </c>
    </row>
    <row r="1698">
      <c r="A1698" s="3">
        <f>IFERROR(__xludf.DUMMYFUNCTION("""COMPUTED_VALUE"""),42010.99861111111)</f>
        <v>42010.99861</v>
      </c>
      <c r="B1698" s="1">
        <f>IFERROR(__xludf.DUMMYFUNCTION("""COMPUTED_VALUE"""),106.454929)</f>
        <v>106.454929</v>
      </c>
    </row>
    <row r="1699">
      <c r="A1699" s="3">
        <f>IFERROR(__xludf.DUMMYFUNCTION("""COMPUTED_VALUE"""),42011.99861111111)</f>
        <v>42011.99861</v>
      </c>
      <c r="B1699" s="1">
        <f>IFERROR(__xludf.DUMMYFUNCTION("""COMPUTED_VALUE"""),106.61268)</f>
        <v>106.61268</v>
      </c>
    </row>
    <row r="1700">
      <c r="A1700" s="3">
        <f>IFERROR(__xludf.DUMMYFUNCTION("""COMPUTED_VALUE"""),42012.99861111111)</f>
        <v>42012.99861</v>
      </c>
      <c r="B1700" s="1">
        <f>IFERROR(__xludf.DUMMYFUNCTION("""COMPUTED_VALUE"""),105.258192)</f>
        <v>105.258192</v>
      </c>
    </row>
    <row r="1701">
      <c r="A1701" s="3">
        <f>IFERROR(__xludf.DUMMYFUNCTION("""COMPUTED_VALUE"""),42013.99861111111)</f>
        <v>42013.99861</v>
      </c>
      <c r="B1701" s="1">
        <f>IFERROR(__xludf.DUMMYFUNCTION("""COMPUTED_VALUE"""),105.92295)</f>
        <v>105.92295</v>
      </c>
    </row>
    <row r="1702">
      <c r="A1702" s="3">
        <f>IFERROR(__xludf.DUMMYFUNCTION("""COMPUTED_VALUE"""),42014.99861111111)</f>
        <v>42014.99861</v>
      </c>
      <c r="B1702" s="1">
        <f>IFERROR(__xludf.DUMMYFUNCTION("""COMPUTED_VALUE"""),107.9384787)</f>
        <v>107.9384787</v>
      </c>
    </row>
    <row r="1703">
      <c r="A1703" s="3">
        <f>IFERROR(__xludf.DUMMYFUNCTION("""COMPUTED_VALUE"""),42015.99861111111)</f>
        <v>42015.99861</v>
      </c>
      <c r="B1703" s="1">
        <f>IFERROR(__xludf.DUMMYFUNCTION("""COMPUTED_VALUE"""),108.1841112)</f>
        <v>108.1841112</v>
      </c>
    </row>
    <row r="1704">
      <c r="A1704" s="3">
        <f>IFERROR(__xludf.DUMMYFUNCTION("""COMPUTED_VALUE"""),42016.99861111111)</f>
        <v>42016.99861</v>
      </c>
      <c r="B1704" s="1">
        <f>IFERROR(__xludf.DUMMYFUNCTION("""COMPUTED_VALUE"""),106.1151)</f>
        <v>106.1151</v>
      </c>
    </row>
    <row r="1705">
      <c r="A1705" s="3">
        <f>IFERROR(__xludf.DUMMYFUNCTION("""COMPUTED_VALUE"""),42017.99861111111)</f>
        <v>42017.99861</v>
      </c>
      <c r="B1705" s="1">
        <f>IFERROR(__xludf.DUMMYFUNCTION("""COMPUTED_VALUE"""),106.8309038)</f>
        <v>106.8309038</v>
      </c>
    </row>
    <row r="1706">
      <c r="A1706" s="3">
        <f>IFERROR(__xludf.DUMMYFUNCTION("""COMPUTED_VALUE"""),42018.99861111111)</f>
        <v>42018.99861</v>
      </c>
      <c r="B1706" s="1">
        <f>IFERROR(__xludf.DUMMYFUNCTION("""COMPUTED_VALUE"""),106.928424)</f>
        <v>106.928424</v>
      </c>
    </row>
    <row r="1707">
      <c r="A1707" s="3">
        <f>IFERROR(__xludf.DUMMYFUNCTION("""COMPUTED_VALUE"""),42019.99861111111)</f>
        <v>42019.99861</v>
      </c>
      <c r="B1707" s="1">
        <f>IFERROR(__xludf.DUMMYFUNCTION("""COMPUTED_VALUE"""),107.3555962)</f>
        <v>107.3555962</v>
      </c>
    </row>
    <row r="1708">
      <c r="A1708" s="3">
        <f>IFERROR(__xludf.DUMMYFUNCTION("""COMPUTED_VALUE"""),42020.99861111111)</f>
        <v>42020.99861</v>
      </c>
      <c r="B1708" s="1">
        <f>IFERROR(__xludf.DUMMYFUNCTION("""COMPUTED_VALUE"""),106.93)</f>
        <v>106.93</v>
      </c>
    </row>
    <row r="1709">
      <c r="A1709" s="3">
        <f>IFERROR(__xludf.DUMMYFUNCTION("""COMPUTED_VALUE"""),42021.99861111111)</f>
        <v>42021.99861</v>
      </c>
      <c r="B1709" s="1">
        <f>IFERROR(__xludf.DUMMYFUNCTION("""COMPUTED_VALUE"""),108.974335)</f>
        <v>108.974335</v>
      </c>
    </row>
    <row r="1710">
      <c r="A1710" s="3">
        <f>IFERROR(__xludf.DUMMYFUNCTION("""COMPUTED_VALUE"""),42022.99861111111)</f>
        <v>42022.99861</v>
      </c>
      <c r="B1710" s="1">
        <f>IFERROR(__xludf.DUMMYFUNCTION("""COMPUTED_VALUE"""),108.9628059)</f>
        <v>108.9628059</v>
      </c>
    </row>
    <row r="1711">
      <c r="A1711" s="3">
        <f>IFERROR(__xludf.DUMMYFUNCTION("""COMPUTED_VALUE"""),42023.99861111111)</f>
        <v>42023.99861</v>
      </c>
      <c r="B1711" s="1">
        <f>IFERROR(__xludf.DUMMYFUNCTION("""COMPUTED_VALUE"""),107.272905)</f>
        <v>107.272905</v>
      </c>
    </row>
    <row r="1712">
      <c r="A1712" s="3">
        <f>IFERROR(__xludf.DUMMYFUNCTION("""COMPUTED_VALUE"""),42024.99861111111)</f>
        <v>42024.99861</v>
      </c>
      <c r="B1712" s="1">
        <f>IFERROR(__xludf.DUMMYFUNCTION("""COMPUTED_VALUE"""),105.8549492)</f>
        <v>105.8549492</v>
      </c>
    </row>
    <row r="1713">
      <c r="A1713" s="3">
        <f>IFERROR(__xludf.DUMMYFUNCTION("""COMPUTED_VALUE"""),42025.99861111111)</f>
        <v>42025.99861</v>
      </c>
      <c r="B1713" s="1">
        <f>IFERROR(__xludf.DUMMYFUNCTION("""COMPUTED_VALUE"""),105.748074)</f>
        <v>105.748074</v>
      </c>
    </row>
    <row r="1714">
      <c r="A1714" s="3">
        <f>IFERROR(__xludf.DUMMYFUNCTION("""COMPUTED_VALUE"""),42026.99861111111)</f>
        <v>42026.99861</v>
      </c>
      <c r="B1714" s="1">
        <f>IFERROR(__xludf.DUMMYFUNCTION("""COMPUTED_VALUE"""),104.4501)</f>
        <v>104.4501</v>
      </c>
    </row>
    <row r="1715">
      <c r="A1715" s="3">
        <f>IFERROR(__xludf.DUMMYFUNCTION("""COMPUTED_VALUE"""),42027.99861111111)</f>
        <v>42027.99861</v>
      </c>
      <c r="B1715" s="1">
        <f>IFERROR(__xludf.DUMMYFUNCTION("""COMPUTED_VALUE"""),105.47127)</f>
        <v>105.47127</v>
      </c>
    </row>
    <row r="1716">
      <c r="A1716" s="3">
        <f>IFERROR(__xludf.DUMMYFUNCTION("""COMPUTED_VALUE"""),42028.99861111111)</f>
        <v>42028.99861</v>
      </c>
      <c r="B1716" s="1">
        <f>IFERROR(__xludf.DUMMYFUNCTION("""COMPUTED_VALUE"""),106.2577836)</f>
        <v>106.2577836</v>
      </c>
    </row>
    <row r="1717">
      <c r="A1717" s="3">
        <f>IFERROR(__xludf.DUMMYFUNCTION("""COMPUTED_VALUE"""),42029.99861111111)</f>
        <v>42029.99861</v>
      </c>
      <c r="B1717" s="1">
        <f>IFERROR(__xludf.DUMMYFUNCTION("""COMPUTED_VALUE"""),106.6332528)</f>
        <v>106.6332528</v>
      </c>
    </row>
    <row r="1718">
      <c r="A1718" s="3">
        <f>IFERROR(__xludf.DUMMYFUNCTION("""COMPUTED_VALUE"""),42030.99861111111)</f>
        <v>42030.99861</v>
      </c>
      <c r="B1718" s="1">
        <f>IFERROR(__xludf.DUMMYFUNCTION("""COMPUTED_VALUE"""),105.3290937)</f>
        <v>105.3290937</v>
      </c>
    </row>
    <row r="1719">
      <c r="A1719" s="3">
        <f>IFERROR(__xludf.DUMMYFUNCTION("""COMPUTED_VALUE"""),42031.99861111111)</f>
        <v>42031.99861</v>
      </c>
      <c r="B1719" s="1">
        <f>IFERROR(__xludf.DUMMYFUNCTION("""COMPUTED_VALUE"""),105.691785)</f>
        <v>105.691785</v>
      </c>
    </row>
    <row r="1720">
      <c r="A1720" s="3">
        <f>IFERROR(__xludf.DUMMYFUNCTION("""COMPUTED_VALUE"""),42032.99861111111)</f>
        <v>42032.99861</v>
      </c>
      <c r="B1720" s="1">
        <f>IFERROR(__xludf.DUMMYFUNCTION("""COMPUTED_VALUE"""),105.9135835)</f>
        <v>105.9135835</v>
      </c>
    </row>
    <row r="1721">
      <c r="A1721" s="3">
        <f>IFERROR(__xludf.DUMMYFUNCTION("""COMPUTED_VALUE"""),42033.99861111111)</f>
        <v>42033.99861</v>
      </c>
      <c r="B1721" s="1">
        <f>IFERROR(__xludf.DUMMYFUNCTION("""COMPUTED_VALUE"""),106.274322)</f>
        <v>106.274322</v>
      </c>
    </row>
    <row r="1722">
      <c r="A1722" s="3">
        <f>IFERROR(__xludf.DUMMYFUNCTION("""COMPUTED_VALUE"""),42034.99861111111)</f>
        <v>42034.99861</v>
      </c>
      <c r="B1722" s="1">
        <f>IFERROR(__xludf.DUMMYFUNCTION("""COMPUTED_VALUE"""),108.205)</f>
        <v>108.205</v>
      </c>
    </row>
    <row r="1723">
      <c r="A1723" s="3">
        <f>IFERROR(__xludf.DUMMYFUNCTION("""COMPUTED_VALUE"""),42035.99861111111)</f>
        <v>42035.99861</v>
      </c>
      <c r="B1723" s="1">
        <f>IFERROR(__xludf.DUMMYFUNCTION("""COMPUTED_VALUE"""),108.8234972)</f>
        <v>108.8234972</v>
      </c>
    </row>
    <row r="1724">
      <c r="A1724" s="3">
        <f>IFERROR(__xludf.DUMMYFUNCTION("""COMPUTED_VALUE"""),42036.99861111111)</f>
        <v>42036.99861</v>
      </c>
      <c r="B1724" s="1">
        <f>IFERROR(__xludf.DUMMYFUNCTION("""COMPUTED_VALUE"""),109.0792516)</f>
        <v>109.0792516</v>
      </c>
    </row>
    <row r="1725">
      <c r="A1725" s="3">
        <f>IFERROR(__xludf.DUMMYFUNCTION("""COMPUTED_VALUE"""),42037.99861111111)</f>
        <v>42037.99861</v>
      </c>
      <c r="B1725" s="1">
        <f>IFERROR(__xludf.DUMMYFUNCTION("""COMPUTED_VALUE"""),107.5292865)</f>
        <v>107.5292865</v>
      </c>
    </row>
    <row r="1726">
      <c r="A1726" s="3">
        <f>IFERROR(__xludf.DUMMYFUNCTION("""COMPUTED_VALUE"""),42038.99861111111)</f>
        <v>42038.99861</v>
      </c>
      <c r="B1726" s="1">
        <f>IFERROR(__xludf.DUMMYFUNCTION("""COMPUTED_VALUE"""),106.8686375)</f>
        <v>106.8686375</v>
      </c>
    </row>
    <row r="1727">
      <c r="A1727" s="3">
        <f>IFERROR(__xludf.DUMMYFUNCTION("""COMPUTED_VALUE"""),42039.99861111111)</f>
        <v>42039.99861</v>
      </c>
      <c r="B1727" s="1">
        <f>IFERROR(__xludf.DUMMYFUNCTION("""COMPUTED_VALUE"""),107.6192875)</f>
        <v>107.6192875</v>
      </c>
    </row>
    <row r="1728">
      <c r="A1728" s="3">
        <f>IFERROR(__xludf.DUMMYFUNCTION("""COMPUTED_VALUE"""),42040.99861111111)</f>
        <v>42040.99861</v>
      </c>
      <c r="B1728" s="1">
        <f>IFERROR(__xludf.DUMMYFUNCTION("""COMPUTED_VALUE"""),107.0662807)</f>
        <v>107.0662807</v>
      </c>
    </row>
    <row r="1729">
      <c r="A1729" s="3">
        <f>IFERROR(__xludf.DUMMYFUNCTION("""COMPUTED_VALUE"""),42041.99861111111)</f>
        <v>42041.99861</v>
      </c>
      <c r="B1729" s="1">
        <f>IFERROR(__xludf.DUMMYFUNCTION("""COMPUTED_VALUE"""),105.99087)</f>
        <v>105.99087</v>
      </c>
    </row>
    <row r="1730">
      <c r="A1730" s="3">
        <f>IFERROR(__xludf.DUMMYFUNCTION("""COMPUTED_VALUE"""),42042.99861111111)</f>
        <v>42042.99861</v>
      </c>
      <c r="B1730" s="1">
        <f>IFERROR(__xludf.DUMMYFUNCTION("""COMPUTED_VALUE"""),108.6786904)</f>
        <v>108.6786904</v>
      </c>
    </row>
    <row r="1731">
      <c r="A1731" s="3">
        <f>IFERROR(__xludf.DUMMYFUNCTION("""COMPUTED_VALUE"""),42043.99861111111)</f>
        <v>42043.99861</v>
      </c>
      <c r="B1731" s="1">
        <f>IFERROR(__xludf.DUMMYFUNCTION("""COMPUTED_VALUE"""),108.8561514)</f>
        <v>108.8561514</v>
      </c>
    </row>
    <row r="1732">
      <c r="A1732" s="3">
        <f>IFERROR(__xludf.DUMMYFUNCTION("""COMPUTED_VALUE"""),42044.99861111111)</f>
        <v>42044.99861</v>
      </c>
      <c r="B1732" s="1">
        <f>IFERROR(__xludf.DUMMYFUNCTION("""COMPUTED_VALUE"""),106.7976125)</f>
        <v>106.7976125</v>
      </c>
    </row>
    <row r="1733">
      <c r="A1733" s="3">
        <f>IFERROR(__xludf.DUMMYFUNCTION("""COMPUTED_VALUE"""),42045.99861111111)</f>
        <v>42045.99861</v>
      </c>
      <c r="B1733" s="1">
        <f>IFERROR(__xludf.DUMMYFUNCTION("""COMPUTED_VALUE"""),106.6064428)</f>
        <v>106.6064428</v>
      </c>
    </row>
    <row r="1734">
      <c r="A1734" s="3">
        <f>IFERROR(__xludf.DUMMYFUNCTION("""COMPUTED_VALUE"""),42046.99861111111)</f>
        <v>42046.99861</v>
      </c>
      <c r="B1734" s="1">
        <f>IFERROR(__xludf.DUMMYFUNCTION("""COMPUTED_VALUE"""),106.5414415)</f>
        <v>106.5414415</v>
      </c>
    </row>
    <row r="1735">
      <c r="A1735" s="3">
        <f>IFERROR(__xludf.DUMMYFUNCTION("""COMPUTED_VALUE"""),42047.99861111111)</f>
        <v>42047.99861</v>
      </c>
      <c r="B1735" s="1">
        <f>IFERROR(__xludf.DUMMYFUNCTION("""COMPUTED_VALUE"""),107.363775)</f>
        <v>107.363775</v>
      </c>
    </row>
    <row r="1736">
      <c r="A1736" s="3">
        <f>IFERROR(__xludf.DUMMYFUNCTION("""COMPUTED_VALUE"""),42048.99861111111)</f>
        <v>42048.99861</v>
      </c>
      <c r="B1736" s="1">
        <f>IFERROR(__xludf.DUMMYFUNCTION("""COMPUTED_VALUE"""),106.61357)</f>
        <v>106.61357</v>
      </c>
    </row>
    <row r="1737">
      <c r="A1737" s="3">
        <f>IFERROR(__xludf.DUMMYFUNCTION("""COMPUTED_VALUE"""),42049.99861111111)</f>
        <v>42049.99861</v>
      </c>
      <c r="B1737" s="1">
        <f>IFERROR(__xludf.DUMMYFUNCTION("""COMPUTED_VALUE"""),107.6823969)</f>
        <v>107.6823969</v>
      </c>
    </row>
    <row r="1738">
      <c r="A1738" s="3">
        <f>IFERROR(__xludf.DUMMYFUNCTION("""COMPUTED_VALUE"""),42050.99861111111)</f>
        <v>42050.99861</v>
      </c>
      <c r="B1738" s="1">
        <f>IFERROR(__xludf.DUMMYFUNCTION("""COMPUTED_VALUE"""),107.8004796)</f>
        <v>107.8004796</v>
      </c>
    </row>
    <row r="1739">
      <c r="A1739" s="3">
        <f>IFERROR(__xludf.DUMMYFUNCTION("""COMPUTED_VALUE"""),42051.99861111111)</f>
        <v>42051.99861</v>
      </c>
      <c r="B1739" s="1">
        <f>IFERROR(__xludf.DUMMYFUNCTION("""COMPUTED_VALUE"""),106.44537)</f>
        <v>106.44537</v>
      </c>
    </row>
    <row r="1740">
      <c r="A1740" s="3">
        <f>IFERROR(__xludf.DUMMYFUNCTION("""COMPUTED_VALUE"""),42052.99861111111)</f>
        <v>42052.99861</v>
      </c>
      <c r="B1740" s="1">
        <f>IFERROR(__xludf.DUMMYFUNCTION("""COMPUTED_VALUE"""),107.118764)</f>
        <v>107.118764</v>
      </c>
    </row>
    <row r="1741">
      <c r="A1741" s="3">
        <f>IFERROR(__xludf.DUMMYFUNCTION("""COMPUTED_VALUE"""),42053.99861111111)</f>
        <v>42053.99861</v>
      </c>
      <c r="B1741" s="1">
        <f>IFERROR(__xludf.DUMMYFUNCTION("""COMPUTED_VALUE"""),107.91144)</f>
        <v>107.91144</v>
      </c>
    </row>
    <row r="1742">
      <c r="A1742" s="3">
        <f>IFERROR(__xludf.DUMMYFUNCTION("""COMPUTED_VALUE"""),42054.99861111111)</f>
        <v>42054.99861</v>
      </c>
      <c r="B1742" s="1">
        <f>IFERROR(__xludf.DUMMYFUNCTION("""COMPUTED_VALUE"""),108.2713665)</f>
        <v>108.2713665</v>
      </c>
    </row>
    <row r="1743">
      <c r="A1743" s="3">
        <f>IFERROR(__xludf.DUMMYFUNCTION("""COMPUTED_VALUE"""),42055.99861111111)</f>
        <v>42055.99861</v>
      </c>
      <c r="B1743" s="1">
        <f>IFERROR(__xludf.DUMMYFUNCTION("""COMPUTED_VALUE"""),107.6292)</f>
        <v>107.6292</v>
      </c>
    </row>
    <row r="1744">
      <c r="A1744" s="3">
        <f>IFERROR(__xludf.DUMMYFUNCTION("""COMPUTED_VALUE"""),42056.99861111111)</f>
        <v>42056.99861</v>
      </c>
      <c r="B1744" s="1">
        <f>IFERROR(__xludf.DUMMYFUNCTION("""COMPUTED_VALUE"""),108.108084)</f>
        <v>108.108084</v>
      </c>
    </row>
    <row r="1745">
      <c r="A1745" s="3">
        <f>IFERROR(__xludf.DUMMYFUNCTION("""COMPUTED_VALUE"""),42057.99861111111)</f>
        <v>42057.99861</v>
      </c>
      <c r="B1745" s="1">
        <f>IFERROR(__xludf.DUMMYFUNCTION("""COMPUTED_VALUE"""),108.108084)</f>
        <v>108.108084</v>
      </c>
    </row>
    <row r="1746">
      <c r="A1746" s="3">
        <f>IFERROR(__xludf.DUMMYFUNCTION("""COMPUTED_VALUE"""),42058.99861111111)</f>
        <v>42058.99861</v>
      </c>
      <c r="B1746" s="1">
        <f>IFERROR(__xludf.DUMMYFUNCTION("""COMPUTED_VALUE"""),108.132024)</f>
        <v>108.132024</v>
      </c>
    </row>
    <row r="1747">
      <c r="A1747" s="3">
        <f>IFERROR(__xludf.DUMMYFUNCTION("""COMPUTED_VALUE"""),42059.99861111111)</f>
        <v>42059.99861</v>
      </c>
      <c r="B1747" s="1">
        <f>IFERROR(__xludf.DUMMYFUNCTION("""COMPUTED_VALUE"""),107.6189309)</f>
        <v>107.6189309</v>
      </c>
    </row>
    <row r="1748">
      <c r="A1748" s="3">
        <f>IFERROR(__xludf.DUMMYFUNCTION("""COMPUTED_VALUE"""),42060.99861111111)</f>
        <v>42060.99861</v>
      </c>
      <c r="B1748" s="1">
        <f>IFERROR(__xludf.DUMMYFUNCTION("""COMPUTED_VALUE"""),108.11055)</f>
        <v>108.11055</v>
      </c>
    </row>
    <row r="1749">
      <c r="A1749" s="3">
        <f>IFERROR(__xludf.DUMMYFUNCTION("""COMPUTED_VALUE"""),42061.99861111111)</f>
        <v>42061.99861</v>
      </c>
      <c r="B1749" s="1">
        <f>IFERROR(__xludf.DUMMYFUNCTION("""COMPUTED_VALUE"""),107.6838035)</f>
        <v>107.6838035</v>
      </c>
    </row>
    <row r="1750">
      <c r="A1750" s="3">
        <f>IFERROR(__xludf.DUMMYFUNCTION("""COMPUTED_VALUE"""),42062.99861111111)</f>
        <v>42062.99861</v>
      </c>
      <c r="B1750" s="1">
        <f>IFERROR(__xludf.DUMMYFUNCTION("""COMPUTED_VALUE"""),108.49608)</f>
        <v>108.49608</v>
      </c>
    </row>
    <row r="1751">
      <c r="A1751" s="3">
        <f>IFERROR(__xludf.DUMMYFUNCTION("""COMPUTED_VALUE"""),42063.99861111111)</f>
        <v>42063.99861</v>
      </c>
      <c r="B1751" s="1">
        <f>IFERROR(__xludf.DUMMYFUNCTION("""COMPUTED_VALUE"""),108.712604)</f>
        <v>108.712604</v>
      </c>
    </row>
    <row r="1752">
      <c r="A1752" s="3">
        <f>IFERROR(__xludf.DUMMYFUNCTION("""COMPUTED_VALUE"""),42064.99861111111)</f>
        <v>42064.99861</v>
      </c>
      <c r="B1752" s="1">
        <f>IFERROR(__xludf.DUMMYFUNCTION("""COMPUTED_VALUE"""),108.452526)</f>
        <v>108.452526</v>
      </c>
    </row>
    <row r="1753">
      <c r="A1753" s="3">
        <f>IFERROR(__xludf.DUMMYFUNCTION("""COMPUTED_VALUE"""),42065.99861111111)</f>
        <v>42065.99861</v>
      </c>
      <c r="B1753" s="1">
        <f>IFERROR(__xludf.DUMMYFUNCTION("""COMPUTED_VALUE"""),108.1184)</f>
        <v>108.1184</v>
      </c>
    </row>
    <row r="1754">
      <c r="A1754" s="3">
        <f>IFERROR(__xludf.DUMMYFUNCTION("""COMPUTED_VALUE"""),42066.99861111111)</f>
        <v>42066.99861</v>
      </c>
      <c r="B1754" s="1">
        <f>IFERROR(__xludf.DUMMYFUNCTION("""COMPUTED_VALUE"""),108.4292)</f>
        <v>108.4292</v>
      </c>
    </row>
    <row r="1755">
      <c r="A1755" s="3">
        <f>IFERROR(__xludf.DUMMYFUNCTION("""COMPUTED_VALUE"""),42067.99861111111)</f>
        <v>42067.99861</v>
      </c>
      <c r="B1755" s="1">
        <f>IFERROR(__xludf.DUMMYFUNCTION("""COMPUTED_VALUE"""),108.7624505)</f>
        <v>108.7624505</v>
      </c>
    </row>
    <row r="1756">
      <c r="A1756" s="3">
        <f>IFERROR(__xludf.DUMMYFUNCTION("""COMPUTED_VALUE"""),42068.99861111111)</f>
        <v>42068.99861</v>
      </c>
      <c r="B1756" s="1">
        <f>IFERROR(__xludf.DUMMYFUNCTION("""COMPUTED_VALUE"""),107.43894)</f>
        <v>107.43894</v>
      </c>
    </row>
    <row r="1757">
      <c r="A1757" s="3">
        <f>IFERROR(__xludf.DUMMYFUNCTION("""COMPUTED_VALUE"""),42069.99861111111)</f>
        <v>42069.99861</v>
      </c>
      <c r="B1757" s="1">
        <f>IFERROR(__xludf.DUMMYFUNCTION("""COMPUTED_VALUE"""),107.7581)</f>
        <v>107.7581</v>
      </c>
    </row>
    <row r="1758">
      <c r="A1758" s="3">
        <f>IFERROR(__xludf.DUMMYFUNCTION("""COMPUTED_VALUE"""),42070.99861111111)</f>
        <v>42070.99861</v>
      </c>
      <c r="B1758" s="1">
        <f>IFERROR(__xludf.DUMMYFUNCTION("""COMPUTED_VALUE"""),109.3915077)</f>
        <v>109.3915077</v>
      </c>
    </row>
    <row r="1759">
      <c r="A1759" s="3">
        <f>IFERROR(__xludf.DUMMYFUNCTION("""COMPUTED_VALUE"""),42071.99861111111)</f>
        <v>42071.99861</v>
      </c>
      <c r="B1759" s="1">
        <f>IFERROR(__xludf.DUMMYFUNCTION("""COMPUTED_VALUE"""),109.5237828)</f>
        <v>109.5237828</v>
      </c>
    </row>
    <row r="1760">
      <c r="A1760" s="3">
        <f>IFERROR(__xludf.DUMMYFUNCTION("""COMPUTED_VALUE"""),42072.99861111111)</f>
        <v>42072.99861</v>
      </c>
      <c r="B1760" s="1">
        <f>IFERROR(__xludf.DUMMYFUNCTION("""COMPUTED_VALUE"""),107.6600769)</f>
        <v>107.6600769</v>
      </c>
    </row>
    <row r="1761">
      <c r="A1761" s="3">
        <f>IFERROR(__xludf.DUMMYFUNCTION("""COMPUTED_VALUE"""),42073.99861111111)</f>
        <v>42073.99861</v>
      </c>
      <c r="B1761" s="1">
        <f>IFERROR(__xludf.DUMMYFUNCTION("""COMPUTED_VALUE"""),107.951665)</f>
        <v>107.951665</v>
      </c>
    </row>
    <row r="1762">
      <c r="A1762" s="3">
        <f>IFERROR(__xludf.DUMMYFUNCTION("""COMPUTED_VALUE"""),42074.99861111111)</f>
        <v>42074.99861</v>
      </c>
      <c r="B1762" s="1">
        <f>IFERROR(__xludf.DUMMYFUNCTION("""COMPUTED_VALUE"""),108.496125)</f>
        <v>108.496125</v>
      </c>
    </row>
    <row r="1763">
      <c r="A1763" s="3">
        <f>IFERROR(__xludf.DUMMYFUNCTION("""COMPUTED_VALUE"""),42075.99861111111)</f>
        <v>42075.99861</v>
      </c>
      <c r="B1763" s="1">
        <f>IFERROR(__xludf.DUMMYFUNCTION("""COMPUTED_VALUE"""),108.541872)</f>
        <v>108.541872</v>
      </c>
    </row>
    <row r="1764">
      <c r="A1764" s="3">
        <f>IFERROR(__xludf.DUMMYFUNCTION("""COMPUTED_VALUE"""),42076.99861111111)</f>
        <v>42076.99861</v>
      </c>
      <c r="B1764" s="1">
        <f>IFERROR(__xludf.DUMMYFUNCTION("""COMPUTED_VALUE"""),108.6444)</f>
        <v>108.6444</v>
      </c>
    </row>
    <row r="1765">
      <c r="A1765" s="3">
        <f>IFERROR(__xludf.DUMMYFUNCTION("""COMPUTED_VALUE"""),42077.99861111111)</f>
        <v>42077.99861</v>
      </c>
      <c r="B1765" s="1">
        <f>IFERROR(__xludf.DUMMYFUNCTION("""COMPUTED_VALUE"""),109.4289304)</f>
        <v>109.4289304</v>
      </c>
    </row>
    <row r="1766">
      <c r="A1766" s="3">
        <f>IFERROR(__xludf.DUMMYFUNCTION("""COMPUTED_VALUE"""),42078.99861111111)</f>
        <v>42078.99861</v>
      </c>
      <c r="B1766" s="1">
        <f>IFERROR(__xludf.DUMMYFUNCTION("""COMPUTED_VALUE"""),109.4289304)</f>
        <v>109.4289304</v>
      </c>
    </row>
    <row r="1767">
      <c r="A1767" s="3">
        <f>IFERROR(__xludf.DUMMYFUNCTION("""COMPUTED_VALUE"""),42079.99861111111)</f>
        <v>42079.99861</v>
      </c>
      <c r="B1767" s="1">
        <f>IFERROR(__xludf.DUMMYFUNCTION("""COMPUTED_VALUE"""),108.7268)</f>
        <v>108.7268</v>
      </c>
    </row>
    <row r="1768">
      <c r="A1768" s="3">
        <f>IFERROR(__xludf.DUMMYFUNCTION("""COMPUTED_VALUE"""),42080.99861111111)</f>
        <v>42080.99861</v>
      </c>
      <c r="B1768" s="1">
        <f>IFERROR(__xludf.DUMMYFUNCTION("""COMPUTED_VALUE"""),108.152096)</f>
        <v>108.152096</v>
      </c>
    </row>
    <row r="1769">
      <c r="A1769" s="3">
        <f>IFERROR(__xludf.DUMMYFUNCTION("""COMPUTED_VALUE"""),42081.99861111111)</f>
        <v>42081.99861</v>
      </c>
      <c r="B1769" s="1">
        <f>IFERROR(__xludf.DUMMYFUNCTION("""COMPUTED_VALUE"""),107.254336)</f>
        <v>107.254336</v>
      </c>
    </row>
    <row r="1770">
      <c r="A1770" s="3">
        <f>IFERROR(__xludf.DUMMYFUNCTION("""COMPUTED_VALUE"""),42082.99861111111)</f>
        <v>42082.99861</v>
      </c>
      <c r="B1770" s="1">
        <f>IFERROR(__xludf.DUMMYFUNCTION("""COMPUTED_VALUE"""),108.1150168)</f>
        <v>108.1150168</v>
      </c>
    </row>
    <row r="1771">
      <c r="A1771" s="3">
        <f>IFERROR(__xludf.DUMMYFUNCTION("""COMPUTED_VALUE"""),42083.99861111111)</f>
        <v>42083.99861</v>
      </c>
      <c r="B1771" s="1">
        <f>IFERROR(__xludf.DUMMYFUNCTION("""COMPUTED_VALUE"""),108.49825)</f>
        <v>108.49825</v>
      </c>
    </row>
    <row r="1772">
      <c r="A1772" s="3">
        <f>IFERROR(__xludf.DUMMYFUNCTION("""COMPUTED_VALUE"""),42084.99861111111)</f>
        <v>42084.99861</v>
      </c>
      <c r="B1772" s="1">
        <f>IFERROR(__xludf.DUMMYFUNCTION("""COMPUTED_VALUE"""),108.604874)</f>
        <v>108.604874</v>
      </c>
    </row>
    <row r="1773">
      <c r="A1773" s="3">
        <f>IFERROR(__xludf.DUMMYFUNCTION("""COMPUTED_VALUE"""),42085.99861111111)</f>
        <v>42085.99861</v>
      </c>
      <c r="B1773" s="1">
        <f>IFERROR(__xludf.DUMMYFUNCTION("""COMPUTED_VALUE"""),108.604874)</f>
        <v>108.604874</v>
      </c>
    </row>
    <row r="1774">
      <c r="A1774" s="3">
        <f>IFERROR(__xludf.DUMMYFUNCTION("""COMPUTED_VALUE"""),42086.99861111111)</f>
        <v>42086.99861</v>
      </c>
      <c r="B1774" s="1">
        <f>IFERROR(__xludf.DUMMYFUNCTION("""COMPUTED_VALUE"""),108.0675785)</f>
        <v>108.0675785</v>
      </c>
    </row>
    <row r="1775">
      <c r="A1775" s="3">
        <f>IFERROR(__xludf.DUMMYFUNCTION("""COMPUTED_VALUE"""),42087.99861111111)</f>
        <v>42087.99861</v>
      </c>
      <c r="B1775" s="1">
        <f>IFERROR(__xludf.DUMMYFUNCTION("""COMPUTED_VALUE"""),107.70513)</f>
        <v>107.70513</v>
      </c>
    </row>
    <row r="1776">
      <c r="A1776" s="3">
        <f>IFERROR(__xludf.DUMMYFUNCTION("""COMPUTED_VALUE"""),42088.99861111111)</f>
        <v>42088.99861</v>
      </c>
      <c r="B1776" s="1">
        <f>IFERROR(__xludf.DUMMYFUNCTION("""COMPUTED_VALUE"""),108.168501)</f>
        <v>108.168501</v>
      </c>
    </row>
    <row r="1777">
      <c r="A1777" s="3">
        <f>IFERROR(__xludf.DUMMYFUNCTION("""COMPUTED_VALUE"""),42089.99861111111)</f>
        <v>42089.99861</v>
      </c>
      <c r="B1777" s="1">
        <f>IFERROR(__xludf.DUMMYFUNCTION("""COMPUTED_VALUE"""),109.143492)</f>
        <v>109.143492</v>
      </c>
    </row>
    <row r="1778">
      <c r="A1778" s="3">
        <f>IFERROR(__xludf.DUMMYFUNCTION("""COMPUTED_VALUE"""),42090.99861111111)</f>
        <v>42090.99861</v>
      </c>
      <c r="B1778" s="1">
        <f>IFERROR(__xludf.DUMMYFUNCTION("""COMPUTED_VALUE"""),109.36365)</f>
        <v>109.36365</v>
      </c>
    </row>
    <row r="1779">
      <c r="A1779" s="3">
        <f>IFERROR(__xludf.DUMMYFUNCTION("""COMPUTED_VALUE"""),42091.99861111111)</f>
        <v>42091.99861</v>
      </c>
      <c r="B1779" s="1">
        <f>IFERROR(__xludf.DUMMYFUNCTION("""COMPUTED_VALUE"""),110.249634)</f>
        <v>110.249634</v>
      </c>
    </row>
    <row r="1780">
      <c r="A1780" s="3">
        <f>IFERROR(__xludf.DUMMYFUNCTION("""COMPUTED_VALUE"""),42092.99861111111)</f>
        <v>42092.99861</v>
      </c>
      <c r="B1780" s="1">
        <f>IFERROR(__xludf.DUMMYFUNCTION("""COMPUTED_VALUE"""),110.118228)</f>
        <v>110.118228</v>
      </c>
    </row>
    <row r="1781">
      <c r="A1781" s="3">
        <f>IFERROR(__xludf.DUMMYFUNCTION("""COMPUTED_VALUE"""),42093.99861111111)</f>
        <v>42093.99861</v>
      </c>
      <c r="B1781" s="1">
        <f>IFERROR(__xludf.DUMMYFUNCTION("""COMPUTED_VALUE"""),109.0251796)</f>
        <v>109.0251796</v>
      </c>
    </row>
    <row r="1782">
      <c r="A1782" s="3">
        <f>IFERROR(__xludf.DUMMYFUNCTION("""COMPUTED_VALUE"""),42094.99861111111)</f>
        <v>42094.99861</v>
      </c>
      <c r="B1782" s="1">
        <f>IFERROR(__xludf.DUMMYFUNCTION("""COMPUTED_VALUE"""),108.7898)</f>
        <v>108.7898</v>
      </c>
    </row>
    <row r="1783">
      <c r="A1783" s="3">
        <f>IFERROR(__xludf.DUMMYFUNCTION("""COMPUTED_VALUE"""),42095.99861111111)</f>
        <v>42095.99861</v>
      </c>
      <c r="B1783" s="1">
        <f>IFERROR(__xludf.DUMMYFUNCTION("""COMPUTED_VALUE"""),108.32888)</f>
        <v>108.32888</v>
      </c>
    </row>
    <row r="1784">
      <c r="A1784" s="3">
        <f>IFERROR(__xludf.DUMMYFUNCTION("""COMPUTED_VALUE"""),42096.99861111111)</f>
        <v>42096.99861</v>
      </c>
      <c r="B1784" s="1">
        <f>IFERROR(__xludf.DUMMYFUNCTION("""COMPUTED_VALUE"""),108.4598095)</f>
        <v>108.4598095</v>
      </c>
    </row>
    <row r="1785">
      <c r="A1785" s="3">
        <f>IFERROR(__xludf.DUMMYFUNCTION("""COMPUTED_VALUE"""),42097.99861111111)</f>
        <v>42097.99861</v>
      </c>
      <c r="B1785" s="1">
        <f>IFERROR(__xludf.DUMMYFUNCTION("""COMPUTED_VALUE"""),108.906)</f>
        <v>108.906</v>
      </c>
    </row>
    <row r="1786">
      <c r="A1786" s="3">
        <f>IFERROR(__xludf.DUMMYFUNCTION("""COMPUTED_VALUE"""),42098.99861111111)</f>
        <v>42098.99861</v>
      </c>
      <c r="B1786" s="1">
        <f>IFERROR(__xludf.DUMMYFUNCTION("""COMPUTED_VALUE"""),109.23276)</f>
        <v>109.23276</v>
      </c>
    </row>
    <row r="1787">
      <c r="A1787" s="3">
        <f>IFERROR(__xludf.DUMMYFUNCTION("""COMPUTED_VALUE"""),42099.99861111111)</f>
        <v>42099.99861</v>
      </c>
      <c r="B1787" s="1">
        <f>IFERROR(__xludf.DUMMYFUNCTION("""COMPUTED_VALUE"""),109.0790456)</f>
        <v>109.0790456</v>
      </c>
    </row>
    <row r="1788">
      <c r="A1788" s="3">
        <f>IFERROR(__xludf.DUMMYFUNCTION("""COMPUTED_VALUE"""),42100.99861111111)</f>
        <v>42100.99861</v>
      </c>
      <c r="B1788" s="1">
        <f>IFERROR(__xludf.DUMMYFUNCTION("""COMPUTED_VALUE"""),108.34965)</f>
        <v>108.34965</v>
      </c>
    </row>
    <row r="1789">
      <c r="A1789" s="3">
        <f>IFERROR(__xludf.DUMMYFUNCTION("""COMPUTED_VALUE"""),42101.99861111111)</f>
        <v>42101.99861</v>
      </c>
      <c r="B1789" s="1">
        <f>IFERROR(__xludf.DUMMYFUNCTION("""COMPUTED_VALUE"""),108.0157395)</f>
        <v>108.0157395</v>
      </c>
    </row>
    <row r="1790">
      <c r="A1790" s="3">
        <f>IFERROR(__xludf.DUMMYFUNCTION("""COMPUTED_VALUE"""),42102.99861111111)</f>
        <v>42102.99861</v>
      </c>
      <c r="B1790" s="1">
        <f>IFERROR(__xludf.DUMMYFUNCTION("""COMPUTED_VALUE"""),107.6019175)</f>
        <v>107.6019175</v>
      </c>
    </row>
    <row r="1791">
      <c r="A1791" s="3">
        <f>IFERROR(__xludf.DUMMYFUNCTION("""COMPUTED_VALUE"""),42103.99861111111)</f>
        <v>42103.99861</v>
      </c>
      <c r="B1791" s="1">
        <f>IFERROR(__xludf.DUMMYFUNCTION("""COMPUTED_VALUE"""),107.2841835)</f>
        <v>107.2841835</v>
      </c>
    </row>
    <row r="1792">
      <c r="A1792" s="3">
        <f>IFERROR(__xludf.DUMMYFUNCTION("""COMPUTED_VALUE"""),42104.99861111111)</f>
        <v>42104.99861</v>
      </c>
      <c r="B1792" s="1">
        <f>IFERROR(__xludf.DUMMYFUNCTION("""COMPUTED_VALUE"""),107.2448)</f>
        <v>107.2448</v>
      </c>
    </row>
    <row r="1793">
      <c r="A1793" s="3">
        <f>IFERROR(__xludf.DUMMYFUNCTION("""COMPUTED_VALUE"""),42105.99861111111)</f>
        <v>42105.99861</v>
      </c>
      <c r="B1793" s="1">
        <f>IFERROR(__xludf.DUMMYFUNCTION("""COMPUTED_VALUE"""),107.6325952)</f>
        <v>107.6325952</v>
      </c>
    </row>
    <row r="1794">
      <c r="A1794" s="3">
        <f>IFERROR(__xludf.DUMMYFUNCTION("""COMPUTED_VALUE"""),42106.99861111111)</f>
        <v>42106.99861</v>
      </c>
      <c r="B1794" s="1">
        <f>IFERROR(__xludf.DUMMYFUNCTION("""COMPUTED_VALUE"""),107.6325952)</f>
        <v>107.6325952</v>
      </c>
    </row>
    <row r="1795">
      <c r="A1795" s="3">
        <f>IFERROR(__xludf.DUMMYFUNCTION("""COMPUTED_VALUE"""),42107.99861111111)</f>
        <v>42107.99861</v>
      </c>
      <c r="B1795" s="1">
        <f>IFERROR(__xludf.DUMMYFUNCTION("""COMPUTED_VALUE"""),108.6374555)</f>
        <v>108.6374555</v>
      </c>
    </row>
    <row r="1796">
      <c r="A1796" s="3">
        <f>IFERROR(__xludf.DUMMYFUNCTION("""COMPUTED_VALUE"""),42108.99861111111)</f>
        <v>42108.99861</v>
      </c>
      <c r="B1796" s="1">
        <f>IFERROR(__xludf.DUMMYFUNCTION("""COMPUTED_VALUE"""),108.5994525)</f>
        <v>108.5994525</v>
      </c>
    </row>
    <row r="1797">
      <c r="A1797" s="3">
        <f>IFERROR(__xludf.DUMMYFUNCTION("""COMPUTED_VALUE"""),42109.99861111111)</f>
        <v>42109.99861</v>
      </c>
      <c r="B1797" s="1">
        <f>IFERROR(__xludf.DUMMYFUNCTION("""COMPUTED_VALUE"""),108.2277549)</f>
        <v>108.2277549</v>
      </c>
    </row>
    <row r="1798">
      <c r="A1798" s="3">
        <f>IFERROR(__xludf.DUMMYFUNCTION("""COMPUTED_VALUE"""),42110.99861111111)</f>
        <v>42110.99861</v>
      </c>
      <c r="B1798" s="1">
        <f>IFERROR(__xludf.DUMMYFUNCTION("""COMPUTED_VALUE"""),107.658514)</f>
        <v>107.658514</v>
      </c>
    </row>
    <row r="1799">
      <c r="A1799" s="3">
        <f>IFERROR(__xludf.DUMMYFUNCTION("""COMPUTED_VALUE"""),42111.99861111111)</f>
        <v>42111.99861</v>
      </c>
      <c r="B1799" s="1">
        <f>IFERROR(__xludf.DUMMYFUNCTION("""COMPUTED_VALUE"""),107.648)</f>
        <v>107.648</v>
      </c>
    </row>
    <row r="1800">
      <c r="A1800" s="3">
        <f>IFERROR(__xludf.DUMMYFUNCTION("""COMPUTED_VALUE"""),42112.99861111111)</f>
        <v>42112.99861</v>
      </c>
      <c r="B1800" s="1">
        <f>IFERROR(__xludf.DUMMYFUNCTION("""COMPUTED_VALUE"""),107.9589177)</f>
        <v>107.9589177</v>
      </c>
    </row>
    <row r="1801">
      <c r="A1801" s="3">
        <f>IFERROR(__xludf.DUMMYFUNCTION("""COMPUTED_VALUE"""),42113.99861111111)</f>
        <v>42113.99861</v>
      </c>
      <c r="B1801" s="1">
        <f>IFERROR(__xludf.DUMMYFUNCTION("""COMPUTED_VALUE"""),108.3762219)</f>
        <v>108.3762219</v>
      </c>
    </row>
    <row r="1802">
      <c r="A1802" s="3">
        <f>IFERROR(__xludf.DUMMYFUNCTION("""COMPUTED_VALUE"""),42114.99861111111)</f>
        <v>42114.99861</v>
      </c>
      <c r="B1802" s="1">
        <f>IFERROR(__xludf.DUMMYFUNCTION("""COMPUTED_VALUE"""),108.8183)</f>
        <v>108.8183</v>
      </c>
    </row>
    <row r="1803">
      <c r="A1803" s="3">
        <f>IFERROR(__xludf.DUMMYFUNCTION("""COMPUTED_VALUE"""),42115.99861111111)</f>
        <v>42115.99861</v>
      </c>
      <c r="B1803" s="1">
        <f>IFERROR(__xludf.DUMMYFUNCTION("""COMPUTED_VALUE"""),108.024565)</f>
        <v>108.024565</v>
      </c>
    </row>
    <row r="1804">
      <c r="A1804" s="3">
        <f>IFERROR(__xludf.DUMMYFUNCTION("""COMPUTED_VALUE"""),42116.99861111111)</f>
        <v>42116.99861</v>
      </c>
      <c r="B1804" s="1">
        <f>IFERROR(__xludf.DUMMYFUNCTION("""COMPUTED_VALUE"""),107.586)</f>
        <v>107.586</v>
      </c>
    </row>
    <row r="1805">
      <c r="A1805" s="3">
        <f>IFERROR(__xludf.DUMMYFUNCTION("""COMPUTED_VALUE"""),42117.99861111111)</f>
        <v>42117.99861</v>
      </c>
      <c r="B1805" s="1">
        <f>IFERROR(__xludf.DUMMYFUNCTION("""COMPUTED_VALUE"""),108.110316)</f>
        <v>108.110316</v>
      </c>
    </row>
    <row r="1806">
      <c r="A1806" s="3">
        <f>IFERROR(__xludf.DUMMYFUNCTION("""COMPUTED_VALUE"""),42118.99861111111)</f>
        <v>42118.99861</v>
      </c>
      <c r="B1806" s="1">
        <f>IFERROR(__xludf.DUMMYFUNCTION("""COMPUTED_VALUE"""),108.7128)</f>
        <v>108.7128</v>
      </c>
    </row>
    <row r="1807">
      <c r="A1807" s="3">
        <f>IFERROR(__xludf.DUMMYFUNCTION("""COMPUTED_VALUE"""),42119.99861111111)</f>
        <v>42119.99861</v>
      </c>
      <c r="B1807" s="1">
        <f>IFERROR(__xludf.DUMMYFUNCTION("""COMPUTED_VALUE"""),108.949344)</f>
        <v>108.949344</v>
      </c>
    </row>
    <row r="1808">
      <c r="A1808" s="3">
        <f>IFERROR(__xludf.DUMMYFUNCTION("""COMPUTED_VALUE"""),42120.99861111111)</f>
        <v>42120.99861</v>
      </c>
      <c r="B1808" s="1">
        <f>IFERROR(__xludf.DUMMYFUNCTION("""COMPUTED_VALUE"""),109.0790456)</f>
        <v>109.0790456</v>
      </c>
    </row>
    <row r="1809">
      <c r="A1809" s="3">
        <f>IFERROR(__xludf.DUMMYFUNCTION("""COMPUTED_VALUE"""),42121.99861111111)</f>
        <v>42121.99861</v>
      </c>
      <c r="B1809" s="1">
        <f>IFERROR(__xludf.DUMMYFUNCTION("""COMPUTED_VALUE"""),108.45753)</f>
        <v>108.45753</v>
      </c>
    </row>
    <row r="1810">
      <c r="A1810" s="3">
        <f>IFERROR(__xludf.DUMMYFUNCTION("""COMPUTED_VALUE"""),42122.99861111111)</f>
        <v>42122.99861</v>
      </c>
      <c r="B1810" s="1">
        <f>IFERROR(__xludf.DUMMYFUNCTION("""COMPUTED_VALUE"""),108.78335)</f>
        <v>108.78335</v>
      </c>
    </row>
    <row r="1811">
      <c r="A1811" s="3">
        <f>IFERROR(__xludf.DUMMYFUNCTION("""COMPUTED_VALUE"""),42123.99861111111)</f>
        <v>42123.99861</v>
      </c>
      <c r="B1811" s="1">
        <f>IFERROR(__xludf.DUMMYFUNCTION("""COMPUTED_VALUE"""),108.5337855)</f>
        <v>108.5337855</v>
      </c>
    </row>
    <row r="1812">
      <c r="A1812" s="3">
        <f>IFERROR(__xludf.DUMMYFUNCTION("""COMPUTED_VALUE"""),42124.99861111111)</f>
        <v>42124.99861</v>
      </c>
      <c r="B1812" s="1">
        <f>IFERROR(__xludf.DUMMYFUNCTION("""COMPUTED_VALUE"""),108.4384287)</f>
        <v>108.4384287</v>
      </c>
    </row>
    <row r="1813">
      <c r="A1813" s="3">
        <f>IFERROR(__xludf.DUMMYFUNCTION("""COMPUTED_VALUE"""),42125.99861111111)</f>
        <v>42125.99861</v>
      </c>
      <c r="B1813" s="1">
        <f>IFERROR(__xludf.DUMMYFUNCTION("""COMPUTED_VALUE"""),107.952)</f>
        <v>107.952</v>
      </c>
    </row>
    <row r="1814">
      <c r="A1814" s="3">
        <f>IFERROR(__xludf.DUMMYFUNCTION("""COMPUTED_VALUE"""),42126.99861111111)</f>
        <v>42126.99861</v>
      </c>
      <c r="B1814" s="1">
        <f>IFERROR(__xludf.DUMMYFUNCTION("""COMPUTED_VALUE"""),108.7581248)</f>
        <v>108.7581248</v>
      </c>
    </row>
    <row r="1815">
      <c r="A1815" s="3">
        <f>IFERROR(__xludf.DUMMYFUNCTION("""COMPUTED_VALUE"""),42127.99861111111)</f>
        <v>42127.99861</v>
      </c>
      <c r="B1815" s="1">
        <f>IFERROR(__xludf.DUMMYFUNCTION("""COMPUTED_VALUE"""),108.5031791)</f>
        <v>108.5031791</v>
      </c>
    </row>
    <row r="1816">
      <c r="A1816" s="3">
        <f>IFERROR(__xludf.DUMMYFUNCTION("""COMPUTED_VALUE"""),42128.99861111111)</f>
        <v>42128.99861</v>
      </c>
      <c r="B1816" s="1">
        <f>IFERROR(__xludf.DUMMYFUNCTION("""COMPUTED_VALUE"""),107.063358)</f>
        <v>107.063358</v>
      </c>
    </row>
    <row r="1817">
      <c r="A1817" s="3">
        <f>IFERROR(__xludf.DUMMYFUNCTION("""COMPUTED_VALUE"""),42129.99861111111)</f>
        <v>42129.99861</v>
      </c>
      <c r="B1817" s="1">
        <f>IFERROR(__xludf.DUMMYFUNCTION("""COMPUTED_VALUE"""),108.4617)</f>
        <v>108.4617</v>
      </c>
    </row>
    <row r="1818">
      <c r="A1818" s="3">
        <f>IFERROR(__xludf.DUMMYFUNCTION("""COMPUTED_VALUE"""),42130.99861111111)</f>
        <v>42130.99861</v>
      </c>
      <c r="B1818" s="1">
        <f>IFERROR(__xludf.DUMMYFUNCTION("""COMPUTED_VALUE"""),108.8941956)</f>
        <v>108.8941956</v>
      </c>
    </row>
    <row r="1819">
      <c r="A1819" s="3">
        <f>IFERROR(__xludf.DUMMYFUNCTION("""COMPUTED_VALUE"""),42131.99861111111)</f>
        <v>42131.99861</v>
      </c>
      <c r="B1819" s="1">
        <f>IFERROR(__xludf.DUMMYFUNCTION("""COMPUTED_VALUE"""),109.372059)</f>
        <v>109.372059</v>
      </c>
    </row>
    <row r="1820">
      <c r="A1820" s="3">
        <f>IFERROR(__xludf.DUMMYFUNCTION("""COMPUTED_VALUE"""),42132.99861111111)</f>
        <v>42132.99861</v>
      </c>
      <c r="B1820" s="1">
        <f>IFERROR(__xludf.DUMMYFUNCTION("""COMPUTED_VALUE"""),108.94245)</f>
        <v>108.94245</v>
      </c>
    </row>
    <row r="1821">
      <c r="A1821" s="3">
        <f>IFERROR(__xludf.DUMMYFUNCTION("""COMPUTED_VALUE"""),42133.99861111111)</f>
        <v>42133.99861</v>
      </c>
      <c r="B1821" s="1">
        <f>IFERROR(__xludf.DUMMYFUNCTION("""COMPUTED_VALUE"""),109.8683815)</f>
        <v>109.8683815</v>
      </c>
    </row>
    <row r="1822">
      <c r="A1822" s="3">
        <f>IFERROR(__xludf.DUMMYFUNCTION("""COMPUTED_VALUE"""),42134.99861111111)</f>
        <v>42134.99861</v>
      </c>
      <c r="B1822" s="1">
        <f>IFERROR(__xludf.DUMMYFUNCTION("""COMPUTED_VALUE"""),109.8683815)</f>
        <v>109.8683815</v>
      </c>
    </row>
    <row r="1823">
      <c r="A1823" s="3">
        <f>IFERROR(__xludf.DUMMYFUNCTION("""COMPUTED_VALUE"""),42135.99861111111)</f>
        <v>42135.99861</v>
      </c>
      <c r="B1823" s="1">
        <f>IFERROR(__xludf.DUMMYFUNCTION("""COMPUTED_VALUE"""),109.616544)</f>
        <v>109.616544</v>
      </c>
    </row>
    <row r="1824">
      <c r="A1824" s="3">
        <f>IFERROR(__xludf.DUMMYFUNCTION("""COMPUTED_VALUE"""),42136.99861111111)</f>
        <v>42136.99861</v>
      </c>
      <c r="B1824" s="1">
        <f>IFERROR(__xludf.DUMMYFUNCTION("""COMPUTED_VALUE"""),109.68188)</f>
        <v>109.68188</v>
      </c>
    </row>
    <row r="1825">
      <c r="A1825" s="3">
        <f>IFERROR(__xludf.DUMMYFUNCTION("""COMPUTED_VALUE"""),42137.99861111111)</f>
        <v>42137.99861</v>
      </c>
      <c r="B1825" s="1">
        <f>IFERROR(__xludf.DUMMYFUNCTION("""COMPUTED_VALUE"""),109.919229)</f>
        <v>109.919229</v>
      </c>
    </row>
    <row r="1826">
      <c r="A1826" s="3">
        <f>IFERROR(__xludf.DUMMYFUNCTION("""COMPUTED_VALUE"""),42138.99861111111)</f>
        <v>42138.99861</v>
      </c>
      <c r="B1826" s="1">
        <f>IFERROR(__xludf.DUMMYFUNCTION("""COMPUTED_VALUE"""),109.1543453)</f>
        <v>109.1543453</v>
      </c>
    </row>
    <row r="1827">
      <c r="A1827" s="3">
        <f>IFERROR(__xludf.DUMMYFUNCTION("""COMPUTED_VALUE"""),42139.99861111111)</f>
        <v>42139.99861</v>
      </c>
      <c r="B1827" s="1">
        <f>IFERROR(__xludf.DUMMYFUNCTION("""COMPUTED_VALUE"""),109.33386)</f>
        <v>109.33386</v>
      </c>
    </row>
    <row r="1828">
      <c r="A1828" s="3">
        <f>IFERROR(__xludf.DUMMYFUNCTION("""COMPUTED_VALUE"""),42140.99861111111)</f>
        <v>42140.99861</v>
      </c>
      <c r="B1828" s="1">
        <f>IFERROR(__xludf.DUMMYFUNCTION("""COMPUTED_VALUE"""),109.5424382)</f>
        <v>109.5424382</v>
      </c>
    </row>
    <row r="1829">
      <c r="A1829" s="3">
        <f>IFERROR(__xludf.DUMMYFUNCTION("""COMPUTED_VALUE"""),42141.99861111111)</f>
        <v>42141.99861</v>
      </c>
      <c r="B1829" s="1">
        <f>IFERROR(__xludf.DUMMYFUNCTION("""COMPUTED_VALUE"""),109.5424382)</f>
        <v>109.5424382</v>
      </c>
    </row>
    <row r="1830">
      <c r="A1830" s="3">
        <f>IFERROR(__xludf.DUMMYFUNCTION("""COMPUTED_VALUE"""),42142.99861111111)</f>
        <v>42142.99861</v>
      </c>
      <c r="B1830" s="1">
        <f>IFERROR(__xludf.DUMMYFUNCTION("""COMPUTED_VALUE"""),109.7460722)</f>
        <v>109.7460722</v>
      </c>
    </row>
    <row r="1831">
      <c r="A1831" s="3">
        <f>IFERROR(__xludf.DUMMYFUNCTION("""COMPUTED_VALUE"""),42143.99861111111)</f>
        <v>42143.99861</v>
      </c>
      <c r="B1831" s="1">
        <f>IFERROR(__xludf.DUMMYFUNCTION("""COMPUTED_VALUE"""),109.1245328)</f>
        <v>109.1245328</v>
      </c>
    </row>
    <row r="1832">
      <c r="A1832" s="3">
        <f>IFERROR(__xludf.DUMMYFUNCTION("""COMPUTED_VALUE"""),42144.99861111111)</f>
        <v>42144.99861</v>
      </c>
      <c r="B1832" s="1">
        <f>IFERROR(__xludf.DUMMYFUNCTION("""COMPUTED_VALUE"""),107.352926)</f>
        <v>107.352926</v>
      </c>
    </row>
    <row r="1833">
      <c r="A1833" s="3">
        <f>IFERROR(__xludf.DUMMYFUNCTION("""COMPUTED_VALUE"""),42145.99861111111)</f>
        <v>42145.99861</v>
      </c>
      <c r="B1833" s="1">
        <f>IFERROR(__xludf.DUMMYFUNCTION("""COMPUTED_VALUE"""),108.2812556)</f>
        <v>108.2812556</v>
      </c>
    </row>
    <row r="1834">
      <c r="A1834" s="3">
        <f>IFERROR(__xludf.DUMMYFUNCTION("""COMPUTED_VALUE"""),42146.99861111111)</f>
        <v>42146.99861</v>
      </c>
      <c r="B1834" s="1">
        <f>IFERROR(__xludf.DUMMYFUNCTION("""COMPUTED_VALUE"""),108.1422)</f>
        <v>108.1422</v>
      </c>
    </row>
    <row r="1835">
      <c r="A1835" s="3">
        <f>IFERROR(__xludf.DUMMYFUNCTION("""COMPUTED_VALUE"""),42147.99861111111)</f>
        <v>42147.99861</v>
      </c>
      <c r="B1835" s="1">
        <f>IFERROR(__xludf.DUMMYFUNCTION("""COMPUTED_VALUE"""),108.4321429)</f>
        <v>108.4321429</v>
      </c>
    </row>
    <row r="1836">
      <c r="A1836" s="3">
        <f>IFERROR(__xludf.DUMMYFUNCTION("""COMPUTED_VALUE"""),42149.99861111111)</f>
        <v>42149.99861</v>
      </c>
      <c r="B1836" s="1">
        <f>IFERROR(__xludf.DUMMYFUNCTION("""COMPUTED_VALUE"""),108.3163098)</f>
        <v>108.3163098</v>
      </c>
    </row>
    <row r="1837">
      <c r="A1837" s="3">
        <f>IFERROR(__xludf.DUMMYFUNCTION("""COMPUTED_VALUE"""),42150.99861111111)</f>
        <v>42150.99861</v>
      </c>
      <c r="B1837" s="1">
        <f>IFERROR(__xludf.DUMMYFUNCTION("""COMPUTED_VALUE"""),107.4555317)</f>
        <v>107.4555317</v>
      </c>
    </row>
    <row r="1838">
      <c r="A1838" s="3">
        <f>IFERROR(__xludf.DUMMYFUNCTION("""COMPUTED_VALUE"""),42151.99861111111)</f>
        <v>42151.99861</v>
      </c>
      <c r="B1838" s="1">
        <f>IFERROR(__xludf.DUMMYFUNCTION("""COMPUTED_VALUE"""),106.4136)</f>
        <v>106.4136</v>
      </c>
    </row>
    <row r="1839">
      <c r="A1839" s="3">
        <f>IFERROR(__xludf.DUMMYFUNCTION("""COMPUTED_VALUE"""),42152.99861111111)</f>
        <v>42152.99861</v>
      </c>
      <c r="B1839" s="1">
        <f>IFERROR(__xludf.DUMMYFUNCTION("""COMPUTED_VALUE"""),106.302109)</f>
        <v>106.302109</v>
      </c>
    </row>
    <row r="1840">
      <c r="A1840" s="3">
        <f>IFERROR(__xludf.DUMMYFUNCTION("""COMPUTED_VALUE"""),42153.99861111111)</f>
        <v>42153.99861</v>
      </c>
      <c r="B1840" s="1">
        <f>IFERROR(__xludf.DUMMYFUNCTION("""COMPUTED_VALUE"""),106.26)</f>
        <v>106.26</v>
      </c>
    </row>
    <row r="1841">
      <c r="A1841" s="3">
        <f>IFERROR(__xludf.DUMMYFUNCTION("""COMPUTED_VALUE"""),42156.99861111111)</f>
        <v>42156.99861</v>
      </c>
      <c r="B1841" s="1">
        <f>IFERROR(__xludf.DUMMYFUNCTION("""COMPUTED_VALUE"""),105.6134604)</f>
        <v>105.6134604</v>
      </c>
    </row>
    <row r="1842">
      <c r="A1842" s="3">
        <f>IFERROR(__xludf.DUMMYFUNCTION("""COMPUTED_VALUE"""),42157.99861111111)</f>
        <v>42157.99861</v>
      </c>
      <c r="B1842" s="1">
        <f>IFERROR(__xludf.DUMMYFUNCTION("""COMPUTED_VALUE"""),105.99952)</f>
        <v>105.99952</v>
      </c>
    </row>
    <row r="1843">
      <c r="A1843" s="3">
        <f>IFERROR(__xludf.DUMMYFUNCTION("""COMPUTED_VALUE"""),42158.99861111111)</f>
        <v>42158.99861</v>
      </c>
      <c r="B1843" s="1">
        <f>IFERROR(__xludf.DUMMYFUNCTION("""COMPUTED_VALUE"""),106.410213)</f>
        <v>106.410213</v>
      </c>
    </row>
    <row r="1844">
      <c r="A1844" s="3">
        <f>IFERROR(__xludf.DUMMYFUNCTION("""COMPUTED_VALUE"""),42159.99861111111)</f>
        <v>42159.99861</v>
      </c>
      <c r="B1844" s="1">
        <f>IFERROR(__xludf.DUMMYFUNCTION("""COMPUTED_VALUE"""),106.731)</f>
        <v>106.731</v>
      </c>
    </row>
    <row r="1845">
      <c r="A1845" s="3">
        <f>IFERROR(__xludf.DUMMYFUNCTION("""COMPUTED_VALUE"""),42160.99861111111)</f>
        <v>42160.99861</v>
      </c>
      <c r="B1845" s="1">
        <f>IFERROR(__xludf.DUMMYFUNCTION("""COMPUTED_VALUE"""),106.56848)</f>
        <v>106.56848</v>
      </c>
    </row>
    <row r="1846">
      <c r="A1846" s="3">
        <f>IFERROR(__xludf.DUMMYFUNCTION("""COMPUTED_VALUE"""),42163.99861111111)</f>
        <v>42163.99861</v>
      </c>
      <c r="B1846" s="1">
        <f>IFERROR(__xludf.DUMMYFUNCTION("""COMPUTED_VALUE"""),106.831384)</f>
        <v>106.831384</v>
      </c>
    </row>
    <row r="1847">
      <c r="A1847" s="3">
        <f>IFERROR(__xludf.DUMMYFUNCTION("""COMPUTED_VALUE"""),42164.99861111111)</f>
        <v>42164.99861</v>
      </c>
      <c r="B1847" s="1">
        <f>IFERROR(__xludf.DUMMYFUNCTION("""COMPUTED_VALUE"""),107.307145)</f>
        <v>107.307145</v>
      </c>
    </row>
    <row r="1848">
      <c r="A1848" s="3">
        <f>IFERROR(__xludf.DUMMYFUNCTION("""COMPUTED_VALUE"""),42165.99861111111)</f>
        <v>42165.99861</v>
      </c>
      <c r="B1848" s="1">
        <f>IFERROR(__xludf.DUMMYFUNCTION("""COMPUTED_VALUE"""),107.4583285)</f>
        <v>107.4583285</v>
      </c>
    </row>
    <row r="1849">
      <c r="A1849" s="3">
        <f>IFERROR(__xludf.DUMMYFUNCTION("""COMPUTED_VALUE"""),42166.99861111111)</f>
        <v>42166.99861</v>
      </c>
      <c r="B1849" s="1">
        <f>IFERROR(__xludf.DUMMYFUNCTION("""COMPUTED_VALUE"""),107.035992)</f>
        <v>107.035992</v>
      </c>
    </row>
    <row r="1850">
      <c r="A1850" s="3">
        <f>IFERROR(__xludf.DUMMYFUNCTION("""COMPUTED_VALUE"""),42167.99861111111)</f>
        <v>42167.99861</v>
      </c>
      <c r="B1850" s="1">
        <f>IFERROR(__xludf.DUMMYFUNCTION("""COMPUTED_VALUE"""),107.8515)</f>
        <v>107.8515</v>
      </c>
    </row>
    <row r="1851">
      <c r="A1851" s="3">
        <f>IFERROR(__xludf.DUMMYFUNCTION("""COMPUTED_VALUE"""),42170.99861111111)</f>
        <v>42170.99861</v>
      </c>
      <c r="B1851" s="1">
        <f>IFERROR(__xludf.DUMMYFUNCTION("""COMPUTED_VALUE"""),107.907984)</f>
        <v>107.907984</v>
      </c>
    </row>
    <row r="1852">
      <c r="A1852" s="3">
        <f>IFERROR(__xludf.DUMMYFUNCTION("""COMPUTED_VALUE"""),42171.99861111111)</f>
        <v>42171.99861</v>
      </c>
      <c r="B1852" s="1">
        <f>IFERROR(__xludf.DUMMYFUNCTION("""COMPUTED_VALUE"""),108.054)</f>
        <v>108.054</v>
      </c>
    </row>
    <row r="1853">
      <c r="A1853" s="3">
        <f>IFERROR(__xludf.DUMMYFUNCTION("""COMPUTED_VALUE"""),42172.99861111111)</f>
        <v>42172.99861</v>
      </c>
      <c r="B1853" s="1">
        <f>IFERROR(__xludf.DUMMYFUNCTION("""COMPUTED_VALUE"""),107.897019)</f>
        <v>107.897019</v>
      </c>
    </row>
    <row r="1854">
      <c r="A1854" s="3">
        <f>IFERROR(__xludf.DUMMYFUNCTION("""COMPUTED_VALUE"""),42173.99861111111)</f>
        <v>42173.99861</v>
      </c>
      <c r="B1854" s="1">
        <f>IFERROR(__xludf.DUMMYFUNCTION("""COMPUTED_VALUE"""),108.0477)</f>
        <v>108.0477</v>
      </c>
    </row>
    <row r="1855">
      <c r="A1855" s="3">
        <f>IFERROR(__xludf.DUMMYFUNCTION("""COMPUTED_VALUE"""),42174.99861111111)</f>
        <v>42174.99861</v>
      </c>
      <c r="B1855" s="1">
        <f>IFERROR(__xludf.DUMMYFUNCTION("""COMPUTED_VALUE"""),108.4765)</f>
        <v>108.4765</v>
      </c>
    </row>
    <row r="1856">
      <c r="A1856" s="3">
        <f>IFERROR(__xludf.DUMMYFUNCTION("""COMPUTED_VALUE"""),42177.99861111111)</f>
        <v>42177.99861</v>
      </c>
      <c r="B1856" s="1">
        <f>IFERROR(__xludf.DUMMYFUNCTION("""COMPUTED_VALUE"""),107.7462)</f>
        <v>107.7462</v>
      </c>
    </row>
    <row r="1857">
      <c r="A1857" s="3">
        <f>IFERROR(__xludf.DUMMYFUNCTION("""COMPUTED_VALUE"""),42178.99861111111)</f>
        <v>42178.99861</v>
      </c>
      <c r="B1857" s="1">
        <f>IFERROR(__xludf.DUMMYFUNCTION("""COMPUTED_VALUE"""),106.95665)</f>
        <v>106.95665</v>
      </c>
    </row>
    <row r="1858">
      <c r="A1858" s="3">
        <f>IFERROR(__xludf.DUMMYFUNCTION("""COMPUTED_VALUE"""),42179.99861111111)</f>
        <v>42179.99861</v>
      </c>
      <c r="B1858" s="1">
        <f>IFERROR(__xludf.DUMMYFUNCTION("""COMPUTED_VALUE"""),107.287512)</f>
        <v>107.287512</v>
      </c>
    </row>
    <row r="1859">
      <c r="A1859" s="3">
        <f>IFERROR(__xludf.DUMMYFUNCTION("""COMPUTED_VALUE"""),42180.99861111111)</f>
        <v>42180.99861</v>
      </c>
      <c r="B1859" s="1">
        <f>IFERROR(__xludf.DUMMYFUNCTION("""COMPUTED_VALUE"""),107.6159488)</f>
        <v>107.6159488</v>
      </c>
    </row>
    <row r="1860">
      <c r="A1860" s="3">
        <f>IFERROR(__xludf.DUMMYFUNCTION("""COMPUTED_VALUE"""),42181.99861111111)</f>
        <v>42181.99861</v>
      </c>
      <c r="B1860" s="1">
        <f>IFERROR(__xludf.DUMMYFUNCTION("""COMPUTED_VALUE"""),107.50854)</f>
        <v>107.50854</v>
      </c>
    </row>
    <row r="1861">
      <c r="A1861" s="3">
        <f>IFERROR(__xludf.DUMMYFUNCTION("""COMPUTED_VALUE"""),42184.99861111111)</f>
        <v>42184.99861</v>
      </c>
      <c r="B1861" s="1">
        <f>IFERROR(__xludf.DUMMYFUNCTION("""COMPUTED_VALUE"""),108.5743)</f>
        <v>108.5743</v>
      </c>
    </row>
    <row r="1862">
      <c r="A1862" s="3">
        <f>IFERROR(__xludf.DUMMYFUNCTION("""COMPUTED_VALUE"""),42185.99861111111)</f>
        <v>42185.99861</v>
      </c>
      <c r="B1862" s="1">
        <f>IFERROR(__xludf.DUMMYFUNCTION("""COMPUTED_VALUE"""),108.9894638)</f>
        <v>108.9894638</v>
      </c>
    </row>
    <row r="1863">
      <c r="A1863" s="3">
        <f>IFERROR(__xludf.DUMMYFUNCTION("""COMPUTED_VALUE"""),42186.99861111111)</f>
        <v>42186.99861</v>
      </c>
      <c r="B1863" s="1">
        <f>IFERROR(__xludf.DUMMYFUNCTION("""COMPUTED_VALUE"""),107.9796804)</f>
        <v>107.9796804</v>
      </c>
    </row>
    <row r="1864">
      <c r="A1864" s="3">
        <f>IFERROR(__xludf.DUMMYFUNCTION("""COMPUTED_VALUE"""),42187.99861111111)</f>
        <v>42187.99861</v>
      </c>
      <c r="B1864" s="1">
        <f>IFERROR(__xludf.DUMMYFUNCTION("""COMPUTED_VALUE"""),107.734848)</f>
        <v>107.734848</v>
      </c>
    </row>
    <row r="1865">
      <c r="A1865" s="3">
        <f>IFERROR(__xludf.DUMMYFUNCTION("""COMPUTED_VALUE"""),42188.99861111111)</f>
        <v>42188.99861</v>
      </c>
      <c r="B1865" s="1">
        <f>IFERROR(__xludf.DUMMYFUNCTION("""COMPUTED_VALUE"""),108.5876)</f>
        <v>108.5876</v>
      </c>
    </row>
    <row r="1866">
      <c r="A1866" s="3">
        <f>IFERROR(__xludf.DUMMYFUNCTION("""COMPUTED_VALUE"""),42191.99861111111)</f>
        <v>42191.99861</v>
      </c>
      <c r="B1866" s="1">
        <f>IFERROR(__xludf.DUMMYFUNCTION("""COMPUTED_VALUE"""),108.778362)</f>
        <v>108.778362</v>
      </c>
    </row>
    <row r="1867">
      <c r="A1867" s="3">
        <f>IFERROR(__xludf.DUMMYFUNCTION("""COMPUTED_VALUE"""),42192.99861111111)</f>
        <v>42192.99861</v>
      </c>
      <c r="B1867" s="1">
        <f>IFERROR(__xludf.DUMMYFUNCTION("""COMPUTED_VALUE"""),108.7546525)</f>
        <v>108.7546525</v>
      </c>
    </row>
    <row r="1868">
      <c r="A1868" s="3">
        <f>IFERROR(__xludf.DUMMYFUNCTION("""COMPUTED_VALUE"""),42193.99861111111)</f>
        <v>42193.99861</v>
      </c>
      <c r="B1868" s="1">
        <f>IFERROR(__xludf.DUMMYFUNCTION("""COMPUTED_VALUE"""),110.325789)</f>
        <v>110.325789</v>
      </c>
    </row>
    <row r="1869">
      <c r="A1869" s="3">
        <f>IFERROR(__xludf.DUMMYFUNCTION("""COMPUTED_VALUE"""),42194.99861111111)</f>
        <v>42194.99861</v>
      </c>
      <c r="B1869" s="1">
        <f>IFERROR(__xludf.DUMMYFUNCTION("""COMPUTED_VALUE"""),109.2947874)</f>
        <v>109.2947874</v>
      </c>
    </row>
    <row r="1870">
      <c r="A1870" s="3">
        <f>IFERROR(__xludf.DUMMYFUNCTION("""COMPUTED_VALUE"""),42195.99861111111)</f>
        <v>42195.99861</v>
      </c>
      <c r="B1870" s="1">
        <f>IFERROR(__xludf.DUMMYFUNCTION("""COMPUTED_VALUE"""),108.2157)</f>
        <v>108.2157</v>
      </c>
    </row>
    <row r="1871">
      <c r="A1871" s="3">
        <f>IFERROR(__xludf.DUMMYFUNCTION("""COMPUTED_VALUE"""),42198.99861111111)</f>
        <v>42198.99861</v>
      </c>
      <c r="B1871" s="1">
        <f>IFERROR(__xludf.DUMMYFUNCTION("""COMPUTED_VALUE"""),107.4352)</f>
        <v>107.4352</v>
      </c>
    </row>
    <row r="1872">
      <c r="A1872" s="3">
        <f>IFERROR(__xludf.DUMMYFUNCTION("""COMPUTED_VALUE"""),42199.99861111111)</f>
        <v>42199.99861</v>
      </c>
      <c r="B1872" s="1">
        <f>IFERROR(__xludf.DUMMYFUNCTION("""COMPUTED_VALUE"""),107.90355)</f>
        <v>107.90355</v>
      </c>
    </row>
    <row r="1873">
      <c r="A1873" s="3">
        <f>IFERROR(__xludf.DUMMYFUNCTION("""COMPUTED_VALUE"""),42200.99861111111)</f>
        <v>42200.99861</v>
      </c>
      <c r="B1873" s="1">
        <f>IFERROR(__xludf.DUMMYFUNCTION("""COMPUTED_VALUE"""),107.6483304)</f>
        <v>107.6483304</v>
      </c>
    </row>
    <row r="1874">
      <c r="A1874" s="3">
        <f>IFERROR(__xludf.DUMMYFUNCTION("""COMPUTED_VALUE"""),42201.99861111111)</f>
        <v>42201.99861</v>
      </c>
      <c r="B1874" s="1">
        <f>IFERROR(__xludf.DUMMYFUNCTION("""COMPUTED_VALUE"""),107.31455)</f>
        <v>107.31455</v>
      </c>
    </row>
    <row r="1875">
      <c r="A1875" s="3">
        <f>IFERROR(__xludf.DUMMYFUNCTION("""COMPUTED_VALUE"""),42202.99861111111)</f>
        <v>42202.99861</v>
      </c>
      <c r="B1875" s="1">
        <f>IFERROR(__xludf.DUMMYFUNCTION("""COMPUTED_VALUE"""),107.601)</f>
        <v>107.601</v>
      </c>
    </row>
    <row r="1876">
      <c r="A1876" s="3">
        <f>IFERROR(__xludf.DUMMYFUNCTION("""COMPUTED_VALUE"""),42205.99861111111)</f>
        <v>42205.99861</v>
      </c>
      <c r="B1876" s="1">
        <f>IFERROR(__xludf.DUMMYFUNCTION("""COMPUTED_VALUE"""),107.31363)</f>
        <v>107.31363</v>
      </c>
    </row>
    <row r="1877">
      <c r="A1877" s="3">
        <f>IFERROR(__xludf.DUMMYFUNCTION("""COMPUTED_VALUE"""),42206.99861111111)</f>
        <v>42206.99861</v>
      </c>
      <c r="B1877" s="1">
        <f>IFERROR(__xludf.DUMMYFUNCTION("""COMPUTED_VALUE"""),107.6494545)</f>
        <v>107.6494545</v>
      </c>
    </row>
    <row r="1878">
      <c r="A1878" s="3">
        <f>IFERROR(__xludf.DUMMYFUNCTION("""COMPUTED_VALUE"""),42207.99861111111)</f>
        <v>42207.99861</v>
      </c>
      <c r="B1878" s="1">
        <f>IFERROR(__xludf.DUMMYFUNCTION("""COMPUTED_VALUE"""),107.99596)</f>
        <v>107.99596</v>
      </c>
    </row>
    <row r="1879">
      <c r="A1879" s="3">
        <f>IFERROR(__xludf.DUMMYFUNCTION("""COMPUTED_VALUE"""),42208.99861111111)</f>
        <v>42208.99861</v>
      </c>
      <c r="B1879" s="1">
        <f>IFERROR(__xludf.DUMMYFUNCTION("""COMPUTED_VALUE"""),108.394873)</f>
        <v>108.394873</v>
      </c>
    </row>
    <row r="1880">
      <c r="A1880" s="3">
        <f>IFERROR(__xludf.DUMMYFUNCTION("""COMPUTED_VALUE"""),42209.99861111111)</f>
        <v>42209.99861</v>
      </c>
      <c r="B1880" s="1">
        <f>IFERROR(__xludf.DUMMYFUNCTION("""COMPUTED_VALUE"""),108.5144)</f>
        <v>108.5144</v>
      </c>
    </row>
    <row r="1881">
      <c r="A1881" s="3">
        <f>IFERROR(__xludf.DUMMYFUNCTION("""COMPUTED_VALUE"""),42212.99861111111)</f>
        <v>42212.99861</v>
      </c>
      <c r="B1881" s="1">
        <f>IFERROR(__xludf.DUMMYFUNCTION("""COMPUTED_VALUE"""),109.225387)</f>
        <v>109.225387</v>
      </c>
    </row>
    <row r="1882">
      <c r="A1882" s="3">
        <f>IFERROR(__xludf.DUMMYFUNCTION("""COMPUTED_VALUE"""),42213.99861111111)</f>
        <v>42213.99861</v>
      </c>
      <c r="B1882" s="1">
        <f>IFERROR(__xludf.DUMMYFUNCTION("""COMPUTED_VALUE"""),107.525403)</f>
        <v>107.525403</v>
      </c>
    </row>
    <row r="1883">
      <c r="A1883" s="3">
        <f>IFERROR(__xludf.DUMMYFUNCTION("""COMPUTED_VALUE"""),42214.99861111111)</f>
        <v>42214.99861</v>
      </c>
      <c r="B1883" s="1">
        <f>IFERROR(__xludf.DUMMYFUNCTION("""COMPUTED_VALUE"""),108.587204)</f>
        <v>108.587204</v>
      </c>
    </row>
    <row r="1884">
      <c r="A1884" s="3">
        <f>IFERROR(__xludf.DUMMYFUNCTION("""COMPUTED_VALUE"""),42215.99861111111)</f>
        <v>42215.99861</v>
      </c>
      <c r="B1884" s="1">
        <f>IFERROR(__xludf.DUMMYFUNCTION("""COMPUTED_VALUE"""),108.7239328)</f>
        <v>108.7239328</v>
      </c>
    </row>
    <row r="1885">
      <c r="A1885" s="3">
        <f>IFERROR(__xludf.DUMMYFUNCTION("""COMPUTED_VALUE"""),42216.99861111111)</f>
        <v>42216.99861</v>
      </c>
      <c r="B1885" s="1">
        <f>IFERROR(__xludf.DUMMYFUNCTION("""COMPUTED_VALUE"""),108.33975)</f>
        <v>108.33975</v>
      </c>
    </row>
    <row r="1886">
      <c r="A1886" s="3">
        <f>IFERROR(__xludf.DUMMYFUNCTION("""COMPUTED_VALUE"""),42219.99861111111)</f>
        <v>42219.99861</v>
      </c>
      <c r="B1886" s="1">
        <f>IFERROR(__xludf.DUMMYFUNCTION("""COMPUTED_VALUE"""),108.4608)</f>
        <v>108.4608</v>
      </c>
    </row>
    <row r="1887">
      <c r="A1887" s="3">
        <f>IFERROR(__xludf.DUMMYFUNCTION("""COMPUTED_VALUE"""),42220.99861111111)</f>
        <v>42220.99861</v>
      </c>
      <c r="B1887" s="1">
        <f>IFERROR(__xludf.DUMMYFUNCTION("""COMPUTED_VALUE"""),108.55425)</f>
        <v>108.55425</v>
      </c>
    </row>
    <row r="1888">
      <c r="A1888" s="3">
        <f>IFERROR(__xludf.DUMMYFUNCTION("""COMPUTED_VALUE"""),42221.99861111111)</f>
        <v>42221.99861</v>
      </c>
      <c r="B1888" s="1">
        <f>IFERROR(__xludf.DUMMYFUNCTION("""COMPUTED_VALUE"""),108.3455135)</f>
        <v>108.3455135</v>
      </c>
    </row>
    <row r="1889">
      <c r="A1889" s="3">
        <f>IFERROR(__xludf.DUMMYFUNCTION("""COMPUTED_VALUE"""),42222.99861111111)</f>
        <v>42222.99861</v>
      </c>
      <c r="B1889" s="1">
        <f>IFERROR(__xludf.DUMMYFUNCTION("""COMPUTED_VALUE"""),107.9340935)</f>
        <v>107.9340935</v>
      </c>
    </row>
    <row r="1890">
      <c r="A1890" s="3">
        <f>IFERROR(__xludf.DUMMYFUNCTION("""COMPUTED_VALUE"""),42223.99861111111)</f>
        <v>42223.99861</v>
      </c>
      <c r="B1890" s="1">
        <f>IFERROR(__xludf.DUMMYFUNCTION("""COMPUTED_VALUE"""),108.53815)</f>
        <v>108.53815</v>
      </c>
    </row>
    <row r="1891">
      <c r="A1891" s="3">
        <f>IFERROR(__xludf.DUMMYFUNCTION("""COMPUTED_VALUE"""),42226.99861111111)</f>
        <v>42226.99861</v>
      </c>
      <c r="B1891" s="1">
        <f>IFERROR(__xludf.DUMMYFUNCTION("""COMPUTED_VALUE"""),108.00534)</f>
        <v>108.00534</v>
      </c>
    </row>
    <row r="1892">
      <c r="A1892" s="3">
        <f>IFERROR(__xludf.DUMMYFUNCTION("""COMPUTED_VALUE"""),42227.99861111111)</f>
        <v>42227.99861</v>
      </c>
      <c r="B1892" s="1">
        <f>IFERROR(__xludf.DUMMYFUNCTION("""COMPUTED_VALUE"""),108.7570095)</f>
        <v>108.7570095</v>
      </c>
    </row>
    <row r="1893">
      <c r="A1893" s="3">
        <f>IFERROR(__xludf.DUMMYFUNCTION("""COMPUTED_VALUE"""),42228.99861111111)</f>
        <v>42228.99861</v>
      </c>
      <c r="B1893" s="1">
        <f>IFERROR(__xludf.DUMMYFUNCTION("""COMPUTED_VALUE"""),110.5963935)</f>
        <v>110.5963935</v>
      </c>
    </row>
    <row r="1894">
      <c r="A1894" s="3">
        <f>IFERROR(__xludf.DUMMYFUNCTION("""COMPUTED_VALUE"""),42229.99861111111)</f>
        <v>42229.99861</v>
      </c>
      <c r="B1894" s="1">
        <f>IFERROR(__xludf.DUMMYFUNCTION("""COMPUTED_VALUE"""),109.947)</f>
        <v>109.947</v>
      </c>
    </row>
    <row r="1895">
      <c r="A1895" s="3">
        <f>IFERROR(__xludf.DUMMYFUNCTION("""COMPUTED_VALUE"""),42230.99861111111)</f>
        <v>42230.99861</v>
      </c>
      <c r="B1895" s="1">
        <f>IFERROR(__xludf.DUMMYFUNCTION("""COMPUTED_VALUE"""),110.2686)</f>
        <v>110.2686</v>
      </c>
    </row>
    <row r="1896">
      <c r="A1896" s="3">
        <f>IFERROR(__xludf.DUMMYFUNCTION("""COMPUTED_VALUE"""),42233.99861111111)</f>
        <v>42233.99861</v>
      </c>
      <c r="B1896" s="1">
        <f>IFERROR(__xludf.DUMMYFUNCTION("""COMPUTED_VALUE"""),111.121284)</f>
        <v>111.121284</v>
      </c>
    </row>
    <row r="1897">
      <c r="A1897" s="3">
        <f>IFERROR(__xludf.DUMMYFUNCTION("""COMPUTED_VALUE"""),42234.99861111111)</f>
        <v>42234.99861</v>
      </c>
      <c r="B1897" s="1">
        <f>IFERROR(__xludf.DUMMYFUNCTION("""COMPUTED_VALUE"""),111.1619092)</f>
        <v>111.1619092</v>
      </c>
    </row>
    <row r="1898">
      <c r="A1898" s="3">
        <f>IFERROR(__xludf.DUMMYFUNCTION("""COMPUTED_VALUE"""),42235.99861111111)</f>
        <v>42235.99861</v>
      </c>
      <c r="B1898" s="1">
        <f>IFERROR(__xludf.DUMMYFUNCTION("""COMPUTED_VALUE"""),110.9422356)</f>
        <v>110.9422356</v>
      </c>
    </row>
    <row r="1899">
      <c r="A1899" s="3">
        <f>IFERROR(__xludf.DUMMYFUNCTION("""COMPUTED_VALUE"""),42236.99861111111)</f>
        <v>42236.99861</v>
      </c>
      <c r="B1899" s="1">
        <f>IFERROR(__xludf.DUMMYFUNCTION("""COMPUTED_VALUE"""),112.4809965)</f>
        <v>112.4809965</v>
      </c>
    </row>
    <row r="1900">
      <c r="A1900" s="3">
        <f>IFERROR(__xludf.DUMMYFUNCTION("""COMPUTED_VALUE"""),42237.99861111111)</f>
        <v>42237.99861</v>
      </c>
      <c r="B1900" s="1">
        <f>IFERROR(__xludf.DUMMYFUNCTION("""COMPUTED_VALUE"""),113.14485)</f>
        <v>113.14485</v>
      </c>
    </row>
    <row r="1901">
      <c r="A1901" s="3">
        <f>IFERROR(__xludf.DUMMYFUNCTION("""COMPUTED_VALUE"""),42240.99861111111)</f>
        <v>42240.99861</v>
      </c>
      <c r="B1901" s="1">
        <f>IFERROR(__xludf.DUMMYFUNCTION("""COMPUTED_VALUE"""),116.9931455)</f>
        <v>116.9931455</v>
      </c>
    </row>
    <row r="1902">
      <c r="A1902" s="3">
        <f>IFERROR(__xludf.DUMMYFUNCTION("""COMPUTED_VALUE"""),42241.99861111111)</f>
        <v>42241.99861</v>
      </c>
      <c r="B1902" s="1">
        <f>IFERROR(__xludf.DUMMYFUNCTION("""COMPUTED_VALUE"""),116.37264)</f>
        <v>116.37264</v>
      </c>
    </row>
    <row r="1903">
      <c r="A1903" s="3">
        <f>IFERROR(__xludf.DUMMYFUNCTION("""COMPUTED_VALUE"""),42242.99861111111)</f>
        <v>42242.99861</v>
      </c>
      <c r="B1903" s="1">
        <f>IFERROR(__xludf.DUMMYFUNCTION("""COMPUTED_VALUE"""),116.249108)</f>
        <v>116.249108</v>
      </c>
    </row>
    <row r="1904">
      <c r="A1904" s="3">
        <f>IFERROR(__xludf.DUMMYFUNCTION("""COMPUTED_VALUE"""),42243.99861111111)</f>
        <v>42243.99861</v>
      </c>
      <c r="B1904" s="1">
        <f>IFERROR(__xludf.DUMMYFUNCTION("""COMPUTED_VALUE"""),113.990844)</f>
        <v>113.990844</v>
      </c>
    </row>
    <row r="1905">
      <c r="A1905" s="3">
        <f>IFERROR(__xludf.DUMMYFUNCTION("""COMPUTED_VALUE"""),42244.99861111111)</f>
        <v>42244.99861</v>
      </c>
      <c r="B1905" s="1">
        <f>IFERROR(__xludf.DUMMYFUNCTION("""COMPUTED_VALUE"""),114.2011)</f>
        <v>114.2011</v>
      </c>
    </row>
    <row r="1906">
      <c r="A1906" s="3">
        <f>IFERROR(__xludf.DUMMYFUNCTION("""COMPUTED_VALUE"""),42247.99861111111)</f>
        <v>42247.99861</v>
      </c>
      <c r="B1906" s="1">
        <f>IFERROR(__xludf.DUMMYFUNCTION("""COMPUTED_VALUE"""),115.5924)</f>
        <v>115.5924</v>
      </c>
    </row>
    <row r="1907">
      <c r="A1907" s="3">
        <f>IFERROR(__xludf.DUMMYFUNCTION("""COMPUTED_VALUE"""),42248.99861111111)</f>
        <v>42248.99861</v>
      </c>
      <c r="B1907" s="1">
        <f>IFERROR(__xludf.DUMMYFUNCTION("""COMPUTED_VALUE"""),116.7998)</f>
        <v>116.7998</v>
      </c>
    </row>
    <row r="1908">
      <c r="A1908" s="3">
        <f>IFERROR(__xludf.DUMMYFUNCTION("""COMPUTED_VALUE"""),42249.99861111111)</f>
        <v>42249.99861</v>
      </c>
      <c r="B1908" s="1">
        <f>IFERROR(__xludf.DUMMYFUNCTION("""COMPUTED_VALUE"""),116.501195)</f>
        <v>116.501195</v>
      </c>
    </row>
    <row r="1909">
      <c r="A1909" s="3">
        <f>IFERROR(__xludf.DUMMYFUNCTION("""COMPUTED_VALUE"""),42250.99861111111)</f>
        <v>42250.99861</v>
      </c>
      <c r="B1909" s="1">
        <f>IFERROR(__xludf.DUMMYFUNCTION("""COMPUTED_VALUE"""),117.130507)</f>
        <v>117.130507</v>
      </c>
    </row>
    <row r="1910">
      <c r="A1910" s="3">
        <f>IFERROR(__xludf.DUMMYFUNCTION("""COMPUTED_VALUE"""),42251.99861111111)</f>
        <v>42251.99861</v>
      </c>
      <c r="B1910" s="1">
        <f>IFERROR(__xludf.DUMMYFUNCTION("""COMPUTED_VALUE"""),119.196)</f>
        <v>119.196</v>
      </c>
    </row>
    <row r="1911">
      <c r="A1911" s="3">
        <f>IFERROR(__xludf.DUMMYFUNCTION("""COMPUTED_VALUE"""),42254.99861111111)</f>
        <v>42254.99861</v>
      </c>
      <c r="B1911" s="1">
        <f>IFERROR(__xludf.DUMMYFUNCTION("""COMPUTED_VALUE"""),119.5317125)</f>
        <v>119.5317125</v>
      </c>
    </row>
    <row r="1912">
      <c r="A1912" s="3">
        <f>IFERROR(__xludf.DUMMYFUNCTION("""COMPUTED_VALUE"""),42255.99861111111)</f>
        <v>42255.99861</v>
      </c>
      <c r="B1912" s="1">
        <f>IFERROR(__xludf.DUMMYFUNCTION("""COMPUTED_VALUE"""),117.89616)</f>
        <v>117.89616</v>
      </c>
    </row>
    <row r="1913">
      <c r="A1913" s="3">
        <f>IFERROR(__xludf.DUMMYFUNCTION("""COMPUTED_VALUE"""),42256.99861111111)</f>
        <v>42256.99861</v>
      </c>
      <c r="B1913" s="1">
        <f>IFERROR(__xludf.DUMMYFUNCTION("""COMPUTED_VALUE"""),118.4631)</f>
        <v>118.4631</v>
      </c>
    </row>
    <row r="1914">
      <c r="A1914" s="3">
        <f>IFERROR(__xludf.DUMMYFUNCTION("""COMPUTED_VALUE"""),42257.99861111111)</f>
        <v>42257.99861</v>
      </c>
      <c r="B1914" s="1">
        <f>IFERROR(__xludf.DUMMYFUNCTION("""COMPUTED_VALUE"""),117.996762)</f>
        <v>117.996762</v>
      </c>
    </row>
    <row r="1915">
      <c r="A1915" s="3">
        <f>IFERROR(__xludf.DUMMYFUNCTION("""COMPUTED_VALUE"""),42258.99861111111)</f>
        <v>42258.99861</v>
      </c>
      <c r="B1915" s="1">
        <f>IFERROR(__xludf.DUMMYFUNCTION("""COMPUTED_VALUE"""),118.2983)</f>
        <v>118.2983</v>
      </c>
    </row>
    <row r="1916">
      <c r="A1916" s="3">
        <f>IFERROR(__xludf.DUMMYFUNCTION("""COMPUTED_VALUE"""),42261.99861111111)</f>
        <v>42261.99861</v>
      </c>
      <c r="B1916" s="1">
        <f>IFERROR(__xludf.DUMMYFUNCTION("""COMPUTED_VALUE"""),118.870308)</f>
        <v>118.870308</v>
      </c>
    </row>
    <row r="1917">
      <c r="A1917" s="3">
        <f>IFERROR(__xludf.DUMMYFUNCTION("""COMPUTED_VALUE"""),42262.99861111111)</f>
        <v>42262.99861</v>
      </c>
      <c r="B1917" s="1">
        <f>IFERROR(__xludf.DUMMYFUNCTION("""COMPUTED_VALUE"""),119.52)</f>
        <v>119.52</v>
      </c>
    </row>
    <row r="1918">
      <c r="A1918" s="3">
        <f>IFERROR(__xludf.DUMMYFUNCTION("""COMPUTED_VALUE"""),42263.99861111111)</f>
        <v>42263.99861</v>
      </c>
      <c r="B1918" s="1">
        <f>IFERROR(__xludf.DUMMYFUNCTION("""COMPUTED_VALUE"""),119.18533)</f>
        <v>119.18533</v>
      </c>
    </row>
    <row r="1919">
      <c r="A1919" s="3">
        <f>IFERROR(__xludf.DUMMYFUNCTION("""COMPUTED_VALUE"""),42264.99861111111)</f>
        <v>42264.99861</v>
      </c>
      <c r="B1919" s="1">
        <f>IFERROR(__xludf.DUMMYFUNCTION("""COMPUTED_VALUE"""),118.49425)</f>
        <v>118.49425</v>
      </c>
    </row>
    <row r="1920">
      <c r="A1920" s="3">
        <f>IFERROR(__xludf.DUMMYFUNCTION("""COMPUTED_VALUE"""),42265.99861111111)</f>
        <v>42265.99861</v>
      </c>
      <c r="B1920" s="1">
        <f>IFERROR(__xludf.DUMMYFUNCTION("""COMPUTED_VALUE"""),119.97699)</f>
        <v>119.97699</v>
      </c>
    </row>
    <row r="1921">
      <c r="A1921" s="3">
        <f>IFERROR(__xludf.DUMMYFUNCTION("""COMPUTED_VALUE"""),42268.99861111111)</f>
        <v>42268.99861</v>
      </c>
      <c r="B1921" s="1">
        <f>IFERROR(__xludf.DUMMYFUNCTION("""COMPUTED_VALUE"""),120.060484)</f>
        <v>120.060484</v>
      </c>
    </row>
    <row r="1922">
      <c r="A1922" s="3">
        <f>IFERROR(__xludf.DUMMYFUNCTION("""COMPUTED_VALUE"""),42269.99861111111)</f>
        <v>42269.99861</v>
      </c>
      <c r="B1922" s="1">
        <f>IFERROR(__xludf.DUMMYFUNCTION("""COMPUTED_VALUE"""),121.5252675)</f>
        <v>121.5252675</v>
      </c>
    </row>
    <row r="1923">
      <c r="A1923" s="3">
        <f>IFERROR(__xludf.DUMMYFUNCTION("""COMPUTED_VALUE"""),42270.99861111111)</f>
        <v>42270.99861</v>
      </c>
      <c r="B1923" s="1">
        <f>IFERROR(__xludf.DUMMYFUNCTION("""COMPUTED_VALUE"""),121.791624)</f>
        <v>121.791624</v>
      </c>
    </row>
    <row r="1924">
      <c r="A1924" s="3">
        <f>IFERROR(__xludf.DUMMYFUNCTION("""COMPUTED_VALUE"""),42271.99861111111)</f>
        <v>42271.99861</v>
      </c>
      <c r="B1924" s="1">
        <f>IFERROR(__xludf.DUMMYFUNCTION("""COMPUTED_VALUE"""),121.976649)</f>
        <v>121.976649</v>
      </c>
    </row>
    <row r="1925">
      <c r="A1925" s="3">
        <f>IFERROR(__xludf.DUMMYFUNCTION("""COMPUTED_VALUE"""),42272.99861111111)</f>
        <v>42272.99861</v>
      </c>
      <c r="B1925" s="1">
        <f>IFERROR(__xludf.DUMMYFUNCTION("""COMPUTED_VALUE"""),121.17493)</f>
        <v>121.17493</v>
      </c>
    </row>
    <row r="1926">
      <c r="A1926" s="3">
        <f>IFERROR(__xludf.DUMMYFUNCTION("""COMPUTED_VALUE"""),42275.99861111111)</f>
        <v>42275.99861</v>
      </c>
      <c r="B1926" s="1">
        <f>IFERROR(__xludf.DUMMYFUNCTION("""COMPUTED_VALUE"""),122.6082528)</f>
        <v>122.6082528</v>
      </c>
    </row>
    <row r="1927">
      <c r="A1927" s="3">
        <f>IFERROR(__xludf.DUMMYFUNCTION("""COMPUTED_VALUE"""),42276.99861111111)</f>
        <v>42276.99861</v>
      </c>
      <c r="B1927" s="1">
        <f>IFERROR(__xludf.DUMMYFUNCTION("""COMPUTED_VALUE"""),122.440008)</f>
        <v>122.440008</v>
      </c>
    </row>
    <row r="1928">
      <c r="A1928" s="3">
        <f>IFERROR(__xludf.DUMMYFUNCTION("""COMPUTED_VALUE"""),42277.99861111111)</f>
        <v>42277.99861</v>
      </c>
      <c r="B1928" s="1">
        <f>IFERROR(__xludf.DUMMYFUNCTION("""COMPUTED_VALUE"""),121.3869632)</f>
        <v>121.3869632</v>
      </c>
    </row>
    <row r="1929">
      <c r="A1929" s="3">
        <f>IFERROR(__xludf.DUMMYFUNCTION("""COMPUTED_VALUE"""),42278.99861111111)</f>
        <v>42278.99861</v>
      </c>
      <c r="B1929" s="1">
        <f>IFERROR(__xludf.DUMMYFUNCTION("""COMPUTED_VALUE"""),122.376492)</f>
        <v>122.376492</v>
      </c>
    </row>
    <row r="1930">
      <c r="A1930" s="3">
        <f>IFERROR(__xludf.DUMMYFUNCTION("""COMPUTED_VALUE"""),42279.99861111111)</f>
        <v>42279.99861</v>
      </c>
      <c r="B1930" s="1">
        <f>IFERROR(__xludf.DUMMYFUNCTION("""COMPUTED_VALUE"""),121.8057)</f>
        <v>121.8057</v>
      </c>
    </row>
    <row r="1931">
      <c r="A1931" s="3">
        <f>IFERROR(__xludf.DUMMYFUNCTION("""COMPUTED_VALUE"""),42282.99861111111)</f>
        <v>42282.99861</v>
      </c>
      <c r="B1931" s="1">
        <f>IFERROR(__xludf.DUMMYFUNCTION("""COMPUTED_VALUE"""),119.7939)</f>
        <v>119.7939</v>
      </c>
    </row>
    <row r="1932">
      <c r="A1932" s="3">
        <f>IFERROR(__xludf.DUMMYFUNCTION("""COMPUTED_VALUE"""),42283.99861111111)</f>
        <v>42283.99861</v>
      </c>
      <c r="B1932" s="1">
        <f>IFERROR(__xludf.DUMMYFUNCTION("""COMPUTED_VALUE"""),116.9792)</f>
        <v>116.9792</v>
      </c>
    </row>
    <row r="1933">
      <c r="A1933" s="3">
        <f>IFERROR(__xludf.DUMMYFUNCTION("""COMPUTED_VALUE"""),42284.99861111111)</f>
        <v>42284.99861</v>
      </c>
      <c r="B1933" s="1">
        <f>IFERROR(__xludf.DUMMYFUNCTION("""COMPUTED_VALUE"""),115.6341)</f>
        <v>115.6341</v>
      </c>
    </row>
    <row r="1934">
      <c r="A1934" s="3">
        <f>IFERROR(__xludf.DUMMYFUNCTION("""COMPUTED_VALUE"""),42285.99861111111)</f>
        <v>42285.99861</v>
      </c>
      <c r="B1934" s="1">
        <f>IFERROR(__xludf.DUMMYFUNCTION("""COMPUTED_VALUE"""),111.8394)</f>
        <v>111.8394</v>
      </c>
    </row>
    <row r="1935">
      <c r="A1935" s="3">
        <f>IFERROR(__xludf.DUMMYFUNCTION("""COMPUTED_VALUE"""),42286.99861111111)</f>
        <v>42286.99861</v>
      </c>
      <c r="B1935" s="1">
        <f>IFERROR(__xludf.DUMMYFUNCTION("""COMPUTED_VALUE"""),110.8224)</f>
        <v>110.8224</v>
      </c>
    </row>
    <row r="1936">
      <c r="A1936" s="3">
        <f>IFERROR(__xludf.DUMMYFUNCTION("""COMPUTED_VALUE"""),42289.99861111111)</f>
        <v>42289.99861</v>
      </c>
      <c r="B1936" s="1">
        <f>IFERROR(__xludf.DUMMYFUNCTION("""COMPUTED_VALUE"""),112.478411)</f>
        <v>112.478411</v>
      </c>
    </row>
    <row r="1937">
      <c r="A1937" s="3">
        <f>IFERROR(__xludf.DUMMYFUNCTION("""COMPUTED_VALUE"""),42290.99861111111)</f>
        <v>42290.99861</v>
      </c>
      <c r="B1937" s="1">
        <f>IFERROR(__xludf.DUMMYFUNCTION("""COMPUTED_VALUE"""),113.989785)</f>
        <v>113.989785</v>
      </c>
    </row>
    <row r="1938">
      <c r="A1938" s="3">
        <f>IFERROR(__xludf.DUMMYFUNCTION("""COMPUTED_VALUE"""),42291.99861111111)</f>
        <v>42291.99861</v>
      </c>
      <c r="B1938" s="1">
        <f>IFERROR(__xludf.DUMMYFUNCTION("""COMPUTED_VALUE"""),111.56301)</f>
        <v>111.56301</v>
      </c>
    </row>
    <row r="1939">
      <c r="A1939" s="3">
        <f>IFERROR(__xludf.DUMMYFUNCTION("""COMPUTED_VALUE"""),42292.99861111111)</f>
        <v>42292.99861</v>
      </c>
      <c r="B1939" s="1">
        <f>IFERROR(__xludf.DUMMYFUNCTION("""COMPUTED_VALUE"""),112.54392)</f>
        <v>112.54392</v>
      </c>
    </row>
    <row r="1940">
      <c r="A1940" s="3">
        <f>IFERROR(__xludf.DUMMYFUNCTION("""COMPUTED_VALUE"""),42293.99861111111)</f>
        <v>42293.99861</v>
      </c>
      <c r="B1940" s="1">
        <f>IFERROR(__xludf.DUMMYFUNCTION("""COMPUTED_VALUE"""),112.78575)</f>
        <v>112.78575</v>
      </c>
    </row>
    <row r="1941">
      <c r="A1941" s="3">
        <f>IFERROR(__xludf.DUMMYFUNCTION("""COMPUTED_VALUE"""),42296.99861111111)</f>
        <v>42296.99861</v>
      </c>
      <c r="B1941" s="1">
        <f>IFERROR(__xludf.DUMMYFUNCTION("""COMPUTED_VALUE"""),114.205455)</f>
        <v>114.205455</v>
      </c>
    </row>
    <row r="1942">
      <c r="A1942" s="3">
        <f>IFERROR(__xludf.DUMMYFUNCTION("""COMPUTED_VALUE"""),42297.99861111111)</f>
        <v>42297.99861</v>
      </c>
      <c r="B1942" s="1">
        <f>IFERROR(__xludf.DUMMYFUNCTION("""COMPUTED_VALUE"""),114.67055)</f>
        <v>114.67055</v>
      </c>
    </row>
    <row r="1943">
      <c r="A1943" s="3">
        <f>IFERROR(__xludf.DUMMYFUNCTION("""COMPUTED_VALUE"""),42298.99861111111)</f>
        <v>42298.99861</v>
      </c>
      <c r="B1943" s="1">
        <f>IFERROR(__xludf.DUMMYFUNCTION("""COMPUTED_VALUE"""),114.258)</f>
        <v>114.258</v>
      </c>
    </row>
    <row r="1944">
      <c r="A1944" s="3">
        <f>IFERROR(__xludf.DUMMYFUNCTION("""COMPUTED_VALUE"""),42299.99861111111)</f>
        <v>42299.99861</v>
      </c>
      <c r="B1944" s="1">
        <f>IFERROR(__xludf.DUMMYFUNCTION("""COMPUTED_VALUE"""),111.4994506)</f>
        <v>111.4994506</v>
      </c>
    </row>
    <row r="1945">
      <c r="A1945" s="3">
        <f>IFERROR(__xludf.DUMMYFUNCTION("""COMPUTED_VALUE"""),42300.99861111111)</f>
        <v>42300.99861</v>
      </c>
      <c r="B1945" s="1">
        <f>IFERROR(__xludf.DUMMYFUNCTION("""COMPUTED_VALUE"""),111.2696)</f>
        <v>111.2696</v>
      </c>
    </row>
    <row r="1946">
      <c r="A1946" s="3">
        <f>IFERROR(__xludf.DUMMYFUNCTION("""COMPUTED_VALUE"""),42303.99861111111)</f>
        <v>42303.99861</v>
      </c>
      <c r="B1946" s="1">
        <f>IFERROR(__xludf.DUMMYFUNCTION("""COMPUTED_VALUE"""),112.511148)</f>
        <v>112.511148</v>
      </c>
    </row>
    <row r="1947">
      <c r="A1947" s="3">
        <f>IFERROR(__xludf.DUMMYFUNCTION("""COMPUTED_VALUE"""),42304.99861111111)</f>
        <v>42304.99861</v>
      </c>
      <c r="B1947" s="1">
        <f>IFERROR(__xludf.DUMMYFUNCTION("""COMPUTED_VALUE"""),113.285445)</f>
        <v>113.285445</v>
      </c>
    </row>
    <row r="1948">
      <c r="A1948" s="3">
        <f>IFERROR(__xludf.DUMMYFUNCTION("""COMPUTED_VALUE"""),42305.99861111111)</f>
        <v>42305.99861</v>
      </c>
      <c r="B1948" s="1">
        <f>IFERROR(__xludf.DUMMYFUNCTION("""COMPUTED_VALUE"""),112.5279858)</f>
        <v>112.5279858</v>
      </c>
    </row>
    <row r="1949">
      <c r="A1949" s="3">
        <f>IFERROR(__xludf.DUMMYFUNCTION("""COMPUTED_VALUE"""),42306.99861111111)</f>
        <v>42306.99861</v>
      </c>
      <c r="B1949" s="1">
        <f>IFERROR(__xludf.DUMMYFUNCTION("""COMPUTED_VALUE"""),112.400127)</f>
        <v>112.400127</v>
      </c>
    </row>
    <row r="1950">
      <c r="A1950" s="3">
        <f>IFERROR(__xludf.DUMMYFUNCTION("""COMPUTED_VALUE"""),42307.99861111111)</f>
        <v>42307.99861</v>
      </c>
      <c r="B1950" s="1">
        <f>IFERROR(__xludf.DUMMYFUNCTION("""COMPUTED_VALUE"""),112.9927)</f>
        <v>112.9927</v>
      </c>
    </row>
    <row r="1951">
      <c r="A1951" s="3">
        <f>IFERROR(__xludf.DUMMYFUNCTION("""COMPUTED_VALUE"""),42308.99861111111)</f>
        <v>42308.99861</v>
      </c>
      <c r="B1951" s="1">
        <f>IFERROR(__xludf.DUMMYFUNCTION("""COMPUTED_VALUE"""),114.344799)</f>
        <v>114.344799</v>
      </c>
    </row>
    <row r="1952">
      <c r="A1952" s="3">
        <f>IFERROR(__xludf.DUMMYFUNCTION("""COMPUTED_VALUE"""),42310.99861111111)</f>
        <v>42310.99861</v>
      </c>
      <c r="B1952" s="1">
        <f>IFERROR(__xludf.DUMMYFUNCTION("""COMPUTED_VALUE"""),112.4424)</f>
        <v>112.4424</v>
      </c>
    </row>
    <row r="1953">
      <c r="A1953" s="3">
        <f>IFERROR(__xludf.DUMMYFUNCTION("""COMPUTED_VALUE"""),42311.99861111111)</f>
        <v>42311.99861</v>
      </c>
      <c r="B1953" s="1">
        <f>IFERROR(__xludf.DUMMYFUNCTION("""COMPUTED_VALUE"""),110.6427)</f>
        <v>110.6427</v>
      </c>
    </row>
    <row r="1954">
      <c r="A1954" s="3">
        <f>IFERROR(__xludf.DUMMYFUNCTION("""COMPUTED_VALUE"""),42312.99861111111)</f>
        <v>42312.99861</v>
      </c>
      <c r="B1954" s="1">
        <f>IFERROR(__xludf.DUMMYFUNCTION("""COMPUTED_VALUE"""),110.7359955)</f>
        <v>110.7359955</v>
      </c>
    </row>
    <row r="1955">
      <c r="A1955" s="3">
        <f>IFERROR(__xludf.DUMMYFUNCTION("""COMPUTED_VALUE"""),42313.99861111111)</f>
        <v>42313.99861</v>
      </c>
      <c r="B1955" s="1">
        <f>IFERROR(__xludf.DUMMYFUNCTION("""COMPUTED_VALUE"""),111.1308675)</f>
        <v>111.1308675</v>
      </c>
    </row>
    <row r="1956">
      <c r="A1956" s="3">
        <f>IFERROR(__xludf.DUMMYFUNCTION("""COMPUTED_VALUE"""),42314.99861111111)</f>
        <v>42314.99861</v>
      </c>
      <c r="B1956" s="1">
        <f>IFERROR(__xludf.DUMMYFUNCTION("""COMPUTED_VALUE"""),110.5132)</f>
        <v>110.5132</v>
      </c>
    </row>
    <row r="1957">
      <c r="A1957" s="3">
        <f>IFERROR(__xludf.DUMMYFUNCTION("""COMPUTED_VALUE"""),42315.99861111111)</f>
        <v>42315.99861</v>
      </c>
      <c r="B1957" s="1">
        <f>IFERROR(__xludf.DUMMYFUNCTION("""COMPUTED_VALUE"""),111.3854504)</f>
        <v>111.3854504</v>
      </c>
    </row>
    <row r="1958">
      <c r="A1958" s="3">
        <f>IFERROR(__xludf.DUMMYFUNCTION("""COMPUTED_VALUE"""),42317.99861111111)</f>
        <v>42317.99861</v>
      </c>
      <c r="B1958" s="1">
        <f>IFERROR(__xludf.DUMMYFUNCTION("""COMPUTED_VALUE"""),110.8560735)</f>
        <v>110.8560735</v>
      </c>
    </row>
    <row r="1959">
      <c r="A1959" s="3">
        <f>IFERROR(__xludf.DUMMYFUNCTION("""COMPUTED_VALUE"""),42318.99861111111)</f>
        <v>42318.99861</v>
      </c>
      <c r="B1959" s="1">
        <f>IFERROR(__xludf.DUMMYFUNCTION("""COMPUTED_VALUE"""),110.146524)</f>
        <v>110.146524</v>
      </c>
    </row>
    <row r="1960">
      <c r="A1960" s="3">
        <f>IFERROR(__xludf.DUMMYFUNCTION("""COMPUTED_VALUE"""),42319.99861111111)</f>
        <v>42319.99861</v>
      </c>
      <c r="B1960" s="1">
        <f>IFERROR(__xludf.DUMMYFUNCTION("""COMPUTED_VALUE"""),110.1678875)</f>
        <v>110.1678875</v>
      </c>
    </row>
    <row r="1961">
      <c r="A1961" s="3">
        <f>IFERROR(__xludf.DUMMYFUNCTION("""COMPUTED_VALUE"""),42320.99861111111)</f>
        <v>42320.99861</v>
      </c>
      <c r="B1961" s="1">
        <f>IFERROR(__xludf.DUMMYFUNCTION("""COMPUTED_VALUE"""),111.031741)</f>
        <v>111.031741</v>
      </c>
    </row>
    <row r="1962">
      <c r="A1962" s="3">
        <f>IFERROR(__xludf.DUMMYFUNCTION("""COMPUTED_VALUE"""),42321.99861111111)</f>
        <v>42321.99861</v>
      </c>
      <c r="B1962" s="1">
        <f>IFERROR(__xludf.DUMMYFUNCTION("""COMPUTED_VALUE"""),112.00545)</f>
        <v>112.00545</v>
      </c>
    </row>
    <row r="1963">
      <c r="A1963" s="3">
        <f>IFERROR(__xludf.DUMMYFUNCTION("""COMPUTED_VALUE"""),42322.99861111111)</f>
        <v>42322.99861</v>
      </c>
      <c r="B1963" s="1">
        <f>IFERROR(__xludf.DUMMYFUNCTION("""COMPUTED_VALUE"""),111.0353555)</f>
        <v>111.0353555</v>
      </c>
    </row>
    <row r="1964">
      <c r="A1964" s="3">
        <f>IFERROR(__xludf.DUMMYFUNCTION("""COMPUTED_VALUE"""),42324.99861111111)</f>
        <v>42324.99861</v>
      </c>
      <c r="B1964" s="1">
        <f>IFERROR(__xludf.DUMMYFUNCTION("""COMPUTED_VALUE"""),111.192442)</f>
        <v>111.192442</v>
      </c>
    </row>
    <row r="1965">
      <c r="A1965" s="3">
        <f>IFERROR(__xludf.DUMMYFUNCTION("""COMPUTED_VALUE"""),42325.99861111111)</f>
        <v>42325.99861</v>
      </c>
      <c r="B1965" s="1">
        <f>IFERROR(__xludf.DUMMYFUNCTION("""COMPUTED_VALUE"""),111.130628)</f>
        <v>111.130628</v>
      </c>
    </row>
    <row r="1966">
      <c r="A1966" s="3">
        <f>IFERROR(__xludf.DUMMYFUNCTION("""COMPUTED_VALUE"""),42326.99861111111)</f>
        <v>42326.99861</v>
      </c>
      <c r="B1966" s="1">
        <f>IFERROR(__xludf.DUMMYFUNCTION("""COMPUTED_VALUE"""),110.9268995)</f>
        <v>110.9268995</v>
      </c>
    </row>
    <row r="1967">
      <c r="A1967" s="3">
        <f>IFERROR(__xludf.DUMMYFUNCTION("""COMPUTED_VALUE"""),42327.99861111111)</f>
        <v>42327.99861</v>
      </c>
      <c r="B1967" s="1">
        <f>IFERROR(__xludf.DUMMYFUNCTION("""COMPUTED_VALUE"""),111.0765975)</f>
        <v>111.0765975</v>
      </c>
    </row>
    <row r="1968">
      <c r="A1968" s="3">
        <f>IFERROR(__xludf.DUMMYFUNCTION("""COMPUTED_VALUE"""),42328.99861111111)</f>
        <v>42328.99861</v>
      </c>
      <c r="B1968" s="1">
        <f>IFERROR(__xludf.DUMMYFUNCTION("""COMPUTED_VALUE"""),110.2156)</f>
        <v>110.2156</v>
      </c>
    </row>
    <row r="1969">
      <c r="A1969" s="3">
        <f>IFERROR(__xludf.DUMMYFUNCTION("""COMPUTED_VALUE"""),42330.99861111111)</f>
        <v>42330.99861</v>
      </c>
      <c r="B1969" s="1">
        <f>IFERROR(__xludf.DUMMYFUNCTION("""COMPUTED_VALUE"""),111.8131564)</f>
        <v>111.8131564</v>
      </c>
    </row>
    <row r="1970">
      <c r="A1970" s="3">
        <f>IFERROR(__xludf.DUMMYFUNCTION("""COMPUTED_VALUE"""),42331.99861111111)</f>
        <v>42331.99861</v>
      </c>
      <c r="B1970" s="1">
        <f>IFERROR(__xludf.DUMMYFUNCTION("""COMPUTED_VALUE"""),111.145644)</f>
        <v>111.145644</v>
      </c>
    </row>
    <row r="1971">
      <c r="A1971" s="3">
        <f>IFERROR(__xludf.DUMMYFUNCTION("""COMPUTED_VALUE"""),42332.99861111111)</f>
        <v>42332.99861</v>
      </c>
      <c r="B1971" s="1">
        <f>IFERROR(__xludf.DUMMYFUNCTION("""COMPUTED_VALUE"""),111.162354)</f>
        <v>111.162354</v>
      </c>
    </row>
    <row r="1972">
      <c r="A1972" s="3">
        <f>IFERROR(__xludf.DUMMYFUNCTION("""COMPUTED_VALUE"""),42333.99861111111)</f>
        <v>42333.99861</v>
      </c>
      <c r="B1972" s="1">
        <f>IFERROR(__xludf.DUMMYFUNCTION("""COMPUTED_VALUE"""),110.7585)</f>
        <v>110.7585</v>
      </c>
    </row>
    <row r="1973">
      <c r="A1973" s="3">
        <f>IFERROR(__xludf.DUMMYFUNCTION("""COMPUTED_VALUE"""),42334.99861111111)</f>
        <v>42334.99861</v>
      </c>
      <c r="B1973" s="1">
        <f>IFERROR(__xludf.DUMMYFUNCTION("""COMPUTED_VALUE"""),111.94025)</f>
        <v>111.94025</v>
      </c>
    </row>
    <row r="1974">
      <c r="A1974" s="3">
        <f>IFERROR(__xludf.DUMMYFUNCTION("""COMPUTED_VALUE"""),42335.99861111111)</f>
        <v>42335.99861</v>
      </c>
      <c r="B1974" s="1">
        <f>IFERROR(__xludf.DUMMYFUNCTION("""COMPUTED_VALUE"""),111.01332)</f>
        <v>111.01332</v>
      </c>
    </row>
    <row r="1975">
      <c r="A1975" s="3">
        <f>IFERROR(__xludf.DUMMYFUNCTION("""COMPUTED_VALUE"""),42336.99861111111)</f>
        <v>42336.99861</v>
      </c>
      <c r="B1975" s="1">
        <f>IFERROR(__xludf.DUMMYFUNCTION("""COMPUTED_VALUE"""),113.8461214)</f>
        <v>113.8461214</v>
      </c>
    </row>
    <row r="1976">
      <c r="A1976" s="3">
        <f>IFERROR(__xludf.DUMMYFUNCTION("""COMPUTED_VALUE"""),42338.99861111111)</f>
        <v>42338.99861</v>
      </c>
      <c r="B1976" s="1">
        <f>IFERROR(__xludf.DUMMYFUNCTION("""COMPUTED_VALUE"""),112.59113)</f>
        <v>112.59113</v>
      </c>
    </row>
    <row r="1977">
      <c r="A1977" s="3">
        <f>IFERROR(__xludf.DUMMYFUNCTION("""COMPUTED_VALUE"""),42339.99861111111)</f>
        <v>42339.99861</v>
      </c>
      <c r="B1977" s="1">
        <f>IFERROR(__xludf.DUMMYFUNCTION("""COMPUTED_VALUE"""),112.422936)</f>
        <v>112.422936</v>
      </c>
    </row>
    <row r="1978">
      <c r="A1978" s="3">
        <f>IFERROR(__xludf.DUMMYFUNCTION("""COMPUTED_VALUE"""),42340.99861111111)</f>
        <v>42340.99861</v>
      </c>
      <c r="B1978" s="1">
        <f>IFERROR(__xludf.DUMMYFUNCTION("""COMPUTED_VALUE"""),112.0203331)</f>
        <v>112.0203331</v>
      </c>
    </row>
    <row r="1979">
      <c r="A1979" s="3">
        <f>IFERROR(__xludf.DUMMYFUNCTION("""COMPUTED_VALUE"""),42341.99861111111)</f>
        <v>42341.99861</v>
      </c>
      <c r="B1979" s="1">
        <f>IFERROR(__xludf.DUMMYFUNCTION("""COMPUTED_VALUE"""),111.649857)</f>
        <v>111.649857</v>
      </c>
    </row>
    <row r="1980">
      <c r="A1980" s="3">
        <f>IFERROR(__xludf.DUMMYFUNCTION("""COMPUTED_VALUE"""),42342.99861111111)</f>
        <v>42342.99861</v>
      </c>
      <c r="B1980" s="1">
        <f>IFERROR(__xludf.DUMMYFUNCTION("""COMPUTED_VALUE"""),111.71496)</f>
        <v>111.71496</v>
      </c>
    </row>
    <row r="1981">
      <c r="A1981" s="3">
        <f>IFERROR(__xludf.DUMMYFUNCTION("""COMPUTED_VALUE"""),42343.99861111111)</f>
        <v>42343.99861</v>
      </c>
      <c r="B1981" s="1">
        <f>IFERROR(__xludf.DUMMYFUNCTION("""COMPUTED_VALUE"""),112.4653292)</f>
        <v>112.4653292</v>
      </c>
    </row>
    <row r="1982">
      <c r="A1982" s="3">
        <f>IFERROR(__xludf.DUMMYFUNCTION("""COMPUTED_VALUE"""),42345.99861111111)</f>
        <v>42345.99861</v>
      </c>
      <c r="B1982" s="1">
        <f>IFERROR(__xludf.DUMMYFUNCTION("""COMPUTED_VALUE"""),112.477378)</f>
        <v>112.477378</v>
      </c>
    </row>
    <row r="1983">
      <c r="A1983" s="3">
        <f>IFERROR(__xludf.DUMMYFUNCTION("""COMPUTED_VALUE"""),42346.99861111111)</f>
        <v>42346.99861</v>
      </c>
      <c r="B1983" s="1">
        <f>IFERROR(__xludf.DUMMYFUNCTION("""COMPUTED_VALUE"""),113.7121755)</f>
        <v>113.7121755</v>
      </c>
    </row>
    <row r="1984">
      <c r="A1984" s="3">
        <f>IFERROR(__xludf.DUMMYFUNCTION("""COMPUTED_VALUE"""),42347.99861111111)</f>
        <v>42347.99861</v>
      </c>
      <c r="B1984" s="1">
        <f>IFERROR(__xludf.DUMMYFUNCTION("""COMPUTED_VALUE"""),114.377856)</f>
        <v>114.377856</v>
      </c>
    </row>
    <row r="1985">
      <c r="A1985" s="3">
        <f>IFERROR(__xludf.DUMMYFUNCTION("""COMPUTED_VALUE"""),42348.99861111111)</f>
        <v>42348.99861</v>
      </c>
      <c r="B1985" s="1">
        <f>IFERROR(__xludf.DUMMYFUNCTION("""COMPUTED_VALUE"""),114.382735)</f>
        <v>114.382735</v>
      </c>
    </row>
    <row r="1986">
      <c r="A1986" s="3">
        <f>IFERROR(__xludf.DUMMYFUNCTION("""COMPUTED_VALUE"""),42349.99861111111)</f>
        <v>42349.99861</v>
      </c>
      <c r="B1986" s="1">
        <f>IFERROR(__xludf.DUMMYFUNCTION("""COMPUTED_VALUE"""),116.8551)</f>
        <v>116.8551</v>
      </c>
    </row>
    <row r="1987">
      <c r="A1987" s="3">
        <f>IFERROR(__xludf.DUMMYFUNCTION("""COMPUTED_VALUE"""),42350.99861111111)</f>
        <v>42350.99861</v>
      </c>
      <c r="B1987" s="1">
        <f>IFERROR(__xludf.DUMMYFUNCTION("""COMPUTED_VALUE"""),117.4715458)</f>
        <v>117.4715458</v>
      </c>
    </row>
    <row r="1988">
      <c r="A1988" s="3">
        <f>IFERROR(__xludf.DUMMYFUNCTION("""COMPUTED_VALUE"""),42352.99861111111)</f>
        <v>42352.99861</v>
      </c>
      <c r="B1988" s="1">
        <f>IFERROR(__xludf.DUMMYFUNCTION("""COMPUTED_VALUE"""),115.61522)</f>
        <v>115.61522</v>
      </c>
    </row>
    <row r="1989">
      <c r="A1989" s="3">
        <f>IFERROR(__xludf.DUMMYFUNCTION("""COMPUTED_VALUE"""),42353.99861111111)</f>
        <v>42353.99861</v>
      </c>
      <c r="B1989" s="1">
        <f>IFERROR(__xludf.DUMMYFUNCTION("""COMPUTED_VALUE"""),114.801269)</f>
        <v>114.801269</v>
      </c>
    </row>
    <row r="1990">
      <c r="A1990" s="3">
        <f>IFERROR(__xludf.DUMMYFUNCTION("""COMPUTED_VALUE"""),42354.99861111111)</f>
        <v>42354.99861</v>
      </c>
      <c r="B1990" s="1">
        <f>IFERROR(__xludf.DUMMYFUNCTION("""COMPUTED_VALUE"""),112.361408)</f>
        <v>112.361408</v>
      </c>
    </row>
    <row r="1991">
      <c r="A1991" s="3">
        <f>IFERROR(__xludf.DUMMYFUNCTION("""COMPUTED_VALUE"""),42355.99861111111)</f>
        <v>42355.99861</v>
      </c>
      <c r="B1991" s="1">
        <f>IFERROR(__xludf.DUMMYFUNCTION("""COMPUTED_VALUE"""),114.48031)</f>
        <v>114.48031</v>
      </c>
    </row>
    <row r="1992">
      <c r="A1992" s="3">
        <f>IFERROR(__xludf.DUMMYFUNCTION("""COMPUTED_VALUE"""),42356.99861111111)</f>
        <v>42356.99861</v>
      </c>
      <c r="B1992" s="1">
        <f>IFERROR(__xludf.DUMMYFUNCTION("""COMPUTED_VALUE"""),114.38625)</f>
        <v>114.38625</v>
      </c>
    </row>
    <row r="1993">
      <c r="A1993" s="3">
        <f>IFERROR(__xludf.DUMMYFUNCTION("""COMPUTED_VALUE"""),42357.99861111111)</f>
        <v>42357.99861</v>
      </c>
      <c r="B1993" s="1">
        <f>IFERROR(__xludf.DUMMYFUNCTION("""COMPUTED_VALUE"""),115.06275)</f>
        <v>115.06275</v>
      </c>
    </row>
    <row r="1994">
      <c r="A1994" s="3">
        <f>IFERROR(__xludf.DUMMYFUNCTION("""COMPUTED_VALUE"""),42359.99861111111)</f>
        <v>42359.99861</v>
      </c>
      <c r="B1994" s="1">
        <f>IFERROR(__xludf.DUMMYFUNCTION("""COMPUTED_VALUE"""),113.510368)</f>
        <v>113.510368</v>
      </c>
    </row>
    <row r="1995">
      <c r="A1995" s="3">
        <f>IFERROR(__xludf.DUMMYFUNCTION("""COMPUTED_VALUE"""),42360.99861111111)</f>
        <v>42360.99861</v>
      </c>
      <c r="B1995" s="1">
        <f>IFERROR(__xludf.DUMMYFUNCTION("""COMPUTED_VALUE"""),112.7172515)</f>
        <v>112.7172515</v>
      </c>
    </row>
    <row r="1996">
      <c r="A1996" s="3">
        <f>IFERROR(__xludf.DUMMYFUNCTION("""COMPUTED_VALUE"""),42361.99861111111)</f>
        <v>42361.99861</v>
      </c>
      <c r="B1996" s="1">
        <f>IFERROR(__xludf.DUMMYFUNCTION("""COMPUTED_VALUE"""),112.6474125)</f>
        <v>112.6474125</v>
      </c>
    </row>
    <row r="1997">
      <c r="A1997" s="3">
        <f>IFERROR(__xludf.DUMMYFUNCTION("""COMPUTED_VALUE"""),42362.99861111111)</f>
        <v>42362.99861</v>
      </c>
      <c r="B1997" s="1">
        <f>IFERROR(__xludf.DUMMYFUNCTION("""COMPUTED_VALUE"""),113.385244)</f>
        <v>113.385244</v>
      </c>
    </row>
    <row r="1998">
      <c r="A1998" s="3">
        <f>IFERROR(__xludf.DUMMYFUNCTION("""COMPUTED_VALUE"""),42363.99861111111)</f>
        <v>42363.99861</v>
      </c>
      <c r="B1998" s="1">
        <f>IFERROR(__xludf.DUMMYFUNCTION("""COMPUTED_VALUE"""),113.129)</f>
        <v>113.129</v>
      </c>
    </row>
    <row r="1999">
      <c r="A1999" s="3">
        <f>IFERROR(__xludf.DUMMYFUNCTION("""COMPUTED_VALUE"""),42364.99861111111)</f>
        <v>42364.99861</v>
      </c>
      <c r="B1999" s="1">
        <f>IFERROR(__xludf.DUMMYFUNCTION("""COMPUTED_VALUE"""),113.38796)</f>
        <v>113.38796</v>
      </c>
    </row>
    <row r="2000">
      <c r="A2000" s="3">
        <f>IFERROR(__xludf.DUMMYFUNCTION("""COMPUTED_VALUE"""),42366.99861111111)</f>
        <v>42366.99861</v>
      </c>
      <c r="B2000" s="1">
        <f>IFERROR(__xludf.DUMMYFUNCTION("""COMPUTED_VALUE"""),112.14345)</f>
        <v>112.14345</v>
      </c>
    </row>
    <row r="2001">
      <c r="A2001" s="3">
        <f>IFERROR(__xludf.DUMMYFUNCTION("""COMPUTED_VALUE"""),42367.99861111111)</f>
        <v>42367.99861</v>
      </c>
      <c r="B2001" s="1">
        <f>IFERROR(__xludf.DUMMYFUNCTION("""COMPUTED_VALUE"""),113.42378)</f>
        <v>113.42378</v>
      </c>
    </row>
    <row r="2002">
      <c r="A2002" s="3">
        <f>IFERROR(__xludf.DUMMYFUNCTION("""COMPUTED_VALUE"""),42368.99861111111)</f>
        <v>42368.99861</v>
      </c>
      <c r="B2002" s="1">
        <f>IFERROR(__xludf.DUMMYFUNCTION("""COMPUTED_VALUE"""),114.9135)</f>
        <v>114.9135</v>
      </c>
    </row>
    <row r="2003">
      <c r="A2003" s="3">
        <f>IFERROR(__xludf.DUMMYFUNCTION("""COMPUTED_VALUE"""),42369.99861111111)</f>
        <v>42369.99861</v>
      </c>
      <c r="B2003" s="1">
        <f>IFERROR(__xludf.DUMMYFUNCTION("""COMPUTED_VALUE"""),114.47025)</f>
        <v>114.47025</v>
      </c>
    </row>
    <row r="2004">
      <c r="A2004" s="3">
        <f>IFERROR(__xludf.DUMMYFUNCTION("""COMPUTED_VALUE"""),42370.99861111111)</f>
        <v>42370.99861</v>
      </c>
      <c r="B2004" s="1">
        <f>IFERROR(__xludf.DUMMYFUNCTION("""COMPUTED_VALUE"""),114.47025)</f>
        <v>114.47025</v>
      </c>
    </row>
    <row r="2005">
      <c r="A2005" s="3">
        <f>IFERROR(__xludf.DUMMYFUNCTION("""COMPUTED_VALUE"""),42371.99861111111)</f>
        <v>42371.99861</v>
      </c>
      <c r="B2005" s="1">
        <f>IFERROR(__xludf.DUMMYFUNCTION("""COMPUTED_VALUE"""),114.7789665)</f>
        <v>114.7789665</v>
      </c>
    </row>
    <row r="2006">
      <c r="A2006" s="3">
        <f>IFERROR(__xludf.DUMMYFUNCTION("""COMPUTED_VALUE"""),42372.99861111111)</f>
        <v>42372.99861</v>
      </c>
      <c r="B2006" s="1">
        <f>IFERROR(__xludf.DUMMYFUNCTION("""COMPUTED_VALUE"""),114.7789665)</f>
        <v>114.7789665</v>
      </c>
    </row>
    <row r="2007">
      <c r="A2007" s="3">
        <f>IFERROR(__xludf.DUMMYFUNCTION("""COMPUTED_VALUE"""),42373.99861111111)</f>
        <v>42373.99861</v>
      </c>
      <c r="B2007" s="1">
        <f>IFERROR(__xludf.DUMMYFUNCTION("""COMPUTED_VALUE"""),116.82009)</f>
        <v>116.82009</v>
      </c>
    </row>
    <row r="2008">
      <c r="A2008" s="3">
        <f>IFERROR(__xludf.DUMMYFUNCTION("""COMPUTED_VALUE"""),42374.99861111111)</f>
        <v>42374.99861</v>
      </c>
      <c r="B2008" s="1">
        <f>IFERROR(__xludf.DUMMYFUNCTION("""COMPUTED_VALUE"""),115.8805505)</f>
        <v>115.8805505</v>
      </c>
    </row>
    <row r="2009">
      <c r="A2009" s="3">
        <f>IFERROR(__xludf.DUMMYFUNCTION("""COMPUTED_VALUE"""),42375.99861111111)</f>
        <v>42375.99861</v>
      </c>
      <c r="B2009" s="1">
        <f>IFERROR(__xludf.DUMMYFUNCTION("""COMPUTED_VALUE"""),117.2121975)</f>
        <v>117.2121975</v>
      </c>
    </row>
    <row r="2010">
      <c r="A2010" s="3">
        <f>IFERROR(__xludf.DUMMYFUNCTION("""COMPUTED_VALUE"""),42376.99861111111)</f>
        <v>42376.99861</v>
      </c>
      <c r="B2010" s="1">
        <f>IFERROR(__xludf.DUMMYFUNCTION("""COMPUTED_VALUE"""),118.487187)</f>
        <v>118.487187</v>
      </c>
    </row>
    <row r="2011">
      <c r="A2011" s="3">
        <f>IFERROR(__xludf.DUMMYFUNCTION("""COMPUTED_VALUE"""),42377.99861111111)</f>
        <v>42377.99861</v>
      </c>
      <c r="B2011" s="1">
        <f>IFERROR(__xludf.DUMMYFUNCTION("""COMPUTED_VALUE"""),118.4817)</f>
        <v>118.4817</v>
      </c>
    </row>
    <row r="2012">
      <c r="A2012" s="3">
        <f>IFERROR(__xludf.DUMMYFUNCTION("""COMPUTED_VALUE"""),42378.99861111111)</f>
        <v>42378.99861</v>
      </c>
      <c r="B2012" s="1">
        <f>IFERROR(__xludf.DUMMYFUNCTION("""COMPUTED_VALUE"""),119.9718057)</f>
        <v>119.9718057</v>
      </c>
    </row>
    <row r="2013">
      <c r="A2013" s="3">
        <f>IFERROR(__xludf.DUMMYFUNCTION("""COMPUTED_VALUE"""),42379.99861111111)</f>
        <v>42379.99861</v>
      </c>
      <c r="B2013" s="1">
        <f>IFERROR(__xludf.DUMMYFUNCTION("""COMPUTED_VALUE"""),119.9437876)</f>
        <v>119.9437876</v>
      </c>
    </row>
    <row r="2014">
      <c r="A2014" s="3">
        <f>IFERROR(__xludf.DUMMYFUNCTION("""COMPUTED_VALUE"""),42380.99861111111)</f>
        <v>42380.99861</v>
      </c>
      <c r="B2014" s="1">
        <f>IFERROR(__xludf.DUMMYFUNCTION("""COMPUTED_VALUE"""),117.3190315)</f>
        <v>117.3190315</v>
      </c>
    </row>
    <row r="2015">
      <c r="A2015" s="3">
        <f>IFERROR(__xludf.DUMMYFUNCTION("""COMPUTED_VALUE"""),42381.99861111111)</f>
        <v>42381.99861</v>
      </c>
      <c r="B2015" s="1">
        <f>IFERROR(__xludf.DUMMYFUNCTION("""COMPUTED_VALUE"""),117.050575)</f>
        <v>117.050575</v>
      </c>
    </row>
    <row r="2016">
      <c r="A2016" s="3">
        <f>IFERROR(__xludf.DUMMYFUNCTION("""COMPUTED_VALUE"""),42382.99861111111)</f>
        <v>42382.99861</v>
      </c>
      <c r="B2016" s="1">
        <f>IFERROR(__xludf.DUMMYFUNCTION("""COMPUTED_VALUE"""),117.9044356)</f>
        <v>117.9044356</v>
      </c>
    </row>
    <row r="2017">
      <c r="A2017" s="3">
        <f>IFERROR(__xludf.DUMMYFUNCTION("""COMPUTED_VALUE"""),42383.99861111111)</f>
        <v>42383.99861</v>
      </c>
      <c r="B2017" s="1">
        <f>IFERROR(__xludf.DUMMYFUNCTION("""COMPUTED_VALUE"""),116.9581175)</f>
        <v>116.9581175</v>
      </c>
    </row>
    <row r="2018">
      <c r="A2018" s="3">
        <f>IFERROR(__xludf.DUMMYFUNCTION("""COMPUTED_VALUE"""),42384.99861111111)</f>
        <v>42384.99861</v>
      </c>
      <c r="B2018" s="1">
        <f>IFERROR(__xludf.DUMMYFUNCTION("""COMPUTED_VALUE"""),119.46915)</f>
        <v>119.46915</v>
      </c>
    </row>
    <row r="2019">
      <c r="A2019" s="3">
        <f>IFERROR(__xludf.DUMMYFUNCTION("""COMPUTED_VALUE"""),42385.99861111111)</f>
        <v>42385.99861</v>
      </c>
      <c r="B2019" s="1">
        <f>IFERROR(__xludf.DUMMYFUNCTION("""COMPUTED_VALUE"""),119.5803855)</f>
        <v>119.5803855</v>
      </c>
    </row>
    <row r="2020">
      <c r="A2020" s="3">
        <f>IFERROR(__xludf.DUMMYFUNCTION("""COMPUTED_VALUE"""),42386.99861111111)</f>
        <v>42386.99861</v>
      </c>
      <c r="B2020" s="1">
        <f>IFERROR(__xludf.DUMMYFUNCTION("""COMPUTED_VALUE"""),119.4405254)</f>
        <v>119.4405254</v>
      </c>
    </row>
    <row r="2021">
      <c r="A2021" s="3">
        <f>IFERROR(__xludf.DUMMYFUNCTION("""COMPUTED_VALUE"""),42387.99861111111)</f>
        <v>42387.99861</v>
      </c>
      <c r="B2021" s="1">
        <f>IFERROR(__xludf.DUMMYFUNCTION("""COMPUTED_VALUE"""),118.59644)</f>
        <v>118.59644</v>
      </c>
    </row>
    <row r="2022">
      <c r="A2022" s="3">
        <f>IFERROR(__xludf.DUMMYFUNCTION("""COMPUTED_VALUE"""),42388.99861111111)</f>
        <v>42388.99861</v>
      </c>
      <c r="B2022" s="1">
        <f>IFERROR(__xludf.DUMMYFUNCTION("""COMPUTED_VALUE"""),117.625533)</f>
        <v>117.625533</v>
      </c>
    </row>
    <row r="2023">
      <c r="A2023" s="3">
        <f>IFERROR(__xludf.DUMMYFUNCTION("""COMPUTED_VALUE"""),42389.99861111111)</f>
        <v>42389.99861</v>
      </c>
      <c r="B2023" s="1">
        <f>IFERROR(__xludf.DUMMYFUNCTION("""COMPUTED_VALUE"""),118.024025)</f>
        <v>118.024025</v>
      </c>
    </row>
    <row r="2024">
      <c r="A2024" s="3">
        <f>IFERROR(__xludf.DUMMYFUNCTION("""COMPUTED_VALUE"""),42390.99861111111)</f>
        <v>42390.99861</v>
      </c>
      <c r="B2024" s="1">
        <f>IFERROR(__xludf.DUMMYFUNCTION("""COMPUTED_VALUE"""),116.7693814)</f>
        <v>116.7693814</v>
      </c>
    </row>
    <row r="2025">
      <c r="A2025" s="3">
        <f>IFERROR(__xludf.DUMMYFUNCTION("""COMPUTED_VALUE"""),42391.99861111111)</f>
        <v>42391.99861</v>
      </c>
      <c r="B2025" s="1">
        <f>IFERROR(__xludf.DUMMYFUNCTION("""COMPUTED_VALUE"""),115.74974)</f>
        <v>115.74974</v>
      </c>
    </row>
    <row r="2026">
      <c r="A2026" s="3">
        <f>IFERROR(__xludf.DUMMYFUNCTION("""COMPUTED_VALUE"""),42392.99861111111)</f>
        <v>42392.99861</v>
      </c>
      <c r="B2026" s="1">
        <f>IFERROR(__xludf.DUMMYFUNCTION("""COMPUTED_VALUE"""),116.6204522)</f>
        <v>116.6204522</v>
      </c>
    </row>
    <row r="2027">
      <c r="A2027" s="3">
        <f>IFERROR(__xludf.DUMMYFUNCTION("""COMPUTED_VALUE"""),42393.99861111111)</f>
        <v>42393.99861</v>
      </c>
      <c r="B2027" s="1">
        <f>IFERROR(__xludf.DUMMYFUNCTION("""COMPUTED_VALUE"""),116.7589563)</f>
        <v>116.7589563</v>
      </c>
    </row>
    <row r="2028">
      <c r="A2028" s="3">
        <f>IFERROR(__xludf.DUMMYFUNCTION("""COMPUTED_VALUE"""),42394.99861111111)</f>
        <v>42394.99861</v>
      </c>
      <c r="B2028" s="1">
        <f>IFERROR(__xludf.DUMMYFUNCTION("""COMPUTED_VALUE"""),116.964459)</f>
        <v>116.964459</v>
      </c>
    </row>
    <row r="2029">
      <c r="A2029" s="3">
        <f>IFERROR(__xludf.DUMMYFUNCTION("""COMPUTED_VALUE"""),42395.99861111111)</f>
        <v>42395.99861</v>
      </c>
      <c r="B2029" s="1">
        <f>IFERROR(__xludf.DUMMYFUNCTION("""COMPUTED_VALUE"""),117.219376)</f>
        <v>117.219376</v>
      </c>
    </row>
    <row r="2030">
      <c r="A2030" s="3">
        <f>IFERROR(__xludf.DUMMYFUNCTION("""COMPUTED_VALUE"""),42396.99861111111)</f>
        <v>42396.99861</v>
      </c>
      <c r="B2030" s="1">
        <f>IFERROR(__xludf.DUMMYFUNCTION("""COMPUTED_VALUE"""),116.4640364)</f>
        <v>116.4640364</v>
      </c>
    </row>
    <row r="2031">
      <c r="A2031" s="3">
        <f>IFERROR(__xludf.DUMMYFUNCTION("""COMPUTED_VALUE"""),42397.99861111111)</f>
        <v>42397.99861</v>
      </c>
      <c r="B2031" s="1">
        <f>IFERROR(__xludf.DUMMYFUNCTION("""COMPUTED_VALUE"""),115.76365)</f>
        <v>115.76365</v>
      </c>
    </row>
    <row r="2032">
      <c r="A2032" s="3">
        <f>IFERROR(__xludf.DUMMYFUNCTION("""COMPUTED_VALUE"""),42398.99861111111)</f>
        <v>42398.99861</v>
      </c>
      <c r="B2032" s="1">
        <f>IFERROR(__xludf.DUMMYFUNCTION("""COMPUTED_VALUE"""),112.9555)</f>
        <v>112.9555</v>
      </c>
    </row>
    <row r="2033">
      <c r="A2033" s="3">
        <f>IFERROR(__xludf.DUMMYFUNCTION("""COMPUTED_VALUE"""),42399.99861111111)</f>
        <v>42399.99861</v>
      </c>
      <c r="B2033" s="1">
        <f>IFERROR(__xludf.DUMMYFUNCTION("""COMPUTED_VALUE"""),116.33797)</f>
        <v>116.33797</v>
      </c>
    </row>
    <row r="2034">
      <c r="A2034" s="3">
        <f>IFERROR(__xludf.DUMMYFUNCTION("""COMPUTED_VALUE"""),42400.99861111111)</f>
        <v>42400.99861</v>
      </c>
      <c r="B2034" s="1">
        <f>IFERROR(__xludf.DUMMYFUNCTION("""COMPUTED_VALUE"""),116.2200088)</f>
        <v>116.2200088</v>
      </c>
    </row>
    <row r="2035">
      <c r="A2035" s="3">
        <f>IFERROR(__xludf.DUMMYFUNCTION("""COMPUTED_VALUE"""),42401.99861111111)</f>
        <v>42401.99861</v>
      </c>
      <c r="B2035" s="1">
        <f>IFERROR(__xludf.DUMMYFUNCTION("""COMPUTED_VALUE"""),112.7201)</f>
        <v>112.7201</v>
      </c>
    </row>
    <row r="2036">
      <c r="A2036" s="3">
        <f>IFERROR(__xludf.DUMMYFUNCTION("""COMPUTED_VALUE"""),42402.99861111111)</f>
        <v>42402.99861</v>
      </c>
      <c r="B2036" s="1">
        <f>IFERROR(__xludf.DUMMYFUNCTION("""COMPUTED_VALUE"""),114.5082)</f>
        <v>114.5082</v>
      </c>
    </row>
    <row r="2037">
      <c r="A2037" s="3">
        <f>IFERROR(__xludf.DUMMYFUNCTION("""COMPUTED_VALUE"""),42403.99861111111)</f>
        <v>42403.99861</v>
      </c>
      <c r="B2037" s="1">
        <f>IFERROR(__xludf.DUMMYFUNCTION("""COMPUTED_VALUE"""),114.90372)</f>
        <v>114.90372</v>
      </c>
    </row>
    <row r="2038">
      <c r="A2038" s="3">
        <f>IFERROR(__xludf.DUMMYFUNCTION("""COMPUTED_VALUE"""),42404.99861111111)</f>
        <v>42404.99861</v>
      </c>
      <c r="B2038" s="1">
        <f>IFERROR(__xludf.DUMMYFUNCTION("""COMPUTED_VALUE"""),116.4669944)</f>
        <v>116.4669944</v>
      </c>
    </row>
    <row r="2039">
      <c r="A2039" s="3">
        <f>IFERROR(__xludf.DUMMYFUNCTION("""COMPUTED_VALUE"""),42405.99861111111)</f>
        <v>42405.99861</v>
      </c>
      <c r="B2039" s="1">
        <f>IFERROR(__xludf.DUMMYFUNCTION("""COMPUTED_VALUE"""),116.2876)</f>
        <v>116.2876</v>
      </c>
    </row>
    <row r="2040">
      <c r="A2040" s="3">
        <f>IFERROR(__xludf.DUMMYFUNCTION("""COMPUTED_VALUE"""),42406.99861111111)</f>
        <v>42406.99861</v>
      </c>
      <c r="B2040" s="1">
        <f>IFERROR(__xludf.DUMMYFUNCTION("""COMPUTED_VALUE"""),116.326512)</f>
        <v>116.326512</v>
      </c>
    </row>
    <row r="2041">
      <c r="A2041" s="3">
        <f>IFERROR(__xludf.DUMMYFUNCTION("""COMPUTED_VALUE"""),42407.99861111111)</f>
        <v>42407.99861</v>
      </c>
      <c r="B2041" s="1">
        <f>IFERROR(__xludf.DUMMYFUNCTION("""COMPUTED_VALUE"""),116.4781315)</f>
        <v>116.4781315</v>
      </c>
    </row>
    <row r="2042">
      <c r="A2042" s="3">
        <f>IFERROR(__xludf.DUMMYFUNCTION("""COMPUTED_VALUE"""),42408.99861111111)</f>
        <v>42408.99861</v>
      </c>
      <c r="B2042" s="1">
        <f>IFERROR(__xludf.DUMMYFUNCTION("""COMPUTED_VALUE"""),118.2167116)</f>
        <v>118.2167116</v>
      </c>
    </row>
    <row r="2043">
      <c r="A2043" s="3">
        <f>IFERROR(__xludf.DUMMYFUNCTION("""COMPUTED_VALUE"""),42409.99861111111)</f>
        <v>42409.99861</v>
      </c>
      <c r="B2043" s="1">
        <f>IFERROR(__xludf.DUMMYFUNCTION("""COMPUTED_VALUE"""),117.702156)</f>
        <v>117.702156</v>
      </c>
    </row>
    <row r="2044">
      <c r="A2044" s="3">
        <f>IFERROR(__xludf.DUMMYFUNCTION("""COMPUTED_VALUE"""),42410.99861111111)</f>
        <v>42410.99861</v>
      </c>
      <c r="B2044" s="1">
        <f>IFERROR(__xludf.DUMMYFUNCTION("""COMPUTED_VALUE"""),118.7874675)</f>
        <v>118.7874675</v>
      </c>
    </row>
    <row r="2045">
      <c r="A2045" s="3">
        <f>IFERROR(__xludf.DUMMYFUNCTION("""COMPUTED_VALUE"""),42411.99861111111)</f>
        <v>42411.99861</v>
      </c>
      <c r="B2045" s="1">
        <f>IFERROR(__xludf.DUMMYFUNCTION("""COMPUTED_VALUE"""),119.819676)</f>
        <v>119.819676</v>
      </c>
    </row>
    <row r="2046">
      <c r="A2046" s="3">
        <f>IFERROR(__xludf.DUMMYFUNCTION("""COMPUTED_VALUE"""),42412.99861111111)</f>
        <v>42412.99861</v>
      </c>
      <c r="B2046" s="1">
        <f>IFERROR(__xludf.DUMMYFUNCTION("""COMPUTED_VALUE"""),118.89595)</f>
        <v>118.89595</v>
      </c>
    </row>
    <row r="2047">
      <c r="A2047" s="3">
        <f>IFERROR(__xludf.DUMMYFUNCTION("""COMPUTED_VALUE"""),42413.99861111111)</f>
        <v>42413.99861</v>
      </c>
      <c r="B2047" s="1">
        <f>IFERROR(__xludf.DUMMYFUNCTION("""COMPUTED_VALUE"""),119.6476479)</f>
        <v>119.6476479</v>
      </c>
    </row>
    <row r="2048">
      <c r="A2048" s="3">
        <f>IFERROR(__xludf.DUMMYFUNCTION("""COMPUTED_VALUE"""),42414.99861111111)</f>
        <v>42414.99861</v>
      </c>
      <c r="B2048" s="1">
        <f>IFERROR(__xludf.DUMMYFUNCTION("""COMPUTED_VALUE"""),119.1503581)</f>
        <v>119.1503581</v>
      </c>
    </row>
    <row r="2049">
      <c r="A2049" s="3">
        <f>IFERROR(__xludf.DUMMYFUNCTION("""COMPUTED_VALUE"""),42415.99861111111)</f>
        <v>42415.99861</v>
      </c>
      <c r="B2049" s="1">
        <f>IFERROR(__xludf.DUMMYFUNCTION("""COMPUTED_VALUE"""),116.0779275)</f>
        <v>116.0779275</v>
      </c>
    </row>
    <row r="2050">
      <c r="A2050" s="3">
        <f>IFERROR(__xludf.DUMMYFUNCTION("""COMPUTED_VALUE"""),42416.99861111111)</f>
        <v>42416.99861</v>
      </c>
      <c r="B2050" s="1">
        <f>IFERROR(__xludf.DUMMYFUNCTION("""COMPUTED_VALUE"""),117.4086286)</f>
        <v>117.4086286</v>
      </c>
    </row>
    <row r="2051">
      <c r="A2051" s="3">
        <f>IFERROR(__xludf.DUMMYFUNCTION("""COMPUTED_VALUE"""),42417.99861111111)</f>
        <v>42417.99861</v>
      </c>
      <c r="B2051" s="1">
        <f>IFERROR(__xludf.DUMMYFUNCTION("""COMPUTED_VALUE"""),118.1034)</f>
        <v>118.1034</v>
      </c>
    </row>
    <row r="2052">
      <c r="A2052" s="3">
        <f>IFERROR(__xludf.DUMMYFUNCTION("""COMPUTED_VALUE"""),42418.99861111111)</f>
        <v>42418.99861</v>
      </c>
      <c r="B2052" s="1">
        <f>IFERROR(__xludf.DUMMYFUNCTION("""COMPUTED_VALUE"""),118.435669)</f>
        <v>118.435669</v>
      </c>
    </row>
    <row r="2053">
      <c r="A2053" s="3">
        <f>IFERROR(__xludf.DUMMYFUNCTION("""COMPUTED_VALUE"""),42419.99861111111)</f>
        <v>42419.99861</v>
      </c>
      <c r="B2053" s="1">
        <f>IFERROR(__xludf.DUMMYFUNCTION("""COMPUTED_VALUE"""),119.23176)</f>
        <v>119.23176</v>
      </c>
    </row>
    <row r="2054">
      <c r="A2054" s="3">
        <f>IFERROR(__xludf.DUMMYFUNCTION("""COMPUTED_VALUE"""),42420.99861111111)</f>
        <v>42420.99861</v>
      </c>
      <c r="B2054" s="1">
        <f>IFERROR(__xludf.DUMMYFUNCTION("""COMPUTED_VALUE"""),120.1622952)</f>
        <v>120.1622952</v>
      </c>
    </row>
    <row r="2055">
      <c r="A2055" s="3">
        <f>IFERROR(__xludf.DUMMYFUNCTION("""COMPUTED_VALUE"""),42421.99861111111)</f>
        <v>42421.99861</v>
      </c>
      <c r="B2055" s="1">
        <f>IFERROR(__xludf.DUMMYFUNCTION("""COMPUTED_VALUE"""),120.2976131)</f>
        <v>120.2976131</v>
      </c>
    </row>
    <row r="2056">
      <c r="A2056" s="3">
        <f>IFERROR(__xludf.DUMMYFUNCTION("""COMPUTED_VALUE"""),42422.99861111111)</f>
        <v>42422.99861</v>
      </c>
      <c r="B2056" s="1">
        <f>IFERROR(__xludf.DUMMYFUNCTION("""COMPUTED_VALUE"""),118.45725)</f>
        <v>118.45725</v>
      </c>
    </row>
    <row r="2057">
      <c r="A2057" s="3">
        <f>IFERROR(__xludf.DUMMYFUNCTION("""COMPUTED_VALUE"""),42423.99861111111)</f>
        <v>42423.99861</v>
      </c>
      <c r="B2057" s="1">
        <f>IFERROR(__xludf.DUMMYFUNCTION("""COMPUTED_VALUE"""),119.827737)</f>
        <v>119.827737</v>
      </c>
    </row>
    <row r="2058">
      <c r="A2058" s="3">
        <f>IFERROR(__xludf.DUMMYFUNCTION("""COMPUTED_VALUE"""),42424.99861111111)</f>
        <v>42424.99861</v>
      </c>
      <c r="B2058" s="1">
        <f>IFERROR(__xludf.DUMMYFUNCTION("""COMPUTED_VALUE"""),119.3942)</f>
        <v>119.3942</v>
      </c>
    </row>
    <row r="2059">
      <c r="A2059" s="3">
        <f>IFERROR(__xludf.DUMMYFUNCTION("""COMPUTED_VALUE"""),42425.99861111111)</f>
        <v>42425.99861</v>
      </c>
      <c r="B2059" s="1">
        <f>IFERROR(__xludf.DUMMYFUNCTION("""COMPUTED_VALUE"""),118.7212)</f>
        <v>118.7212</v>
      </c>
    </row>
    <row r="2060">
      <c r="A2060" s="3">
        <f>IFERROR(__xludf.DUMMYFUNCTION("""COMPUTED_VALUE"""),42426.99861111111)</f>
        <v>42426.99861</v>
      </c>
      <c r="B2060" s="1">
        <f>IFERROR(__xludf.DUMMYFUNCTION("""COMPUTED_VALUE"""),117.73725)</f>
        <v>117.73725</v>
      </c>
    </row>
    <row r="2061">
      <c r="A2061" s="3">
        <f>IFERROR(__xludf.DUMMYFUNCTION("""COMPUTED_VALUE"""),42427.99861111111)</f>
        <v>42427.99861</v>
      </c>
      <c r="B2061" s="1">
        <f>IFERROR(__xludf.DUMMYFUNCTION("""COMPUTED_VALUE"""),117.8763422)</f>
        <v>117.8763422</v>
      </c>
    </row>
    <row r="2062">
      <c r="A2062" s="3">
        <f>IFERROR(__xludf.DUMMYFUNCTION("""COMPUTED_VALUE"""),42428.99861111111)</f>
        <v>42428.99861</v>
      </c>
      <c r="B2062" s="1">
        <f>IFERROR(__xludf.DUMMYFUNCTION("""COMPUTED_VALUE"""),118.1451594)</f>
        <v>118.1451594</v>
      </c>
    </row>
    <row r="2063">
      <c r="A2063" s="3">
        <f>IFERROR(__xludf.DUMMYFUNCTION("""COMPUTED_VALUE"""),42429.99861111111)</f>
        <v>42429.99861</v>
      </c>
      <c r="B2063" s="1">
        <f>IFERROR(__xludf.DUMMYFUNCTION("""COMPUTED_VALUE"""),118.81485)</f>
        <v>118.81485</v>
      </c>
    </row>
    <row r="2064">
      <c r="A2064" s="3">
        <f>IFERROR(__xludf.DUMMYFUNCTION("""COMPUTED_VALUE"""),42430.99861111111)</f>
        <v>42430.99861</v>
      </c>
      <c r="B2064" s="1">
        <f>IFERROR(__xludf.DUMMYFUNCTION("""COMPUTED_VALUE"""),116.2389484)</f>
        <v>116.2389484</v>
      </c>
    </row>
    <row r="2065">
      <c r="A2065" s="3">
        <f>IFERROR(__xludf.DUMMYFUNCTION("""COMPUTED_VALUE"""),42431.99861111111)</f>
        <v>42431.99861</v>
      </c>
      <c r="B2065" s="1">
        <f>IFERROR(__xludf.DUMMYFUNCTION("""COMPUTED_VALUE"""),116.7435635)</f>
        <v>116.7435635</v>
      </c>
    </row>
    <row r="2066">
      <c r="A2066" s="3">
        <f>IFERROR(__xludf.DUMMYFUNCTION("""COMPUTED_VALUE"""),42432.99861111111)</f>
        <v>42432.99861</v>
      </c>
      <c r="B2066" s="1">
        <f>IFERROR(__xludf.DUMMYFUNCTION("""COMPUTED_VALUE"""),115.570242)</f>
        <v>115.570242</v>
      </c>
    </row>
    <row r="2067">
      <c r="A2067" s="3">
        <f>IFERROR(__xludf.DUMMYFUNCTION("""COMPUTED_VALUE"""),42433.99861111111)</f>
        <v>42433.99861</v>
      </c>
      <c r="B2067" s="1">
        <f>IFERROR(__xludf.DUMMYFUNCTION("""COMPUTED_VALUE"""),114.51612)</f>
        <v>114.51612</v>
      </c>
    </row>
    <row r="2068">
      <c r="A2068" s="3">
        <f>IFERROR(__xludf.DUMMYFUNCTION("""COMPUTED_VALUE"""),42434.99861111111)</f>
        <v>42434.99861</v>
      </c>
      <c r="B2068" s="1">
        <f>IFERROR(__xludf.DUMMYFUNCTION("""COMPUTED_VALUE"""),117.0438603)</f>
        <v>117.0438603</v>
      </c>
    </row>
    <row r="2069">
      <c r="A2069" s="3">
        <f>IFERROR(__xludf.DUMMYFUNCTION("""COMPUTED_VALUE"""),42435.99861111111)</f>
        <v>42435.99861</v>
      </c>
      <c r="B2069" s="1">
        <f>IFERROR(__xludf.DUMMYFUNCTION("""COMPUTED_VALUE"""),117.0666374)</f>
        <v>117.0666374</v>
      </c>
    </row>
    <row r="2070">
      <c r="A2070" s="3">
        <f>IFERROR(__xludf.DUMMYFUNCTION("""COMPUTED_VALUE"""),42436.99861111111)</f>
        <v>42436.99861</v>
      </c>
      <c r="B2070" s="1">
        <f>IFERROR(__xludf.DUMMYFUNCTION("""COMPUTED_VALUE"""),114.5664)</f>
        <v>114.5664</v>
      </c>
    </row>
    <row r="2071">
      <c r="A2071" s="3">
        <f>IFERROR(__xludf.DUMMYFUNCTION("""COMPUTED_VALUE"""),42437.99861111111)</f>
        <v>42437.99861</v>
      </c>
      <c r="B2071" s="1">
        <f>IFERROR(__xludf.DUMMYFUNCTION("""COMPUTED_VALUE"""),116.9892836)</f>
        <v>116.9892836</v>
      </c>
    </row>
    <row r="2072">
      <c r="A2072" s="3">
        <f>IFERROR(__xludf.DUMMYFUNCTION("""COMPUTED_VALUE"""),42438.99861111111)</f>
        <v>42438.99861</v>
      </c>
      <c r="B2072" s="1">
        <f>IFERROR(__xludf.DUMMYFUNCTION("""COMPUTED_VALUE"""),115.65728)</f>
        <v>115.65728</v>
      </c>
    </row>
    <row r="2073">
      <c r="A2073" s="3">
        <f>IFERROR(__xludf.DUMMYFUNCTION("""COMPUTED_VALUE"""),42439.99861111111)</f>
        <v>42439.99861</v>
      </c>
      <c r="B2073" s="1">
        <f>IFERROR(__xludf.DUMMYFUNCTION("""COMPUTED_VALUE"""),116.298975)</f>
        <v>116.298975</v>
      </c>
    </row>
    <row r="2074">
      <c r="A2074" s="3">
        <f>IFERROR(__xludf.DUMMYFUNCTION("""COMPUTED_VALUE"""),42440.99861111111)</f>
        <v>42440.99861</v>
      </c>
      <c r="B2074" s="1">
        <f>IFERROR(__xludf.DUMMYFUNCTION("""COMPUTED_VALUE"""),113.63954)</f>
        <v>113.63954</v>
      </c>
    </row>
    <row r="2075">
      <c r="A2075" s="3">
        <f>IFERROR(__xludf.DUMMYFUNCTION("""COMPUTED_VALUE"""),42441.99861111111)</f>
        <v>42441.99861</v>
      </c>
      <c r="B2075" s="1">
        <f>IFERROR(__xludf.DUMMYFUNCTION("""COMPUTED_VALUE"""),114.471884)</f>
        <v>114.471884</v>
      </c>
    </row>
    <row r="2076">
      <c r="A2076" s="3">
        <f>IFERROR(__xludf.DUMMYFUNCTION("""COMPUTED_VALUE"""),42442.99861111111)</f>
        <v>42442.99861</v>
      </c>
      <c r="B2076" s="1">
        <f>IFERROR(__xludf.DUMMYFUNCTION("""COMPUTED_VALUE"""),114.602262)</f>
        <v>114.602262</v>
      </c>
    </row>
    <row r="2077">
      <c r="A2077" s="3">
        <f>IFERROR(__xludf.DUMMYFUNCTION("""COMPUTED_VALUE"""),42443.99861111111)</f>
        <v>42443.99861</v>
      </c>
      <c r="B2077" s="1">
        <f>IFERROR(__xludf.DUMMYFUNCTION("""COMPUTED_VALUE"""),113.9644)</f>
        <v>113.9644</v>
      </c>
    </row>
    <row r="2078">
      <c r="A2078" s="3">
        <f>IFERROR(__xludf.DUMMYFUNCTION("""COMPUTED_VALUE"""),42444.99861111111)</f>
        <v>42444.99861</v>
      </c>
      <c r="B2078" s="1">
        <f>IFERROR(__xludf.DUMMYFUNCTION("""COMPUTED_VALUE"""),116.0099446)</f>
        <v>116.0099446</v>
      </c>
    </row>
    <row r="2079">
      <c r="A2079" s="3">
        <f>IFERROR(__xludf.DUMMYFUNCTION("""COMPUTED_VALUE"""),42445.99861111111)</f>
        <v>42445.99861</v>
      </c>
      <c r="B2079" s="1">
        <f>IFERROR(__xludf.DUMMYFUNCTION("""COMPUTED_VALUE"""),113.2699)</f>
        <v>113.2699</v>
      </c>
    </row>
    <row r="2080">
      <c r="A2080" s="3">
        <f>IFERROR(__xludf.DUMMYFUNCTION("""COMPUTED_VALUE"""),42446.99861111111)</f>
        <v>42446.99861</v>
      </c>
      <c r="B2080" s="1">
        <f>IFERROR(__xludf.DUMMYFUNCTION("""COMPUTED_VALUE"""),116.1550065)</f>
        <v>116.1550065</v>
      </c>
    </row>
    <row r="2081">
      <c r="A2081" s="3">
        <f>IFERROR(__xludf.DUMMYFUNCTION("""COMPUTED_VALUE"""),42447.99861111111)</f>
        <v>42447.99861</v>
      </c>
      <c r="B2081" s="1">
        <f>IFERROR(__xludf.DUMMYFUNCTION("""COMPUTED_VALUE"""),116.82048)</f>
        <v>116.82048</v>
      </c>
    </row>
    <row r="2082">
      <c r="A2082" s="3">
        <f>IFERROR(__xludf.DUMMYFUNCTION("""COMPUTED_VALUE"""),42448.99861111111)</f>
        <v>42448.99861</v>
      </c>
      <c r="B2082" s="1">
        <f>IFERROR(__xludf.DUMMYFUNCTION("""COMPUTED_VALUE"""),117.739776)</f>
        <v>117.739776</v>
      </c>
    </row>
    <row r="2083">
      <c r="A2083" s="3">
        <f>IFERROR(__xludf.DUMMYFUNCTION("""COMPUTED_VALUE"""),42449.99861111111)</f>
        <v>42449.99861</v>
      </c>
      <c r="B2083" s="1">
        <f>IFERROR(__xludf.DUMMYFUNCTION("""COMPUTED_VALUE"""),117.871182)</f>
        <v>117.871182</v>
      </c>
    </row>
    <row r="2084">
      <c r="A2084" s="3">
        <f>IFERROR(__xludf.DUMMYFUNCTION("""COMPUTED_VALUE"""),42450.99861111111)</f>
        <v>42450.99861</v>
      </c>
      <c r="B2084" s="1">
        <f>IFERROR(__xludf.DUMMYFUNCTION("""COMPUTED_VALUE"""),117.5409463)</f>
        <v>117.5409463</v>
      </c>
    </row>
    <row r="2085">
      <c r="A2085" s="3">
        <f>IFERROR(__xludf.DUMMYFUNCTION("""COMPUTED_VALUE"""),42451.99861111111)</f>
        <v>42451.99861</v>
      </c>
      <c r="B2085" s="1">
        <f>IFERROR(__xludf.DUMMYFUNCTION("""COMPUTED_VALUE"""),116.6879868)</f>
        <v>116.6879868</v>
      </c>
    </row>
    <row r="2086">
      <c r="A2086" s="3">
        <f>IFERROR(__xludf.DUMMYFUNCTION("""COMPUTED_VALUE"""),42452.99861111111)</f>
        <v>42452.99861</v>
      </c>
      <c r="B2086" s="1">
        <f>IFERROR(__xludf.DUMMYFUNCTION("""COMPUTED_VALUE"""),117.5302455)</f>
        <v>117.5302455</v>
      </c>
    </row>
    <row r="2087">
      <c r="A2087" s="3">
        <f>IFERROR(__xludf.DUMMYFUNCTION("""COMPUTED_VALUE"""),42453.99861111111)</f>
        <v>42453.99861</v>
      </c>
      <c r="B2087" s="1">
        <f>IFERROR(__xludf.DUMMYFUNCTION("""COMPUTED_VALUE"""),117.2496732)</f>
        <v>117.2496732</v>
      </c>
    </row>
    <row r="2088">
      <c r="A2088" s="3">
        <f>IFERROR(__xludf.DUMMYFUNCTION("""COMPUTED_VALUE"""),42454.99861111111)</f>
        <v>42454.99861</v>
      </c>
      <c r="B2088" s="1">
        <f>IFERROR(__xludf.DUMMYFUNCTION("""COMPUTED_VALUE"""),116.4228)</f>
        <v>116.4228</v>
      </c>
    </row>
    <row r="2089">
      <c r="A2089" s="3">
        <f>IFERROR(__xludf.DUMMYFUNCTION("""COMPUTED_VALUE"""),42455.99861111111)</f>
        <v>42455.99861</v>
      </c>
      <c r="B2089" s="1">
        <f>IFERROR(__xludf.DUMMYFUNCTION("""COMPUTED_VALUE"""),117.3970564)</f>
        <v>117.3970564</v>
      </c>
    </row>
    <row r="2090">
      <c r="A2090" s="3">
        <f>IFERROR(__xludf.DUMMYFUNCTION("""COMPUTED_VALUE"""),42456.99861111111)</f>
        <v>42456.99861</v>
      </c>
      <c r="B2090" s="1">
        <f>IFERROR(__xludf.DUMMYFUNCTION("""COMPUTED_VALUE"""),116.9986501)</f>
        <v>116.9986501</v>
      </c>
    </row>
    <row r="2091">
      <c r="A2091" s="3">
        <f>IFERROR(__xludf.DUMMYFUNCTION("""COMPUTED_VALUE"""),42457.99861111111)</f>
        <v>42457.99861</v>
      </c>
      <c r="B2091" s="1">
        <f>IFERROR(__xludf.DUMMYFUNCTION("""COMPUTED_VALUE"""),117.105321)</f>
        <v>117.105321</v>
      </c>
    </row>
    <row r="2092">
      <c r="A2092" s="3">
        <f>IFERROR(__xludf.DUMMYFUNCTION("""COMPUTED_VALUE"""),42458.99861111111)</f>
        <v>42458.99861</v>
      </c>
      <c r="B2092" s="1">
        <f>IFERROR(__xludf.DUMMYFUNCTION("""COMPUTED_VALUE"""),116.9066)</f>
        <v>116.9066</v>
      </c>
    </row>
    <row r="2093">
      <c r="A2093" s="3">
        <f>IFERROR(__xludf.DUMMYFUNCTION("""COMPUTED_VALUE"""),42459.99861111111)</f>
        <v>42459.99861</v>
      </c>
      <c r="B2093" s="1">
        <f>IFERROR(__xludf.DUMMYFUNCTION("""COMPUTED_VALUE"""),117.798928)</f>
        <v>117.798928</v>
      </c>
    </row>
    <row r="2094">
      <c r="A2094" s="3">
        <f>IFERROR(__xludf.DUMMYFUNCTION("""COMPUTED_VALUE"""),42460.99861111111)</f>
        <v>42460.99861</v>
      </c>
      <c r="B2094" s="1">
        <f>IFERROR(__xludf.DUMMYFUNCTION("""COMPUTED_VALUE"""),116.9311986)</f>
        <v>116.9311986</v>
      </c>
    </row>
    <row r="2095">
      <c r="A2095" s="3">
        <f>IFERROR(__xludf.DUMMYFUNCTION("""COMPUTED_VALUE"""),42461.99861111111)</f>
        <v>42461.99861</v>
      </c>
      <c r="B2095" s="1">
        <f>IFERROR(__xludf.DUMMYFUNCTION("""COMPUTED_VALUE"""),117.61792)</f>
        <v>117.61792</v>
      </c>
    </row>
    <row r="2096">
      <c r="A2096" s="3">
        <f>IFERROR(__xludf.DUMMYFUNCTION("""COMPUTED_VALUE"""),42462.99861111111)</f>
        <v>42462.99861</v>
      </c>
      <c r="B2096" s="1">
        <f>IFERROR(__xludf.DUMMYFUNCTION("""COMPUTED_VALUE"""),117.60837)</f>
        <v>117.60837</v>
      </c>
    </row>
    <row r="2097">
      <c r="A2097" s="3">
        <f>IFERROR(__xludf.DUMMYFUNCTION("""COMPUTED_VALUE"""),42463.99861111111)</f>
        <v>42463.99861</v>
      </c>
      <c r="B2097" s="1">
        <f>IFERROR(__xludf.DUMMYFUNCTION("""COMPUTED_VALUE"""),117.5820888)</f>
        <v>117.5820888</v>
      </c>
    </row>
    <row r="2098">
      <c r="A2098" s="3">
        <f>IFERROR(__xludf.DUMMYFUNCTION("""COMPUTED_VALUE"""),42464.99861111111)</f>
        <v>42464.99861</v>
      </c>
      <c r="B2098" s="1">
        <f>IFERROR(__xludf.DUMMYFUNCTION("""COMPUTED_VALUE"""),118.081296)</f>
        <v>118.081296</v>
      </c>
    </row>
    <row r="2099">
      <c r="A2099" s="3">
        <f>IFERROR(__xludf.DUMMYFUNCTION("""COMPUTED_VALUE"""),42465.99861111111)</f>
        <v>42465.99861</v>
      </c>
      <c r="B2099" s="1">
        <f>IFERROR(__xludf.DUMMYFUNCTION("""COMPUTED_VALUE"""),119.652217)</f>
        <v>119.652217</v>
      </c>
    </row>
    <row r="2100">
      <c r="A2100" s="3">
        <f>IFERROR(__xludf.DUMMYFUNCTION("""COMPUTED_VALUE"""),42466.99861111111)</f>
        <v>42466.99861</v>
      </c>
      <c r="B2100" s="1">
        <f>IFERROR(__xludf.DUMMYFUNCTION("""COMPUTED_VALUE"""),119.99692)</f>
        <v>119.99692</v>
      </c>
    </row>
    <row r="2101">
      <c r="A2101" s="3">
        <f>IFERROR(__xludf.DUMMYFUNCTION("""COMPUTED_VALUE"""),42467.99861111111)</f>
        <v>42467.99861</v>
      </c>
      <c r="B2101" s="1">
        <f>IFERROR(__xludf.DUMMYFUNCTION("""COMPUTED_VALUE"""),121.4814044)</f>
        <v>121.4814044</v>
      </c>
    </row>
    <row r="2102">
      <c r="A2102" s="3">
        <f>IFERROR(__xludf.DUMMYFUNCTION("""COMPUTED_VALUE"""),42468.99861111111)</f>
        <v>42468.99861</v>
      </c>
      <c r="B2102" s="1">
        <f>IFERROR(__xludf.DUMMYFUNCTION("""COMPUTED_VALUE"""),121.31375)</f>
        <v>121.31375</v>
      </c>
    </row>
    <row r="2103">
      <c r="A2103" s="3">
        <f>IFERROR(__xludf.DUMMYFUNCTION("""COMPUTED_VALUE"""),42469.99861111111)</f>
        <v>42469.99861</v>
      </c>
      <c r="B2103" s="1">
        <f>IFERROR(__xludf.DUMMYFUNCTION("""COMPUTED_VALUE"""),121.55055)</f>
        <v>121.55055</v>
      </c>
    </row>
    <row r="2104">
      <c r="A2104" s="3">
        <f>IFERROR(__xludf.DUMMYFUNCTION("""COMPUTED_VALUE"""),42470.99861111111)</f>
        <v>42470.99861</v>
      </c>
      <c r="B2104" s="1">
        <f>IFERROR(__xludf.DUMMYFUNCTION("""COMPUTED_VALUE"""),121.2982504)</f>
        <v>121.2982504</v>
      </c>
    </row>
    <row r="2105">
      <c r="A2105" s="3">
        <f>IFERROR(__xludf.DUMMYFUNCTION("""COMPUTED_VALUE"""),42471.99861111111)</f>
        <v>42471.99861</v>
      </c>
      <c r="B2105" s="1">
        <f>IFERROR(__xludf.DUMMYFUNCTION("""COMPUTED_VALUE"""),121.288509)</f>
        <v>121.288509</v>
      </c>
    </row>
    <row r="2106">
      <c r="A2106" s="3">
        <f>IFERROR(__xludf.DUMMYFUNCTION("""COMPUTED_VALUE"""),42472.99861111111)</f>
        <v>42472.99861</v>
      </c>
      <c r="B2106" s="1">
        <f>IFERROR(__xludf.DUMMYFUNCTION("""COMPUTED_VALUE"""),120.2990533)</f>
        <v>120.2990533</v>
      </c>
    </row>
    <row r="2107">
      <c r="A2107" s="3">
        <f>IFERROR(__xludf.DUMMYFUNCTION("""COMPUTED_VALUE"""),42473.99861111111)</f>
        <v>42473.99861</v>
      </c>
      <c r="B2107" s="1">
        <f>IFERROR(__xludf.DUMMYFUNCTION("""COMPUTED_VALUE"""),120.097978)</f>
        <v>120.097978</v>
      </c>
    </row>
    <row r="2108">
      <c r="A2108" s="3">
        <f>IFERROR(__xludf.DUMMYFUNCTION("""COMPUTED_VALUE"""),42474.99861111111)</f>
        <v>42474.99861</v>
      </c>
      <c r="B2108" s="1">
        <f>IFERROR(__xludf.DUMMYFUNCTION("""COMPUTED_VALUE"""),120.464526)</f>
        <v>120.464526</v>
      </c>
    </row>
    <row r="2109">
      <c r="A2109" s="3">
        <f>IFERROR(__xludf.DUMMYFUNCTION("""COMPUTED_VALUE"""),42475.99861111111)</f>
        <v>42475.99861</v>
      </c>
      <c r="B2109" s="1">
        <f>IFERROR(__xludf.DUMMYFUNCTION("""COMPUTED_VALUE"""),120.6647)</f>
        <v>120.6647</v>
      </c>
    </row>
    <row r="2110">
      <c r="A2110" s="3">
        <f>IFERROR(__xludf.DUMMYFUNCTION("""COMPUTED_VALUE"""),42476.99861111111)</f>
        <v>42476.99861</v>
      </c>
      <c r="B2110" s="1">
        <f>IFERROR(__xludf.DUMMYFUNCTION("""COMPUTED_VALUE"""),121.5608169)</f>
        <v>121.5608169</v>
      </c>
    </row>
    <row r="2111">
      <c r="A2111" s="3">
        <f>IFERROR(__xludf.DUMMYFUNCTION("""COMPUTED_VALUE"""),42477.99861111111)</f>
        <v>42477.99861</v>
      </c>
      <c r="B2111" s="1">
        <f>IFERROR(__xludf.DUMMYFUNCTION("""COMPUTED_VALUE"""),122.425896)</f>
        <v>122.425896</v>
      </c>
    </row>
    <row r="2112">
      <c r="A2112" s="3">
        <f>IFERROR(__xludf.DUMMYFUNCTION("""COMPUTED_VALUE"""),42478.99861111111)</f>
        <v>42478.99861</v>
      </c>
      <c r="B2112" s="1">
        <f>IFERROR(__xludf.DUMMYFUNCTION("""COMPUTED_VALUE"""),120.1086432)</f>
        <v>120.1086432</v>
      </c>
    </row>
    <row r="2113">
      <c r="A2113" s="3">
        <f>IFERROR(__xludf.DUMMYFUNCTION("""COMPUTED_VALUE"""),42479.99861111111)</f>
        <v>42479.99861</v>
      </c>
      <c r="B2113" s="1">
        <f>IFERROR(__xludf.DUMMYFUNCTION("""COMPUTED_VALUE"""),119.7578376)</f>
        <v>119.7578376</v>
      </c>
    </row>
    <row r="2114">
      <c r="A2114" s="3">
        <f>IFERROR(__xludf.DUMMYFUNCTION("""COMPUTED_VALUE"""),42480.99861111111)</f>
        <v>42480.99861</v>
      </c>
      <c r="B2114" s="1">
        <f>IFERROR(__xludf.DUMMYFUNCTION("""COMPUTED_VALUE"""),119.843515)</f>
        <v>119.843515</v>
      </c>
    </row>
    <row r="2115">
      <c r="A2115" s="3">
        <f>IFERROR(__xludf.DUMMYFUNCTION("""COMPUTED_VALUE"""),42481.99861111111)</f>
        <v>42481.99861</v>
      </c>
      <c r="B2115" s="1">
        <f>IFERROR(__xludf.DUMMYFUNCTION("""COMPUTED_VALUE"""),120.3367576)</f>
        <v>120.3367576</v>
      </c>
    </row>
    <row r="2116">
      <c r="A2116" s="3">
        <f>IFERROR(__xludf.DUMMYFUNCTION("""COMPUTED_VALUE"""),42482.99861111111)</f>
        <v>42482.99861</v>
      </c>
      <c r="B2116" s="1">
        <f>IFERROR(__xludf.DUMMYFUNCTION("""COMPUTED_VALUE"""),117.9633)</f>
        <v>117.9633</v>
      </c>
    </row>
    <row r="2117">
      <c r="A2117" s="3">
        <f>IFERROR(__xludf.DUMMYFUNCTION("""COMPUTED_VALUE"""),42483.99861111111)</f>
        <v>42483.99861</v>
      </c>
      <c r="B2117" s="1">
        <f>IFERROR(__xludf.DUMMYFUNCTION("""COMPUTED_VALUE"""),118.2539394)</f>
        <v>118.2539394</v>
      </c>
    </row>
    <row r="2118">
      <c r="A2118" s="3">
        <f>IFERROR(__xludf.DUMMYFUNCTION("""COMPUTED_VALUE"""),42484.99861111111)</f>
        <v>42484.99861</v>
      </c>
      <c r="B2118" s="1">
        <f>IFERROR(__xludf.DUMMYFUNCTION("""COMPUTED_VALUE"""),118.5177471)</f>
        <v>118.5177471</v>
      </c>
    </row>
    <row r="2119">
      <c r="A2119" s="3">
        <f>IFERROR(__xludf.DUMMYFUNCTION("""COMPUTED_VALUE"""),42485.99861111111)</f>
        <v>42485.99861</v>
      </c>
      <c r="B2119" s="1">
        <f>IFERROR(__xludf.DUMMYFUNCTION("""COMPUTED_VALUE"""),118.640093)</f>
        <v>118.640093</v>
      </c>
    </row>
    <row r="2120">
      <c r="A2120" s="3">
        <f>IFERROR(__xludf.DUMMYFUNCTION("""COMPUTED_VALUE"""),42486.99861111111)</f>
        <v>42486.99861</v>
      </c>
      <c r="B2120" s="1">
        <f>IFERROR(__xludf.DUMMYFUNCTION("""COMPUTED_VALUE"""),118.276816)</f>
        <v>118.276816</v>
      </c>
    </row>
    <row r="2121">
      <c r="A2121" s="3">
        <f>IFERROR(__xludf.DUMMYFUNCTION("""COMPUTED_VALUE"""),42487.99861111111)</f>
        <v>42487.99861</v>
      </c>
      <c r="B2121" s="1">
        <f>IFERROR(__xludf.DUMMYFUNCTION("""COMPUTED_VALUE"""),117.92142)</f>
        <v>117.92142</v>
      </c>
    </row>
    <row r="2122">
      <c r="A2122" s="3">
        <f>IFERROR(__xludf.DUMMYFUNCTION("""COMPUTED_VALUE"""),42488.99861111111)</f>
        <v>42488.99861</v>
      </c>
      <c r="B2122" s="1">
        <f>IFERROR(__xludf.DUMMYFUNCTION("""COMPUTED_VALUE"""),121.833036)</f>
        <v>121.833036</v>
      </c>
    </row>
    <row r="2123">
      <c r="A2123" s="3">
        <f>IFERROR(__xludf.DUMMYFUNCTION("""COMPUTED_VALUE"""),42489.99861111111)</f>
        <v>42489.99861</v>
      </c>
      <c r="B2123" s="1">
        <f>IFERROR(__xludf.DUMMYFUNCTION("""COMPUTED_VALUE"""),123.845)</f>
        <v>123.845</v>
      </c>
    </row>
    <row r="2124">
      <c r="A2124" s="3">
        <f>IFERROR(__xludf.DUMMYFUNCTION("""COMPUTED_VALUE"""),42490.99861111111)</f>
        <v>42490.99861</v>
      </c>
      <c r="B2124" s="1">
        <f>IFERROR(__xludf.DUMMYFUNCTION("""COMPUTED_VALUE"""),124.174282)</f>
        <v>124.174282</v>
      </c>
    </row>
    <row r="2125">
      <c r="A2125" s="3">
        <f>IFERROR(__xludf.DUMMYFUNCTION("""COMPUTED_VALUE"""),42491.99861111111)</f>
        <v>42491.99861</v>
      </c>
      <c r="B2125" s="1">
        <f>IFERROR(__xludf.DUMMYFUNCTION("""COMPUTED_VALUE"""),124.0619967)</f>
        <v>124.0619967</v>
      </c>
    </row>
    <row r="2126">
      <c r="A2126" s="3">
        <f>IFERROR(__xludf.DUMMYFUNCTION("""COMPUTED_VALUE"""),42492.99861111111)</f>
        <v>42492.99861</v>
      </c>
      <c r="B2126" s="1">
        <f>IFERROR(__xludf.DUMMYFUNCTION("""COMPUTED_VALUE"""),123.043239)</f>
        <v>123.043239</v>
      </c>
    </row>
    <row r="2127">
      <c r="A2127" s="3">
        <f>IFERROR(__xludf.DUMMYFUNCTION("""COMPUTED_VALUE"""),42493.99861111111)</f>
        <v>42493.99861</v>
      </c>
      <c r="B2127" s="1">
        <f>IFERROR(__xludf.DUMMYFUNCTION("""COMPUTED_VALUE"""),123.5685015)</f>
        <v>123.5685015</v>
      </c>
    </row>
    <row r="2128">
      <c r="A2128" s="3">
        <f>IFERROR(__xludf.DUMMYFUNCTION("""COMPUTED_VALUE"""),42494.99861111111)</f>
        <v>42494.99861</v>
      </c>
      <c r="B2128" s="1">
        <f>IFERROR(__xludf.DUMMYFUNCTION("""COMPUTED_VALUE"""),124.84119)</f>
        <v>124.84119</v>
      </c>
    </row>
    <row r="2129">
      <c r="A2129" s="3">
        <f>IFERROR(__xludf.DUMMYFUNCTION("""COMPUTED_VALUE"""),42495.99861111111)</f>
        <v>42495.99861</v>
      </c>
      <c r="B2129" s="1">
        <f>IFERROR(__xludf.DUMMYFUNCTION("""COMPUTED_VALUE"""),124.370062)</f>
        <v>124.370062</v>
      </c>
    </row>
    <row r="2130">
      <c r="A2130" s="3">
        <f>IFERROR(__xludf.DUMMYFUNCTION("""COMPUTED_VALUE"""),42496.99861111111)</f>
        <v>42496.99861</v>
      </c>
      <c r="B2130" s="1">
        <f>IFERROR(__xludf.DUMMYFUNCTION("""COMPUTED_VALUE"""),124.3154)</f>
        <v>124.3154</v>
      </c>
    </row>
    <row r="2131">
      <c r="A2131" s="3">
        <f>IFERROR(__xludf.DUMMYFUNCTION("""COMPUTED_VALUE"""),42497.99861111111)</f>
        <v>42497.99861</v>
      </c>
      <c r="B2131" s="1">
        <f>IFERROR(__xludf.DUMMYFUNCTION("""COMPUTED_VALUE"""),125.2010188)</f>
        <v>125.2010188</v>
      </c>
    </row>
    <row r="2132">
      <c r="A2132" s="3">
        <f>IFERROR(__xludf.DUMMYFUNCTION("""COMPUTED_VALUE"""),42498.99861111111)</f>
        <v>42498.99861</v>
      </c>
      <c r="B2132" s="1">
        <f>IFERROR(__xludf.DUMMYFUNCTION("""COMPUTED_VALUE"""),124.7988742)</f>
        <v>124.7988742</v>
      </c>
    </row>
    <row r="2133">
      <c r="A2133" s="3">
        <f>IFERROR(__xludf.DUMMYFUNCTION("""COMPUTED_VALUE"""),42499.99861111111)</f>
        <v>42499.99861</v>
      </c>
      <c r="B2133" s="1">
        <f>IFERROR(__xludf.DUMMYFUNCTION("""COMPUTED_VALUE"""),123.46971)</f>
        <v>123.46971</v>
      </c>
    </row>
    <row r="2134">
      <c r="A2134" s="3">
        <f>IFERROR(__xludf.DUMMYFUNCTION("""COMPUTED_VALUE"""),42500.99861111111)</f>
        <v>42500.99861</v>
      </c>
      <c r="B2134" s="1">
        <f>IFERROR(__xludf.DUMMYFUNCTION("""COMPUTED_VALUE"""),121.80968)</f>
        <v>121.80968</v>
      </c>
    </row>
    <row r="2135">
      <c r="A2135" s="3">
        <f>IFERROR(__xludf.DUMMYFUNCTION("""COMPUTED_VALUE"""),42501.99861111111)</f>
        <v>42501.99861</v>
      </c>
      <c r="B2135" s="1">
        <f>IFERROR(__xludf.DUMMYFUNCTION("""COMPUTED_VALUE"""),122.13734)</f>
        <v>122.13734</v>
      </c>
    </row>
    <row r="2136">
      <c r="A2136" s="3">
        <f>IFERROR(__xludf.DUMMYFUNCTION("""COMPUTED_VALUE"""),42502.99861111111)</f>
        <v>42502.99861</v>
      </c>
      <c r="B2136" s="1">
        <f>IFERROR(__xludf.DUMMYFUNCTION("""COMPUTED_VALUE"""),121.437008)</f>
        <v>121.437008</v>
      </c>
    </row>
    <row r="2137">
      <c r="A2137" s="3">
        <f>IFERROR(__xludf.DUMMYFUNCTION("""COMPUTED_VALUE"""),42503.99861111111)</f>
        <v>42503.99861</v>
      </c>
      <c r="B2137" s="1">
        <f>IFERROR(__xludf.DUMMYFUNCTION("""COMPUTED_VALUE"""),122.6544)</f>
        <v>122.6544</v>
      </c>
    </row>
    <row r="2138">
      <c r="A2138" s="3">
        <f>IFERROR(__xludf.DUMMYFUNCTION("""COMPUTED_VALUE"""),42504.99861111111)</f>
        <v>42504.99861</v>
      </c>
      <c r="B2138" s="1">
        <f>IFERROR(__xludf.DUMMYFUNCTION("""COMPUTED_VALUE"""),122.666636)</f>
        <v>122.666636</v>
      </c>
    </row>
    <row r="2139">
      <c r="A2139" s="3">
        <f>IFERROR(__xludf.DUMMYFUNCTION("""COMPUTED_VALUE"""),42505.99861111111)</f>
        <v>42505.99861</v>
      </c>
      <c r="B2139" s="1">
        <f>IFERROR(__xludf.DUMMYFUNCTION("""COMPUTED_VALUE"""),122.5165595)</f>
        <v>122.5165595</v>
      </c>
    </row>
    <row r="2140">
      <c r="A2140" s="3">
        <f>IFERROR(__xludf.DUMMYFUNCTION("""COMPUTED_VALUE"""),42506.99861111111)</f>
        <v>42506.99861</v>
      </c>
      <c r="B2140" s="1">
        <f>IFERROR(__xludf.DUMMYFUNCTION("""COMPUTED_VALUE"""),122.085792)</f>
        <v>122.085792</v>
      </c>
    </row>
    <row r="2141">
      <c r="A2141" s="3">
        <f>IFERROR(__xludf.DUMMYFUNCTION("""COMPUTED_VALUE"""),42507.99861111111)</f>
        <v>42507.99861</v>
      </c>
      <c r="B2141" s="1">
        <f>IFERROR(__xludf.DUMMYFUNCTION("""COMPUTED_VALUE"""),122.199309)</f>
        <v>122.199309</v>
      </c>
    </row>
    <row r="2142">
      <c r="A2142" s="3">
        <f>IFERROR(__xludf.DUMMYFUNCTION("""COMPUTED_VALUE"""),42508.99861111111)</f>
        <v>42508.99861</v>
      </c>
      <c r="B2142" s="1">
        <f>IFERROR(__xludf.DUMMYFUNCTION("""COMPUTED_VALUE"""),121.946808)</f>
        <v>121.946808</v>
      </c>
    </row>
    <row r="2143">
      <c r="A2143" s="3">
        <f>IFERROR(__xludf.DUMMYFUNCTION("""COMPUTED_VALUE"""),42509.99861111111)</f>
        <v>42509.99861</v>
      </c>
      <c r="B2143" s="1">
        <f>IFERROR(__xludf.DUMMYFUNCTION("""COMPUTED_VALUE"""),123.7145)</f>
        <v>123.7145</v>
      </c>
    </row>
    <row r="2144">
      <c r="A2144" s="3">
        <f>IFERROR(__xludf.DUMMYFUNCTION("""COMPUTED_VALUE"""),42510.99861111111)</f>
        <v>42510.99861</v>
      </c>
      <c r="B2144" s="1">
        <f>IFERROR(__xludf.DUMMYFUNCTION("""COMPUTED_VALUE"""),123.5334)</f>
        <v>123.5334</v>
      </c>
    </row>
    <row r="2145">
      <c r="A2145" s="3">
        <f>IFERROR(__xludf.DUMMYFUNCTION("""COMPUTED_VALUE"""),42511.99861111111)</f>
        <v>42511.99861</v>
      </c>
      <c r="B2145" s="1">
        <f>IFERROR(__xludf.DUMMYFUNCTION("""COMPUTED_VALUE"""),123.7056476)</f>
        <v>123.7056476</v>
      </c>
    </row>
    <row r="2146">
      <c r="A2146" s="3">
        <f>IFERROR(__xludf.DUMMYFUNCTION("""COMPUTED_VALUE"""),42512.99861111111)</f>
        <v>42512.99861</v>
      </c>
      <c r="B2146" s="1">
        <f>IFERROR(__xludf.DUMMYFUNCTION("""COMPUTED_VALUE"""),123.7056476)</f>
        <v>123.7056476</v>
      </c>
    </row>
    <row r="2147">
      <c r="A2147" s="3">
        <f>IFERROR(__xludf.DUMMYFUNCTION("""COMPUTED_VALUE"""),42513.99861111111)</f>
        <v>42513.99861</v>
      </c>
      <c r="B2147" s="1">
        <f>IFERROR(__xludf.DUMMYFUNCTION("""COMPUTED_VALUE"""),123.7556)</f>
        <v>123.7556</v>
      </c>
    </row>
    <row r="2148">
      <c r="A2148" s="3">
        <f>IFERROR(__xludf.DUMMYFUNCTION("""COMPUTED_VALUE"""),42514.99861111111)</f>
        <v>42514.99861</v>
      </c>
      <c r="B2148" s="1">
        <f>IFERROR(__xludf.DUMMYFUNCTION("""COMPUTED_VALUE"""),123.0799)</f>
        <v>123.0799</v>
      </c>
    </row>
    <row r="2149">
      <c r="A2149" s="3">
        <f>IFERROR(__xludf.DUMMYFUNCTION("""COMPUTED_VALUE"""),42515.99861111111)</f>
        <v>42515.99861</v>
      </c>
      <c r="B2149" s="1">
        <f>IFERROR(__xludf.DUMMYFUNCTION("""COMPUTED_VALUE"""),123.5524752)</f>
        <v>123.5524752</v>
      </c>
    </row>
    <row r="2150">
      <c r="A2150" s="3">
        <f>IFERROR(__xludf.DUMMYFUNCTION("""COMPUTED_VALUE"""),42516.99861111111)</f>
        <v>42516.99861</v>
      </c>
      <c r="B2150" s="1">
        <f>IFERROR(__xludf.DUMMYFUNCTION("""COMPUTED_VALUE"""),123.4368096)</f>
        <v>123.4368096</v>
      </c>
    </row>
    <row r="2151">
      <c r="A2151" s="3">
        <f>IFERROR(__xludf.DUMMYFUNCTION("""COMPUTED_VALUE"""),42517.99861111111)</f>
        <v>42517.99861</v>
      </c>
      <c r="B2151" s="1">
        <f>IFERROR(__xludf.DUMMYFUNCTION("""COMPUTED_VALUE"""),122.9892)</f>
        <v>122.9892</v>
      </c>
    </row>
    <row r="2152">
      <c r="A2152" s="3">
        <f>IFERROR(__xludf.DUMMYFUNCTION("""COMPUTED_VALUE"""),42518.99861111111)</f>
        <v>42518.99861</v>
      </c>
      <c r="B2152" s="1">
        <f>IFERROR(__xludf.DUMMYFUNCTION("""COMPUTED_VALUE"""),124.5878782)</f>
        <v>124.5878782</v>
      </c>
    </row>
    <row r="2153">
      <c r="A2153" s="3">
        <f>IFERROR(__xludf.DUMMYFUNCTION("""COMPUTED_VALUE"""),42519.99861111111)</f>
        <v>42519.99861</v>
      </c>
      <c r="B2153" s="1">
        <f>IFERROR(__xludf.DUMMYFUNCTION("""COMPUTED_VALUE"""),123.9766146)</f>
        <v>123.9766146</v>
      </c>
    </row>
    <row r="2154">
      <c r="A2154" s="3">
        <f>IFERROR(__xludf.DUMMYFUNCTION("""COMPUTED_VALUE"""),42520.99861111111)</f>
        <v>42520.99861</v>
      </c>
      <c r="B2154" s="1">
        <f>IFERROR(__xludf.DUMMYFUNCTION("""COMPUTED_VALUE"""),122.9802451)</f>
        <v>122.9802451</v>
      </c>
    </row>
    <row r="2155">
      <c r="A2155" s="3">
        <f>IFERROR(__xludf.DUMMYFUNCTION("""COMPUTED_VALUE"""),42521.99861111111)</f>
        <v>42521.99861</v>
      </c>
      <c r="B2155" s="1">
        <f>IFERROR(__xludf.DUMMYFUNCTION("""COMPUTED_VALUE"""),123.2563192)</f>
        <v>123.2563192</v>
      </c>
    </row>
    <row r="2156">
      <c r="A2156" s="3">
        <f>IFERROR(__xludf.DUMMYFUNCTION("""COMPUTED_VALUE"""),42522.99861111111)</f>
        <v>42522.99861</v>
      </c>
      <c r="B2156" s="1">
        <f>IFERROR(__xludf.DUMMYFUNCTION("""COMPUTED_VALUE"""),124.282437)</f>
        <v>124.282437</v>
      </c>
    </row>
    <row r="2157">
      <c r="A2157" s="3">
        <f>IFERROR(__xludf.DUMMYFUNCTION("""COMPUTED_VALUE"""),42523.99861111111)</f>
        <v>42523.99861</v>
      </c>
      <c r="B2157" s="1">
        <f>IFERROR(__xludf.DUMMYFUNCTION("""COMPUTED_VALUE"""),124.988796)</f>
        <v>124.988796</v>
      </c>
    </row>
    <row r="2158">
      <c r="A2158" s="3">
        <f>IFERROR(__xludf.DUMMYFUNCTION("""COMPUTED_VALUE"""),42524.99861111111)</f>
        <v>42524.99861</v>
      </c>
      <c r="B2158" s="1">
        <f>IFERROR(__xludf.DUMMYFUNCTION("""COMPUTED_VALUE"""),125.86084)</f>
        <v>125.86084</v>
      </c>
    </row>
    <row r="2159">
      <c r="A2159" s="3">
        <f>IFERROR(__xludf.DUMMYFUNCTION("""COMPUTED_VALUE"""),42525.99861111111)</f>
        <v>42525.99861</v>
      </c>
      <c r="B2159" s="1">
        <f>IFERROR(__xludf.DUMMYFUNCTION("""COMPUTED_VALUE"""),126.244951)</f>
        <v>126.244951</v>
      </c>
    </row>
    <row r="2160">
      <c r="A2160" s="3">
        <f>IFERROR(__xludf.DUMMYFUNCTION("""COMPUTED_VALUE"""),42526.99861111111)</f>
        <v>42526.99861</v>
      </c>
      <c r="B2160" s="1">
        <f>IFERROR(__xludf.DUMMYFUNCTION("""COMPUTED_VALUE"""),126.2492423)</f>
        <v>126.2492423</v>
      </c>
    </row>
    <row r="2161">
      <c r="A2161" s="3">
        <f>IFERROR(__xludf.DUMMYFUNCTION("""COMPUTED_VALUE"""),42527.99861111111)</f>
        <v>42527.99861</v>
      </c>
      <c r="B2161" s="1">
        <f>IFERROR(__xludf.DUMMYFUNCTION("""COMPUTED_VALUE"""),124.1764839)</f>
        <v>124.1764839</v>
      </c>
    </row>
    <row r="2162">
      <c r="A2162" s="3">
        <f>IFERROR(__xludf.DUMMYFUNCTION("""COMPUTED_VALUE"""),42528.99861111111)</f>
        <v>42528.99861</v>
      </c>
      <c r="B2162" s="1">
        <f>IFERROR(__xludf.DUMMYFUNCTION("""COMPUTED_VALUE"""),123.2796081)</f>
        <v>123.2796081</v>
      </c>
    </row>
    <row r="2163">
      <c r="A2163" s="3">
        <f>IFERROR(__xludf.DUMMYFUNCTION("""COMPUTED_VALUE"""),42529.99861111111)</f>
        <v>42529.99861</v>
      </c>
      <c r="B2163" s="1">
        <f>IFERROR(__xludf.DUMMYFUNCTION("""COMPUTED_VALUE"""),123.5988)</f>
        <v>123.5988</v>
      </c>
    </row>
    <row r="2164">
      <c r="A2164" s="3">
        <f>IFERROR(__xludf.DUMMYFUNCTION("""COMPUTED_VALUE"""),42530.99861111111)</f>
        <v>42530.99861</v>
      </c>
      <c r="B2164" s="1">
        <f>IFERROR(__xludf.DUMMYFUNCTION("""COMPUTED_VALUE"""),123.70465)</f>
        <v>123.70465</v>
      </c>
    </row>
    <row r="2165">
      <c r="A2165" s="3">
        <f>IFERROR(__xludf.DUMMYFUNCTION("""COMPUTED_VALUE"""),42531.99861111111)</f>
        <v>42531.99861</v>
      </c>
      <c r="B2165" s="1">
        <f>IFERROR(__xludf.DUMMYFUNCTION("""COMPUTED_VALUE"""),124.5981)</f>
        <v>124.5981</v>
      </c>
    </row>
    <row r="2166">
      <c r="A2166" s="3">
        <f>IFERROR(__xludf.DUMMYFUNCTION("""COMPUTED_VALUE"""),42532.99861111111)</f>
        <v>42532.99861</v>
      </c>
      <c r="B2166" s="1">
        <f>IFERROR(__xludf.DUMMYFUNCTION("""COMPUTED_VALUE"""),124.8330655)</f>
        <v>124.8330655</v>
      </c>
    </row>
    <row r="2167">
      <c r="A2167" s="3">
        <f>IFERROR(__xludf.DUMMYFUNCTION("""COMPUTED_VALUE"""),42533.99861111111)</f>
        <v>42533.99861</v>
      </c>
      <c r="B2167" s="1">
        <f>IFERROR(__xludf.DUMMYFUNCTION("""COMPUTED_VALUE"""),125.5226901)</f>
        <v>125.5226901</v>
      </c>
    </row>
    <row r="2168">
      <c r="A2168" s="3">
        <f>IFERROR(__xludf.DUMMYFUNCTION("""COMPUTED_VALUE"""),42534.99861111111)</f>
        <v>42534.99861</v>
      </c>
      <c r="B2168" s="1">
        <f>IFERROR(__xludf.DUMMYFUNCTION("""COMPUTED_VALUE"""),125.3745878)</f>
        <v>125.3745878</v>
      </c>
    </row>
    <row r="2169">
      <c r="A2169" s="3">
        <f>IFERROR(__xludf.DUMMYFUNCTION("""COMPUTED_VALUE"""),42535.99861111111)</f>
        <v>42535.99861</v>
      </c>
      <c r="B2169" s="1">
        <f>IFERROR(__xludf.DUMMYFUNCTION("""COMPUTED_VALUE"""),125.809065)</f>
        <v>125.809065</v>
      </c>
    </row>
    <row r="2170">
      <c r="A2170" s="3">
        <f>IFERROR(__xludf.DUMMYFUNCTION("""COMPUTED_VALUE"""),42536.99861111111)</f>
        <v>42536.99861</v>
      </c>
      <c r="B2170" s="1">
        <f>IFERROR(__xludf.DUMMYFUNCTION("""COMPUTED_VALUE"""),125.804736)</f>
        <v>125.804736</v>
      </c>
    </row>
    <row r="2171">
      <c r="A2171" s="3">
        <f>IFERROR(__xludf.DUMMYFUNCTION("""COMPUTED_VALUE"""),42537.99861111111)</f>
        <v>42537.99861</v>
      </c>
      <c r="B2171" s="1">
        <f>IFERROR(__xludf.DUMMYFUNCTION("""COMPUTED_VALUE"""),127.8175596)</f>
        <v>127.8175596</v>
      </c>
    </row>
    <row r="2172">
      <c r="A2172" s="3">
        <f>IFERROR(__xludf.DUMMYFUNCTION("""COMPUTED_VALUE"""),42538.99861111111)</f>
        <v>42538.99861</v>
      </c>
      <c r="B2172" s="1">
        <f>IFERROR(__xludf.DUMMYFUNCTION("""COMPUTED_VALUE"""),127.9872)</f>
        <v>127.9872</v>
      </c>
    </row>
    <row r="2173">
      <c r="A2173" s="3">
        <f>IFERROR(__xludf.DUMMYFUNCTION("""COMPUTED_VALUE"""),42539.99861111111)</f>
        <v>42539.99861</v>
      </c>
      <c r="B2173" s="1">
        <f>IFERROR(__xludf.DUMMYFUNCTION("""COMPUTED_VALUE"""),127.999968)</f>
        <v>127.999968</v>
      </c>
    </row>
    <row r="2174">
      <c r="A2174" s="3">
        <f>IFERROR(__xludf.DUMMYFUNCTION("""COMPUTED_VALUE"""),42540.99861111111)</f>
        <v>42540.99861</v>
      </c>
      <c r="B2174" s="1">
        <f>IFERROR(__xludf.DUMMYFUNCTION("""COMPUTED_VALUE"""),127.3839681)</f>
        <v>127.3839681</v>
      </c>
    </row>
    <row r="2175">
      <c r="A2175" s="3">
        <f>IFERROR(__xludf.DUMMYFUNCTION("""COMPUTED_VALUE"""),42541.99861111111)</f>
        <v>42541.99861</v>
      </c>
      <c r="B2175" s="1">
        <f>IFERROR(__xludf.DUMMYFUNCTION("""COMPUTED_VALUE"""),127.5869)</f>
        <v>127.5869</v>
      </c>
    </row>
    <row r="2176">
      <c r="A2176" s="3">
        <f>IFERROR(__xludf.DUMMYFUNCTION("""COMPUTED_VALUE"""),42542.99861111111)</f>
        <v>42542.99861</v>
      </c>
      <c r="B2176" s="1">
        <f>IFERROR(__xludf.DUMMYFUNCTION("""COMPUTED_VALUE"""),126.577297)</f>
        <v>126.577297</v>
      </c>
    </row>
    <row r="2177">
      <c r="A2177" s="3">
        <f>IFERROR(__xludf.DUMMYFUNCTION("""COMPUTED_VALUE"""),42543.99861111111)</f>
        <v>42543.99861</v>
      </c>
      <c r="B2177" s="1">
        <f>IFERROR(__xludf.DUMMYFUNCTION("""COMPUTED_VALUE"""),126.070308)</f>
        <v>126.070308</v>
      </c>
    </row>
    <row r="2178">
      <c r="A2178" s="3">
        <f>IFERROR(__xludf.DUMMYFUNCTION("""COMPUTED_VALUE"""),42544.99861111111)</f>
        <v>42544.99861</v>
      </c>
      <c r="B2178" s="1">
        <f>IFERROR(__xludf.DUMMYFUNCTION("""COMPUTED_VALUE"""),126.236725)</f>
        <v>126.236725</v>
      </c>
    </row>
    <row r="2179">
      <c r="A2179" s="3">
        <f>IFERROR(__xludf.DUMMYFUNCTION("""COMPUTED_VALUE"""),42545.99861111111)</f>
        <v>42545.99861</v>
      </c>
      <c r="B2179" s="1">
        <f>IFERROR(__xludf.DUMMYFUNCTION("""COMPUTED_VALUE"""),130.8075)</f>
        <v>130.8075</v>
      </c>
    </row>
    <row r="2180">
      <c r="A2180" s="3">
        <f>IFERROR(__xludf.DUMMYFUNCTION("""COMPUTED_VALUE"""),42546.99861111111)</f>
        <v>42546.99861</v>
      </c>
      <c r="B2180" s="1">
        <f>IFERROR(__xludf.DUMMYFUNCTION("""COMPUTED_VALUE"""),131.8058424)</f>
        <v>131.8058424</v>
      </c>
    </row>
    <row r="2181">
      <c r="A2181" s="3">
        <f>IFERROR(__xludf.DUMMYFUNCTION("""COMPUTED_VALUE"""),42547.99861111111)</f>
        <v>42547.99861</v>
      </c>
      <c r="B2181" s="1">
        <f>IFERROR(__xludf.DUMMYFUNCTION("""COMPUTED_VALUE"""),133.133312)</f>
        <v>133.133312</v>
      </c>
    </row>
    <row r="2182">
      <c r="A2182" s="3">
        <f>IFERROR(__xludf.DUMMYFUNCTION("""COMPUTED_VALUE"""),42548.99861111111)</f>
        <v>42548.99861</v>
      </c>
      <c r="B2182" s="1">
        <f>IFERROR(__xludf.DUMMYFUNCTION("""COMPUTED_VALUE"""),131.4313305)</f>
        <v>131.4313305</v>
      </c>
    </row>
    <row r="2183">
      <c r="A2183" s="3">
        <f>IFERROR(__xludf.DUMMYFUNCTION("""COMPUTED_VALUE"""),42549.99861111111)</f>
        <v>42549.99861</v>
      </c>
      <c r="B2183" s="1">
        <f>IFERROR(__xludf.DUMMYFUNCTION("""COMPUTED_VALUE"""),128.121812)</f>
        <v>128.121812</v>
      </c>
    </row>
    <row r="2184">
      <c r="A2184" s="3">
        <f>IFERROR(__xludf.DUMMYFUNCTION("""COMPUTED_VALUE"""),42550.99861111111)</f>
        <v>42550.99861</v>
      </c>
      <c r="B2184" s="1">
        <f>IFERROR(__xludf.DUMMYFUNCTION("""COMPUTED_VALUE"""),127.8083086)</f>
        <v>127.8083086</v>
      </c>
    </row>
    <row r="2185">
      <c r="A2185" s="3">
        <f>IFERROR(__xludf.DUMMYFUNCTION("""COMPUTED_VALUE"""),42551.99861111111)</f>
        <v>42551.99861</v>
      </c>
      <c r="B2185" s="1">
        <f>IFERROR(__xludf.DUMMYFUNCTION("""COMPUTED_VALUE"""),127.8116292)</f>
        <v>127.8116292</v>
      </c>
    </row>
    <row r="2186">
      <c r="A2186" s="3">
        <f>IFERROR(__xludf.DUMMYFUNCTION("""COMPUTED_VALUE"""),42552.99861111111)</f>
        <v>42552.99861</v>
      </c>
      <c r="B2186" s="1">
        <f>IFERROR(__xludf.DUMMYFUNCTION("""COMPUTED_VALUE"""),127.87125)</f>
        <v>127.87125</v>
      </c>
    </row>
    <row r="2187">
      <c r="A2187" s="3">
        <f>IFERROR(__xludf.DUMMYFUNCTION("""COMPUTED_VALUE"""),42553.99861111111)</f>
        <v>42553.99861</v>
      </c>
      <c r="B2187" s="1">
        <f>IFERROR(__xludf.DUMMYFUNCTION("""COMPUTED_VALUE"""),127.9526625)</f>
        <v>127.9526625</v>
      </c>
    </row>
    <row r="2188">
      <c r="A2188" s="3">
        <f>IFERROR(__xludf.DUMMYFUNCTION("""COMPUTED_VALUE"""),42554.99861111111)</f>
        <v>42554.99861</v>
      </c>
      <c r="B2188" s="1">
        <f>IFERROR(__xludf.DUMMYFUNCTION("""COMPUTED_VALUE"""),127.9526625)</f>
        <v>127.9526625</v>
      </c>
    </row>
    <row r="2189">
      <c r="A2189" s="3">
        <f>IFERROR(__xludf.DUMMYFUNCTION("""COMPUTED_VALUE"""),42555.99861111111)</f>
        <v>42555.99861</v>
      </c>
      <c r="B2189" s="1">
        <f>IFERROR(__xludf.DUMMYFUNCTION("""COMPUTED_VALUE"""),127.355896)</f>
        <v>127.355896</v>
      </c>
    </row>
    <row r="2190">
      <c r="A2190" s="3">
        <f>IFERROR(__xludf.DUMMYFUNCTION("""COMPUTED_VALUE"""),42556.99861111111)</f>
        <v>42556.99861</v>
      </c>
      <c r="B2190" s="1">
        <f>IFERROR(__xludf.DUMMYFUNCTION("""COMPUTED_VALUE"""),130.118184)</f>
        <v>130.118184</v>
      </c>
    </row>
    <row r="2191">
      <c r="A2191" s="3">
        <f>IFERROR(__xludf.DUMMYFUNCTION("""COMPUTED_VALUE"""),42557.99861111111)</f>
        <v>42557.99861</v>
      </c>
      <c r="B2191" s="1">
        <f>IFERROR(__xludf.DUMMYFUNCTION("""COMPUTED_VALUE"""),130.6019412)</f>
        <v>130.6019412</v>
      </c>
    </row>
    <row r="2192">
      <c r="A2192" s="3">
        <f>IFERROR(__xludf.DUMMYFUNCTION("""COMPUTED_VALUE"""),42558.99861111111)</f>
        <v>42558.99861</v>
      </c>
      <c r="B2192" s="1">
        <f>IFERROR(__xludf.DUMMYFUNCTION("""COMPUTED_VALUE"""),129.94676)</f>
        <v>129.94676</v>
      </c>
    </row>
    <row r="2193">
      <c r="A2193" s="3">
        <f>IFERROR(__xludf.DUMMYFUNCTION("""COMPUTED_VALUE"""),42559.99861111111)</f>
        <v>42559.99861</v>
      </c>
      <c r="B2193" s="1">
        <f>IFERROR(__xludf.DUMMYFUNCTION("""COMPUTED_VALUE"""),130.2637)</f>
        <v>130.2637</v>
      </c>
    </row>
    <row r="2194">
      <c r="A2194" s="3">
        <f>IFERROR(__xludf.DUMMYFUNCTION("""COMPUTED_VALUE"""),42560.99861111111)</f>
        <v>42560.99861</v>
      </c>
      <c r="B2194" s="1">
        <f>IFERROR(__xludf.DUMMYFUNCTION("""COMPUTED_VALUE"""),130.617564)</f>
        <v>130.617564</v>
      </c>
    </row>
    <row r="2195">
      <c r="A2195" s="3">
        <f>IFERROR(__xludf.DUMMYFUNCTION("""COMPUTED_VALUE"""),42561.99861111111)</f>
        <v>42561.99861</v>
      </c>
      <c r="B2195" s="1">
        <f>IFERROR(__xludf.DUMMYFUNCTION("""COMPUTED_VALUE"""),130.486158)</f>
        <v>130.486158</v>
      </c>
    </row>
    <row r="2196">
      <c r="A2196" s="3">
        <f>IFERROR(__xludf.DUMMYFUNCTION("""COMPUTED_VALUE"""),42562.99861111111)</f>
        <v>42562.99861</v>
      </c>
      <c r="B2196" s="1">
        <f>IFERROR(__xludf.DUMMYFUNCTION("""COMPUTED_VALUE"""),127.951488)</f>
        <v>127.951488</v>
      </c>
    </row>
    <row r="2197">
      <c r="A2197" s="3">
        <f>IFERROR(__xludf.DUMMYFUNCTION("""COMPUTED_VALUE"""),42563.99861111111)</f>
        <v>42563.99861</v>
      </c>
      <c r="B2197" s="1">
        <f>IFERROR(__xludf.DUMMYFUNCTION("""COMPUTED_VALUE"""),124.774725)</f>
        <v>124.774725</v>
      </c>
    </row>
    <row r="2198">
      <c r="A2198" s="3">
        <f>IFERROR(__xludf.DUMMYFUNCTION("""COMPUTED_VALUE"""),42564.99861111111)</f>
        <v>42564.99861</v>
      </c>
      <c r="B2198" s="1">
        <f>IFERROR(__xludf.DUMMYFUNCTION("""COMPUTED_VALUE"""),125.0181855)</f>
        <v>125.0181855</v>
      </c>
    </row>
    <row r="2199">
      <c r="A2199" s="3">
        <f>IFERROR(__xludf.DUMMYFUNCTION("""COMPUTED_VALUE"""),42565.99861111111)</f>
        <v>42565.99861</v>
      </c>
      <c r="B2199" s="1">
        <f>IFERROR(__xludf.DUMMYFUNCTION("""COMPUTED_VALUE"""),123.69)</f>
        <v>123.69</v>
      </c>
    </row>
    <row r="2200">
      <c r="A2200" s="3">
        <f>IFERROR(__xludf.DUMMYFUNCTION("""COMPUTED_VALUE"""),42566.99861111111)</f>
        <v>42566.99861</v>
      </c>
      <c r="B2200" s="1">
        <f>IFERROR(__xludf.DUMMYFUNCTION("""COMPUTED_VALUE"""),124.48086)</f>
        <v>124.48086</v>
      </c>
    </row>
    <row r="2201">
      <c r="A2201" s="3">
        <f>IFERROR(__xludf.DUMMYFUNCTION("""COMPUTED_VALUE"""),42567.99861111111)</f>
        <v>42567.99861</v>
      </c>
      <c r="B2201" s="1">
        <f>IFERROR(__xludf.DUMMYFUNCTION("""COMPUTED_VALUE"""),125.5262706)</f>
        <v>125.5262706</v>
      </c>
    </row>
    <row r="2202">
      <c r="A2202" s="3">
        <f>IFERROR(__xludf.DUMMYFUNCTION("""COMPUTED_VALUE"""),42568.99861111111)</f>
        <v>42568.99861</v>
      </c>
      <c r="B2202" s="1">
        <f>IFERROR(__xludf.DUMMYFUNCTION("""COMPUTED_VALUE"""),124.7552182)</f>
        <v>124.7552182</v>
      </c>
    </row>
    <row r="2203">
      <c r="A2203" s="3">
        <f>IFERROR(__xludf.DUMMYFUNCTION("""COMPUTED_VALUE"""),42569.99861111111)</f>
        <v>42569.99861</v>
      </c>
      <c r="B2203" s="1">
        <f>IFERROR(__xludf.DUMMYFUNCTION("""COMPUTED_VALUE"""),123.1803742)</f>
        <v>123.1803742</v>
      </c>
    </row>
    <row r="2204">
      <c r="A2204" s="3">
        <f>IFERROR(__xludf.DUMMYFUNCTION("""COMPUTED_VALUE"""),42570.99861111111)</f>
        <v>42570.99861</v>
      </c>
      <c r="B2204" s="1">
        <f>IFERROR(__xludf.DUMMYFUNCTION("""COMPUTED_VALUE"""),123.3255856)</f>
        <v>123.3255856</v>
      </c>
    </row>
    <row r="2205">
      <c r="A2205" s="3">
        <f>IFERROR(__xludf.DUMMYFUNCTION("""COMPUTED_VALUE"""),42571.99861111111)</f>
        <v>42571.99861</v>
      </c>
      <c r="B2205" s="1">
        <f>IFERROR(__xludf.DUMMYFUNCTION("""COMPUTED_VALUE"""),122.2054355)</f>
        <v>122.2054355</v>
      </c>
    </row>
    <row r="2206">
      <c r="A2206" s="3">
        <f>IFERROR(__xludf.DUMMYFUNCTION("""COMPUTED_VALUE"""),42572.99861111111)</f>
        <v>42572.99861</v>
      </c>
      <c r="B2206" s="1">
        <f>IFERROR(__xludf.DUMMYFUNCTION("""COMPUTED_VALUE"""),123.89895)</f>
        <v>123.89895</v>
      </c>
    </row>
    <row r="2207">
      <c r="A2207" s="3">
        <f>IFERROR(__xludf.DUMMYFUNCTION("""COMPUTED_VALUE"""),42573.99861111111)</f>
        <v>42573.99861</v>
      </c>
      <c r="B2207" s="1">
        <f>IFERROR(__xludf.DUMMYFUNCTION("""COMPUTED_VALUE"""),123.52446)</f>
        <v>123.52446</v>
      </c>
    </row>
    <row r="2208">
      <c r="A2208" s="3">
        <f>IFERROR(__xludf.DUMMYFUNCTION("""COMPUTED_VALUE"""),42574.99861111111)</f>
        <v>42574.99861</v>
      </c>
      <c r="B2208" s="1">
        <f>IFERROR(__xludf.DUMMYFUNCTION("""COMPUTED_VALUE"""),123.621957)</f>
        <v>123.621957</v>
      </c>
    </row>
    <row r="2209">
      <c r="A2209" s="3">
        <f>IFERROR(__xludf.DUMMYFUNCTION("""COMPUTED_VALUE"""),42575.99861111111)</f>
        <v>42575.99861</v>
      </c>
      <c r="B2209" s="1">
        <f>IFERROR(__xludf.DUMMYFUNCTION("""COMPUTED_VALUE"""),123.35949)</f>
        <v>123.35949</v>
      </c>
    </row>
    <row r="2210">
      <c r="A2210" s="3">
        <f>IFERROR(__xludf.DUMMYFUNCTION("""COMPUTED_VALUE"""),42576.99861111111)</f>
        <v>42576.99861</v>
      </c>
      <c r="B2210" s="1">
        <f>IFERROR(__xludf.DUMMYFUNCTION("""COMPUTED_VALUE"""),124.001793)</f>
        <v>124.001793</v>
      </c>
    </row>
    <row r="2211">
      <c r="A2211" s="3">
        <f>IFERROR(__xludf.DUMMYFUNCTION("""COMPUTED_VALUE"""),42577.99861111111)</f>
        <v>42577.99861</v>
      </c>
      <c r="B2211" s="1">
        <f>IFERROR(__xludf.DUMMYFUNCTION("""COMPUTED_VALUE"""),125.5009862)</f>
        <v>125.5009862</v>
      </c>
    </row>
    <row r="2212">
      <c r="A2212" s="3">
        <f>IFERROR(__xludf.DUMMYFUNCTION("""COMPUTED_VALUE"""),42578.99861111111)</f>
        <v>42578.99861</v>
      </c>
      <c r="B2212" s="1">
        <f>IFERROR(__xludf.DUMMYFUNCTION("""COMPUTED_VALUE"""),124.7754774)</f>
        <v>124.7754774</v>
      </c>
    </row>
    <row r="2213">
      <c r="A2213" s="3">
        <f>IFERROR(__xludf.DUMMYFUNCTION("""COMPUTED_VALUE"""),42579.99861111111)</f>
        <v>42579.99861</v>
      </c>
      <c r="B2213" s="1">
        <f>IFERROR(__xludf.DUMMYFUNCTION("""COMPUTED_VALUE"""),124.57332)</f>
        <v>124.57332</v>
      </c>
    </row>
    <row r="2214">
      <c r="A2214" s="3">
        <f>IFERROR(__xludf.DUMMYFUNCTION("""COMPUTED_VALUE"""),42580.99861111111)</f>
        <v>42580.99861</v>
      </c>
      <c r="B2214" s="1">
        <f>IFERROR(__xludf.DUMMYFUNCTION("""COMPUTED_VALUE"""),127.4658)</f>
        <v>127.4658</v>
      </c>
    </row>
    <row r="2215">
      <c r="A2215" s="3">
        <f>IFERROR(__xludf.DUMMYFUNCTION("""COMPUTED_VALUE"""),42581.99861111111)</f>
        <v>42581.99861</v>
      </c>
      <c r="B2215" s="1">
        <f>IFERROR(__xludf.DUMMYFUNCTION("""COMPUTED_VALUE"""),128.60883)</f>
        <v>128.60883</v>
      </c>
    </row>
    <row r="2216">
      <c r="A2216" s="3">
        <f>IFERROR(__xludf.DUMMYFUNCTION("""COMPUTED_VALUE"""),42582.99861111111)</f>
        <v>42582.99861</v>
      </c>
      <c r="B2216" s="1">
        <f>IFERROR(__xludf.DUMMYFUNCTION("""COMPUTED_VALUE"""),128.2256281)</f>
        <v>128.2256281</v>
      </c>
    </row>
    <row r="2217">
      <c r="A2217" s="3">
        <f>IFERROR(__xludf.DUMMYFUNCTION("""COMPUTED_VALUE"""),42583.99861111111)</f>
        <v>42583.99861</v>
      </c>
      <c r="B2217" s="1">
        <f>IFERROR(__xludf.DUMMYFUNCTION("""COMPUTED_VALUE"""),127.075175)</f>
        <v>127.075175</v>
      </c>
    </row>
    <row r="2218">
      <c r="A2218" s="3">
        <f>IFERROR(__xludf.DUMMYFUNCTION("""COMPUTED_VALUE"""),42584.99861111111)</f>
        <v>42584.99861</v>
      </c>
      <c r="B2218" s="1">
        <f>IFERROR(__xludf.DUMMYFUNCTION("""COMPUTED_VALUE"""),129.47988)</f>
        <v>129.47988</v>
      </c>
    </row>
    <row r="2219">
      <c r="A2219" s="3">
        <f>IFERROR(__xludf.DUMMYFUNCTION("""COMPUTED_VALUE"""),42585.99861111111)</f>
        <v>42585.99861</v>
      </c>
      <c r="B2219" s="1">
        <f>IFERROR(__xludf.DUMMYFUNCTION("""COMPUTED_VALUE"""),129.6918)</f>
        <v>129.6918</v>
      </c>
    </row>
    <row r="2220">
      <c r="A2220" s="3">
        <f>IFERROR(__xludf.DUMMYFUNCTION("""COMPUTED_VALUE"""),42586.99861111111)</f>
        <v>42586.99861</v>
      </c>
      <c r="B2220" s="1">
        <f>IFERROR(__xludf.DUMMYFUNCTION("""COMPUTED_VALUE"""),129.4550194)</f>
        <v>129.4550194</v>
      </c>
    </row>
    <row r="2221">
      <c r="A2221" s="3">
        <f>IFERROR(__xludf.DUMMYFUNCTION("""COMPUTED_VALUE"""),42587.99861111111)</f>
        <v>42587.99861</v>
      </c>
      <c r="B2221" s="1">
        <f>IFERROR(__xludf.DUMMYFUNCTION("""COMPUTED_VALUE"""),128.85804)</f>
        <v>128.85804</v>
      </c>
    </row>
    <row r="2222">
      <c r="A2222" s="3">
        <f>IFERROR(__xludf.DUMMYFUNCTION("""COMPUTED_VALUE"""),42588.99861111111)</f>
        <v>42588.99861</v>
      </c>
      <c r="B2222" s="1">
        <f>IFERROR(__xludf.DUMMYFUNCTION("""COMPUTED_VALUE"""),129.040692)</f>
        <v>129.040692</v>
      </c>
    </row>
    <row r="2223">
      <c r="A2223" s="3">
        <f>IFERROR(__xludf.DUMMYFUNCTION("""COMPUTED_VALUE"""),42589.99861111111)</f>
        <v>42589.99861</v>
      </c>
      <c r="B2223" s="1">
        <f>IFERROR(__xludf.DUMMYFUNCTION("""COMPUTED_VALUE"""),128.6175646)</f>
        <v>128.6175646</v>
      </c>
    </row>
    <row r="2224">
      <c r="A2224" s="3">
        <f>IFERROR(__xludf.DUMMYFUNCTION("""COMPUTED_VALUE"""),42590.99861111111)</f>
        <v>42590.99861</v>
      </c>
      <c r="B2224" s="1">
        <f>IFERROR(__xludf.DUMMYFUNCTION("""COMPUTED_VALUE"""),128.1669)</f>
        <v>128.1669</v>
      </c>
    </row>
    <row r="2225">
      <c r="A2225" s="3">
        <f>IFERROR(__xludf.DUMMYFUNCTION("""COMPUTED_VALUE"""),42591.99861111111)</f>
        <v>42591.99861</v>
      </c>
      <c r="B2225" s="1">
        <f>IFERROR(__xludf.DUMMYFUNCTION("""COMPUTED_VALUE"""),128.52081)</f>
        <v>128.52081</v>
      </c>
    </row>
    <row r="2226">
      <c r="A2226" s="3">
        <f>IFERROR(__xludf.DUMMYFUNCTION("""COMPUTED_VALUE"""),42592.99861111111)</f>
        <v>42592.99861</v>
      </c>
      <c r="B2226" s="1">
        <f>IFERROR(__xludf.DUMMYFUNCTION("""COMPUTED_VALUE"""),129.3306882)</f>
        <v>129.3306882</v>
      </c>
    </row>
    <row r="2227">
      <c r="A2227" s="3">
        <f>IFERROR(__xludf.DUMMYFUNCTION("""COMPUTED_VALUE"""),42593.99861111111)</f>
        <v>42593.99861</v>
      </c>
      <c r="B2227" s="1">
        <f>IFERROR(__xludf.DUMMYFUNCTION("""COMPUTED_VALUE"""),128.6249796)</f>
        <v>128.6249796</v>
      </c>
    </row>
    <row r="2228">
      <c r="A2228" s="3">
        <f>IFERROR(__xludf.DUMMYFUNCTION("""COMPUTED_VALUE"""),42594.99861111111)</f>
        <v>42594.99861</v>
      </c>
      <c r="B2228" s="1">
        <f>IFERROR(__xludf.DUMMYFUNCTION("""COMPUTED_VALUE"""),129.40557)</f>
        <v>129.40557</v>
      </c>
    </row>
    <row r="2229">
      <c r="A2229" s="3">
        <f>IFERROR(__xludf.DUMMYFUNCTION("""COMPUTED_VALUE"""),42595.99861111111)</f>
        <v>42595.99861</v>
      </c>
      <c r="B2229" s="1">
        <f>IFERROR(__xludf.DUMMYFUNCTION("""COMPUTED_VALUE"""),129.5274645)</f>
        <v>129.5274645</v>
      </c>
    </row>
    <row r="2230">
      <c r="A2230" s="3">
        <f>IFERROR(__xludf.DUMMYFUNCTION("""COMPUTED_VALUE"""),42596.99861111111)</f>
        <v>42596.99861</v>
      </c>
      <c r="B2230" s="1">
        <f>IFERROR(__xludf.DUMMYFUNCTION("""COMPUTED_VALUE"""),129.3680154)</f>
        <v>129.3680154</v>
      </c>
    </row>
    <row r="2231">
      <c r="A2231" s="3">
        <f>IFERROR(__xludf.DUMMYFUNCTION("""COMPUTED_VALUE"""),42597.99861111111)</f>
        <v>42597.99861</v>
      </c>
      <c r="B2231" s="1">
        <f>IFERROR(__xludf.DUMMYFUNCTION("""COMPUTED_VALUE"""),128.9846376)</f>
        <v>128.9846376</v>
      </c>
    </row>
    <row r="2232">
      <c r="A2232" s="3">
        <f>IFERROR(__xludf.DUMMYFUNCTION("""COMPUTED_VALUE"""),42598.99861111111)</f>
        <v>42598.99861</v>
      </c>
      <c r="B2232" s="1">
        <f>IFERROR(__xludf.DUMMYFUNCTION("""COMPUTED_VALUE"""),130.8110692)</f>
        <v>130.8110692</v>
      </c>
    </row>
    <row r="2233">
      <c r="A2233" s="3">
        <f>IFERROR(__xludf.DUMMYFUNCTION("""COMPUTED_VALUE"""),42599.99861111111)</f>
        <v>42599.99861</v>
      </c>
      <c r="B2233" s="1">
        <f>IFERROR(__xludf.DUMMYFUNCTION("""COMPUTED_VALUE"""),131.25492)</f>
        <v>131.25492</v>
      </c>
    </row>
    <row r="2234">
      <c r="A2234" s="3">
        <f>IFERROR(__xludf.DUMMYFUNCTION("""COMPUTED_VALUE"""),42600.99861111111)</f>
        <v>42600.99861</v>
      </c>
      <c r="B2234" s="1">
        <f>IFERROR(__xludf.DUMMYFUNCTION("""COMPUTED_VALUE"""),130.9038522)</f>
        <v>130.9038522</v>
      </c>
    </row>
    <row r="2235">
      <c r="A2235" s="3">
        <f>IFERROR(__xludf.DUMMYFUNCTION("""COMPUTED_VALUE"""),42601.99861111111)</f>
        <v>42601.99861</v>
      </c>
      <c r="B2235" s="1">
        <f>IFERROR(__xludf.DUMMYFUNCTION("""COMPUTED_VALUE"""),131.1372)</f>
        <v>131.1372</v>
      </c>
    </row>
    <row r="2236">
      <c r="A2236" s="3">
        <f>IFERROR(__xludf.DUMMYFUNCTION("""COMPUTED_VALUE"""),42602.99861111111)</f>
        <v>42602.99861</v>
      </c>
      <c r="B2236" s="1">
        <f>IFERROR(__xludf.DUMMYFUNCTION("""COMPUTED_VALUE"""),131.4887954)</f>
        <v>131.4887954</v>
      </c>
    </row>
    <row r="2237">
      <c r="A2237" s="3">
        <f>IFERROR(__xludf.DUMMYFUNCTION("""COMPUTED_VALUE"""),42603.99861111111)</f>
        <v>42603.99861</v>
      </c>
      <c r="B2237" s="1">
        <f>IFERROR(__xludf.DUMMYFUNCTION("""COMPUTED_VALUE"""),131.025618)</f>
        <v>131.025618</v>
      </c>
    </row>
    <row r="2238">
      <c r="A2238" s="3">
        <f>IFERROR(__xludf.DUMMYFUNCTION("""COMPUTED_VALUE"""),42604.99861111111)</f>
        <v>42604.99861</v>
      </c>
      <c r="B2238" s="1">
        <f>IFERROR(__xludf.DUMMYFUNCTION("""COMPUTED_VALUE"""),131.7254316)</f>
        <v>131.7254316</v>
      </c>
    </row>
    <row r="2239">
      <c r="A2239" s="3">
        <f>IFERROR(__xludf.DUMMYFUNCTION("""COMPUTED_VALUE"""),42605.99861111111)</f>
        <v>42605.99861</v>
      </c>
      <c r="B2239" s="1">
        <f>IFERROR(__xludf.DUMMYFUNCTION("""COMPUTED_VALUE"""),131.8993078)</f>
        <v>131.8993078</v>
      </c>
    </row>
    <row r="2240">
      <c r="A2240" s="3">
        <f>IFERROR(__xludf.DUMMYFUNCTION("""COMPUTED_VALUE"""),42606.99861111111)</f>
        <v>42606.99861</v>
      </c>
      <c r="B2240" s="1">
        <f>IFERROR(__xludf.DUMMYFUNCTION("""COMPUTED_VALUE"""),131.78452)</f>
        <v>131.78452</v>
      </c>
    </row>
    <row r="2241">
      <c r="A2241" s="3">
        <f>IFERROR(__xludf.DUMMYFUNCTION("""COMPUTED_VALUE"""),42607.99861111111)</f>
        <v>42607.99861</v>
      </c>
      <c r="B2241" s="1">
        <f>IFERROR(__xludf.DUMMYFUNCTION("""COMPUTED_VALUE"""),131.6957058)</f>
        <v>131.6957058</v>
      </c>
    </row>
    <row r="2242">
      <c r="A2242" s="3">
        <f>IFERROR(__xludf.DUMMYFUNCTION("""COMPUTED_VALUE"""),42608.99861111111)</f>
        <v>42608.99861</v>
      </c>
      <c r="B2242" s="1">
        <f>IFERROR(__xludf.DUMMYFUNCTION("""COMPUTED_VALUE"""),130.54708)</f>
        <v>130.54708</v>
      </c>
    </row>
    <row r="2243">
      <c r="A2243" s="3">
        <f>IFERROR(__xludf.DUMMYFUNCTION("""COMPUTED_VALUE"""),42609.99861111111)</f>
        <v>42609.99861</v>
      </c>
      <c r="B2243" s="1">
        <f>IFERROR(__xludf.DUMMYFUNCTION("""COMPUTED_VALUE"""),130.7588974)</f>
        <v>130.7588974</v>
      </c>
    </row>
    <row r="2244">
      <c r="A2244" s="3">
        <f>IFERROR(__xludf.DUMMYFUNCTION("""COMPUTED_VALUE"""),42610.99861111111)</f>
        <v>42610.99861</v>
      </c>
      <c r="B2244" s="1">
        <f>IFERROR(__xludf.DUMMYFUNCTION("""COMPUTED_VALUE"""),130.561783)</f>
        <v>130.561783</v>
      </c>
    </row>
    <row r="2245">
      <c r="A2245" s="3">
        <f>IFERROR(__xludf.DUMMYFUNCTION("""COMPUTED_VALUE"""),42611.99861111111)</f>
        <v>42611.99861</v>
      </c>
      <c r="B2245" s="1">
        <f>IFERROR(__xludf.DUMMYFUNCTION("""COMPUTED_VALUE"""),130.09536)</f>
        <v>130.09536</v>
      </c>
    </row>
    <row r="2246">
      <c r="A2246" s="3">
        <f>IFERROR(__xludf.DUMMYFUNCTION("""COMPUTED_VALUE"""),42612.99861111111)</f>
        <v>42612.99861</v>
      </c>
      <c r="B2246" s="1">
        <f>IFERROR(__xludf.DUMMYFUNCTION("""COMPUTED_VALUE"""),129.1027902)</f>
        <v>129.1027902</v>
      </c>
    </row>
    <row r="2247">
      <c r="A2247" s="3">
        <f>IFERROR(__xludf.DUMMYFUNCTION("""COMPUTED_VALUE"""),42613.99861111111)</f>
        <v>42613.99861</v>
      </c>
      <c r="B2247" s="1">
        <f>IFERROR(__xludf.DUMMYFUNCTION("""COMPUTED_VALUE"""),128.527824)</f>
        <v>128.527824</v>
      </c>
    </row>
    <row r="2248">
      <c r="A2248" s="3">
        <f>IFERROR(__xludf.DUMMYFUNCTION("""COMPUTED_VALUE"""),42614.99861111111)</f>
        <v>42614.99861</v>
      </c>
      <c r="B2248" s="1">
        <f>IFERROR(__xludf.DUMMYFUNCTION("""COMPUTED_VALUE"""),128.48264)</f>
        <v>128.48264</v>
      </c>
    </row>
    <row r="2249">
      <c r="A2249" s="3">
        <f>IFERROR(__xludf.DUMMYFUNCTION("""COMPUTED_VALUE"""),42615.99861111111)</f>
        <v>42615.99861</v>
      </c>
      <c r="B2249" s="1">
        <f>IFERROR(__xludf.DUMMYFUNCTION("""COMPUTED_VALUE"""),126.9359)</f>
        <v>126.9359</v>
      </c>
    </row>
    <row r="2250">
      <c r="A2250" s="3">
        <f>IFERROR(__xludf.DUMMYFUNCTION("""COMPUTED_VALUE"""),42616.99861111111)</f>
        <v>42616.99861</v>
      </c>
      <c r="B2250" s="1">
        <f>IFERROR(__xludf.DUMMYFUNCTION("""COMPUTED_VALUE"""),126.9359)</f>
        <v>126.9359</v>
      </c>
    </row>
    <row r="2251">
      <c r="A2251" s="3">
        <f>IFERROR(__xludf.DUMMYFUNCTION("""COMPUTED_VALUE"""),42617.99861111111)</f>
        <v>42617.99861</v>
      </c>
      <c r="B2251" s="1">
        <f>IFERROR(__xludf.DUMMYFUNCTION("""COMPUTED_VALUE"""),126.9266635)</f>
        <v>126.9266635</v>
      </c>
    </row>
    <row r="2252">
      <c r="A2252" s="3">
        <f>IFERROR(__xludf.DUMMYFUNCTION("""COMPUTED_VALUE"""),42618.99861111111)</f>
        <v>42618.99861</v>
      </c>
      <c r="B2252" s="1">
        <f>IFERROR(__xludf.DUMMYFUNCTION("""COMPUTED_VALUE"""),126.7520625)</f>
        <v>126.7520625</v>
      </c>
    </row>
    <row r="2253">
      <c r="A2253" s="3">
        <f>IFERROR(__xludf.DUMMYFUNCTION("""COMPUTED_VALUE"""),42619.99861111111)</f>
        <v>42619.99861</v>
      </c>
      <c r="B2253" s="1">
        <f>IFERROR(__xludf.DUMMYFUNCTION("""COMPUTED_VALUE"""),128.6265232)</f>
        <v>128.6265232</v>
      </c>
    </row>
    <row r="2254">
      <c r="A2254" s="3">
        <f>IFERROR(__xludf.DUMMYFUNCTION("""COMPUTED_VALUE"""),42620.99861111111)</f>
        <v>42620.99861</v>
      </c>
      <c r="B2254" s="1">
        <f>IFERROR(__xludf.DUMMYFUNCTION("""COMPUTED_VALUE"""),128.333023)</f>
        <v>128.333023</v>
      </c>
    </row>
    <row r="2255">
      <c r="A2255" s="3">
        <f>IFERROR(__xludf.DUMMYFUNCTION("""COMPUTED_VALUE"""),42621.99861111111)</f>
        <v>42621.99861</v>
      </c>
      <c r="B2255" s="1">
        <f>IFERROR(__xludf.DUMMYFUNCTION("""COMPUTED_VALUE"""),127.70367)</f>
        <v>127.70367</v>
      </c>
    </row>
    <row r="2256">
      <c r="A2256" s="3">
        <f>IFERROR(__xludf.DUMMYFUNCTION("""COMPUTED_VALUE"""),42622.99861111111)</f>
        <v>42622.99861</v>
      </c>
      <c r="B2256" s="1">
        <f>IFERROR(__xludf.DUMMYFUNCTION("""COMPUTED_VALUE"""),128.34398)</f>
        <v>128.34398</v>
      </c>
    </row>
    <row r="2257">
      <c r="A2257" s="3">
        <f>IFERROR(__xludf.DUMMYFUNCTION("""COMPUTED_VALUE"""),42623.99861111111)</f>
        <v>42623.99861</v>
      </c>
      <c r="B2257" s="1">
        <f>IFERROR(__xludf.DUMMYFUNCTION("""COMPUTED_VALUE"""),128.24658)</f>
        <v>128.24658</v>
      </c>
    </row>
    <row r="2258">
      <c r="A2258" s="3">
        <f>IFERROR(__xludf.DUMMYFUNCTION("""COMPUTED_VALUE"""),42624.99861111111)</f>
        <v>42624.99861</v>
      </c>
      <c r="B2258" s="1">
        <f>IFERROR(__xludf.DUMMYFUNCTION("""COMPUTED_VALUE"""),128.5793136)</f>
        <v>128.5793136</v>
      </c>
    </row>
    <row r="2259">
      <c r="A2259" s="3">
        <f>IFERROR(__xludf.DUMMYFUNCTION("""COMPUTED_VALUE"""),42625.99861111111)</f>
        <v>42625.99861</v>
      </c>
      <c r="B2259" s="1">
        <f>IFERROR(__xludf.DUMMYFUNCTION("""COMPUTED_VALUE"""),129.4228032)</f>
        <v>129.4228032</v>
      </c>
    </row>
    <row r="2260">
      <c r="A2260" s="3">
        <f>IFERROR(__xludf.DUMMYFUNCTION("""COMPUTED_VALUE"""),42626.99861111111)</f>
        <v>42626.99861</v>
      </c>
      <c r="B2260" s="1">
        <f>IFERROR(__xludf.DUMMYFUNCTION("""COMPUTED_VALUE"""),129.1672791)</f>
        <v>129.1672791</v>
      </c>
    </row>
    <row r="2261">
      <c r="A2261" s="3">
        <f>IFERROR(__xludf.DUMMYFUNCTION("""COMPUTED_VALUE"""),42627.99861111111)</f>
        <v>42627.99861</v>
      </c>
      <c r="B2261" s="1">
        <f>IFERROR(__xludf.DUMMYFUNCTION("""COMPUTED_VALUE"""),128.6016972)</f>
        <v>128.6016972</v>
      </c>
    </row>
    <row r="2262">
      <c r="A2262" s="3">
        <f>IFERROR(__xludf.DUMMYFUNCTION("""COMPUTED_VALUE"""),42628.99861111111)</f>
        <v>42628.99861</v>
      </c>
      <c r="B2262" s="1">
        <f>IFERROR(__xludf.DUMMYFUNCTION("""COMPUTED_VALUE"""),128.8085712)</f>
        <v>128.8085712</v>
      </c>
    </row>
    <row r="2263">
      <c r="A2263" s="3">
        <f>IFERROR(__xludf.DUMMYFUNCTION("""COMPUTED_VALUE"""),42629.99861111111)</f>
        <v>42629.99861</v>
      </c>
      <c r="B2263" s="1">
        <f>IFERROR(__xludf.DUMMYFUNCTION("""COMPUTED_VALUE"""),128.73414)</f>
        <v>128.73414</v>
      </c>
    </row>
    <row r="2264">
      <c r="A2264" s="3">
        <f>IFERROR(__xludf.DUMMYFUNCTION("""COMPUTED_VALUE"""),42630.99861111111)</f>
        <v>42630.99861</v>
      </c>
      <c r="B2264" s="1">
        <f>IFERROR(__xludf.DUMMYFUNCTION("""COMPUTED_VALUE"""),128.8537494)</f>
        <v>128.8537494</v>
      </c>
    </row>
    <row r="2265">
      <c r="A2265" s="3">
        <f>IFERROR(__xludf.DUMMYFUNCTION("""COMPUTED_VALUE"""),42631.99861111111)</f>
        <v>42631.99861</v>
      </c>
      <c r="B2265" s="1">
        <f>IFERROR(__xludf.DUMMYFUNCTION("""COMPUTED_VALUE"""),128.6301523)</f>
        <v>128.6301523</v>
      </c>
    </row>
    <row r="2266">
      <c r="A2266" s="3">
        <f>IFERROR(__xludf.DUMMYFUNCTION("""COMPUTED_VALUE"""),42632.99861111111)</f>
        <v>42632.99861</v>
      </c>
      <c r="B2266" s="1">
        <f>IFERROR(__xludf.DUMMYFUNCTION("""COMPUTED_VALUE"""),128.9697962)</f>
        <v>128.9697962</v>
      </c>
    </row>
    <row r="2267">
      <c r="A2267" s="3">
        <f>IFERROR(__xludf.DUMMYFUNCTION("""COMPUTED_VALUE"""),42633.99861111111)</f>
        <v>42633.99861</v>
      </c>
      <c r="B2267" s="1">
        <f>IFERROR(__xludf.DUMMYFUNCTION("""COMPUTED_VALUE"""),129.5457732)</f>
        <v>129.5457732</v>
      </c>
    </row>
    <row r="2268">
      <c r="A2268" s="3">
        <f>IFERROR(__xludf.DUMMYFUNCTION("""COMPUTED_VALUE"""),42634.99861111111)</f>
        <v>42634.99861</v>
      </c>
      <c r="B2268" s="1">
        <f>IFERROR(__xludf.DUMMYFUNCTION("""COMPUTED_VALUE"""),130.051151)</f>
        <v>130.051151</v>
      </c>
    </row>
    <row r="2269">
      <c r="A2269" s="3">
        <f>IFERROR(__xludf.DUMMYFUNCTION("""COMPUTED_VALUE"""),42635.99861111111)</f>
        <v>42635.99861</v>
      </c>
      <c r="B2269" s="1">
        <f>IFERROR(__xludf.DUMMYFUNCTION("""COMPUTED_VALUE"""),129.5188734)</f>
        <v>129.5188734</v>
      </c>
    </row>
    <row r="2270">
      <c r="A2270" s="3">
        <f>IFERROR(__xludf.DUMMYFUNCTION("""COMPUTED_VALUE"""),42636.99861111111)</f>
        <v>42636.99861</v>
      </c>
      <c r="B2270" s="1">
        <f>IFERROR(__xludf.DUMMYFUNCTION("""COMPUTED_VALUE"""),129.5019)</f>
        <v>129.5019</v>
      </c>
    </row>
    <row r="2271">
      <c r="A2271" s="3">
        <f>IFERROR(__xludf.DUMMYFUNCTION("""COMPUTED_VALUE"""),42637.99861111111)</f>
        <v>42637.99861</v>
      </c>
      <c r="B2271" s="1">
        <f>IFERROR(__xludf.DUMMYFUNCTION("""COMPUTED_VALUE"""),129.4722)</f>
        <v>129.4722</v>
      </c>
    </row>
    <row r="2272">
      <c r="A2272" s="3">
        <f>IFERROR(__xludf.DUMMYFUNCTION("""COMPUTED_VALUE"""),42638.99861111111)</f>
        <v>42638.99861</v>
      </c>
      <c r="B2272" s="1">
        <f>IFERROR(__xludf.DUMMYFUNCTION("""COMPUTED_VALUE"""),129.3447876)</f>
        <v>129.3447876</v>
      </c>
    </row>
    <row r="2273">
      <c r="A2273" s="3">
        <f>IFERROR(__xludf.DUMMYFUNCTION("""COMPUTED_VALUE"""),42639.99861111111)</f>
        <v>42639.99861</v>
      </c>
      <c r="B2273" s="1">
        <f>IFERROR(__xludf.DUMMYFUNCTION("""COMPUTED_VALUE"""),129.8866946)</f>
        <v>129.8866946</v>
      </c>
    </row>
    <row r="2274">
      <c r="A2274" s="3">
        <f>IFERROR(__xludf.DUMMYFUNCTION("""COMPUTED_VALUE"""),42640.99861111111)</f>
        <v>42640.99861</v>
      </c>
      <c r="B2274" s="1">
        <f>IFERROR(__xludf.DUMMYFUNCTION("""COMPUTED_VALUE"""),128.5680678)</f>
        <v>128.5680678</v>
      </c>
    </row>
    <row r="2275">
      <c r="A2275" s="3">
        <f>IFERROR(__xludf.DUMMYFUNCTION("""COMPUTED_VALUE"""),42641.99861111111)</f>
        <v>42641.99861</v>
      </c>
      <c r="B2275" s="1">
        <f>IFERROR(__xludf.DUMMYFUNCTION("""COMPUTED_VALUE"""),127.9812129)</f>
        <v>127.9812129</v>
      </c>
    </row>
    <row r="2276">
      <c r="A2276" s="3">
        <f>IFERROR(__xludf.DUMMYFUNCTION("""COMPUTED_VALUE"""),42642.99861111111)</f>
        <v>42642.99861</v>
      </c>
      <c r="B2276" s="1">
        <f>IFERROR(__xludf.DUMMYFUNCTION("""COMPUTED_VALUE"""),128.4592376)</f>
        <v>128.4592376</v>
      </c>
    </row>
    <row r="2277">
      <c r="A2277" s="3">
        <f>IFERROR(__xludf.DUMMYFUNCTION("""COMPUTED_VALUE"""),42643.99861111111)</f>
        <v>42643.99861</v>
      </c>
      <c r="B2277" s="1">
        <f>IFERROR(__xludf.DUMMYFUNCTION("""COMPUTED_VALUE"""),128.44818)</f>
        <v>128.44818</v>
      </c>
    </row>
    <row r="2278">
      <c r="A2278" s="3">
        <f>IFERROR(__xludf.DUMMYFUNCTION("""COMPUTED_VALUE"""),42644.99861111111)</f>
        <v>42644.99861</v>
      </c>
      <c r="B2278" s="1">
        <f>IFERROR(__xludf.DUMMYFUNCTION("""COMPUTED_VALUE"""),128.42844)</f>
        <v>128.42844</v>
      </c>
    </row>
    <row r="2279">
      <c r="A2279" s="3">
        <f>IFERROR(__xludf.DUMMYFUNCTION("""COMPUTED_VALUE"""),42645.99861111111)</f>
        <v>42645.99861</v>
      </c>
      <c r="B2279" s="1">
        <f>IFERROR(__xludf.DUMMYFUNCTION("""COMPUTED_VALUE"""),127.7151)</f>
        <v>127.7151</v>
      </c>
    </row>
    <row r="2280">
      <c r="A2280" s="3">
        <f>IFERROR(__xludf.DUMMYFUNCTION("""COMPUTED_VALUE"""),42646.99861111111)</f>
        <v>42646.99861</v>
      </c>
      <c r="B2280" s="1">
        <f>IFERROR(__xludf.DUMMYFUNCTION("""COMPUTED_VALUE"""),127.28684)</f>
        <v>127.28684</v>
      </c>
    </row>
    <row r="2281">
      <c r="A2281" s="3">
        <f>IFERROR(__xludf.DUMMYFUNCTION("""COMPUTED_VALUE"""),42647.99861111111)</f>
        <v>42647.99861</v>
      </c>
      <c r="B2281" s="1">
        <f>IFERROR(__xludf.DUMMYFUNCTION("""COMPUTED_VALUE"""),126.6300456)</f>
        <v>126.6300456</v>
      </c>
    </row>
    <row r="2282">
      <c r="A2282" s="3">
        <f>IFERROR(__xludf.DUMMYFUNCTION("""COMPUTED_VALUE"""),42648.99861111111)</f>
        <v>42648.99861</v>
      </c>
      <c r="B2282" s="1">
        <f>IFERROR(__xludf.DUMMYFUNCTION("""COMPUTED_VALUE"""),125.760789)</f>
        <v>125.760789</v>
      </c>
    </row>
    <row r="2283">
      <c r="A2283" s="3">
        <f>IFERROR(__xludf.DUMMYFUNCTION("""COMPUTED_VALUE"""),42649.99861111111)</f>
        <v>42649.99861</v>
      </c>
      <c r="B2283" s="1">
        <f>IFERROR(__xludf.DUMMYFUNCTION("""COMPUTED_VALUE"""),125.2992735)</f>
        <v>125.2992735</v>
      </c>
    </row>
    <row r="2284">
      <c r="A2284" s="3">
        <f>IFERROR(__xludf.DUMMYFUNCTION("""COMPUTED_VALUE"""),42650.99861111111)</f>
        <v>42650.99861</v>
      </c>
      <c r="B2284" s="1">
        <f>IFERROR(__xludf.DUMMYFUNCTION("""COMPUTED_VALUE"""),125.94841)</f>
        <v>125.94841</v>
      </c>
    </row>
    <row r="2285">
      <c r="A2285" s="3">
        <f>IFERROR(__xludf.DUMMYFUNCTION("""COMPUTED_VALUE"""),42651.99861111111)</f>
        <v>42651.99861</v>
      </c>
      <c r="B2285" s="1">
        <f>IFERROR(__xludf.DUMMYFUNCTION("""COMPUTED_VALUE"""),125.9402536)</f>
        <v>125.9402536</v>
      </c>
    </row>
    <row r="2286">
      <c r="A2286" s="3">
        <f>IFERROR(__xludf.DUMMYFUNCTION("""COMPUTED_VALUE"""),42652.99861111111)</f>
        <v>42652.99861</v>
      </c>
      <c r="B2286" s="1">
        <f>IFERROR(__xludf.DUMMYFUNCTION("""COMPUTED_VALUE"""),125.8278779)</f>
        <v>125.8278779</v>
      </c>
    </row>
    <row r="2287">
      <c r="A2287" s="3">
        <f>IFERROR(__xludf.DUMMYFUNCTION("""COMPUTED_VALUE"""),42653.99861111111)</f>
        <v>42653.99861</v>
      </c>
      <c r="B2287" s="1">
        <f>IFERROR(__xludf.DUMMYFUNCTION("""COMPUTED_VALUE"""),124.6143956)</f>
        <v>124.6143956</v>
      </c>
    </row>
    <row r="2288">
      <c r="A2288" s="3">
        <f>IFERROR(__xludf.DUMMYFUNCTION("""COMPUTED_VALUE"""),42654.99861111111)</f>
        <v>42654.99861</v>
      </c>
      <c r="B2288" s="1">
        <f>IFERROR(__xludf.DUMMYFUNCTION("""COMPUTED_VALUE"""),126.426366)</f>
        <v>126.426366</v>
      </c>
    </row>
    <row r="2289">
      <c r="A2289" s="3">
        <f>IFERROR(__xludf.DUMMYFUNCTION("""COMPUTED_VALUE"""),42655.99861111111)</f>
        <v>42655.99861</v>
      </c>
      <c r="B2289" s="1">
        <f>IFERROR(__xludf.DUMMYFUNCTION("""COMPUTED_VALUE"""),124.7884169)</f>
        <v>124.7884169</v>
      </c>
    </row>
    <row r="2290">
      <c r="A2290" s="3">
        <f>IFERROR(__xludf.DUMMYFUNCTION("""COMPUTED_VALUE"""),42656.99861111111)</f>
        <v>42656.99861</v>
      </c>
      <c r="B2290" s="1">
        <f>IFERROR(__xludf.DUMMYFUNCTION("""COMPUTED_VALUE"""),125.7519864)</f>
        <v>125.7519864</v>
      </c>
    </row>
    <row r="2291">
      <c r="A2291" s="3">
        <f>IFERROR(__xludf.DUMMYFUNCTION("""COMPUTED_VALUE"""),42657.99861111111)</f>
        <v>42657.99861</v>
      </c>
      <c r="B2291" s="1">
        <f>IFERROR(__xludf.DUMMYFUNCTION("""COMPUTED_VALUE"""),125.4624)</f>
        <v>125.4624</v>
      </c>
    </row>
    <row r="2292">
      <c r="A2292" s="3">
        <f>IFERROR(__xludf.DUMMYFUNCTION("""COMPUTED_VALUE"""),42658.99861111111)</f>
        <v>42658.99861</v>
      </c>
      <c r="B2292" s="1">
        <f>IFERROR(__xludf.DUMMYFUNCTION("""COMPUTED_VALUE"""),125.5488)</f>
        <v>125.5488</v>
      </c>
    </row>
    <row r="2293">
      <c r="A2293" s="3">
        <f>IFERROR(__xludf.DUMMYFUNCTION("""COMPUTED_VALUE"""),42659.99861111111)</f>
        <v>42659.99861</v>
      </c>
      <c r="B2293" s="1">
        <f>IFERROR(__xludf.DUMMYFUNCTION("""COMPUTED_VALUE"""),125.8049556)</f>
        <v>125.8049556</v>
      </c>
    </row>
    <row r="2294">
      <c r="A2294" s="3">
        <f>IFERROR(__xludf.DUMMYFUNCTION("""COMPUTED_VALUE"""),42660.99861111111)</f>
        <v>42660.99861</v>
      </c>
      <c r="B2294" s="1">
        <f>IFERROR(__xludf.DUMMYFUNCTION("""COMPUTED_VALUE"""),125.6367566)</f>
        <v>125.6367566</v>
      </c>
    </row>
    <row r="2295">
      <c r="A2295" s="3">
        <f>IFERROR(__xludf.DUMMYFUNCTION("""COMPUTED_VALUE"""),42661.99861111111)</f>
        <v>42661.99861</v>
      </c>
      <c r="B2295" s="1">
        <f>IFERROR(__xludf.DUMMYFUNCTION("""COMPUTED_VALUE"""),125.326614)</f>
        <v>125.326614</v>
      </c>
    </row>
    <row r="2296">
      <c r="A2296" s="3">
        <f>IFERROR(__xludf.DUMMYFUNCTION("""COMPUTED_VALUE"""),42662.99861111111)</f>
        <v>42662.99861</v>
      </c>
      <c r="B2296" s="1">
        <f>IFERROR(__xludf.DUMMYFUNCTION("""COMPUTED_VALUE"""),125.4366456)</f>
        <v>125.4366456</v>
      </c>
    </row>
    <row r="2297">
      <c r="A2297" s="3">
        <f>IFERROR(__xludf.DUMMYFUNCTION("""COMPUTED_VALUE"""),42663.99861111111)</f>
        <v>42663.99861</v>
      </c>
      <c r="B2297" s="1">
        <f>IFERROR(__xludf.DUMMYFUNCTION("""COMPUTED_VALUE"""),124.8909165)</f>
        <v>124.8909165</v>
      </c>
    </row>
    <row r="2298">
      <c r="A2298" s="3">
        <f>IFERROR(__xludf.DUMMYFUNCTION("""COMPUTED_VALUE"""),42664.99861111111)</f>
        <v>42664.99861</v>
      </c>
      <c r="B2298" s="1">
        <f>IFERROR(__xludf.DUMMYFUNCTION("""COMPUTED_VALUE"""),125.41149)</f>
        <v>125.41149</v>
      </c>
    </row>
    <row r="2299">
      <c r="A2299" s="3">
        <f>IFERROR(__xludf.DUMMYFUNCTION("""COMPUTED_VALUE"""),42665.99861111111)</f>
        <v>42665.99861</v>
      </c>
      <c r="B2299" s="1">
        <f>IFERROR(__xludf.DUMMYFUNCTION("""COMPUTED_VALUE"""),125.63298)</f>
        <v>125.63298</v>
      </c>
    </row>
    <row r="2300">
      <c r="A2300" s="3">
        <f>IFERROR(__xludf.DUMMYFUNCTION("""COMPUTED_VALUE"""),42666.99861111111)</f>
        <v>42666.99861</v>
      </c>
      <c r="B2300" s="1">
        <f>IFERROR(__xludf.DUMMYFUNCTION("""COMPUTED_VALUE"""),125.55405)</f>
        <v>125.55405</v>
      </c>
    </row>
    <row r="2301">
      <c r="A2301" s="3">
        <f>IFERROR(__xludf.DUMMYFUNCTION("""COMPUTED_VALUE"""),42667.99861111111)</f>
        <v>42667.99861</v>
      </c>
      <c r="B2301" s="1">
        <f>IFERROR(__xludf.DUMMYFUNCTION("""COMPUTED_VALUE"""),124.65496)</f>
        <v>124.65496</v>
      </c>
    </row>
    <row r="2302">
      <c r="A2302" s="3">
        <f>IFERROR(__xludf.DUMMYFUNCTION("""COMPUTED_VALUE"""),42668.99861111111)</f>
        <v>42668.99861</v>
      </c>
      <c r="B2302" s="1">
        <f>IFERROR(__xludf.DUMMYFUNCTION("""COMPUTED_VALUE"""),124.5657072)</f>
        <v>124.5657072</v>
      </c>
    </row>
    <row r="2303">
      <c r="A2303" s="3">
        <f>IFERROR(__xludf.DUMMYFUNCTION("""COMPUTED_VALUE"""),42669.99861111111)</f>
        <v>42669.99861</v>
      </c>
      <c r="B2303" s="1">
        <f>IFERROR(__xludf.DUMMYFUNCTION("""COMPUTED_VALUE"""),124.535488)</f>
        <v>124.535488</v>
      </c>
    </row>
    <row r="2304">
      <c r="A2304" s="3">
        <f>IFERROR(__xludf.DUMMYFUNCTION("""COMPUTED_VALUE"""),42670.99861111111)</f>
        <v>42670.99861</v>
      </c>
      <c r="B2304" s="1">
        <f>IFERROR(__xludf.DUMMYFUNCTION("""COMPUTED_VALUE"""),123.87297)</f>
        <v>123.87297</v>
      </c>
    </row>
    <row r="2305">
      <c r="A2305" s="3">
        <f>IFERROR(__xludf.DUMMYFUNCTION("""COMPUTED_VALUE"""),42671.99861111111)</f>
        <v>42671.99861</v>
      </c>
      <c r="B2305" s="1">
        <f>IFERROR(__xludf.DUMMYFUNCTION("""COMPUTED_VALUE"""),124.75165)</f>
        <v>124.75165</v>
      </c>
    </row>
    <row r="2306">
      <c r="A2306" s="3">
        <f>IFERROR(__xludf.DUMMYFUNCTION("""COMPUTED_VALUE"""),42672.99861111111)</f>
        <v>42672.99861</v>
      </c>
      <c r="B2306" s="1">
        <f>IFERROR(__xludf.DUMMYFUNCTION("""COMPUTED_VALUE"""),124.75165)</f>
        <v>124.75165</v>
      </c>
    </row>
    <row r="2307">
      <c r="A2307" s="3">
        <f>IFERROR(__xludf.DUMMYFUNCTION("""COMPUTED_VALUE"""),42673.99861111111)</f>
        <v>42673.99861</v>
      </c>
      <c r="B2307" s="1">
        <f>IFERROR(__xludf.DUMMYFUNCTION("""COMPUTED_VALUE"""),124.8979556)</f>
        <v>124.8979556</v>
      </c>
    </row>
    <row r="2308">
      <c r="A2308" s="3">
        <f>IFERROR(__xludf.DUMMYFUNCTION("""COMPUTED_VALUE"""),42674.99861111111)</f>
        <v>42674.99861</v>
      </c>
      <c r="B2308" s="1">
        <f>IFERROR(__xludf.DUMMYFUNCTION("""COMPUTED_VALUE"""),124.1140901)</f>
        <v>124.1140901</v>
      </c>
    </row>
    <row r="2309">
      <c r="A2309" s="3">
        <f>IFERROR(__xludf.DUMMYFUNCTION("""COMPUTED_VALUE"""),42675.99861111111)</f>
        <v>42675.99861</v>
      </c>
      <c r="B2309" s="1">
        <f>IFERROR(__xludf.DUMMYFUNCTION("""COMPUTED_VALUE"""),125.2286862)</f>
        <v>125.2286862</v>
      </c>
    </row>
    <row r="2310">
      <c r="A2310" s="3">
        <f>IFERROR(__xludf.DUMMYFUNCTION("""COMPUTED_VALUE"""),42676.99861111111)</f>
        <v>42676.99861</v>
      </c>
      <c r="B2310" s="1">
        <f>IFERROR(__xludf.DUMMYFUNCTION("""COMPUTED_VALUE"""),126.15482)</f>
        <v>126.15482</v>
      </c>
    </row>
    <row r="2311">
      <c r="A2311" s="3">
        <f>IFERROR(__xludf.DUMMYFUNCTION("""COMPUTED_VALUE"""),42677.99861111111)</f>
        <v>42677.99861</v>
      </c>
      <c r="B2311" s="1">
        <f>IFERROR(__xludf.DUMMYFUNCTION("""COMPUTED_VALUE"""),126.785736)</f>
        <v>126.785736</v>
      </c>
    </row>
    <row r="2312">
      <c r="A2312" s="3">
        <f>IFERROR(__xludf.DUMMYFUNCTION("""COMPUTED_VALUE"""),42678.99861111111)</f>
        <v>42678.99861</v>
      </c>
      <c r="B2312" s="1">
        <f>IFERROR(__xludf.DUMMYFUNCTION("""COMPUTED_VALUE"""),127.1961)</f>
        <v>127.1961</v>
      </c>
    </row>
    <row r="2313">
      <c r="A2313" s="3">
        <f>IFERROR(__xludf.DUMMYFUNCTION("""COMPUTED_VALUE"""),42679.99861111111)</f>
        <v>42679.99861</v>
      </c>
      <c r="B2313" s="1">
        <f>IFERROR(__xludf.DUMMYFUNCTION("""COMPUTED_VALUE"""),127.1961)</f>
        <v>127.1961</v>
      </c>
    </row>
    <row r="2314">
      <c r="A2314" s="3">
        <f>IFERROR(__xludf.DUMMYFUNCTION("""COMPUTED_VALUE"""),42680.99861111111)</f>
        <v>42680.99861</v>
      </c>
      <c r="B2314" s="1">
        <f>IFERROR(__xludf.DUMMYFUNCTION("""COMPUTED_VALUE"""),125.830556)</f>
        <v>125.830556</v>
      </c>
    </row>
    <row r="2315">
      <c r="A2315" s="3">
        <f>IFERROR(__xludf.DUMMYFUNCTION("""COMPUTED_VALUE"""),42681.99861111111)</f>
        <v>42681.99861</v>
      </c>
      <c r="B2315" s="1">
        <f>IFERROR(__xludf.DUMMYFUNCTION("""COMPUTED_VALUE"""),125.2478248)</f>
        <v>125.2478248</v>
      </c>
    </row>
    <row r="2316">
      <c r="A2316" s="3">
        <f>IFERROR(__xludf.DUMMYFUNCTION("""COMPUTED_VALUE"""),42682.99861111111)</f>
        <v>42682.99861</v>
      </c>
      <c r="B2316" s="1">
        <f>IFERROR(__xludf.DUMMYFUNCTION("""COMPUTED_VALUE"""),124.1581446)</f>
        <v>124.1581446</v>
      </c>
    </row>
    <row r="2317">
      <c r="A2317" s="3">
        <f>IFERROR(__xludf.DUMMYFUNCTION("""COMPUTED_VALUE"""),42683.99861111111)</f>
        <v>42683.99861</v>
      </c>
      <c r="B2317" s="1">
        <f>IFERROR(__xludf.DUMMYFUNCTION("""COMPUTED_VALUE"""),124.0671417)</f>
        <v>124.0671417</v>
      </c>
    </row>
    <row r="2318">
      <c r="A2318" s="3">
        <f>IFERROR(__xludf.DUMMYFUNCTION("""COMPUTED_VALUE"""),42684.99861111111)</f>
        <v>42684.99861</v>
      </c>
      <c r="B2318" s="1">
        <f>IFERROR(__xludf.DUMMYFUNCTION("""COMPUTED_VALUE"""),127.129328)</f>
        <v>127.129328</v>
      </c>
    </row>
    <row r="2319">
      <c r="A2319" s="3">
        <f>IFERROR(__xludf.DUMMYFUNCTION("""COMPUTED_VALUE"""),42685.99861111111)</f>
        <v>42685.99861</v>
      </c>
      <c r="B2319" s="1">
        <f>IFERROR(__xludf.DUMMYFUNCTION("""COMPUTED_VALUE"""),125.16446)</f>
        <v>125.16446</v>
      </c>
    </row>
    <row r="2320">
      <c r="A2320" s="3">
        <f>IFERROR(__xludf.DUMMYFUNCTION("""COMPUTED_VALUE"""),42686.99861111111)</f>
        <v>42686.99861</v>
      </c>
      <c r="B2320" s="1">
        <f>IFERROR(__xludf.DUMMYFUNCTION("""COMPUTED_VALUE"""),126.6215887)</f>
        <v>126.6215887</v>
      </c>
    </row>
    <row r="2321">
      <c r="A2321" s="3">
        <f>IFERROR(__xludf.DUMMYFUNCTION("""COMPUTED_VALUE"""),42687.99861111111)</f>
        <v>42687.99861</v>
      </c>
      <c r="B2321" s="1">
        <f>IFERROR(__xludf.DUMMYFUNCTION("""COMPUTED_VALUE"""),124.7930628)</f>
        <v>124.7930628</v>
      </c>
    </row>
    <row r="2322">
      <c r="A2322" s="3">
        <f>IFERROR(__xludf.DUMMYFUNCTION("""COMPUTED_VALUE"""),42688.99861111111)</f>
        <v>42688.99861</v>
      </c>
      <c r="B2322" s="1">
        <f>IFERROR(__xludf.DUMMYFUNCTION("""COMPUTED_VALUE"""),124.36116)</f>
        <v>124.36116</v>
      </c>
    </row>
    <row r="2323">
      <c r="A2323" s="3">
        <f>IFERROR(__xludf.DUMMYFUNCTION("""COMPUTED_VALUE"""),42689.99861111111)</f>
        <v>42689.99861</v>
      </c>
      <c r="B2323" s="1">
        <f>IFERROR(__xludf.DUMMYFUNCTION("""COMPUTED_VALUE"""),122.0602405)</f>
        <v>122.0602405</v>
      </c>
    </row>
    <row r="2324">
      <c r="A2324" s="3">
        <f>IFERROR(__xludf.DUMMYFUNCTION("""COMPUTED_VALUE"""),42690.99861111111)</f>
        <v>42690.99861</v>
      </c>
      <c r="B2324" s="1">
        <f>IFERROR(__xludf.DUMMYFUNCTION("""COMPUTED_VALUE"""),122.8492464)</f>
        <v>122.8492464</v>
      </c>
    </row>
    <row r="2325">
      <c r="A2325" s="3">
        <f>IFERROR(__xludf.DUMMYFUNCTION("""COMPUTED_VALUE"""),42691.99861111111)</f>
        <v>42691.99861</v>
      </c>
      <c r="B2325" s="1">
        <f>IFERROR(__xludf.DUMMYFUNCTION("""COMPUTED_VALUE"""),121.63777)</f>
        <v>121.63777</v>
      </c>
    </row>
    <row r="2326">
      <c r="A2326" s="3">
        <f>IFERROR(__xludf.DUMMYFUNCTION("""COMPUTED_VALUE"""),42692.99861111111)</f>
        <v>42692.99861</v>
      </c>
      <c r="B2326" s="1">
        <f>IFERROR(__xludf.DUMMYFUNCTION("""COMPUTED_VALUE"""),120.40063)</f>
        <v>120.40063</v>
      </c>
    </row>
    <row r="2327">
      <c r="A2327" s="3">
        <f>IFERROR(__xludf.DUMMYFUNCTION("""COMPUTED_VALUE"""),42693.99861111111)</f>
        <v>42693.99861</v>
      </c>
      <c r="B2327" s="1">
        <f>IFERROR(__xludf.DUMMYFUNCTION("""COMPUTED_VALUE"""),120.4545098)</f>
        <v>120.4545098</v>
      </c>
    </row>
    <row r="2328">
      <c r="A2328" s="3">
        <f>IFERROR(__xludf.DUMMYFUNCTION("""COMPUTED_VALUE"""),42694.99861111111)</f>
        <v>42694.99861</v>
      </c>
      <c r="B2328" s="1">
        <f>IFERROR(__xludf.DUMMYFUNCTION("""COMPUTED_VALUE"""),121.4350068)</f>
        <v>121.4350068</v>
      </c>
    </row>
    <row r="2329">
      <c r="A2329" s="3">
        <f>IFERROR(__xludf.DUMMYFUNCTION("""COMPUTED_VALUE"""),42695.99861111111)</f>
        <v>42695.99861</v>
      </c>
      <c r="B2329" s="1">
        <f>IFERROR(__xludf.DUMMYFUNCTION("""COMPUTED_VALUE"""),121.1814436)</f>
        <v>121.1814436</v>
      </c>
    </row>
    <row r="2330">
      <c r="A2330" s="3">
        <f>IFERROR(__xludf.DUMMYFUNCTION("""COMPUTED_VALUE"""),42696.99861111111)</f>
        <v>42696.99861</v>
      </c>
      <c r="B2330" s="1">
        <f>IFERROR(__xludf.DUMMYFUNCTION("""COMPUTED_VALUE"""),121.008888)</f>
        <v>121.008888</v>
      </c>
    </row>
    <row r="2331">
      <c r="A2331" s="3">
        <f>IFERROR(__xludf.DUMMYFUNCTION("""COMPUTED_VALUE"""),42697.99861111111)</f>
        <v>42697.99861</v>
      </c>
      <c r="B2331" s="1">
        <f>IFERROR(__xludf.DUMMYFUNCTION("""COMPUTED_VALUE"""),120.8097495)</f>
        <v>120.8097495</v>
      </c>
    </row>
    <row r="2332">
      <c r="A2332" s="3">
        <f>IFERROR(__xludf.DUMMYFUNCTION("""COMPUTED_VALUE"""),42698.99861111111)</f>
        <v>42698.99861</v>
      </c>
      <c r="B2332" s="1">
        <f>IFERROR(__xludf.DUMMYFUNCTION("""COMPUTED_VALUE"""),119.642571)</f>
        <v>119.642571</v>
      </c>
    </row>
    <row r="2333">
      <c r="A2333" s="3">
        <f>IFERROR(__xludf.DUMMYFUNCTION("""COMPUTED_VALUE"""),42699.99861111111)</f>
        <v>42699.99861</v>
      </c>
      <c r="B2333" s="1">
        <f>IFERROR(__xludf.DUMMYFUNCTION("""COMPUTED_VALUE"""),119.47873)</f>
        <v>119.47873</v>
      </c>
    </row>
    <row r="2334">
      <c r="A2334" s="3">
        <f>IFERROR(__xludf.DUMMYFUNCTION("""COMPUTED_VALUE"""),42700.99861111111)</f>
        <v>42700.99861</v>
      </c>
      <c r="B2334" s="1">
        <f>IFERROR(__xludf.DUMMYFUNCTION("""COMPUTED_VALUE"""),119.6210236)</f>
        <v>119.6210236</v>
      </c>
    </row>
    <row r="2335">
      <c r="A2335" s="3">
        <f>IFERROR(__xludf.DUMMYFUNCTION("""COMPUTED_VALUE"""),42701.99861111111)</f>
        <v>42701.99861</v>
      </c>
      <c r="B2335" s="1">
        <f>IFERROR(__xludf.DUMMYFUNCTION("""COMPUTED_VALUE"""),119.7024)</f>
        <v>119.7024</v>
      </c>
    </row>
    <row r="2336">
      <c r="A2336" s="3">
        <f>IFERROR(__xludf.DUMMYFUNCTION("""COMPUTED_VALUE"""),42702.99861111111)</f>
        <v>42702.99861</v>
      </c>
      <c r="B2336" s="1">
        <f>IFERROR(__xludf.DUMMYFUNCTION("""COMPUTED_VALUE"""),120.7004013)</f>
        <v>120.7004013</v>
      </c>
    </row>
    <row r="2337">
      <c r="A2337" s="3">
        <f>IFERROR(__xludf.DUMMYFUNCTION("""COMPUTED_VALUE"""),42703.99861111111)</f>
        <v>42703.99861</v>
      </c>
      <c r="B2337" s="1">
        <f>IFERROR(__xludf.DUMMYFUNCTION("""COMPUTED_VALUE"""),120.0138772)</f>
        <v>120.0138772</v>
      </c>
    </row>
    <row r="2338">
      <c r="A2338" s="3">
        <f>IFERROR(__xludf.DUMMYFUNCTION("""COMPUTED_VALUE"""),42704.99861111111)</f>
        <v>42704.99861</v>
      </c>
      <c r="B2338" s="1">
        <f>IFERROR(__xludf.DUMMYFUNCTION("""COMPUTED_VALUE"""),118.3152672)</f>
        <v>118.3152672</v>
      </c>
    </row>
    <row r="2339">
      <c r="A2339" s="3">
        <f>IFERROR(__xludf.DUMMYFUNCTION("""COMPUTED_VALUE"""),42705.99861111111)</f>
        <v>42705.99861</v>
      </c>
      <c r="B2339" s="1">
        <f>IFERROR(__xludf.DUMMYFUNCTION("""COMPUTED_VALUE"""),118.6177464)</f>
        <v>118.6177464</v>
      </c>
    </row>
    <row r="2340">
      <c r="A2340" s="3">
        <f>IFERROR(__xludf.DUMMYFUNCTION("""COMPUTED_VALUE"""),42706.99861111111)</f>
        <v>42706.99861</v>
      </c>
      <c r="B2340" s="1">
        <f>IFERROR(__xludf.DUMMYFUNCTION("""COMPUTED_VALUE"""),118.5826)</f>
        <v>118.5826</v>
      </c>
    </row>
    <row r="2341">
      <c r="A2341" s="3">
        <f>IFERROR(__xludf.DUMMYFUNCTION("""COMPUTED_VALUE"""),42707.99861111111)</f>
        <v>42707.99861</v>
      </c>
      <c r="B2341" s="1">
        <f>IFERROR(__xludf.DUMMYFUNCTION("""COMPUTED_VALUE"""),118.7330748)</f>
        <v>118.7330748</v>
      </c>
    </row>
    <row r="2342">
      <c r="A2342" s="3">
        <f>IFERROR(__xludf.DUMMYFUNCTION("""COMPUTED_VALUE"""),42708.99861111111)</f>
        <v>42708.99861</v>
      </c>
      <c r="B2342" s="1">
        <f>IFERROR(__xludf.DUMMYFUNCTION("""COMPUTED_VALUE"""),120.1002)</f>
        <v>120.1002</v>
      </c>
    </row>
    <row r="2343">
      <c r="A2343" s="3">
        <f>IFERROR(__xludf.DUMMYFUNCTION("""COMPUTED_VALUE"""),42709.99861111111)</f>
        <v>42709.99861</v>
      </c>
      <c r="B2343" s="1">
        <f>IFERROR(__xludf.DUMMYFUNCTION("""COMPUTED_VALUE"""),117.96808)</f>
        <v>117.96808</v>
      </c>
    </row>
    <row r="2344">
      <c r="A2344" s="3">
        <f>IFERROR(__xludf.DUMMYFUNCTION("""COMPUTED_VALUE"""),42710.99861111111)</f>
        <v>42710.99861</v>
      </c>
      <c r="B2344" s="1">
        <f>IFERROR(__xludf.DUMMYFUNCTION("""COMPUTED_VALUE"""),116.552736)</f>
        <v>116.552736</v>
      </c>
    </row>
    <row r="2345">
      <c r="A2345" s="3">
        <f>IFERROR(__xludf.DUMMYFUNCTION("""COMPUTED_VALUE"""),42711.99861111111)</f>
        <v>42711.99861</v>
      </c>
      <c r="B2345" s="1">
        <f>IFERROR(__xludf.DUMMYFUNCTION("""COMPUTED_VALUE"""),116.70483)</f>
        <v>116.70483</v>
      </c>
    </row>
    <row r="2346">
      <c r="A2346" s="3">
        <f>IFERROR(__xludf.DUMMYFUNCTION("""COMPUTED_VALUE"""),42712.99861111111)</f>
        <v>42712.99861</v>
      </c>
      <c r="B2346" s="1">
        <f>IFERROR(__xludf.DUMMYFUNCTION("""COMPUTED_VALUE"""),116.6058004)</f>
        <v>116.6058004</v>
      </c>
    </row>
    <row r="2347">
      <c r="A2347" s="3">
        <f>IFERROR(__xludf.DUMMYFUNCTION("""COMPUTED_VALUE"""),42713.99861111111)</f>
        <v>42713.99861</v>
      </c>
      <c r="B2347" s="1">
        <f>IFERROR(__xludf.DUMMYFUNCTION("""COMPUTED_VALUE"""),115.70115)</f>
        <v>115.70115</v>
      </c>
    </row>
    <row r="2348">
      <c r="A2348" s="3">
        <f>IFERROR(__xludf.DUMMYFUNCTION("""COMPUTED_VALUE"""),42714.99861111111)</f>
        <v>42714.99861</v>
      </c>
      <c r="B2348" s="1">
        <f>IFERROR(__xludf.DUMMYFUNCTION("""COMPUTED_VALUE"""),115.6207858)</f>
        <v>115.6207858</v>
      </c>
    </row>
    <row r="2349">
      <c r="A2349" s="3">
        <f>IFERROR(__xludf.DUMMYFUNCTION("""COMPUTED_VALUE"""),42715.99861111111)</f>
        <v>42715.99861</v>
      </c>
      <c r="B2349" s="1">
        <f>IFERROR(__xludf.DUMMYFUNCTION("""COMPUTED_VALUE"""),115.711691)</f>
        <v>115.711691</v>
      </c>
    </row>
    <row r="2350">
      <c r="A2350" s="3">
        <f>IFERROR(__xludf.DUMMYFUNCTION("""COMPUTED_VALUE"""),42716.99861111111)</f>
        <v>42716.99861</v>
      </c>
      <c r="B2350" s="1">
        <f>IFERROR(__xludf.DUMMYFUNCTION("""COMPUTED_VALUE"""),115.425654)</f>
        <v>115.425654</v>
      </c>
    </row>
    <row r="2351">
      <c r="A2351" s="3">
        <f>IFERROR(__xludf.DUMMYFUNCTION("""COMPUTED_VALUE"""),42717.99861111111)</f>
        <v>42717.99861</v>
      </c>
      <c r="B2351" s="1">
        <f>IFERROR(__xludf.DUMMYFUNCTION("""COMPUTED_VALUE"""),115.23056)</f>
        <v>115.23056</v>
      </c>
    </row>
    <row r="2352">
      <c r="A2352" s="3">
        <f>IFERROR(__xludf.DUMMYFUNCTION("""COMPUTED_VALUE"""),42718.99861111111)</f>
        <v>42718.99861</v>
      </c>
      <c r="B2352" s="1">
        <f>IFERROR(__xludf.DUMMYFUNCTION("""COMPUTED_VALUE"""),114.4582236)</f>
        <v>114.4582236</v>
      </c>
    </row>
    <row r="2353">
      <c r="A2353" s="3">
        <f>IFERROR(__xludf.DUMMYFUNCTION("""COMPUTED_VALUE"""),42719.99861111111)</f>
        <v>42719.99861</v>
      </c>
      <c r="B2353" s="1">
        <f>IFERROR(__xludf.DUMMYFUNCTION("""COMPUTED_VALUE"""),113.390005)</f>
        <v>113.390005</v>
      </c>
    </row>
    <row r="2354">
      <c r="A2354" s="3">
        <f>IFERROR(__xludf.DUMMYFUNCTION("""COMPUTED_VALUE"""),42720.99861111111)</f>
        <v>42720.99861</v>
      </c>
      <c r="B2354" s="1">
        <f>IFERROR(__xludf.DUMMYFUNCTION("""COMPUTED_VALUE"""),113.70832)</f>
        <v>113.70832</v>
      </c>
    </row>
    <row r="2355">
      <c r="A2355" s="3">
        <f>IFERROR(__xludf.DUMMYFUNCTION("""COMPUTED_VALUE"""),42721.99861111111)</f>
        <v>42721.99861</v>
      </c>
      <c r="B2355" s="1">
        <f>IFERROR(__xludf.DUMMYFUNCTION("""COMPUTED_VALUE"""),113.70832)</f>
        <v>113.70832</v>
      </c>
    </row>
    <row r="2356">
      <c r="A2356" s="3">
        <f>IFERROR(__xludf.DUMMYFUNCTION("""COMPUTED_VALUE"""),42722.99861111111)</f>
        <v>42722.99861</v>
      </c>
      <c r="B2356" s="1">
        <f>IFERROR(__xludf.DUMMYFUNCTION("""COMPUTED_VALUE"""),113.568138)</f>
        <v>113.568138</v>
      </c>
    </row>
    <row r="2357">
      <c r="A2357" s="3">
        <f>IFERROR(__xludf.DUMMYFUNCTION("""COMPUTED_VALUE"""),42723.99861111111)</f>
        <v>42723.99861</v>
      </c>
      <c r="B2357" s="1">
        <f>IFERROR(__xludf.DUMMYFUNCTION("""COMPUTED_VALUE"""),114.20654)</f>
        <v>114.20654</v>
      </c>
    </row>
    <row r="2358">
      <c r="A2358" s="3">
        <f>IFERROR(__xludf.DUMMYFUNCTION("""COMPUTED_VALUE"""),42724.99861111111)</f>
        <v>42724.99861</v>
      </c>
      <c r="B2358" s="1">
        <f>IFERROR(__xludf.DUMMYFUNCTION("""COMPUTED_VALUE"""),113.823501)</f>
        <v>113.823501</v>
      </c>
    </row>
    <row r="2359">
      <c r="A2359" s="3">
        <f>IFERROR(__xludf.DUMMYFUNCTION("""COMPUTED_VALUE"""),42725.99861111111)</f>
        <v>42725.99861</v>
      </c>
      <c r="B2359" s="1">
        <f>IFERROR(__xludf.DUMMYFUNCTION("""COMPUTED_VALUE"""),114.258378)</f>
        <v>114.258378</v>
      </c>
    </row>
    <row r="2360">
      <c r="A2360" s="3">
        <f>IFERROR(__xludf.DUMMYFUNCTION("""COMPUTED_VALUE"""),42726.99861111111)</f>
        <v>42726.99861</v>
      </c>
      <c r="B2360" s="1">
        <f>IFERROR(__xludf.DUMMYFUNCTION("""COMPUTED_VALUE"""),114.383745)</f>
        <v>114.383745</v>
      </c>
    </row>
    <row r="2361">
      <c r="A2361" s="3">
        <f>IFERROR(__xludf.DUMMYFUNCTION("""COMPUTED_VALUE"""),42727.99861111111)</f>
        <v>42727.99861</v>
      </c>
      <c r="B2361" s="1">
        <f>IFERROR(__xludf.DUMMYFUNCTION("""COMPUTED_VALUE"""),114.58349)</f>
        <v>114.58349</v>
      </c>
    </row>
    <row r="2362">
      <c r="A2362" s="3">
        <f>IFERROR(__xludf.DUMMYFUNCTION("""COMPUTED_VALUE"""),42728.99861111111)</f>
        <v>42728.99861</v>
      </c>
      <c r="B2362" s="1">
        <f>IFERROR(__xludf.DUMMYFUNCTION("""COMPUTED_VALUE"""),114.58349)</f>
        <v>114.58349</v>
      </c>
    </row>
    <row r="2363">
      <c r="A2363" s="3">
        <f>IFERROR(__xludf.DUMMYFUNCTION("""COMPUTED_VALUE"""),42729.99861111111)</f>
        <v>42729.99861</v>
      </c>
      <c r="B2363" s="1">
        <f>IFERROR(__xludf.DUMMYFUNCTION("""COMPUTED_VALUE"""),114.539282)</f>
        <v>114.539282</v>
      </c>
    </row>
    <row r="2364">
      <c r="A2364" s="3">
        <f>IFERROR(__xludf.DUMMYFUNCTION("""COMPUTED_VALUE"""),42730.99861111111)</f>
        <v>42730.99861</v>
      </c>
      <c r="B2364" s="1">
        <f>IFERROR(__xludf.DUMMYFUNCTION("""COMPUTED_VALUE"""),114.673702)</f>
        <v>114.673702</v>
      </c>
    </row>
    <row r="2365">
      <c r="A2365" s="3">
        <f>IFERROR(__xludf.DUMMYFUNCTION("""COMPUTED_VALUE"""),42731.99861111111)</f>
        <v>42731.99861</v>
      </c>
      <c r="B2365" s="1">
        <f>IFERROR(__xludf.DUMMYFUNCTION("""COMPUTED_VALUE"""),114.267361)</f>
        <v>114.267361</v>
      </c>
    </row>
    <row r="2366">
      <c r="A2366" s="3">
        <f>IFERROR(__xludf.DUMMYFUNCTION("""COMPUTED_VALUE"""),42732.99861111111)</f>
        <v>42732.99861</v>
      </c>
      <c r="B2366" s="1">
        <f>IFERROR(__xludf.DUMMYFUNCTION("""COMPUTED_VALUE"""),115.19111)</f>
        <v>115.19111</v>
      </c>
    </row>
    <row r="2367">
      <c r="A2367" s="3">
        <f>IFERROR(__xludf.DUMMYFUNCTION("""COMPUTED_VALUE"""),42733.99861111111)</f>
        <v>42733.99861</v>
      </c>
      <c r="B2367" s="1">
        <f>IFERROR(__xludf.DUMMYFUNCTION("""COMPUTED_VALUE"""),115.780668)</f>
        <v>115.780668</v>
      </c>
    </row>
    <row r="2368">
      <c r="A2368" s="3">
        <f>IFERROR(__xludf.DUMMYFUNCTION("""COMPUTED_VALUE"""),42734.99861111111)</f>
        <v>42734.99861</v>
      </c>
      <c r="B2368" s="1">
        <f>IFERROR(__xludf.DUMMYFUNCTION("""COMPUTED_VALUE"""),115.5789)</f>
        <v>115.5789</v>
      </c>
    </row>
    <row r="2369">
      <c r="A2369" s="3">
        <f>IFERROR(__xludf.DUMMYFUNCTION("""COMPUTED_VALUE"""),42735.99861111111)</f>
        <v>42735.99861</v>
      </c>
      <c r="B2369" s="1">
        <f>IFERROR(__xludf.DUMMYFUNCTION("""COMPUTED_VALUE"""),115.5789)</f>
        <v>115.5789</v>
      </c>
    </row>
    <row r="2370">
      <c r="A2370" s="3">
        <f>IFERROR(__xludf.DUMMYFUNCTION("""COMPUTED_VALUE"""),42736.99861111111)</f>
        <v>42736.99861</v>
      </c>
      <c r="B2370" s="1">
        <f>IFERROR(__xludf.DUMMYFUNCTION("""COMPUTED_VALUE"""),115.66272)</f>
        <v>115.66272</v>
      </c>
    </row>
    <row r="2371">
      <c r="A2371" s="3">
        <f>IFERROR(__xludf.DUMMYFUNCTION("""COMPUTED_VALUE"""),42737.99861111111)</f>
        <v>42737.99861</v>
      </c>
      <c r="B2371" s="1">
        <f>IFERROR(__xludf.DUMMYFUNCTION("""COMPUTED_VALUE"""),114.909048)</f>
        <v>114.909048</v>
      </c>
    </row>
    <row r="2372">
      <c r="A2372" s="3">
        <f>IFERROR(__xludf.DUMMYFUNCTION("""COMPUTED_VALUE"""),42738.99861111111)</f>
        <v>42738.99861</v>
      </c>
      <c r="B2372" s="1">
        <f>IFERROR(__xludf.DUMMYFUNCTION("""COMPUTED_VALUE"""),114.225171)</f>
        <v>114.225171</v>
      </c>
    </row>
    <row r="2373">
      <c r="A2373" s="3">
        <f>IFERROR(__xludf.DUMMYFUNCTION("""COMPUTED_VALUE"""),42739.99861111111)</f>
        <v>42739.99861</v>
      </c>
      <c r="B2373" s="1">
        <f>IFERROR(__xludf.DUMMYFUNCTION("""COMPUTED_VALUE"""),113.938528)</f>
        <v>113.938528</v>
      </c>
    </row>
    <row r="2374">
      <c r="A2374" s="3">
        <f>IFERROR(__xludf.DUMMYFUNCTION("""COMPUTED_VALUE"""),42740.99861111111)</f>
        <v>42740.99861</v>
      </c>
      <c r="B2374" s="1">
        <f>IFERROR(__xludf.DUMMYFUNCTION("""COMPUTED_VALUE"""),115.515687)</f>
        <v>115.515687</v>
      </c>
    </row>
    <row r="2375">
      <c r="A2375" s="3">
        <f>IFERROR(__xludf.DUMMYFUNCTION("""COMPUTED_VALUE"""),42741.99861111111)</f>
        <v>42741.99861</v>
      </c>
      <c r="B2375" s="1">
        <f>IFERROR(__xludf.DUMMYFUNCTION("""COMPUTED_VALUE"""),114.0741)</f>
        <v>114.0741</v>
      </c>
    </row>
    <row r="2376">
      <c r="A2376" s="3">
        <f>IFERROR(__xludf.DUMMYFUNCTION("""COMPUTED_VALUE"""),42742.99861111111)</f>
        <v>42742.99861</v>
      </c>
      <c r="B2376" s="1">
        <f>IFERROR(__xludf.DUMMYFUNCTION("""COMPUTED_VALUE"""),114.0741)</f>
        <v>114.0741</v>
      </c>
    </row>
    <row r="2377">
      <c r="A2377" s="3">
        <f>IFERROR(__xludf.DUMMYFUNCTION("""COMPUTED_VALUE"""),42743.99861111111)</f>
        <v>42743.99861</v>
      </c>
      <c r="B2377" s="1">
        <f>IFERROR(__xludf.DUMMYFUNCTION("""COMPUTED_VALUE"""),113.937434)</f>
        <v>113.937434</v>
      </c>
    </row>
    <row r="2378">
      <c r="A2378" s="3">
        <f>IFERROR(__xludf.DUMMYFUNCTION("""COMPUTED_VALUE"""),42744.99861111111)</f>
        <v>42744.99861</v>
      </c>
      <c r="B2378" s="1">
        <f>IFERROR(__xludf.DUMMYFUNCTION("""COMPUTED_VALUE"""),114.76668)</f>
        <v>114.76668</v>
      </c>
    </row>
    <row r="2379">
      <c r="A2379" s="3">
        <f>IFERROR(__xludf.DUMMYFUNCTION("""COMPUTED_VALUE"""),42745.99861111111)</f>
        <v>42745.99861</v>
      </c>
      <c r="B2379" s="1">
        <f>IFERROR(__xludf.DUMMYFUNCTION("""COMPUTED_VALUE"""),114.661457)</f>
        <v>114.661457</v>
      </c>
    </row>
    <row r="2380">
      <c r="A2380" s="3">
        <f>IFERROR(__xludf.DUMMYFUNCTION("""COMPUTED_VALUE"""),42746.99861111111)</f>
        <v>42746.99861</v>
      </c>
      <c r="B2380" s="1">
        <f>IFERROR(__xludf.DUMMYFUNCTION("""COMPUTED_VALUE"""),114.984844)</f>
        <v>114.984844</v>
      </c>
    </row>
    <row r="2381">
      <c r="A2381" s="3">
        <f>IFERROR(__xludf.DUMMYFUNCTION("""COMPUTED_VALUE"""),42747.99861111111)</f>
        <v>42747.99861</v>
      </c>
      <c r="B2381" s="1">
        <f>IFERROR(__xludf.DUMMYFUNCTION("""COMPUTED_VALUE"""),115.596502)</f>
        <v>115.596502</v>
      </c>
    </row>
    <row r="2382">
      <c r="A2382" s="3">
        <f>IFERROR(__xludf.DUMMYFUNCTION("""COMPUTED_VALUE"""),42748.99861111111)</f>
        <v>42748.99861</v>
      </c>
      <c r="B2382" s="1">
        <f>IFERROR(__xludf.DUMMYFUNCTION("""COMPUTED_VALUE"""),116.22249)</f>
        <v>116.22249</v>
      </c>
    </row>
    <row r="2383">
      <c r="A2383" s="3">
        <f>IFERROR(__xludf.DUMMYFUNCTION("""COMPUTED_VALUE"""),42749.99861111111)</f>
        <v>42749.99861</v>
      </c>
      <c r="B2383" s="1">
        <f>IFERROR(__xludf.DUMMYFUNCTION("""COMPUTED_VALUE"""),116.22249)</f>
        <v>116.22249</v>
      </c>
    </row>
    <row r="2384">
      <c r="A2384" s="3">
        <f>IFERROR(__xludf.DUMMYFUNCTION("""COMPUTED_VALUE"""),42750.99861111111)</f>
        <v>42750.99861</v>
      </c>
      <c r="B2384" s="1">
        <f>IFERROR(__xludf.DUMMYFUNCTION("""COMPUTED_VALUE"""),116.528689)</f>
        <v>116.528689</v>
      </c>
    </row>
    <row r="2385">
      <c r="A2385" s="3">
        <f>IFERROR(__xludf.DUMMYFUNCTION("""COMPUTED_VALUE"""),42751.99861111111)</f>
        <v>42751.99861</v>
      </c>
      <c r="B2385" s="1">
        <f>IFERROR(__xludf.DUMMYFUNCTION("""COMPUTED_VALUE"""),116.910542)</f>
        <v>116.910542</v>
      </c>
    </row>
    <row r="2386">
      <c r="A2386" s="3">
        <f>IFERROR(__xludf.DUMMYFUNCTION("""COMPUTED_VALUE"""),42752.99861111111)</f>
        <v>42752.99861</v>
      </c>
      <c r="B2386" s="1">
        <f>IFERROR(__xludf.DUMMYFUNCTION("""COMPUTED_VALUE"""),117.775968)</f>
        <v>117.775968</v>
      </c>
    </row>
    <row r="2387">
      <c r="A2387" s="3">
        <f>IFERROR(__xludf.DUMMYFUNCTION("""COMPUTED_VALUE"""),42753.99861111111)</f>
        <v>42753.99861</v>
      </c>
      <c r="B2387" s="1">
        <f>IFERROR(__xludf.DUMMYFUNCTION("""COMPUTED_VALUE"""),116.4527)</f>
        <v>116.4527</v>
      </c>
    </row>
    <row r="2388">
      <c r="A2388" s="3">
        <f>IFERROR(__xludf.DUMMYFUNCTION("""COMPUTED_VALUE"""),42754.99861111111)</f>
        <v>42754.99861</v>
      </c>
      <c r="B2388" s="1">
        <f>IFERROR(__xludf.DUMMYFUNCTION("""COMPUTED_VALUE"""),116.348466)</f>
        <v>116.348466</v>
      </c>
    </row>
    <row r="2389">
      <c r="A2389" s="3">
        <f>IFERROR(__xludf.DUMMYFUNCTION("""COMPUTED_VALUE"""),42755.99861111111)</f>
        <v>42755.99861</v>
      </c>
      <c r="B2389" s="1">
        <f>IFERROR(__xludf.DUMMYFUNCTION("""COMPUTED_VALUE"""),116.92089)</f>
        <v>116.92089</v>
      </c>
    </row>
    <row r="2390">
      <c r="A2390" s="3">
        <f>IFERROR(__xludf.DUMMYFUNCTION("""COMPUTED_VALUE"""),42756.99861111111)</f>
        <v>42756.99861</v>
      </c>
      <c r="B2390" s="1">
        <f>IFERROR(__xludf.DUMMYFUNCTION("""COMPUTED_VALUE"""),116.92089)</f>
        <v>116.92089</v>
      </c>
    </row>
    <row r="2391">
      <c r="A2391" s="3">
        <f>IFERROR(__xludf.DUMMYFUNCTION("""COMPUTED_VALUE"""),42757.99861111111)</f>
        <v>42757.99861</v>
      </c>
      <c r="B2391" s="1">
        <f>IFERROR(__xludf.DUMMYFUNCTION("""COMPUTED_VALUE"""),117.758304)</f>
        <v>117.758304</v>
      </c>
    </row>
    <row r="2392">
      <c r="A2392" s="3">
        <f>IFERROR(__xludf.DUMMYFUNCTION("""COMPUTED_VALUE"""),42758.99861111111)</f>
        <v>42758.99861</v>
      </c>
      <c r="B2392" s="1">
        <f>IFERROR(__xludf.DUMMYFUNCTION("""COMPUTED_VALUE"""),118.303425)</f>
        <v>118.303425</v>
      </c>
    </row>
    <row r="2393">
      <c r="A2393" s="3">
        <f>IFERROR(__xludf.DUMMYFUNCTION("""COMPUTED_VALUE"""),42759.99861111111)</f>
        <v>42759.99861</v>
      </c>
      <c r="B2393" s="1">
        <f>IFERROR(__xludf.DUMMYFUNCTION("""COMPUTED_VALUE"""),117.156102)</f>
        <v>117.156102</v>
      </c>
    </row>
    <row r="2394">
      <c r="A2394" s="3">
        <f>IFERROR(__xludf.DUMMYFUNCTION("""COMPUTED_VALUE"""),42760.99861111111)</f>
        <v>42760.99861</v>
      </c>
      <c r="B2394" s="1">
        <f>IFERROR(__xludf.DUMMYFUNCTION("""COMPUTED_VALUE"""),117.5137)</f>
        <v>117.5137</v>
      </c>
    </row>
    <row r="2395">
      <c r="A2395" s="3">
        <f>IFERROR(__xludf.DUMMYFUNCTION("""COMPUTED_VALUE"""),42761.99861111111)</f>
        <v>42761.99861</v>
      </c>
      <c r="B2395" s="1">
        <f>IFERROR(__xludf.DUMMYFUNCTION("""COMPUTED_VALUE"""),116.935445)</f>
        <v>116.935445</v>
      </c>
    </row>
    <row r="2396">
      <c r="A2396" s="3">
        <f>IFERROR(__xludf.DUMMYFUNCTION("""COMPUTED_VALUE"""),42762.99861111111)</f>
        <v>42762.99861</v>
      </c>
      <c r="B2396" s="1">
        <f>IFERROR(__xludf.DUMMYFUNCTION("""COMPUTED_VALUE"""),116.07233)</f>
        <v>116.07233</v>
      </c>
    </row>
    <row r="2397">
      <c r="A2397" s="3">
        <f>IFERROR(__xludf.DUMMYFUNCTION("""COMPUTED_VALUE"""),42763.99861111111)</f>
        <v>42763.99861</v>
      </c>
      <c r="B2397" s="1">
        <f>IFERROR(__xludf.DUMMYFUNCTION("""COMPUTED_VALUE"""),116.1764362)</f>
        <v>116.1764362</v>
      </c>
    </row>
    <row r="2398">
      <c r="A2398" s="3">
        <f>IFERROR(__xludf.DUMMYFUNCTION("""COMPUTED_VALUE"""),42764.99861111111)</f>
        <v>42764.99861</v>
      </c>
      <c r="B2398" s="1">
        <f>IFERROR(__xludf.DUMMYFUNCTION("""COMPUTED_VALUE"""),116.042808)</f>
        <v>116.042808</v>
      </c>
    </row>
    <row r="2399">
      <c r="A2399" s="3">
        <f>IFERROR(__xludf.DUMMYFUNCTION("""COMPUTED_VALUE"""),42765.99861111111)</f>
        <v>42765.99861</v>
      </c>
      <c r="B2399" s="1">
        <f>IFERROR(__xludf.DUMMYFUNCTION("""COMPUTED_VALUE"""),117.321048)</f>
        <v>117.321048</v>
      </c>
    </row>
    <row r="2400">
      <c r="A2400" s="3">
        <f>IFERROR(__xludf.DUMMYFUNCTION("""COMPUTED_VALUE"""),42766.99861111111)</f>
        <v>42766.99861</v>
      </c>
      <c r="B2400" s="1">
        <f>IFERROR(__xludf.DUMMYFUNCTION("""COMPUTED_VALUE"""),118.330115)</f>
        <v>118.330115</v>
      </c>
    </row>
    <row r="2401">
      <c r="A2401" s="3">
        <f>IFERROR(__xludf.DUMMYFUNCTION("""COMPUTED_VALUE"""),42767.99861111111)</f>
        <v>42767.99861</v>
      </c>
      <c r="B2401" s="1">
        <f>IFERROR(__xludf.DUMMYFUNCTION("""COMPUTED_VALUE"""),117.86192)</f>
        <v>117.86192</v>
      </c>
    </row>
    <row r="2402">
      <c r="A2402" s="3">
        <f>IFERROR(__xludf.DUMMYFUNCTION("""COMPUTED_VALUE"""),42768.99861111111)</f>
        <v>42768.99861</v>
      </c>
      <c r="B2402" s="1">
        <f>IFERROR(__xludf.DUMMYFUNCTION("""COMPUTED_VALUE"""),118.285598)</f>
        <v>118.285598</v>
      </c>
    </row>
    <row r="2403">
      <c r="A2403" s="3">
        <f>IFERROR(__xludf.DUMMYFUNCTION("""COMPUTED_VALUE"""),42769.99861111111)</f>
        <v>42769.99861</v>
      </c>
      <c r="B2403" s="1">
        <f>IFERROR(__xludf.DUMMYFUNCTION("""COMPUTED_VALUE"""),118.26384)</f>
        <v>118.26384</v>
      </c>
    </row>
    <row r="2404">
      <c r="A2404" s="3">
        <f>IFERROR(__xludf.DUMMYFUNCTION("""COMPUTED_VALUE"""),42770.99861111111)</f>
        <v>42770.99861</v>
      </c>
      <c r="B2404" s="1">
        <f>IFERROR(__xludf.DUMMYFUNCTION("""COMPUTED_VALUE"""),118.2666371)</f>
        <v>118.2666371</v>
      </c>
    </row>
    <row r="2405">
      <c r="A2405" s="3">
        <f>IFERROR(__xludf.DUMMYFUNCTION("""COMPUTED_VALUE"""),42771.99861111111)</f>
        <v>42771.99861</v>
      </c>
      <c r="B2405" s="1">
        <f>IFERROR(__xludf.DUMMYFUNCTION("""COMPUTED_VALUE"""),118.388088)</f>
        <v>118.388088</v>
      </c>
    </row>
    <row r="2406">
      <c r="A2406" s="3">
        <f>IFERROR(__xludf.DUMMYFUNCTION("""COMPUTED_VALUE"""),42772.99861111111)</f>
        <v>42772.99861</v>
      </c>
      <c r="B2406" s="1">
        <f>IFERROR(__xludf.DUMMYFUNCTION("""COMPUTED_VALUE"""),119.13444)</f>
        <v>119.13444</v>
      </c>
    </row>
    <row r="2407">
      <c r="A2407" s="3">
        <f>IFERROR(__xludf.DUMMYFUNCTION("""COMPUTED_VALUE"""),42773.99861111111)</f>
        <v>42773.99861</v>
      </c>
      <c r="B2407" s="1">
        <f>IFERROR(__xludf.DUMMYFUNCTION("""COMPUTED_VALUE"""),118.40576)</f>
        <v>118.40576</v>
      </c>
    </row>
    <row r="2408">
      <c r="A2408" s="3">
        <f>IFERROR(__xludf.DUMMYFUNCTION("""COMPUTED_VALUE"""),42774.99861111111)</f>
        <v>42774.99861</v>
      </c>
      <c r="B2408" s="1">
        <f>IFERROR(__xludf.DUMMYFUNCTION("""COMPUTED_VALUE"""),118.773558)</f>
        <v>118.773558</v>
      </c>
    </row>
    <row r="2409">
      <c r="A2409" s="3">
        <f>IFERROR(__xludf.DUMMYFUNCTION("""COMPUTED_VALUE"""),42775.99861111111)</f>
        <v>42775.99861</v>
      </c>
      <c r="B2409" s="1">
        <f>IFERROR(__xludf.DUMMYFUNCTION("""COMPUTED_VALUE"""),117.107144)</f>
        <v>117.107144</v>
      </c>
    </row>
    <row r="2410">
      <c r="A2410" s="3">
        <f>IFERROR(__xludf.DUMMYFUNCTION("""COMPUTED_VALUE"""),42776.99861111111)</f>
        <v>42776.99861</v>
      </c>
      <c r="B2410" s="1">
        <f>IFERROR(__xludf.DUMMYFUNCTION("""COMPUTED_VALUE"""),117.55379)</f>
        <v>117.55379</v>
      </c>
    </row>
    <row r="2411">
      <c r="A2411" s="3">
        <f>IFERROR(__xludf.DUMMYFUNCTION("""COMPUTED_VALUE"""),42777.99861111111)</f>
        <v>42777.99861</v>
      </c>
      <c r="B2411" s="1">
        <f>IFERROR(__xludf.DUMMYFUNCTION("""COMPUTED_VALUE"""),117.7333039)</f>
        <v>117.7333039</v>
      </c>
    </row>
    <row r="2412">
      <c r="A2412" s="3">
        <f>IFERROR(__xludf.DUMMYFUNCTION("""COMPUTED_VALUE"""),42778.99861111111)</f>
        <v>42778.99861</v>
      </c>
      <c r="B2412" s="1">
        <f>IFERROR(__xludf.DUMMYFUNCTION("""COMPUTED_VALUE"""),117.02796)</f>
        <v>117.02796</v>
      </c>
    </row>
    <row r="2413">
      <c r="A2413" s="3">
        <f>IFERROR(__xludf.DUMMYFUNCTION("""COMPUTED_VALUE"""),42779.99861111111)</f>
        <v>42779.99861</v>
      </c>
      <c r="B2413" s="1">
        <f>IFERROR(__xludf.DUMMYFUNCTION("""COMPUTED_VALUE"""),117.122493)</f>
        <v>117.122493</v>
      </c>
    </row>
    <row r="2414">
      <c r="A2414" s="3">
        <f>IFERROR(__xludf.DUMMYFUNCTION("""COMPUTED_VALUE"""),42780.99861111111)</f>
        <v>42780.99861</v>
      </c>
      <c r="B2414" s="1">
        <f>IFERROR(__xludf.DUMMYFUNCTION("""COMPUTED_VALUE"""),116.5254475)</f>
        <v>116.5254475</v>
      </c>
    </row>
    <row r="2415">
      <c r="A2415" s="3">
        <f>IFERROR(__xludf.DUMMYFUNCTION("""COMPUTED_VALUE"""),42781.99861111111)</f>
        <v>42781.99861</v>
      </c>
      <c r="B2415" s="1">
        <f>IFERROR(__xludf.DUMMYFUNCTION("""COMPUTED_VALUE"""),116.661476)</f>
        <v>116.661476</v>
      </c>
    </row>
    <row r="2416">
      <c r="A2416" s="3">
        <f>IFERROR(__xludf.DUMMYFUNCTION("""COMPUTED_VALUE"""),42782.99861111111)</f>
        <v>42782.99861</v>
      </c>
      <c r="B2416" s="1">
        <f>IFERROR(__xludf.DUMMYFUNCTION("""COMPUTED_VALUE"""),117.544504)</f>
        <v>117.544504</v>
      </c>
    </row>
    <row r="2417">
      <c r="A2417" s="3">
        <f>IFERROR(__xludf.DUMMYFUNCTION("""COMPUTED_VALUE"""),42783.99861111111)</f>
        <v>42783.99861</v>
      </c>
      <c r="B2417" s="1">
        <f>IFERROR(__xludf.DUMMYFUNCTION("""COMPUTED_VALUE"""),118.17468)</f>
        <v>118.17468</v>
      </c>
    </row>
    <row r="2418">
      <c r="A2418" s="3">
        <f>IFERROR(__xludf.DUMMYFUNCTION("""COMPUTED_VALUE"""),42784.99861111111)</f>
        <v>42784.99861</v>
      </c>
      <c r="B2418" s="1">
        <f>IFERROR(__xludf.DUMMYFUNCTION("""COMPUTED_VALUE"""),118.2910118)</f>
        <v>118.2910118</v>
      </c>
    </row>
    <row r="2419">
      <c r="A2419" s="3">
        <f>IFERROR(__xludf.DUMMYFUNCTION("""COMPUTED_VALUE"""),42785.99861111111)</f>
        <v>42785.99861</v>
      </c>
      <c r="B2419" s="1">
        <f>IFERROR(__xludf.DUMMYFUNCTION("""COMPUTED_VALUE"""),118.18755)</f>
        <v>118.18755</v>
      </c>
    </row>
    <row r="2420">
      <c r="A2420" s="3">
        <f>IFERROR(__xludf.DUMMYFUNCTION("""COMPUTED_VALUE"""),42786.99861111111)</f>
        <v>42786.99861</v>
      </c>
      <c r="B2420" s="1">
        <f>IFERROR(__xludf.DUMMYFUNCTION("""COMPUTED_VALUE"""),117.800622)</f>
        <v>117.800622</v>
      </c>
    </row>
    <row r="2421">
      <c r="A2421" s="3">
        <f>IFERROR(__xludf.DUMMYFUNCTION("""COMPUTED_VALUE"""),42787.99861111111)</f>
        <v>42787.99861</v>
      </c>
      <c r="B2421" s="1">
        <f>IFERROR(__xludf.DUMMYFUNCTION("""COMPUTED_VALUE"""),117.48361)</f>
        <v>117.48361</v>
      </c>
    </row>
    <row r="2422">
      <c r="A2422" s="3">
        <f>IFERROR(__xludf.DUMMYFUNCTION("""COMPUTED_VALUE"""),42788.99861111111)</f>
        <v>42788.99861</v>
      </c>
      <c r="B2422" s="1">
        <f>IFERROR(__xludf.DUMMYFUNCTION("""COMPUTED_VALUE"""),117.561132)</f>
        <v>117.561132</v>
      </c>
    </row>
    <row r="2423">
      <c r="A2423" s="3">
        <f>IFERROR(__xludf.DUMMYFUNCTION("""COMPUTED_VALUE"""),42789.99861111111)</f>
        <v>42789.99861</v>
      </c>
      <c r="B2423" s="1">
        <f>IFERROR(__xludf.DUMMYFUNCTION("""COMPUTED_VALUE"""),118.24605)</f>
        <v>118.24605</v>
      </c>
    </row>
    <row r="2424">
      <c r="A2424" s="3">
        <f>IFERROR(__xludf.DUMMYFUNCTION("""COMPUTED_VALUE"""),42790.99861111111)</f>
        <v>42790.99861</v>
      </c>
      <c r="B2424" s="1">
        <f>IFERROR(__xludf.DUMMYFUNCTION("""COMPUTED_VALUE"""),118.70793)</f>
        <v>118.70793</v>
      </c>
    </row>
    <row r="2425">
      <c r="A2425" s="3">
        <f>IFERROR(__xludf.DUMMYFUNCTION("""COMPUTED_VALUE"""),42791.99861111111)</f>
        <v>42791.99861</v>
      </c>
      <c r="B2425" s="1">
        <f>IFERROR(__xludf.DUMMYFUNCTION("""COMPUTED_VALUE"""),118.70793)</f>
        <v>118.70793</v>
      </c>
    </row>
    <row r="2426">
      <c r="A2426" s="3">
        <f>IFERROR(__xludf.DUMMYFUNCTION("""COMPUTED_VALUE"""),42792.99861111111)</f>
        <v>42792.99861</v>
      </c>
      <c r="B2426" s="1">
        <f>IFERROR(__xludf.DUMMYFUNCTION("""COMPUTED_VALUE"""),118.730164)</f>
        <v>118.730164</v>
      </c>
    </row>
    <row r="2427">
      <c r="A2427" s="3">
        <f>IFERROR(__xludf.DUMMYFUNCTION("""COMPUTED_VALUE"""),42793.99861111111)</f>
        <v>42793.99861</v>
      </c>
      <c r="B2427" s="1">
        <f>IFERROR(__xludf.DUMMYFUNCTION("""COMPUTED_VALUE"""),118.276913)</f>
        <v>118.276913</v>
      </c>
    </row>
    <row r="2428">
      <c r="A2428" s="3">
        <f>IFERROR(__xludf.DUMMYFUNCTION("""COMPUTED_VALUE"""),42794.99861111111)</f>
        <v>42794.99861</v>
      </c>
      <c r="B2428" s="1">
        <f>IFERROR(__xludf.DUMMYFUNCTION("""COMPUTED_VALUE"""),118.403222)</f>
        <v>118.403222</v>
      </c>
    </row>
    <row r="2429">
      <c r="A2429" s="3">
        <f>IFERROR(__xludf.DUMMYFUNCTION("""COMPUTED_VALUE"""),42795.99861111111)</f>
        <v>42795.99861</v>
      </c>
      <c r="B2429" s="1">
        <f>IFERROR(__xludf.DUMMYFUNCTION("""COMPUTED_VALUE"""),117.31392)</f>
        <v>117.31392</v>
      </c>
    </row>
    <row r="2430">
      <c r="A2430" s="3">
        <f>IFERROR(__xludf.DUMMYFUNCTION("""COMPUTED_VALUE"""),42796.99861111111)</f>
        <v>42796.99861</v>
      </c>
      <c r="B2430" s="1">
        <f>IFERROR(__xludf.DUMMYFUNCTION("""COMPUTED_VALUE"""),116.933512)</f>
        <v>116.933512</v>
      </c>
    </row>
    <row r="2431">
      <c r="A2431" s="3">
        <f>IFERROR(__xludf.DUMMYFUNCTION("""COMPUTED_VALUE"""),42797.99861111111)</f>
        <v>42797.99861</v>
      </c>
      <c r="B2431" s="1">
        <f>IFERROR(__xludf.DUMMYFUNCTION("""COMPUTED_VALUE"""),116.78132)</f>
        <v>116.78132</v>
      </c>
    </row>
    <row r="2432">
      <c r="A2432" s="3">
        <f>IFERROR(__xludf.DUMMYFUNCTION("""COMPUTED_VALUE"""),42798.99861111111)</f>
        <v>42798.99861</v>
      </c>
      <c r="B2432" s="1">
        <f>IFERROR(__xludf.DUMMYFUNCTION("""COMPUTED_VALUE"""),116.9333041)</f>
        <v>116.9333041</v>
      </c>
    </row>
    <row r="2433">
      <c r="A2433" s="3">
        <f>IFERROR(__xludf.DUMMYFUNCTION("""COMPUTED_VALUE"""),42799.99861111111)</f>
        <v>42799.99861</v>
      </c>
      <c r="B2433" s="1">
        <f>IFERROR(__xludf.DUMMYFUNCTION("""COMPUTED_VALUE"""),116.594118)</f>
        <v>116.594118</v>
      </c>
    </row>
    <row r="2434">
      <c r="A2434" s="3">
        <f>IFERROR(__xludf.DUMMYFUNCTION("""COMPUTED_VALUE"""),42800.99861111111)</f>
        <v>42800.99861</v>
      </c>
      <c r="B2434" s="1">
        <f>IFERROR(__xludf.DUMMYFUNCTION("""COMPUTED_VALUE"""),117.089392)</f>
        <v>117.089392</v>
      </c>
    </row>
    <row r="2435">
      <c r="A2435" s="3">
        <f>IFERROR(__xludf.DUMMYFUNCTION("""COMPUTED_VALUE"""),42801.99861111111)</f>
        <v>42801.99861</v>
      </c>
      <c r="B2435" s="1">
        <f>IFERROR(__xludf.DUMMYFUNCTION("""COMPUTED_VALUE"""),117.010064)</f>
        <v>117.010064</v>
      </c>
    </row>
    <row r="2436">
      <c r="A2436" s="3">
        <f>IFERROR(__xludf.DUMMYFUNCTION("""COMPUTED_VALUE"""),42802.99861111111)</f>
        <v>42802.99861</v>
      </c>
      <c r="B2436" s="1">
        <f>IFERROR(__xludf.DUMMYFUNCTION("""COMPUTED_VALUE"""),116.809584)</f>
        <v>116.809584</v>
      </c>
    </row>
    <row r="2437">
      <c r="A2437" s="3">
        <f>IFERROR(__xludf.DUMMYFUNCTION("""COMPUTED_VALUE"""),42803.99861111111)</f>
        <v>42803.99861</v>
      </c>
      <c r="B2437" s="1">
        <f>IFERROR(__xludf.DUMMYFUNCTION("""COMPUTED_VALUE"""),116.3809296)</f>
        <v>116.3809296</v>
      </c>
    </row>
    <row r="2438">
      <c r="A2438" s="3">
        <f>IFERROR(__xludf.DUMMYFUNCTION("""COMPUTED_VALUE"""),42804.99861111111)</f>
        <v>42804.99861</v>
      </c>
      <c r="B2438" s="1">
        <f>IFERROR(__xludf.DUMMYFUNCTION("""COMPUTED_VALUE"""),116.26979)</f>
        <v>116.26979</v>
      </c>
    </row>
    <row r="2439">
      <c r="A2439" s="3">
        <f>IFERROR(__xludf.DUMMYFUNCTION("""COMPUTED_VALUE"""),42806.99861111111)</f>
        <v>42806.99861</v>
      </c>
      <c r="B2439" s="1">
        <f>IFERROR(__xludf.DUMMYFUNCTION("""COMPUTED_VALUE"""),116.270352)</f>
        <v>116.270352</v>
      </c>
    </row>
    <row r="2440">
      <c r="A2440" s="3">
        <f>IFERROR(__xludf.DUMMYFUNCTION("""COMPUTED_VALUE"""),42807.99861111111)</f>
        <v>42807.99861</v>
      </c>
      <c r="B2440" s="1">
        <f>IFERROR(__xludf.DUMMYFUNCTION("""COMPUTED_VALUE"""),116.389888)</f>
        <v>116.389888</v>
      </c>
    </row>
    <row r="2441">
      <c r="A2441" s="3">
        <f>IFERROR(__xludf.DUMMYFUNCTION("""COMPUTED_VALUE"""),42808.99861111111)</f>
        <v>42808.99861</v>
      </c>
      <c r="B2441" s="1">
        <f>IFERROR(__xludf.DUMMYFUNCTION("""COMPUTED_VALUE"""),116.74741)</f>
        <v>116.74741</v>
      </c>
    </row>
    <row r="2442">
      <c r="A2442" s="3">
        <f>IFERROR(__xludf.DUMMYFUNCTION("""COMPUTED_VALUE"""),42809.99861111111)</f>
        <v>42809.99861</v>
      </c>
      <c r="B2442" s="1">
        <f>IFERROR(__xludf.DUMMYFUNCTION("""COMPUTED_VALUE"""),116.507855)</f>
        <v>116.507855</v>
      </c>
    </row>
    <row r="2443">
      <c r="A2443" s="3">
        <f>IFERROR(__xludf.DUMMYFUNCTION("""COMPUTED_VALUE"""),42810.99861111111)</f>
        <v>42810.99861</v>
      </c>
      <c r="B2443" s="1">
        <f>IFERROR(__xludf.DUMMYFUNCTION("""COMPUTED_VALUE"""),117.169343)</f>
        <v>117.169343</v>
      </c>
    </row>
    <row r="2444">
      <c r="A2444" s="3">
        <f>IFERROR(__xludf.DUMMYFUNCTION("""COMPUTED_VALUE"""),42811.99861111111)</f>
        <v>42811.99861</v>
      </c>
      <c r="B2444" s="1">
        <f>IFERROR(__xludf.DUMMYFUNCTION("""COMPUTED_VALUE"""),118.3258)</f>
        <v>118.3258</v>
      </c>
    </row>
    <row r="2445">
      <c r="A2445" s="3">
        <f>IFERROR(__xludf.DUMMYFUNCTION("""COMPUTED_VALUE"""),42812.99861111111)</f>
        <v>42812.99861</v>
      </c>
      <c r="B2445" s="1">
        <f>IFERROR(__xludf.DUMMYFUNCTION("""COMPUTED_VALUE"""),118.3258)</f>
        <v>118.3258</v>
      </c>
    </row>
    <row r="2446">
      <c r="A2446" s="3">
        <f>IFERROR(__xludf.DUMMYFUNCTION("""COMPUTED_VALUE"""),42813.99861111111)</f>
        <v>42813.99861</v>
      </c>
      <c r="B2446" s="1">
        <f>IFERROR(__xludf.DUMMYFUNCTION("""COMPUTED_VALUE"""),118.30375)</f>
        <v>118.30375</v>
      </c>
    </row>
    <row r="2447">
      <c r="A2447" s="3">
        <f>IFERROR(__xludf.DUMMYFUNCTION("""COMPUTED_VALUE"""),42814.99861111111)</f>
        <v>42814.99861</v>
      </c>
      <c r="B2447" s="1">
        <f>IFERROR(__xludf.DUMMYFUNCTION("""COMPUTED_VALUE"""),118.401492)</f>
        <v>118.401492</v>
      </c>
    </row>
    <row r="2448">
      <c r="A2448" s="3">
        <f>IFERROR(__xludf.DUMMYFUNCTION("""COMPUTED_VALUE"""),42815.99861111111)</f>
        <v>42815.99861</v>
      </c>
      <c r="B2448" s="1">
        <f>IFERROR(__xludf.DUMMYFUNCTION("""COMPUTED_VALUE"""),119.292912)</f>
        <v>119.292912</v>
      </c>
    </row>
    <row r="2449">
      <c r="A2449" s="3">
        <f>IFERROR(__xludf.DUMMYFUNCTION("""COMPUTED_VALUE"""),42816.99861111111)</f>
        <v>42816.99861</v>
      </c>
      <c r="B2449" s="1">
        <f>IFERROR(__xludf.DUMMYFUNCTION("""COMPUTED_VALUE"""),119.6484733)</f>
        <v>119.6484733</v>
      </c>
    </row>
    <row r="2450">
      <c r="A2450" s="3">
        <f>IFERROR(__xludf.DUMMYFUNCTION("""COMPUTED_VALUE"""),42817.99861111111)</f>
        <v>42817.99861</v>
      </c>
      <c r="B2450" s="1">
        <f>IFERROR(__xludf.DUMMYFUNCTION("""COMPUTED_VALUE"""),119.941908)</f>
        <v>119.941908</v>
      </c>
    </row>
    <row r="2451">
      <c r="A2451" s="3">
        <f>IFERROR(__xludf.DUMMYFUNCTION("""COMPUTED_VALUE"""),42818.99861111111)</f>
        <v>42818.99861</v>
      </c>
      <c r="B2451" s="1">
        <f>IFERROR(__xludf.DUMMYFUNCTION("""COMPUTED_VALUE"""),119.37114)</f>
        <v>119.37114</v>
      </c>
    </row>
    <row r="2452">
      <c r="A2452" s="3">
        <f>IFERROR(__xludf.DUMMYFUNCTION("""COMPUTED_VALUE"""),42819.99861111111)</f>
        <v>42819.99861</v>
      </c>
      <c r="B2452" s="1">
        <f>IFERROR(__xludf.DUMMYFUNCTION("""COMPUTED_VALUE"""),119.37114)</f>
        <v>119.37114</v>
      </c>
    </row>
    <row r="2453">
      <c r="A2453" s="3">
        <f>IFERROR(__xludf.DUMMYFUNCTION("""COMPUTED_VALUE"""),42820.99861111111)</f>
        <v>42820.99861</v>
      </c>
      <c r="B2453" s="1">
        <f>IFERROR(__xludf.DUMMYFUNCTION("""COMPUTED_VALUE"""),120.46608)</f>
        <v>120.46608</v>
      </c>
    </row>
    <row r="2454">
      <c r="A2454" s="3">
        <f>IFERROR(__xludf.DUMMYFUNCTION("""COMPUTED_VALUE"""),42821.99861111111)</f>
        <v>42821.99861</v>
      </c>
      <c r="B2454" s="1">
        <f>IFERROR(__xludf.DUMMYFUNCTION("""COMPUTED_VALUE"""),120.1047)</f>
        <v>120.1047</v>
      </c>
    </row>
    <row r="2455">
      <c r="A2455" s="3">
        <f>IFERROR(__xludf.DUMMYFUNCTION("""COMPUTED_VALUE"""),42822.99861111111)</f>
        <v>42822.99861</v>
      </c>
      <c r="B2455" s="1">
        <f>IFERROR(__xludf.DUMMYFUNCTION("""COMPUTED_VALUE"""),119.621292)</f>
        <v>119.621292</v>
      </c>
    </row>
    <row r="2456">
      <c r="A2456" s="3">
        <f>IFERROR(__xludf.DUMMYFUNCTION("""COMPUTED_VALUE"""),42823.99861111111)</f>
        <v>42823.99861</v>
      </c>
      <c r="B2456" s="1">
        <f>IFERROR(__xludf.DUMMYFUNCTION("""COMPUTED_VALUE"""),119.727)</f>
        <v>119.727</v>
      </c>
    </row>
    <row r="2457">
      <c r="A2457" s="3">
        <f>IFERROR(__xludf.DUMMYFUNCTION("""COMPUTED_VALUE"""),42824.99861111111)</f>
        <v>42824.99861</v>
      </c>
      <c r="B2457" s="1">
        <f>IFERROR(__xludf.DUMMYFUNCTION("""COMPUTED_VALUE"""),118.946256)</f>
        <v>118.946256</v>
      </c>
    </row>
    <row r="2458">
      <c r="A2458" s="3">
        <f>IFERROR(__xludf.DUMMYFUNCTION("""COMPUTED_VALUE"""),42825.99861111111)</f>
        <v>42825.99861</v>
      </c>
      <c r="B2458" s="1">
        <f>IFERROR(__xludf.DUMMYFUNCTION("""COMPUTED_VALUE"""),119.62258)</f>
        <v>119.62258</v>
      </c>
    </row>
    <row r="2459">
      <c r="A2459" s="3">
        <f>IFERROR(__xludf.DUMMYFUNCTION("""COMPUTED_VALUE"""),42826.99861111111)</f>
        <v>42826.99861</v>
      </c>
      <c r="B2459" s="1">
        <f>IFERROR(__xludf.DUMMYFUNCTION("""COMPUTED_VALUE"""),121.8453096)</f>
        <v>121.8453096</v>
      </c>
    </row>
    <row r="2460">
      <c r="A2460" s="3">
        <f>IFERROR(__xludf.DUMMYFUNCTION("""COMPUTED_VALUE"""),42827.99861111111)</f>
        <v>42827.99861</v>
      </c>
      <c r="B2460" s="1">
        <f>IFERROR(__xludf.DUMMYFUNCTION("""COMPUTED_VALUE"""),119.8323105)</f>
        <v>119.8323105</v>
      </c>
    </row>
    <row r="2461">
      <c r="A2461" s="3">
        <f>IFERROR(__xludf.DUMMYFUNCTION("""COMPUTED_VALUE"""),42828.99861111111)</f>
        <v>42828.99861</v>
      </c>
      <c r="B2461" s="1">
        <f>IFERROR(__xludf.DUMMYFUNCTION("""COMPUTED_VALUE"""),120.256796)</f>
        <v>120.256796</v>
      </c>
    </row>
    <row r="2462">
      <c r="A2462" s="3">
        <f>IFERROR(__xludf.DUMMYFUNCTION("""COMPUTED_VALUE"""),42829.99861111111)</f>
        <v>42829.99861</v>
      </c>
      <c r="B2462" s="1">
        <f>IFERROR(__xludf.DUMMYFUNCTION("""COMPUTED_VALUE"""),120.2506404)</f>
        <v>120.2506404</v>
      </c>
    </row>
    <row r="2463">
      <c r="A2463" s="3">
        <f>IFERROR(__xludf.DUMMYFUNCTION("""COMPUTED_VALUE"""),42830.99861111111)</f>
        <v>42830.99861</v>
      </c>
      <c r="B2463" s="1">
        <f>IFERROR(__xludf.DUMMYFUNCTION("""COMPUTED_VALUE"""),120.666411)</f>
        <v>120.666411</v>
      </c>
    </row>
    <row r="2464">
      <c r="A2464" s="3">
        <f>IFERROR(__xludf.DUMMYFUNCTION("""COMPUTED_VALUE"""),42831.99861111111)</f>
        <v>42831.99861</v>
      </c>
      <c r="B2464" s="1">
        <f>IFERROR(__xludf.DUMMYFUNCTION("""COMPUTED_VALUE"""),120.363942)</f>
        <v>120.363942</v>
      </c>
    </row>
    <row r="2465">
      <c r="A2465" s="3">
        <f>IFERROR(__xludf.DUMMYFUNCTION("""COMPUTED_VALUE"""),42832.99861111111)</f>
        <v>42832.99861</v>
      </c>
      <c r="B2465" s="1">
        <f>IFERROR(__xludf.DUMMYFUNCTION("""COMPUTED_VALUE"""),120.015)</f>
        <v>120.015</v>
      </c>
    </row>
    <row r="2466">
      <c r="A2466" s="3">
        <f>IFERROR(__xludf.DUMMYFUNCTION("""COMPUTED_VALUE"""),42833.99861111111)</f>
        <v>42833.99861</v>
      </c>
      <c r="B2466" s="1">
        <f>IFERROR(__xludf.DUMMYFUNCTION("""COMPUTED_VALUE"""),120.16017)</f>
        <v>120.16017</v>
      </c>
    </row>
    <row r="2467">
      <c r="A2467" s="3">
        <f>IFERROR(__xludf.DUMMYFUNCTION("""COMPUTED_VALUE"""),42834.99861111111)</f>
        <v>42834.99861</v>
      </c>
      <c r="B2467" s="1">
        <f>IFERROR(__xludf.DUMMYFUNCTION("""COMPUTED_VALUE"""),120.196524)</f>
        <v>120.196524</v>
      </c>
    </row>
    <row r="2468">
      <c r="A2468" s="3">
        <f>IFERROR(__xludf.DUMMYFUNCTION("""COMPUTED_VALUE"""),42835.99861111111)</f>
        <v>42835.99861</v>
      </c>
      <c r="B2468" s="1">
        <f>IFERROR(__xludf.DUMMYFUNCTION("""COMPUTED_VALUE"""),119.83713)</f>
        <v>119.83713</v>
      </c>
    </row>
    <row r="2469">
      <c r="A2469" s="3">
        <f>IFERROR(__xludf.DUMMYFUNCTION("""COMPUTED_VALUE"""),42836.99861111111)</f>
        <v>42836.99861</v>
      </c>
      <c r="B2469" s="1">
        <f>IFERROR(__xludf.DUMMYFUNCTION("""COMPUTED_VALUE"""),121.253793)</f>
        <v>121.253793</v>
      </c>
    </row>
    <row r="2470">
      <c r="A2470" s="3">
        <f>IFERROR(__xludf.DUMMYFUNCTION("""COMPUTED_VALUE"""),42837.99861111111)</f>
        <v>42837.99861</v>
      </c>
      <c r="B2470" s="1">
        <f>IFERROR(__xludf.DUMMYFUNCTION("""COMPUTED_VALUE"""),121.896137)</f>
        <v>121.896137</v>
      </c>
    </row>
    <row r="2471">
      <c r="A2471" s="3">
        <f>IFERROR(__xludf.DUMMYFUNCTION("""COMPUTED_VALUE"""),42838.99861111111)</f>
        <v>42838.99861</v>
      </c>
      <c r="B2471" s="1">
        <f>IFERROR(__xludf.DUMMYFUNCTION("""COMPUTED_VALUE"""),121.647988)</f>
        <v>121.647988</v>
      </c>
    </row>
    <row r="2472">
      <c r="A2472" s="3">
        <f>IFERROR(__xludf.DUMMYFUNCTION("""COMPUTED_VALUE"""),42839.99861111111)</f>
        <v>42839.99861</v>
      </c>
      <c r="B2472" s="1">
        <f>IFERROR(__xludf.DUMMYFUNCTION("""COMPUTED_VALUE"""),122.1852)</f>
        <v>122.1852</v>
      </c>
    </row>
    <row r="2473">
      <c r="A2473" s="3">
        <f>IFERROR(__xludf.DUMMYFUNCTION("""COMPUTED_VALUE"""),42840.99861111111)</f>
        <v>42840.99861</v>
      </c>
      <c r="B2473" s="1">
        <f>IFERROR(__xludf.DUMMYFUNCTION("""COMPUTED_VALUE"""),122.1944)</f>
        <v>122.1944</v>
      </c>
    </row>
    <row r="2474">
      <c r="A2474" s="3">
        <f>IFERROR(__xludf.DUMMYFUNCTION("""COMPUTED_VALUE"""),42841.99861111111)</f>
        <v>42841.99861</v>
      </c>
      <c r="B2474" s="1">
        <f>IFERROR(__xludf.DUMMYFUNCTION("""COMPUTED_VALUE"""),122.63901)</f>
        <v>122.63901</v>
      </c>
    </row>
    <row r="2475">
      <c r="A2475" s="3">
        <f>IFERROR(__xludf.DUMMYFUNCTION("""COMPUTED_VALUE"""),42842.99861111111)</f>
        <v>42842.99861</v>
      </c>
      <c r="B2475" s="1">
        <f>IFERROR(__xludf.DUMMYFUNCTION("""COMPUTED_VALUE"""),121.63564)</f>
        <v>121.63564</v>
      </c>
    </row>
    <row r="2476">
      <c r="A2476" s="3">
        <f>IFERROR(__xludf.DUMMYFUNCTION("""COMPUTED_VALUE"""),42843.99861111111)</f>
        <v>42843.99861</v>
      </c>
      <c r="B2476" s="1">
        <f>IFERROR(__xludf.DUMMYFUNCTION("""COMPUTED_VALUE"""),122.469456)</f>
        <v>122.469456</v>
      </c>
    </row>
    <row r="2477">
      <c r="A2477" s="3">
        <f>IFERROR(__xludf.DUMMYFUNCTION("""COMPUTED_VALUE"""),42844.99861111111)</f>
        <v>42844.99861</v>
      </c>
      <c r="B2477" s="1">
        <f>IFERROR(__xludf.DUMMYFUNCTION("""COMPUTED_VALUE"""),122.555455)</f>
        <v>122.555455</v>
      </c>
    </row>
    <row r="2478">
      <c r="A2478" s="3">
        <f>IFERROR(__xludf.DUMMYFUNCTION("""COMPUTED_VALUE"""),42845.99861111111)</f>
        <v>42845.99861</v>
      </c>
      <c r="B2478" s="1">
        <f>IFERROR(__xludf.DUMMYFUNCTION("""COMPUTED_VALUE"""),121.71738)</f>
        <v>121.71738</v>
      </c>
    </row>
    <row r="2479">
      <c r="A2479" s="3">
        <f>IFERROR(__xludf.DUMMYFUNCTION("""COMPUTED_VALUE"""),42846.99861111111)</f>
        <v>42846.99861</v>
      </c>
      <c r="B2479" s="1">
        <f>IFERROR(__xludf.DUMMYFUNCTION("""COMPUTED_VALUE"""),121.75472)</f>
        <v>121.75472</v>
      </c>
    </row>
    <row r="2480">
      <c r="A2480" s="3">
        <f>IFERROR(__xludf.DUMMYFUNCTION("""COMPUTED_VALUE"""),42847.99861111111)</f>
        <v>42847.99861</v>
      </c>
      <c r="B2480" s="1">
        <f>IFERROR(__xludf.DUMMYFUNCTION("""COMPUTED_VALUE"""),121.8084892)</f>
        <v>121.8084892</v>
      </c>
    </row>
    <row r="2481">
      <c r="A2481" s="3">
        <f>IFERROR(__xludf.DUMMYFUNCTION("""COMPUTED_VALUE"""),42848.99861111111)</f>
        <v>42848.99861</v>
      </c>
      <c r="B2481" s="1">
        <f>IFERROR(__xludf.DUMMYFUNCTION("""COMPUTED_VALUE"""),119.07203)</f>
        <v>119.07203</v>
      </c>
    </row>
    <row r="2482">
      <c r="A2482" s="3">
        <f>IFERROR(__xludf.DUMMYFUNCTION("""COMPUTED_VALUE"""),42849.99861111111)</f>
        <v>42849.99861</v>
      </c>
      <c r="B2482" s="1">
        <f>IFERROR(__xludf.DUMMYFUNCTION("""COMPUTED_VALUE"""),119.664632)</f>
        <v>119.664632</v>
      </c>
    </row>
    <row r="2483">
      <c r="A2483" s="3">
        <f>IFERROR(__xludf.DUMMYFUNCTION("""COMPUTED_VALUE"""),42850.99861111111)</f>
        <v>42850.99861</v>
      </c>
      <c r="B2483" s="1">
        <f>IFERROR(__xludf.DUMMYFUNCTION("""COMPUTED_VALUE"""),119.766909)</f>
        <v>119.766909</v>
      </c>
    </row>
    <row r="2484">
      <c r="A2484" s="3">
        <f>IFERROR(__xludf.DUMMYFUNCTION("""COMPUTED_VALUE"""),42851.99861111111)</f>
        <v>42851.99861</v>
      </c>
      <c r="B2484" s="1">
        <f>IFERROR(__xludf.DUMMYFUNCTION("""COMPUTED_VALUE"""),119.2495425)</f>
        <v>119.2495425</v>
      </c>
    </row>
    <row r="2485">
      <c r="A2485" s="3">
        <f>IFERROR(__xludf.DUMMYFUNCTION("""COMPUTED_VALUE"""),42852.99861111111)</f>
        <v>42852.99861</v>
      </c>
      <c r="B2485" s="1">
        <f>IFERROR(__xludf.DUMMYFUNCTION("""COMPUTED_VALUE"""),119.998788)</f>
        <v>119.998788</v>
      </c>
    </row>
    <row r="2486">
      <c r="A2486" s="3">
        <f>IFERROR(__xludf.DUMMYFUNCTION("""COMPUTED_VALUE"""),42853.99861111111)</f>
        <v>42853.99861</v>
      </c>
      <c r="B2486" s="1">
        <f>IFERROR(__xludf.DUMMYFUNCTION("""COMPUTED_VALUE"""),119.69568)</f>
        <v>119.69568</v>
      </c>
    </row>
    <row r="2487">
      <c r="A2487" s="3">
        <f>IFERROR(__xludf.DUMMYFUNCTION("""COMPUTED_VALUE"""),42854.99861111111)</f>
        <v>42854.99861</v>
      </c>
      <c r="B2487" s="1">
        <f>IFERROR(__xludf.DUMMYFUNCTION("""COMPUTED_VALUE"""),119.6261248)</f>
        <v>119.6261248</v>
      </c>
    </row>
    <row r="2488">
      <c r="A2488" s="3">
        <f>IFERROR(__xludf.DUMMYFUNCTION("""COMPUTED_VALUE"""),42855.99861111111)</f>
        <v>42855.99861</v>
      </c>
      <c r="B2488" s="1">
        <f>IFERROR(__xludf.DUMMYFUNCTION("""COMPUTED_VALUE"""),119.6835158)</f>
        <v>119.6835158</v>
      </c>
    </row>
    <row r="2489">
      <c r="A2489" s="3">
        <f>IFERROR(__xludf.DUMMYFUNCTION("""COMPUTED_VALUE"""),42856.99861111111)</f>
        <v>42856.99861</v>
      </c>
      <c r="B2489" s="1">
        <f>IFERROR(__xludf.DUMMYFUNCTION("""COMPUTED_VALUE"""),119.138825)</f>
        <v>119.138825</v>
      </c>
    </row>
    <row r="2490">
      <c r="A2490" s="3">
        <f>IFERROR(__xludf.DUMMYFUNCTION("""COMPUTED_VALUE"""),42857.99861111111)</f>
        <v>42857.99861</v>
      </c>
      <c r="B2490" s="1">
        <f>IFERROR(__xludf.DUMMYFUNCTION("""COMPUTED_VALUE"""),118.711055)</f>
        <v>118.711055</v>
      </c>
    </row>
    <row r="2491">
      <c r="A2491" s="3">
        <f>IFERROR(__xludf.DUMMYFUNCTION("""COMPUTED_VALUE"""),42858.99861111111)</f>
        <v>42858.99861</v>
      </c>
      <c r="B2491" s="1">
        <f>IFERROR(__xludf.DUMMYFUNCTION("""COMPUTED_VALUE"""),117.93996)</f>
        <v>117.93996</v>
      </c>
    </row>
    <row r="2492">
      <c r="A2492" s="3">
        <f>IFERROR(__xludf.DUMMYFUNCTION("""COMPUTED_VALUE"""),42859.99861111111)</f>
        <v>42859.99861</v>
      </c>
      <c r="B2492" s="1">
        <f>IFERROR(__xludf.DUMMYFUNCTION("""COMPUTED_VALUE"""),118.49922)</f>
        <v>118.49922</v>
      </c>
    </row>
    <row r="2493">
      <c r="A2493" s="3">
        <f>IFERROR(__xludf.DUMMYFUNCTION("""COMPUTED_VALUE"""),42860.99861111111)</f>
        <v>42860.99861</v>
      </c>
      <c r="B2493" s="1">
        <f>IFERROR(__xludf.DUMMYFUNCTION("""COMPUTED_VALUE"""),118.10405)</f>
        <v>118.10405</v>
      </c>
    </row>
    <row r="2494">
      <c r="A2494" s="3">
        <f>IFERROR(__xludf.DUMMYFUNCTION("""COMPUTED_VALUE"""),42861.99861111111)</f>
        <v>42861.99861</v>
      </c>
      <c r="B2494" s="1">
        <f>IFERROR(__xludf.DUMMYFUNCTION("""COMPUTED_VALUE"""),118.2666371)</f>
        <v>118.2666371</v>
      </c>
    </row>
    <row r="2495">
      <c r="A2495" s="3">
        <f>IFERROR(__xludf.DUMMYFUNCTION("""COMPUTED_VALUE"""),42862.99861111111)</f>
        <v>42862.99861</v>
      </c>
      <c r="B2495" s="1">
        <f>IFERROR(__xludf.DUMMYFUNCTION("""COMPUTED_VALUE"""),118.3159704)</f>
        <v>118.3159704</v>
      </c>
    </row>
    <row r="2496">
      <c r="A2496" s="3">
        <f>IFERROR(__xludf.DUMMYFUNCTION("""COMPUTED_VALUE"""),42863.99861111111)</f>
        <v>42863.99861</v>
      </c>
      <c r="B2496" s="1">
        <f>IFERROR(__xludf.DUMMYFUNCTION("""COMPUTED_VALUE"""),117.65092)</f>
        <v>117.65092</v>
      </c>
    </row>
    <row r="2497">
      <c r="A2497" s="3">
        <f>IFERROR(__xludf.DUMMYFUNCTION("""COMPUTED_VALUE"""),42864.99861111111)</f>
        <v>42864.99861</v>
      </c>
      <c r="B2497" s="1">
        <f>IFERROR(__xludf.DUMMYFUNCTION("""COMPUTED_VALUE"""),117.4817178)</f>
        <v>117.4817178</v>
      </c>
    </row>
    <row r="2498">
      <c r="A2498" s="3">
        <f>IFERROR(__xludf.DUMMYFUNCTION("""COMPUTED_VALUE"""),42865.99861111111)</f>
        <v>42865.99861</v>
      </c>
      <c r="B2498" s="1">
        <f>IFERROR(__xludf.DUMMYFUNCTION("""COMPUTED_VALUE"""),116.771985)</f>
        <v>116.771985</v>
      </c>
    </row>
    <row r="2499">
      <c r="A2499" s="3">
        <f>IFERROR(__xludf.DUMMYFUNCTION("""COMPUTED_VALUE"""),42866.99861111111)</f>
        <v>42866.99861</v>
      </c>
      <c r="B2499" s="1">
        <f>IFERROR(__xludf.DUMMYFUNCTION("""COMPUTED_VALUE"""),116.94592)</f>
        <v>116.94592</v>
      </c>
    </row>
    <row r="2500">
      <c r="A2500" s="3">
        <f>IFERROR(__xludf.DUMMYFUNCTION("""COMPUTED_VALUE"""),42867.99861111111)</f>
        <v>42867.99861</v>
      </c>
      <c r="B2500" s="1">
        <f>IFERROR(__xludf.DUMMYFUNCTION("""COMPUTED_VALUE"""),117.4383)</f>
        <v>117.4383</v>
      </c>
    </row>
    <row r="2501">
      <c r="A2501" s="3">
        <f>IFERROR(__xludf.DUMMYFUNCTION("""COMPUTED_VALUE"""),42868.99861111111)</f>
        <v>42868.99861</v>
      </c>
      <c r="B2501" s="1">
        <f>IFERROR(__xludf.DUMMYFUNCTION("""COMPUTED_VALUE"""),117.5999706)</f>
        <v>117.5999706</v>
      </c>
    </row>
    <row r="2502">
      <c r="A2502" s="3">
        <f>IFERROR(__xludf.DUMMYFUNCTION("""COMPUTED_VALUE"""),42869.99861111111)</f>
        <v>42869.99861</v>
      </c>
      <c r="B2502" s="1">
        <f>IFERROR(__xludf.DUMMYFUNCTION("""COMPUTED_VALUE"""),117.602121)</f>
        <v>117.602121</v>
      </c>
    </row>
    <row r="2503">
      <c r="A2503" s="3">
        <f>IFERROR(__xludf.DUMMYFUNCTION("""COMPUTED_VALUE"""),42870.99861111111)</f>
        <v>42870.99861</v>
      </c>
      <c r="B2503" s="1">
        <f>IFERROR(__xludf.DUMMYFUNCTION("""COMPUTED_VALUE"""),116.8801015)</f>
        <v>116.8801015</v>
      </c>
    </row>
    <row r="2504">
      <c r="A2504" s="3">
        <f>IFERROR(__xludf.DUMMYFUNCTION("""COMPUTED_VALUE"""),42871.99861111111)</f>
        <v>42871.99861</v>
      </c>
      <c r="B2504" s="1">
        <f>IFERROR(__xludf.DUMMYFUNCTION("""COMPUTED_VALUE"""),117.793476)</f>
        <v>117.793476</v>
      </c>
    </row>
    <row r="2505">
      <c r="A2505" s="3">
        <f>IFERROR(__xludf.DUMMYFUNCTION("""COMPUTED_VALUE"""),42872.99861111111)</f>
        <v>42872.99861</v>
      </c>
      <c r="B2505" s="1">
        <f>IFERROR(__xludf.DUMMYFUNCTION("""COMPUTED_VALUE"""),119.808728)</f>
        <v>119.808728</v>
      </c>
    </row>
    <row r="2506">
      <c r="A2506" s="3">
        <f>IFERROR(__xludf.DUMMYFUNCTION("""COMPUTED_VALUE"""),42873.99861111111)</f>
        <v>42873.99861</v>
      </c>
      <c r="B2506" s="1">
        <f>IFERROR(__xludf.DUMMYFUNCTION("""COMPUTED_VALUE"""),120.215828)</f>
        <v>120.215828</v>
      </c>
    </row>
    <row r="2507">
      <c r="A2507" s="3">
        <f>IFERROR(__xludf.DUMMYFUNCTION("""COMPUTED_VALUE"""),42874.99861111111)</f>
        <v>42874.99861</v>
      </c>
      <c r="B2507" s="1">
        <f>IFERROR(__xludf.DUMMYFUNCTION("""COMPUTED_VALUE"""),119.76478)</f>
        <v>119.76478</v>
      </c>
    </row>
    <row r="2508">
      <c r="A2508" s="3">
        <f>IFERROR(__xludf.DUMMYFUNCTION("""COMPUTED_VALUE"""),42875.99861111111)</f>
        <v>42875.99861</v>
      </c>
      <c r="B2508" s="1">
        <f>IFERROR(__xludf.DUMMYFUNCTION("""COMPUTED_VALUE"""),119.8666367)</f>
        <v>119.8666367</v>
      </c>
    </row>
    <row r="2509">
      <c r="A2509" s="3">
        <f>IFERROR(__xludf.DUMMYFUNCTION("""COMPUTED_VALUE"""),42876.99861111111)</f>
        <v>42876.99861</v>
      </c>
      <c r="B2509" s="1">
        <f>IFERROR(__xludf.DUMMYFUNCTION("""COMPUTED_VALUE"""),119.725424)</f>
        <v>119.725424</v>
      </c>
    </row>
    <row r="2510">
      <c r="A2510" s="3">
        <f>IFERROR(__xludf.DUMMYFUNCTION("""COMPUTED_VALUE"""),42877.99861111111)</f>
        <v>42877.99861</v>
      </c>
      <c r="B2510" s="1">
        <f>IFERROR(__xludf.DUMMYFUNCTION("""COMPUTED_VALUE"""),119.850144)</f>
        <v>119.850144</v>
      </c>
    </row>
    <row r="2511">
      <c r="A2511" s="3">
        <f>IFERROR(__xludf.DUMMYFUNCTION("""COMPUTED_VALUE"""),42878.99861111111)</f>
        <v>42878.99861</v>
      </c>
      <c r="B2511" s="1">
        <f>IFERROR(__xludf.DUMMYFUNCTION("""COMPUTED_VALUE"""),118.719984)</f>
        <v>118.719984</v>
      </c>
    </row>
    <row r="2512">
      <c r="A2512" s="3">
        <f>IFERROR(__xludf.DUMMYFUNCTION("""COMPUTED_VALUE"""),42879.99861111111)</f>
        <v>42879.99861</v>
      </c>
      <c r="B2512" s="1">
        <f>IFERROR(__xludf.DUMMYFUNCTION("""COMPUTED_VALUE"""),119.239128)</f>
        <v>119.239128</v>
      </c>
    </row>
    <row r="2513">
      <c r="A2513" s="3">
        <f>IFERROR(__xludf.DUMMYFUNCTION("""COMPUTED_VALUE"""),42880.99861111111)</f>
        <v>42880.99861</v>
      </c>
      <c r="B2513" s="1">
        <f>IFERROR(__xludf.DUMMYFUNCTION("""COMPUTED_VALUE"""),119.026296)</f>
        <v>119.026296</v>
      </c>
    </row>
    <row r="2514">
      <c r="A2514" s="3">
        <f>IFERROR(__xludf.DUMMYFUNCTION("""COMPUTED_VALUE"""),42881.99861111111)</f>
        <v>42881.99861</v>
      </c>
      <c r="B2514" s="1">
        <f>IFERROR(__xludf.DUMMYFUNCTION("""COMPUTED_VALUE"""),119.3891)</f>
        <v>119.3891</v>
      </c>
    </row>
    <row r="2515">
      <c r="A2515" s="3">
        <f>IFERROR(__xludf.DUMMYFUNCTION("""COMPUTED_VALUE"""),42882.99861111111)</f>
        <v>42882.99861</v>
      </c>
      <c r="B2515" s="1">
        <f>IFERROR(__xludf.DUMMYFUNCTION("""COMPUTED_VALUE"""),119.32624)</f>
        <v>119.32624</v>
      </c>
    </row>
    <row r="2516">
      <c r="A2516" s="3">
        <f>IFERROR(__xludf.DUMMYFUNCTION("""COMPUTED_VALUE"""),42883.99861111111)</f>
        <v>42883.99861</v>
      </c>
      <c r="B2516" s="1">
        <f>IFERROR(__xludf.DUMMYFUNCTION("""COMPUTED_VALUE"""),119.432544)</f>
        <v>119.432544</v>
      </c>
    </row>
    <row r="2517">
      <c r="A2517" s="3">
        <f>IFERROR(__xludf.DUMMYFUNCTION("""COMPUTED_VALUE"""),42884.99861111111)</f>
        <v>42884.99861</v>
      </c>
      <c r="B2517" s="1">
        <f>IFERROR(__xludf.DUMMYFUNCTION("""COMPUTED_VALUE"""),119.72848)</f>
        <v>119.72848</v>
      </c>
    </row>
    <row r="2518">
      <c r="A2518" s="3">
        <f>IFERROR(__xludf.DUMMYFUNCTION("""COMPUTED_VALUE"""),42885.99861111111)</f>
        <v>42885.99861</v>
      </c>
      <c r="B2518" s="1">
        <f>IFERROR(__xludf.DUMMYFUNCTION("""COMPUTED_VALUE"""),120.150699)</f>
        <v>120.150699</v>
      </c>
    </row>
    <row r="2519">
      <c r="A2519" s="3">
        <f>IFERROR(__xludf.DUMMYFUNCTION("""COMPUTED_VALUE"""),42886.99861111111)</f>
        <v>42886.99861</v>
      </c>
      <c r="B2519" s="1">
        <f>IFERROR(__xludf.DUMMYFUNCTION("""COMPUTED_VALUE"""),119.951762)</f>
        <v>119.951762</v>
      </c>
    </row>
    <row r="2520">
      <c r="A2520" s="3">
        <f>IFERROR(__xludf.DUMMYFUNCTION("""COMPUTED_VALUE"""),42887.99861111111)</f>
        <v>42887.99861</v>
      </c>
      <c r="B2520" s="1">
        <f>IFERROR(__xludf.DUMMYFUNCTION("""COMPUTED_VALUE"""),119.206648)</f>
        <v>119.206648</v>
      </c>
    </row>
    <row r="2521">
      <c r="A2521" s="3">
        <f>IFERROR(__xludf.DUMMYFUNCTION("""COMPUTED_VALUE"""),42888.99861111111)</f>
        <v>42888.99861</v>
      </c>
      <c r="B2521" s="1">
        <f>IFERROR(__xludf.DUMMYFUNCTION("""COMPUTED_VALUE"""),120.2383)</f>
        <v>120.2383</v>
      </c>
    </row>
    <row r="2522">
      <c r="A2522" s="3">
        <f>IFERROR(__xludf.DUMMYFUNCTION("""COMPUTED_VALUE"""),42889.99861111111)</f>
        <v>42889.99861</v>
      </c>
      <c r="B2522" s="1">
        <f>IFERROR(__xludf.DUMMYFUNCTION("""COMPUTED_VALUE"""),120.53424)</f>
        <v>120.53424</v>
      </c>
    </row>
    <row r="2523">
      <c r="A2523" s="3">
        <f>IFERROR(__xludf.DUMMYFUNCTION("""COMPUTED_VALUE"""),42890.99861111111)</f>
        <v>42890.99861</v>
      </c>
      <c r="B2523" s="1">
        <f>IFERROR(__xludf.DUMMYFUNCTION("""COMPUTED_VALUE"""),120.374592)</f>
        <v>120.374592</v>
      </c>
    </row>
    <row r="2524">
      <c r="A2524" s="3">
        <f>IFERROR(__xludf.DUMMYFUNCTION("""COMPUTED_VALUE"""),42891.99861111111)</f>
        <v>42891.99861</v>
      </c>
      <c r="B2524" s="1">
        <f>IFERROR(__xludf.DUMMYFUNCTION("""COMPUTED_VALUE"""),120.304131)</f>
        <v>120.304131</v>
      </c>
    </row>
    <row r="2525">
      <c r="A2525" s="3">
        <f>IFERROR(__xludf.DUMMYFUNCTION("""COMPUTED_VALUE"""),42892.99861111111)</f>
        <v>42892.99861</v>
      </c>
      <c r="B2525" s="1">
        <f>IFERROR(__xludf.DUMMYFUNCTION("""COMPUTED_VALUE"""),121.041411)</f>
        <v>121.041411</v>
      </c>
    </row>
    <row r="2526">
      <c r="A2526" s="3">
        <f>IFERROR(__xludf.DUMMYFUNCTION("""COMPUTED_VALUE"""),42893.99861111111)</f>
        <v>42893.99861</v>
      </c>
      <c r="B2526" s="1">
        <f>IFERROR(__xludf.DUMMYFUNCTION("""COMPUTED_VALUE"""),121.121674)</f>
        <v>121.121674</v>
      </c>
    </row>
    <row r="2527">
      <c r="A2527" s="3">
        <f>IFERROR(__xludf.DUMMYFUNCTION("""COMPUTED_VALUE"""),42894.99861111111)</f>
        <v>42894.99861</v>
      </c>
      <c r="B2527" s="1">
        <f>IFERROR(__xludf.DUMMYFUNCTION("""COMPUTED_VALUE"""),120.979593)</f>
        <v>120.979593</v>
      </c>
    </row>
    <row r="2528">
      <c r="A2528" s="3">
        <f>IFERROR(__xludf.DUMMYFUNCTION("""COMPUTED_VALUE"""),42895.99861111111)</f>
        <v>42895.99861</v>
      </c>
      <c r="B2528" s="1">
        <f>IFERROR(__xludf.DUMMYFUNCTION("""COMPUTED_VALUE"""),120.39834)</f>
        <v>120.39834</v>
      </c>
    </row>
    <row r="2529">
      <c r="A2529" s="3">
        <f>IFERROR(__xludf.DUMMYFUNCTION("""COMPUTED_VALUE"""),42896.99861111111)</f>
        <v>42896.99861</v>
      </c>
      <c r="B2529" s="1">
        <f>IFERROR(__xludf.DUMMYFUNCTION("""COMPUTED_VALUE"""),120.32586)</f>
        <v>120.32586</v>
      </c>
    </row>
    <row r="2530">
      <c r="A2530" s="3">
        <f>IFERROR(__xludf.DUMMYFUNCTION("""COMPUTED_VALUE"""),42897.99861111111)</f>
        <v>42897.99861</v>
      </c>
      <c r="B2530" s="1">
        <f>IFERROR(__xludf.DUMMYFUNCTION("""COMPUTED_VALUE"""),120.519175)</f>
        <v>120.519175</v>
      </c>
    </row>
    <row r="2531">
      <c r="A2531" s="3">
        <f>IFERROR(__xludf.DUMMYFUNCTION("""COMPUTED_VALUE"""),42898.99861111111)</f>
        <v>42898.99861</v>
      </c>
      <c r="B2531" s="1">
        <f>IFERROR(__xludf.DUMMYFUNCTION("""COMPUTED_VALUE"""),121.09083)</f>
        <v>121.09083</v>
      </c>
    </row>
    <row r="2532">
      <c r="A2532" s="3">
        <f>IFERROR(__xludf.DUMMYFUNCTION("""COMPUTED_VALUE"""),42899.99861111111)</f>
        <v>42899.99861</v>
      </c>
      <c r="B2532" s="1">
        <f>IFERROR(__xludf.DUMMYFUNCTION("""COMPUTED_VALUE"""),120.673611)</f>
        <v>120.673611</v>
      </c>
    </row>
    <row r="2533">
      <c r="A2533" s="3">
        <f>IFERROR(__xludf.DUMMYFUNCTION("""COMPUTED_VALUE"""),42900.99861111111)</f>
        <v>42900.99861</v>
      </c>
      <c r="B2533" s="1">
        <f>IFERROR(__xludf.DUMMYFUNCTION("""COMPUTED_VALUE"""),121.36761)</f>
        <v>121.36761</v>
      </c>
    </row>
    <row r="2534">
      <c r="A2534" s="3">
        <f>IFERROR(__xludf.DUMMYFUNCTION("""COMPUTED_VALUE"""),42901.99861111111)</f>
        <v>42901.99861</v>
      </c>
      <c r="B2534" s="1">
        <f>IFERROR(__xludf.DUMMYFUNCTION("""COMPUTED_VALUE"""),119.792234)</f>
        <v>119.792234</v>
      </c>
    </row>
    <row r="2535">
      <c r="A2535" s="3">
        <f>IFERROR(__xludf.DUMMYFUNCTION("""COMPUTED_VALUE"""),42902.99861111111)</f>
        <v>42902.99861</v>
      </c>
      <c r="B2535" s="1">
        <f>IFERROR(__xludf.DUMMYFUNCTION("""COMPUTED_VALUE"""),119.8758)</f>
        <v>119.8758</v>
      </c>
    </row>
    <row r="2536">
      <c r="A2536" s="3">
        <f>IFERROR(__xludf.DUMMYFUNCTION("""COMPUTED_VALUE"""),42903.99861111111)</f>
        <v>42903.99861</v>
      </c>
      <c r="B2536" s="1">
        <f>IFERROR(__xludf.DUMMYFUNCTION("""COMPUTED_VALUE"""),119.85776)</f>
        <v>119.85776</v>
      </c>
    </row>
    <row r="2537">
      <c r="A2537" s="3">
        <f>IFERROR(__xludf.DUMMYFUNCTION("""COMPUTED_VALUE"""),42904.99861111111)</f>
        <v>42904.99861</v>
      </c>
      <c r="B2537" s="1">
        <f>IFERROR(__xludf.DUMMYFUNCTION("""COMPUTED_VALUE"""),119.639047)</f>
        <v>119.639047</v>
      </c>
    </row>
    <row r="2538">
      <c r="A2538" s="3">
        <f>IFERROR(__xludf.DUMMYFUNCTION("""COMPUTED_VALUE"""),42905.99861111111)</f>
        <v>42905.99861</v>
      </c>
      <c r="B2538" s="1">
        <f>IFERROR(__xludf.DUMMYFUNCTION("""COMPUTED_VALUE"""),118.949558)</f>
        <v>118.949558</v>
      </c>
    </row>
    <row r="2539">
      <c r="A2539" s="3">
        <f>IFERROR(__xludf.DUMMYFUNCTION("""COMPUTED_VALUE"""),42906.99861111111)</f>
        <v>42906.99861</v>
      </c>
      <c r="B2539" s="1">
        <f>IFERROR(__xludf.DUMMYFUNCTION("""COMPUTED_VALUE"""),119.339889)</f>
        <v>119.339889</v>
      </c>
    </row>
    <row r="2540">
      <c r="A2540" s="3">
        <f>IFERROR(__xludf.DUMMYFUNCTION("""COMPUTED_VALUE"""),42907.99861111111)</f>
        <v>42907.99861</v>
      </c>
      <c r="B2540" s="1">
        <f>IFERROR(__xludf.DUMMYFUNCTION("""COMPUTED_VALUE"""),119.469582)</f>
        <v>119.469582</v>
      </c>
    </row>
    <row r="2541">
      <c r="A2541" s="3">
        <f>IFERROR(__xludf.DUMMYFUNCTION("""COMPUTED_VALUE"""),42908.99861111111)</f>
        <v>42908.99861</v>
      </c>
      <c r="B2541" s="1">
        <f>IFERROR(__xludf.DUMMYFUNCTION("""COMPUTED_VALUE"""),119.8608804)</f>
        <v>119.8608804</v>
      </c>
    </row>
    <row r="2542">
      <c r="A2542" s="3">
        <f>IFERROR(__xludf.DUMMYFUNCTION("""COMPUTED_VALUE"""),42909.99861111111)</f>
        <v>42909.99861</v>
      </c>
      <c r="B2542" s="1">
        <f>IFERROR(__xludf.DUMMYFUNCTION("""COMPUTED_VALUE"""),119.64791)</f>
        <v>119.64791</v>
      </c>
    </row>
    <row r="2543">
      <c r="A2543" s="3">
        <f>IFERROR(__xludf.DUMMYFUNCTION("""COMPUTED_VALUE"""),42910.99861111111)</f>
        <v>42910.99861</v>
      </c>
      <c r="B2543" s="1">
        <f>IFERROR(__xludf.DUMMYFUNCTION("""COMPUTED_VALUE"""),119.5738186)</f>
        <v>119.5738186</v>
      </c>
    </row>
    <row r="2544">
      <c r="A2544" s="3">
        <f>IFERROR(__xludf.DUMMYFUNCTION("""COMPUTED_VALUE"""),42911.99861111111)</f>
        <v>42911.99861</v>
      </c>
      <c r="B2544" s="1">
        <f>IFERROR(__xludf.DUMMYFUNCTION("""COMPUTED_VALUE"""),119.370024)</f>
        <v>119.370024</v>
      </c>
    </row>
    <row r="2545">
      <c r="A2545" s="3">
        <f>IFERROR(__xludf.DUMMYFUNCTION("""COMPUTED_VALUE"""),42912.99861111111)</f>
        <v>42912.99861</v>
      </c>
      <c r="B2545" s="1">
        <f>IFERROR(__xludf.DUMMYFUNCTION("""COMPUTED_VALUE"""),119.036284)</f>
        <v>119.036284</v>
      </c>
    </row>
    <row r="2546">
      <c r="A2546" s="3">
        <f>IFERROR(__xludf.DUMMYFUNCTION("""COMPUTED_VALUE"""),42913.99861111111)</f>
        <v>42913.99861</v>
      </c>
      <c r="B2546" s="1">
        <f>IFERROR(__xludf.DUMMYFUNCTION("""COMPUTED_VALUE"""),118.587588)</f>
        <v>118.587588</v>
      </c>
    </row>
    <row r="2547">
      <c r="A2547" s="3">
        <f>IFERROR(__xludf.DUMMYFUNCTION("""COMPUTED_VALUE"""),42914.99861111111)</f>
        <v>42914.99861</v>
      </c>
      <c r="B2547" s="1">
        <f>IFERROR(__xludf.DUMMYFUNCTION("""COMPUTED_VALUE"""),118.307808)</f>
        <v>118.307808</v>
      </c>
    </row>
    <row r="2548">
      <c r="A2548" s="3">
        <f>IFERROR(__xludf.DUMMYFUNCTION("""COMPUTED_VALUE"""),42915.99861111111)</f>
        <v>42915.99861</v>
      </c>
      <c r="B2548" s="1">
        <f>IFERROR(__xludf.DUMMYFUNCTION("""COMPUTED_VALUE"""),118.519428)</f>
        <v>118.519428</v>
      </c>
    </row>
    <row r="2549">
      <c r="A2549" s="3">
        <f>IFERROR(__xludf.DUMMYFUNCTION("""COMPUTED_VALUE"""),42916.99861111111)</f>
        <v>42916.99861</v>
      </c>
      <c r="B2549" s="1">
        <f>IFERROR(__xludf.DUMMYFUNCTION("""COMPUTED_VALUE"""),118.4857)</f>
        <v>118.4857</v>
      </c>
    </row>
    <row r="2550">
      <c r="A2550" s="3">
        <f>IFERROR(__xludf.DUMMYFUNCTION("""COMPUTED_VALUE"""),42917.99861111111)</f>
        <v>42917.99861</v>
      </c>
      <c r="B2550" s="1">
        <f>IFERROR(__xludf.DUMMYFUNCTION("""COMPUTED_VALUE"""),118.3255)</f>
        <v>118.3255</v>
      </c>
    </row>
    <row r="2551">
      <c r="A2551" s="3">
        <f>IFERROR(__xludf.DUMMYFUNCTION("""COMPUTED_VALUE"""),42918.99861111111)</f>
        <v>42918.99861</v>
      </c>
      <c r="B2551" s="1">
        <f>IFERROR(__xludf.DUMMYFUNCTION("""COMPUTED_VALUE"""),118.431988)</f>
        <v>118.431988</v>
      </c>
    </row>
    <row r="2552">
      <c r="A2552" s="3">
        <f>IFERROR(__xludf.DUMMYFUNCTION("""COMPUTED_VALUE"""),42919.99861111111)</f>
        <v>42919.99861</v>
      </c>
      <c r="B2552" s="1">
        <f>IFERROR(__xludf.DUMMYFUNCTION("""COMPUTED_VALUE"""),117.830388)</f>
        <v>117.830388</v>
      </c>
    </row>
    <row r="2553">
      <c r="A2553" s="3">
        <f>IFERROR(__xludf.DUMMYFUNCTION("""COMPUTED_VALUE"""),42920.99861111111)</f>
        <v>42920.99861</v>
      </c>
      <c r="B2553" s="1">
        <f>IFERROR(__xludf.DUMMYFUNCTION("""COMPUTED_VALUE"""),118.169701)</f>
        <v>118.169701</v>
      </c>
    </row>
    <row r="2554">
      <c r="A2554" s="3">
        <f>IFERROR(__xludf.DUMMYFUNCTION("""COMPUTED_VALUE"""),42921.99861111111)</f>
        <v>42921.99861</v>
      </c>
      <c r="B2554" s="1">
        <f>IFERROR(__xludf.DUMMYFUNCTION("""COMPUTED_VALUE"""),118.0460694)</f>
        <v>118.0460694</v>
      </c>
    </row>
    <row r="2555">
      <c r="A2555" s="3">
        <f>IFERROR(__xludf.DUMMYFUNCTION("""COMPUTED_VALUE"""),42922.99861111111)</f>
        <v>42922.99861</v>
      </c>
      <c r="B2555" s="1">
        <f>IFERROR(__xludf.DUMMYFUNCTION("""COMPUTED_VALUE"""),118.252188)</f>
        <v>118.252188</v>
      </c>
    </row>
    <row r="2556">
      <c r="A2556" s="3">
        <f>IFERROR(__xludf.DUMMYFUNCTION("""COMPUTED_VALUE"""),42923.99861111111)</f>
        <v>42923.99861</v>
      </c>
      <c r="B2556" s="1">
        <f>IFERROR(__xludf.DUMMYFUNCTION("""COMPUTED_VALUE"""),117.6959)</f>
        <v>117.6959</v>
      </c>
    </row>
    <row r="2557">
      <c r="A2557" s="3">
        <f>IFERROR(__xludf.DUMMYFUNCTION("""COMPUTED_VALUE"""),42924.99861111111)</f>
        <v>42924.99861</v>
      </c>
      <c r="B2557" s="1">
        <f>IFERROR(__xludf.DUMMYFUNCTION("""COMPUTED_VALUE"""),117.8522718)</f>
        <v>117.8522718</v>
      </c>
    </row>
    <row r="2558">
      <c r="A2558" s="3">
        <f>IFERROR(__xludf.DUMMYFUNCTION("""COMPUTED_VALUE"""),42925.99861111111)</f>
        <v>42925.99861</v>
      </c>
      <c r="B2558" s="1">
        <f>IFERROR(__xludf.DUMMYFUNCTION("""COMPUTED_VALUE"""),117.601568)</f>
        <v>117.601568</v>
      </c>
    </row>
    <row r="2559">
      <c r="A2559" s="3">
        <f>IFERROR(__xludf.DUMMYFUNCTION("""COMPUTED_VALUE"""),42926.99861111111)</f>
        <v>42926.99861</v>
      </c>
      <c r="B2559" s="1">
        <f>IFERROR(__xludf.DUMMYFUNCTION("""COMPUTED_VALUE"""),117.3498364)</f>
        <v>117.3498364</v>
      </c>
    </row>
    <row r="2560">
      <c r="A2560" s="3">
        <f>IFERROR(__xludf.DUMMYFUNCTION("""COMPUTED_VALUE"""),42927.99861111111)</f>
        <v>42927.99861</v>
      </c>
      <c r="B2560" s="1">
        <f>IFERROR(__xludf.DUMMYFUNCTION("""COMPUTED_VALUE"""),117.33771)</f>
        <v>117.33771</v>
      </c>
    </row>
    <row r="2561">
      <c r="A2561" s="3">
        <f>IFERROR(__xludf.DUMMYFUNCTION("""COMPUTED_VALUE"""),42928.99861111111)</f>
        <v>42928.99861</v>
      </c>
      <c r="B2561" s="1">
        <f>IFERROR(__xludf.DUMMYFUNCTION("""COMPUTED_VALUE"""),117.8870497)</f>
        <v>117.8870497</v>
      </c>
    </row>
    <row r="2562">
      <c r="A2562" s="3">
        <f>IFERROR(__xludf.DUMMYFUNCTION("""COMPUTED_VALUE"""),42929.99861111111)</f>
        <v>42929.99861</v>
      </c>
      <c r="B2562" s="1">
        <f>IFERROR(__xludf.DUMMYFUNCTION("""COMPUTED_VALUE"""),117.587574)</f>
        <v>117.587574</v>
      </c>
    </row>
    <row r="2563">
      <c r="A2563" s="3">
        <f>IFERROR(__xludf.DUMMYFUNCTION("""COMPUTED_VALUE"""),42930.99861111111)</f>
        <v>42930.99861</v>
      </c>
      <c r="B2563" s="1">
        <f>IFERROR(__xludf.DUMMYFUNCTION("""COMPUTED_VALUE"""),118.0596)</f>
        <v>118.0596</v>
      </c>
    </row>
    <row r="2564">
      <c r="A2564" s="3">
        <f>IFERROR(__xludf.DUMMYFUNCTION("""COMPUTED_VALUE"""),42931.99861111111)</f>
        <v>42931.99861</v>
      </c>
      <c r="B2564" s="1">
        <f>IFERROR(__xludf.DUMMYFUNCTION("""COMPUTED_VALUE"""),118.0850856)</f>
        <v>118.0850856</v>
      </c>
    </row>
    <row r="2565">
      <c r="A2565" s="3">
        <f>IFERROR(__xludf.DUMMYFUNCTION("""COMPUTED_VALUE"""),42932.99861111111)</f>
        <v>42932.99861</v>
      </c>
      <c r="B2565" s="1">
        <f>IFERROR(__xludf.DUMMYFUNCTION("""COMPUTED_VALUE"""),118.574808)</f>
        <v>118.574808</v>
      </c>
    </row>
    <row r="2566">
      <c r="A2566" s="3">
        <f>IFERROR(__xludf.DUMMYFUNCTION("""COMPUTED_VALUE"""),42933.99861111111)</f>
        <v>42933.99861</v>
      </c>
      <c r="B2566" s="1">
        <f>IFERROR(__xludf.DUMMYFUNCTION("""COMPUTED_VALUE"""),118.29048)</f>
        <v>118.29048</v>
      </c>
    </row>
    <row r="2567">
      <c r="A2567" s="3">
        <f>IFERROR(__xludf.DUMMYFUNCTION("""COMPUTED_VALUE"""),42934.99861111111)</f>
        <v>42934.99861</v>
      </c>
      <c r="B2567" s="1">
        <f>IFERROR(__xludf.DUMMYFUNCTION("""COMPUTED_VALUE"""),118.746954)</f>
        <v>118.746954</v>
      </c>
    </row>
    <row r="2568">
      <c r="A2568" s="3">
        <f>IFERROR(__xludf.DUMMYFUNCTION("""COMPUTED_VALUE"""),42935.99861111111)</f>
        <v>42935.99861</v>
      </c>
      <c r="B2568" s="1">
        <f>IFERROR(__xludf.DUMMYFUNCTION("""COMPUTED_VALUE"""),118.915915)</f>
        <v>118.915915</v>
      </c>
    </row>
    <row r="2569">
      <c r="A2569" s="3">
        <f>IFERROR(__xludf.DUMMYFUNCTION("""COMPUTED_VALUE"""),42936.99861111111)</f>
        <v>42936.99861</v>
      </c>
      <c r="B2569" s="1">
        <f>IFERROR(__xludf.DUMMYFUNCTION("""COMPUTED_VALUE"""),118.849002)</f>
        <v>118.849002</v>
      </c>
    </row>
    <row r="2570">
      <c r="A2570" s="3">
        <f>IFERROR(__xludf.DUMMYFUNCTION("""COMPUTED_VALUE"""),42937.99861111111)</f>
        <v>42937.99861</v>
      </c>
      <c r="B2570" s="1">
        <f>IFERROR(__xludf.DUMMYFUNCTION("""COMPUTED_VALUE"""),119.889)</f>
        <v>119.889</v>
      </c>
    </row>
    <row r="2571">
      <c r="A2571" s="3">
        <f>IFERROR(__xludf.DUMMYFUNCTION("""COMPUTED_VALUE"""),42938.99861111111)</f>
        <v>42938.99861</v>
      </c>
      <c r="B2571" s="1">
        <f>IFERROR(__xludf.DUMMYFUNCTION("""COMPUTED_VALUE"""),119.898)</f>
        <v>119.898</v>
      </c>
    </row>
    <row r="2572">
      <c r="A2572" s="3">
        <f>IFERROR(__xludf.DUMMYFUNCTION("""COMPUTED_VALUE"""),42939.99861111111)</f>
        <v>42939.99861</v>
      </c>
      <c r="B2572" s="1">
        <f>IFERROR(__xludf.DUMMYFUNCTION("""COMPUTED_VALUE"""),119.51765)</f>
        <v>119.51765</v>
      </c>
    </row>
    <row r="2573">
      <c r="A2573" s="3">
        <f>IFERROR(__xludf.DUMMYFUNCTION("""COMPUTED_VALUE"""),42940.99861111111)</f>
        <v>42940.99861</v>
      </c>
      <c r="B2573" s="1">
        <f>IFERROR(__xludf.DUMMYFUNCTION("""COMPUTED_VALUE"""),119.670892)</f>
        <v>119.670892</v>
      </c>
    </row>
    <row r="2574">
      <c r="A2574" s="3">
        <f>IFERROR(__xludf.DUMMYFUNCTION("""COMPUTED_VALUE"""),42941.99861111111)</f>
        <v>42941.99861</v>
      </c>
      <c r="B2574" s="1">
        <f>IFERROR(__xludf.DUMMYFUNCTION("""COMPUTED_VALUE"""),118.9830544)</f>
        <v>118.9830544</v>
      </c>
    </row>
    <row r="2575">
      <c r="A2575" s="3">
        <f>IFERROR(__xludf.DUMMYFUNCTION("""COMPUTED_VALUE"""),42942.99861111111)</f>
        <v>42942.99861</v>
      </c>
      <c r="B2575" s="1">
        <f>IFERROR(__xludf.DUMMYFUNCTION("""COMPUTED_VALUE"""),119.894355)</f>
        <v>119.894355</v>
      </c>
    </row>
    <row r="2576">
      <c r="A2576" s="3">
        <f>IFERROR(__xludf.DUMMYFUNCTION("""COMPUTED_VALUE"""),42943.99861111111)</f>
        <v>42943.99861</v>
      </c>
      <c r="B2576" s="1">
        <f>IFERROR(__xludf.DUMMYFUNCTION("""COMPUTED_VALUE"""),119.785689)</f>
        <v>119.785689</v>
      </c>
    </row>
    <row r="2577">
      <c r="A2577" s="3">
        <f>IFERROR(__xludf.DUMMYFUNCTION("""COMPUTED_VALUE"""),42944.99861111111)</f>
        <v>42944.99861</v>
      </c>
      <c r="B2577" s="1">
        <f>IFERROR(__xludf.DUMMYFUNCTION("""COMPUTED_VALUE"""),120.41505)</f>
        <v>120.41505</v>
      </c>
    </row>
    <row r="2578">
      <c r="A2578" s="3">
        <f>IFERROR(__xludf.DUMMYFUNCTION("""COMPUTED_VALUE"""),42945.99861111111)</f>
        <v>42945.99861</v>
      </c>
      <c r="B2578" s="1">
        <f>IFERROR(__xludf.DUMMYFUNCTION("""COMPUTED_VALUE"""),120.4128)</f>
        <v>120.4128</v>
      </c>
    </row>
    <row r="2579">
      <c r="A2579" s="3">
        <f>IFERROR(__xludf.DUMMYFUNCTION("""COMPUTED_VALUE"""),42946.99861111111)</f>
        <v>42946.99861</v>
      </c>
      <c r="B2579" s="1">
        <f>IFERROR(__xludf.DUMMYFUNCTION("""COMPUTED_VALUE"""),120.546)</f>
        <v>120.546</v>
      </c>
    </row>
    <row r="2580">
      <c r="A2580" s="3">
        <f>IFERROR(__xludf.DUMMYFUNCTION("""COMPUTED_VALUE"""),42947.99861111111)</f>
        <v>42947.99861</v>
      </c>
      <c r="B2580" s="1">
        <f>IFERROR(__xludf.DUMMYFUNCTION("""COMPUTED_VALUE"""),120.66108)</f>
        <v>120.66108</v>
      </c>
    </row>
    <row r="2581">
      <c r="A2581" s="3">
        <f>IFERROR(__xludf.DUMMYFUNCTION("""COMPUTED_VALUE"""),42948.99861111111)</f>
        <v>42948.99861</v>
      </c>
      <c r="B2581" s="1">
        <f>IFERROR(__xludf.DUMMYFUNCTION("""COMPUTED_VALUE"""),120.5761131)</f>
        <v>120.5761131</v>
      </c>
    </row>
    <row r="2582">
      <c r="A2582" s="3">
        <f>IFERROR(__xludf.DUMMYFUNCTION("""COMPUTED_VALUE"""),42949.99861111111)</f>
        <v>42949.99861</v>
      </c>
      <c r="B2582" s="1">
        <f>IFERROR(__xludf.DUMMYFUNCTION("""COMPUTED_VALUE"""),120.199242)</f>
        <v>120.199242</v>
      </c>
    </row>
    <row r="2583">
      <c r="A2583" s="3">
        <f>IFERROR(__xludf.DUMMYFUNCTION("""COMPUTED_VALUE"""),42950.99861111111)</f>
        <v>42950.99861</v>
      </c>
      <c r="B2583" s="1">
        <f>IFERROR(__xludf.DUMMYFUNCTION("""COMPUTED_VALUE"""),121.136305)</f>
        <v>121.136305</v>
      </c>
    </row>
    <row r="2584">
      <c r="A2584" s="3">
        <f>IFERROR(__xludf.DUMMYFUNCTION("""COMPUTED_VALUE"""),42951.99861111111)</f>
        <v>42951.99861</v>
      </c>
      <c r="B2584" s="1">
        <f>IFERROR(__xludf.DUMMYFUNCTION("""COMPUTED_VALUE"""),120.20736)</f>
        <v>120.20736</v>
      </c>
    </row>
    <row r="2585">
      <c r="A2585" s="3">
        <f>IFERROR(__xludf.DUMMYFUNCTION("""COMPUTED_VALUE"""),42952.99861111111)</f>
        <v>42952.99861</v>
      </c>
      <c r="B2585" s="1">
        <f>IFERROR(__xludf.DUMMYFUNCTION("""COMPUTED_VALUE"""),120.3999699)</f>
        <v>120.3999699</v>
      </c>
    </row>
    <row r="2586">
      <c r="A2586" s="3">
        <f>IFERROR(__xludf.DUMMYFUNCTION("""COMPUTED_VALUE"""),42953.99861111111)</f>
        <v>42953.99861</v>
      </c>
      <c r="B2586" s="1">
        <f>IFERROR(__xludf.DUMMYFUNCTION("""COMPUTED_VALUE"""),120.100416)</f>
        <v>120.100416</v>
      </c>
    </row>
    <row r="2587">
      <c r="A2587" s="3">
        <f>IFERROR(__xludf.DUMMYFUNCTION("""COMPUTED_VALUE"""),42954.99861111111)</f>
        <v>42954.99861</v>
      </c>
      <c r="B2587" s="1">
        <f>IFERROR(__xludf.DUMMYFUNCTION("""COMPUTED_VALUE"""),120.194505)</f>
        <v>120.194505</v>
      </c>
    </row>
    <row r="2588">
      <c r="A2588" s="3">
        <f>IFERROR(__xludf.DUMMYFUNCTION("""COMPUTED_VALUE"""),42955.99861111111)</f>
        <v>42955.99861</v>
      </c>
      <c r="B2588" s="1">
        <f>IFERROR(__xludf.DUMMYFUNCTION("""COMPUTED_VALUE"""),120.81848)</f>
        <v>120.81848</v>
      </c>
    </row>
    <row r="2589">
      <c r="A2589" s="3">
        <f>IFERROR(__xludf.DUMMYFUNCTION("""COMPUTED_VALUE"""),42956.99861111111)</f>
        <v>42956.99861</v>
      </c>
      <c r="B2589" s="1">
        <f>IFERROR(__xludf.DUMMYFUNCTION("""COMPUTED_VALUE"""),121.06671)</f>
        <v>121.06671</v>
      </c>
    </row>
    <row r="2590">
      <c r="A2590" s="3">
        <f>IFERROR(__xludf.DUMMYFUNCTION("""COMPUTED_VALUE"""),42957.99861111111)</f>
        <v>42957.99861</v>
      </c>
      <c r="B2590" s="1">
        <f>IFERROR(__xludf.DUMMYFUNCTION("""COMPUTED_VALUE"""),122.1379569)</f>
        <v>122.1379569</v>
      </c>
    </row>
    <row r="2591">
      <c r="A2591" s="3">
        <f>IFERROR(__xludf.DUMMYFUNCTION("""COMPUTED_VALUE"""),42958.99861111111)</f>
        <v>42958.99861</v>
      </c>
      <c r="B2591" s="1">
        <f>IFERROR(__xludf.DUMMYFUNCTION("""COMPUTED_VALUE"""),122.27684)</f>
        <v>122.27684</v>
      </c>
    </row>
    <row r="2592">
      <c r="A2592" s="3">
        <f>IFERROR(__xludf.DUMMYFUNCTION("""COMPUTED_VALUE"""),42959.99861111111)</f>
        <v>42959.99861</v>
      </c>
      <c r="B2592" s="1">
        <f>IFERROR(__xludf.DUMMYFUNCTION("""COMPUTED_VALUE"""),122.29516)</f>
        <v>122.29516</v>
      </c>
    </row>
    <row r="2593">
      <c r="A2593" s="3">
        <f>IFERROR(__xludf.DUMMYFUNCTION("""COMPUTED_VALUE"""),42960.99861111111)</f>
        <v>42960.99861</v>
      </c>
      <c r="B2593" s="1">
        <f>IFERROR(__xludf.DUMMYFUNCTION("""COMPUTED_VALUE"""),122.215054)</f>
        <v>122.215054</v>
      </c>
    </row>
    <row r="2594">
      <c r="A2594" s="3">
        <f>IFERROR(__xludf.DUMMYFUNCTION("""COMPUTED_VALUE"""),42961.99861111111)</f>
        <v>42961.99861</v>
      </c>
      <c r="B2594" s="1">
        <f>IFERROR(__xludf.DUMMYFUNCTION("""COMPUTED_VALUE"""),121.332148)</f>
        <v>121.332148</v>
      </c>
    </row>
    <row r="2595">
      <c r="A2595" s="3">
        <f>IFERROR(__xludf.DUMMYFUNCTION("""COMPUTED_VALUE"""),42962.99861111111)</f>
        <v>42962.99861</v>
      </c>
      <c r="B2595" s="1">
        <f>IFERROR(__xludf.DUMMYFUNCTION("""COMPUTED_VALUE"""),120.733514)</f>
        <v>120.733514</v>
      </c>
    </row>
    <row r="2596">
      <c r="A2596" s="3">
        <f>IFERROR(__xludf.DUMMYFUNCTION("""COMPUTED_VALUE"""),42963.99861111111)</f>
        <v>42963.99861</v>
      </c>
      <c r="B2596" s="1">
        <f>IFERROR(__xludf.DUMMYFUNCTION("""COMPUTED_VALUE"""),121.3515)</f>
        <v>121.3515</v>
      </c>
    </row>
    <row r="2597">
      <c r="A2597" s="3">
        <f>IFERROR(__xludf.DUMMYFUNCTION("""COMPUTED_VALUE"""),42964.99861111111)</f>
        <v>42964.99861</v>
      </c>
      <c r="B2597" s="1">
        <f>IFERROR(__xludf.DUMMYFUNCTION("""COMPUTED_VALUE"""),122.273568)</f>
        <v>122.273568</v>
      </c>
    </row>
    <row r="2598">
      <c r="A2598" s="3">
        <f>IFERROR(__xludf.DUMMYFUNCTION("""COMPUTED_VALUE"""),42965.99861111111)</f>
        <v>42965.99861</v>
      </c>
      <c r="B2598" s="1">
        <f>IFERROR(__xludf.DUMMYFUNCTION("""COMPUTED_VALUE"""),122.35928)</f>
        <v>122.35928</v>
      </c>
    </row>
    <row r="2599">
      <c r="A2599" s="3">
        <f>IFERROR(__xludf.DUMMYFUNCTION("""COMPUTED_VALUE"""),42966.99861111111)</f>
        <v>42966.99861</v>
      </c>
      <c r="B2599" s="1">
        <f>IFERROR(__xludf.DUMMYFUNCTION("""COMPUTED_VALUE"""),122.3318)</f>
        <v>122.3318</v>
      </c>
    </row>
    <row r="2600">
      <c r="A2600" s="3">
        <f>IFERROR(__xludf.DUMMYFUNCTION("""COMPUTED_VALUE"""),42967.99861111111)</f>
        <v>42967.99861</v>
      </c>
      <c r="B2600" s="1">
        <f>IFERROR(__xludf.DUMMYFUNCTION("""COMPUTED_VALUE"""),122.131475)</f>
        <v>122.131475</v>
      </c>
    </row>
    <row r="2601">
      <c r="A2601" s="3">
        <f>IFERROR(__xludf.DUMMYFUNCTION("""COMPUTED_VALUE"""),42968.99861111111)</f>
        <v>42968.99861</v>
      </c>
      <c r="B2601" s="1">
        <f>IFERROR(__xludf.DUMMYFUNCTION("""COMPUTED_VALUE"""),122.49792)</f>
        <v>122.49792</v>
      </c>
    </row>
    <row r="2602">
      <c r="A2602" s="3">
        <f>IFERROR(__xludf.DUMMYFUNCTION("""COMPUTED_VALUE"""),42969.99861111111)</f>
        <v>42969.99861</v>
      </c>
      <c r="B2602" s="1">
        <f>IFERROR(__xludf.DUMMYFUNCTION("""COMPUTED_VALUE"""),121.4174)</f>
        <v>121.4174</v>
      </c>
    </row>
    <row r="2603">
      <c r="A2603" s="3">
        <f>IFERROR(__xludf.DUMMYFUNCTION("""COMPUTED_VALUE"""),42970.99861111111)</f>
        <v>42970.99861</v>
      </c>
      <c r="B2603" s="1">
        <f>IFERROR(__xludf.DUMMYFUNCTION("""COMPUTED_VALUE"""),122.548829)</f>
        <v>122.548829</v>
      </c>
    </row>
    <row r="2604">
      <c r="A2604" s="3">
        <f>IFERROR(__xludf.DUMMYFUNCTION("""COMPUTED_VALUE"""),42971.99861111111)</f>
        <v>42971.99861</v>
      </c>
      <c r="B2604" s="1">
        <f>IFERROR(__xludf.DUMMYFUNCTION("""COMPUTED_VALUE"""),121.703624)</f>
        <v>121.703624</v>
      </c>
    </row>
    <row r="2605">
      <c r="A2605" s="3">
        <f>IFERROR(__xludf.DUMMYFUNCTION("""COMPUTED_VALUE"""),42972.99861111111)</f>
        <v>42972.99861</v>
      </c>
      <c r="B2605" s="1">
        <f>IFERROR(__xludf.DUMMYFUNCTION("""COMPUTED_VALUE"""),121.93674)</f>
        <v>121.93674</v>
      </c>
    </row>
    <row r="2606">
      <c r="A2606" s="3">
        <f>IFERROR(__xludf.DUMMYFUNCTION("""COMPUTED_VALUE"""),42973.99861111111)</f>
        <v>42973.99861</v>
      </c>
      <c r="B2606" s="1">
        <f>IFERROR(__xludf.DUMMYFUNCTION("""COMPUTED_VALUE"""),121.93674)</f>
        <v>121.93674</v>
      </c>
    </row>
    <row r="2607">
      <c r="A2607" s="3">
        <f>IFERROR(__xludf.DUMMYFUNCTION("""COMPUTED_VALUE"""),42974.99861111111)</f>
        <v>42974.99861</v>
      </c>
      <c r="B2607" s="1">
        <f>IFERROR(__xludf.DUMMYFUNCTION("""COMPUTED_VALUE"""),121.958477)</f>
        <v>121.958477</v>
      </c>
    </row>
    <row r="2608">
      <c r="A2608" s="3">
        <f>IFERROR(__xludf.DUMMYFUNCTION("""COMPUTED_VALUE"""),42975.99861111111)</f>
        <v>42975.99861</v>
      </c>
      <c r="B2608" s="1">
        <f>IFERROR(__xludf.DUMMYFUNCTION("""COMPUTED_VALUE"""),122.307782)</f>
        <v>122.307782</v>
      </c>
    </row>
    <row r="2609">
      <c r="A2609" s="3">
        <f>IFERROR(__xludf.DUMMYFUNCTION("""COMPUTED_VALUE"""),42976.99861111111)</f>
        <v>42976.99861</v>
      </c>
      <c r="B2609" s="1">
        <f>IFERROR(__xludf.DUMMYFUNCTION("""COMPUTED_VALUE"""),121.423631)</f>
        <v>121.423631</v>
      </c>
    </row>
    <row r="2610">
      <c r="A2610" s="3">
        <f>IFERROR(__xludf.DUMMYFUNCTION("""COMPUTED_VALUE"""),42977.99861111111)</f>
        <v>42977.99861</v>
      </c>
      <c r="B2610" s="1">
        <f>IFERROR(__xludf.DUMMYFUNCTION("""COMPUTED_VALUE"""),120.6727)</f>
        <v>120.6727</v>
      </c>
    </row>
    <row r="2611">
      <c r="A2611" s="3">
        <f>IFERROR(__xludf.DUMMYFUNCTION("""COMPUTED_VALUE"""),42978.99861111111)</f>
        <v>42978.99861</v>
      </c>
      <c r="B2611" s="1">
        <f>IFERROR(__xludf.DUMMYFUNCTION("""COMPUTED_VALUE"""),120.928038)</f>
        <v>120.928038</v>
      </c>
    </row>
    <row r="2612">
      <c r="A2612" s="3">
        <f>IFERROR(__xludf.DUMMYFUNCTION("""COMPUTED_VALUE"""),42979.99861111111)</f>
        <v>42979.99861</v>
      </c>
      <c r="B2612" s="1">
        <f>IFERROR(__xludf.DUMMYFUNCTION("""COMPUTED_VALUE"""),120.93031)</f>
        <v>120.93031</v>
      </c>
    </row>
    <row r="2613">
      <c r="A2613" s="3">
        <f>IFERROR(__xludf.DUMMYFUNCTION("""COMPUTED_VALUE"""),42980.99861111111)</f>
        <v>42980.99861</v>
      </c>
      <c r="B2613" s="1">
        <f>IFERROR(__xludf.DUMMYFUNCTION("""COMPUTED_VALUE"""),120.94845)</f>
        <v>120.94845</v>
      </c>
    </row>
    <row r="2614">
      <c r="A2614" s="3">
        <f>IFERROR(__xludf.DUMMYFUNCTION("""COMPUTED_VALUE"""),42981.99861111111)</f>
        <v>42981.99861</v>
      </c>
      <c r="B2614" s="1">
        <f>IFERROR(__xludf.DUMMYFUNCTION("""COMPUTED_VALUE"""),121.405417)</f>
        <v>121.405417</v>
      </c>
    </row>
    <row r="2615">
      <c r="A2615" s="3">
        <f>IFERROR(__xludf.DUMMYFUNCTION("""COMPUTED_VALUE"""),42982.99861111111)</f>
        <v>42982.99861</v>
      </c>
      <c r="B2615" s="1">
        <f>IFERROR(__xludf.DUMMYFUNCTION("""COMPUTED_VALUE"""),121.565712)</f>
        <v>121.565712</v>
      </c>
    </row>
    <row r="2616">
      <c r="A2616" s="3">
        <f>IFERROR(__xludf.DUMMYFUNCTION("""COMPUTED_VALUE"""),42983.99861111111)</f>
        <v>42983.99861</v>
      </c>
      <c r="B2616" s="1">
        <f>IFERROR(__xludf.DUMMYFUNCTION("""COMPUTED_VALUE"""),122.743598)</f>
        <v>122.743598</v>
      </c>
    </row>
    <row r="2617">
      <c r="A2617" s="3">
        <f>IFERROR(__xludf.DUMMYFUNCTION("""COMPUTED_VALUE"""),42984.99861111111)</f>
        <v>42984.99861</v>
      </c>
      <c r="B2617" s="1">
        <f>IFERROR(__xludf.DUMMYFUNCTION("""COMPUTED_VALUE"""),122.18524)</f>
        <v>122.18524</v>
      </c>
    </row>
    <row r="2618">
      <c r="A2618" s="3">
        <f>IFERROR(__xludf.DUMMYFUNCTION("""COMPUTED_VALUE"""),42985.99861111111)</f>
        <v>42985.99861</v>
      </c>
      <c r="B2618" s="1">
        <f>IFERROR(__xludf.DUMMYFUNCTION("""COMPUTED_VALUE"""),122.697337)</f>
        <v>122.697337</v>
      </c>
    </row>
    <row r="2619">
      <c r="A2619" s="3">
        <f>IFERROR(__xludf.DUMMYFUNCTION("""COMPUTED_VALUE"""),42986.99861111111)</f>
        <v>42986.99861</v>
      </c>
      <c r="B2619" s="1">
        <f>IFERROR(__xludf.DUMMYFUNCTION("""COMPUTED_VALUE"""),122.33619)</f>
        <v>122.33619</v>
      </c>
    </row>
    <row r="2620">
      <c r="A2620" s="3">
        <f>IFERROR(__xludf.DUMMYFUNCTION("""COMPUTED_VALUE"""),42987.99861111111)</f>
        <v>42987.99861</v>
      </c>
      <c r="B2620" s="1">
        <f>IFERROR(__xludf.DUMMYFUNCTION("""COMPUTED_VALUE"""),122.31765)</f>
        <v>122.31765</v>
      </c>
    </row>
    <row r="2621">
      <c r="A2621" s="3">
        <f>IFERROR(__xludf.DUMMYFUNCTION("""COMPUTED_VALUE"""),42988.99861111111)</f>
        <v>42988.99861</v>
      </c>
      <c r="B2621" s="1">
        <f>IFERROR(__xludf.DUMMYFUNCTION("""COMPUTED_VALUE"""),121.900689)</f>
        <v>121.900689</v>
      </c>
    </row>
    <row r="2622">
      <c r="A2622" s="3">
        <f>IFERROR(__xludf.DUMMYFUNCTION("""COMPUTED_VALUE"""),42989.99861111111)</f>
        <v>42989.99861</v>
      </c>
      <c r="B2622" s="1">
        <f>IFERROR(__xludf.DUMMYFUNCTION("""COMPUTED_VALUE"""),120.42864)</f>
        <v>120.42864</v>
      </c>
    </row>
    <row r="2623">
      <c r="A2623" s="3">
        <f>IFERROR(__xludf.DUMMYFUNCTION("""COMPUTED_VALUE"""),42990.99861111111)</f>
        <v>42990.99861</v>
      </c>
      <c r="B2623" s="1">
        <f>IFERROR(__xludf.DUMMYFUNCTION("""COMPUTED_VALUE"""),119.79656)</f>
        <v>119.79656</v>
      </c>
    </row>
    <row r="2624">
      <c r="A2624" s="3">
        <f>IFERROR(__xludf.DUMMYFUNCTION("""COMPUTED_VALUE"""),42991.99861111111)</f>
        <v>42991.99861</v>
      </c>
      <c r="B2624" s="1">
        <f>IFERROR(__xludf.DUMMYFUNCTION("""COMPUTED_VALUE"""),119.787132)</f>
        <v>119.787132</v>
      </c>
    </row>
    <row r="2625">
      <c r="A2625" s="3">
        <f>IFERROR(__xludf.DUMMYFUNCTION("""COMPUTED_VALUE"""),42992.99861111111)</f>
        <v>42992.99861</v>
      </c>
      <c r="B2625" s="1">
        <f>IFERROR(__xludf.DUMMYFUNCTION("""COMPUTED_VALUE"""),120.604628)</f>
        <v>120.604628</v>
      </c>
    </row>
    <row r="2626">
      <c r="A2626" s="3">
        <f>IFERROR(__xludf.DUMMYFUNCTION("""COMPUTED_VALUE"""),42993.99861111111)</f>
        <v>42993.99861</v>
      </c>
      <c r="B2626" s="1">
        <f>IFERROR(__xludf.DUMMYFUNCTION("""COMPUTED_VALUE"""),119.47892)</f>
        <v>119.47892</v>
      </c>
    </row>
    <row r="2627">
      <c r="A2627" s="3">
        <f>IFERROR(__xludf.DUMMYFUNCTION("""COMPUTED_VALUE"""),42994.99861111111)</f>
        <v>42994.99861</v>
      </c>
      <c r="B2627" s="1">
        <f>IFERROR(__xludf.DUMMYFUNCTION("""COMPUTED_VALUE"""),119.6285618)</f>
        <v>119.6285618</v>
      </c>
    </row>
    <row r="2628">
      <c r="A2628" s="3">
        <f>IFERROR(__xludf.DUMMYFUNCTION("""COMPUTED_VALUE"""),42995.99861111111)</f>
        <v>42995.99861</v>
      </c>
      <c r="B2628" s="1">
        <f>IFERROR(__xludf.DUMMYFUNCTION("""COMPUTED_VALUE"""),119.1659596)</f>
        <v>119.1659596</v>
      </c>
    </row>
    <row r="2629">
      <c r="A2629" s="3">
        <f>IFERROR(__xludf.DUMMYFUNCTION("""COMPUTED_VALUE"""),42996.99861111111)</f>
        <v>42996.99861</v>
      </c>
      <c r="B2629" s="1">
        <f>IFERROR(__xludf.DUMMYFUNCTION("""COMPUTED_VALUE"""),118.960888)</f>
        <v>118.960888</v>
      </c>
    </row>
    <row r="2630">
      <c r="A2630" s="3">
        <f>IFERROR(__xludf.DUMMYFUNCTION("""COMPUTED_VALUE"""),42997.99861111111)</f>
        <v>42997.99861</v>
      </c>
      <c r="B2630" s="1">
        <f>IFERROR(__xludf.DUMMYFUNCTION("""COMPUTED_VALUE"""),118.7883416)</f>
        <v>118.7883416</v>
      </c>
    </row>
    <row r="2631">
      <c r="A2631" s="3">
        <f>IFERROR(__xludf.DUMMYFUNCTION("""COMPUTED_VALUE"""),42998.99861111111)</f>
        <v>42998.99861</v>
      </c>
      <c r="B2631" s="1">
        <f>IFERROR(__xludf.DUMMYFUNCTION("""COMPUTED_VALUE"""),117.904059)</f>
        <v>117.904059</v>
      </c>
    </row>
    <row r="2632">
      <c r="A2632" s="3">
        <f>IFERROR(__xludf.DUMMYFUNCTION("""COMPUTED_VALUE"""),42999.99861111111)</f>
        <v>42999.99861</v>
      </c>
      <c r="B2632" s="1">
        <f>IFERROR(__xludf.DUMMYFUNCTION("""COMPUTED_VALUE"""),118.0274979)</f>
        <v>118.0274979</v>
      </c>
    </row>
    <row r="2633">
      <c r="A2633" s="3">
        <f>IFERROR(__xludf.DUMMYFUNCTION("""COMPUTED_VALUE"""),43000.99861111111)</f>
        <v>43000.99861</v>
      </c>
      <c r="B2633" s="1">
        <f>IFERROR(__xludf.DUMMYFUNCTION("""COMPUTED_VALUE"""),118.6797)</f>
        <v>118.6797</v>
      </c>
    </row>
    <row r="2634">
      <c r="A2634" s="3">
        <f>IFERROR(__xludf.DUMMYFUNCTION("""COMPUTED_VALUE"""),43001.99861111111)</f>
        <v>43001.99861</v>
      </c>
      <c r="B2634" s="1">
        <f>IFERROR(__xludf.DUMMYFUNCTION("""COMPUTED_VALUE"""),118.7499791)</f>
        <v>118.7499791</v>
      </c>
    </row>
    <row r="2635">
      <c r="A2635" s="3">
        <f>IFERROR(__xludf.DUMMYFUNCTION("""COMPUTED_VALUE"""),43002.99861111111)</f>
        <v>43002.99861</v>
      </c>
      <c r="B2635" s="1">
        <f>IFERROR(__xludf.DUMMYFUNCTION("""COMPUTED_VALUE"""),118.316952)</f>
        <v>118.316952</v>
      </c>
    </row>
    <row r="2636">
      <c r="A2636" s="3">
        <f>IFERROR(__xludf.DUMMYFUNCTION("""COMPUTED_VALUE"""),43003.99861111111)</f>
        <v>43003.99861</v>
      </c>
      <c r="B2636" s="1">
        <f>IFERROR(__xludf.DUMMYFUNCTION("""COMPUTED_VALUE"""),119.151774)</f>
        <v>119.151774</v>
      </c>
    </row>
    <row r="2637">
      <c r="A2637" s="3">
        <f>IFERROR(__xludf.DUMMYFUNCTION("""COMPUTED_VALUE"""),43004.99861111111)</f>
        <v>43004.99861</v>
      </c>
      <c r="B2637" s="1">
        <f>IFERROR(__xludf.DUMMYFUNCTION("""COMPUTED_VALUE"""),118.984)</f>
        <v>118.984</v>
      </c>
    </row>
    <row r="2638">
      <c r="A2638" s="3">
        <f>IFERROR(__xludf.DUMMYFUNCTION("""COMPUTED_VALUE"""),43005.99861111111)</f>
        <v>43005.99861</v>
      </c>
      <c r="B2638" s="1">
        <f>IFERROR(__xludf.DUMMYFUNCTION("""COMPUTED_VALUE"""),118.989514)</f>
        <v>118.989514</v>
      </c>
    </row>
    <row r="2639">
      <c r="A2639" s="3">
        <f>IFERROR(__xludf.DUMMYFUNCTION("""COMPUTED_VALUE"""),43006.99861111111)</f>
        <v>43006.99861</v>
      </c>
      <c r="B2639" s="1">
        <f>IFERROR(__xludf.DUMMYFUNCTION("""COMPUTED_VALUE"""),120.072612)</f>
        <v>120.072612</v>
      </c>
    </row>
    <row r="2640">
      <c r="A2640" s="3">
        <f>IFERROR(__xludf.DUMMYFUNCTION("""COMPUTED_VALUE"""),43007.99861111111)</f>
        <v>43007.99861</v>
      </c>
      <c r="B2640" s="1">
        <f>IFERROR(__xludf.DUMMYFUNCTION("""COMPUTED_VALUE"""),119.121)</f>
        <v>119.121</v>
      </c>
    </row>
    <row r="2641">
      <c r="A2641" s="3">
        <f>IFERROR(__xludf.DUMMYFUNCTION("""COMPUTED_VALUE"""),43008.99861111111)</f>
        <v>43008.99861</v>
      </c>
      <c r="B2641" s="1">
        <f>IFERROR(__xludf.DUMMYFUNCTION("""COMPUTED_VALUE"""),119.272158)</f>
        <v>119.272158</v>
      </c>
    </row>
    <row r="2642">
      <c r="A2642" s="3">
        <f>IFERROR(__xludf.DUMMYFUNCTION("""COMPUTED_VALUE"""),43009.99861111111)</f>
        <v>43009.99861</v>
      </c>
      <c r="B2642" s="1">
        <f>IFERROR(__xludf.DUMMYFUNCTION("""COMPUTED_VALUE"""),119.501875)</f>
        <v>119.501875</v>
      </c>
    </row>
    <row r="2643">
      <c r="A2643" s="3">
        <f>IFERROR(__xludf.DUMMYFUNCTION("""COMPUTED_VALUE"""),43010.99861111111)</f>
        <v>43010.99861</v>
      </c>
      <c r="B2643" s="1">
        <f>IFERROR(__xludf.DUMMYFUNCTION("""COMPUTED_VALUE"""),119.952315)</f>
        <v>119.952315</v>
      </c>
    </row>
    <row r="2644">
      <c r="A2644" s="3">
        <f>IFERROR(__xludf.DUMMYFUNCTION("""COMPUTED_VALUE"""),43011.99861111111)</f>
        <v>43011.99861</v>
      </c>
      <c r="B2644" s="1">
        <f>IFERROR(__xludf.DUMMYFUNCTION("""COMPUTED_VALUE"""),119.92896)</f>
        <v>119.92896</v>
      </c>
    </row>
    <row r="2645">
      <c r="A2645" s="3">
        <f>IFERROR(__xludf.DUMMYFUNCTION("""COMPUTED_VALUE"""),43012.99861111111)</f>
        <v>43012.99861</v>
      </c>
      <c r="B2645" s="1">
        <f>IFERROR(__xludf.DUMMYFUNCTION("""COMPUTED_VALUE"""),119.3442)</f>
        <v>119.3442</v>
      </c>
    </row>
    <row r="2646">
      <c r="A2646" s="3">
        <f>IFERROR(__xludf.DUMMYFUNCTION("""COMPUTED_VALUE"""),43013.99861111111)</f>
        <v>43013.99861</v>
      </c>
      <c r="B2646" s="1">
        <f>IFERROR(__xludf.DUMMYFUNCTION("""COMPUTED_VALUE"""),119.31037)</f>
        <v>119.31037</v>
      </c>
    </row>
    <row r="2647">
      <c r="A2647" s="3">
        <f>IFERROR(__xludf.DUMMYFUNCTION("""COMPUTED_VALUE"""),43014.99861111111)</f>
        <v>43014.99861</v>
      </c>
      <c r="B2647" s="1">
        <f>IFERROR(__xludf.DUMMYFUNCTION("""COMPUTED_VALUE"""),119.8686078)</f>
        <v>119.8686078</v>
      </c>
    </row>
    <row r="2648">
      <c r="A2648" s="3">
        <f>IFERROR(__xludf.DUMMYFUNCTION("""COMPUTED_VALUE"""),43015.99861111111)</f>
        <v>43015.99861</v>
      </c>
      <c r="B2648" s="1">
        <f>IFERROR(__xludf.DUMMYFUNCTION("""COMPUTED_VALUE"""),119.85336)</f>
        <v>119.85336</v>
      </c>
    </row>
    <row r="2649">
      <c r="A2649" s="3">
        <f>IFERROR(__xludf.DUMMYFUNCTION("""COMPUTED_VALUE"""),43016.99861111111)</f>
        <v>43016.99861</v>
      </c>
      <c r="B2649" s="1">
        <f>IFERROR(__xludf.DUMMYFUNCTION("""COMPUTED_VALUE"""),119.893851)</f>
        <v>119.893851</v>
      </c>
    </row>
    <row r="2650">
      <c r="A2650" s="3">
        <f>IFERROR(__xludf.DUMMYFUNCTION("""COMPUTED_VALUE"""),43017.99861111111)</f>
        <v>43017.99861</v>
      </c>
      <c r="B2650" s="1">
        <f>IFERROR(__xludf.DUMMYFUNCTION("""COMPUTED_VALUE"""),119.88774)</f>
        <v>119.88774</v>
      </c>
    </row>
    <row r="2651">
      <c r="A2651" s="3">
        <f>IFERROR(__xludf.DUMMYFUNCTION("""COMPUTED_VALUE"""),43018.99861111111)</f>
        <v>43018.99861</v>
      </c>
      <c r="B2651" s="1">
        <f>IFERROR(__xludf.DUMMYFUNCTION("""COMPUTED_VALUE"""),120.236298)</f>
        <v>120.236298</v>
      </c>
    </row>
    <row r="2652">
      <c r="A2652" s="3">
        <f>IFERROR(__xludf.DUMMYFUNCTION("""COMPUTED_VALUE"""),43019.99861111111)</f>
        <v>43019.99861</v>
      </c>
      <c r="B2652" s="1">
        <f>IFERROR(__xludf.DUMMYFUNCTION("""COMPUTED_VALUE"""),120.13092)</f>
        <v>120.13092</v>
      </c>
    </row>
    <row r="2653">
      <c r="A2653" s="3">
        <f>IFERROR(__xludf.DUMMYFUNCTION("""COMPUTED_VALUE"""),43020.99861111111)</f>
        <v>43020.99861</v>
      </c>
      <c r="B2653" s="1">
        <f>IFERROR(__xludf.DUMMYFUNCTION("""COMPUTED_VALUE"""),120.226686)</f>
        <v>120.226686</v>
      </c>
    </row>
    <row r="2654">
      <c r="A2654" s="3">
        <f>IFERROR(__xludf.DUMMYFUNCTION("""COMPUTED_VALUE"""),43021.99861111111)</f>
        <v>43021.99861</v>
      </c>
      <c r="B2654" s="1">
        <f>IFERROR(__xludf.DUMMYFUNCTION("""COMPUTED_VALUE"""),120.0642)</f>
        <v>120.0642</v>
      </c>
    </row>
    <row r="2655">
      <c r="A2655" s="3">
        <f>IFERROR(__xludf.DUMMYFUNCTION("""COMPUTED_VALUE"""),43022.99861111111)</f>
        <v>43022.99861</v>
      </c>
      <c r="B2655" s="1">
        <f>IFERROR(__xludf.DUMMYFUNCTION("""COMPUTED_VALUE"""),120.61848)</f>
        <v>120.61848</v>
      </c>
    </row>
    <row r="2656">
      <c r="A2656" s="3">
        <f>IFERROR(__xludf.DUMMYFUNCTION("""COMPUTED_VALUE"""),43023.99861111111)</f>
        <v>43023.99861</v>
      </c>
      <c r="B2656" s="1">
        <f>IFERROR(__xludf.DUMMYFUNCTION("""COMPUTED_VALUE"""),120.564512)</f>
        <v>120.564512</v>
      </c>
    </row>
    <row r="2657">
      <c r="A2657" s="3">
        <f>IFERROR(__xludf.DUMMYFUNCTION("""COMPUTED_VALUE"""),43024.99861111111)</f>
        <v>43024.99861</v>
      </c>
      <c r="B2657" s="1">
        <f>IFERROR(__xludf.DUMMYFUNCTION("""COMPUTED_VALUE"""),120.084636)</f>
        <v>120.084636</v>
      </c>
    </row>
    <row r="2658">
      <c r="A2658" s="3">
        <f>IFERROR(__xludf.DUMMYFUNCTION("""COMPUTED_VALUE"""),43025.99861111111)</f>
        <v>43025.99861</v>
      </c>
      <c r="B2658" s="1">
        <f>IFERROR(__xludf.DUMMYFUNCTION("""COMPUTED_VALUE"""),120.2471975)</f>
        <v>120.2471975</v>
      </c>
    </row>
    <row r="2659">
      <c r="A2659" s="3">
        <f>IFERROR(__xludf.DUMMYFUNCTION("""COMPUTED_VALUE"""),43026.99861111111)</f>
        <v>43026.99861</v>
      </c>
      <c r="B2659" s="1">
        <f>IFERROR(__xludf.DUMMYFUNCTION("""COMPUTED_VALUE"""),119.52297)</f>
        <v>119.52297</v>
      </c>
    </row>
    <row r="2660">
      <c r="A2660" s="3">
        <f>IFERROR(__xludf.DUMMYFUNCTION("""COMPUTED_VALUE"""),43027.99861111111)</f>
        <v>43027.99861</v>
      </c>
      <c r="B2660" s="1">
        <f>IFERROR(__xludf.DUMMYFUNCTION("""COMPUTED_VALUE"""),119.69677)</f>
        <v>119.69677</v>
      </c>
    </row>
    <row r="2661">
      <c r="A2661" s="3">
        <f>IFERROR(__xludf.DUMMYFUNCTION("""COMPUTED_VALUE"""),43028.99861111111)</f>
        <v>43028.99861</v>
      </c>
      <c r="B2661" s="1">
        <f>IFERROR(__xludf.DUMMYFUNCTION("""COMPUTED_VALUE"""),119.07596)</f>
        <v>119.07596</v>
      </c>
    </row>
    <row r="2662">
      <c r="A2662" s="3">
        <f>IFERROR(__xludf.DUMMYFUNCTION("""COMPUTED_VALUE"""),43029.99861111111)</f>
        <v>43029.99861</v>
      </c>
      <c r="B2662" s="1">
        <f>IFERROR(__xludf.DUMMYFUNCTION("""COMPUTED_VALUE"""),119.07596)</f>
        <v>119.07596</v>
      </c>
    </row>
    <row r="2663">
      <c r="A2663" s="3">
        <f>IFERROR(__xludf.DUMMYFUNCTION("""COMPUTED_VALUE"""),43030.99861111111)</f>
        <v>43030.99861</v>
      </c>
      <c r="B2663" s="1">
        <f>IFERROR(__xludf.DUMMYFUNCTION("""COMPUTED_VALUE"""),118.4961236)</f>
        <v>118.4961236</v>
      </c>
    </row>
    <row r="2664">
      <c r="A2664" s="3">
        <f>IFERROR(__xludf.DUMMYFUNCTION("""COMPUTED_VALUE"""),43031.99861111111)</f>
        <v>43031.99861</v>
      </c>
      <c r="B2664" s="1">
        <f>IFERROR(__xludf.DUMMYFUNCTION("""COMPUTED_VALUE"""),119.3787)</f>
        <v>119.3787</v>
      </c>
    </row>
    <row r="2665">
      <c r="A2665" s="3">
        <f>IFERROR(__xludf.DUMMYFUNCTION("""COMPUTED_VALUE"""),43032.99861111111)</f>
        <v>43032.99861</v>
      </c>
      <c r="B2665" s="1">
        <f>IFERROR(__xludf.DUMMYFUNCTION("""COMPUTED_VALUE"""),118.66835)</f>
        <v>118.66835</v>
      </c>
    </row>
    <row r="2666">
      <c r="A2666" s="3">
        <f>IFERROR(__xludf.DUMMYFUNCTION("""COMPUTED_VALUE"""),43033.99861111111)</f>
        <v>43033.99861</v>
      </c>
      <c r="B2666" s="1">
        <f>IFERROR(__xludf.DUMMYFUNCTION("""COMPUTED_VALUE"""),119.487888)</f>
        <v>119.487888</v>
      </c>
    </row>
    <row r="2667">
      <c r="A2667" s="3">
        <f>IFERROR(__xludf.DUMMYFUNCTION("""COMPUTED_VALUE"""),43034.99861111111)</f>
        <v>43034.99861</v>
      </c>
      <c r="B2667" s="1">
        <f>IFERROR(__xludf.DUMMYFUNCTION("""COMPUTED_VALUE"""),119.499037)</f>
        <v>119.499037</v>
      </c>
    </row>
    <row r="2668">
      <c r="A2668" s="3">
        <f>IFERROR(__xludf.DUMMYFUNCTION("""COMPUTED_VALUE"""),43035.99861111111)</f>
        <v>43035.99861</v>
      </c>
      <c r="B2668" s="1">
        <f>IFERROR(__xludf.DUMMYFUNCTION("""COMPUTED_VALUE"""),119.6008)</f>
        <v>119.6008</v>
      </c>
    </row>
    <row r="2669">
      <c r="A2669" s="3">
        <f>IFERROR(__xludf.DUMMYFUNCTION("""COMPUTED_VALUE"""),43036.99861111111)</f>
        <v>43036.99861</v>
      </c>
      <c r="B2669" s="1">
        <f>IFERROR(__xludf.DUMMYFUNCTION("""COMPUTED_VALUE"""),119.727872)</f>
        <v>119.727872</v>
      </c>
    </row>
    <row r="2670">
      <c r="A2670" s="3">
        <f>IFERROR(__xludf.DUMMYFUNCTION("""COMPUTED_VALUE"""),43037.99861111111)</f>
        <v>43037.99861</v>
      </c>
      <c r="B2670" s="1">
        <f>IFERROR(__xludf.DUMMYFUNCTION("""COMPUTED_VALUE"""),119.43852)</f>
        <v>119.43852</v>
      </c>
    </row>
    <row r="2671">
      <c r="A2671" s="3">
        <f>IFERROR(__xludf.DUMMYFUNCTION("""COMPUTED_VALUE"""),43038.99861111111)</f>
        <v>43038.99861</v>
      </c>
      <c r="B2671" s="1">
        <f>IFERROR(__xludf.DUMMYFUNCTION("""COMPUTED_VALUE"""),120.1122538)</f>
        <v>120.1122538</v>
      </c>
    </row>
    <row r="2672">
      <c r="A2672" s="3">
        <f>IFERROR(__xludf.DUMMYFUNCTION("""COMPUTED_VALUE"""),43039.99861111111)</f>
        <v>43039.99861</v>
      </c>
      <c r="B2672" s="1">
        <f>IFERROR(__xludf.DUMMYFUNCTION("""COMPUTED_VALUE"""),119.220984)</f>
        <v>119.220984</v>
      </c>
    </row>
    <row r="2673">
      <c r="A2673" s="3">
        <f>IFERROR(__xludf.DUMMYFUNCTION("""COMPUTED_VALUE"""),43040.99861111111)</f>
        <v>43040.99861</v>
      </c>
      <c r="B2673" s="1">
        <f>IFERROR(__xludf.DUMMYFUNCTION("""COMPUTED_VALUE"""),118.697174)</f>
        <v>118.697174</v>
      </c>
    </row>
    <row r="2674">
      <c r="A2674" s="3">
        <f>IFERROR(__xludf.DUMMYFUNCTION("""COMPUTED_VALUE"""),43041.99861111111)</f>
        <v>43041.99861</v>
      </c>
      <c r="B2674" s="1">
        <f>IFERROR(__xludf.DUMMYFUNCTION("""COMPUTED_VALUE"""),118.745024)</f>
        <v>118.745024</v>
      </c>
    </row>
    <row r="2675">
      <c r="A2675" s="3">
        <f>IFERROR(__xludf.DUMMYFUNCTION("""COMPUTED_VALUE"""),43042.99861111111)</f>
        <v>43042.99861</v>
      </c>
      <c r="B2675" s="1">
        <f>IFERROR(__xludf.DUMMYFUNCTION("""COMPUTED_VALUE"""),118.2196)</f>
        <v>118.2196</v>
      </c>
    </row>
    <row r="2676">
      <c r="A2676" s="3">
        <f>IFERROR(__xludf.DUMMYFUNCTION("""COMPUTED_VALUE"""),43043.99861111111)</f>
        <v>43043.99861</v>
      </c>
      <c r="B2676" s="1">
        <f>IFERROR(__xludf.DUMMYFUNCTION("""COMPUTED_VALUE"""),118.2196)</f>
        <v>118.2196</v>
      </c>
    </row>
    <row r="2677">
      <c r="A2677" s="3">
        <f>IFERROR(__xludf.DUMMYFUNCTION("""COMPUTED_VALUE"""),43044.99861111111)</f>
        <v>43044.99861</v>
      </c>
      <c r="B2677" s="1">
        <f>IFERROR(__xludf.DUMMYFUNCTION("""COMPUTED_VALUE"""),118.03088)</f>
        <v>118.03088</v>
      </c>
    </row>
    <row r="2678">
      <c r="A2678" s="3">
        <f>IFERROR(__xludf.DUMMYFUNCTION("""COMPUTED_VALUE"""),43045.99861111111)</f>
        <v>43045.99861</v>
      </c>
      <c r="B2678" s="1">
        <f>IFERROR(__xludf.DUMMYFUNCTION("""COMPUTED_VALUE"""),118.4939972)</f>
        <v>118.4939972</v>
      </c>
    </row>
    <row r="2679">
      <c r="A2679" s="3">
        <f>IFERROR(__xludf.DUMMYFUNCTION("""COMPUTED_VALUE"""),43046.99861111111)</f>
        <v>43046.99861</v>
      </c>
      <c r="B2679" s="1">
        <f>IFERROR(__xludf.DUMMYFUNCTION("""COMPUTED_VALUE"""),118.7799516)</f>
        <v>118.7799516</v>
      </c>
    </row>
    <row r="2680">
      <c r="A2680" s="3">
        <f>IFERROR(__xludf.DUMMYFUNCTION("""COMPUTED_VALUE"""),43047.99861111111)</f>
        <v>43047.99861</v>
      </c>
      <c r="B2680" s="1">
        <f>IFERROR(__xludf.DUMMYFUNCTION("""COMPUTED_VALUE"""),118.475322)</f>
        <v>118.475322</v>
      </c>
    </row>
    <row r="2681">
      <c r="A2681" s="3">
        <f>IFERROR(__xludf.DUMMYFUNCTION("""COMPUTED_VALUE"""),43048.99861111111)</f>
        <v>43048.99861</v>
      </c>
      <c r="B2681" s="1">
        <f>IFERROR(__xludf.DUMMYFUNCTION("""COMPUTED_VALUE"""),119.30814)</f>
        <v>119.30814</v>
      </c>
    </row>
    <row r="2682">
      <c r="A2682" s="3">
        <f>IFERROR(__xludf.DUMMYFUNCTION("""COMPUTED_VALUE"""),43049.99861111111)</f>
        <v>43049.99861</v>
      </c>
      <c r="B2682" s="1">
        <f>IFERROR(__xludf.DUMMYFUNCTION("""COMPUTED_VALUE"""),119.30502)</f>
        <v>119.30502</v>
      </c>
    </row>
    <row r="2683">
      <c r="A2683" s="3">
        <f>IFERROR(__xludf.DUMMYFUNCTION("""COMPUTED_VALUE"""),43050.99861111111)</f>
        <v>43050.99861</v>
      </c>
      <c r="B2683" s="1">
        <f>IFERROR(__xludf.DUMMYFUNCTION("""COMPUTED_VALUE"""),119.3766453)</f>
        <v>119.3766453</v>
      </c>
    </row>
    <row r="2684">
      <c r="A2684" s="3">
        <f>IFERROR(__xludf.DUMMYFUNCTION("""COMPUTED_VALUE"""),43051.99861111111)</f>
        <v>43051.99861</v>
      </c>
      <c r="B2684" s="1">
        <f>IFERROR(__xludf.DUMMYFUNCTION("""COMPUTED_VALUE"""),118.824528)</f>
        <v>118.824528</v>
      </c>
    </row>
    <row r="2685">
      <c r="A2685" s="3">
        <f>IFERROR(__xludf.DUMMYFUNCTION("""COMPUTED_VALUE"""),43052.99861111111)</f>
        <v>43052.99861</v>
      </c>
      <c r="B2685" s="1">
        <f>IFERROR(__xludf.DUMMYFUNCTION("""COMPUTED_VALUE"""),119.279953)</f>
        <v>119.279953</v>
      </c>
    </row>
    <row r="2686">
      <c r="A2686" s="3">
        <f>IFERROR(__xludf.DUMMYFUNCTION("""COMPUTED_VALUE"""),43053.99861111111)</f>
        <v>43053.99861</v>
      </c>
      <c r="B2686" s="1">
        <f>IFERROR(__xludf.DUMMYFUNCTION("""COMPUTED_VALUE"""),119.420847)</f>
        <v>119.420847</v>
      </c>
    </row>
    <row r="2687">
      <c r="A2687" s="3">
        <f>IFERROR(__xludf.DUMMYFUNCTION("""COMPUTED_VALUE"""),43054.99861111111)</f>
        <v>43054.99861</v>
      </c>
      <c r="B2687" s="1">
        <f>IFERROR(__xludf.DUMMYFUNCTION("""COMPUTED_VALUE"""),119.97424)</f>
        <v>119.97424</v>
      </c>
    </row>
    <row r="2688">
      <c r="A2688" s="3">
        <f>IFERROR(__xludf.DUMMYFUNCTION("""COMPUTED_VALUE"""),43055.99861111111)</f>
        <v>43055.99861</v>
      </c>
      <c r="B2688" s="1">
        <f>IFERROR(__xludf.DUMMYFUNCTION("""COMPUTED_VALUE"""),119.5502496)</f>
        <v>119.5502496</v>
      </c>
    </row>
    <row r="2689">
      <c r="A2689" s="3">
        <f>IFERROR(__xludf.DUMMYFUNCTION("""COMPUTED_VALUE"""),43056.99861111111)</f>
        <v>43056.99861</v>
      </c>
      <c r="B2689" s="1">
        <f>IFERROR(__xludf.DUMMYFUNCTION("""COMPUTED_VALUE"""),120.49136)</f>
        <v>120.49136</v>
      </c>
    </row>
    <row r="2690">
      <c r="A2690" s="3">
        <f>IFERROR(__xludf.DUMMYFUNCTION("""COMPUTED_VALUE"""),43057.99861111111)</f>
        <v>43057.99861</v>
      </c>
      <c r="B2690" s="1">
        <f>IFERROR(__xludf.DUMMYFUNCTION("""COMPUTED_VALUE"""),120.5405092)</f>
        <v>120.5405092</v>
      </c>
    </row>
    <row r="2691">
      <c r="A2691" s="3">
        <f>IFERROR(__xludf.DUMMYFUNCTION("""COMPUTED_VALUE"""),43058.99861111111)</f>
        <v>43058.99861</v>
      </c>
      <c r="B2691" s="1">
        <f>IFERROR(__xludf.DUMMYFUNCTION("""COMPUTED_VALUE"""),120.531884)</f>
        <v>120.531884</v>
      </c>
    </row>
    <row r="2692">
      <c r="A2692" s="3">
        <f>IFERROR(__xludf.DUMMYFUNCTION("""COMPUTED_VALUE"""),43059.99861111111)</f>
        <v>43059.99861</v>
      </c>
      <c r="B2692" s="1">
        <f>IFERROR(__xludf.DUMMYFUNCTION("""COMPUTED_VALUE"""),120.102)</f>
        <v>120.102</v>
      </c>
    </row>
    <row r="2693">
      <c r="A2693" s="3">
        <f>IFERROR(__xludf.DUMMYFUNCTION("""COMPUTED_VALUE"""),43060.99861111111)</f>
        <v>43060.99861</v>
      </c>
      <c r="B2693" s="1">
        <f>IFERROR(__xludf.DUMMYFUNCTION("""COMPUTED_VALUE"""),120.305581)</f>
        <v>120.305581</v>
      </c>
    </row>
    <row r="2694">
      <c r="A2694" s="3">
        <f>IFERROR(__xludf.DUMMYFUNCTION("""COMPUTED_VALUE"""),43061.99861111111)</f>
        <v>43061.99861</v>
      </c>
      <c r="B2694" s="1">
        <f>IFERROR(__xludf.DUMMYFUNCTION("""COMPUTED_VALUE"""),121.176162)</f>
        <v>121.176162</v>
      </c>
    </row>
    <row r="2695">
      <c r="A2695" s="3">
        <f>IFERROR(__xludf.DUMMYFUNCTION("""COMPUTED_VALUE"""),43062.99861111111)</f>
        <v>43062.99861</v>
      </c>
      <c r="B2695" s="1">
        <f>IFERROR(__xludf.DUMMYFUNCTION("""COMPUTED_VALUE"""),121.225643)</f>
        <v>121.225643</v>
      </c>
    </row>
    <row r="2696">
      <c r="A2696" s="3">
        <f>IFERROR(__xludf.DUMMYFUNCTION("""COMPUTED_VALUE"""),43063.99861111111)</f>
        <v>43063.99861</v>
      </c>
      <c r="B2696" s="1">
        <f>IFERROR(__xludf.DUMMYFUNCTION("""COMPUTED_VALUE"""),120.94208)</f>
        <v>120.94208</v>
      </c>
    </row>
    <row r="2697">
      <c r="A2697" s="3">
        <f>IFERROR(__xludf.DUMMYFUNCTION("""COMPUTED_VALUE"""),43064.99861111111)</f>
        <v>43064.99861</v>
      </c>
      <c r="B2697" s="1">
        <f>IFERROR(__xludf.DUMMYFUNCTION("""COMPUTED_VALUE"""),120.94208)</f>
        <v>120.94208</v>
      </c>
    </row>
    <row r="2698">
      <c r="A2698" s="3">
        <f>IFERROR(__xludf.DUMMYFUNCTION("""COMPUTED_VALUE"""),43065.99861111111)</f>
        <v>43065.99861</v>
      </c>
      <c r="B2698" s="1">
        <f>IFERROR(__xludf.DUMMYFUNCTION("""COMPUTED_VALUE"""),120.8583924)</f>
        <v>120.8583924</v>
      </c>
    </row>
    <row r="2699">
      <c r="A2699" s="3">
        <f>IFERROR(__xludf.DUMMYFUNCTION("""COMPUTED_VALUE"""),43066.99861111111)</f>
        <v>43066.99861</v>
      </c>
      <c r="B2699" s="1">
        <f>IFERROR(__xludf.DUMMYFUNCTION("""COMPUTED_VALUE"""),121.5206362)</f>
        <v>121.5206362</v>
      </c>
    </row>
    <row r="2700">
      <c r="A2700" s="3">
        <f>IFERROR(__xludf.DUMMYFUNCTION("""COMPUTED_VALUE"""),43067.99861111111)</f>
        <v>43067.99861</v>
      </c>
      <c r="B2700" s="1">
        <f>IFERROR(__xludf.DUMMYFUNCTION("""COMPUTED_VALUE"""),120.8925)</f>
        <v>120.8925</v>
      </c>
    </row>
    <row r="2701">
      <c r="A2701" s="3">
        <f>IFERROR(__xludf.DUMMYFUNCTION("""COMPUTED_VALUE"""),43068.99861111111)</f>
        <v>43068.99861</v>
      </c>
      <c r="B2701" s="1">
        <f>IFERROR(__xludf.DUMMYFUNCTION("""COMPUTED_VALUE"""),120.536704)</f>
        <v>120.536704</v>
      </c>
    </row>
    <row r="2702">
      <c r="A2702" s="3">
        <f>IFERROR(__xludf.DUMMYFUNCTION("""COMPUTED_VALUE"""),43069.99861111111)</f>
        <v>43069.99861</v>
      </c>
      <c r="B2702" s="1">
        <f>IFERROR(__xludf.DUMMYFUNCTION("""COMPUTED_VALUE"""),120.2887653)</f>
        <v>120.2887653</v>
      </c>
    </row>
    <row r="2703">
      <c r="A2703" s="3">
        <f>IFERROR(__xludf.DUMMYFUNCTION("""COMPUTED_VALUE"""),43070.99861111111)</f>
        <v>43070.99861</v>
      </c>
      <c r="B2703" s="1">
        <f>IFERROR(__xludf.DUMMYFUNCTION("""COMPUTED_VALUE"""),120.65192)</f>
        <v>120.65192</v>
      </c>
    </row>
    <row r="2704">
      <c r="A2704" s="3">
        <f>IFERROR(__xludf.DUMMYFUNCTION("""COMPUTED_VALUE"""),43071.99861111111)</f>
        <v>43071.99861</v>
      </c>
      <c r="B2704" s="1">
        <f>IFERROR(__xludf.DUMMYFUNCTION("""COMPUTED_VALUE"""),120.7035668)</f>
        <v>120.7035668</v>
      </c>
    </row>
    <row r="2705">
      <c r="A2705" s="3">
        <f>IFERROR(__xludf.DUMMYFUNCTION("""COMPUTED_VALUE"""),43072.99861111111)</f>
        <v>43072.99861</v>
      </c>
      <c r="B2705" s="1">
        <f>IFERROR(__xludf.DUMMYFUNCTION("""COMPUTED_VALUE"""),120.11448)</f>
        <v>120.11448</v>
      </c>
    </row>
    <row r="2706">
      <c r="A2706" s="3">
        <f>IFERROR(__xludf.DUMMYFUNCTION("""COMPUTED_VALUE"""),43073.99861111111)</f>
        <v>43073.99861</v>
      </c>
      <c r="B2706" s="1">
        <f>IFERROR(__xludf.DUMMYFUNCTION("""COMPUTED_VALUE"""),119.907684)</f>
        <v>119.907684</v>
      </c>
    </row>
    <row r="2707">
      <c r="A2707" s="3">
        <f>IFERROR(__xludf.DUMMYFUNCTION("""COMPUTED_VALUE"""),43074.99861111111)</f>
        <v>43074.99861</v>
      </c>
      <c r="B2707" s="1">
        <f>IFERROR(__xludf.DUMMYFUNCTION("""COMPUTED_VALUE"""),120.103544)</f>
        <v>120.103544</v>
      </c>
    </row>
    <row r="2708">
      <c r="A2708" s="3">
        <f>IFERROR(__xludf.DUMMYFUNCTION("""COMPUTED_VALUE"""),43075.99861111111)</f>
        <v>43075.99861</v>
      </c>
      <c r="B2708" s="1">
        <f>IFERROR(__xludf.DUMMYFUNCTION("""COMPUTED_VALUE"""),120.493202)</f>
        <v>120.493202</v>
      </c>
    </row>
    <row r="2709">
      <c r="A2709" s="3">
        <f>IFERROR(__xludf.DUMMYFUNCTION("""COMPUTED_VALUE"""),43076.99861111111)</f>
        <v>43076.99861</v>
      </c>
      <c r="B2709" s="1">
        <f>IFERROR(__xludf.DUMMYFUNCTION("""COMPUTED_VALUE"""),119.80852)</f>
        <v>119.80852</v>
      </c>
    </row>
    <row r="2710">
      <c r="A2710" s="3">
        <f>IFERROR(__xludf.DUMMYFUNCTION("""COMPUTED_VALUE"""),43077.99861111111)</f>
        <v>43077.99861</v>
      </c>
      <c r="B2710" s="1">
        <f>IFERROR(__xludf.DUMMYFUNCTION("""COMPUTED_VALUE"""),119.26978)</f>
        <v>119.26978</v>
      </c>
    </row>
    <row r="2711">
      <c r="A2711" s="3">
        <f>IFERROR(__xludf.DUMMYFUNCTION("""COMPUTED_VALUE"""),43078.99861111111)</f>
        <v>43078.99861</v>
      </c>
      <c r="B2711" s="1">
        <f>IFERROR(__xludf.DUMMYFUNCTION("""COMPUTED_VALUE"""),119.26978)</f>
        <v>119.26978</v>
      </c>
    </row>
    <row r="2712">
      <c r="A2712" s="3">
        <f>IFERROR(__xludf.DUMMYFUNCTION("""COMPUTED_VALUE"""),43079.99861111111)</f>
        <v>43079.99861</v>
      </c>
      <c r="B2712" s="1">
        <f>IFERROR(__xludf.DUMMYFUNCTION("""COMPUTED_VALUE"""),118.929135)</f>
        <v>118.929135</v>
      </c>
    </row>
    <row r="2713">
      <c r="A2713" s="3">
        <f>IFERROR(__xludf.DUMMYFUNCTION("""COMPUTED_VALUE"""),43080.99861111111)</f>
        <v>43080.99861</v>
      </c>
      <c r="B2713" s="1">
        <f>IFERROR(__xludf.DUMMYFUNCTION("""COMPUTED_VALUE"""),119.32536)</f>
        <v>119.32536</v>
      </c>
    </row>
    <row r="2714">
      <c r="A2714" s="3">
        <f>IFERROR(__xludf.DUMMYFUNCTION("""COMPUTED_VALUE"""),43081.99861111111)</f>
        <v>43081.99861</v>
      </c>
      <c r="B2714" s="1">
        <f>IFERROR(__xludf.DUMMYFUNCTION("""COMPUTED_VALUE"""),119.330106)</f>
        <v>119.330106</v>
      </c>
    </row>
    <row r="2715">
      <c r="A2715" s="3">
        <f>IFERROR(__xludf.DUMMYFUNCTION("""COMPUTED_VALUE"""),43082.99861111111)</f>
        <v>43082.99861</v>
      </c>
      <c r="B2715" s="1">
        <f>IFERROR(__xludf.DUMMYFUNCTION("""COMPUTED_VALUE"""),120.01856)</f>
        <v>120.01856</v>
      </c>
    </row>
    <row r="2716">
      <c r="A2716" s="3">
        <f>IFERROR(__xludf.DUMMYFUNCTION("""COMPUTED_VALUE"""),43083.99861111111)</f>
        <v>43083.99861</v>
      </c>
      <c r="B2716" s="1">
        <f>IFERROR(__xludf.DUMMYFUNCTION("""COMPUTED_VALUE"""),120.576384)</f>
        <v>120.576384</v>
      </c>
    </row>
    <row r="2717">
      <c r="A2717" s="3">
        <f>IFERROR(__xludf.DUMMYFUNCTION("""COMPUTED_VALUE"""),43084.99861111111)</f>
        <v>43084.99861</v>
      </c>
      <c r="B2717" s="1">
        <f>IFERROR(__xludf.DUMMYFUNCTION("""COMPUTED_VALUE"""),120.48384)</f>
        <v>120.48384</v>
      </c>
    </row>
    <row r="2718">
      <c r="A2718" s="3">
        <f>IFERROR(__xludf.DUMMYFUNCTION("""COMPUTED_VALUE"""),43085.99861111111)</f>
        <v>43085.99861</v>
      </c>
      <c r="B2718" s="1">
        <f>IFERROR(__xludf.DUMMYFUNCTION("""COMPUTED_VALUE"""),120.652116)</f>
        <v>120.652116</v>
      </c>
    </row>
    <row r="2719">
      <c r="A2719" s="3">
        <f>IFERROR(__xludf.DUMMYFUNCTION("""COMPUTED_VALUE"""),43086.99861111111)</f>
        <v>43086.99861</v>
      </c>
      <c r="B2719" s="1">
        <f>IFERROR(__xludf.DUMMYFUNCTION("""COMPUTED_VALUE"""),120.3522304)</f>
        <v>120.3522304</v>
      </c>
    </row>
    <row r="2720">
      <c r="A2720" s="3">
        <f>IFERROR(__xludf.DUMMYFUNCTION("""COMPUTED_VALUE"""),43087.99861111111)</f>
        <v>43087.99861</v>
      </c>
      <c r="B2720" s="1">
        <f>IFERROR(__xludf.DUMMYFUNCTION("""COMPUTED_VALUE"""),120.61756)</f>
        <v>120.61756</v>
      </c>
    </row>
    <row r="2721">
      <c r="A2721" s="3">
        <f>IFERROR(__xludf.DUMMYFUNCTION("""COMPUTED_VALUE"""),43088.99861111111)</f>
        <v>43088.99861</v>
      </c>
      <c r="B2721" s="1">
        <f>IFERROR(__xludf.DUMMYFUNCTION("""COMPUTED_VALUE"""),120.125175)</f>
        <v>120.125175</v>
      </c>
    </row>
    <row r="2722">
      <c r="A2722" s="3">
        <f>IFERROR(__xludf.DUMMYFUNCTION("""COMPUTED_VALUE"""),43089.99861111111)</f>
        <v>43089.99861</v>
      </c>
      <c r="B2722" s="1">
        <f>IFERROR(__xludf.DUMMYFUNCTION("""COMPUTED_VALUE"""),119.836017)</f>
        <v>119.836017</v>
      </c>
    </row>
    <row r="2723">
      <c r="A2723" s="3">
        <f>IFERROR(__xludf.DUMMYFUNCTION("""COMPUTED_VALUE"""),43090.99861111111)</f>
        <v>43090.99861</v>
      </c>
      <c r="B2723" s="1">
        <f>IFERROR(__xludf.DUMMYFUNCTION("""COMPUTED_VALUE"""),119.643964)</f>
        <v>119.643964</v>
      </c>
    </row>
    <row r="2724">
      <c r="A2724" s="3">
        <f>IFERROR(__xludf.DUMMYFUNCTION("""COMPUTED_VALUE"""),43091.99861111111)</f>
        <v>43091.99861</v>
      </c>
      <c r="B2724" s="1">
        <f>IFERROR(__xludf.DUMMYFUNCTION("""COMPUTED_VALUE"""),119.62001)</f>
        <v>119.62001</v>
      </c>
    </row>
    <row r="2725">
      <c r="A2725" s="3">
        <f>IFERROR(__xludf.DUMMYFUNCTION("""COMPUTED_VALUE"""),43092.99861111111)</f>
        <v>43092.99861</v>
      </c>
      <c r="B2725" s="1">
        <f>IFERROR(__xludf.DUMMYFUNCTION("""COMPUTED_VALUE"""),119.62001)</f>
        <v>119.62001</v>
      </c>
    </row>
    <row r="2726">
      <c r="A2726" s="3">
        <f>IFERROR(__xludf.DUMMYFUNCTION("""COMPUTED_VALUE"""),43093.99861111111)</f>
        <v>43093.99861</v>
      </c>
      <c r="B2726" s="1">
        <f>IFERROR(__xludf.DUMMYFUNCTION("""COMPUTED_VALUE"""),119.560473)</f>
        <v>119.560473</v>
      </c>
    </row>
    <row r="2727">
      <c r="A2727" s="3">
        <f>IFERROR(__xludf.DUMMYFUNCTION("""COMPUTED_VALUE"""),43094.99861111111)</f>
        <v>43094.99861</v>
      </c>
      <c r="B2727" s="1">
        <f>IFERROR(__xludf.DUMMYFUNCTION("""COMPUTED_VALUE"""),119.392836)</f>
        <v>119.392836</v>
      </c>
    </row>
    <row r="2728">
      <c r="A2728" s="3">
        <f>IFERROR(__xludf.DUMMYFUNCTION("""COMPUTED_VALUE"""),43095.99861111111)</f>
        <v>43095.99861</v>
      </c>
      <c r="B2728" s="1">
        <f>IFERROR(__xludf.DUMMYFUNCTION("""COMPUTED_VALUE"""),119.677712)</f>
        <v>119.677712</v>
      </c>
    </row>
    <row r="2729">
      <c r="A2729" s="3">
        <f>IFERROR(__xludf.DUMMYFUNCTION("""COMPUTED_VALUE"""),43096.99861111111)</f>
        <v>43096.99861</v>
      </c>
      <c r="B2729" s="1">
        <f>IFERROR(__xludf.DUMMYFUNCTION("""COMPUTED_VALUE"""),119.730698)</f>
        <v>119.730698</v>
      </c>
    </row>
    <row r="2730">
      <c r="A2730" s="3">
        <f>IFERROR(__xludf.DUMMYFUNCTION("""COMPUTED_VALUE"""),43097.99861111111)</f>
        <v>43097.99861</v>
      </c>
      <c r="B2730" s="1">
        <f>IFERROR(__xludf.DUMMYFUNCTION("""COMPUTED_VALUE"""),120.083206)</f>
        <v>120.083206</v>
      </c>
    </row>
    <row r="2731">
      <c r="A2731" s="3">
        <f>IFERROR(__xludf.DUMMYFUNCTION("""COMPUTED_VALUE"""),43098.99861111111)</f>
        <v>43098.99861</v>
      </c>
      <c r="B2731" s="1">
        <f>IFERROR(__xludf.DUMMYFUNCTION("""COMPUTED_VALUE"""),119.745)</f>
        <v>119.745</v>
      </c>
    </row>
    <row r="2732">
      <c r="A2732" s="3">
        <f>IFERROR(__xludf.DUMMYFUNCTION("""COMPUTED_VALUE"""),43099.99861111111)</f>
        <v>43099.99861</v>
      </c>
      <c r="B2732" s="1">
        <f>IFERROR(__xludf.DUMMYFUNCTION("""COMPUTED_VALUE"""),119.54099)</f>
        <v>119.54099</v>
      </c>
    </row>
    <row r="2733">
      <c r="A2733" s="3">
        <f>IFERROR(__xludf.DUMMYFUNCTION("""COMPUTED_VALUE"""),43100.99861111111)</f>
        <v>43100.99861</v>
      </c>
      <c r="B2733" s="1">
        <f>IFERROR(__xludf.DUMMYFUNCTION("""COMPUTED_VALUE"""),120.11754)</f>
        <v>120.11754</v>
      </c>
    </row>
    <row r="2734">
      <c r="A2734" s="3">
        <f>IFERROR(__xludf.DUMMYFUNCTION("""COMPUTED_VALUE"""),43101.99861111111)</f>
        <v>43101.99861</v>
      </c>
      <c r="B2734" s="1">
        <f>IFERROR(__xludf.DUMMYFUNCTION("""COMPUTED_VALUE"""),120.12075)</f>
        <v>120.12075</v>
      </c>
    </row>
    <row r="2735">
      <c r="A2735" s="3">
        <f>IFERROR(__xludf.DUMMYFUNCTION("""COMPUTED_VALUE"""),43102.99861111111)</f>
        <v>43102.99861</v>
      </c>
      <c r="B2735" s="1">
        <f>IFERROR(__xludf.DUMMYFUNCTION("""COMPUTED_VALUE"""),120.24936)</f>
        <v>120.24936</v>
      </c>
    </row>
    <row r="2736">
      <c r="A2736" s="3">
        <f>IFERROR(__xludf.DUMMYFUNCTION("""COMPUTED_VALUE"""),43103.99861111111)</f>
        <v>43103.99861</v>
      </c>
      <c r="B2736" s="1">
        <f>IFERROR(__xludf.DUMMYFUNCTION("""COMPUTED_VALUE"""),119.582372)</f>
        <v>119.582372</v>
      </c>
    </row>
    <row r="2737">
      <c r="A2737" s="3">
        <f>IFERROR(__xludf.DUMMYFUNCTION("""COMPUTED_VALUE"""),43104.99861111111)</f>
        <v>43104.99861</v>
      </c>
      <c r="B2737" s="1">
        <f>IFERROR(__xludf.DUMMYFUNCTION("""COMPUTED_VALUE"""),118.91056)</f>
        <v>118.91056</v>
      </c>
    </row>
    <row r="2738">
      <c r="A2738" s="3">
        <f>IFERROR(__xludf.DUMMYFUNCTION("""COMPUTED_VALUE"""),43105.99861111111)</f>
        <v>43105.99861</v>
      </c>
      <c r="B2738" s="1">
        <f>IFERROR(__xludf.DUMMYFUNCTION("""COMPUTED_VALUE"""),118.55324)</f>
        <v>118.55324</v>
      </c>
    </row>
    <row r="2739">
      <c r="A2739" s="3">
        <f>IFERROR(__xludf.DUMMYFUNCTION("""COMPUTED_VALUE"""),43106.99861111111)</f>
        <v>43106.99861</v>
      </c>
      <c r="B2739" s="1">
        <f>IFERROR(__xludf.DUMMYFUNCTION("""COMPUTED_VALUE"""),118.6576404)</f>
        <v>118.6576404</v>
      </c>
    </row>
    <row r="2740">
      <c r="A2740" s="3">
        <f>IFERROR(__xludf.DUMMYFUNCTION("""COMPUTED_VALUE"""),43107.99861111111)</f>
        <v>43107.99861</v>
      </c>
      <c r="B2740" s="1">
        <f>IFERROR(__xludf.DUMMYFUNCTION("""COMPUTED_VALUE"""),118.627545)</f>
        <v>118.627545</v>
      </c>
    </row>
    <row r="2741">
      <c r="A2741" s="3">
        <f>IFERROR(__xludf.DUMMYFUNCTION("""COMPUTED_VALUE"""),43108.99861111111)</f>
        <v>43108.99861</v>
      </c>
      <c r="B2741" s="1">
        <f>IFERROR(__xludf.DUMMYFUNCTION("""COMPUTED_VALUE"""),118.640972)</f>
        <v>118.640972</v>
      </c>
    </row>
    <row r="2742">
      <c r="A2742" s="3">
        <f>IFERROR(__xludf.DUMMYFUNCTION("""COMPUTED_VALUE"""),43109.99861111111)</f>
        <v>43109.99861</v>
      </c>
      <c r="B2742" s="1">
        <f>IFERROR(__xludf.DUMMYFUNCTION("""COMPUTED_VALUE"""),119.07038)</f>
        <v>119.07038</v>
      </c>
    </row>
    <row r="2743">
      <c r="A2743" s="3">
        <f>IFERROR(__xludf.DUMMYFUNCTION("""COMPUTED_VALUE"""),43110.99861111111)</f>
        <v>43110.99861</v>
      </c>
      <c r="B2743" s="1">
        <f>IFERROR(__xludf.DUMMYFUNCTION("""COMPUTED_VALUE"""),120.579211)</f>
        <v>120.579211</v>
      </c>
    </row>
    <row r="2744">
      <c r="A2744" s="3">
        <f>IFERROR(__xludf.DUMMYFUNCTION("""COMPUTED_VALUE"""),43111.99861111111)</f>
        <v>43111.99861</v>
      </c>
      <c r="B2744" s="1">
        <f>IFERROR(__xludf.DUMMYFUNCTION("""COMPUTED_VALUE"""),120.309319)</f>
        <v>120.309319</v>
      </c>
    </row>
    <row r="2745">
      <c r="A2745" s="3">
        <f>IFERROR(__xludf.DUMMYFUNCTION("""COMPUTED_VALUE"""),43112.99861111111)</f>
        <v>43112.99861</v>
      </c>
      <c r="B2745" s="1">
        <f>IFERROR(__xludf.DUMMYFUNCTION("""COMPUTED_VALUE"""),119.88)</f>
        <v>119.88</v>
      </c>
    </row>
    <row r="2746">
      <c r="A2746" s="3">
        <f>IFERROR(__xludf.DUMMYFUNCTION("""COMPUTED_VALUE"""),43113.99861111111)</f>
        <v>43113.99861</v>
      </c>
      <c r="B2746" s="1">
        <f>IFERROR(__xludf.DUMMYFUNCTION("""COMPUTED_VALUE"""),119.78795)</f>
        <v>119.78795</v>
      </c>
    </row>
    <row r="2747">
      <c r="A2747" s="3">
        <f>IFERROR(__xludf.DUMMYFUNCTION("""COMPUTED_VALUE"""),43114.99861111111)</f>
        <v>43114.99861</v>
      </c>
      <c r="B2747" s="1">
        <f>IFERROR(__xludf.DUMMYFUNCTION("""COMPUTED_VALUE"""),119.62841)</f>
        <v>119.62841</v>
      </c>
    </row>
    <row r="2748">
      <c r="A2748" s="3">
        <f>IFERROR(__xludf.DUMMYFUNCTION("""COMPUTED_VALUE"""),43115.99861111111)</f>
        <v>43115.99861</v>
      </c>
      <c r="B2748" s="1">
        <f>IFERROR(__xludf.DUMMYFUNCTION("""COMPUTED_VALUE"""),120.2971575)</f>
        <v>120.2971575</v>
      </c>
    </row>
    <row r="2749">
      <c r="A2749" s="3">
        <f>IFERROR(__xludf.DUMMYFUNCTION("""COMPUTED_VALUE"""),43116.99861111111)</f>
        <v>43116.99861</v>
      </c>
      <c r="B2749" s="1">
        <f>IFERROR(__xludf.DUMMYFUNCTION("""COMPUTED_VALUE"""),120.499136)</f>
        <v>120.499136</v>
      </c>
    </row>
    <row r="2750">
      <c r="A2750" s="3">
        <f>IFERROR(__xludf.DUMMYFUNCTION("""COMPUTED_VALUE"""),43117.99861111111)</f>
        <v>43117.99861</v>
      </c>
      <c r="B2750" s="1">
        <f>IFERROR(__xludf.DUMMYFUNCTION("""COMPUTED_VALUE"""),119.717272)</f>
        <v>119.717272</v>
      </c>
    </row>
    <row r="2751">
      <c r="A2751" s="3">
        <f>IFERROR(__xludf.DUMMYFUNCTION("""COMPUTED_VALUE"""),43118.99861111111)</f>
        <v>43118.99861</v>
      </c>
      <c r="B2751" s="1">
        <f>IFERROR(__xludf.DUMMYFUNCTION("""COMPUTED_VALUE"""),120.059336)</f>
        <v>120.059336</v>
      </c>
    </row>
    <row r="2752">
      <c r="A2752" s="3">
        <f>IFERROR(__xludf.DUMMYFUNCTION("""COMPUTED_VALUE"""),43119.99861111111)</f>
        <v>43119.99861</v>
      </c>
      <c r="B2752" s="1">
        <f>IFERROR(__xludf.DUMMYFUNCTION("""COMPUTED_VALUE"""),120.23445)</f>
        <v>120.23445</v>
      </c>
    </row>
    <row r="2753">
      <c r="A2753" s="3">
        <f>IFERROR(__xludf.DUMMYFUNCTION("""COMPUTED_VALUE"""),43120.99861111111)</f>
        <v>43120.99861</v>
      </c>
      <c r="B2753" s="1">
        <f>IFERROR(__xludf.DUMMYFUNCTION("""COMPUTED_VALUE"""),120.3999699)</f>
        <v>120.3999699</v>
      </c>
    </row>
    <row r="2754">
      <c r="A2754" s="3">
        <f>IFERROR(__xludf.DUMMYFUNCTION("""COMPUTED_VALUE"""),43121.99861111111)</f>
        <v>43121.99861</v>
      </c>
      <c r="B2754" s="1">
        <f>IFERROR(__xludf.DUMMYFUNCTION("""COMPUTED_VALUE"""),120.32475)</f>
        <v>120.32475</v>
      </c>
    </row>
    <row r="2755">
      <c r="A2755" s="3">
        <f>IFERROR(__xludf.DUMMYFUNCTION("""COMPUTED_VALUE"""),43122.99861111111)</f>
        <v>43122.99861</v>
      </c>
      <c r="B2755" s="1">
        <f>IFERROR(__xludf.DUMMYFUNCTION("""COMPUTED_VALUE"""),120.2127542)</f>
        <v>120.2127542</v>
      </c>
    </row>
    <row r="2756">
      <c r="A2756" s="3">
        <f>IFERROR(__xludf.DUMMYFUNCTION("""COMPUTED_VALUE"""),43123.99861111111)</f>
        <v>43123.99861</v>
      </c>
      <c r="B2756" s="1">
        <f>IFERROR(__xludf.DUMMYFUNCTION("""COMPUTED_VALUE"""),121.077544)</f>
        <v>121.077544</v>
      </c>
    </row>
    <row r="2757">
      <c r="A2757" s="3">
        <f>IFERROR(__xludf.DUMMYFUNCTION("""COMPUTED_VALUE"""),43124.99861111111)</f>
        <v>43124.99861</v>
      </c>
      <c r="B2757" s="1">
        <f>IFERROR(__xludf.DUMMYFUNCTION("""COMPUTED_VALUE"""),121.6208484)</f>
        <v>121.6208484</v>
      </c>
    </row>
    <row r="2758">
      <c r="A2758" s="3">
        <f>IFERROR(__xludf.DUMMYFUNCTION("""COMPUTED_VALUE"""),43125.99861111111)</f>
        <v>43125.99861</v>
      </c>
      <c r="B2758" s="1">
        <f>IFERROR(__xludf.DUMMYFUNCTION("""COMPUTED_VALUE"""),121.193787)</f>
        <v>121.193787</v>
      </c>
    </row>
    <row r="2759">
      <c r="A2759" s="3">
        <f>IFERROR(__xludf.DUMMYFUNCTION("""COMPUTED_VALUE"""),43126.99861111111)</f>
        <v>43126.99861</v>
      </c>
      <c r="B2759" s="1">
        <f>IFERROR(__xludf.DUMMYFUNCTION("""COMPUTED_VALUE"""),122.3692)</f>
        <v>122.3692</v>
      </c>
    </row>
    <row r="2760">
      <c r="A2760" s="3">
        <f>IFERROR(__xludf.DUMMYFUNCTION("""COMPUTED_VALUE"""),43127.99861111111)</f>
        <v>43127.99861</v>
      </c>
      <c r="B2760" s="1">
        <f>IFERROR(__xludf.DUMMYFUNCTION("""COMPUTED_VALUE"""),122.503244)</f>
        <v>122.503244</v>
      </c>
    </row>
    <row r="2761">
      <c r="A2761" s="3">
        <f>IFERROR(__xludf.DUMMYFUNCTION("""COMPUTED_VALUE"""),43128.99861111111)</f>
        <v>43128.99861</v>
      </c>
      <c r="B2761" s="1">
        <f>IFERROR(__xludf.DUMMYFUNCTION("""COMPUTED_VALUE"""),122.349792)</f>
        <v>122.349792</v>
      </c>
    </row>
    <row r="2762">
      <c r="A2762" s="3">
        <f>IFERROR(__xludf.DUMMYFUNCTION("""COMPUTED_VALUE"""),43129.99861111111)</f>
        <v>43129.99861</v>
      </c>
      <c r="B2762" s="1">
        <f>IFERROR(__xludf.DUMMYFUNCTION("""COMPUTED_VALUE"""),122.70906)</f>
        <v>122.70906</v>
      </c>
    </row>
    <row r="2763">
      <c r="A2763" s="3">
        <f>IFERROR(__xludf.DUMMYFUNCTION("""COMPUTED_VALUE"""),43130.99861111111)</f>
        <v>43130.99861</v>
      </c>
      <c r="B2763" s="1">
        <f>IFERROR(__xludf.DUMMYFUNCTION("""COMPUTED_VALUE"""),123.4154897)</f>
        <v>123.4154897</v>
      </c>
    </row>
    <row r="2764">
      <c r="A2764" s="3">
        <f>IFERROR(__xludf.DUMMYFUNCTION("""COMPUTED_VALUE"""),43131.99861111111)</f>
        <v>43131.99861</v>
      </c>
      <c r="B2764" s="1">
        <f>IFERROR(__xludf.DUMMYFUNCTION("""COMPUTED_VALUE"""),122.521365)</f>
        <v>122.521365</v>
      </c>
    </row>
    <row r="2765">
      <c r="A2765" s="3">
        <f>IFERROR(__xludf.DUMMYFUNCTION("""COMPUTED_VALUE"""),43132.99861111111)</f>
        <v>43132.99861</v>
      </c>
      <c r="B2765" s="1">
        <f>IFERROR(__xludf.DUMMYFUNCTION("""COMPUTED_VALUE"""),122.321268)</f>
        <v>122.321268</v>
      </c>
    </row>
    <row r="2766">
      <c r="A2766" s="3">
        <f>IFERROR(__xludf.DUMMYFUNCTION("""COMPUTED_VALUE"""),43133.99861111111)</f>
        <v>43133.99861</v>
      </c>
      <c r="B2766" s="1">
        <f>IFERROR(__xludf.DUMMYFUNCTION("""COMPUTED_VALUE"""),121.77188)</f>
        <v>121.77188</v>
      </c>
    </row>
    <row r="2767">
      <c r="A2767" s="3">
        <f>IFERROR(__xludf.DUMMYFUNCTION("""COMPUTED_VALUE"""),43134.99861111111)</f>
        <v>43134.99861</v>
      </c>
      <c r="B2767" s="1">
        <f>IFERROR(__xludf.DUMMYFUNCTION("""COMPUTED_VALUE"""),121.77188)</f>
        <v>121.77188</v>
      </c>
    </row>
    <row r="2768">
      <c r="A2768" s="3">
        <f>IFERROR(__xludf.DUMMYFUNCTION("""COMPUTED_VALUE"""),43135.99861111111)</f>
        <v>43135.99861</v>
      </c>
      <c r="B2768" s="1">
        <f>IFERROR(__xludf.DUMMYFUNCTION("""COMPUTED_VALUE"""),121.838935)</f>
        <v>121.838935</v>
      </c>
    </row>
    <row r="2769">
      <c r="A2769" s="3">
        <f>IFERROR(__xludf.DUMMYFUNCTION("""COMPUTED_VALUE"""),43136.99861111111)</f>
        <v>43136.99861</v>
      </c>
      <c r="B2769" s="1">
        <f>IFERROR(__xludf.DUMMYFUNCTION("""COMPUTED_VALUE"""),124.300496)</f>
        <v>124.300496</v>
      </c>
    </row>
    <row r="2770">
      <c r="A2770" s="3">
        <f>IFERROR(__xludf.DUMMYFUNCTION("""COMPUTED_VALUE"""),43137.99861111111)</f>
        <v>43137.99861</v>
      </c>
      <c r="B2770" s="1">
        <f>IFERROR(__xludf.DUMMYFUNCTION("""COMPUTED_VALUE"""),123.5307608)</f>
        <v>123.5307608</v>
      </c>
    </row>
    <row r="2771">
      <c r="A2771" s="3">
        <f>IFERROR(__xludf.DUMMYFUNCTION("""COMPUTED_VALUE"""),43138.99861111111)</f>
        <v>43138.99861</v>
      </c>
      <c r="B2771" s="1">
        <f>IFERROR(__xludf.DUMMYFUNCTION("""COMPUTED_VALUE"""),124.883355)</f>
        <v>124.883355</v>
      </c>
    </row>
    <row r="2772">
      <c r="A2772" s="3">
        <f>IFERROR(__xludf.DUMMYFUNCTION("""COMPUTED_VALUE"""),43139.99861111111)</f>
        <v>43139.99861</v>
      </c>
      <c r="B2772" s="1">
        <f>IFERROR(__xludf.DUMMYFUNCTION("""COMPUTED_VALUE"""),125.264776)</f>
        <v>125.264776</v>
      </c>
    </row>
    <row r="2773">
      <c r="A2773" s="3">
        <f>IFERROR(__xludf.DUMMYFUNCTION("""COMPUTED_VALUE"""),43140.99861111111)</f>
        <v>43140.99861</v>
      </c>
      <c r="B2773" s="1">
        <f>IFERROR(__xludf.DUMMYFUNCTION("""COMPUTED_VALUE"""),125.03914)</f>
        <v>125.03914</v>
      </c>
    </row>
    <row r="2774">
      <c r="A2774" s="3">
        <f>IFERROR(__xludf.DUMMYFUNCTION("""COMPUTED_VALUE"""),43141.99861111111)</f>
        <v>43141.99861</v>
      </c>
      <c r="B2774" s="1">
        <f>IFERROR(__xludf.DUMMYFUNCTION("""COMPUTED_VALUE"""),125.03914)</f>
        <v>125.03914</v>
      </c>
    </row>
    <row r="2775">
      <c r="A2775" s="3">
        <f>IFERROR(__xludf.DUMMYFUNCTION("""COMPUTED_VALUE"""),43142.99861111111)</f>
        <v>43142.99861</v>
      </c>
      <c r="B2775" s="1">
        <f>IFERROR(__xludf.DUMMYFUNCTION("""COMPUTED_VALUE"""),125.0759)</f>
        <v>125.0759</v>
      </c>
    </row>
    <row r="2776">
      <c r="A2776" s="3">
        <f>IFERROR(__xludf.DUMMYFUNCTION("""COMPUTED_VALUE"""),43143.99861111111)</f>
        <v>43143.99861</v>
      </c>
      <c r="B2776" s="1">
        <f>IFERROR(__xludf.DUMMYFUNCTION("""COMPUTED_VALUE"""),125.501957)</f>
        <v>125.501957</v>
      </c>
    </row>
    <row r="2777">
      <c r="A2777" s="3">
        <f>IFERROR(__xludf.DUMMYFUNCTION("""COMPUTED_VALUE"""),43144.99861111111)</f>
        <v>43144.99861</v>
      </c>
      <c r="B2777" s="1">
        <f>IFERROR(__xludf.DUMMYFUNCTION("""COMPUTED_VALUE"""),126.52464)</f>
        <v>126.52464</v>
      </c>
    </row>
    <row r="2778">
      <c r="A2778" s="3">
        <f>IFERROR(__xludf.DUMMYFUNCTION("""COMPUTED_VALUE"""),43145.99861111111)</f>
        <v>43145.99861</v>
      </c>
      <c r="B2778" s="1">
        <f>IFERROR(__xludf.DUMMYFUNCTION("""COMPUTED_VALUE"""),127.77436)</f>
        <v>127.77436</v>
      </c>
    </row>
    <row r="2779">
      <c r="A2779" s="3">
        <f>IFERROR(__xludf.DUMMYFUNCTION("""COMPUTED_VALUE"""),43146.99861111111)</f>
        <v>43146.99861</v>
      </c>
      <c r="B2779" s="1">
        <f>IFERROR(__xludf.DUMMYFUNCTION("""COMPUTED_VALUE"""),127.686944)</f>
        <v>127.686944</v>
      </c>
    </row>
    <row r="2780">
      <c r="A2780" s="3">
        <f>IFERROR(__xludf.DUMMYFUNCTION("""COMPUTED_VALUE"""),43147.99861111111)</f>
        <v>43147.99861</v>
      </c>
      <c r="B2780" s="1">
        <f>IFERROR(__xludf.DUMMYFUNCTION("""COMPUTED_VALUE"""),127.52432)</f>
        <v>127.52432</v>
      </c>
    </row>
    <row r="2781">
      <c r="A2781" s="3">
        <f>IFERROR(__xludf.DUMMYFUNCTION("""COMPUTED_VALUE"""),43148.99861111111)</f>
        <v>43148.99861</v>
      </c>
      <c r="B2781" s="1">
        <f>IFERROR(__xludf.DUMMYFUNCTION("""COMPUTED_VALUE"""),127.52432)</f>
        <v>127.52432</v>
      </c>
    </row>
    <row r="2782">
      <c r="A2782" s="3">
        <f>IFERROR(__xludf.DUMMYFUNCTION("""COMPUTED_VALUE"""),43149.99861111111)</f>
        <v>43149.99861</v>
      </c>
      <c r="B2782" s="1">
        <f>IFERROR(__xludf.DUMMYFUNCTION("""COMPUTED_VALUE"""),127.497216)</f>
        <v>127.497216</v>
      </c>
    </row>
    <row r="2783">
      <c r="A2783" s="3">
        <f>IFERROR(__xludf.DUMMYFUNCTION("""COMPUTED_VALUE"""),43150.99861111111)</f>
        <v>43150.99861</v>
      </c>
      <c r="B2783" s="1">
        <f>IFERROR(__xludf.DUMMYFUNCTION("""COMPUTED_VALUE"""),126.987426)</f>
        <v>126.987426</v>
      </c>
    </row>
    <row r="2784">
      <c r="A2784" s="3">
        <f>IFERROR(__xludf.DUMMYFUNCTION("""COMPUTED_VALUE"""),43151.99861111111)</f>
        <v>43151.99861</v>
      </c>
      <c r="B2784" s="1">
        <f>IFERROR(__xludf.DUMMYFUNCTION("""COMPUTED_VALUE"""),126.69048)</f>
        <v>126.69048</v>
      </c>
    </row>
    <row r="2785">
      <c r="A2785" s="3">
        <f>IFERROR(__xludf.DUMMYFUNCTION("""COMPUTED_VALUE"""),43152.99861111111)</f>
        <v>43152.99861</v>
      </c>
      <c r="B2785" s="1">
        <f>IFERROR(__xludf.DUMMYFUNCTION("""COMPUTED_VALUE"""),126.52354)</f>
        <v>126.52354</v>
      </c>
    </row>
    <row r="2786">
      <c r="A2786" s="3">
        <f>IFERROR(__xludf.DUMMYFUNCTION("""COMPUTED_VALUE"""),43153.99861111111)</f>
        <v>43153.99861</v>
      </c>
      <c r="B2786" s="1">
        <f>IFERROR(__xludf.DUMMYFUNCTION("""COMPUTED_VALUE"""),128.021036)</f>
        <v>128.021036</v>
      </c>
    </row>
    <row r="2787">
      <c r="A2787" s="3">
        <f>IFERROR(__xludf.DUMMYFUNCTION("""COMPUTED_VALUE"""),43154.99861111111)</f>
        <v>43154.99861</v>
      </c>
      <c r="B2787" s="1">
        <f>IFERROR(__xludf.DUMMYFUNCTION("""COMPUTED_VALUE"""),127.78272)</f>
        <v>127.78272</v>
      </c>
    </row>
    <row r="2788">
      <c r="A2788" s="3">
        <f>IFERROR(__xludf.DUMMYFUNCTION("""COMPUTED_VALUE"""),43155.99861111111)</f>
        <v>43155.99861</v>
      </c>
      <c r="B2788" s="1">
        <f>IFERROR(__xludf.DUMMYFUNCTION("""COMPUTED_VALUE"""),127.6462)</f>
        <v>127.6462</v>
      </c>
    </row>
    <row r="2789">
      <c r="A2789" s="3">
        <f>IFERROR(__xludf.DUMMYFUNCTION("""COMPUTED_VALUE"""),43156.99861111111)</f>
        <v>43156.99861</v>
      </c>
      <c r="B2789" s="1">
        <f>IFERROR(__xludf.DUMMYFUNCTION("""COMPUTED_VALUE"""),127.595608)</f>
        <v>127.595608</v>
      </c>
    </row>
    <row r="2790">
      <c r="A2790" s="3">
        <f>IFERROR(__xludf.DUMMYFUNCTION("""COMPUTED_VALUE"""),43157.99861111111)</f>
        <v>43157.99861</v>
      </c>
      <c r="B2790" s="1">
        <f>IFERROR(__xludf.DUMMYFUNCTION("""COMPUTED_VALUE"""),127.486689)</f>
        <v>127.486689</v>
      </c>
    </row>
    <row r="2791">
      <c r="A2791" s="3">
        <f>IFERROR(__xludf.DUMMYFUNCTION("""COMPUTED_VALUE"""),43158.99861111111)</f>
        <v>43158.99861</v>
      </c>
      <c r="B2791" s="1">
        <f>IFERROR(__xludf.DUMMYFUNCTION("""COMPUTED_VALUE"""),127.42267)</f>
        <v>127.42267</v>
      </c>
    </row>
    <row r="2792">
      <c r="A2792" s="3">
        <f>IFERROR(__xludf.DUMMYFUNCTION("""COMPUTED_VALUE"""),43159.99861111111)</f>
        <v>43159.99861</v>
      </c>
      <c r="B2792" s="1">
        <f>IFERROR(__xludf.DUMMYFUNCTION("""COMPUTED_VALUE"""),128.948744)</f>
        <v>128.948744</v>
      </c>
    </row>
    <row r="2793">
      <c r="A2793" s="3">
        <f>IFERROR(__xludf.DUMMYFUNCTION("""COMPUTED_VALUE"""),43160.99861111111)</f>
        <v>43160.99861</v>
      </c>
      <c r="B2793" s="1">
        <f>IFERROR(__xludf.DUMMYFUNCTION("""COMPUTED_VALUE"""),129.412738)</f>
        <v>129.412738</v>
      </c>
    </row>
    <row r="2794">
      <c r="A2794" s="3">
        <f>IFERROR(__xludf.DUMMYFUNCTION("""COMPUTED_VALUE"""),43161.99861111111)</f>
        <v>43161.99861</v>
      </c>
      <c r="B2794" s="1">
        <f>IFERROR(__xludf.DUMMYFUNCTION("""COMPUTED_VALUE"""),130.08446)</f>
        <v>130.08446</v>
      </c>
    </row>
    <row r="2795">
      <c r="A2795" s="3">
        <f>IFERROR(__xludf.DUMMYFUNCTION("""COMPUTED_VALUE"""),43162.99861111111)</f>
        <v>43162.99861</v>
      </c>
      <c r="B2795" s="1">
        <f>IFERROR(__xludf.DUMMYFUNCTION("""COMPUTED_VALUE"""),130.08446)</f>
        <v>130.08446</v>
      </c>
    </row>
    <row r="2796">
      <c r="A2796" s="3">
        <f>IFERROR(__xludf.DUMMYFUNCTION("""COMPUTED_VALUE"""),43163.99861111111)</f>
        <v>43163.99861</v>
      </c>
      <c r="B2796" s="1">
        <f>IFERROR(__xludf.DUMMYFUNCTION("""COMPUTED_VALUE"""),130.235721)</f>
        <v>130.235721</v>
      </c>
    </row>
    <row r="2797">
      <c r="A2797" s="3">
        <f>IFERROR(__xludf.DUMMYFUNCTION("""COMPUTED_VALUE"""),43164.99861111111)</f>
        <v>43164.99861</v>
      </c>
      <c r="B2797" s="1">
        <f>IFERROR(__xludf.DUMMYFUNCTION("""COMPUTED_VALUE"""),129.237696)</f>
        <v>129.237696</v>
      </c>
    </row>
    <row r="2798">
      <c r="A2798" s="3">
        <f>IFERROR(__xludf.DUMMYFUNCTION("""COMPUTED_VALUE"""),43165.99861111111)</f>
        <v>43165.99861</v>
      </c>
      <c r="B2798" s="1">
        <f>IFERROR(__xludf.DUMMYFUNCTION("""COMPUTED_VALUE"""),130.339007)</f>
        <v>130.339007</v>
      </c>
    </row>
    <row r="2799">
      <c r="A2799" s="3">
        <f>IFERROR(__xludf.DUMMYFUNCTION("""COMPUTED_VALUE"""),43166.99861111111)</f>
        <v>43166.99861</v>
      </c>
      <c r="B2799" s="1">
        <f>IFERROR(__xludf.DUMMYFUNCTION("""COMPUTED_VALUE"""),129.409175)</f>
        <v>129.409175</v>
      </c>
    </row>
    <row r="2800">
      <c r="A2800" s="3">
        <f>IFERROR(__xludf.DUMMYFUNCTION("""COMPUTED_VALUE"""),43167.99861111111)</f>
        <v>43167.99861</v>
      </c>
      <c r="B2800" s="1">
        <f>IFERROR(__xludf.DUMMYFUNCTION("""COMPUTED_VALUE"""),129.533256)</f>
        <v>129.533256</v>
      </c>
    </row>
    <row r="2801">
      <c r="A2801" s="3">
        <f>IFERROR(__xludf.DUMMYFUNCTION("""COMPUTED_VALUE"""),43168.99861111111)</f>
        <v>43168.99861</v>
      </c>
      <c r="B2801" s="1">
        <f>IFERROR(__xludf.DUMMYFUNCTION("""COMPUTED_VALUE"""),128.8872)</f>
        <v>128.8872</v>
      </c>
    </row>
    <row r="2802">
      <c r="A2802" s="3">
        <f>IFERROR(__xludf.DUMMYFUNCTION("""COMPUTED_VALUE"""),43169.99861111111)</f>
        <v>43169.99861</v>
      </c>
      <c r="B2802" s="1">
        <f>IFERROR(__xludf.DUMMYFUNCTION("""COMPUTED_VALUE"""),129.103416)</f>
        <v>129.103416</v>
      </c>
    </row>
    <row r="2803">
      <c r="A2803" s="3">
        <f>IFERROR(__xludf.DUMMYFUNCTION("""COMPUTED_VALUE"""),43170.99861111111)</f>
        <v>43170.99861</v>
      </c>
      <c r="B2803" s="1">
        <f>IFERROR(__xludf.DUMMYFUNCTION("""COMPUTED_VALUE"""),128.809516)</f>
        <v>128.809516</v>
      </c>
    </row>
    <row r="2804">
      <c r="A2804" s="3">
        <f>IFERROR(__xludf.DUMMYFUNCTION("""COMPUTED_VALUE"""),43171.99861111111)</f>
        <v>43171.99861</v>
      </c>
      <c r="B2804" s="1">
        <f>IFERROR(__xludf.DUMMYFUNCTION("""COMPUTED_VALUE"""),129.420795)</f>
        <v>129.420795</v>
      </c>
    </row>
    <row r="2805">
      <c r="A2805" s="3">
        <f>IFERROR(__xludf.DUMMYFUNCTION("""COMPUTED_VALUE"""),43172.99861111111)</f>
        <v>43172.99861</v>
      </c>
      <c r="B2805" s="1">
        <f>IFERROR(__xludf.DUMMYFUNCTION("""COMPUTED_VALUE"""),128.97738)</f>
        <v>128.97738</v>
      </c>
    </row>
    <row r="2806">
      <c r="A2806" s="3">
        <f>IFERROR(__xludf.DUMMYFUNCTION("""COMPUTED_VALUE"""),43173.99861111111)</f>
        <v>43173.99861</v>
      </c>
      <c r="B2806" s="1">
        <f>IFERROR(__xludf.DUMMYFUNCTION("""COMPUTED_VALUE"""),129.275775)</f>
        <v>129.275775</v>
      </c>
    </row>
    <row r="2807">
      <c r="A2807" s="3">
        <f>IFERROR(__xludf.DUMMYFUNCTION("""COMPUTED_VALUE"""),43174.99861111111)</f>
        <v>43174.99861</v>
      </c>
      <c r="B2807" s="1">
        <f>IFERROR(__xludf.DUMMYFUNCTION("""COMPUTED_VALUE"""),129.380232)</f>
        <v>129.380232</v>
      </c>
    </row>
    <row r="2808">
      <c r="A2808" s="3">
        <f>IFERROR(__xludf.DUMMYFUNCTION("""COMPUTED_VALUE"""),43175.99861111111)</f>
        <v>43175.99861</v>
      </c>
      <c r="B2808" s="1">
        <f>IFERROR(__xludf.DUMMYFUNCTION("""COMPUTED_VALUE"""),129.60592)</f>
        <v>129.60592</v>
      </c>
    </row>
    <row r="2809">
      <c r="A2809" s="3">
        <f>IFERROR(__xludf.DUMMYFUNCTION("""COMPUTED_VALUE"""),43176.99861111111)</f>
        <v>43176.99861</v>
      </c>
      <c r="B2809" s="1">
        <f>IFERROR(__xludf.DUMMYFUNCTION("""COMPUTED_VALUE"""),129.7110645)</f>
        <v>129.7110645</v>
      </c>
    </row>
    <row r="2810">
      <c r="A2810" s="3">
        <f>IFERROR(__xludf.DUMMYFUNCTION("""COMPUTED_VALUE"""),43177.99861111111)</f>
        <v>43177.99861</v>
      </c>
      <c r="B2810" s="1">
        <f>IFERROR(__xludf.DUMMYFUNCTION("""COMPUTED_VALUE"""),129.739876)</f>
        <v>129.739876</v>
      </c>
    </row>
    <row r="2811">
      <c r="A2811" s="3">
        <f>IFERROR(__xludf.DUMMYFUNCTION("""COMPUTED_VALUE"""),43178.99861111111)</f>
        <v>43178.99861</v>
      </c>
      <c r="B2811" s="1">
        <f>IFERROR(__xludf.DUMMYFUNCTION("""COMPUTED_VALUE"""),129.901843)</f>
        <v>129.901843</v>
      </c>
    </row>
    <row r="2812">
      <c r="A2812" s="3">
        <f>IFERROR(__xludf.DUMMYFUNCTION("""COMPUTED_VALUE"""),43179.99861111111)</f>
        <v>43179.99861</v>
      </c>
      <c r="B2812" s="1">
        <f>IFERROR(__xludf.DUMMYFUNCTION("""COMPUTED_VALUE"""),129.04677)</f>
        <v>129.04677</v>
      </c>
    </row>
    <row r="2813">
      <c r="A2813" s="3">
        <f>IFERROR(__xludf.DUMMYFUNCTION("""COMPUTED_VALUE"""),43180.99861111111)</f>
        <v>43180.99861</v>
      </c>
      <c r="B2813" s="1">
        <f>IFERROR(__xludf.DUMMYFUNCTION("""COMPUTED_VALUE"""),129.34779)</f>
        <v>129.34779</v>
      </c>
    </row>
    <row r="2814">
      <c r="A2814" s="3">
        <f>IFERROR(__xludf.DUMMYFUNCTION("""COMPUTED_VALUE"""),43181.99861111111)</f>
        <v>43181.99861</v>
      </c>
      <c r="B2814" s="1">
        <f>IFERROR(__xludf.DUMMYFUNCTION("""COMPUTED_VALUE"""),131.0151024)</f>
        <v>131.0151024</v>
      </c>
    </row>
    <row r="2815">
      <c r="A2815" s="3">
        <f>IFERROR(__xludf.DUMMYFUNCTION("""COMPUTED_VALUE"""),43182.99861111111)</f>
        <v>43182.99861</v>
      </c>
      <c r="B2815" s="1">
        <f>IFERROR(__xludf.DUMMYFUNCTION("""COMPUTED_VALUE"""),131.57035)</f>
        <v>131.57035</v>
      </c>
    </row>
    <row r="2816">
      <c r="A2816" s="3">
        <f>IFERROR(__xludf.DUMMYFUNCTION("""COMPUTED_VALUE"""),43183.99861111111)</f>
        <v>43183.99861</v>
      </c>
      <c r="B2816" s="1">
        <f>IFERROR(__xludf.DUMMYFUNCTION("""COMPUTED_VALUE"""),131.57035)</f>
        <v>131.57035</v>
      </c>
    </row>
    <row r="2817">
      <c r="A2817" s="3">
        <f>IFERROR(__xludf.DUMMYFUNCTION("""COMPUTED_VALUE"""),43184.99861111111)</f>
        <v>43184.99861</v>
      </c>
      <c r="B2817" s="1">
        <f>IFERROR(__xludf.DUMMYFUNCTION("""COMPUTED_VALUE"""),131.206908)</f>
        <v>131.206908</v>
      </c>
    </row>
    <row r="2818">
      <c r="A2818" s="3">
        <f>IFERROR(__xludf.DUMMYFUNCTION("""COMPUTED_VALUE"""),43185.99861111111)</f>
        <v>43185.99861</v>
      </c>
      <c r="B2818" s="1">
        <f>IFERROR(__xludf.DUMMYFUNCTION("""COMPUTED_VALUE"""),130.005486)</f>
        <v>130.005486</v>
      </c>
    </row>
    <row r="2819">
      <c r="A2819" s="3">
        <f>IFERROR(__xludf.DUMMYFUNCTION("""COMPUTED_VALUE"""),43186.99861111111)</f>
        <v>43186.99861</v>
      </c>
      <c r="B2819" s="1">
        <f>IFERROR(__xludf.DUMMYFUNCTION("""COMPUTED_VALUE"""),130.20024)</f>
        <v>130.20024</v>
      </c>
    </row>
    <row r="2820">
      <c r="A2820" s="3">
        <f>IFERROR(__xludf.DUMMYFUNCTION("""COMPUTED_VALUE"""),43187.99861111111)</f>
        <v>43187.99861</v>
      </c>
      <c r="B2820" s="1">
        <f>IFERROR(__xludf.DUMMYFUNCTION("""COMPUTED_VALUE"""),128.75616)</f>
        <v>128.75616</v>
      </c>
    </row>
    <row r="2821">
      <c r="A2821" s="3">
        <f>IFERROR(__xludf.DUMMYFUNCTION("""COMPUTED_VALUE"""),43188.99861111111)</f>
        <v>43188.99861</v>
      </c>
      <c r="B2821" s="1">
        <f>IFERROR(__xludf.DUMMYFUNCTION("""COMPUTED_VALUE"""),129.164473)</f>
        <v>129.164473</v>
      </c>
    </row>
    <row r="2822">
      <c r="A2822" s="3">
        <f>IFERROR(__xludf.DUMMYFUNCTION("""COMPUTED_VALUE"""),43189.99861111111)</f>
        <v>43189.99861</v>
      </c>
      <c r="B2822" s="1">
        <f>IFERROR(__xludf.DUMMYFUNCTION("""COMPUTED_VALUE"""),129.25576)</f>
        <v>129.25576</v>
      </c>
    </row>
    <row r="2823">
      <c r="A2823" s="3">
        <f>IFERROR(__xludf.DUMMYFUNCTION("""COMPUTED_VALUE"""),43190.99861111111)</f>
        <v>43190.99861</v>
      </c>
      <c r="B2823" s="1">
        <f>IFERROR(__xludf.DUMMYFUNCTION("""COMPUTED_VALUE"""),129.36868)</f>
        <v>129.36868</v>
      </c>
    </row>
    <row r="2824">
      <c r="A2824" s="3">
        <f>IFERROR(__xludf.DUMMYFUNCTION("""COMPUTED_VALUE"""),43191.99861111111)</f>
        <v>43191.99861</v>
      </c>
      <c r="B2824" s="1">
        <f>IFERROR(__xludf.DUMMYFUNCTION("""COMPUTED_VALUE"""),129.48804)</f>
        <v>129.48804</v>
      </c>
    </row>
    <row r="2825">
      <c r="A2825" s="3">
        <f>IFERROR(__xludf.DUMMYFUNCTION("""COMPUTED_VALUE"""),43192.99861111111)</f>
        <v>43192.99861</v>
      </c>
      <c r="B2825" s="1">
        <f>IFERROR(__xludf.DUMMYFUNCTION("""COMPUTED_VALUE"""),129.904852)</f>
        <v>129.904852</v>
      </c>
    </row>
    <row r="2826">
      <c r="A2826" s="3">
        <f>IFERROR(__xludf.DUMMYFUNCTION("""COMPUTED_VALUE"""),43193.99861111111)</f>
        <v>43193.99861</v>
      </c>
      <c r="B2826" s="1">
        <f>IFERROR(__xludf.DUMMYFUNCTION("""COMPUTED_VALUE"""),129.082954)</f>
        <v>129.082954</v>
      </c>
    </row>
    <row r="2827">
      <c r="A2827" s="3">
        <f>IFERROR(__xludf.DUMMYFUNCTION("""COMPUTED_VALUE"""),43194.99861111111)</f>
        <v>43194.99861</v>
      </c>
      <c r="B2827" s="1">
        <f>IFERROR(__xludf.DUMMYFUNCTION("""COMPUTED_VALUE"""),128.750613)</f>
        <v>128.750613</v>
      </c>
    </row>
    <row r="2828">
      <c r="A2828" s="3">
        <f>IFERROR(__xludf.DUMMYFUNCTION("""COMPUTED_VALUE"""),43195.99861111111)</f>
        <v>43195.99861</v>
      </c>
      <c r="B2828" s="1">
        <f>IFERROR(__xludf.DUMMYFUNCTION("""COMPUTED_VALUE"""),128.5184)</f>
        <v>128.5184</v>
      </c>
    </row>
    <row r="2829">
      <c r="A2829" s="3">
        <f>IFERROR(__xludf.DUMMYFUNCTION("""COMPUTED_VALUE"""),43196.99861111111)</f>
        <v>43196.99861</v>
      </c>
      <c r="B2829" s="1">
        <f>IFERROR(__xludf.DUMMYFUNCTION("""COMPUTED_VALUE"""),128.68405)</f>
        <v>128.68405</v>
      </c>
    </row>
    <row r="2830">
      <c r="A2830" s="3">
        <f>IFERROR(__xludf.DUMMYFUNCTION("""COMPUTED_VALUE"""),43197.99861111111)</f>
        <v>43197.99861</v>
      </c>
      <c r="B2830" s="1">
        <f>IFERROR(__xludf.DUMMYFUNCTION("""COMPUTED_VALUE"""),128.68405)</f>
        <v>128.68405</v>
      </c>
    </row>
    <row r="2831">
      <c r="A2831" s="3">
        <f>IFERROR(__xludf.DUMMYFUNCTION("""COMPUTED_VALUE"""),43198.99861111111)</f>
        <v>43198.99861</v>
      </c>
      <c r="B2831" s="1">
        <f>IFERROR(__xludf.DUMMYFUNCTION("""COMPUTED_VALUE"""),128.6482662)</f>
        <v>128.6482662</v>
      </c>
    </row>
    <row r="2832">
      <c r="A2832" s="3">
        <f>IFERROR(__xludf.DUMMYFUNCTION("""COMPUTED_VALUE"""),43199.99861111111)</f>
        <v>43199.99861</v>
      </c>
      <c r="B2832" s="1">
        <f>IFERROR(__xludf.DUMMYFUNCTION("""COMPUTED_VALUE"""),128.951088)</f>
        <v>128.951088</v>
      </c>
    </row>
    <row r="2833">
      <c r="A2833" s="3">
        <f>IFERROR(__xludf.DUMMYFUNCTION("""COMPUTED_VALUE"""),43200.99861111111)</f>
        <v>43200.99861</v>
      </c>
      <c r="B2833" s="1">
        <f>IFERROR(__xludf.DUMMYFUNCTION("""COMPUTED_VALUE"""),128.2687614)</f>
        <v>128.2687614</v>
      </c>
    </row>
    <row r="2834">
      <c r="A2834" s="3">
        <f>IFERROR(__xludf.DUMMYFUNCTION("""COMPUTED_VALUE"""),43201.99861111111)</f>
        <v>43201.99861</v>
      </c>
      <c r="B2834" s="1">
        <f>IFERROR(__xludf.DUMMYFUNCTION("""COMPUTED_VALUE"""),128.7245079)</f>
        <v>128.7245079</v>
      </c>
    </row>
    <row r="2835">
      <c r="A2835" s="3">
        <f>IFERROR(__xludf.DUMMYFUNCTION("""COMPUTED_VALUE"""),43202.99861111111)</f>
        <v>43202.99861</v>
      </c>
      <c r="B2835" s="1">
        <f>IFERROR(__xludf.DUMMYFUNCTION("""COMPUTED_VALUE"""),128.363508)</f>
        <v>128.363508</v>
      </c>
    </row>
    <row r="2836">
      <c r="A2836" s="3">
        <f>IFERROR(__xludf.DUMMYFUNCTION("""COMPUTED_VALUE"""),43203.99861111111)</f>
        <v>43203.99861</v>
      </c>
      <c r="B2836" s="1">
        <f>IFERROR(__xludf.DUMMYFUNCTION("""COMPUTED_VALUE"""),128.32708)</f>
        <v>128.32708</v>
      </c>
    </row>
    <row r="2837">
      <c r="A2837" s="3">
        <f>IFERROR(__xludf.DUMMYFUNCTION("""COMPUTED_VALUE"""),43204.99861111111)</f>
        <v>43204.99861</v>
      </c>
      <c r="B2837" s="1">
        <f>IFERROR(__xludf.DUMMYFUNCTION("""COMPUTED_VALUE"""),128.0219432)</f>
        <v>128.0219432</v>
      </c>
    </row>
    <row r="2838">
      <c r="A2838" s="3">
        <f>IFERROR(__xludf.DUMMYFUNCTION("""COMPUTED_VALUE"""),43205.99861111111)</f>
        <v>43205.99861</v>
      </c>
      <c r="B2838" s="1">
        <f>IFERROR(__xludf.DUMMYFUNCTION("""COMPUTED_VALUE"""),127.7292597)</f>
        <v>127.7292597</v>
      </c>
    </row>
    <row r="2839">
      <c r="A2839" s="3">
        <f>IFERROR(__xludf.DUMMYFUNCTION("""COMPUTED_VALUE"""),43206.99861111111)</f>
        <v>43206.99861</v>
      </c>
      <c r="B2839" s="1">
        <f>IFERROR(__xludf.DUMMYFUNCTION("""COMPUTED_VALUE"""),128.560674)</f>
        <v>128.560674</v>
      </c>
    </row>
    <row r="2840">
      <c r="A2840" s="3">
        <f>IFERROR(__xludf.DUMMYFUNCTION("""COMPUTED_VALUE"""),43207.99861111111)</f>
        <v>43207.99861</v>
      </c>
      <c r="B2840" s="1">
        <f>IFERROR(__xludf.DUMMYFUNCTION("""COMPUTED_VALUE"""),128.49038)</f>
        <v>128.49038</v>
      </c>
    </row>
    <row r="2841">
      <c r="A2841" s="3">
        <f>IFERROR(__xludf.DUMMYFUNCTION("""COMPUTED_VALUE"""),43208.99861111111)</f>
        <v>43208.99861</v>
      </c>
      <c r="B2841" s="1">
        <f>IFERROR(__xludf.DUMMYFUNCTION("""COMPUTED_VALUE"""),128.244466)</f>
        <v>128.244466</v>
      </c>
    </row>
    <row r="2842">
      <c r="A2842" s="3">
        <f>IFERROR(__xludf.DUMMYFUNCTION("""COMPUTED_VALUE"""),43209.99861111111)</f>
        <v>43209.99861</v>
      </c>
      <c r="B2842" s="1">
        <f>IFERROR(__xludf.DUMMYFUNCTION("""COMPUTED_VALUE"""),128.43246)</f>
        <v>128.43246</v>
      </c>
    </row>
    <row r="2843">
      <c r="A2843" s="3">
        <f>IFERROR(__xludf.DUMMYFUNCTION("""COMPUTED_VALUE"""),43210.99861111111)</f>
        <v>43210.99861</v>
      </c>
      <c r="B2843" s="1">
        <f>IFERROR(__xludf.DUMMYFUNCTION("""COMPUTED_VALUE"""),128.60147)</f>
        <v>128.60147</v>
      </c>
    </row>
    <row r="2844">
      <c r="A2844" s="3">
        <f>IFERROR(__xludf.DUMMYFUNCTION("""COMPUTED_VALUE"""),43211.99861111111)</f>
        <v>43211.99861</v>
      </c>
      <c r="B2844" s="1">
        <f>IFERROR(__xludf.DUMMYFUNCTION("""COMPUTED_VALUE"""),128.6703089)</f>
        <v>128.6703089</v>
      </c>
    </row>
    <row r="2845">
      <c r="A2845" s="3">
        <f>IFERROR(__xludf.DUMMYFUNCTION("""COMPUTED_VALUE"""),43212.99861111111)</f>
        <v>43212.99861</v>
      </c>
      <c r="B2845" s="1">
        <f>IFERROR(__xludf.DUMMYFUNCTION("""COMPUTED_VALUE"""),128.8367805)</f>
        <v>128.8367805</v>
      </c>
    </row>
    <row r="2846">
      <c r="A2846" s="3">
        <f>IFERROR(__xludf.DUMMYFUNCTION("""COMPUTED_VALUE"""),43213.99861111111)</f>
        <v>43213.99861</v>
      </c>
      <c r="B2846" s="1">
        <f>IFERROR(__xludf.DUMMYFUNCTION("""COMPUTED_VALUE"""),128.329512)</f>
        <v>128.329512</v>
      </c>
    </row>
    <row r="2847">
      <c r="A2847" s="3">
        <f>IFERROR(__xludf.DUMMYFUNCTION("""COMPUTED_VALUE"""),43214.99861111111)</f>
        <v>43214.99861</v>
      </c>
      <c r="B2847" s="1">
        <f>IFERROR(__xludf.DUMMYFUNCTION("""COMPUTED_VALUE"""),127.455936)</f>
        <v>127.455936</v>
      </c>
    </row>
    <row r="2848">
      <c r="A2848" s="3">
        <f>IFERROR(__xludf.DUMMYFUNCTION("""COMPUTED_VALUE"""),43215.99861111111)</f>
        <v>43215.99861</v>
      </c>
      <c r="B2848" s="1">
        <f>IFERROR(__xludf.DUMMYFUNCTION("""COMPUTED_VALUE"""),127.2488899)</f>
        <v>127.2488899</v>
      </c>
    </row>
    <row r="2849">
      <c r="A2849" s="3">
        <f>IFERROR(__xludf.DUMMYFUNCTION("""COMPUTED_VALUE"""),43216.99861111111)</f>
        <v>43216.99861</v>
      </c>
      <c r="B2849" s="1">
        <f>IFERROR(__xludf.DUMMYFUNCTION("""COMPUTED_VALUE"""),126.965092)</f>
        <v>126.965092</v>
      </c>
    </row>
    <row r="2850">
      <c r="A2850" s="3">
        <f>IFERROR(__xludf.DUMMYFUNCTION("""COMPUTED_VALUE"""),43217.99861111111)</f>
        <v>43217.99861</v>
      </c>
      <c r="B2850" s="1">
        <f>IFERROR(__xludf.DUMMYFUNCTION("""COMPUTED_VALUE"""),126.89446)</f>
        <v>126.89446</v>
      </c>
    </row>
    <row r="2851">
      <c r="A2851" s="3">
        <f>IFERROR(__xludf.DUMMYFUNCTION("""COMPUTED_VALUE"""),43218.99861111111)</f>
        <v>43218.99861</v>
      </c>
      <c r="B2851" s="1">
        <f>IFERROR(__xludf.DUMMYFUNCTION("""COMPUTED_VALUE"""),127.0082597)</f>
        <v>127.0082597</v>
      </c>
    </row>
    <row r="2852">
      <c r="A2852" s="3">
        <f>IFERROR(__xludf.DUMMYFUNCTION("""COMPUTED_VALUE"""),43219.99861111111)</f>
        <v>43219.99861</v>
      </c>
      <c r="B2852" s="1">
        <f>IFERROR(__xludf.DUMMYFUNCTION("""COMPUTED_VALUE"""),127.1879)</f>
        <v>127.1879</v>
      </c>
    </row>
    <row r="2853">
      <c r="A2853" s="3">
        <f>IFERROR(__xludf.DUMMYFUNCTION("""COMPUTED_VALUE"""),43220.99861111111)</f>
        <v>43220.99861</v>
      </c>
      <c r="B2853" s="1">
        <f>IFERROR(__xludf.DUMMYFUNCTION("""COMPUTED_VALUE"""),127.152447)</f>
        <v>127.152447</v>
      </c>
    </row>
    <row r="2854">
      <c r="A2854" s="3">
        <f>IFERROR(__xludf.DUMMYFUNCTION("""COMPUTED_VALUE"""),43221.99861111111)</f>
        <v>43221.99861</v>
      </c>
      <c r="B2854" s="1">
        <f>IFERROR(__xludf.DUMMYFUNCTION("""COMPUTED_VALUE"""),127.23893)</f>
        <v>127.23893</v>
      </c>
    </row>
    <row r="2855">
      <c r="A2855" s="3">
        <f>IFERROR(__xludf.DUMMYFUNCTION("""COMPUTED_VALUE"""),43222.99861111111)</f>
        <v>43222.99861</v>
      </c>
      <c r="B2855" s="1">
        <f>IFERROR(__xludf.DUMMYFUNCTION("""COMPUTED_VALUE"""),127.4769392)</f>
        <v>127.4769392</v>
      </c>
    </row>
    <row r="2856">
      <c r="A2856" s="3">
        <f>IFERROR(__xludf.DUMMYFUNCTION("""COMPUTED_VALUE"""),43223.99861111111)</f>
        <v>43223.99861</v>
      </c>
      <c r="B2856" s="1">
        <f>IFERROR(__xludf.DUMMYFUNCTION("""COMPUTED_VALUE"""),127.663684)</f>
        <v>127.663684</v>
      </c>
    </row>
    <row r="2857">
      <c r="A2857" s="3">
        <f>IFERROR(__xludf.DUMMYFUNCTION("""COMPUTED_VALUE"""),43224.99861111111)</f>
        <v>43224.99861</v>
      </c>
      <c r="B2857" s="1">
        <f>IFERROR(__xludf.DUMMYFUNCTION("""COMPUTED_VALUE"""),127.592388)</f>
        <v>127.592388</v>
      </c>
    </row>
    <row r="2858">
      <c r="A2858" s="3">
        <f>IFERROR(__xludf.DUMMYFUNCTION("""COMPUTED_VALUE"""),43225.99861111111)</f>
        <v>43225.99861</v>
      </c>
      <c r="B2858" s="1">
        <f>IFERROR(__xludf.DUMMYFUNCTION("""COMPUTED_VALUE"""),127.5765412)</f>
        <v>127.5765412</v>
      </c>
    </row>
    <row r="2859">
      <c r="A2859" s="3">
        <f>IFERROR(__xludf.DUMMYFUNCTION("""COMPUTED_VALUE"""),43226.99861111111)</f>
        <v>43226.99861</v>
      </c>
      <c r="B2859" s="1">
        <f>IFERROR(__xludf.DUMMYFUNCTION("""COMPUTED_VALUE"""),127.62628)</f>
        <v>127.62628</v>
      </c>
    </row>
    <row r="2860">
      <c r="A2860" s="3">
        <f>IFERROR(__xludf.DUMMYFUNCTION("""COMPUTED_VALUE"""),43227.99861111111)</f>
        <v>43227.99861</v>
      </c>
      <c r="B2860" s="1">
        <f>IFERROR(__xludf.DUMMYFUNCTION("""COMPUTED_VALUE"""),130.9420245)</f>
        <v>130.9420245</v>
      </c>
    </row>
    <row r="2861">
      <c r="A2861" s="3">
        <f>IFERROR(__xludf.DUMMYFUNCTION("""COMPUTED_VALUE"""),43228.99861111111)</f>
        <v>43228.99861</v>
      </c>
      <c r="B2861" s="1">
        <f>IFERROR(__xludf.DUMMYFUNCTION("""COMPUTED_VALUE"""),130.801797)</f>
        <v>130.801797</v>
      </c>
    </row>
    <row r="2862">
      <c r="A2862" s="3">
        <f>IFERROR(__xludf.DUMMYFUNCTION("""COMPUTED_VALUE"""),43229.99861111111)</f>
        <v>43229.99861</v>
      </c>
      <c r="B2862" s="1">
        <f>IFERROR(__xludf.DUMMYFUNCTION("""COMPUTED_VALUE"""),128.0994825)</f>
        <v>128.0994825</v>
      </c>
    </row>
    <row r="2863">
      <c r="A2863" s="3">
        <f>IFERROR(__xludf.DUMMYFUNCTION("""COMPUTED_VALUE"""),43230.99861111111)</f>
        <v>43230.99861</v>
      </c>
      <c r="B2863" s="1">
        <f>IFERROR(__xludf.DUMMYFUNCTION("""COMPUTED_VALUE"""),128.5723353)</f>
        <v>128.5723353</v>
      </c>
    </row>
    <row r="2864">
      <c r="A2864" s="3">
        <f>IFERROR(__xludf.DUMMYFUNCTION("""COMPUTED_VALUE"""),43231.99861111111)</f>
        <v>43231.99861</v>
      </c>
      <c r="B2864" s="1">
        <f>IFERROR(__xludf.DUMMYFUNCTION("""COMPUTED_VALUE"""),127.4116)</f>
        <v>127.4116</v>
      </c>
    </row>
    <row r="2865">
      <c r="A2865" s="3">
        <f>IFERROR(__xludf.DUMMYFUNCTION("""COMPUTED_VALUE"""),43232.99861111111)</f>
        <v>43232.99861</v>
      </c>
      <c r="B2865" s="1">
        <f>IFERROR(__xludf.DUMMYFUNCTION("""COMPUTED_VALUE"""),127.43902)</f>
        <v>127.43902</v>
      </c>
    </row>
    <row r="2866">
      <c r="A2866" s="3">
        <f>IFERROR(__xludf.DUMMYFUNCTION("""COMPUTED_VALUE"""),43233.99861111111)</f>
        <v>43233.99861</v>
      </c>
      <c r="B2866" s="1">
        <f>IFERROR(__xludf.DUMMYFUNCTION("""COMPUTED_VALUE"""),127.494792)</f>
        <v>127.494792</v>
      </c>
    </row>
    <row r="2867">
      <c r="A2867" s="3">
        <f>IFERROR(__xludf.DUMMYFUNCTION("""COMPUTED_VALUE"""),43234.99861111111)</f>
        <v>43234.99861</v>
      </c>
      <c r="B2867" s="1">
        <f>IFERROR(__xludf.DUMMYFUNCTION("""COMPUTED_VALUE"""),127.20293)</f>
        <v>127.20293</v>
      </c>
    </row>
    <row r="2868">
      <c r="A2868" s="3">
        <f>IFERROR(__xludf.DUMMYFUNCTION("""COMPUTED_VALUE"""),43235.99861111111)</f>
        <v>43235.99861</v>
      </c>
      <c r="B2868" s="1">
        <f>IFERROR(__xludf.DUMMYFUNCTION("""COMPUTED_VALUE"""),127.18195)</f>
        <v>127.18195</v>
      </c>
    </row>
    <row r="2869">
      <c r="A2869" s="3">
        <f>IFERROR(__xludf.DUMMYFUNCTION("""COMPUTED_VALUE"""),43236.99861111111)</f>
        <v>43236.99861</v>
      </c>
      <c r="B2869" s="1">
        <f>IFERROR(__xludf.DUMMYFUNCTION("""COMPUTED_VALUE"""),128.1776028)</f>
        <v>128.1776028</v>
      </c>
    </row>
    <row r="2870">
      <c r="A2870" s="3">
        <f>IFERROR(__xludf.DUMMYFUNCTION("""COMPUTED_VALUE"""),43237.99861111111)</f>
        <v>43237.99861</v>
      </c>
      <c r="B2870" s="1">
        <f>IFERROR(__xludf.DUMMYFUNCTION("""COMPUTED_VALUE"""),127.66457)</f>
        <v>127.66457</v>
      </c>
    </row>
    <row r="2871">
      <c r="A2871" s="3">
        <f>IFERROR(__xludf.DUMMYFUNCTION("""COMPUTED_VALUE"""),43238.99861111111)</f>
        <v>43238.99861</v>
      </c>
      <c r="B2871" s="1">
        <f>IFERROR(__xludf.DUMMYFUNCTION("""COMPUTED_VALUE"""),127.48868)</f>
        <v>127.48868</v>
      </c>
    </row>
    <row r="2872">
      <c r="A2872" s="3">
        <f>IFERROR(__xludf.DUMMYFUNCTION("""COMPUTED_VALUE"""),43239.99861111111)</f>
        <v>43239.99861</v>
      </c>
      <c r="B2872" s="1">
        <f>IFERROR(__xludf.DUMMYFUNCTION("""COMPUTED_VALUE"""),127.63002)</f>
        <v>127.63002</v>
      </c>
    </row>
    <row r="2873">
      <c r="A2873" s="3">
        <f>IFERROR(__xludf.DUMMYFUNCTION("""COMPUTED_VALUE"""),43240.99861111111)</f>
        <v>43240.99861</v>
      </c>
      <c r="B2873" s="1">
        <f>IFERROR(__xludf.DUMMYFUNCTION("""COMPUTED_VALUE"""),127.707771)</f>
        <v>127.707771</v>
      </c>
    </row>
    <row r="2874">
      <c r="A2874" s="3">
        <f>IFERROR(__xludf.DUMMYFUNCTION("""COMPUTED_VALUE"""),43241.99861111111)</f>
        <v>43241.99861</v>
      </c>
      <c r="B2874" s="1">
        <f>IFERROR(__xludf.DUMMYFUNCTION("""COMPUTED_VALUE"""),128.1222)</f>
        <v>128.1222</v>
      </c>
    </row>
    <row r="2875">
      <c r="A2875" s="3">
        <f>IFERROR(__xludf.DUMMYFUNCTION("""COMPUTED_VALUE"""),43242.99861111111)</f>
        <v>43242.99861</v>
      </c>
      <c r="B2875" s="1">
        <f>IFERROR(__xludf.DUMMYFUNCTION("""COMPUTED_VALUE"""),128.2048224)</f>
        <v>128.2048224</v>
      </c>
    </row>
    <row r="2876">
      <c r="A2876" s="3">
        <f>IFERROR(__xludf.DUMMYFUNCTION("""COMPUTED_VALUE"""),43243.99861111111)</f>
        <v>43243.99861</v>
      </c>
      <c r="B2876" s="1">
        <f>IFERROR(__xludf.DUMMYFUNCTION("""COMPUTED_VALUE"""),128.9449845)</f>
        <v>128.9449845</v>
      </c>
    </row>
    <row r="2877">
      <c r="A2877" s="3">
        <f>IFERROR(__xludf.DUMMYFUNCTION("""COMPUTED_VALUE"""),43244.99861111111)</f>
        <v>43244.99861</v>
      </c>
      <c r="B2877" s="1">
        <f>IFERROR(__xludf.DUMMYFUNCTION("""COMPUTED_VALUE"""),129.1936404)</f>
        <v>129.1936404</v>
      </c>
    </row>
    <row r="2878">
      <c r="A2878" s="3">
        <f>IFERROR(__xludf.DUMMYFUNCTION("""COMPUTED_VALUE"""),43245.99861111111)</f>
        <v>43245.99861</v>
      </c>
      <c r="B2878" s="1">
        <f>IFERROR(__xludf.DUMMYFUNCTION("""COMPUTED_VALUE"""),128.9654)</f>
        <v>128.9654</v>
      </c>
    </row>
    <row r="2879">
      <c r="A2879" s="3">
        <f>IFERROR(__xludf.DUMMYFUNCTION("""COMPUTED_VALUE"""),43246.99861111111)</f>
        <v>43246.99861</v>
      </c>
      <c r="B2879" s="1">
        <f>IFERROR(__xludf.DUMMYFUNCTION("""COMPUTED_VALUE"""),128.38044)</f>
        <v>128.38044</v>
      </c>
    </row>
    <row r="2880">
      <c r="A2880" s="3">
        <f>IFERROR(__xludf.DUMMYFUNCTION("""COMPUTED_VALUE"""),43247.99861111111)</f>
        <v>43247.99861</v>
      </c>
      <c r="B2880" s="1">
        <f>IFERROR(__xludf.DUMMYFUNCTION("""COMPUTED_VALUE"""),128.18019)</f>
        <v>128.18019</v>
      </c>
    </row>
    <row r="2881">
      <c r="A2881" s="3">
        <f>IFERROR(__xludf.DUMMYFUNCTION("""COMPUTED_VALUE"""),43248.99861111111)</f>
        <v>43248.99861</v>
      </c>
      <c r="B2881" s="1">
        <f>IFERROR(__xludf.DUMMYFUNCTION("""COMPUTED_VALUE"""),128.066811)</f>
        <v>128.066811</v>
      </c>
    </row>
    <row r="2882">
      <c r="A2882" s="3">
        <f>IFERROR(__xludf.DUMMYFUNCTION("""COMPUTED_VALUE"""),43249.99861111111)</f>
        <v>43249.99861</v>
      </c>
      <c r="B2882" s="1">
        <f>IFERROR(__xludf.DUMMYFUNCTION("""COMPUTED_VALUE"""),129.4091076)</f>
        <v>129.4091076</v>
      </c>
    </row>
    <row r="2883">
      <c r="A2883" s="3">
        <f>IFERROR(__xludf.DUMMYFUNCTION("""COMPUTED_VALUE"""),43250.99861111111)</f>
        <v>43250.99861</v>
      </c>
      <c r="B2883" s="1">
        <f>IFERROR(__xludf.DUMMYFUNCTION("""COMPUTED_VALUE"""),128.532492)</f>
        <v>128.532492</v>
      </c>
    </row>
    <row r="2884">
      <c r="A2884" s="3">
        <f>IFERROR(__xludf.DUMMYFUNCTION("""COMPUTED_VALUE"""),43251.99861111111)</f>
        <v>43251.99861</v>
      </c>
      <c r="B2884" s="1">
        <f>IFERROR(__xludf.DUMMYFUNCTION("""COMPUTED_VALUE"""),127.61272)</f>
        <v>127.61272</v>
      </c>
    </row>
    <row r="2885">
      <c r="A2885" s="3">
        <f>IFERROR(__xludf.DUMMYFUNCTION("""COMPUTED_VALUE"""),43252.99861111111)</f>
        <v>43252.99861</v>
      </c>
      <c r="B2885" s="1">
        <f>IFERROR(__xludf.DUMMYFUNCTION("""COMPUTED_VALUE"""),126.19486)</f>
        <v>126.19486</v>
      </c>
    </row>
    <row r="2886">
      <c r="A2886" s="3">
        <f>IFERROR(__xludf.DUMMYFUNCTION("""COMPUTED_VALUE"""),43253.99861111111)</f>
        <v>43253.99861</v>
      </c>
      <c r="B2886" s="1">
        <f>IFERROR(__xludf.DUMMYFUNCTION("""COMPUTED_VALUE"""),126.2793125)</f>
        <v>126.2793125</v>
      </c>
    </row>
    <row r="2887">
      <c r="A2887" s="3">
        <f>IFERROR(__xludf.DUMMYFUNCTION("""COMPUTED_VALUE"""),43254.99861111111)</f>
        <v>43254.99861</v>
      </c>
      <c r="B2887" s="1">
        <f>IFERROR(__xludf.DUMMYFUNCTION("""COMPUTED_VALUE"""),127.128498)</f>
        <v>127.128498</v>
      </c>
    </row>
    <row r="2888">
      <c r="A2888" s="3">
        <f>IFERROR(__xludf.DUMMYFUNCTION("""COMPUTED_VALUE"""),43255.99861111111)</f>
        <v>43255.99861</v>
      </c>
      <c r="B2888" s="1">
        <f>IFERROR(__xludf.DUMMYFUNCTION("""COMPUTED_VALUE"""),126.01512)</f>
        <v>126.01512</v>
      </c>
    </row>
    <row r="2889">
      <c r="A2889" s="3">
        <f>IFERROR(__xludf.DUMMYFUNCTION("""COMPUTED_VALUE"""),43256.99861111111)</f>
        <v>43256.99861</v>
      </c>
      <c r="B2889" s="1">
        <f>IFERROR(__xludf.DUMMYFUNCTION("""COMPUTED_VALUE"""),126.20313)</f>
        <v>126.20313</v>
      </c>
    </row>
    <row r="2890">
      <c r="A2890" s="3">
        <f>IFERROR(__xludf.DUMMYFUNCTION("""COMPUTED_VALUE"""),43257.99861111111)</f>
        <v>43257.99861</v>
      </c>
      <c r="B2890" s="1">
        <f>IFERROR(__xludf.DUMMYFUNCTION("""COMPUTED_VALUE"""),125.476116)</f>
        <v>125.476116</v>
      </c>
    </row>
    <row r="2891">
      <c r="A2891" s="3">
        <f>IFERROR(__xludf.DUMMYFUNCTION("""COMPUTED_VALUE"""),43258.99861111111)</f>
        <v>43258.99861</v>
      </c>
      <c r="B2891" s="1">
        <f>IFERROR(__xludf.DUMMYFUNCTION("""COMPUTED_VALUE"""),126.333519)</f>
        <v>126.333519</v>
      </c>
    </row>
    <row r="2892">
      <c r="A2892" s="3">
        <f>IFERROR(__xludf.DUMMYFUNCTION("""COMPUTED_VALUE"""),43259.99861111111)</f>
        <v>43259.99861</v>
      </c>
      <c r="B2892" s="1">
        <f>IFERROR(__xludf.DUMMYFUNCTION("""COMPUTED_VALUE"""),127.20829)</f>
        <v>127.20829</v>
      </c>
    </row>
    <row r="2893">
      <c r="A2893" s="3">
        <f>IFERROR(__xludf.DUMMYFUNCTION("""COMPUTED_VALUE"""),43260.99861111111)</f>
        <v>43260.99861</v>
      </c>
      <c r="B2893" s="1">
        <f>IFERROR(__xludf.DUMMYFUNCTION("""COMPUTED_VALUE"""),127.33611)</f>
        <v>127.33611</v>
      </c>
    </row>
    <row r="2894">
      <c r="A2894" s="3">
        <f>IFERROR(__xludf.DUMMYFUNCTION("""COMPUTED_VALUE"""),43261.99861111111)</f>
        <v>43261.99861</v>
      </c>
      <c r="B2894" s="1">
        <f>IFERROR(__xludf.DUMMYFUNCTION("""COMPUTED_VALUE"""),126.679776)</f>
        <v>126.679776</v>
      </c>
    </row>
    <row r="2895">
      <c r="A2895" s="3">
        <f>IFERROR(__xludf.DUMMYFUNCTION("""COMPUTED_VALUE"""),43262.99861111111)</f>
        <v>43262.99861</v>
      </c>
      <c r="B2895" s="1">
        <f>IFERROR(__xludf.DUMMYFUNCTION("""COMPUTED_VALUE"""),126.100611)</f>
        <v>126.100611</v>
      </c>
    </row>
    <row r="2896">
      <c r="A2896" s="3">
        <f>IFERROR(__xludf.DUMMYFUNCTION("""COMPUTED_VALUE"""),43263.99861111111)</f>
        <v>43263.99861</v>
      </c>
      <c r="B2896" s="1">
        <f>IFERROR(__xludf.DUMMYFUNCTION("""COMPUTED_VALUE"""),126.044919)</f>
        <v>126.044919</v>
      </c>
    </row>
    <row r="2897">
      <c r="A2897" s="3">
        <f>IFERROR(__xludf.DUMMYFUNCTION("""COMPUTED_VALUE"""),43264.99861111111)</f>
        <v>43264.99861</v>
      </c>
      <c r="B2897" s="1">
        <f>IFERROR(__xludf.DUMMYFUNCTION("""COMPUTED_VALUE"""),126.267687)</f>
        <v>126.267687</v>
      </c>
    </row>
    <row r="2898">
      <c r="A2898" s="3">
        <f>IFERROR(__xludf.DUMMYFUNCTION("""COMPUTED_VALUE"""),43265.99861111111)</f>
        <v>43265.99861</v>
      </c>
      <c r="B2898" s="1">
        <f>IFERROR(__xludf.DUMMYFUNCTION("""COMPUTED_VALUE"""),127.6009704)</f>
        <v>127.6009704</v>
      </c>
    </row>
    <row r="2899">
      <c r="A2899" s="3">
        <f>IFERROR(__xludf.DUMMYFUNCTION("""COMPUTED_VALUE"""),43266.99861111111)</f>
        <v>43266.99861</v>
      </c>
      <c r="B2899" s="1">
        <f>IFERROR(__xludf.DUMMYFUNCTION("""COMPUTED_VALUE"""),127.190992)</f>
        <v>127.190992</v>
      </c>
    </row>
    <row r="2900">
      <c r="A2900" s="3">
        <f>IFERROR(__xludf.DUMMYFUNCTION("""COMPUTED_VALUE"""),43267.99861111111)</f>
        <v>43267.99861</v>
      </c>
      <c r="B2900" s="1">
        <f>IFERROR(__xludf.DUMMYFUNCTION("""COMPUTED_VALUE"""),125.730128)</f>
        <v>125.730128</v>
      </c>
    </row>
    <row r="2901">
      <c r="A2901" s="3">
        <f>IFERROR(__xludf.DUMMYFUNCTION("""COMPUTED_VALUE"""),43268.99861111111)</f>
        <v>43268.99861</v>
      </c>
      <c r="B2901" s="1">
        <f>IFERROR(__xludf.DUMMYFUNCTION("""COMPUTED_VALUE"""),125.822151)</f>
        <v>125.822151</v>
      </c>
    </row>
    <row r="2902">
      <c r="A2902" s="3">
        <f>IFERROR(__xludf.DUMMYFUNCTION("""COMPUTED_VALUE"""),43269.99861111111)</f>
        <v>43269.99861</v>
      </c>
      <c r="B2902" s="1">
        <f>IFERROR(__xludf.DUMMYFUNCTION("""COMPUTED_VALUE"""),126.379071)</f>
        <v>126.379071</v>
      </c>
    </row>
    <row r="2903">
      <c r="A2903" s="3">
        <f>IFERROR(__xludf.DUMMYFUNCTION("""COMPUTED_VALUE"""),43270.99861111111)</f>
        <v>43270.99861</v>
      </c>
      <c r="B2903" s="1">
        <f>IFERROR(__xludf.DUMMYFUNCTION("""COMPUTED_VALUE"""),126.448686)</f>
        <v>126.448686</v>
      </c>
    </row>
    <row r="2904">
      <c r="A2904" s="3">
        <f>IFERROR(__xludf.DUMMYFUNCTION("""COMPUTED_VALUE"""),43271.99861111111)</f>
        <v>43271.99861</v>
      </c>
      <c r="B2904" s="1">
        <f>IFERROR(__xludf.DUMMYFUNCTION("""COMPUTED_VALUE"""),126.14238)</f>
        <v>126.14238</v>
      </c>
    </row>
    <row r="2905">
      <c r="A2905" s="3">
        <f>IFERROR(__xludf.DUMMYFUNCTION("""COMPUTED_VALUE"""),43272.99861111111)</f>
        <v>43272.99861</v>
      </c>
      <c r="B2905" s="1">
        <f>IFERROR(__xludf.DUMMYFUNCTION("""COMPUTED_VALUE"""),128.102184)</f>
        <v>128.102184</v>
      </c>
    </row>
    <row r="2906">
      <c r="A2906" s="3">
        <f>IFERROR(__xludf.DUMMYFUNCTION("""COMPUTED_VALUE"""),43273.99861111111)</f>
        <v>43273.99861</v>
      </c>
      <c r="B2906" s="1">
        <f>IFERROR(__xludf.DUMMYFUNCTION("""COMPUTED_VALUE"""),128.058102)</f>
        <v>128.058102</v>
      </c>
    </row>
    <row r="2907">
      <c r="A2907" s="3">
        <f>IFERROR(__xludf.DUMMYFUNCTION("""COMPUTED_VALUE"""),43274.99861111111)</f>
        <v>43274.99861</v>
      </c>
      <c r="B2907" s="1">
        <f>IFERROR(__xludf.DUMMYFUNCTION("""COMPUTED_VALUE"""),127.8480321)</f>
        <v>127.8480321</v>
      </c>
    </row>
    <row r="2908">
      <c r="A2908" s="3">
        <f>IFERROR(__xludf.DUMMYFUNCTION("""COMPUTED_VALUE"""),43275.99861111111)</f>
        <v>43275.99861</v>
      </c>
      <c r="B2908" s="1">
        <f>IFERROR(__xludf.DUMMYFUNCTION("""COMPUTED_VALUE"""),127.9840839)</f>
        <v>127.9840839</v>
      </c>
    </row>
    <row r="2909">
      <c r="A2909" s="3">
        <f>IFERROR(__xludf.DUMMYFUNCTION("""COMPUTED_VALUE"""),43276.99861111111)</f>
        <v>43276.99861</v>
      </c>
      <c r="B2909" s="1">
        <f>IFERROR(__xludf.DUMMYFUNCTION("""COMPUTED_VALUE"""),129.015612)</f>
        <v>129.015612</v>
      </c>
    </row>
    <row r="2910">
      <c r="A2910" s="3">
        <f>IFERROR(__xludf.DUMMYFUNCTION("""COMPUTED_VALUE"""),43277.99861111111)</f>
        <v>43277.99861</v>
      </c>
      <c r="B2910" s="1">
        <f>IFERROR(__xludf.DUMMYFUNCTION("""COMPUTED_VALUE"""),128.841228)</f>
        <v>128.841228</v>
      </c>
    </row>
    <row r="2911">
      <c r="A2911" s="3">
        <f>IFERROR(__xludf.DUMMYFUNCTION("""COMPUTED_VALUE"""),43278.99861111111)</f>
        <v>43278.99861</v>
      </c>
      <c r="B2911" s="1">
        <f>IFERROR(__xludf.DUMMYFUNCTION("""COMPUTED_VALUE"""),129.11145)</f>
        <v>129.11145</v>
      </c>
    </row>
    <row r="2912">
      <c r="A2912" s="3">
        <f>IFERROR(__xludf.DUMMYFUNCTION("""COMPUTED_VALUE"""),43279.99861111111)</f>
        <v>43279.99861</v>
      </c>
      <c r="B2912" s="1">
        <f>IFERROR(__xludf.DUMMYFUNCTION("""COMPUTED_VALUE"""),129.8388)</f>
        <v>129.8388</v>
      </c>
    </row>
    <row r="2913">
      <c r="A2913" s="3">
        <f>IFERROR(__xludf.DUMMYFUNCTION("""COMPUTED_VALUE"""),43280.99861111111)</f>
        <v>43280.99861</v>
      </c>
      <c r="B2913" s="1">
        <f>IFERROR(__xludf.DUMMYFUNCTION("""COMPUTED_VALUE"""),128.88519)</f>
        <v>128.88519</v>
      </c>
    </row>
    <row r="2914">
      <c r="A2914" s="3">
        <f>IFERROR(__xludf.DUMMYFUNCTION("""COMPUTED_VALUE"""),43281.99861111111)</f>
        <v>43281.99861</v>
      </c>
      <c r="B2914" s="1">
        <f>IFERROR(__xludf.DUMMYFUNCTION("""COMPUTED_VALUE"""),128.88519)</f>
        <v>128.88519</v>
      </c>
    </row>
    <row r="2915">
      <c r="A2915" s="3">
        <f>IFERROR(__xludf.DUMMYFUNCTION("""COMPUTED_VALUE"""),43282.99861111111)</f>
        <v>43282.99861</v>
      </c>
      <c r="B2915" s="1">
        <f>IFERROR(__xludf.DUMMYFUNCTION("""COMPUTED_VALUE"""),129.28251)</f>
        <v>129.28251</v>
      </c>
    </row>
    <row r="2916">
      <c r="A2916" s="3">
        <f>IFERROR(__xludf.DUMMYFUNCTION("""COMPUTED_VALUE"""),43283.99861111111)</f>
        <v>43283.99861</v>
      </c>
      <c r="B2916" s="1">
        <f>IFERROR(__xludf.DUMMYFUNCTION("""COMPUTED_VALUE"""),129.366899)</f>
        <v>129.366899</v>
      </c>
    </row>
    <row r="2917">
      <c r="A2917" s="3">
        <f>IFERROR(__xludf.DUMMYFUNCTION("""COMPUTED_VALUE"""),43284.99861111111)</f>
        <v>43284.99861</v>
      </c>
      <c r="B2917" s="1">
        <f>IFERROR(__xludf.DUMMYFUNCTION("""COMPUTED_VALUE"""),129.9778974)</f>
        <v>129.9778974</v>
      </c>
    </row>
    <row r="2918">
      <c r="A2918" s="3">
        <f>IFERROR(__xludf.DUMMYFUNCTION("""COMPUTED_VALUE"""),43285.99861111111)</f>
        <v>43285.99861</v>
      </c>
      <c r="B2918" s="1">
        <f>IFERROR(__xludf.DUMMYFUNCTION("""COMPUTED_VALUE"""),130.2768)</f>
        <v>130.2768</v>
      </c>
    </row>
    <row r="2919">
      <c r="A2919" s="3">
        <f>IFERROR(__xludf.DUMMYFUNCTION("""COMPUTED_VALUE"""),43286.99861111111)</f>
        <v>43286.99861</v>
      </c>
      <c r="B2919" s="1">
        <f>IFERROR(__xludf.DUMMYFUNCTION("""COMPUTED_VALUE"""),129.9987308)</f>
        <v>129.9987308</v>
      </c>
    </row>
    <row r="2920">
      <c r="A2920" s="3">
        <f>IFERROR(__xludf.DUMMYFUNCTION("""COMPUTED_VALUE"""),43287.99861111111)</f>
        <v>43287.99861</v>
      </c>
      <c r="B2920" s="1">
        <f>IFERROR(__xludf.DUMMYFUNCTION("""COMPUTED_VALUE"""),129.74985)</f>
        <v>129.74985</v>
      </c>
    </row>
    <row r="2921">
      <c r="A2921" s="3">
        <f>IFERROR(__xludf.DUMMYFUNCTION("""COMPUTED_VALUE"""),43288.99861111111)</f>
        <v>43288.99861</v>
      </c>
      <c r="B2921" s="1">
        <f>IFERROR(__xludf.DUMMYFUNCTION("""COMPUTED_VALUE"""),129.7699218)</f>
        <v>129.7699218</v>
      </c>
    </row>
    <row r="2922">
      <c r="A2922" s="3">
        <f>IFERROR(__xludf.DUMMYFUNCTION("""COMPUTED_VALUE"""),43289.99861111111)</f>
        <v>43289.99861</v>
      </c>
      <c r="B2922" s="1">
        <f>IFERROR(__xludf.DUMMYFUNCTION("""COMPUTED_VALUE"""),129.5527464)</f>
        <v>129.5527464</v>
      </c>
    </row>
    <row r="2923">
      <c r="A2923" s="3">
        <f>IFERROR(__xludf.DUMMYFUNCTION("""COMPUTED_VALUE"""),43290.99861111111)</f>
        <v>43290.99861</v>
      </c>
      <c r="B2923" s="1">
        <f>IFERROR(__xludf.DUMMYFUNCTION("""COMPUTED_VALUE"""),128.956421)</f>
        <v>128.956421</v>
      </c>
    </row>
    <row r="2924">
      <c r="A2924" s="3">
        <f>IFERROR(__xludf.DUMMYFUNCTION("""COMPUTED_VALUE"""),43291.99861111111)</f>
        <v>43291.99861</v>
      </c>
      <c r="B2924" s="1">
        <f>IFERROR(__xludf.DUMMYFUNCTION("""COMPUTED_VALUE"""),129.6898125)</f>
        <v>129.6898125</v>
      </c>
    </row>
    <row r="2925">
      <c r="A2925" s="3">
        <f>IFERROR(__xludf.DUMMYFUNCTION("""COMPUTED_VALUE"""),43292.99861111111)</f>
        <v>43292.99861</v>
      </c>
      <c r="B2925" s="1">
        <f>IFERROR(__xludf.DUMMYFUNCTION("""COMPUTED_VALUE"""),128.381162)</f>
        <v>128.381162</v>
      </c>
    </row>
    <row r="2926">
      <c r="A2926" s="3">
        <f>IFERROR(__xludf.DUMMYFUNCTION("""COMPUTED_VALUE"""),43293.99861111111)</f>
        <v>43293.99861</v>
      </c>
      <c r="B2926" s="1">
        <f>IFERROR(__xludf.DUMMYFUNCTION("""COMPUTED_VALUE"""),127.65249)</f>
        <v>127.65249</v>
      </c>
    </row>
    <row r="2927">
      <c r="A2927" s="3">
        <f>IFERROR(__xludf.DUMMYFUNCTION("""COMPUTED_VALUE"""),43294.99861111111)</f>
        <v>43294.99861</v>
      </c>
      <c r="B2927" s="1">
        <f>IFERROR(__xludf.DUMMYFUNCTION("""COMPUTED_VALUE"""),127.8825355)</f>
        <v>127.8825355</v>
      </c>
    </row>
    <row r="2928">
      <c r="A2928" s="3">
        <f>IFERROR(__xludf.DUMMYFUNCTION("""COMPUTED_VALUE"""),43295.99861111111)</f>
        <v>43295.99861</v>
      </c>
      <c r="B2928" s="1">
        <f>IFERROR(__xludf.DUMMYFUNCTION("""COMPUTED_VALUE"""),127.8852048)</f>
        <v>127.8852048</v>
      </c>
    </row>
    <row r="2929">
      <c r="A2929" s="3">
        <f>IFERROR(__xludf.DUMMYFUNCTION("""COMPUTED_VALUE"""),43296.99861111111)</f>
        <v>43296.99861</v>
      </c>
      <c r="B2929" s="1">
        <f>IFERROR(__xludf.DUMMYFUNCTION("""COMPUTED_VALUE"""),127.847835)</f>
        <v>127.847835</v>
      </c>
    </row>
    <row r="2930">
      <c r="A2930" s="3">
        <f>IFERROR(__xludf.DUMMYFUNCTION("""COMPUTED_VALUE"""),43297.99861111111)</f>
        <v>43297.99861</v>
      </c>
      <c r="B2930" s="1">
        <f>IFERROR(__xludf.DUMMYFUNCTION("""COMPUTED_VALUE"""),127.8314017)</f>
        <v>127.8314017</v>
      </c>
    </row>
    <row r="2931">
      <c r="A2931" s="3">
        <f>IFERROR(__xludf.DUMMYFUNCTION("""COMPUTED_VALUE"""),43298.99861111111)</f>
        <v>43298.99861</v>
      </c>
      <c r="B2931" s="1">
        <f>IFERROR(__xludf.DUMMYFUNCTION("""COMPUTED_VALUE"""),127.2019452)</f>
        <v>127.2019452</v>
      </c>
    </row>
    <row r="2932">
      <c r="A2932" s="3">
        <f>IFERROR(__xludf.DUMMYFUNCTION("""COMPUTED_VALUE"""),43299.99861111111)</f>
        <v>43299.99861</v>
      </c>
      <c r="B2932" s="1">
        <f>IFERROR(__xludf.DUMMYFUNCTION("""COMPUTED_VALUE"""),128.005024)</f>
        <v>128.005024</v>
      </c>
    </row>
    <row r="2933">
      <c r="A2933" s="3">
        <f>IFERROR(__xludf.DUMMYFUNCTION("""COMPUTED_VALUE"""),43300.99861111111)</f>
        <v>43300.99861</v>
      </c>
      <c r="B2933" s="1">
        <f>IFERROR(__xludf.DUMMYFUNCTION("""COMPUTED_VALUE"""),128.721796)</f>
        <v>128.721796</v>
      </c>
    </row>
    <row r="2934">
      <c r="A2934" s="3">
        <f>IFERROR(__xludf.DUMMYFUNCTION("""COMPUTED_VALUE"""),43301.99861111111)</f>
        <v>43301.99861</v>
      </c>
      <c r="B2934" s="1">
        <f>IFERROR(__xludf.DUMMYFUNCTION("""COMPUTED_VALUE"""),130.0001825)</f>
        <v>130.0001825</v>
      </c>
    </row>
    <row r="2935">
      <c r="A2935" s="3">
        <f>IFERROR(__xludf.DUMMYFUNCTION("""COMPUTED_VALUE"""),43302.99861111111)</f>
        <v>43302.99861</v>
      </c>
      <c r="B2935" s="1">
        <f>IFERROR(__xludf.DUMMYFUNCTION("""COMPUTED_VALUE"""),130.0675041)</f>
        <v>130.0675041</v>
      </c>
    </row>
    <row r="2936">
      <c r="A2936" s="3">
        <f>IFERROR(__xludf.DUMMYFUNCTION("""COMPUTED_VALUE"""),43303.99861111111)</f>
        <v>43303.99861</v>
      </c>
      <c r="B2936" s="1">
        <f>IFERROR(__xludf.DUMMYFUNCTION("""COMPUTED_VALUE"""),130.285946)</f>
        <v>130.285946</v>
      </c>
    </row>
    <row r="2937">
      <c r="A2937" s="3">
        <f>IFERROR(__xludf.DUMMYFUNCTION("""COMPUTED_VALUE"""),43304.99861111111)</f>
        <v>43304.99861</v>
      </c>
      <c r="B2937" s="1">
        <f>IFERROR(__xludf.DUMMYFUNCTION("""COMPUTED_VALUE"""),130.687956)</f>
        <v>130.687956</v>
      </c>
    </row>
    <row r="2938">
      <c r="A2938" s="3">
        <f>IFERROR(__xludf.DUMMYFUNCTION("""COMPUTED_VALUE"""),43305.99861111111)</f>
        <v>43305.99861</v>
      </c>
      <c r="B2938" s="1">
        <f>IFERROR(__xludf.DUMMYFUNCTION("""COMPUTED_VALUE"""),130.7006371)</f>
        <v>130.7006371</v>
      </c>
    </row>
    <row r="2939">
      <c r="A2939" s="3">
        <f>IFERROR(__xludf.DUMMYFUNCTION("""COMPUTED_VALUE"""),43306.99861111111)</f>
        <v>43306.99861</v>
      </c>
      <c r="B2939" s="1">
        <f>IFERROR(__xludf.DUMMYFUNCTION("""COMPUTED_VALUE"""),130.459835)</f>
        <v>130.459835</v>
      </c>
    </row>
    <row r="2940">
      <c r="A2940" s="3">
        <f>IFERROR(__xludf.DUMMYFUNCTION("""COMPUTED_VALUE"""),43307.99861111111)</f>
        <v>43307.99861</v>
      </c>
      <c r="B2940" s="1">
        <f>IFERROR(__xludf.DUMMYFUNCTION("""COMPUTED_VALUE"""),130.6669)</f>
        <v>130.6669</v>
      </c>
    </row>
    <row r="2941">
      <c r="A2941" s="3">
        <f>IFERROR(__xludf.DUMMYFUNCTION("""COMPUTED_VALUE"""),43308.99861111111)</f>
        <v>43308.99861</v>
      </c>
      <c r="B2941" s="1">
        <f>IFERROR(__xludf.DUMMYFUNCTION("""COMPUTED_VALUE"""),129.439671)</f>
        <v>129.439671</v>
      </c>
    </row>
    <row r="2942">
      <c r="A2942" s="3">
        <f>IFERROR(__xludf.DUMMYFUNCTION("""COMPUTED_VALUE"""),43309.99861111111)</f>
        <v>43309.99861</v>
      </c>
      <c r="B2942" s="1">
        <f>IFERROR(__xludf.DUMMYFUNCTION("""COMPUTED_VALUE"""),129.4900089)</f>
        <v>129.4900089</v>
      </c>
    </row>
    <row r="2943">
      <c r="A2943" s="3">
        <f>IFERROR(__xludf.DUMMYFUNCTION("""COMPUTED_VALUE"""),43310.99861111111)</f>
        <v>43310.99861</v>
      </c>
      <c r="B2943" s="1">
        <f>IFERROR(__xludf.DUMMYFUNCTION("""COMPUTED_VALUE"""),129.8964307)</f>
        <v>129.8964307</v>
      </c>
    </row>
    <row r="2944">
      <c r="A2944" s="3">
        <f>IFERROR(__xludf.DUMMYFUNCTION("""COMPUTED_VALUE"""),43311.99861111111)</f>
        <v>43311.99861</v>
      </c>
      <c r="B2944" s="1">
        <f>IFERROR(__xludf.DUMMYFUNCTION("""COMPUTED_VALUE"""),129.7479852)</f>
        <v>129.7479852</v>
      </c>
    </row>
    <row r="2945">
      <c r="A2945" s="3">
        <f>IFERROR(__xludf.DUMMYFUNCTION("""COMPUTED_VALUE"""),43312.99861111111)</f>
        <v>43312.99861</v>
      </c>
      <c r="B2945" s="1">
        <f>IFERROR(__xludf.DUMMYFUNCTION("""COMPUTED_VALUE"""),128.8470664)</f>
        <v>128.8470664</v>
      </c>
    </row>
    <row r="2946">
      <c r="A2946" s="3">
        <f>IFERROR(__xludf.DUMMYFUNCTION("""COMPUTED_VALUE"""),43313.99861111111)</f>
        <v>43313.99861</v>
      </c>
      <c r="B2946" s="1">
        <f>IFERROR(__xludf.DUMMYFUNCTION("""COMPUTED_VALUE"""),129.777973)</f>
        <v>129.777973</v>
      </c>
    </row>
    <row r="2947">
      <c r="A2947" s="3">
        <f>IFERROR(__xludf.DUMMYFUNCTION("""COMPUTED_VALUE"""),43314.99861111111)</f>
        <v>43314.99861</v>
      </c>
      <c r="B2947" s="1">
        <f>IFERROR(__xludf.DUMMYFUNCTION("""COMPUTED_VALUE"""),129.977471)</f>
        <v>129.977471</v>
      </c>
    </row>
    <row r="2948">
      <c r="A2948" s="3">
        <f>IFERROR(__xludf.DUMMYFUNCTION("""COMPUTED_VALUE"""),43315.99861111111)</f>
        <v>43315.99861</v>
      </c>
      <c r="B2948" s="1">
        <f>IFERROR(__xludf.DUMMYFUNCTION("""COMPUTED_VALUE"""),130.0756905)</f>
        <v>130.0756905</v>
      </c>
    </row>
    <row r="2949">
      <c r="A2949" s="3">
        <f>IFERROR(__xludf.DUMMYFUNCTION("""COMPUTED_VALUE"""),43316.99861111111)</f>
        <v>43316.99861</v>
      </c>
      <c r="B2949" s="1">
        <f>IFERROR(__xludf.DUMMYFUNCTION("""COMPUTED_VALUE"""),130.3857455)</f>
        <v>130.3857455</v>
      </c>
    </row>
    <row r="2950">
      <c r="A2950" s="3">
        <f>IFERROR(__xludf.DUMMYFUNCTION("""COMPUTED_VALUE"""),43317.99861111111)</f>
        <v>43317.99861</v>
      </c>
      <c r="B2950" s="1">
        <f>IFERROR(__xludf.DUMMYFUNCTION("""COMPUTED_VALUE"""),130.2247942)</f>
        <v>130.2247942</v>
      </c>
    </row>
    <row r="2951">
      <c r="A2951" s="3">
        <f>IFERROR(__xludf.DUMMYFUNCTION("""COMPUTED_VALUE"""),43318.99861111111)</f>
        <v>43318.99861</v>
      </c>
      <c r="B2951" s="1">
        <f>IFERROR(__xludf.DUMMYFUNCTION("""COMPUTED_VALUE"""),130.598834)</f>
        <v>130.598834</v>
      </c>
    </row>
    <row r="2952">
      <c r="A2952" s="3">
        <f>IFERROR(__xludf.DUMMYFUNCTION("""COMPUTED_VALUE"""),43319.99861111111)</f>
        <v>43319.99861</v>
      </c>
      <c r="B2952" s="1">
        <f>IFERROR(__xludf.DUMMYFUNCTION("""COMPUTED_VALUE"""),129.5110022)</f>
        <v>129.5110022</v>
      </c>
    </row>
    <row r="2953">
      <c r="A2953" s="3">
        <f>IFERROR(__xludf.DUMMYFUNCTION("""COMPUTED_VALUE"""),43320.99861111111)</f>
        <v>43320.99861</v>
      </c>
      <c r="B2953" s="1">
        <f>IFERROR(__xludf.DUMMYFUNCTION("""COMPUTED_VALUE"""),129.79797)</f>
        <v>129.79797</v>
      </c>
    </row>
    <row r="2954">
      <c r="A2954" s="3">
        <f>IFERROR(__xludf.DUMMYFUNCTION("""COMPUTED_VALUE"""),43321.99861111111)</f>
        <v>43321.99861</v>
      </c>
      <c r="B2954" s="1">
        <f>IFERROR(__xludf.DUMMYFUNCTION("""COMPUTED_VALUE"""),130.248)</f>
        <v>130.248</v>
      </c>
    </row>
    <row r="2955">
      <c r="A2955" s="3">
        <f>IFERROR(__xludf.DUMMYFUNCTION("""COMPUTED_VALUE"""),43322.99861111111)</f>
        <v>43322.99861</v>
      </c>
      <c r="B2955" s="1">
        <f>IFERROR(__xludf.DUMMYFUNCTION("""COMPUTED_VALUE"""),130.5741864)</f>
        <v>130.5741864</v>
      </c>
    </row>
    <row r="2956">
      <c r="A2956" s="3">
        <f>IFERROR(__xludf.DUMMYFUNCTION("""COMPUTED_VALUE"""),43323.99861111111)</f>
        <v>43323.99861</v>
      </c>
      <c r="B2956" s="1">
        <f>IFERROR(__xludf.DUMMYFUNCTION("""COMPUTED_VALUE"""),130.6996379)</f>
        <v>130.6996379</v>
      </c>
    </row>
    <row r="2957">
      <c r="A2957" s="3">
        <f>IFERROR(__xludf.DUMMYFUNCTION("""COMPUTED_VALUE"""),43324.99861111111)</f>
        <v>43324.99861</v>
      </c>
      <c r="B2957" s="1">
        <f>IFERROR(__xludf.DUMMYFUNCTION("""COMPUTED_VALUE"""),130.806974)</f>
        <v>130.806974</v>
      </c>
    </row>
    <row r="2958">
      <c r="A2958" s="3">
        <f>IFERROR(__xludf.DUMMYFUNCTION("""COMPUTED_VALUE"""),43325.99861111111)</f>
        <v>43325.99861</v>
      </c>
      <c r="B2958" s="1">
        <f>IFERROR(__xludf.DUMMYFUNCTION("""COMPUTED_VALUE"""),131.8670058)</f>
        <v>131.8670058</v>
      </c>
    </row>
    <row r="2959">
      <c r="A2959" s="3">
        <f>IFERROR(__xludf.DUMMYFUNCTION("""COMPUTED_VALUE"""),43326.99861111111)</f>
        <v>43326.99861</v>
      </c>
      <c r="B2959" s="1">
        <f>IFERROR(__xludf.DUMMYFUNCTION("""COMPUTED_VALUE"""),131.587654)</f>
        <v>131.587654</v>
      </c>
    </row>
    <row r="2960">
      <c r="A2960" s="3">
        <f>IFERROR(__xludf.DUMMYFUNCTION("""COMPUTED_VALUE"""),43327.99861111111)</f>
        <v>43327.99861</v>
      </c>
      <c r="B2960" s="1">
        <f>IFERROR(__xludf.DUMMYFUNCTION("""COMPUTED_VALUE"""),131.6208215)</f>
        <v>131.6208215</v>
      </c>
    </row>
    <row r="2961">
      <c r="A2961" s="3">
        <f>IFERROR(__xludf.DUMMYFUNCTION("""COMPUTED_VALUE"""),43328.99861111111)</f>
        <v>43328.99861</v>
      </c>
      <c r="B2961" s="1">
        <f>IFERROR(__xludf.DUMMYFUNCTION("""COMPUTED_VALUE"""),131.4749916)</f>
        <v>131.4749916</v>
      </c>
    </row>
    <row r="2962">
      <c r="A2962" s="3">
        <f>IFERROR(__xludf.DUMMYFUNCTION("""COMPUTED_VALUE"""),43329.99861111111)</f>
        <v>43329.99861</v>
      </c>
      <c r="B2962" s="1">
        <f>IFERROR(__xludf.DUMMYFUNCTION("""COMPUTED_VALUE"""),131.9032018)</f>
        <v>131.9032018</v>
      </c>
    </row>
    <row r="2963">
      <c r="A2963" s="3">
        <f>IFERROR(__xludf.DUMMYFUNCTION("""COMPUTED_VALUE"""),43330.99861111111)</f>
        <v>43330.99861</v>
      </c>
      <c r="B2963" s="1">
        <f>IFERROR(__xludf.DUMMYFUNCTION("""COMPUTED_VALUE"""),131.9175882)</f>
        <v>131.9175882</v>
      </c>
    </row>
    <row r="2964">
      <c r="A2964" s="3">
        <f>IFERROR(__xludf.DUMMYFUNCTION("""COMPUTED_VALUE"""),43331.99861111111)</f>
        <v>43331.99861</v>
      </c>
      <c r="B2964" s="1">
        <f>IFERROR(__xludf.DUMMYFUNCTION("""COMPUTED_VALUE"""),131.862028)</f>
        <v>131.862028</v>
      </c>
    </row>
    <row r="2965">
      <c r="A2965" s="3">
        <f>IFERROR(__xludf.DUMMYFUNCTION("""COMPUTED_VALUE"""),43332.99861111111)</f>
        <v>43332.99861</v>
      </c>
      <c r="B2965" s="1">
        <f>IFERROR(__xludf.DUMMYFUNCTION("""COMPUTED_VALUE"""),132.397704)</f>
        <v>132.397704</v>
      </c>
    </row>
    <row r="2966">
      <c r="A2966" s="3">
        <f>IFERROR(__xludf.DUMMYFUNCTION("""COMPUTED_VALUE"""),43333.99861111111)</f>
        <v>43333.99861</v>
      </c>
      <c r="B2966" s="1">
        <f>IFERROR(__xludf.DUMMYFUNCTION("""COMPUTED_VALUE"""),132.269374)</f>
        <v>132.269374</v>
      </c>
    </row>
    <row r="2967">
      <c r="A2967" s="3">
        <f>IFERROR(__xludf.DUMMYFUNCTION("""COMPUTED_VALUE"""),43334.99861111111)</f>
        <v>43334.99861</v>
      </c>
      <c r="B2967" s="1">
        <f>IFERROR(__xludf.DUMMYFUNCTION("""COMPUTED_VALUE"""),131.73088)</f>
        <v>131.73088</v>
      </c>
    </row>
    <row r="2968">
      <c r="A2968" s="3">
        <f>IFERROR(__xludf.DUMMYFUNCTION("""COMPUTED_VALUE"""),43335.99861111111)</f>
        <v>43335.99861</v>
      </c>
      <c r="B2968" s="1">
        <f>IFERROR(__xludf.DUMMYFUNCTION("""COMPUTED_VALUE"""),131.6651232)</f>
        <v>131.6651232</v>
      </c>
    </row>
    <row r="2969">
      <c r="A2969" s="3">
        <f>IFERROR(__xludf.DUMMYFUNCTION("""COMPUTED_VALUE"""),43336.99861111111)</f>
        <v>43336.99861</v>
      </c>
      <c r="B2969" s="1">
        <f>IFERROR(__xludf.DUMMYFUNCTION("""COMPUTED_VALUE"""),131.0054408)</f>
        <v>131.0054408</v>
      </c>
    </row>
    <row r="2970">
      <c r="A2970" s="3">
        <f>IFERROR(__xludf.DUMMYFUNCTION("""COMPUTED_VALUE"""),43337.99861111111)</f>
        <v>43337.99861</v>
      </c>
      <c r="B2970" s="1">
        <f>IFERROR(__xludf.DUMMYFUNCTION("""COMPUTED_VALUE"""),131.1316547)</f>
        <v>131.1316547</v>
      </c>
    </row>
    <row r="2971">
      <c r="A2971" s="3">
        <f>IFERROR(__xludf.DUMMYFUNCTION("""COMPUTED_VALUE"""),43338.99861111111)</f>
        <v>43338.99861</v>
      </c>
      <c r="B2971" s="1">
        <f>IFERROR(__xludf.DUMMYFUNCTION("""COMPUTED_VALUE"""),130.812615)</f>
        <v>130.812615</v>
      </c>
    </row>
    <row r="2972">
      <c r="A2972" s="3">
        <f>IFERROR(__xludf.DUMMYFUNCTION("""COMPUTED_VALUE"""),43339.99861111111)</f>
        <v>43339.99861</v>
      </c>
      <c r="B2972" s="1">
        <f>IFERROR(__xludf.DUMMYFUNCTION("""COMPUTED_VALUE"""),130.9124368)</f>
        <v>130.9124368</v>
      </c>
    </row>
    <row r="2973">
      <c r="A2973" s="3">
        <f>IFERROR(__xludf.DUMMYFUNCTION("""COMPUTED_VALUE"""),43340.99861111111)</f>
        <v>43340.99861</v>
      </c>
      <c r="B2973" s="1">
        <f>IFERROR(__xludf.DUMMYFUNCTION("""COMPUTED_VALUE"""),131.8110615)</f>
        <v>131.8110615</v>
      </c>
    </row>
    <row r="2974">
      <c r="A2974" s="3">
        <f>IFERROR(__xludf.DUMMYFUNCTION("""COMPUTED_VALUE"""),43341.99861111111)</f>
        <v>43341.99861</v>
      </c>
      <c r="B2974" s="1">
        <f>IFERROR(__xludf.DUMMYFUNCTION("""COMPUTED_VALUE"""),130.8311)</f>
        <v>130.8311</v>
      </c>
    </row>
    <row r="2975">
      <c r="A2975" s="3">
        <f>IFERROR(__xludf.DUMMYFUNCTION("""COMPUTED_VALUE"""),43342.99861111111)</f>
        <v>43342.99861</v>
      </c>
      <c r="B2975" s="1">
        <f>IFERROR(__xludf.DUMMYFUNCTION("""COMPUTED_VALUE"""),132.8829084)</f>
        <v>132.8829084</v>
      </c>
    </row>
    <row r="2976">
      <c r="A2976" s="3">
        <f>IFERROR(__xludf.DUMMYFUNCTION("""COMPUTED_VALUE"""),43343.99861111111)</f>
        <v>43343.99861</v>
      </c>
      <c r="B2976" s="1">
        <f>IFERROR(__xludf.DUMMYFUNCTION("""COMPUTED_VALUE"""),132.604515)</f>
        <v>132.604515</v>
      </c>
    </row>
    <row r="2977">
      <c r="A2977" s="3">
        <f>IFERROR(__xludf.DUMMYFUNCTION("""COMPUTED_VALUE"""),43344.99861111111)</f>
        <v>43344.99861</v>
      </c>
      <c r="B2977" s="1">
        <f>IFERROR(__xludf.DUMMYFUNCTION("""COMPUTED_VALUE"""),132.5865042)</f>
        <v>132.5865042</v>
      </c>
    </row>
    <row r="2978">
      <c r="A2978" s="3">
        <f>IFERROR(__xludf.DUMMYFUNCTION("""COMPUTED_VALUE"""),43345.99861111111)</f>
        <v>43345.99861</v>
      </c>
      <c r="B2978" s="1">
        <f>IFERROR(__xludf.DUMMYFUNCTION("""COMPUTED_VALUE"""),132.433385)</f>
        <v>132.433385</v>
      </c>
    </row>
    <row r="2979">
      <c r="A2979" s="3">
        <f>IFERROR(__xludf.DUMMYFUNCTION("""COMPUTED_VALUE"""),43346.99861111111)</f>
        <v>43346.99861</v>
      </c>
      <c r="B2979" s="1">
        <f>IFERROR(__xludf.DUMMYFUNCTION("""COMPUTED_VALUE"""),133.488)</f>
        <v>133.488</v>
      </c>
    </row>
    <row r="2980">
      <c r="A2980" s="3">
        <f>IFERROR(__xludf.DUMMYFUNCTION("""COMPUTED_VALUE"""),43347.99861111111)</f>
        <v>43347.99861</v>
      </c>
      <c r="B2980" s="1">
        <f>IFERROR(__xludf.DUMMYFUNCTION("""COMPUTED_VALUE"""),133.90717)</f>
        <v>133.90717</v>
      </c>
    </row>
    <row r="2981">
      <c r="A2981" s="3">
        <f>IFERROR(__xludf.DUMMYFUNCTION("""COMPUTED_VALUE"""),43348.99861111111)</f>
        <v>43348.99861</v>
      </c>
      <c r="B2981" s="1">
        <f>IFERROR(__xludf.DUMMYFUNCTION("""COMPUTED_VALUE"""),134.3996628)</f>
        <v>134.3996628</v>
      </c>
    </row>
    <row r="2982">
      <c r="A2982" s="3">
        <f>IFERROR(__xludf.DUMMYFUNCTION("""COMPUTED_VALUE"""),43349.99861111111)</f>
        <v>43349.99861</v>
      </c>
      <c r="B2982" s="1">
        <f>IFERROR(__xludf.DUMMYFUNCTION("""COMPUTED_VALUE"""),134.751864)</f>
        <v>134.751864</v>
      </c>
    </row>
    <row r="2983">
      <c r="A2983" s="3">
        <f>IFERROR(__xludf.DUMMYFUNCTION("""COMPUTED_VALUE"""),43350.99861111111)</f>
        <v>43350.99861</v>
      </c>
      <c r="B2983" s="1">
        <f>IFERROR(__xludf.DUMMYFUNCTION("""COMPUTED_VALUE"""),134.8932909)</f>
        <v>134.8932909</v>
      </c>
    </row>
    <row r="2984">
      <c r="A2984" s="3">
        <f>IFERROR(__xludf.DUMMYFUNCTION("""COMPUTED_VALUE"""),43351.99861111111)</f>
        <v>43351.99861</v>
      </c>
      <c r="B2984" s="1">
        <f>IFERROR(__xludf.DUMMYFUNCTION("""COMPUTED_VALUE"""),133.4384666)</f>
        <v>133.4384666</v>
      </c>
    </row>
    <row r="2985">
      <c r="A2985" s="3">
        <f>IFERROR(__xludf.DUMMYFUNCTION("""COMPUTED_VALUE"""),43352.99861111111)</f>
        <v>43352.99861</v>
      </c>
      <c r="B2985" s="1">
        <f>IFERROR(__xludf.DUMMYFUNCTION("""COMPUTED_VALUE"""),133.509569)</f>
        <v>133.509569</v>
      </c>
    </row>
    <row r="2986">
      <c r="A2986" s="3">
        <f>IFERROR(__xludf.DUMMYFUNCTION("""COMPUTED_VALUE"""),43353.99861111111)</f>
        <v>43353.99861</v>
      </c>
      <c r="B2986" s="1">
        <f>IFERROR(__xludf.DUMMYFUNCTION("""COMPUTED_VALUE"""),133.541122)</f>
        <v>133.541122</v>
      </c>
    </row>
    <row r="2987">
      <c r="A2987" s="3">
        <f>IFERROR(__xludf.DUMMYFUNCTION("""COMPUTED_VALUE"""),43354.99861111111)</f>
        <v>43354.99861</v>
      </c>
      <c r="B2987" s="1">
        <f>IFERROR(__xludf.DUMMYFUNCTION("""COMPUTED_VALUE"""),132.909846)</f>
        <v>132.909846</v>
      </c>
    </row>
    <row r="2988">
      <c r="A2988" s="3">
        <f>IFERROR(__xludf.DUMMYFUNCTION("""COMPUTED_VALUE"""),43355.99861111111)</f>
        <v>43355.99861</v>
      </c>
      <c r="B2988" s="1">
        <f>IFERROR(__xludf.DUMMYFUNCTION("""COMPUTED_VALUE"""),133.100123)</f>
        <v>133.100123</v>
      </c>
    </row>
    <row r="2989">
      <c r="A2989" s="3">
        <f>IFERROR(__xludf.DUMMYFUNCTION("""COMPUTED_VALUE"""),43356.99861111111)</f>
        <v>43356.99861</v>
      </c>
      <c r="B2989" s="1">
        <f>IFERROR(__xludf.DUMMYFUNCTION("""COMPUTED_VALUE"""),131.56924)</f>
        <v>131.56924</v>
      </c>
    </row>
    <row r="2990">
      <c r="A2990" s="3">
        <f>IFERROR(__xludf.DUMMYFUNCTION("""COMPUTED_VALUE"""),43357.99861111111)</f>
        <v>43357.99861</v>
      </c>
      <c r="B2990" s="1">
        <f>IFERROR(__xludf.DUMMYFUNCTION("""COMPUTED_VALUE"""),132.0811638)</f>
        <v>132.0811638</v>
      </c>
    </row>
    <row r="2991">
      <c r="A2991" s="3">
        <f>IFERROR(__xludf.DUMMYFUNCTION("""COMPUTED_VALUE"""),43358.99861111111)</f>
        <v>43358.99861</v>
      </c>
      <c r="B2991" s="1">
        <f>IFERROR(__xludf.DUMMYFUNCTION("""COMPUTED_VALUE"""),132.1397931)</f>
        <v>132.1397931</v>
      </c>
    </row>
    <row r="2992">
      <c r="A2992" s="3">
        <f>IFERROR(__xludf.DUMMYFUNCTION("""COMPUTED_VALUE"""),43359.99861111111)</f>
        <v>43359.99861</v>
      </c>
      <c r="B2992" s="1">
        <f>IFERROR(__xludf.DUMMYFUNCTION("""COMPUTED_VALUE"""),132.182089)</f>
        <v>132.182089</v>
      </c>
    </row>
    <row r="2993">
      <c r="A2993" s="3">
        <f>IFERROR(__xludf.DUMMYFUNCTION("""COMPUTED_VALUE"""),43360.99861111111)</f>
        <v>43360.99861</v>
      </c>
      <c r="B2993" s="1">
        <f>IFERROR(__xludf.DUMMYFUNCTION("""COMPUTED_VALUE"""),133.4334521)</f>
        <v>133.4334521</v>
      </c>
    </row>
    <row r="2994">
      <c r="A2994" s="3">
        <f>IFERROR(__xludf.DUMMYFUNCTION("""COMPUTED_VALUE"""),43361.99861111111)</f>
        <v>43361.99861</v>
      </c>
      <c r="B2994" s="1">
        <f>IFERROR(__xludf.DUMMYFUNCTION("""COMPUTED_VALUE"""),132.375768)</f>
        <v>132.375768</v>
      </c>
    </row>
    <row r="2995">
      <c r="A2995" s="3">
        <f>IFERROR(__xludf.DUMMYFUNCTION("""COMPUTED_VALUE"""),43362.99861111111)</f>
        <v>43362.99861</v>
      </c>
      <c r="B2995" s="1">
        <f>IFERROR(__xludf.DUMMYFUNCTION("""COMPUTED_VALUE"""),132.44688)</f>
        <v>132.44688</v>
      </c>
    </row>
    <row r="2996">
      <c r="A2996" s="3">
        <f>IFERROR(__xludf.DUMMYFUNCTION("""COMPUTED_VALUE"""),43363.99861111111)</f>
        <v>43363.99861</v>
      </c>
      <c r="B2996" s="1">
        <f>IFERROR(__xludf.DUMMYFUNCTION("""COMPUTED_VALUE"""),131.826816)</f>
        <v>131.826816</v>
      </c>
    </row>
    <row r="2997">
      <c r="A2997" s="3">
        <f>IFERROR(__xludf.DUMMYFUNCTION("""COMPUTED_VALUE"""),43364.99861111111)</f>
        <v>43364.99861</v>
      </c>
      <c r="B2997" s="1">
        <f>IFERROR(__xludf.DUMMYFUNCTION("""COMPUTED_VALUE"""),131.962907)</f>
        <v>131.962907</v>
      </c>
    </row>
    <row r="2998">
      <c r="A2998" s="3">
        <f>IFERROR(__xludf.DUMMYFUNCTION("""COMPUTED_VALUE"""),43365.99861111111)</f>
        <v>43365.99861</v>
      </c>
      <c r="B2998" s="1">
        <f>IFERROR(__xludf.DUMMYFUNCTION("""COMPUTED_VALUE"""),131.5809208)</f>
        <v>131.5809208</v>
      </c>
    </row>
    <row r="2999">
      <c r="A2999" s="3">
        <f>IFERROR(__xludf.DUMMYFUNCTION("""COMPUTED_VALUE"""),43366.99861111111)</f>
        <v>43366.99861</v>
      </c>
      <c r="B2999" s="1">
        <f>IFERROR(__xludf.DUMMYFUNCTION("""COMPUTED_VALUE"""),131.60462)</f>
        <v>131.60462</v>
      </c>
    </row>
    <row r="3000">
      <c r="A3000" s="3">
        <f>IFERROR(__xludf.DUMMYFUNCTION("""COMPUTED_VALUE"""),43367.99861111111)</f>
        <v>43367.99861</v>
      </c>
      <c r="B3000" s="1">
        <f>IFERROR(__xludf.DUMMYFUNCTION("""COMPUTED_VALUE"""),131.727904)</f>
        <v>131.727904</v>
      </c>
    </row>
    <row r="3001">
      <c r="A3001" s="3">
        <f>IFERROR(__xludf.DUMMYFUNCTION("""COMPUTED_VALUE"""),43368.99861111111)</f>
        <v>43368.99861</v>
      </c>
      <c r="B3001" s="1">
        <f>IFERROR(__xludf.DUMMYFUNCTION("""COMPUTED_VALUE"""),132.9583008)</f>
        <v>132.9583008</v>
      </c>
    </row>
    <row r="3002">
      <c r="A3002" s="3">
        <f>IFERROR(__xludf.DUMMYFUNCTION("""COMPUTED_VALUE"""),43369.99861111111)</f>
        <v>43369.99861</v>
      </c>
      <c r="B3002" s="1">
        <f>IFERROR(__xludf.DUMMYFUNCTION("""COMPUTED_VALUE"""),132.9454215)</f>
        <v>132.9454215</v>
      </c>
    </row>
    <row r="3003">
      <c r="A3003" s="3">
        <f>IFERROR(__xludf.DUMMYFUNCTION("""COMPUTED_VALUE"""),43370.99861111111)</f>
        <v>43370.99861</v>
      </c>
      <c r="B3003" s="1">
        <f>IFERROR(__xludf.DUMMYFUNCTION("""COMPUTED_VALUE"""),131.5688972)</f>
        <v>131.5688972</v>
      </c>
    </row>
    <row r="3004">
      <c r="A3004" s="3">
        <f>IFERROR(__xludf.DUMMYFUNCTION("""COMPUTED_VALUE"""),43371.99861111111)</f>
        <v>43371.99861</v>
      </c>
      <c r="B3004" s="1">
        <f>IFERROR(__xludf.DUMMYFUNCTION("""COMPUTED_VALUE"""),130.966484)</f>
        <v>130.966484</v>
      </c>
    </row>
    <row r="3005">
      <c r="A3005" s="3">
        <f>IFERROR(__xludf.DUMMYFUNCTION("""COMPUTED_VALUE"""),43372.99861111111)</f>
        <v>43372.99861</v>
      </c>
      <c r="B3005" s="1">
        <f>IFERROR(__xludf.DUMMYFUNCTION("""COMPUTED_VALUE"""),131.0897103)</f>
        <v>131.0897103</v>
      </c>
    </row>
    <row r="3006">
      <c r="A3006" s="3">
        <f>IFERROR(__xludf.DUMMYFUNCTION("""COMPUTED_VALUE"""),43373.99861111111)</f>
        <v>43373.99861</v>
      </c>
      <c r="B3006" s="1">
        <f>IFERROR(__xludf.DUMMYFUNCTION("""COMPUTED_VALUE"""),130.943874)</f>
        <v>130.943874</v>
      </c>
    </row>
    <row r="3007">
      <c r="A3007" s="3">
        <f>IFERROR(__xludf.DUMMYFUNCTION("""COMPUTED_VALUE"""),43374.99861111111)</f>
        <v>43374.99861</v>
      </c>
      <c r="B3007" s="1">
        <f>IFERROR(__xludf.DUMMYFUNCTION("""COMPUTED_VALUE"""),132.1002341)</f>
        <v>132.1002341</v>
      </c>
    </row>
    <row r="3008">
      <c r="A3008" s="3">
        <f>IFERROR(__xludf.DUMMYFUNCTION("""COMPUTED_VALUE"""),43375.99861111111)</f>
        <v>43375.99861</v>
      </c>
      <c r="B3008" s="1">
        <f>IFERROR(__xludf.DUMMYFUNCTION("""COMPUTED_VALUE"""),132.364476)</f>
        <v>132.364476</v>
      </c>
    </row>
    <row r="3009">
      <c r="A3009" s="3">
        <f>IFERROR(__xludf.DUMMYFUNCTION("""COMPUTED_VALUE"""),43376.99861111111)</f>
        <v>43376.99861</v>
      </c>
      <c r="B3009" s="1">
        <f>IFERROR(__xludf.DUMMYFUNCTION("""COMPUTED_VALUE"""),132.1954944)</f>
        <v>132.1954944</v>
      </c>
    </row>
    <row r="3010">
      <c r="A3010" s="3">
        <f>IFERROR(__xludf.DUMMYFUNCTION("""COMPUTED_VALUE"""),43377.99861111111)</f>
        <v>43377.99861</v>
      </c>
      <c r="B3010" s="1">
        <f>IFERROR(__xludf.DUMMYFUNCTION("""COMPUTED_VALUE"""),135.2593242)</f>
        <v>135.2593242</v>
      </c>
    </row>
    <row r="3011">
      <c r="A3011" s="3">
        <f>IFERROR(__xludf.DUMMYFUNCTION("""COMPUTED_VALUE"""),43378.99861111111)</f>
        <v>43378.99861</v>
      </c>
      <c r="B3011" s="1">
        <f>IFERROR(__xludf.DUMMYFUNCTION("""COMPUTED_VALUE"""),132.837226)</f>
        <v>132.837226</v>
      </c>
    </row>
    <row r="3012">
      <c r="A3012" s="3">
        <f>IFERROR(__xludf.DUMMYFUNCTION("""COMPUTED_VALUE"""),43379.99861111111)</f>
        <v>43379.99861</v>
      </c>
      <c r="B3012" s="1">
        <f>IFERROR(__xludf.DUMMYFUNCTION("""COMPUTED_VALUE"""),133.6397438)</f>
        <v>133.6397438</v>
      </c>
    </row>
    <row r="3013">
      <c r="A3013" s="3">
        <f>IFERROR(__xludf.DUMMYFUNCTION("""COMPUTED_VALUE"""),43380.99861111111)</f>
        <v>43380.99861</v>
      </c>
      <c r="B3013" s="1">
        <f>IFERROR(__xludf.DUMMYFUNCTION("""COMPUTED_VALUE"""),133.401016)</f>
        <v>133.401016</v>
      </c>
    </row>
    <row r="3014">
      <c r="A3014" s="3">
        <f>IFERROR(__xludf.DUMMYFUNCTION("""COMPUTED_VALUE"""),43381.99861111111)</f>
        <v>43381.99861</v>
      </c>
      <c r="B3014" s="1">
        <f>IFERROR(__xludf.DUMMYFUNCTION("""COMPUTED_VALUE"""),136.136)</f>
        <v>136.136</v>
      </c>
    </row>
    <row r="3015">
      <c r="A3015" s="3">
        <f>IFERROR(__xludf.DUMMYFUNCTION("""COMPUTED_VALUE"""),43382.99861111111)</f>
        <v>43382.99861</v>
      </c>
      <c r="B3015" s="1">
        <f>IFERROR(__xludf.DUMMYFUNCTION("""COMPUTED_VALUE"""),134.677881)</f>
        <v>134.677881</v>
      </c>
    </row>
    <row r="3016">
      <c r="A3016" s="3">
        <f>IFERROR(__xludf.DUMMYFUNCTION("""COMPUTED_VALUE"""),43383.99861111111)</f>
        <v>43383.99861</v>
      </c>
      <c r="B3016" s="1">
        <f>IFERROR(__xludf.DUMMYFUNCTION("""COMPUTED_VALUE"""),135.533124)</f>
        <v>135.533124</v>
      </c>
    </row>
    <row r="3017">
      <c r="A3017" s="3">
        <f>IFERROR(__xludf.DUMMYFUNCTION("""COMPUTED_VALUE"""),43384.99861111111)</f>
        <v>43384.99861</v>
      </c>
      <c r="B3017" s="1">
        <f>IFERROR(__xludf.DUMMYFUNCTION("""COMPUTED_VALUE"""),136.4933427)</f>
        <v>136.4933427</v>
      </c>
    </row>
    <row r="3018">
      <c r="A3018" s="3">
        <f>IFERROR(__xludf.DUMMYFUNCTION("""COMPUTED_VALUE"""),43385.99861111111)</f>
        <v>43385.99861</v>
      </c>
      <c r="B3018" s="1">
        <f>IFERROR(__xludf.DUMMYFUNCTION("""COMPUTED_VALUE"""),135.3032052)</f>
        <v>135.3032052</v>
      </c>
    </row>
    <row r="3019">
      <c r="A3019" s="3">
        <f>IFERROR(__xludf.DUMMYFUNCTION("""COMPUTED_VALUE"""),43386.99861111111)</f>
        <v>43386.99861</v>
      </c>
      <c r="B3019" s="1">
        <f>IFERROR(__xludf.DUMMYFUNCTION("""COMPUTED_VALUE"""),135.3832277)</f>
        <v>135.3832277</v>
      </c>
    </row>
    <row r="3020">
      <c r="A3020" s="3">
        <f>IFERROR(__xludf.DUMMYFUNCTION("""COMPUTED_VALUE"""),43387.99861111111)</f>
        <v>43387.99861</v>
      </c>
      <c r="B3020" s="1">
        <f>IFERROR(__xludf.DUMMYFUNCTION("""COMPUTED_VALUE"""),135.41418)</f>
        <v>135.41418</v>
      </c>
    </row>
    <row r="3021">
      <c r="A3021" s="3">
        <f>IFERROR(__xludf.DUMMYFUNCTION("""COMPUTED_VALUE"""),43388.99861111111)</f>
        <v>43388.99861</v>
      </c>
      <c r="B3021" s="1">
        <f>IFERROR(__xludf.DUMMYFUNCTION("""COMPUTED_VALUE"""),135.8173782)</f>
        <v>135.8173782</v>
      </c>
    </row>
    <row r="3022">
      <c r="A3022" s="3">
        <f>IFERROR(__xludf.DUMMYFUNCTION("""COMPUTED_VALUE"""),43389.99861111111)</f>
        <v>43389.99861</v>
      </c>
      <c r="B3022" s="1">
        <f>IFERROR(__xludf.DUMMYFUNCTION("""COMPUTED_VALUE"""),135.2298544)</f>
        <v>135.2298544</v>
      </c>
    </row>
    <row r="3023">
      <c r="A3023" s="3">
        <f>IFERROR(__xludf.DUMMYFUNCTION("""COMPUTED_VALUE"""),43390.99861111111)</f>
        <v>43390.99861</v>
      </c>
      <c r="B3023" s="1">
        <f>IFERROR(__xludf.DUMMYFUNCTION("""COMPUTED_VALUE"""),135.4706625)</f>
        <v>135.4706625</v>
      </c>
    </row>
    <row r="3024">
      <c r="A3024" s="3">
        <f>IFERROR(__xludf.DUMMYFUNCTION("""COMPUTED_VALUE"""),43391.99861111111)</f>
        <v>43391.99861</v>
      </c>
      <c r="B3024" s="1">
        <f>IFERROR(__xludf.DUMMYFUNCTION("""COMPUTED_VALUE"""),136.5922635)</f>
        <v>136.5922635</v>
      </c>
    </row>
    <row r="3025">
      <c r="A3025" s="3">
        <f>IFERROR(__xludf.DUMMYFUNCTION("""COMPUTED_VALUE"""),43392.99861111111)</f>
        <v>43392.99861</v>
      </c>
      <c r="B3025" s="1">
        <f>IFERROR(__xludf.DUMMYFUNCTION("""COMPUTED_VALUE"""),134.7911917)</f>
        <v>134.7911917</v>
      </c>
    </row>
    <row r="3026">
      <c r="A3026" s="3">
        <f>IFERROR(__xludf.DUMMYFUNCTION("""COMPUTED_VALUE"""),43393.99861111111)</f>
        <v>43393.99861</v>
      </c>
      <c r="B3026" s="1">
        <f>IFERROR(__xludf.DUMMYFUNCTION("""COMPUTED_VALUE"""),134.6707179)</f>
        <v>134.6707179</v>
      </c>
    </row>
    <row r="3027">
      <c r="A3027" s="3">
        <f>IFERROR(__xludf.DUMMYFUNCTION("""COMPUTED_VALUE"""),43394.99861111111)</f>
        <v>43394.99861</v>
      </c>
      <c r="B3027" s="1">
        <f>IFERROR(__xludf.DUMMYFUNCTION("""COMPUTED_VALUE"""),134.928728)</f>
        <v>134.928728</v>
      </c>
    </row>
    <row r="3028">
      <c r="A3028" s="3">
        <f>IFERROR(__xludf.DUMMYFUNCTION("""COMPUTED_VALUE"""),43395.99861111111)</f>
        <v>43395.99861</v>
      </c>
      <c r="B3028" s="1">
        <f>IFERROR(__xludf.DUMMYFUNCTION("""COMPUTED_VALUE"""),135.368886)</f>
        <v>135.368886</v>
      </c>
    </row>
    <row r="3029">
      <c r="A3029" s="3">
        <f>IFERROR(__xludf.DUMMYFUNCTION("""COMPUTED_VALUE"""),43396.99861111111)</f>
        <v>43396.99861</v>
      </c>
      <c r="B3029" s="1">
        <f>IFERROR(__xludf.DUMMYFUNCTION("""COMPUTED_VALUE"""),135.0011628)</f>
        <v>135.0011628</v>
      </c>
    </row>
    <row r="3030">
      <c r="A3030" s="3">
        <f>IFERROR(__xludf.DUMMYFUNCTION("""COMPUTED_VALUE"""),43397.99861111111)</f>
        <v>43397.99861</v>
      </c>
      <c r="B3030" s="1">
        <f>IFERROR(__xludf.DUMMYFUNCTION("""COMPUTED_VALUE"""),136.295557)</f>
        <v>136.295557</v>
      </c>
    </row>
    <row r="3031">
      <c r="A3031" s="3">
        <f>IFERROR(__xludf.DUMMYFUNCTION("""COMPUTED_VALUE"""),43398.99861111111)</f>
        <v>43398.99861</v>
      </c>
      <c r="B3031" s="1">
        <f>IFERROR(__xludf.DUMMYFUNCTION("""COMPUTED_VALUE"""),135.7594554)</f>
        <v>135.7594554</v>
      </c>
    </row>
    <row r="3032">
      <c r="A3032" s="3">
        <f>IFERROR(__xludf.DUMMYFUNCTION("""COMPUTED_VALUE"""),43399.99861111111)</f>
        <v>43399.99861</v>
      </c>
      <c r="B3032" s="1">
        <f>IFERROR(__xludf.DUMMYFUNCTION("""COMPUTED_VALUE"""),135.7492778)</f>
        <v>135.7492778</v>
      </c>
    </row>
    <row r="3033">
      <c r="A3033" s="3">
        <f>IFERROR(__xludf.DUMMYFUNCTION("""COMPUTED_VALUE"""),43400.99861111111)</f>
        <v>43400.99861</v>
      </c>
      <c r="B3033" s="1">
        <f>IFERROR(__xludf.DUMMYFUNCTION("""COMPUTED_VALUE"""),135.922644)</f>
        <v>135.922644</v>
      </c>
    </row>
    <row r="3034">
      <c r="A3034" s="3">
        <f>IFERROR(__xludf.DUMMYFUNCTION("""COMPUTED_VALUE"""),43401.99861111111)</f>
        <v>43401.99861</v>
      </c>
      <c r="B3034" s="1">
        <f>IFERROR(__xludf.DUMMYFUNCTION("""COMPUTED_VALUE"""),135.87093)</f>
        <v>135.87093</v>
      </c>
    </row>
    <row r="3035">
      <c r="A3035" s="3">
        <f>IFERROR(__xludf.DUMMYFUNCTION("""COMPUTED_VALUE"""),43402.99861111111)</f>
        <v>43402.99861</v>
      </c>
      <c r="B3035" s="1">
        <f>IFERROR(__xludf.DUMMYFUNCTION("""COMPUTED_VALUE"""),136.15042)</f>
        <v>136.15042</v>
      </c>
    </row>
    <row r="3036">
      <c r="A3036" s="3">
        <f>IFERROR(__xludf.DUMMYFUNCTION("""COMPUTED_VALUE"""),43403.99861111111)</f>
        <v>43403.99861</v>
      </c>
      <c r="B3036" s="1">
        <f>IFERROR(__xludf.DUMMYFUNCTION("""COMPUTED_VALUE"""),135.0844602)</f>
        <v>135.0844602</v>
      </c>
    </row>
    <row r="3037">
      <c r="A3037" s="3">
        <f>IFERROR(__xludf.DUMMYFUNCTION("""COMPUTED_VALUE"""),43404.99861111111)</f>
        <v>43404.99861</v>
      </c>
      <c r="B3037" s="1">
        <f>IFERROR(__xludf.DUMMYFUNCTION("""COMPUTED_VALUE"""),134.651756)</f>
        <v>134.651756</v>
      </c>
    </row>
    <row r="3038">
      <c r="A3038" s="3">
        <f>IFERROR(__xludf.DUMMYFUNCTION("""COMPUTED_VALUE"""),43405.99861111111)</f>
        <v>43405.99861</v>
      </c>
      <c r="B3038" s="1">
        <f>IFERROR(__xludf.DUMMYFUNCTION("""COMPUTED_VALUE"""),133.6443003)</f>
        <v>133.6443003</v>
      </c>
    </row>
    <row r="3039">
      <c r="A3039" s="3">
        <f>IFERROR(__xludf.DUMMYFUNCTION("""COMPUTED_VALUE"""),43406.99861111111)</f>
        <v>43406.99861</v>
      </c>
      <c r="B3039" s="1">
        <f>IFERROR(__xludf.DUMMYFUNCTION("""COMPUTED_VALUE"""),132.0195126)</f>
        <v>132.0195126</v>
      </c>
    </row>
    <row r="3040">
      <c r="A3040" s="3">
        <f>IFERROR(__xludf.DUMMYFUNCTION("""COMPUTED_VALUE"""),43407.99861111111)</f>
        <v>43407.99861</v>
      </c>
      <c r="B3040" s="1">
        <f>IFERROR(__xludf.DUMMYFUNCTION("""COMPUTED_VALUE"""),132.1647287)</f>
        <v>132.1647287</v>
      </c>
    </row>
    <row r="3041">
      <c r="A3041" s="3">
        <f>IFERROR(__xludf.DUMMYFUNCTION("""COMPUTED_VALUE"""),43408.99861111111)</f>
        <v>43408.99861</v>
      </c>
      <c r="B3041" s="1">
        <f>IFERROR(__xludf.DUMMYFUNCTION("""COMPUTED_VALUE"""),132.062856)</f>
        <v>132.062856</v>
      </c>
    </row>
    <row r="3042">
      <c r="A3042" s="3">
        <f>IFERROR(__xludf.DUMMYFUNCTION("""COMPUTED_VALUE"""),43409.99861111111)</f>
        <v>43409.99861</v>
      </c>
      <c r="B3042" s="1">
        <f>IFERROR(__xludf.DUMMYFUNCTION("""COMPUTED_VALUE"""),131.7517593)</f>
        <v>131.7517593</v>
      </c>
    </row>
    <row r="3043">
      <c r="A3043" s="3">
        <f>IFERROR(__xludf.DUMMYFUNCTION("""COMPUTED_VALUE"""),43410.99861111111)</f>
        <v>43410.99861</v>
      </c>
      <c r="B3043" s="1">
        <f>IFERROR(__xludf.DUMMYFUNCTION("""COMPUTED_VALUE"""),130.78577)</f>
        <v>130.78577</v>
      </c>
    </row>
    <row r="3044">
      <c r="A3044" s="3">
        <f>IFERROR(__xludf.DUMMYFUNCTION("""COMPUTED_VALUE"""),43411.99861111111)</f>
        <v>43411.99861</v>
      </c>
      <c r="B3044" s="1">
        <f>IFERROR(__xludf.DUMMYFUNCTION("""COMPUTED_VALUE"""),128.5287156)</f>
        <v>128.5287156</v>
      </c>
    </row>
    <row r="3045">
      <c r="A3045" s="3">
        <f>IFERROR(__xludf.DUMMYFUNCTION("""COMPUTED_VALUE"""),43412.99861111111)</f>
        <v>43412.99861</v>
      </c>
      <c r="B3045" s="1">
        <f>IFERROR(__xludf.DUMMYFUNCTION("""COMPUTED_VALUE"""),129.163584)</f>
        <v>129.163584</v>
      </c>
    </row>
    <row r="3046">
      <c r="A3046" s="3">
        <f>IFERROR(__xludf.DUMMYFUNCTION("""COMPUTED_VALUE"""),43413.99861111111)</f>
        <v>43413.99861</v>
      </c>
      <c r="B3046" s="1">
        <f>IFERROR(__xludf.DUMMYFUNCTION("""COMPUTED_VALUE"""),128.9403588)</f>
        <v>128.9403588</v>
      </c>
    </row>
    <row r="3047">
      <c r="A3047" s="3">
        <f>IFERROR(__xludf.DUMMYFUNCTION("""COMPUTED_VALUE"""),43414.99861111111)</f>
        <v>43414.99861</v>
      </c>
      <c r="B3047" s="1">
        <f>IFERROR(__xludf.DUMMYFUNCTION("""COMPUTED_VALUE"""),128.9403588)</f>
        <v>128.9403588</v>
      </c>
    </row>
    <row r="3048">
      <c r="A3048" s="3">
        <f>IFERROR(__xludf.DUMMYFUNCTION("""COMPUTED_VALUE"""),43415.99861111111)</f>
        <v>43415.99861</v>
      </c>
      <c r="B3048" s="1">
        <f>IFERROR(__xludf.DUMMYFUNCTION("""COMPUTED_VALUE"""),128.9124706)</f>
        <v>128.9124706</v>
      </c>
    </row>
    <row r="3049">
      <c r="A3049" s="3">
        <f>IFERROR(__xludf.DUMMYFUNCTION("""COMPUTED_VALUE"""),43416.99861111111)</f>
        <v>43416.99861</v>
      </c>
      <c r="B3049" s="1">
        <f>IFERROR(__xludf.DUMMYFUNCTION("""COMPUTED_VALUE"""),130.103088)</f>
        <v>130.103088</v>
      </c>
    </row>
    <row r="3050">
      <c r="A3050" s="3">
        <f>IFERROR(__xludf.DUMMYFUNCTION("""COMPUTED_VALUE"""),43417.99861111111)</f>
        <v>43417.99861</v>
      </c>
      <c r="B3050" s="1">
        <f>IFERROR(__xludf.DUMMYFUNCTION("""COMPUTED_VALUE"""),130.0019523)</f>
        <v>130.0019523</v>
      </c>
    </row>
    <row r="3051">
      <c r="A3051" s="3">
        <f>IFERROR(__xludf.DUMMYFUNCTION("""COMPUTED_VALUE"""),43418.99861111111)</f>
        <v>43418.99861</v>
      </c>
      <c r="B3051" s="1">
        <f>IFERROR(__xludf.DUMMYFUNCTION("""COMPUTED_VALUE"""),130.4014799)</f>
        <v>130.4014799</v>
      </c>
    </row>
    <row r="3052">
      <c r="A3052" s="3">
        <f>IFERROR(__xludf.DUMMYFUNCTION("""COMPUTED_VALUE"""),43419.99861111111)</f>
        <v>43419.99861</v>
      </c>
      <c r="B3052" s="1">
        <f>IFERROR(__xludf.DUMMYFUNCTION("""COMPUTED_VALUE"""),128.2056088)</f>
        <v>128.2056088</v>
      </c>
    </row>
    <row r="3053">
      <c r="A3053" s="3">
        <f>IFERROR(__xludf.DUMMYFUNCTION("""COMPUTED_VALUE"""),43420.99861111111)</f>
        <v>43420.99861</v>
      </c>
      <c r="B3053" s="1">
        <f>IFERROR(__xludf.DUMMYFUNCTION("""COMPUTED_VALUE"""),129.4309705)</f>
        <v>129.4309705</v>
      </c>
    </row>
    <row r="3054">
      <c r="A3054" s="3">
        <f>IFERROR(__xludf.DUMMYFUNCTION("""COMPUTED_VALUE"""),43421.99861111111)</f>
        <v>43421.99861</v>
      </c>
      <c r="B3054" s="1">
        <f>IFERROR(__xludf.DUMMYFUNCTION("""COMPUTED_VALUE"""),129.4309705)</f>
        <v>129.4309705</v>
      </c>
    </row>
    <row r="3055">
      <c r="A3055" s="3">
        <f>IFERROR(__xludf.DUMMYFUNCTION("""COMPUTED_VALUE"""),43422.99861111111)</f>
        <v>43422.99861</v>
      </c>
      <c r="B3055" s="1">
        <f>IFERROR(__xludf.DUMMYFUNCTION("""COMPUTED_VALUE"""),129.54635)</f>
        <v>129.54635</v>
      </c>
    </row>
    <row r="3056">
      <c r="A3056" s="3">
        <f>IFERROR(__xludf.DUMMYFUNCTION("""COMPUTED_VALUE"""),43423.99861111111)</f>
        <v>43423.99861</v>
      </c>
      <c r="B3056" s="1">
        <f>IFERROR(__xludf.DUMMYFUNCTION("""COMPUTED_VALUE"""),130.2932736)</f>
        <v>130.2932736</v>
      </c>
    </row>
    <row r="3057">
      <c r="A3057" s="3">
        <f>IFERROR(__xludf.DUMMYFUNCTION("""COMPUTED_VALUE"""),43424.99861111111)</f>
        <v>43424.99861</v>
      </c>
      <c r="B3057" s="1">
        <f>IFERROR(__xludf.DUMMYFUNCTION("""COMPUTED_VALUE"""),130.072341)</f>
        <v>130.072341</v>
      </c>
    </row>
    <row r="3058">
      <c r="A3058" s="3">
        <f>IFERROR(__xludf.DUMMYFUNCTION("""COMPUTED_VALUE"""),43425.99861111111)</f>
        <v>43425.99861</v>
      </c>
      <c r="B3058" s="1">
        <f>IFERROR(__xludf.DUMMYFUNCTION("""COMPUTED_VALUE"""),129.41698)</f>
        <v>129.41698</v>
      </c>
    </row>
    <row r="3059">
      <c r="A3059" s="3">
        <f>IFERROR(__xludf.DUMMYFUNCTION("""COMPUTED_VALUE"""),43426.99861111111)</f>
        <v>43426.99861</v>
      </c>
      <c r="B3059" s="1">
        <f>IFERROR(__xludf.DUMMYFUNCTION("""COMPUTED_VALUE"""),129.2173)</f>
        <v>129.2173</v>
      </c>
    </row>
    <row r="3060">
      <c r="A3060" s="3">
        <f>IFERROR(__xludf.DUMMYFUNCTION("""COMPUTED_VALUE"""),43427.99861111111)</f>
        <v>43427.99861</v>
      </c>
      <c r="B3060" s="1">
        <f>IFERROR(__xludf.DUMMYFUNCTION("""COMPUTED_VALUE"""),128.6621023)</f>
        <v>128.6621023</v>
      </c>
    </row>
    <row r="3061">
      <c r="A3061" s="3">
        <f>IFERROR(__xludf.DUMMYFUNCTION("""COMPUTED_VALUE"""),43428.99861111111)</f>
        <v>43428.99861</v>
      </c>
      <c r="B3061" s="1">
        <f>IFERROR(__xludf.DUMMYFUNCTION("""COMPUTED_VALUE"""),128.7446945)</f>
        <v>128.7446945</v>
      </c>
    </row>
    <row r="3062">
      <c r="A3062" s="3">
        <f>IFERROR(__xludf.DUMMYFUNCTION("""COMPUTED_VALUE"""),43429.99861111111)</f>
        <v>43429.99861</v>
      </c>
      <c r="B3062" s="1">
        <f>IFERROR(__xludf.DUMMYFUNCTION("""COMPUTED_VALUE"""),128.689715)</f>
        <v>128.689715</v>
      </c>
    </row>
    <row r="3063">
      <c r="A3063" s="3">
        <f>IFERROR(__xludf.DUMMYFUNCTION("""COMPUTED_VALUE"""),43430.99861111111)</f>
        <v>43430.99861</v>
      </c>
      <c r="B3063" s="1">
        <f>IFERROR(__xludf.DUMMYFUNCTION("""COMPUTED_VALUE"""),127.9674621)</f>
        <v>127.9674621</v>
      </c>
    </row>
    <row r="3064">
      <c r="A3064" s="3">
        <f>IFERROR(__xludf.DUMMYFUNCTION("""COMPUTED_VALUE"""),43431.99861111111)</f>
        <v>43431.99861</v>
      </c>
      <c r="B3064" s="1">
        <f>IFERROR(__xludf.DUMMYFUNCTION("""COMPUTED_VALUE"""),128.0749185)</f>
        <v>128.0749185</v>
      </c>
    </row>
    <row r="3065">
      <c r="A3065" s="3">
        <f>IFERROR(__xludf.DUMMYFUNCTION("""COMPUTED_VALUE"""),43432.99861111111)</f>
        <v>43432.99861</v>
      </c>
      <c r="B3065" s="1">
        <f>IFERROR(__xludf.DUMMYFUNCTION("""COMPUTED_VALUE"""),127.317093)</f>
        <v>127.317093</v>
      </c>
    </row>
    <row r="3066">
      <c r="A3066" s="3">
        <f>IFERROR(__xludf.DUMMYFUNCTION("""COMPUTED_VALUE"""),43433.99861111111)</f>
        <v>43433.99861</v>
      </c>
      <c r="B3066" s="1">
        <f>IFERROR(__xludf.DUMMYFUNCTION("""COMPUTED_VALUE"""),126.5668028)</f>
        <v>126.5668028</v>
      </c>
    </row>
    <row r="3067">
      <c r="A3067" s="3">
        <f>IFERROR(__xludf.DUMMYFUNCTION("""COMPUTED_VALUE"""),43434.99861111111)</f>
        <v>43434.99861</v>
      </c>
      <c r="B3067" s="1">
        <f>IFERROR(__xludf.DUMMYFUNCTION("""COMPUTED_VALUE"""),126.1578768)</f>
        <v>126.1578768</v>
      </c>
    </row>
    <row r="3068">
      <c r="A3068" s="3">
        <f>IFERROR(__xludf.DUMMYFUNCTION("""COMPUTED_VALUE"""),43435.99861111111)</f>
        <v>43435.99861</v>
      </c>
      <c r="B3068" s="1">
        <f>IFERROR(__xludf.DUMMYFUNCTION("""COMPUTED_VALUE"""),126.8274442)</f>
        <v>126.8274442</v>
      </c>
    </row>
    <row r="3069">
      <c r="A3069" s="3">
        <f>IFERROR(__xludf.DUMMYFUNCTION("""COMPUTED_VALUE"""),43436.99861111111)</f>
        <v>43436.99861</v>
      </c>
      <c r="B3069" s="1">
        <f>IFERROR(__xludf.DUMMYFUNCTION("""COMPUTED_VALUE"""),125.633248)</f>
        <v>125.633248</v>
      </c>
    </row>
    <row r="3070">
      <c r="A3070" s="3">
        <f>IFERROR(__xludf.DUMMYFUNCTION("""COMPUTED_VALUE"""),43437.99861111111)</f>
        <v>43437.99861</v>
      </c>
      <c r="B3070" s="1">
        <f>IFERROR(__xludf.DUMMYFUNCTION("""COMPUTED_VALUE"""),125.335)</f>
        <v>125.335</v>
      </c>
    </row>
    <row r="3071">
      <c r="A3071" s="3">
        <f>IFERROR(__xludf.DUMMYFUNCTION("""COMPUTED_VALUE"""),43438.99861111111)</f>
        <v>43438.99861</v>
      </c>
      <c r="B3071" s="1">
        <f>IFERROR(__xludf.DUMMYFUNCTION("""COMPUTED_VALUE"""),127.35)</f>
        <v>127.35</v>
      </c>
    </row>
    <row r="3072">
      <c r="A3072" s="3">
        <f>IFERROR(__xludf.DUMMYFUNCTION("""COMPUTED_VALUE"""),43439.99861111111)</f>
        <v>43439.99861</v>
      </c>
      <c r="B3072" s="1">
        <f>IFERROR(__xludf.DUMMYFUNCTION("""COMPUTED_VALUE"""),126.0)</f>
        <v>126</v>
      </c>
    </row>
    <row r="3073">
      <c r="A3073" s="3">
        <f>IFERROR(__xludf.DUMMYFUNCTION("""COMPUTED_VALUE"""),43440.99861111111)</f>
        <v>43440.99861</v>
      </c>
      <c r="B3073" s="1">
        <f>IFERROR(__xludf.DUMMYFUNCTION("""COMPUTED_VALUE"""),128.98)</f>
        <v>128.98</v>
      </c>
    </row>
    <row r="3074">
      <c r="A3074" s="3">
        <f>IFERROR(__xludf.DUMMYFUNCTION("""COMPUTED_VALUE"""),43441.99861111111)</f>
        <v>43441.99861</v>
      </c>
      <c r="B3074" s="1">
        <f>IFERROR(__xludf.DUMMYFUNCTION("""COMPUTED_VALUE"""),128.46)</f>
        <v>128.46</v>
      </c>
    </row>
    <row r="3075">
      <c r="A3075" s="3">
        <f>IFERROR(__xludf.DUMMYFUNCTION("""COMPUTED_VALUE"""),43442.99861111111)</f>
        <v>43442.99861</v>
      </c>
      <c r="B3075" s="1">
        <f>IFERROR(__xludf.DUMMYFUNCTION("""COMPUTED_VALUE"""),128.46)</f>
        <v>128.46</v>
      </c>
    </row>
    <row r="3076">
      <c r="A3076" s="3">
        <f>IFERROR(__xludf.DUMMYFUNCTION("""COMPUTED_VALUE"""),43443.99861111111)</f>
        <v>43443.99861</v>
      </c>
      <c r="B3076" s="1">
        <f>IFERROR(__xludf.DUMMYFUNCTION("""COMPUTED_VALUE"""),128.48)</f>
        <v>128.48</v>
      </c>
    </row>
    <row r="3077">
      <c r="A3077" s="3">
        <f>IFERROR(__xludf.DUMMYFUNCTION("""COMPUTED_VALUE"""),43444.99861111111)</f>
        <v>43444.99861</v>
      </c>
      <c r="B3077" s="1">
        <f>IFERROR(__xludf.DUMMYFUNCTION("""COMPUTED_VALUE"""),128.62)</f>
        <v>128.62</v>
      </c>
    </row>
    <row r="3078">
      <c r="A3078" s="3">
        <f>IFERROR(__xludf.DUMMYFUNCTION("""COMPUTED_VALUE"""),43445.99861111111)</f>
        <v>43445.99861</v>
      </c>
      <c r="B3078" s="1">
        <f>IFERROR(__xludf.DUMMYFUNCTION("""COMPUTED_VALUE"""),128.66)</f>
        <v>128.66</v>
      </c>
    </row>
    <row r="3079">
      <c r="A3079" s="3">
        <f>IFERROR(__xludf.DUMMYFUNCTION("""COMPUTED_VALUE"""),43446.99861111111)</f>
        <v>43446.99861</v>
      </c>
      <c r="B3079" s="1">
        <f>IFERROR(__xludf.DUMMYFUNCTION("""COMPUTED_VALUE"""),128.69)</f>
        <v>128.69</v>
      </c>
    </row>
    <row r="3080">
      <c r="A3080" s="3">
        <f>IFERROR(__xludf.DUMMYFUNCTION("""COMPUTED_VALUE"""),43447.99861111111)</f>
        <v>43447.99861</v>
      </c>
      <c r="B3080" s="1">
        <f>IFERROR(__xludf.DUMMYFUNCTION("""COMPUTED_VALUE"""),128.52)</f>
        <v>128.52</v>
      </c>
    </row>
    <row r="3081">
      <c r="A3081" s="3">
        <f>IFERROR(__xludf.DUMMYFUNCTION("""COMPUTED_VALUE"""),43448.99861111111)</f>
        <v>43448.99861</v>
      </c>
      <c r="B3081" s="1">
        <f>IFERROR(__xludf.DUMMYFUNCTION("""COMPUTED_VALUE"""),128.48)</f>
        <v>128.48</v>
      </c>
    </row>
    <row r="3082">
      <c r="A3082" s="3">
        <f>IFERROR(__xludf.DUMMYFUNCTION("""COMPUTED_VALUE"""),43449.99861111111)</f>
        <v>43449.99861</v>
      </c>
      <c r="B3082" s="1">
        <f>IFERROR(__xludf.DUMMYFUNCTION("""COMPUTED_VALUE"""),128.48)</f>
        <v>128.48</v>
      </c>
    </row>
    <row r="3083">
      <c r="A3083" s="3">
        <f>IFERROR(__xludf.DUMMYFUNCTION("""COMPUTED_VALUE"""),43450.99861111111)</f>
        <v>43450.99861</v>
      </c>
      <c r="B3083" s="1">
        <f>IFERROR(__xludf.DUMMYFUNCTION("""COMPUTED_VALUE"""),128.58)</f>
        <v>128.58</v>
      </c>
    </row>
    <row r="3084">
      <c r="A3084" s="3">
        <f>IFERROR(__xludf.DUMMYFUNCTION("""COMPUTED_VALUE"""),43451.99861111111)</f>
        <v>43451.99861</v>
      </c>
      <c r="B3084" s="1">
        <f>IFERROR(__xludf.DUMMYFUNCTION("""COMPUTED_VALUE"""),129.21)</f>
        <v>129.21</v>
      </c>
    </row>
    <row r="3085">
      <c r="A3085" s="3">
        <f>IFERROR(__xludf.DUMMYFUNCTION("""COMPUTED_VALUE"""),43452.99861111111)</f>
        <v>43452.99861</v>
      </c>
      <c r="B3085" s="1">
        <f>IFERROR(__xludf.DUMMYFUNCTION("""COMPUTED_VALUE"""),128.745)</f>
        <v>128.745</v>
      </c>
    </row>
    <row r="3086">
      <c r="A3086" s="3">
        <f>IFERROR(__xludf.DUMMYFUNCTION("""COMPUTED_VALUE"""),43453.99861111111)</f>
        <v>43453.99861</v>
      </c>
      <c r="B3086" s="1">
        <f>IFERROR(__xludf.DUMMYFUNCTION("""COMPUTED_VALUE"""),128.92)</f>
        <v>128.92</v>
      </c>
    </row>
    <row r="3087">
      <c r="A3087" s="3">
        <f>IFERROR(__xludf.DUMMYFUNCTION("""COMPUTED_VALUE"""),43454.99861111111)</f>
        <v>43454.99861</v>
      </c>
      <c r="B3087" s="1">
        <f>IFERROR(__xludf.DUMMYFUNCTION("""COMPUTED_VALUE"""),129.73)</f>
        <v>129.73</v>
      </c>
    </row>
    <row r="3088">
      <c r="A3088" s="3">
        <f>IFERROR(__xludf.DUMMYFUNCTION("""COMPUTED_VALUE"""),43455.99861111111)</f>
        <v>43455.99861</v>
      </c>
      <c r="B3088" s="1">
        <f>IFERROR(__xludf.DUMMYFUNCTION("""COMPUTED_VALUE"""),130.93)</f>
        <v>130.93</v>
      </c>
    </row>
    <row r="3089">
      <c r="A3089" s="3">
        <f>IFERROR(__xludf.DUMMYFUNCTION("""COMPUTED_VALUE"""),43456.99861111111)</f>
        <v>43456.99861</v>
      </c>
      <c r="B3089" s="1">
        <f>IFERROR(__xludf.DUMMYFUNCTION("""COMPUTED_VALUE"""),131.13)</f>
        <v>131.13</v>
      </c>
    </row>
    <row r="3090">
      <c r="A3090" s="3">
        <f>IFERROR(__xludf.DUMMYFUNCTION("""COMPUTED_VALUE"""),43457.99861111111)</f>
        <v>43457.99861</v>
      </c>
      <c r="B3090" s="1">
        <f>IFERROR(__xludf.DUMMYFUNCTION("""COMPUTED_VALUE"""),131.17)</f>
        <v>131.17</v>
      </c>
    </row>
    <row r="3091">
      <c r="A3091" s="3">
        <f>IFERROR(__xludf.DUMMYFUNCTION("""COMPUTED_VALUE"""),43458.99861111111)</f>
        <v>43458.99861</v>
      </c>
      <c r="B3091" s="1">
        <f>IFERROR(__xludf.DUMMYFUNCTION("""COMPUTED_VALUE"""),131.76)</f>
        <v>131.76</v>
      </c>
    </row>
    <row r="3092">
      <c r="A3092" s="3">
        <f>IFERROR(__xludf.DUMMYFUNCTION("""COMPUTED_VALUE"""),43459.99861111111)</f>
        <v>43459.99861</v>
      </c>
      <c r="B3092" s="1">
        <f>IFERROR(__xludf.DUMMYFUNCTION("""COMPUTED_VALUE"""),131.645)</f>
        <v>131.645</v>
      </c>
    </row>
    <row r="3093">
      <c r="A3093" s="3">
        <f>IFERROR(__xludf.DUMMYFUNCTION("""COMPUTED_VALUE"""),43460.99861111111)</f>
        <v>43460.99861</v>
      </c>
      <c r="B3093" s="1">
        <f>IFERROR(__xludf.DUMMYFUNCTION("""COMPUTED_VALUE"""),130.88)</f>
        <v>130.88</v>
      </c>
    </row>
    <row r="3094">
      <c r="A3094" s="3">
        <f>IFERROR(__xludf.DUMMYFUNCTION("""COMPUTED_VALUE"""),43461.99861111111)</f>
        <v>43461.99861</v>
      </c>
      <c r="B3094" s="1">
        <f>IFERROR(__xludf.DUMMYFUNCTION("""COMPUTED_VALUE"""),131.44)</f>
        <v>131.44</v>
      </c>
    </row>
    <row r="3095">
      <c r="A3095" s="3">
        <f>IFERROR(__xludf.DUMMYFUNCTION("""COMPUTED_VALUE"""),43462.99861111111)</f>
        <v>43462.99861</v>
      </c>
      <c r="B3095" s="1">
        <f>IFERROR(__xludf.DUMMYFUNCTION("""COMPUTED_VALUE"""),132.06)</f>
        <v>132.06</v>
      </c>
    </row>
    <row r="3096">
      <c r="A3096" s="3">
        <f>IFERROR(__xludf.DUMMYFUNCTION("""COMPUTED_VALUE"""),43463.99861111111)</f>
        <v>43463.99861</v>
      </c>
      <c r="B3096" s="1">
        <f>IFERROR(__xludf.DUMMYFUNCTION("""COMPUTED_VALUE"""),132.06)</f>
        <v>132.06</v>
      </c>
    </row>
    <row r="3097">
      <c r="A3097" s="3">
        <f>IFERROR(__xludf.DUMMYFUNCTION("""COMPUTED_VALUE"""),43464.99861111111)</f>
        <v>43464.99861</v>
      </c>
      <c r="B3097" s="1">
        <f>IFERROR(__xludf.DUMMYFUNCTION("""COMPUTED_VALUE"""),131.91)</f>
        <v>131.91</v>
      </c>
    </row>
    <row r="3098">
      <c r="A3098" s="3">
        <f>IFERROR(__xludf.DUMMYFUNCTION("""COMPUTED_VALUE"""),43465.99861111111)</f>
        <v>43465.99861</v>
      </c>
      <c r="B3098" s="1">
        <f>IFERROR(__xludf.DUMMYFUNCTION("""COMPUTED_VALUE"""),131.45)</f>
        <v>131.45</v>
      </c>
    </row>
    <row r="3099">
      <c r="A3099" s="3">
        <f>IFERROR(__xludf.DUMMYFUNCTION("""COMPUTED_VALUE"""),43466.99861111111)</f>
        <v>43466.99861</v>
      </c>
      <c r="B3099" s="1">
        <f>IFERROR(__xludf.DUMMYFUNCTION("""COMPUTED_VALUE"""),130.97)</f>
        <v>130.97</v>
      </c>
    </row>
    <row r="3100">
      <c r="A3100" s="3">
        <f>IFERROR(__xludf.DUMMYFUNCTION("""COMPUTED_VALUE"""),43467.99861111111)</f>
        <v>43467.99861</v>
      </c>
      <c r="B3100" s="1">
        <f>IFERROR(__xludf.DUMMYFUNCTION("""COMPUTED_VALUE"""),134.74)</f>
        <v>134.74</v>
      </c>
    </row>
    <row r="3101">
      <c r="A3101" s="3">
        <f>IFERROR(__xludf.DUMMYFUNCTION("""COMPUTED_VALUE"""),43468.99861111111)</f>
        <v>43468.99861</v>
      </c>
      <c r="B3101" s="1">
        <f>IFERROR(__xludf.DUMMYFUNCTION("""COMPUTED_VALUE"""),133.64)</f>
        <v>133.64</v>
      </c>
    </row>
    <row r="3102">
      <c r="A3102" s="3">
        <f>IFERROR(__xludf.DUMMYFUNCTION("""COMPUTED_VALUE"""),43469.99861111111)</f>
        <v>43469.99861</v>
      </c>
      <c r="B3102" s="1">
        <f>IFERROR(__xludf.DUMMYFUNCTION("""COMPUTED_VALUE"""),132.165)</f>
        <v>132.165</v>
      </c>
    </row>
    <row r="3103">
      <c r="A3103" s="3">
        <f>IFERROR(__xludf.DUMMYFUNCTION("""COMPUTED_VALUE"""),43470.99861111111)</f>
        <v>43470.99861</v>
      </c>
      <c r="B3103" s="1">
        <f>IFERROR(__xludf.DUMMYFUNCTION("""COMPUTED_VALUE"""),132.165)</f>
        <v>132.165</v>
      </c>
    </row>
    <row r="3104">
      <c r="A3104" s="3">
        <f>IFERROR(__xludf.DUMMYFUNCTION("""COMPUTED_VALUE"""),43471.99861111111)</f>
        <v>43471.99861</v>
      </c>
      <c r="B3104" s="1">
        <f>IFERROR(__xludf.DUMMYFUNCTION("""COMPUTED_VALUE"""),132.17)</f>
        <v>132.17</v>
      </c>
    </row>
    <row r="3105">
      <c r="A3105" s="3">
        <f>IFERROR(__xludf.DUMMYFUNCTION("""COMPUTED_VALUE"""),43472.99861111111)</f>
        <v>43472.99861</v>
      </c>
      <c r="B3105" s="1">
        <f>IFERROR(__xludf.DUMMYFUNCTION("""COMPUTED_VALUE"""),129.64)</f>
        <v>129.64</v>
      </c>
    </row>
    <row r="3106">
      <c r="A3106" s="3">
        <f>IFERROR(__xludf.DUMMYFUNCTION("""COMPUTED_VALUE"""),43473.99861111111)</f>
        <v>43473.99861</v>
      </c>
      <c r="B3106" s="1">
        <f>IFERROR(__xludf.DUMMYFUNCTION("""COMPUTED_VALUE"""),129.98)</f>
        <v>129.98</v>
      </c>
    </row>
    <row r="3107">
      <c r="A3107" s="3">
        <f>IFERROR(__xludf.DUMMYFUNCTION("""COMPUTED_VALUE"""),43474.99861111111)</f>
        <v>43474.99861</v>
      </c>
      <c r="B3107" s="1">
        <f>IFERROR(__xludf.DUMMYFUNCTION("""COMPUTED_VALUE"""),129.46)</f>
        <v>129.46</v>
      </c>
    </row>
    <row r="3108">
      <c r="A3108" s="3">
        <f>IFERROR(__xludf.DUMMYFUNCTION("""COMPUTED_VALUE"""),43475.99861111111)</f>
        <v>43475.99861</v>
      </c>
      <c r="B3108" s="1">
        <f>IFERROR(__xludf.DUMMYFUNCTION("""COMPUTED_VALUE"""),129.89)</f>
        <v>129.89</v>
      </c>
    </row>
    <row r="3109">
      <c r="A3109" s="3">
        <f>IFERROR(__xludf.DUMMYFUNCTION("""COMPUTED_VALUE"""),43476.99861111111)</f>
        <v>43476.99861</v>
      </c>
      <c r="B3109" s="1">
        <f>IFERROR(__xludf.DUMMYFUNCTION("""COMPUTED_VALUE"""),130.01)</f>
        <v>130.01</v>
      </c>
    </row>
    <row r="3110">
      <c r="A3110" s="3">
        <f>IFERROR(__xludf.DUMMYFUNCTION("""COMPUTED_VALUE"""),43477.99861111111)</f>
        <v>43477.99861</v>
      </c>
      <c r="B3110" s="1">
        <f>IFERROR(__xludf.DUMMYFUNCTION("""COMPUTED_VALUE"""),130.01)</f>
        <v>130.01</v>
      </c>
    </row>
    <row r="3111">
      <c r="A3111" s="3">
        <f>IFERROR(__xludf.DUMMYFUNCTION("""COMPUTED_VALUE"""),43478.99861111111)</f>
        <v>43478.99861</v>
      </c>
      <c r="B3111" s="1">
        <f>IFERROR(__xludf.DUMMYFUNCTION("""COMPUTED_VALUE"""),130.21)</f>
        <v>130.21</v>
      </c>
    </row>
    <row r="3112">
      <c r="A3112" s="3">
        <f>IFERROR(__xludf.DUMMYFUNCTION("""COMPUTED_VALUE"""),43479.99861111111)</f>
        <v>43479.99861</v>
      </c>
      <c r="B3112" s="1">
        <f>IFERROR(__xludf.DUMMYFUNCTION("""COMPUTED_VALUE"""),130.52)</f>
        <v>130.52</v>
      </c>
    </row>
    <row r="3113">
      <c r="A3113" s="3">
        <f>IFERROR(__xludf.DUMMYFUNCTION("""COMPUTED_VALUE"""),43480.99861111111)</f>
        <v>43480.99861</v>
      </c>
      <c r="B3113" s="1">
        <f>IFERROR(__xludf.DUMMYFUNCTION("""COMPUTED_VALUE"""),129.69)</f>
        <v>129.69</v>
      </c>
    </row>
    <row r="3114">
      <c r="A3114" s="3">
        <f>IFERROR(__xludf.DUMMYFUNCTION("""COMPUTED_VALUE"""),43481.99861111111)</f>
        <v>43481.99861</v>
      </c>
      <c r="B3114" s="1">
        <f>IFERROR(__xludf.DUMMYFUNCTION("""COMPUTED_VALUE"""),129.58)</f>
        <v>129.58</v>
      </c>
    </row>
    <row r="3115">
      <c r="A3115" s="3">
        <f>IFERROR(__xludf.DUMMYFUNCTION("""COMPUTED_VALUE"""),43482.99861111111)</f>
        <v>43482.99861</v>
      </c>
      <c r="B3115" s="1">
        <f>IFERROR(__xludf.DUMMYFUNCTION("""COMPUTED_VALUE"""),129.94)</f>
        <v>129.94</v>
      </c>
    </row>
    <row r="3116">
      <c r="A3116" s="3">
        <f>IFERROR(__xludf.DUMMYFUNCTION("""COMPUTED_VALUE"""),43483.99861111111)</f>
        <v>43483.99861</v>
      </c>
      <c r="B3116" s="1">
        <f>IFERROR(__xludf.DUMMYFUNCTION("""COMPUTED_VALUE"""),128.96)</f>
        <v>128.96</v>
      </c>
    </row>
    <row r="3117">
      <c r="A3117" s="3">
        <f>IFERROR(__xludf.DUMMYFUNCTION("""COMPUTED_VALUE"""),43484.99861111111)</f>
        <v>43484.99861</v>
      </c>
      <c r="B3117" s="1">
        <f>IFERROR(__xludf.DUMMYFUNCTION("""COMPUTED_VALUE"""),128.96)</f>
        <v>128.96</v>
      </c>
    </row>
    <row r="3118">
      <c r="A3118" s="3">
        <f>IFERROR(__xludf.DUMMYFUNCTION("""COMPUTED_VALUE"""),43485.99861111111)</f>
        <v>43485.99861</v>
      </c>
      <c r="B3118" s="1">
        <f>IFERROR(__xludf.DUMMYFUNCTION("""COMPUTED_VALUE"""),129.11)</f>
        <v>129.11</v>
      </c>
    </row>
    <row r="3119">
      <c r="A3119" s="3">
        <f>IFERROR(__xludf.DUMMYFUNCTION("""COMPUTED_VALUE"""),43486.99861111111)</f>
        <v>43486.99861</v>
      </c>
      <c r="B3119" s="1">
        <f>IFERROR(__xludf.DUMMYFUNCTION("""COMPUTED_VALUE"""),129.67)</f>
        <v>129.67</v>
      </c>
    </row>
    <row r="3120">
      <c r="A3120" s="3">
        <f>IFERROR(__xludf.DUMMYFUNCTION("""COMPUTED_VALUE"""),43487.99861111111)</f>
        <v>43487.99861</v>
      </c>
      <c r="B3120" s="1">
        <f>IFERROR(__xludf.DUMMYFUNCTION("""COMPUTED_VALUE"""),130.04)</f>
        <v>130.04</v>
      </c>
    </row>
    <row r="3121">
      <c r="A3121" s="3">
        <f>IFERROR(__xludf.DUMMYFUNCTION("""COMPUTED_VALUE"""),43488.99861111111)</f>
        <v>43488.99861</v>
      </c>
      <c r="B3121" s="1">
        <f>IFERROR(__xludf.DUMMYFUNCTION("""COMPUTED_VALUE"""),129.57)</f>
        <v>129.57</v>
      </c>
    </row>
    <row r="3122">
      <c r="A3122" s="3">
        <f>IFERROR(__xludf.DUMMYFUNCTION("""COMPUTED_VALUE"""),43489.99861111111)</f>
        <v>43489.99861</v>
      </c>
      <c r="B3122" s="1">
        <f>IFERROR(__xludf.DUMMYFUNCTION("""COMPUTED_VALUE"""),129.08)</f>
        <v>129.08</v>
      </c>
    </row>
    <row r="3123">
      <c r="A3123" s="3">
        <f>IFERROR(__xludf.DUMMYFUNCTION("""COMPUTED_VALUE"""),43490.99861111111)</f>
        <v>43490.99861</v>
      </c>
      <c r="B3123" s="1">
        <f>IFERROR(__xludf.DUMMYFUNCTION("""COMPUTED_VALUE"""),128.14)</f>
        <v>128.14</v>
      </c>
    </row>
    <row r="3124">
      <c r="A3124" s="3">
        <f>IFERROR(__xludf.DUMMYFUNCTION("""COMPUTED_VALUE"""),43491.99861111111)</f>
        <v>43491.99861</v>
      </c>
      <c r="B3124" s="1">
        <f>IFERROR(__xludf.DUMMYFUNCTION("""COMPUTED_VALUE"""),127.95)</f>
        <v>127.95</v>
      </c>
    </row>
    <row r="3125">
      <c r="A3125" s="3">
        <f>IFERROR(__xludf.DUMMYFUNCTION("""COMPUTED_VALUE"""),43492.99861111111)</f>
        <v>43492.99861</v>
      </c>
      <c r="B3125" s="1">
        <f>IFERROR(__xludf.DUMMYFUNCTION("""COMPUTED_VALUE"""),127.995)</f>
        <v>127.995</v>
      </c>
    </row>
    <row r="3126">
      <c r="A3126" s="3">
        <f>IFERROR(__xludf.DUMMYFUNCTION("""COMPUTED_VALUE"""),43493.99861111111)</f>
        <v>43493.99861</v>
      </c>
      <c r="B3126" s="1">
        <f>IFERROR(__xludf.DUMMYFUNCTION("""COMPUTED_VALUE"""),128.73)</f>
        <v>128.73</v>
      </c>
    </row>
    <row r="3127">
      <c r="A3127" s="3">
        <f>IFERROR(__xludf.DUMMYFUNCTION("""COMPUTED_VALUE"""),43494.99861111111)</f>
        <v>43494.99861</v>
      </c>
      <c r="B3127" s="1">
        <f>IFERROR(__xludf.DUMMYFUNCTION("""COMPUTED_VALUE"""),128.71)</f>
        <v>128.71</v>
      </c>
    </row>
    <row r="3128">
      <c r="A3128" s="3">
        <f>IFERROR(__xludf.DUMMYFUNCTION("""COMPUTED_VALUE"""),43495.99861111111)</f>
        <v>43495.99861</v>
      </c>
      <c r="B3128" s="1">
        <f>IFERROR(__xludf.DUMMYFUNCTION("""COMPUTED_VALUE"""),129.58)</f>
        <v>129.58</v>
      </c>
    </row>
    <row r="3129">
      <c r="A3129" s="3">
        <f>IFERROR(__xludf.DUMMYFUNCTION("""COMPUTED_VALUE"""),43496.99861111111)</f>
        <v>43496.99861</v>
      </c>
      <c r="B3129" s="1">
        <f>IFERROR(__xludf.DUMMYFUNCTION("""COMPUTED_VALUE"""),128.815)</f>
        <v>128.815</v>
      </c>
    </row>
    <row r="3130">
      <c r="A3130" s="3">
        <f>IFERROR(__xludf.DUMMYFUNCTION("""COMPUTED_VALUE"""),43497.99861111111)</f>
        <v>43497.99861</v>
      </c>
      <c r="B3130" s="1">
        <f>IFERROR(__xludf.DUMMYFUNCTION("""COMPUTED_VALUE"""),127.41)</f>
        <v>127.41</v>
      </c>
    </row>
    <row r="3131">
      <c r="A3131" s="3">
        <f>IFERROR(__xludf.DUMMYFUNCTION("""COMPUTED_VALUE"""),43498.99861111111)</f>
        <v>43498.99861</v>
      </c>
      <c r="B3131" s="1">
        <f>IFERROR(__xludf.DUMMYFUNCTION("""COMPUTED_VALUE"""),127.41)</f>
        <v>127.41</v>
      </c>
    </row>
    <row r="3132">
      <c r="A3132" s="3">
        <f>IFERROR(__xludf.DUMMYFUNCTION("""COMPUTED_VALUE"""),43499.99861111111)</f>
        <v>43499.99861</v>
      </c>
      <c r="B3132" s="1">
        <f>IFERROR(__xludf.DUMMYFUNCTION("""COMPUTED_VALUE"""),127.48)</f>
        <v>127.48</v>
      </c>
    </row>
    <row r="3133">
      <c r="A3133" s="3">
        <f>IFERROR(__xludf.DUMMYFUNCTION("""COMPUTED_VALUE"""),43500.99861111111)</f>
        <v>43500.99861</v>
      </c>
      <c r="B3133" s="1">
        <f>IFERROR(__xludf.DUMMYFUNCTION("""COMPUTED_VALUE"""),126.87)</f>
        <v>126.87</v>
      </c>
    </row>
    <row r="3134">
      <c r="A3134" s="3">
        <f>IFERROR(__xludf.DUMMYFUNCTION("""COMPUTED_VALUE"""),43501.99861111111)</f>
        <v>43501.99861</v>
      </c>
      <c r="B3134" s="1">
        <f>IFERROR(__xludf.DUMMYFUNCTION("""COMPUTED_VALUE"""),127.075)</f>
        <v>127.075</v>
      </c>
    </row>
    <row r="3135">
      <c r="A3135" s="3">
        <f>IFERROR(__xludf.DUMMYFUNCTION("""COMPUTED_VALUE"""),43502.99861111111)</f>
        <v>43502.99861</v>
      </c>
      <c r="B3135" s="1">
        <f>IFERROR(__xludf.DUMMYFUNCTION("""COMPUTED_VALUE"""),126.55)</f>
        <v>126.55</v>
      </c>
    </row>
    <row r="3136">
      <c r="A3136" s="3">
        <f>IFERROR(__xludf.DUMMYFUNCTION("""COMPUTED_VALUE"""),43503.99861111111)</f>
        <v>43503.99861</v>
      </c>
      <c r="B3136" s="1">
        <f>IFERROR(__xludf.DUMMYFUNCTION("""COMPUTED_VALUE"""),127.43)</f>
        <v>127.43</v>
      </c>
    </row>
    <row r="3137">
      <c r="A3137" s="3">
        <f>IFERROR(__xludf.DUMMYFUNCTION("""COMPUTED_VALUE"""),43504.99861111111)</f>
        <v>43504.99861</v>
      </c>
      <c r="B3137" s="1">
        <f>IFERROR(__xludf.DUMMYFUNCTION("""COMPUTED_VALUE"""),127.12)</f>
        <v>127.12</v>
      </c>
    </row>
    <row r="3138">
      <c r="A3138" s="3">
        <f>IFERROR(__xludf.DUMMYFUNCTION("""COMPUTED_VALUE"""),43505.99861111111)</f>
        <v>43505.99861</v>
      </c>
      <c r="B3138" s="1">
        <f>IFERROR(__xludf.DUMMYFUNCTION("""COMPUTED_VALUE"""),127.305)</f>
        <v>127.305</v>
      </c>
    </row>
    <row r="3139">
      <c r="A3139" s="3">
        <f>IFERROR(__xludf.DUMMYFUNCTION("""COMPUTED_VALUE"""),43506.99861111111)</f>
        <v>43506.99861</v>
      </c>
      <c r="B3139" s="1">
        <f>IFERROR(__xludf.DUMMYFUNCTION("""COMPUTED_VALUE"""),127.32)</f>
        <v>127.32</v>
      </c>
    </row>
    <row r="3140">
      <c r="A3140" s="3">
        <f>IFERROR(__xludf.DUMMYFUNCTION("""COMPUTED_VALUE"""),43507.99861111111)</f>
        <v>43507.99861</v>
      </c>
      <c r="B3140" s="1">
        <f>IFERROR(__xludf.DUMMYFUNCTION("""COMPUTED_VALUE"""),127.1)</f>
        <v>127.1</v>
      </c>
    </row>
    <row r="3141">
      <c r="A3141" s="3">
        <f>IFERROR(__xludf.DUMMYFUNCTION("""COMPUTED_VALUE"""),43508.99861111111)</f>
        <v>43508.99861</v>
      </c>
      <c r="B3141" s="1">
        <f>IFERROR(__xludf.DUMMYFUNCTION("""COMPUTED_VALUE"""),127.3)</f>
        <v>127.3</v>
      </c>
    </row>
    <row r="3142">
      <c r="A3142" s="3">
        <f>IFERROR(__xludf.DUMMYFUNCTION("""COMPUTED_VALUE"""),43509.99861111111)</f>
        <v>43509.99861</v>
      </c>
      <c r="B3142" s="1">
        <f>IFERROR(__xludf.DUMMYFUNCTION("""COMPUTED_VALUE"""),126.87)</f>
        <v>126.87</v>
      </c>
    </row>
    <row r="3143">
      <c r="A3143" s="3">
        <f>IFERROR(__xludf.DUMMYFUNCTION("""COMPUTED_VALUE"""),43510.99861111111)</f>
        <v>43510.99861</v>
      </c>
      <c r="B3143" s="1">
        <f>IFERROR(__xludf.DUMMYFUNCTION("""COMPUTED_VALUE"""),127.44)</f>
        <v>127.44</v>
      </c>
    </row>
    <row r="3144">
      <c r="A3144" s="3">
        <f>IFERROR(__xludf.DUMMYFUNCTION("""COMPUTED_VALUE"""),43511.99861111111)</f>
        <v>43511.99861</v>
      </c>
      <c r="B3144" s="1">
        <f>IFERROR(__xludf.DUMMYFUNCTION("""COMPUTED_VALUE"""),127.74)</f>
        <v>127.74</v>
      </c>
    </row>
    <row r="3145">
      <c r="A3145" s="3">
        <f>IFERROR(__xludf.DUMMYFUNCTION("""COMPUTED_VALUE"""),43512.99861111111)</f>
        <v>43512.99861</v>
      </c>
      <c r="B3145" s="1">
        <f>IFERROR(__xludf.DUMMYFUNCTION("""COMPUTED_VALUE"""),127.74)</f>
        <v>127.74</v>
      </c>
    </row>
    <row r="3146">
      <c r="A3146" s="3">
        <f>IFERROR(__xludf.DUMMYFUNCTION("""COMPUTED_VALUE"""),43513.99861111111)</f>
        <v>43513.99861</v>
      </c>
      <c r="B3146" s="1">
        <f>IFERROR(__xludf.DUMMYFUNCTION("""COMPUTED_VALUE"""),127.68)</f>
        <v>127.68</v>
      </c>
    </row>
    <row r="3147">
      <c r="A3147" s="3">
        <f>IFERROR(__xludf.DUMMYFUNCTION("""COMPUTED_VALUE"""),43514.99861111111)</f>
        <v>43514.99861</v>
      </c>
      <c r="B3147" s="1">
        <f>IFERROR(__xludf.DUMMYFUNCTION("""COMPUTED_VALUE"""),127.75)</f>
        <v>127.75</v>
      </c>
    </row>
    <row r="3148">
      <c r="A3148" s="3">
        <f>IFERROR(__xludf.DUMMYFUNCTION("""COMPUTED_VALUE"""),43515.99861111111)</f>
        <v>43515.99861</v>
      </c>
      <c r="B3148" s="1">
        <f>IFERROR(__xludf.DUMMYFUNCTION("""COMPUTED_VALUE"""),127.65)</f>
        <v>127.65</v>
      </c>
    </row>
    <row r="3149">
      <c r="A3149" s="3">
        <f>IFERROR(__xludf.DUMMYFUNCTION("""COMPUTED_VALUE"""),43516.99861111111)</f>
        <v>43516.99861</v>
      </c>
      <c r="B3149" s="1">
        <f>IFERROR(__xludf.DUMMYFUNCTION("""COMPUTED_VALUE"""),127.0)</f>
        <v>127</v>
      </c>
    </row>
    <row r="3150">
      <c r="A3150" s="3">
        <f>IFERROR(__xludf.DUMMYFUNCTION("""COMPUTED_VALUE"""),43517.99861111111)</f>
        <v>43517.99861</v>
      </c>
      <c r="B3150" s="1">
        <f>IFERROR(__xludf.DUMMYFUNCTION("""COMPUTED_VALUE"""),126.93)</f>
        <v>126.93</v>
      </c>
    </row>
    <row r="3151">
      <c r="A3151" s="3">
        <f>IFERROR(__xludf.DUMMYFUNCTION("""COMPUTED_VALUE"""),43518.99861111111)</f>
        <v>43518.99861</v>
      </c>
      <c r="B3151" s="1">
        <f>IFERROR(__xludf.DUMMYFUNCTION("""COMPUTED_VALUE"""),126.92)</f>
        <v>126.92</v>
      </c>
    </row>
    <row r="3152">
      <c r="A3152" s="3">
        <f>IFERROR(__xludf.DUMMYFUNCTION("""COMPUTED_VALUE"""),43519.99861111111)</f>
        <v>43519.99861</v>
      </c>
      <c r="B3152" s="1">
        <f>IFERROR(__xludf.DUMMYFUNCTION("""COMPUTED_VALUE"""),126.95)</f>
        <v>126.95</v>
      </c>
    </row>
    <row r="3153">
      <c r="A3153" s="3">
        <f>IFERROR(__xludf.DUMMYFUNCTION("""COMPUTED_VALUE"""),43520.99861111111)</f>
        <v>43520.99861</v>
      </c>
      <c r="B3153" s="1">
        <f>IFERROR(__xludf.DUMMYFUNCTION("""COMPUTED_VALUE"""),126.93)</f>
        <v>126.93</v>
      </c>
    </row>
    <row r="3154">
      <c r="A3154" s="3">
        <f>IFERROR(__xludf.DUMMYFUNCTION("""COMPUTED_VALUE"""),43521.99861111111)</f>
        <v>43521.99861</v>
      </c>
      <c r="B3154" s="1">
        <f>IFERROR(__xludf.DUMMYFUNCTION("""COMPUTED_VALUE"""),126.26)</f>
        <v>126.26</v>
      </c>
    </row>
    <row r="3155">
      <c r="A3155" s="3">
        <f>IFERROR(__xludf.DUMMYFUNCTION("""COMPUTED_VALUE"""),43522.99861111111)</f>
        <v>43522.99861</v>
      </c>
      <c r="B3155" s="1">
        <f>IFERROR(__xludf.DUMMYFUNCTION("""COMPUTED_VALUE"""),126.315)</f>
        <v>126.315</v>
      </c>
    </row>
    <row r="3156">
      <c r="A3156" s="3">
        <f>IFERROR(__xludf.DUMMYFUNCTION("""COMPUTED_VALUE"""),43523.99861111111)</f>
        <v>43523.99861</v>
      </c>
      <c r="B3156" s="1">
        <f>IFERROR(__xludf.DUMMYFUNCTION("""COMPUTED_VALUE"""),126.48)</f>
        <v>126.48</v>
      </c>
    </row>
    <row r="3157">
      <c r="A3157" s="3">
        <f>IFERROR(__xludf.DUMMYFUNCTION("""COMPUTED_VALUE"""),43524.99861111111)</f>
        <v>43524.99861</v>
      </c>
      <c r="B3157" s="1">
        <f>IFERROR(__xludf.DUMMYFUNCTION("""COMPUTED_VALUE"""),126.37)</f>
        <v>126.37</v>
      </c>
    </row>
    <row r="3158">
      <c r="A3158" s="3">
        <f>IFERROR(__xludf.DUMMYFUNCTION("""COMPUTED_VALUE"""),43525.99861111111)</f>
        <v>43525.99861</v>
      </c>
      <c r="B3158" s="1">
        <f>IFERROR(__xludf.DUMMYFUNCTION("""COMPUTED_VALUE"""),126.01)</f>
        <v>126.01</v>
      </c>
    </row>
    <row r="3159">
      <c r="A3159" s="3">
        <f>IFERROR(__xludf.DUMMYFUNCTION("""COMPUTED_VALUE"""),43526.99861111111)</f>
        <v>43526.99861</v>
      </c>
      <c r="B3159" s="1">
        <f>IFERROR(__xludf.DUMMYFUNCTION("""COMPUTED_VALUE"""),126.01)</f>
        <v>126.01</v>
      </c>
    </row>
    <row r="3160">
      <c r="A3160" s="3">
        <f>IFERROR(__xludf.DUMMYFUNCTION("""COMPUTED_VALUE"""),43527.99861111111)</f>
        <v>43527.99861</v>
      </c>
      <c r="B3160" s="1">
        <f>IFERROR(__xludf.DUMMYFUNCTION("""COMPUTED_VALUE"""),125.995)</f>
        <v>125.995</v>
      </c>
    </row>
    <row r="3161">
      <c r="A3161" s="3">
        <f>IFERROR(__xludf.DUMMYFUNCTION("""COMPUTED_VALUE"""),43528.99861111111)</f>
        <v>43528.99861</v>
      </c>
      <c r="B3161" s="1">
        <f>IFERROR(__xludf.DUMMYFUNCTION("""COMPUTED_VALUE"""),126.39)</f>
        <v>126.39</v>
      </c>
    </row>
    <row r="3162">
      <c r="A3162" s="3">
        <f>IFERROR(__xludf.DUMMYFUNCTION("""COMPUTED_VALUE"""),43529.99861111111)</f>
        <v>43529.99861</v>
      </c>
      <c r="B3162" s="1">
        <f>IFERROR(__xludf.DUMMYFUNCTION("""COMPUTED_VALUE"""),126.64)</f>
        <v>126.64</v>
      </c>
    </row>
    <row r="3163">
      <c r="A3163" s="3">
        <f>IFERROR(__xludf.DUMMYFUNCTION("""COMPUTED_VALUE"""),43530.99861111111)</f>
        <v>43530.99861</v>
      </c>
      <c r="B3163" s="1">
        <f>IFERROR(__xludf.DUMMYFUNCTION("""COMPUTED_VALUE"""),126.69)</f>
        <v>126.69</v>
      </c>
    </row>
    <row r="3164">
      <c r="A3164" s="3">
        <f>IFERROR(__xludf.DUMMYFUNCTION("""COMPUTED_VALUE"""),43531.99861111111)</f>
        <v>43531.99861</v>
      </c>
      <c r="B3164" s="1">
        <f>IFERROR(__xludf.DUMMYFUNCTION("""COMPUTED_VALUE"""),126.48)</f>
        <v>126.48</v>
      </c>
    </row>
    <row r="3165">
      <c r="A3165" s="3">
        <f>IFERROR(__xludf.DUMMYFUNCTION("""COMPUTED_VALUE"""),43532.99861111111)</f>
        <v>43532.99861</v>
      </c>
      <c r="B3165" s="1">
        <f>IFERROR(__xludf.DUMMYFUNCTION("""COMPUTED_VALUE"""),126.55)</f>
        <v>126.55</v>
      </c>
    </row>
    <row r="3166">
      <c r="A3166" s="3">
        <f>IFERROR(__xludf.DUMMYFUNCTION("""COMPUTED_VALUE"""),43533.99861111111)</f>
        <v>43533.99861</v>
      </c>
      <c r="B3166" s="1">
        <f>IFERROR(__xludf.DUMMYFUNCTION("""COMPUTED_VALUE"""),126.55)</f>
        <v>126.55</v>
      </c>
    </row>
    <row r="3167">
      <c r="A3167" s="3">
        <f>IFERROR(__xludf.DUMMYFUNCTION("""COMPUTED_VALUE"""),43534.99861111111)</f>
        <v>43534.99861</v>
      </c>
      <c r="B3167" s="1">
        <f>IFERROR(__xludf.DUMMYFUNCTION("""COMPUTED_VALUE"""),128.625)</f>
        <v>128.625</v>
      </c>
    </row>
    <row r="3168">
      <c r="A3168" s="3">
        <f>IFERROR(__xludf.DUMMYFUNCTION("""COMPUTED_VALUE"""),43535.99861111111)</f>
        <v>43535.99861</v>
      </c>
      <c r="B3168" s="1">
        <f>IFERROR(__xludf.DUMMYFUNCTION("""COMPUTED_VALUE"""),127.95)</f>
        <v>127.95</v>
      </c>
    </row>
    <row r="3169">
      <c r="A3169" s="3">
        <f>IFERROR(__xludf.DUMMYFUNCTION("""COMPUTED_VALUE"""),43536.99861111111)</f>
        <v>43536.99861</v>
      </c>
      <c r="B3169" s="1">
        <f>IFERROR(__xludf.DUMMYFUNCTION("""COMPUTED_VALUE"""),127.63)</f>
        <v>127.63</v>
      </c>
    </row>
    <row r="3170">
      <c r="A3170" s="3">
        <f>IFERROR(__xludf.DUMMYFUNCTION("""COMPUTED_VALUE"""),43537.99861111111)</f>
        <v>43537.99861</v>
      </c>
      <c r="B3170" s="1">
        <f>IFERROR(__xludf.DUMMYFUNCTION("""COMPUTED_VALUE"""),128.0)</f>
        <v>128</v>
      </c>
    </row>
    <row r="3171">
      <c r="A3171" s="3">
        <f>IFERROR(__xludf.DUMMYFUNCTION("""COMPUTED_VALUE"""),43538.99861111111)</f>
        <v>43538.99861</v>
      </c>
      <c r="B3171" s="1">
        <f>IFERROR(__xludf.DUMMYFUNCTION("""COMPUTED_VALUE"""),127.63)</f>
        <v>127.63</v>
      </c>
    </row>
    <row r="3172">
      <c r="A3172" s="3">
        <f>IFERROR(__xludf.DUMMYFUNCTION("""COMPUTED_VALUE"""),43539.99861111111)</f>
        <v>43539.99861</v>
      </c>
      <c r="B3172" s="1">
        <f>IFERROR(__xludf.DUMMYFUNCTION("""COMPUTED_VALUE"""),127.69)</f>
        <v>127.69</v>
      </c>
    </row>
    <row r="3173">
      <c r="A3173" s="3">
        <f>IFERROR(__xludf.DUMMYFUNCTION("""COMPUTED_VALUE"""),43540.99861111111)</f>
        <v>43540.99861</v>
      </c>
      <c r="B3173" s="1">
        <f>IFERROR(__xludf.DUMMYFUNCTION("""COMPUTED_VALUE"""),127.69)</f>
        <v>127.69</v>
      </c>
    </row>
    <row r="3174">
      <c r="A3174" s="3">
        <f>IFERROR(__xludf.DUMMYFUNCTION("""COMPUTED_VALUE"""),43541.99861111111)</f>
        <v>43541.99861</v>
      </c>
      <c r="B3174" s="1">
        <f>IFERROR(__xludf.DUMMYFUNCTION("""COMPUTED_VALUE"""),127.81)</f>
        <v>127.81</v>
      </c>
    </row>
    <row r="3175">
      <c r="A3175" s="3">
        <f>IFERROR(__xludf.DUMMYFUNCTION("""COMPUTED_VALUE"""),43542.99861111111)</f>
        <v>43542.99861</v>
      </c>
      <c r="B3175" s="1">
        <f>IFERROR(__xludf.DUMMYFUNCTION("""COMPUTED_VALUE"""),127.75)</f>
        <v>127.75</v>
      </c>
    </row>
    <row r="3176">
      <c r="A3176" s="3">
        <f>IFERROR(__xludf.DUMMYFUNCTION("""COMPUTED_VALUE"""),43543.99861111111)</f>
        <v>43543.99861</v>
      </c>
      <c r="B3176" s="1">
        <f>IFERROR(__xludf.DUMMYFUNCTION("""COMPUTED_VALUE"""),127.66)</f>
        <v>127.66</v>
      </c>
    </row>
    <row r="3177">
      <c r="A3177" s="3">
        <f>IFERROR(__xludf.DUMMYFUNCTION("""COMPUTED_VALUE"""),43544.99861111111)</f>
        <v>43544.99861</v>
      </c>
      <c r="B3177" s="1">
        <f>IFERROR(__xludf.DUMMYFUNCTION("""COMPUTED_VALUE"""),127.85)</f>
        <v>127.85</v>
      </c>
    </row>
    <row r="3178">
      <c r="A3178" s="3">
        <f>IFERROR(__xludf.DUMMYFUNCTION("""COMPUTED_VALUE"""),43545.99861111111)</f>
        <v>43545.99861</v>
      </c>
      <c r="B3178" s="1">
        <f>IFERROR(__xludf.DUMMYFUNCTION("""COMPUTED_VALUE"""),127.34)</f>
        <v>127.34</v>
      </c>
    </row>
    <row r="3179">
      <c r="A3179" s="3">
        <f>IFERROR(__xludf.DUMMYFUNCTION("""COMPUTED_VALUE"""),43546.99861111111)</f>
        <v>43546.99861</v>
      </c>
      <c r="B3179" s="1">
        <f>IFERROR(__xludf.DUMMYFUNCTION("""COMPUTED_VALUE"""),128.615)</f>
        <v>128.615</v>
      </c>
    </row>
    <row r="3180">
      <c r="A3180" s="3">
        <f>IFERROR(__xludf.DUMMYFUNCTION("""COMPUTED_VALUE"""),43547.99861111111)</f>
        <v>43547.99861</v>
      </c>
      <c r="B3180" s="1">
        <f>IFERROR(__xludf.DUMMYFUNCTION("""COMPUTED_VALUE"""),128.615)</f>
        <v>128.615</v>
      </c>
    </row>
    <row r="3181">
      <c r="A3181" s="3">
        <f>IFERROR(__xludf.DUMMYFUNCTION("""COMPUTED_VALUE"""),43548.99861111111)</f>
        <v>43548.99861</v>
      </c>
      <c r="B3181" s="1">
        <f>IFERROR(__xludf.DUMMYFUNCTION("""COMPUTED_VALUE"""),128.7)</f>
        <v>128.7</v>
      </c>
    </row>
    <row r="3182">
      <c r="A3182" s="3">
        <f>IFERROR(__xludf.DUMMYFUNCTION("""COMPUTED_VALUE"""),43549.99861111111)</f>
        <v>43549.99861</v>
      </c>
      <c r="B3182" s="1">
        <f>IFERROR(__xludf.DUMMYFUNCTION("""COMPUTED_VALUE"""),128.86)</f>
        <v>128.86</v>
      </c>
    </row>
    <row r="3183">
      <c r="A3183" s="3">
        <f>IFERROR(__xludf.DUMMYFUNCTION("""COMPUTED_VALUE"""),43550.99861111111)</f>
        <v>43550.99861</v>
      </c>
      <c r="B3183" s="1">
        <f>IFERROR(__xludf.DUMMYFUNCTION("""COMPUTED_VALUE"""),128.26)</f>
        <v>128.26</v>
      </c>
    </row>
    <row r="3184">
      <c r="A3184" s="3">
        <f>IFERROR(__xludf.DUMMYFUNCTION("""COMPUTED_VALUE"""),43551.99861111111)</f>
        <v>43551.99861</v>
      </c>
      <c r="B3184" s="1">
        <f>IFERROR(__xludf.DUMMYFUNCTION("""COMPUTED_VALUE"""),128.5)</f>
        <v>128.5</v>
      </c>
    </row>
    <row r="3185">
      <c r="A3185" s="3">
        <f>IFERROR(__xludf.DUMMYFUNCTION("""COMPUTED_VALUE"""),43552.99861111111)</f>
        <v>43552.99861</v>
      </c>
      <c r="B3185" s="1">
        <f>IFERROR(__xludf.DUMMYFUNCTION("""COMPUTED_VALUE"""),128.61)</f>
        <v>128.61</v>
      </c>
    </row>
    <row r="3186">
      <c r="A3186" s="3">
        <f>IFERROR(__xludf.DUMMYFUNCTION("""COMPUTED_VALUE"""),43553.99861111111)</f>
        <v>43553.99861</v>
      </c>
      <c r="B3186" s="1">
        <f>IFERROR(__xludf.DUMMYFUNCTION("""COMPUTED_VALUE"""),128.24)</f>
        <v>128.24</v>
      </c>
    </row>
    <row r="3187">
      <c r="A3187" s="3">
        <f>IFERROR(__xludf.DUMMYFUNCTION("""COMPUTED_VALUE"""),43554.99861111111)</f>
        <v>43554.99861</v>
      </c>
      <c r="B3187" s="1">
        <f>IFERROR(__xludf.DUMMYFUNCTION("""COMPUTED_VALUE"""),128.24)</f>
        <v>128.24</v>
      </c>
    </row>
    <row r="3188">
      <c r="A3188" s="3">
        <f>IFERROR(__xludf.DUMMYFUNCTION("""COMPUTED_VALUE"""),43555.99861111111)</f>
        <v>43555.99861</v>
      </c>
      <c r="B3188" s="1">
        <f>IFERROR(__xludf.DUMMYFUNCTION("""COMPUTED_VALUE"""),128.21)</f>
        <v>128.21</v>
      </c>
    </row>
    <row r="3189">
      <c r="A3189" s="3">
        <f>IFERROR(__xludf.DUMMYFUNCTION("""COMPUTED_VALUE"""),43556.99861111111)</f>
        <v>43556.99861</v>
      </c>
      <c r="B3189" s="1">
        <f>IFERROR(__xludf.DUMMYFUNCTION("""COMPUTED_VALUE"""),127.67)</f>
        <v>127.67</v>
      </c>
    </row>
    <row r="3190">
      <c r="A3190" s="3">
        <f>IFERROR(__xludf.DUMMYFUNCTION("""COMPUTED_VALUE"""),43557.99861111111)</f>
        <v>43557.99861</v>
      </c>
      <c r="B3190" s="1">
        <f>IFERROR(__xludf.DUMMYFUNCTION("""COMPUTED_VALUE"""),127.86)</f>
        <v>127.86</v>
      </c>
    </row>
    <row r="3191">
      <c r="A3191" s="3">
        <f>IFERROR(__xludf.DUMMYFUNCTION("""COMPUTED_VALUE"""),43558.99861111111)</f>
        <v>43558.99861</v>
      </c>
      <c r="B3191" s="1">
        <f>IFERROR(__xludf.DUMMYFUNCTION("""COMPUTED_VALUE"""),127.55)</f>
        <v>127.55</v>
      </c>
    </row>
    <row r="3192">
      <c r="A3192" s="3">
        <f>IFERROR(__xludf.DUMMYFUNCTION("""COMPUTED_VALUE"""),43559.99861111111)</f>
        <v>43559.99861</v>
      </c>
      <c r="B3192" s="1">
        <f>IFERROR(__xludf.DUMMYFUNCTION("""COMPUTED_VALUE"""),126.98)</f>
        <v>126.98</v>
      </c>
    </row>
    <row r="3193">
      <c r="A3193" s="3">
        <f>IFERROR(__xludf.DUMMYFUNCTION("""COMPUTED_VALUE"""),43560.99861111111)</f>
        <v>43560.99861</v>
      </c>
      <c r="B3193" s="1">
        <f>IFERROR(__xludf.DUMMYFUNCTION("""COMPUTED_VALUE"""),126.2)</f>
        <v>126.2</v>
      </c>
    </row>
    <row r="3194">
      <c r="A3194" s="3">
        <f>IFERROR(__xludf.DUMMYFUNCTION("""COMPUTED_VALUE"""),43561.99861111111)</f>
        <v>43561.99861</v>
      </c>
      <c r="B3194" s="1">
        <f>IFERROR(__xludf.DUMMYFUNCTION("""COMPUTED_VALUE"""),126.2)</f>
        <v>126.2</v>
      </c>
    </row>
    <row r="3195">
      <c r="A3195" s="3">
        <f>IFERROR(__xludf.DUMMYFUNCTION("""COMPUTED_VALUE"""),43562.99861111111)</f>
        <v>43562.99861</v>
      </c>
      <c r="B3195" s="1">
        <f>IFERROR(__xludf.DUMMYFUNCTION("""COMPUTED_VALUE"""),126.37)</f>
        <v>126.37</v>
      </c>
    </row>
    <row r="3196">
      <c r="A3196" s="3">
        <f>IFERROR(__xludf.DUMMYFUNCTION("""COMPUTED_VALUE"""),43563.99861111111)</f>
        <v>43563.99861</v>
      </c>
      <c r="B3196" s="1">
        <f>IFERROR(__xludf.DUMMYFUNCTION("""COMPUTED_VALUE"""),127.13)</f>
        <v>127.13</v>
      </c>
    </row>
    <row r="3197">
      <c r="A3197" s="3">
        <f>IFERROR(__xludf.DUMMYFUNCTION("""COMPUTED_VALUE"""),43564.99861111111)</f>
        <v>43564.99861</v>
      </c>
      <c r="B3197" s="1">
        <f>IFERROR(__xludf.DUMMYFUNCTION("""COMPUTED_VALUE"""),127.19)</f>
        <v>127.19</v>
      </c>
    </row>
    <row r="3198">
      <c r="A3198" s="3">
        <f>IFERROR(__xludf.DUMMYFUNCTION("""COMPUTED_VALUE"""),43565.99861111111)</f>
        <v>43565.99861</v>
      </c>
      <c r="B3198" s="1">
        <f>IFERROR(__xludf.DUMMYFUNCTION("""COMPUTED_VALUE"""),127.41)</f>
        <v>127.41</v>
      </c>
    </row>
    <row r="3199">
      <c r="A3199" s="3">
        <f>IFERROR(__xludf.DUMMYFUNCTION("""COMPUTED_VALUE"""),43566.99861111111)</f>
        <v>43566.99861</v>
      </c>
      <c r="B3199" s="1">
        <f>IFERROR(__xludf.DUMMYFUNCTION("""COMPUTED_VALUE"""),126.88)</f>
        <v>126.88</v>
      </c>
    </row>
    <row r="3200">
      <c r="A3200" s="3">
        <f>IFERROR(__xludf.DUMMYFUNCTION("""COMPUTED_VALUE"""),43567.99861111111)</f>
        <v>43567.99861</v>
      </c>
      <c r="B3200" s="1">
        <f>IFERROR(__xludf.DUMMYFUNCTION("""COMPUTED_VALUE"""),125.55)</f>
        <v>125.55</v>
      </c>
    </row>
    <row r="3201">
      <c r="A3201" s="3">
        <f>IFERROR(__xludf.DUMMYFUNCTION("""COMPUTED_VALUE"""),43568.99861111111)</f>
        <v>43568.99861</v>
      </c>
      <c r="B3201" s="1">
        <f>IFERROR(__xludf.DUMMYFUNCTION("""COMPUTED_VALUE"""),125.715)</f>
        <v>125.715</v>
      </c>
    </row>
    <row r="3202">
      <c r="A3202" s="3">
        <f>IFERROR(__xludf.DUMMYFUNCTION("""COMPUTED_VALUE"""),43569.99861111111)</f>
        <v>43569.99861</v>
      </c>
      <c r="B3202" s="1">
        <f>IFERROR(__xludf.DUMMYFUNCTION("""COMPUTED_VALUE"""),125.895)</f>
        <v>125.895</v>
      </c>
    </row>
    <row r="3203">
      <c r="A3203" s="3">
        <f>IFERROR(__xludf.DUMMYFUNCTION("""COMPUTED_VALUE"""),43570.99861111111)</f>
        <v>43570.99861</v>
      </c>
      <c r="B3203" s="1">
        <f>IFERROR(__xludf.DUMMYFUNCTION("""COMPUTED_VALUE"""),125.6)</f>
        <v>125.6</v>
      </c>
    </row>
    <row r="3204">
      <c r="A3204" s="3">
        <f>IFERROR(__xludf.DUMMYFUNCTION("""COMPUTED_VALUE"""),43571.99861111111)</f>
        <v>43571.99861</v>
      </c>
      <c r="B3204" s="1">
        <f>IFERROR(__xludf.DUMMYFUNCTION("""COMPUTED_VALUE"""),125.85)</f>
        <v>125.85</v>
      </c>
    </row>
    <row r="3205">
      <c r="A3205" s="3">
        <f>IFERROR(__xludf.DUMMYFUNCTION("""COMPUTED_VALUE"""),43572.99861111111)</f>
        <v>43572.99861</v>
      </c>
      <c r="B3205" s="1">
        <f>IFERROR(__xludf.DUMMYFUNCTION("""COMPUTED_VALUE"""),125.715)</f>
        <v>125.715</v>
      </c>
    </row>
    <row r="3206">
      <c r="A3206" s="3">
        <f>IFERROR(__xludf.DUMMYFUNCTION("""COMPUTED_VALUE"""),43573.99861111111)</f>
        <v>43573.99861</v>
      </c>
      <c r="B3206" s="1">
        <f>IFERROR(__xludf.DUMMYFUNCTION("""COMPUTED_VALUE"""),125.37)</f>
        <v>125.37</v>
      </c>
    </row>
    <row r="3207">
      <c r="A3207" s="3">
        <f>IFERROR(__xludf.DUMMYFUNCTION("""COMPUTED_VALUE"""),43574.99861111111)</f>
        <v>43574.99861</v>
      </c>
      <c r="B3207" s="1">
        <f>IFERROR(__xludf.DUMMYFUNCTION("""COMPUTED_VALUE"""),125.55)</f>
        <v>125.55</v>
      </c>
    </row>
    <row r="3208">
      <c r="A3208" s="3">
        <f>IFERROR(__xludf.DUMMYFUNCTION("""COMPUTED_VALUE"""),43575.99861111111)</f>
        <v>43575.99861</v>
      </c>
      <c r="B3208" s="1">
        <f>IFERROR(__xludf.DUMMYFUNCTION("""COMPUTED_VALUE"""),125.55)</f>
        <v>125.55</v>
      </c>
    </row>
    <row r="3209">
      <c r="A3209" s="3">
        <f>IFERROR(__xludf.DUMMYFUNCTION("""COMPUTED_VALUE"""),43576.99861111111)</f>
        <v>43576.99861</v>
      </c>
      <c r="B3209" s="1">
        <f>IFERROR(__xludf.DUMMYFUNCTION("""COMPUTED_VALUE"""),125.59)</f>
        <v>125.59</v>
      </c>
    </row>
    <row r="3210">
      <c r="A3210" s="3">
        <f>IFERROR(__xludf.DUMMYFUNCTION("""COMPUTED_VALUE"""),43577.99861111111)</f>
        <v>43577.99861</v>
      </c>
      <c r="B3210" s="1">
        <f>IFERROR(__xludf.DUMMYFUNCTION("""COMPUTED_VALUE"""),125.725)</f>
        <v>125.725</v>
      </c>
    </row>
    <row r="3211">
      <c r="A3211" s="3">
        <f>IFERROR(__xludf.DUMMYFUNCTION("""COMPUTED_VALUE"""),43578.99861111111)</f>
        <v>43578.99861</v>
      </c>
      <c r="B3211" s="1">
        <f>IFERROR(__xludf.DUMMYFUNCTION("""COMPUTED_VALUE"""),125.65)</f>
        <v>125.65</v>
      </c>
    </row>
    <row r="3212">
      <c r="A3212" s="3">
        <f>IFERROR(__xludf.DUMMYFUNCTION("""COMPUTED_VALUE"""),43579.99861111111)</f>
        <v>43579.99861</v>
      </c>
      <c r="B3212" s="1">
        <f>IFERROR(__xludf.DUMMYFUNCTION("""COMPUTED_VALUE"""),125.68)</f>
        <v>125.68</v>
      </c>
    </row>
    <row r="3213">
      <c r="A3213" s="3">
        <f>IFERROR(__xludf.DUMMYFUNCTION("""COMPUTED_VALUE"""),43580.99861111111)</f>
        <v>43580.99861</v>
      </c>
      <c r="B3213" s="1">
        <f>IFERROR(__xludf.DUMMYFUNCTION("""COMPUTED_VALUE"""),126.54)</f>
        <v>126.54</v>
      </c>
    </row>
    <row r="3214">
      <c r="A3214" s="3">
        <f>IFERROR(__xludf.DUMMYFUNCTION("""COMPUTED_VALUE"""),43581.99861111111)</f>
        <v>43581.99861</v>
      </c>
      <c r="B3214" s="1">
        <f>IFERROR(__xludf.DUMMYFUNCTION("""COMPUTED_VALUE"""),139.005)</f>
        <v>139.005</v>
      </c>
    </row>
    <row r="3215">
      <c r="A3215" s="3">
        <f>IFERROR(__xludf.DUMMYFUNCTION("""COMPUTED_VALUE"""),43582.99861111111)</f>
        <v>43582.99861</v>
      </c>
      <c r="B3215" s="1">
        <f>IFERROR(__xludf.DUMMYFUNCTION("""COMPUTED_VALUE"""),126.855)</f>
        <v>126.855</v>
      </c>
    </row>
    <row r="3216">
      <c r="A3216" s="3">
        <f>IFERROR(__xludf.DUMMYFUNCTION("""COMPUTED_VALUE"""),43583.99861111111)</f>
        <v>43583.99861</v>
      </c>
      <c r="B3216" s="1">
        <f>IFERROR(__xludf.DUMMYFUNCTION("""COMPUTED_VALUE"""),126.92)</f>
        <v>126.92</v>
      </c>
    </row>
    <row r="3217">
      <c r="A3217" s="3">
        <f>IFERROR(__xludf.DUMMYFUNCTION("""COMPUTED_VALUE"""),43584.99861111111)</f>
        <v>43584.99861</v>
      </c>
      <c r="B3217" s="1">
        <f>IFERROR(__xludf.DUMMYFUNCTION("""COMPUTED_VALUE"""),138.8)</f>
        <v>138.8</v>
      </c>
    </row>
    <row r="3218">
      <c r="A3218" s="3">
        <f>IFERROR(__xludf.DUMMYFUNCTION("""COMPUTED_VALUE"""),43585.99861111111)</f>
        <v>43585.99861</v>
      </c>
      <c r="B3218" s="1">
        <f>IFERROR(__xludf.DUMMYFUNCTION("""COMPUTED_VALUE"""),127.84)</f>
        <v>127.84</v>
      </c>
    </row>
    <row r="3219">
      <c r="A3219" s="3">
        <f>IFERROR(__xludf.DUMMYFUNCTION("""COMPUTED_VALUE"""),43586.99861111111)</f>
        <v>43586.99861</v>
      </c>
      <c r="B3219" s="1">
        <f>IFERROR(__xludf.DUMMYFUNCTION("""COMPUTED_VALUE"""),128.0)</f>
        <v>128</v>
      </c>
    </row>
    <row r="3220">
      <c r="A3220" s="3">
        <f>IFERROR(__xludf.DUMMYFUNCTION("""COMPUTED_VALUE"""),43587.99861111111)</f>
        <v>43587.99861</v>
      </c>
      <c r="B3220" s="1">
        <f>IFERROR(__xludf.DUMMYFUNCTION("""COMPUTED_VALUE"""),127.79)</f>
        <v>127.79</v>
      </c>
    </row>
    <row r="3221">
      <c r="A3221" s="3">
        <f>IFERROR(__xludf.DUMMYFUNCTION("""COMPUTED_VALUE"""),43588.99861111111)</f>
        <v>43588.99861</v>
      </c>
      <c r="B3221" s="1">
        <f>IFERROR(__xludf.DUMMYFUNCTION("""COMPUTED_VALUE"""),127.83)</f>
        <v>127.83</v>
      </c>
    </row>
    <row r="3222">
      <c r="A3222" s="3">
        <f>IFERROR(__xludf.DUMMYFUNCTION("""COMPUTED_VALUE"""),43589.99861111111)</f>
        <v>43589.99861</v>
      </c>
      <c r="B3222" s="1">
        <f>IFERROR(__xludf.DUMMYFUNCTION("""COMPUTED_VALUE"""),127.83)</f>
        <v>127.83</v>
      </c>
    </row>
    <row r="3223">
      <c r="A3223" s="3">
        <f>IFERROR(__xludf.DUMMYFUNCTION("""COMPUTED_VALUE"""),43590.99861111111)</f>
        <v>43590.99861</v>
      </c>
      <c r="B3223" s="1">
        <f>IFERROR(__xludf.DUMMYFUNCTION("""COMPUTED_VALUE"""),128.595)</f>
        <v>128.595</v>
      </c>
    </row>
    <row r="3224">
      <c r="A3224" s="3">
        <f>IFERROR(__xludf.DUMMYFUNCTION("""COMPUTED_VALUE"""),43591.99861111111)</f>
        <v>43591.99861</v>
      </c>
      <c r="B3224" s="1">
        <f>IFERROR(__xludf.DUMMYFUNCTION("""COMPUTED_VALUE"""),129.06)</f>
        <v>129.06</v>
      </c>
    </row>
    <row r="3225">
      <c r="A3225" s="3">
        <f>IFERROR(__xludf.DUMMYFUNCTION("""COMPUTED_VALUE"""),43592.99861111111)</f>
        <v>43592.99861</v>
      </c>
      <c r="B3225" s="1">
        <f>IFERROR(__xludf.DUMMYFUNCTION("""COMPUTED_VALUE"""),129.32)</f>
        <v>129.32</v>
      </c>
    </row>
    <row r="3226">
      <c r="A3226" s="3">
        <f>IFERROR(__xludf.DUMMYFUNCTION("""COMPUTED_VALUE"""),43593.99861111111)</f>
        <v>43593.99861</v>
      </c>
      <c r="B3226" s="1">
        <f>IFERROR(__xludf.DUMMYFUNCTION("""COMPUTED_VALUE"""),129.79)</f>
        <v>129.79</v>
      </c>
    </row>
    <row r="3227">
      <c r="A3227" s="3">
        <f>IFERROR(__xludf.DUMMYFUNCTION("""COMPUTED_VALUE"""),43594.99861111111)</f>
        <v>43594.99861</v>
      </c>
      <c r="B3227" s="1">
        <f>IFERROR(__xludf.DUMMYFUNCTION("""COMPUTED_VALUE"""),130.61)</f>
        <v>130.61</v>
      </c>
    </row>
    <row r="3228">
      <c r="A3228" s="3">
        <f>IFERROR(__xludf.DUMMYFUNCTION("""COMPUTED_VALUE"""),43595.99861111111)</f>
        <v>43595.99861</v>
      </c>
      <c r="B3228" s="1">
        <f>IFERROR(__xludf.DUMMYFUNCTION("""COMPUTED_VALUE"""),130.22)</f>
        <v>130.22</v>
      </c>
    </row>
    <row r="3229">
      <c r="A3229" s="3">
        <f>IFERROR(__xludf.DUMMYFUNCTION("""COMPUTED_VALUE"""),43596.99861111111)</f>
        <v>43596.99861</v>
      </c>
      <c r="B3229" s="1">
        <f>IFERROR(__xludf.DUMMYFUNCTION("""COMPUTED_VALUE"""),130.22)</f>
        <v>130.22</v>
      </c>
    </row>
    <row r="3230">
      <c r="A3230" s="3">
        <f>IFERROR(__xludf.DUMMYFUNCTION("""COMPUTED_VALUE"""),43597.99861111111)</f>
        <v>43597.99861</v>
      </c>
      <c r="B3230" s="1">
        <f>IFERROR(__xludf.DUMMYFUNCTION("""COMPUTED_VALUE"""),130.54)</f>
        <v>130.54</v>
      </c>
    </row>
    <row r="3231">
      <c r="A3231" s="3">
        <f>IFERROR(__xludf.DUMMYFUNCTION("""COMPUTED_VALUE"""),43598.99861111111)</f>
        <v>43598.99861</v>
      </c>
      <c r="B3231" s="1">
        <f>IFERROR(__xludf.DUMMYFUNCTION("""COMPUTED_VALUE"""),131.2)</f>
        <v>131.2</v>
      </c>
    </row>
    <row r="3232">
      <c r="A3232" s="3">
        <f>IFERROR(__xludf.DUMMYFUNCTION("""COMPUTED_VALUE"""),43599.99861111111)</f>
        <v>43599.99861</v>
      </c>
      <c r="B3232" s="1">
        <f>IFERROR(__xludf.DUMMYFUNCTION("""COMPUTED_VALUE"""),131.65)</f>
        <v>131.65</v>
      </c>
    </row>
    <row r="3233">
      <c r="A3233" s="3">
        <f>IFERROR(__xludf.DUMMYFUNCTION("""COMPUTED_VALUE"""),43600.99861111111)</f>
        <v>43600.99861</v>
      </c>
      <c r="B3233" s="1">
        <f>IFERROR(__xludf.DUMMYFUNCTION("""COMPUTED_VALUE"""),132.08)</f>
        <v>132.08</v>
      </c>
    </row>
    <row r="3234">
      <c r="A3234" s="3">
        <f>IFERROR(__xludf.DUMMYFUNCTION("""COMPUTED_VALUE"""),43601.99861111111)</f>
        <v>43601.99861</v>
      </c>
      <c r="B3234" s="1">
        <f>IFERROR(__xludf.DUMMYFUNCTION("""COMPUTED_VALUE"""),131.55)</f>
        <v>131.55</v>
      </c>
    </row>
    <row r="3235">
      <c r="A3235" s="3">
        <f>IFERROR(__xludf.DUMMYFUNCTION("""COMPUTED_VALUE"""),43602.99861111111)</f>
        <v>43602.99861</v>
      </c>
      <c r="B3235" s="1">
        <f>IFERROR(__xludf.DUMMYFUNCTION("""COMPUTED_VALUE"""),131.18)</f>
        <v>131.18</v>
      </c>
    </row>
    <row r="3236">
      <c r="A3236" s="3">
        <f>IFERROR(__xludf.DUMMYFUNCTION("""COMPUTED_VALUE"""),43603.99861111111)</f>
        <v>43603.99861</v>
      </c>
      <c r="B3236" s="1">
        <f>IFERROR(__xludf.DUMMYFUNCTION("""COMPUTED_VALUE"""),131.18)</f>
        <v>131.18</v>
      </c>
    </row>
    <row r="3237">
      <c r="A3237" s="3">
        <f>IFERROR(__xludf.DUMMYFUNCTION("""COMPUTED_VALUE"""),43604.99861111111)</f>
        <v>43604.99861</v>
      </c>
      <c r="B3237" s="1">
        <f>IFERROR(__xludf.DUMMYFUNCTION("""COMPUTED_VALUE"""),131.11)</f>
        <v>131.11</v>
      </c>
    </row>
    <row r="3238">
      <c r="A3238" s="3">
        <f>IFERROR(__xludf.DUMMYFUNCTION("""COMPUTED_VALUE"""),43605.99861111111)</f>
        <v>43605.99861</v>
      </c>
      <c r="B3238" s="1">
        <f>IFERROR(__xludf.DUMMYFUNCTION("""COMPUTED_VALUE"""),131.31)</f>
        <v>131.31</v>
      </c>
    </row>
    <row r="3239">
      <c r="A3239" s="3">
        <f>IFERROR(__xludf.DUMMYFUNCTION("""COMPUTED_VALUE"""),43606.99861111111)</f>
        <v>43606.99861</v>
      </c>
      <c r="B3239" s="1">
        <f>IFERROR(__xludf.DUMMYFUNCTION("""COMPUTED_VALUE"""),130.745)</f>
        <v>130.745</v>
      </c>
    </row>
    <row r="3240">
      <c r="A3240" s="3">
        <f>IFERROR(__xludf.DUMMYFUNCTION("""COMPUTED_VALUE"""),43607.99861111111)</f>
        <v>43607.99861</v>
      </c>
      <c r="B3240" s="1">
        <f>IFERROR(__xludf.DUMMYFUNCTION("""COMPUTED_VALUE"""),131.935)</f>
        <v>131.935</v>
      </c>
    </row>
    <row r="3241">
      <c r="A3241" s="3">
        <f>IFERROR(__xludf.DUMMYFUNCTION("""COMPUTED_VALUE"""),43608.99861111111)</f>
        <v>43608.99861</v>
      </c>
      <c r="B3241" s="1">
        <f>IFERROR(__xludf.DUMMYFUNCTION("""COMPUTED_VALUE"""),131.83)</f>
        <v>131.83</v>
      </c>
    </row>
    <row r="3242">
      <c r="A3242" s="3">
        <f>IFERROR(__xludf.DUMMYFUNCTION("""COMPUTED_VALUE"""),43609.99861111111)</f>
        <v>43609.99861</v>
      </c>
      <c r="B3242" s="1">
        <f>IFERROR(__xludf.DUMMYFUNCTION("""COMPUTED_VALUE"""),131.6)</f>
        <v>131.6</v>
      </c>
    </row>
    <row r="3243">
      <c r="A3243" s="3">
        <f>IFERROR(__xludf.DUMMYFUNCTION("""COMPUTED_VALUE"""),43610.99861111111)</f>
        <v>43610.99861</v>
      </c>
      <c r="B3243" s="1">
        <f>IFERROR(__xludf.DUMMYFUNCTION("""COMPUTED_VALUE"""),131.445)</f>
        <v>131.445</v>
      </c>
    </row>
    <row r="3244">
      <c r="A3244" s="3">
        <f>IFERROR(__xludf.DUMMYFUNCTION("""COMPUTED_VALUE"""),43611.99861111111)</f>
        <v>43611.99861</v>
      </c>
      <c r="B3244" s="1">
        <f>IFERROR(__xludf.DUMMYFUNCTION("""COMPUTED_VALUE"""),131.265)</f>
        <v>131.265</v>
      </c>
    </row>
    <row r="3245">
      <c r="A3245" s="3">
        <f>IFERROR(__xludf.DUMMYFUNCTION("""COMPUTED_VALUE"""),43612.99861111111)</f>
        <v>43612.99861</v>
      </c>
      <c r="B3245" s="1">
        <f>IFERROR(__xludf.DUMMYFUNCTION("""COMPUTED_VALUE"""),131.295)</f>
        <v>131.295</v>
      </c>
    </row>
    <row r="3246">
      <c r="A3246" s="3">
        <f>IFERROR(__xludf.DUMMYFUNCTION("""COMPUTED_VALUE"""),43613.99861111111)</f>
        <v>43613.99861</v>
      </c>
      <c r="B3246" s="1">
        <f>IFERROR(__xludf.DUMMYFUNCTION("""COMPUTED_VALUE"""),131.685)</f>
        <v>131.685</v>
      </c>
    </row>
    <row r="3247">
      <c r="A3247" s="3">
        <f>IFERROR(__xludf.DUMMYFUNCTION("""COMPUTED_VALUE"""),43614.99861111111)</f>
        <v>43614.99861</v>
      </c>
      <c r="B3247" s="1">
        <f>IFERROR(__xludf.DUMMYFUNCTION("""COMPUTED_VALUE"""),131.41)</f>
        <v>131.41</v>
      </c>
    </row>
    <row r="3248">
      <c r="A3248" s="3">
        <f>IFERROR(__xludf.DUMMYFUNCTION("""COMPUTED_VALUE"""),43615.99861111111)</f>
        <v>43615.99861</v>
      </c>
      <c r="B3248" s="1">
        <f>IFERROR(__xludf.DUMMYFUNCTION("""COMPUTED_VALUE"""),131.73)</f>
        <v>131.73</v>
      </c>
    </row>
    <row r="3249">
      <c r="A3249" s="3">
        <f>IFERROR(__xludf.DUMMYFUNCTION("""COMPUTED_VALUE"""),43616.99861111111)</f>
        <v>43616.99861</v>
      </c>
      <c r="B3249" s="1">
        <f>IFERROR(__xludf.DUMMYFUNCTION("""COMPUTED_VALUE"""),132.27)</f>
        <v>132.27</v>
      </c>
    </row>
    <row r="3250">
      <c r="A3250" s="3">
        <f>IFERROR(__xludf.DUMMYFUNCTION("""COMPUTED_VALUE"""),43617.99861111111)</f>
        <v>43617.99861</v>
      </c>
      <c r="B3250" s="1">
        <f>IFERROR(__xludf.DUMMYFUNCTION("""COMPUTED_VALUE"""),132.27)</f>
        <v>132.27</v>
      </c>
    </row>
    <row r="3251">
      <c r="A3251" s="3">
        <f>IFERROR(__xludf.DUMMYFUNCTION("""COMPUTED_VALUE"""),43618.99861111111)</f>
        <v>43618.99861</v>
      </c>
      <c r="B3251" s="1">
        <f>IFERROR(__xludf.DUMMYFUNCTION("""COMPUTED_VALUE"""),131.585)</f>
        <v>131.585</v>
      </c>
    </row>
    <row r="3252">
      <c r="A3252" s="3">
        <f>IFERROR(__xludf.DUMMYFUNCTION("""COMPUTED_VALUE"""),43619.99861111111)</f>
        <v>43619.99861</v>
      </c>
      <c r="B3252" s="1">
        <f>IFERROR(__xludf.DUMMYFUNCTION("""COMPUTED_VALUE"""),132.125)</f>
        <v>132.125</v>
      </c>
    </row>
    <row r="3253">
      <c r="A3253" s="3">
        <f>IFERROR(__xludf.DUMMYFUNCTION("""COMPUTED_VALUE"""),43620.99861111111)</f>
        <v>43620.99861</v>
      </c>
      <c r="B3253" s="1">
        <f>IFERROR(__xludf.DUMMYFUNCTION("""COMPUTED_VALUE"""),131.895)</f>
        <v>131.895</v>
      </c>
    </row>
    <row r="3254">
      <c r="A3254" s="3">
        <f>IFERROR(__xludf.DUMMYFUNCTION("""COMPUTED_VALUE"""),43621.99861111111)</f>
        <v>43621.99861</v>
      </c>
      <c r="B3254" s="1">
        <f>IFERROR(__xludf.DUMMYFUNCTION("""COMPUTED_VALUE"""),132.17)</f>
        <v>132.17</v>
      </c>
    </row>
    <row r="3255">
      <c r="A3255" s="3">
        <f>IFERROR(__xludf.DUMMYFUNCTION("""COMPUTED_VALUE"""),43622.99861111111)</f>
        <v>43622.99861</v>
      </c>
      <c r="B3255" s="1">
        <f>IFERROR(__xludf.DUMMYFUNCTION("""COMPUTED_VALUE"""),131.81)</f>
        <v>131.81</v>
      </c>
    </row>
    <row r="3256">
      <c r="A3256" s="3">
        <f>IFERROR(__xludf.DUMMYFUNCTION("""COMPUTED_VALUE"""),43623.99861111111)</f>
        <v>43623.99861</v>
      </c>
      <c r="B3256" s="1">
        <f>IFERROR(__xludf.DUMMYFUNCTION("""COMPUTED_VALUE"""),131.83)</f>
        <v>131.83</v>
      </c>
    </row>
    <row r="3257">
      <c r="A3257" s="3">
        <f>IFERROR(__xludf.DUMMYFUNCTION("""COMPUTED_VALUE"""),43624.99861111111)</f>
        <v>43624.99861</v>
      </c>
      <c r="B3257" s="1">
        <f>IFERROR(__xludf.DUMMYFUNCTION("""COMPUTED_VALUE"""),131.83)</f>
        <v>131.83</v>
      </c>
    </row>
    <row r="3258">
      <c r="A3258" s="3">
        <f>IFERROR(__xludf.DUMMYFUNCTION("""COMPUTED_VALUE"""),43625.99861111111)</f>
        <v>43625.99861</v>
      </c>
      <c r="B3258" s="1">
        <f>IFERROR(__xludf.DUMMYFUNCTION("""COMPUTED_VALUE"""),131.75)</f>
        <v>131.75</v>
      </c>
    </row>
    <row r="3259">
      <c r="A3259" s="3">
        <f>IFERROR(__xludf.DUMMYFUNCTION("""COMPUTED_VALUE"""),43626.99861111111)</f>
        <v>43626.99861</v>
      </c>
      <c r="B3259" s="1">
        <f>IFERROR(__xludf.DUMMYFUNCTION("""COMPUTED_VALUE"""),131.49)</f>
        <v>131.49</v>
      </c>
    </row>
    <row r="3260">
      <c r="A3260" s="3">
        <f>IFERROR(__xludf.DUMMYFUNCTION("""COMPUTED_VALUE"""),43627.99861111111)</f>
        <v>43627.99861</v>
      </c>
      <c r="B3260" s="1">
        <f>IFERROR(__xludf.DUMMYFUNCTION("""COMPUTED_VALUE"""),131.2)</f>
        <v>131.2</v>
      </c>
    </row>
    <row r="3261">
      <c r="A3261" s="3">
        <f>IFERROR(__xludf.DUMMYFUNCTION("""COMPUTED_VALUE"""),43628.99861111111)</f>
        <v>43628.99861</v>
      </c>
      <c r="B3261" s="1">
        <f>IFERROR(__xludf.DUMMYFUNCTION("""COMPUTED_VALUE"""),131.19)</f>
        <v>131.19</v>
      </c>
    </row>
    <row r="3262">
      <c r="A3262" s="3">
        <f>IFERROR(__xludf.DUMMYFUNCTION("""COMPUTED_VALUE"""),43629.99861111111)</f>
        <v>43629.99861</v>
      </c>
      <c r="B3262" s="1">
        <f>IFERROR(__xludf.DUMMYFUNCTION("""COMPUTED_VALUE"""),131.73)</f>
        <v>131.73</v>
      </c>
    </row>
    <row r="3263">
      <c r="A3263" s="3">
        <f>IFERROR(__xludf.DUMMYFUNCTION("""COMPUTED_VALUE"""),43630.99861111111)</f>
        <v>43630.99861</v>
      </c>
      <c r="B3263" s="1">
        <f>IFERROR(__xludf.DUMMYFUNCTION("""COMPUTED_VALUE"""),131.76)</f>
        <v>131.76</v>
      </c>
    </row>
    <row r="3264">
      <c r="A3264" s="3">
        <f>IFERROR(__xludf.DUMMYFUNCTION("""COMPUTED_VALUE"""),43631.99861111111)</f>
        <v>43631.99861</v>
      </c>
      <c r="B3264" s="1">
        <f>IFERROR(__xludf.DUMMYFUNCTION("""COMPUTED_VALUE"""),132.265)</f>
        <v>132.265</v>
      </c>
    </row>
    <row r="3265">
      <c r="A3265" s="3">
        <f>IFERROR(__xludf.DUMMYFUNCTION("""COMPUTED_VALUE"""),43632.99861111111)</f>
        <v>43632.99861</v>
      </c>
      <c r="B3265" s="1">
        <f>IFERROR(__xludf.DUMMYFUNCTION("""COMPUTED_VALUE"""),132.49)</f>
        <v>132.49</v>
      </c>
    </row>
    <row r="3266">
      <c r="A3266" s="3">
        <f>IFERROR(__xludf.DUMMYFUNCTION("""COMPUTED_VALUE"""),43633.99861111111)</f>
        <v>43633.99861</v>
      </c>
      <c r="B3266" s="1">
        <f>IFERROR(__xludf.DUMMYFUNCTION("""COMPUTED_VALUE"""),131.95)</f>
        <v>131.95</v>
      </c>
    </row>
    <row r="3267">
      <c r="A3267" s="3">
        <f>IFERROR(__xludf.DUMMYFUNCTION("""COMPUTED_VALUE"""),43634.99861111111)</f>
        <v>43634.99861</v>
      </c>
      <c r="B3267" s="1">
        <f>IFERROR(__xludf.DUMMYFUNCTION("""COMPUTED_VALUE"""),132.22)</f>
        <v>132.22</v>
      </c>
    </row>
    <row r="3268">
      <c r="A3268" s="3">
        <f>IFERROR(__xludf.DUMMYFUNCTION("""COMPUTED_VALUE"""),43635.99861111111)</f>
        <v>43635.99861</v>
      </c>
      <c r="B3268" s="1">
        <f>IFERROR(__xludf.DUMMYFUNCTION("""COMPUTED_VALUE"""),131.94)</f>
        <v>131.94</v>
      </c>
    </row>
    <row r="3269">
      <c r="A3269" s="3">
        <f>IFERROR(__xludf.DUMMYFUNCTION("""COMPUTED_VALUE"""),43636.99861111111)</f>
        <v>43636.99861</v>
      </c>
      <c r="B3269" s="1">
        <f>IFERROR(__xludf.DUMMYFUNCTION("""COMPUTED_VALUE"""),132.08)</f>
        <v>132.08</v>
      </c>
    </row>
    <row r="3270">
      <c r="A3270" s="3">
        <f>IFERROR(__xludf.DUMMYFUNCTION("""COMPUTED_VALUE"""),43637.99861111111)</f>
        <v>43637.99861</v>
      </c>
      <c r="B3270" s="1">
        <f>IFERROR(__xludf.DUMMYFUNCTION("""COMPUTED_VALUE"""),143.895)</f>
        <v>143.895</v>
      </c>
    </row>
    <row r="3271">
      <c r="A3271" s="3">
        <f>IFERROR(__xludf.DUMMYFUNCTION("""COMPUTED_VALUE"""),43638.99861111111)</f>
        <v>43638.99861</v>
      </c>
      <c r="B3271" s="1">
        <f>IFERROR(__xludf.DUMMYFUNCTION("""COMPUTED_VALUE"""),143.895)</f>
        <v>143.895</v>
      </c>
    </row>
    <row r="3272">
      <c r="A3272" s="3">
        <f>IFERROR(__xludf.DUMMYFUNCTION("""COMPUTED_VALUE"""),43639.99861111111)</f>
        <v>43639.99861</v>
      </c>
      <c r="B3272" s="1">
        <f>IFERROR(__xludf.DUMMYFUNCTION("""COMPUTED_VALUE"""),144.03)</f>
        <v>144.03</v>
      </c>
    </row>
    <row r="3273">
      <c r="A3273" s="3">
        <f>IFERROR(__xludf.DUMMYFUNCTION("""COMPUTED_VALUE"""),43640.99861111111)</f>
        <v>43640.99861</v>
      </c>
      <c r="B3273" s="1">
        <f>IFERROR(__xludf.DUMMYFUNCTION("""COMPUTED_VALUE"""),143.875)</f>
        <v>143.875</v>
      </c>
    </row>
    <row r="3274">
      <c r="A3274" s="3">
        <f>IFERROR(__xludf.DUMMYFUNCTION("""COMPUTED_VALUE"""),43641.99861111111)</f>
        <v>43641.99861</v>
      </c>
      <c r="B3274" s="1">
        <f>IFERROR(__xludf.DUMMYFUNCTION("""COMPUTED_VALUE"""),131.78)</f>
        <v>131.78</v>
      </c>
    </row>
    <row r="3275">
      <c r="A3275" s="3">
        <f>IFERROR(__xludf.DUMMYFUNCTION("""COMPUTED_VALUE"""),43642.99861111111)</f>
        <v>43642.99861</v>
      </c>
      <c r="B3275" s="1">
        <f>IFERROR(__xludf.DUMMYFUNCTION("""COMPUTED_VALUE"""),131.51)</f>
        <v>131.51</v>
      </c>
    </row>
    <row r="3276">
      <c r="A3276" s="3">
        <f>IFERROR(__xludf.DUMMYFUNCTION("""COMPUTED_VALUE"""),43643.99861111111)</f>
        <v>43643.99861</v>
      </c>
      <c r="B3276" s="1">
        <f>IFERROR(__xludf.DUMMYFUNCTION("""COMPUTED_VALUE"""),131.14)</f>
        <v>131.14</v>
      </c>
    </row>
    <row r="3277">
      <c r="A3277" s="3">
        <f>IFERROR(__xludf.DUMMYFUNCTION("""COMPUTED_VALUE"""),43644.99861111111)</f>
        <v>43644.99861</v>
      </c>
      <c r="B3277" s="1">
        <f>IFERROR(__xludf.DUMMYFUNCTION("""COMPUTED_VALUE"""),130.63)</f>
        <v>130.63</v>
      </c>
    </row>
    <row r="3278">
      <c r="A3278" s="3">
        <f>IFERROR(__xludf.DUMMYFUNCTION("""COMPUTED_VALUE"""),43645.99861111111)</f>
        <v>43645.99861</v>
      </c>
      <c r="B3278" s="1">
        <f>IFERROR(__xludf.DUMMYFUNCTION("""COMPUTED_VALUE"""),130.63)</f>
        <v>130.63</v>
      </c>
    </row>
    <row r="3279">
      <c r="A3279" s="3">
        <f>IFERROR(__xludf.DUMMYFUNCTION("""COMPUTED_VALUE"""),43646.99861111111)</f>
        <v>43646.99861</v>
      </c>
      <c r="B3279" s="1">
        <f>IFERROR(__xludf.DUMMYFUNCTION("""COMPUTED_VALUE"""),130.36)</f>
        <v>130.36</v>
      </c>
    </row>
    <row r="3280">
      <c r="A3280" s="3">
        <f>IFERROR(__xludf.DUMMYFUNCTION("""COMPUTED_VALUE"""),43647.99861111111)</f>
        <v>43647.99861</v>
      </c>
      <c r="B3280" s="1">
        <f>IFERROR(__xludf.DUMMYFUNCTION("""COMPUTED_VALUE"""),130.34)</f>
        <v>130.34</v>
      </c>
    </row>
    <row r="3281">
      <c r="A3281" s="3">
        <f>IFERROR(__xludf.DUMMYFUNCTION("""COMPUTED_VALUE"""),43648.99861111111)</f>
        <v>43648.99861</v>
      </c>
      <c r="B3281" s="1">
        <f>IFERROR(__xludf.DUMMYFUNCTION("""COMPUTED_VALUE"""),131.23)</f>
        <v>131.23</v>
      </c>
    </row>
    <row r="3282">
      <c r="A3282" s="3">
        <f>IFERROR(__xludf.DUMMYFUNCTION("""COMPUTED_VALUE"""),43649.99861111111)</f>
        <v>43649.99861</v>
      </c>
      <c r="B3282" s="1">
        <f>IFERROR(__xludf.DUMMYFUNCTION("""COMPUTED_VALUE"""),130.9)</f>
        <v>130.9</v>
      </c>
    </row>
    <row r="3283">
      <c r="A3283" s="3">
        <f>IFERROR(__xludf.DUMMYFUNCTION("""COMPUTED_VALUE"""),43650.99861111111)</f>
        <v>43650.99861</v>
      </c>
      <c r="B3283" s="1">
        <f>IFERROR(__xludf.DUMMYFUNCTION("""COMPUTED_VALUE"""),131.17)</f>
        <v>131.17</v>
      </c>
    </row>
    <row r="3284">
      <c r="A3284" s="3">
        <f>IFERROR(__xludf.DUMMYFUNCTION("""COMPUTED_VALUE"""),43651.99861111111)</f>
        <v>43651.99861</v>
      </c>
      <c r="B3284" s="1">
        <f>IFERROR(__xludf.DUMMYFUNCTION("""COMPUTED_VALUE"""),129.67)</f>
        <v>129.67</v>
      </c>
    </row>
    <row r="3285">
      <c r="A3285" s="3">
        <f>IFERROR(__xludf.DUMMYFUNCTION("""COMPUTED_VALUE"""),43652.99861111111)</f>
        <v>43652.99861</v>
      </c>
      <c r="B3285" s="1">
        <f>IFERROR(__xludf.DUMMYFUNCTION("""COMPUTED_VALUE"""),129.67)</f>
        <v>129.67</v>
      </c>
    </row>
    <row r="3286">
      <c r="A3286" s="3">
        <f>IFERROR(__xludf.DUMMYFUNCTION("""COMPUTED_VALUE"""),43653.99861111111)</f>
        <v>43653.99861</v>
      </c>
      <c r="B3286" s="1">
        <f>IFERROR(__xludf.DUMMYFUNCTION("""COMPUTED_VALUE"""),129.715)</f>
        <v>129.715</v>
      </c>
    </row>
    <row r="3287">
      <c r="A3287" s="3">
        <f>IFERROR(__xludf.DUMMYFUNCTION("""COMPUTED_VALUE"""),43654.99861111111)</f>
        <v>43654.99861</v>
      </c>
      <c r="B3287" s="1">
        <f>IFERROR(__xludf.DUMMYFUNCTION("""COMPUTED_VALUE"""),142.01)</f>
        <v>142.01</v>
      </c>
    </row>
    <row r="3288">
      <c r="A3288" s="3">
        <f>IFERROR(__xludf.DUMMYFUNCTION("""COMPUTED_VALUE"""),43655.99861111111)</f>
        <v>43655.99861</v>
      </c>
      <c r="B3288" s="1">
        <f>IFERROR(__xludf.DUMMYFUNCTION("""COMPUTED_VALUE"""),141.97)</f>
        <v>141.97</v>
      </c>
    </row>
    <row r="3289">
      <c r="A3289" s="3">
        <f>IFERROR(__xludf.DUMMYFUNCTION("""COMPUTED_VALUE"""),43656.99861111111)</f>
        <v>43656.99861</v>
      </c>
      <c r="B3289" s="1">
        <f>IFERROR(__xludf.DUMMYFUNCTION("""COMPUTED_VALUE"""),130.31)</f>
        <v>130.31</v>
      </c>
    </row>
    <row r="3290">
      <c r="A3290" s="3">
        <f>IFERROR(__xludf.DUMMYFUNCTION("""COMPUTED_VALUE"""),43657.99861111111)</f>
        <v>43657.99861</v>
      </c>
      <c r="B3290" s="1">
        <f>IFERROR(__xludf.DUMMYFUNCTION("""COMPUTED_VALUE"""),130.11)</f>
        <v>130.11</v>
      </c>
    </row>
    <row r="3291">
      <c r="A3291" s="3">
        <f>IFERROR(__xludf.DUMMYFUNCTION("""COMPUTED_VALUE"""),43658.99861111111)</f>
        <v>43658.99861</v>
      </c>
      <c r="B3291" s="1">
        <f>IFERROR(__xludf.DUMMYFUNCTION("""COMPUTED_VALUE"""),129.59)</f>
        <v>129.59</v>
      </c>
    </row>
    <row r="3292">
      <c r="A3292" s="3">
        <f>IFERROR(__xludf.DUMMYFUNCTION("""COMPUTED_VALUE"""),43659.99861111111)</f>
        <v>43659.99861</v>
      </c>
      <c r="B3292" s="1">
        <f>IFERROR(__xludf.DUMMYFUNCTION("""COMPUTED_VALUE"""),129.59)</f>
        <v>129.59</v>
      </c>
    </row>
    <row r="3293">
      <c r="A3293" s="3">
        <f>IFERROR(__xludf.DUMMYFUNCTION("""COMPUTED_VALUE"""),43660.99861111111)</f>
        <v>43660.99861</v>
      </c>
      <c r="B3293" s="1">
        <f>IFERROR(__xludf.DUMMYFUNCTION("""COMPUTED_VALUE"""),129.88)</f>
        <v>129.88</v>
      </c>
    </row>
    <row r="3294">
      <c r="A3294" s="3">
        <f>IFERROR(__xludf.DUMMYFUNCTION("""COMPUTED_VALUE"""),43661.99861111111)</f>
        <v>43661.99861</v>
      </c>
      <c r="B3294" s="1">
        <f>IFERROR(__xludf.DUMMYFUNCTION("""COMPUTED_VALUE"""),128.925)</f>
        <v>128.925</v>
      </c>
    </row>
    <row r="3295">
      <c r="A3295" s="3">
        <f>IFERROR(__xludf.DUMMYFUNCTION("""COMPUTED_VALUE"""),43662.99861111111)</f>
        <v>43662.99861</v>
      </c>
      <c r="B3295" s="1">
        <f>IFERROR(__xludf.DUMMYFUNCTION("""COMPUTED_VALUE"""),128.905)</f>
        <v>128.905</v>
      </c>
    </row>
    <row r="3296">
      <c r="A3296" s="3">
        <f>IFERROR(__xludf.DUMMYFUNCTION("""COMPUTED_VALUE"""),43663.99861111111)</f>
        <v>43663.99861</v>
      </c>
      <c r="B3296" s="1">
        <f>IFERROR(__xludf.DUMMYFUNCTION("""COMPUTED_VALUE"""),129.44)</f>
        <v>129.44</v>
      </c>
    </row>
    <row r="3297">
      <c r="A3297" s="3">
        <f>IFERROR(__xludf.DUMMYFUNCTION("""COMPUTED_VALUE"""),43664.99861111111)</f>
        <v>43664.99861</v>
      </c>
      <c r="B3297" s="1">
        <f>IFERROR(__xludf.DUMMYFUNCTION("""COMPUTED_VALUE"""),129.555)</f>
        <v>129.555</v>
      </c>
    </row>
    <row r="3298">
      <c r="A3298" s="3">
        <f>IFERROR(__xludf.DUMMYFUNCTION("""COMPUTED_VALUE"""),43665.99861111111)</f>
        <v>43665.99861</v>
      </c>
      <c r="B3298" s="1">
        <f>IFERROR(__xludf.DUMMYFUNCTION("""COMPUTED_VALUE"""),129.225)</f>
        <v>129.225</v>
      </c>
    </row>
    <row r="3299">
      <c r="A3299" s="3">
        <f>IFERROR(__xludf.DUMMYFUNCTION("""COMPUTED_VALUE"""),43666.99861111111)</f>
        <v>43666.99861</v>
      </c>
      <c r="B3299" s="1">
        <f>IFERROR(__xludf.DUMMYFUNCTION("""COMPUTED_VALUE"""),129.41)</f>
        <v>129.41</v>
      </c>
    </row>
    <row r="3300">
      <c r="A3300" s="3">
        <f>IFERROR(__xludf.DUMMYFUNCTION("""COMPUTED_VALUE"""),43667.99861111111)</f>
        <v>43667.99861</v>
      </c>
      <c r="B3300" s="1">
        <f>IFERROR(__xludf.DUMMYFUNCTION("""COMPUTED_VALUE"""),129.49)</f>
        <v>129.49</v>
      </c>
    </row>
    <row r="3301">
      <c r="A3301" s="3">
        <f>IFERROR(__xludf.DUMMYFUNCTION("""COMPUTED_VALUE"""),43668.99861111111)</f>
        <v>43668.99861</v>
      </c>
      <c r="B3301" s="1">
        <f>IFERROR(__xludf.DUMMYFUNCTION("""COMPUTED_VALUE"""),129.22)</f>
        <v>129.22</v>
      </c>
    </row>
    <row r="3302">
      <c r="A3302" s="3">
        <f>IFERROR(__xludf.DUMMYFUNCTION("""COMPUTED_VALUE"""),43669.99861111111)</f>
        <v>43669.99861</v>
      </c>
      <c r="B3302" s="1">
        <f>IFERROR(__xludf.DUMMYFUNCTION("""COMPUTED_VALUE"""),129.545)</f>
        <v>129.545</v>
      </c>
    </row>
    <row r="3303">
      <c r="A3303" s="3">
        <f>IFERROR(__xludf.DUMMYFUNCTION("""COMPUTED_VALUE"""),43670.99861111111)</f>
        <v>43670.99861</v>
      </c>
      <c r="B3303" s="1">
        <f>IFERROR(__xludf.DUMMYFUNCTION("""COMPUTED_VALUE"""),129.355)</f>
        <v>129.355</v>
      </c>
    </row>
    <row r="3304">
      <c r="A3304" s="3">
        <f>IFERROR(__xludf.DUMMYFUNCTION("""COMPUTED_VALUE"""),43671.99861111111)</f>
        <v>43671.99861</v>
      </c>
      <c r="B3304" s="1">
        <f>IFERROR(__xludf.DUMMYFUNCTION("""COMPUTED_VALUE"""),128.62)</f>
        <v>128.62</v>
      </c>
    </row>
    <row r="3305">
      <c r="A3305" s="3">
        <f>IFERROR(__xludf.DUMMYFUNCTION("""COMPUTED_VALUE"""),43672.99861111111)</f>
        <v>43672.99861</v>
      </c>
      <c r="B3305" s="1">
        <f>IFERROR(__xludf.DUMMYFUNCTION("""COMPUTED_VALUE"""),128.52)</f>
        <v>128.52</v>
      </c>
    </row>
    <row r="3306">
      <c r="A3306" s="3">
        <f>IFERROR(__xludf.DUMMYFUNCTION("""COMPUTED_VALUE"""),43673.99861111111)</f>
        <v>43673.99861</v>
      </c>
      <c r="B3306" s="1">
        <f>IFERROR(__xludf.DUMMYFUNCTION("""COMPUTED_VALUE"""),128.52)</f>
        <v>128.52</v>
      </c>
    </row>
    <row r="3307">
      <c r="A3307" s="3">
        <f>IFERROR(__xludf.DUMMYFUNCTION("""COMPUTED_VALUE"""),43674.99861111111)</f>
        <v>43674.99861</v>
      </c>
      <c r="B3307" s="1">
        <f>IFERROR(__xludf.DUMMYFUNCTION("""COMPUTED_VALUE"""),128.77)</f>
        <v>128.77</v>
      </c>
    </row>
    <row r="3308">
      <c r="A3308" s="3">
        <f>IFERROR(__xludf.DUMMYFUNCTION("""COMPUTED_VALUE"""),43675.99861111111)</f>
        <v>43675.99861</v>
      </c>
      <c r="B3308" s="1">
        <f>IFERROR(__xludf.DUMMYFUNCTION("""COMPUTED_VALUE"""),132.88)</f>
        <v>132.88</v>
      </c>
    </row>
    <row r="3309">
      <c r="A3309" s="3">
        <f>IFERROR(__xludf.DUMMYFUNCTION("""COMPUTED_VALUE"""),43676.99861111111)</f>
        <v>43676.99861</v>
      </c>
      <c r="B3309" s="1">
        <f>IFERROR(__xludf.DUMMYFUNCTION("""COMPUTED_VALUE"""),129.12)</f>
        <v>129.12</v>
      </c>
    </row>
    <row r="3310">
      <c r="A3310" s="3">
        <f>IFERROR(__xludf.DUMMYFUNCTION("""COMPUTED_VALUE"""),43677.99861111111)</f>
        <v>43677.99861</v>
      </c>
      <c r="B3310" s="1">
        <f>IFERROR(__xludf.DUMMYFUNCTION("""COMPUTED_VALUE"""),129.51)</f>
        <v>129.51</v>
      </c>
    </row>
    <row r="3311">
      <c r="A3311" s="3">
        <f>IFERROR(__xludf.DUMMYFUNCTION("""COMPUTED_VALUE"""),43678.99861111111)</f>
        <v>43678.99861</v>
      </c>
      <c r="B3311" s="1">
        <f>IFERROR(__xludf.DUMMYFUNCTION("""COMPUTED_VALUE"""),131.43)</f>
        <v>131.43</v>
      </c>
    </row>
    <row r="3312">
      <c r="A3312" s="3">
        <f>IFERROR(__xludf.DUMMYFUNCTION("""COMPUTED_VALUE"""),43679.99861111111)</f>
        <v>43679.99861</v>
      </c>
      <c r="B3312" s="1">
        <f>IFERROR(__xludf.DUMMYFUNCTION("""COMPUTED_VALUE"""),132.77)</f>
        <v>132.77</v>
      </c>
    </row>
    <row r="3313">
      <c r="A3313" s="3">
        <f>IFERROR(__xludf.DUMMYFUNCTION("""COMPUTED_VALUE"""),43680.99861111111)</f>
        <v>43680.99861</v>
      </c>
      <c r="B3313" s="1">
        <f>IFERROR(__xludf.DUMMYFUNCTION("""COMPUTED_VALUE"""),132.77)</f>
        <v>132.77</v>
      </c>
    </row>
    <row r="3314">
      <c r="A3314" s="3">
        <f>IFERROR(__xludf.DUMMYFUNCTION("""COMPUTED_VALUE"""),43681.99861111111)</f>
        <v>43681.99861</v>
      </c>
      <c r="B3314" s="1">
        <f>IFERROR(__xludf.DUMMYFUNCTION("""COMPUTED_VALUE"""),133.025)</f>
        <v>133.025</v>
      </c>
    </row>
    <row r="3315">
      <c r="A3315" s="3">
        <f>IFERROR(__xludf.DUMMYFUNCTION("""COMPUTED_VALUE"""),43682.99861111111)</f>
        <v>43682.99861</v>
      </c>
      <c r="B3315" s="1">
        <f>IFERROR(__xludf.DUMMYFUNCTION("""COMPUTED_VALUE"""),134.38)</f>
        <v>134.38</v>
      </c>
    </row>
    <row r="3316">
      <c r="A3316" s="3">
        <f>IFERROR(__xludf.DUMMYFUNCTION("""COMPUTED_VALUE"""),43683.99861111111)</f>
        <v>43683.99861</v>
      </c>
      <c r="B3316" s="1">
        <f>IFERROR(__xludf.DUMMYFUNCTION("""COMPUTED_VALUE"""),133.745)</f>
        <v>133.745</v>
      </c>
    </row>
    <row r="3317">
      <c r="A3317" s="3">
        <f>IFERROR(__xludf.DUMMYFUNCTION("""COMPUTED_VALUE"""),43684.99861111111)</f>
        <v>43684.99861</v>
      </c>
      <c r="B3317" s="1">
        <f>IFERROR(__xludf.DUMMYFUNCTION("""COMPUTED_VALUE"""),134.32)</f>
        <v>134.32</v>
      </c>
    </row>
    <row r="3318">
      <c r="A3318" s="3">
        <f>IFERROR(__xludf.DUMMYFUNCTION("""COMPUTED_VALUE"""),43685.99861111111)</f>
        <v>43685.99861</v>
      </c>
      <c r="B3318" s="1">
        <f>IFERROR(__xludf.DUMMYFUNCTION("""COMPUTED_VALUE"""),134.445)</f>
        <v>134.445</v>
      </c>
    </row>
    <row r="3319">
      <c r="A3319" s="3">
        <f>IFERROR(__xludf.DUMMYFUNCTION("""COMPUTED_VALUE"""),43686.99861111111)</f>
        <v>43686.99861</v>
      </c>
      <c r="B3319" s="1">
        <f>IFERROR(__xludf.DUMMYFUNCTION("""COMPUTED_VALUE"""),133.02)</f>
        <v>133.02</v>
      </c>
    </row>
    <row r="3320">
      <c r="A3320" s="3">
        <f>IFERROR(__xludf.DUMMYFUNCTION("""COMPUTED_VALUE"""),43687.99861111111)</f>
        <v>43687.99861</v>
      </c>
      <c r="B3320" s="1">
        <f>IFERROR(__xludf.DUMMYFUNCTION("""COMPUTED_VALUE"""),133.02)</f>
        <v>133.02</v>
      </c>
    </row>
    <row r="3321">
      <c r="A3321" s="3">
        <f>IFERROR(__xludf.DUMMYFUNCTION("""COMPUTED_VALUE"""),43688.99861111111)</f>
        <v>43688.99861</v>
      </c>
      <c r="B3321" s="1">
        <f>IFERROR(__xludf.DUMMYFUNCTION("""COMPUTED_VALUE"""),134.63)</f>
        <v>134.63</v>
      </c>
    </row>
    <row r="3322">
      <c r="A3322" s="3">
        <f>IFERROR(__xludf.DUMMYFUNCTION("""COMPUTED_VALUE"""),43689.99861111111)</f>
        <v>43689.99861</v>
      </c>
      <c r="B3322" s="1">
        <f>IFERROR(__xludf.DUMMYFUNCTION("""COMPUTED_VALUE"""),135.01)</f>
        <v>135.01</v>
      </c>
    </row>
    <row r="3323">
      <c r="A3323" s="3">
        <f>IFERROR(__xludf.DUMMYFUNCTION("""COMPUTED_VALUE"""),43690.99861111111)</f>
        <v>43690.99861</v>
      </c>
      <c r="B3323" s="1">
        <f>IFERROR(__xludf.DUMMYFUNCTION("""COMPUTED_VALUE"""),134.78)</f>
        <v>134.78</v>
      </c>
    </row>
    <row r="3324">
      <c r="A3324" s="3">
        <f>IFERROR(__xludf.DUMMYFUNCTION("""COMPUTED_VALUE"""),43691.99861111111)</f>
        <v>43691.99861</v>
      </c>
      <c r="B3324" s="1">
        <f>IFERROR(__xludf.DUMMYFUNCTION("""COMPUTED_VALUE"""),134.925)</f>
        <v>134.925</v>
      </c>
    </row>
    <row r="3325">
      <c r="A3325" s="3">
        <f>IFERROR(__xludf.DUMMYFUNCTION("""COMPUTED_VALUE"""),43692.99861111111)</f>
        <v>43692.99861</v>
      </c>
      <c r="B3325" s="1">
        <f>IFERROR(__xludf.DUMMYFUNCTION("""COMPUTED_VALUE"""),135.015)</f>
        <v>135.015</v>
      </c>
    </row>
    <row r="3326">
      <c r="A3326" s="3">
        <f>IFERROR(__xludf.DUMMYFUNCTION("""COMPUTED_VALUE"""),43693.99861111111)</f>
        <v>43693.99861</v>
      </c>
      <c r="B3326" s="1">
        <f>IFERROR(__xludf.DUMMYFUNCTION("""COMPUTED_VALUE"""),133.615)</f>
        <v>133.615</v>
      </c>
    </row>
    <row r="3327">
      <c r="A3327" s="3">
        <f>IFERROR(__xludf.DUMMYFUNCTION("""COMPUTED_VALUE"""),43694.99861111111)</f>
        <v>43694.99861</v>
      </c>
      <c r="B3327" s="1">
        <f>IFERROR(__xludf.DUMMYFUNCTION("""COMPUTED_VALUE"""),133.615)</f>
        <v>133.615</v>
      </c>
    </row>
    <row r="3328">
      <c r="A3328" s="3">
        <f>IFERROR(__xludf.DUMMYFUNCTION("""COMPUTED_VALUE"""),43695.99861111111)</f>
        <v>43695.99861</v>
      </c>
      <c r="B3328" s="1">
        <f>IFERROR(__xludf.DUMMYFUNCTION("""COMPUTED_VALUE"""),133.57)</f>
        <v>133.57</v>
      </c>
    </row>
    <row r="3329">
      <c r="A3329" s="3">
        <f>IFERROR(__xludf.DUMMYFUNCTION("""COMPUTED_VALUE"""),43696.99861111111)</f>
        <v>43696.99861</v>
      </c>
      <c r="B3329" s="1">
        <f>IFERROR(__xludf.DUMMYFUNCTION("""COMPUTED_VALUE"""),133.765)</f>
        <v>133.765</v>
      </c>
    </row>
    <row r="3330">
      <c r="A3330" s="3">
        <f>IFERROR(__xludf.DUMMYFUNCTION("""COMPUTED_VALUE"""),43697.99861111111)</f>
        <v>43697.99861</v>
      </c>
      <c r="B3330" s="1">
        <f>IFERROR(__xludf.DUMMYFUNCTION("""COMPUTED_VALUE"""),134.01)</f>
        <v>134.01</v>
      </c>
    </row>
    <row r="3331">
      <c r="A3331" s="3">
        <f>IFERROR(__xludf.DUMMYFUNCTION("""COMPUTED_VALUE"""),43698.99861111111)</f>
        <v>43698.99861</v>
      </c>
      <c r="B3331" s="1">
        <f>IFERROR(__xludf.DUMMYFUNCTION("""COMPUTED_VALUE"""),133.715)</f>
        <v>133.715</v>
      </c>
    </row>
    <row r="3332">
      <c r="A3332" s="3">
        <f>IFERROR(__xludf.DUMMYFUNCTION("""COMPUTED_VALUE"""),43699.99861111111)</f>
        <v>43699.99861</v>
      </c>
      <c r="B3332" s="1">
        <f>IFERROR(__xludf.DUMMYFUNCTION("""COMPUTED_VALUE"""),133.49)</f>
        <v>133.49</v>
      </c>
    </row>
    <row r="3333">
      <c r="A3333" s="3">
        <f>IFERROR(__xludf.DUMMYFUNCTION("""COMPUTED_VALUE"""),43700.99861111111)</f>
        <v>43700.99861</v>
      </c>
      <c r="B3333" s="1">
        <f>IFERROR(__xludf.DUMMYFUNCTION("""COMPUTED_VALUE"""),132.61)</f>
        <v>132.61</v>
      </c>
    </row>
    <row r="3334">
      <c r="A3334" s="3">
        <f>IFERROR(__xludf.DUMMYFUNCTION("""COMPUTED_VALUE"""),43701.99861111111)</f>
        <v>43701.99861</v>
      </c>
      <c r="B3334" s="1">
        <f>IFERROR(__xludf.DUMMYFUNCTION("""COMPUTED_VALUE"""),132.61)</f>
        <v>132.61</v>
      </c>
    </row>
    <row r="3335">
      <c r="A3335" s="3">
        <f>IFERROR(__xludf.DUMMYFUNCTION("""COMPUTED_VALUE"""),43702.99861111111)</f>
        <v>43702.99861</v>
      </c>
      <c r="B3335" s="1">
        <f>IFERROR(__xludf.DUMMYFUNCTION("""COMPUTED_VALUE"""),134.435)</f>
        <v>134.435</v>
      </c>
    </row>
    <row r="3336">
      <c r="A3336" s="3">
        <f>IFERROR(__xludf.DUMMYFUNCTION("""COMPUTED_VALUE"""),43703.99861111111)</f>
        <v>43703.99861</v>
      </c>
      <c r="B3336" s="1">
        <f>IFERROR(__xludf.DUMMYFUNCTION("""COMPUTED_VALUE"""),134.305)</f>
        <v>134.305</v>
      </c>
    </row>
    <row r="3337">
      <c r="A3337" s="3">
        <f>IFERROR(__xludf.DUMMYFUNCTION("""COMPUTED_VALUE"""),43704.99861111111)</f>
        <v>43704.99861</v>
      </c>
      <c r="B3337" s="1">
        <f>IFERROR(__xludf.DUMMYFUNCTION("""COMPUTED_VALUE"""),134.825)</f>
        <v>134.825</v>
      </c>
    </row>
    <row r="3338">
      <c r="A3338" s="3">
        <f>IFERROR(__xludf.DUMMYFUNCTION("""COMPUTED_VALUE"""),43705.99861111111)</f>
        <v>43705.99861</v>
      </c>
      <c r="B3338" s="1">
        <f>IFERROR(__xludf.DUMMYFUNCTION("""COMPUTED_VALUE"""),134.285)</f>
        <v>134.285</v>
      </c>
    </row>
    <row r="3339">
      <c r="A3339" s="3">
        <f>IFERROR(__xludf.DUMMYFUNCTION("""COMPUTED_VALUE"""),43706.99861111111)</f>
        <v>43706.99861</v>
      </c>
      <c r="B3339" s="1">
        <f>IFERROR(__xludf.DUMMYFUNCTION("""COMPUTED_VALUE"""),133.76)</f>
        <v>133.76</v>
      </c>
    </row>
    <row r="3340">
      <c r="A3340" s="3">
        <f>IFERROR(__xludf.DUMMYFUNCTION("""COMPUTED_VALUE"""),43707.99861111111)</f>
        <v>43707.99861</v>
      </c>
      <c r="B3340" s="1">
        <f>IFERROR(__xludf.DUMMYFUNCTION("""COMPUTED_VALUE"""),133.89)</f>
        <v>133.89</v>
      </c>
    </row>
    <row r="3341">
      <c r="A3341" s="3">
        <f>IFERROR(__xludf.DUMMYFUNCTION("""COMPUTED_VALUE"""),43708.99861111111)</f>
        <v>43708.99861</v>
      </c>
      <c r="B3341" s="1">
        <f>IFERROR(__xludf.DUMMYFUNCTION("""COMPUTED_VALUE"""),133.89)</f>
        <v>133.89</v>
      </c>
    </row>
    <row r="3342">
      <c r="A3342" s="3">
        <f>IFERROR(__xludf.DUMMYFUNCTION("""COMPUTED_VALUE"""),43709.99861111111)</f>
        <v>43709.99861</v>
      </c>
      <c r="B3342" s="1">
        <f>IFERROR(__xludf.DUMMYFUNCTION("""COMPUTED_VALUE"""),134.31)</f>
        <v>134.31</v>
      </c>
    </row>
    <row r="3343">
      <c r="A3343" s="3">
        <f>IFERROR(__xludf.DUMMYFUNCTION("""COMPUTED_VALUE"""),43710.99861111111)</f>
        <v>43710.99861</v>
      </c>
      <c r="B3343" s="1">
        <f>IFERROR(__xludf.DUMMYFUNCTION("""COMPUTED_VALUE"""),133.695)</f>
        <v>133.695</v>
      </c>
    </row>
    <row r="3344">
      <c r="A3344" s="3">
        <f>IFERROR(__xludf.DUMMYFUNCTION("""COMPUTED_VALUE"""),43711.99861111111)</f>
        <v>43711.99861</v>
      </c>
      <c r="B3344" s="1">
        <f>IFERROR(__xludf.DUMMYFUNCTION("""COMPUTED_VALUE"""),134.325)</f>
        <v>134.325</v>
      </c>
    </row>
    <row r="3345">
      <c r="A3345" s="3">
        <f>IFERROR(__xludf.DUMMYFUNCTION("""COMPUTED_VALUE"""),43712.99861111111)</f>
        <v>43712.99861</v>
      </c>
      <c r="B3345" s="1">
        <f>IFERROR(__xludf.DUMMYFUNCTION("""COMPUTED_VALUE"""),133.02)</f>
        <v>133.02</v>
      </c>
    </row>
    <row r="3346">
      <c r="A3346" s="3">
        <f>IFERROR(__xludf.DUMMYFUNCTION("""COMPUTED_VALUE"""),43713.99861111111)</f>
        <v>43713.99861</v>
      </c>
      <c r="B3346" s="1">
        <f>IFERROR(__xludf.DUMMYFUNCTION("""COMPUTED_VALUE"""),132.195)</f>
        <v>132.195</v>
      </c>
    </row>
    <row r="3347">
      <c r="A3347" s="3">
        <f>IFERROR(__xludf.DUMMYFUNCTION("""COMPUTED_VALUE"""),43714.99861111111)</f>
        <v>43714.99861</v>
      </c>
      <c r="B3347" s="1">
        <f>IFERROR(__xludf.DUMMYFUNCTION("""COMPUTED_VALUE"""),130.67)</f>
        <v>130.67</v>
      </c>
    </row>
    <row r="3348">
      <c r="A3348" s="3">
        <f>IFERROR(__xludf.DUMMYFUNCTION("""COMPUTED_VALUE"""),43715.99861111111)</f>
        <v>43715.99861</v>
      </c>
      <c r="B3348" s="1">
        <f>IFERROR(__xludf.DUMMYFUNCTION("""COMPUTED_VALUE"""),130.61)</f>
        <v>130.61</v>
      </c>
    </row>
    <row r="3349">
      <c r="A3349" s="3">
        <f>IFERROR(__xludf.DUMMYFUNCTION("""COMPUTED_VALUE"""),43716.99861111111)</f>
        <v>43716.99861</v>
      </c>
      <c r="B3349" s="1">
        <f>IFERROR(__xludf.DUMMYFUNCTION("""COMPUTED_VALUE"""),131.91)</f>
        <v>131.91</v>
      </c>
    </row>
    <row r="3350">
      <c r="A3350" s="3">
        <f>IFERROR(__xludf.DUMMYFUNCTION("""COMPUTED_VALUE"""),43717.99861111111)</f>
        <v>43717.99861</v>
      </c>
      <c r="B3350" s="1">
        <f>IFERROR(__xludf.DUMMYFUNCTION("""COMPUTED_VALUE"""),130.68)</f>
        <v>130.68</v>
      </c>
    </row>
    <row r="3351">
      <c r="A3351" s="3">
        <f>IFERROR(__xludf.DUMMYFUNCTION("""COMPUTED_VALUE"""),43718.99861111111)</f>
        <v>43718.99861</v>
      </c>
      <c r="B3351" s="1">
        <f>IFERROR(__xludf.DUMMYFUNCTION("""COMPUTED_VALUE"""),130.49)</f>
        <v>130.49</v>
      </c>
    </row>
    <row r="3352">
      <c r="A3352" s="3">
        <f>IFERROR(__xludf.DUMMYFUNCTION("""COMPUTED_VALUE"""),43719.99861111111)</f>
        <v>43719.99861</v>
      </c>
      <c r="B3352" s="1">
        <f>IFERROR(__xludf.DUMMYFUNCTION("""COMPUTED_VALUE"""),129.96)</f>
        <v>129.96</v>
      </c>
    </row>
    <row r="3353">
      <c r="A3353" s="3">
        <f>IFERROR(__xludf.DUMMYFUNCTION("""COMPUTED_VALUE"""),43720.99861111111)</f>
        <v>43720.99861</v>
      </c>
      <c r="B3353" s="1">
        <f>IFERROR(__xludf.DUMMYFUNCTION("""COMPUTED_VALUE"""),128.95)</f>
        <v>128.95</v>
      </c>
    </row>
    <row r="3354">
      <c r="A3354" s="3">
        <f>IFERROR(__xludf.DUMMYFUNCTION("""COMPUTED_VALUE"""),43721.99861111111)</f>
        <v>43721.99861</v>
      </c>
      <c r="B3354" s="1">
        <f>IFERROR(__xludf.DUMMYFUNCTION("""COMPUTED_VALUE"""),128.21)</f>
        <v>128.21</v>
      </c>
    </row>
    <row r="3355">
      <c r="A3355" s="3">
        <f>IFERROR(__xludf.DUMMYFUNCTION("""COMPUTED_VALUE"""),43722.99861111111)</f>
        <v>43722.99861</v>
      </c>
      <c r="B3355" s="1">
        <f>IFERROR(__xludf.DUMMYFUNCTION("""COMPUTED_VALUE"""),128.21)</f>
        <v>128.21</v>
      </c>
    </row>
    <row r="3356">
      <c r="A3356" s="3">
        <f>IFERROR(__xludf.DUMMYFUNCTION("""COMPUTED_VALUE"""),43723.99861111111)</f>
        <v>43723.99861</v>
      </c>
      <c r="B3356" s="1">
        <f>IFERROR(__xludf.DUMMYFUNCTION("""COMPUTED_VALUE"""),129.425)</f>
        <v>129.425</v>
      </c>
    </row>
    <row r="3357">
      <c r="A3357" s="3">
        <f>IFERROR(__xludf.DUMMYFUNCTION("""COMPUTED_VALUE"""),43724.99861111111)</f>
        <v>43724.99861</v>
      </c>
      <c r="B3357" s="1">
        <f>IFERROR(__xludf.DUMMYFUNCTION("""COMPUTED_VALUE"""),129.81)</f>
        <v>129.81</v>
      </c>
    </row>
    <row r="3358">
      <c r="A3358" s="3">
        <f>IFERROR(__xludf.DUMMYFUNCTION("""COMPUTED_VALUE"""),43725.99861111111)</f>
        <v>43725.99861</v>
      </c>
      <c r="B3358" s="1">
        <f>IFERROR(__xludf.DUMMYFUNCTION("""COMPUTED_VALUE"""),129.05)</f>
        <v>129.05</v>
      </c>
    </row>
    <row r="3359">
      <c r="A3359" s="3">
        <f>IFERROR(__xludf.DUMMYFUNCTION("""COMPUTED_VALUE"""),43726.99861111111)</f>
        <v>43726.99861</v>
      </c>
      <c r="B3359" s="1">
        <f>IFERROR(__xludf.DUMMYFUNCTION("""COMPUTED_VALUE"""),130.44)</f>
        <v>130.44</v>
      </c>
    </row>
    <row r="3360">
      <c r="A3360" s="3">
        <f>IFERROR(__xludf.DUMMYFUNCTION("""COMPUTED_VALUE"""),43727.99861111111)</f>
        <v>43727.99861</v>
      </c>
      <c r="B3360" s="1">
        <f>IFERROR(__xludf.DUMMYFUNCTION("""COMPUTED_VALUE"""),130.72)</f>
        <v>130.72</v>
      </c>
    </row>
    <row r="3361">
      <c r="A3361" s="3">
        <f>IFERROR(__xludf.DUMMYFUNCTION("""COMPUTED_VALUE"""),43728.99861111111)</f>
        <v>43728.99861</v>
      </c>
      <c r="B3361" s="1">
        <f>IFERROR(__xludf.DUMMYFUNCTION("""COMPUTED_VALUE"""),130.62)</f>
        <v>130.62</v>
      </c>
    </row>
    <row r="3362">
      <c r="A3362" s="3">
        <f>IFERROR(__xludf.DUMMYFUNCTION("""COMPUTED_VALUE"""),43729.99861111111)</f>
        <v>43729.99861</v>
      </c>
      <c r="B3362" s="1">
        <f>IFERROR(__xludf.DUMMYFUNCTION("""COMPUTED_VALUE"""),130.62)</f>
        <v>130.62</v>
      </c>
    </row>
    <row r="3363">
      <c r="A3363" s="3">
        <f>IFERROR(__xludf.DUMMYFUNCTION("""COMPUTED_VALUE"""),43730.99861111111)</f>
        <v>43730.99861</v>
      </c>
      <c r="B3363" s="1">
        <f>IFERROR(__xludf.DUMMYFUNCTION("""COMPUTED_VALUE"""),130.42)</f>
        <v>130.42</v>
      </c>
    </row>
    <row r="3364">
      <c r="A3364" s="3">
        <f>IFERROR(__xludf.DUMMYFUNCTION("""COMPUTED_VALUE"""),43731.99861111111)</f>
        <v>43731.99861</v>
      </c>
      <c r="B3364" s="1">
        <f>IFERROR(__xludf.DUMMYFUNCTION("""COMPUTED_VALUE"""),130.775)</f>
        <v>130.775</v>
      </c>
    </row>
    <row r="3365">
      <c r="A3365" s="3">
        <f>IFERROR(__xludf.DUMMYFUNCTION("""COMPUTED_VALUE"""),43732.99861111111)</f>
        <v>43732.99861</v>
      </c>
      <c r="B3365" s="1">
        <f>IFERROR(__xludf.DUMMYFUNCTION("""COMPUTED_VALUE"""),131.745)</f>
        <v>131.745</v>
      </c>
    </row>
    <row r="3366">
      <c r="A3366" s="3">
        <f>IFERROR(__xludf.DUMMYFUNCTION("""COMPUTED_VALUE"""),43733.99861111111)</f>
        <v>43733.99861</v>
      </c>
      <c r="B3366" s="1">
        <f>IFERROR(__xludf.DUMMYFUNCTION("""COMPUTED_VALUE"""),131.285)</f>
        <v>131.285</v>
      </c>
    </row>
    <row r="3367">
      <c r="A3367" s="3">
        <f>IFERROR(__xludf.DUMMYFUNCTION("""COMPUTED_VALUE"""),43734.99861111111)</f>
        <v>43734.99861</v>
      </c>
      <c r="B3367" s="1">
        <f>IFERROR(__xludf.DUMMYFUNCTION("""COMPUTED_VALUE"""),131.655)</f>
        <v>131.655</v>
      </c>
    </row>
    <row r="3368">
      <c r="A3368" s="3">
        <f>IFERROR(__xludf.DUMMYFUNCTION("""COMPUTED_VALUE"""),43735.99861111111)</f>
        <v>43735.99861</v>
      </c>
      <c r="B3368" s="1">
        <f>IFERROR(__xludf.DUMMYFUNCTION("""COMPUTED_VALUE"""),131.185)</f>
        <v>131.185</v>
      </c>
    </row>
    <row r="3369">
      <c r="A3369" s="3">
        <f>IFERROR(__xludf.DUMMYFUNCTION("""COMPUTED_VALUE"""),43736.99861111111)</f>
        <v>43736.99861</v>
      </c>
      <c r="B3369" s="1">
        <f>IFERROR(__xludf.DUMMYFUNCTION("""COMPUTED_VALUE"""),131.21)</f>
        <v>131.21</v>
      </c>
    </row>
    <row r="3370">
      <c r="A3370" s="3">
        <f>IFERROR(__xludf.DUMMYFUNCTION("""COMPUTED_VALUE"""),43737.99861111111)</f>
        <v>43737.99861</v>
      </c>
      <c r="B3370" s="1">
        <f>IFERROR(__xludf.DUMMYFUNCTION("""COMPUTED_VALUE"""),131.17)</f>
        <v>131.17</v>
      </c>
    </row>
    <row r="3371">
      <c r="A3371" s="3">
        <f>IFERROR(__xludf.DUMMYFUNCTION("""COMPUTED_VALUE"""),43738.99861111111)</f>
        <v>43738.99861</v>
      </c>
      <c r="B3371" s="1">
        <f>IFERROR(__xludf.DUMMYFUNCTION("""COMPUTED_VALUE"""),131.615)</f>
        <v>131.615</v>
      </c>
    </row>
    <row r="3372">
      <c r="A3372" s="3">
        <f>IFERROR(__xludf.DUMMYFUNCTION("""COMPUTED_VALUE"""),43739.99861111111)</f>
        <v>43739.99861</v>
      </c>
      <c r="B3372" s="1">
        <f>IFERROR(__xludf.DUMMYFUNCTION("""COMPUTED_VALUE"""),131.505)</f>
        <v>131.505</v>
      </c>
    </row>
    <row r="3373">
      <c r="A3373" s="3">
        <f>IFERROR(__xludf.DUMMYFUNCTION("""COMPUTED_VALUE"""),43740.99861111111)</f>
        <v>43740.99861</v>
      </c>
      <c r="B3373" s="1">
        <f>IFERROR(__xludf.DUMMYFUNCTION("""COMPUTED_VALUE"""),131.97)</f>
        <v>131.97</v>
      </c>
    </row>
    <row r="3374">
      <c r="A3374" s="3">
        <f>IFERROR(__xludf.DUMMYFUNCTION("""COMPUTED_VALUE"""),43741.99861111111)</f>
        <v>43741.99861</v>
      </c>
      <c r="B3374" s="1">
        <f>IFERROR(__xludf.DUMMYFUNCTION("""COMPUTED_VALUE"""),132.74)</f>
        <v>132.74</v>
      </c>
    </row>
    <row r="3375">
      <c r="A3375" s="3">
        <f>IFERROR(__xludf.DUMMYFUNCTION("""COMPUTED_VALUE"""),43742.99861111111)</f>
        <v>43742.99861</v>
      </c>
      <c r="B3375" s="1">
        <f>IFERROR(__xludf.DUMMYFUNCTION("""COMPUTED_VALUE"""),132.015)</f>
        <v>132.015</v>
      </c>
    </row>
    <row r="3376">
      <c r="A3376" s="3">
        <f>IFERROR(__xludf.DUMMYFUNCTION("""COMPUTED_VALUE"""),43743.99861111111)</f>
        <v>43743.99861</v>
      </c>
      <c r="B3376" s="1">
        <f>IFERROR(__xludf.DUMMYFUNCTION("""COMPUTED_VALUE"""),132.28)</f>
        <v>132.28</v>
      </c>
    </row>
    <row r="3377">
      <c r="A3377" s="3">
        <f>IFERROR(__xludf.DUMMYFUNCTION("""COMPUTED_VALUE"""),43744.99861111111)</f>
        <v>43744.99861</v>
      </c>
      <c r="B3377" s="1">
        <f>IFERROR(__xludf.DUMMYFUNCTION("""COMPUTED_VALUE"""),132.46)</f>
        <v>132.46</v>
      </c>
    </row>
    <row r="3378">
      <c r="A3378" s="3">
        <f>IFERROR(__xludf.DUMMYFUNCTION("""COMPUTED_VALUE"""),43745.99861111111)</f>
        <v>43745.99861</v>
      </c>
      <c r="B3378" s="1">
        <f>IFERROR(__xludf.DUMMYFUNCTION("""COMPUTED_VALUE"""),132.015)</f>
        <v>132.015</v>
      </c>
    </row>
    <row r="3379">
      <c r="A3379" s="3">
        <f>IFERROR(__xludf.DUMMYFUNCTION("""COMPUTED_VALUE"""),43746.99861111111)</f>
        <v>43746.99861</v>
      </c>
      <c r="B3379" s="1">
        <f>IFERROR(__xludf.DUMMYFUNCTION("""COMPUTED_VALUE"""),132.505)</f>
        <v>132.505</v>
      </c>
    </row>
    <row r="3380">
      <c r="A3380" s="3">
        <f>IFERROR(__xludf.DUMMYFUNCTION("""COMPUTED_VALUE"""),43747.99861111111)</f>
        <v>43747.99861</v>
      </c>
      <c r="B3380" s="1">
        <f>IFERROR(__xludf.DUMMYFUNCTION("""COMPUTED_VALUE"""),132.025)</f>
        <v>132.025</v>
      </c>
    </row>
    <row r="3381">
      <c r="A3381" s="3">
        <f>IFERROR(__xludf.DUMMYFUNCTION("""COMPUTED_VALUE"""),43748.99861111111)</f>
        <v>43748.99861</v>
      </c>
      <c r="B3381" s="1">
        <f>IFERROR(__xludf.DUMMYFUNCTION("""COMPUTED_VALUE"""),131.25)</f>
        <v>131.25</v>
      </c>
    </row>
    <row r="3382">
      <c r="A3382" s="3">
        <f>IFERROR(__xludf.DUMMYFUNCTION("""COMPUTED_VALUE"""),43749.99861111111)</f>
        <v>43749.99861</v>
      </c>
      <c r="B3382" s="1">
        <f>IFERROR(__xludf.DUMMYFUNCTION("""COMPUTED_VALUE"""),130.345)</f>
        <v>130.345</v>
      </c>
    </row>
    <row r="3383">
      <c r="A3383" s="3">
        <f>IFERROR(__xludf.DUMMYFUNCTION("""COMPUTED_VALUE"""),43750.99861111111)</f>
        <v>43750.99861</v>
      </c>
      <c r="B3383" s="1">
        <f>IFERROR(__xludf.DUMMYFUNCTION("""COMPUTED_VALUE"""),130.3468)</f>
        <v>130.3468</v>
      </c>
    </row>
    <row r="3384">
      <c r="A3384" s="3">
        <f>IFERROR(__xludf.DUMMYFUNCTION("""COMPUTED_VALUE"""),43751.99861111111)</f>
        <v>43751.99861</v>
      </c>
      <c r="B3384" s="1">
        <f>IFERROR(__xludf.DUMMYFUNCTION("""COMPUTED_VALUE"""),130.3556)</f>
        <v>130.3556</v>
      </c>
    </row>
    <row r="3385">
      <c r="A3385" s="3">
        <f>IFERROR(__xludf.DUMMYFUNCTION("""COMPUTED_VALUE"""),43752.99861111111)</f>
        <v>43752.99861</v>
      </c>
      <c r="B3385" s="1">
        <f>IFERROR(__xludf.DUMMYFUNCTION("""COMPUTED_VALUE"""),130.5058)</f>
        <v>130.5058</v>
      </c>
    </row>
    <row r="3386">
      <c r="A3386" s="3">
        <f>IFERROR(__xludf.DUMMYFUNCTION("""COMPUTED_VALUE"""),43753.99861111111)</f>
        <v>43753.99861</v>
      </c>
      <c r="B3386" s="1">
        <f>IFERROR(__xludf.DUMMYFUNCTION("""COMPUTED_VALUE"""),130.1762)</f>
        <v>130.1762</v>
      </c>
    </row>
    <row r="3387">
      <c r="A3387" s="3">
        <f>IFERROR(__xludf.DUMMYFUNCTION("""COMPUTED_VALUE"""),43754.99861111111)</f>
        <v>43754.99861</v>
      </c>
      <c r="B3387" s="1">
        <f>IFERROR(__xludf.DUMMYFUNCTION("""COMPUTED_VALUE"""),129.8669)</f>
        <v>129.8669</v>
      </c>
    </row>
    <row r="3388">
      <c r="A3388" s="3">
        <f>IFERROR(__xludf.DUMMYFUNCTION("""COMPUTED_VALUE"""),43755.99861111111)</f>
        <v>43755.99861</v>
      </c>
      <c r="B3388" s="1">
        <f>IFERROR(__xludf.DUMMYFUNCTION("""COMPUTED_VALUE"""),130.2602)</f>
        <v>130.2602</v>
      </c>
    </row>
    <row r="3389">
      <c r="A3389" s="3">
        <f>IFERROR(__xludf.DUMMYFUNCTION("""COMPUTED_VALUE"""),43756.99861111111)</f>
        <v>43756.99861</v>
      </c>
      <c r="B3389" s="1">
        <f>IFERROR(__xludf.DUMMYFUNCTION("""COMPUTED_VALUE"""),130.4237)</f>
        <v>130.4237</v>
      </c>
    </row>
    <row r="3390">
      <c r="A3390" s="3">
        <f>IFERROR(__xludf.DUMMYFUNCTION("""COMPUTED_VALUE"""),43757.99861111111)</f>
        <v>43757.99861</v>
      </c>
      <c r="B3390" s="1">
        <f>IFERROR(__xludf.DUMMYFUNCTION("""COMPUTED_VALUE"""),130.4237)</f>
        <v>130.4237</v>
      </c>
    </row>
    <row r="3391">
      <c r="A3391" s="3">
        <f>IFERROR(__xludf.DUMMYFUNCTION("""COMPUTED_VALUE"""),43758.99861111111)</f>
        <v>43758.99861</v>
      </c>
      <c r="B3391" s="1">
        <f>IFERROR(__xludf.DUMMYFUNCTION("""COMPUTED_VALUE"""),130.522)</f>
        <v>130.522</v>
      </c>
    </row>
    <row r="3392">
      <c r="A3392" s="3">
        <f>IFERROR(__xludf.DUMMYFUNCTION("""COMPUTED_VALUE"""),43759.99861111111)</f>
        <v>43759.99861</v>
      </c>
      <c r="B3392" s="1">
        <f>IFERROR(__xludf.DUMMYFUNCTION("""COMPUTED_VALUE"""),129.5527)</f>
        <v>129.5527</v>
      </c>
    </row>
    <row r="3393">
      <c r="A3393" s="3">
        <f>IFERROR(__xludf.DUMMYFUNCTION("""COMPUTED_VALUE"""),43760.99861111111)</f>
        <v>43760.99861</v>
      </c>
      <c r="B3393" s="1">
        <f>IFERROR(__xludf.DUMMYFUNCTION("""COMPUTED_VALUE"""),129.9589)</f>
        <v>129.9589</v>
      </c>
    </row>
    <row r="3394">
      <c r="A3394" s="3">
        <f>IFERROR(__xludf.DUMMYFUNCTION("""COMPUTED_VALUE"""),43761.99861111111)</f>
        <v>43761.99861</v>
      </c>
      <c r="B3394" s="1">
        <f>IFERROR(__xludf.DUMMYFUNCTION("""COMPUTED_VALUE"""),128.8432)</f>
        <v>128.8432</v>
      </c>
    </row>
    <row r="3395">
      <c r="A3395" s="3">
        <f>IFERROR(__xludf.DUMMYFUNCTION("""COMPUTED_VALUE"""),43762.99861111111)</f>
        <v>43762.99861</v>
      </c>
      <c r="B3395" s="1">
        <f>IFERROR(__xludf.DUMMYFUNCTION("""COMPUTED_VALUE"""),129.4632)</f>
        <v>129.4632</v>
      </c>
    </row>
    <row r="3396">
      <c r="A3396" s="3">
        <f>IFERROR(__xludf.DUMMYFUNCTION("""COMPUTED_VALUE"""),43763.99861111111)</f>
        <v>43763.99861</v>
      </c>
      <c r="B3396" s="1">
        <f>IFERROR(__xludf.DUMMYFUNCTION("""COMPUTED_VALUE"""),129.1212)</f>
        <v>129.1212</v>
      </c>
    </row>
    <row r="3397">
      <c r="A3397" s="3">
        <f>IFERROR(__xludf.DUMMYFUNCTION("""COMPUTED_VALUE"""),43764.99861111111)</f>
        <v>43764.99861</v>
      </c>
      <c r="B3397" s="1">
        <f>IFERROR(__xludf.DUMMYFUNCTION("""COMPUTED_VALUE"""),129.1212)</f>
        <v>129.1212</v>
      </c>
    </row>
    <row r="3398">
      <c r="A3398" s="3">
        <f>IFERROR(__xludf.DUMMYFUNCTION("""COMPUTED_VALUE"""),43765.99861111111)</f>
        <v>43765.99861</v>
      </c>
      <c r="B3398" s="1">
        <f>IFERROR(__xludf.DUMMYFUNCTION("""COMPUTED_VALUE"""),128.9886)</f>
        <v>128.9886</v>
      </c>
    </row>
    <row r="3399">
      <c r="A3399" s="3">
        <f>IFERROR(__xludf.DUMMYFUNCTION("""COMPUTED_VALUE"""),43766.99861111111)</f>
        <v>43766.99861</v>
      </c>
      <c r="B3399" s="1">
        <f>IFERROR(__xludf.DUMMYFUNCTION("""COMPUTED_VALUE"""),128.7007)</f>
        <v>128.7007</v>
      </c>
    </row>
    <row r="3400">
      <c r="A3400" s="3">
        <f>IFERROR(__xludf.DUMMYFUNCTION("""COMPUTED_VALUE"""),43767.99861111111)</f>
        <v>43767.99861</v>
      </c>
      <c r="B3400" s="1">
        <f>IFERROR(__xludf.DUMMYFUNCTION("""COMPUTED_VALUE"""),128.6651)</f>
        <v>128.6651</v>
      </c>
    </row>
    <row r="3401">
      <c r="A3401" s="3">
        <f>IFERROR(__xludf.DUMMYFUNCTION("""COMPUTED_VALUE"""),43768.99861111111)</f>
        <v>43768.99861</v>
      </c>
      <c r="B3401" s="1">
        <f>IFERROR(__xludf.DUMMYFUNCTION("""COMPUTED_VALUE"""),128.5787)</f>
        <v>128.5787</v>
      </c>
    </row>
    <row r="3402">
      <c r="A3402" s="3">
        <f>IFERROR(__xludf.DUMMYFUNCTION("""COMPUTED_VALUE"""),43769.99861111111)</f>
        <v>43769.99861</v>
      </c>
      <c r="B3402" s="1">
        <f>IFERROR(__xludf.DUMMYFUNCTION("""COMPUTED_VALUE"""),129.8556)</f>
        <v>129.8556</v>
      </c>
    </row>
    <row r="3403">
      <c r="A3403" s="3">
        <f>IFERROR(__xludf.DUMMYFUNCTION("""COMPUTED_VALUE"""),43770.99861111111)</f>
        <v>43770.99861</v>
      </c>
      <c r="B3403" s="1">
        <f>IFERROR(__xludf.DUMMYFUNCTION("""COMPUTED_VALUE"""),129.2787)</f>
        <v>129.2787</v>
      </c>
    </row>
    <row r="3404">
      <c r="A3404" s="3">
        <f>IFERROR(__xludf.DUMMYFUNCTION("""COMPUTED_VALUE"""),43771.99861111111)</f>
        <v>43771.99861</v>
      </c>
      <c r="B3404" s="1">
        <f>IFERROR(__xludf.DUMMYFUNCTION("""COMPUTED_VALUE"""),129.5921)</f>
        <v>129.5921</v>
      </c>
    </row>
    <row r="3405">
      <c r="A3405" s="3">
        <f>IFERROR(__xludf.DUMMYFUNCTION("""COMPUTED_VALUE"""),43772.99861111111)</f>
        <v>43772.99861</v>
      </c>
      <c r="B3405" s="1">
        <f>IFERROR(__xludf.DUMMYFUNCTION("""COMPUTED_VALUE"""),129.5632)</f>
        <v>129.5632</v>
      </c>
    </row>
    <row r="3406">
      <c r="A3406" s="3">
        <f>IFERROR(__xludf.DUMMYFUNCTION("""COMPUTED_VALUE"""),43773.99861111111)</f>
        <v>43773.99861</v>
      </c>
      <c r="B3406" s="1">
        <f>IFERROR(__xludf.DUMMYFUNCTION("""COMPUTED_VALUE"""),129.3565)</f>
        <v>129.3565</v>
      </c>
    </row>
    <row r="3407">
      <c r="A3407" s="3">
        <f>IFERROR(__xludf.DUMMYFUNCTION("""COMPUTED_VALUE"""),43774.99861111111)</f>
        <v>43774.99861</v>
      </c>
      <c r="B3407" s="1">
        <f>IFERROR(__xludf.DUMMYFUNCTION("""COMPUTED_VALUE"""),128.6949)</f>
        <v>128.6949</v>
      </c>
    </row>
    <row r="3408">
      <c r="A3408" s="3">
        <f>IFERROR(__xludf.DUMMYFUNCTION("""COMPUTED_VALUE"""),43775.99861111111)</f>
        <v>43775.99861</v>
      </c>
      <c r="B3408" s="1">
        <f>IFERROR(__xludf.DUMMYFUNCTION("""COMPUTED_VALUE"""),128.655)</f>
        <v>128.655</v>
      </c>
    </row>
    <row r="3409">
      <c r="A3409" s="3">
        <f>IFERROR(__xludf.DUMMYFUNCTION("""COMPUTED_VALUE"""),43776.99861111111)</f>
        <v>43776.99861</v>
      </c>
      <c r="B3409" s="1">
        <f>IFERROR(__xludf.DUMMYFUNCTION("""COMPUTED_VALUE"""),127.9249)</f>
        <v>127.9249</v>
      </c>
    </row>
    <row r="3410">
      <c r="A3410" s="3">
        <f>IFERROR(__xludf.DUMMYFUNCTION("""COMPUTED_VALUE"""),43777.99861111111)</f>
        <v>43777.99861</v>
      </c>
      <c r="B3410" s="1">
        <f>IFERROR(__xludf.DUMMYFUNCTION("""COMPUTED_VALUE"""),128.313)</f>
        <v>128.313</v>
      </c>
    </row>
    <row r="3411">
      <c r="A3411" s="3">
        <f>IFERROR(__xludf.DUMMYFUNCTION("""COMPUTED_VALUE"""),43778.99861111111)</f>
        <v>43778.99861</v>
      </c>
      <c r="B3411" s="1">
        <f>IFERROR(__xludf.DUMMYFUNCTION("""COMPUTED_VALUE"""),128.313)</f>
        <v>128.313</v>
      </c>
    </row>
    <row r="3412">
      <c r="A3412" s="3">
        <f>IFERROR(__xludf.DUMMYFUNCTION("""COMPUTED_VALUE"""),43779.99861111111)</f>
        <v>43779.99861</v>
      </c>
      <c r="B3412" s="1">
        <f>IFERROR(__xludf.DUMMYFUNCTION("""COMPUTED_VALUE"""),128.3021)</f>
        <v>128.3021</v>
      </c>
    </row>
    <row r="3413">
      <c r="A3413" s="3">
        <f>IFERROR(__xludf.DUMMYFUNCTION("""COMPUTED_VALUE"""),43780.99861111111)</f>
        <v>43780.99861</v>
      </c>
      <c r="B3413" s="1">
        <f>IFERROR(__xludf.DUMMYFUNCTION("""COMPUTED_VALUE"""),128.398)</f>
        <v>128.398</v>
      </c>
    </row>
    <row r="3414">
      <c r="A3414" s="3">
        <f>IFERROR(__xludf.DUMMYFUNCTION("""COMPUTED_VALUE"""),43781.99861111111)</f>
        <v>43781.99861</v>
      </c>
      <c r="B3414" s="1">
        <f>IFERROR(__xludf.DUMMYFUNCTION("""COMPUTED_VALUE"""),129.011)</f>
        <v>129.011</v>
      </c>
    </row>
    <row r="3415">
      <c r="A3415" s="3">
        <f>IFERROR(__xludf.DUMMYFUNCTION("""COMPUTED_VALUE"""),43782.99861111111)</f>
        <v>43782.99861</v>
      </c>
      <c r="B3415" s="1">
        <f>IFERROR(__xludf.DUMMYFUNCTION("""COMPUTED_VALUE"""),129.4145)</f>
        <v>129.4145</v>
      </c>
    </row>
    <row r="3416">
      <c r="A3416" s="3">
        <f>IFERROR(__xludf.DUMMYFUNCTION("""COMPUTED_VALUE"""),43783.99861111111)</f>
        <v>43783.99861</v>
      </c>
      <c r="B3416" s="1">
        <f>IFERROR(__xludf.DUMMYFUNCTION("""COMPUTED_VALUE"""),129.7934)</f>
        <v>129.7934</v>
      </c>
    </row>
    <row r="3417">
      <c r="A3417" s="3">
        <f>IFERROR(__xludf.DUMMYFUNCTION("""COMPUTED_VALUE"""),43784.99861111111)</f>
        <v>43784.99861</v>
      </c>
      <c r="B3417" s="1">
        <f>IFERROR(__xludf.DUMMYFUNCTION("""COMPUTED_VALUE"""),129.3873)</f>
        <v>129.3873</v>
      </c>
    </row>
    <row r="3418">
      <c r="A3418" s="3">
        <f>IFERROR(__xludf.DUMMYFUNCTION("""COMPUTED_VALUE"""),43785.99861111111)</f>
        <v>43785.99861</v>
      </c>
      <c r="B3418" s="1">
        <f>IFERROR(__xludf.DUMMYFUNCTION("""COMPUTED_VALUE"""),129.1631)</f>
        <v>129.1631</v>
      </c>
    </row>
    <row r="3419">
      <c r="A3419" s="3">
        <f>IFERROR(__xludf.DUMMYFUNCTION("""COMPUTED_VALUE"""),43786.99861111111)</f>
        <v>43786.99861</v>
      </c>
      <c r="B3419" s="1">
        <f>IFERROR(__xludf.DUMMYFUNCTION("""COMPUTED_VALUE"""),129.2114)</f>
        <v>129.2114</v>
      </c>
    </row>
    <row r="3420">
      <c r="A3420" s="3">
        <f>IFERROR(__xludf.DUMMYFUNCTION("""COMPUTED_VALUE"""),43787.99861111111)</f>
        <v>43787.99861</v>
      </c>
      <c r="B3420" s="1">
        <f>IFERROR(__xludf.DUMMYFUNCTION("""COMPUTED_VALUE"""),129.3974)</f>
        <v>129.3974</v>
      </c>
    </row>
    <row r="3421">
      <c r="A3421" s="3">
        <f>IFERROR(__xludf.DUMMYFUNCTION("""COMPUTED_VALUE"""),43788.99861111111)</f>
        <v>43788.99861</v>
      </c>
      <c r="B3421" s="1">
        <f>IFERROR(__xludf.DUMMYFUNCTION("""COMPUTED_VALUE"""),129.9023)</f>
        <v>129.9023</v>
      </c>
    </row>
    <row r="3422">
      <c r="A3422" s="3">
        <f>IFERROR(__xludf.DUMMYFUNCTION("""COMPUTED_VALUE"""),43789.99861111111)</f>
        <v>43789.99861</v>
      </c>
      <c r="B3422" s="1">
        <f>IFERROR(__xludf.DUMMYFUNCTION("""COMPUTED_VALUE"""),129.4104)</f>
        <v>129.4104</v>
      </c>
    </row>
    <row r="3423">
      <c r="A3423" s="3">
        <f>IFERROR(__xludf.DUMMYFUNCTION("""COMPUTED_VALUE"""),43790.99861111111)</f>
        <v>43790.99861</v>
      </c>
      <c r="B3423" s="1">
        <f>IFERROR(__xludf.DUMMYFUNCTION("""COMPUTED_VALUE"""),129.6344)</f>
        <v>129.6344</v>
      </c>
    </row>
    <row r="3424">
      <c r="A3424" s="3">
        <f>IFERROR(__xludf.DUMMYFUNCTION("""COMPUTED_VALUE"""),43791.99861111111)</f>
        <v>43791.99861</v>
      </c>
      <c r="B3424" s="1">
        <f>IFERROR(__xludf.DUMMYFUNCTION("""COMPUTED_VALUE"""),129.6907)</f>
        <v>129.6907</v>
      </c>
    </row>
    <row r="3425">
      <c r="A3425" s="3">
        <f>IFERROR(__xludf.DUMMYFUNCTION("""COMPUTED_VALUE"""),43792.99861111111)</f>
        <v>43792.99861</v>
      </c>
      <c r="B3425" s="1">
        <f>IFERROR(__xludf.DUMMYFUNCTION("""COMPUTED_VALUE"""),129.6907)</f>
        <v>129.6907</v>
      </c>
    </row>
    <row r="3426">
      <c r="A3426" s="3">
        <f>IFERROR(__xludf.DUMMYFUNCTION("""COMPUTED_VALUE"""),43793.99861111111)</f>
        <v>43793.99861</v>
      </c>
      <c r="B3426" s="1">
        <f>IFERROR(__xludf.DUMMYFUNCTION("""COMPUTED_VALUE"""),129.5636)</f>
        <v>129.5636</v>
      </c>
    </row>
    <row r="3427">
      <c r="A3427" s="3">
        <f>IFERROR(__xludf.DUMMYFUNCTION("""COMPUTED_VALUE"""),43794.99861111111)</f>
        <v>43794.99861</v>
      </c>
      <c r="B3427" s="1">
        <f>IFERROR(__xludf.DUMMYFUNCTION("""COMPUTED_VALUE"""),129.0726)</f>
        <v>129.0726</v>
      </c>
    </row>
    <row r="3428">
      <c r="A3428" s="3">
        <f>IFERROR(__xludf.DUMMYFUNCTION("""COMPUTED_VALUE"""),43795.99861111111)</f>
        <v>43795.99861</v>
      </c>
      <c r="B3428" s="1">
        <f>IFERROR(__xludf.DUMMYFUNCTION("""COMPUTED_VALUE"""),129.0639)</f>
        <v>129.0639</v>
      </c>
    </row>
    <row r="3429">
      <c r="A3429" s="3">
        <f>IFERROR(__xludf.DUMMYFUNCTION("""COMPUTED_VALUE"""),43796.99861111111)</f>
        <v>43796.99861</v>
      </c>
      <c r="B3429" s="1">
        <f>IFERROR(__xludf.DUMMYFUNCTION("""COMPUTED_VALUE"""),128.8784)</f>
        <v>128.8784</v>
      </c>
    </row>
    <row r="3430">
      <c r="A3430" s="3">
        <f>IFERROR(__xludf.DUMMYFUNCTION("""COMPUTED_VALUE"""),43797.99861111111)</f>
        <v>43797.99861</v>
      </c>
      <c r="B3430" s="1">
        <f>IFERROR(__xludf.DUMMYFUNCTION("""COMPUTED_VALUE"""),128.556)</f>
        <v>128.556</v>
      </c>
    </row>
    <row r="3431">
      <c r="A3431" s="3">
        <f>IFERROR(__xludf.DUMMYFUNCTION("""COMPUTED_VALUE"""),43798.99861111111)</f>
        <v>43798.99861</v>
      </c>
      <c r="B3431" s="1">
        <f>IFERROR(__xludf.DUMMYFUNCTION("""COMPUTED_VALUE"""),128.6379)</f>
        <v>128.6379</v>
      </c>
    </row>
    <row r="3432">
      <c r="A3432" s="3">
        <f>IFERROR(__xludf.DUMMYFUNCTION("""COMPUTED_VALUE"""),43799.99861111111)</f>
        <v>43799.99861</v>
      </c>
      <c r="B3432" s="1">
        <f>IFERROR(__xludf.DUMMYFUNCTION("""COMPUTED_VALUE"""),128.5403)</f>
        <v>128.5403</v>
      </c>
    </row>
    <row r="3433">
      <c r="A3433" s="3">
        <f>IFERROR(__xludf.DUMMYFUNCTION("""COMPUTED_VALUE"""),43800.99861111111)</f>
        <v>43800.99861</v>
      </c>
      <c r="B3433" s="1">
        <f>IFERROR(__xludf.DUMMYFUNCTION("""COMPUTED_VALUE"""),128.5103)</f>
        <v>128.5103</v>
      </c>
    </row>
    <row r="3434">
      <c r="A3434" s="3">
        <f>IFERROR(__xludf.DUMMYFUNCTION("""COMPUTED_VALUE"""),43801.99861111111)</f>
        <v>43801.99861</v>
      </c>
      <c r="B3434" s="1">
        <f>IFERROR(__xludf.DUMMYFUNCTION("""COMPUTED_VALUE"""),129.6091)</f>
        <v>129.6091</v>
      </c>
    </row>
    <row r="3435">
      <c r="A3435" s="3">
        <f>IFERROR(__xludf.DUMMYFUNCTION("""COMPUTED_VALUE"""),43802.99861111111)</f>
        <v>43802.99861</v>
      </c>
      <c r="B3435" s="1">
        <f>IFERROR(__xludf.DUMMYFUNCTION("""COMPUTED_VALUE"""),129.7866)</f>
        <v>129.7866</v>
      </c>
    </row>
    <row r="3436">
      <c r="A3436" s="3">
        <f>IFERROR(__xludf.DUMMYFUNCTION("""COMPUTED_VALUE"""),43803.99861111111)</f>
        <v>43803.99861</v>
      </c>
      <c r="B3436" s="1">
        <f>IFERROR(__xludf.DUMMYFUNCTION("""COMPUTED_VALUE"""),128.6378)</f>
        <v>128.6378</v>
      </c>
    </row>
    <row r="3437">
      <c r="A3437" s="3">
        <f>IFERROR(__xludf.DUMMYFUNCTION("""COMPUTED_VALUE"""),43804.99861111111)</f>
        <v>43804.99861</v>
      </c>
      <c r="B3437" s="1">
        <f>IFERROR(__xludf.DUMMYFUNCTION("""COMPUTED_VALUE"""),128.4849)</f>
        <v>128.4849</v>
      </c>
    </row>
    <row r="3438">
      <c r="A3438" s="3">
        <f>IFERROR(__xludf.DUMMYFUNCTION("""COMPUTED_VALUE"""),43805.99861111111)</f>
        <v>43805.99861</v>
      </c>
      <c r="B3438" s="1">
        <f>IFERROR(__xludf.DUMMYFUNCTION("""COMPUTED_VALUE"""),129.1612)</f>
        <v>129.1612</v>
      </c>
    </row>
    <row r="3439">
      <c r="A3439" s="3">
        <f>IFERROR(__xludf.DUMMYFUNCTION("""COMPUTED_VALUE"""),43806.99861111111)</f>
        <v>43806.99861</v>
      </c>
      <c r="B3439" s="1">
        <f>IFERROR(__xludf.DUMMYFUNCTION("""COMPUTED_VALUE"""),129.1612)</f>
        <v>129.1612</v>
      </c>
    </row>
    <row r="3440">
      <c r="A3440" s="3">
        <f>IFERROR(__xludf.DUMMYFUNCTION("""COMPUTED_VALUE"""),43807.99861111111)</f>
        <v>43807.99861</v>
      </c>
      <c r="B3440" s="1">
        <f>IFERROR(__xludf.DUMMYFUNCTION("""COMPUTED_VALUE"""),129.1268)</f>
        <v>129.1268</v>
      </c>
    </row>
    <row r="3441">
      <c r="A3441" s="3">
        <f>IFERROR(__xludf.DUMMYFUNCTION("""COMPUTED_VALUE"""),43808.99861111111)</f>
        <v>43808.99861</v>
      </c>
      <c r="B3441" s="1">
        <f>IFERROR(__xludf.DUMMYFUNCTION("""COMPUTED_VALUE"""),129.0129)</f>
        <v>129.0129</v>
      </c>
    </row>
    <row r="3442">
      <c r="A3442" s="3">
        <f>IFERROR(__xludf.DUMMYFUNCTION("""COMPUTED_VALUE"""),43809.99861111111)</f>
        <v>43809.99861</v>
      </c>
      <c r="B3442" s="1">
        <f>IFERROR(__xludf.DUMMYFUNCTION("""COMPUTED_VALUE"""),128.8082)</f>
        <v>128.8082</v>
      </c>
    </row>
    <row r="3443">
      <c r="A3443" s="3">
        <f>IFERROR(__xludf.DUMMYFUNCTION("""COMPUTED_VALUE"""),43810.99861111111)</f>
        <v>43810.99861</v>
      </c>
      <c r="B3443" s="1">
        <f>IFERROR(__xludf.DUMMYFUNCTION("""COMPUTED_VALUE"""),128.7971)</f>
        <v>128.7971</v>
      </c>
    </row>
    <row r="3444">
      <c r="A3444" s="3">
        <f>IFERROR(__xludf.DUMMYFUNCTION("""COMPUTED_VALUE"""),43811.99861111111)</f>
        <v>43811.99861</v>
      </c>
      <c r="B3444" s="1">
        <f>IFERROR(__xludf.DUMMYFUNCTION("""COMPUTED_VALUE"""),127.3477)</f>
        <v>127.3477</v>
      </c>
    </row>
    <row r="3445">
      <c r="A3445" s="3">
        <f>IFERROR(__xludf.DUMMYFUNCTION("""COMPUTED_VALUE"""),43812.99861111111)</f>
        <v>43812.99861</v>
      </c>
      <c r="B3445" s="1">
        <f>IFERROR(__xludf.DUMMYFUNCTION("""COMPUTED_VALUE"""),127.7983)</f>
        <v>127.7983</v>
      </c>
    </row>
    <row r="3446">
      <c r="A3446" s="3">
        <f>IFERROR(__xludf.DUMMYFUNCTION("""COMPUTED_VALUE"""),43813.99861111111)</f>
        <v>43813.99861</v>
      </c>
      <c r="B3446" s="1">
        <f>IFERROR(__xludf.DUMMYFUNCTION("""COMPUTED_VALUE"""),127.7983)</f>
        <v>127.7983</v>
      </c>
    </row>
    <row r="3447">
      <c r="A3447" s="3">
        <f>IFERROR(__xludf.DUMMYFUNCTION("""COMPUTED_VALUE"""),43814.99861111111)</f>
        <v>43814.99861</v>
      </c>
      <c r="B3447" s="1">
        <f>IFERROR(__xludf.DUMMYFUNCTION("""COMPUTED_VALUE"""),127.672)</f>
        <v>127.672</v>
      </c>
    </row>
    <row r="3448">
      <c r="A3448" s="3">
        <f>IFERROR(__xludf.DUMMYFUNCTION("""COMPUTED_VALUE"""),43815.99861111111)</f>
        <v>43815.99861</v>
      </c>
      <c r="B3448" s="1">
        <f>IFERROR(__xludf.DUMMYFUNCTION("""COMPUTED_VALUE"""),127.878)</f>
        <v>127.878</v>
      </c>
    </row>
    <row r="3449">
      <c r="A3449" s="3">
        <f>IFERROR(__xludf.DUMMYFUNCTION("""COMPUTED_VALUE"""),43816.99861111111)</f>
        <v>43816.99861</v>
      </c>
      <c r="B3449" s="1">
        <f>IFERROR(__xludf.DUMMYFUNCTION("""COMPUTED_VALUE"""),127.696)</f>
        <v>127.696</v>
      </c>
    </row>
    <row r="3450">
      <c r="A3450" s="3">
        <f>IFERROR(__xludf.DUMMYFUNCTION("""COMPUTED_VALUE"""),43817.99861111111)</f>
        <v>43817.99861</v>
      </c>
      <c r="B3450" s="1">
        <f>IFERROR(__xludf.DUMMYFUNCTION("""COMPUTED_VALUE"""),127.5292)</f>
        <v>127.5292</v>
      </c>
    </row>
    <row r="3451">
      <c r="A3451" s="3">
        <f>IFERROR(__xludf.DUMMYFUNCTION("""COMPUTED_VALUE"""),43818.99861111111)</f>
        <v>43818.99861</v>
      </c>
      <c r="B3451" s="1">
        <f>IFERROR(__xludf.DUMMYFUNCTION("""COMPUTED_VALUE"""),127.8437)</f>
        <v>127.8437</v>
      </c>
    </row>
    <row r="3452">
      <c r="A3452" s="3">
        <f>IFERROR(__xludf.DUMMYFUNCTION("""COMPUTED_VALUE"""),43819.99861111111)</f>
        <v>43819.99861</v>
      </c>
      <c r="B3452" s="1">
        <f>IFERROR(__xludf.DUMMYFUNCTION("""COMPUTED_VALUE"""),127.5869)</f>
        <v>127.5869</v>
      </c>
    </row>
    <row r="3453">
      <c r="A3453" s="3">
        <f>IFERROR(__xludf.DUMMYFUNCTION("""COMPUTED_VALUE"""),43820.99861111111)</f>
        <v>43820.99861</v>
      </c>
      <c r="B3453" s="1">
        <f>IFERROR(__xludf.DUMMYFUNCTION("""COMPUTED_VALUE"""),127.5869)</f>
        <v>127.5869</v>
      </c>
    </row>
    <row r="3454">
      <c r="A3454" s="3">
        <f>IFERROR(__xludf.DUMMYFUNCTION("""COMPUTED_VALUE"""),43821.99861111111)</f>
        <v>43821.99861</v>
      </c>
      <c r="B3454" s="1">
        <f>IFERROR(__xludf.DUMMYFUNCTION("""COMPUTED_VALUE"""),127.503)</f>
        <v>127.503</v>
      </c>
    </row>
    <row r="3455">
      <c r="A3455" s="3">
        <f>IFERROR(__xludf.DUMMYFUNCTION("""COMPUTED_VALUE"""),43822.99861111111)</f>
        <v>43822.99861</v>
      </c>
      <c r="B3455" s="1">
        <f>IFERROR(__xludf.DUMMYFUNCTION("""COMPUTED_VALUE"""),127.6529)</f>
        <v>127.6529</v>
      </c>
    </row>
    <row r="3456">
      <c r="A3456" s="3">
        <f>IFERROR(__xludf.DUMMYFUNCTION("""COMPUTED_VALUE"""),43823.99861111111)</f>
        <v>43823.99861</v>
      </c>
      <c r="B3456" s="1">
        <f>IFERROR(__xludf.DUMMYFUNCTION("""COMPUTED_VALUE"""),127.6596)</f>
        <v>127.6596</v>
      </c>
    </row>
    <row r="3457">
      <c r="A3457" s="3">
        <f>IFERROR(__xludf.DUMMYFUNCTION("""COMPUTED_VALUE"""),43824.99861111111)</f>
        <v>43824.99861</v>
      </c>
      <c r="B3457" s="1">
        <f>IFERROR(__xludf.DUMMYFUNCTION("""COMPUTED_VALUE"""),127.463)</f>
        <v>127.463</v>
      </c>
    </row>
    <row r="3458">
      <c r="A3458" s="3">
        <f>IFERROR(__xludf.DUMMYFUNCTION("""COMPUTED_VALUE"""),43825.99861111111)</f>
        <v>43825.99861</v>
      </c>
      <c r="B3458" s="1">
        <f>IFERROR(__xludf.DUMMYFUNCTION("""COMPUTED_VALUE"""),127.4237)</f>
        <v>127.4237</v>
      </c>
    </row>
    <row r="3459">
      <c r="A3459" s="3">
        <f>IFERROR(__xludf.DUMMYFUNCTION("""COMPUTED_VALUE"""),43826.99861111111)</f>
        <v>43826.99861</v>
      </c>
      <c r="B3459" s="1">
        <f>IFERROR(__xludf.DUMMYFUNCTION("""COMPUTED_VALUE"""),127.5326)</f>
        <v>127.5326</v>
      </c>
    </row>
    <row r="3460">
      <c r="A3460" s="3">
        <f>IFERROR(__xludf.DUMMYFUNCTION("""COMPUTED_VALUE"""),43827.99861111111)</f>
        <v>43827.99861</v>
      </c>
      <c r="B3460" s="1">
        <f>IFERROR(__xludf.DUMMYFUNCTION("""COMPUTED_VALUE"""),127.5326)</f>
        <v>127.5326</v>
      </c>
    </row>
    <row r="3461">
      <c r="A3461" s="3">
        <f>IFERROR(__xludf.DUMMYFUNCTION("""COMPUTED_VALUE"""),43828.99861111111)</f>
        <v>43828.99861</v>
      </c>
      <c r="B3461" s="1">
        <f>IFERROR(__xludf.DUMMYFUNCTION("""COMPUTED_VALUE"""),127.4258)</f>
        <v>127.4258</v>
      </c>
    </row>
    <row r="3462">
      <c r="A3462" s="3">
        <f>IFERROR(__xludf.DUMMYFUNCTION("""COMPUTED_VALUE"""),43829.99861111111)</f>
        <v>43829.99861</v>
      </c>
      <c r="B3462" s="1">
        <f>IFERROR(__xludf.DUMMYFUNCTION("""COMPUTED_VALUE"""),127.8788)</f>
        <v>127.8788</v>
      </c>
    </row>
    <row r="3463">
      <c r="A3463" s="3">
        <f>IFERROR(__xludf.DUMMYFUNCTION("""COMPUTED_VALUE"""),43830.99861111111)</f>
        <v>43830.99861</v>
      </c>
      <c r="B3463" s="1">
        <f>IFERROR(__xludf.DUMMYFUNCTION("""COMPUTED_VALUE"""),127.7696)</f>
        <v>127.7696</v>
      </c>
    </row>
    <row r="3464">
      <c r="A3464" s="3">
        <f>IFERROR(__xludf.DUMMYFUNCTION("""COMPUTED_VALUE"""),43831.99861111111)</f>
        <v>43831.99861</v>
      </c>
      <c r="B3464" s="1">
        <f>IFERROR(__xludf.DUMMYFUNCTION("""COMPUTED_VALUE"""),127.7942)</f>
        <v>127.7942</v>
      </c>
    </row>
    <row r="3465">
      <c r="A3465" s="3">
        <f>IFERROR(__xludf.DUMMYFUNCTION("""COMPUTED_VALUE"""),43832.99861111111)</f>
        <v>43832.99861</v>
      </c>
      <c r="B3465" s="1">
        <f>IFERROR(__xludf.DUMMYFUNCTION("""COMPUTED_VALUE"""),127.9477)</f>
        <v>127.9477</v>
      </c>
    </row>
    <row r="3466">
      <c r="A3466" s="3">
        <f>IFERROR(__xludf.DUMMYFUNCTION("""COMPUTED_VALUE"""),43833.99861111111)</f>
        <v>43833.99861</v>
      </c>
      <c r="B3466" s="1">
        <f>IFERROR(__xludf.DUMMYFUNCTION("""COMPUTED_VALUE"""),128.9495)</f>
        <v>128.9495</v>
      </c>
    </row>
    <row r="3467">
      <c r="A3467" s="3">
        <f>IFERROR(__xludf.DUMMYFUNCTION("""COMPUTED_VALUE"""),43834.99861111111)</f>
        <v>43834.99861</v>
      </c>
      <c r="B3467" s="1">
        <f>IFERROR(__xludf.DUMMYFUNCTION("""COMPUTED_VALUE"""),128.9495)</f>
        <v>128.9495</v>
      </c>
    </row>
    <row r="3468">
      <c r="A3468" s="3">
        <f>IFERROR(__xludf.DUMMYFUNCTION("""COMPUTED_VALUE"""),43835.99861111111)</f>
        <v>43835.99861</v>
      </c>
      <c r="B3468" s="1">
        <f>IFERROR(__xludf.DUMMYFUNCTION("""COMPUTED_VALUE"""),129.1059)</f>
        <v>129.1059</v>
      </c>
    </row>
    <row r="3469">
      <c r="A3469" s="3">
        <f>IFERROR(__xludf.DUMMYFUNCTION("""COMPUTED_VALUE"""),43836.99861111111)</f>
        <v>43836.99861</v>
      </c>
      <c r="B3469" s="1">
        <f>IFERROR(__xludf.DUMMYFUNCTION("""COMPUTED_VALUE"""),128.1513)</f>
        <v>128.1513</v>
      </c>
    </row>
    <row r="3470">
      <c r="A3470" s="3">
        <f>IFERROR(__xludf.DUMMYFUNCTION("""COMPUTED_VALUE"""),43837.99861111111)</f>
        <v>43837.99861</v>
      </c>
      <c r="B3470" s="1">
        <f>IFERROR(__xludf.DUMMYFUNCTION("""COMPUTED_VALUE"""),128.3472)</f>
        <v>128.3472</v>
      </c>
    </row>
    <row r="3471">
      <c r="A3471" s="3">
        <f>IFERROR(__xludf.DUMMYFUNCTION("""COMPUTED_VALUE"""),43838.99861111111)</f>
        <v>43838.99861</v>
      </c>
      <c r="B3471" s="1">
        <f>IFERROR(__xludf.DUMMYFUNCTION("""COMPUTED_VALUE"""),127.5151)</f>
        <v>127.5151</v>
      </c>
    </row>
    <row r="3472">
      <c r="A3472" s="3">
        <f>IFERROR(__xludf.DUMMYFUNCTION("""COMPUTED_VALUE"""),43839.99861111111)</f>
        <v>43839.99861</v>
      </c>
      <c r="B3472" s="1">
        <f>IFERROR(__xludf.DUMMYFUNCTION("""COMPUTED_VALUE"""),126.3013)</f>
        <v>126.3013</v>
      </c>
    </row>
    <row r="3473">
      <c r="A3473" s="3">
        <f>IFERROR(__xludf.DUMMYFUNCTION("""COMPUTED_VALUE"""),43840.99861111111)</f>
        <v>43840.99861</v>
      </c>
      <c r="B3473" s="1">
        <f>IFERROR(__xludf.DUMMYFUNCTION("""COMPUTED_VALUE"""),125.6845)</f>
        <v>125.6845</v>
      </c>
    </row>
    <row r="3474">
      <c r="A3474" s="3">
        <f>IFERROR(__xludf.DUMMYFUNCTION("""COMPUTED_VALUE"""),43841.99861111111)</f>
        <v>43841.99861</v>
      </c>
      <c r="B3474" s="1">
        <f>IFERROR(__xludf.DUMMYFUNCTION("""COMPUTED_VALUE"""),125.433)</f>
        <v>125.433</v>
      </c>
    </row>
    <row r="3475">
      <c r="A3475" s="3">
        <f>IFERROR(__xludf.DUMMYFUNCTION("""COMPUTED_VALUE"""),43842.99861111111)</f>
        <v>43842.99861</v>
      </c>
      <c r="B3475" s="1">
        <f>IFERROR(__xludf.DUMMYFUNCTION("""COMPUTED_VALUE"""),125.3439)</f>
        <v>125.3439</v>
      </c>
    </row>
    <row r="3476">
      <c r="A3476" s="3">
        <f>IFERROR(__xludf.DUMMYFUNCTION("""COMPUTED_VALUE"""),43843.99861111111)</f>
        <v>43843.99861</v>
      </c>
      <c r="B3476" s="1">
        <f>IFERROR(__xludf.DUMMYFUNCTION("""COMPUTED_VALUE"""),124.2901)</f>
        <v>124.2901</v>
      </c>
    </row>
    <row r="3477">
      <c r="A3477" s="3">
        <f>IFERROR(__xludf.DUMMYFUNCTION("""COMPUTED_VALUE"""),43844.99861111111)</f>
        <v>43844.99861</v>
      </c>
      <c r="B3477" s="1">
        <f>IFERROR(__xludf.DUMMYFUNCTION("""COMPUTED_VALUE"""),124.4636)</f>
        <v>124.4636</v>
      </c>
    </row>
    <row r="3478">
      <c r="A3478" s="3">
        <f>IFERROR(__xludf.DUMMYFUNCTION("""COMPUTED_VALUE"""),43845.99861111111)</f>
        <v>43845.99861</v>
      </c>
      <c r="B3478" s="1">
        <f>IFERROR(__xludf.DUMMYFUNCTION("""COMPUTED_VALUE"""),124.3946)</f>
        <v>124.3946</v>
      </c>
    </row>
    <row r="3479">
      <c r="A3479" s="3">
        <f>IFERROR(__xludf.DUMMYFUNCTION("""COMPUTED_VALUE"""),43846.99861111111)</f>
        <v>43846.99861</v>
      </c>
      <c r="B3479" s="1">
        <f>IFERROR(__xludf.DUMMYFUNCTION("""COMPUTED_VALUE"""),123.621)</f>
        <v>123.621</v>
      </c>
    </row>
    <row r="3480">
      <c r="A3480" s="3">
        <f>IFERROR(__xludf.DUMMYFUNCTION("""COMPUTED_VALUE"""),43847.99861111111)</f>
        <v>43847.99861</v>
      </c>
      <c r="B3480" s="1">
        <f>IFERROR(__xludf.DUMMYFUNCTION("""COMPUTED_VALUE"""),124.0467)</f>
        <v>124.0467</v>
      </c>
    </row>
    <row r="3481">
      <c r="A3481" s="3">
        <f>IFERROR(__xludf.DUMMYFUNCTION("""COMPUTED_VALUE"""),43848.99861111111)</f>
        <v>43848.99861</v>
      </c>
      <c r="B3481" s="1">
        <f>IFERROR(__xludf.DUMMYFUNCTION("""COMPUTED_VALUE"""),124.0467)</f>
        <v>124.0467</v>
      </c>
    </row>
    <row r="3482">
      <c r="A3482" s="3">
        <f>IFERROR(__xludf.DUMMYFUNCTION("""COMPUTED_VALUE"""),43849.99861111111)</f>
        <v>43849.99861</v>
      </c>
      <c r="B3482" s="1">
        <f>IFERROR(__xludf.DUMMYFUNCTION("""COMPUTED_VALUE"""),123.9658)</f>
        <v>123.9658</v>
      </c>
    </row>
    <row r="3483">
      <c r="A3483" s="3">
        <f>IFERROR(__xludf.DUMMYFUNCTION("""COMPUTED_VALUE"""),43850.99861111111)</f>
        <v>43850.99861</v>
      </c>
      <c r="B3483" s="1">
        <f>IFERROR(__xludf.DUMMYFUNCTION("""COMPUTED_VALUE"""),123.6118)</f>
        <v>123.6118</v>
      </c>
    </row>
    <row r="3484">
      <c r="A3484" s="3">
        <f>IFERROR(__xludf.DUMMYFUNCTION("""COMPUTED_VALUE"""),43851.99861111111)</f>
        <v>43851.99861</v>
      </c>
      <c r="B3484" s="1">
        <f>IFERROR(__xludf.DUMMYFUNCTION("""COMPUTED_VALUE"""),124.2839)</f>
        <v>124.2839</v>
      </c>
    </row>
    <row r="3485">
      <c r="A3485" s="3">
        <f>IFERROR(__xludf.DUMMYFUNCTION("""COMPUTED_VALUE"""),43852.99861111111)</f>
        <v>43852.99861</v>
      </c>
      <c r="B3485" s="1">
        <f>IFERROR(__xludf.DUMMYFUNCTION("""COMPUTED_VALUE"""),124.211)</f>
        <v>124.211</v>
      </c>
    </row>
    <row r="3486">
      <c r="A3486" s="3">
        <f>IFERROR(__xludf.DUMMYFUNCTION("""COMPUTED_VALUE"""),43853.99861111111)</f>
        <v>43853.99861</v>
      </c>
      <c r="B3486" s="1">
        <f>IFERROR(__xludf.DUMMYFUNCTION("""COMPUTED_VALUE"""),124.2682)</f>
        <v>124.2682</v>
      </c>
    </row>
    <row r="3487">
      <c r="A3487" s="3">
        <f>IFERROR(__xludf.DUMMYFUNCTION("""COMPUTED_VALUE"""),43854.99861111111)</f>
        <v>43854.99861</v>
      </c>
      <c r="B3487" s="1">
        <f>IFERROR(__xludf.DUMMYFUNCTION("""COMPUTED_VALUE"""),125.5228)</f>
        <v>125.5228</v>
      </c>
    </row>
    <row r="3488">
      <c r="A3488" s="3">
        <f>IFERROR(__xludf.DUMMYFUNCTION("""COMPUTED_VALUE"""),43855.99861111111)</f>
        <v>43855.99861</v>
      </c>
      <c r="B3488" s="1">
        <f>IFERROR(__xludf.DUMMYFUNCTION("""COMPUTED_VALUE"""),125.5228)</f>
        <v>125.5228</v>
      </c>
    </row>
    <row r="3489">
      <c r="A3489" s="3">
        <f>IFERROR(__xludf.DUMMYFUNCTION("""COMPUTED_VALUE"""),43856.99861111111)</f>
        <v>43856.99861</v>
      </c>
      <c r="B3489" s="1">
        <f>IFERROR(__xludf.DUMMYFUNCTION("""COMPUTED_VALUE"""),126.0644)</f>
        <v>126.0644</v>
      </c>
    </row>
    <row r="3490">
      <c r="A3490" s="3">
        <f>IFERROR(__xludf.DUMMYFUNCTION("""COMPUTED_VALUE"""),43857.99861111111)</f>
        <v>43857.99861</v>
      </c>
      <c r="B3490" s="1">
        <f>IFERROR(__xludf.DUMMYFUNCTION("""COMPUTED_VALUE"""),121.3346)</f>
        <v>121.3346</v>
      </c>
    </row>
    <row r="3491">
      <c r="A3491" s="3">
        <f>IFERROR(__xludf.DUMMYFUNCTION("""COMPUTED_VALUE"""),43858.99861111111)</f>
        <v>43858.99861</v>
      </c>
      <c r="B3491" s="1">
        <f>IFERROR(__xludf.DUMMYFUNCTION("""COMPUTED_VALUE"""),124.6955)</f>
        <v>124.6955</v>
      </c>
    </row>
    <row r="3492">
      <c r="A3492" s="3">
        <f>IFERROR(__xludf.DUMMYFUNCTION("""COMPUTED_VALUE"""),43859.99861111111)</f>
        <v>43859.99861</v>
      </c>
      <c r="B3492" s="1">
        <f>IFERROR(__xludf.DUMMYFUNCTION("""COMPUTED_VALUE"""),124.9495)</f>
        <v>124.9495</v>
      </c>
    </row>
    <row r="3493">
      <c r="A3493" s="3">
        <f>IFERROR(__xludf.DUMMYFUNCTION("""COMPUTED_VALUE"""),43860.99861111111)</f>
        <v>43860.99861</v>
      </c>
      <c r="B3493" s="1">
        <f>IFERROR(__xludf.DUMMYFUNCTION("""COMPUTED_VALUE"""),125.3628)</f>
        <v>125.3628</v>
      </c>
    </row>
    <row r="3494">
      <c r="A3494" s="3">
        <f>IFERROR(__xludf.DUMMYFUNCTION("""COMPUTED_VALUE"""),43861.99861111111)</f>
        <v>43861.99861</v>
      </c>
      <c r="B3494" s="1">
        <f>IFERROR(__xludf.DUMMYFUNCTION("""COMPUTED_VALUE"""),125.8142)</f>
        <v>125.8142</v>
      </c>
    </row>
    <row r="3495">
      <c r="A3495" s="3">
        <f>IFERROR(__xludf.DUMMYFUNCTION("""COMPUTED_VALUE"""),43862.99861111111)</f>
        <v>43862.99861</v>
      </c>
      <c r="B3495" s="1">
        <f>IFERROR(__xludf.DUMMYFUNCTION("""COMPUTED_VALUE"""),125.8142)</f>
        <v>125.8142</v>
      </c>
    </row>
    <row r="3496">
      <c r="A3496" s="3">
        <f>IFERROR(__xludf.DUMMYFUNCTION("""COMPUTED_VALUE"""),43863.99861111111)</f>
        <v>43863.99861</v>
      </c>
      <c r="B3496" s="1">
        <f>IFERROR(__xludf.DUMMYFUNCTION("""COMPUTED_VALUE"""),125.8929)</f>
        <v>125.8929</v>
      </c>
    </row>
    <row r="3497">
      <c r="A3497" s="3">
        <f>IFERROR(__xludf.DUMMYFUNCTION("""COMPUTED_VALUE"""),43864.99861111111)</f>
        <v>43864.99861</v>
      </c>
      <c r="B3497" s="1">
        <f>IFERROR(__xludf.DUMMYFUNCTION("""COMPUTED_VALUE"""),126.5131)</f>
        <v>126.5131</v>
      </c>
    </row>
    <row r="3498">
      <c r="A3498" s="3">
        <f>IFERROR(__xludf.DUMMYFUNCTION("""COMPUTED_VALUE"""),43865.99861111111)</f>
        <v>43865.99861</v>
      </c>
      <c r="B3498" s="1">
        <f>IFERROR(__xludf.DUMMYFUNCTION("""COMPUTED_VALUE"""),125.2342)</f>
        <v>125.2342</v>
      </c>
    </row>
    <row r="3499">
      <c r="A3499" s="3">
        <f>IFERROR(__xludf.DUMMYFUNCTION("""COMPUTED_VALUE"""),43866.99861111111)</f>
        <v>43866.99861</v>
      </c>
      <c r="B3499" s="1">
        <f>IFERROR(__xludf.DUMMYFUNCTION("""COMPUTED_VALUE"""),124.5059)</f>
        <v>124.5059</v>
      </c>
    </row>
    <row r="3500">
      <c r="A3500" s="3">
        <f>IFERROR(__xludf.DUMMYFUNCTION("""COMPUTED_VALUE"""),43867.99861111111)</f>
        <v>43867.99861</v>
      </c>
      <c r="B3500" s="1">
        <f>IFERROR(__xludf.DUMMYFUNCTION("""COMPUTED_VALUE"""),124.0708)</f>
        <v>124.0708</v>
      </c>
    </row>
    <row r="3501">
      <c r="A3501" s="3">
        <f>IFERROR(__xludf.DUMMYFUNCTION("""COMPUTED_VALUE"""),43868.99861111111)</f>
        <v>43868.99861</v>
      </c>
      <c r="B3501" s="1">
        <f>IFERROR(__xludf.DUMMYFUNCTION("""COMPUTED_VALUE"""),124.6359)</f>
        <v>124.6359</v>
      </c>
    </row>
    <row r="3502">
      <c r="A3502" s="3">
        <f>IFERROR(__xludf.DUMMYFUNCTION("""COMPUTED_VALUE"""),43869.99861111111)</f>
        <v>43869.99861</v>
      </c>
      <c r="B3502" s="1">
        <f>IFERROR(__xludf.DUMMYFUNCTION("""COMPUTED_VALUE"""),124.6359)</f>
        <v>124.6359</v>
      </c>
    </row>
    <row r="3503">
      <c r="A3503" s="3">
        <f>IFERROR(__xludf.DUMMYFUNCTION("""COMPUTED_VALUE"""),43870.99861111111)</f>
        <v>43870.99861</v>
      </c>
      <c r="B3503" s="1">
        <f>IFERROR(__xludf.DUMMYFUNCTION("""COMPUTED_VALUE"""),124.7433)</f>
        <v>124.7433</v>
      </c>
    </row>
    <row r="3504">
      <c r="A3504" s="3">
        <f>IFERROR(__xludf.DUMMYFUNCTION("""COMPUTED_VALUE"""),43871.99861111111)</f>
        <v>43871.99861</v>
      </c>
      <c r="B3504" s="1">
        <f>IFERROR(__xludf.DUMMYFUNCTION("""COMPUTED_VALUE"""),124.8669)</f>
        <v>124.8669</v>
      </c>
    </row>
    <row r="3505">
      <c r="A3505" s="3">
        <f>IFERROR(__xludf.DUMMYFUNCTION("""COMPUTED_VALUE"""),43872.99861111111)</f>
        <v>43872.99861</v>
      </c>
      <c r="B3505" s="1">
        <f>IFERROR(__xludf.DUMMYFUNCTION("""COMPUTED_VALUE"""),124.3705)</f>
        <v>124.3705</v>
      </c>
    </row>
    <row r="3506">
      <c r="A3506" s="3">
        <f>IFERROR(__xludf.DUMMYFUNCTION("""COMPUTED_VALUE"""),43873.99861111111)</f>
        <v>43873.99861</v>
      </c>
      <c r="B3506" s="1">
        <f>IFERROR(__xludf.DUMMYFUNCTION("""COMPUTED_VALUE"""),124.8235)</f>
        <v>124.8235</v>
      </c>
    </row>
    <row r="3507">
      <c r="A3507" s="3">
        <f>IFERROR(__xludf.DUMMYFUNCTION("""COMPUTED_VALUE"""),43874.99861111111)</f>
        <v>43874.99861</v>
      </c>
      <c r="B3507" s="1">
        <f>IFERROR(__xludf.DUMMYFUNCTION("""COMPUTED_VALUE"""),124.6549)</f>
        <v>124.6549</v>
      </c>
    </row>
    <row r="3508">
      <c r="A3508" s="3">
        <f>IFERROR(__xludf.DUMMYFUNCTION("""COMPUTED_VALUE"""),43875.99861111111)</f>
        <v>43875.99861</v>
      </c>
      <c r="B3508" s="1">
        <f>IFERROR(__xludf.DUMMYFUNCTION("""COMPUTED_VALUE"""),124.6951)</f>
        <v>124.6951</v>
      </c>
    </row>
    <row r="3509">
      <c r="A3509" s="3">
        <f>IFERROR(__xludf.DUMMYFUNCTION("""COMPUTED_VALUE"""),43876.99861111111)</f>
        <v>43876.99861</v>
      </c>
      <c r="B3509" s="1">
        <f>IFERROR(__xludf.DUMMYFUNCTION("""COMPUTED_VALUE"""),124.6951)</f>
        <v>124.6951</v>
      </c>
    </row>
    <row r="3510">
      <c r="A3510" s="3">
        <f>IFERROR(__xludf.DUMMYFUNCTION("""COMPUTED_VALUE"""),43877.99861111111)</f>
        <v>43877.99861</v>
      </c>
      <c r="B3510" s="1">
        <f>IFERROR(__xludf.DUMMYFUNCTION("""COMPUTED_VALUE"""),124.5311)</f>
        <v>124.5311</v>
      </c>
    </row>
    <row r="3511">
      <c r="A3511" s="3">
        <f>IFERROR(__xludf.DUMMYFUNCTION("""COMPUTED_VALUE"""),43878.99861111111)</f>
        <v>43878.99861</v>
      </c>
      <c r="B3511" s="1">
        <f>IFERROR(__xludf.DUMMYFUNCTION("""COMPUTED_VALUE"""),124.3053)</f>
        <v>124.3053</v>
      </c>
    </row>
    <row r="3512">
      <c r="A3512" s="3">
        <f>IFERROR(__xludf.DUMMYFUNCTION("""COMPUTED_VALUE"""),43879.99861111111)</f>
        <v>43879.99861</v>
      </c>
      <c r="B3512" s="1">
        <f>IFERROR(__xludf.DUMMYFUNCTION("""COMPUTED_VALUE"""),124.2853)</f>
        <v>124.2853</v>
      </c>
    </row>
    <row r="3513">
      <c r="A3513" s="3">
        <f>IFERROR(__xludf.DUMMYFUNCTION("""COMPUTED_VALUE"""),43880.99861111111)</f>
        <v>43880.99861</v>
      </c>
      <c r="B3513" s="1">
        <f>IFERROR(__xludf.DUMMYFUNCTION("""COMPUTED_VALUE"""),122.8543)</f>
        <v>122.8543</v>
      </c>
    </row>
    <row r="3514">
      <c r="A3514" s="3">
        <f>IFERROR(__xludf.DUMMYFUNCTION("""COMPUTED_VALUE"""),43881.99861111111)</f>
        <v>43881.99861</v>
      </c>
      <c r="B3514" s="1">
        <f>IFERROR(__xludf.DUMMYFUNCTION("""COMPUTED_VALUE"""),122.4088)</f>
        <v>122.4088</v>
      </c>
    </row>
    <row r="3515">
      <c r="A3515" s="3">
        <f>IFERROR(__xludf.DUMMYFUNCTION("""COMPUTED_VALUE"""),43882.99861111111)</f>
        <v>43882.99861</v>
      </c>
      <c r="B3515" s="1">
        <f>IFERROR(__xludf.DUMMYFUNCTION("""COMPUTED_VALUE"""),123.4583)</f>
        <v>123.4583</v>
      </c>
    </row>
    <row r="3516">
      <c r="A3516" s="3">
        <f>IFERROR(__xludf.DUMMYFUNCTION("""COMPUTED_VALUE"""),43883.99861111111)</f>
        <v>43883.99861</v>
      </c>
      <c r="B3516" s="1">
        <f>IFERROR(__xludf.DUMMYFUNCTION("""COMPUTED_VALUE"""),123.4583)</f>
        <v>123.4583</v>
      </c>
    </row>
    <row r="3517">
      <c r="A3517" s="3">
        <f>IFERROR(__xludf.DUMMYFUNCTION("""COMPUTED_VALUE"""),43884.99861111111)</f>
        <v>43884.99861</v>
      </c>
      <c r="B3517" s="1">
        <f>IFERROR(__xludf.DUMMYFUNCTION("""COMPUTED_VALUE"""),123.5924)</f>
        <v>123.5924</v>
      </c>
    </row>
    <row r="3518">
      <c r="A3518" s="3">
        <f>IFERROR(__xludf.DUMMYFUNCTION("""COMPUTED_VALUE"""),43885.99861111111)</f>
        <v>43885.99861</v>
      </c>
      <c r="B3518" s="1">
        <f>IFERROR(__xludf.DUMMYFUNCTION("""COMPUTED_VALUE"""),125.2931)</f>
        <v>125.2931</v>
      </c>
    </row>
    <row r="3519">
      <c r="A3519" s="3">
        <f>IFERROR(__xludf.DUMMYFUNCTION("""COMPUTED_VALUE"""),43886.99861111111)</f>
        <v>43886.99861</v>
      </c>
      <c r="B3519" s="1">
        <f>IFERROR(__xludf.DUMMYFUNCTION("""COMPUTED_VALUE"""),125.6798)</f>
        <v>125.6798</v>
      </c>
    </row>
    <row r="3520">
      <c r="A3520" s="3">
        <f>IFERROR(__xludf.DUMMYFUNCTION("""COMPUTED_VALUE"""),43887.99861111111)</f>
        <v>43887.99861</v>
      </c>
      <c r="B3520" s="1">
        <f>IFERROR(__xludf.DUMMYFUNCTION("""COMPUTED_VALUE"""),126.2867)</f>
        <v>126.2867</v>
      </c>
    </row>
    <row r="3521">
      <c r="A3521" s="3">
        <f>IFERROR(__xludf.DUMMYFUNCTION("""COMPUTED_VALUE"""),43888.99861111111)</f>
        <v>43888.99861</v>
      </c>
      <c r="B3521" s="1">
        <f>IFERROR(__xludf.DUMMYFUNCTION("""COMPUTED_VALUE"""),127.7984)</f>
        <v>127.7984</v>
      </c>
    </row>
    <row r="3522">
      <c r="A3522" s="3">
        <f>IFERROR(__xludf.DUMMYFUNCTION("""COMPUTED_VALUE"""),43889.99861111111)</f>
        <v>43889.99861</v>
      </c>
      <c r="B3522" s="1">
        <f>IFERROR(__xludf.DUMMYFUNCTION("""COMPUTED_VALUE"""),129.3102)</f>
        <v>129.3102</v>
      </c>
    </row>
    <row r="3523">
      <c r="A3523" s="3">
        <f>IFERROR(__xludf.DUMMYFUNCTION("""COMPUTED_VALUE"""),43890.99861111111)</f>
        <v>43890.99861</v>
      </c>
      <c r="B3523" s="1">
        <f>IFERROR(__xludf.DUMMYFUNCTION("""COMPUTED_VALUE"""),129.3102)</f>
        <v>129.3102</v>
      </c>
    </row>
    <row r="3524">
      <c r="A3524" s="3">
        <f>IFERROR(__xludf.DUMMYFUNCTION("""COMPUTED_VALUE"""),43891.99861111111)</f>
        <v>43891.99861</v>
      </c>
      <c r="B3524" s="1">
        <f>IFERROR(__xludf.DUMMYFUNCTION("""COMPUTED_VALUE"""),129.4672)</f>
        <v>129.4672</v>
      </c>
    </row>
    <row r="3525">
      <c r="A3525" s="3">
        <f>IFERROR(__xludf.DUMMYFUNCTION("""COMPUTED_VALUE"""),43892.99861111111)</f>
        <v>43892.99861</v>
      </c>
      <c r="B3525" s="1">
        <f>IFERROR(__xludf.DUMMYFUNCTION("""COMPUTED_VALUE"""),131.6651)</f>
        <v>131.6651</v>
      </c>
    </row>
    <row r="3526">
      <c r="A3526" s="3">
        <f>IFERROR(__xludf.DUMMYFUNCTION("""COMPUTED_VALUE"""),43893.99861111111)</f>
        <v>43893.99861</v>
      </c>
      <c r="B3526" s="1">
        <f>IFERROR(__xludf.DUMMYFUNCTION("""COMPUTED_VALUE"""),132.3596)</f>
        <v>132.3596</v>
      </c>
    </row>
    <row r="3527">
      <c r="A3527" s="3">
        <f>IFERROR(__xludf.DUMMYFUNCTION("""COMPUTED_VALUE"""),43894.99861111111)</f>
        <v>43894.99861</v>
      </c>
      <c r="B3527" s="1">
        <f>IFERROR(__xludf.DUMMYFUNCTION("""COMPUTED_VALUE"""),133.4785)</f>
        <v>133.4785</v>
      </c>
    </row>
    <row r="3528">
      <c r="A3528" s="3">
        <f>IFERROR(__xludf.DUMMYFUNCTION("""COMPUTED_VALUE"""),43895.99861111111)</f>
        <v>43895.99861</v>
      </c>
      <c r="B3528" s="1">
        <f>IFERROR(__xludf.DUMMYFUNCTION("""COMPUTED_VALUE"""),133.4785)</f>
        <v>133.4785</v>
      </c>
    </row>
    <row r="3529">
      <c r="A3529" s="3">
        <f>IFERROR(__xludf.DUMMYFUNCTION("""COMPUTED_VALUE"""),43896.99861111111)</f>
        <v>43896.99861</v>
      </c>
      <c r="B3529" s="1">
        <f>IFERROR(__xludf.DUMMYFUNCTION("""COMPUTED_VALUE"""),133.4785)</f>
        <v>133.4785</v>
      </c>
    </row>
    <row r="3530">
      <c r="A3530" s="3">
        <f>IFERROR(__xludf.DUMMYFUNCTION("""COMPUTED_VALUE"""),43897.99861111111)</f>
        <v>43897.99861</v>
      </c>
      <c r="B3530" s="1">
        <f>IFERROR(__xludf.DUMMYFUNCTION("""COMPUTED_VALUE"""),133.4785)</f>
        <v>133.4785</v>
      </c>
    </row>
    <row r="3531">
      <c r="A3531" s="3">
        <f>IFERROR(__xludf.DUMMYFUNCTION("""COMPUTED_VALUE"""),43898.99861111111)</f>
        <v>43898.99861</v>
      </c>
      <c r="B3531" s="1">
        <f>IFERROR(__xludf.DUMMYFUNCTION("""COMPUTED_VALUE"""),133.4785)</f>
        <v>133.4785</v>
      </c>
    </row>
    <row r="3532">
      <c r="A3532" s="3">
        <f>IFERROR(__xludf.DUMMYFUNCTION("""COMPUTED_VALUE"""),43899.99861111111)</f>
        <v>43899.99861</v>
      </c>
      <c r="B3532" s="1">
        <f>IFERROR(__xludf.DUMMYFUNCTION("""COMPUTED_VALUE"""),133.4785)</f>
        <v>133.4785</v>
      </c>
    </row>
    <row r="3533">
      <c r="A3533" s="3">
        <f>IFERROR(__xludf.DUMMYFUNCTION("""COMPUTED_VALUE"""),43900.99861111111)</f>
        <v>43900.99861</v>
      </c>
      <c r="B3533" s="1">
        <f>IFERROR(__xludf.DUMMYFUNCTION("""COMPUTED_VALUE"""),133.4785)</f>
        <v>133.4785</v>
      </c>
    </row>
    <row r="3534">
      <c r="A3534" s="3">
        <f>IFERROR(__xludf.DUMMYFUNCTION("""COMPUTED_VALUE"""),43901.99861111111)</f>
        <v>43901.99861</v>
      </c>
      <c r="B3534" s="1">
        <f>IFERROR(__xludf.DUMMYFUNCTION("""COMPUTED_VALUE"""),133.4785)</f>
        <v>133.4785</v>
      </c>
    </row>
    <row r="3535">
      <c r="A3535" s="3">
        <f>IFERROR(__xludf.DUMMYFUNCTION("""COMPUTED_VALUE"""),43902.99861111111)</f>
        <v>43902.99861</v>
      </c>
      <c r="B3535" s="1">
        <f>IFERROR(__xludf.DUMMYFUNCTION("""COMPUTED_VALUE"""),133.4785)</f>
        <v>133.4785</v>
      </c>
    </row>
    <row r="3536">
      <c r="A3536" s="3">
        <f>IFERROR(__xludf.DUMMYFUNCTION("""COMPUTED_VALUE"""),43903.99861111111)</f>
        <v>43903.99861</v>
      </c>
      <c r="B3536" s="1">
        <f>IFERROR(__xludf.DUMMYFUNCTION("""COMPUTED_VALUE"""),133.4785)</f>
        <v>133.4785</v>
      </c>
    </row>
    <row r="3537">
      <c r="A3537" s="3">
        <f>IFERROR(__xludf.DUMMYFUNCTION("""COMPUTED_VALUE"""),43904.99861111111)</f>
        <v>43904.99861</v>
      </c>
      <c r="B3537" s="1">
        <f>IFERROR(__xludf.DUMMYFUNCTION("""COMPUTED_VALUE"""),133.4785)</f>
        <v>133.4785</v>
      </c>
    </row>
    <row r="3538">
      <c r="A3538" s="3">
        <f>IFERROR(__xludf.DUMMYFUNCTION("""COMPUTED_VALUE"""),43905.99861111111)</f>
        <v>43905.99861</v>
      </c>
      <c r="B3538" s="1">
        <f>IFERROR(__xludf.DUMMYFUNCTION("""COMPUTED_VALUE"""),133.4785)</f>
        <v>133.4785</v>
      </c>
    </row>
    <row r="3539">
      <c r="A3539" s="3">
        <f>IFERROR(__xludf.DUMMYFUNCTION("""COMPUTED_VALUE"""),43906.99861111111)</f>
        <v>43906.99861</v>
      </c>
      <c r="B3539" s="1">
        <f>IFERROR(__xludf.DUMMYFUNCTION("""COMPUTED_VALUE"""),133.4785)</f>
        <v>133.4785</v>
      </c>
    </row>
    <row r="3540">
      <c r="A3540" s="3">
        <f>IFERROR(__xludf.DUMMYFUNCTION("""COMPUTED_VALUE"""),43907.99861111111)</f>
        <v>43907.99861</v>
      </c>
      <c r="B3540" s="1">
        <f>IFERROR(__xludf.DUMMYFUNCTION("""COMPUTED_VALUE"""),133.4785)</f>
        <v>133.4785</v>
      </c>
    </row>
    <row r="3541">
      <c r="A3541" s="3">
        <f>IFERROR(__xludf.DUMMYFUNCTION("""COMPUTED_VALUE"""),43908.99861111111)</f>
        <v>43908.99861</v>
      </c>
      <c r="B3541" s="1">
        <f>IFERROR(__xludf.DUMMYFUNCTION("""COMPUTED_VALUE"""),133.4785)</f>
        <v>133.4785</v>
      </c>
    </row>
    <row r="3542">
      <c r="A3542" s="3">
        <f>IFERROR(__xludf.DUMMYFUNCTION("""COMPUTED_VALUE"""),43909.99861111111)</f>
        <v>43909.99861</v>
      </c>
      <c r="B3542" s="1">
        <f>IFERROR(__xludf.DUMMYFUNCTION("""COMPUTED_VALUE"""),133.4785)</f>
        <v>133.4785</v>
      </c>
    </row>
    <row r="3543">
      <c r="A3543" s="3">
        <f>IFERROR(__xludf.DUMMYFUNCTION("""COMPUTED_VALUE"""),43910.99861111111)</f>
        <v>43910.99861</v>
      </c>
      <c r="B3543" s="1">
        <f>IFERROR(__xludf.DUMMYFUNCTION("""COMPUTED_VALUE"""),133.4785)</f>
        <v>133.4785</v>
      </c>
    </row>
    <row r="3544">
      <c r="A3544" s="3">
        <f>IFERROR(__xludf.DUMMYFUNCTION("""COMPUTED_VALUE"""),43911.99861111111)</f>
        <v>43911.99861</v>
      </c>
      <c r="B3544" s="1">
        <f>IFERROR(__xludf.DUMMYFUNCTION("""COMPUTED_VALUE"""),133.4785)</f>
        <v>133.4785</v>
      </c>
    </row>
    <row r="3545">
      <c r="A3545" s="3">
        <f>IFERROR(__xludf.DUMMYFUNCTION("""COMPUTED_VALUE"""),43912.99861111111)</f>
        <v>43912.99861</v>
      </c>
      <c r="B3545" s="1">
        <f>IFERROR(__xludf.DUMMYFUNCTION("""COMPUTED_VALUE"""),133.4785)</f>
        <v>133.4785</v>
      </c>
    </row>
    <row r="3546">
      <c r="A3546" s="3">
        <f>IFERROR(__xludf.DUMMYFUNCTION("""COMPUTED_VALUE"""),43913.99861111111)</f>
        <v>43913.99861</v>
      </c>
      <c r="B3546" s="1">
        <f>IFERROR(__xludf.DUMMYFUNCTION("""COMPUTED_VALUE"""),133.4785)</f>
        <v>133.4785</v>
      </c>
    </row>
    <row r="3547">
      <c r="A3547" s="3">
        <f>IFERROR(__xludf.DUMMYFUNCTION("""COMPUTED_VALUE"""),43914.99861111111)</f>
        <v>43914.99861</v>
      </c>
      <c r="B3547" s="1">
        <f>IFERROR(__xludf.DUMMYFUNCTION("""COMPUTED_VALUE"""),133.4785)</f>
        <v>133.4785</v>
      </c>
    </row>
    <row r="3548">
      <c r="A3548" s="3">
        <f>IFERROR(__xludf.DUMMYFUNCTION("""COMPUTED_VALUE"""),43915.99861111111)</f>
        <v>43915.99861</v>
      </c>
      <c r="B3548" s="1">
        <f>IFERROR(__xludf.DUMMYFUNCTION("""COMPUTED_VALUE"""),133.4785)</f>
        <v>133.4785</v>
      </c>
    </row>
    <row r="3549">
      <c r="A3549" s="3">
        <f>IFERROR(__xludf.DUMMYFUNCTION("""COMPUTED_VALUE"""),43916.99861111111)</f>
        <v>43916.99861</v>
      </c>
      <c r="B3549" s="1">
        <f>IFERROR(__xludf.DUMMYFUNCTION("""COMPUTED_VALUE"""),133.4785)</f>
        <v>133.4785</v>
      </c>
    </row>
    <row r="3550">
      <c r="A3550" s="3">
        <f>IFERROR(__xludf.DUMMYFUNCTION("""COMPUTED_VALUE"""),43917.99861111111)</f>
        <v>43917.99861</v>
      </c>
      <c r="B3550" s="1">
        <f>IFERROR(__xludf.DUMMYFUNCTION("""COMPUTED_VALUE"""),133.4785)</f>
        <v>133.4785</v>
      </c>
    </row>
    <row r="3551">
      <c r="A3551" s="3">
        <f>IFERROR(__xludf.DUMMYFUNCTION("""COMPUTED_VALUE"""),43918.99861111111)</f>
        <v>43918.99861</v>
      </c>
      <c r="B3551" s="1">
        <f>IFERROR(__xludf.DUMMYFUNCTION("""COMPUTED_VALUE"""),133.4785)</f>
        <v>133.4785</v>
      </c>
    </row>
    <row r="3552">
      <c r="A3552" s="3">
        <f>IFERROR(__xludf.DUMMYFUNCTION("""COMPUTED_VALUE"""),43919.99861111111)</f>
        <v>43919.99861</v>
      </c>
      <c r="B3552" s="1">
        <f>IFERROR(__xludf.DUMMYFUNCTION("""COMPUTED_VALUE"""),133.4785)</f>
        <v>133.4785</v>
      </c>
    </row>
    <row r="3553">
      <c r="A3553" s="3">
        <f>IFERROR(__xludf.DUMMYFUNCTION("""COMPUTED_VALUE"""),43920.99861111111)</f>
        <v>43920.99861</v>
      </c>
      <c r="B3553" s="1">
        <f>IFERROR(__xludf.DUMMYFUNCTION("""COMPUTED_VALUE"""),133.4785)</f>
        <v>133.4785</v>
      </c>
    </row>
    <row r="3554">
      <c r="A3554" s="3">
        <f>IFERROR(__xludf.DUMMYFUNCTION("""COMPUTED_VALUE"""),43921.99861111111)</f>
        <v>43921.99861</v>
      </c>
      <c r="B3554" s="1">
        <f>IFERROR(__xludf.DUMMYFUNCTION("""COMPUTED_VALUE"""),133.4785)</f>
        <v>133.4785</v>
      </c>
    </row>
    <row r="3555">
      <c r="A3555" s="3">
        <f>IFERROR(__xludf.DUMMYFUNCTION("""COMPUTED_VALUE"""),43922.99861111111)</f>
        <v>43922.99861</v>
      </c>
      <c r="B3555" s="1">
        <f>IFERROR(__xludf.DUMMYFUNCTION("""COMPUTED_VALUE"""),133.4785)</f>
        <v>133.4785</v>
      </c>
    </row>
    <row r="3556">
      <c r="A3556" s="3">
        <f>IFERROR(__xludf.DUMMYFUNCTION("""COMPUTED_VALUE"""),43923.99861111111)</f>
        <v>43923.99861</v>
      </c>
      <c r="B3556" s="1">
        <f>IFERROR(__xludf.DUMMYFUNCTION("""COMPUTED_VALUE"""),133.4785)</f>
        <v>133.4785</v>
      </c>
    </row>
    <row r="3557">
      <c r="A3557" s="3">
        <f>IFERROR(__xludf.DUMMYFUNCTION("""COMPUTED_VALUE"""),43924.99861111111)</f>
        <v>43924.99861</v>
      </c>
      <c r="B3557" s="1">
        <f>IFERROR(__xludf.DUMMYFUNCTION("""COMPUTED_VALUE"""),133.4785)</f>
        <v>133.4785</v>
      </c>
    </row>
    <row r="3558">
      <c r="A3558" s="3">
        <f>IFERROR(__xludf.DUMMYFUNCTION("""COMPUTED_VALUE"""),43925.99861111111)</f>
        <v>43925.99861</v>
      </c>
      <c r="B3558" s="1">
        <f>IFERROR(__xludf.DUMMYFUNCTION("""COMPUTED_VALUE"""),133.4785)</f>
        <v>133.4785</v>
      </c>
    </row>
    <row r="3559">
      <c r="A3559" s="3">
        <f>IFERROR(__xludf.DUMMYFUNCTION("""COMPUTED_VALUE"""),43926.99861111111)</f>
        <v>43926.99861</v>
      </c>
      <c r="B3559" s="1">
        <f>IFERROR(__xludf.DUMMYFUNCTION("""COMPUTED_VALUE"""),133.4785)</f>
        <v>133.4785</v>
      </c>
    </row>
    <row r="3560">
      <c r="A3560" s="3">
        <f>IFERROR(__xludf.DUMMYFUNCTION("""COMPUTED_VALUE"""),43927.99861111111)</f>
        <v>43927.99861</v>
      </c>
      <c r="B3560" s="1">
        <f>IFERROR(__xludf.DUMMYFUNCTION("""COMPUTED_VALUE"""),133.4785)</f>
        <v>133.4785</v>
      </c>
    </row>
    <row r="3561">
      <c r="A3561" s="3">
        <f>IFERROR(__xludf.DUMMYFUNCTION("""COMPUTED_VALUE"""),43928.99861111111)</f>
        <v>43928.99861</v>
      </c>
      <c r="B3561" s="1">
        <f>IFERROR(__xludf.DUMMYFUNCTION("""COMPUTED_VALUE"""),133.4785)</f>
        <v>133.4785</v>
      </c>
    </row>
    <row r="3562">
      <c r="A3562" s="3">
        <f>IFERROR(__xludf.DUMMYFUNCTION("""COMPUTED_VALUE"""),43929.99861111111)</f>
        <v>43929.99861</v>
      </c>
      <c r="B3562" s="1">
        <f>IFERROR(__xludf.DUMMYFUNCTION("""COMPUTED_VALUE"""),133.4785)</f>
        <v>133.4785</v>
      </c>
    </row>
    <row r="3563">
      <c r="A3563" s="3">
        <f>IFERROR(__xludf.DUMMYFUNCTION("""COMPUTED_VALUE"""),43930.99861111111)</f>
        <v>43930.99861</v>
      </c>
      <c r="B3563" s="1">
        <f>IFERROR(__xludf.DUMMYFUNCTION("""COMPUTED_VALUE"""),133.4785)</f>
        <v>133.4785</v>
      </c>
    </row>
    <row r="3564">
      <c r="A3564" s="3">
        <f>IFERROR(__xludf.DUMMYFUNCTION("""COMPUTED_VALUE"""),43931.99861111111)</f>
        <v>43931.99861</v>
      </c>
      <c r="B3564" s="1">
        <f>IFERROR(__xludf.DUMMYFUNCTION("""COMPUTED_VALUE"""),133.4785)</f>
        <v>133.4785</v>
      </c>
    </row>
    <row r="3565">
      <c r="A3565" s="3">
        <f>IFERROR(__xludf.DUMMYFUNCTION("""COMPUTED_VALUE"""),43932.99861111111)</f>
        <v>43932.99861</v>
      </c>
      <c r="B3565" s="1">
        <f>IFERROR(__xludf.DUMMYFUNCTION("""COMPUTED_VALUE"""),133.4785)</f>
        <v>133.4785</v>
      </c>
    </row>
    <row r="3566">
      <c r="A3566" s="3">
        <f>IFERROR(__xludf.DUMMYFUNCTION("""COMPUTED_VALUE"""),43933.99861111111)</f>
        <v>43933.99861</v>
      </c>
      <c r="B3566" s="1">
        <f>IFERROR(__xludf.DUMMYFUNCTION("""COMPUTED_VALUE"""),133.4785)</f>
        <v>133.4785</v>
      </c>
    </row>
    <row r="3567">
      <c r="A3567" s="3">
        <f>IFERROR(__xludf.DUMMYFUNCTION("""COMPUTED_VALUE"""),43934.99861111111)</f>
        <v>43934.99861</v>
      </c>
      <c r="B3567" s="1">
        <f>IFERROR(__xludf.DUMMYFUNCTION("""COMPUTED_VALUE"""),133.4785)</f>
        <v>133.4785</v>
      </c>
    </row>
    <row r="3568">
      <c r="A3568" s="3">
        <f>IFERROR(__xludf.DUMMYFUNCTION("""COMPUTED_VALUE"""),43935.99861111111)</f>
        <v>43935.99861</v>
      </c>
      <c r="B3568" s="1">
        <f>IFERROR(__xludf.DUMMYFUNCTION("""COMPUTED_VALUE"""),133.4785)</f>
        <v>133.4785</v>
      </c>
    </row>
    <row r="3569">
      <c r="A3569" s="3">
        <f>IFERROR(__xludf.DUMMYFUNCTION("""COMPUTED_VALUE"""),43936.99861111111)</f>
        <v>43936.99861</v>
      </c>
      <c r="B3569" s="1">
        <f>IFERROR(__xludf.DUMMYFUNCTION("""COMPUTED_VALUE"""),133.4785)</f>
        <v>133.4785</v>
      </c>
    </row>
    <row r="3570">
      <c r="A3570" s="3">
        <f>IFERROR(__xludf.DUMMYFUNCTION("""COMPUTED_VALUE"""),43937.99861111111)</f>
        <v>43937.99861</v>
      </c>
      <c r="B3570" s="1">
        <f>IFERROR(__xludf.DUMMYFUNCTION("""COMPUTED_VALUE"""),133.4785)</f>
        <v>133.4785</v>
      </c>
    </row>
    <row r="3571">
      <c r="A3571" s="3">
        <f>IFERROR(__xludf.DUMMYFUNCTION("""COMPUTED_VALUE"""),43938.99861111111)</f>
        <v>43938.99861</v>
      </c>
      <c r="B3571" s="1">
        <f>IFERROR(__xludf.DUMMYFUNCTION("""COMPUTED_VALUE"""),133.4785)</f>
        <v>133.4785</v>
      </c>
    </row>
    <row r="3572">
      <c r="A3572" s="3">
        <f>IFERROR(__xludf.DUMMYFUNCTION("""COMPUTED_VALUE"""),43939.99861111111)</f>
        <v>43939.99861</v>
      </c>
      <c r="B3572" s="1">
        <f>IFERROR(__xludf.DUMMYFUNCTION("""COMPUTED_VALUE"""),133.4785)</f>
        <v>133.4785</v>
      </c>
    </row>
    <row r="3573">
      <c r="A3573" s="3">
        <f>IFERROR(__xludf.DUMMYFUNCTION("""COMPUTED_VALUE"""),43940.99861111111)</f>
        <v>43940.99861</v>
      </c>
      <c r="B3573" s="1">
        <f>IFERROR(__xludf.DUMMYFUNCTION("""COMPUTED_VALUE"""),133.4785)</f>
        <v>133.4785</v>
      </c>
    </row>
    <row r="3574">
      <c r="A3574" s="3">
        <f>IFERROR(__xludf.DUMMYFUNCTION("""COMPUTED_VALUE"""),43941.99861111111)</f>
        <v>43941.99861</v>
      </c>
      <c r="B3574" s="1">
        <f>IFERROR(__xludf.DUMMYFUNCTION("""COMPUTED_VALUE"""),133.4785)</f>
        <v>133.4785</v>
      </c>
    </row>
    <row r="3575">
      <c r="A3575" s="3">
        <f>IFERROR(__xludf.DUMMYFUNCTION("""COMPUTED_VALUE"""),43942.99861111111)</f>
        <v>43942.99861</v>
      </c>
      <c r="B3575" s="1">
        <f>IFERROR(__xludf.DUMMYFUNCTION("""COMPUTED_VALUE"""),133.4785)</f>
        <v>133.4785</v>
      </c>
    </row>
    <row r="3576">
      <c r="A3576" s="3">
        <f>IFERROR(__xludf.DUMMYFUNCTION("""COMPUTED_VALUE"""),43943.99861111111)</f>
        <v>43943.99861</v>
      </c>
      <c r="B3576" s="1">
        <f>IFERROR(__xludf.DUMMYFUNCTION("""COMPUTED_VALUE"""),133.4785)</f>
        <v>133.4785</v>
      </c>
    </row>
    <row r="3577">
      <c r="A3577" s="3">
        <f>IFERROR(__xludf.DUMMYFUNCTION("""COMPUTED_VALUE"""),43944.99861111111)</f>
        <v>43944.99861</v>
      </c>
      <c r="B3577" s="1">
        <f>IFERROR(__xludf.DUMMYFUNCTION("""COMPUTED_VALUE"""),133.4785)</f>
        <v>133.4785</v>
      </c>
    </row>
    <row r="3578">
      <c r="A3578" s="3">
        <f>IFERROR(__xludf.DUMMYFUNCTION("""COMPUTED_VALUE"""),43945.99861111111)</f>
        <v>43945.99861</v>
      </c>
      <c r="B3578" s="1">
        <f>IFERROR(__xludf.DUMMYFUNCTION("""COMPUTED_VALUE"""),133.4785)</f>
        <v>133.4785</v>
      </c>
    </row>
    <row r="3579">
      <c r="A3579" s="3">
        <f>IFERROR(__xludf.DUMMYFUNCTION("""COMPUTED_VALUE"""),43946.99861111111)</f>
        <v>43946.99861</v>
      </c>
      <c r="B3579" s="1">
        <f>IFERROR(__xludf.DUMMYFUNCTION("""COMPUTED_VALUE"""),133.4785)</f>
        <v>133.4785</v>
      </c>
    </row>
    <row r="3580">
      <c r="A3580" s="3">
        <f>IFERROR(__xludf.DUMMYFUNCTION("""COMPUTED_VALUE"""),43947.99861111111)</f>
        <v>43947.99861</v>
      </c>
      <c r="B3580" s="1">
        <f>IFERROR(__xludf.DUMMYFUNCTION("""COMPUTED_VALUE"""),133.4785)</f>
        <v>133.4785</v>
      </c>
    </row>
    <row r="3581">
      <c r="A3581" s="3">
        <f>IFERROR(__xludf.DUMMYFUNCTION("""COMPUTED_VALUE"""),43948.99861111111)</f>
        <v>43948.99861</v>
      </c>
      <c r="B3581" s="1">
        <f>IFERROR(__xludf.DUMMYFUNCTION("""COMPUTED_VALUE"""),133.4785)</f>
        <v>133.4785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IFERROR(__xludf.DUMMYFUNCTION("googlefinance(""Currency:SARIDR"",""price"",""01/01/2010"",""28/04/2020"",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IFERROR(__xludf.DUMMYFUNCTION("""COMPUTED_VALUE"""),40182.99861111111)</f>
        <v>40182.99861</v>
      </c>
      <c r="B2" s="1">
        <f>IFERROR(__xludf.DUMMYFUNCTION("""COMPUTED_VALUE"""),2536.142712)</f>
        <v>2536.142712</v>
      </c>
    </row>
    <row r="3">
      <c r="A3" s="3">
        <f>IFERROR(__xludf.DUMMYFUNCTION("""COMPUTED_VALUE"""),40183.99861111111)</f>
        <v>40183.99861</v>
      </c>
      <c r="B3" s="1">
        <f>IFERROR(__xludf.DUMMYFUNCTION("""COMPUTED_VALUE"""),2480.923484)</f>
        <v>2480.923484</v>
      </c>
    </row>
    <row r="4">
      <c r="A4" s="3">
        <f>IFERROR(__xludf.DUMMYFUNCTION("""COMPUTED_VALUE"""),40184.99861111111)</f>
        <v>40184.99861</v>
      </c>
      <c r="B4" s="1">
        <f>IFERROR(__xludf.DUMMYFUNCTION("""COMPUTED_VALUE"""),2458.094397)</f>
        <v>2458.094397</v>
      </c>
    </row>
    <row r="5">
      <c r="A5" s="3">
        <f>IFERROR(__xludf.DUMMYFUNCTION("""COMPUTED_VALUE"""),40185.99861111111)</f>
        <v>40185.99861</v>
      </c>
      <c r="B5" s="1">
        <f>IFERROR(__xludf.DUMMYFUNCTION("""COMPUTED_VALUE"""),2472.930407)</f>
        <v>2472.930407</v>
      </c>
    </row>
    <row r="6">
      <c r="A6" s="3">
        <f>IFERROR(__xludf.DUMMYFUNCTION("""COMPUTED_VALUE"""),40186.99861111111)</f>
        <v>40186.99861</v>
      </c>
      <c r="B6" s="1">
        <f>IFERROR(__xludf.DUMMYFUNCTION("""COMPUTED_VALUE"""),2456.850943)</f>
        <v>2456.850943</v>
      </c>
    </row>
    <row r="7">
      <c r="A7" s="3">
        <f>IFERROR(__xludf.DUMMYFUNCTION("""COMPUTED_VALUE"""),40189.99861111111)</f>
        <v>40189.99861</v>
      </c>
      <c r="B7" s="1">
        <f>IFERROR(__xludf.DUMMYFUNCTION("""COMPUTED_VALUE"""),2439.818578)</f>
        <v>2439.818578</v>
      </c>
    </row>
    <row r="8">
      <c r="A8" s="3">
        <f>IFERROR(__xludf.DUMMYFUNCTION("""COMPUTED_VALUE"""),40190.99861111111)</f>
        <v>40190.99861</v>
      </c>
      <c r="B8" s="1">
        <f>IFERROR(__xludf.DUMMYFUNCTION("""COMPUTED_VALUE"""),2445.73035)</f>
        <v>2445.73035</v>
      </c>
    </row>
    <row r="9">
      <c r="A9" s="3">
        <f>IFERROR(__xludf.DUMMYFUNCTION("""COMPUTED_VALUE"""),40191.99861111111)</f>
        <v>40191.99861</v>
      </c>
      <c r="B9" s="1">
        <f>IFERROR(__xludf.DUMMYFUNCTION("""COMPUTED_VALUE"""),2437.729924)</f>
        <v>2437.729924</v>
      </c>
    </row>
    <row r="10">
      <c r="A10" s="3">
        <f>IFERROR(__xludf.DUMMYFUNCTION("""COMPUTED_VALUE"""),40192.99861111111)</f>
        <v>40192.99861</v>
      </c>
      <c r="B10" s="1">
        <f>IFERROR(__xludf.DUMMYFUNCTION("""COMPUTED_VALUE"""),2441.807088)</f>
        <v>2441.807088</v>
      </c>
    </row>
    <row r="11">
      <c r="A11" s="3">
        <f>IFERROR(__xludf.DUMMYFUNCTION("""COMPUTED_VALUE"""),40193.99861111111)</f>
        <v>40193.99861</v>
      </c>
      <c r="B11" s="1">
        <f>IFERROR(__xludf.DUMMYFUNCTION("""COMPUTED_VALUE"""),2461.080811)</f>
        <v>2461.080811</v>
      </c>
    </row>
    <row r="12">
      <c r="A12" s="3">
        <f>IFERROR(__xludf.DUMMYFUNCTION("""COMPUTED_VALUE"""),40196.99861111111)</f>
        <v>40196.99861</v>
      </c>
      <c r="B12" s="1">
        <f>IFERROR(__xludf.DUMMYFUNCTION("""COMPUTED_VALUE"""),2434.926354)</f>
        <v>2434.926354</v>
      </c>
    </row>
    <row r="13">
      <c r="A13" s="3">
        <f>IFERROR(__xludf.DUMMYFUNCTION("""COMPUTED_VALUE"""),40197.99861111111)</f>
        <v>40197.99861</v>
      </c>
      <c r="B13" s="1">
        <f>IFERROR(__xludf.DUMMYFUNCTION("""COMPUTED_VALUE"""),2461.319938)</f>
        <v>2461.319938</v>
      </c>
    </row>
    <row r="14">
      <c r="A14" s="3">
        <f>IFERROR(__xludf.DUMMYFUNCTION("""COMPUTED_VALUE"""),40198.99861111111)</f>
        <v>40198.99861</v>
      </c>
      <c r="B14" s="1">
        <f>IFERROR(__xludf.DUMMYFUNCTION("""COMPUTED_VALUE"""),2481.432461)</f>
        <v>2481.432461</v>
      </c>
    </row>
    <row r="15">
      <c r="A15" s="3">
        <f>IFERROR(__xludf.DUMMYFUNCTION("""COMPUTED_VALUE"""),40199.99861111111)</f>
        <v>40199.99861</v>
      </c>
      <c r="B15" s="1">
        <f>IFERROR(__xludf.DUMMYFUNCTION("""COMPUTED_VALUE"""),2451.676605)</f>
        <v>2451.676605</v>
      </c>
    </row>
    <row r="16">
      <c r="A16" s="3">
        <f>IFERROR(__xludf.DUMMYFUNCTION("""COMPUTED_VALUE"""),40200.99861111111)</f>
        <v>40200.99861</v>
      </c>
      <c r="B16" s="1">
        <f>IFERROR(__xludf.DUMMYFUNCTION("""COMPUTED_VALUE"""),2472.042342)</f>
        <v>2472.042342</v>
      </c>
    </row>
    <row r="17">
      <c r="A17" s="3">
        <f>IFERROR(__xludf.DUMMYFUNCTION("""COMPUTED_VALUE"""),40203.99861111111)</f>
        <v>40203.99861</v>
      </c>
      <c r="B17" s="1">
        <f>IFERROR(__xludf.DUMMYFUNCTION("""COMPUTED_VALUE"""),2485.58509)</f>
        <v>2485.58509</v>
      </c>
    </row>
    <row r="18">
      <c r="A18" s="3">
        <f>IFERROR(__xludf.DUMMYFUNCTION("""COMPUTED_VALUE"""),40204.99861111111)</f>
        <v>40204.99861</v>
      </c>
      <c r="B18" s="1">
        <f>IFERROR(__xludf.DUMMYFUNCTION("""COMPUTED_VALUE"""),2501.586797)</f>
        <v>2501.586797</v>
      </c>
    </row>
    <row r="19">
      <c r="A19" s="3">
        <f>IFERROR(__xludf.DUMMYFUNCTION("""COMPUTED_VALUE"""),40205.99861111111)</f>
        <v>40205.99861</v>
      </c>
      <c r="B19" s="1">
        <f>IFERROR(__xludf.DUMMYFUNCTION("""COMPUTED_VALUE"""),2509.530877)</f>
        <v>2509.530877</v>
      </c>
    </row>
    <row r="20">
      <c r="A20" s="3">
        <f>IFERROR(__xludf.DUMMYFUNCTION("""COMPUTED_VALUE"""),40206.99861111111)</f>
        <v>40206.99861</v>
      </c>
      <c r="B20" s="1">
        <f>IFERROR(__xludf.DUMMYFUNCTION("""COMPUTED_VALUE"""),2486.918565)</f>
        <v>2486.918565</v>
      </c>
    </row>
    <row r="21">
      <c r="A21" s="3">
        <f>IFERROR(__xludf.DUMMYFUNCTION("""COMPUTED_VALUE"""),40207.99861111111)</f>
        <v>40207.99861</v>
      </c>
      <c r="B21" s="1">
        <f>IFERROR(__xludf.DUMMYFUNCTION("""COMPUTED_VALUE"""),2466.864)</f>
        <v>2466.864</v>
      </c>
    </row>
    <row r="22">
      <c r="A22" s="3">
        <f>IFERROR(__xludf.DUMMYFUNCTION("""COMPUTED_VALUE"""),40210.99861111111)</f>
        <v>40210.99861</v>
      </c>
      <c r="B22" s="1">
        <f>IFERROR(__xludf.DUMMYFUNCTION("""COMPUTED_VALUE"""),2468.570803)</f>
        <v>2468.570803</v>
      </c>
    </row>
    <row r="23">
      <c r="A23" s="3">
        <f>IFERROR(__xludf.DUMMYFUNCTION("""COMPUTED_VALUE"""),40211.99861111111)</f>
        <v>40211.99861</v>
      </c>
      <c r="B23" s="1">
        <f>IFERROR(__xludf.DUMMYFUNCTION("""COMPUTED_VALUE"""),2483.58705)</f>
        <v>2483.58705</v>
      </c>
    </row>
    <row r="24">
      <c r="A24" s="3">
        <f>IFERROR(__xludf.DUMMYFUNCTION("""COMPUTED_VALUE"""),40212.99861111111)</f>
        <v>40212.99861</v>
      </c>
      <c r="B24" s="1">
        <f>IFERROR(__xludf.DUMMYFUNCTION("""COMPUTED_VALUE"""),2497.493027)</f>
        <v>2497.493027</v>
      </c>
    </row>
    <row r="25">
      <c r="A25" s="3">
        <f>IFERROR(__xludf.DUMMYFUNCTION("""COMPUTED_VALUE"""),40213.99861111111)</f>
        <v>40213.99861</v>
      </c>
      <c r="B25" s="1">
        <f>IFERROR(__xludf.DUMMYFUNCTION("""COMPUTED_VALUE"""),2503.306752)</f>
        <v>2503.306752</v>
      </c>
    </row>
    <row r="26">
      <c r="A26" s="3">
        <f>IFERROR(__xludf.DUMMYFUNCTION("""COMPUTED_VALUE"""),40214.99861111111)</f>
        <v>40214.99861</v>
      </c>
      <c r="B26" s="1">
        <f>IFERROR(__xludf.DUMMYFUNCTION("""COMPUTED_VALUE"""),2525.29802)</f>
        <v>2525.29802</v>
      </c>
    </row>
    <row r="27">
      <c r="A27" s="3">
        <f>IFERROR(__xludf.DUMMYFUNCTION("""COMPUTED_VALUE"""),40217.99861111111)</f>
        <v>40217.99861</v>
      </c>
      <c r="B27" s="1">
        <f>IFERROR(__xludf.DUMMYFUNCTION("""COMPUTED_VALUE"""),2529.334806)</f>
        <v>2529.334806</v>
      </c>
    </row>
    <row r="28">
      <c r="A28" s="3">
        <f>IFERROR(__xludf.DUMMYFUNCTION("""COMPUTED_VALUE"""),40218.99861111111)</f>
        <v>40218.99861</v>
      </c>
      <c r="B28" s="1">
        <f>IFERROR(__xludf.DUMMYFUNCTION("""COMPUTED_VALUE"""),2490.679238)</f>
        <v>2490.679238</v>
      </c>
    </row>
    <row r="29">
      <c r="A29" s="3">
        <f>IFERROR(__xludf.DUMMYFUNCTION("""COMPUTED_VALUE"""),40219.99861111111)</f>
        <v>40219.99861</v>
      </c>
      <c r="B29" s="1">
        <f>IFERROR(__xludf.DUMMYFUNCTION("""COMPUTED_VALUE"""),2484.369927)</f>
        <v>2484.369927</v>
      </c>
    </row>
    <row r="30">
      <c r="A30" s="3">
        <f>IFERROR(__xludf.DUMMYFUNCTION("""COMPUTED_VALUE"""),40220.99861111111)</f>
        <v>40220.99861</v>
      </c>
      <c r="B30" s="1">
        <f>IFERROR(__xludf.DUMMYFUNCTION("""COMPUTED_VALUE"""),2487.960267)</f>
        <v>2487.960267</v>
      </c>
    </row>
    <row r="31">
      <c r="A31" s="3">
        <f>IFERROR(__xludf.DUMMYFUNCTION("""COMPUTED_VALUE"""),40221.99861111111)</f>
        <v>40221.99861</v>
      </c>
      <c r="B31" s="1">
        <f>IFERROR(__xludf.DUMMYFUNCTION("""COMPUTED_VALUE"""),2486.784164)</f>
        <v>2486.784164</v>
      </c>
    </row>
    <row r="32">
      <c r="A32" s="3">
        <f>IFERROR(__xludf.DUMMYFUNCTION("""COMPUTED_VALUE"""),40224.99861111111)</f>
        <v>40224.99861</v>
      </c>
      <c r="B32" s="1">
        <f>IFERROR(__xludf.DUMMYFUNCTION("""COMPUTED_VALUE"""),2492.212463)</f>
        <v>2492.212463</v>
      </c>
    </row>
    <row r="33">
      <c r="A33" s="3">
        <f>IFERROR(__xludf.DUMMYFUNCTION("""COMPUTED_VALUE"""),40225.99861111111)</f>
        <v>40225.99861</v>
      </c>
      <c r="B33" s="1">
        <f>IFERROR(__xludf.DUMMYFUNCTION("""COMPUTED_VALUE"""),2478.040532)</f>
        <v>2478.040532</v>
      </c>
    </row>
    <row r="34">
      <c r="A34" s="3">
        <f>IFERROR(__xludf.DUMMYFUNCTION("""COMPUTED_VALUE"""),40226.99861111111)</f>
        <v>40226.99861</v>
      </c>
      <c r="B34" s="1">
        <f>IFERROR(__xludf.DUMMYFUNCTION("""COMPUTED_VALUE"""),2507.361498)</f>
        <v>2507.361498</v>
      </c>
    </row>
    <row r="35">
      <c r="A35" s="3">
        <f>IFERROR(__xludf.DUMMYFUNCTION("""COMPUTED_VALUE"""),40227.99861111111)</f>
        <v>40227.99861</v>
      </c>
      <c r="B35" s="1">
        <f>IFERROR(__xludf.DUMMYFUNCTION("""COMPUTED_VALUE"""),2533.550205)</f>
        <v>2533.550205</v>
      </c>
    </row>
    <row r="36">
      <c r="A36" s="3">
        <f>IFERROR(__xludf.DUMMYFUNCTION("""COMPUTED_VALUE"""),40228.99861111111)</f>
        <v>40228.99861</v>
      </c>
      <c r="B36" s="1">
        <f>IFERROR(__xludf.DUMMYFUNCTION("""COMPUTED_VALUE"""),2477.85387)</f>
        <v>2477.85387</v>
      </c>
    </row>
    <row r="37">
      <c r="A37" s="3">
        <f>IFERROR(__xludf.DUMMYFUNCTION("""COMPUTED_VALUE"""),40231.99861111111)</f>
        <v>40231.99861</v>
      </c>
      <c r="B37" s="1">
        <f>IFERROR(__xludf.DUMMYFUNCTION("""COMPUTED_VALUE"""),2475.119938)</f>
        <v>2475.119938</v>
      </c>
    </row>
    <row r="38">
      <c r="A38" s="3">
        <f>IFERROR(__xludf.DUMMYFUNCTION("""COMPUTED_VALUE"""),40232.99861111111)</f>
        <v>40232.99861</v>
      </c>
      <c r="B38" s="1">
        <f>IFERROR(__xludf.DUMMYFUNCTION("""COMPUTED_VALUE"""),2491.279444)</f>
        <v>2491.279444</v>
      </c>
    </row>
    <row r="39">
      <c r="A39" s="3">
        <f>IFERROR(__xludf.DUMMYFUNCTION("""COMPUTED_VALUE"""),40233.99861111111)</f>
        <v>40233.99861</v>
      </c>
      <c r="B39" s="1">
        <f>IFERROR(__xludf.DUMMYFUNCTION("""COMPUTED_VALUE"""),2494.079594)</f>
        <v>2494.079594</v>
      </c>
    </row>
    <row r="40">
      <c r="A40" s="3">
        <f>IFERROR(__xludf.DUMMYFUNCTION("""COMPUTED_VALUE"""),40234.99861111111)</f>
        <v>40234.99861</v>
      </c>
      <c r="B40" s="1">
        <f>IFERROR(__xludf.DUMMYFUNCTION("""COMPUTED_VALUE"""),2489.51935)</f>
        <v>2489.51935</v>
      </c>
    </row>
    <row r="41">
      <c r="A41" s="3">
        <f>IFERROR(__xludf.DUMMYFUNCTION("""COMPUTED_VALUE"""),40235.99861111111)</f>
        <v>40235.99861</v>
      </c>
      <c r="B41" s="1">
        <f>IFERROR(__xludf.DUMMYFUNCTION("""COMPUTED_VALUE"""),2490.666604)</f>
        <v>2490.666604</v>
      </c>
    </row>
    <row r="42">
      <c r="A42" s="3">
        <f>IFERROR(__xludf.DUMMYFUNCTION("""COMPUTED_VALUE"""),40238.99861111111)</f>
        <v>40238.99861</v>
      </c>
      <c r="B42" s="1">
        <f>IFERROR(__xludf.DUMMYFUNCTION("""COMPUTED_VALUE"""),2502.893548)</f>
        <v>2502.893548</v>
      </c>
    </row>
    <row r="43">
      <c r="A43" s="3">
        <f>IFERROR(__xludf.DUMMYFUNCTION("""COMPUTED_VALUE"""),40239.99861111111)</f>
        <v>40239.99861</v>
      </c>
      <c r="B43" s="1">
        <f>IFERROR(__xludf.DUMMYFUNCTION("""COMPUTED_VALUE"""),2449.434568)</f>
        <v>2449.434568</v>
      </c>
    </row>
    <row r="44">
      <c r="A44" s="3">
        <f>IFERROR(__xludf.DUMMYFUNCTION("""COMPUTED_VALUE"""),40240.99861111111)</f>
        <v>40240.99861</v>
      </c>
      <c r="B44" s="1">
        <f>IFERROR(__xludf.DUMMYFUNCTION("""COMPUTED_VALUE"""),2440.073569)</f>
        <v>2440.073569</v>
      </c>
    </row>
    <row r="45">
      <c r="A45" s="3">
        <f>IFERROR(__xludf.DUMMYFUNCTION("""COMPUTED_VALUE"""),40241.99861111111)</f>
        <v>40241.99861</v>
      </c>
      <c r="B45" s="1">
        <f>IFERROR(__xludf.DUMMYFUNCTION("""COMPUTED_VALUE"""),2487.905683)</f>
        <v>2487.905683</v>
      </c>
    </row>
    <row r="46">
      <c r="A46" s="3">
        <f>IFERROR(__xludf.DUMMYFUNCTION("""COMPUTED_VALUE"""),40242.99861111111)</f>
        <v>40242.99861</v>
      </c>
      <c r="B46" s="1">
        <f>IFERROR(__xludf.DUMMYFUNCTION("""COMPUTED_VALUE"""),2453.168299)</f>
        <v>2453.168299</v>
      </c>
    </row>
    <row r="47">
      <c r="A47" s="3">
        <f>IFERROR(__xludf.DUMMYFUNCTION("""COMPUTED_VALUE"""),40245.99861111111)</f>
        <v>40245.99861</v>
      </c>
      <c r="B47" s="1">
        <f>IFERROR(__xludf.DUMMYFUNCTION("""COMPUTED_VALUE"""),2448.326379)</f>
        <v>2448.326379</v>
      </c>
    </row>
    <row r="48">
      <c r="A48" s="3">
        <f>IFERROR(__xludf.DUMMYFUNCTION("""COMPUTED_VALUE"""),40246.99861111111)</f>
        <v>40246.99861</v>
      </c>
      <c r="B48" s="1">
        <f>IFERROR(__xludf.DUMMYFUNCTION("""COMPUTED_VALUE"""),2446.420913)</f>
        <v>2446.420913</v>
      </c>
    </row>
    <row r="49">
      <c r="A49" s="3">
        <f>IFERROR(__xludf.DUMMYFUNCTION("""COMPUTED_VALUE"""),40247.99861111111)</f>
        <v>40247.99861</v>
      </c>
      <c r="B49" s="1">
        <f>IFERROR(__xludf.DUMMYFUNCTION("""COMPUTED_VALUE"""),2445.502291)</f>
        <v>2445.502291</v>
      </c>
    </row>
    <row r="50">
      <c r="A50" s="3">
        <f>IFERROR(__xludf.DUMMYFUNCTION("""COMPUTED_VALUE"""),40248.99861111111)</f>
        <v>40248.99861</v>
      </c>
      <c r="B50" s="1">
        <f>IFERROR(__xludf.DUMMYFUNCTION("""COMPUTED_VALUE"""),2441.033672)</f>
        <v>2441.033672</v>
      </c>
    </row>
    <row r="51">
      <c r="A51" s="3">
        <f>IFERROR(__xludf.DUMMYFUNCTION("""COMPUTED_VALUE"""),40249.99861111111)</f>
        <v>40249.99861</v>
      </c>
      <c r="B51" s="1">
        <f>IFERROR(__xludf.DUMMYFUNCTION("""COMPUTED_VALUE"""),2438.846772)</f>
        <v>2438.846772</v>
      </c>
    </row>
    <row r="52">
      <c r="A52" s="3">
        <f>IFERROR(__xludf.DUMMYFUNCTION("""COMPUTED_VALUE"""),40252.99861111111)</f>
        <v>40252.99861</v>
      </c>
      <c r="B52" s="1">
        <f>IFERROR(__xludf.DUMMYFUNCTION("""COMPUTED_VALUE"""),2455.103059)</f>
        <v>2455.103059</v>
      </c>
    </row>
    <row r="53">
      <c r="A53" s="3">
        <f>IFERROR(__xludf.DUMMYFUNCTION("""COMPUTED_VALUE"""),40253.99861111111)</f>
        <v>40253.99861</v>
      </c>
      <c r="B53" s="1">
        <f>IFERROR(__xludf.DUMMYFUNCTION("""COMPUTED_VALUE"""),2440.479938)</f>
        <v>2440.479938</v>
      </c>
    </row>
    <row r="54">
      <c r="A54" s="3">
        <f>IFERROR(__xludf.DUMMYFUNCTION("""COMPUTED_VALUE"""),40254.99861111111)</f>
        <v>40254.99861</v>
      </c>
      <c r="B54" s="1">
        <f>IFERROR(__xludf.DUMMYFUNCTION("""COMPUTED_VALUE"""),2426.792153)</f>
        <v>2426.792153</v>
      </c>
    </row>
    <row r="55">
      <c r="A55" s="3">
        <f>IFERROR(__xludf.DUMMYFUNCTION("""COMPUTED_VALUE"""),40255.99861111111)</f>
        <v>40255.99861</v>
      </c>
      <c r="B55" s="1">
        <f>IFERROR(__xludf.DUMMYFUNCTION("""COMPUTED_VALUE"""),2432.274566)</f>
        <v>2432.274566</v>
      </c>
    </row>
    <row r="56">
      <c r="A56" s="3">
        <f>IFERROR(__xludf.DUMMYFUNCTION("""COMPUTED_VALUE"""),40256.99861111111)</f>
        <v>40256.99861</v>
      </c>
      <c r="B56" s="1">
        <f>IFERROR(__xludf.DUMMYFUNCTION("""COMPUTED_VALUE"""),2429.634355)</f>
        <v>2429.634355</v>
      </c>
    </row>
    <row r="57">
      <c r="A57" s="3">
        <f>IFERROR(__xludf.DUMMYFUNCTION("""COMPUTED_VALUE"""),40259.99861111111)</f>
        <v>40259.99861</v>
      </c>
      <c r="B57" s="1">
        <f>IFERROR(__xludf.DUMMYFUNCTION("""COMPUTED_VALUE"""),2431.097416)</f>
        <v>2431.097416</v>
      </c>
    </row>
    <row r="58">
      <c r="A58" s="3">
        <f>IFERROR(__xludf.DUMMYFUNCTION("""COMPUTED_VALUE"""),40260.99861111111)</f>
        <v>40260.99861</v>
      </c>
      <c r="B58" s="1">
        <f>IFERROR(__xludf.DUMMYFUNCTION("""COMPUTED_VALUE"""),2438.885121)</f>
        <v>2438.885121</v>
      </c>
    </row>
    <row r="59">
      <c r="A59" s="3">
        <f>IFERROR(__xludf.DUMMYFUNCTION("""COMPUTED_VALUE"""),40261.99861111111)</f>
        <v>40261.99861</v>
      </c>
      <c r="B59" s="1">
        <f>IFERROR(__xludf.DUMMYFUNCTION("""COMPUTED_VALUE"""),2430.781113)</f>
        <v>2430.781113</v>
      </c>
    </row>
    <row r="60">
      <c r="A60" s="3">
        <f>IFERROR(__xludf.DUMMYFUNCTION("""COMPUTED_VALUE"""),40262.99861111111)</f>
        <v>40262.99861</v>
      </c>
      <c r="B60" s="1">
        <f>IFERROR(__xludf.DUMMYFUNCTION("""COMPUTED_VALUE"""),2435.619761)</f>
        <v>2435.619761</v>
      </c>
    </row>
    <row r="61">
      <c r="A61" s="3">
        <f>IFERROR(__xludf.DUMMYFUNCTION("""COMPUTED_VALUE"""),40263.99861111111)</f>
        <v>40263.99861</v>
      </c>
      <c r="B61" s="1">
        <f>IFERROR(__xludf.DUMMYFUNCTION("""COMPUTED_VALUE"""),2430.301075)</f>
        <v>2430.301075</v>
      </c>
    </row>
    <row r="62">
      <c r="A62" s="3">
        <f>IFERROR(__xludf.DUMMYFUNCTION("""COMPUTED_VALUE"""),40266.99861111111)</f>
        <v>40266.99861</v>
      </c>
      <c r="B62" s="1">
        <f>IFERROR(__xludf.DUMMYFUNCTION("""COMPUTED_VALUE"""),2419.660224)</f>
        <v>2419.660224</v>
      </c>
    </row>
    <row r="63">
      <c r="A63" s="3">
        <f>IFERROR(__xludf.DUMMYFUNCTION("""COMPUTED_VALUE"""),40267.99861111111)</f>
        <v>40267.99861</v>
      </c>
      <c r="B63" s="1">
        <f>IFERROR(__xludf.DUMMYFUNCTION("""COMPUTED_VALUE"""),2420.300275)</f>
        <v>2420.300275</v>
      </c>
    </row>
    <row r="64">
      <c r="A64" s="3">
        <f>IFERROR(__xludf.DUMMYFUNCTION("""COMPUTED_VALUE"""),40268.99861111111)</f>
        <v>40268.99861</v>
      </c>
      <c r="B64" s="1">
        <f>IFERROR(__xludf.DUMMYFUNCTION("""COMPUTED_VALUE"""),2427.660864)</f>
        <v>2427.660864</v>
      </c>
    </row>
    <row r="65">
      <c r="A65" s="3">
        <f>IFERROR(__xludf.DUMMYFUNCTION("""COMPUTED_VALUE"""),40269.99861111111)</f>
        <v>40269.99861</v>
      </c>
      <c r="B65" s="1">
        <f>IFERROR(__xludf.DUMMYFUNCTION("""COMPUTED_VALUE"""),2411.297167)</f>
        <v>2411.297167</v>
      </c>
    </row>
    <row r="66">
      <c r="A66" s="3">
        <f>IFERROR(__xludf.DUMMYFUNCTION("""COMPUTED_VALUE"""),40270.99861111111)</f>
        <v>40270.99861</v>
      </c>
      <c r="B66" s="1">
        <f>IFERROR(__xludf.DUMMYFUNCTION("""COMPUTED_VALUE"""),2425.500691)</f>
        <v>2425.500691</v>
      </c>
    </row>
    <row r="67">
      <c r="A67" s="3">
        <f>IFERROR(__xludf.DUMMYFUNCTION("""COMPUTED_VALUE"""),40273.99861111111)</f>
        <v>40273.99861</v>
      </c>
      <c r="B67" s="1">
        <f>IFERROR(__xludf.DUMMYFUNCTION("""COMPUTED_VALUE"""),2414.401857)</f>
        <v>2414.401857</v>
      </c>
    </row>
    <row r="68">
      <c r="A68" s="3">
        <f>IFERROR(__xludf.DUMMYFUNCTION("""COMPUTED_VALUE"""),40274.99861111111)</f>
        <v>40274.99861</v>
      </c>
      <c r="B68" s="1">
        <f>IFERROR(__xludf.DUMMYFUNCTION("""COMPUTED_VALUE"""),2410.203717)</f>
        <v>2410.203717</v>
      </c>
    </row>
    <row r="69">
      <c r="A69" s="3">
        <f>IFERROR(__xludf.DUMMYFUNCTION("""COMPUTED_VALUE"""),40275.99861111111)</f>
        <v>40275.99861</v>
      </c>
      <c r="B69" s="1">
        <f>IFERROR(__xludf.DUMMYFUNCTION("""COMPUTED_VALUE"""),2414.726496)</f>
        <v>2414.726496</v>
      </c>
    </row>
    <row r="70">
      <c r="A70" s="3">
        <f>IFERROR(__xludf.DUMMYFUNCTION("""COMPUTED_VALUE"""),40276.99861111111)</f>
        <v>40276.99861</v>
      </c>
      <c r="B70" s="1">
        <f>IFERROR(__xludf.DUMMYFUNCTION("""COMPUTED_VALUE"""),2415.579897)</f>
        <v>2415.579897</v>
      </c>
    </row>
    <row r="71">
      <c r="A71" s="3">
        <f>IFERROR(__xludf.DUMMYFUNCTION("""COMPUTED_VALUE"""),40277.99861111111)</f>
        <v>40277.99861</v>
      </c>
      <c r="B71" s="1">
        <f>IFERROR(__xludf.DUMMYFUNCTION("""COMPUTED_VALUE"""),2398.234485)</f>
        <v>2398.234485</v>
      </c>
    </row>
    <row r="72">
      <c r="A72" s="3">
        <f>IFERROR(__xludf.DUMMYFUNCTION("""COMPUTED_VALUE"""),40280.99861111111)</f>
        <v>40280.99861</v>
      </c>
      <c r="B72" s="1">
        <f>IFERROR(__xludf.DUMMYFUNCTION("""COMPUTED_VALUE"""),2403.061409)</f>
        <v>2403.061409</v>
      </c>
    </row>
    <row r="73">
      <c r="A73" s="3">
        <f>IFERROR(__xludf.DUMMYFUNCTION("""COMPUTED_VALUE"""),40281.99861111111)</f>
        <v>40281.99861</v>
      </c>
      <c r="B73" s="1">
        <f>IFERROR(__xludf.DUMMYFUNCTION("""COMPUTED_VALUE"""),2402.533273)</f>
        <v>2402.533273</v>
      </c>
    </row>
    <row r="74">
      <c r="A74" s="3">
        <f>IFERROR(__xludf.DUMMYFUNCTION("""COMPUTED_VALUE"""),40282.99861111111)</f>
        <v>40282.99861</v>
      </c>
      <c r="B74" s="1">
        <f>IFERROR(__xludf.DUMMYFUNCTION("""COMPUTED_VALUE"""),2403.168082)</f>
        <v>2403.168082</v>
      </c>
    </row>
    <row r="75">
      <c r="A75" s="3">
        <f>IFERROR(__xludf.DUMMYFUNCTION("""COMPUTED_VALUE"""),40283.99861111111)</f>
        <v>40283.99861</v>
      </c>
      <c r="B75" s="1">
        <f>IFERROR(__xludf.DUMMYFUNCTION("""COMPUTED_VALUE"""),2400.549354)</f>
        <v>2400.549354</v>
      </c>
    </row>
    <row r="76">
      <c r="A76" s="3">
        <f>IFERROR(__xludf.DUMMYFUNCTION("""COMPUTED_VALUE"""),40284.99861111111)</f>
        <v>40284.99861</v>
      </c>
      <c r="B76" s="1">
        <f>IFERROR(__xludf.DUMMYFUNCTION("""COMPUTED_VALUE"""),2401.818796)</f>
        <v>2401.818796</v>
      </c>
    </row>
    <row r="77">
      <c r="A77" s="3">
        <f>IFERROR(__xludf.DUMMYFUNCTION("""COMPUTED_VALUE"""),40287.99861111111)</f>
        <v>40287.99861</v>
      </c>
      <c r="B77" s="1">
        <f>IFERROR(__xludf.DUMMYFUNCTION("""COMPUTED_VALUE"""),2404.565683)</f>
        <v>2404.565683</v>
      </c>
    </row>
    <row r="78">
      <c r="A78" s="3">
        <f>IFERROR(__xludf.DUMMYFUNCTION("""COMPUTED_VALUE"""),40288.99861111111)</f>
        <v>40288.99861</v>
      </c>
      <c r="B78" s="1">
        <f>IFERROR(__xludf.DUMMYFUNCTION("""COMPUTED_VALUE"""),2405.003162)</f>
        <v>2405.003162</v>
      </c>
    </row>
    <row r="79">
      <c r="A79" s="3">
        <f>IFERROR(__xludf.DUMMYFUNCTION("""COMPUTED_VALUE"""),40289.99861111111)</f>
        <v>40289.99861</v>
      </c>
      <c r="B79" s="1">
        <f>IFERROR(__xludf.DUMMYFUNCTION("""COMPUTED_VALUE"""),2406.40583)</f>
        <v>2406.40583</v>
      </c>
    </row>
    <row r="80">
      <c r="A80" s="3">
        <f>IFERROR(__xludf.DUMMYFUNCTION("""COMPUTED_VALUE"""),40290.99861111111)</f>
        <v>40290.99861</v>
      </c>
      <c r="B80" s="1">
        <f>IFERROR(__xludf.DUMMYFUNCTION("""COMPUTED_VALUE"""),2428.007558)</f>
        <v>2428.007558</v>
      </c>
    </row>
    <row r="81">
      <c r="A81" s="3">
        <f>IFERROR(__xludf.DUMMYFUNCTION("""COMPUTED_VALUE"""),40291.99861111111)</f>
        <v>40291.99861</v>
      </c>
      <c r="B81" s="1">
        <f>IFERROR(__xludf.DUMMYFUNCTION("""COMPUTED_VALUE"""),2401.258752)</f>
        <v>2401.258752</v>
      </c>
    </row>
    <row r="82">
      <c r="A82" s="3">
        <f>IFERROR(__xludf.DUMMYFUNCTION("""COMPUTED_VALUE"""),40294.99861111111)</f>
        <v>40294.99861</v>
      </c>
      <c r="B82" s="1">
        <f>IFERROR(__xludf.DUMMYFUNCTION("""COMPUTED_VALUE"""),2390.094906)</f>
        <v>2390.094906</v>
      </c>
    </row>
    <row r="83">
      <c r="A83" s="3">
        <f>IFERROR(__xludf.DUMMYFUNCTION("""COMPUTED_VALUE"""),40295.99861111111)</f>
        <v>40295.99861</v>
      </c>
      <c r="B83" s="1">
        <f>IFERROR(__xludf.DUMMYFUNCTION("""COMPUTED_VALUE"""),2425.755952)</f>
        <v>2425.755952</v>
      </c>
    </row>
    <row r="84">
      <c r="A84" s="3">
        <f>IFERROR(__xludf.DUMMYFUNCTION("""COMPUTED_VALUE"""),40296.99861111111)</f>
        <v>40296.99861</v>
      </c>
      <c r="B84" s="1">
        <f>IFERROR(__xludf.DUMMYFUNCTION("""COMPUTED_VALUE"""),2405.973273)</f>
        <v>2405.973273</v>
      </c>
    </row>
    <row r="85">
      <c r="A85" s="3">
        <f>IFERROR(__xludf.DUMMYFUNCTION("""COMPUTED_VALUE"""),40297.99861111111)</f>
        <v>40297.99861</v>
      </c>
      <c r="B85" s="1">
        <f>IFERROR(__xludf.DUMMYFUNCTION("""COMPUTED_VALUE"""),2400.85872)</f>
        <v>2400.85872</v>
      </c>
    </row>
    <row r="86">
      <c r="A86" s="3">
        <f>IFERROR(__xludf.DUMMYFUNCTION("""COMPUTED_VALUE"""),40298.99861111111)</f>
        <v>40298.99861</v>
      </c>
      <c r="B86" s="1">
        <f>IFERROR(__xludf.DUMMYFUNCTION("""COMPUTED_VALUE"""),2407.653273)</f>
        <v>2407.653273</v>
      </c>
    </row>
    <row r="87">
      <c r="A87" s="3">
        <f>IFERROR(__xludf.DUMMYFUNCTION("""COMPUTED_VALUE"""),40301.99861111111)</f>
        <v>40301.99861</v>
      </c>
      <c r="B87" s="1">
        <f>IFERROR(__xludf.DUMMYFUNCTION("""COMPUTED_VALUE"""),2405.754886)</f>
        <v>2405.754886</v>
      </c>
    </row>
    <row r="88">
      <c r="A88" s="3">
        <f>IFERROR(__xludf.DUMMYFUNCTION("""COMPUTED_VALUE"""),40302.99861111111)</f>
        <v>40302.99861</v>
      </c>
      <c r="B88" s="1">
        <f>IFERROR(__xludf.DUMMYFUNCTION("""COMPUTED_VALUE"""),2418.586606)</f>
        <v>2418.586606</v>
      </c>
    </row>
    <row r="89">
      <c r="A89" s="3">
        <f>IFERROR(__xludf.DUMMYFUNCTION("""COMPUTED_VALUE"""),40303.99861111111)</f>
        <v>40303.99861</v>
      </c>
      <c r="B89" s="1">
        <f>IFERROR(__xludf.DUMMYFUNCTION("""COMPUTED_VALUE"""),2431.066605)</f>
        <v>2431.066605</v>
      </c>
    </row>
    <row r="90">
      <c r="A90" s="3">
        <f>IFERROR(__xludf.DUMMYFUNCTION("""COMPUTED_VALUE"""),40304.99861111111)</f>
        <v>40304.99861</v>
      </c>
      <c r="B90" s="1">
        <f>IFERROR(__xludf.DUMMYFUNCTION("""COMPUTED_VALUE"""),2473.170433)</f>
        <v>2473.170433</v>
      </c>
    </row>
    <row r="91">
      <c r="A91" s="3">
        <f>IFERROR(__xludf.DUMMYFUNCTION("""COMPUTED_VALUE"""),40305.99861111111)</f>
        <v>40305.99861</v>
      </c>
      <c r="B91" s="1">
        <f>IFERROR(__xludf.DUMMYFUNCTION("""COMPUTED_VALUE"""),2458.943366)</f>
        <v>2458.943366</v>
      </c>
    </row>
    <row r="92">
      <c r="A92" s="3">
        <f>IFERROR(__xludf.DUMMYFUNCTION("""COMPUTED_VALUE"""),40308.99861111111)</f>
        <v>40308.99861</v>
      </c>
      <c r="B92" s="1">
        <f>IFERROR(__xludf.DUMMYFUNCTION("""COMPUTED_VALUE"""),2454.317474)</f>
        <v>2454.317474</v>
      </c>
    </row>
    <row r="93">
      <c r="A93" s="3">
        <f>IFERROR(__xludf.DUMMYFUNCTION("""COMPUTED_VALUE"""),40309.99861111111)</f>
        <v>40309.99861</v>
      </c>
      <c r="B93" s="1">
        <f>IFERROR(__xludf.DUMMYFUNCTION("""COMPUTED_VALUE"""),2449.91724)</f>
        <v>2449.91724</v>
      </c>
    </row>
    <row r="94">
      <c r="A94" s="3">
        <f>IFERROR(__xludf.DUMMYFUNCTION("""COMPUTED_VALUE"""),40310.99861111111)</f>
        <v>40310.99861</v>
      </c>
      <c r="B94" s="1">
        <f>IFERROR(__xludf.DUMMYFUNCTION("""COMPUTED_VALUE"""),2447.863797)</f>
        <v>2447.863797</v>
      </c>
    </row>
    <row r="95">
      <c r="A95" s="3">
        <f>IFERROR(__xludf.DUMMYFUNCTION("""COMPUTED_VALUE"""),40311.99861111111)</f>
        <v>40311.99861</v>
      </c>
      <c r="B95" s="1">
        <f>IFERROR(__xludf.DUMMYFUNCTION("""COMPUTED_VALUE"""),2427.523818)</f>
        <v>2427.523818</v>
      </c>
    </row>
    <row r="96">
      <c r="A96" s="3">
        <f>IFERROR(__xludf.DUMMYFUNCTION("""COMPUTED_VALUE"""),40312.99861111111)</f>
        <v>40312.99861</v>
      </c>
      <c r="B96" s="1">
        <f>IFERROR(__xludf.DUMMYFUNCTION("""COMPUTED_VALUE"""),2427.980889)</f>
        <v>2427.980889</v>
      </c>
    </row>
    <row r="97">
      <c r="A97" s="3">
        <f>IFERROR(__xludf.DUMMYFUNCTION("""COMPUTED_VALUE"""),40315.99861111111)</f>
        <v>40315.99861</v>
      </c>
      <c r="B97" s="1">
        <f>IFERROR(__xludf.DUMMYFUNCTION("""COMPUTED_VALUE"""),2421.142373)</f>
        <v>2421.142373</v>
      </c>
    </row>
    <row r="98">
      <c r="A98" s="3">
        <f>IFERROR(__xludf.DUMMYFUNCTION("""COMPUTED_VALUE"""),40316.99861111111)</f>
        <v>40316.99861</v>
      </c>
      <c r="B98" s="1">
        <f>IFERROR(__xludf.DUMMYFUNCTION("""COMPUTED_VALUE"""),2475.731949)</f>
        <v>2475.731949</v>
      </c>
    </row>
    <row r="99">
      <c r="A99" s="3">
        <f>IFERROR(__xludf.DUMMYFUNCTION("""COMPUTED_VALUE"""),40317.99861111111)</f>
        <v>40317.99861</v>
      </c>
      <c r="B99" s="1">
        <f>IFERROR(__xludf.DUMMYFUNCTION("""COMPUTED_VALUE"""),2433.234643)</f>
        <v>2433.234643</v>
      </c>
    </row>
    <row r="100">
      <c r="A100" s="3">
        <f>IFERROR(__xludf.DUMMYFUNCTION("""COMPUTED_VALUE"""),40318.99861111111)</f>
        <v>40318.99861</v>
      </c>
      <c r="B100" s="1">
        <f>IFERROR(__xludf.DUMMYFUNCTION("""COMPUTED_VALUE"""),2432.422974)</f>
        <v>2432.422974</v>
      </c>
    </row>
    <row r="101">
      <c r="A101" s="3">
        <f>IFERROR(__xludf.DUMMYFUNCTION("""COMPUTED_VALUE"""),40319.99861111111)</f>
        <v>40319.99861</v>
      </c>
      <c r="B101" s="1">
        <f>IFERROR(__xludf.DUMMYFUNCTION("""COMPUTED_VALUE"""),2469.954356)</f>
        <v>2469.954356</v>
      </c>
    </row>
    <row r="102">
      <c r="A102" s="3">
        <f>IFERROR(__xludf.DUMMYFUNCTION("""COMPUTED_VALUE"""),40322.99861111111)</f>
        <v>40322.99861</v>
      </c>
      <c r="B102" s="1">
        <f>IFERROR(__xludf.DUMMYFUNCTION("""COMPUTED_VALUE"""),2475.4386)</f>
        <v>2475.4386</v>
      </c>
    </row>
    <row r="103">
      <c r="A103" s="3">
        <f>IFERROR(__xludf.DUMMYFUNCTION("""COMPUTED_VALUE"""),40323.99861111111)</f>
        <v>40323.99861</v>
      </c>
      <c r="B103" s="1">
        <f>IFERROR(__xludf.DUMMYFUNCTION("""COMPUTED_VALUE"""),2475.970731)</f>
        <v>2475.970731</v>
      </c>
    </row>
    <row r="104">
      <c r="A104" s="3">
        <f>IFERROR(__xludf.DUMMYFUNCTION("""COMPUTED_VALUE"""),40324.99861111111)</f>
        <v>40324.99861</v>
      </c>
      <c r="B104" s="1">
        <f>IFERROR(__xludf.DUMMYFUNCTION("""COMPUTED_VALUE"""),2500.520025)</f>
        <v>2500.520025</v>
      </c>
    </row>
    <row r="105">
      <c r="A105" s="3">
        <f>IFERROR(__xludf.DUMMYFUNCTION("""COMPUTED_VALUE"""),40325.99861111111)</f>
        <v>40325.99861</v>
      </c>
      <c r="B105" s="1">
        <f>IFERROR(__xludf.DUMMYFUNCTION("""COMPUTED_VALUE"""),2457.333271)</f>
        <v>2457.333271</v>
      </c>
    </row>
    <row r="106">
      <c r="A106" s="3">
        <f>IFERROR(__xludf.DUMMYFUNCTION("""COMPUTED_VALUE"""),40326.99861111111)</f>
        <v>40326.99861</v>
      </c>
      <c r="B106" s="1">
        <f>IFERROR(__xludf.DUMMYFUNCTION("""COMPUTED_VALUE"""),2478.760512)</f>
        <v>2478.760512</v>
      </c>
    </row>
    <row r="107">
      <c r="A107" s="3">
        <f>IFERROR(__xludf.DUMMYFUNCTION("""COMPUTED_VALUE"""),40329.99861111111)</f>
        <v>40329.99861</v>
      </c>
      <c r="B107" s="1">
        <f>IFERROR(__xludf.DUMMYFUNCTION("""COMPUTED_VALUE"""),2476.091404)</f>
        <v>2476.091404</v>
      </c>
    </row>
    <row r="108">
      <c r="A108" s="3">
        <f>IFERROR(__xludf.DUMMYFUNCTION("""COMPUTED_VALUE"""),40330.99861111111)</f>
        <v>40330.99861</v>
      </c>
      <c r="B108" s="1">
        <f>IFERROR(__xludf.DUMMYFUNCTION("""COMPUTED_VALUE"""),2465.557228)</f>
        <v>2465.557228</v>
      </c>
    </row>
    <row r="109">
      <c r="A109" s="3">
        <f>IFERROR(__xludf.DUMMYFUNCTION("""COMPUTED_VALUE"""),40331.99861111111)</f>
        <v>40331.99861</v>
      </c>
      <c r="B109" s="1">
        <f>IFERROR(__xludf.DUMMYFUNCTION("""COMPUTED_VALUE"""),2464.691361)</f>
        <v>2464.691361</v>
      </c>
    </row>
    <row r="110">
      <c r="A110" s="3">
        <f>IFERROR(__xludf.DUMMYFUNCTION("""COMPUTED_VALUE"""),40332.99861111111)</f>
        <v>40332.99861</v>
      </c>
      <c r="B110" s="1">
        <f>IFERROR(__xludf.DUMMYFUNCTION("""COMPUTED_VALUE"""),2463.464629)</f>
        <v>2463.464629</v>
      </c>
    </row>
    <row r="111">
      <c r="A111" s="3">
        <f>IFERROR(__xludf.DUMMYFUNCTION("""COMPUTED_VALUE"""),40333.99861111111)</f>
        <v>40333.99861</v>
      </c>
      <c r="B111" s="1">
        <f>IFERROR(__xludf.DUMMYFUNCTION("""COMPUTED_VALUE"""),2475.84879)</f>
        <v>2475.84879</v>
      </c>
    </row>
    <row r="112">
      <c r="A112" s="3">
        <f>IFERROR(__xludf.DUMMYFUNCTION("""COMPUTED_VALUE"""),40336.99861111111)</f>
        <v>40336.99861</v>
      </c>
      <c r="B112" s="1">
        <f>IFERROR(__xludf.DUMMYFUNCTION("""COMPUTED_VALUE"""),2485.290552)</f>
        <v>2485.290552</v>
      </c>
    </row>
    <row r="113">
      <c r="A113" s="3">
        <f>IFERROR(__xludf.DUMMYFUNCTION("""COMPUTED_VALUE"""),40337.99861111111)</f>
        <v>40337.99861</v>
      </c>
      <c r="B113" s="1">
        <f>IFERROR(__xludf.DUMMYFUNCTION("""COMPUTED_VALUE"""),2459.704428)</f>
        <v>2459.704428</v>
      </c>
    </row>
    <row r="114">
      <c r="A114" s="3">
        <f>IFERROR(__xludf.DUMMYFUNCTION("""COMPUTED_VALUE"""),40338.99861111111)</f>
        <v>40338.99861</v>
      </c>
      <c r="B114" s="1">
        <f>IFERROR(__xludf.DUMMYFUNCTION("""COMPUTED_VALUE"""),2475.118583)</f>
        <v>2475.118583</v>
      </c>
    </row>
    <row r="115">
      <c r="A115" s="3">
        <f>IFERROR(__xludf.DUMMYFUNCTION("""COMPUTED_VALUE"""),40339.99861111111)</f>
        <v>40339.99861</v>
      </c>
      <c r="B115" s="1">
        <f>IFERROR(__xludf.DUMMYFUNCTION("""COMPUTED_VALUE"""),2451.704002)</f>
        <v>2451.704002</v>
      </c>
    </row>
    <row r="116">
      <c r="A116" s="3">
        <f>IFERROR(__xludf.DUMMYFUNCTION("""COMPUTED_VALUE"""),40340.99861111111)</f>
        <v>40340.99861</v>
      </c>
      <c r="B116" s="1">
        <f>IFERROR(__xludf.DUMMYFUNCTION("""COMPUTED_VALUE"""),2452.62286)</f>
        <v>2452.62286</v>
      </c>
    </row>
    <row r="117">
      <c r="A117" s="3">
        <f>IFERROR(__xludf.DUMMYFUNCTION("""COMPUTED_VALUE"""),40343.99861111111)</f>
        <v>40343.99861</v>
      </c>
      <c r="B117" s="1">
        <f>IFERROR(__xludf.DUMMYFUNCTION("""COMPUTED_VALUE"""),2454.785387)</f>
        <v>2454.785387</v>
      </c>
    </row>
    <row r="118">
      <c r="A118" s="3">
        <f>IFERROR(__xludf.DUMMYFUNCTION("""COMPUTED_VALUE"""),40344.99861111111)</f>
        <v>40344.99861</v>
      </c>
      <c r="B118" s="1">
        <f>IFERROR(__xludf.DUMMYFUNCTION("""COMPUTED_VALUE"""),2437.795008)</f>
        <v>2437.795008</v>
      </c>
    </row>
    <row r="119">
      <c r="A119" s="3">
        <f>IFERROR(__xludf.DUMMYFUNCTION("""COMPUTED_VALUE"""),40345.99861111111)</f>
        <v>40345.99861</v>
      </c>
      <c r="B119" s="1">
        <f>IFERROR(__xludf.DUMMYFUNCTION("""COMPUTED_VALUE"""),2443.74215)</f>
        <v>2443.74215</v>
      </c>
    </row>
    <row r="120">
      <c r="A120" s="3">
        <f>IFERROR(__xludf.DUMMYFUNCTION("""COMPUTED_VALUE"""),40346.99861111111)</f>
        <v>40346.99861</v>
      </c>
      <c r="B120" s="1">
        <f>IFERROR(__xludf.DUMMYFUNCTION("""COMPUTED_VALUE"""),2437.911587)</f>
        <v>2437.911587</v>
      </c>
    </row>
    <row r="121">
      <c r="A121" s="3">
        <f>IFERROR(__xludf.DUMMYFUNCTION("""COMPUTED_VALUE"""),40347.99861111111)</f>
        <v>40347.99861</v>
      </c>
      <c r="B121" s="1">
        <f>IFERROR(__xludf.DUMMYFUNCTION("""COMPUTED_VALUE"""),2418.873111)</f>
        <v>2418.873111</v>
      </c>
    </row>
    <row r="122">
      <c r="A122" s="3">
        <f>IFERROR(__xludf.DUMMYFUNCTION("""COMPUTED_VALUE"""),40350.99861111111)</f>
        <v>40350.99861</v>
      </c>
      <c r="B122" s="1">
        <f>IFERROR(__xludf.DUMMYFUNCTION("""COMPUTED_VALUE"""),2399.631955)</f>
        <v>2399.631955</v>
      </c>
    </row>
    <row r="123">
      <c r="A123" s="3">
        <f>IFERROR(__xludf.DUMMYFUNCTION("""COMPUTED_VALUE"""),40351.99861111111)</f>
        <v>40351.99861</v>
      </c>
      <c r="B123" s="1">
        <f>IFERROR(__xludf.DUMMYFUNCTION("""COMPUTED_VALUE"""),2403.199939)</f>
        <v>2403.199939</v>
      </c>
    </row>
    <row r="124">
      <c r="A124" s="3">
        <f>IFERROR(__xludf.DUMMYFUNCTION("""COMPUTED_VALUE"""),40352.99861111111)</f>
        <v>40352.99861</v>
      </c>
      <c r="B124" s="1">
        <f>IFERROR(__xludf.DUMMYFUNCTION("""COMPUTED_VALUE"""),2394.660961)</f>
        <v>2394.660961</v>
      </c>
    </row>
    <row r="125">
      <c r="A125" s="3">
        <f>IFERROR(__xludf.DUMMYFUNCTION("""COMPUTED_VALUE"""),40353.99861111111)</f>
        <v>40353.99861</v>
      </c>
      <c r="B125" s="1">
        <f>IFERROR(__xludf.DUMMYFUNCTION("""COMPUTED_VALUE"""),2438.535553)</f>
        <v>2438.535553</v>
      </c>
    </row>
    <row r="126">
      <c r="A126" s="3">
        <f>IFERROR(__xludf.DUMMYFUNCTION("""COMPUTED_VALUE"""),40354.99861111111)</f>
        <v>40354.99861</v>
      </c>
      <c r="B126" s="1">
        <f>IFERROR(__xludf.DUMMYFUNCTION("""COMPUTED_VALUE"""),2417.686732)</f>
        <v>2417.686732</v>
      </c>
    </row>
    <row r="127">
      <c r="A127" s="3">
        <f>IFERROR(__xludf.DUMMYFUNCTION("""COMPUTED_VALUE"""),40357.99861111111)</f>
        <v>40357.99861</v>
      </c>
      <c r="B127" s="1">
        <f>IFERROR(__xludf.DUMMYFUNCTION("""COMPUTED_VALUE"""),2415.824349)</f>
        <v>2415.824349</v>
      </c>
    </row>
    <row r="128">
      <c r="A128" s="3">
        <f>IFERROR(__xludf.DUMMYFUNCTION("""COMPUTED_VALUE"""),40358.99861111111)</f>
        <v>40358.99861</v>
      </c>
      <c r="B128" s="1">
        <f>IFERROR(__xludf.DUMMYFUNCTION("""COMPUTED_VALUE"""),2420.559939)</f>
        <v>2420.559939</v>
      </c>
    </row>
    <row r="129">
      <c r="A129" s="3">
        <f>IFERROR(__xludf.DUMMYFUNCTION("""COMPUTED_VALUE"""),40359.99861111111)</f>
        <v>40359.99861</v>
      </c>
      <c r="B129" s="1">
        <f>IFERROR(__xludf.DUMMYFUNCTION("""COMPUTED_VALUE"""),2412.010914)</f>
        <v>2412.010914</v>
      </c>
    </row>
    <row r="130">
      <c r="A130" s="3">
        <f>IFERROR(__xludf.DUMMYFUNCTION("""COMPUTED_VALUE"""),40360.99861111111)</f>
        <v>40360.99861</v>
      </c>
      <c r="B130" s="1">
        <f>IFERROR(__xludf.DUMMYFUNCTION("""COMPUTED_VALUE"""),2409.712761)</f>
        <v>2409.712761</v>
      </c>
    </row>
    <row r="131">
      <c r="A131" s="3">
        <f>IFERROR(__xludf.DUMMYFUNCTION("""COMPUTED_VALUE"""),40361.99861111111)</f>
        <v>40361.99861</v>
      </c>
      <c r="B131" s="1">
        <f>IFERROR(__xludf.DUMMYFUNCTION("""COMPUTED_VALUE"""),2416.719939)</f>
        <v>2416.719939</v>
      </c>
    </row>
    <row r="132">
      <c r="A132" s="3">
        <f>IFERROR(__xludf.DUMMYFUNCTION("""COMPUTED_VALUE"""),40364.99861111111)</f>
        <v>40364.99861</v>
      </c>
      <c r="B132" s="1">
        <f>IFERROR(__xludf.DUMMYFUNCTION("""COMPUTED_VALUE"""),2423.210214)</f>
        <v>2423.210214</v>
      </c>
    </row>
    <row r="133">
      <c r="A133" s="3">
        <f>IFERROR(__xludf.DUMMYFUNCTION("""COMPUTED_VALUE"""),40365.99861111111)</f>
        <v>40365.99861</v>
      </c>
      <c r="B133" s="1">
        <f>IFERROR(__xludf.DUMMYFUNCTION("""COMPUTED_VALUE"""),2406.806716)</f>
        <v>2406.806716</v>
      </c>
    </row>
    <row r="134">
      <c r="A134" s="3">
        <f>IFERROR(__xludf.DUMMYFUNCTION("""COMPUTED_VALUE"""),40366.99861111111)</f>
        <v>40366.99861</v>
      </c>
      <c r="B134" s="1">
        <f>IFERROR(__xludf.DUMMYFUNCTION("""COMPUTED_VALUE"""),2415.951102)</f>
        <v>2415.951102</v>
      </c>
    </row>
    <row r="135">
      <c r="A135" s="3">
        <f>IFERROR(__xludf.DUMMYFUNCTION("""COMPUTED_VALUE"""),40367.99861111111)</f>
        <v>40367.99861</v>
      </c>
      <c r="B135" s="1">
        <f>IFERROR(__xludf.DUMMYFUNCTION("""COMPUTED_VALUE"""),2411.908963)</f>
        <v>2411.908963</v>
      </c>
    </row>
    <row r="136">
      <c r="A136" s="3">
        <f>IFERROR(__xludf.DUMMYFUNCTION("""COMPUTED_VALUE"""),40368.99861111111)</f>
        <v>40368.99861</v>
      </c>
      <c r="B136" s="1">
        <f>IFERROR(__xludf.DUMMYFUNCTION("""COMPUTED_VALUE"""),2409.54308)</f>
        <v>2409.54308</v>
      </c>
    </row>
    <row r="137">
      <c r="A137" s="3">
        <f>IFERROR(__xludf.DUMMYFUNCTION("""COMPUTED_VALUE"""),40371.99861111111)</f>
        <v>40371.99861</v>
      </c>
      <c r="B137" s="1">
        <f>IFERROR(__xludf.DUMMYFUNCTION("""COMPUTED_VALUE"""),2419.420204)</f>
        <v>2419.420204</v>
      </c>
    </row>
    <row r="138">
      <c r="A138" s="3">
        <f>IFERROR(__xludf.DUMMYFUNCTION("""COMPUTED_VALUE"""),40372.99861111111)</f>
        <v>40372.99861</v>
      </c>
      <c r="B138" s="1">
        <f>IFERROR(__xludf.DUMMYFUNCTION("""COMPUTED_VALUE"""),2394.617449)</f>
        <v>2394.617449</v>
      </c>
    </row>
    <row r="139">
      <c r="A139" s="3">
        <f>IFERROR(__xludf.DUMMYFUNCTION("""COMPUTED_VALUE"""),40373.99861111111)</f>
        <v>40373.99861</v>
      </c>
      <c r="B139" s="1">
        <f>IFERROR(__xludf.DUMMYFUNCTION("""COMPUTED_VALUE"""),2404.756778)</f>
        <v>2404.756778</v>
      </c>
    </row>
    <row r="140">
      <c r="A140" s="3">
        <f>IFERROR(__xludf.DUMMYFUNCTION("""COMPUTED_VALUE"""),40374.99861111111)</f>
        <v>40374.99861</v>
      </c>
      <c r="B140" s="1">
        <f>IFERROR(__xludf.DUMMYFUNCTION("""COMPUTED_VALUE"""),2410.037528)</f>
        <v>2410.037528</v>
      </c>
    </row>
    <row r="141">
      <c r="A141" s="3">
        <f>IFERROR(__xludf.DUMMYFUNCTION("""COMPUTED_VALUE"""),40375.99861111111)</f>
        <v>40375.99861</v>
      </c>
      <c r="B141" s="1">
        <f>IFERROR(__xludf.DUMMYFUNCTION("""COMPUTED_VALUE"""),2409.130838)</f>
        <v>2409.130838</v>
      </c>
    </row>
    <row r="142">
      <c r="A142" s="3">
        <f>IFERROR(__xludf.DUMMYFUNCTION("""COMPUTED_VALUE"""),40378.99861111111)</f>
        <v>40378.99861</v>
      </c>
      <c r="B142" s="1">
        <f>IFERROR(__xludf.DUMMYFUNCTION("""COMPUTED_VALUE"""),2421.329049)</f>
        <v>2421.329049</v>
      </c>
    </row>
    <row r="143">
      <c r="A143" s="3">
        <f>IFERROR(__xludf.DUMMYFUNCTION("""COMPUTED_VALUE"""),40379.99861111111)</f>
        <v>40379.99861</v>
      </c>
      <c r="B143" s="1">
        <f>IFERROR(__xludf.DUMMYFUNCTION("""COMPUTED_VALUE"""),2410.246137)</f>
        <v>2410.246137</v>
      </c>
    </row>
    <row r="144">
      <c r="A144" s="3">
        <f>IFERROR(__xludf.DUMMYFUNCTION("""COMPUTED_VALUE"""),40380.99861111111)</f>
        <v>40380.99861</v>
      </c>
      <c r="B144" s="1">
        <f>IFERROR(__xludf.DUMMYFUNCTION("""COMPUTED_VALUE"""),2424.159939)</f>
        <v>2424.159939</v>
      </c>
    </row>
    <row r="145">
      <c r="A145" s="3">
        <f>IFERROR(__xludf.DUMMYFUNCTION("""COMPUTED_VALUE"""),40381.99861111111)</f>
        <v>40381.99861</v>
      </c>
      <c r="B145" s="1">
        <f>IFERROR(__xludf.DUMMYFUNCTION("""COMPUTED_VALUE"""),2398.927856)</f>
        <v>2398.927856</v>
      </c>
    </row>
    <row r="146">
      <c r="A146" s="3">
        <f>IFERROR(__xludf.DUMMYFUNCTION("""COMPUTED_VALUE"""),40382.99861111111)</f>
        <v>40382.99861</v>
      </c>
      <c r="B146" s="1">
        <f>IFERROR(__xludf.DUMMYFUNCTION("""COMPUTED_VALUE"""),2394.06377)</f>
        <v>2394.06377</v>
      </c>
    </row>
    <row r="147">
      <c r="A147" s="3">
        <f>IFERROR(__xludf.DUMMYFUNCTION("""COMPUTED_VALUE"""),40385.99861111111)</f>
        <v>40385.99861</v>
      </c>
      <c r="B147" s="1">
        <f>IFERROR(__xludf.DUMMYFUNCTION("""COMPUTED_VALUE"""),2378.020075)</f>
        <v>2378.020075</v>
      </c>
    </row>
    <row r="148">
      <c r="A148" s="3">
        <f>IFERROR(__xludf.DUMMYFUNCTION("""COMPUTED_VALUE"""),40386.99861111111)</f>
        <v>40386.99861</v>
      </c>
      <c r="B148" s="1">
        <f>IFERROR(__xludf.DUMMYFUNCTION("""COMPUTED_VALUE"""),2379.427101)</f>
        <v>2379.427101</v>
      </c>
    </row>
    <row r="149">
      <c r="A149" s="3">
        <f>IFERROR(__xludf.DUMMYFUNCTION("""COMPUTED_VALUE"""),40387.99861111111)</f>
        <v>40387.99861</v>
      </c>
      <c r="B149" s="1">
        <f>IFERROR(__xludf.DUMMYFUNCTION("""COMPUTED_VALUE"""),2406.8592)</f>
        <v>2406.8592</v>
      </c>
    </row>
    <row r="150">
      <c r="A150" s="3">
        <f>IFERROR(__xludf.DUMMYFUNCTION("""COMPUTED_VALUE"""),40388.99861111111)</f>
        <v>40388.99861</v>
      </c>
      <c r="B150" s="1">
        <f>IFERROR(__xludf.DUMMYFUNCTION("""COMPUTED_VALUE"""),2392.351372)</f>
        <v>2392.351372</v>
      </c>
    </row>
    <row r="151">
      <c r="A151" s="3">
        <f>IFERROR(__xludf.DUMMYFUNCTION("""COMPUTED_VALUE"""),40389.99861111111)</f>
        <v>40389.99861</v>
      </c>
      <c r="B151" s="1">
        <f>IFERROR(__xludf.DUMMYFUNCTION("""COMPUTED_VALUE"""),2379.817036)</f>
        <v>2379.817036</v>
      </c>
    </row>
    <row r="152">
      <c r="A152" s="3">
        <f>IFERROR(__xludf.DUMMYFUNCTION("""COMPUTED_VALUE"""),40392.99861111111)</f>
        <v>40392.99861</v>
      </c>
      <c r="B152" s="1">
        <f>IFERROR(__xludf.DUMMYFUNCTION("""COMPUTED_VALUE"""),2355.397872)</f>
        <v>2355.397872</v>
      </c>
    </row>
    <row r="153">
      <c r="A153" s="3">
        <f>IFERROR(__xludf.DUMMYFUNCTION("""COMPUTED_VALUE"""),40393.99861111111)</f>
        <v>40393.99861</v>
      </c>
      <c r="B153" s="1">
        <f>IFERROR(__xludf.DUMMYFUNCTION("""COMPUTED_VALUE"""),2346.40103)</f>
        <v>2346.40103</v>
      </c>
    </row>
    <row r="154">
      <c r="A154" s="3">
        <f>IFERROR(__xludf.DUMMYFUNCTION("""COMPUTED_VALUE"""),40394.99861111111)</f>
        <v>40394.99861</v>
      </c>
      <c r="B154" s="1">
        <f>IFERROR(__xludf.DUMMYFUNCTION("""COMPUTED_VALUE"""),2384.79994)</f>
        <v>2384.79994</v>
      </c>
    </row>
    <row r="155">
      <c r="A155" s="3">
        <f>IFERROR(__xludf.DUMMYFUNCTION("""COMPUTED_VALUE"""),40395.99861111111)</f>
        <v>40395.99861</v>
      </c>
      <c r="B155" s="1">
        <f>IFERROR(__xludf.DUMMYFUNCTION("""COMPUTED_VALUE"""),2380.830451)</f>
        <v>2380.830451</v>
      </c>
    </row>
    <row r="156">
      <c r="A156" s="3">
        <f>IFERROR(__xludf.DUMMYFUNCTION("""COMPUTED_VALUE"""),40396.99861111111)</f>
        <v>40396.99861</v>
      </c>
      <c r="B156" s="1">
        <f>IFERROR(__xludf.DUMMYFUNCTION("""COMPUTED_VALUE"""),2364.18912)</f>
        <v>2364.18912</v>
      </c>
    </row>
    <row r="157">
      <c r="A157" s="3">
        <f>IFERROR(__xludf.DUMMYFUNCTION("""COMPUTED_VALUE"""),40399.99861111111)</f>
        <v>40399.99861</v>
      </c>
      <c r="B157" s="1">
        <f>IFERROR(__xludf.DUMMYFUNCTION("""COMPUTED_VALUE"""),2383.140347)</f>
        <v>2383.140347</v>
      </c>
    </row>
    <row r="158">
      <c r="A158" s="3">
        <f>IFERROR(__xludf.DUMMYFUNCTION("""COMPUTED_VALUE"""),40400.99861111111)</f>
        <v>40400.99861</v>
      </c>
      <c r="B158" s="1">
        <f>IFERROR(__xludf.DUMMYFUNCTION("""COMPUTED_VALUE"""),2368.536134)</f>
        <v>2368.536134</v>
      </c>
    </row>
    <row r="159">
      <c r="A159" s="3">
        <f>IFERROR(__xludf.DUMMYFUNCTION("""COMPUTED_VALUE"""),40401.99861111111)</f>
        <v>40401.99861</v>
      </c>
      <c r="B159" s="1">
        <f>IFERROR(__xludf.DUMMYFUNCTION("""COMPUTED_VALUE"""),2401.898803)</f>
        <v>2401.898803</v>
      </c>
    </row>
    <row r="160">
      <c r="A160" s="3">
        <f>IFERROR(__xludf.DUMMYFUNCTION("""COMPUTED_VALUE"""),40402.99861111111)</f>
        <v>40402.99861</v>
      </c>
      <c r="B160" s="1">
        <f>IFERROR(__xludf.DUMMYFUNCTION("""COMPUTED_VALUE"""),2407.07255)</f>
        <v>2407.07255</v>
      </c>
    </row>
    <row r="161">
      <c r="A161" s="3">
        <f>IFERROR(__xludf.DUMMYFUNCTION("""COMPUTED_VALUE"""),40403.99861111111)</f>
        <v>40403.99861</v>
      </c>
      <c r="B161" s="1">
        <f>IFERROR(__xludf.DUMMYFUNCTION("""COMPUTED_VALUE"""),2391.567463)</f>
        <v>2391.567463</v>
      </c>
    </row>
    <row r="162">
      <c r="A162" s="3">
        <f>IFERROR(__xludf.DUMMYFUNCTION("""COMPUTED_VALUE"""),40406.99861111111)</f>
        <v>40406.99861</v>
      </c>
      <c r="B162" s="1">
        <f>IFERROR(__xludf.DUMMYFUNCTION("""COMPUTED_VALUE"""),2379.843705)</f>
        <v>2379.843705</v>
      </c>
    </row>
    <row r="163">
      <c r="A163" s="3">
        <f>IFERROR(__xludf.DUMMYFUNCTION("""COMPUTED_VALUE"""),40407.99861111111)</f>
        <v>40407.99861</v>
      </c>
      <c r="B163" s="1">
        <f>IFERROR(__xludf.DUMMYFUNCTION("""COMPUTED_VALUE"""),2367.510148)</f>
        <v>2367.510148</v>
      </c>
    </row>
    <row r="164">
      <c r="A164" s="3">
        <f>IFERROR(__xludf.DUMMYFUNCTION("""COMPUTED_VALUE"""),40408.99861111111)</f>
        <v>40408.99861</v>
      </c>
      <c r="B164" s="1">
        <f>IFERROR(__xludf.DUMMYFUNCTION("""COMPUTED_VALUE"""),2372.766461)</f>
        <v>2372.766461</v>
      </c>
    </row>
    <row r="165">
      <c r="A165" s="3">
        <f>IFERROR(__xludf.DUMMYFUNCTION("""COMPUTED_VALUE"""),40409.99861111111)</f>
        <v>40409.99861</v>
      </c>
      <c r="B165" s="1">
        <f>IFERROR(__xludf.DUMMYFUNCTION("""COMPUTED_VALUE"""),2381.023422)</f>
        <v>2381.023422</v>
      </c>
    </row>
    <row r="166">
      <c r="A166" s="3">
        <f>IFERROR(__xludf.DUMMYFUNCTION("""COMPUTED_VALUE"""),40410.99861111111)</f>
        <v>40410.99861</v>
      </c>
      <c r="B166" s="1">
        <f>IFERROR(__xludf.DUMMYFUNCTION("""COMPUTED_VALUE"""),2399.802608)</f>
        <v>2399.802608</v>
      </c>
    </row>
    <row r="167">
      <c r="A167" s="3">
        <f>IFERROR(__xludf.DUMMYFUNCTION("""COMPUTED_VALUE"""),40413.99861111111)</f>
        <v>40413.99861</v>
      </c>
      <c r="B167" s="1">
        <f>IFERROR(__xludf.DUMMYFUNCTION("""COMPUTED_VALUE"""),2353.987396)</f>
        <v>2353.987396</v>
      </c>
    </row>
    <row r="168">
      <c r="A168" s="3">
        <f>IFERROR(__xludf.DUMMYFUNCTION("""COMPUTED_VALUE"""),40414.99861111111)</f>
        <v>40414.99861</v>
      </c>
      <c r="B168" s="1">
        <f>IFERROR(__xludf.DUMMYFUNCTION("""COMPUTED_VALUE"""),2394.305844)</f>
        <v>2394.305844</v>
      </c>
    </row>
    <row r="169">
      <c r="A169" s="3">
        <f>IFERROR(__xludf.DUMMYFUNCTION("""COMPUTED_VALUE"""),40415.99861111111)</f>
        <v>40415.99861</v>
      </c>
      <c r="B169" s="1">
        <f>IFERROR(__xludf.DUMMYFUNCTION("""COMPUTED_VALUE"""),2367.52973)</f>
        <v>2367.52973</v>
      </c>
    </row>
    <row r="170">
      <c r="A170" s="3">
        <f>IFERROR(__xludf.DUMMYFUNCTION("""COMPUTED_VALUE"""),40416.99861111111)</f>
        <v>40416.99861</v>
      </c>
      <c r="B170" s="1">
        <f>IFERROR(__xludf.DUMMYFUNCTION("""COMPUTED_VALUE"""),2396.781074)</f>
        <v>2396.781074</v>
      </c>
    </row>
    <row r="171">
      <c r="A171" s="3">
        <f>IFERROR(__xludf.DUMMYFUNCTION("""COMPUTED_VALUE"""),40417.99861111111)</f>
        <v>40417.99861</v>
      </c>
      <c r="B171" s="1">
        <f>IFERROR(__xludf.DUMMYFUNCTION("""COMPUTED_VALUE"""),2404.178985)</f>
        <v>2404.178985</v>
      </c>
    </row>
    <row r="172">
      <c r="A172" s="3">
        <f>IFERROR(__xludf.DUMMYFUNCTION("""COMPUTED_VALUE"""),40420.99861111111)</f>
        <v>40420.99861</v>
      </c>
      <c r="B172" s="1">
        <f>IFERROR(__xludf.DUMMYFUNCTION("""COMPUTED_VALUE"""),2378.323584)</f>
        <v>2378.323584</v>
      </c>
    </row>
    <row r="173">
      <c r="A173" s="3">
        <f>IFERROR(__xludf.DUMMYFUNCTION("""COMPUTED_VALUE"""),40421.99861111111)</f>
        <v>40421.99861</v>
      </c>
      <c r="B173" s="1">
        <f>IFERROR(__xludf.DUMMYFUNCTION("""COMPUTED_VALUE"""),2403.978969)</f>
        <v>2403.978969</v>
      </c>
    </row>
    <row r="174">
      <c r="A174" s="3">
        <f>IFERROR(__xludf.DUMMYFUNCTION("""COMPUTED_VALUE"""),40422.99861111111)</f>
        <v>40422.99861</v>
      </c>
      <c r="B174" s="1">
        <f>IFERROR(__xludf.DUMMYFUNCTION("""COMPUTED_VALUE"""),2402.005478)</f>
        <v>2402.005478</v>
      </c>
    </row>
    <row r="175">
      <c r="A175" s="3">
        <f>IFERROR(__xludf.DUMMYFUNCTION("""COMPUTED_VALUE"""),40423.99861111111)</f>
        <v>40423.99861</v>
      </c>
      <c r="B175" s="1">
        <f>IFERROR(__xludf.DUMMYFUNCTION("""COMPUTED_VALUE"""),2397.631795)</f>
        <v>2397.631795</v>
      </c>
    </row>
    <row r="176">
      <c r="A176" s="3">
        <f>IFERROR(__xludf.DUMMYFUNCTION("""COMPUTED_VALUE"""),40424.99861111111)</f>
        <v>40424.99861</v>
      </c>
      <c r="B176" s="1">
        <f>IFERROR(__xludf.DUMMYFUNCTION("""COMPUTED_VALUE"""),2395.098259)</f>
        <v>2395.098259</v>
      </c>
    </row>
    <row r="177">
      <c r="A177" s="3">
        <f>IFERROR(__xludf.DUMMYFUNCTION("""COMPUTED_VALUE"""),40427.99861111111)</f>
        <v>40427.99861</v>
      </c>
      <c r="B177" s="1">
        <f>IFERROR(__xludf.DUMMYFUNCTION("""COMPUTED_VALUE"""),2399.610584)</f>
        <v>2399.610584</v>
      </c>
    </row>
    <row r="178">
      <c r="A178" s="3">
        <f>IFERROR(__xludf.DUMMYFUNCTION("""COMPUTED_VALUE"""),40428.99861111111)</f>
        <v>40428.99861</v>
      </c>
      <c r="B178" s="1">
        <f>IFERROR(__xludf.DUMMYFUNCTION("""COMPUTED_VALUE"""),2408.902961)</f>
        <v>2408.902961</v>
      </c>
    </row>
    <row r="179">
      <c r="A179" s="3">
        <f>IFERROR(__xludf.DUMMYFUNCTION("""COMPUTED_VALUE"""),40429.99861111111)</f>
        <v>40429.99861</v>
      </c>
      <c r="B179" s="1">
        <f>IFERROR(__xludf.DUMMYFUNCTION("""COMPUTED_VALUE"""),2401.135917)</f>
        <v>2401.135917</v>
      </c>
    </row>
    <row r="180">
      <c r="A180" s="3">
        <f>IFERROR(__xludf.DUMMYFUNCTION("""COMPUTED_VALUE"""),40430.99861111111)</f>
        <v>40430.99861</v>
      </c>
      <c r="B180" s="1">
        <f>IFERROR(__xludf.DUMMYFUNCTION("""COMPUTED_VALUE"""),2408.128346)</f>
        <v>2408.128346</v>
      </c>
    </row>
    <row r="181">
      <c r="A181" s="3">
        <f>IFERROR(__xludf.DUMMYFUNCTION("""COMPUTED_VALUE"""),40431.99861111111)</f>
        <v>40431.99861</v>
      </c>
      <c r="B181" s="1">
        <f>IFERROR(__xludf.DUMMYFUNCTION("""COMPUTED_VALUE"""),2405.653273)</f>
        <v>2405.653273</v>
      </c>
    </row>
    <row r="182">
      <c r="A182" s="3">
        <f>IFERROR(__xludf.DUMMYFUNCTION("""COMPUTED_VALUE"""),40434.99861111111)</f>
        <v>40434.99861</v>
      </c>
      <c r="B182" s="1">
        <f>IFERROR(__xludf.DUMMYFUNCTION("""COMPUTED_VALUE"""),2399.861273)</f>
        <v>2399.861273</v>
      </c>
    </row>
    <row r="183">
      <c r="A183" s="3">
        <f>IFERROR(__xludf.DUMMYFUNCTION("""COMPUTED_VALUE"""),40435.99861111111)</f>
        <v>40435.99861</v>
      </c>
      <c r="B183" s="1">
        <f>IFERROR(__xludf.DUMMYFUNCTION("""COMPUTED_VALUE"""),2396.741072)</f>
        <v>2396.741072</v>
      </c>
    </row>
    <row r="184">
      <c r="A184" s="3">
        <f>IFERROR(__xludf.DUMMYFUNCTION("""COMPUTED_VALUE"""),40436.99861111111)</f>
        <v>40436.99861</v>
      </c>
      <c r="B184" s="1">
        <f>IFERROR(__xludf.DUMMYFUNCTION("""COMPUTED_VALUE"""),2393.620906)</f>
        <v>2393.620906</v>
      </c>
    </row>
    <row r="185">
      <c r="A185" s="3">
        <f>IFERROR(__xludf.DUMMYFUNCTION("""COMPUTED_VALUE"""),40437.99861111111)</f>
        <v>40437.99861</v>
      </c>
      <c r="B185" s="1">
        <f>IFERROR(__xludf.DUMMYFUNCTION("""COMPUTED_VALUE"""),2381.396766)</f>
        <v>2381.396766</v>
      </c>
    </row>
    <row r="186">
      <c r="A186" s="3">
        <f>IFERROR(__xludf.DUMMYFUNCTION("""COMPUTED_VALUE"""),40438.99861111111)</f>
        <v>40438.99861</v>
      </c>
      <c r="B186" s="1">
        <f>IFERROR(__xludf.DUMMYFUNCTION("""COMPUTED_VALUE"""),2393.610424)</f>
        <v>2393.610424</v>
      </c>
    </row>
    <row r="187">
      <c r="A187" s="3">
        <f>IFERROR(__xludf.DUMMYFUNCTION("""COMPUTED_VALUE"""),40441.99861111111)</f>
        <v>40441.99861</v>
      </c>
      <c r="B187" s="1">
        <f>IFERROR(__xludf.DUMMYFUNCTION("""COMPUTED_VALUE"""),2395.125546)</f>
        <v>2395.125546</v>
      </c>
    </row>
    <row r="188">
      <c r="A188" s="3">
        <f>IFERROR(__xludf.DUMMYFUNCTION("""COMPUTED_VALUE"""),40442.99861111111)</f>
        <v>40442.99861</v>
      </c>
      <c r="B188" s="1">
        <f>IFERROR(__xludf.DUMMYFUNCTION("""COMPUTED_VALUE"""),2366.632801)</f>
        <v>2366.632801</v>
      </c>
    </row>
    <row r="189">
      <c r="A189" s="3">
        <f>IFERROR(__xludf.DUMMYFUNCTION("""COMPUTED_VALUE"""),40443.99861111111)</f>
        <v>40443.99861</v>
      </c>
      <c r="B189" s="1">
        <f>IFERROR(__xludf.DUMMYFUNCTION("""COMPUTED_VALUE"""),2378.17653)</f>
        <v>2378.17653</v>
      </c>
    </row>
    <row r="190">
      <c r="A190" s="3">
        <f>IFERROR(__xludf.DUMMYFUNCTION("""COMPUTED_VALUE"""),40444.99861111111)</f>
        <v>40444.99861</v>
      </c>
      <c r="B190" s="1">
        <f>IFERROR(__xludf.DUMMYFUNCTION("""COMPUTED_VALUE"""),2391.152425)</f>
        <v>2391.152425</v>
      </c>
    </row>
    <row r="191">
      <c r="A191" s="3">
        <f>IFERROR(__xludf.DUMMYFUNCTION("""COMPUTED_VALUE"""),40445.99861111111)</f>
        <v>40445.99861</v>
      </c>
      <c r="B191" s="1">
        <f>IFERROR(__xludf.DUMMYFUNCTION("""COMPUTED_VALUE"""),2360.329538)</f>
        <v>2360.329538</v>
      </c>
    </row>
    <row r="192">
      <c r="A192" s="3">
        <f>IFERROR(__xludf.DUMMYFUNCTION("""COMPUTED_VALUE"""),40448.99861111111)</f>
        <v>40448.99861</v>
      </c>
      <c r="B192" s="1">
        <f>IFERROR(__xludf.DUMMYFUNCTION("""COMPUTED_VALUE"""),2392.632243)</f>
        <v>2392.632243</v>
      </c>
    </row>
    <row r="193">
      <c r="A193" s="3">
        <f>IFERROR(__xludf.DUMMYFUNCTION("""COMPUTED_VALUE"""),40449.99861111111)</f>
        <v>40449.99861</v>
      </c>
      <c r="B193" s="1">
        <f>IFERROR(__xludf.DUMMYFUNCTION("""COMPUTED_VALUE"""),2386.890245)</f>
        <v>2386.890245</v>
      </c>
    </row>
    <row r="194">
      <c r="A194" s="3">
        <f>IFERROR(__xludf.DUMMYFUNCTION("""COMPUTED_VALUE"""),40450.99861111111)</f>
        <v>40450.99861</v>
      </c>
      <c r="B194" s="1">
        <f>IFERROR(__xludf.DUMMYFUNCTION("""COMPUTED_VALUE"""),2381.686263)</f>
        <v>2381.686263</v>
      </c>
    </row>
    <row r="195">
      <c r="A195" s="3">
        <f>IFERROR(__xludf.DUMMYFUNCTION("""COMPUTED_VALUE"""),40451.99861111111)</f>
        <v>40451.99861</v>
      </c>
      <c r="B195" s="1">
        <f>IFERROR(__xludf.DUMMYFUNCTION("""COMPUTED_VALUE"""),2382.916806)</f>
        <v>2382.916806</v>
      </c>
    </row>
    <row r="196">
      <c r="A196" s="3">
        <f>IFERROR(__xludf.DUMMYFUNCTION("""COMPUTED_VALUE"""),40452.99861111111)</f>
        <v>40452.99861</v>
      </c>
      <c r="B196" s="1">
        <f>IFERROR(__xludf.DUMMYFUNCTION("""COMPUTED_VALUE"""),2378.980126)</f>
        <v>2378.980126</v>
      </c>
    </row>
    <row r="197">
      <c r="A197" s="3">
        <f>IFERROR(__xludf.DUMMYFUNCTION("""COMPUTED_VALUE"""),40455.99861111111)</f>
        <v>40455.99861</v>
      </c>
      <c r="B197" s="1">
        <f>IFERROR(__xludf.DUMMYFUNCTION("""COMPUTED_VALUE"""),2382.323904)</f>
        <v>2382.323904</v>
      </c>
    </row>
    <row r="198">
      <c r="A198" s="3">
        <f>IFERROR(__xludf.DUMMYFUNCTION("""COMPUTED_VALUE"""),40456.99861111111)</f>
        <v>40456.99861</v>
      </c>
      <c r="B198" s="1">
        <f>IFERROR(__xludf.DUMMYFUNCTION("""COMPUTED_VALUE"""),2354.552157)</f>
        <v>2354.552157</v>
      </c>
    </row>
    <row r="199">
      <c r="A199" s="3">
        <f>IFERROR(__xludf.DUMMYFUNCTION("""COMPUTED_VALUE"""),40457.99861111111)</f>
        <v>40457.99861</v>
      </c>
      <c r="B199" s="1">
        <f>IFERROR(__xludf.DUMMYFUNCTION("""COMPUTED_VALUE"""),2366.143026)</f>
        <v>2366.143026</v>
      </c>
    </row>
    <row r="200">
      <c r="A200" s="3">
        <f>IFERROR(__xludf.DUMMYFUNCTION("""COMPUTED_VALUE"""),40458.99861111111)</f>
        <v>40458.99861</v>
      </c>
      <c r="B200" s="1">
        <f>IFERROR(__xludf.DUMMYFUNCTION("""COMPUTED_VALUE"""),2376.746607)</f>
        <v>2376.746607</v>
      </c>
    </row>
    <row r="201">
      <c r="A201" s="3">
        <f>IFERROR(__xludf.DUMMYFUNCTION("""COMPUTED_VALUE"""),40459.99861111111)</f>
        <v>40459.99861</v>
      </c>
      <c r="B201" s="1">
        <f>IFERROR(__xludf.DUMMYFUNCTION("""COMPUTED_VALUE"""),2378.296915)</f>
        <v>2378.296915</v>
      </c>
    </row>
    <row r="202">
      <c r="A202" s="3">
        <f>IFERROR(__xludf.DUMMYFUNCTION("""COMPUTED_VALUE"""),40462.99861111111)</f>
        <v>40462.99861</v>
      </c>
      <c r="B202" s="1">
        <f>IFERROR(__xludf.DUMMYFUNCTION("""COMPUTED_VALUE"""),2398.874519)</f>
        <v>2398.874519</v>
      </c>
    </row>
    <row r="203">
      <c r="A203" s="3">
        <f>IFERROR(__xludf.DUMMYFUNCTION("""COMPUTED_VALUE"""),40463.99861111111)</f>
        <v>40463.99861</v>
      </c>
      <c r="B203" s="1">
        <f>IFERROR(__xludf.DUMMYFUNCTION("""COMPUTED_VALUE"""),2376.39679)</f>
        <v>2376.39679</v>
      </c>
    </row>
    <row r="204">
      <c r="A204" s="3">
        <f>IFERROR(__xludf.DUMMYFUNCTION("""COMPUTED_VALUE"""),40464.99861111111)</f>
        <v>40464.99861</v>
      </c>
      <c r="B204" s="1">
        <f>IFERROR(__xludf.DUMMYFUNCTION("""COMPUTED_VALUE"""),2367.969)</f>
        <v>2367.969</v>
      </c>
    </row>
    <row r="205">
      <c r="A205" s="3">
        <f>IFERROR(__xludf.DUMMYFUNCTION("""COMPUTED_VALUE"""),40465.99861111111)</f>
        <v>40465.99861</v>
      </c>
      <c r="B205" s="1">
        <f>IFERROR(__xludf.DUMMYFUNCTION("""COMPUTED_VALUE"""),2374.706598)</f>
        <v>2374.706598</v>
      </c>
    </row>
    <row r="206">
      <c r="A206" s="3">
        <f>IFERROR(__xludf.DUMMYFUNCTION("""COMPUTED_VALUE"""),40466.99861111111)</f>
        <v>40466.99861</v>
      </c>
      <c r="B206" s="1">
        <f>IFERROR(__xludf.DUMMYFUNCTION("""COMPUTED_VALUE"""),2385.091283)</f>
        <v>2385.091283</v>
      </c>
    </row>
    <row r="207">
      <c r="A207" s="3">
        <f>IFERROR(__xludf.DUMMYFUNCTION("""COMPUTED_VALUE"""),40469.99861111111)</f>
        <v>40469.99861</v>
      </c>
      <c r="B207" s="1">
        <f>IFERROR(__xludf.DUMMYFUNCTION("""COMPUTED_VALUE"""),2386.104751)</f>
        <v>2386.104751</v>
      </c>
    </row>
    <row r="208">
      <c r="A208" s="3">
        <f>IFERROR(__xludf.DUMMYFUNCTION("""COMPUTED_VALUE"""),40470.99861111111)</f>
        <v>40470.99861</v>
      </c>
      <c r="B208" s="1">
        <f>IFERROR(__xludf.DUMMYFUNCTION("""COMPUTED_VALUE"""),2391.748415)</f>
        <v>2391.748415</v>
      </c>
    </row>
    <row r="209">
      <c r="A209" s="3">
        <f>IFERROR(__xludf.DUMMYFUNCTION("""COMPUTED_VALUE"""),40471.99861111111)</f>
        <v>40471.99861</v>
      </c>
      <c r="B209" s="1">
        <f>IFERROR(__xludf.DUMMYFUNCTION("""COMPUTED_VALUE"""),2351.69081)</f>
        <v>2351.69081</v>
      </c>
    </row>
    <row r="210">
      <c r="A210" s="3">
        <f>IFERROR(__xludf.DUMMYFUNCTION("""COMPUTED_VALUE"""),40472.99861111111)</f>
        <v>40472.99861</v>
      </c>
      <c r="B210" s="1">
        <f>IFERROR(__xludf.DUMMYFUNCTION("""COMPUTED_VALUE"""),2360.055456)</f>
        <v>2360.055456</v>
      </c>
    </row>
    <row r="211">
      <c r="A211" s="3">
        <f>IFERROR(__xludf.DUMMYFUNCTION("""COMPUTED_VALUE"""),40473.99861111111)</f>
        <v>40473.99861</v>
      </c>
      <c r="B211" s="1">
        <f>IFERROR(__xludf.DUMMYFUNCTION("""COMPUTED_VALUE"""),2378.547008)</f>
        <v>2378.547008</v>
      </c>
    </row>
    <row r="212">
      <c r="A212" s="3">
        <f>IFERROR(__xludf.DUMMYFUNCTION("""COMPUTED_VALUE"""),40476.99861111111)</f>
        <v>40476.99861</v>
      </c>
      <c r="B212" s="1">
        <f>IFERROR(__xludf.DUMMYFUNCTION("""COMPUTED_VALUE"""),2380.723776)</f>
        <v>2380.723776</v>
      </c>
    </row>
    <row r="213">
      <c r="A213" s="3">
        <f>IFERROR(__xludf.DUMMYFUNCTION("""COMPUTED_VALUE"""),40477.99861111111)</f>
        <v>40477.99861</v>
      </c>
      <c r="B213" s="1">
        <f>IFERROR(__xludf.DUMMYFUNCTION("""COMPUTED_VALUE"""),2377.443513)</f>
        <v>2377.443513</v>
      </c>
    </row>
    <row r="214">
      <c r="A214" s="3">
        <f>IFERROR(__xludf.DUMMYFUNCTION("""COMPUTED_VALUE"""),40478.99861111111)</f>
        <v>40478.99861</v>
      </c>
      <c r="B214" s="1">
        <f>IFERROR(__xludf.DUMMYFUNCTION("""COMPUTED_VALUE"""),2380.083724)</f>
        <v>2380.083724</v>
      </c>
    </row>
    <row r="215">
      <c r="A215" s="3">
        <f>IFERROR(__xludf.DUMMYFUNCTION("""COMPUTED_VALUE"""),40479.99861111111)</f>
        <v>40479.99861</v>
      </c>
      <c r="B215" s="1">
        <f>IFERROR(__xludf.DUMMYFUNCTION("""COMPUTED_VALUE"""),2354.277753)</f>
        <v>2354.277753</v>
      </c>
    </row>
    <row r="216">
      <c r="A216" s="3">
        <f>IFERROR(__xludf.DUMMYFUNCTION("""COMPUTED_VALUE"""),40480.99861111111)</f>
        <v>40480.99861</v>
      </c>
      <c r="B216" s="1">
        <f>IFERROR(__xludf.DUMMYFUNCTION("""COMPUTED_VALUE"""),2382.120722)</f>
        <v>2382.120722</v>
      </c>
    </row>
    <row r="217">
      <c r="A217" s="3">
        <f>IFERROR(__xludf.DUMMYFUNCTION("""COMPUTED_VALUE"""),40483.99861111111)</f>
        <v>40483.99861</v>
      </c>
      <c r="B217" s="1">
        <f>IFERROR(__xludf.DUMMYFUNCTION("""COMPUTED_VALUE"""),2375.630035)</f>
        <v>2375.630035</v>
      </c>
    </row>
    <row r="218">
      <c r="A218" s="3">
        <f>IFERROR(__xludf.DUMMYFUNCTION("""COMPUTED_VALUE"""),40484.99861111111)</f>
        <v>40484.99861</v>
      </c>
      <c r="B218" s="1">
        <f>IFERROR(__xludf.DUMMYFUNCTION("""COMPUTED_VALUE"""),2353.984388)</f>
        <v>2353.984388</v>
      </c>
    </row>
    <row r="219">
      <c r="A219" s="3">
        <f>IFERROR(__xludf.DUMMYFUNCTION("""COMPUTED_VALUE"""),40485.99861111111)</f>
        <v>40485.99861</v>
      </c>
      <c r="B219" s="1">
        <f>IFERROR(__xludf.DUMMYFUNCTION("""COMPUTED_VALUE"""),2339.369496)</f>
        <v>2339.369496</v>
      </c>
    </row>
    <row r="220">
      <c r="A220" s="3">
        <f>IFERROR(__xludf.DUMMYFUNCTION("""COMPUTED_VALUE"""),40486.99861111111)</f>
        <v>40486.99861</v>
      </c>
      <c r="B220" s="1">
        <f>IFERROR(__xludf.DUMMYFUNCTION("""COMPUTED_VALUE"""),2376.240095)</f>
        <v>2376.240095</v>
      </c>
    </row>
    <row r="221">
      <c r="A221" s="3">
        <f>IFERROR(__xludf.DUMMYFUNCTION("""COMPUTED_VALUE"""),40487.99861111111)</f>
        <v>40487.99861</v>
      </c>
      <c r="B221" s="1">
        <f>IFERROR(__xludf.DUMMYFUNCTION("""COMPUTED_VALUE"""),2373.649758)</f>
        <v>2373.649758</v>
      </c>
    </row>
    <row r="222">
      <c r="A222" s="3">
        <f>IFERROR(__xludf.DUMMYFUNCTION("""COMPUTED_VALUE"""),40490.99861111111)</f>
        <v>40490.99861</v>
      </c>
      <c r="B222" s="1">
        <f>IFERROR(__xludf.DUMMYFUNCTION("""COMPUTED_VALUE"""),2374.51994)</f>
        <v>2374.51994</v>
      </c>
    </row>
    <row r="223">
      <c r="A223" s="3">
        <f>IFERROR(__xludf.DUMMYFUNCTION("""COMPUTED_VALUE"""),40491.99861111111)</f>
        <v>40491.99861</v>
      </c>
      <c r="B223" s="1">
        <f>IFERROR(__xludf.DUMMYFUNCTION("""COMPUTED_VALUE"""),2347.999941)</f>
        <v>2347.999941</v>
      </c>
    </row>
    <row r="224">
      <c r="A224" s="3">
        <f>IFERROR(__xludf.DUMMYFUNCTION("""COMPUTED_VALUE"""),40492.99861111111)</f>
        <v>40492.99861</v>
      </c>
      <c r="B224" s="1">
        <f>IFERROR(__xludf.DUMMYFUNCTION("""COMPUTED_VALUE"""),2341.226608)</f>
        <v>2341.226608</v>
      </c>
    </row>
    <row r="225">
      <c r="A225" s="3">
        <f>IFERROR(__xludf.DUMMYFUNCTION("""COMPUTED_VALUE"""),40493.99861111111)</f>
        <v>40493.99861</v>
      </c>
      <c r="B225" s="1">
        <f>IFERROR(__xludf.DUMMYFUNCTION("""COMPUTED_VALUE"""),2346.133274)</f>
        <v>2346.133274</v>
      </c>
    </row>
    <row r="226">
      <c r="A226" s="3">
        <f>IFERROR(__xludf.DUMMYFUNCTION("""COMPUTED_VALUE"""),40494.99861111111)</f>
        <v>40494.99861</v>
      </c>
      <c r="B226" s="1">
        <f>IFERROR(__xludf.DUMMYFUNCTION("""COMPUTED_VALUE"""),2379.853273)</f>
        <v>2379.853273</v>
      </c>
    </row>
    <row r="227">
      <c r="A227" s="3">
        <f>IFERROR(__xludf.DUMMYFUNCTION("""COMPUTED_VALUE"""),40497.99861111111)</f>
        <v>40497.99861</v>
      </c>
      <c r="B227" s="1">
        <f>IFERROR(__xludf.DUMMYFUNCTION("""COMPUTED_VALUE"""),2391.383698)</f>
        <v>2391.383698</v>
      </c>
    </row>
    <row r="228">
      <c r="A228" s="3">
        <f>IFERROR(__xludf.DUMMYFUNCTION("""COMPUTED_VALUE"""),40498.99861111111)</f>
        <v>40498.99861</v>
      </c>
      <c r="B228" s="1">
        <f>IFERROR(__xludf.DUMMYFUNCTION("""COMPUTED_VALUE"""),2366.206212)</f>
        <v>2366.206212</v>
      </c>
    </row>
    <row r="229">
      <c r="A229" s="3">
        <f>IFERROR(__xludf.DUMMYFUNCTION("""COMPUTED_VALUE"""),40499.99861111111)</f>
        <v>40499.99861</v>
      </c>
      <c r="B229" s="1">
        <f>IFERROR(__xludf.DUMMYFUNCTION("""COMPUTED_VALUE"""),2358.933274)</f>
        <v>2358.933274</v>
      </c>
    </row>
    <row r="230">
      <c r="A230" s="3">
        <f>IFERROR(__xludf.DUMMYFUNCTION("""COMPUTED_VALUE"""),40500.99861111111)</f>
        <v>40500.99861</v>
      </c>
      <c r="B230" s="1">
        <f>IFERROR(__xludf.DUMMYFUNCTION("""COMPUTED_VALUE"""),2358.133274)</f>
        <v>2358.133274</v>
      </c>
    </row>
    <row r="231">
      <c r="A231" s="3">
        <f>IFERROR(__xludf.DUMMYFUNCTION("""COMPUTED_VALUE"""),40501.99861111111)</f>
        <v>40501.99861</v>
      </c>
      <c r="B231" s="1">
        <f>IFERROR(__xludf.DUMMYFUNCTION("""COMPUTED_VALUE"""),2381.846945)</f>
        <v>2381.846945</v>
      </c>
    </row>
    <row r="232">
      <c r="A232" s="3">
        <f>IFERROR(__xludf.DUMMYFUNCTION("""COMPUTED_VALUE"""),40504.99861111111)</f>
        <v>40504.99861</v>
      </c>
      <c r="B232" s="1">
        <f>IFERROR(__xludf.DUMMYFUNCTION("""COMPUTED_VALUE"""),2382.711578)</f>
        <v>2382.711578</v>
      </c>
    </row>
    <row r="233">
      <c r="A233" s="3">
        <f>IFERROR(__xludf.DUMMYFUNCTION("""COMPUTED_VALUE"""),40505.99861111111)</f>
        <v>40505.99861</v>
      </c>
      <c r="B233" s="1">
        <f>IFERROR(__xludf.DUMMYFUNCTION("""COMPUTED_VALUE"""),2391.459705)</f>
        <v>2391.459705</v>
      </c>
    </row>
    <row r="234">
      <c r="A234" s="3">
        <f>IFERROR(__xludf.DUMMYFUNCTION("""COMPUTED_VALUE"""),40506.99861111111)</f>
        <v>40506.99861</v>
      </c>
      <c r="B234" s="1">
        <f>IFERROR(__xludf.DUMMYFUNCTION("""COMPUTED_VALUE"""),2390.432847)</f>
        <v>2390.432847</v>
      </c>
    </row>
    <row r="235">
      <c r="A235" s="3">
        <f>IFERROR(__xludf.DUMMYFUNCTION("""COMPUTED_VALUE"""),40507.99861111111)</f>
        <v>40507.99861</v>
      </c>
      <c r="B235" s="1">
        <f>IFERROR(__xludf.DUMMYFUNCTION("""COMPUTED_VALUE"""),2391.192423)</f>
        <v>2391.192423</v>
      </c>
    </row>
    <row r="236">
      <c r="A236" s="3">
        <f>IFERROR(__xludf.DUMMYFUNCTION("""COMPUTED_VALUE"""),40508.99861111111)</f>
        <v>40508.99861</v>
      </c>
      <c r="B236" s="1">
        <f>IFERROR(__xludf.DUMMYFUNCTION("""COMPUTED_VALUE"""),2373.242972)</f>
        <v>2373.242972</v>
      </c>
    </row>
    <row r="237">
      <c r="A237" s="3">
        <f>IFERROR(__xludf.DUMMYFUNCTION("""COMPUTED_VALUE"""),40511.99861111111)</f>
        <v>40511.99861</v>
      </c>
      <c r="B237" s="1">
        <f>IFERROR(__xludf.DUMMYFUNCTION("""COMPUTED_VALUE"""),2404.312329)</f>
        <v>2404.312329</v>
      </c>
    </row>
    <row r="238">
      <c r="A238" s="3">
        <f>IFERROR(__xludf.DUMMYFUNCTION("""COMPUTED_VALUE"""),40512.99861111111)</f>
        <v>40512.99861</v>
      </c>
      <c r="B238" s="1">
        <f>IFERROR(__xludf.DUMMYFUNCTION("""COMPUTED_VALUE"""),2408.989041)</f>
        <v>2408.989041</v>
      </c>
    </row>
    <row r="239">
      <c r="A239" s="3">
        <f>IFERROR(__xludf.DUMMYFUNCTION("""COMPUTED_VALUE"""),40513.99861111111)</f>
        <v>40513.99861</v>
      </c>
      <c r="B239" s="1">
        <f>IFERROR(__xludf.DUMMYFUNCTION("""COMPUTED_VALUE"""),2404.919939)</f>
        <v>2404.919939</v>
      </c>
    </row>
    <row r="240">
      <c r="A240" s="3">
        <f>IFERROR(__xludf.DUMMYFUNCTION("""COMPUTED_VALUE"""),40514.99861111111)</f>
        <v>40514.99861</v>
      </c>
      <c r="B240" s="1">
        <f>IFERROR(__xludf.DUMMYFUNCTION("""COMPUTED_VALUE"""),2377.59994)</f>
        <v>2377.59994</v>
      </c>
    </row>
    <row r="241">
      <c r="A241" s="3">
        <f>IFERROR(__xludf.DUMMYFUNCTION("""COMPUTED_VALUE"""),40515.99861111111)</f>
        <v>40515.99861</v>
      </c>
      <c r="B241" s="1">
        <f>IFERROR(__xludf.DUMMYFUNCTION("""COMPUTED_VALUE"""),2395.936056)</f>
        <v>2395.936056</v>
      </c>
    </row>
    <row r="242">
      <c r="A242" s="3">
        <f>IFERROR(__xludf.DUMMYFUNCTION("""COMPUTED_VALUE"""),40518.99861111111)</f>
        <v>40518.99861</v>
      </c>
      <c r="B242" s="1">
        <f>IFERROR(__xludf.DUMMYFUNCTION("""COMPUTED_VALUE"""),2402.653273)</f>
        <v>2402.653273</v>
      </c>
    </row>
    <row r="243">
      <c r="A243" s="3">
        <f>IFERROR(__xludf.DUMMYFUNCTION("""COMPUTED_VALUE"""),40519.99861111111)</f>
        <v>40519.99861</v>
      </c>
      <c r="B243" s="1">
        <f>IFERROR(__xludf.DUMMYFUNCTION("""COMPUTED_VALUE"""),2397.333273)</f>
        <v>2397.333273</v>
      </c>
    </row>
    <row r="244">
      <c r="A244" s="3">
        <f>IFERROR(__xludf.DUMMYFUNCTION("""COMPUTED_VALUE"""),40520.99861111111)</f>
        <v>40520.99861</v>
      </c>
      <c r="B244" s="1">
        <f>IFERROR(__xludf.DUMMYFUNCTION("""COMPUTED_VALUE"""),2405.269141)</f>
        <v>2405.269141</v>
      </c>
    </row>
    <row r="245">
      <c r="A245" s="3">
        <f>IFERROR(__xludf.DUMMYFUNCTION("""COMPUTED_VALUE"""),40521.99861111111)</f>
        <v>40521.99861</v>
      </c>
      <c r="B245" s="1">
        <f>IFERROR(__xludf.DUMMYFUNCTION("""COMPUTED_VALUE"""),2404.735821)</f>
        <v>2404.735821</v>
      </c>
    </row>
    <row r="246">
      <c r="A246" s="3">
        <f>IFERROR(__xludf.DUMMYFUNCTION("""COMPUTED_VALUE"""),40522.99861111111)</f>
        <v>40522.99861</v>
      </c>
      <c r="B246" s="1">
        <f>IFERROR(__xludf.DUMMYFUNCTION("""COMPUTED_VALUE"""),2403.999939)</f>
        <v>2403.999939</v>
      </c>
    </row>
    <row r="247">
      <c r="A247" s="3">
        <f>IFERROR(__xludf.DUMMYFUNCTION("""COMPUTED_VALUE"""),40525.99861111111)</f>
        <v>40525.99861</v>
      </c>
      <c r="B247" s="1">
        <f>IFERROR(__xludf.DUMMYFUNCTION("""COMPUTED_VALUE"""),2403.935843)</f>
        <v>2403.935843</v>
      </c>
    </row>
    <row r="248">
      <c r="A248" s="3">
        <f>IFERROR(__xludf.DUMMYFUNCTION("""COMPUTED_VALUE"""),40526.99861111111)</f>
        <v>40526.99861</v>
      </c>
      <c r="B248" s="1">
        <f>IFERROR(__xludf.DUMMYFUNCTION("""COMPUTED_VALUE"""),2402.519939)</f>
        <v>2402.519939</v>
      </c>
    </row>
    <row r="249">
      <c r="A249" s="3">
        <f>IFERROR(__xludf.DUMMYFUNCTION("""COMPUTED_VALUE"""),40527.99861111111)</f>
        <v>40527.99861</v>
      </c>
      <c r="B249" s="1">
        <f>IFERROR(__xludf.DUMMYFUNCTION("""COMPUTED_VALUE"""),2406.050756)</f>
        <v>2406.050756</v>
      </c>
    </row>
    <row r="250">
      <c r="A250" s="3">
        <f>IFERROR(__xludf.DUMMYFUNCTION("""COMPUTED_VALUE"""),40528.99861111111)</f>
        <v>40528.99861</v>
      </c>
      <c r="B250" s="1">
        <f>IFERROR(__xludf.DUMMYFUNCTION("""COMPUTED_VALUE"""),2383.593705)</f>
        <v>2383.593705</v>
      </c>
    </row>
    <row r="251">
      <c r="A251" s="3">
        <f>IFERROR(__xludf.DUMMYFUNCTION("""COMPUTED_VALUE"""),40529.99861111111)</f>
        <v>40529.99861</v>
      </c>
      <c r="B251" s="1">
        <f>IFERROR(__xludf.DUMMYFUNCTION("""COMPUTED_VALUE"""),2409.058136)</f>
        <v>2409.058136</v>
      </c>
    </row>
    <row r="252">
      <c r="A252" s="3">
        <f>IFERROR(__xludf.DUMMYFUNCTION("""COMPUTED_VALUE"""),40532.99861111111)</f>
        <v>40532.99861</v>
      </c>
      <c r="B252" s="1">
        <f>IFERROR(__xludf.DUMMYFUNCTION("""COMPUTED_VALUE"""),2385.054368)</f>
        <v>2385.054368</v>
      </c>
    </row>
    <row r="253">
      <c r="A253" s="3">
        <f>IFERROR(__xludf.DUMMYFUNCTION("""COMPUTED_VALUE"""),40533.99861111111)</f>
        <v>40533.99861</v>
      </c>
      <c r="B253" s="1">
        <f>IFERROR(__xludf.DUMMYFUNCTION("""COMPUTED_VALUE"""),2411.443849)</f>
        <v>2411.443849</v>
      </c>
    </row>
    <row r="254">
      <c r="A254" s="3">
        <f>IFERROR(__xludf.DUMMYFUNCTION("""COMPUTED_VALUE"""),40534.99861111111)</f>
        <v>40534.99861</v>
      </c>
      <c r="B254" s="1">
        <f>IFERROR(__xludf.DUMMYFUNCTION("""COMPUTED_VALUE"""),2411.350506)</f>
        <v>2411.350506</v>
      </c>
    </row>
    <row r="255">
      <c r="A255" s="3">
        <f>IFERROR(__xludf.DUMMYFUNCTION("""COMPUTED_VALUE"""),40535.99861111111)</f>
        <v>40535.99861</v>
      </c>
      <c r="B255" s="1">
        <f>IFERROR(__xludf.DUMMYFUNCTION("""COMPUTED_VALUE"""),2410.823319)</f>
        <v>2410.823319</v>
      </c>
    </row>
    <row r="256">
      <c r="A256" s="3">
        <f>IFERROR(__xludf.DUMMYFUNCTION("""COMPUTED_VALUE"""),40536.99861111111)</f>
        <v>40536.99861</v>
      </c>
      <c r="B256" s="1">
        <f>IFERROR(__xludf.DUMMYFUNCTION("""COMPUTED_VALUE"""),2408.982976)</f>
        <v>2408.982976</v>
      </c>
    </row>
    <row r="257">
      <c r="A257" s="3">
        <f>IFERROR(__xludf.DUMMYFUNCTION("""COMPUTED_VALUE"""),40539.99861111111)</f>
        <v>40539.99861</v>
      </c>
      <c r="B257" s="1">
        <f>IFERROR(__xludf.DUMMYFUNCTION("""COMPUTED_VALUE"""),2383.924032)</f>
        <v>2383.924032</v>
      </c>
    </row>
    <row r="258">
      <c r="A258" s="3">
        <f>IFERROR(__xludf.DUMMYFUNCTION("""COMPUTED_VALUE"""),40540.99861111111)</f>
        <v>40540.99861</v>
      </c>
      <c r="B258" s="1">
        <f>IFERROR(__xludf.DUMMYFUNCTION("""COMPUTED_VALUE"""),2404.909819)</f>
        <v>2404.909819</v>
      </c>
    </row>
    <row r="259">
      <c r="A259" s="3">
        <f>IFERROR(__xludf.DUMMYFUNCTION("""COMPUTED_VALUE"""),40541.99861111111)</f>
        <v>40541.99861</v>
      </c>
      <c r="B259" s="1">
        <f>IFERROR(__xludf.DUMMYFUNCTION("""COMPUTED_VALUE"""),2400.386606)</f>
        <v>2400.386606</v>
      </c>
    </row>
    <row r="260">
      <c r="A260" s="3">
        <f>IFERROR(__xludf.DUMMYFUNCTION("""COMPUTED_VALUE"""),40542.99861111111)</f>
        <v>40542.99861</v>
      </c>
      <c r="B260" s="1">
        <f>IFERROR(__xludf.DUMMYFUNCTION("""COMPUTED_VALUE"""),2369.536761)</f>
        <v>2369.536761</v>
      </c>
    </row>
    <row r="261">
      <c r="A261" s="3">
        <f>IFERROR(__xludf.DUMMYFUNCTION("""COMPUTED_VALUE"""),40543.99861111111)</f>
        <v>40543.99861</v>
      </c>
      <c r="B261" s="1">
        <f>IFERROR(__xludf.DUMMYFUNCTION("""COMPUTED_VALUE"""),2402.653273)</f>
        <v>2402.653273</v>
      </c>
    </row>
    <row r="262">
      <c r="A262" s="3">
        <f>IFERROR(__xludf.DUMMYFUNCTION("""COMPUTED_VALUE"""),40546.99861111111)</f>
        <v>40546.99861</v>
      </c>
      <c r="B262" s="1">
        <f>IFERROR(__xludf.DUMMYFUNCTION("""COMPUTED_VALUE"""),2397.511785)</f>
        <v>2397.511785</v>
      </c>
    </row>
    <row r="263">
      <c r="A263" s="3">
        <f>IFERROR(__xludf.DUMMYFUNCTION("""COMPUTED_VALUE"""),40547.99861111111)</f>
        <v>40547.99861</v>
      </c>
      <c r="B263" s="1">
        <f>IFERROR(__xludf.DUMMYFUNCTION("""COMPUTED_VALUE"""),2369.852747)</f>
        <v>2369.852747</v>
      </c>
    </row>
    <row r="264">
      <c r="A264" s="3">
        <f>IFERROR(__xludf.DUMMYFUNCTION("""COMPUTED_VALUE"""),40548.99861111111)</f>
        <v>40548.99861</v>
      </c>
      <c r="B264" s="1">
        <f>IFERROR(__xludf.DUMMYFUNCTION("""COMPUTED_VALUE"""),2395.911657)</f>
        <v>2395.911657</v>
      </c>
    </row>
    <row r="265">
      <c r="A265" s="3">
        <f>IFERROR(__xludf.DUMMYFUNCTION("""COMPUTED_VALUE"""),40549.99861111111)</f>
        <v>40549.99861</v>
      </c>
      <c r="B265" s="1">
        <f>IFERROR(__xludf.DUMMYFUNCTION("""COMPUTED_VALUE"""),2404.40567)</f>
        <v>2404.40567</v>
      </c>
    </row>
    <row r="266">
      <c r="A266" s="3">
        <f>IFERROR(__xludf.DUMMYFUNCTION("""COMPUTED_VALUE"""),40550.99861111111)</f>
        <v>40550.99861</v>
      </c>
      <c r="B266" s="1">
        <f>IFERROR(__xludf.DUMMYFUNCTION("""COMPUTED_VALUE"""),2375.19994)</f>
        <v>2375.19994</v>
      </c>
    </row>
    <row r="267">
      <c r="A267" s="3">
        <f>IFERROR(__xludf.DUMMYFUNCTION("""COMPUTED_VALUE"""),40553.99861111111)</f>
        <v>40553.99861</v>
      </c>
      <c r="B267" s="1">
        <f>IFERROR(__xludf.DUMMYFUNCTION("""COMPUTED_VALUE"""),2413.844105)</f>
        <v>2413.844105</v>
      </c>
    </row>
    <row r="268">
      <c r="A268" s="3">
        <f>IFERROR(__xludf.DUMMYFUNCTION("""COMPUTED_VALUE"""),40554.99861111111)</f>
        <v>40554.99861</v>
      </c>
      <c r="B268" s="1">
        <f>IFERROR(__xludf.DUMMYFUNCTION("""COMPUTED_VALUE"""),2383.043961)</f>
        <v>2383.043961</v>
      </c>
    </row>
    <row r="269">
      <c r="A269" s="3">
        <f>IFERROR(__xludf.DUMMYFUNCTION("""COMPUTED_VALUE"""),40555.99861111111)</f>
        <v>40555.99861</v>
      </c>
      <c r="B269" s="1">
        <f>IFERROR(__xludf.DUMMYFUNCTION("""COMPUTED_VALUE"""),2410.923794)</f>
        <v>2410.923794</v>
      </c>
    </row>
    <row r="270">
      <c r="A270" s="3">
        <f>IFERROR(__xludf.DUMMYFUNCTION("""COMPUTED_VALUE"""),40556.99861111111)</f>
        <v>40556.99861</v>
      </c>
      <c r="B270" s="1">
        <f>IFERROR(__xludf.DUMMYFUNCTION("""COMPUTED_VALUE"""),2413.513065)</f>
        <v>2413.513065</v>
      </c>
    </row>
    <row r="271">
      <c r="A271" s="3">
        <f>IFERROR(__xludf.DUMMYFUNCTION("""COMPUTED_VALUE"""),40557.99861111111)</f>
        <v>40557.99861</v>
      </c>
      <c r="B271" s="1">
        <f>IFERROR(__xludf.DUMMYFUNCTION("""COMPUTED_VALUE"""),2414.046441)</f>
        <v>2414.046441</v>
      </c>
    </row>
    <row r="272">
      <c r="A272" s="3">
        <f>IFERROR(__xludf.DUMMYFUNCTION("""COMPUTED_VALUE"""),40560.99861111111)</f>
        <v>40560.99861</v>
      </c>
      <c r="B272" s="1">
        <f>IFERROR(__xludf.DUMMYFUNCTION("""COMPUTED_VALUE"""),2416.19328)</f>
        <v>2416.19328</v>
      </c>
    </row>
    <row r="273">
      <c r="A273" s="3">
        <f>IFERROR(__xludf.DUMMYFUNCTION("""COMPUTED_VALUE"""),40561.99861111111)</f>
        <v>40561.99861</v>
      </c>
      <c r="B273" s="1">
        <f>IFERROR(__xludf.DUMMYFUNCTION("""COMPUTED_VALUE"""),2414.579817)</f>
        <v>2414.579817</v>
      </c>
    </row>
    <row r="274">
      <c r="A274" s="3">
        <f>IFERROR(__xludf.DUMMYFUNCTION("""COMPUTED_VALUE"""),40562.99861111111)</f>
        <v>40562.99861</v>
      </c>
      <c r="B274" s="1">
        <f>IFERROR(__xludf.DUMMYFUNCTION("""COMPUTED_VALUE"""),2386.387844)</f>
        <v>2386.387844</v>
      </c>
    </row>
    <row r="275">
      <c r="A275" s="3">
        <f>IFERROR(__xludf.DUMMYFUNCTION("""COMPUTED_VALUE"""),40563.99861111111)</f>
        <v>40563.99861</v>
      </c>
      <c r="B275" s="1">
        <f>IFERROR(__xludf.DUMMYFUNCTION("""COMPUTED_VALUE"""),2376.573464)</f>
        <v>2376.573464</v>
      </c>
    </row>
    <row r="276">
      <c r="A276" s="3">
        <f>IFERROR(__xludf.DUMMYFUNCTION("""COMPUTED_VALUE"""),40564.99861111111)</f>
        <v>40564.99861</v>
      </c>
      <c r="B276" s="1">
        <f>IFERROR(__xludf.DUMMYFUNCTION("""COMPUTED_VALUE"""),2406.624817)</f>
        <v>2406.624817</v>
      </c>
    </row>
    <row r="277">
      <c r="A277" s="3">
        <f>IFERROR(__xludf.DUMMYFUNCTION("""COMPUTED_VALUE"""),40567.99861111111)</f>
        <v>40567.99861</v>
      </c>
      <c r="B277" s="1">
        <f>IFERROR(__xludf.DUMMYFUNCTION("""COMPUTED_VALUE"""),2413.268927)</f>
        <v>2413.268927</v>
      </c>
    </row>
    <row r="278">
      <c r="A278" s="3">
        <f>IFERROR(__xludf.DUMMYFUNCTION("""COMPUTED_VALUE"""),40568.99861111111)</f>
        <v>40568.99861</v>
      </c>
      <c r="B278" s="1">
        <f>IFERROR(__xludf.DUMMYFUNCTION("""COMPUTED_VALUE"""),2409.912777)</f>
        <v>2409.912777</v>
      </c>
    </row>
    <row r="279">
      <c r="A279" s="3">
        <f>IFERROR(__xludf.DUMMYFUNCTION("""COMPUTED_VALUE"""),40569.99861111111)</f>
        <v>40569.99861</v>
      </c>
      <c r="B279" s="1">
        <f>IFERROR(__xludf.DUMMYFUNCTION("""COMPUTED_VALUE"""),2379.080398)</f>
        <v>2379.080398</v>
      </c>
    </row>
    <row r="280">
      <c r="A280" s="3">
        <f>IFERROR(__xludf.DUMMYFUNCTION("""COMPUTED_VALUE"""),40570.99861111111)</f>
        <v>40570.99861</v>
      </c>
      <c r="B280" s="1">
        <f>IFERROR(__xludf.DUMMYFUNCTION("""COMPUTED_VALUE"""),2407.443423)</f>
        <v>2407.443423</v>
      </c>
    </row>
    <row r="281">
      <c r="A281" s="3">
        <f>IFERROR(__xludf.DUMMYFUNCTION("""COMPUTED_VALUE"""),40571.99861111111)</f>
        <v>40571.99861</v>
      </c>
      <c r="B281" s="1">
        <f>IFERROR(__xludf.DUMMYFUNCTION("""COMPUTED_VALUE"""),2407.453273)</f>
        <v>2407.453273</v>
      </c>
    </row>
    <row r="282">
      <c r="A282" s="3">
        <f>IFERROR(__xludf.DUMMYFUNCTION("""COMPUTED_VALUE"""),40574.99861111111)</f>
        <v>40574.99861</v>
      </c>
      <c r="B282" s="1">
        <f>IFERROR(__xludf.DUMMYFUNCTION("""COMPUTED_VALUE"""),2388.672557)</f>
        <v>2388.672557</v>
      </c>
    </row>
    <row r="283">
      <c r="A283" s="3">
        <f>IFERROR(__xludf.DUMMYFUNCTION("""COMPUTED_VALUE"""),40575.99861111111)</f>
        <v>40575.99861</v>
      </c>
      <c r="B283" s="1">
        <f>IFERROR(__xludf.DUMMYFUNCTION("""COMPUTED_VALUE"""),2400.12792)</f>
        <v>2400.12792</v>
      </c>
    </row>
    <row r="284">
      <c r="A284" s="3">
        <f>IFERROR(__xludf.DUMMYFUNCTION("""COMPUTED_VALUE"""),40576.99861111111)</f>
        <v>40576.99861</v>
      </c>
      <c r="B284" s="1">
        <f>IFERROR(__xludf.DUMMYFUNCTION("""COMPUTED_VALUE"""),2405.779113)</f>
        <v>2405.779113</v>
      </c>
    </row>
    <row r="285">
      <c r="A285" s="3">
        <f>IFERROR(__xludf.DUMMYFUNCTION("""COMPUTED_VALUE"""),40577.99861111111)</f>
        <v>40577.99861</v>
      </c>
      <c r="B285" s="1">
        <f>IFERROR(__xludf.DUMMYFUNCTION("""COMPUTED_VALUE"""),2379.123648)</f>
        <v>2379.123648</v>
      </c>
    </row>
    <row r="286">
      <c r="A286" s="3">
        <f>IFERROR(__xludf.DUMMYFUNCTION("""COMPUTED_VALUE"""),40578.99861111111)</f>
        <v>40578.99861</v>
      </c>
      <c r="B286" s="1">
        <f>IFERROR(__xludf.DUMMYFUNCTION("""COMPUTED_VALUE"""),2398.114479)</f>
        <v>2398.114479</v>
      </c>
    </row>
    <row r="287">
      <c r="A287" s="3">
        <f>IFERROR(__xludf.DUMMYFUNCTION("""COMPUTED_VALUE"""),40581.99861111111)</f>
        <v>40581.99861</v>
      </c>
      <c r="B287" s="1">
        <f>IFERROR(__xludf.DUMMYFUNCTION("""COMPUTED_VALUE"""),2353.148236)</f>
        <v>2353.148236</v>
      </c>
    </row>
    <row r="288">
      <c r="A288" s="3">
        <f>IFERROR(__xludf.DUMMYFUNCTION("""COMPUTED_VALUE"""),40582.99861111111)</f>
        <v>40582.99861</v>
      </c>
      <c r="B288" s="1">
        <f>IFERROR(__xludf.DUMMYFUNCTION("""COMPUTED_VALUE"""),2373.5232)</f>
        <v>2373.5232</v>
      </c>
    </row>
    <row r="289">
      <c r="A289" s="3">
        <f>IFERROR(__xludf.DUMMYFUNCTION("""COMPUTED_VALUE"""),40583.99861111111)</f>
        <v>40583.99861</v>
      </c>
      <c r="B289" s="1">
        <f>IFERROR(__xludf.DUMMYFUNCTION("""COMPUTED_VALUE"""),2381.446924)</f>
        <v>2381.446924</v>
      </c>
    </row>
    <row r="290">
      <c r="A290" s="3">
        <f>IFERROR(__xludf.DUMMYFUNCTION("""COMPUTED_VALUE"""),40584.99861111111)</f>
        <v>40584.99861</v>
      </c>
      <c r="B290" s="1">
        <f>IFERROR(__xludf.DUMMYFUNCTION("""COMPUTED_VALUE"""),2380.063397)</f>
        <v>2380.063397</v>
      </c>
    </row>
    <row r="291">
      <c r="A291" s="3">
        <f>IFERROR(__xludf.DUMMYFUNCTION("""COMPUTED_VALUE"""),40585.99861111111)</f>
        <v>40585.99861</v>
      </c>
      <c r="B291" s="1">
        <f>IFERROR(__xludf.DUMMYFUNCTION("""COMPUTED_VALUE"""),2380.992967)</f>
        <v>2380.992967</v>
      </c>
    </row>
    <row r="292">
      <c r="A292" s="3">
        <f>IFERROR(__xludf.DUMMYFUNCTION("""COMPUTED_VALUE"""),40588.99861111111)</f>
        <v>40588.99861</v>
      </c>
      <c r="B292" s="1">
        <f>IFERROR(__xludf.DUMMYFUNCTION("""COMPUTED_VALUE"""),2377.376841)</f>
        <v>2377.376841</v>
      </c>
    </row>
    <row r="293">
      <c r="A293" s="3">
        <f>IFERROR(__xludf.DUMMYFUNCTION("""COMPUTED_VALUE"""),40589.99861111111)</f>
        <v>40589.99861</v>
      </c>
      <c r="B293" s="1">
        <f>IFERROR(__xludf.DUMMYFUNCTION("""COMPUTED_VALUE"""),2350.791957)</f>
        <v>2350.791957</v>
      </c>
    </row>
    <row r="294">
      <c r="A294" s="3">
        <f>IFERROR(__xludf.DUMMYFUNCTION("""COMPUTED_VALUE"""),40590.99861111111)</f>
        <v>40590.99861</v>
      </c>
      <c r="B294" s="1">
        <f>IFERROR(__xludf.DUMMYFUNCTION("""COMPUTED_VALUE"""),2372.176425)</f>
        <v>2372.176425</v>
      </c>
    </row>
    <row r="295">
      <c r="A295" s="3">
        <f>IFERROR(__xludf.DUMMYFUNCTION("""COMPUTED_VALUE"""),40591.99861111111)</f>
        <v>40591.99861</v>
      </c>
      <c r="B295" s="1">
        <f>IFERROR(__xludf.DUMMYFUNCTION("""COMPUTED_VALUE"""),2341.52064)</f>
        <v>2341.52064</v>
      </c>
    </row>
    <row r="296">
      <c r="A296" s="3">
        <f>IFERROR(__xludf.DUMMYFUNCTION("""COMPUTED_VALUE"""),40592.99861111111)</f>
        <v>40592.99861</v>
      </c>
      <c r="B296" s="1">
        <f>IFERROR(__xludf.DUMMYFUNCTION("""COMPUTED_VALUE"""),2361.986607)</f>
        <v>2361.986607</v>
      </c>
    </row>
    <row r="297">
      <c r="A297" s="3">
        <f>IFERROR(__xludf.DUMMYFUNCTION("""COMPUTED_VALUE"""),40595.99861111111)</f>
        <v>40595.99861</v>
      </c>
      <c r="B297" s="1">
        <f>IFERROR(__xludf.DUMMYFUNCTION("""COMPUTED_VALUE"""),2333.582212)</f>
        <v>2333.582212</v>
      </c>
    </row>
    <row r="298">
      <c r="A298" s="3">
        <f>IFERROR(__xludf.DUMMYFUNCTION("""COMPUTED_VALUE"""),40596.99861111111)</f>
        <v>40596.99861</v>
      </c>
      <c r="B298" s="1">
        <f>IFERROR(__xludf.DUMMYFUNCTION("""COMPUTED_VALUE"""),2367.053274)</f>
        <v>2367.053274</v>
      </c>
    </row>
    <row r="299">
      <c r="A299" s="3">
        <f>IFERROR(__xludf.DUMMYFUNCTION("""COMPUTED_VALUE"""),40597.99861111111)</f>
        <v>40597.99861</v>
      </c>
      <c r="B299" s="1">
        <f>IFERROR(__xludf.DUMMYFUNCTION("""COMPUTED_VALUE"""),2365.866607)</f>
        <v>2365.866607</v>
      </c>
    </row>
    <row r="300">
      <c r="A300" s="3">
        <f>IFERROR(__xludf.DUMMYFUNCTION("""COMPUTED_VALUE"""),40598.99861111111)</f>
        <v>40598.99861</v>
      </c>
      <c r="B300" s="1">
        <f>IFERROR(__xludf.DUMMYFUNCTION("""COMPUTED_VALUE"""),2363.93691)</f>
        <v>2363.93691</v>
      </c>
    </row>
    <row r="301">
      <c r="A301" s="3">
        <f>IFERROR(__xludf.DUMMYFUNCTION("""COMPUTED_VALUE"""),40599.99861111111)</f>
        <v>40599.99861</v>
      </c>
      <c r="B301" s="1">
        <f>IFERROR(__xludf.DUMMYFUNCTION("""COMPUTED_VALUE"""),2358.789314)</f>
        <v>2358.789314</v>
      </c>
    </row>
    <row r="302">
      <c r="A302" s="3">
        <f>IFERROR(__xludf.DUMMYFUNCTION("""COMPUTED_VALUE"""),40602.99861111111)</f>
        <v>40602.99861</v>
      </c>
      <c r="B302" s="1">
        <f>IFERROR(__xludf.DUMMYFUNCTION("""COMPUTED_VALUE"""),2352.323887)</f>
        <v>2352.323887</v>
      </c>
    </row>
    <row r="303">
      <c r="A303" s="3">
        <f>IFERROR(__xludf.DUMMYFUNCTION("""COMPUTED_VALUE"""),40603.99861111111)</f>
        <v>40603.99861</v>
      </c>
      <c r="B303" s="1">
        <f>IFERROR(__xludf.DUMMYFUNCTION("""COMPUTED_VALUE"""),2346.133274)</f>
        <v>2346.133274</v>
      </c>
    </row>
    <row r="304">
      <c r="A304" s="3">
        <f>IFERROR(__xludf.DUMMYFUNCTION("""COMPUTED_VALUE"""),40604.99861111111)</f>
        <v>40604.99861</v>
      </c>
      <c r="B304" s="1">
        <f>IFERROR(__xludf.DUMMYFUNCTION("""COMPUTED_VALUE"""),2349.923951)</f>
        <v>2349.923951</v>
      </c>
    </row>
    <row r="305">
      <c r="A305" s="3">
        <f>IFERROR(__xludf.DUMMYFUNCTION("""COMPUTED_VALUE"""),40605.99861111111)</f>
        <v>40605.99861</v>
      </c>
      <c r="B305" s="1">
        <f>IFERROR(__xludf.DUMMYFUNCTION("""COMPUTED_VALUE"""),2348.119941)</f>
        <v>2348.119941</v>
      </c>
    </row>
    <row r="306">
      <c r="A306" s="3">
        <f>IFERROR(__xludf.DUMMYFUNCTION("""COMPUTED_VALUE"""),40606.99861111111)</f>
        <v>40606.99861</v>
      </c>
      <c r="B306" s="1">
        <f>IFERROR(__xludf.DUMMYFUNCTION("""COMPUTED_VALUE"""),2336.897883)</f>
        <v>2336.897883</v>
      </c>
    </row>
    <row r="307">
      <c r="A307" s="3">
        <f>IFERROR(__xludf.DUMMYFUNCTION("""COMPUTED_VALUE"""),40609.99861111111)</f>
        <v>40609.99861</v>
      </c>
      <c r="B307" s="1">
        <f>IFERROR(__xludf.DUMMYFUNCTION("""COMPUTED_VALUE"""),2342.919941)</f>
        <v>2342.919941</v>
      </c>
    </row>
    <row r="308">
      <c r="A308" s="3">
        <f>IFERROR(__xludf.DUMMYFUNCTION("""COMPUTED_VALUE"""),40610.99861111111)</f>
        <v>40610.99861</v>
      </c>
      <c r="B308" s="1">
        <f>IFERROR(__xludf.DUMMYFUNCTION("""COMPUTED_VALUE"""),2343.120768)</f>
        <v>2343.120768</v>
      </c>
    </row>
    <row r="309">
      <c r="A309" s="3">
        <f>IFERROR(__xludf.DUMMYFUNCTION("""COMPUTED_VALUE"""),40611.99861111111)</f>
        <v>40611.99861</v>
      </c>
      <c r="B309" s="1">
        <f>IFERROR(__xludf.DUMMYFUNCTION("""COMPUTED_VALUE"""),2336.249163)</f>
        <v>2336.249163</v>
      </c>
    </row>
    <row r="310">
      <c r="A310" s="3">
        <f>IFERROR(__xludf.DUMMYFUNCTION("""COMPUTED_VALUE"""),40612.99861111111)</f>
        <v>40612.99861</v>
      </c>
      <c r="B310" s="1">
        <f>IFERROR(__xludf.DUMMYFUNCTION("""COMPUTED_VALUE"""),2342.503163)</f>
        <v>2342.503163</v>
      </c>
    </row>
    <row r="311">
      <c r="A311" s="3">
        <f>IFERROR(__xludf.DUMMYFUNCTION("""COMPUTED_VALUE"""),40613.99861111111)</f>
        <v>40613.99861</v>
      </c>
      <c r="B311" s="1">
        <f>IFERROR(__xludf.DUMMYFUNCTION("""COMPUTED_VALUE"""),2340.707241)</f>
        <v>2340.707241</v>
      </c>
    </row>
    <row r="312">
      <c r="A312" s="3">
        <f>IFERROR(__xludf.DUMMYFUNCTION("""COMPUTED_VALUE"""),40616.99861111111)</f>
        <v>40616.99861</v>
      </c>
      <c r="B312" s="1">
        <f>IFERROR(__xludf.DUMMYFUNCTION("""COMPUTED_VALUE"""),2336.840265)</f>
        <v>2336.840265</v>
      </c>
    </row>
    <row r="313">
      <c r="A313" s="3">
        <f>IFERROR(__xludf.DUMMYFUNCTION("""COMPUTED_VALUE"""),40617.99861111111)</f>
        <v>40617.99861</v>
      </c>
      <c r="B313" s="1">
        <f>IFERROR(__xludf.DUMMYFUNCTION("""COMPUTED_VALUE"""),2340.062331)</f>
        <v>2340.062331</v>
      </c>
    </row>
    <row r="314">
      <c r="A314" s="3">
        <f>IFERROR(__xludf.DUMMYFUNCTION("""COMPUTED_VALUE"""),40618.99861111111)</f>
        <v>40618.99861</v>
      </c>
      <c r="B314" s="1">
        <f>IFERROR(__xludf.DUMMYFUNCTION("""COMPUTED_VALUE"""),2336.195562)</f>
        <v>2336.195562</v>
      </c>
    </row>
    <row r="315">
      <c r="A315" s="3">
        <f>IFERROR(__xludf.DUMMYFUNCTION("""COMPUTED_VALUE"""),40619.99861111111)</f>
        <v>40619.99861</v>
      </c>
      <c r="B315" s="1">
        <f>IFERROR(__xludf.DUMMYFUNCTION("""COMPUTED_VALUE"""),2338.791317)</f>
        <v>2338.791317</v>
      </c>
    </row>
    <row r="316">
      <c r="A316" s="3">
        <f>IFERROR(__xludf.DUMMYFUNCTION("""COMPUTED_VALUE"""),40620.99861111111)</f>
        <v>40620.99861</v>
      </c>
      <c r="B316" s="1">
        <f>IFERROR(__xludf.DUMMYFUNCTION("""COMPUTED_VALUE"""),2332.124295)</f>
        <v>2332.124295</v>
      </c>
    </row>
    <row r="317">
      <c r="A317" s="3">
        <f>IFERROR(__xludf.DUMMYFUNCTION("""COMPUTED_VALUE"""),40623.99861111111)</f>
        <v>40623.99861</v>
      </c>
      <c r="B317" s="1">
        <f>IFERROR(__xludf.DUMMYFUNCTION("""COMPUTED_VALUE"""),2325.51936)</f>
        <v>2325.51936</v>
      </c>
    </row>
    <row r="318">
      <c r="A318" s="3">
        <f>IFERROR(__xludf.DUMMYFUNCTION("""COMPUTED_VALUE"""),40624.99861111111)</f>
        <v>40624.99861</v>
      </c>
      <c r="B318" s="1">
        <f>IFERROR(__xludf.DUMMYFUNCTION("""COMPUTED_VALUE"""),2325.723954)</f>
        <v>2325.723954</v>
      </c>
    </row>
    <row r="319">
      <c r="A319" s="3">
        <f>IFERROR(__xludf.DUMMYFUNCTION("""COMPUTED_VALUE"""),40625.99861111111)</f>
        <v>40625.99861</v>
      </c>
      <c r="B319" s="1">
        <f>IFERROR(__xludf.DUMMYFUNCTION("""COMPUTED_VALUE"""),2325.84396)</f>
        <v>2325.84396</v>
      </c>
    </row>
    <row r="320">
      <c r="A320" s="3">
        <f>IFERROR(__xludf.DUMMYFUNCTION("""COMPUTED_VALUE"""),40626.99861111111)</f>
        <v>40626.99861</v>
      </c>
      <c r="B320" s="1">
        <f>IFERROR(__xludf.DUMMYFUNCTION("""COMPUTED_VALUE"""),2322.85248)</f>
        <v>2322.85248</v>
      </c>
    </row>
    <row r="321">
      <c r="A321" s="3">
        <f>IFERROR(__xludf.DUMMYFUNCTION("""COMPUTED_VALUE"""),40627.99861111111)</f>
        <v>40627.99861</v>
      </c>
      <c r="B321" s="1">
        <f>IFERROR(__xludf.DUMMYFUNCTION("""COMPUTED_VALUE"""),2321.510396)</f>
        <v>2321.510396</v>
      </c>
    </row>
    <row r="322">
      <c r="A322" s="3">
        <f>IFERROR(__xludf.DUMMYFUNCTION("""COMPUTED_VALUE"""),40630.99861111111)</f>
        <v>40630.99861</v>
      </c>
      <c r="B322" s="1">
        <f>IFERROR(__xludf.DUMMYFUNCTION("""COMPUTED_VALUE"""),2324.977248)</f>
        <v>2324.977248</v>
      </c>
    </row>
    <row r="323">
      <c r="A323" s="3">
        <f>IFERROR(__xludf.DUMMYFUNCTION("""COMPUTED_VALUE"""),40631.99861111111)</f>
        <v>40631.99861</v>
      </c>
      <c r="B323" s="1">
        <f>IFERROR(__xludf.DUMMYFUNCTION("""COMPUTED_VALUE"""),2317.225363)</f>
        <v>2317.225363</v>
      </c>
    </row>
    <row r="324">
      <c r="A324" s="3">
        <f>IFERROR(__xludf.DUMMYFUNCTION("""COMPUTED_VALUE"""),40632.99861111111)</f>
        <v>40632.99861</v>
      </c>
      <c r="B324" s="1">
        <f>IFERROR(__xludf.DUMMYFUNCTION("""COMPUTED_VALUE"""),2320.043651)</f>
        <v>2320.043651</v>
      </c>
    </row>
    <row r="325">
      <c r="A325" s="3">
        <f>IFERROR(__xludf.DUMMYFUNCTION("""COMPUTED_VALUE"""),40633.99861111111)</f>
        <v>40633.99861</v>
      </c>
      <c r="B325" s="1">
        <f>IFERROR(__xludf.DUMMYFUNCTION("""COMPUTED_VALUE"""),2325.359347)</f>
        <v>2325.359347</v>
      </c>
    </row>
    <row r="326">
      <c r="A326" s="3">
        <f>IFERROR(__xludf.DUMMYFUNCTION("""COMPUTED_VALUE"""),40634.99861111111)</f>
        <v>40634.99861</v>
      </c>
      <c r="B326" s="1">
        <f>IFERROR(__xludf.DUMMYFUNCTION("""COMPUTED_VALUE"""),2310.833119)</f>
        <v>2310.833119</v>
      </c>
    </row>
    <row r="327">
      <c r="A327" s="3">
        <f>IFERROR(__xludf.DUMMYFUNCTION("""COMPUTED_VALUE"""),40636.99861111111)</f>
        <v>40636.99861</v>
      </c>
      <c r="B327" s="1">
        <f>IFERROR(__xludf.DUMMYFUNCTION("""COMPUTED_VALUE"""),2311.579865)</f>
        <v>2311.579865</v>
      </c>
    </row>
    <row r="328">
      <c r="A328" s="3">
        <f>IFERROR(__xludf.DUMMYFUNCTION("""COMPUTED_VALUE"""),40637.99861111111)</f>
        <v>40637.99861</v>
      </c>
      <c r="B328" s="1">
        <f>IFERROR(__xludf.DUMMYFUNCTION("""COMPUTED_VALUE"""),2305.757779)</f>
        <v>2305.757779</v>
      </c>
    </row>
    <row r="329">
      <c r="A329" s="3">
        <f>IFERROR(__xludf.DUMMYFUNCTION("""COMPUTED_VALUE"""),40638.99861111111)</f>
        <v>40638.99861</v>
      </c>
      <c r="B329" s="1">
        <f>IFERROR(__xludf.DUMMYFUNCTION("""COMPUTED_VALUE"""),2307.792795)</f>
        <v>2307.792795</v>
      </c>
    </row>
    <row r="330">
      <c r="A330" s="3">
        <f>IFERROR(__xludf.DUMMYFUNCTION("""COMPUTED_VALUE"""),40639.99861111111)</f>
        <v>40639.99861</v>
      </c>
      <c r="B330" s="1">
        <f>IFERROR(__xludf.DUMMYFUNCTION("""COMPUTED_VALUE"""),2303.472334)</f>
        <v>2303.472334</v>
      </c>
    </row>
    <row r="331">
      <c r="A331" s="3">
        <f>IFERROR(__xludf.DUMMYFUNCTION("""COMPUTED_VALUE"""),40640.99861111111)</f>
        <v>40640.99861</v>
      </c>
      <c r="B331" s="1">
        <f>IFERROR(__xludf.DUMMYFUNCTION("""COMPUTED_VALUE"""),2305.011052)</f>
        <v>2305.011052</v>
      </c>
    </row>
    <row r="332">
      <c r="A332" s="3">
        <f>IFERROR(__xludf.DUMMYFUNCTION("""COMPUTED_VALUE"""),40641.99861111111)</f>
        <v>40641.99861</v>
      </c>
      <c r="B332" s="1">
        <f>IFERROR(__xludf.DUMMYFUNCTION("""COMPUTED_VALUE"""),2296.031541)</f>
        <v>2296.031541</v>
      </c>
    </row>
    <row r="333">
      <c r="A333" s="3">
        <f>IFERROR(__xludf.DUMMYFUNCTION("""COMPUTED_VALUE"""),40642.99861111111)</f>
        <v>40642.99861</v>
      </c>
      <c r="B333" s="1">
        <f>IFERROR(__xludf.DUMMYFUNCTION("""COMPUTED_VALUE"""),2301.962688)</f>
        <v>2301.962688</v>
      </c>
    </row>
    <row r="334">
      <c r="A334" s="3">
        <f>IFERROR(__xludf.DUMMYFUNCTION("""COMPUTED_VALUE"""),40643.99861111111)</f>
        <v>40643.99861</v>
      </c>
      <c r="B334" s="1">
        <f>IFERROR(__xludf.DUMMYFUNCTION("""COMPUTED_VALUE"""),2297.917152)</f>
        <v>2297.917152</v>
      </c>
    </row>
    <row r="335">
      <c r="A335" s="3">
        <f>IFERROR(__xludf.DUMMYFUNCTION("""COMPUTED_VALUE"""),40644.99861111111)</f>
        <v>40644.99861</v>
      </c>
      <c r="B335" s="1">
        <f>IFERROR(__xludf.DUMMYFUNCTION("""COMPUTED_VALUE"""),2308.317984)</f>
        <v>2308.317984</v>
      </c>
    </row>
    <row r="336">
      <c r="A336" s="3">
        <f>IFERROR(__xludf.DUMMYFUNCTION("""COMPUTED_VALUE"""),40645.99861111111)</f>
        <v>40645.99861</v>
      </c>
      <c r="B336" s="1">
        <f>IFERROR(__xludf.DUMMYFUNCTION("""COMPUTED_VALUE"""),2297.978415)</f>
        <v>2297.978415</v>
      </c>
    </row>
    <row r="337">
      <c r="A337" s="3">
        <f>IFERROR(__xludf.DUMMYFUNCTION("""COMPUTED_VALUE"""),40646.99861111111)</f>
        <v>40646.99861</v>
      </c>
      <c r="B337" s="1">
        <f>IFERROR(__xludf.DUMMYFUNCTION("""COMPUTED_VALUE"""),2311.784928)</f>
        <v>2311.784928</v>
      </c>
    </row>
    <row r="338">
      <c r="A338" s="3">
        <f>IFERROR(__xludf.DUMMYFUNCTION("""COMPUTED_VALUE"""),40647.99861111111)</f>
        <v>40647.99861</v>
      </c>
      <c r="B338" s="1">
        <f>IFERROR(__xludf.DUMMYFUNCTION("""COMPUTED_VALUE"""),2305.679942)</f>
        <v>2305.679942</v>
      </c>
    </row>
    <row r="339">
      <c r="A339" s="3">
        <f>IFERROR(__xludf.DUMMYFUNCTION("""COMPUTED_VALUE"""),40648.99861111111)</f>
        <v>40648.99861</v>
      </c>
      <c r="B339" s="1">
        <f>IFERROR(__xludf.DUMMYFUNCTION("""COMPUTED_VALUE"""),2311.778302)</f>
        <v>2311.778302</v>
      </c>
    </row>
    <row r="340">
      <c r="A340" s="3">
        <f>IFERROR(__xludf.DUMMYFUNCTION("""COMPUTED_VALUE"""),40650.99861111111)</f>
        <v>40650.99861</v>
      </c>
      <c r="B340" s="1">
        <f>IFERROR(__xludf.DUMMYFUNCTION("""COMPUTED_VALUE"""),2303.872377)</f>
        <v>2303.872377</v>
      </c>
    </row>
    <row r="341">
      <c r="A341" s="3">
        <f>IFERROR(__xludf.DUMMYFUNCTION("""COMPUTED_VALUE"""),40651.99861111111)</f>
        <v>40651.99861</v>
      </c>
      <c r="B341" s="1">
        <f>IFERROR(__xludf.DUMMYFUNCTION("""COMPUTED_VALUE"""),2309.007477)</f>
        <v>2309.007477</v>
      </c>
    </row>
    <row r="342">
      <c r="A342" s="3">
        <f>IFERROR(__xludf.DUMMYFUNCTION("""COMPUTED_VALUE"""),40652.99861111111)</f>
        <v>40652.99861</v>
      </c>
      <c r="B342" s="1">
        <f>IFERROR(__xludf.DUMMYFUNCTION("""COMPUTED_VALUE"""),2311.429859)</f>
        <v>2311.429859</v>
      </c>
    </row>
    <row r="343">
      <c r="A343" s="3">
        <f>IFERROR(__xludf.DUMMYFUNCTION("""COMPUTED_VALUE"""),40653.99861111111)</f>
        <v>40653.99861</v>
      </c>
      <c r="B343" s="1">
        <f>IFERROR(__xludf.DUMMYFUNCTION("""COMPUTED_VALUE"""),2302.416045)</f>
        <v>2302.416045</v>
      </c>
    </row>
    <row r="344">
      <c r="A344" s="3">
        <f>IFERROR(__xludf.DUMMYFUNCTION("""COMPUTED_VALUE"""),40654.99861111111)</f>
        <v>40654.99861</v>
      </c>
      <c r="B344" s="1">
        <f>IFERROR(__xludf.DUMMYFUNCTION("""COMPUTED_VALUE"""),2304.510142)</f>
        <v>2304.510142</v>
      </c>
    </row>
    <row r="345">
      <c r="A345" s="3">
        <f>IFERROR(__xludf.DUMMYFUNCTION("""COMPUTED_VALUE"""),40655.99861111111)</f>
        <v>40655.99861</v>
      </c>
      <c r="B345" s="1">
        <f>IFERROR(__xludf.DUMMYFUNCTION("""COMPUTED_VALUE"""),2303.309918)</f>
        <v>2303.309918</v>
      </c>
    </row>
    <row r="346">
      <c r="A346" s="3">
        <f>IFERROR(__xludf.DUMMYFUNCTION("""COMPUTED_VALUE"""),40657.99861111111)</f>
        <v>40657.99861</v>
      </c>
      <c r="B346" s="1">
        <f>IFERROR(__xludf.DUMMYFUNCTION("""COMPUTED_VALUE"""),2299.56256)</f>
        <v>2299.56256</v>
      </c>
    </row>
    <row r="347">
      <c r="A347" s="3">
        <f>IFERROR(__xludf.DUMMYFUNCTION("""COMPUTED_VALUE"""),40658.99861111111)</f>
        <v>40658.99861</v>
      </c>
      <c r="B347" s="1">
        <f>IFERROR(__xludf.DUMMYFUNCTION("""COMPUTED_VALUE"""),2299.519942)</f>
        <v>2299.519942</v>
      </c>
    </row>
    <row r="348">
      <c r="A348" s="3">
        <f>IFERROR(__xludf.DUMMYFUNCTION("""COMPUTED_VALUE"""),40659.99861111111)</f>
        <v>40659.99861</v>
      </c>
      <c r="B348" s="1">
        <f>IFERROR(__xludf.DUMMYFUNCTION("""COMPUTED_VALUE"""),2297.997158)</f>
        <v>2297.997158</v>
      </c>
    </row>
    <row r="349">
      <c r="A349" s="3">
        <f>IFERROR(__xludf.DUMMYFUNCTION("""COMPUTED_VALUE"""),40660.99861111111)</f>
        <v>40660.99861</v>
      </c>
      <c r="B349" s="1">
        <f>IFERROR(__xludf.DUMMYFUNCTION("""COMPUTED_VALUE"""),2284.868443)</f>
        <v>2284.868443</v>
      </c>
    </row>
    <row r="350">
      <c r="A350" s="3">
        <f>IFERROR(__xludf.DUMMYFUNCTION("""COMPUTED_VALUE"""),40661.99861111111)</f>
        <v>40661.99861</v>
      </c>
      <c r="B350" s="1">
        <f>IFERROR(__xludf.DUMMYFUNCTION("""COMPUTED_VALUE"""),2281.009132)</f>
        <v>2281.009132</v>
      </c>
    </row>
    <row r="351">
      <c r="A351" s="3">
        <f>IFERROR(__xludf.DUMMYFUNCTION("""COMPUTED_VALUE"""),40662.99861111111)</f>
        <v>40662.99861</v>
      </c>
      <c r="B351" s="1">
        <f>IFERROR(__xludf.DUMMYFUNCTION("""COMPUTED_VALUE"""),2285.436153)</f>
        <v>2285.436153</v>
      </c>
    </row>
    <row r="352">
      <c r="A352" s="3">
        <f>IFERROR(__xludf.DUMMYFUNCTION("""COMPUTED_VALUE"""),40663.99861111111)</f>
        <v>40663.99861</v>
      </c>
      <c r="B352" s="1">
        <f>IFERROR(__xludf.DUMMYFUNCTION("""COMPUTED_VALUE"""),2281.092438)</f>
        <v>2281.092438</v>
      </c>
    </row>
    <row r="353">
      <c r="A353" s="3">
        <f>IFERROR(__xludf.DUMMYFUNCTION("""COMPUTED_VALUE"""),40664.99861111111)</f>
        <v>40664.99861</v>
      </c>
      <c r="B353" s="1">
        <f>IFERROR(__xludf.DUMMYFUNCTION("""COMPUTED_VALUE"""),2285.33323)</f>
        <v>2285.33323</v>
      </c>
    </row>
    <row r="354">
      <c r="A354" s="3">
        <f>IFERROR(__xludf.DUMMYFUNCTION("""COMPUTED_VALUE"""),40665.99861111111)</f>
        <v>40665.99861</v>
      </c>
      <c r="B354" s="1">
        <f>IFERROR(__xludf.DUMMYFUNCTION("""COMPUTED_VALUE"""),2283.222643)</f>
        <v>2283.222643</v>
      </c>
    </row>
    <row r="355">
      <c r="A355" s="3">
        <f>IFERROR(__xludf.DUMMYFUNCTION("""COMPUTED_VALUE"""),40666.99861111111)</f>
        <v>40666.99861</v>
      </c>
      <c r="B355" s="1">
        <f>IFERROR(__xludf.DUMMYFUNCTION("""COMPUTED_VALUE"""),2282.654992)</f>
        <v>2282.654992</v>
      </c>
    </row>
    <row r="356">
      <c r="A356" s="3">
        <f>IFERROR(__xludf.DUMMYFUNCTION("""COMPUTED_VALUE"""),40667.99861111111)</f>
        <v>40667.99861</v>
      </c>
      <c r="B356" s="1">
        <f>IFERROR(__xludf.DUMMYFUNCTION("""COMPUTED_VALUE"""),2276.235417)</f>
        <v>2276.235417</v>
      </c>
    </row>
    <row r="357">
      <c r="A357" s="3">
        <f>IFERROR(__xludf.DUMMYFUNCTION("""COMPUTED_VALUE"""),40668.99861111111)</f>
        <v>40668.99861</v>
      </c>
      <c r="B357" s="1">
        <f>IFERROR(__xludf.DUMMYFUNCTION("""COMPUTED_VALUE"""),2288.468635)</f>
        <v>2288.468635</v>
      </c>
    </row>
    <row r="358">
      <c r="A358" s="3">
        <f>IFERROR(__xludf.DUMMYFUNCTION("""COMPUTED_VALUE"""),40669.99861111111)</f>
        <v>40669.99861</v>
      </c>
      <c r="B358" s="1">
        <f>IFERROR(__xludf.DUMMYFUNCTION("""COMPUTED_VALUE"""),2318.098134)</f>
        <v>2318.098134</v>
      </c>
    </row>
    <row r="359">
      <c r="A359" s="3">
        <f>IFERROR(__xludf.DUMMYFUNCTION("""COMPUTED_VALUE"""),40670.99861111111)</f>
        <v>40670.99861</v>
      </c>
      <c r="B359" s="1">
        <f>IFERROR(__xludf.DUMMYFUNCTION("""COMPUTED_VALUE"""),2276.014638)</f>
        <v>2276.014638</v>
      </c>
    </row>
    <row r="360">
      <c r="A360" s="3">
        <f>IFERROR(__xludf.DUMMYFUNCTION("""COMPUTED_VALUE"""),40672.99861111111)</f>
        <v>40672.99861</v>
      </c>
      <c r="B360" s="1">
        <f>IFERROR(__xludf.DUMMYFUNCTION("""COMPUTED_VALUE"""),2272.654459)</f>
        <v>2272.654459</v>
      </c>
    </row>
    <row r="361">
      <c r="A361" s="3">
        <f>IFERROR(__xludf.DUMMYFUNCTION("""COMPUTED_VALUE"""),40673.99861111111)</f>
        <v>40673.99861</v>
      </c>
      <c r="B361" s="1">
        <f>IFERROR(__xludf.DUMMYFUNCTION("""COMPUTED_VALUE"""),2274.30788)</f>
        <v>2274.30788</v>
      </c>
    </row>
    <row r="362">
      <c r="A362" s="3">
        <f>IFERROR(__xludf.DUMMYFUNCTION("""COMPUTED_VALUE"""),40674.99861111111)</f>
        <v>40674.99861</v>
      </c>
      <c r="B362" s="1">
        <f>IFERROR(__xludf.DUMMYFUNCTION("""COMPUTED_VALUE"""),2290.004231)</f>
        <v>2290.004231</v>
      </c>
    </row>
    <row r="363">
      <c r="A363" s="3">
        <f>IFERROR(__xludf.DUMMYFUNCTION("""COMPUTED_VALUE"""),40675.99861111111)</f>
        <v>40675.99861</v>
      </c>
      <c r="B363" s="1">
        <f>IFERROR(__xludf.DUMMYFUNCTION("""COMPUTED_VALUE"""),2280.1824)</f>
        <v>2280.1824</v>
      </c>
    </row>
    <row r="364">
      <c r="A364" s="3">
        <f>IFERROR(__xludf.DUMMYFUNCTION("""COMPUTED_VALUE"""),40676.99861111111)</f>
        <v>40676.99861</v>
      </c>
      <c r="B364" s="1">
        <f>IFERROR(__xludf.DUMMYFUNCTION("""COMPUTED_VALUE"""),2295.135657)</f>
        <v>2295.135657</v>
      </c>
    </row>
    <row r="365">
      <c r="A365" s="3">
        <f>IFERROR(__xludf.DUMMYFUNCTION("""COMPUTED_VALUE"""),40678.99861111111)</f>
        <v>40678.99861</v>
      </c>
      <c r="B365" s="1">
        <f>IFERROR(__xludf.DUMMYFUNCTION("""COMPUTED_VALUE"""),2280.982464)</f>
        <v>2280.982464</v>
      </c>
    </row>
    <row r="366">
      <c r="A366" s="3">
        <f>IFERROR(__xludf.DUMMYFUNCTION("""COMPUTED_VALUE"""),40679.99861111111)</f>
        <v>40679.99861</v>
      </c>
      <c r="B366" s="1">
        <f>IFERROR(__xludf.DUMMYFUNCTION("""COMPUTED_VALUE"""),2291.428793)</f>
        <v>2291.428793</v>
      </c>
    </row>
    <row r="367">
      <c r="A367" s="3">
        <f>IFERROR(__xludf.DUMMYFUNCTION("""COMPUTED_VALUE"""),40680.99861111111)</f>
        <v>40680.99861</v>
      </c>
      <c r="B367" s="1">
        <f>IFERROR(__xludf.DUMMYFUNCTION("""COMPUTED_VALUE"""),2234.285395)</f>
        <v>2234.285395</v>
      </c>
    </row>
    <row r="368">
      <c r="A368" s="3">
        <f>IFERROR(__xludf.DUMMYFUNCTION("""COMPUTED_VALUE"""),40681.99861111111)</f>
        <v>40681.99861</v>
      </c>
      <c r="B368" s="1">
        <f>IFERROR(__xludf.DUMMYFUNCTION("""COMPUTED_VALUE"""),2278.456333)</f>
        <v>2278.456333</v>
      </c>
    </row>
    <row r="369">
      <c r="A369" s="3">
        <f>IFERROR(__xludf.DUMMYFUNCTION("""COMPUTED_VALUE"""),40682.99861111111)</f>
        <v>40682.99861</v>
      </c>
      <c r="B369" s="1">
        <f>IFERROR(__xludf.DUMMYFUNCTION("""COMPUTED_VALUE"""),2280.77658)</f>
        <v>2280.77658</v>
      </c>
    </row>
    <row r="370">
      <c r="A370" s="3">
        <f>IFERROR(__xludf.DUMMYFUNCTION("""COMPUTED_VALUE"""),40683.99861111111)</f>
        <v>40683.99861</v>
      </c>
      <c r="B370" s="1">
        <f>IFERROR(__xludf.DUMMYFUNCTION("""COMPUTED_VALUE"""),2282.315904)</f>
        <v>2282.315904</v>
      </c>
    </row>
    <row r="371">
      <c r="A371" s="3">
        <f>IFERROR(__xludf.DUMMYFUNCTION("""COMPUTED_VALUE"""),40684.99861111111)</f>
        <v>40684.99861</v>
      </c>
      <c r="B371" s="1">
        <f>IFERROR(__xludf.DUMMYFUNCTION("""COMPUTED_VALUE"""),2245.439478)</f>
        <v>2245.439478</v>
      </c>
    </row>
    <row r="372">
      <c r="A372" s="3">
        <f>IFERROR(__xludf.DUMMYFUNCTION("""COMPUTED_VALUE"""),40685.99861111111)</f>
        <v>40685.99861</v>
      </c>
      <c r="B372" s="1">
        <f>IFERROR(__xludf.DUMMYFUNCTION("""COMPUTED_VALUE"""),2283.287448)</f>
        <v>2283.287448</v>
      </c>
    </row>
    <row r="373">
      <c r="A373" s="3">
        <f>IFERROR(__xludf.DUMMYFUNCTION("""COMPUTED_VALUE"""),40686.99861111111)</f>
        <v>40686.99861</v>
      </c>
      <c r="B373" s="1">
        <f>IFERROR(__xludf.DUMMYFUNCTION("""COMPUTED_VALUE"""),2293.577946)</f>
        <v>2293.577946</v>
      </c>
    </row>
    <row r="374">
      <c r="A374" s="3">
        <f>IFERROR(__xludf.DUMMYFUNCTION("""COMPUTED_VALUE"""),40687.99861111111)</f>
        <v>40687.99861</v>
      </c>
      <c r="B374" s="1">
        <f>IFERROR(__xludf.DUMMYFUNCTION("""COMPUTED_VALUE"""),2241.72599)</f>
        <v>2241.72599</v>
      </c>
    </row>
    <row r="375">
      <c r="A375" s="3">
        <f>IFERROR(__xludf.DUMMYFUNCTION("""COMPUTED_VALUE"""),40688.99861111111)</f>
        <v>40688.99861</v>
      </c>
      <c r="B375" s="1">
        <f>IFERROR(__xludf.DUMMYFUNCTION("""COMPUTED_VALUE"""),2291.369961)</f>
        <v>2291.369961</v>
      </c>
    </row>
    <row r="376">
      <c r="A376" s="3">
        <f>IFERROR(__xludf.DUMMYFUNCTION("""COMPUTED_VALUE"""),40689.99861111111)</f>
        <v>40689.99861</v>
      </c>
      <c r="B376" s="1">
        <f>IFERROR(__xludf.DUMMYFUNCTION("""COMPUTED_VALUE"""),2286.910568)</f>
        <v>2286.910568</v>
      </c>
    </row>
    <row r="377">
      <c r="A377" s="3">
        <f>IFERROR(__xludf.DUMMYFUNCTION("""COMPUTED_VALUE"""),40690.99861111111)</f>
        <v>40690.99861</v>
      </c>
      <c r="B377" s="1">
        <f>IFERROR(__xludf.DUMMYFUNCTION("""COMPUTED_VALUE"""),2282.896806)</f>
        <v>2282.896806</v>
      </c>
    </row>
    <row r="378">
      <c r="A378" s="3">
        <f>IFERROR(__xludf.DUMMYFUNCTION("""COMPUTED_VALUE"""),40691.99861111111)</f>
        <v>40691.99861</v>
      </c>
      <c r="B378" s="1">
        <f>IFERROR(__xludf.DUMMYFUNCTION("""COMPUTED_VALUE"""),2229.677797)</f>
        <v>2229.677797</v>
      </c>
    </row>
    <row r="379">
      <c r="A379" s="3">
        <f>IFERROR(__xludf.DUMMYFUNCTION("""COMPUTED_VALUE"""),40692.99861111111)</f>
        <v>40692.99861</v>
      </c>
      <c r="B379" s="1">
        <f>IFERROR(__xludf.DUMMYFUNCTION("""COMPUTED_VALUE"""),2282.835945)</f>
        <v>2282.835945</v>
      </c>
    </row>
    <row r="380">
      <c r="A380" s="3">
        <f>IFERROR(__xludf.DUMMYFUNCTION("""COMPUTED_VALUE"""),40693.99861111111)</f>
        <v>40693.99861</v>
      </c>
      <c r="B380" s="1">
        <f>IFERROR(__xludf.DUMMYFUNCTION("""COMPUTED_VALUE"""),2280.952975)</f>
        <v>2280.952975</v>
      </c>
    </row>
    <row r="381">
      <c r="A381" s="3">
        <f>IFERROR(__xludf.DUMMYFUNCTION("""COMPUTED_VALUE"""),40694.99861111111)</f>
        <v>40694.99861</v>
      </c>
      <c r="B381" s="1">
        <f>IFERROR(__xludf.DUMMYFUNCTION("""COMPUTED_VALUE"""),2276.773276)</f>
        <v>2276.773276</v>
      </c>
    </row>
    <row r="382">
      <c r="A382" s="3">
        <f>IFERROR(__xludf.DUMMYFUNCTION("""COMPUTED_VALUE"""),40695.99861111111)</f>
        <v>40695.99861</v>
      </c>
      <c r="B382" s="1">
        <f>IFERROR(__xludf.DUMMYFUNCTION("""COMPUTED_VALUE"""),2277.576239)</f>
        <v>2277.576239</v>
      </c>
    </row>
    <row r="383">
      <c r="A383" s="3">
        <f>IFERROR(__xludf.DUMMYFUNCTION("""COMPUTED_VALUE"""),40696.99861111111)</f>
        <v>40696.99861</v>
      </c>
      <c r="B383" s="1">
        <f>IFERROR(__xludf.DUMMYFUNCTION("""COMPUTED_VALUE"""),2277.542188)</f>
        <v>2277.542188</v>
      </c>
    </row>
    <row r="384">
      <c r="A384" s="3">
        <f>IFERROR(__xludf.DUMMYFUNCTION("""COMPUTED_VALUE"""),40697.99861111111)</f>
        <v>40697.99861</v>
      </c>
      <c r="B384" s="1">
        <f>IFERROR(__xludf.DUMMYFUNCTION("""COMPUTED_VALUE"""),2272.362349)</f>
        <v>2272.362349</v>
      </c>
    </row>
    <row r="385">
      <c r="A385" s="3">
        <f>IFERROR(__xludf.DUMMYFUNCTION("""COMPUTED_VALUE"""),40699.99861111111)</f>
        <v>40699.99861</v>
      </c>
      <c r="B385" s="1">
        <f>IFERROR(__xludf.DUMMYFUNCTION("""COMPUTED_VALUE"""),2272.362349)</f>
        <v>2272.362349</v>
      </c>
    </row>
    <row r="386">
      <c r="A386" s="3">
        <f>IFERROR(__xludf.DUMMYFUNCTION("""COMPUTED_VALUE"""),40700.99861111111)</f>
        <v>40700.99861</v>
      </c>
      <c r="B386" s="1">
        <f>IFERROR(__xludf.DUMMYFUNCTION("""COMPUTED_VALUE"""),2266.848)</f>
        <v>2266.848</v>
      </c>
    </row>
    <row r="387">
      <c r="A387" s="3">
        <f>IFERROR(__xludf.DUMMYFUNCTION("""COMPUTED_VALUE"""),40701.99861111111)</f>
        <v>40701.99861</v>
      </c>
      <c r="B387" s="1">
        <f>IFERROR(__xludf.DUMMYFUNCTION("""COMPUTED_VALUE"""),2270.968329)</f>
        <v>2270.968329</v>
      </c>
    </row>
    <row r="388">
      <c r="A388" s="3">
        <f>IFERROR(__xludf.DUMMYFUNCTION("""COMPUTED_VALUE"""),40702.99861111111)</f>
        <v>40702.99861</v>
      </c>
      <c r="B388" s="1">
        <f>IFERROR(__xludf.DUMMYFUNCTION("""COMPUTED_VALUE"""),2264.4015)</f>
        <v>2264.4015</v>
      </c>
    </row>
    <row r="389">
      <c r="A389" s="3">
        <f>IFERROR(__xludf.DUMMYFUNCTION("""COMPUTED_VALUE"""),40703.99861111111)</f>
        <v>40703.99861</v>
      </c>
      <c r="B389" s="1">
        <f>IFERROR(__xludf.DUMMYFUNCTION("""COMPUTED_VALUE"""),2272.242337)</f>
        <v>2272.242337</v>
      </c>
    </row>
    <row r="390">
      <c r="A390" s="3">
        <f>IFERROR(__xludf.DUMMYFUNCTION("""COMPUTED_VALUE"""),40704.99861111111)</f>
        <v>40704.99861</v>
      </c>
      <c r="B390" s="1">
        <f>IFERROR(__xludf.DUMMYFUNCTION("""COMPUTED_VALUE"""),2274.555283)</f>
        <v>2274.555283</v>
      </c>
    </row>
    <row r="391">
      <c r="A391" s="3">
        <f>IFERROR(__xludf.DUMMYFUNCTION("""COMPUTED_VALUE"""),40705.99861111111)</f>
        <v>40705.99861</v>
      </c>
      <c r="B391" s="1">
        <f>IFERROR(__xludf.DUMMYFUNCTION("""COMPUTED_VALUE"""),2265.781248)</f>
        <v>2265.781248</v>
      </c>
    </row>
    <row r="392">
      <c r="A392" s="3">
        <f>IFERROR(__xludf.DUMMYFUNCTION("""COMPUTED_VALUE"""),40706.99861111111)</f>
        <v>40706.99861</v>
      </c>
      <c r="B392" s="1">
        <f>IFERROR(__xludf.DUMMYFUNCTION("""COMPUTED_VALUE"""),2271.501705)</f>
        <v>2271.501705</v>
      </c>
    </row>
    <row r="393">
      <c r="A393" s="3">
        <f>IFERROR(__xludf.DUMMYFUNCTION("""COMPUTED_VALUE"""),40707.99861111111)</f>
        <v>40707.99861</v>
      </c>
      <c r="B393" s="1">
        <f>IFERROR(__xludf.DUMMYFUNCTION("""COMPUTED_VALUE"""),2277.429557)</f>
        <v>2277.429557</v>
      </c>
    </row>
    <row r="394">
      <c r="A394" s="3">
        <f>IFERROR(__xludf.DUMMYFUNCTION("""COMPUTED_VALUE"""),40708.99861111111)</f>
        <v>40708.99861</v>
      </c>
      <c r="B394" s="1">
        <f>IFERROR(__xludf.DUMMYFUNCTION("""COMPUTED_VALUE"""),2275.962733)</f>
        <v>2275.962733</v>
      </c>
    </row>
    <row r="395">
      <c r="A395" s="3">
        <f>IFERROR(__xludf.DUMMYFUNCTION("""COMPUTED_VALUE"""),40709.99861111111)</f>
        <v>40709.99861</v>
      </c>
      <c r="B395" s="1">
        <f>IFERROR(__xludf.DUMMYFUNCTION("""COMPUTED_VALUE"""),2272.669049)</f>
        <v>2272.669049</v>
      </c>
    </row>
    <row r="396">
      <c r="A396" s="3">
        <f>IFERROR(__xludf.DUMMYFUNCTION("""COMPUTED_VALUE"""),40710.99861111111)</f>
        <v>40710.99861</v>
      </c>
      <c r="B396" s="1">
        <f>IFERROR(__xludf.DUMMYFUNCTION("""COMPUTED_VALUE"""),2296.244897)</f>
        <v>2296.244897</v>
      </c>
    </row>
    <row r="397">
      <c r="A397" s="3">
        <f>IFERROR(__xludf.DUMMYFUNCTION("""COMPUTED_VALUE"""),40711.99861111111)</f>
        <v>40711.99861</v>
      </c>
      <c r="B397" s="1">
        <f>IFERROR(__xludf.DUMMYFUNCTION("""COMPUTED_VALUE"""),2288.244043)</f>
        <v>2288.244043</v>
      </c>
    </row>
    <row r="398">
      <c r="A398" s="3">
        <f>IFERROR(__xludf.DUMMYFUNCTION("""COMPUTED_VALUE"""),40712.99861111111)</f>
        <v>40712.99861</v>
      </c>
      <c r="B398" s="1">
        <f>IFERROR(__xludf.DUMMYFUNCTION("""COMPUTED_VALUE"""),2236.658918)</f>
        <v>2236.658918</v>
      </c>
    </row>
    <row r="399">
      <c r="A399" s="3">
        <f>IFERROR(__xludf.DUMMYFUNCTION("""COMPUTED_VALUE"""),40713.99861111111)</f>
        <v>40713.99861</v>
      </c>
      <c r="B399" s="1">
        <f>IFERROR(__xludf.DUMMYFUNCTION("""COMPUTED_VALUE"""),2295.015917)</f>
        <v>2295.015917</v>
      </c>
    </row>
    <row r="400">
      <c r="A400" s="3">
        <f>IFERROR(__xludf.DUMMYFUNCTION("""COMPUTED_VALUE"""),40714.99861111111)</f>
        <v>40714.99861</v>
      </c>
      <c r="B400" s="1">
        <f>IFERROR(__xludf.DUMMYFUNCTION("""COMPUTED_VALUE"""),2296.373275)</f>
        <v>2296.373275</v>
      </c>
    </row>
    <row r="401">
      <c r="A401" s="3">
        <f>IFERROR(__xludf.DUMMYFUNCTION("""COMPUTED_VALUE"""),40715.99861111111)</f>
        <v>40715.99861</v>
      </c>
      <c r="B401" s="1">
        <f>IFERROR(__xludf.DUMMYFUNCTION("""COMPUTED_VALUE"""),2293.577946)</f>
        <v>2293.577946</v>
      </c>
    </row>
    <row r="402">
      <c r="A402" s="3">
        <f>IFERROR(__xludf.DUMMYFUNCTION("""COMPUTED_VALUE"""),40716.99861111111)</f>
        <v>40716.99861</v>
      </c>
      <c r="B402" s="1">
        <f>IFERROR(__xludf.DUMMYFUNCTION("""COMPUTED_VALUE"""),2288.18304)</f>
        <v>2288.18304</v>
      </c>
    </row>
    <row r="403">
      <c r="A403" s="3">
        <f>IFERROR(__xludf.DUMMYFUNCTION("""COMPUTED_VALUE"""),40717.99861111111)</f>
        <v>40717.99861</v>
      </c>
      <c r="B403" s="1">
        <f>IFERROR(__xludf.DUMMYFUNCTION("""COMPUTED_VALUE"""),2293.442233)</f>
        <v>2293.442233</v>
      </c>
    </row>
    <row r="404">
      <c r="A404" s="3">
        <f>IFERROR(__xludf.DUMMYFUNCTION("""COMPUTED_VALUE"""),40718.99861111111)</f>
        <v>40718.99861</v>
      </c>
      <c r="B404" s="1">
        <f>IFERROR(__xludf.DUMMYFUNCTION("""COMPUTED_VALUE"""),2286.788546)</f>
        <v>2286.788546</v>
      </c>
    </row>
    <row r="405">
      <c r="A405" s="3">
        <f>IFERROR(__xludf.DUMMYFUNCTION("""COMPUTED_VALUE"""),40719.99861111111)</f>
        <v>40719.99861</v>
      </c>
      <c r="B405" s="1">
        <f>IFERROR(__xludf.DUMMYFUNCTION("""COMPUTED_VALUE"""),2252.813401)</f>
        <v>2252.813401</v>
      </c>
    </row>
    <row r="406">
      <c r="A406" s="3">
        <f>IFERROR(__xludf.DUMMYFUNCTION("""COMPUTED_VALUE"""),40720.99861111111)</f>
        <v>40720.99861</v>
      </c>
      <c r="B406" s="1">
        <f>IFERROR(__xludf.DUMMYFUNCTION("""COMPUTED_VALUE"""),2293.381088)</f>
        <v>2293.381088</v>
      </c>
    </row>
    <row r="407">
      <c r="A407" s="3">
        <f>IFERROR(__xludf.DUMMYFUNCTION("""COMPUTED_VALUE"""),40721.99861111111)</f>
        <v>40721.99861</v>
      </c>
      <c r="B407" s="1">
        <f>IFERROR(__xludf.DUMMYFUNCTION("""COMPUTED_VALUE"""),2300.12259)</f>
        <v>2300.12259</v>
      </c>
    </row>
    <row r="408">
      <c r="A408" s="3">
        <f>IFERROR(__xludf.DUMMYFUNCTION("""COMPUTED_VALUE"""),40722.99861111111)</f>
        <v>40722.99861</v>
      </c>
      <c r="B408" s="1">
        <f>IFERROR(__xludf.DUMMYFUNCTION("""COMPUTED_VALUE"""),2299.095799)</f>
        <v>2299.095799</v>
      </c>
    </row>
    <row r="409">
      <c r="A409" s="3">
        <f>IFERROR(__xludf.DUMMYFUNCTION("""COMPUTED_VALUE"""),40723.99861111111)</f>
        <v>40723.99861</v>
      </c>
      <c r="B409" s="1">
        <f>IFERROR(__xludf.DUMMYFUNCTION("""COMPUTED_VALUE"""),2298.221047)</f>
        <v>2298.221047</v>
      </c>
    </row>
    <row r="410">
      <c r="A410" s="3">
        <f>IFERROR(__xludf.DUMMYFUNCTION("""COMPUTED_VALUE"""),40724.99861111111)</f>
        <v>40724.99861</v>
      </c>
      <c r="B410" s="1">
        <f>IFERROR(__xludf.DUMMYFUNCTION("""COMPUTED_VALUE"""),2284.678105)</f>
        <v>2284.678105</v>
      </c>
    </row>
    <row r="411">
      <c r="A411" s="3">
        <f>IFERROR(__xludf.DUMMYFUNCTION("""COMPUTED_VALUE"""),40725.99861111111)</f>
        <v>40725.99861</v>
      </c>
      <c r="B411" s="1">
        <f>IFERROR(__xludf.DUMMYFUNCTION("""COMPUTED_VALUE"""),2277.842934)</f>
        <v>2277.842934</v>
      </c>
    </row>
    <row r="412">
      <c r="A412" s="3">
        <f>IFERROR(__xludf.DUMMYFUNCTION("""COMPUTED_VALUE"""),40726.99861111111)</f>
        <v>40726.99861</v>
      </c>
      <c r="B412" s="1">
        <f>IFERROR(__xludf.DUMMYFUNCTION("""COMPUTED_VALUE"""),2233.544876)</f>
        <v>2233.544876</v>
      </c>
    </row>
    <row r="413">
      <c r="A413" s="3">
        <f>IFERROR(__xludf.DUMMYFUNCTION("""COMPUTED_VALUE"""),40728.99861111111)</f>
        <v>40728.99861</v>
      </c>
      <c r="B413" s="1">
        <f>IFERROR(__xludf.DUMMYFUNCTION("""COMPUTED_VALUE"""),2274.533584)</f>
        <v>2274.533584</v>
      </c>
    </row>
    <row r="414">
      <c r="A414" s="3">
        <f>IFERROR(__xludf.DUMMYFUNCTION("""COMPUTED_VALUE"""),40729.99861111111)</f>
        <v>40729.99861</v>
      </c>
      <c r="B414" s="1">
        <f>IFERROR(__xludf.DUMMYFUNCTION("""COMPUTED_VALUE"""),2276.774678)</f>
        <v>2276.774678</v>
      </c>
    </row>
    <row r="415">
      <c r="A415" s="3">
        <f>IFERROR(__xludf.DUMMYFUNCTION("""COMPUTED_VALUE"""),40730.99861111111)</f>
        <v>40730.99861</v>
      </c>
      <c r="B415" s="1">
        <f>IFERROR(__xludf.DUMMYFUNCTION("""COMPUTED_VALUE"""),2276.262086)</f>
        <v>2276.262086</v>
      </c>
    </row>
    <row r="416">
      <c r="A416" s="3">
        <f>IFERROR(__xludf.DUMMYFUNCTION("""COMPUTED_VALUE"""),40731.99861111111)</f>
        <v>40731.99861</v>
      </c>
      <c r="B416" s="1">
        <f>IFERROR(__xludf.DUMMYFUNCTION("""COMPUTED_VALUE"""),2276.01149)</f>
        <v>2276.01149</v>
      </c>
    </row>
    <row r="417">
      <c r="A417" s="3">
        <f>IFERROR(__xludf.DUMMYFUNCTION("""COMPUTED_VALUE"""),40732.99861111111)</f>
        <v>40732.99861</v>
      </c>
      <c r="B417" s="1">
        <f>IFERROR(__xludf.DUMMYFUNCTION("""COMPUTED_VALUE"""),2269.502421)</f>
        <v>2269.502421</v>
      </c>
    </row>
    <row r="418">
      <c r="A418" s="3">
        <f>IFERROR(__xludf.DUMMYFUNCTION("""COMPUTED_VALUE"""),40734.99861111111)</f>
        <v>40734.99861</v>
      </c>
      <c r="B418" s="1">
        <f>IFERROR(__xludf.DUMMYFUNCTION("""COMPUTED_VALUE"""),2270.168265)</f>
        <v>2270.168265</v>
      </c>
    </row>
    <row r="419">
      <c r="A419" s="3">
        <f>IFERROR(__xludf.DUMMYFUNCTION("""COMPUTED_VALUE"""),40735.99861111111)</f>
        <v>40735.99861</v>
      </c>
      <c r="B419" s="1">
        <f>IFERROR(__xludf.DUMMYFUNCTION("""COMPUTED_VALUE"""),2273.586609)</f>
        <v>2273.586609</v>
      </c>
    </row>
    <row r="420">
      <c r="A420" s="3">
        <f>IFERROR(__xludf.DUMMYFUNCTION("""COMPUTED_VALUE"""),40736.99861111111)</f>
        <v>40736.99861</v>
      </c>
      <c r="B420" s="1">
        <f>IFERROR(__xludf.DUMMYFUNCTION("""COMPUTED_VALUE"""),2284.763672)</f>
        <v>2284.763672</v>
      </c>
    </row>
    <row r="421">
      <c r="A421" s="3">
        <f>IFERROR(__xludf.DUMMYFUNCTION("""COMPUTED_VALUE"""),40737.99861111111)</f>
        <v>40737.99861</v>
      </c>
      <c r="B421" s="1">
        <f>IFERROR(__xludf.DUMMYFUNCTION("""COMPUTED_VALUE"""),2279.939152)</f>
        <v>2279.939152</v>
      </c>
    </row>
    <row r="422">
      <c r="A422" s="3">
        <f>IFERROR(__xludf.DUMMYFUNCTION("""COMPUTED_VALUE"""),40738.99861111111)</f>
        <v>40738.99861</v>
      </c>
      <c r="B422" s="1">
        <f>IFERROR(__xludf.DUMMYFUNCTION("""COMPUTED_VALUE"""),2275.125947)</f>
        <v>2275.125947</v>
      </c>
    </row>
    <row r="423">
      <c r="A423" s="3">
        <f>IFERROR(__xludf.DUMMYFUNCTION("""COMPUTED_VALUE"""),40739.99861111111)</f>
        <v>40739.99861</v>
      </c>
      <c r="B423" s="1">
        <f>IFERROR(__xludf.DUMMYFUNCTION("""COMPUTED_VALUE"""),2275.962733)</f>
        <v>2275.962733</v>
      </c>
    </row>
    <row r="424">
      <c r="A424" s="3">
        <f>IFERROR(__xludf.DUMMYFUNCTION("""COMPUTED_VALUE"""),40740.99861111111)</f>
        <v>40740.99861</v>
      </c>
      <c r="B424" s="1">
        <f>IFERROR(__xludf.DUMMYFUNCTION("""COMPUTED_VALUE"""),2231.197959)</f>
        <v>2231.197959</v>
      </c>
    </row>
    <row r="425">
      <c r="A425" s="3">
        <f>IFERROR(__xludf.DUMMYFUNCTION("""COMPUTED_VALUE"""),40742.99861111111)</f>
        <v>40742.99861</v>
      </c>
      <c r="B425" s="1">
        <f>IFERROR(__xludf.DUMMYFUNCTION("""COMPUTED_VALUE"""),2283.626609)</f>
        <v>2283.626609</v>
      </c>
    </row>
    <row r="426">
      <c r="A426" s="3">
        <f>IFERROR(__xludf.DUMMYFUNCTION("""COMPUTED_VALUE"""),40743.99861111111)</f>
        <v>40743.99861</v>
      </c>
      <c r="B426" s="1">
        <f>IFERROR(__xludf.DUMMYFUNCTION("""COMPUTED_VALUE"""),2277.454715)</f>
        <v>2277.454715</v>
      </c>
    </row>
    <row r="427">
      <c r="A427" s="3">
        <f>IFERROR(__xludf.DUMMYFUNCTION("""COMPUTED_VALUE"""),40744.99861111111)</f>
        <v>40744.99861</v>
      </c>
      <c r="B427" s="1">
        <f>IFERROR(__xludf.DUMMYFUNCTION("""COMPUTED_VALUE"""),2274.787906)</f>
        <v>2274.787906</v>
      </c>
    </row>
    <row r="428">
      <c r="A428" s="3">
        <f>IFERROR(__xludf.DUMMYFUNCTION("""COMPUTED_VALUE"""),40745.99861111111)</f>
        <v>40745.99861</v>
      </c>
      <c r="B428" s="1">
        <f>IFERROR(__xludf.DUMMYFUNCTION("""COMPUTED_VALUE"""),2276.654672)</f>
        <v>2276.654672</v>
      </c>
    </row>
    <row r="429">
      <c r="A429" s="3">
        <f>IFERROR(__xludf.DUMMYFUNCTION("""COMPUTED_VALUE"""),40746.99861111111)</f>
        <v>40746.99861</v>
      </c>
      <c r="B429" s="1">
        <f>IFERROR(__xludf.DUMMYFUNCTION("""COMPUTED_VALUE"""),2273.5152)</f>
        <v>2273.5152</v>
      </c>
    </row>
    <row r="430">
      <c r="A430" s="3">
        <f>IFERROR(__xludf.DUMMYFUNCTION("""COMPUTED_VALUE"""),40748.99861111111)</f>
        <v>40748.99861</v>
      </c>
      <c r="B430" s="1">
        <f>IFERROR(__xludf.DUMMYFUNCTION("""COMPUTED_VALUE"""),2274.035241)</f>
        <v>2274.035241</v>
      </c>
    </row>
    <row r="431">
      <c r="A431" s="3">
        <f>IFERROR(__xludf.DUMMYFUNCTION("""COMPUTED_VALUE"""),40749.99861111111)</f>
        <v>40749.99861</v>
      </c>
      <c r="B431" s="1">
        <f>IFERROR(__xludf.DUMMYFUNCTION("""COMPUTED_VALUE"""),2273.029087)</f>
        <v>2273.029087</v>
      </c>
    </row>
    <row r="432">
      <c r="A432" s="3">
        <f>IFERROR(__xludf.DUMMYFUNCTION("""COMPUTED_VALUE"""),40750.99861111111)</f>
        <v>40750.99861</v>
      </c>
      <c r="B432" s="1">
        <f>IFERROR(__xludf.DUMMYFUNCTION("""COMPUTED_VALUE"""),2266.848)</f>
        <v>2266.848</v>
      </c>
    </row>
    <row r="433">
      <c r="A433" s="3">
        <f>IFERROR(__xludf.DUMMYFUNCTION("""COMPUTED_VALUE"""),40751.99861111111)</f>
        <v>40751.99861</v>
      </c>
      <c r="B433" s="1">
        <f>IFERROR(__xludf.DUMMYFUNCTION("""COMPUTED_VALUE"""),2262.047616)</f>
        <v>2262.047616</v>
      </c>
    </row>
    <row r="434">
      <c r="A434" s="3">
        <f>IFERROR(__xludf.DUMMYFUNCTION("""COMPUTED_VALUE"""),40752.99861111111)</f>
        <v>40752.99861</v>
      </c>
      <c r="B434" s="1">
        <f>IFERROR(__xludf.DUMMYFUNCTION("""COMPUTED_VALUE"""),2265.51456)</f>
        <v>2265.51456</v>
      </c>
    </row>
    <row r="435">
      <c r="A435" s="3">
        <f>IFERROR(__xludf.DUMMYFUNCTION("""COMPUTED_VALUE"""),40753.99861111111)</f>
        <v>40753.99861</v>
      </c>
      <c r="B435" s="1">
        <f>IFERROR(__xludf.DUMMYFUNCTION("""COMPUTED_VALUE"""),2266.908435)</f>
        <v>2266.908435</v>
      </c>
    </row>
    <row r="436">
      <c r="A436" s="3">
        <f>IFERROR(__xludf.DUMMYFUNCTION("""COMPUTED_VALUE"""),40754.99861111111)</f>
        <v>40754.99861</v>
      </c>
      <c r="B436" s="1">
        <f>IFERROR(__xludf.DUMMYFUNCTION("""COMPUTED_VALUE"""),2201.909472)</f>
        <v>2201.909472</v>
      </c>
    </row>
    <row r="437">
      <c r="A437" s="3">
        <f>IFERROR(__xludf.DUMMYFUNCTION("""COMPUTED_VALUE"""),40755.99861111111)</f>
        <v>40755.99861</v>
      </c>
      <c r="B437" s="1">
        <f>IFERROR(__xludf.DUMMYFUNCTION("""COMPUTED_VALUE"""),2266.834665)</f>
        <v>2266.834665</v>
      </c>
    </row>
    <row r="438">
      <c r="A438" s="3">
        <f>IFERROR(__xludf.DUMMYFUNCTION("""COMPUTED_VALUE"""),40756.99861111111)</f>
        <v>40756.99861</v>
      </c>
      <c r="B438" s="1">
        <f>IFERROR(__xludf.DUMMYFUNCTION("""COMPUTED_VALUE"""),2249.199879)</f>
        <v>2249.199879</v>
      </c>
    </row>
    <row r="439">
      <c r="A439" s="3">
        <f>IFERROR(__xludf.DUMMYFUNCTION("""COMPUTED_VALUE"""),40757.99861111111)</f>
        <v>40757.99861</v>
      </c>
      <c r="B439" s="1">
        <f>IFERROR(__xludf.DUMMYFUNCTION("""COMPUTED_VALUE"""),2258.167305)</f>
        <v>2258.167305</v>
      </c>
    </row>
    <row r="440">
      <c r="A440" s="3">
        <f>IFERROR(__xludf.DUMMYFUNCTION("""COMPUTED_VALUE"""),40758.99861111111)</f>
        <v>40758.99861</v>
      </c>
      <c r="B440" s="1">
        <f>IFERROR(__xludf.DUMMYFUNCTION("""COMPUTED_VALUE"""),2220.290129)</f>
        <v>2220.290129</v>
      </c>
    </row>
    <row r="441">
      <c r="A441" s="3">
        <f>IFERROR(__xludf.DUMMYFUNCTION("""COMPUTED_VALUE"""),40759.99861111111)</f>
        <v>40759.99861</v>
      </c>
      <c r="B441" s="1">
        <f>IFERROR(__xludf.DUMMYFUNCTION("""COMPUTED_VALUE"""),2259.487411)</f>
        <v>2259.487411</v>
      </c>
    </row>
    <row r="442">
      <c r="A442" s="3">
        <f>IFERROR(__xludf.DUMMYFUNCTION("""COMPUTED_VALUE"""),40760.99861111111)</f>
        <v>40760.99861</v>
      </c>
      <c r="B442" s="1">
        <f>IFERROR(__xludf.DUMMYFUNCTION("""COMPUTED_VALUE"""),2270.834985)</f>
        <v>2270.834985</v>
      </c>
    </row>
    <row r="443">
      <c r="A443" s="3">
        <f>IFERROR(__xludf.DUMMYFUNCTION("""COMPUTED_VALUE"""),40761.99861111111)</f>
        <v>40761.99861</v>
      </c>
      <c r="B443" s="1">
        <f>IFERROR(__xludf.DUMMYFUNCTION("""COMPUTED_VALUE"""),2228.631609)</f>
        <v>2228.631609</v>
      </c>
    </row>
    <row r="444">
      <c r="A444" s="3">
        <f>IFERROR(__xludf.DUMMYFUNCTION("""COMPUTED_VALUE"""),40762.99861111111)</f>
        <v>40762.99861</v>
      </c>
      <c r="B444" s="1">
        <f>IFERROR(__xludf.DUMMYFUNCTION("""COMPUTED_VALUE"""),2270.834985)</f>
        <v>2270.834985</v>
      </c>
    </row>
    <row r="445">
      <c r="A445" s="3">
        <f>IFERROR(__xludf.DUMMYFUNCTION("""COMPUTED_VALUE"""),40763.99861111111)</f>
        <v>40763.99861</v>
      </c>
      <c r="B445" s="1">
        <f>IFERROR(__xludf.DUMMYFUNCTION("""COMPUTED_VALUE"""),2261.06087)</f>
        <v>2261.06087</v>
      </c>
    </row>
    <row r="446">
      <c r="A446" s="3">
        <f>IFERROR(__xludf.DUMMYFUNCTION("""COMPUTED_VALUE"""),40764.99861111111)</f>
        <v>40764.99861</v>
      </c>
      <c r="B446" s="1">
        <f>IFERROR(__xludf.DUMMYFUNCTION("""COMPUTED_VALUE"""),2271.481063)</f>
        <v>2271.481063</v>
      </c>
    </row>
    <row r="447">
      <c r="A447" s="3">
        <f>IFERROR(__xludf.DUMMYFUNCTION("""COMPUTED_VALUE"""),40765.99861111111)</f>
        <v>40765.99861</v>
      </c>
      <c r="B447" s="1">
        <f>IFERROR(__xludf.DUMMYFUNCTION("""COMPUTED_VALUE"""),2266.988443)</f>
        <v>2266.988443</v>
      </c>
    </row>
    <row r="448">
      <c r="A448" s="3">
        <f>IFERROR(__xludf.DUMMYFUNCTION("""COMPUTED_VALUE"""),40766.99861111111)</f>
        <v>40766.99861</v>
      </c>
      <c r="B448" s="1">
        <f>IFERROR(__xludf.DUMMYFUNCTION("""COMPUTED_VALUE"""),2269.328198)</f>
        <v>2269.328198</v>
      </c>
    </row>
    <row r="449">
      <c r="A449" s="3">
        <f>IFERROR(__xludf.DUMMYFUNCTION("""COMPUTED_VALUE"""),40770.99861111111)</f>
        <v>40770.99861</v>
      </c>
      <c r="B449" s="1">
        <f>IFERROR(__xludf.DUMMYFUNCTION("""COMPUTED_VALUE"""),2211.563577)</f>
        <v>2211.563577</v>
      </c>
    </row>
    <row r="450">
      <c r="A450" s="3">
        <f>IFERROR(__xludf.DUMMYFUNCTION("""COMPUTED_VALUE"""),40771.99861111111)</f>
        <v>40771.99861</v>
      </c>
      <c r="B450" s="1">
        <f>IFERROR(__xludf.DUMMYFUNCTION("""COMPUTED_VALUE"""),2229.224415)</f>
        <v>2229.224415</v>
      </c>
    </row>
    <row r="451">
      <c r="A451" s="3">
        <f>IFERROR(__xludf.DUMMYFUNCTION("""COMPUTED_VALUE"""),40772.99861111111)</f>
        <v>40772.99861</v>
      </c>
      <c r="B451" s="1">
        <f>IFERROR(__xludf.DUMMYFUNCTION("""COMPUTED_VALUE"""),2233.298649)</f>
        <v>2233.298649</v>
      </c>
    </row>
    <row r="452">
      <c r="A452" s="3">
        <f>IFERROR(__xludf.DUMMYFUNCTION("""COMPUTED_VALUE"""),40773.99861111111)</f>
        <v>40773.99861</v>
      </c>
      <c r="B452" s="1">
        <f>IFERROR(__xludf.DUMMYFUNCTION("""COMPUTED_VALUE"""),2282.666609)</f>
        <v>2282.666609</v>
      </c>
    </row>
    <row r="453">
      <c r="A453" s="3">
        <f>IFERROR(__xludf.DUMMYFUNCTION("""COMPUTED_VALUE"""),40774.99861111111)</f>
        <v>40774.99861</v>
      </c>
      <c r="B453" s="1">
        <f>IFERROR(__xludf.DUMMYFUNCTION("""COMPUTED_VALUE"""),2277.226609)</f>
        <v>2277.226609</v>
      </c>
    </row>
    <row r="454">
      <c r="A454" s="3">
        <f>IFERROR(__xludf.DUMMYFUNCTION("""COMPUTED_VALUE"""),40775.99861111111)</f>
        <v>40775.99861</v>
      </c>
      <c r="B454" s="1">
        <f>IFERROR(__xludf.DUMMYFUNCTION("""COMPUTED_VALUE"""),2224.05053)</f>
        <v>2224.05053</v>
      </c>
    </row>
    <row r="455">
      <c r="A455" s="3">
        <f>IFERROR(__xludf.DUMMYFUNCTION("""COMPUTED_VALUE"""),40776.99861111111)</f>
        <v>40776.99861</v>
      </c>
      <c r="B455" s="1">
        <f>IFERROR(__xludf.DUMMYFUNCTION("""COMPUTED_VALUE"""),2287.265006)</f>
        <v>2287.265006</v>
      </c>
    </row>
    <row r="456">
      <c r="A456" s="3">
        <f>IFERROR(__xludf.DUMMYFUNCTION("""COMPUTED_VALUE"""),40777.99861111111)</f>
        <v>40777.99861</v>
      </c>
      <c r="B456" s="1">
        <f>IFERROR(__xludf.DUMMYFUNCTION("""COMPUTED_VALUE"""),2276.654672)</f>
        <v>2276.654672</v>
      </c>
    </row>
    <row r="457">
      <c r="A457" s="3">
        <f>IFERROR(__xludf.DUMMYFUNCTION("""COMPUTED_VALUE"""),40778.99861111111)</f>
        <v>40778.99861</v>
      </c>
      <c r="B457" s="1">
        <f>IFERROR(__xludf.DUMMYFUNCTION("""COMPUTED_VALUE"""),2278.011794)</f>
        <v>2278.011794</v>
      </c>
    </row>
    <row r="458">
      <c r="A458" s="3">
        <f>IFERROR(__xludf.DUMMYFUNCTION("""COMPUTED_VALUE"""),40779.99861111111)</f>
        <v>40779.99861</v>
      </c>
      <c r="B458" s="1">
        <f>IFERROR(__xludf.DUMMYFUNCTION("""COMPUTED_VALUE"""),2279.999943)</f>
        <v>2279.999943</v>
      </c>
    </row>
    <row r="459">
      <c r="A459" s="3">
        <f>IFERROR(__xludf.DUMMYFUNCTION("""COMPUTED_VALUE"""),40780.99861111111)</f>
        <v>40780.99861</v>
      </c>
      <c r="B459" s="1">
        <f>IFERROR(__xludf.DUMMYFUNCTION("""COMPUTED_VALUE"""),2293.149838)</f>
        <v>2293.149838</v>
      </c>
    </row>
    <row r="460">
      <c r="A460" s="3">
        <f>IFERROR(__xludf.DUMMYFUNCTION("""COMPUTED_VALUE"""),40781.99861111111)</f>
        <v>40781.99861</v>
      </c>
      <c r="B460" s="1">
        <f>IFERROR(__xludf.DUMMYFUNCTION("""COMPUTED_VALUE"""),2278.643019)</f>
        <v>2278.643019</v>
      </c>
    </row>
    <row r="461">
      <c r="A461" s="3">
        <f>IFERROR(__xludf.DUMMYFUNCTION("""COMPUTED_VALUE"""),40782.99861111111)</f>
        <v>40782.99861</v>
      </c>
      <c r="B461" s="1">
        <f>IFERROR(__xludf.DUMMYFUNCTION("""COMPUTED_VALUE"""),2229.179378)</f>
        <v>2229.179378</v>
      </c>
    </row>
    <row r="462">
      <c r="A462" s="3">
        <f>IFERROR(__xludf.DUMMYFUNCTION("""COMPUTED_VALUE"""),40783.99861111111)</f>
        <v>40783.99861</v>
      </c>
      <c r="B462" s="1">
        <f>IFERROR(__xludf.DUMMYFUNCTION("""COMPUTED_VALUE"""),2275.696038)</f>
        <v>2275.696038</v>
      </c>
    </row>
    <row r="463">
      <c r="A463" s="3">
        <f>IFERROR(__xludf.DUMMYFUNCTION("""COMPUTED_VALUE"""),40784.99861111111)</f>
        <v>40784.99861</v>
      </c>
      <c r="B463" s="1">
        <f>IFERROR(__xludf.DUMMYFUNCTION("""COMPUTED_VALUE"""),2271.999943)</f>
        <v>2271.999943</v>
      </c>
    </row>
    <row r="464">
      <c r="A464" s="3">
        <f>IFERROR(__xludf.DUMMYFUNCTION("""COMPUTED_VALUE"""),40785.99861111111)</f>
        <v>40785.99861</v>
      </c>
      <c r="B464" s="1">
        <f>IFERROR(__xludf.DUMMYFUNCTION("""COMPUTED_VALUE"""),2275.392607)</f>
        <v>2275.392607</v>
      </c>
    </row>
    <row r="465">
      <c r="A465" s="3">
        <f>IFERROR(__xludf.DUMMYFUNCTION("""COMPUTED_VALUE"""),40786.99861111111)</f>
        <v>40786.99861</v>
      </c>
      <c r="B465" s="1">
        <f>IFERROR(__xludf.DUMMYFUNCTION("""COMPUTED_VALUE"""),2275.271268)</f>
        <v>2275.271268</v>
      </c>
    </row>
    <row r="466">
      <c r="A466" s="3">
        <f>IFERROR(__xludf.DUMMYFUNCTION("""COMPUTED_VALUE"""),40787.99861111111)</f>
        <v>40787.99861</v>
      </c>
      <c r="B466" s="1">
        <f>IFERROR(__xludf.DUMMYFUNCTION("""COMPUTED_VALUE"""),2263.818851)</f>
        <v>2263.818851</v>
      </c>
    </row>
    <row r="467">
      <c r="A467" s="3">
        <f>IFERROR(__xludf.DUMMYFUNCTION("""COMPUTED_VALUE"""),40788.99861111111)</f>
        <v>40788.99861</v>
      </c>
      <c r="B467" s="1">
        <f>IFERROR(__xludf.DUMMYFUNCTION("""COMPUTED_VALUE"""),2266.66661)</f>
        <v>2266.66661</v>
      </c>
    </row>
    <row r="468">
      <c r="A468" s="3">
        <f>IFERROR(__xludf.DUMMYFUNCTION("""COMPUTED_VALUE"""),40789.99861111111)</f>
        <v>40789.99861</v>
      </c>
      <c r="B468" s="1">
        <f>IFERROR(__xludf.DUMMYFUNCTION("""COMPUTED_VALUE"""),2240.593015)</f>
        <v>2240.593015</v>
      </c>
    </row>
    <row r="469">
      <c r="A469" s="3">
        <f>IFERROR(__xludf.DUMMYFUNCTION("""COMPUTED_VALUE"""),40790.99861111111)</f>
        <v>40790.99861</v>
      </c>
      <c r="B469" s="1">
        <f>IFERROR(__xludf.DUMMYFUNCTION("""COMPUTED_VALUE"""),2289.044972)</f>
        <v>2289.044972</v>
      </c>
    </row>
    <row r="470">
      <c r="A470" s="3">
        <f>IFERROR(__xludf.DUMMYFUNCTION("""COMPUTED_VALUE"""),40791.99861111111)</f>
        <v>40791.99861</v>
      </c>
      <c r="B470" s="1">
        <f>IFERROR(__xludf.DUMMYFUNCTION("""COMPUTED_VALUE"""),2234.533277)</f>
        <v>2234.533277</v>
      </c>
    </row>
    <row r="471">
      <c r="A471" s="3">
        <f>IFERROR(__xludf.DUMMYFUNCTION("""COMPUTED_VALUE"""),40792.99861111111)</f>
        <v>40792.99861</v>
      </c>
      <c r="B471" s="1">
        <f>IFERROR(__xludf.DUMMYFUNCTION("""COMPUTED_VALUE"""),2280.847421)</f>
        <v>2280.847421</v>
      </c>
    </row>
    <row r="472">
      <c r="A472" s="3">
        <f>IFERROR(__xludf.DUMMYFUNCTION("""COMPUTED_VALUE"""),40793.99861111111)</f>
        <v>40793.99861</v>
      </c>
      <c r="B472" s="1">
        <f>IFERROR(__xludf.DUMMYFUNCTION("""COMPUTED_VALUE"""),2275.939259)</f>
        <v>2275.939259</v>
      </c>
    </row>
    <row r="473">
      <c r="A473" s="3">
        <f>IFERROR(__xludf.DUMMYFUNCTION("""COMPUTED_VALUE"""),40794.99861111111)</f>
        <v>40794.99861</v>
      </c>
      <c r="B473" s="1">
        <f>IFERROR(__xludf.DUMMYFUNCTION("""COMPUTED_VALUE"""),2284.847527)</f>
        <v>2284.847527</v>
      </c>
    </row>
    <row r="474">
      <c r="A474" s="3">
        <f>IFERROR(__xludf.DUMMYFUNCTION("""COMPUTED_VALUE"""),40795.99861111111)</f>
        <v>40795.99861</v>
      </c>
      <c r="B474" s="1">
        <f>IFERROR(__xludf.DUMMYFUNCTION("""COMPUTED_VALUE"""),2285.25901)</f>
        <v>2285.25901</v>
      </c>
    </row>
    <row r="475">
      <c r="A475" s="3">
        <f>IFERROR(__xludf.DUMMYFUNCTION("""COMPUTED_VALUE"""),40797.99861111111)</f>
        <v>40797.99861</v>
      </c>
      <c r="B475" s="1">
        <f>IFERROR(__xludf.DUMMYFUNCTION("""COMPUTED_VALUE"""),2264.574028)</f>
        <v>2264.574028</v>
      </c>
    </row>
    <row r="476">
      <c r="A476" s="3">
        <f>IFERROR(__xludf.DUMMYFUNCTION("""COMPUTED_VALUE"""),40798.99861111111)</f>
        <v>40798.99861</v>
      </c>
      <c r="B476" s="1">
        <f>IFERROR(__xludf.DUMMYFUNCTION("""COMPUTED_VALUE"""),2285.946609)</f>
        <v>2285.946609</v>
      </c>
    </row>
    <row r="477">
      <c r="A477" s="3">
        <f>IFERROR(__xludf.DUMMYFUNCTION("""COMPUTED_VALUE"""),40799.99861111111)</f>
        <v>40799.99861</v>
      </c>
      <c r="B477" s="1">
        <f>IFERROR(__xludf.DUMMYFUNCTION("""COMPUTED_VALUE"""),2301.415843)</f>
        <v>2301.415843</v>
      </c>
    </row>
    <row r="478">
      <c r="A478" s="3">
        <f>IFERROR(__xludf.DUMMYFUNCTION("""COMPUTED_VALUE"""),40800.99861111111)</f>
        <v>40800.99861</v>
      </c>
      <c r="B478" s="1">
        <f>IFERROR(__xludf.DUMMYFUNCTION("""COMPUTED_VALUE"""),2325.319941)</f>
        <v>2325.319941</v>
      </c>
    </row>
    <row r="479">
      <c r="A479" s="3">
        <f>IFERROR(__xludf.DUMMYFUNCTION("""COMPUTED_VALUE"""),40801.99861111111)</f>
        <v>40801.99861</v>
      </c>
      <c r="B479" s="1">
        <f>IFERROR(__xludf.DUMMYFUNCTION("""COMPUTED_VALUE"""),2349.003975)</f>
        <v>2349.003975</v>
      </c>
    </row>
    <row r="480">
      <c r="A480" s="3">
        <f>IFERROR(__xludf.DUMMYFUNCTION("""COMPUTED_VALUE"""),40802.99861111111)</f>
        <v>40802.99861</v>
      </c>
      <c r="B480" s="1">
        <f>IFERROR(__xludf.DUMMYFUNCTION("""COMPUTED_VALUE"""),2337.070666)</f>
        <v>2337.070666</v>
      </c>
    </row>
    <row r="481">
      <c r="A481" s="3">
        <f>IFERROR(__xludf.DUMMYFUNCTION("""COMPUTED_VALUE"""),40804.99861111111)</f>
        <v>40804.99861</v>
      </c>
      <c r="B481" s="1">
        <f>IFERROR(__xludf.DUMMYFUNCTION("""COMPUTED_VALUE"""),2337.257622)</f>
        <v>2337.257622</v>
      </c>
    </row>
    <row r="482">
      <c r="A482" s="3">
        <f>IFERROR(__xludf.DUMMYFUNCTION("""COMPUTED_VALUE"""),40805.99861111111)</f>
        <v>40805.99861</v>
      </c>
      <c r="B482" s="1">
        <f>IFERROR(__xludf.DUMMYFUNCTION("""COMPUTED_VALUE"""),2352.702668)</f>
        <v>2352.702668</v>
      </c>
    </row>
    <row r="483">
      <c r="A483" s="3">
        <f>IFERROR(__xludf.DUMMYFUNCTION("""COMPUTED_VALUE"""),40806.99861111111)</f>
        <v>40806.99861</v>
      </c>
      <c r="B483" s="1">
        <f>IFERROR(__xludf.DUMMYFUNCTION("""COMPUTED_VALUE"""),2350.053274)</f>
        <v>2350.053274</v>
      </c>
    </row>
    <row r="484">
      <c r="A484" s="3">
        <f>IFERROR(__xludf.DUMMYFUNCTION("""COMPUTED_VALUE"""),40807.99861111111)</f>
        <v>40807.99861</v>
      </c>
      <c r="B484" s="1">
        <f>IFERROR(__xludf.DUMMYFUNCTION("""COMPUTED_VALUE"""),2357.573274)</f>
        <v>2357.573274</v>
      </c>
    </row>
    <row r="485">
      <c r="A485" s="3">
        <f>IFERROR(__xludf.DUMMYFUNCTION("""COMPUTED_VALUE"""),40808.99861111111)</f>
        <v>40808.99861</v>
      </c>
      <c r="B485" s="1">
        <f>IFERROR(__xludf.DUMMYFUNCTION("""COMPUTED_VALUE"""),2336.786608)</f>
        <v>2336.786608</v>
      </c>
    </row>
    <row r="486">
      <c r="A486" s="3">
        <f>IFERROR(__xludf.DUMMYFUNCTION("""COMPUTED_VALUE"""),40809.99861111111)</f>
        <v>40809.99861</v>
      </c>
      <c r="B486" s="1">
        <f>IFERROR(__xludf.DUMMYFUNCTION("""COMPUTED_VALUE"""),2333.964377)</f>
        <v>2333.964377</v>
      </c>
    </row>
    <row r="487">
      <c r="A487" s="3">
        <f>IFERROR(__xludf.DUMMYFUNCTION("""COMPUTED_VALUE"""),40810.99861111111)</f>
        <v>40810.99861</v>
      </c>
      <c r="B487" s="1">
        <f>IFERROR(__xludf.DUMMYFUNCTION("""COMPUTED_VALUE"""),2285.832328)</f>
        <v>2285.832328</v>
      </c>
    </row>
    <row r="488">
      <c r="A488" s="3">
        <f>IFERROR(__xludf.DUMMYFUNCTION("""COMPUTED_VALUE"""),40811.99861111111)</f>
        <v>40811.99861</v>
      </c>
      <c r="B488" s="1">
        <f>IFERROR(__xludf.DUMMYFUNCTION("""COMPUTED_VALUE"""),2341.319941)</f>
        <v>2341.319941</v>
      </c>
    </row>
    <row r="489">
      <c r="A489" s="3">
        <f>IFERROR(__xludf.DUMMYFUNCTION("""COMPUTED_VALUE"""),40812.99861111111)</f>
        <v>40812.99861</v>
      </c>
      <c r="B489" s="1">
        <f>IFERROR(__xludf.DUMMYFUNCTION("""COMPUTED_VALUE"""),2421.333272)</f>
        <v>2421.333272</v>
      </c>
    </row>
    <row r="490">
      <c r="A490" s="3">
        <f>IFERROR(__xludf.DUMMYFUNCTION("""COMPUTED_VALUE"""),40813.99861111111)</f>
        <v>40813.99861</v>
      </c>
      <c r="B490" s="1">
        <f>IFERROR(__xludf.DUMMYFUNCTION("""COMPUTED_VALUE"""),2374.653273)</f>
        <v>2374.653273</v>
      </c>
    </row>
    <row r="491">
      <c r="A491" s="3">
        <f>IFERROR(__xludf.DUMMYFUNCTION("""COMPUTED_VALUE"""),40814.99861111111)</f>
        <v>40814.99861</v>
      </c>
      <c r="B491" s="1">
        <f>IFERROR(__xludf.DUMMYFUNCTION("""COMPUTED_VALUE"""),2370.590066)</f>
        <v>2370.590066</v>
      </c>
    </row>
    <row r="492">
      <c r="A492" s="3">
        <f>IFERROR(__xludf.DUMMYFUNCTION("""COMPUTED_VALUE"""),40815.99861111111)</f>
        <v>40815.99861</v>
      </c>
      <c r="B492" s="1">
        <f>IFERROR(__xludf.DUMMYFUNCTION("""COMPUTED_VALUE"""),2387.423593)</f>
        <v>2387.423593</v>
      </c>
    </row>
    <row r="493">
      <c r="A493" s="3">
        <f>IFERROR(__xludf.DUMMYFUNCTION("""COMPUTED_VALUE"""),40816.99861111111)</f>
        <v>40816.99861</v>
      </c>
      <c r="B493" s="1">
        <f>IFERROR(__xludf.DUMMYFUNCTION("""COMPUTED_VALUE"""),2344.049104)</f>
        <v>2344.049104</v>
      </c>
    </row>
    <row r="494">
      <c r="A494" s="3">
        <f>IFERROR(__xludf.DUMMYFUNCTION("""COMPUTED_VALUE"""),40819.99861111111)</f>
        <v>40819.99861</v>
      </c>
      <c r="B494" s="1">
        <f>IFERROR(__xludf.DUMMYFUNCTION("""COMPUTED_VALUE"""),2372.779795)</f>
        <v>2372.779795</v>
      </c>
    </row>
    <row r="495">
      <c r="A495" s="3">
        <f>IFERROR(__xludf.DUMMYFUNCTION("""COMPUTED_VALUE"""),40820.99861111111)</f>
        <v>40820.99861</v>
      </c>
      <c r="B495" s="1">
        <f>IFERROR(__xludf.DUMMYFUNCTION("""COMPUTED_VALUE"""),2299.261244)</f>
        <v>2299.261244</v>
      </c>
    </row>
    <row r="496">
      <c r="A496" s="3">
        <f>IFERROR(__xludf.DUMMYFUNCTION("""COMPUTED_VALUE"""),40821.99861111111)</f>
        <v>40821.99861</v>
      </c>
      <c r="B496" s="1">
        <f>IFERROR(__xludf.DUMMYFUNCTION("""COMPUTED_VALUE"""),2388.473965)</f>
        <v>2388.473965</v>
      </c>
    </row>
    <row r="497">
      <c r="A497" s="3">
        <f>IFERROR(__xludf.DUMMYFUNCTION("""COMPUTED_VALUE"""),40822.99861111111)</f>
        <v>40822.99861</v>
      </c>
      <c r="B497" s="1">
        <f>IFERROR(__xludf.DUMMYFUNCTION("""COMPUTED_VALUE"""),2370.729815)</f>
        <v>2370.729815</v>
      </c>
    </row>
    <row r="498">
      <c r="A498" s="3">
        <f>IFERROR(__xludf.DUMMYFUNCTION("""COMPUTED_VALUE"""),40823.99861111111)</f>
        <v>40823.99861</v>
      </c>
      <c r="B498" s="1">
        <f>IFERROR(__xludf.DUMMYFUNCTION("""COMPUTED_VALUE"""),2372.779795)</f>
        <v>2372.779795</v>
      </c>
    </row>
    <row r="499">
      <c r="A499" s="3">
        <f>IFERROR(__xludf.DUMMYFUNCTION("""COMPUTED_VALUE"""),40825.99861111111)</f>
        <v>40825.99861</v>
      </c>
      <c r="B499" s="1">
        <f>IFERROR(__xludf.DUMMYFUNCTION("""COMPUTED_VALUE"""),2372.716534)</f>
        <v>2372.716534</v>
      </c>
    </row>
    <row r="500">
      <c r="A500" s="3">
        <f>IFERROR(__xludf.DUMMYFUNCTION("""COMPUTED_VALUE"""),40826.99861111111)</f>
        <v>40826.99861</v>
      </c>
      <c r="B500" s="1">
        <f>IFERROR(__xludf.DUMMYFUNCTION("""COMPUTED_VALUE"""),2371.31994)</f>
        <v>2371.31994</v>
      </c>
    </row>
    <row r="501">
      <c r="A501" s="3">
        <f>IFERROR(__xludf.DUMMYFUNCTION("""COMPUTED_VALUE"""),40827.99861111111)</f>
        <v>40827.99861</v>
      </c>
      <c r="B501" s="1">
        <f>IFERROR(__xludf.DUMMYFUNCTION("""COMPUTED_VALUE"""),2324.65723)</f>
        <v>2324.65723</v>
      </c>
    </row>
    <row r="502">
      <c r="A502" s="3">
        <f>IFERROR(__xludf.DUMMYFUNCTION("""COMPUTED_VALUE"""),40828.99861111111)</f>
        <v>40828.99861</v>
      </c>
      <c r="B502" s="1">
        <f>IFERROR(__xludf.DUMMYFUNCTION("""COMPUTED_VALUE"""),2361.837675)</f>
        <v>2361.837675</v>
      </c>
    </row>
    <row r="503">
      <c r="A503" s="3">
        <f>IFERROR(__xludf.DUMMYFUNCTION("""COMPUTED_VALUE"""),40829.99861111111)</f>
        <v>40829.99861</v>
      </c>
      <c r="B503" s="1">
        <f>IFERROR(__xludf.DUMMYFUNCTION("""COMPUTED_VALUE"""),2365.383006)</f>
        <v>2365.383006</v>
      </c>
    </row>
    <row r="504">
      <c r="A504" s="3">
        <f>IFERROR(__xludf.DUMMYFUNCTION("""COMPUTED_VALUE"""),40830.99861111111)</f>
        <v>40830.99861</v>
      </c>
      <c r="B504" s="1">
        <f>IFERROR(__xludf.DUMMYFUNCTION("""COMPUTED_VALUE"""),2359.786607)</f>
        <v>2359.786607</v>
      </c>
    </row>
    <row r="505">
      <c r="A505" s="3">
        <f>IFERROR(__xludf.DUMMYFUNCTION("""COMPUTED_VALUE"""),40831.99861111111)</f>
        <v>40831.99861</v>
      </c>
      <c r="B505" s="1">
        <f>IFERROR(__xludf.DUMMYFUNCTION("""COMPUTED_VALUE"""),2303.544268)</f>
        <v>2303.544268</v>
      </c>
    </row>
    <row r="506">
      <c r="A506" s="3">
        <f>IFERROR(__xludf.DUMMYFUNCTION("""COMPUTED_VALUE"""),40833.99861111111)</f>
        <v>40833.99861</v>
      </c>
      <c r="B506" s="1">
        <f>IFERROR(__xludf.DUMMYFUNCTION("""COMPUTED_VALUE"""),2368.17955)</f>
        <v>2368.17955</v>
      </c>
    </row>
    <row r="507">
      <c r="A507" s="3">
        <f>IFERROR(__xludf.DUMMYFUNCTION("""COMPUTED_VALUE"""),40834.99861111111)</f>
        <v>40834.99861</v>
      </c>
      <c r="B507" s="1">
        <f>IFERROR(__xludf.DUMMYFUNCTION("""COMPUTED_VALUE"""),2368.126214)</f>
        <v>2368.126214</v>
      </c>
    </row>
    <row r="508">
      <c r="A508" s="3">
        <f>IFERROR(__xludf.DUMMYFUNCTION("""COMPUTED_VALUE"""),40835.99861111111)</f>
        <v>40835.99861</v>
      </c>
      <c r="B508" s="1">
        <f>IFERROR(__xludf.DUMMYFUNCTION("""COMPUTED_VALUE"""),2357.672323)</f>
        <v>2357.672323</v>
      </c>
    </row>
    <row r="509">
      <c r="A509" s="3">
        <f>IFERROR(__xludf.DUMMYFUNCTION("""COMPUTED_VALUE"""),40836.99861111111)</f>
        <v>40836.99861</v>
      </c>
      <c r="B509" s="1">
        <f>IFERROR(__xludf.DUMMYFUNCTION("""COMPUTED_VALUE"""),2353.445431)</f>
        <v>2353.445431</v>
      </c>
    </row>
    <row r="510">
      <c r="A510" s="3">
        <f>IFERROR(__xludf.DUMMYFUNCTION("""COMPUTED_VALUE"""),40837.99861111111)</f>
        <v>40837.99861</v>
      </c>
      <c r="B510" s="1">
        <f>IFERROR(__xludf.DUMMYFUNCTION("""COMPUTED_VALUE"""),2360.125788)</f>
        <v>2360.125788</v>
      </c>
    </row>
    <row r="511">
      <c r="A511" s="3">
        <f>IFERROR(__xludf.DUMMYFUNCTION("""COMPUTED_VALUE"""),40838.99861111111)</f>
        <v>40838.99861</v>
      </c>
      <c r="B511" s="1">
        <f>IFERROR(__xludf.DUMMYFUNCTION("""COMPUTED_VALUE"""),2281.614936)</f>
        <v>2281.614936</v>
      </c>
    </row>
    <row r="512">
      <c r="A512" s="3">
        <f>IFERROR(__xludf.DUMMYFUNCTION("""COMPUTED_VALUE"""),40839.99861111111)</f>
        <v>40839.99861</v>
      </c>
      <c r="B512" s="1">
        <f>IFERROR(__xludf.DUMMYFUNCTION("""COMPUTED_VALUE"""),2362.779262)</f>
        <v>2362.779262</v>
      </c>
    </row>
    <row r="513">
      <c r="A513" s="3">
        <f>IFERROR(__xludf.DUMMYFUNCTION("""COMPUTED_VALUE"""),40840.99861111111)</f>
        <v>40840.99861</v>
      </c>
      <c r="B513" s="1">
        <f>IFERROR(__xludf.DUMMYFUNCTION("""COMPUTED_VALUE"""),2357.382793)</f>
        <v>2357.382793</v>
      </c>
    </row>
    <row r="514">
      <c r="A514" s="3">
        <f>IFERROR(__xludf.DUMMYFUNCTION("""COMPUTED_VALUE"""),40841.99861111111)</f>
        <v>40841.99861</v>
      </c>
      <c r="B514" s="1">
        <f>IFERROR(__xludf.DUMMYFUNCTION("""COMPUTED_VALUE"""),2360.112453)</f>
        <v>2360.112453</v>
      </c>
    </row>
    <row r="515">
      <c r="A515" s="3">
        <f>IFERROR(__xludf.DUMMYFUNCTION("""COMPUTED_VALUE"""),40842.99861111111)</f>
        <v>40842.99861</v>
      </c>
      <c r="B515" s="1">
        <f>IFERROR(__xludf.DUMMYFUNCTION("""COMPUTED_VALUE"""),2366.246114)</f>
        <v>2366.246114</v>
      </c>
    </row>
    <row r="516">
      <c r="A516" s="3">
        <f>IFERROR(__xludf.DUMMYFUNCTION("""COMPUTED_VALUE"""),40843.99861111111)</f>
        <v>40843.99861</v>
      </c>
      <c r="B516" s="1">
        <f>IFERROR(__xludf.DUMMYFUNCTION("""COMPUTED_VALUE"""),2361.35252)</f>
        <v>2361.35252</v>
      </c>
    </row>
    <row r="517">
      <c r="A517" s="3">
        <f>IFERROR(__xludf.DUMMYFUNCTION("""COMPUTED_VALUE"""),40844.99861111111)</f>
        <v>40844.99861</v>
      </c>
      <c r="B517" s="1">
        <f>IFERROR(__xludf.DUMMYFUNCTION("""COMPUTED_VALUE"""),2348.871854)</f>
        <v>2348.871854</v>
      </c>
    </row>
    <row r="518">
      <c r="A518" s="3">
        <f>IFERROR(__xludf.DUMMYFUNCTION("""COMPUTED_VALUE"""),40846.99861111111)</f>
        <v>40846.99861</v>
      </c>
      <c r="B518" s="1">
        <f>IFERROR(__xludf.DUMMYFUNCTION("""COMPUTED_VALUE"""),2353.821624)</f>
        <v>2353.821624</v>
      </c>
    </row>
    <row r="519">
      <c r="A519" s="3">
        <f>IFERROR(__xludf.DUMMYFUNCTION("""COMPUTED_VALUE"""),40847.99861111111)</f>
        <v>40847.99861</v>
      </c>
      <c r="B519" s="1">
        <f>IFERROR(__xludf.DUMMYFUNCTION("""COMPUTED_VALUE"""),2353.556024)</f>
        <v>2353.556024</v>
      </c>
    </row>
    <row r="520">
      <c r="A520" s="3">
        <f>IFERROR(__xludf.DUMMYFUNCTION("""COMPUTED_VALUE"""),40848.99861111111)</f>
        <v>40848.99861</v>
      </c>
      <c r="B520" s="1">
        <f>IFERROR(__xludf.DUMMYFUNCTION("""COMPUTED_VALUE"""),2364.589152)</f>
        <v>2364.589152</v>
      </c>
    </row>
    <row r="521">
      <c r="A521" s="3">
        <f>IFERROR(__xludf.DUMMYFUNCTION("""COMPUTED_VALUE"""),40849.99861111111)</f>
        <v>40849.99861</v>
      </c>
      <c r="B521" s="1">
        <f>IFERROR(__xludf.DUMMYFUNCTION("""COMPUTED_VALUE"""),2373.583224)</f>
        <v>2373.583224</v>
      </c>
    </row>
    <row r="522">
      <c r="A522" s="3">
        <f>IFERROR(__xludf.DUMMYFUNCTION("""COMPUTED_VALUE"""),40850.99861111111)</f>
        <v>40850.99861</v>
      </c>
      <c r="B522" s="1">
        <f>IFERROR(__xludf.DUMMYFUNCTION("""COMPUTED_VALUE"""),2385.023529)</f>
        <v>2385.023529</v>
      </c>
    </row>
    <row r="523">
      <c r="A523" s="3">
        <f>IFERROR(__xludf.DUMMYFUNCTION("""COMPUTED_VALUE"""),40851.99861111111)</f>
        <v>40851.99861</v>
      </c>
      <c r="B523" s="1">
        <f>IFERROR(__xludf.DUMMYFUNCTION("""COMPUTED_VALUE"""),2385.269674)</f>
        <v>2385.269674</v>
      </c>
    </row>
    <row r="524">
      <c r="A524" s="3">
        <f>IFERROR(__xludf.DUMMYFUNCTION("""COMPUTED_VALUE"""),40852.99861111111)</f>
        <v>40852.99861</v>
      </c>
      <c r="B524" s="1">
        <f>IFERROR(__xludf.DUMMYFUNCTION("""COMPUTED_VALUE"""),2356.498928)</f>
        <v>2356.498928</v>
      </c>
    </row>
    <row r="525">
      <c r="A525" s="3">
        <f>IFERROR(__xludf.DUMMYFUNCTION("""COMPUTED_VALUE"""),40854.99861111111)</f>
        <v>40854.99861</v>
      </c>
      <c r="B525" s="1">
        <f>IFERROR(__xludf.DUMMYFUNCTION("""COMPUTED_VALUE"""),2388.113946)</f>
        <v>2388.113946</v>
      </c>
    </row>
    <row r="526">
      <c r="A526" s="3">
        <f>IFERROR(__xludf.DUMMYFUNCTION("""COMPUTED_VALUE"""),40855.99861111111)</f>
        <v>40855.99861</v>
      </c>
      <c r="B526" s="1">
        <f>IFERROR(__xludf.DUMMYFUNCTION("""COMPUTED_VALUE"""),2377.460045)</f>
        <v>2377.460045</v>
      </c>
    </row>
    <row r="527">
      <c r="A527" s="3">
        <f>IFERROR(__xludf.DUMMYFUNCTION("""COMPUTED_VALUE"""),40856.99861111111)</f>
        <v>40856.99861</v>
      </c>
      <c r="B527" s="1">
        <f>IFERROR(__xludf.DUMMYFUNCTION("""COMPUTED_VALUE"""),2370.779689)</f>
        <v>2370.779689</v>
      </c>
    </row>
    <row r="528">
      <c r="A528" s="3">
        <f>IFERROR(__xludf.DUMMYFUNCTION("""COMPUTED_VALUE"""),40857.99861111111)</f>
        <v>40857.99861</v>
      </c>
      <c r="B528" s="1">
        <f>IFERROR(__xludf.DUMMYFUNCTION("""COMPUTED_VALUE"""),2392.114159)</f>
        <v>2392.114159</v>
      </c>
    </row>
    <row r="529">
      <c r="A529" s="3">
        <f>IFERROR(__xludf.DUMMYFUNCTION("""COMPUTED_VALUE"""),40858.99861111111)</f>
        <v>40858.99861</v>
      </c>
      <c r="B529" s="1">
        <f>IFERROR(__xludf.DUMMYFUNCTION("""COMPUTED_VALUE"""),2388.010275)</f>
        <v>2388.010275</v>
      </c>
    </row>
    <row r="530">
      <c r="A530" s="3">
        <f>IFERROR(__xludf.DUMMYFUNCTION("""COMPUTED_VALUE"""),40860.99861111111)</f>
        <v>40860.99861</v>
      </c>
      <c r="B530" s="1">
        <f>IFERROR(__xludf.DUMMYFUNCTION("""COMPUTED_VALUE"""),2391.517035)</f>
        <v>2391.517035</v>
      </c>
    </row>
    <row r="531">
      <c r="A531" s="3">
        <f>IFERROR(__xludf.DUMMYFUNCTION("""COMPUTED_VALUE"""),40861.99861111111)</f>
        <v>40861.99861</v>
      </c>
      <c r="B531" s="1">
        <f>IFERROR(__xludf.DUMMYFUNCTION("""COMPUTED_VALUE"""),2390.780755)</f>
        <v>2390.780755</v>
      </c>
    </row>
    <row r="532">
      <c r="A532" s="3">
        <f>IFERROR(__xludf.DUMMYFUNCTION("""COMPUTED_VALUE"""),40862.99861111111)</f>
        <v>40862.99861</v>
      </c>
      <c r="B532" s="1">
        <f>IFERROR(__xludf.DUMMYFUNCTION("""COMPUTED_VALUE"""),2398.589319)</f>
        <v>2398.589319</v>
      </c>
    </row>
    <row r="533">
      <c r="A533" s="3">
        <f>IFERROR(__xludf.DUMMYFUNCTION("""COMPUTED_VALUE"""),40863.99861111111)</f>
        <v>40863.99861</v>
      </c>
      <c r="B533" s="1">
        <f>IFERROR(__xludf.DUMMYFUNCTION("""COMPUTED_VALUE"""),2398.253273)</f>
        <v>2398.253273</v>
      </c>
    </row>
    <row r="534">
      <c r="A534" s="3">
        <f>IFERROR(__xludf.DUMMYFUNCTION("""COMPUTED_VALUE"""),40864.99861111111)</f>
        <v>40864.99861</v>
      </c>
      <c r="B534" s="1">
        <f>IFERROR(__xludf.DUMMYFUNCTION("""COMPUTED_VALUE"""),2392.783736)</f>
        <v>2392.783736</v>
      </c>
    </row>
    <row r="535">
      <c r="A535" s="3">
        <f>IFERROR(__xludf.DUMMYFUNCTION("""COMPUTED_VALUE"""),40865.99861111111)</f>
        <v>40865.99861</v>
      </c>
      <c r="B535" s="1">
        <f>IFERROR(__xludf.DUMMYFUNCTION("""COMPUTED_VALUE"""),2397.861132)</f>
        <v>2397.861132</v>
      </c>
    </row>
    <row r="536">
      <c r="A536" s="3">
        <f>IFERROR(__xludf.DUMMYFUNCTION("""COMPUTED_VALUE"""),40866.99861111111)</f>
        <v>40866.99861</v>
      </c>
      <c r="B536" s="1">
        <f>IFERROR(__xludf.DUMMYFUNCTION("""COMPUTED_VALUE"""),2373.349992)</f>
        <v>2373.349992</v>
      </c>
    </row>
    <row r="537">
      <c r="A537" s="3">
        <f>IFERROR(__xludf.DUMMYFUNCTION("""COMPUTED_VALUE"""),40867.99861111111)</f>
        <v>40867.99861</v>
      </c>
      <c r="B537" s="1">
        <f>IFERROR(__xludf.DUMMYFUNCTION("""COMPUTED_VALUE"""),2405.448203)</f>
        <v>2405.448203</v>
      </c>
    </row>
    <row r="538">
      <c r="A538" s="3">
        <f>IFERROR(__xludf.DUMMYFUNCTION("""COMPUTED_VALUE"""),40868.99861111111)</f>
        <v>40868.99861</v>
      </c>
      <c r="B538" s="1">
        <f>IFERROR(__xludf.DUMMYFUNCTION("""COMPUTED_VALUE"""),2406.71744)</f>
        <v>2406.71744</v>
      </c>
    </row>
    <row r="539">
      <c r="A539" s="3">
        <f>IFERROR(__xludf.DUMMYFUNCTION("""COMPUTED_VALUE"""),40869.99861111111)</f>
        <v>40869.99861</v>
      </c>
      <c r="B539" s="1">
        <f>IFERROR(__xludf.DUMMYFUNCTION("""COMPUTED_VALUE"""),2412.115225)</f>
        <v>2412.115225</v>
      </c>
    </row>
    <row r="540">
      <c r="A540" s="3">
        <f>IFERROR(__xludf.DUMMYFUNCTION("""COMPUTED_VALUE"""),40870.99861111111)</f>
        <v>40870.99861</v>
      </c>
      <c r="B540" s="1">
        <f>IFERROR(__xludf.DUMMYFUNCTION("""COMPUTED_VALUE"""),2404.570716)</f>
        <v>2404.570716</v>
      </c>
    </row>
    <row r="541">
      <c r="A541" s="3">
        <f>IFERROR(__xludf.DUMMYFUNCTION("""COMPUTED_VALUE"""),40871.99861111111)</f>
        <v>40871.99861</v>
      </c>
      <c r="B541" s="1">
        <f>IFERROR(__xludf.DUMMYFUNCTION("""COMPUTED_VALUE"""),2390.164531)</f>
        <v>2390.164531</v>
      </c>
    </row>
    <row r="542">
      <c r="A542" s="3">
        <f>IFERROR(__xludf.DUMMYFUNCTION("""COMPUTED_VALUE"""),40872.99861111111)</f>
        <v>40872.99861</v>
      </c>
      <c r="B542" s="1">
        <f>IFERROR(__xludf.DUMMYFUNCTION("""COMPUTED_VALUE"""),2407.221631)</f>
        <v>2407.221631</v>
      </c>
    </row>
    <row r="543">
      <c r="A543" s="3">
        <f>IFERROR(__xludf.DUMMYFUNCTION("""COMPUTED_VALUE"""),40873.99861111111)</f>
        <v>40873.99861</v>
      </c>
      <c r="B543" s="1">
        <f>IFERROR(__xludf.DUMMYFUNCTION("""COMPUTED_VALUE"""),2409.061729)</f>
        <v>2409.061729</v>
      </c>
    </row>
    <row r="544">
      <c r="A544" s="3">
        <f>IFERROR(__xludf.DUMMYFUNCTION("""COMPUTED_VALUE"""),40874.99861111111)</f>
        <v>40874.99861</v>
      </c>
      <c r="B544" s="1">
        <f>IFERROR(__xludf.DUMMYFUNCTION("""COMPUTED_VALUE"""),2414.653272)</f>
        <v>2414.653272</v>
      </c>
    </row>
    <row r="545">
      <c r="A545" s="3">
        <f>IFERROR(__xludf.DUMMYFUNCTION("""COMPUTED_VALUE"""),40875.99861111111)</f>
        <v>40875.99861</v>
      </c>
      <c r="B545" s="1">
        <f>IFERROR(__xludf.DUMMYFUNCTION("""COMPUTED_VALUE"""),2430.718079)</f>
        <v>2430.718079</v>
      </c>
    </row>
    <row r="546">
      <c r="A546" s="3">
        <f>IFERROR(__xludf.DUMMYFUNCTION("""COMPUTED_VALUE"""),40876.99861111111)</f>
        <v>40876.99861</v>
      </c>
      <c r="B546" s="1">
        <f>IFERROR(__xludf.DUMMYFUNCTION("""COMPUTED_VALUE"""),2432.262966)</f>
        <v>2432.262966</v>
      </c>
    </row>
    <row r="547">
      <c r="A547" s="3">
        <f>IFERROR(__xludf.DUMMYFUNCTION("""COMPUTED_VALUE"""),40877.99861111111)</f>
        <v>40877.99861</v>
      </c>
      <c r="B547" s="1">
        <f>IFERROR(__xludf.DUMMYFUNCTION("""COMPUTED_VALUE"""),2420.517808)</f>
        <v>2420.517808</v>
      </c>
    </row>
    <row r="548">
      <c r="A548" s="3">
        <f>IFERROR(__xludf.DUMMYFUNCTION("""COMPUTED_VALUE"""),40878.99861111111)</f>
        <v>40878.99861</v>
      </c>
      <c r="B548" s="1">
        <f>IFERROR(__xludf.DUMMYFUNCTION("""COMPUTED_VALUE"""),2398.717227)</f>
        <v>2398.717227</v>
      </c>
    </row>
    <row r="549">
      <c r="A549" s="3">
        <f>IFERROR(__xludf.DUMMYFUNCTION("""COMPUTED_VALUE"""),40879.99861111111)</f>
        <v>40879.99861</v>
      </c>
      <c r="B549" s="1">
        <f>IFERROR(__xludf.DUMMYFUNCTION("""COMPUTED_VALUE"""),2404.128133)</f>
        <v>2404.128133</v>
      </c>
    </row>
    <row r="550">
      <c r="A550" s="3">
        <f>IFERROR(__xludf.DUMMYFUNCTION("""COMPUTED_VALUE"""),40880.99861111111)</f>
        <v>40880.99861</v>
      </c>
      <c r="B550" s="1">
        <f>IFERROR(__xludf.DUMMYFUNCTION("""COMPUTED_VALUE"""),2393.765107)</f>
        <v>2393.765107</v>
      </c>
    </row>
    <row r="551">
      <c r="A551" s="3">
        <f>IFERROR(__xludf.DUMMYFUNCTION("""COMPUTED_VALUE"""),40881.99861111111)</f>
        <v>40881.99861</v>
      </c>
      <c r="B551" s="1">
        <f>IFERROR(__xludf.DUMMYFUNCTION("""COMPUTED_VALUE"""),2404.114799)</f>
        <v>2404.114799</v>
      </c>
    </row>
    <row r="552">
      <c r="A552" s="3">
        <f>IFERROR(__xludf.DUMMYFUNCTION("""COMPUTED_VALUE"""),40882.99861111111)</f>
        <v>40882.99861</v>
      </c>
      <c r="B552" s="1">
        <f>IFERROR(__xludf.DUMMYFUNCTION("""COMPUTED_VALUE"""),2404.554822)</f>
        <v>2404.554822</v>
      </c>
    </row>
    <row r="553">
      <c r="A553" s="3">
        <f>IFERROR(__xludf.DUMMYFUNCTION("""COMPUTED_VALUE"""),40883.99861111111)</f>
        <v>40883.99861</v>
      </c>
      <c r="B553" s="1">
        <f>IFERROR(__xludf.DUMMYFUNCTION("""COMPUTED_VALUE"""),2409.448416)</f>
        <v>2409.448416</v>
      </c>
    </row>
    <row r="554">
      <c r="A554" s="3">
        <f>IFERROR(__xludf.DUMMYFUNCTION("""COMPUTED_VALUE"""),40884.99861111111)</f>
        <v>40884.99861</v>
      </c>
      <c r="B554" s="1">
        <f>IFERROR(__xludf.DUMMYFUNCTION("""COMPUTED_VALUE"""),2407.370791)</f>
        <v>2407.370791</v>
      </c>
    </row>
    <row r="555">
      <c r="A555" s="3">
        <f>IFERROR(__xludf.DUMMYFUNCTION("""COMPUTED_VALUE"""),40885.99861111111)</f>
        <v>40885.99861</v>
      </c>
      <c r="B555" s="1">
        <f>IFERROR(__xludf.DUMMYFUNCTION("""COMPUTED_VALUE"""),2398.589319)</f>
        <v>2398.589319</v>
      </c>
    </row>
    <row r="556">
      <c r="A556" s="3">
        <f>IFERROR(__xludf.DUMMYFUNCTION("""COMPUTED_VALUE"""),40886.99861111111)</f>
        <v>40886.99861</v>
      </c>
      <c r="B556" s="1">
        <f>IFERROR(__xludf.DUMMYFUNCTION("""COMPUTED_VALUE"""),2413.204582)</f>
        <v>2413.204582</v>
      </c>
    </row>
    <row r="557">
      <c r="A557" s="3">
        <f>IFERROR(__xludf.DUMMYFUNCTION("""COMPUTED_VALUE"""),40887.99861111111)</f>
        <v>40887.99861</v>
      </c>
      <c r="B557" s="1">
        <f>IFERROR(__xludf.DUMMYFUNCTION("""COMPUTED_VALUE"""),2373.963309)</f>
        <v>2373.963309</v>
      </c>
    </row>
    <row r="558">
      <c r="A558" s="3">
        <f>IFERROR(__xludf.DUMMYFUNCTION("""COMPUTED_VALUE"""),40888.99861111111)</f>
        <v>40888.99861</v>
      </c>
      <c r="B558" s="1">
        <f>IFERROR(__xludf.DUMMYFUNCTION("""COMPUTED_VALUE"""),2426.512901)</f>
        <v>2426.512901</v>
      </c>
    </row>
    <row r="559">
      <c r="A559" s="3">
        <f>IFERROR(__xludf.DUMMYFUNCTION("""COMPUTED_VALUE"""),40889.99861111111)</f>
        <v>40889.99861</v>
      </c>
      <c r="B559" s="1">
        <f>IFERROR(__xludf.DUMMYFUNCTION("""COMPUTED_VALUE"""),2413.384284)</f>
        <v>2413.384284</v>
      </c>
    </row>
    <row r="560">
      <c r="A560" s="3">
        <f>IFERROR(__xludf.DUMMYFUNCTION("""COMPUTED_VALUE"""),40890.99861111111)</f>
        <v>40890.99861</v>
      </c>
      <c r="B560" s="1">
        <f>IFERROR(__xludf.DUMMYFUNCTION("""COMPUTED_VALUE"""),2429.828485)</f>
        <v>2429.828485</v>
      </c>
    </row>
    <row r="561">
      <c r="A561" s="3">
        <f>IFERROR(__xludf.DUMMYFUNCTION("""COMPUTED_VALUE"""),40891.99861111111)</f>
        <v>40891.99861</v>
      </c>
      <c r="B561" s="1">
        <f>IFERROR(__xludf.DUMMYFUNCTION("""COMPUTED_VALUE"""),2426.666606)</f>
        <v>2426.666606</v>
      </c>
    </row>
    <row r="562">
      <c r="A562" s="3">
        <f>IFERROR(__xludf.DUMMYFUNCTION("""COMPUTED_VALUE"""),40892.99861111111)</f>
        <v>40892.99861</v>
      </c>
      <c r="B562" s="1">
        <f>IFERROR(__xludf.DUMMYFUNCTION("""COMPUTED_VALUE"""),2423.986606)</f>
        <v>2423.986606</v>
      </c>
    </row>
    <row r="563">
      <c r="A563" s="3">
        <f>IFERROR(__xludf.DUMMYFUNCTION("""COMPUTED_VALUE"""),40893.99861111111)</f>
        <v>40893.99861</v>
      </c>
      <c r="B563" s="1">
        <f>IFERROR(__xludf.DUMMYFUNCTION("""COMPUTED_VALUE"""),2419.177596)</f>
        <v>2419.177596</v>
      </c>
    </row>
    <row r="564">
      <c r="A564" s="3">
        <f>IFERROR(__xludf.DUMMYFUNCTION("""COMPUTED_VALUE"""),40895.99861111111)</f>
        <v>40895.99861</v>
      </c>
      <c r="B564" s="1">
        <f>IFERROR(__xludf.DUMMYFUNCTION("""COMPUTED_VALUE"""),2410.442167)</f>
        <v>2410.442167</v>
      </c>
    </row>
    <row r="565">
      <c r="A565" s="3">
        <f>IFERROR(__xludf.DUMMYFUNCTION("""COMPUTED_VALUE"""),40896.99861111111)</f>
        <v>40896.99861</v>
      </c>
      <c r="B565" s="1">
        <f>IFERROR(__xludf.DUMMYFUNCTION("""COMPUTED_VALUE"""),2430.415136)</f>
        <v>2430.415136</v>
      </c>
    </row>
    <row r="566">
      <c r="A566" s="3">
        <f>IFERROR(__xludf.DUMMYFUNCTION("""COMPUTED_VALUE"""),40897.99861111111)</f>
        <v>40897.99861</v>
      </c>
      <c r="B566" s="1">
        <f>IFERROR(__xludf.DUMMYFUNCTION("""COMPUTED_VALUE"""),2412.564616)</f>
        <v>2412.564616</v>
      </c>
    </row>
    <row r="567">
      <c r="A567" s="3">
        <f>IFERROR(__xludf.DUMMYFUNCTION("""COMPUTED_VALUE"""),40898.99861111111)</f>
        <v>40898.99861</v>
      </c>
      <c r="B567" s="1">
        <f>IFERROR(__xludf.DUMMYFUNCTION("""COMPUTED_VALUE"""),2414.110596)</f>
        <v>2414.110596</v>
      </c>
    </row>
    <row r="568">
      <c r="A568" s="3">
        <f>IFERROR(__xludf.DUMMYFUNCTION("""COMPUTED_VALUE"""),40899.99861111111)</f>
        <v>40899.99861</v>
      </c>
      <c r="B568" s="1">
        <f>IFERROR(__xludf.DUMMYFUNCTION("""COMPUTED_VALUE"""),2436.399939)</f>
        <v>2436.399939</v>
      </c>
    </row>
    <row r="569">
      <c r="A569" s="3">
        <f>IFERROR(__xludf.DUMMYFUNCTION("""COMPUTED_VALUE"""),40900.99861111111)</f>
        <v>40900.99861</v>
      </c>
      <c r="B569" s="1">
        <f>IFERROR(__xludf.DUMMYFUNCTION("""COMPUTED_VALUE"""),2410.666606)</f>
        <v>2410.666606</v>
      </c>
    </row>
    <row r="570">
      <c r="A570" s="3">
        <f>IFERROR(__xludf.DUMMYFUNCTION("""COMPUTED_VALUE"""),40901.99861111111)</f>
        <v>40901.99861</v>
      </c>
      <c r="B570" s="1">
        <f>IFERROR(__xludf.DUMMYFUNCTION("""COMPUTED_VALUE"""),2413.651212)</f>
        <v>2413.651212</v>
      </c>
    </row>
    <row r="571">
      <c r="A571" s="3">
        <f>IFERROR(__xludf.DUMMYFUNCTION("""COMPUTED_VALUE"""),40903.99861111111)</f>
        <v>40903.99861</v>
      </c>
      <c r="B571" s="1">
        <f>IFERROR(__xludf.DUMMYFUNCTION("""COMPUTED_VALUE"""),2427.67343)</f>
        <v>2427.67343</v>
      </c>
    </row>
    <row r="572">
      <c r="A572" s="3">
        <f>IFERROR(__xludf.DUMMYFUNCTION("""COMPUTED_VALUE"""),40904.99861111111)</f>
        <v>40904.99861</v>
      </c>
      <c r="B572" s="1">
        <f>IFERROR(__xludf.DUMMYFUNCTION("""COMPUTED_VALUE"""),2416.468842)</f>
        <v>2416.468842</v>
      </c>
    </row>
    <row r="573">
      <c r="A573" s="3">
        <f>IFERROR(__xludf.DUMMYFUNCTION("""COMPUTED_VALUE"""),40905.99861111111)</f>
        <v>40905.99861</v>
      </c>
      <c r="B573" s="1">
        <f>IFERROR(__xludf.DUMMYFUNCTION("""COMPUTED_VALUE"""),2411.775634)</f>
        <v>2411.775634</v>
      </c>
    </row>
    <row r="574">
      <c r="A574" s="3">
        <f>IFERROR(__xludf.DUMMYFUNCTION("""COMPUTED_VALUE"""),40906.99861111111)</f>
        <v>40906.99861</v>
      </c>
      <c r="B574" s="1">
        <f>IFERROR(__xludf.DUMMYFUNCTION("""COMPUTED_VALUE"""),2361.216983)</f>
        <v>2361.216983</v>
      </c>
    </row>
    <row r="575">
      <c r="A575" s="3">
        <f>IFERROR(__xludf.DUMMYFUNCTION("""COMPUTED_VALUE"""),40907.99861111111)</f>
        <v>40907.99861</v>
      </c>
      <c r="B575" s="1">
        <f>IFERROR(__xludf.DUMMYFUNCTION("""COMPUTED_VALUE"""),2415.999939)</f>
        <v>2415.999939</v>
      </c>
    </row>
    <row r="576">
      <c r="A576" s="3">
        <f>IFERROR(__xludf.DUMMYFUNCTION("""COMPUTED_VALUE"""),40908.99861111111)</f>
        <v>40908.99861</v>
      </c>
      <c r="B576" s="1">
        <f>IFERROR(__xludf.DUMMYFUNCTION("""COMPUTED_VALUE"""),2415.053073)</f>
        <v>2415.053073</v>
      </c>
    </row>
    <row r="577">
      <c r="A577" s="3">
        <f>IFERROR(__xludf.DUMMYFUNCTION("""COMPUTED_VALUE"""),40910.99861111111)</f>
        <v>40910.99861</v>
      </c>
      <c r="B577" s="1">
        <f>IFERROR(__xludf.DUMMYFUNCTION("""COMPUTED_VALUE"""),2376.881964)</f>
        <v>2376.881964</v>
      </c>
    </row>
    <row r="578">
      <c r="A578" s="3">
        <f>IFERROR(__xludf.DUMMYFUNCTION("""COMPUTED_VALUE"""),40911.99861111111)</f>
        <v>40911.99861</v>
      </c>
      <c r="B578" s="1">
        <f>IFERROR(__xludf.DUMMYFUNCTION("""COMPUTED_VALUE"""),2430.601798)</f>
        <v>2430.601798</v>
      </c>
    </row>
    <row r="579">
      <c r="A579" s="3">
        <f>IFERROR(__xludf.DUMMYFUNCTION("""COMPUTED_VALUE"""),40912.99861111111)</f>
        <v>40912.99861</v>
      </c>
      <c r="B579" s="1">
        <f>IFERROR(__xludf.DUMMYFUNCTION("""COMPUTED_VALUE"""),2433.280767)</f>
        <v>2433.280767</v>
      </c>
    </row>
    <row r="580">
      <c r="A580" s="3">
        <f>IFERROR(__xludf.DUMMYFUNCTION("""COMPUTED_VALUE"""),40913.99861111111)</f>
        <v>40913.99861</v>
      </c>
      <c r="B580" s="1">
        <f>IFERROR(__xludf.DUMMYFUNCTION("""COMPUTED_VALUE"""),2429.333272)</f>
        <v>2429.333272</v>
      </c>
    </row>
    <row r="581">
      <c r="A581" s="3">
        <f>IFERROR(__xludf.DUMMYFUNCTION("""COMPUTED_VALUE"""),40914.99861111111)</f>
        <v>40914.99861</v>
      </c>
      <c r="B581" s="1">
        <f>IFERROR(__xludf.DUMMYFUNCTION("""COMPUTED_VALUE"""),2423.999939)</f>
        <v>2423.999939</v>
      </c>
    </row>
    <row r="582">
      <c r="A582" s="3">
        <f>IFERROR(__xludf.DUMMYFUNCTION("""COMPUTED_VALUE"""),40915.99861111111)</f>
        <v>40915.99861</v>
      </c>
      <c r="B582" s="1">
        <f>IFERROR(__xludf.DUMMYFUNCTION("""COMPUTED_VALUE"""),2416.153191)</f>
        <v>2416.153191</v>
      </c>
    </row>
    <row r="583">
      <c r="A583" s="3">
        <f>IFERROR(__xludf.DUMMYFUNCTION("""COMPUTED_VALUE"""),40917.99861111111)</f>
        <v>40917.99861</v>
      </c>
      <c r="B583" s="1">
        <f>IFERROR(__xludf.DUMMYFUNCTION("""COMPUTED_VALUE"""),2438.868244)</f>
        <v>2438.868244</v>
      </c>
    </row>
    <row r="584">
      <c r="A584" s="3">
        <f>IFERROR(__xludf.DUMMYFUNCTION("""COMPUTED_VALUE"""),40918.99861111111)</f>
        <v>40918.99861</v>
      </c>
      <c r="B584" s="1">
        <f>IFERROR(__xludf.DUMMYFUNCTION("""COMPUTED_VALUE"""),2438.601584)</f>
        <v>2438.601584</v>
      </c>
    </row>
    <row r="585">
      <c r="A585" s="3">
        <f>IFERROR(__xludf.DUMMYFUNCTION("""COMPUTED_VALUE"""),40919.99861111111)</f>
        <v>40919.99861</v>
      </c>
      <c r="B585" s="1">
        <f>IFERROR(__xludf.DUMMYFUNCTION("""COMPUTED_VALUE"""),2450.601264)</f>
        <v>2450.601264</v>
      </c>
    </row>
    <row r="586">
      <c r="A586" s="3">
        <f>IFERROR(__xludf.DUMMYFUNCTION("""COMPUTED_VALUE"""),40920.99861111111)</f>
        <v>40920.99861</v>
      </c>
      <c r="B586" s="1">
        <f>IFERROR(__xludf.DUMMYFUNCTION("""COMPUTED_VALUE"""),2440.1952)</f>
        <v>2440.1952</v>
      </c>
    </row>
    <row r="587">
      <c r="A587" s="3">
        <f>IFERROR(__xludf.DUMMYFUNCTION("""COMPUTED_VALUE"""),40921.99861111111)</f>
        <v>40921.99861</v>
      </c>
      <c r="B587" s="1">
        <f>IFERROR(__xludf.DUMMYFUNCTION("""COMPUTED_VALUE"""),2422.414915)</f>
        <v>2422.414915</v>
      </c>
    </row>
    <row r="588">
      <c r="A588" s="3">
        <f>IFERROR(__xludf.DUMMYFUNCTION("""COMPUTED_VALUE"""),40922.99861111111)</f>
        <v>40922.99861</v>
      </c>
      <c r="B588" s="1">
        <f>IFERROR(__xludf.DUMMYFUNCTION("""COMPUTED_VALUE"""),2415.65266)</f>
        <v>2415.65266</v>
      </c>
    </row>
    <row r="589">
      <c r="A589" s="3">
        <f>IFERROR(__xludf.DUMMYFUNCTION("""COMPUTED_VALUE"""),40924.99861111111)</f>
        <v>40924.99861</v>
      </c>
      <c r="B589" s="1">
        <f>IFERROR(__xludf.DUMMYFUNCTION("""COMPUTED_VALUE"""),2428.906906)</f>
        <v>2428.906906</v>
      </c>
    </row>
    <row r="590">
      <c r="A590" s="3">
        <f>IFERROR(__xludf.DUMMYFUNCTION("""COMPUTED_VALUE"""),40925.99861111111)</f>
        <v>40925.99861</v>
      </c>
      <c r="B590" s="1">
        <f>IFERROR(__xludf.DUMMYFUNCTION("""COMPUTED_VALUE"""),2418.666606)</f>
        <v>2418.666606</v>
      </c>
    </row>
    <row r="591">
      <c r="A591" s="3">
        <f>IFERROR(__xludf.DUMMYFUNCTION("""COMPUTED_VALUE"""),40926.99861111111)</f>
        <v>40926.99861</v>
      </c>
      <c r="B591" s="1">
        <f>IFERROR(__xludf.DUMMYFUNCTION("""COMPUTED_VALUE"""),2402.159939)</f>
        <v>2402.159939</v>
      </c>
    </row>
    <row r="592">
      <c r="A592" s="3">
        <f>IFERROR(__xludf.DUMMYFUNCTION("""COMPUTED_VALUE"""),40927.99861111111)</f>
        <v>40927.99861</v>
      </c>
      <c r="B592" s="1">
        <f>IFERROR(__xludf.DUMMYFUNCTION("""COMPUTED_VALUE"""),2385.52416)</f>
        <v>2385.52416</v>
      </c>
    </row>
    <row r="593">
      <c r="A593" s="3">
        <f>IFERROR(__xludf.DUMMYFUNCTION("""COMPUTED_VALUE"""),40928.99861111111)</f>
        <v>40928.99861</v>
      </c>
      <c r="B593" s="1">
        <f>IFERROR(__xludf.DUMMYFUNCTION("""COMPUTED_VALUE"""),2384.469696)</f>
        <v>2384.469696</v>
      </c>
    </row>
    <row r="594">
      <c r="A594" s="3">
        <f>IFERROR(__xludf.DUMMYFUNCTION("""COMPUTED_VALUE"""),40929.99861111111)</f>
        <v>40929.99861</v>
      </c>
      <c r="B594" s="1">
        <f>IFERROR(__xludf.DUMMYFUNCTION("""COMPUTED_VALUE"""),2381.142977)</f>
        <v>2381.142977</v>
      </c>
    </row>
    <row r="595">
      <c r="A595" s="3">
        <f>IFERROR(__xludf.DUMMYFUNCTION("""COMPUTED_VALUE"""),40931.99861111111)</f>
        <v>40931.99861</v>
      </c>
      <c r="B595" s="1">
        <f>IFERROR(__xludf.DUMMYFUNCTION("""COMPUTED_VALUE"""),2378.666607)</f>
        <v>2378.666607</v>
      </c>
    </row>
    <row r="596">
      <c r="A596" s="3">
        <f>IFERROR(__xludf.DUMMYFUNCTION("""COMPUTED_VALUE"""),40932.99861111111)</f>
        <v>40932.99861</v>
      </c>
      <c r="B596" s="1">
        <f>IFERROR(__xludf.DUMMYFUNCTION("""COMPUTED_VALUE"""),2388.736248)</f>
        <v>2388.736248</v>
      </c>
    </row>
    <row r="597">
      <c r="A597" s="3">
        <f>IFERROR(__xludf.DUMMYFUNCTION("""COMPUTED_VALUE"""),40933.99861111111)</f>
        <v>40933.99861</v>
      </c>
      <c r="B597" s="1">
        <f>IFERROR(__xludf.DUMMYFUNCTION("""COMPUTED_VALUE"""),2413.428923)</f>
        <v>2413.428923</v>
      </c>
    </row>
    <row r="598">
      <c r="A598" s="3">
        <f>IFERROR(__xludf.DUMMYFUNCTION("""COMPUTED_VALUE"""),40934.99861111111)</f>
        <v>40934.99861</v>
      </c>
      <c r="B598" s="1">
        <f>IFERROR(__xludf.DUMMYFUNCTION("""COMPUTED_VALUE"""),2393.03994)</f>
        <v>2393.03994</v>
      </c>
    </row>
    <row r="599">
      <c r="A599" s="3">
        <f>IFERROR(__xludf.DUMMYFUNCTION("""COMPUTED_VALUE"""),40935.99861111111)</f>
        <v>40935.99861</v>
      </c>
      <c r="B599" s="1">
        <f>IFERROR(__xludf.DUMMYFUNCTION("""COMPUTED_VALUE"""),2393.946606)</f>
        <v>2393.946606</v>
      </c>
    </row>
    <row r="600">
      <c r="A600" s="3">
        <f>IFERROR(__xludf.DUMMYFUNCTION("""COMPUTED_VALUE"""),40936.99861111111)</f>
        <v>40936.99861</v>
      </c>
      <c r="B600" s="1">
        <f>IFERROR(__xludf.DUMMYFUNCTION("""COMPUTED_VALUE"""),2394.863478)</f>
        <v>2394.863478</v>
      </c>
    </row>
    <row r="601">
      <c r="A601" s="3">
        <f>IFERROR(__xludf.DUMMYFUNCTION("""COMPUTED_VALUE"""),40937.99861111111)</f>
        <v>40937.99861</v>
      </c>
      <c r="B601" s="1">
        <f>IFERROR(__xludf.DUMMYFUNCTION("""COMPUTED_VALUE"""),2400.303936)</f>
        <v>2400.303936</v>
      </c>
    </row>
    <row r="602">
      <c r="A602" s="3">
        <f>IFERROR(__xludf.DUMMYFUNCTION("""COMPUTED_VALUE"""),40938.99861111111)</f>
        <v>40938.99861</v>
      </c>
      <c r="B602" s="1">
        <f>IFERROR(__xludf.DUMMYFUNCTION("""COMPUTED_VALUE"""),2392.597064)</f>
        <v>2392.597064</v>
      </c>
    </row>
    <row r="603">
      <c r="A603" s="3">
        <f>IFERROR(__xludf.DUMMYFUNCTION("""COMPUTED_VALUE"""),40939.99861111111)</f>
        <v>40939.99861</v>
      </c>
      <c r="B603" s="1">
        <f>IFERROR(__xludf.DUMMYFUNCTION("""COMPUTED_VALUE"""),2395.364947)</f>
        <v>2395.364947</v>
      </c>
    </row>
    <row r="604">
      <c r="A604" s="3">
        <f>IFERROR(__xludf.DUMMYFUNCTION("""COMPUTED_VALUE"""),40940.99861111111)</f>
        <v>40940.99861</v>
      </c>
      <c r="B604" s="1">
        <f>IFERROR(__xludf.DUMMYFUNCTION("""COMPUTED_VALUE"""),2394.85824)</f>
        <v>2394.85824</v>
      </c>
    </row>
    <row r="605">
      <c r="A605" s="3">
        <f>IFERROR(__xludf.DUMMYFUNCTION("""COMPUTED_VALUE"""),40941.99861111111)</f>
        <v>40941.99861</v>
      </c>
      <c r="B605" s="1">
        <f>IFERROR(__xludf.DUMMYFUNCTION("""COMPUTED_VALUE"""),2388.949576)</f>
        <v>2388.949576</v>
      </c>
    </row>
    <row r="606">
      <c r="A606" s="3">
        <f>IFERROR(__xludf.DUMMYFUNCTION("""COMPUTED_VALUE"""),40942.99861111111)</f>
        <v>40942.99861</v>
      </c>
      <c r="B606" s="1">
        <f>IFERROR(__xludf.DUMMYFUNCTION("""COMPUTED_VALUE"""),2388.442923)</f>
        <v>2388.442923</v>
      </c>
    </row>
    <row r="607">
      <c r="A607" s="3">
        <f>IFERROR(__xludf.DUMMYFUNCTION("""COMPUTED_VALUE"""),40943.99861111111)</f>
        <v>40943.99861</v>
      </c>
      <c r="B607" s="1">
        <f>IFERROR(__xludf.DUMMYFUNCTION("""COMPUTED_VALUE"""),2380.826607)</f>
        <v>2380.826607</v>
      </c>
    </row>
    <row r="608">
      <c r="A608" s="3">
        <f>IFERROR(__xludf.DUMMYFUNCTION("""COMPUTED_VALUE"""),40944.99861111111)</f>
        <v>40944.99861</v>
      </c>
      <c r="B608" s="1">
        <f>IFERROR(__xludf.DUMMYFUNCTION("""COMPUTED_VALUE"""),2391.75654)</f>
        <v>2391.75654</v>
      </c>
    </row>
    <row r="609">
      <c r="A609" s="3">
        <f>IFERROR(__xludf.DUMMYFUNCTION("""COMPUTED_VALUE"""),40945.99861111111)</f>
        <v>40945.99861</v>
      </c>
      <c r="B609" s="1">
        <f>IFERROR(__xludf.DUMMYFUNCTION("""COMPUTED_VALUE"""),2395.924992)</f>
        <v>2395.924992</v>
      </c>
    </row>
    <row r="610">
      <c r="A610" s="3">
        <f>IFERROR(__xludf.DUMMYFUNCTION("""COMPUTED_VALUE"""),40946.99861111111)</f>
        <v>40946.99861</v>
      </c>
      <c r="B610" s="1">
        <f>IFERROR(__xludf.DUMMYFUNCTION("""COMPUTED_VALUE"""),2381.460258)</f>
        <v>2381.460258</v>
      </c>
    </row>
    <row r="611">
      <c r="A611" s="3">
        <f>IFERROR(__xludf.DUMMYFUNCTION("""COMPUTED_VALUE"""),40947.99861111111)</f>
        <v>40947.99861</v>
      </c>
      <c r="B611" s="1">
        <f>IFERROR(__xludf.DUMMYFUNCTION("""COMPUTED_VALUE"""),2360.525809)</f>
        <v>2360.525809</v>
      </c>
    </row>
    <row r="612">
      <c r="A612" s="3">
        <f>IFERROR(__xludf.DUMMYFUNCTION("""COMPUTED_VALUE"""),40948.99861111111)</f>
        <v>40948.99861</v>
      </c>
      <c r="B612" s="1">
        <f>IFERROR(__xludf.DUMMYFUNCTION("""COMPUTED_VALUE"""),2378.730028)</f>
        <v>2378.730028</v>
      </c>
    </row>
    <row r="613">
      <c r="A613" s="3">
        <f>IFERROR(__xludf.DUMMYFUNCTION("""COMPUTED_VALUE"""),40949.99861111111)</f>
        <v>40949.99861</v>
      </c>
      <c r="B613" s="1">
        <f>IFERROR(__xludf.DUMMYFUNCTION("""COMPUTED_VALUE"""),2392.836136)</f>
        <v>2392.836136</v>
      </c>
    </row>
    <row r="614">
      <c r="A614" s="3">
        <f>IFERROR(__xludf.DUMMYFUNCTION("""COMPUTED_VALUE"""),40950.99861111111)</f>
        <v>40950.99861</v>
      </c>
      <c r="B614" s="1">
        <f>IFERROR(__xludf.DUMMYFUNCTION("""COMPUTED_VALUE"""),2393.027718)</f>
        <v>2393.027718</v>
      </c>
    </row>
    <row r="615">
      <c r="A615" s="3">
        <f>IFERROR(__xludf.DUMMYFUNCTION("""COMPUTED_VALUE"""),40951.99861111111)</f>
        <v>40951.99861</v>
      </c>
      <c r="B615" s="1">
        <f>IFERROR(__xludf.DUMMYFUNCTION("""COMPUTED_VALUE"""),2392.836136)</f>
        <v>2392.836136</v>
      </c>
    </row>
    <row r="616">
      <c r="A616" s="3">
        <f>IFERROR(__xludf.DUMMYFUNCTION("""COMPUTED_VALUE"""),40952.99861111111)</f>
        <v>40952.99861</v>
      </c>
      <c r="B616" s="1">
        <f>IFERROR(__xludf.DUMMYFUNCTION("""COMPUTED_VALUE"""),2392.463727)</f>
        <v>2392.463727</v>
      </c>
    </row>
    <row r="617">
      <c r="A617" s="3">
        <f>IFERROR(__xludf.DUMMYFUNCTION("""COMPUTED_VALUE"""),40953.99861111111)</f>
        <v>40953.99861</v>
      </c>
      <c r="B617" s="1">
        <f>IFERROR(__xludf.DUMMYFUNCTION("""COMPUTED_VALUE"""),2399.594558)</f>
        <v>2399.594558</v>
      </c>
    </row>
    <row r="618">
      <c r="A618" s="3">
        <f>IFERROR(__xludf.DUMMYFUNCTION("""COMPUTED_VALUE"""),40954.99861111111)</f>
        <v>40954.99861</v>
      </c>
      <c r="B618" s="1">
        <f>IFERROR(__xludf.DUMMYFUNCTION("""COMPUTED_VALUE"""),2381.587332)</f>
        <v>2381.587332</v>
      </c>
    </row>
    <row r="619">
      <c r="A619" s="3">
        <f>IFERROR(__xludf.DUMMYFUNCTION("""COMPUTED_VALUE"""),40955.99861111111)</f>
        <v>40955.99861</v>
      </c>
      <c r="B619" s="1">
        <f>IFERROR(__xludf.DUMMYFUNCTION("""COMPUTED_VALUE"""),2396.711801)</f>
        <v>2396.711801</v>
      </c>
    </row>
    <row r="620">
      <c r="A620" s="3">
        <f>IFERROR(__xludf.DUMMYFUNCTION("""COMPUTED_VALUE"""),40956.99861111111)</f>
        <v>40956.99861</v>
      </c>
      <c r="B620" s="1">
        <f>IFERROR(__xludf.DUMMYFUNCTION("""COMPUTED_VALUE"""),2402.914564)</f>
        <v>2402.914564</v>
      </c>
    </row>
    <row r="621">
      <c r="A621" s="3">
        <f>IFERROR(__xludf.DUMMYFUNCTION("""COMPUTED_VALUE"""),40957.99861111111)</f>
        <v>40957.99861</v>
      </c>
      <c r="B621" s="1">
        <f>IFERROR(__xludf.DUMMYFUNCTION("""COMPUTED_VALUE"""),2398.205916)</f>
        <v>2398.205916</v>
      </c>
    </row>
    <row r="622">
      <c r="A622" s="3">
        <f>IFERROR(__xludf.DUMMYFUNCTION("""COMPUTED_VALUE"""),40958.99861111111)</f>
        <v>40958.99861</v>
      </c>
      <c r="B622" s="1">
        <f>IFERROR(__xludf.DUMMYFUNCTION("""COMPUTED_VALUE"""),2398.141956)</f>
        <v>2398.141956</v>
      </c>
    </row>
    <row r="623">
      <c r="A623" s="3">
        <f>IFERROR(__xludf.DUMMYFUNCTION("""COMPUTED_VALUE"""),40959.99861111111)</f>
        <v>40959.99861</v>
      </c>
      <c r="B623" s="1">
        <f>IFERROR(__xludf.DUMMYFUNCTION("""COMPUTED_VALUE"""),2392.490394)</f>
        <v>2392.490394</v>
      </c>
    </row>
    <row r="624">
      <c r="A624" s="3">
        <f>IFERROR(__xludf.DUMMYFUNCTION("""COMPUTED_VALUE"""),40960.99861111111)</f>
        <v>40960.99861</v>
      </c>
      <c r="B624" s="1">
        <f>IFERROR(__xludf.DUMMYFUNCTION("""COMPUTED_VALUE"""),2408.19264)</f>
        <v>2408.19264</v>
      </c>
    </row>
    <row r="625">
      <c r="A625" s="3">
        <f>IFERROR(__xludf.DUMMYFUNCTION("""COMPUTED_VALUE"""),40961.99861111111)</f>
        <v>40961.99861</v>
      </c>
      <c r="B625" s="1">
        <f>IFERROR(__xludf.DUMMYFUNCTION("""COMPUTED_VALUE"""),2410.73088)</f>
        <v>2410.73088</v>
      </c>
    </row>
    <row r="626">
      <c r="A626" s="3">
        <f>IFERROR(__xludf.DUMMYFUNCTION("""COMPUTED_VALUE"""),40962.99861111111)</f>
        <v>40962.99861</v>
      </c>
      <c r="B626" s="1">
        <f>IFERROR(__xludf.DUMMYFUNCTION("""COMPUTED_VALUE"""),2410.85952)</f>
        <v>2410.85952</v>
      </c>
    </row>
    <row r="627">
      <c r="A627" s="3">
        <f>IFERROR(__xludf.DUMMYFUNCTION("""COMPUTED_VALUE"""),40963.99861111111)</f>
        <v>40963.99861</v>
      </c>
      <c r="B627" s="1">
        <f>IFERROR(__xludf.DUMMYFUNCTION("""COMPUTED_VALUE"""),2412.725466)</f>
        <v>2412.725466</v>
      </c>
    </row>
    <row r="628">
      <c r="A628" s="3">
        <f>IFERROR(__xludf.DUMMYFUNCTION("""COMPUTED_VALUE"""),40964.99861111111)</f>
        <v>40964.99861</v>
      </c>
      <c r="B628" s="1">
        <f>IFERROR(__xludf.DUMMYFUNCTION("""COMPUTED_VALUE"""),2407.499325)</f>
        <v>2407.499325</v>
      </c>
    </row>
    <row r="629">
      <c r="A629" s="3">
        <f>IFERROR(__xludf.DUMMYFUNCTION("""COMPUTED_VALUE"""),40965.99861111111)</f>
        <v>40965.99861</v>
      </c>
      <c r="B629" s="1">
        <f>IFERROR(__xludf.DUMMYFUNCTION("""COMPUTED_VALUE"""),2417.7132)</f>
        <v>2417.7132</v>
      </c>
    </row>
    <row r="630">
      <c r="A630" s="3">
        <f>IFERROR(__xludf.DUMMYFUNCTION("""COMPUTED_VALUE"""),40966.99861111111)</f>
        <v>40966.99861</v>
      </c>
      <c r="B630" s="1">
        <f>IFERROR(__xludf.DUMMYFUNCTION("""COMPUTED_VALUE"""),2428.19424)</f>
        <v>2428.19424</v>
      </c>
    </row>
    <row r="631">
      <c r="A631" s="3">
        <f>IFERROR(__xludf.DUMMYFUNCTION("""COMPUTED_VALUE"""),40967.99861111111)</f>
        <v>40967.99861</v>
      </c>
      <c r="B631" s="1">
        <f>IFERROR(__xludf.DUMMYFUNCTION("""COMPUTED_VALUE"""),2401.397298)</f>
        <v>2401.397298</v>
      </c>
    </row>
    <row r="632">
      <c r="A632" s="3">
        <f>IFERROR(__xludf.DUMMYFUNCTION("""COMPUTED_VALUE"""),40968.99861111111)</f>
        <v>40968.99861</v>
      </c>
      <c r="B632" s="1">
        <f>IFERROR(__xludf.DUMMYFUNCTION("""COMPUTED_VALUE"""),2402.794728)</f>
        <v>2402.794728</v>
      </c>
    </row>
    <row r="633">
      <c r="A633" s="3">
        <f>IFERROR(__xludf.DUMMYFUNCTION("""COMPUTED_VALUE"""),40969.99861111111)</f>
        <v>40969.99861</v>
      </c>
      <c r="B633" s="1">
        <f>IFERROR(__xludf.DUMMYFUNCTION("""COMPUTED_VALUE"""),2414.795368)</f>
        <v>2414.795368</v>
      </c>
    </row>
    <row r="634">
      <c r="A634" s="3">
        <f>IFERROR(__xludf.DUMMYFUNCTION("""COMPUTED_VALUE"""),40970.99861111111)</f>
        <v>40970.99861</v>
      </c>
      <c r="B634" s="1">
        <f>IFERROR(__xludf.DUMMYFUNCTION("""COMPUTED_VALUE"""),2414.795368)</f>
        <v>2414.795368</v>
      </c>
    </row>
    <row r="635">
      <c r="A635" s="3">
        <f>IFERROR(__xludf.DUMMYFUNCTION("""COMPUTED_VALUE"""),40971.99861111111)</f>
        <v>40971.99861</v>
      </c>
      <c r="B635" s="1">
        <f>IFERROR(__xludf.DUMMYFUNCTION("""COMPUTED_VALUE"""),2417.051421)</f>
        <v>2417.051421</v>
      </c>
    </row>
    <row r="636">
      <c r="A636" s="3">
        <f>IFERROR(__xludf.DUMMYFUNCTION("""COMPUTED_VALUE"""),40972.99861111111)</f>
        <v>40972.99861</v>
      </c>
      <c r="B636" s="1">
        <f>IFERROR(__xludf.DUMMYFUNCTION("""COMPUTED_VALUE"""),2414.666606)</f>
        <v>2414.666606</v>
      </c>
    </row>
    <row r="637">
      <c r="A637" s="3">
        <f>IFERROR(__xludf.DUMMYFUNCTION("""COMPUTED_VALUE"""),40973.99861111111)</f>
        <v>40973.99861</v>
      </c>
      <c r="B637" s="1">
        <f>IFERROR(__xludf.DUMMYFUNCTION("""COMPUTED_VALUE"""),2430.133272)</f>
        <v>2430.133272</v>
      </c>
    </row>
    <row r="638">
      <c r="A638" s="3">
        <f>IFERROR(__xludf.DUMMYFUNCTION("""COMPUTED_VALUE"""),40974.99861111111)</f>
        <v>40974.99861</v>
      </c>
      <c r="B638" s="1">
        <f>IFERROR(__xludf.DUMMYFUNCTION("""COMPUTED_VALUE"""),2430.796221)</f>
        <v>2430.796221</v>
      </c>
    </row>
    <row r="639">
      <c r="A639" s="3">
        <f>IFERROR(__xludf.DUMMYFUNCTION("""COMPUTED_VALUE"""),40975.99861111111)</f>
        <v>40975.99861</v>
      </c>
      <c r="B639" s="1">
        <f>IFERROR(__xludf.DUMMYFUNCTION("""COMPUTED_VALUE"""),2422.795794)</f>
        <v>2422.795794</v>
      </c>
    </row>
    <row r="640">
      <c r="A640" s="3">
        <f>IFERROR(__xludf.DUMMYFUNCTION("""COMPUTED_VALUE"""),40976.99861111111)</f>
        <v>40976.99861</v>
      </c>
      <c r="B640" s="1">
        <f>IFERROR(__xludf.DUMMYFUNCTION("""COMPUTED_VALUE"""),2427.999939)</f>
        <v>2427.999939</v>
      </c>
    </row>
    <row r="641">
      <c r="A641" s="3">
        <f>IFERROR(__xludf.DUMMYFUNCTION("""COMPUTED_VALUE"""),40977.99861111111)</f>
        <v>40977.99861</v>
      </c>
      <c r="B641" s="1">
        <f>IFERROR(__xludf.DUMMYFUNCTION("""COMPUTED_VALUE"""),2428.129412)</f>
        <v>2428.129412</v>
      </c>
    </row>
    <row r="642">
      <c r="A642" s="3">
        <f>IFERROR(__xludf.DUMMYFUNCTION("""COMPUTED_VALUE"""),40978.99861111111)</f>
        <v>40978.99861</v>
      </c>
      <c r="B642" s="1">
        <f>IFERROR(__xludf.DUMMYFUNCTION("""COMPUTED_VALUE"""),2439.898039)</f>
        <v>2439.898039</v>
      </c>
    </row>
    <row r="643">
      <c r="A643" s="3">
        <f>IFERROR(__xludf.DUMMYFUNCTION("""COMPUTED_VALUE"""),40979.99861111111)</f>
        <v>40979.99861</v>
      </c>
      <c r="B643" s="1">
        <f>IFERROR(__xludf.DUMMYFUNCTION("""COMPUTED_VALUE"""),2435.319939)</f>
        <v>2435.319939</v>
      </c>
    </row>
    <row r="644">
      <c r="A644" s="3">
        <f>IFERROR(__xludf.DUMMYFUNCTION("""COMPUTED_VALUE"""),40980.99861111111)</f>
        <v>40980.99861</v>
      </c>
      <c r="B644" s="1">
        <f>IFERROR(__xludf.DUMMYFUNCTION("""COMPUTED_VALUE"""),2435.466605)</f>
        <v>2435.466605</v>
      </c>
    </row>
    <row r="645">
      <c r="A645" s="3">
        <f>IFERROR(__xludf.DUMMYFUNCTION("""COMPUTED_VALUE"""),40981.99861111111)</f>
        <v>40981.99861</v>
      </c>
      <c r="B645" s="1">
        <f>IFERROR(__xludf.DUMMYFUNCTION("""COMPUTED_VALUE"""),2435.466605)</f>
        <v>2435.466605</v>
      </c>
    </row>
    <row r="646">
      <c r="A646" s="3">
        <f>IFERROR(__xludf.DUMMYFUNCTION("""COMPUTED_VALUE"""),40982.99861111111)</f>
        <v>40982.99861</v>
      </c>
      <c r="B646" s="1">
        <f>IFERROR(__xludf.DUMMYFUNCTION("""COMPUTED_VALUE"""),2443.466605)</f>
        <v>2443.466605</v>
      </c>
    </row>
    <row r="647">
      <c r="A647" s="3">
        <f>IFERROR(__xludf.DUMMYFUNCTION("""COMPUTED_VALUE"""),40983.99861111111)</f>
        <v>40983.99861</v>
      </c>
      <c r="B647" s="1">
        <f>IFERROR(__xludf.DUMMYFUNCTION("""COMPUTED_VALUE"""),2443.466605)</f>
        <v>2443.466605</v>
      </c>
    </row>
    <row r="648">
      <c r="A648" s="3">
        <f>IFERROR(__xludf.DUMMYFUNCTION("""COMPUTED_VALUE"""),40984.99861111111)</f>
        <v>40984.99861</v>
      </c>
      <c r="B648" s="1">
        <f>IFERROR(__xludf.DUMMYFUNCTION("""COMPUTED_VALUE"""),2426.8608)</f>
        <v>2426.8608</v>
      </c>
    </row>
    <row r="649">
      <c r="A649" s="3">
        <f>IFERROR(__xludf.DUMMYFUNCTION("""COMPUTED_VALUE"""),40985.99861111111)</f>
        <v>40985.99861</v>
      </c>
      <c r="B649" s="1">
        <f>IFERROR(__xludf.DUMMYFUNCTION("""COMPUTED_VALUE"""),2423.153836)</f>
        <v>2423.153836</v>
      </c>
    </row>
    <row r="650">
      <c r="A650" s="3">
        <f>IFERROR(__xludf.DUMMYFUNCTION("""COMPUTED_VALUE"""),40986.99861111111)</f>
        <v>40986.99861</v>
      </c>
      <c r="B650" s="1">
        <f>IFERROR(__xludf.DUMMYFUNCTION("""COMPUTED_VALUE"""),2431.999939)</f>
        <v>2431.999939</v>
      </c>
    </row>
    <row r="651">
      <c r="A651" s="3">
        <f>IFERROR(__xludf.DUMMYFUNCTION("""COMPUTED_VALUE"""),40987.99861111111)</f>
        <v>40987.99861</v>
      </c>
      <c r="B651" s="1">
        <f>IFERROR(__xludf.DUMMYFUNCTION("""COMPUTED_VALUE"""),2429.333272)</f>
        <v>2429.333272</v>
      </c>
    </row>
    <row r="652">
      <c r="A652" s="3">
        <f>IFERROR(__xludf.DUMMYFUNCTION("""COMPUTED_VALUE"""),40988.99861111111)</f>
        <v>40988.99861</v>
      </c>
      <c r="B652" s="1">
        <f>IFERROR(__xludf.DUMMYFUNCTION("""COMPUTED_VALUE"""),2438.796647)</f>
        <v>2438.796647</v>
      </c>
    </row>
    <row r="653">
      <c r="A653" s="3">
        <f>IFERROR(__xludf.DUMMYFUNCTION("""COMPUTED_VALUE"""),40989.99861111111)</f>
        <v>40989.99861</v>
      </c>
      <c r="B653" s="1">
        <f>IFERROR(__xludf.DUMMYFUNCTION("""COMPUTED_VALUE"""),2438.666605)</f>
        <v>2438.666605</v>
      </c>
    </row>
    <row r="654">
      <c r="A654" s="3">
        <f>IFERROR(__xludf.DUMMYFUNCTION("""COMPUTED_VALUE"""),40990.99861111111)</f>
        <v>40990.99861</v>
      </c>
      <c r="B654" s="1">
        <f>IFERROR(__xludf.DUMMYFUNCTION("""COMPUTED_VALUE"""),2458.732159)</f>
        <v>2458.732159</v>
      </c>
    </row>
    <row r="655">
      <c r="A655" s="3">
        <f>IFERROR(__xludf.DUMMYFUNCTION("""COMPUTED_VALUE"""),40991.99861111111)</f>
        <v>40991.99861</v>
      </c>
      <c r="B655" s="1">
        <f>IFERROR(__xludf.DUMMYFUNCTION("""COMPUTED_VALUE"""),2441.075124)</f>
        <v>2441.075124</v>
      </c>
    </row>
    <row r="656">
      <c r="A656" s="3">
        <f>IFERROR(__xludf.DUMMYFUNCTION("""COMPUTED_VALUE"""),40992.99861111111)</f>
        <v>40992.99861</v>
      </c>
      <c r="B656" s="1">
        <f>IFERROR(__xludf.DUMMYFUNCTION("""COMPUTED_VALUE"""),2390.491883)</f>
        <v>2390.491883</v>
      </c>
    </row>
    <row r="657">
      <c r="A657" s="3">
        <f>IFERROR(__xludf.DUMMYFUNCTION("""COMPUTED_VALUE"""),40993.99861111111)</f>
        <v>40993.99861</v>
      </c>
      <c r="B657" s="1">
        <f>IFERROR(__xludf.DUMMYFUNCTION("""COMPUTED_VALUE"""),2440.130052)</f>
        <v>2440.130052</v>
      </c>
    </row>
    <row r="658">
      <c r="A658" s="3">
        <f>IFERROR(__xludf.DUMMYFUNCTION("""COMPUTED_VALUE"""),40994.99861111111)</f>
        <v>40994.99861</v>
      </c>
      <c r="B658" s="1">
        <f>IFERROR(__xludf.DUMMYFUNCTION("""COMPUTED_VALUE"""),2440.130052)</f>
        <v>2440.130052</v>
      </c>
    </row>
    <row r="659">
      <c r="A659" s="3">
        <f>IFERROR(__xludf.DUMMYFUNCTION("""COMPUTED_VALUE"""),40995.99861111111)</f>
        <v>40995.99861</v>
      </c>
      <c r="B659" s="1">
        <f>IFERROR(__xludf.DUMMYFUNCTION("""COMPUTED_VALUE"""),2440.064995)</f>
        <v>2440.064995</v>
      </c>
    </row>
    <row r="660">
      <c r="A660" s="3">
        <f>IFERROR(__xludf.DUMMYFUNCTION("""COMPUTED_VALUE"""),40996.99861111111)</f>
        <v>40996.99861</v>
      </c>
      <c r="B660" s="1">
        <f>IFERROR(__xludf.DUMMYFUNCTION("""COMPUTED_VALUE"""),2440.064995)</f>
        <v>2440.064995</v>
      </c>
    </row>
    <row r="661">
      <c r="A661" s="3">
        <f>IFERROR(__xludf.DUMMYFUNCTION("""COMPUTED_VALUE"""),40997.99861111111)</f>
        <v>40997.99861</v>
      </c>
      <c r="B661" s="1">
        <f>IFERROR(__xludf.DUMMYFUNCTION("""COMPUTED_VALUE"""),2442.018703)</f>
        <v>2442.018703</v>
      </c>
    </row>
    <row r="662">
      <c r="A662" s="3">
        <f>IFERROR(__xludf.DUMMYFUNCTION("""COMPUTED_VALUE"""),40998.99861111111)</f>
        <v>40998.99861</v>
      </c>
      <c r="B662" s="1">
        <f>IFERROR(__xludf.DUMMYFUNCTION("""COMPUTED_VALUE"""),2434.401873)</f>
        <v>2434.401873</v>
      </c>
    </row>
    <row r="663">
      <c r="A663" s="3">
        <f>IFERROR(__xludf.DUMMYFUNCTION("""COMPUTED_VALUE"""),40999.99861111111)</f>
        <v>40999.99861</v>
      </c>
      <c r="B663" s="1">
        <f>IFERROR(__xludf.DUMMYFUNCTION("""COMPUTED_VALUE"""),2432.201555)</f>
        <v>2432.201555</v>
      </c>
    </row>
    <row r="664">
      <c r="A664" s="3">
        <f>IFERROR(__xludf.DUMMYFUNCTION("""COMPUTED_VALUE"""),41000.99861111111)</f>
        <v>41000.99861</v>
      </c>
      <c r="B664" s="1">
        <f>IFERROR(__xludf.DUMMYFUNCTION("""COMPUTED_VALUE"""),2446.589234)</f>
        <v>2446.589234</v>
      </c>
    </row>
    <row r="665">
      <c r="A665" s="3">
        <f>IFERROR(__xludf.DUMMYFUNCTION("""COMPUTED_VALUE"""),41001.99861111111)</f>
        <v>41001.99861</v>
      </c>
      <c r="B665" s="1">
        <f>IFERROR(__xludf.DUMMYFUNCTION("""COMPUTED_VALUE"""),2433.868013)</f>
        <v>2433.868013</v>
      </c>
    </row>
    <row r="666">
      <c r="A666" s="3">
        <f>IFERROR(__xludf.DUMMYFUNCTION("""COMPUTED_VALUE"""),41002.99861111111)</f>
        <v>41002.99861</v>
      </c>
      <c r="B666" s="1">
        <f>IFERROR(__xludf.DUMMYFUNCTION("""COMPUTED_VALUE"""),2436.396519)</f>
        <v>2436.396519</v>
      </c>
    </row>
    <row r="667">
      <c r="A667" s="3">
        <f>IFERROR(__xludf.DUMMYFUNCTION("""COMPUTED_VALUE"""),41003.99861111111)</f>
        <v>41003.99861</v>
      </c>
      <c r="B667" s="1">
        <f>IFERROR(__xludf.DUMMYFUNCTION("""COMPUTED_VALUE"""),2435.596477)</f>
        <v>2435.596477</v>
      </c>
    </row>
    <row r="668">
      <c r="A668" s="3">
        <f>IFERROR(__xludf.DUMMYFUNCTION("""COMPUTED_VALUE"""),41004.99861111111)</f>
        <v>41004.99861</v>
      </c>
      <c r="B668" s="1">
        <f>IFERROR(__xludf.DUMMYFUNCTION("""COMPUTED_VALUE"""),2422.7312)</f>
        <v>2422.7312</v>
      </c>
    </row>
    <row r="669">
      <c r="A669" s="3">
        <f>IFERROR(__xludf.DUMMYFUNCTION("""COMPUTED_VALUE"""),41005.99861111111)</f>
        <v>41005.99861</v>
      </c>
      <c r="B669" s="1">
        <f>IFERROR(__xludf.DUMMYFUNCTION("""COMPUTED_VALUE"""),2453.425351)</f>
        <v>2453.425351</v>
      </c>
    </row>
    <row r="670">
      <c r="A670" s="3">
        <f>IFERROR(__xludf.DUMMYFUNCTION("""COMPUTED_VALUE"""),41006.99861111111)</f>
        <v>41006.99861</v>
      </c>
      <c r="B670" s="1">
        <f>IFERROR(__xludf.DUMMYFUNCTION("""COMPUTED_VALUE"""),2422.677865)</f>
        <v>2422.677865</v>
      </c>
    </row>
    <row r="671">
      <c r="A671" s="3">
        <f>IFERROR(__xludf.DUMMYFUNCTION("""COMPUTED_VALUE"""),41007.99861111111)</f>
        <v>41007.99861</v>
      </c>
      <c r="B671" s="1">
        <f>IFERROR(__xludf.DUMMYFUNCTION("""COMPUTED_VALUE"""),2430.704105)</f>
        <v>2430.704105</v>
      </c>
    </row>
    <row r="672">
      <c r="A672" s="3">
        <f>IFERROR(__xludf.DUMMYFUNCTION("""COMPUTED_VALUE"""),41008.99861111111)</f>
        <v>41008.99861</v>
      </c>
      <c r="B672" s="1">
        <f>IFERROR(__xludf.DUMMYFUNCTION("""COMPUTED_VALUE"""),2440.595232)</f>
        <v>2440.595232</v>
      </c>
    </row>
    <row r="673">
      <c r="A673" s="3">
        <f>IFERROR(__xludf.DUMMYFUNCTION("""COMPUTED_VALUE"""),41009.99861111111)</f>
        <v>41009.99861</v>
      </c>
      <c r="B673" s="1">
        <f>IFERROR(__xludf.DUMMYFUNCTION("""COMPUTED_VALUE"""),2442.208076)</f>
        <v>2442.208076</v>
      </c>
    </row>
    <row r="674">
      <c r="A674" s="3">
        <f>IFERROR(__xludf.DUMMYFUNCTION("""COMPUTED_VALUE"""),41010.99861111111)</f>
        <v>41010.99861</v>
      </c>
      <c r="B674" s="1">
        <f>IFERROR(__xludf.DUMMYFUNCTION("""COMPUTED_VALUE"""),2442.012471)</f>
        <v>2442.012471</v>
      </c>
    </row>
    <row r="675">
      <c r="A675" s="3">
        <f>IFERROR(__xludf.DUMMYFUNCTION("""COMPUTED_VALUE"""),41011.99861111111)</f>
        <v>41011.99861</v>
      </c>
      <c r="B675" s="1">
        <f>IFERROR(__xludf.DUMMYFUNCTION("""COMPUTED_VALUE"""),2441.94733)</f>
        <v>2441.94733</v>
      </c>
    </row>
    <row r="676">
      <c r="A676" s="3">
        <f>IFERROR(__xludf.DUMMYFUNCTION("""COMPUTED_VALUE"""),41012.99861111111)</f>
        <v>41012.99861</v>
      </c>
      <c r="B676" s="1">
        <f>IFERROR(__xludf.DUMMYFUNCTION("""COMPUTED_VALUE"""),2433.52197)</f>
        <v>2433.52197</v>
      </c>
    </row>
    <row r="677">
      <c r="A677" s="3">
        <f>IFERROR(__xludf.DUMMYFUNCTION("""COMPUTED_VALUE"""),41013.99861111111)</f>
        <v>41013.99861</v>
      </c>
      <c r="B677" s="1">
        <f>IFERROR(__xludf.DUMMYFUNCTION("""COMPUTED_VALUE"""),2409.776494)</f>
        <v>2409.776494</v>
      </c>
    </row>
    <row r="678">
      <c r="A678" s="3">
        <f>IFERROR(__xludf.DUMMYFUNCTION("""COMPUTED_VALUE"""),41014.99861111111)</f>
        <v>41014.99861</v>
      </c>
      <c r="B678" s="1">
        <f>IFERROR(__xludf.DUMMYFUNCTION("""COMPUTED_VALUE"""),2437.514985)</f>
        <v>2437.514985</v>
      </c>
    </row>
    <row r="679">
      <c r="A679" s="3">
        <f>IFERROR(__xludf.DUMMYFUNCTION("""COMPUTED_VALUE"""),41015.99861111111)</f>
        <v>41015.99861</v>
      </c>
      <c r="B679" s="1">
        <f>IFERROR(__xludf.DUMMYFUNCTION("""COMPUTED_VALUE"""),2443.744424)</f>
        <v>2443.744424</v>
      </c>
    </row>
    <row r="680">
      <c r="A680" s="3">
        <f>IFERROR(__xludf.DUMMYFUNCTION("""COMPUTED_VALUE"""),41016.99861111111)</f>
        <v>41016.99861</v>
      </c>
      <c r="B680" s="1">
        <f>IFERROR(__xludf.DUMMYFUNCTION("""COMPUTED_VALUE"""),2441.52864)</f>
        <v>2441.52864</v>
      </c>
    </row>
    <row r="681">
      <c r="A681" s="3">
        <f>IFERROR(__xludf.DUMMYFUNCTION("""COMPUTED_VALUE"""),41017.99861111111)</f>
        <v>41017.99861</v>
      </c>
      <c r="B681" s="1">
        <f>IFERROR(__xludf.DUMMYFUNCTION("""COMPUTED_VALUE"""),2443.679241)</f>
        <v>2443.679241</v>
      </c>
    </row>
    <row r="682">
      <c r="A682" s="3">
        <f>IFERROR(__xludf.DUMMYFUNCTION("""COMPUTED_VALUE"""),41018.99861111111)</f>
        <v>41018.99861</v>
      </c>
      <c r="B682" s="1">
        <f>IFERROR(__xludf.DUMMYFUNCTION("""COMPUTED_VALUE"""),2443.281873)</f>
        <v>2443.281873</v>
      </c>
    </row>
    <row r="683">
      <c r="A683" s="3">
        <f>IFERROR(__xludf.DUMMYFUNCTION("""COMPUTED_VALUE"""),41019.99861111111)</f>
        <v>41019.99861</v>
      </c>
      <c r="B683" s="1">
        <f>IFERROR(__xludf.DUMMYFUNCTION("""COMPUTED_VALUE"""),2443.412318)</f>
        <v>2443.412318</v>
      </c>
    </row>
    <row r="684">
      <c r="A684" s="3">
        <f>IFERROR(__xludf.DUMMYFUNCTION("""COMPUTED_VALUE"""),41020.99861111111)</f>
        <v>41020.99861</v>
      </c>
      <c r="B684" s="1">
        <f>IFERROR(__xludf.DUMMYFUNCTION("""COMPUTED_VALUE"""),2455.592544)</f>
        <v>2455.592544</v>
      </c>
    </row>
    <row r="685">
      <c r="A685" s="3">
        <f>IFERROR(__xludf.DUMMYFUNCTION("""COMPUTED_VALUE"""),41021.99861111111)</f>
        <v>41021.99861</v>
      </c>
      <c r="B685" s="1">
        <f>IFERROR(__xludf.DUMMYFUNCTION("""COMPUTED_VALUE"""),2438.449962)</f>
        <v>2438.449962</v>
      </c>
    </row>
    <row r="686">
      <c r="A686" s="3">
        <f>IFERROR(__xludf.DUMMYFUNCTION("""COMPUTED_VALUE"""),41022.99861111111)</f>
        <v>41022.99861</v>
      </c>
      <c r="B686" s="1">
        <f>IFERROR(__xludf.DUMMYFUNCTION("""COMPUTED_VALUE"""),2443.662144)</f>
        <v>2443.662144</v>
      </c>
    </row>
    <row r="687">
      <c r="A687" s="3">
        <f>IFERROR(__xludf.DUMMYFUNCTION("""COMPUTED_VALUE"""),41023.99861111111)</f>
        <v>41023.99861</v>
      </c>
      <c r="B687" s="1">
        <f>IFERROR(__xludf.DUMMYFUNCTION("""COMPUTED_VALUE"""),2445.227184)</f>
        <v>2445.227184</v>
      </c>
    </row>
    <row r="688">
      <c r="A688" s="3">
        <f>IFERROR(__xludf.DUMMYFUNCTION("""COMPUTED_VALUE"""),41024.99861111111)</f>
        <v>41024.99861</v>
      </c>
      <c r="B688" s="1">
        <f>IFERROR(__xludf.DUMMYFUNCTION("""COMPUTED_VALUE"""),2445.096703)</f>
        <v>2445.096703</v>
      </c>
    </row>
    <row r="689">
      <c r="A689" s="3">
        <f>IFERROR(__xludf.DUMMYFUNCTION("""COMPUTED_VALUE"""),41025.99861111111)</f>
        <v>41025.99861</v>
      </c>
      <c r="B689" s="1">
        <f>IFERROR(__xludf.DUMMYFUNCTION("""COMPUTED_VALUE"""),2444.198205)</f>
        <v>2444.198205</v>
      </c>
    </row>
    <row r="690">
      <c r="A690" s="3">
        <f>IFERROR(__xludf.DUMMYFUNCTION("""COMPUTED_VALUE"""),41026.99861111111)</f>
        <v>41026.99861</v>
      </c>
      <c r="B690" s="1">
        <f>IFERROR(__xludf.DUMMYFUNCTION("""COMPUTED_VALUE"""),2450.517272)</f>
        <v>2450.517272</v>
      </c>
    </row>
    <row r="691">
      <c r="A691" s="3">
        <f>IFERROR(__xludf.DUMMYFUNCTION("""COMPUTED_VALUE"""),41027.99861111111)</f>
        <v>41027.99861</v>
      </c>
      <c r="B691" s="1">
        <f>IFERROR(__xludf.DUMMYFUNCTION("""COMPUTED_VALUE"""),2451.110903)</f>
        <v>2451.110903</v>
      </c>
    </row>
    <row r="692">
      <c r="A692" s="3">
        <f>IFERROR(__xludf.DUMMYFUNCTION("""COMPUTED_VALUE"""),41029.99861111111)</f>
        <v>41029.99861</v>
      </c>
      <c r="B692" s="1">
        <f>IFERROR(__xludf.DUMMYFUNCTION("""COMPUTED_VALUE"""),2450.582697)</f>
        <v>2450.582697</v>
      </c>
    </row>
    <row r="693">
      <c r="A693" s="3">
        <f>IFERROR(__xludf.DUMMYFUNCTION("""COMPUTED_VALUE"""),41030.99861111111)</f>
        <v>41030.99861</v>
      </c>
      <c r="B693" s="1">
        <f>IFERROR(__xludf.DUMMYFUNCTION("""COMPUTED_VALUE"""),2448.477163)</f>
        <v>2448.477163</v>
      </c>
    </row>
    <row r="694">
      <c r="A694" s="3">
        <f>IFERROR(__xludf.DUMMYFUNCTION("""COMPUTED_VALUE"""),41031.99861111111)</f>
        <v>41031.99861</v>
      </c>
      <c r="B694" s="1">
        <f>IFERROR(__xludf.DUMMYFUNCTION("""COMPUTED_VALUE"""),2444.130265)</f>
        <v>2444.130265</v>
      </c>
    </row>
    <row r="695">
      <c r="A695" s="3">
        <f>IFERROR(__xludf.DUMMYFUNCTION("""COMPUTED_VALUE"""),41032.99861111111)</f>
        <v>41032.99861</v>
      </c>
      <c r="B695" s="1">
        <f>IFERROR(__xludf.DUMMYFUNCTION("""COMPUTED_VALUE"""),2444.130265)</f>
        <v>2444.130265</v>
      </c>
    </row>
    <row r="696">
      <c r="A696" s="3">
        <f>IFERROR(__xludf.DUMMYFUNCTION("""COMPUTED_VALUE"""),41033.99861111111)</f>
        <v>41033.99861</v>
      </c>
      <c r="B696" s="1">
        <f>IFERROR(__xludf.DUMMYFUNCTION("""COMPUTED_VALUE"""),2450.783953)</f>
        <v>2450.783953</v>
      </c>
    </row>
    <row r="697">
      <c r="A697" s="3">
        <f>IFERROR(__xludf.DUMMYFUNCTION("""COMPUTED_VALUE"""),41034.99861111111)</f>
        <v>41034.99861</v>
      </c>
      <c r="B697" s="1">
        <f>IFERROR(__xludf.DUMMYFUNCTION("""COMPUTED_VALUE"""),2413.404058)</f>
        <v>2413.404058</v>
      </c>
    </row>
    <row r="698">
      <c r="A698" s="3">
        <f>IFERROR(__xludf.DUMMYFUNCTION("""COMPUTED_VALUE"""),41035.99861111111)</f>
        <v>41035.99861</v>
      </c>
      <c r="B698" s="1">
        <f>IFERROR(__xludf.DUMMYFUNCTION("""COMPUTED_VALUE"""),2412.886348)</f>
        <v>2412.886348</v>
      </c>
    </row>
    <row r="699">
      <c r="A699" s="3">
        <f>IFERROR(__xludf.DUMMYFUNCTION("""COMPUTED_VALUE"""),41036.99861111111)</f>
        <v>41036.99861</v>
      </c>
      <c r="B699" s="1">
        <f>IFERROR(__xludf.DUMMYFUNCTION("""COMPUTED_VALUE"""),2445.463669)</f>
        <v>2445.463669</v>
      </c>
    </row>
    <row r="700">
      <c r="A700" s="3">
        <f>IFERROR(__xludf.DUMMYFUNCTION("""COMPUTED_VALUE"""),41037.99861111111)</f>
        <v>41037.99861</v>
      </c>
      <c r="B700" s="1">
        <f>IFERROR(__xludf.DUMMYFUNCTION("""COMPUTED_VALUE"""),2446.680654)</f>
        <v>2446.680654</v>
      </c>
    </row>
    <row r="701">
      <c r="A701" s="3">
        <f>IFERROR(__xludf.DUMMYFUNCTION("""COMPUTED_VALUE"""),41038.99861111111)</f>
        <v>41038.99861</v>
      </c>
      <c r="B701" s="1">
        <f>IFERROR(__xludf.DUMMYFUNCTION("""COMPUTED_VALUE"""),2456.996544)</f>
        <v>2456.996544</v>
      </c>
    </row>
    <row r="702">
      <c r="A702" s="3">
        <f>IFERROR(__xludf.DUMMYFUNCTION("""COMPUTED_VALUE"""),41039.99861111111)</f>
        <v>41039.99861</v>
      </c>
      <c r="B702" s="1">
        <f>IFERROR(__xludf.DUMMYFUNCTION("""COMPUTED_VALUE"""),2445.52896)</f>
        <v>2445.52896</v>
      </c>
    </row>
    <row r="703">
      <c r="A703" s="3">
        <f>IFERROR(__xludf.DUMMYFUNCTION("""COMPUTED_VALUE"""),41040.99861111111)</f>
        <v>41040.99861</v>
      </c>
      <c r="B703" s="1">
        <f>IFERROR(__xludf.DUMMYFUNCTION("""COMPUTED_VALUE"""),2448.995904)</f>
        <v>2448.995904</v>
      </c>
    </row>
    <row r="704">
      <c r="A704" s="3">
        <f>IFERROR(__xludf.DUMMYFUNCTION("""COMPUTED_VALUE"""),41041.99861111111)</f>
        <v>41041.99861</v>
      </c>
      <c r="B704" s="1">
        <f>IFERROR(__xludf.DUMMYFUNCTION("""COMPUTED_VALUE"""),2448.127762)</f>
        <v>2448.127762</v>
      </c>
    </row>
    <row r="705">
      <c r="A705" s="3">
        <f>IFERROR(__xludf.DUMMYFUNCTION("""COMPUTED_VALUE"""),41042.99861111111)</f>
        <v>41042.99861</v>
      </c>
      <c r="B705" s="1">
        <f>IFERROR(__xludf.DUMMYFUNCTION("""COMPUTED_VALUE"""),2444.19552)</f>
        <v>2444.19552</v>
      </c>
    </row>
    <row r="706">
      <c r="A706" s="3">
        <f>IFERROR(__xludf.DUMMYFUNCTION("""COMPUTED_VALUE"""),41043.99861111111)</f>
        <v>41043.99861</v>
      </c>
      <c r="B706" s="1">
        <f>IFERROR(__xludf.DUMMYFUNCTION("""COMPUTED_VALUE"""),2463.597969)</f>
        <v>2463.597969</v>
      </c>
    </row>
    <row r="707">
      <c r="A707" s="3">
        <f>IFERROR(__xludf.DUMMYFUNCTION("""COMPUTED_VALUE"""),41044.99861111111)</f>
        <v>41044.99861</v>
      </c>
      <c r="B707" s="1">
        <f>IFERROR(__xludf.DUMMYFUNCTION("""COMPUTED_VALUE"""),2463.597969)</f>
        <v>2463.597969</v>
      </c>
    </row>
    <row r="708">
      <c r="A708" s="3">
        <f>IFERROR(__xludf.DUMMYFUNCTION("""COMPUTED_VALUE"""),41045.99861111111)</f>
        <v>41045.99861</v>
      </c>
      <c r="B708" s="1">
        <f>IFERROR(__xludf.DUMMYFUNCTION("""COMPUTED_VALUE"""),2465.767975)</f>
        <v>2465.767975</v>
      </c>
    </row>
    <row r="709">
      <c r="A709" s="3">
        <f>IFERROR(__xludf.DUMMYFUNCTION("""COMPUTED_VALUE"""),41046.99861111111)</f>
        <v>41046.99861</v>
      </c>
      <c r="B709" s="1">
        <f>IFERROR(__xludf.DUMMYFUNCTION("""COMPUTED_VALUE"""),2457.99767)</f>
        <v>2457.99767</v>
      </c>
    </row>
    <row r="710">
      <c r="A710" s="3">
        <f>IFERROR(__xludf.DUMMYFUNCTION("""COMPUTED_VALUE"""),41047.99861111111)</f>
        <v>41047.99861</v>
      </c>
      <c r="B710" s="1">
        <f>IFERROR(__xludf.DUMMYFUNCTION("""COMPUTED_VALUE"""),2454.969715)</f>
        <v>2454.969715</v>
      </c>
    </row>
    <row r="711">
      <c r="A711" s="3">
        <f>IFERROR(__xludf.DUMMYFUNCTION("""COMPUTED_VALUE"""),41048.99861111111)</f>
        <v>41048.99861</v>
      </c>
      <c r="B711" s="1">
        <f>IFERROR(__xludf.DUMMYFUNCTION("""COMPUTED_VALUE"""),2398.975853)</f>
        <v>2398.975853</v>
      </c>
    </row>
    <row r="712">
      <c r="A712" s="3">
        <f>IFERROR(__xludf.DUMMYFUNCTION("""COMPUTED_VALUE"""),41049.99861111111)</f>
        <v>41049.99861</v>
      </c>
      <c r="B712" s="1">
        <f>IFERROR(__xludf.DUMMYFUNCTION("""COMPUTED_VALUE"""),2473.91443)</f>
        <v>2473.91443</v>
      </c>
    </row>
    <row r="713">
      <c r="A713" s="3">
        <f>IFERROR(__xludf.DUMMYFUNCTION("""COMPUTED_VALUE"""),41050.99861111111)</f>
        <v>41050.99861</v>
      </c>
      <c r="B713" s="1">
        <f>IFERROR(__xludf.DUMMYFUNCTION("""COMPUTED_VALUE"""),2464.931373)</f>
        <v>2464.931373</v>
      </c>
    </row>
    <row r="714">
      <c r="A714" s="3">
        <f>IFERROR(__xludf.DUMMYFUNCTION("""COMPUTED_VALUE"""),41051.99861111111)</f>
        <v>41051.99861</v>
      </c>
      <c r="B714" s="1">
        <f>IFERROR(__xludf.DUMMYFUNCTION("""COMPUTED_VALUE"""),2456.130904)</f>
        <v>2456.130904</v>
      </c>
    </row>
    <row r="715">
      <c r="A715" s="3">
        <f>IFERROR(__xludf.DUMMYFUNCTION("""COMPUTED_VALUE"""),41052.99861111111)</f>
        <v>41052.99861</v>
      </c>
      <c r="B715" s="1">
        <f>IFERROR(__xludf.DUMMYFUNCTION("""COMPUTED_VALUE"""),2468.19744)</f>
        <v>2468.19744</v>
      </c>
    </row>
    <row r="716">
      <c r="A716" s="3">
        <f>IFERROR(__xludf.DUMMYFUNCTION("""COMPUTED_VALUE"""),41053.99861111111)</f>
        <v>41053.99861</v>
      </c>
      <c r="B716" s="1">
        <f>IFERROR(__xludf.DUMMYFUNCTION("""COMPUTED_VALUE"""),2470.305543)</f>
        <v>2470.305543</v>
      </c>
    </row>
    <row r="717">
      <c r="A717" s="3">
        <f>IFERROR(__xludf.DUMMYFUNCTION("""COMPUTED_VALUE"""),41054.99861111111)</f>
        <v>41054.99861</v>
      </c>
      <c r="B717" s="1">
        <f>IFERROR(__xludf.DUMMYFUNCTION("""COMPUTED_VALUE"""),2473.040761)</f>
        <v>2473.040761</v>
      </c>
    </row>
    <row r="718">
      <c r="A718" s="3">
        <f>IFERROR(__xludf.DUMMYFUNCTION("""COMPUTED_VALUE"""),41055.99861111111)</f>
        <v>41055.99861</v>
      </c>
      <c r="B718" s="1">
        <f>IFERROR(__xludf.DUMMYFUNCTION("""COMPUTED_VALUE"""),2485.315478)</f>
        <v>2485.315478</v>
      </c>
    </row>
    <row r="719">
      <c r="A719" s="3">
        <f>IFERROR(__xludf.DUMMYFUNCTION("""COMPUTED_VALUE"""),41056.99861111111)</f>
        <v>41056.99861</v>
      </c>
      <c r="B719" s="1">
        <f>IFERROR(__xludf.DUMMYFUNCTION("""COMPUTED_VALUE"""),2476.851465)</f>
        <v>2476.851465</v>
      </c>
    </row>
    <row r="720">
      <c r="A720" s="3">
        <f>IFERROR(__xludf.DUMMYFUNCTION("""COMPUTED_VALUE"""),41057.99861111111)</f>
        <v>41057.99861</v>
      </c>
      <c r="B720" s="1">
        <f>IFERROR(__xludf.DUMMYFUNCTION("""COMPUTED_VALUE"""),2470.930194)</f>
        <v>2470.930194</v>
      </c>
    </row>
    <row r="721">
      <c r="A721" s="3">
        <f>IFERROR(__xludf.DUMMYFUNCTION("""COMPUTED_VALUE"""),41058.99861111111)</f>
        <v>41058.99861</v>
      </c>
      <c r="B721" s="1">
        <f>IFERROR(__xludf.DUMMYFUNCTION("""COMPUTED_VALUE"""),2501.267903)</f>
        <v>2501.267903</v>
      </c>
    </row>
    <row r="722">
      <c r="A722" s="3">
        <f>IFERROR(__xludf.DUMMYFUNCTION("""COMPUTED_VALUE"""),41059.99861111111)</f>
        <v>41059.99861</v>
      </c>
      <c r="B722" s="1">
        <f>IFERROR(__xludf.DUMMYFUNCTION("""COMPUTED_VALUE"""),2509.53408)</f>
        <v>2509.53408</v>
      </c>
    </row>
    <row r="723">
      <c r="A723" s="3">
        <f>IFERROR(__xludf.DUMMYFUNCTION("""COMPUTED_VALUE"""),41060.99861111111)</f>
        <v>41060.99861</v>
      </c>
      <c r="B723" s="1">
        <f>IFERROR(__xludf.DUMMYFUNCTION("""COMPUTED_VALUE"""),2500.13325)</f>
        <v>2500.13325</v>
      </c>
    </row>
    <row r="724">
      <c r="A724" s="3">
        <f>IFERROR(__xludf.DUMMYFUNCTION("""COMPUTED_VALUE"""),41061.99861111111)</f>
        <v>41061.99861</v>
      </c>
      <c r="B724" s="1">
        <f>IFERROR(__xludf.DUMMYFUNCTION("""COMPUTED_VALUE"""),2500.266656)</f>
        <v>2500.266656</v>
      </c>
    </row>
    <row r="725">
      <c r="A725" s="3">
        <f>IFERROR(__xludf.DUMMYFUNCTION("""COMPUTED_VALUE"""),41062.99861111111)</f>
        <v>41062.99861</v>
      </c>
      <c r="B725" s="1">
        <f>IFERROR(__xludf.DUMMYFUNCTION("""COMPUTED_VALUE"""),2513.62008)</f>
        <v>2513.62008</v>
      </c>
    </row>
    <row r="726">
      <c r="A726" s="3">
        <f>IFERROR(__xludf.DUMMYFUNCTION("""COMPUTED_VALUE"""),41063.99861111111)</f>
        <v>41063.99861</v>
      </c>
      <c r="B726" s="1">
        <f>IFERROR(__xludf.DUMMYFUNCTION("""COMPUTED_VALUE"""),2503.453426)</f>
        <v>2503.453426</v>
      </c>
    </row>
    <row r="727">
      <c r="A727" s="3">
        <f>IFERROR(__xludf.DUMMYFUNCTION("""COMPUTED_VALUE"""),41064.99861111111)</f>
        <v>41064.99861</v>
      </c>
      <c r="B727" s="1">
        <f>IFERROR(__xludf.DUMMYFUNCTION("""COMPUTED_VALUE"""),2499.999937)</f>
        <v>2499.999937</v>
      </c>
    </row>
    <row r="728">
      <c r="A728" s="3">
        <f>IFERROR(__xludf.DUMMYFUNCTION("""COMPUTED_VALUE"""),41065.99861111111)</f>
        <v>41065.99861</v>
      </c>
      <c r="B728" s="1">
        <f>IFERROR(__xludf.DUMMYFUNCTION("""COMPUTED_VALUE"""),2503.203049)</f>
        <v>2503.203049</v>
      </c>
    </row>
    <row r="729">
      <c r="A729" s="3">
        <f>IFERROR(__xludf.DUMMYFUNCTION("""COMPUTED_VALUE"""),41066.99861111111)</f>
        <v>41066.99861</v>
      </c>
      <c r="B729" s="1">
        <f>IFERROR(__xludf.DUMMYFUNCTION("""COMPUTED_VALUE"""),2473.399216)</f>
        <v>2473.399216</v>
      </c>
    </row>
    <row r="730">
      <c r="A730" s="3">
        <f>IFERROR(__xludf.DUMMYFUNCTION("""COMPUTED_VALUE"""),41067.99861111111)</f>
        <v>41067.99861</v>
      </c>
      <c r="B730" s="1">
        <f>IFERROR(__xludf.DUMMYFUNCTION("""COMPUTED_VALUE"""),2494.666604)</f>
        <v>2494.666604</v>
      </c>
    </row>
    <row r="731">
      <c r="A731" s="3">
        <f>IFERROR(__xludf.DUMMYFUNCTION("""COMPUTED_VALUE"""),41068.99861111111)</f>
        <v>41068.99861</v>
      </c>
      <c r="B731" s="1">
        <f>IFERROR(__xludf.DUMMYFUNCTION("""COMPUTED_VALUE"""),2496.133036)</f>
        <v>2496.133036</v>
      </c>
    </row>
    <row r="732">
      <c r="A732" s="3">
        <f>IFERROR(__xludf.DUMMYFUNCTION("""COMPUTED_VALUE"""),41069.99861111111)</f>
        <v>41069.99861</v>
      </c>
      <c r="B732" s="1">
        <f>IFERROR(__xludf.DUMMYFUNCTION("""COMPUTED_VALUE"""),2493.179316)</f>
        <v>2493.179316</v>
      </c>
    </row>
    <row r="733">
      <c r="A733" s="3">
        <f>IFERROR(__xludf.DUMMYFUNCTION("""COMPUTED_VALUE"""),41070.99861111111)</f>
        <v>41070.99861</v>
      </c>
      <c r="B733" s="1">
        <f>IFERROR(__xludf.DUMMYFUNCTION("""COMPUTED_VALUE"""),2502.65327)</f>
        <v>2502.65327</v>
      </c>
    </row>
    <row r="734">
      <c r="A734" s="3">
        <f>IFERROR(__xludf.DUMMYFUNCTION("""COMPUTED_VALUE"""),41071.99861111111)</f>
        <v>41071.99861</v>
      </c>
      <c r="B734" s="1">
        <f>IFERROR(__xludf.DUMMYFUNCTION("""COMPUTED_VALUE"""),2501.33327)</f>
        <v>2501.33327</v>
      </c>
    </row>
    <row r="735">
      <c r="A735" s="3">
        <f>IFERROR(__xludf.DUMMYFUNCTION("""COMPUTED_VALUE"""),41072.99861111111)</f>
        <v>41072.99861</v>
      </c>
      <c r="B735" s="1">
        <f>IFERROR(__xludf.DUMMYFUNCTION("""COMPUTED_VALUE"""),2510.678011)</f>
        <v>2510.678011</v>
      </c>
    </row>
    <row r="736">
      <c r="A736" s="3">
        <f>IFERROR(__xludf.DUMMYFUNCTION("""COMPUTED_VALUE"""),41073.99861111111)</f>
        <v>41073.99861</v>
      </c>
      <c r="B736" s="1">
        <f>IFERROR(__xludf.DUMMYFUNCTION("""COMPUTED_VALUE"""),2507.60686)</f>
        <v>2507.60686</v>
      </c>
    </row>
    <row r="737">
      <c r="A737" s="3">
        <f>IFERROR(__xludf.DUMMYFUNCTION("""COMPUTED_VALUE"""),41074.99861111111)</f>
        <v>41074.99861</v>
      </c>
      <c r="B737" s="1">
        <f>IFERROR(__xludf.DUMMYFUNCTION("""COMPUTED_VALUE"""),2507.740739)</f>
        <v>2507.740739</v>
      </c>
    </row>
    <row r="738">
      <c r="A738" s="3">
        <f>IFERROR(__xludf.DUMMYFUNCTION("""COMPUTED_VALUE"""),41075.99861111111)</f>
        <v>41075.99861</v>
      </c>
      <c r="B738" s="1">
        <f>IFERROR(__xludf.DUMMYFUNCTION("""COMPUTED_VALUE"""),2499.866503)</f>
        <v>2499.866503</v>
      </c>
    </row>
    <row r="739">
      <c r="A739" s="3">
        <f>IFERROR(__xludf.DUMMYFUNCTION("""COMPUTED_VALUE"""),41076.99861111111)</f>
        <v>41076.99861</v>
      </c>
      <c r="B739" s="1">
        <f>IFERROR(__xludf.DUMMYFUNCTION("""COMPUTED_VALUE"""),2480.911878)</f>
        <v>2480.911878</v>
      </c>
    </row>
    <row r="740">
      <c r="A740" s="3">
        <f>IFERROR(__xludf.DUMMYFUNCTION("""COMPUTED_VALUE"""),41077.99861111111)</f>
        <v>41077.99861</v>
      </c>
      <c r="B740" s="1">
        <f>IFERROR(__xludf.DUMMYFUNCTION("""COMPUTED_VALUE"""),2554.278336)</f>
        <v>2554.278336</v>
      </c>
    </row>
    <row r="741">
      <c r="A741" s="3">
        <f>IFERROR(__xludf.DUMMYFUNCTION("""COMPUTED_VALUE"""),41078.99861111111)</f>
        <v>41078.99861</v>
      </c>
      <c r="B741" s="1">
        <f>IFERROR(__xludf.DUMMYFUNCTION("""COMPUTED_VALUE"""),2497.611028)</f>
        <v>2497.611028</v>
      </c>
    </row>
    <row r="742">
      <c r="A742" s="3">
        <f>IFERROR(__xludf.DUMMYFUNCTION("""COMPUTED_VALUE"""),41079.99861111111)</f>
        <v>41079.99861</v>
      </c>
      <c r="B742" s="1">
        <f>IFERROR(__xludf.DUMMYFUNCTION("""COMPUTED_VALUE"""),2502.749424)</f>
        <v>2502.749424</v>
      </c>
    </row>
    <row r="743">
      <c r="A743" s="3">
        <f>IFERROR(__xludf.DUMMYFUNCTION("""COMPUTED_VALUE"""),41080.99861111111)</f>
        <v>41080.99861</v>
      </c>
      <c r="B743" s="1">
        <f>IFERROR(__xludf.DUMMYFUNCTION("""COMPUTED_VALUE"""),2506.486201)</f>
        <v>2506.486201</v>
      </c>
    </row>
    <row r="744">
      <c r="A744" s="3">
        <f>IFERROR(__xludf.DUMMYFUNCTION("""COMPUTED_VALUE"""),41081.99861111111)</f>
        <v>41081.99861</v>
      </c>
      <c r="B744" s="1">
        <f>IFERROR(__xludf.DUMMYFUNCTION("""COMPUTED_VALUE"""),2509.249537)</f>
        <v>2509.249537</v>
      </c>
    </row>
    <row r="745">
      <c r="A745" s="3">
        <f>IFERROR(__xludf.DUMMYFUNCTION("""COMPUTED_VALUE"""),41082.99861111111)</f>
        <v>41082.99861</v>
      </c>
      <c r="B745" s="1">
        <f>IFERROR(__xludf.DUMMYFUNCTION("""COMPUTED_VALUE"""),2512.612372)</f>
        <v>2512.612372</v>
      </c>
    </row>
    <row r="746">
      <c r="A746" s="3">
        <f>IFERROR(__xludf.DUMMYFUNCTION("""COMPUTED_VALUE"""),41083.99861111111)</f>
        <v>41083.99861</v>
      </c>
      <c r="B746" s="1">
        <f>IFERROR(__xludf.DUMMYFUNCTION("""COMPUTED_VALUE"""),2488.655142)</f>
        <v>2488.655142</v>
      </c>
    </row>
    <row r="747">
      <c r="A747" s="3">
        <f>IFERROR(__xludf.DUMMYFUNCTION("""COMPUTED_VALUE"""),41084.99861111111)</f>
        <v>41084.99861</v>
      </c>
      <c r="B747" s="1">
        <f>IFERROR(__xludf.DUMMYFUNCTION("""COMPUTED_VALUE"""),2519.407873)</f>
        <v>2519.407873</v>
      </c>
    </row>
    <row r="748">
      <c r="A748" s="3">
        <f>IFERROR(__xludf.DUMMYFUNCTION("""COMPUTED_VALUE"""),41085.99861111111)</f>
        <v>41085.99861</v>
      </c>
      <c r="B748" s="1">
        <f>IFERROR(__xludf.DUMMYFUNCTION("""COMPUTED_VALUE"""),2511.878044)</f>
        <v>2511.878044</v>
      </c>
    </row>
    <row r="749">
      <c r="A749" s="3">
        <f>IFERROR(__xludf.DUMMYFUNCTION("""COMPUTED_VALUE"""),41086.99861111111)</f>
        <v>41086.99861</v>
      </c>
      <c r="B749" s="1">
        <f>IFERROR(__xludf.DUMMYFUNCTION("""COMPUTED_VALUE"""),2511.730872)</f>
        <v>2511.730872</v>
      </c>
    </row>
    <row r="750">
      <c r="A750" s="3">
        <f>IFERROR(__xludf.DUMMYFUNCTION("""COMPUTED_VALUE"""),41087.99861111111)</f>
        <v>41087.99861</v>
      </c>
      <c r="B750" s="1">
        <f>IFERROR(__xludf.DUMMYFUNCTION("""COMPUTED_VALUE"""),2510.840851)</f>
        <v>2510.840851</v>
      </c>
    </row>
    <row r="751">
      <c r="A751" s="3">
        <f>IFERROR(__xludf.DUMMYFUNCTION("""COMPUTED_VALUE"""),41088.99861111111)</f>
        <v>41088.99861</v>
      </c>
      <c r="B751" s="1">
        <f>IFERROR(__xludf.DUMMYFUNCTION("""COMPUTED_VALUE"""),2513.30787)</f>
        <v>2513.30787</v>
      </c>
    </row>
    <row r="752">
      <c r="A752" s="3">
        <f>IFERROR(__xludf.DUMMYFUNCTION("""COMPUTED_VALUE"""),41089.99861111111)</f>
        <v>41089.99861</v>
      </c>
      <c r="B752" s="1">
        <f>IFERROR(__xludf.DUMMYFUNCTION("""COMPUTED_VALUE"""),2500.934302)</f>
        <v>2500.934302</v>
      </c>
    </row>
    <row r="753">
      <c r="A753" s="3">
        <f>IFERROR(__xludf.DUMMYFUNCTION("""COMPUTED_VALUE"""),41090.99861111111)</f>
        <v>41090.99861</v>
      </c>
      <c r="B753" s="1">
        <f>IFERROR(__xludf.DUMMYFUNCTION("""COMPUTED_VALUE"""),2500.867602)</f>
        <v>2500.867602</v>
      </c>
    </row>
    <row r="754">
      <c r="A754" s="3">
        <f>IFERROR(__xludf.DUMMYFUNCTION("""COMPUTED_VALUE"""),41091.99861111111)</f>
        <v>41091.99861</v>
      </c>
      <c r="B754" s="1">
        <f>IFERROR(__xludf.DUMMYFUNCTION("""COMPUTED_VALUE"""),2513.666532)</f>
        <v>2513.666532</v>
      </c>
    </row>
    <row r="755">
      <c r="A755" s="3">
        <f>IFERROR(__xludf.DUMMYFUNCTION("""COMPUTED_VALUE"""),41092.99861111111)</f>
        <v>41092.99861</v>
      </c>
      <c r="B755" s="1">
        <f>IFERROR(__xludf.DUMMYFUNCTION("""COMPUTED_VALUE"""),2504.32396)</f>
        <v>2504.32396</v>
      </c>
    </row>
    <row r="756">
      <c r="A756" s="3">
        <f>IFERROR(__xludf.DUMMYFUNCTION("""COMPUTED_VALUE"""),41093.99861111111)</f>
        <v>41093.99861</v>
      </c>
      <c r="B756" s="1">
        <f>IFERROR(__xludf.DUMMYFUNCTION("""COMPUTED_VALUE"""),2483.718681)</f>
        <v>2483.718681</v>
      </c>
    </row>
    <row r="757">
      <c r="A757" s="3">
        <f>IFERROR(__xludf.DUMMYFUNCTION("""COMPUTED_VALUE"""),41094.99861111111)</f>
        <v>41094.99861</v>
      </c>
      <c r="B757" s="1">
        <f>IFERROR(__xludf.DUMMYFUNCTION("""COMPUTED_VALUE"""),2488.759084)</f>
        <v>2488.759084</v>
      </c>
    </row>
    <row r="758">
      <c r="A758" s="3">
        <f>IFERROR(__xludf.DUMMYFUNCTION("""COMPUTED_VALUE"""),41095.99861111111)</f>
        <v>41095.99861</v>
      </c>
      <c r="B758" s="1">
        <f>IFERROR(__xludf.DUMMYFUNCTION("""COMPUTED_VALUE"""),2496.852958)</f>
        <v>2496.852958</v>
      </c>
    </row>
    <row r="759">
      <c r="A759" s="3">
        <f>IFERROR(__xludf.DUMMYFUNCTION("""COMPUTED_VALUE"""),41096.99861111111)</f>
        <v>41096.99861</v>
      </c>
      <c r="B759" s="1">
        <f>IFERROR(__xludf.DUMMYFUNCTION("""COMPUTED_VALUE"""),2511.668809)</f>
        <v>2511.668809</v>
      </c>
    </row>
    <row r="760">
      <c r="A760" s="3">
        <f>IFERROR(__xludf.DUMMYFUNCTION("""COMPUTED_VALUE"""),41097.99861111111)</f>
        <v>41097.99861</v>
      </c>
      <c r="B760" s="1">
        <f>IFERROR(__xludf.DUMMYFUNCTION("""COMPUTED_VALUE"""),2501.372338)</f>
        <v>2501.372338</v>
      </c>
    </row>
    <row r="761">
      <c r="A761" s="3">
        <f>IFERROR(__xludf.DUMMYFUNCTION("""COMPUTED_VALUE"""),41098.99861111111)</f>
        <v>41098.99861</v>
      </c>
      <c r="B761" s="1">
        <f>IFERROR(__xludf.DUMMYFUNCTION("""COMPUTED_VALUE"""),2518.121893)</f>
        <v>2518.121893</v>
      </c>
    </row>
    <row r="762">
      <c r="A762" s="3">
        <f>IFERROR(__xludf.DUMMYFUNCTION("""COMPUTED_VALUE"""),41099.99861111111)</f>
        <v>41099.99861</v>
      </c>
      <c r="B762" s="1">
        <f>IFERROR(__xludf.DUMMYFUNCTION("""COMPUTED_VALUE"""),2501.320089)</f>
        <v>2501.320089</v>
      </c>
    </row>
    <row r="763">
      <c r="A763" s="3">
        <f>IFERROR(__xludf.DUMMYFUNCTION("""COMPUTED_VALUE"""),41100.99861111111)</f>
        <v>41100.99861</v>
      </c>
      <c r="B763" s="1">
        <f>IFERROR(__xludf.DUMMYFUNCTION("""COMPUTED_VALUE"""),2506.493836)</f>
        <v>2506.493836</v>
      </c>
    </row>
    <row r="764">
      <c r="A764" s="3">
        <f>IFERROR(__xludf.DUMMYFUNCTION("""COMPUTED_VALUE"""),41101.99861111111)</f>
        <v>41101.99861</v>
      </c>
      <c r="B764" s="1">
        <f>IFERROR(__xludf.DUMMYFUNCTION("""COMPUTED_VALUE"""),2502.62686)</f>
        <v>2502.62686</v>
      </c>
    </row>
    <row r="765">
      <c r="A765" s="3">
        <f>IFERROR(__xludf.DUMMYFUNCTION("""COMPUTED_VALUE"""),41102.99861111111)</f>
        <v>41102.99861</v>
      </c>
      <c r="B765" s="1">
        <f>IFERROR(__xludf.DUMMYFUNCTION("""COMPUTED_VALUE"""),2510.774443)</f>
        <v>2510.774443</v>
      </c>
    </row>
    <row r="766">
      <c r="A766" s="3">
        <f>IFERROR(__xludf.DUMMYFUNCTION("""COMPUTED_VALUE"""),41103.99861111111)</f>
        <v>41103.99861</v>
      </c>
      <c r="B766" s="1">
        <f>IFERROR(__xludf.DUMMYFUNCTION("""COMPUTED_VALUE"""),2513.20211)</f>
        <v>2513.20211</v>
      </c>
    </row>
    <row r="767">
      <c r="A767" s="3">
        <f>IFERROR(__xludf.DUMMYFUNCTION("""COMPUTED_VALUE"""),41104.99861111111)</f>
        <v>41104.99861</v>
      </c>
      <c r="B767" s="1">
        <f>IFERROR(__xludf.DUMMYFUNCTION("""COMPUTED_VALUE"""),2515.550322)</f>
        <v>2515.550322</v>
      </c>
    </row>
    <row r="768">
      <c r="A768" s="3">
        <f>IFERROR(__xludf.DUMMYFUNCTION("""COMPUTED_VALUE"""),41105.99861111111)</f>
        <v>41105.99861</v>
      </c>
      <c r="B768" s="1">
        <f>IFERROR(__xludf.DUMMYFUNCTION("""COMPUTED_VALUE"""),2525.454286)</f>
        <v>2525.454286</v>
      </c>
    </row>
    <row r="769">
      <c r="A769" s="3">
        <f>IFERROR(__xludf.DUMMYFUNCTION("""COMPUTED_VALUE"""),41106.99861111111)</f>
        <v>41106.99861</v>
      </c>
      <c r="B769" s="1">
        <f>IFERROR(__xludf.DUMMYFUNCTION("""COMPUTED_VALUE"""),2514.6952)</f>
        <v>2514.6952</v>
      </c>
    </row>
    <row r="770">
      <c r="A770" s="3">
        <f>IFERROR(__xludf.DUMMYFUNCTION("""COMPUTED_VALUE"""),41107.99861111111)</f>
        <v>41107.99861</v>
      </c>
      <c r="B770" s="1">
        <f>IFERROR(__xludf.DUMMYFUNCTION("""COMPUTED_VALUE"""),2511.892285)</f>
        <v>2511.892285</v>
      </c>
    </row>
    <row r="771">
      <c r="A771" s="3">
        <f>IFERROR(__xludf.DUMMYFUNCTION("""COMPUTED_VALUE"""),41108.99861111111)</f>
        <v>41108.99861</v>
      </c>
      <c r="B771" s="1">
        <f>IFERROR(__xludf.DUMMYFUNCTION("""COMPUTED_VALUE"""),2514.41533)</f>
        <v>2514.41533</v>
      </c>
    </row>
    <row r="772">
      <c r="A772" s="3">
        <f>IFERROR(__xludf.DUMMYFUNCTION("""COMPUTED_VALUE"""),41109.99861111111)</f>
        <v>41109.99861</v>
      </c>
      <c r="B772" s="1">
        <f>IFERROR(__xludf.DUMMYFUNCTION("""COMPUTED_VALUE"""),2513.828037)</f>
        <v>2513.828037</v>
      </c>
    </row>
    <row r="773">
      <c r="A773" s="3">
        <f>IFERROR(__xludf.DUMMYFUNCTION("""COMPUTED_VALUE"""),41110.99861111111)</f>
        <v>41110.99861</v>
      </c>
      <c r="B773" s="1">
        <f>IFERROR(__xludf.DUMMYFUNCTION("""COMPUTED_VALUE"""),2515.61412)</f>
        <v>2515.61412</v>
      </c>
    </row>
    <row r="774">
      <c r="A774" s="3">
        <f>IFERROR(__xludf.DUMMYFUNCTION("""COMPUTED_VALUE"""),41111.99861111111)</f>
        <v>41111.99861</v>
      </c>
      <c r="B774" s="1">
        <f>IFERROR(__xludf.DUMMYFUNCTION("""COMPUTED_VALUE"""),2515.815532)</f>
        <v>2515.815532</v>
      </c>
    </row>
    <row r="775">
      <c r="A775" s="3">
        <f>IFERROR(__xludf.DUMMYFUNCTION("""COMPUTED_VALUE"""),41112.99861111111)</f>
        <v>41112.99861</v>
      </c>
      <c r="B775" s="1">
        <f>IFERROR(__xludf.DUMMYFUNCTION("""COMPUTED_VALUE"""),2527.78059)</f>
        <v>2527.78059</v>
      </c>
    </row>
    <row r="776">
      <c r="A776" s="3">
        <f>IFERROR(__xludf.DUMMYFUNCTION("""COMPUTED_VALUE"""),41113.99861111111)</f>
        <v>41113.99861</v>
      </c>
      <c r="B776" s="1">
        <f>IFERROR(__xludf.DUMMYFUNCTION("""COMPUTED_VALUE"""),2513.334716)</f>
        <v>2513.334716</v>
      </c>
    </row>
    <row r="777">
      <c r="A777" s="3">
        <f>IFERROR(__xludf.DUMMYFUNCTION("""COMPUTED_VALUE"""),41114.99861111111)</f>
        <v>41114.99861</v>
      </c>
      <c r="B777" s="1">
        <f>IFERROR(__xludf.DUMMYFUNCTION("""COMPUTED_VALUE"""),2518.67267)</f>
        <v>2518.67267</v>
      </c>
    </row>
    <row r="778">
      <c r="A778" s="3">
        <f>IFERROR(__xludf.DUMMYFUNCTION("""COMPUTED_VALUE"""),41115.99861111111)</f>
        <v>41115.99861</v>
      </c>
      <c r="B778" s="1">
        <f>IFERROR(__xludf.DUMMYFUNCTION("""COMPUTED_VALUE"""),2523.55775)</f>
        <v>2523.55775</v>
      </c>
    </row>
    <row r="779">
      <c r="A779" s="3">
        <f>IFERROR(__xludf.DUMMYFUNCTION("""COMPUTED_VALUE"""),41116.99861111111)</f>
        <v>41116.99861</v>
      </c>
      <c r="B779" s="1">
        <f>IFERROR(__xludf.DUMMYFUNCTION("""COMPUTED_VALUE"""),2521.648575)</f>
        <v>2521.648575</v>
      </c>
    </row>
    <row r="780">
      <c r="A780" s="3">
        <f>IFERROR(__xludf.DUMMYFUNCTION("""COMPUTED_VALUE"""),41117.99861111111)</f>
        <v>41117.99861</v>
      </c>
      <c r="B780" s="1">
        <f>IFERROR(__xludf.DUMMYFUNCTION("""COMPUTED_VALUE"""),2517.150182)</f>
        <v>2517.150182</v>
      </c>
    </row>
    <row r="781">
      <c r="A781" s="3">
        <f>IFERROR(__xludf.DUMMYFUNCTION("""COMPUTED_VALUE"""),41118.99861111111)</f>
        <v>41118.99861</v>
      </c>
      <c r="B781" s="1">
        <f>IFERROR(__xludf.DUMMYFUNCTION("""COMPUTED_VALUE"""),2530.142201)</f>
        <v>2530.142201</v>
      </c>
    </row>
    <row r="782">
      <c r="A782" s="3">
        <f>IFERROR(__xludf.DUMMYFUNCTION("""COMPUTED_VALUE"""),41119.99861111111)</f>
        <v>41119.99861</v>
      </c>
      <c r="B782" s="1">
        <f>IFERROR(__xludf.DUMMYFUNCTION("""COMPUTED_VALUE"""),2514.86784)</f>
        <v>2514.86784</v>
      </c>
    </row>
    <row r="783">
      <c r="A783" s="3">
        <f>IFERROR(__xludf.DUMMYFUNCTION("""COMPUTED_VALUE"""),41120.99861111111)</f>
        <v>41120.99861</v>
      </c>
      <c r="B783" s="1">
        <f>IFERROR(__xludf.DUMMYFUNCTION("""COMPUTED_VALUE"""),2515.884379)</f>
        <v>2515.884379</v>
      </c>
    </row>
    <row r="784">
      <c r="A784" s="3">
        <f>IFERROR(__xludf.DUMMYFUNCTION("""COMPUTED_VALUE"""),41121.99861111111)</f>
        <v>41121.99861</v>
      </c>
      <c r="B784" s="1">
        <f>IFERROR(__xludf.DUMMYFUNCTION("""COMPUTED_VALUE"""),2513.120229)</f>
        <v>2513.120229</v>
      </c>
    </row>
    <row r="785">
      <c r="A785" s="3">
        <f>IFERROR(__xludf.DUMMYFUNCTION("""COMPUTED_VALUE"""),41122.99861111111)</f>
        <v>41122.99861</v>
      </c>
      <c r="B785" s="1">
        <f>IFERROR(__xludf.DUMMYFUNCTION("""COMPUTED_VALUE"""),2512.237435)</f>
        <v>2512.237435</v>
      </c>
    </row>
    <row r="786">
      <c r="A786" s="3">
        <f>IFERROR(__xludf.DUMMYFUNCTION("""COMPUTED_VALUE"""),41123.99861111111)</f>
        <v>41123.99861</v>
      </c>
      <c r="B786" s="1">
        <f>IFERROR(__xludf.DUMMYFUNCTION("""COMPUTED_VALUE"""),2518.981181)</f>
        <v>2518.981181</v>
      </c>
    </row>
    <row r="787">
      <c r="A787" s="3">
        <f>IFERROR(__xludf.DUMMYFUNCTION("""COMPUTED_VALUE"""),41124.99861111111)</f>
        <v>41124.99861</v>
      </c>
      <c r="B787" s="1">
        <f>IFERROR(__xludf.DUMMYFUNCTION("""COMPUTED_VALUE"""),2520.553039)</f>
        <v>2520.553039</v>
      </c>
    </row>
    <row r="788">
      <c r="A788" s="3">
        <f>IFERROR(__xludf.DUMMYFUNCTION("""COMPUTED_VALUE"""),41125.99861111111)</f>
        <v>41125.99861</v>
      </c>
      <c r="B788" s="1">
        <f>IFERROR(__xludf.DUMMYFUNCTION("""COMPUTED_VALUE"""),2517.457662)</f>
        <v>2517.457662</v>
      </c>
    </row>
    <row r="789">
      <c r="A789" s="3">
        <f>IFERROR(__xludf.DUMMYFUNCTION("""COMPUTED_VALUE"""),41126.99861111111)</f>
        <v>41126.99861</v>
      </c>
      <c r="B789" s="1">
        <f>IFERROR(__xludf.DUMMYFUNCTION("""COMPUTED_VALUE"""),2530.24667)</f>
        <v>2530.24667</v>
      </c>
    </row>
    <row r="790">
      <c r="A790" s="3">
        <f>IFERROR(__xludf.DUMMYFUNCTION("""COMPUTED_VALUE"""),41127.99861111111)</f>
        <v>41127.99861</v>
      </c>
      <c r="B790" s="1">
        <f>IFERROR(__xludf.DUMMYFUNCTION("""COMPUTED_VALUE"""),2518.418636)</f>
        <v>2518.418636</v>
      </c>
    </row>
    <row r="791">
      <c r="A791" s="3">
        <f>IFERROR(__xludf.DUMMYFUNCTION("""COMPUTED_VALUE"""),41128.99861111111)</f>
        <v>41128.99861</v>
      </c>
      <c r="B791" s="1">
        <f>IFERROR(__xludf.DUMMYFUNCTION("""COMPUTED_VALUE"""),2525.670023)</f>
        <v>2525.670023</v>
      </c>
    </row>
    <row r="792">
      <c r="A792" s="3">
        <f>IFERROR(__xludf.DUMMYFUNCTION("""COMPUTED_VALUE"""),41129.99861111111)</f>
        <v>41129.99861</v>
      </c>
      <c r="B792" s="1">
        <f>IFERROR(__xludf.DUMMYFUNCTION("""COMPUTED_VALUE"""),2519.658271)</f>
        <v>2519.658271</v>
      </c>
    </row>
    <row r="793">
      <c r="A793" s="3">
        <f>IFERROR(__xludf.DUMMYFUNCTION("""COMPUTED_VALUE"""),41130.99861111111)</f>
        <v>41130.99861</v>
      </c>
      <c r="B793" s="1">
        <f>IFERROR(__xludf.DUMMYFUNCTION("""COMPUTED_VALUE"""),2517.841863)</f>
        <v>2517.841863</v>
      </c>
    </row>
    <row r="794">
      <c r="A794" s="3">
        <f>IFERROR(__xludf.DUMMYFUNCTION("""COMPUTED_VALUE"""),41131.99861111111)</f>
        <v>41131.99861</v>
      </c>
      <c r="B794" s="1">
        <f>IFERROR(__xludf.DUMMYFUNCTION("""COMPUTED_VALUE"""),2519.949857)</f>
        <v>2519.949857</v>
      </c>
    </row>
    <row r="795">
      <c r="A795" s="3">
        <f>IFERROR(__xludf.DUMMYFUNCTION("""COMPUTED_VALUE"""),41132.99861111111)</f>
        <v>41132.99861</v>
      </c>
      <c r="B795" s="1">
        <f>IFERROR(__xludf.DUMMYFUNCTION("""COMPUTED_VALUE"""),2523.424278)</f>
        <v>2523.424278</v>
      </c>
    </row>
    <row r="796">
      <c r="A796" s="3">
        <f>IFERROR(__xludf.DUMMYFUNCTION("""COMPUTED_VALUE"""),41133.99861111111)</f>
        <v>41133.99861</v>
      </c>
      <c r="B796" s="1">
        <f>IFERROR(__xludf.DUMMYFUNCTION("""COMPUTED_VALUE"""),2527.522185)</f>
        <v>2527.522185</v>
      </c>
    </row>
    <row r="797">
      <c r="A797" s="3">
        <f>IFERROR(__xludf.DUMMYFUNCTION("""COMPUTED_VALUE"""),41134.99861111111)</f>
        <v>41134.99861</v>
      </c>
      <c r="B797" s="1">
        <f>IFERROR(__xludf.DUMMYFUNCTION("""COMPUTED_VALUE"""),2523.93282)</f>
        <v>2523.93282</v>
      </c>
    </row>
    <row r="798">
      <c r="A798" s="3">
        <f>IFERROR(__xludf.DUMMYFUNCTION("""COMPUTED_VALUE"""),41135.99861111111)</f>
        <v>41135.99861</v>
      </c>
      <c r="B798" s="1">
        <f>IFERROR(__xludf.DUMMYFUNCTION("""COMPUTED_VALUE"""),2523.11673)</f>
        <v>2523.11673</v>
      </c>
    </row>
    <row r="799">
      <c r="A799" s="3">
        <f>IFERROR(__xludf.DUMMYFUNCTION("""COMPUTED_VALUE"""),41136.99861111111)</f>
        <v>41136.99861</v>
      </c>
      <c r="B799" s="1">
        <f>IFERROR(__xludf.DUMMYFUNCTION("""COMPUTED_VALUE"""),2524.895308)</f>
        <v>2524.895308</v>
      </c>
    </row>
    <row r="800">
      <c r="A800" s="3">
        <f>IFERROR(__xludf.DUMMYFUNCTION("""COMPUTED_VALUE"""),41137.99861111111)</f>
        <v>41137.99861</v>
      </c>
      <c r="B800" s="1">
        <f>IFERROR(__xludf.DUMMYFUNCTION("""COMPUTED_VALUE"""),2524.850497)</f>
        <v>2524.850497</v>
      </c>
    </row>
    <row r="801">
      <c r="A801" s="3">
        <f>IFERROR(__xludf.DUMMYFUNCTION("""COMPUTED_VALUE"""),41138.99861111111)</f>
        <v>41138.99861</v>
      </c>
      <c r="B801" s="1">
        <f>IFERROR(__xludf.DUMMYFUNCTION("""COMPUTED_VALUE"""),2526.290466)</f>
        <v>2526.290466</v>
      </c>
    </row>
    <row r="802">
      <c r="A802" s="3">
        <f>IFERROR(__xludf.DUMMYFUNCTION("""COMPUTED_VALUE"""),41139.99861111111)</f>
        <v>41139.99861</v>
      </c>
      <c r="B802" s="1">
        <f>IFERROR(__xludf.DUMMYFUNCTION("""COMPUTED_VALUE"""),2526.020809)</f>
        <v>2526.020809</v>
      </c>
    </row>
    <row r="803">
      <c r="A803" s="3">
        <f>IFERROR(__xludf.DUMMYFUNCTION("""COMPUTED_VALUE"""),41140.99861111111)</f>
        <v>41140.99861</v>
      </c>
      <c r="B803" s="1">
        <f>IFERROR(__xludf.DUMMYFUNCTION("""COMPUTED_VALUE"""),2532.611805)</f>
        <v>2532.611805</v>
      </c>
    </row>
    <row r="804">
      <c r="A804" s="3">
        <f>IFERROR(__xludf.DUMMYFUNCTION("""COMPUTED_VALUE"""),41141.99861111111)</f>
        <v>41141.99861</v>
      </c>
      <c r="B804" s="1">
        <f>IFERROR(__xludf.DUMMYFUNCTION("""COMPUTED_VALUE"""),2524.930574)</f>
        <v>2524.930574</v>
      </c>
    </row>
    <row r="805">
      <c r="A805" s="3">
        <f>IFERROR(__xludf.DUMMYFUNCTION("""COMPUTED_VALUE"""),41143.99861111111)</f>
        <v>41143.99861</v>
      </c>
      <c r="B805" s="1">
        <f>IFERROR(__xludf.DUMMYFUNCTION("""COMPUTED_VALUE"""),2524.134529)</f>
        <v>2524.134529</v>
      </c>
    </row>
    <row r="806">
      <c r="A806" s="3">
        <f>IFERROR(__xludf.DUMMYFUNCTION("""COMPUTED_VALUE"""),41144.99861111111)</f>
        <v>41144.99861</v>
      </c>
      <c r="B806" s="1">
        <f>IFERROR(__xludf.DUMMYFUNCTION("""COMPUTED_VALUE"""),2526.266588)</f>
        <v>2526.266588</v>
      </c>
    </row>
    <row r="807">
      <c r="A807" s="3">
        <f>IFERROR(__xludf.DUMMYFUNCTION("""COMPUTED_VALUE"""),41145.99861111111)</f>
        <v>41145.99861</v>
      </c>
      <c r="B807" s="1">
        <f>IFERROR(__xludf.DUMMYFUNCTION("""COMPUTED_VALUE"""),2530.294096)</f>
        <v>2530.294096</v>
      </c>
    </row>
    <row r="808">
      <c r="A808" s="3">
        <f>IFERROR(__xludf.DUMMYFUNCTION("""COMPUTED_VALUE"""),41146.99861111111)</f>
        <v>41146.99861</v>
      </c>
      <c r="B808" s="1">
        <f>IFERROR(__xludf.DUMMYFUNCTION("""COMPUTED_VALUE"""),2530.226599)</f>
        <v>2530.226599</v>
      </c>
    </row>
    <row r="809">
      <c r="A809" s="3">
        <f>IFERROR(__xludf.DUMMYFUNCTION("""COMPUTED_VALUE"""),41147.99861111111)</f>
        <v>41147.99861</v>
      </c>
      <c r="B809" s="1">
        <f>IFERROR(__xludf.DUMMYFUNCTION("""COMPUTED_VALUE"""),2544.342487)</f>
        <v>2544.342487</v>
      </c>
    </row>
    <row r="810">
      <c r="A810" s="3">
        <f>IFERROR(__xludf.DUMMYFUNCTION("""COMPUTED_VALUE"""),41148.99861111111)</f>
        <v>41148.99861</v>
      </c>
      <c r="B810" s="1">
        <f>IFERROR(__xludf.DUMMYFUNCTION("""COMPUTED_VALUE"""),2532.034123)</f>
        <v>2532.034123</v>
      </c>
    </row>
    <row r="811">
      <c r="A811" s="3">
        <f>IFERROR(__xludf.DUMMYFUNCTION("""COMPUTED_VALUE"""),41149.99861111111)</f>
        <v>41149.99861</v>
      </c>
      <c r="B811" s="1">
        <f>IFERROR(__xludf.DUMMYFUNCTION("""COMPUTED_VALUE"""),2537.143242)</f>
        <v>2537.143242</v>
      </c>
    </row>
    <row r="812">
      <c r="A812" s="3">
        <f>IFERROR(__xludf.DUMMYFUNCTION("""COMPUTED_VALUE"""),41150.99861111111)</f>
        <v>41150.99861</v>
      </c>
      <c r="B812" s="1">
        <f>IFERROR(__xludf.DUMMYFUNCTION("""COMPUTED_VALUE"""),2540.523178)</f>
        <v>2540.523178</v>
      </c>
    </row>
    <row r="813">
      <c r="A813" s="3">
        <f>IFERROR(__xludf.DUMMYFUNCTION("""COMPUTED_VALUE"""),41151.99861111111)</f>
        <v>41151.99861</v>
      </c>
      <c r="B813" s="1">
        <f>IFERROR(__xludf.DUMMYFUNCTION("""COMPUTED_VALUE"""),2539.868046)</f>
        <v>2539.868046</v>
      </c>
    </row>
    <row r="814">
      <c r="A814" s="3">
        <f>IFERROR(__xludf.DUMMYFUNCTION("""COMPUTED_VALUE"""),41152.99861111111)</f>
        <v>41152.99861</v>
      </c>
      <c r="B814" s="1">
        <f>IFERROR(__xludf.DUMMYFUNCTION("""COMPUTED_VALUE"""),2538.911232)</f>
        <v>2538.911232</v>
      </c>
    </row>
    <row r="815">
      <c r="A815" s="3">
        <f>IFERROR(__xludf.DUMMYFUNCTION("""COMPUTED_VALUE"""),41153.99861111111)</f>
        <v>41153.99861</v>
      </c>
      <c r="B815" s="1">
        <f>IFERROR(__xludf.DUMMYFUNCTION("""COMPUTED_VALUE"""),2539.250169)</f>
        <v>2539.250169</v>
      </c>
    </row>
    <row r="816">
      <c r="A816" s="3">
        <f>IFERROR(__xludf.DUMMYFUNCTION("""COMPUTED_VALUE"""),41154.99861111111)</f>
        <v>41154.99861</v>
      </c>
      <c r="B816" s="1">
        <f>IFERROR(__xludf.DUMMYFUNCTION("""COMPUTED_VALUE"""),2542.856745)</f>
        <v>2542.856745</v>
      </c>
    </row>
    <row r="817">
      <c r="A817" s="3">
        <f>IFERROR(__xludf.DUMMYFUNCTION("""COMPUTED_VALUE"""),41155.99861111111)</f>
        <v>41155.99861</v>
      </c>
      <c r="B817" s="1">
        <f>IFERROR(__xludf.DUMMYFUNCTION("""COMPUTED_VALUE"""),2537.235721)</f>
        <v>2537.235721</v>
      </c>
    </row>
    <row r="818">
      <c r="A818" s="3">
        <f>IFERROR(__xludf.DUMMYFUNCTION("""COMPUTED_VALUE"""),41156.99861111111)</f>
        <v>41156.99861</v>
      </c>
      <c r="B818" s="1">
        <f>IFERROR(__xludf.DUMMYFUNCTION("""COMPUTED_VALUE"""),2547.024734)</f>
        <v>2547.024734</v>
      </c>
    </row>
    <row r="819">
      <c r="A819" s="3">
        <f>IFERROR(__xludf.DUMMYFUNCTION("""COMPUTED_VALUE"""),41157.99861111111)</f>
        <v>41157.99861</v>
      </c>
      <c r="B819" s="1">
        <f>IFERROR(__xludf.DUMMYFUNCTION("""COMPUTED_VALUE"""),2544.363532)</f>
        <v>2544.363532</v>
      </c>
    </row>
    <row r="820">
      <c r="A820" s="3">
        <f>IFERROR(__xludf.DUMMYFUNCTION("""COMPUTED_VALUE"""),41158.99861111111)</f>
        <v>41158.99861</v>
      </c>
      <c r="B820" s="1">
        <f>IFERROR(__xludf.DUMMYFUNCTION("""COMPUTED_VALUE"""),2542.843411)</f>
        <v>2542.843411</v>
      </c>
    </row>
    <row r="821">
      <c r="A821" s="3">
        <f>IFERROR(__xludf.DUMMYFUNCTION("""COMPUTED_VALUE"""),41159.99861111111)</f>
        <v>41159.99861</v>
      </c>
      <c r="B821" s="1">
        <f>IFERROR(__xludf.DUMMYFUNCTION("""COMPUTED_VALUE"""),2545.74065)</f>
        <v>2545.74065</v>
      </c>
    </row>
    <row r="822">
      <c r="A822" s="3">
        <f>IFERROR(__xludf.DUMMYFUNCTION("""COMPUTED_VALUE"""),41160.99861111111)</f>
        <v>41160.99861</v>
      </c>
      <c r="B822" s="1">
        <f>IFERROR(__xludf.DUMMYFUNCTION("""COMPUTED_VALUE"""),2545.049537)</f>
        <v>2545.049537</v>
      </c>
    </row>
    <row r="823">
      <c r="A823" s="3">
        <f>IFERROR(__xludf.DUMMYFUNCTION("""COMPUTED_VALUE"""),41161.99861111111)</f>
        <v>41161.99861</v>
      </c>
      <c r="B823" s="1">
        <f>IFERROR(__xludf.DUMMYFUNCTION("""COMPUTED_VALUE"""),2564.375893)</f>
        <v>2564.375893</v>
      </c>
    </row>
    <row r="824">
      <c r="A824" s="3">
        <f>IFERROR(__xludf.DUMMYFUNCTION("""COMPUTED_VALUE"""),41162.99861111111)</f>
        <v>41162.99861</v>
      </c>
      <c r="B824" s="1">
        <f>IFERROR(__xludf.DUMMYFUNCTION("""COMPUTED_VALUE"""),2548.728005)</f>
        <v>2548.728005</v>
      </c>
    </row>
    <row r="825">
      <c r="A825" s="3">
        <f>IFERROR(__xludf.DUMMYFUNCTION("""COMPUTED_VALUE"""),41163.99861111111)</f>
        <v>41163.99861</v>
      </c>
      <c r="B825" s="1">
        <f>IFERROR(__xludf.DUMMYFUNCTION("""COMPUTED_VALUE"""),2546.242374)</f>
        <v>2546.242374</v>
      </c>
    </row>
    <row r="826">
      <c r="A826" s="3">
        <f>IFERROR(__xludf.DUMMYFUNCTION("""COMPUTED_VALUE"""),41164.99861111111)</f>
        <v>41164.99861</v>
      </c>
      <c r="B826" s="1">
        <f>IFERROR(__xludf.DUMMYFUNCTION("""COMPUTED_VALUE"""),2546.27725)</f>
        <v>2546.27725</v>
      </c>
    </row>
    <row r="827">
      <c r="A827" s="3">
        <f>IFERROR(__xludf.DUMMYFUNCTION("""COMPUTED_VALUE"""),41165.99861111111)</f>
        <v>41165.99861</v>
      </c>
      <c r="B827" s="1">
        <f>IFERROR(__xludf.DUMMYFUNCTION("""COMPUTED_VALUE"""),2549.092318)</f>
        <v>2549.092318</v>
      </c>
    </row>
    <row r="828">
      <c r="A828" s="3">
        <f>IFERROR(__xludf.DUMMYFUNCTION("""COMPUTED_VALUE"""),41166.99861111111)</f>
        <v>41166.99861</v>
      </c>
      <c r="B828" s="1">
        <f>IFERROR(__xludf.DUMMYFUNCTION("""COMPUTED_VALUE"""),2530.766959)</f>
        <v>2530.766959</v>
      </c>
    </row>
    <row r="829">
      <c r="A829" s="3">
        <f>IFERROR(__xludf.DUMMYFUNCTION("""COMPUTED_VALUE"""),41167.99861111111)</f>
        <v>41167.99861</v>
      </c>
      <c r="B829" s="1">
        <f>IFERROR(__xludf.DUMMYFUNCTION("""COMPUTED_VALUE"""),2484.397868)</f>
        <v>2484.397868</v>
      </c>
    </row>
    <row r="830">
      <c r="A830" s="3">
        <f>IFERROR(__xludf.DUMMYFUNCTION("""COMPUTED_VALUE"""),41168.99861111111)</f>
        <v>41168.99861</v>
      </c>
      <c r="B830" s="1">
        <f>IFERROR(__xludf.DUMMYFUNCTION("""COMPUTED_VALUE"""),2581.459241)</f>
        <v>2581.459241</v>
      </c>
    </row>
    <row r="831">
      <c r="A831" s="3">
        <f>IFERROR(__xludf.DUMMYFUNCTION("""COMPUTED_VALUE"""),41169.99861111111)</f>
        <v>41169.99861</v>
      </c>
      <c r="B831" s="1">
        <f>IFERROR(__xludf.DUMMYFUNCTION("""COMPUTED_VALUE"""),2517.68125)</f>
        <v>2517.68125</v>
      </c>
    </row>
    <row r="832">
      <c r="A832" s="3">
        <f>IFERROR(__xludf.DUMMYFUNCTION("""COMPUTED_VALUE"""),41170.99861111111)</f>
        <v>41170.99861</v>
      </c>
      <c r="B832" s="1">
        <f>IFERROR(__xludf.DUMMYFUNCTION("""COMPUTED_VALUE"""),2528.667495)</f>
        <v>2528.667495</v>
      </c>
    </row>
    <row r="833">
      <c r="A833" s="3">
        <f>IFERROR(__xludf.DUMMYFUNCTION("""COMPUTED_VALUE"""),41171.99861111111)</f>
        <v>41171.99861</v>
      </c>
      <c r="B833" s="1">
        <f>IFERROR(__xludf.DUMMYFUNCTION("""COMPUTED_VALUE"""),2538.157576)</f>
        <v>2538.157576</v>
      </c>
    </row>
    <row r="834">
      <c r="A834" s="3">
        <f>IFERROR(__xludf.DUMMYFUNCTION("""COMPUTED_VALUE"""),41172.99861111111)</f>
        <v>41172.99861</v>
      </c>
      <c r="B834" s="1">
        <f>IFERROR(__xludf.DUMMYFUNCTION("""COMPUTED_VALUE"""),2538.851594)</f>
        <v>2538.851594</v>
      </c>
    </row>
    <row r="835">
      <c r="A835" s="3">
        <f>IFERROR(__xludf.DUMMYFUNCTION("""COMPUTED_VALUE"""),41173.99861111111)</f>
        <v>41173.99861</v>
      </c>
      <c r="B835" s="1">
        <f>IFERROR(__xludf.DUMMYFUNCTION("""COMPUTED_VALUE"""),2541.106103)</f>
        <v>2541.106103</v>
      </c>
    </row>
    <row r="836">
      <c r="A836" s="3">
        <f>IFERROR(__xludf.DUMMYFUNCTION("""COMPUTED_VALUE"""),41174.99861111111)</f>
        <v>41174.99861</v>
      </c>
      <c r="B836" s="1">
        <f>IFERROR(__xludf.DUMMYFUNCTION("""COMPUTED_VALUE"""),2540.563558)</f>
        <v>2540.563558</v>
      </c>
    </row>
    <row r="837">
      <c r="A837" s="3">
        <f>IFERROR(__xludf.DUMMYFUNCTION("""COMPUTED_VALUE"""),41175.99861111111)</f>
        <v>41175.99861</v>
      </c>
      <c r="B837" s="1">
        <f>IFERROR(__xludf.DUMMYFUNCTION("""COMPUTED_VALUE"""),2556.186956)</f>
        <v>2556.186956</v>
      </c>
    </row>
    <row r="838">
      <c r="A838" s="3">
        <f>IFERROR(__xludf.DUMMYFUNCTION("""COMPUTED_VALUE"""),41176.99861111111)</f>
        <v>41176.99861</v>
      </c>
      <c r="B838" s="1">
        <f>IFERROR(__xludf.DUMMYFUNCTION("""COMPUTED_VALUE"""),2544.750748)</f>
        <v>2544.750748</v>
      </c>
    </row>
    <row r="839">
      <c r="A839" s="3">
        <f>IFERROR(__xludf.DUMMYFUNCTION("""COMPUTED_VALUE"""),41177.99861111111)</f>
        <v>41177.99861</v>
      </c>
      <c r="B839" s="1">
        <f>IFERROR(__xludf.DUMMYFUNCTION("""COMPUTED_VALUE"""),2548.37155)</f>
        <v>2548.37155</v>
      </c>
    </row>
    <row r="840">
      <c r="A840" s="3">
        <f>IFERROR(__xludf.DUMMYFUNCTION("""COMPUTED_VALUE"""),41178.99861111111)</f>
        <v>41178.99861</v>
      </c>
      <c r="B840" s="1">
        <f>IFERROR(__xludf.DUMMYFUNCTION("""COMPUTED_VALUE"""),2550.676594)</f>
        <v>2550.676594</v>
      </c>
    </row>
    <row r="841">
      <c r="A841" s="3">
        <f>IFERROR(__xludf.DUMMYFUNCTION("""COMPUTED_VALUE"""),41179.99861111111)</f>
        <v>41179.99861</v>
      </c>
      <c r="B841" s="1">
        <f>IFERROR(__xludf.DUMMYFUNCTION("""COMPUTED_VALUE"""),2548.138185)</f>
        <v>2548.138185</v>
      </c>
    </row>
    <row r="842">
      <c r="A842" s="3">
        <f>IFERROR(__xludf.DUMMYFUNCTION("""COMPUTED_VALUE"""),41180.99861111111)</f>
        <v>41180.99861</v>
      </c>
      <c r="B842" s="1">
        <f>IFERROR(__xludf.DUMMYFUNCTION("""COMPUTED_VALUE"""),2548.459352)</f>
        <v>2548.459352</v>
      </c>
    </row>
    <row r="843">
      <c r="A843" s="3">
        <f>IFERROR(__xludf.DUMMYFUNCTION("""COMPUTED_VALUE"""),41181.99861111111)</f>
        <v>41181.99861</v>
      </c>
      <c r="B843" s="1">
        <f>IFERROR(__xludf.DUMMYFUNCTION("""COMPUTED_VALUE"""),2548.66352)</f>
        <v>2548.66352</v>
      </c>
    </row>
    <row r="844">
      <c r="A844" s="3">
        <f>IFERROR(__xludf.DUMMYFUNCTION("""COMPUTED_VALUE"""),41182.99861111111)</f>
        <v>41182.99861</v>
      </c>
      <c r="B844" s="1">
        <f>IFERROR(__xludf.DUMMYFUNCTION("""COMPUTED_VALUE"""),2552.258867)</f>
        <v>2552.258867</v>
      </c>
    </row>
    <row r="845">
      <c r="A845" s="3">
        <f>IFERROR(__xludf.DUMMYFUNCTION("""COMPUTED_VALUE"""),41183.99861111111)</f>
        <v>41183.99861</v>
      </c>
      <c r="B845" s="1">
        <f>IFERROR(__xludf.DUMMYFUNCTION("""COMPUTED_VALUE"""),2549.043157)</f>
        <v>2549.043157</v>
      </c>
    </row>
    <row r="846">
      <c r="A846" s="3">
        <f>IFERROR(__xludf.DUMMYFUNCTION("""COMPUTED_VALUE"""),41184.99861111111)</f>
        <v>41184.99861</v>
      </c>
      <c r="B846" s="1">
        <f>IFERROR(__xludf.DUMMYFUNCTION("""COMPUTED_VALUE"""),2549.312614)</f>
        <v>2549.312614</v>
      </c>
    </row>
    <row r="847">
      <c r="A847" s="3">
        <f>IFERROR(__xludf.DUMMYFUNCTION("""COMPUTED_VALUE"""),41185.99861111111)</f>
        <v>41185.99861</v>
      </c>
      <c r="B847" s="1">
        <f>IFERROR(__xludf.DUMMYFUNCTION("""COMPUTED_VALUE"""),2550.348254)</f>
        <v>2550.348254</v>
      </c>
    </row>
    <row r="848">
      <c r="A848" s="3">
        <f>IFERROR(__xludf.DUMMYFUNCTION("""COMPUTED_VALUE"""),41186.99861111111)</f>
        <v>41186.99861</v>
      </c>
      <c r="B848" s="1">
        <f>IFERROR(__xludf.DUMMYFUNCTION("""COMPUTED_VALUE"""),2549.951955)</f>
        <v>2549.951955</v>
      </c>
    </row>
    <row r="849">
      <c r="A849" s="3">
        <f>IFERROR(__xludf.DUMMYFUNCTION("""COMPUTED_VALUE"""),41187.99861111111)</f>
        <v>41187.99861</v>
      </c>
      <c r="B849" s="1">
        <f>IFERROR(__xludf.DUMMYFUNCTION("""COMPUTED_VALUE"""),2553.600433)</f>
        <v>2553.600433</v>
      </c>
    </row>
    <row r="850">
      <c r="A850" s="3">
        <f>IFERROR(__xludf.DUMMYFUNCTION("""COMPUTED_VALUE"""),41188.99861111111)</f>
        <v>41188.99861</v>
      </c>
      <c r="B850" s="1">
        <f>IFERROR(__xludf.DUMMYFUNCTION("""COMPUTED_VALUE"""),2567.320027)</f>
        <v>2567.320027</v>
      </c>
    </row>
    <row r="851">
      <c r="A851" s="3">
        <f>IFERROR(__xludf.DUMMYFUNCTION("""COMPUTED_VALUE"""),41189.99861111111)</f>
        <v>41189.99861</v>
      </c>
      <c r="B851" s="1">
        <f>IFERROR(__xludf.DUMMYFUNCTION("""COMPUTED_VALUE"""),2508.854238)</f>
        <v>2508.854238</v>
      </c>
    </row>
    <row r="852">
      <c r="A852" s="3">
        <f>IFERROR(__xludf.DUMMYFUNCTION("""COMPUTED_VALUE"""),41190.99861111111)</f>
        <v>41190.99861</v>
      </c>
      <c r="B852" s="1">
        <f>IFERROR(__xludf.DUMMYFUNCTION("""COMPUTED_VALUE"""),2549.993265)</f>
        <v>2549.993265</v>
      </c>
    </row>
    <row r="853">
      <c r="A853" s="3">
        <f>IFERROR(__xludf.DUMMYFUNCTION("""COMPUTED_VALUE"""),41191.99861111111)</f>
        <v>41191.99861</v>
      </c>
      <c r="B853" s="1">
        <f>IFERROR(__xludf.DUMMYFUNCTION("""COMPUTED_VALUE"""),2550.592023)</f>
        <v>2550.592023</v>
      </c>
    </row>
    <row r="854">
      <c r="A854" s="3">
        <f>IFERROR(__xludf.DUMMYFUNCTION("""COMPUTED_VALUE"""),41192.99861111111)</f>
        <v>41192.99861</v>
      </c>
      <c r="B854" s="1">
        <f>IFERROR(__xludf.DUMMYFUNCTION("""COMPUTED_VALUE"""),2552.545104)</f>
        <v>2552.545104</v>
      </c>
    </row>
    <row r="855">
      <c r="A855" s="3">
        <f>IFERROR(__xludf.DUMMYFUNCTION("""COMPUTED_VALUE"""),41193.99861111111)</f>
        <v>41193.99861</v>
      </c>
      <c r="B855" s="1">
        <f>IFERROR(__xludf.DUMMYFUNCTION("""COMPUTED_VALUE"""),2550.208174)</f>
        <v>2550.208174</v>
      </c>
    </row>
    <row r="856">
      <c r="A856" s="3">
        <f>IFERROR(__xludf.DUMMYFUNCTION("""COMPUTED_VALUE"""),41194.99861111111)</f>
        <v>41194.99861</v>
      </c>
      <c r="B856" s="1">
        <f>IFERROR(__xludf.DUMMYFUNCTION("""COMPUTED_VALUE"""),2547.874325)</f>
        <v>2547.874325</v>
      </c>
    </row>
    <row r="857">
      <c r="A857" s="3">
        <f>IFERROR(__xludf.DUMMYFUNCTION("""COMPUTED_VALUE"""),41195.99861111111)</f>
        <v>41195.99861</v>
      </c>
      <c r="B857" s="1">
        <f>IFERROR(__xludf.DUMMYFUNCTION("""COMPUTED_VALUE"""),2547.670464)</f>
        <v>2547.670464</v>
      </c>
    </row>
    <row r="858">
      <c r="A858" s="3">
        <f>IFERROR(__xludf.DUMMYFUNCTION("""COMPUTED_VALUE"""),41196.99861111111)</f>
        <v>41196.99861</v>
      </c>
      <c r="B858" s="1">
        <f>IFERROR(__xludf.DUMMYFUNCTION("""COMPUTED_VALUE"""),2554.259081)</f>
        <v>2554.259081</v>
      </c>
    </row>
    <row r="859">
      <c r="A859" s="3">
        <f>IFERROR(__xludf.DUMMYFUNCTION("""COMPUTED_VALUE"""),41197.99861111111)</f>
        <v>41197.99861</v>
      </c>
      <c r="B859" s="1">
        <f>IFERROR(__xludf.DUMMYFUNCTION("""COMPUTED_VALUE"""),2549.629221)</f>
        <v>2549.629221</v>
      </c>
    </row>
    <row r="860">
      <c r="A860" s="3">
        <f>IFERROR(__xludf.DUMMYFUNCTION("""COMPUTED_VALUE"""),41198.99861111111)</f>
        <v>41198.99861</v>
      </c>
      <c r="B860" s="1">
        <f>IFERROR(__xludf.DUMMYFUNCTION("""COMPUTED_VALUE"""),2550.676594)</f>
        <v>2550.676594</v>
      </c>
    </row>
    <row r="861">
      <c r="A861" s="3">
        <f>IFERROR(__xludf.DUMMYFUNCTION("""COMPUTED_VALUE"""),41199.99861111111)</f>
        <v>41199.99861</v>
      </c>
      <c r="B861" s="1">
        <f>IFERROR(__xludf.DUMMYFUNCTION("""COMPUTED_VALUE"""),2548.846867)</f>
        <v>2548.846867</v>
      </c>
    </row>
    <row r="862">
      <c r="A862" s="3">
        <f>IFERROR(__xludf.DUMMYFUNCTION("""COMPUTED_VALUE"""),41200.99861111111)</f>
        <v>41200.99861</v>
      </c>
      <c r="B862" s="1">
        <f>IFERROR(__xludf.DUMMYFUNCTION("""COMPUTED_VALUE"""),2551.622865)</f>
        <v>2551.622865</v>
      </c>
    </row>
    <row r="863">
      <c r="A863" s="3">
        <f>IFERROR(__xludf.DUMMYFUNCTION("""COMPUTED_VALUE"""),41201.99861111111)</f>
        <v>41201.99861</v>
      </c>
      <c r="B863" s="1">
        <f>IFERROR(__xludf.DUMMYFUNCTION("""COMPUTED_VALUE"""),2551.670784)</f>
        <v>2551.670784</v>
      </c>
    </row>
    <row r="864">
      <c r="A864" s="3">
        <f>IFERROR(__xludf.DUMMYFUNCTION("""COMPUTED_VALUE"""),41202.99861111111)</f>
        <v>41202.99861</v>
      </c>
      <c r="B864" s="1">
        <f>IFERROR(__xludf.DUMMYFUNCTION("""COMPUTED_VALUE"""),2553.138084)</f>
        <v>2553.138084</v>
      </c>
    </row>
    <row r="865">
      <c r="A865" s="3">
        <f>IFERROR(__xludf.DUMMYFUNCTION("""COMPUTED_VALUE"""),41203.99861111111)</f>
        <v>41203.99861</v>
      </c>
      <c r="B865" s="1">
        <f>IFERROR(__xludf.DUMMYFUNCTION("""COMPUTED_VALUE"""),2558.191305)</f>
        <v>2558.191305</v>
      </c>
    </row>
    <row r="866">
      <c r="A866" s="3">
        <f>IFERROR(__xludf.DUMMYFUNCTION("""COMPUTED_VALUE"""),41204.99861111111)</f>
        <v>41204.99861</v>
      </c>
      <c r="B866" s="1">
        <f>IFERROR(__xludf.DUMMYFUNCTION("""COMPUTED_VALUE"""),2556.258425)</f>
        <v>2556.258425</v>
      </c>
    </row>
    <row r="867">
      <c r="A867" s="3">
        <f>IFERROR(__xludf.DUMMYFUNCTION("""COMPUTED_VALUE"""),41205.99861111111)</f>
        <v>41205.99861</v>
      </c>
      <c r="B867" s="1">
        <f>IFERROR(__xludf.DUMMYFUNCTION("""COMPUTED_VALUE"""),2556.655827)</f>
        <v>2556.655827</v>
      </c>
    </row>
    <row r="868">
      <c r="A868" s="3">
        <f>IFERROR(__xludf.DUMMYFUNCTION("""COMPUTED_VALUE"""),41206.99861111111)</f>
        <v>41206.99861</v>
      </c>
      <c r="B868" s="1">
        <f>IFERROR(__xludf.DUMMYFUNCTION("""COMPUTED_VALUE"""),2557.364767)</f>
        <v>2557.364767</v>
      </c>
    </row>
    <row r="869">
      <c r="A869" s="3">
        <f>IFERROR(__xludf.DUMMYFUNCTION("""COMPUTED_VALUE"""),41207.99861111111)</f>
        <v>41207.99861</v>
      </c>
      <c r="B869" s="1">
        <f>IFERROR(__xludf.DUMMYFUNCTION("""COMPUTED_VALUE"""),2556.068581)</f>
        <v>2556.068581</v>
      </c>
    </row>
    <row r="870">
      <c r="A870" s="3">
        <f>IFERROR(__xludf.DUMMYFUNCTION("""COMPUTED_VALUE"""),41208.99861111111)</f>
        <v>41208.99861</v>
      </c>
      <c r="B870" s="1">
        <f>IFERROR(__xludf.DUMMYFUNCTION("""COMPUTED_VALUE"""),2557.121477)</f>
        <v>2557.121477</v>
      </c>
    </row>
    <row r="871">
      <c r="A871" s="3">
        <f>IFERROR(__xludf.DUMMYFUNCTION("""COMPUTED_VALUE"""),41209.99861111111)</f>
        <v>41209.99861</v>
      </c>
      <c r="B871" s="1">
        <f>IFERROR(__xludf.DUMMYFUNCTION("""COMPUTED_VALUE"""),2557.053172)</f>
        <v>2557.053172</v>
      </c>
    </row>
    <row r="872">
      <c r="A872" s="3">
        <f>IFERROR(__xludf.DUMMYFUNCTION("""COMPUTED_VALUE"""),41210.99861111111)</f>
        <v>41210.99861</v>
      </c>
      <c r="B872" s="1">
        <f>IFERROR(__xludf.DUMMYFUNCTION("""COMPUTED_VALUE"""),2561.593196)</f>
        <v>2561.593196</v>
      </c>
    </row>
    <row r="873">
      <c r="A873" s="3">
        <f>IFERROR(__xludf.DUMMYFUNCTION("""COMPUTED_VALUE"""),41211.99861111111)</f>
        <v>41211.99861</v>
      </c>
      <c r="B873" s="1">
        <f>IFERROR(__xludf.DUMMYFUNCTION("""COMPUTED_VALUE"""),2553.629434)</f>
        <v>2553.629434</v>
      </c>
    </row>
    <row r="874">
      <c r="A874" s="3">
        <f>IFERROR(__xludf.DUMMYFUNCTION("""COMPUTED_VALUE"""),41212.99861111111)</f>
        <v>41212.99861</v>
      </c>
      <c r="B874" s="1">
        <f>IFERROR(__xludf.DUMMYFUNCTION("""COMPUTED_VALUE"""),2558.696322)</f>
        <v>2558.696322</v>
      </c>
    </row>
    <row r="875">
      <c r="A875" s="3">
        <f>IFERROR(__xludf.DUMMYFUNCTION("""COMPUTED_VALUE"""),41213.99861111111)</f>
        <v>41213.99861</v>
      </c>
      <c r="B875" s="1">
        <f>IFERROR(__xludf.DUMMYFUNCTION("""COMPUTED_VALUE"""),2556.190244)</f>
        <v>2556.190244</v>
      </c>
    </row>
    <row r="876">
      <c r="A876" s="3">
        <f>IFERROR(__xludf.DUMMYFUNCTION("""COMPUTED_VALUE"""),41214.99861111111)</f>
        <v>41214.99861</v>
      </c>
      <c r="B876" s="1">
        <f>IFERROR(__xludf.DUMMYFUNCTION("""COMPUTED_VALUE"""),2560.32777)</f>
        <v>2560.32777</v>
      </c>
    </row>
    <row r="877">
      <c r="A877" s="3">
        <f>IFERROR(__xludf.DUMMYFUNCTION("""COMPUTED_VALUE"""),41215.99861111111)</f>
        <v>41215.99861</v>
      </c>
      <c r="B877" s="1">
        <f>IFERROR(__xludf.DUMMYFUNCTION("""COMPUTED_VALUE"""),2558.509476)</f>
        <v>2558.509476</v>
      </c>
    </row>
    <row r="878">
      <c r="A878" s="3">
        <f>IFERROR(__xludf.DUMMYFUNCTION("""COMPUTED_VALUE"""),41216.99861111111)</f>
        <v>41216.99861</v>
      </c>
      <c r="B878" s="1">
        <f>IFERROR(__xludf.DUMMYFUNCTION("""COMPUTED_VALUE"""),2559.72233)</f>
        <v>2559.72233</v>
      </c>
    </row>
    <row r="879">
      <c r="A879" s="3">
        <f>IFERROR(__xludf.DUMMYFUNCTION("""COMPUTED_VALUE"""),41217.99861111111)</f>
        <v>41217.99861</v>
      </c>
      <c r="B879" s="1">
        <f>IFERROR(__xludf.DUMMYFUNCTION("""COMPUTED_VALUE"""),2554.23871)</f>
        <v>2554.23871</v>
      </c>
    </row>
    <row r="880">
      <c r="A880" s="3">
        <f>IFERROR(__xludf.DUMMYFUNCTION("""COMPUTED_VALUE"""),41218.99861111111)</f>
        <v>41218.99861</v>
      </c>
      <c r="B880" s="1">
        <f>IFERROR(__xludf.DUMMYFUNCTION("""COMPUTED_VALUE"""),2557.911283)</f>
        <v>2557.911283</v>
      </c>
    </row>
    <row r="881">
      <c r="A881" s="3">
        <f>IFERROR(__xludf.DUMMYFUNCTION("""COMPUTED_VALUE"""),41219.99861111111)</f>
        <v>41219.99861</v>
      </c>
      <c r="B881" s="1">
        <f>IFERROR(__xludf.DUMMYFUNCTION("""COMPUTED_VALUE"""),2557.629647)</f>
        <v>2557.629647</v>
      </c>
    </row>
    <row r="882">
      <c r="A882" s="3">
        <f>IFERROR(__xludf.DUMMYFUNCTION("""COMPUTED_VALUE"""),41220.99861111111)</f>
        <v>41220.99861</v>
      </c>
      <c r="B882" s="1">
        <f>IFERROR(__xludf.DUMMYFUNCTION("""COMPUTED_VALUE"""),2556.110163)</f>
        <v>2556.110163</v>
      </c>
    </row>
    <row r="883">
      <c r="A883" s="3">
        <f>IFERROR(__xludf.DUMMYFUNCTION("""COMPUTED_VALUE"""),41221.99861111111)</f>
        <v>41221.99861</v>
      </c>
      <c r="B883" s="1">
        <f>IFERROR(__xludf.DUMMYFUNCTION("""COMPUTED_VALUE"""),2563.145587)</f>
        <v>2563.145587</v>
      </c>
    </row>
    <row r="884">
      <c r="A884" s="3">
        <f>IFERROR(__xludf.DUMMYFUNCTION("""COMPUTED_VALUE"""),41222.99861111111)</f>
        <v>41222.99861</v>
      </c>
      <c r="B884" s="1">
        <f>IFERROR(__xludf.DUMMYFUNCTION("""COMPUTED_VALUE"""),2560.015937)</f>
        <v>2560.015937</v>
      </c>
    </row>
    <row r="885">
      <c r="A885" s="3">
        <f>IFERROR(__xludf.DUMMYFUNCTION("""COMPUTED_VALUE"""),41223.99861111111)</f>
        <v>41223.99861</v>
      </c>
      <c r="B885" s="1">
        <f>IFERROR(__xludf.DUMMYFUNCTION("""COMPUTED_VALUE"""),2560.988592)</f>
        <v>2560.988592</v>
      </c>
    </row>
    <row r="886">
      <c r="A886" s="3">
        <f>IFERROR(__xludf.DUMMYFUNCTION("""COMPUTED_VALUE"""),41224.99861111111)</f>
        <v>41224.99861</v>
      </c>
      <c r="B886" s="1">
        <f>IFERROR(__xludf.DUMMYFUNCTION("""COMPUTED_VALUE"""),2571.832396)</f>
        <v>2571.832396</v>
      </c>
    </row>
    <row r="887">
      <c r="A887" s="3">
        <f>IFERROR(__xludf.DUMMYFUNCTION("""COMPUTED_VALUE"""),41225.99861111111)</f>
        <v>41225.99861</v>
      </c>
      <c r="B887" s="1">
        <f>IFERROR(__xludf.DUMMYFUNCTION("""COMPUTED_VALUE"""),2559.68074)</f>
        <v>2559.68074</v>
      </c>
    </row>
    <row r="888">
      <c r="A888" s="3">
        <f>IFERROR(__xludf.DUMMYFUNCTION("""COMPUTED_VALUE"""),41226.99861111111)</f>
        <v>41226.99861</v>
      </c>
      <c r="B888" s="1">
        <f>IFERROR(__xludf.DUMMYFUNCTION("""COMPUTED_VALUE"""),2561.095356)</f>
        <v>2561.095356</v>
      </c>
    </row>
    <row r="889">
      <c r="A889" s="3">
        <f>IFERROR(__xludf.DUMMYFUNCTION("""COMPUTED_VALUE"""),41227.99861111111)</f>
        <v>41227.99861</v>
      </c>
      <c r="B889" s="1">
        <f>IFERROR(__xludf.DUMMYFUNCTION("""COMPUTED_VALUE"""),2561.547278)</f>
        <v>2561.547278</v>
      </c>
    </row>
    <row r="890">
      <c r="A890" s="3">
        <f>IFERROR(__xludf.DUMMYFUNCTION("""COMPUTED_VALUE"""),41228.99861111111)</f>
        <v>41228.99861</v>
      </c>
      <c r="B890" s="1">
        <f>IFERROR(__xludf.DUMMYFUNCTION("""COMPUTED_VALUE"""),2561.258782)</f>
        <v>2561.258782</v>
      </c>
    </row>
    <row r="891">
      <c r="A891" s="3">
        <f>IFERROR(__xludf.DUMMYFUNCTION("""COMPUTED_VALUE"""),41229.99861111111)</f>
        <v>41229.99861</v>
      </c>
      <c r="B891" s="1">
        <f>IFERROR(__xludf.DUMMYFUNCTION("""COMPUTED_VALUE"""),2561.260626)</f>
        <v>2561.260626</v>
      </c>
    </row>
    <row r="892">
      <c r="A892" s="3">
        <f>IFERROR(__xludf.DUMMYFUNCTION("""COMPUTED_VALUE"""),41230.99861111111)</f>
        <v>41230.99861</v>
      </c>
      <c r="B892" s="1">
        <f>IFERROR(__xludf.DUMMYFUNCTION("""COMPUTED_VALUE"""),2563.007232)</f>
        <v>2563.007232</v>
      </c>
    </row>
    <row r="893">
      <c r="A893" s="3">
        <f>IFERROR(__xludf.DUMMYFUNCTION("""COMPUTED_VALUE"""),41232.99861111111)</f>
        <v>41232.99861</v>
      </c>
      <c r="B893" s="1">
        <f>IFERROR(__xludf.DUMMYFUNCTION("""COMPUTED_VALUE"""),2560.216452)</f>
        <v>2560.216452</v>
      </c>
    </row>
    <row r="894">
      <c r="A894" s="3">
        <f>IFERROR(__xludf.DUMMYFUNCTION("""COMPUTED_VALUE"""),41233.99861111111)</f>
        <v>41233.99861</v>
      </c>
      <c r="B894" s="1">
        <f>IFERROR(__xludf.DUMMYFUNCTION("""COMPUTED_VALUE"""),2563.63779)</f>
        <v>2563.63779</v>
      </c>
    </row>
    <row r="895">
      <c r="A895" s="3">
        <f>IFERROR(__xludf.DUMMYFUNCTION("""COMPUTED_VALUE"""),41234.99861111111)</f>
        <v>41234.99861</v>
      </c>
      <c r="B895" s="1">
        <f>IFERROR(__xludf.DUMMYFUNCTION("""COMPUTED_VALUE"""),2564.133281)</f>
        <v>2564.133281</v>
      </c>
    </row>
    <row r="896">
      <c r="A896" s="3">
        <f>IFERROR(__xludf.DUMMYFUNCTION("""COMPUTED_VALUE"""),41235.99861111111)</f>
        <v>41235.99861</v>
      </c>
      <c r="B896" s="1">
        <f>IFERROR(__xludf.DUMMYFUNCTION("""COMPUTED_VALUE"""),2561.92609)</f>
        <v>2561.92609</v>
      </c>
    </row>
    <row r="897">
      <c r="A897" s="3">
        <f>IFERROR(__xludf.DUMMYFUNCTION("""COMPUTED_VALUE"""),41236.99861111111)</f>
        <v>41236.99861</v>
      </c>
      <c r="B897" s="1">
        <f>IFERROR(__xludf.DUMMYFUNCTION("""COMPUTED_VALUE"""),2558.035766)</f>
        <v>2558.035766</v>
      </c>
    </row>
    <row r="898">
      <c r="A898" s="3">
        <f>IFERROR(__xludf.DUMMYFUNCTION("""COMPUTED_VALUE"""),41237.99861111111)</f>
        <v>41237.99861</v>
      </c>
      <c r="B898" s="1">
        <f>IFERROR(__xludf.DUMMYFUNCTION("""COMPUTED_VALUE"""),2557.127556)</f>
        <v>2557.127556</v>
      </c>
    </row>
    <row r="899">
      <c r="A899" s="3">
        <f>IFERROR(__xludf.DUMMYFUNCTION("""COMPUTED_VALUE"""),41238.99861111111)</f>
        <v>41238.99861</v>
      </c>
      <c r="B899" s="1">
        <f>IFERROR(__xludf.DUMMYFUNCTION("""COMPUTED_VALUE"""),2566.057081)</f>
        <v>2566.057081</v>
      </c>
    </row>
    <row r="900">
      <c r="A900" s="3">
        <f>IFERROR(__xludf.DUMMYFUNCTION("""COMPUTED_VALUE"""),41239.99861111111)</f>
        <v>41239.99861</v>
      </c>
      <c r="B900" s="1">
        <f>IFERROR(__xludf.DUMMYFUNCTION("""COMPUTED_VALUE"""),2554.677621)</f>
        <v>2554.677621</v>
      </c>
    </row>
    <row r="901">
      <c r="A901" s="3">
        <f>IFERROR(__xludf.DUMMYFUNCTION("""COMPUTED_VALUE"""),41240.99861111111)</f>
        <v>41240.99861</v>
      </c>
      <c r="B901" s="1">
        <f>IFERROR(__xludf.DUMMYFUNCTION("""COMPUTED_VALUE"""),2555.4517)</f>
        <v>2555.4517</v>
      </c>
    </row>
    <row r="902">
      <c r="A902" s="3">
        <f>IFERROR(__xludf.DUMMYFUNCTION("""COMPUTED_VALUE"""),41241.99861111111)</f>
        <v>41241.99861</v>
      </c>
      <c r="B902" s="1">
        <f>IFERROR(__xludf.DUMMYFUNCTION("""COMPUTED_VALUE"""),2554.920782)</f>
        <v>2554.920782</v>
      </c>
    </row>
    <row r="903">
      <c r="A903" s="3">
        <f>IFERROR(__xludf.DUMMYFUNCTION("""COMPUTED_VALUE"""),41242.99861111111)</f>
        <v>41242.99861</v>
      </c>
      <c r="B903" s="1">
        <f>IFERROR(__xludf.DUMMYFUNCTION("""COMPUTED_VALUE"""),2554.82594)</f>
        <v>2554.82594</v>
      </c>
    </row>
    <row r="904">
      <c r="A904" s="3">
        <f>IFERROR(__xludf.DUMMYFUNCTION("""COMPUTED_VALUE"""),41243.99861111111)</f>
        <v>41243.99861</v>
      </c>
      <c r="B904" s="1">
        <f>IFERROR(__xludf.DUMMYFUNCTION("""COMPUTED_VALUE"""),2556.783302)</f>
        <v>2556.783302</v>
      </c>
    </row>
    <row r="905">
      <c r="A905" s="3">
        <f>IFERROR(__xludf.DUMMYFUNCTION("""COMPUTED_VALUE"""),41244.99861111111)</f>
        <v>41244.99861</v>
      </c>
      <c r="B905" s="1">
        <f>IFERROR(__xludf.DUMMYFUNCTION("""COMPUTED_VALUE"""),2553.980836)</f>
        <v>2553.980836</v>
      </c>
    </row>
    <row r="906">
      <c r="A906" s="3">
        <f>IFERROR(__xludf.DUMMYFUNCTION("""COMPUTED_VALUE"""),41245.99861111111)</f>
        <v>41245.99861</v>
      </c>
      <c r="B906" s="1">
        <f>IFERROR(__xludf.DUMMYFUNCTION("""COMPUTED_VALUE"""),2566.360797)</f>
        <v>2566.360797</v>
      </c>
    </row>
    <row r="907">
      <c r="A907" s="3">
        <f>IFERROR(__xludf.DUMMYFUNCTION("""COMPUTED_VALUE"""),41246.99861111111)</f>
        <v>41246.99861</v>
      </c>
      <c r="B907" s="1">
        <f>IFERROR(__xludf.DUMMYFUNCTION("""COMPUTED_VALUE"""),2553.414097)</f>
        <v>2553.414097</v>
      </c>
    </row>
    <row r="908">
      <c r="A908" s="3">
        <f>IFERROR(__xludf.DUMMYFUNCTION("""COMPUTED_VALUE"""),41247.99861111111)</f>
        <v>41247.99861</v>
      </c>
      <c r="B908" s="1">
        <f>IFERROR(__xludf.DUMMYFUNCTION("""COMPUTED_VALUE"""),2555.072159)</f>
        <v>2555.072159</v>
      </c>
    </row>
    <row r="909">
      <c r="A909" s="3">
        <f>IFERROR(__xludf.DUMMYFUNCTION("""COMPUTED_VALUE"""),41248.99861111111)</f>
        <v>41248.99861</v>
      </c>
      <c r="B909" s="1">
        <f>IFERROR(__xludf.DUMMYFUNCTION("""COMPUTED_VALUE"""),2554.461259)</f>
        <v>2554.461259</v>
      </c>
    </row>
    <row r="910">
      <c r="A910" s="3">
        <f>IFERROR(__xludf.DUMMYFUNCTION("""COMPUTED_VALUE"""),41249.99861111111)</f>
        <v>41249.99861</v>
      </c>
      <c r="B910" s="1">
        <f>IFERROR(__xludf.DUMMYFUNCTION("""COMPUTED_VALUE"""),2557.566452)</f>
        <v>2557.566452</v>
      </c>
    </row>
    <row r="911">
      <c r="A911" s="3">
        <f>IFERROR(__xludf.DUMMYFUNCTION("""COMPUTED_VALUE"""),41250.99861111111)</f>
        <v>41250.99861</v>
      </c>
      <c r="B911" s="1">
        <f>IFERROR(__xludf.DUMMYFUNCTION("""COMPUTED_VALUE"""),2560.131249)</f>
        <v>2560.131249</v>
      </c>
    </row>
    <row r="912">
      <c r="A912" s="3">
        <f>IFERROR(__xludf.DUMMYFUNCTION("""COMPUTED_VALUE"""),41251.99861111111)</f>
        <v>41251.99861</v>
      </c>
      <c r="B912" s="1">
        <f>IFERROR(__xludf.DUMMYFUNCTION("""COMPUTED_VALUE"""),2560.851863)</f>
        <v>2560.851863</v>
      </c>
    </row>
    <row r="913">
      <c r="A913" s="3">
        <f>IFERROR(__xludf.DUMMYFUNCTION("""COMPUTED_VALUE"""),41252.99861111111)</f>
        <v>41252.99861</v>
      </c>
      <c r="B913" s="1">
        <f>IFERROR(__xludf.DUMMYFUNCTION("""COMPUTED_VALUE"""),2565.509171)</f>
        <v>2565.509171</v>
      </c>
    </row>
    <row r="914">
      <c r="A914" s="3">
        <f>IFERROR(__xludf.DUMMYFUNCTION("""COMPUTED_VALUE"""),41253.99861111111)</f>
        <v>41253.99861</v>
      </c>
      <c r="B914" s="1">
        <f>IFERROR(__xludf.DUMMYFUNCTION("""COMPUTED_VALUE"""),2562.810285)</f>
        <v>2562.810285</v>
      </c>
    </row>
    <row r="915">
      <c r="A915" s="3">
        <f>IFERROR(__xludf.DUMMYFUNCTION("""COMPUTED_VALUE"""),41254.99861111111)</f>
        <v>41254.99861</v>
      </c>
      <c r="B915" s="1">
        <f>IFERROR(__xludf.DUMMYFUNCTION("""COMPUTED_VALUE"""),2563.954704)</f>
        <v>2563.954704</v>
      </c>
    </row>
    <row r="916">
      <c r="A916" s="3">
        <f>IFERROR(__xludf.DUMMYFUNCTION("""COMPUTED_VALUE"""),41255.99861111111)</f>
        <v>41255.99861</v>
      </c>
      <c r="B916" s="1">
        <f>IFERROR(__xludf.DUMMYFUNCTION("""COMPUTED_VALUE"""),2563.077222)</f>
        <v>2563.077222</v>
      </c>
    </row>
    <row r="917">
      <c r="A917" s="3">
        <f>IFERROR(__xludf.DUMMYFUNCTION("""COMPUTED_VALUE"""),41256.99861111111)</f>
        <v>41256.99861</v>
      </c>
      <c r="B917" s="1">
        <f>IFERROR(__xludf.DUMMYFUNCTION("""COMPUTED_VALUE"""),2564.019674)</f>
        <v>2564.019674</v>
      </c>
    </row>
    <row r="918">
      <c r="A918" s="3">
        <f>IFERROR(__xludf.DUMMYFUNCTION("""COMPUTED_VALUE"""),41257.99861111111)</f>
        <v>41257.99861</v>
      </c>
      <c r="B918" s="1">
        <f>IFERROR(__xludf.DUMMYFUNCTION("""COMPUTED_VALUE"""),2562.878368)</f>
        <v>2562.878368</v>
      </c>
    </row>
    <row r="919">
      <c r="A919" s="3">
        <f>IFERROR(__xludf.DUMMYFUNCTION("""COMPUTED_VALUE"""),41258.99861111111)</f>
        <v>41258.99861</v>
      </c>
      <c r="B919" s="1">
        <f>IFERROR(__xludf.DUMMYFUNCTION("""COMPUTED_VALUE"""),2616.20556)</f>
        <v>2616.20556</v>
      </c>
    </row>
    <row r="920">
      <c r="A920" s="3">
        <f>IFERROR(__xludf.DUMMYFUNCTION("""COMPUTED_VALUE"""),41260.99861111111)</f>
        <v>41260.99861</v>
      </c>
      <c r="B920" s="1">
        <f>IFERROR(__xludf.DUMMYFUNCTION("""COMPUTED_VALUE"""),2565.746594)</f>
        <v>2565.746594</v>
      </c>
    </row>
    <row r="921">
      <c r="A921" s="3">
        <f>IFERROR(__xludf.DUMMYFUNCTION("""COMPUTED_VALUE"""),41261.99861111111)</f>
        <v>41261.99861</v>
      </c>
      <c r="B921" s="1">
        <f>IFERROR(__xludf.DUMMYFUNCTION("""COMPUTED_VALUE"""),2566.513601)</f>
        <v>2566.513601</v>
      </c>
    </row>
    <row r="922">
      <c r="A922" s="3">
        <f>IFERROR(__xludf.DUMMYFUNCTION("""COMPUTED_VALUE"""),41262.99861111111)</f>
        <v>41262.99861</v>
      </c>
      <c r="B922" s="1">
        <f>IFERROR(__xludf.DUMMYFUNCTION("""COMPUTED_VALUE"""),2568.549434)</f>
        <v>2568.549434</v>
      </c>
    </row>
    <row r="923">
      <c r="A923" s="3">
        <f>IFERROR(__xludf.DUMMYFUNCTION("""COMPUTED_VALUE"""),41263.99861111111)</f>
        <v>41263.99861</v>
      </c>
      <c r="B923" s="1">
        <f>IFERROR(__xludf.DUMMYFUNCTION("""COMPUTED_VALUE"""),2568.866085)</f>
        <v>2568.866085</v>
      </c>
    </row>
    <row r="924">
      <c r="A924" s="3">
        <f>IFERROR(__xludf.DUMMYFUNCTION("""COMPUTED_VALUE"""),41264.99861111111)</f>
        <v>41264.99861</v>
      </c>
      <c r="B924" s="1">
        <f>IFERROR(__xludf.DUMMYFUNCTION("""COMPUTED_VALUE"""),2567.203491)</f>
        <v>2567.203491</v>
      </c>
    </row>
    <row r="925">
      <c r="A925" s="3">
        <f>IFERROR(__xludf.DUMMYFUNCTION("""COMPUTED_VALUE"""),41267.99861111111)</f>
        <v>41267.99861</v>
      </c>
      <c r="B925" s="1">
        <f>IFERROR(__xludf.DUMMYFUNCTION("""COMPUTED_VALUE"""),2571.215007)</f>
        <v>2571.215007</v>
      </c>
    </row>
    <row r="926">
      <c r="A926" s="3">
        <f>IFERROR(__xludf.DUMMYFUNCTION("""COMPUTED_VALUE"""),41268.99861111111)</f>
        <v>41268.99861</v>
      </c>
      <c r="B926" s="1">
        <f>IFERROR(__xludf.DUMMYFUNCTION("""COMPUTED_VALUE"""),2571.150119)</f>
        <v>2571.150119</v>
      </c>
    </row>
    <row r="927">
      <c r="A927" s="3">
        <f>IFERROR(__xludf.DUMMYFUNCTION("""COMPUTED_VALUE"""),41269.99861111111)</f>
        <v>41269.99861</v>
      </c>
      <c r="B927" s="1">
        <f>IFERROR(__xludf.DUMMYFUNCTION("""COMPUTED_VALUE"""),2570.2007)</f>
        <v>2570.2007</v>
      </c>
    </row>
    <row r="928">
      <c r="A928" s="3">
        <f>IFERROR(__xludf.DUMMYFUNCTION("""COMPUTED_VALUE"""),41270.99861111111)</f>
        <v>41270.99861</v>
      </c>
      <c r="B928" s="1">
        <f>IFERROR(__xludf.DUMMYFUNCTION("""COMPUTED_VALUE"""),2571.302746)</f>
        <v>2571.302746</v>
      </c>
    </row>
    <row r="929">
      <c r="A929" s="3">
        <f>IFERROR(__xludf.DUMMYFUNCTION("""COMPUTED_VALUE"""),41271.99861111111)</f>
        <v>41271.99861</v>
      </c>
      <c r="B929" s="1">
        <f>IFERROR(__xludf.DUMMYFUNCTION("""COMPUTED_VALUE"""),2570.26183)</f>
        <v>2570.26183</v>
      </c>
    </row>
    <row r="930">
      <c r="A930" s="3">
        <f>IFERROR(__xludf.DUMMYFUNCTION("""COMPUTED_VALUE"""),41272.99861111111)</f>
        <v>41272.99861</v>
      </c>
      <c r="B930" s="1">
        <f>IFERROR(__xludf.DUMMYFUNCTION("""COMPUTED_VALUE"""),2565.617743)</f>
        <v>2565.617743</v>
      </c>
    </row>
    <row r="931">
      <c r="A931" s="3">
        <f>IFERROR(__xludf.DUMMYFUNCTION("""COMPUTED_VALUE"""),41273.99861111111)</f>
        <v>41273.99861</v>
      </c>
      <c r="B931" s="1">
        <f>IFERROR(__xludf.DUMMYFUNCTION("""COMPUTED_VALUE"""),2565.577708)</f>
        <v>2565.577708</v>
      </c>
    </row>
    <row r="932">
      <c r="A932" s="3">
        <f>IFERROR(__xludf.DUMMYFUNCTION("""COMPUTED_VALUE"""),41274.99861111111)</f>
        <v>41274.99861</v>
      </c>
      <c r="B932" s="1">
        <f>IFERROR(__xludf.DUMMYFUNCTION("""COMPUTED_VALUE"""),2564.588385)</f>
        <v>2564.588385</v>
      </c>
    </row>
    <row r="933">
      <c r="A933" s="3">
        <f>IFERROR(__xludf.DUMMYFUNCTION("""COMPUTED_VALUE"""),41275.99861111111)</f>
        <v>41275.99861</v>
      </c>
      <c r="B933" s="1">
        <f>IFERROR(__xludf.DUMMYFUNCTION("""COMPUTED_VALUE"""),2564.725313)</f>
        <v>2564.725313</v>
      </c>
    </row>
    <row r="934">
      <c r="A934" s="3">
        <f>IFERROR(__xludf.DUMMYFUNCTION("""COMPUTED_VALUE"""),41276.99861111111)</f>
        <v>41276.99861</v>
      </c>
      <c r="B934" s="1">
        <f>IFERROR(__xludf.DUMMYFUNCTION("""COMPUTED_VALUE"""),2568.122948)</f>
        <v>2568.122948</v>
      </c>
    </row>
    <row r="935">
      <c r="A935" s="3">
        <f>IFERROR(__xludf.DUMMYFUNCTION("""COMPUTED_VALUE"""),41277.99861111111)</f>
        <v>41277.99861</v>
      </c>
      <c r="B935" s="1">
        <f>IFERROR(__xludf.DUMMYFUNCTION("""COMPUTED_VALUE"""),2569.411373)</f>
        <v>2569.411373</v>
      </c>
    </row>
    <row r="936">
      <c r="A936" s="3">
        <f>IFERROR(__xludf.DUMMYFUNCTION("""COMPUTED_VALUE"""),41278.99861111111)</f>
        <v>41278.99861</v>
      </c>
      <c r="B936" s="1">
        <f>IFERROR(__xludf.DUMMYFUNCTION("""COMPUTED_VALUE"""),2570.967282)</f>
        <v>2570.967282</v>
      </c>
    </row>
    <row r="937">
      <c r="A937" s="3">
        <f>IFERROR(__xludf.DUMMYFUNCTION("""COMPUTED_VALUE"""),41279.99861111111)</f>
        <v>41279.99861</v>
      </c>
      <c r="B937" s="1">
        <f>IFERROR(__xludf.DUMMYFUNCTION("""COMPUTED_VALUE"""),2607.001788)</f>
        <v>2607.001788</v>
      </c>
    </row>
    <row r="938">
      <c r="A938" s="3">
        <f>IFERROR(__xludf.DUMMYFUNCTION("""COMPUTED_VALUE"""),41280.99861111111)</f>
        <v>41280.99861</v>
      </c>
      <c r="B938" s="1">
        <f>IFERROR(__xludf.DUMMYFUNCTION("""COMPUTED_VALUE"""),2610.933638)</f>
        <v>2610.933638</v>
      </c>
    </row>
    <row r="939">
      <c r="A939" s="3">
        <f>IFERROR(__xludf.DUMMYFUNCTION("""COMPUTED_VALUE"""),41281.99861111111)</f>
        <v>41281.99861</v>
      </c>
      <c r="B939" s="1">
        <f>IFERROR(__xludf.DUMMYFUNCTION("""COMPUTED_VALUE"""),2572.827894)</f>
        <v>2572.827894</v>
      </c>
    </row>
    <row r="940">
      <c r="A940" s="3">
        <f>IFERROR(__xludf.DUMMYFUNCTION("""COMPUTED_VALUE"""),41282.99861111111)</f>
        <v>41282.99861</v>
      </c>
      <c r="B940" s="1">
        <f>IFERROR(__xludf.DUMMYFUNCTION("""COMPUTED_VALUE"""),2573.388418)</f>
        <v>2573.388418</v>
      </c>
    </row>
    <row r="941">
      <c r="A941" s="3">
        <f>IFERROR(__xludf.DUMMYFUNCTION("""COMPUTED_VALUE"""),41283.99861111111)</f>
        <v>41283.99861</v>
      </c>
      <c r="B941" s="1">
        <f>IFERROR(__xludf.DUMMYFUNCTION("""COMPUTED_VALUE"""),2571.028161)</f>
        <v>2571.028161</v>
      </c>
    </row>
    <row r="942">
      <c r="A942" s="3">
        <f>IFERROR(__xludf.DUMMYFUNCTION("""COMPUTED_VALUE"""),41284.99861111111)</f>
        <v>41284.99861</v>
      </c>
      <c r="B942" s="1">
        <f>IFERROR(__xludf.DUMMYFUNCTION("""COMPUTED_VALUE"""),2571.070048)</f>
        <v>2571.070048</v>
      </c>
    </row>
    <row r="943">
      <c r="A943" s="3">
        <f>IFERROR(__xludf.DUMMYFUNCTION("""COMPUTED_VALUE"""),41285.99861111111)</f>
        <v>41285.99861</v>
      </c>
      <c r="B943" s="1">
        <f>IFERROR(__xludf.DUMMYFUNCTION("""COMPUTED_VALUE"""),2564.24356)</f>
        <v>2564.24356</v>
      </c>
    </row>
    <row r="944">
      <c r="A944" s="3">
        <f>IFERROR(__xludf.DUMMYFUNCTION("""COMPUTED_VALUE"""),41286.99861111111)</f>
        <v>41286.99861</v>
      </c>
      <c r="B944" s="1">
        <f>IFERROR(__xludf.DUMMYFUNCTION("""COMPUTED_VALUE"""),2563.881427)</f>
        <v>2563.881427</v>
      </c>
    </row>
    <row r="945">
      <c r="A945" s="3">
        <f>IFERROR(__xludf.DUMMYFUNCTION("""COMPUTED_VALUE"""),41287.99861111111)</f>
        <v>41287.99861</v>
      </c>
      <c r="B945" s="1">
        <f>IFERROR(__xludf.DUMMYFUNCTION("""COMPUTED_VALUE"""),2566.057081)</f>
        <v>2566.057081</v>
      </c>
    </row>
    <row r="946">
      <c r="A946" s="3">
        <f>IFERROR(__xludf.DUMMYFUNCTION("""COMPUTED_VALUE"""),41288.99861111111)</f>
        <v>41288.99861</v>
      </c>
      <c r="B946" s="1">
        <f>IFERROR(__xludf.DUMMYFUNCTION("""COMPUTED_VALUE"""),2564.275011)</f>
        <v>2564.275011</v>
      </c>
    </row>
    <row r="947">
      <c r="A947" s="3">
        <f>IFERROR(__xludf.DUMMYFUNCTION("""COMPUTED_VALUE"""),41289.99861111111)</f>
        <v>41289.99861</v>
      </c>
      <c r="B947" s="1">
        <f>IFERROR(__xludf.DUMMYFUNCTION("""COMPUTED_VALUE"""),2568.088363)</f>
        <v>2568.088363</v>
      </c>
    </row>
    <row r="948">
      <c r="A948" s="3">
        <f>IFERROR(__xludf.DUMMYFUNCTION("""COMPUTED_VALUE"""),41290.99861111111)</f>
        <v>41290.99861</v>
      </c>
      <c r="B948" s="1">
        <f>IFERROR(__xludf.DUMMYFUNCTION("""COMPUTED_VALUE"""),2569.521854)</f>
        <v>2569.521854</v>
      </c>
    </row>
    <row r="949">
      <c r="A949" s="3">
        <f>IFERROR(__xludf.DUMMYFUNCTION("""COMPUTED_VALUE"""),41291.99861111111)</f>
        <v>41291.99861</v>
      </c>
      <c r="B949" s="1">
        <f>IFERROR(__xludf.DUMMYFUNCTION("""COMPUTED_VALUE"""),2568.415966)</f>
        <v>2568.415966</v>
      </c>
    </row>
    <row r="950">
      <c r="A950" s="3">
        <f>IFERROR(__xludf.DUMMYFUNCTION("""COMPUTED_VALUE"""),41292.99861111111)</f>
        <v>41292.99861</v>
      </c>
      <c r="B950" s="1">
        <f>IFERROR(__xludf.DUMMYFUNCTION("""COMPUTED_VALUE"""),2562.90695)</f>
        <v>2562.90695</v>
      </c>
    </row>
    <row r="951">
      <c r="A951" s="3">
        <f>IFERROR(__xludf.DUMMYFUNCTION("""COMPUTED_VALUE"""),41293.99861111111)</f>
        <v>41293.99861</v>
      </c>
      <c r="B951" s="1">
        <f>IFERROR(__xludf.DUMMYFUNCTION("""COMPUTED_VALUE"""),2562.132957)</f>
        <v>2562.132957</v>
      </c>
    </row>
    <row r="952">
      <c r="A952" s="3">
        <f>IFERROR(__xludf.DUMMYFUNCTION("""COMPUTED_VALUE"""),41294.99861111111)</f>
        <v>41294.99861</v>
      </c>
      <c r="B952" s="1">
        <f>IFERROR(__xludf.DUMMYFUNCTION("""COMPUTED_VALUE"""),2584.209646)</f>
        <v>2584.209646</v>
      </c>
    </row>
    <row r="953">
      <c r="A953" s="3">
        <f>IFERROR(__xludf.DUMMYFUNCTION("""COMPUTED_VALUE"""),41295.99861111111)</f>
        <v>41295.99861</v>
      </c>
      <c r="B953" s="1">
        <f>IFERROR(__xludf.DUMMYFUNCTION("""COMPUTED_VALUE"""),2559.630553)</f>
        <v>2559.630553</v>
      </c>
    </row>
    <row r="954">
      <c r="A954" s="3">
        <f>IFERROR(__xludf.DUMMYFUNCTION("""COMPUTED_VALUE"""),41296.99861111111)</f>
        <v>41296.99861</v>
      </c>
      <c r="B954" s="1">
        <f>IFERROR(__xludf.DUMMYFUNCTION("""COMPUTED_VALUE"""),2560.149395)</f>
        <v>2560.149395</v>
      </c>
    </row>
    <row r="955">
      <c r="A955" s="3">
        <f>IFERROR(__xludf.DUMMYFUNCTION("""COMPUTED_VALUE"""),41297.99861111111)</f>
        <v>41297.99861</v>
      </c>
      <c r="B955" s="1">
        <f>IFERROR(__xludf.DUMMYFUNCTION("""COMPUTED_VALUE"""),2561.427389)</f>
        <v>2561.427389</v>
      </c>
    </row>
    <row r="956">
      <c r="A956" s="3">
        <f>IFERROR(__xludf.DUMMYFUNCTION("""COMPUTED_VALUE"""),41298.99861111111)</f>
        <v>41298.99861</v>
      </c>
      <c r="B956" s="1">
        <f>IFERROR(__xludf.DUMMYFUNCTION("""COMPUTED_VALUE"""),2561.724198)</f>
        <v>2561.724198</v>
      </c>
    </row>
    <row r="957">
      <c r="A957" s="3">
        <f>IFERROR(__xludf.DUMMYFUNCTION("""COMPUTED_VALUE"""),41299.99861111111)</f>
        <v>41299.99861</v>
      </c>
      <c r="B957" s="1">
        <f>IFERROR(__xludf.DUMMYFUNCTION("""COMPUTED_VALUE"""),2568.850366)</f>
        <v>2568.850366</v>
      </c>
    </row>
    <row r="958">
      <c r="A958" s="3">
        <f>IFERROR(__xludf.DUMMYFUNCTION("""COMPUTED_VALUE"""),41300.99861111111)</f>
        <v>41300.99861</v>
      </c>
      <c r="B958" s="1">
        <f>IFERROR(__xludf.DUMMYFUNCTION("""COMPUTED_VALUE"""),2555.511091)</f>
        <v>2555.511091</v>
      </c>
    </row>
    <row r="959">
      <c r="A959" s="3">
        <f>IFERROR(__xludf.DUMMYFUNCTION("""COMPUTED_VALUE"""),41302.99861111111)</f>
        <v>41302.99861</v>
      </c>
      <c r="B959" s="1">
        <f>IFERROR(__xludf.DUMMYFUNCTION("""COMPUTED_VALUE"""),2575.683893)</f>
        <v>2575.683893</v>
      </c>
    </row>
    <row r="960">
      <c r="A960" s="3">
        <f>IFERROR(__xludf.DUMMYFUNCTION("""COMPUTED_VALUE"""),41303.99861111111)</f>
        <v>41303.99861</v>
      </c>
      <c r="B960" s="1">
        <f>IFERROR(__xludf.DUMMYFUNCTION("""COMPUTED_VALUE"""),2575.531056)</f>
        <v>2575.531056</v>
      </c>
    </row>
    <row r="961">
      <c r="A961" s="3">
        <f>IFERROR(__xludf.DUMMYFUNCTION("""COMPUTED_VALUE"""),41304.99861111111)</f>
        <v>41304.99861</v>
      </c>
      <c r="B961" s="1">
        <f>IFERROR(__xludf.DUMMYFUNCTION("""COMPUTED_VALUE"""),2578.32636)</f>
        <v>2578.32636</v>
      </c>
    </row>
    <row r="962">
      <c r="A962" s="3">
        <f>IFERROR(__xludf.DUMMYFUNCTION("""COMPUTED_VALUE"""),41305.99861111111)</f>
        <v>41305.99861</v>
      </c>
      <c r="B962" s="1">
        <f>IFERROR(__xludf.DUMMYFUNCTION("""COMPUTED_VALUE"""),2580.911201)</f>
        <v>2580.911201</v>
      </c>
    </row>
    <row r="963">
      <c r="A963" s="3">
        <f>IFERROR(__xludf.DUMMYFUNCTION("""COMPUTED_VALUE"""),41306.99861111111)</f>
        <v>41306.99861</v>
      </c>
      <c r="B963" s="1">
        <f>IFERROR(__xludf.DUMMYFUNCTION("""COMPUTED_VALUE"""),2587.417228)</f>
        <v>2587.417228</v>
      </c>
    </row>
    <row r="964">
      <c r="A964" s="3">
        <f>IFERROR(__xludf.DUMMYFUNCTION("""COMPUTED_VALUE"""),41307.99861111111)</f>
        <v>41307.99861</v>
      </c>
      <c r="B964" s="1">
        <f>IFERROR(__xludf.DUMMYFUNCTION("""COMPUTED_VALUE"""),2601.587631)</f>
        <v>2601.587631</v>
      </c>
    </row>
    <row r="965">
      <c r="A965" s="3">
        <f>IFERROR(__xludf.DUMMYFUNCTION("""COMPUTED_VALUE"""),41308.99861111111)</f>
        <v>41308.99861</v>
      </c>
      <c r="B965" s="1">
        <f>IFERROR(__xludf.DUMMYFUNCTION("""COMPUTED_VALUE"""),2565.851566)</f>
        <v>2565.851566</v>
      </c>
    </row>
    <row r="966">
      <c r="A966" s="3">
        <f>IFERROR(__xludf.DUMMYFUNCTION("""COMPUTED_VALUE"""),41309.99861111111)</f>
        <v>41309.99861</v>
      </c>
      <c r="B966" s="1">
        <f>IFERROR(__xludf.DUMMYFUNCTION("""COMPUTED_VALUE"""),2573.582727)</f>
        <v>2573.582727</v>
      </c>
    </row>
    <row r="967">
      <c r="A967" s="3">
        <f>IFERROR(__xludf.DUMMYFUNCTION("""COMPUTED_VALUE"""),41310.99861111111)</f>
        <v>41310.99861</v>
      </c>
      <c r="B967" s="1">
        <f>IFERROR(__xludf.DUMMYFUNCTION("""COMPUTED_VALUE"""),2575.176753)</f>
        <v>2575.176753</v>
      </c>
    </row>
    <row r="968">
      <c r="A968" s="3">
        <f>IFERROR(__xludf.DUMMYFUNCTION("""COMPUTED_VALUE"""),41311.99861111111)</f>
        <v>41311.99861</v>
      </c>
      <c r="B968" s="1">
        <f>IFERROR(__xludf.DUMMYFUNCTION("""COMPUTED_VALUE"""),2584.1674)</f>
        <v>2584.1674</v>
      </c>
    </row>
    <row r="969">
      <c r="A969" s="3">
        <f>IFERROR(__xludf.DUMMYFUNCTION("""COMPUTED_VALUE"""),41312.99861111111)</f>
        <v>41312.99861</v>
      </c>
      <c r="B969" s="1">
        <f>IFERROR(__xludf.DUMMYFUNCTION("""COMPUTED_VALUE"""),2579.939107)</f>
        <v>2579.939107</v>
      </c>
    </row>
    <row r="970">
      <c r="A970" s="3">
        <f>IFERROR(__xludf.DUMMYFUNCTION("""COMPUTED_VALUE"""),41313.99861111111)</f>
        <v>41313.99861</v>
      </c>
      <c r="B970" s="1">
        <f>IFERROR(__xludf.DUMMYFUNCTION("""COMPUTED_VALUE"""),2572.904155)</f>
        <v>2572.904155</v>
      </c>
    </row>
    <row r="971">
      <c r="A971" s="3">
        <f>IFERROR(__xludf.DUMMYFUNCTION("""COMPUTED_VALUE"""),41314.99861111111)</f>
        <v>41314.99861</v>
      </c>
      <c r="B971" s="1">
        <f>IFERROR(__xludf.DUMMYFUNCTION("""COMPUTED_VALUE"""),2572.370352)</f>
        <v>2572.370352</v>
      </c>
    </row>
    <row r="972">
      <c r="A972" s="3">
        <f>IFERROR(__xludf.DUMMYFUNCTION("""COMPUTED_VALUE"""),41315.99861111111)</f>
        <v>41315.99861</v>
      </c>
      <c r="B972" s="1">
        <f>IFERROR(__xludf.DUMMYFUNCTION("""COMPUTED_VALUE"""),2565.577708)</f>
        <v>2565.577708</v>
      </c>
    </row>
    <row r="973">
      <c r="A973" s="3">
        <f>IFERROR(__xludf.DUMMYFUNCTION("""COMPUTED_VALUE"""),41316.99861111111)</f>
        <v>41316.99861</v>
      </c>
      <c r="B973" s="1">
        <f>IFERROR(__xludf.DUMMYFUNCTION("""COMPUTED_VALUE"""),2560.618167)</f>
        <v>2560.618167</v>
      </c>
    </row>
    <row r="974">
      <c r="A974" s="3">
        <f>IFERROR(__xludf.DUMMYFUNCTION("""COMPUTED_VALUE"""),41317.99861111111)</f>
        <v>41317.99861</v>
      </c>
      <c r="B974" s="1">
        <f>IFERROR(__xludf.DUMMYFUNCTION("""COMPUTED_VALUE"""),2567.115897)</f>
        <v>2567.115897</v>
      </c>
    </row>
    <row r="975">
      <c r="A975" s="3">
        <f>IFERROR(__xludf.DUMMYFUNCTION("""COMPUTED_VALUE"""),41318.99861111111)</f>
        <v>41318.99861</v>
      </c>
      <c r="B975" s="1">
        <f>IFERROR(__xludf.DUMMYFUNCTION("""COMPUTED_VALUE"""),2567.535073)</f>
        <v>2567.535073</v>
      </c>
    </row>
    <row r="976">
      <c r="A976" s="3">
        <f>IFERROR(__xludf.DUMMYFUNCTION("""COMPUTED_VALUE"""),41319.99861111111)</f>
        <v>41319.99861</v>
      </c>
      <c r="B976" s="1">
        <f>IFERROR(__xludf.DUMMYFUNCTION("""COMPUTED_VALUE"""),2570.757449)</f>
        <v>2570.757449</v>
      </c>
    </row>
    <row r="977">
      <c r="A977" s="3">
        <f>IFERROR(__xludf.DUMMYFUNCTION("""COMPUTED_VALUE"""),41320.99861111111)</f>
        <v>41320.99861</v>
      </c>
      <c r="B977" s="1">
        <f>IFERROR(__xludf.DUMMYFUNCTION("""COMPUTED_VALUE"""),2572.244454)</f>
        <v>2572.244454</v>
      </c>
    </row>
    <row r="978">
      <c r="A978" s="3">
        <f>IFERROR(__xludf.DUMMYFUNCTION("""COMPUTED_VALUE"""),41321.99861111111)</f>
        <v>41321.99861</v>
      </c>
      <c r="B978" s="1">
        <f>IFERROR(__xludf.DUMMYFUNCTION("""COMPUTED_VALUE"""),2574.127912)</f>
        <v>2574.127912</v>
      </c>
    </row>
    <row r="979">
      <c r="A979" s="3">
        <f>IFERROR(__xludf.DUMMYFUNCTION("""COMPUTED_VALUE"""),41322.99861111111)</f>
        <v>41322.99861</v>
      </c>
      <c r="B979" s="1">
        <f>IFERROR(__xludf.DUMMYFUNCTION("""COMPUTED_VALUE"""),2588.625496)</f>
        <v>2588.625496</v>
      </c>
    </row>
    <row r="980">
      <c r="A980" s="3">
        <f>IFERROR(__xludf.DUMMYFUNCTION("""COMPUTED_VALUE"""),41323.99861111111)</f>
        <v>41323.99861</v>
      </c>
      <c r="B980" s="1">
        <f>IFERROR(__xludf.DUMMYFUNCTION("""COMPUTED_VALUE"""),2576.491876)</f>
        <v>2576.491876</v>
      </c>
    </row>
    <row r="981">
      <c r="A981" s="3">
        <f>IFERROR(__xludf.DUMMYFUNCTION("""COMPUTED_VALUE"""),41324.99861111111)</f>
        <v>41324.99861</v>
      </c>
      <c r="B981" s="1">
        <f>IFERROR(__xludf.DUMMYFUNCTION("""COMPUTED_VALUE"""),2582.452461)</f>
        <v>2582.452461</v>
      </c>
    </row>
    <row r="982">
      <c r="A982" s="3">
        <f>IFERROR(__xludf.DUMMYFUNCTION("""COMPUTED_VALUE"""),41325.99861111111)</f>
        <v>41325.99861</v>
      </c>
      <c r="B982" s="1">
        <f>IFERROR(__xludf.DUMMYFUNCTION("""COMPUTED_VALUE"""),2577.136566)</f>
        <v>2577.136566</v>
      </c>
    </row>
    <row r="983">
      <c r="A983" s="3">
        <f>IFERROR(__xludf.DUMMYFUNCTION("""COMPUTED_VALUE"""),41326.99861111111)</f>
        <v>41326.99861</v>
      </c>
      <c r="B983" s="1">
        <f>IFERROR(__xludf.DUMMYFUNCTION("""COMPUTED_VALUE"""),2582.345692)</f>
        <v>2582.345692</v>
      </c>
    </row>
    <row r="984">
      <c r="A984" s="3">
        <f>IFERROR(__xludf.DUMMYFUNCTION("""COMPUTED_VALUE"""),41327.99861111111)</f>
        <v>41327.99861</v>
      </c>
      <c r="B984" s="1">
        <f>IFERROR(__xludf.DUMMYFUNCTION("""COMPUTED_VALUE"""),2583.026243)</f>
        <v>2583.026243</v>
      </c>
    </row>
    <row r="985">
      <c r="A985" s="3">
        <f>IFERROR(__xludf.DUMMYFUNCTION("""COMPUTED_VALUE"""),41328.99861111111)</f>
        <v>41328.99861</v>
      </c>
      <c r="B985" s="1">
        <f>IFERROR(__xludf.DUMMYFUNCTION("""COMPUTED_VALUE"""),2585.502592)</f>
        <v>2585.502592</v>
      </c>
    </row>
    <row r="986">
      <c r="A986" s="3">
        <f>IFERROR(__xludf.DUMMYFUNCTION("""COMPUTED_VALUE"""),41329.99861111111)</f>
        <v>41329.99861</v>
      </c>
      <c r="B986" s="1">
        <f>IFERROR(__xludf.DUMMYFUNCTION("""COMPUTED_VALUE"""),2599.67907)</f>
        <v>2599.67907</v>
      </c>
    </row>
    <row r="987">
      <c r="A987" s="3">
        <f>IFERROR(__xludf.DUMMYFUNCTION("""COMPUTED_VALUE"""),41330.99861111111)</f>
        <v>41330.99861</v>
      </c>
      <c r="B987" s="1">
        <f>IFERROR(__xludf.DUMMYFUNCTION("""COMPUTED_VALUE"""),2582.577068)</f>
        <v>2582.577068</v>
      </c>
    </row>
    <row r="988">
      <c r="A988" s="3">
        <f>IFERROR(__xludf.DUMMYFUNCTION("""COMPUTED_VALUE"""),41331.99861111111)</f>
        <v>41331.99861</v>
      </c>
      <c r="B988" s="1">
        <f>IFERROR(__xludf.DUMMYFUNCTION("""COMPUTED_VALUE"""),2583.482295)</f>
        <v>2583.482295</v>
      </c>
    </row>
    <row r="989">
      <c r="A989" s="3">
        <f>IFERROR(__xludf.DUMMYFUNCTION("""COMPUTED_VALUE"""),41332.99861111111)</f>
        <v>41332.99861</v>
      </c>
      <c r="B989" s="1">
        <f>IFERROR(__xludf.DUMMYFUNCTION("""COMPUTED_VALUE"""),2577.823378)</f>
        <v>2577.823378</v>
      </c>
    </row>
    <row r="990">
      <c r="A990" s="3">
        <f>IFERROR(__xludf.DUMMYFUNCTION("""COMPUTED_VALUE"""),41333.99861111111)</f>
        <v>41333.99861</v>
      </c>
      <c r="B990" s="1">
        <f>IFERROR(__xludf.DUMMYFUNCTION("""COMPUTED_VALUE"""),2571.756493)</f>
        <v>2571.756493</v>
      </c>
    </row>
    <row r="991">
      <c r="A991" s="3">
        <f>IFERROR(__xludf.DUMMYFUNCTION("""COMPUTED_VALUE"""),41334.99861111111)</f>
        <v>41334.99861</v>
      </c>
      <c r="B991" s="1">
        <f>IFERROR(__xludf.DUMMYFUNCTION("""COMPUTED_VALUE"""),2575.467118)</f>
        <v>2575.467118</v>
      </c>
    </row>
    <row r="992">
      <c r="A992" s="3">
        <f>IFERROR(__xludf.DUMMYFUNCTION("""COMPUTED_VALUE"""),41335.99861111111)</f>
        <v>41335.99861</v>
      </c>
      <c r="B992" s="1">
        <f>IFERROR(__xludf.DUMMYFUNCTION("""COMPUTED_VALUE"""),2576.88196)</f>
        <v>2576.88196</v>
      </c>
    </row>
    <row r="993">
      <c r="A993" s="3">
        <f>IFERROR(__xludf.DUMMYFUNCTION("""COMPUTED_VALUE"""),41336.99861111111)</f>
        <v>41336.99861</v>
      </c>
      <c r="B993" s="1">
        <f>IFERROR(__xludf.DUMMYFUNCTION("""COMPUTED_VALUE"""),2566.057081)</f>
        <v>2566.057081</v>
      </c>
    </row>
    <row r="994">
      <c r="A994" s="3">
        <f>IFERROR(__xludf.DUMMYFUNCTION("""COMPUTED_VALUE"""),41337.99861111111)</f>
        <v>41337.99861</v>
      </c>
      <c r="B994" s="1">
        <f>IFERROR(__xludf.DUMMYFUNCTION("""COMPUTED_VALUE"""),2583.215365)</f>
        <v>2583.215365</v>
      </c>
    </row>
    <row r="995">
      <c r="A995" s="3">
        <f>IFERROR(__xludf.DUMMYFUNCTION("""COMPUTED_VALUE"""),41338.99861111111)</f>
        <v>41338.99861</v>
      </c>
      <c r="B995" s="1">
        <f>IFERROR(__xludf.DUMMYFUNCTION("""COMPUTED_VALUE"""),2579.283102)</f>
        <v>2579.283102</v>
      </c>
    </row>
    <row r="996">
      <c r="A996" s="3">
        <f>IFERROR(__xludf.DUMMYFUNCTION("""COMPUTED_VALUE"""),41339.99861111111)</f>
        <v>41339.99861</v>
      </c>
      <c r="B996" s="1">
        <f>IFERROR(__xludf.DUMMYFUNCTION("""COMPUTED_VALUE"""),2577.810956)</f>
        <v>2577.810956</v>
      </c>
    </row>
    <row r="997">
      <c r="A997" s="3">
        <f>IFERROR(__xludf.DUMMYFUNCTION("""COMPUTED_VALUE"""),41340.99861111111)</f>
        <v>41340.99861</v>
      </c>
      <c r="B997" s="1">
        <f>IFERROR(__xludf.DUMMYFUNCTION("""COMPUTED_VALUE"""),2579.447406)</f>
        <v>2579.447406</v>
      </c>
    </row>
    <row r="998">
      <c r="A998" s="3">
        <f>IFERROR(__xludf.DUMMYFUNCTION("""COMPUTED_VALUE"""),41341.99861111111)</f>
        <v>41341.99861</v>
      </c>
      <c r="B998" s="1">
        <f>IFERROR(__xludf.DUMMYFUNCTION("""COMPUTED_VALUE"""),2575.977501)</f>
        <v>2575.977501</v>
      </c>
    </row>
    <row r="999">
      <c r="A999" s="3">
        <f>IFERROR(__xludf.DUMMYFUNCTION("""COMPUTED_VALUE"""),41342.99861111111)</f>
        <v>41342.99861</v>
      </c>
      <c r="B999" s="1">
        <f>IFERROR(__xludf.DUMMYFUNCTION("""COMPUTED_VALUE"""),2575.626551)</f>
        <v>2575.626551</v>
      </c>
    </row>
    <row r="1000">
      <c r="A1000" s="3">
        <f>IFERROR(__xludf.DUMMYFUNCTION("""COMPUTED_VALUE"""),41343.99861111111)</f>
        <v>41343.99861</v>
      </c>
      <c r="B1000" s="1">
        <f>IFERROR(__xludf.DUMMYFUNCTION("""COMPUTED_VALUE"""),2565.577708)</f>
        <v>2565.577708</v>
      </c>
    </row>
    <row r="1001">
      <c r="A1001" s="3">
        <f>IFERROR(__xludf.DUMMYFUNCTION("""COMPUTED_VALUE"""),41344.99861111111)</f>
        <v>41344.99861</v>
      </c>
      <c r="B1001" s="1">
        <f>IFERROR(__xludf.DUMMYFUNCTION("""COMPUTED_VALUE"""),2580.564229)</f>
        <v>2580.564229</v>
      </c>
    </row>
    <row r="1002">
      <c r="A1002" s="3">
        <f>IFERROR(__xludf.DUMMYFUNCTION("""COMPUTED_VALUE"""),41345.99861111111)</f>
        <v>41345.99861</v>
      </c>
      <c r="B1002" s="1">
        <f>IFERROR(__xludf.DUMMYFUNCTION("""COMPUTED_VALUE"""),2580.67953)</f>
        <v>2580.67953</v>
      </c>
    </row>
    <row r="1003">
      <c r="A1003" s="3">
        <f>IFERROR(__xludf.DUMMYFUNCTION("""COMPUTED_VALUE"""),41346.99861111111)</f>
        <v>41346.99861</v>
      </c>
      <c r="B1003" s="1">
        <f>IFERROR(__xludf.DUMMYFUNCTION("""COMPUTED_VALUE"""),2579.300021)</f>
        <v>2579.300021</v>
      </c>
    </row>
    <row r="1004">
      <c r="A1004" s="3">
        <f>IFERROR(__xludf.DUMMYFUNCTION("""COMPUTED_VALUE"""),41347.99861111111)</f>
        <v>41347.99861</v>
      </c>
      <c r="B1004" s="1">
        <f>IFERROR(__xludf.DUMMYFUNCTION("""COMPUTED_VALUE"""),2582.189923)</f>
        <v>2582.189923</v>
      </c>
    </row>
    <row r="1005">
      <c r="A1005" s="3">
        <f>IFERROR(__xludf.DUMMYFUNCTION("""COMPUTED_VALUE"""),41348.99861111111)</f>
        <v>41348.99861</v>
      </c>
      <c r="B1005" s="1">
        <f>IFERROR(__xludf.DUMMYFUNCTION("""COMPUTED_VALUE"""),2583.153174)</f>
        <v>2583.153174</v>
      </c>
    </row>
    <row r="1006">
      <c r="A1006" s="3">
        <f>IFERROR(__xludf.DUMMYFUNCTION("""COMPUTED_VALUE"""),41349.99861111111)</f>
        <v>41349.99861</v>
      </c>
      <c r="B1006" s="1">
        <f>IFERROR(__xludf.DUMMYFUNCTION("""COMPUTED_VALUE"""),2582.830572)</f>
        <v>2582.830572</v>
      </c>
    </row>
    <row r="1007">
      <c r="A1007" s="3">
        <f>IFERROR(__xludf.DUMMYFUNCTION("""COMPUTED_VALUE"""),41350.99861111111)</f>
        <v>41350.99861</v>
      </c>
      <c r="B1007" s="1">
        <f>IFERROR(__xludf.DUMMYFUNCTION("""COMPUTED_VALUE"""),2599.193286)</f>
        <v>2599.193286</v>
      </c>
    </row>
    <row r="1008">
      <c r="A1008" s="3">
        <f>IFERROR(__xludf.DUMMYFUNCTION("""COMPUTED_VALUE"""),41351.99861111111)</f>
        <v>41351.99861</v>
      </c>
      <c r="B1008" s="1">
        <f>IFERROR(__xludf.DUMMYFUNCTION("""COMPUTED_VALUE"""),2584.347614)</f>
        <v>2584.347614</v>
      </c>
    </row>
    <row r="1009">
      <c r="A1009" s="3">
        <f>IFERROR(__xludf.DUMMYFUNCTION("""COMPUTED_VALUE"""),41352.99861111111)</f>
        <v>41352.99861</v>
      </c>
      <c r="B1009" s="1">
        <f>IFERROR(__xludf.DUMMYFUNCTION("""COMPUTED_VALUE"""),2584.603401)</f>
        <v>2584.603401</v>
      </c>
    </row>
    <row r="1010">
      <c r="A1010" s="3">
        <f>IFERROR(__xludf.DUMMYFUNCTION("""COMPUTED_VALUE"""),41353.99861111111)</f>
        <v>41353.99861</v>
      </c>
      <c r="B1010" s="1">
        <f>IFERROR(__xludf.DUMMYFUNCTION("""COMPUTED_VALUE"""),2587.80187)</f>
        <v>2587.80187</v>
      </c>
    </row>
    <row r="1011">
      <c r="A1011" s="3">
        <f>IFERROR(__xludf.DUMMYFUNCTION("""COMPUTED_VALUE"""),41354.99861111111)</f>
        <v>41354.99861</v>
      </c>
      <c r="B1011" s="1">
        <f>IFERROR(__xludf.DUMMYFUNCTION("""COMPUTED_VALUE"""),2587.450945)</f>
        <v>2587.450945</v>
      </c>
    </row>
    <row r="1012">
      <c r="A1012" s="3">
        <f>IFERROR(__xludf.DUMMYFUNCTION("""COMPUTED_VALUE"""),41355.99861111111)</f>
        <v>41355.99861</v>
      </c>
      <c r="B1012" s="1">
        <f>IFERROR(__xludf.DUMMYFUNCTION("""COMPUTED_VALUE"""),2592.920797)</f>
        <v>2592.920797</v>
      </c>
    </row>
    <row r="1013">
      <c r="A1013" s="3">
        <f>IFERROR(__xludf.DUMMYFUNCTION("""COMPUTED_VALUE"""),41356.99861111111)</f>
        <v>41356.99861</v>
      </c>
      <c r="B1013" s="1">
        <f>IFERROR(__xludf.DUMMYFUNCTION("""COMPUTED_VALUE"""),2594.164513)</f>
        <v>2594.164513</v>
      </c>
    </row>
    <row r="1014">
      <c r="A1014" s="3">
        <f>IFERROR(__xludf.DUMMYFUNCTION("""COMPUTED_VALUE"""),41357.99861111111)</f>
        <v>41357.99861</v>
      </c>
      <c r="B1014" s="1">
        <f>IFERROR(__xludf.DUMMYFUNCTION("""COMPUTED_VALUE"""),2565.988544)</f>
        <v>2565.988544</v>
      </c>
    </row>
    <row r="1015">
      <c r="A1015" s="3">
        <f>IFERROR(__xludf.DUMMYFUNCTION("""COMPUTED_VALUE"""),41358.99861111111)</f>
        <v>41358.99861</v>
      </c>
      <c r="B1015" s="1">
        <f>IFERROR(__xludf.DUMMYFUNCTION("""COMPUTED_VALUE"""),2590.417644)</f>
        <v>2590.417644</v>
      </c>
    </row>
    <row r="1016">
      <c r="A1016" s="3">
        <f>IFERROR(__xludf.DUMMYFUNCTION("""COMPUTED_VALUE"""),41359.99861111111)</f>
        <v>41359.99861</v>
      </c>
      <c r="B1016" s="1">
        <f>IFERROR(__xludf.DUMMYFUNCTION("""COMPUTED_VALUE"""),2589.899611)</f>
        <v>2589.899611</v>
      </c>
    </row>
    <row r="1017">
      <c r="A1017" s="3">
        <f>IFERROR(__xludf.DUMMYFUNCTION("""COMPUTED_VALUE"""),41360.99861111111)</f>
        <v>41360.99861</v>
      </c>
      <c r="B1017" s="1">
        <f>IFERROR(__xludf.DUMMYFUNCTION("""COMPUTED_VALUE"""),2587.349872)</f>
        <v>2587.349872</v>
      </c>
    </row>
    <row r="1018">
      <c r="A1018" s="3">
        <f>IFERROR(__xludf.DUMMYFUNCTION("""COMPUTED_VALUE"""),41361.99861111111)</f>
        <v>41361.99861</v>
      </c>
      <c r="B1018" s="1">
        <f>IFERROR(__xludf.DUMMYFUNCTION("""COMPUTED_VALUE"""),2586.247368)</f>
        <v>2586.247368</v>
      </c>
    </row>
    <row r="1019">
      <c r="A1019" s="3">
        <f>IFERROR(__xludf.DUMMYFUNCTION("""COMPUTED_VALUE"""),41362.99861111111)</f>
        <v>41362.99861</v>
      </c>
      <c r="B1019" s="1">
        <f>IFERROR(__xludf.DUMMYFUNCTION("""COMPUTED_VALUE"""),2584.890503)</f>
        <v>2584.890503</v>
      </c>
    </row>
    <row r="1020">
      <c r="A1020" s="3">
        <f>IFERROR(__xludf.DUMMYFUNCTION("""COMPUTED_VALUE"""),41363.99861111111)</f>
        <v>41363.99861</v>
      </c>
      <c r="B1020" s="1">
        <f>IFERROR(__xludf.DUMMYFUNCTION("""COMPUTED_VALUE"""),2587.698142)</f>
        <v>2587.698142</v>
      </c>
    </row>
    <row r="1021">
      <c r="A1021" s="3">
        <f>IFERROR(__xludf.DUMMYFUNCTION("""COMPUTED_VALUE"""),41364.99861111111)</f>
        <v>41364.99861</v>
      </c>
      <c r="B1021" s="1">
        <f>IFERROR(__xludf.DUMMYFUNCTION("""COMPUTED_VALUE"""),2566.194058)</f>
        <v>2566.194058</v>
      </c>
    </row>
    <row r="1022">
      <c r="A1022" s="3">
        <f>IFERROR(__xludf.DUMMYFUNCTION("""COMPUTED_VALUE"""),41365.99861111111)</f>
        <v>41365.99861</v>
      </c>
      <c r="B1022" s="1">
        <f>IFERROR(__xludf.DUMMYFUNCTION("""COMPUTED_VALUE"""),2590.597528)</f>
        <v>2590.597528</v>
      </c>
    </row>
    <row r="1023">
      <c r="A1023" s="3">
        <f>IFERROR(__xludf.DUMMYFUNCTION("""COMPUTED_VALUE"""),41366.99861111111)</f>
        <v>41366.99861</v>
      </c>
      <c r="B1023" s="1">
        <f>IFERROR(__xludf.DUMMYFUNCTION("""COMPUTED_VALUE"""),2589.209475)</f>
        <v>2589.209475</v>
      </c>
    </row>
    <row r="1024">
      <c r="A1024" s="3">
        <f>IFERROR(__xludf.DUMMYFUNCTION("""COMPUTED_VALUE"""),41367.99861111111)</f>
        <v>41367.99861</v>
      </c>
      <c r="B1024" s="1">
        <f>IFERROR(__xludf.DUMMYFUNCTION("""COMPUTED_VALUE"""),2593.876762)</f>
        <v>2593.876762</v>
      </c>
    </row>
    <row r="1025">
      <c r="A1025" s="3">
        <f>IFERROR(__xludf.DUMMYFUNCTION("""COMPUTED_VALUE"""),41368.99861111111)</f>
        <v>41368.99861</v>
      </c>
      <c r="B1025" s="1">
        <f>IFERROR(__xludf.DUMMYFUNCTION("""COMPUTED_VALUE"""),2594.495726)</f>
        <v>2594.495726</v>
      </c>
    </row>
    <row r="1026">
      <c r="A1026" s="3">
        <f>IFERROR(__xludf.DUMMYFUNCTION("""COMPUTED_VALUE"""),41369.99861111111)</f>
        <v>41369.99861</v>
      </c>
      <c r="B1026" s="1">
        <f>IFERROR(__xludf.DUMMYFUNCTION("""COMPUTED_VALUE"""),2596.792588)</f>
        <v>2596.792588</v>
      </c>
    </row>
    <row r="1027">
      <c r="A1027" s="3">
        <f>IFERROR(__xludf.DUMMYFUNCTION("""COMPUTED_VALUE"""),41371.99861111111)</f>
        <v>41371.99861</v>
      </c>
      <c r="B1027" s="1">
        <f>IFERROR(__xludf.DUMMYFUNCTION("""COMPUTED_VALUE"""),2583.054519)</f>
        <v>2583.054519</v>
      </c>
    </row>
    <row r="1028">
      <c r="A1028" s="3">
        <f>IFERROR(__xludf.DUMMYFUNCTION("""COMPUTED_VALUE"""),41372.99861111111)</f>
        <v>41372.99861</v>
      </c>
      <c r="B1028" s="1">
        <f>IFERROR(__xludf.DUMMYFUNCTION("""COMPUTED_VALUE"""),2594.11777)</f>
        <v>2594.11777</v>
      </c>
    </row>
    <row r="1029">
      <c r="A1029" s="3">
        <f>IFERROR(__xludf.DUMMYFUNCTION("""COMPUTED_VALUE"""),41373.99861111111)</f>
        <v>41373.99861</v>
      </c>
      <c r="B1029" s="1">
        <f>IFERROR(__xludf.DUMMYFUNCTION("""COMPUTED_VALUE"""),2586.814281)</f>
        <v>2586.814281</v>
      </c>
    </row>
    <row r="1030">
      <c r="A1030" s="3">
        <f>IFERROR(__xludf.DUMMYFUNCTION("""COMPUTED_VALUE"""),41374.99861111111)</f>
        <v>41374.99861</v>
      </c>
      <c r="B1030" s="1">
        <f>IFERROR(__xludf.DUMMYFUNCTION("""COMPUTED_VALUE"""),2578.929079)</f>
        <v>2578.929079</v>
      </c>
    </row>
    <row r="1031">
      <c r="A1031" s="3">
        <f>IFERROR(__xludf.DUMMYFUNCTION("""COMPUTED_VALUE"""),41375.99861111111)</f>
        <v>41375.99861</v>
      </c>
      <c r="B1031" s="1">
        <f>IFERROR(__xludf.DUMMYFUNCTION("""COMPUTED_VALUE"""),2582.383479)</f>
        <v>2582.383479</v>
      </c>
    </row>
    <row r="1032">
      <c r="A1032" s="3">
        <f>IFERROR(__xludf.DUMMYFUNCTION("""COMPUTED_VALUE"""),41376.99861111111)</f>
        <v>41376.99861</v>
      </c>
      <c r="B1032" s="1">
        <f>IFERROR(__xludf.DUMMYFUNCTION("""COMPUTED_VALUE"""),2585.493459)</f>
        <v>2585.493459</v>
      </c>
    </row>
    <row r="1033">
      <c r="A1033" s="3">
        <f>IFERROR(__xludf.DUMMYFUNCTION("""COMPUTED_VALUE"""),41377.99861111111)</f>
        <v>41377.99861</v>
      </c>
      <c r="B1033" s="1">
        <f>IFERROR(__xludf.DUMMYFUNCTION("""COMPUTED_VALUE"""),2586.294335)</f>
        <v>2586.294335</v>
      </c>
    </row>
    <row r="1034">
      <c r="A1034" s="3">
        <f>IFERROR(__xludf.DUMMYFUNCTION("""COMPUTED_VALUE"""),41378.99861111111)</f>
        <v>41378.99861</v>
      </c>
      <c r="B1034" s="1">
        <f>IFERROR(__xludf.DUMMYFUNCTION("""COMPUTED_VALUE"""),2585.231011)</f>
        <v>2585.231011</v>
      </c>
    </row>
    <row r="1035">
      <c r="A1035" s="3">
        <f>IFERROR(__xludf.DUMMYFUNCTION("""COMPUTED_VALUE"""),41379.99861111111)</f>
        <v>41379.99861</v>
      </c>
      <c r="B1035" s="1">
        <f>IFERROR(__xludf.DUMMYFUNCTION("""COMPUTED_VALUE"""),2584.561152)</f>
        <v>2584.561152</v>
      </c>
    </row>
    <row r="1036">
      <c r="A1036" s="3">
        <f>IFERROR(__xludf.DUMMYFUNCTION("""COMPUTED_VALUE"""),41380.99861111111)</f>
        <v>41380.99861</v>
      </c>
      <c r="B1036" s="1">
        <f>IFERROR(__xludf.DUMMYFUNCTION("""COMPUTED_VALUE"""),2586.424987)</f>
        <v>2586.424987</v>
      </c>
    </row>
    <row r="1037">
      <c r="A1037" s="3">
        <f>IFERROR(__xludf.DUMMYFUNCTION("""COMPUTED_VALUE"""),41381.99861111111)</f>
        <v>41381.99861</v>
      </c>
      <c r="B1037" s="1">
        <f>IFERROR(__xludf.DUMMYFUNCTION("""COMPUTED_VALUE"""),2584.216251)</f>
        <v>2584.216251</v>
      </c>
    </row>
    <row r="1038">
      <c r="A1038" s="3">
        <f>IFERROR(__xludf.DUMMYFUNCTION("""COMPUTED_VALUE"""),41382.99861111111)</f>
        <v>41382.99861</v>
      </c>
      <c r="B1038" s="1">
        <f>IFERROR(__xludf.DUMMYFUNCTION("""COMPUTED_VALUE"""),2605.428795)</f>
        <v>2605.428795</v>
      </c>
    </row>
    <row r="1039">
      <c r="A1039" s="3">
        <f>IFERROR(__xludf.DUMMYFUNCTION("""COMPUTED_VALUE"""),41383.99861111111)</f>
        <v>41383.99861</v>
      </c>
      <c r="B1039" s="1">
        <f>IFERROR(__xludf.DUMMYFUNCTION("""COMPUTED_VALUE"""),2583.29998)</f>
        <v>2583.29998</v>
      </c>
    </row>
    <row r="1040">
      <c r="A1040" s="3">
        <f>IFERROR(__xludf.DUMMYFUNCTION("""COMPUTED_VALUE"""),41385.99861111111)</f>
        <v>41385.99861</v>
      </c>
      <c r="B1040" s="1">
        <f>IFERROR(__xludf.DUMMYFUNCTION("""COMPUTED_VALUE"""),2586.294335)</f>
        <v>2586.294335</v>
      </c>
    </row>
    <row r="1041">
      <c r="A1041" s="3">
        <f>IFERROR(__xludf.DUMMYFUNCTION("""COMPUTED_VALUE"""),41386.99861111111)</f>
        <v>41386.99861</v>
      </c>
      <c r="B1041" s="1">
        <f>IFERROR(__xludf.DUMMYFUNCTION("""COMPUTED_VALUE"""),2586.211461)</f>
        <v>2586.211461</v>
      </c>
    </row>
    <row r="1042">
      <c r="A1042" s="3">
        <f>IFERROR(__xludf.DUMMYFUNCTION("""COMPUTED_VALUE"""),41387.99861111111)</f>
        <v>41387.99861</v>
      </c>
      <c r="B1042" s="1">
        <f>IFERROR(__xludf.DUMMYFUNCTION("""COMPUTED_VALUE"""),2587.806561)</f>
        <v>2587.806561</v>
      </c>
    </row>
    <row r="1043">
      <c r="A1043" s="3">
        <f>IFERROR(__xludf.DUMMYFUNCTION("""COMPUTED_VALUE"""),41388.99861111111)</f>
        <v>41388.99861</v>
      </c>
      <c r="B1043" s="1">
        <f>IFERROR(__xludf.DUMMYFUNCTION("""COMPUTED_VALUE"""),2585.679509)</f>
        <v>2585.679509</v>
      </c>
    </row>
    <row r="1044">
      <c r="A1044" s="3">
        <f>IFERROR(__xludf.DUMMYFUNCTION("""COMPUTED_VALUE"""),41389.99861111111)</f>
        <v>41389.99861</v>
      </c>
      <c r="B1044" s="1">
        <f>IFERROR(__xludf.DUMMYFUNCTION("""COMPUTED_VALUE"""),2586.333833)</f>
        <v>2586.333833</v>
      </c>
    </row>
    <row r="1045">
      <c r="A1045" s="3">
        <f>IFERROR(__xludf.DUMMYFUNCTION("""COMPUTED_VALUE"""),41390.99861111111)</f>
        <v>41390.99861</v>
      </c>
      <c r="B1045" s="1">
        <f>IFERROR(__xludf.DUMMYFUNCTION("""COMPUTED_VALUE"""),2588.706436)</f>
        <v>2588.706436</v>
      </c>
    </row>
    <row r="1046">
      <c r="A1046" s="3">
        <f>IFERROR(__xludf.DUMMYFUNCTION("""COMPUTED_VALUE"""),41391.99861111111)</f>
        <v>41391.99861</v>
      </c>
      <c r="B1046" s="1">
        <f>IFERROR(__xludf.DUMMYFUNCTION("""COMPUTED_VALUE"""),2587.691886)</f>
        <v>2587.691886</v>
      </c>
    </row>
    <row r="1047">
      <c r="A1047" s="3">
        <f>IFERROR(__xludf.DUMMYFUNCTION("""COMPUTED_VALUE"""),41392.99861111111)</f>
        <v>41392.99861</v>
      </c>
      <c r="B1047" s="1">
        <f>IFERROR(__xludf.DUMMYFUNCTION("""COMPUTED_VALUE"""),2566.399668)</f>
        <v>2566.399668</v>
      </c>
    </row>
    <row r="1048">
      <c r="A1048" s="3">
        <f>IFERROR(__xludf.DUMMYFUNCTION("""COMPUTED_VALUE"""),41393.99861111111)</f>
        <v>41393.99861</v>
      </c>
      <c r="B1048" s="1">
        <f>IFERROR(__xludf.DUMMYFUNCTION("""COMPUTED_VALUE"""),2586.925692)</f>
        <v>2586.925692</v>
      </c>
    </row>
    <row r="1049">
      <c r="A1049" s="3">
        <f>IFERROR(__xludf.DUMMYFUNCTION("""COMPUTED_VALUE"""),41394.99861111111)</f>
        <v>41394.99861</v>
      </c>
      <c r="B1049" s="1">
        <f>IFERROR(__xludf.DUMMYFUNCTION("""COMPUTED_VALUE"""),2587.454879)</f>
        <v>2587.454879</v>
      </c>
    </row>
    <row r="1050">
      <c r="A1050" s="3">
        <f>IFERROR(__xludf.DUMMYFUNCTION("""COMPUTED_VALUE"""),41395.99861111111)</f>
        <v>41395.99861</v>
      </c>
      <c r="B1050" s="1">
        <f>IFERROR(__xludf.DUMMYFUNCTION("""COMPUTED_VALUE"""),2587.332477)</f>
        <v>2587.332477</v>
      </c>
    </row>
    <row r="1051">
      <c r="A1051" s="3">
        <f>IFERROR(__xludf.DUMMYFUNCTION("""COMPUTED_VALUE"""),41396.99861111111)</f>
        <v>41396.99861</v>
      </c>
      <c r="B1051" s="1">
        <f>IFERROR(__xludf.DUMMYFUNCTION("""COMPUTED_VALUE"""),2591.522943)</f>
        <v>2591.522943</v>
      </c>
    </row>
    <row r="1052">
      <c r="A1052" s="3">
        <f>IFERROR(__xludf.DUMMYFUNCTION("""COMPUTED_VALUE"""),41397.99861111111)</f>
        <v>41397.99861</v>
      </c>
      <c r="B1052" s="1">
        <f>IFERROR(__xludf.DUMMYFUNCTION("""COMPUTED_VALUE"""),2590.688157)</f>
        <v>2590.688157</v>
      </c>
    </row>
    <row r="1053">
      <c r="A1053" s="3">
        <f>IFERROR(__xludf.DUMMYFUNCTION("""COMPUTED_VALUE"""),41398.99861111111)</f>
        <v>41398.99861</v>
      </c>
      <c r="B1053" s="1">
        <f>IFERROR(__xludf.DUMMYFUNCTION("""COMPUTED_VALUE"""),2592.028958)</f>
        <v>2592.028958</v>
      </c>
    </row>
    <row r="1054">
      <c r="A1054" s="3">
        <f>IFERROR(__xludf.DUMMYFUNCTION("""COMPUTED_VALUE"""),41399.99861111111)</f>
        <v>41399.99861</v>
      </c>
      <c r="B1054" s="1">
        <f>IFERROR(__xludf.DUMMYFUNCTION("""COMPUTED_VALUE"""),2563.251591)</f>
        <v>2563.251591</v>
      </c>
    </row>
    <row r="1055">
      <c r="A1055" s="3">
        <f>IFERROR(__xludf.DUMMYFUNCTION("""COMPUTED_VALUE"""),41400.99861111111)</f>
        <v>41400.99861</v>
      </c>
      <c r="B1055" s="1">
        <f>IFERROR(__xludf.DUMMYFUNCTION("""COMPUTED_VALUE"""),2590.620303)</f>
        <v>2590.620303</v>
      </c>
    </row>
    <row r="1056">
      <c r="A1056" s="3">
        <f>IFERROR(__xludf.DUMMYFUNCTION("""COMPUTED_VALUE"""),41401.99861111111)</f>
        <v>41401.99861</v>
      </c>
      <c r="B1056" s="1">
        <f>IFERROR(__xludf.DUMMYFUNCTION("""COMPUTED_VALUE"""),2588.86755)</f>
        <v>2588.86755</v>
      </c>
    </row>
    <row r="1057">
      <c r="A1057" s="3">
        <f>IFERROR(__xludf.DUMMYFUNCTION("""COMPUTED_VALUE"""),41402.99861111111)</f>
        <v>41402.99861</v>
      </c>
      <c r="B1057" s="1">
        <f>IFERROR(__xludf.DUMMYFUNCTION("""COMPUTED_VALUE"""),2588.13794)</f>
        <v>2588.13794</v>
      </c>
    </row>
    <row r="1058">
      <c r="A1058" s="3">
        <f>IFERROR(__xludf.DUMMYFUNCTION("""COMPUTED_VALUE"""),41403.99861111111)</f>
        <v>41403.99861</v>
      </c>
      <c r="B1058" s="1">
        <f>IFERROR(__xludf.DUMMYFUNCTION("""COMPUTED_VALUE"""),2589.392457)</f>
        <v>2589.392457</v>
      </c>
    </row>
    <row r="1059">
      <c r="A1059" s="3">
        <f>IFERROR(__xludf.DUMMYFUNCTION("""COMPUTED_VALUE"""),41404.99861111111)</f>
        <v>41404.99861</v>
      </c>
      <c r="B1059" s="1">
        <f>IFERROR(__xludf.DUMMYFUNCTION("""COMPUTED_VALUE"""),2591.692886)</f>
        <v>2591.692886</v>
      </c>
    </row>
    <row r="1060">
      <c r="A1060" s="3">
        <f>IFERROR(__xludf.DUMMYFUNCTION("""COMPUTED_VALUE"""),41405.99861111111)</f>
        <v>41405.99861</v>
      </c>
      <c r="B1060" s="1">
        <f>IFERROR(__xludf.DUMMYFUNCTION("""COMPUTED_VALUE"""),2590.102649)</f>
        <v>2590.102649</v>
      </c>
    </row>
    <row r="1061">
      <c r="A1061" s="3">
        <f>IFERROR(__xludf.DUMMYFUNCTION("""COMPUTED_VALUE"""),41407.99861111111)</f>
        <v>41407.99861</v>
      </c>
      <c r="B1061" s="1">
        <f>IFERROR(__xludf.DUMMYFUNCTION("""COMPUTED_VALUE"""),2591.501148)</f>
        <v>2591.501148</v>
      </c>
    </row>
    <row r="1062">
      <c r="A1062" s="3">
        <f>IFERROR(__xludf.DUMMYFUNCTION("""COMPUTED_VALUE"""),41408.99861111111)</f>
        <v>41408.99861</v>
      </c>
      <c r="B1062" s="1">
        <f>IFERROR(__xludf.DUMMYFUNCTION("""COMPUTED_VALUE"""),2591.249959)</f>
        <v>2591.249959</v>
      </c>
    </row>
    <row r="1063">
      <c r="A1063" s="3">
        <f>IFERROR(__xludf.DUMMYFUNCTION("""COMPUTED_VALUE"""),41409.99861111111)</f>
        <v>41409.99861</v>
      </c>
      <c r="B1063" s="1">
        <f>IFERROR(__xludf.DUMMYFUNCTION("""COMPUTED_VALUE"""),2594.148708)</f>
        <v>2594.148708</v>
      </c>
    </row>
    <row r="1064">
      <c r="A1064" s="3">
        <f>IFERROR(__xludf.DUMMYFUNCTION("""COMPUTED_VALUE"""),41410.99861111111)</f>
        <v>41410.99861</v>
      </c>
      <c r="B1064" s="1">
        <f>IFERROR(__xludf.DUMMYFUNCTION("""COMPUTED_VALUE"""),2592.362385)</f>
        <v>2592.362385</v>
      </c>
    </row>
    <row r="1065">
      <c r="A1065" s="3">
        <f>IFERROR(__xludf.DUMMYFUNCTION("""COMPUTED_VALUE"""),41411.99861111111)</f>
        <v>41411.99861</v>
      </c>
      <c r="B1065" s="1">
        <f>IFERROR(__xludf.DUMMYFUNCTION("""COMPUTED_VALUE"""),2595.140928)</f>
        <v>2595.140928</v>
      </c>
    </row>
    <row r="1066">
      <c r="A1066" s="3">
        <f>IFERROR(__xludf.DUMMYFUNCTION("""COMPUTED_VALUE"""),41412.99861111111)</f>
        <v>41412.99861</v>
      </c>
      <c r="B1066" s="1">
        <f>IFERROR(__xludf.DUMMYFUNCTION("""COMPUTED_VALUE"""),2595.140928)</f>
        <v>2595.140928</v>
      </c>
    </row>
    <row r="1067">
      <c r="A1067" s="3">
        <f>IFERROR(__xludf.DUMMYFUNCTION("""COMPUTED_VALUE"""),41413.99861111111)</f>
        <v>41413.99861</v>
      </c>
      <c r="B1067" s="1">
        <f>IFERROR(__xludf.DUMMYFUNCTION("""COMPUTED_VALUE"""),2595.140928)</f>
        <v>2595.140928</v>
      </c>
    </row>
    <row r="1068">
      <c r="A1068" s="3">
        <f>IFERROR(__xludf.DUMMYFUNCTION("""COMPUTED_VALUE"""),41414.99861111111)</f>
        <v>41414.99861</v>
      </c>
      <c r="B1068" s="1">
        <f>IFERROR(__xludf.DUMMYFUNCTION("""COMPUTED_VALUE"""),2596.919683)</f>
        <v>2596.919683</v>
      </c>
    </row>
    <row r="1069">
      <c r="A1069" s="3">
        <f>IFERROR(__xludf.DUMMYFUNCTION("""COMPUTED_VALUE"""),41415.99861111111)</f>
        <v>41415.99861</v>
      </c>
      <c r="B1069" s="1">
        <f>IFERROR(__xludf.DUMMYFUNCTION("""COMPUTED_VALUE"""),2598.184894)</f>
        <v>2598.184894</v>
      </c>
    </row>
    <row r="1070">
      <c r="A1070" s="3">
        <f>IFERROR(__xludf.DUMMYFUNCTION("""COMPUTED_VALUE"""),41416.99861111111)</f>
        <v>41416.99861</v>
      </c>
      <c r="B1070" s="1">
        <f>IFERROR(__xludf.DUMMYFUNCTION("""COMPUTED_VALUE"""),2598.841528)</f>
        <v>2598.841528</v>
      </c>
    </row>
    <row r="1071">
      <c r="A1071" s="3">
        <f>IFERROR(__xludf.DUMMYFUNCTION("""COMPUTED_VALUE"""),41417.99861111111)</f>
        <v>41417.99861</v>
      </c>
      <c r="B1071" s="1">
        <f>IFERROR(__xludf.DUMMYFUNCTION("""COMPUTED_VALUE"""),2600.523142)</f>
        <v>2600.523142</v>
      </c>
    </row>
    <row r="1072">
      <c r="A1072" s="3">
        <f>IFERROR(__xludf.DUMMYFUNCTION("""COMPUTED_VALUE"""),41418.99861111111)</f>
        <v>41418.99861</v>
      </c>
      <c r="B1072" s="1">
        <f>IFERROR(__xludf.DUMMYFUNCTION("""COMPUTED_VALUE"""),2599.674624)</f>
        <v>2599.674624</v>
      </c>
    </row>
    <row r="1073">
      <c r="A1073" s="3">
        <f>IFERROR(__xludf.DUMMYFUNCTION("""COMPUTED_VALUE"""),41419.99861111111)</f>
        <v>41419.99861</v>
      </c>
      <c r="B1073" s="1">
        <f>IFERROR(__xludf.DUMMYFUNCTION("""COMPUTED_VALUE"""),2600.619131)</f>
        <v>2600.619131</v>
      </c>
    </row>
    <row r="1074">
      <c r="A1074" s="3">
        <f>IFERROR(__xludf.DUMMYFUNCTION("""COMPUTED_VALUE"""),41421.99861111111)</f>
        <v>41421.99861</v>
      </c>
      <c r="B1074" s="1">
        <f>IFERROR(__xludf.DUMMYFUNCTION("""COMPUTED_VALUE"""),2605.493537)</f>
        <v>2605.493537</v>
      </c>
    </row>
    <row r="1075">
      <c r="A1075" s="3">
        <f>IFERROR(__xludf.DUMMYFUNCTION("""COMPUTED_VALUE"""),41422.99861111111)</f>
        <v>41422.99861</v>
      </c>
      <c r="B1075" s="1">
        <f>IFERROR(__xludf.DUMMYFUNCTION("""COMPUTED_VALUE"""),2606.128524)</f>
        <v>2606.128524</v>
      </c>
    </row>
    <row r="1076">
      <c r="A1076" s="3">
        <f>IFERROR(__xludf.DUMMYFUNCTION("""COMPUTED_VALUE"""),41423.99861111111)</f>
        <v>41423.99861</v>
      </c>
      <c r="B1076" s="1">
        <f>IFERROR(__xludf.DUMMYFUNCTION("""COMPUTED_VALUE"""),2608.723477)</f>
        <v>2608.723477</v>
      </c>
    </row>
    <row r="1077">
      <c r="A1077" s="3">
        <f>IFERROR(__xludf.DUMMYFUNCTION("""COMPUTED_VALUE"""),41424.99861111111)</f>
        <v>41424.99861</v>
      </c>
      <c r="B1077" s="1">
        <f>IFERROR(__xludf.DUMMYFUNCTION("""COMPUTED_VALUE"""),2609.44874)</f>
        <v>2609.44874</v>
      </c>
    </row>
    <row r="1078">
      <c r="A1078" s="3">
        <f>IFERROR(__xludf.DUMMYFUNCTION("""COMPUTED_VALUE"""),41425.99861111111)</f>
        <v>41425.99861</v>
      </c>
      <c r="B1078" s="1">
        <f>IFERROR(__xludf.DUMMYFUNCTION("""COMPUTED_VALUE"""),2605.54176)</f>
        <v>2605.54176</v>
      </c>
    </row>
    <row r="1079">
      <c r="A1079" s="3">
        <f>IFERROR(__xludf.DUMMYFUNCTION("""COMPUTED_VALUE"""),41426.99861111111)</f>
        <v>41426.99861</v>
      </c>
      <c r="B1079" s="1">
        <f>IFERROR(__xludf.DUMMYFUNCTION("""COMPUTED_VALUE"""),2619.515134)</f>
        <v>2619.515134</v>
      </c>
    </row>
    <row r="1080">
      <c r="A1080" s="3">
        <f>IFERROR(__xludf.DUMMYFUNCTION("""COMPUTED_VALUE"""),41427.99861111111)</f>
        <v>41427.99861</v>
      </c>
      <c r="B1080" s="1">
        <f>IFERROR(__xludf.DUMMYFUNCTION("""COMPUTED_VALUE"""),2604.576475)</f>
        <v>2604.576475</v>
      </c>
    </row>
    <row r="1081">
      <c r="A1081" s="3">
        <f>IFERROR(__xludf.DUMMYFUNCTION("""COMPUTED_VALUE"""),41428.99861111111)</f>
        <v>41428.99861</v>
      </c>
      <c r="B1081" s="1">
        <f>IFERROR(__xludf.DUMMYFUNCTION("""COMPUTED_VALUE"""),2609.491752)</f>
        <v>2609.491752</v>
      </c>
    </row>
    <row r="1082">
      <c r="A1082" s="3">
        <f>IFERROR(__xludf.DUMMYFUNCTION("""COMPUTED_VALUE"""),41429.99861111111)</f>
        <v>41429.99861</v>
      </c>
      <c r="B1082" s="1">
        <f>IFERROR(__xludf.DUMMYFUNCTION("""COMPUTED_VALUE"""),2608.162909)</f>
        <v>2608.162909</v>
      </c>
    </row>
    <row r="1083">
      <c r="A1083" s="3">
        <f>IFERROR(__xludf.DUMMYFUNCTION("""COMPUTED_VALUE"""),41430.99861111111)</f>
        <v>41430.99861</v>
      </c>
      <c r="B1083" s="1">
        <f>IFERROR(__xludf.DUMMYFUNCTION("""COMPUTED_VALUE"""),2606.069465)</f>
        <v>2606.069465</v>
      </c>
    </row>
    <row r="1084">
      <c r="A1084" s="3">
        <f>IFERROR(__xludf.DUMMYFUNCTION("""COMPUTED_VALUE"""),41431.99861111111)</f>
        <v>41431.99861</v>
      </c>
      <c r="B1084" s="1">
        <f>IFERROR(__xludf.DUMMYFUNCTION("""COMPUTED_VALUE"""),2603.776022)</f>
        <v>2603.776022</v>
      </c>
    </row>
    <row r="1085">
      <c r="A1085" s="3">
        <f>IFERROR(__xludf.DUMMYFUNCTION("""COMPUTED_VALUE"""),41432.99861111111)</f>
        <v>41432.99861</v>
      </c>
      <c r="B1085" s="1">
        <f>IFERROR(__xludf.DUMMYFUNCTION("""COMPUTED_VALUE"""),2608.278175)</f>
        <v>2608.278175</v>
      </c>
    </row>
    <row r="1086">
      <c r="A1086" s="3">
        <f>IFERROR(__xludf.DUMMYFUNCTION("""COMPUTED_VALUE"""),41433.99861111111)</f>
        <v>41433.99861</v>
      </c>
      <c r="B1086" s="1">
        <f>IFERROR(__xludf.DUMMYFUNCTION("""COMPUTED_VALUE"""),2653.741108)</f>
        <v>2653.741108</v>
      </c>
    </row>
    <row r="1087">
      <c r="A1087" s="3">
        <f>IFERROR(__xludf.DUMMYFUNCTION("""COMPUTED_VALUE"""),41434.99861111111)</f>
        <v>41434.99861</v>
      </c>
      <c r="B1087" s="1">
        <f>IFERROR(__xludf.DUMMYFUNCTION("""COMPUTED_VALUE"""),2608.278175)</f>
        <v>2608.278175</v>
      </c>
    </row>
    <row r="1088">
      <c r="A1088" s="3">
        <f>IFERROR(__xludf.DUMMYFUNCTION("""COMPUTED_VALUE"""),41435.99861111111)</f>
        <v>41435.99861</v>
      </c>
      <c r="B1088" s="1">
        <f>IFERROR(__xludf.DUMMYFUNCTION("""COMPUTED_VALUE"""),2611.418047)</f>
        <v>2611.418047</v>
      </c>
    </row>
    <row r="1089">
      <c r="A1089" s="3">
        <f>IFERROR(__xludf.DUMMYFUNCTION("""COMPUTED_VALUE"""),41436.99861111111)</f>
        <v>41436.99861</v>
      </c>
      <c r="B1089" s="1">
        <f>IFERROR(__xludf.DUMMYFUNCTION("""COMPUTED_VALUE"""),2614.914457)</f>
        <v>2614.914457</v>
      </c>
    </row>
    <row r="1090">
      <c r="A1090" s="3">
        <f>IFERROR(__xludf.DUMMYFUNCTION("""COMPUTED_VALUE"""),41437.99861111111)</f>
        <v>41437.99861</v>
      </c>
      <c r="B1090" s="1">
        <f>IFERROR(__xludf.DUMMYFUNCTION("""COMPUTED_VALUE"""),2624.339301)</f>
        <v>2624.339301</v>
      </c>
    </row>
    <row r="1091">
      <c r="A1091" s="3">
        <f>IFERROR(__xludf.DUMMYFUNCTION("""COMPUTED_VALUE"""),41438.99861111111)</f>
        <v>41438.99861</v>
      </c>
      <c r="B1091" s="1">
        <f>IFERROR(__xludf.DUMMYFUNCTION("""COMPUTED_VALUE"""),2630.321554)</f>
        <v>2630.321554</v>
      </c>
    </row>
    <row r="1092">
      <c r="A1092" s="3">
        <f>IFERROR(__xludf.DUMMYFUNCTION("""COMPUTED_VALUE"""),41439.99861111111)</f>
        <v>41439.99861</v>
      </c>
      <c r="B1092" s="1">
        <f>IFERROR(__xludf.DUMMYFUNCTION("""COMPUTED_VALUE"""),2626.413443)</f>
        <v>2626.413443</v>
      </c>
    </row>
    <row r="1093">
      <c r="A1093" s="3">
        <f>IFERROR(__xludf.DUMMYFUNCTION("""COMPUTED_VALUE"""),41440.99861111111)</f>
        <v>41440.99861</v>
      </c>
      <c r="B1093" s="1">
        <f>IFERROR(__xludf.DUMMYFUNCTION("""COMPUTED_VALUE"""),2645.585665)</f>
        <v>2645.585665</v>
      </c>
    </row>
    <row r="1094">
      <c r="A1094" s="3">
        <f>IFERROR(__xludf.DUMMYFUNCTION("""COMPUTED_VALUE"""),41441.99861111111)</f>
        <v>41441.99861</v>
      </c>
      <c r="B1094" s="1">
        <f>IFERROR(__xludf.DUMMYFUNCTION("""COMPUTED_VALUE"""),2563.59341)</f>
        <v>2563.59341</v>
      </c>
    </row>
    <row r="1095">
      <c r="A1095" s="3">
        <f>IFERROR(__xludf.DUMMYFUNCTION("""COMPUTED_VALUE"""),41442.99861111111)</f>
        <v>41442.99861</v>
      </c>
      <c r="B1095" s="1">
        <f>IFERROR(__xludf.DUMMYFUNCTION("""COMPUTED_VALUE"""),2631.605572)</f>
        <v>2631.605572</v>
      </c>
    </row>
    <row r="1096">
      <c r="A1096" s="3">
        <f>IFERROR(__xludf.DUMMYFUNCTION("""COMPUTED_VALUE"""),41443.99861111111)</f>
        <v>41443.99861</v>
      </c>
      <c r="B1096" s="1">
        <f>IFERROR(__xludf.DUMMYFUNCTION("""COMPUTED_VALUE"""),2636.662042)</f>
        <v>2636.662042</v>
      </c>
    </row>
    <row r="1097">
      <c r="A1097" s="3">
        <f>IFERROR(__xludf.DUMMYFUNCTION("""COMPUTED_VALUE"""),41444.99861111111)</f>
        <v>41444.99861</v>
      </c>
      <c r="B1097" s="1">
        <f>IFERROR(__xludf.DUMMYFUNCTION("""COMPUTED_VALUE"""),2637.322082)</f>
        <v>2637.322082</v>
      </c>
    </row>
    <row r="1098">
      <c r="A1098" s="3">
        <f>IFERROR(__xludf.DUMMYFUNCTION("""COMPUTED_VALUE"""),41445.99861111111)</f>
        <v>41445.99861</v>
      </c>
      <c r="B1098" s="1">
        <f>IFERROR(__xludf.DUMMYFUNCTION("""COMPUTED_VALUE"""),2641.77224)</f>
        <v>2641.77224</v>
      </c>
    </row>
    <row r="1099">
      <c r="A1099" s="3">
        <f>IFERROR(__xludf.DUMMYFUNCTION("""COMPUTED_VALUE"""),41446.99861111111)</f>
        <v>41446.99861</v>
      </c>
      <c r="B1099" s="1">
        <f>IFERROR(__xludf.DUMMYFUNCTION("""COMPUTED_VALUE"""),2645.262736)</f>
        <v>2645.262736</v>
      </c>
    </row>
    <row r="1100">
      <c r="A1100" s="3">
        <f>IFERROR(__xludf.DUMMYFUNCTION("""COMPUTED_VALUE"""),41447.99861111111)</f>
        <v>41447.99861</v>
      </c>
      <c r="B1100" s="1">
        <f>IFERROR(__xludf.DUMMYFUNCTION("""COMPUTED_VALUE"""),2642.048752)</f>
        <v>2642.048752</v>
      </c>
    </row>
    <row r="1101">
      <c r="A1101" s="3">
        <f>IFERROR(__xludf.DUMMYFUNCTION("""COMPUTED_VALUE"""),41448.99861111111)</f>
        <v>41448.99861</v>
      </c>
      <c r="B1101" s="1">
        <f>IFERROR(__xludf.DUMMYFUNCTION("""COMPUTED_VALUE"""),2563.456624)</f>
        <v>2563.456624</v>
      </c>
    </row>
    <row r="1102">
      <c r="A1102" s="3">
        <f>IFERROR(__xludf.DUMMYFUNCTION("""COMPUTED_VALUE"""),41449.99861111111)</f>
        <v>41449.99861</v>
      </c>
      <c r="B1102" s="1">
        <f>IFERROR(__xludf.DUMMYFUNCTION("""COMPUTED_VALUE"""),2642.664568)</f>
        <v>2642.664568</v>
      </c>
    </row>
    <row r="1103">
      <c r="A1103" s="3">
        <f>IFERROR(__xludf.DUMMYFUNCTION("""COMPUTED_VALUE"""),41450.99861111111)</f>
        <v>41450.99861</v>
      </c>
      <c r="B1103" s="1">
        <f>IFERROR(__xludf.DUMMYFUNCTION("""COMPUTED_VALUE"""),2640.119503)</f>
        <v>2640.119503</v>
      </c>
    </row>
    <row r="1104">
      <c r="A1104" s="3">
        <f>IFERROR(__xludf.DUMMYFUNCTION("""COMPUTED_VALUE"""),41451.99861111111)</f>
        <v>41451.99861</v>
      </c>
      <c r="B1104" s="1">
        <f>IFERROR(__xludf.DUMMYFUNCTION("""COMPUTED_VALUE"""),2641.063244)</f>
        <v>2641.063244</v>
      </c>
    </row>
    <row r="1105">
      <c r="A1105" s="3">
        <f>IFERROR(__xludf.DUMMYFUNCTION("""COMPUTED_VALUE"""),41452.99861111111)</f>
        <v>41452.99861</v>
      </c>
      <c r="B1105" s="1">
        <f>IFERROR(__xludf.DUMMYFUNCTION("""COMPUTED_VALUE"""),2641.648389)</f>
        <v>2641.648389</v>
      </c>
    </row>
    <row r="1106">
      <c r="A1106" s="3">
        <f>IFERROR(__xludf.DUMMYFUNCTION("""COMPUTED_VALUE"""),41453.99861111111)</f>
        <v>41453.99861</v>
      </c>
      <c r="B1106" s="1">
        <f>IFERROR(__xludf.DUMMYFUNCTION("""COMPUTED_VALUE"""),2640.140712)</f>
        <v>2640.140712</v>
      </c>
    </row>
    <row r="1107">
      <c r="A1107" s="3">
        <f>IFERROR(__xludf.DUMMYFUNCTION("""COMPUTED_VALUE"""),41454.99861111111)</f>
        <v>41454.99861</v>
      </c>
      <c r="B1107" s="1">
        <f>IFERROR(__xludf.DUMMYFUNCTION("""COMPUTED_VALUE"""),2642.536809)</f>
        <v>2642.536809</v>
      </c>
    </row>
    <row r="1108">
      <c r="A1108" s="3">
        <f>IFERROR(__xludf.DUMMYFUNCTION("""COMPUTED_VALUE"""),41455.99861111111)</f>
        <v>41455.99861</v>
      </c>
      <c r="B1108" s="1">
        <f>IFERROR(__xludf.DUMMYFUNCTION("""COMPUTED_VALUE"""),2565.783126)</f>
        <v>2565.783126</v>
      </c>
    </row>
    <row r="1109">
      <c r="A1109" s="3">
        <f>IFERROR(__xludf.DUMMYFUNCTION("""COMPUTED_VALUE"""),41456.99861111111)</f>
        <v>41456.99861</v>
      </c>
      <c r="B1109" s="1">
        <f>IFERROR(__xludf.DUMMYFUNCTION("""COMPUTED_VALUE"""),2642.126822)</f>
        <v>2642.126822</v>
      </c>
    </row>
    <row r="1110">
      <c r="A1110" s="3">
        <f>IFERROR(__xludf.DUMMYFUNCTION("""COMPUTED_VALUE"""),41457.99861111111)</f>
        <v>41457.99861</v>
      </c>
      <c r="B1110" s="1">
        <f>IFERROR(__xludf.DUMMYFUNCTION("""COMPUTED_VALUE"""),2643.76276)</f>
        <v>2643.76276</v>
      </c>
    </row>
    <row r="1111">
      <c r="A1111" s="3">
        <f>IFERROR(__xludf.DUMMYFUNCTION("""COMPUTED_VALUE"""),41458.99861111111)</f>
        <v>41458.99861</v>
      </c>
      <c r="B1111" s="1">
        <f>IFERROR(__xludf.DUMMYFUNCTION("""COMPUTED_VALUE"""),2645.32222)</f>
        <v>2645.32222</v>
      </c>
    </row>
    <row r="1112">
      <c r="A1112" s="3">
        <f>IFERROR(__xludf.DUMMYFUNCTION("""COMPUTED_VALUE"""),41459.99861111111)</f>
        <v>41459.99861</v>
      </c>
      <c r="B1112" s="1">
        <f>IFERROR(__xludf.DUMMYFUNCTION("""COMPUTED_VALUE"""),2645.614192)</f>
        <v>2645.614192</v>
      </c>
    </row>
    <row r="1113">
      <c r="A1113" s="3">
        <f>IFERROR(__xludf.DUMMYFUNCTION("""COMPUTED_VALUE"""),41460.99861111111)</f>
        <v>41460.99861</v>
      </c>
      <c r="B1113" s="1">
        <f>IFERROR(__xludf.DUMMYFUNCTION("""COMPUTED_VALUE"""),2644.940967)</f>
        <v>2644.940967</v>
      </c>
    </row>
    <row r="1114">
      <c r="A1114" s="3">
        <f>IFERROR(__xludf.DUMMYFUNCTION("""COMPUTED_VALUE"""),41461.99861111111)</f>
        <v>41461.99861</v>
      </c>
      <c r="B1114" s="1">
        <f>IFERROR(__xludf.DUMMYFUNCTION("""COMPUTED_VALUE"""),2644.940967)</f>
        <v>2644.940967</v>
      </c>
    </row>
    <row r="1115">
      <c r="A1115" s="3">
        <f>IFERROR(__xludf.DUMMYFUNCTION("""COMPUTED_VALUE"""),41462.99861111111)</f>
        <v>41462.99861</v>
      </c>
      <c r="B1115" s="1">
        <f>IFERROR(__xludf.DUMMYFUNCTION("""COMPUTED_VALUE"""),2644.940967)</f>
        <v>2644.940967</v>
      </c>
    </row>
    <row r="1116">
      <c r="A1116" s="3">
        <f>IFERROR(__xludf.DUMMYFUNCTION("""COMPUTED_VALUE"""),41463.99861111111)</f>
        <v>41463.99861</v>
      </c>
      <c r="B1116" s="1">
        <f>IFERROR(__xludf.DUMMYFUNCTION("""COMPUTED_VALUE"""),2649.407429)</f>
        <v>2649.407429</v>
      </c>
    </row>
    <row r="1117">
      <c r="A1117" s="3">
        <f>IFERROR(__xludf.DUMMYFUNCTION("""COMPUTED_VALUE"""),41464.99861111111)</f>
        <v>41464.99861</v>
      </c>
      <c r="B1117" s="1">
        <f>IFERROR(__xludf.DUMMYFUNCTION("""COMPUTED_VALUE"""),2650.365674)</f>
        <v>2650.365674</v>
      </c>
    </row>
    <row r="1118">
      <c r="A1118" s="3">
        <f>IFERROR(__xludf.DUMMYFUNCTION("""COMPUTED_VALUE"""),41465.99861111111)</f>
        <v>41465.99861</v>
      </c>
      <c r="B1118" s="1">
        <f>IFERROR(__xludf.DUMMYFUNCTION("""COMPUTED_VALUE"""),2650.906318)</f>
        <v>2650.906318</v>
      </c>
    </row>
    <row r="1119">
      <c r="A1119" s="3">
        <f>IFERROR(__xludf.DUMMYFUNCTION("""COMPUTED_VALUE"""),41466.99861111111)</f>
        <v>41466.99861</v>
      </c>
      <c r="B1119" s="1">
        <f>IFERROR(__xludf.DUMMYFUNCTION("""COMPUTED_VALUE"""),2650.9866)</f>
        <v>2650.9866</v>
      </c>
    </row>
    <row r="1120">
      <c r="A1120" s="3">
        <f>IFERROR(__xludf.DUMMYFUNCTION("""COMPUTED_VALUE"""),41467.99861111111)</f>
        <v>41467.99861</v>
      </c>
      <c r="B1120" s="1">
        <f>IFERROR(__xludf.DUMMYFUNCTION("""COMPUTED_VALUE"""),2658.345984)</f>
        <v>2658.345984</v>
      </c>
    </row>
    <row r="1121">
      <c r="A1121" s="3">
        <f>IFERROR(__xludf.DUMMYFUNCTION("""COMPUTED_VALUE"""),41468.99861111111)</f>
        <v>41468.99861</v>
      </c>
      <c r="B1121" s="1">
        <f>IFERROR(__xludf.DUMMYFUNCTION("""COMPUTED_VALUE"""),2647.09175)</f>
        <v>2647.09175</v>
      </c>
    </row>
    <row r="1122">
      <c r="A1122" s="3">
        <f>IFERROR(__xludf.DUMMYFUNCTION("""COMPUTED_VALUE"""),41469.99861111111)</f>
        <v>41469.99861</v>
      </c>
      <c r="B1122" s="1">
        <f>IFERROR(__xludf.DUMMYFUNCTION("""COMPUTED_VALUE"""),2566.262595)</f>
        <v>2566.262595</v>
      </c>
    </row>
    <row r="1123">
      <c r="A1123" s="3">
        <f>IFERROR(__xludf.DUMMYFUNCTION("""COMPUTED_VALUE"""),41470.99861111111)</f>
        <v>41470.99861</v>
      </c>
      <c r="B1123" s="1">
        <f>IFERROR(__xludf.DUMMYFUNCTION("""COMPUTED_VALUE"""),2663.7866)</f>
        <v>2663.7866</v>
      </c>
    </row>
    <row r="1124">
      <c r="A1124" s="3">
        <f>IFERROR(__xludf.DUMMYFUNCTION("""COMPUTED_VALUE"""),41471.99861111111)</f>
        <v>41471.99861</v>
      </c>
      <c r="B1124" s="1">
        <f>IFERROR(__xludf.DUMMYFUNCTION("""COMPUTED_VALUE"""),2670.88371)</f>
        <v>2670.88371</v>
      </c>
    </row>
    <row r="1125">
      <c r="A1125" s="3">
        <f>IFERROR(__xludf.DUMMYFUNCTION("""COMPUTED_VALUE"""),41472.99861111111)</f>
        <v>41472.99861</v>
      </c>
      <c r="B1125" s="1">
        <f>IFERROR(__xludf.DUMMYFUNCTION("""COMPUTED_VALUE"""),2673.695368)</f>
        <v>2673.695368</v>
      </c>
    </row>
    <row r="1126">
      <c r="A1126" s="3">
        <f>IFERROR(__xludf.DUMMYFUNCTION("""COMPUTED_VALUE"""),41473.99861111111)</f>
        <v>41473.99861</v>
      </c>
      <c r="B1126" s="1">
        <f>IFERROR(__xludf.DUMMYFUNCTION("""COMPUTED_VALUE"""),2677.699104)</f>
        <v>2677.699104</v>
      </c>
    </row>
    <row r="1127">
      <c r="A1127" s="3">
        <f>IFERROR(__xludf.DUMMYFUNCTION("""COMPUTED_VALUE"""),41474.99861111111)</f>
        <v>41474.99861</v>
      </c>
      <c r="B1127" s="1">
        <f>IFERROR(__xludf.DUMMYFUNCTION("""COMPUTED_VALUE"""),2687.784926)</f>
        <v>2687.784926</v>
      </c>
    </row>
    <row r="1128">
      <c r="A1128" s="3">
        <f>IFERROR(__xludf.DUMMYFUNCTION("""COMPUTED_VALUE"""),41475.99861111111)</f>
        <v>41475.99861</v>
      </c>
      <c r="B1128" s="1">
        <f>IFERROR(__xludf.DUMMYFUNCTION("""COMPUTED_VALUE"""),2683.590846)</f>
        <v>2683.590846</v>
      </c>
    </row>
    <row r="1129">
      <c r="A1129" s="3">
        <f>IFERROR(__xludf.DUMMYFUNCTION("""COMPUTED_VALUE"""),41477.99861111111)</f>
        <v>41477.99861</v>
      </c>
      <c r="B1129" s="1">
        <f>IFERROR(__xludf.DUMMYFUNCTION("""COMPUTED_VALUE"""),2678.890756)</f>
        <v>2678.890756</v>
      </c>
    </row>
    <row r="1130">
      <c r="A1130" s="3">
        <f>IFERROR(__xludf.DUMMYFUNCTION("""COMPUTED_VALUE"""),41478.99861111111)</f>
        <v>41478.99861</v>
      </c>
      <c r="B1130" s="1">
        <f>IFERROR(__xludf.DUMMYFUNCTION("""COMPUTED_VALUE"""),2714.922464)</f>
        <v>2714.922464</v>
      </c>
    </row>
    <row r="1131">
      <c r="A1131" s="3">
        <f>IFERROR(__xludf.DUMMYFUNCTION("""COMPUTED_VALUE"""),41479.99861111111)</f>
        <v>41479.99861</v>
      </c>
      <c r="B1131" s="1">
        <f>IFERROR(__xludf.DUMMYFUNCTION("""COMPUTED_VALUE"""),2730.888292)</f>
        <v>2730.888292</v>
      </c>
    </row>
    <row r="1132">
      <c r="A1132" s="3">
        <f>IFERROR(__xludf.DUMMYFUNCTION("""COMPUTED_VALUE"""),41480.99861111111)</f>
        <v>41480.99861</v>
      </c>
      <c r="B1132" s="1">
        <f>IFERROR(__xludf.DUMMYFUNCTION("""COMPUTED_VALUE"""),2732.804868)</f>
        <v>2732.804868</v>
      </c>
    </row>
    <row r="1133">
      <c r="A1133" s="3">
        <f>IFERROR(__xludf.DUMMYFUNCTION("""COMPUTED_VALUE"""),41481.99861111111)</f>
        <v>41481.99861</v>
      </c>
      <c r="B1133" s="1">
        <f>IFERROR(__xludf.DUMMYFUNCTION("""COMPUTED_VALUE"""),2728.945445)</f>
        <v>2728.945445</v>
      </c>
    </row>
    <row r="1134">
      <c r="A1134" s="3">
        <f>IFERROR(__xludf.DUMMYFUNCTION("""COMPUTED_VALUE"""),41482.99861111111)</f>
        <v>41482.99861</v>
      </c>
      <c r="B1134" s="1">
        <f>IFERROR(__xludf.DUMMYFUNCTION("""COMPUTED_VALUE"""),2774.240665)</f>
        <v>2774.240665</v>
      </c>
    </row>
    <row r="1135">
      <c r="A1135" s="3">
        <f>IFERROR(__xludf.DUMMYFUNCTION("""COMPUTED_VALUE"""),41483.99861111111)</f>
        <v>41483.99861</v>
      </c>
      <c r="B1135" s="1">
        <f>IFERROR(__xludf.DUMMYFUNCTION("""COMPUTED_VALUE"""),2740.446132)</f>
        <v>2740.446132</v>
      </c>
    </row>
    <row r="1136">
      <c r="A1136" s="3">
        <f>IFERROR(__xludf.DUMMYFUNCTION("""COMPUTED_VALUE"""),41484.99861111111)</f>
        <v>41484.99861</v>
      </c>
      <c r="B1136" s="1">
        <f>IFERROR(__xludf.DUMMYFUNCTION("""COMPUTED_VALUE"""),2734.431227)</f>
        <v>2734.431227</v>
      </c>
    </row>
    <row r="1137">
      <c r="A1137" s="3">
        <f>IFERROR(__xludf.DUMMYFUNCTION("""COMPUTED_VALUE"""),41485.99861111111)</f>
        <v>41485.99861</v>
      </c>
      <c r="B1137" s="1">
        <f>IFERROR(__xludf.DUMMYFUNCTION("""COMPUTED_VALUE"""),2734.212313)</f>
        <v>2734.212313</v>
      </c>
    </row>
    <row r="1138">
      <c r="A1138" s="3">
        <f>IFERROR(__xludf.DUMMYFUNCTION("""COMPUTED_VALUE"""),41486.99861111111)</f>
        <v>41486.99861</v>
      </c>
      <c r="B1138" s="1">
        <f>IFERROR(__xludf.DUMMYFUNCTION("""COMPUTED_VALUE"""),2735.959827)</f>
        <v>2735.959827</v>
      </c>
    </row>
    <row r="1139">
      <c r="A1139" s="3">
        <f>IFERROR(__xludf.DUMMYFUNCTION("""COMPUTED_VALUE"""),41487.99861111111)</f>
        <v>41487.99861</v>
      </c>
      <c r="B1139" s="1">
        <f>IFERROR(__xludf.DUMMYFUNCTION("""COMPUTED_VALUE"""),2736.201491)</f>
        <v>2736.201491</v>
      </c>
    </row>
    <row r="1140">
      <c r="A1140" s="3">
        <f>IFERROR(__xludf.DUMMYFUNCTION("""COMPUTED_VALUE"""),41488.99861111111)</f>
        <v>41488.99861</v>
      </c>
      <c r="B1140" s="1">
        <f>IFERROR(__xludf.DUMMYFUNCTION("""COMPUTED_VALUE"""),2738.593578)</f>
        <v>2738.593578</v>
      </c>
    </row>
    <row r="1141">
      <c r="A1141" s="3">
        <f>IFERROR(__xludf.DUMMYFUNCTION("""COMPUTED_VALUE"""),41489.99861111111)</f>
        <v>41489.99861</v>
      </c>
      <c r="B1141" s="1">
        <f>IFERROR(__xludf.DUMMYFUNCTION("""COMPUTED_VALUE"""),2736.07288)</f>
        <v>2736.07288</v>
      </c>
    </row>
    <row r="1142">
      <c r="A1142" s="3">
        <f>IFERROR(__xludf.DUMMYFUNCTION("""COMPUTED_VALUE"""),41490.99861111111)</f>
        <v>41490.99861</v>
      </c>
      <c r="B1142" s="1">
        <f>IFERROR(__xludf.DUMMYFUNCTION("""COMPUTED_VALUE"""),2730.281513)</f>
        <v>2730.281513</v>
      </c>
    </row>
    <row r="1143">
      <c r="A1143" s="3">
        <f>IFERROR(__xludf.DUMMYFUNCTION("""COMPUTED_VALUE"""),41491.99861111111)</f>
        <v>41491.99861</v>
      </c>
      <c r="B1143" s="1">
        <f>IFERROR(__xludf.DUMMYFUNCTION("""COMPUTED_VALUE"""),2737.415216)</f>
        <v>2737.415216</v>
      </c>
    </row>
    <row r="1144">
      <c r="A1144" s="3">
        <f>IFERROR(__xludf.DUMMYFUNCTION("""COMPUTED_VALUE"""),41492.99861111111)</f>
        <v>41492.99861</v>
      </c>
      <c r="B1144" s="1">
        <f>IFERROR(__xludf.DUMMYFUNCTION("""COMPUTED_VALUE"""),2737.828287)</f>
        <v>2737.828287</v>
      </c>
    </row>
    <row r="1145">
      <c r="A1145" s="3">
        <f>IFERROR(__xludf.DUMMYFUNCTION("""COMPUTED_VALUE"""),41493.99861111111)</f>
        <v>41493.99861</v>
      </c>
      <c r="B1145" s="1">
        <f>IFERROR(__xludf.DUMMYFUNCTION("""COMPUTED_VALUE"""),2737.949034)</f>
        <v>2737.949034</v>
      </c>
    </row>
    <row r="1146">
      <c r="A1146" s="3">
        <f>IFERROR(__xludf.DUMMYFUNCTION("""COMPUTED_VALUE"""),41494.99861111111)</f>
        <v>41494.99861</v>
      </c>
      <c r="B1146" s="1">
        <f>IFERROR(__xludf.DUMMYFUNCTION("""COMPUTED_VALUE"""),2737.535963)</f>
        <v>2737.535963</v>
      </c>
    </row>
    <row r="1147">
      <c r="A1147" s="3">
        <f>IFERROR(__xludf.DUMMYFUNCTION("""COMPUTED_VALUE"""),41495.99861111111)</f>
        <v>41495.99861</v>
      </c>
      <c r="B1147" s="1">
        <f>IFERROR(__xludf.DUMMYFUNCTION("""COMPUTED_VALUE"""),2736.07288)</f>
        <v>2736.07288</v>
      </c>
    </row>
    <row r="1148">
      <c r="A1148" s="3">
        <f>IFERROR(__xludf.DUMMYFUNCTION("""COMPUTED_VALUE"""),41496.99861111111)</f>
        <v>41496.99861</v>
      </c>
      <c r="B1148" s="1">
        <f>IFERROR(__xludf.DUMMYFUNCTION("""COMPUTED_VALUE"""),2738.447539)</f>
        <v>2738.447539</v>
      </c>
    </row>
    <row r="1149">
      <c r="A1149" s="3">
        <f>IFERROR(__xludf.DUMMYFUNCTION("""COMPUTED_VALUE"""),41498.99861111111)</f>
        <v>41498.99861</v>
      </c>
      <c r="B1149" s="1">
        <f>IFERROR(__xludf.DUMMYFUNCTION("""COMPUTED_VALUE"""),2739.016668)</f>
        <v>2739.016668</v>
      </c>
    </row>
    <row r="1150">
      <c r="A1150" s="3">
        <f>IFERROR(__xludf.DUMMYFUNCTION("""COMPUTED_VALUE"""),41499.99861111111)</f>
        <v>41499.99861</v>
      </c>
      <c r="B1150" s="1">
        <f>IFERROR(__xludf.DUMMYFUNCTION("""COMPUTED_VALUE"""),2750.226832)</f>
        <v>2750.226832</v>
      </c>
    </row>
    <row r="1151">
      <c r="A1151" s="3">
        <f>IFERROR(__xludf.DUMMYFUNCTION("""COMPUTED_VALUE"""),41500.99861111111)</f>
        <v>41500.99861</v>
      </c>
      <c r="B1151" s="1">
        <f>IFERROR(__xludf.DUMMYFUNCTION("""COMPUTED_VALUE"""),2748.892289)</f>
        <v>2748.892289</v>
      </c>
    </row>
    <row r="1152">
      <c r="A1152" s="3">
        <f>IFERROR(__xludf.DUMMYFUNCTION("""COMPUTED_VALUE"""),41501.99861111111)</f>
        <v>41501.99861</v>
      </c>
      <c r="B1152" s="1">
        <f>IFERROR(__xludf.DUMMYFUNCTION("""COMPUTED_VALUE"""),2755.224597)</f>
        <v>2755.224597</v>
      </c>
    </row>
    <row r="1153">
      <c r="A1153" s="3">
        <f>IFERROR(__xludf.DUMMYFUNCTION("""COMPUTED_VALUE"""),41502.99861111111)</f>
        <v>41502.99861</v>
      </c>
      <c r="B1153" s="1">
        <f>IFERROR(__xludf.DUMMYFUNCTION("""COMPUTED_VALUE"""),2762.740257)</f>
        <v>2762.740257</v>
      </c>
    </row>
    <row r="1154">
      <c r="A1154" s="3">
        <f>IFERROR(__xludf.DUMMYFUNCTION("""COMPUTED_VALUE"""),41503.99861111111)</f>
        <v>41503.99861</v>
      </c>
      <c r="B1154" s="1">
        <f>IFERROR(__xludf.DUMMYFUNCTION("""COMPUTED_VALUE"""),2763.515998)</f>
        <v>2763.515998</v>
      </c>
    </row>
    <row r="1155">
      <c r="A1155" s="3">
        <f>IFERROR(__xludf.DUMMYFUNCTION("""COMPUTED_VALUE"""),41504.99861111111)</f>
        <v>41504.99861</v>
      </c>
      <c r="B1155" s="1">
        <f>IFERROR(__xludf.DUMMYFUNCTION("""COMPUTED_VALUE"""),2764.873647)</f>
        <v>2764.873647</v>
      </c>
    </row>
    <row r="1156">
      <c r="A1156" s="3">
        <f>IFERROR(__xludf.DUMMYFUNCTION("""COMPUTED_VALUE"""),41505.99861111111)</f>
        <v>41505.99861</v>
      </c>
      <c r="B1156" s="1">
        <f>IFERROR(__xludf.DUMMYFUNCTION("""COMPUTED_VALUE"""),2792.205974)</f>
        <v>2792.205974</v>
      </c>
    </row>
    <row r="1157">
      <c r="A1157" s="3">
        <f>IFERROR(__xludf.DUMMYFUNCTION("""COMPUTED_VALUE"""),41506.99861111111)</f>
        <v>41506.99861</v>
      </c>
      <c r="B1157" s="1">
        <f>IFERROR(__xludf.DUMMYFUNCTION("""COMPUTED_VALUE"""),2844.673329)</f>
        <v>2844.673329</v>
      </c>
    </row>
    <row r="1158">
      <c r="A1158" s="3">
        <f>IFERROR(__xludf.DUMMYFUNCTION("""COMPUTED_VALUE"""),41507.99861111111)</f>
        <v>41507.99861</v>
      </c>
      <c r="B1158" s="1">
        <f>IFERROR(__xludf.DUMMYFUNCTION("""COMPUTED_VALUE"""),2868.734277)</f>
        <v>2868.734277</v>
      </c>
    </row>
    <row r="1159">
      <c r="A1159" s="3">
        <f>IFERROR(__xludf.DUMMYFUNCTION("""COMPUTED_VALUE"""),41508.99861111111)</f>
        <v>41508.99861</v>
      </c>
      <c r="B1159" s="1">
        <f>IFERROR(__xludf.DUMMYFUNCTION("""COMPUTED_VALUE"""),2944.536337)</f>
        <v>2944.536337</v>
      </c>
    </row>
    <row r="1160">
      <c r="A1160" s="3">
        <f>IFERROR(__xludf.DUMMYFUNCTION("""COMPUTED_VALUE"""),41509.99861111111)</f>
        <v>41509.99861</v>
      </c>
      <c r="B1160" s="1">
        <f>IFERROR(__xludf.DUMMYFUNCTION("""COMPUTED_VALUE"""),2866.896)</f>
        <v>2866.896</v>
      </c>
    </row>
    <row r="1161">
      <c r="A1161" s="3">
        <f>IFERROR(__xludf.DUMMYFUNCTION("""COMPUTED_VALUE"""),41510.99861111111)</f>
        <v>41510.99861</v>
      </c>
      <c r="B1161" s="1">
        <f>IFERROR(__xludf.DUMMYFUNCTION("""COMPUTED_VALUE"""),2869.727657)</f>
        <v>2869.727657</v>
      </c>
    </row>
    <row r="1162">
      <c r="A1162" s="3">
        <f>IFERROR(__xludf.DUMMYFUNCTION("""COMPUTED_VALUE"""),41511.99861111111)</f>
        <v>41511.99861</v>
      </c>
      <c r="B1162" s="1">
        <f>IFERROR(__xludf.DUMMYFUNCTION("""COMPUTED_VALUE"""),2934.90144)</f>
        <v>2934.90144</v>
      </c>
    </row>
    <row r="1163">
      <c r="A1163" s="3">
        <f>IFERROR(__xludf.DUMMYFUNCTION("""COMPUTED_VALUE"""),41512.99861111111)</f>
        <v>41512.99861</v>
      </c>
      <c r="B1163" s="1">
        <f>IFERROR(__xludf.DUMMYFUNCTION("""COMPUTED_VALUE"""),2963.437407)</f>
        <v>2963.437407</v>
      </c>
    </row>
    <row r="1164">
      <c r="A1164" s="3">
        <f>IFERROR(__xludf.DUMMYFUNCTION("""COMPUTED_VALUE"""),41513.99861111111)</f>
        <v>41513.99861</v>
      </c>
      <c r="B1164" s="1">
        <f>IFERROR(__xludf.DUMMYFUNCTION("""COMPUTED_VALUE"""),2908.503668)</f>
        <v>2908.503668</v>
      </c>
    </row>
    <row r="1165">
      <c r="A1165" s="3">
        <f>IFERROR(__xludf.DUMMYFUNCTION("""COMPUTED_VALUE"""),41514.99861111111)</f>
        <v>41514.99861</v>
      </c>
      <c r="B1165" s="1">
        <f>IFERROR(__xludf.DUMMYFUNCTION("""COMPUTED_VALUE"""),2913.764112)</f>
        <v>2913.764112</v>
      </c>
    </row>
    <row r="1166">
      <c r="A1166" s="3">
        <f>IFERROR(__xludf.DUMMYFUNCTION("""COMPUTED_VALUE"""),41515.99861111111)</f>
        <v>41515.99861</v>
      </c>
      <c r="B1166" s="1">
        <f>IFERROR(__xludf.DUMMYFUNCTION("""COMPUTED_VALUE"""),2911.172754)</f>
        <v>2911.172754</v>
      </c>
    </row>
    <row r="1167">
      <c r="A1167" s="3">
        <f>IFERROR(__xludf.DUMMYFUNCTION("""COMPUTED_VALUE"""),41516.99861111111)</f>
        <v>41516.99861</v>
      </c>
      <c r="B1167" s="1">
        <f>IFERROR(__xludf.DUMMYFUNCTION("""COMPUTED_VALUE"""),2903.199927)</f>
        <v>2903.199927</v>
      </c>
    </row>
    <row r="1168">
      <c r="A1168" s="3">
        <f>IFERROR(__xludf.DUMMYFUNCTION("""COMPUTED_VALUE"""),41517.99861111111)</f>
        <v>41517.99861</v>
      </c>
      <c r="B1168" s="1">
        <f>IFERROR(__xludf.DUMMYFUNCTION("""COMPUTED_VALUE"""),2907.737024)</f>
        <v>2907.737024</v>
      </c>
    </row>
    <row r="1169">
      <c r="A1169" s="3">
        <f>IFERROR(__xludf.DUMMYFUNCTION("""COMPUTED_VALUE"""),41519.99861111111)</f>
        <v>41519.99861</v>
      </c>
      <c r="B1169" s="1">
        <f>IFERROR(__xludf.DUMMYFUNCTION("""COMPUTED_VALUE"""),2922.272018)</f>
        <v>2922.272018</v>
      </c>
    </row>
    <row r="1170">
      <c r="A1170" s="3">
        <f>IFERROR(__xludf.DUMMYFUNCTION("""COMPUTED_VALUE"""),41520.99861111111)</f>
        <v>41520.99861</v>
      </c>
      <c r="B1170" s="1">
        <f>IFERROR(__xludf.DUMMYFUNCTION("""COMPUTED_VALUE"""),2945.792296)</f>
        <v>2945.792296</v>
      </c>
    </row>
    <row r="1171">
      <c r="A1171" s="3">
        <f>IFERROR(__xludf.DUMMYFUNCTION("""COMPUTED_VALUE"""),41521.99861111111)</f>
        <v>41521.99861</v>
      </c>
      <c r="B1171" s="1">
        <f>IFERROR(__xludf.DUMMYFUNCTION("""COMPUTED_VALUE"""),2961.806389)</f>
        <v>2961.806389</v>
      </c>
    </row>
    <row r="1172">
      <c r="A1172" s="3">
        <f>IFERROR(__xludf.DUMMYFUNCTION("""COMPUTED_VALUE"""),41522.99861111111)</f>
        <v>41522.99861</v>
      </c>
      <c r="B1172" s="1">
        <f>IFERROR(__xludf.DUMMYFUNCTION("""COMPUTED_VALUE"""),2961.569246)</f>
        <v>2961.569246</v>
      </c>
    </row>
    <row r="1173">
      <c r="A1173" s="3">
        <f>IFERROR(__xludf.DUMMYFUNCTION("""COMPUTED_VALUE"""),41523.99861111111)</f>
        <v>41523.99861</v>
      </c>
      <c r="B1173" s="1">
        <f>IFERROR(__xludf.DUMMYFUNCTION("""COMPUTED_VALUE"""),2972.533259)</f>
        <v>2972.533259</v>
      </c>
    </row>
    <row r="1174">
      <c r="A1174" s="3">
        <f>IFERROR(__xludf.DUMMYFUNCTION("""COMPUTED_VALUE"""),41524.99861111111)</f>
        <v>41524.99861</v>
      </c>
      <c r="B1174" s="1">
        <f>IFERROR(__xludf.DUMMYFUNCTION("""COMPUTED_VALUE"""),2975.713895)</f>
        <v>2975.713895</v>
      </c>
    </row>
    <row r="1175">
      <c r="A1175" s="3">
        <f>IFERROR(__xludf.DUMMYFUNCTION("""COMPUTED_VALUE"""),41525.99861111111)</f>
        <v>41525.99861</v>
      </c>
      <c r="B1175" s="1">
        <f>IFERROR(__xludf.DUMMYFUNCTION("""COMPUTED_VALUE"""),2973.333259)</f>
        <v>2973.333259</v>
      </c>
    </row>
    <row r="1176">
      <c r="A1176" s="3">
        <f>IFERROR(__xludf.DUMMYFUNCTION("""COMPUTED_VALUE"""),41526.99861111111)</f>
        <v>41526.99861</v>
      </c>
      <c r="B1176" s="1">
        <f>IFERROR(__xludf.DUMMYFUNCTION("""COMPUTED_VALUE"""),2971.147943)</f>
        <v>2971.147943</v>
      </c>
    </row>
    <row r="1177">
      <c r="A1177" s="3">
        <f>IFERROR(__xludf.DUMMYFUNCTION("""COMPUTED_VALUE"""),41527.99861111111)</f>
        <v>41527.99861</v>
      </c>
      <c r="B1177" s="1">
        <f>IFERROR(__xludf.DUMMYFUNCTION("""COMPUTED_VALUE"""),2991.646778)</f>
        <v>2991.646778</v>
      </c>
    </row>
    <row r="1178">
      <c r="A1178" s="3">
        <f>IFERROR(__xludf.DUMMYFUNCTION("""COMPUTED_VALUE"""),41528.99861111111)</f>
        <v>41528.99861</v>
      </c>
      <c r="B1178" s="1">
        <f>IFERROR(__xludf.DUMMYFUNCTION("""COMPUTED_VALUE"""),3020.338396)</f>
        <v>3020.338396</v>
      </c>
    </row>
    <row r="1179">
      <c r="A1179" s="3">
        <f>IFERROR(__xludf.DUMMYFUNCTION("""COMPUTED_VALUE"""),41529.99861111111)</f>
        <v>41529.99861</v>
      </c>
      <c r="B1179" s="1">
        <f>IFERROR(__xludf.DUMMYFUNCTION("""COMPUTED_VALUE"""),3021.939848)</f>
        <v>3021.939848</v>
      </c>
    </row>
    <row r="1180">
      <c r="A1180" s="3">
        <f>IFERROR(__xludf.DUMMYFUNCTION("""COMPUTED_VALUE"""),41530.99861111111)</f>
        <v>41530.99861</v>
      </c>
      <c r="B1180" s="1">
        <f>IFERROR(__xludf.DUMMYFUNCTION("""COMPUTED_VALUE"""),3034.933257)</f>
        <v>3034.933257</v>
      </c>
    </row>
    <row r="1181">
      <c r="A1181" s="3">
        <f>IFERROR(__xludf.DUMMYFUNCTION("""COMPUTED_VALUE"""),41531.99861111111)</f>
        <v>41531.99861</v>
      </c>
      <c r="B1181" s="1">
        <f>IFERROR(__xludf.DUMMYFUNCTION("""COMPUTED_VALUE"""),3037.849638)</f>
        <v>3037.849638</v>
      </c>
    </row>
    <row r="1182">
      <c r="A1182" s="3">
        <f>IFERROR(__xludf.DUMMYFUNCTION("""COMPUTED_VALUE"""),41532.99861111111)</f>
        <v>41532.99861</v>
      </c>
      <c r="B1182" s="1">
        <f>IFERROR(__xludf.DUMMYFUNCTION("""COMPUTED_VALUE"""),3037.849638)</f>
        <v>3037.849638</v>
      </c>
    </row>
    <row r="1183">
      <c r="A1183" s="3">
        <f>IFERROR(__xludf.DUMMYFUNCTION("""COMPUTED_VALUE"""),41533.99861111111)</f>
        <v>41533.99861</v>
      </c>
      <c r="B1183" s="1">
        <f>IFERROR(__xludf.DUMMYFUNCTION("""COMPUTED_VALUE"""),3029.065577)</f>
        <v>3029.065577</v>
      </c>
    </row>
    <row r="1184">
      <c r="A1184" s="3">
        <f>IFERROR(__xludf.DUMMYFUNCTION("""COMPUTED_VALUE"""),41534.99861111111)</f>
        <v>41534.99861</v>
      </c>
      <c r="B1184" s="1">
        <f>IFERROR(__xludf.DUMMYFUNCTION("""COMPUTED_VALUE"""),3047.296171)</f>
        <v>3047.296171</v>
      </c>
    </row>
    <row r="1185">
      <c r="A1185" s="3">
        <f>IFERROR(__xludf.DUMMYFUNCTION("""COMPUTED_VALUE"""),41535.99861111111)</f>
        <v>41535.99861</v>
      </c>
      <c r="B1185" s="1">
        <f>IFERROR(__xludf.DUMMYFUNCTION("""COMPUTED_VALUE"""),3055.244186)</f>
        <v>3055.244186</v>
      </c>
    </row>
    <row r="1186">
      <c r="A1186" s="3">
        <f>IFERROR(__xludf.DUMMYFUNCTION("""COMPUTED_VALUE"""),41536.99861111111)</f>
        <v>41536.99861</v>
      </c>
      <c r="B1186" s="1">
        <f>IFERROR(__xludf.DUMMYFUNCTION("""COMPUTED_VALUE"""),3004.217352)</f>
        <v>3004.217352</v>
      </c>
    </row>
    <row r="1187">
      <c r="A1187" s="3">
        <f>IFERROR(__xludf.DUMMYFUNCTION("""COMPUTED_VALUE"""),41537.99861111111)</f>
        <v>41537.99861</v>
      </c>
      <c r="B1187" s="1">
        <f>IFERROR(__xludf.DUMMYFUNCTION("""COMPUTED_VALUE"""),3019.360923)</f>
        <v>3019.360923</v>
      </c>
    </row>
    <row r="1188">
      <c r="A1188" s="3">
        <f>IFERROR(__xludf.DUMMYFUNCTION("""COMPUTED_VALUE"""),41538.99861111111)</f>
        <v>41538.99861</v>
      </c>
      <c r="B1188" s="1">
        <f>IFERROR(__xludf.DUMMYFUNCTION("""COMPUTED_VALUE"""),3020.160966)</f>
        <v>3020.160966</v>
      </c>
    </row>
    <row r="1189">
      <c r="A1189" s="3">
        <f>IFERROR(__xludf.DUMMYFUNCTION("""COMPUTED_VALUE"""),41539.99861111111)</f>
        <v>41539.99861</v>
      </c>
      <c r="B1189" s="1">
        <f>IFERROR(__xludf.DUMMYFUNCTION("""COMPUTED_VALUE"""),3029.332479)</f>
        <v>3029.332479</v>
      </c>
    </row>
    <row r="1190">
      <c r="A1190" s="3">
        <f>IFERROR(__xludf.DUMMYFUNCTION("""COMPUTED_VALUE"""),41540.99861111111)</f>
        <v>41540.99861</v>
      </c>
      <c r="B1190" s="1">
        <f>IFERROR(__xludf.DUMMYFUNCTION("""COMPUTED_VALUE"""),3047.37746)</f>
        <v>3047.37746</v>
      </c>
    </row>
    <row r="1191">
      <c r="A1191" s="3">
        <f>IFERROR(__xludf.DUMMYFUNCTION("""COMPUTED_VALUE"""),41541.99861111111)</f>
        <v>41541.99861</v>
      </c>
      <c r="B1191" s="1">
        <f>IFERROR(__xludf.DUMMYFUNCTION("""COMPUTED_VALUE"""),3052.162671)</f>
        <v>3052.162671</v>
      </c>
    </row>
    <row r="1192">
      <c r="A1192" s="3">
        <f>IFERROR(__xludf.DUMMYFUNCTION("""COMPUTED_VALUE"""),41542.99861111111)</f>
        <v>41542.99861</v>
      </c>
      <c r="B1192" s="1">
        <f>IFERROR(__xludf.DUMMYFUNCTION("""COMPUTED_VALUE"""),3058.321007)</f>
        <v>3058.321007</v>
      </c>
    </row>
    <row r="1193">
      <c r="A1193" s="3">
        <f>IFERROR(__xludf.DUMMYFUNCTION("""COMPUTED_VALUE"""),41543.99861111111)</f>
        <v>41543.99861</v>
      </c>
      <c r="B1193" s="1">
        <f>IFERROR(__xludf.DUMMYFUNCTION("""COMPUTED_VALUE"""),3050.684602)</f>
        <v>3050.684602</v>
      </c>
    </row>
    <row r="1194">
      <c r="A1194" s="3">
        <f>IFERROR(__xludf.DUMMYFUNCTION("""COMPUTED_VALUE"""),41544.99861111111)</f>
        <v>41544.99861</v>
      </c>
      <c r="B1194" s="1">
        <f>IFERROR(__xludf.DUMMYFUNCTION("""COMPUTED_VALUE"""),3069.148418)</f>
        <v>3069.148418</v>
      </c>
    </row>
    <row r="1195">
      <c r="A1195" s="3">
        <f>IFERROR(__xludf.DUMMYFUNCTION("""COMPUTED_VALUE"""),41546.99861111111)</f>
        <v>41546.99861</v>
      </c>
      <c r="B1195" s="1">
        <f>IFERROR(__xludf.DUMMYFUNCTION("""COMPUTED_VALUE"""),3072.097715)</f>
        <v>3072.097715</v>
      </c>
    </row>
    <row r="1196">
      <c r="A1196" s="3">
        <f>IFERROR(__xludf.DUMMYFUNCTION("""COMPUTED_VALUE"""),41547.99861111111)</f>
        <v>41547.99861</v>
      </c>
      <c r="B1196" s="1">
        <f>IFERROR(__xludf.DUMMYFUNCTION("""COMPUTED_VALUE"""),3083.493456)</f>
        <v>3083.493456</v>
      </c>
    </row>
    <row r="1197">
      <c r="A1197" s="3">
        <f>IFERROR(__xludf.DUMMYFUNCTION("""COMPUTED_VALUE"""),41548.99861111111)</f>
        <v>41548.99861</v>
      </c>
      <c r="B1197" s="1">
        <f>IFERROR(__xludf.DUMMYFUNCTION("""COMPUTED_VALUE"""),3063.31069)</f>
        <v>3063.31069</v>
      </c>
    </row>
    <row r="1198">
      <c r="A1198" s="3">
        <f>IFERROR(__xludf.DUMMYFUNCTION("""COMPUTED_VALUE"""),41549.99861111111)</f>
        <v>41549.99861</v>
      </c>
      <c r="B1198" s="1">
        <f>IFERROR(__xludf.DUMMYFUNCTION("""COMPUTED_VALUE"""),3069.983407)</f>
        <v>3069.983407</v>
      </c>
    </row>
    <row r="1199">
      <c r="A1199" s="3">
        <f>IFERROR(__xludf.DUMMYFUNCTION("""COMPUTED_VALUE"""),41550.99861111111)</f>
        <v>41550.99861</v>
      </c>
      <c r="B1199" s="1">
        <f>IFERROR(__xludf.DUMMYFUNCTION("""COMPUTED_VALUE"""),3070.168414)</f>
        <v>3070.168414</v>
      </c>
    </row>
    <row r="1200">
      <c r="A1200" s="3">
        <f>IFERROR(__xludf.DUMMYFUNCTION("""COMPUTED_VALUE"""),41551.99861111111)</f>
        <v>41551.99861</v>
      </c>
      <c r="B1200" s="1">
        <f>IFERROR(__xludf.DUMMYFUNCTION("""COMPUTED_VALUE"""),3064.184889)</f>
        <v>3064.184889</v>
      </c>
    </row>
    <row r="1201">
      <c r="A1201" s="3">
        <f>IFERROR(__xludf.DUMMYFUNCTION("""COMPUTED_VALUE"""),41552.99861111111)</f>
        <v>41552.99861</v>
      </c>
      <c r="B1201" s="1">
        <f>IFERROR(__xludf.DUMMYFUNCTION("""COMPUTED_VALUE"""),3066.460374)</f>
        <v>3066.460374</v>
      </c>
    </row>
    <row r="1202">
      <c r="A1202" s="3">
        <f>IFERROR(__xludf.DUMMYFUNCTION("""COMPUTED_VALUE"""),41553.99861111111)</f>
        <v>41553.99861</v>
      </c>
      <c r="B1202" s="1">
        <f>IFERROR(__xludf.DUMMYFUNCTION("""COMPUTED_VALUE"""),3067.92686)</f>
        <v>3067.92686</v>
      </c>
    </row>
    <row r="1203">
      <c r="A1203" s="3">
        <f>IFERROR(__xludf.DUMMYFUNCTION("""COMPUTED_VALUE"""),41554.99861111111)</f>
        <v>41554.99861</v>
      </c>
      <c r="B1203" s="1">
        <f>IFERROR(__xludf.DUMMYFUNCTION("""COMPUTED_VALUE"""),3068.730722)</f>
        <v>3068.730722</v>
      </c>
    </row>
    <row r="1204">
      <c r="A1204" s="3">
        <f>IFERROR(__xludf.DUMMYFUNCTION("""COMPUTED_VALUE"""),41555.99861111111)</f>
        <v>41555.99861</v>
      </c>
      <c r="B1204" s="1">
        <f>IFERROR(__xludf.DUMMYFUNCTION("""COMPUTED_VALUE"""),3066.41039)</f>
        <v>3066.41039</v>
      </c>
    </row>
    <row r="1205">
      <c r="A1205" s="3">
        <f>IFERROR(__xludf.DUMMYFUNCTION("""COMPUTED_VALUE"""),41556.99861111111)</f>
        <v>41556.99861</v>
      </c>
      <c r="B1205" s="1">
        <f>IFERROR(__xludf.DUMMYFUNCTION("""COMPUTED_VALUE"""),3070.948079)</f>
        <v>3070.948079</v>
      </c>
    </row>
    <row r="1206">
      <c r="A1206" s="3">
        <f>IFERROR(__xludf.DUMMYFUNCTION("""COMPUTED_VALUE"""),41557.99861111111)</f>
        <v>41557.99861</v>
      </c>
      <c r="B1206" s="1">
        <f>IFERROR(__xludf.DUMMYFUNCTION("""COMPUTED_VALUE"""),3059.329005)</f>
        <v>3059.329005</v>
      </c>
    </row>
    <row r="1207">
      <c r="A1207" s="3">
        <f>IFERROR(__xludf.DUMMYFUNCTION("""COMPUTED_VALUE"""),41558.99861111111)</f>
        <v>41558.99861</v>
      </c>
      <c r="B1207" s="1">
        <f>IFERROR(__xludf.DUMMYFUNCTION("""COMPUTED_VALUE"""),3023.919297)</f>
        <v>3023.919297</v>
      </c>
    </row>
    <row r="1208">
      <c r="A1208" s="3">
        <f>IFERROR(__xludf.DUMMYFUNCTION("""COMPUTED_VALUE"""),41559.99861111111)</f>
        <v>41559.99861</v>
      </c>
      <c r="B1208" s="1">
        <f>IFERROR(__xludf.DUMMYFUNCTION("""COMPUTED_VALUE"""),3024.080551)</f>
        <v>3024.080551</v>
      </c>
    </row>
    <row r="1209">
      <c r="A1209" s="3">
        <f>IFERROR(__xludf.DUMMYFUNCTION("""COMPUTED_VALUE"""),41561.99861111111)</f>
        <v>41561.99861</v>
      </c>
      <c r="B1209" s="1">
        <f>IFERROR(__xludf.DUMMYFUNCTION("""COMPUTED_VALUE"""),3025.781926)</f>
        <v>3025.781926</v>
      </c>
    </row>
    <row r="1210">
      <c r="A1210" s="3">
        <f>IFERROR(__xludf.DUMMYFUNCTION("""COMPUTED_VALUE"""),41562.99861111111)</f>
        <v>41562.99861</v>
      </c>
      <c r="B1210" s="1">
        <f>IFERROR(__xludf.DUMMYFUNCTION("""COMPUTED_VALUE"""),3025.943478)</f>
        <v>3025.943478</v>
      </c>
    </row>
    <row r="1211">
      <c r="A1211" s="3">
        <f>IFERROR(__xludf.DUMMYFUNCTION("""COMPUTED_VALUE"""),41563.99861111111)</f>
        <v>41563.99861</v>
      </c>
      <c r="B1211" s="1">
        <f>IFERROR(__xludf.DUMMYFUNCTION("""COMPUTED_VALUE"""),3025.676569)</f>
        <v>3025.676569</v>
      </c>
    </row>
    <row r="1212">
      <c r="A1212" s="3">
        <f>IFERROR(__xludf.DUMMYFUNCTION("""COMPUTED_VALUE"""),41564.99861111111)</f>
        <v>41564.99861</v>
      </c>
      <c r="B1212" s="1">
        <f>IFERROR(__xludf.DUMMYFUNCTION("""COMPUTED_VALUE"""),3016.521205)</f>
        <v>3016.521205</v>
      </c>
    </row>
    <row r="1213">
      <c r="A1213" s="3">
        <f>IFERROR(__xludf.DUMMYFUNCTION("""COMPUTED_VALUE"""),41565.99861111111)</f>
        <v>41565.99861</v>
      </c>
      <c r="B1213" s="1">
        <f>IFERROR(__xludf.DUMMYFUNCTION("""COMPUTED_VALUE"""),3012.880253)</f>
        <v>3012.880253</v>
      </c>
    </row>
    <row r="1214">
      <c r="A1214" s="3">
        <f>IFERROR(__xludf.DUMMYFUNCTION("""COMPUTED_VALUE"""),41566.99861111111)</f>
        <v>41566.99861</v>
      </c>
      <c r="B1214" s="1">
        <f>IFERROR(__xludf.DUMMYFUNCTION("""COMPUTED_VALUE"""),3012.880253)</f>
        <v>3012.880253</v>
      </c>
    </row>
    <row r="1215">
      <c r="A1215" s="3">
        <f>IFERROR(__xludf.DUMMYFUNCTION("""COMPUTED_VALUE"""),41567.99861111111)</f>
        <v>41567.99861</v>
      </c>
      <c r="B1215" s="1">
        <f>IFERROR(__xludf.DUMMYFUNCTION("""COMPUTED_VALUE"""),3014.085976)</f>
        <v>3014.085976</v>
      </c>
    </row>
    <row r="1216">
      <c r="A1216" s="3">
        <f>IFERROR(__xludf.DUMMYFUNCTION("""COMPUTED_VALUE"""),41568.99861111111)</f>
        <v>41568.99861</v>
      </c>
      <c r="B1216" s="1">
        <f>IFERROR(__xludf.DUMMYFUNCTION("""COMPUTED_VALUE"""),3018.122614)</f>
        <v>3018.122614</v>
      </c>
    </row>
    <row r="1217">
      <c r="A1217" s="3">
        <f>IFERROR(__xludf.DUMMYFUNCTION("""COMPUTED_VALUE"""),41569.99861111111)</f>
        <v>41569.99861</v>
      </c>
      <c r="B1217" s="1">
        <f>IFERROR(__xludf.DUMMYFUNCTION("""COMPUTED_VALUE"""),3006.378946)</f>
        <v>3006.378946</v>
      </c>
    </row>
    <row r="1218">
      <c r="A1218" s="3">
        <f>IFERROR(__xludf.DUMMYFUNCTION("""COMPUTED_VALUE"""),41570.99861111111)</f>
        <v>41570.99861</v>
      </c>
      <c r="B1218" s="1">
        <f>IFERROR(__xludf.DUMMYFUNCTION("""COMPUTED_VALUE"""),2998.479869)</f>
        <v>2998.479869</v>
      </c>
    </row>
    <row r="1219">
      <c r="A1219" s="3">
        <f>IFERROR(__xludf.DUMMYFUNCTION("""COMPUTED_VALUE"""),41571.99861111111)</f>
        <v>41571.99861</v>
      </c>
      <c r="B1219" s="1">
        <f>IFERROR(__xludf.DUMMYFUNCTION("""COMPUTED_VALUE"""),2970.000994)</f>
        <v>2970.000994</v>
      </c>
    </row>
    <row r="1220">
      <c r="A1220" s="3">
        <f>IFERROR(__xludf.DUMMYFUNCTION("""COMPUTED_VALUE"""),41572.99861111111)</f>
        <v>41572.99861</v>
      </c>
      <c r="B1220" s="1">
        <f>IFERROR(__xludf.DUMMYFUNCTION("""COMPUTED_VALUE"""),2930.744732)</f>
        <v>2930.744732</v>
      </c>
    </row>
    <row r="1221">
      <c r="A1221" s="3">
        <f>IFERROR(__xludf.DUMMYFUNCTION("""COMPUTED_VALUE"""),41573.99861111111)</f>
        <v>41573.99861</v>
      </c>
      <c r="B1221" s="1">
        <f>IFERROR(__xludf.DUMMYFUNCTION("""COMPUTED_VALUE"""),2933.48278)</f>
        <v>2933.48278</v>
      </c>
    </row>
    <row r="1222">
      <c r="A1222" s="3">
        <f>IFERROR(__xludf.DUMMYFUNCTION("""COMPUTED_VALUE"""),41574.99861111111)</f>
        <v>41574.99861</v>
      </c>
      <c r="B1222" s="1">
        <f>IFERROR(__xludf.DUMMYFUNCTION("""COMPUTED_VALUE"""),2933.795995)</f>
        <v>2933.795995</v>
      </c>
    </row>
    <row r="1223">
      <c r="A1223" s="3">
        <f>IFERROR(__xludf.DUMMYFUNCTION("""COMPUTED_VALUE"""),41575.99861111111)</f>
        <v>41575.99861</v>
      </c>
      <c r="B1223" s="1">
        <f>IFERROR(__xludf.DUMMYFUNCTION("""COMPUTED_VALUE"""),2942.589478)</f>
        <v>2942.589478</v>
      </c>
    </row>
    <row r="1224">
      <c r="A1224" s="3">
        <f>IFERROR(__xludf.DUMMYFUNCTION("""COMPUTED_VALUE"""),41576.99861111111)</f>
        <v>41576.99861</v>
      </c>
      <c r="B1224" s="1">
        <f>IFERROR(__xludf.DUMMYFUNCTION("""COMPUTED_VALUE"""),2956.013409)</f>
        <v>2956.013409</v>
      </c>
    </row>
    <row r="1225">
      <c r="A1225" s="3">
        <f>IFERROR(__xludf.DUMMYFUNCTION("""COMPUTED_VALUE"""),41577.99861111111)</f>
        <v>41577.99861</v>
      </c>
      <c r="B1225" s="1">
        <f>IFERROR(__xludf.DUMMYFUNCTION("""COMPUTED_VALUE"""),2975.151466)</f>
        <v>2975.151466</v>
      </c>
    </row>
    <row r="1226">
      <c r="A1226" s="3">
        <f>IFERROR(__xludf.DUMMYFUNCTION("""COMPUTED_VALUE"""),41578.99861111111)</f>
        <v>41578.99861</v>
      </c>
      <c r="B1226" s="1">
        <f>IFERROR(__xludf.DUMMYFUNCTION("""COMPUTED_VALUE"""),3001.387881)</f>
        <v>3001.387881</v>
      </c>
    </row>
    <row r="1227">
      <c r="A1227" s="3">
        <f>IFERROR(__xludf.DUMMYFUNCTION("""COMPUTED_VALUE"""),41579.99861111111)</f>
        <v>41579.99861</v>
      </c>
      <c r="B1227" s="1">
        <f>IFERROR(__xludf.DUMMYFUNCTION("""COMPUTED_VALUE"""),3015.546991)</f>
        <v>3015.546991</v>
      </c>
    </row>
    <row r="1228">
      <c r="A1228" s="3">
        <f>IFERROR(__xludf.DUMMYFUNCTION("""COMPUTED_VALUE"""),41580.99861111111)</f>
        <v>41580.99861</v>
      </c>
      <c r="B1228" s="1">
        <f>IFERROR(__xludf.DUMMYFUNCTION("""COMPUTED_VALUE"""),3018.203127)</f>
        <v>3018.203127</v>
      </c>
    </row>
    <row r="1229">
      <c r="A1229" s="3">
        <f>IFERROR(__xludf.DUMMYFUNCTION("""COMPUTED_VALUE"""),41582.99861111111)</f>
        <v>41582.99861</v>
      </c>
      <c r="B1229" s="1">
        <f>IFERROR(__xludf.DUMMYFUNCTION("""COMPUTED_VALUE"""),3023.112982)</f>
        <v>3023.112982</v>
      </c>
    </row>
    <row r="1230">
      <c r="A1230" s="3">
        <f>IFERROR(__xludf.DUMMYFUNCTION("""COMPUTED_VALUE"""),41583.99861111111)</f>
        <v>41583.99861</v>
      </c>
      <c r="B1230" s="1">
        <f>IFERROR(__xludf.DUMMYFUNCTION("""COMPUTED_VALUE"""),3021.413814)</f>
        <v>3021.413814</v>
      </c>
    </row>
    <row r="1231">
      <c r="A1231" s="3">
        <f>IFERROR(__xludf.DUMMYFUNCTION("""COMPUTED_VALUE"""),41584.99861111111)</f>
        <v>41584.99861</v>
      </c>
      <c r="B1231" s="1">
        <f>IFERROR(__xludf.DUMMYFUNCTION("""COMPUTED_VALUE"""),3037.17736)</f>
        <v>3037.17736</v>
      </c>
    </row>
    <row r="1232">
      <c r="A1232" s="3">
        <f>IFERROR(__xludf.DUMMYFUNCTION("""COMPUTED_VALUE"""),41585.99861111111)</f>
        <v>41585.99861</v>
      </c>
      <c r="B1232" s="1">
        <f>IFERROR(__xludf.DUMMYFUNCTION("""COMPUTED_VALUE"""),3032.859)</f>
        <v>3032.859</v>
      </c>
    </row>
    <row r="1233">
      <c r="A1233" s="3">
        <f>IFERROR(__xludf.DUMMYFUNCTION("""COMPUTED_VALUE"""),41586.99861111111)</f>
        <v>41586.99861</v>
      </c>
      <c r="B1233" s="1">
        <f>IFERROR(__xludf.DUMMYFUNCTION("""COMPUTED_VALUE"""),3035.28085)</f>
        <v>3035.28085</v>
      </c>
    </row>
    <row r="1234">
      <c r="A1234" s="3">
        <f>IFERROR(__xludf.DUMMYFUNCTION("""COMPUTED_VALUE"""),41588.99861111111)</f>
        <v>41588.99861</v>
      </c>
      <c r="B1234" s="1">
        <f>IFERROR(__xludf.DUMMYFUNCTION("""COMPUTED_VALUE"""),3037.153642)</f>
        <v>3037.153642</v>
      </c>
    </row>
    <row r="1235">
      <c r="A1235" s="3">
        <f>IFERROR(__xludf.DUMMYFUNCTION("""COMPUTED_VALUE"""),41589.99861111111)</f>
        <v>41589.99861</v>
      </c>
      <c r="B1235" s="1">
        <f>IFERROR(__xludf.DUMMYFUNCTION("""COMPUTED_VALUE"""),3078.072774)</f>
        <v>3078.072774</v>
      </c>
    </row>
    <row r="1236">
      <c r="A1236" s="3">
        <f>IFERROR(__xludf.DUMMYFUNCTION("""COMPUTED_VALUE"""),41590.99861111111)</f>
        <v>41590.99861</v>
      </c>
      <c r="B1236" s="1">
        <f>IFERROR(__xludf.DUMMYFUNCTION("""COMPUTED_VALUE"""),3086.551508)</f>
        <v>3086.551508</v>
      </c>
    </row>
    <row r="1237">
      <c r="A1237" s="3">
        <f>IFERROR(__xludf.DUMMYFUNCTION("""COMPUTED_VALUE"""),41591.99861111111)</f>
        <v>41591.99861</v>
      </c>
      <c r="B1237" s="1">
        <f>IFERROR(__xludf.DUMMYFUNCTION("""COMPUTED_VALUE"""),3089.919128)</f>
        <v>3089.919128</v>
      </c>
    </row>
    <row r="1238">
      <c r="A1238" s="3">
        <f>IFERROR(__xludf.DUMMYFUNCTION("""COMPUTED_VALUE"""),41592.99861111111)</f>
        <v>41592.99861</v>
      </c>
      <c r="B1238" s="1">
        <f>IFERROR(__xludf.DUMMYFUNCTION("""COMPUTED_VALUE"""),3073.104331)</f>
        <v>3073.104331</v>
      </c>
    </row>
    <row r="1239">
      <c r="A1239" s="3">
        <f>IFERROR(__xludf.DUMMYFUNCTION("""COMPUTED_VALUE"""),41593.99861111111)</f>
        <v>41593.99861</v>
      </c>
      <c r="B1239" s="1">
        <f>IFERROR(__xludf.DUMMYFUNCTION("""COMPUTED_VALUE"""),3091.999922)</f>
        <v>3091.999922</v>
      </c>
    </row>
    <row r="1240">
      <c r="A1240" s="3">
        <f>IFERROR(__xludf.DUMMYFUNCTION("""COMPUTED_VALUE"""),41595.99861111111)</f>
        <v>41595.99861</v>
      </c>
      <c r="B1240" s="1">
        <f>IFERROR(__xludf.DUMMYFUNCTION("""COMPUTED_VALUE"""),3094.392898)</f>
        <v>3094.392898</v>
      </c>
    </row>
    <row r="1241">
      <c r="A1241" s="3">
        <f>IFERROR(__xludf.DUMMYFUNCTION("""COMPUTED_VALUE"""),41596.99861111111)</f>
        <v>41596.99861</v>
      </c>
      <c r="B1241" s="1">
        <f>IFERROR(__xludf.DUMMYFUNCTION("""COMPUTED_VALUE"""),3097.144372)</f>
        <v>3097.144372</v>
      </c>
    </row>
    <row r="1242">
      <c r="A1242" s="3">
        <f>IFERROR(__xludf.DUMMYFUNCTION("""COMPUTED_VALUE"""),41597.99861111111)</f>
        <v>41597.99861</v>
      </c>
      <c r="B1242" s="1">
        <f>IFERROR(__xludf.DUMMYFUNCTION("""COMPUTED_VALUE"""),3087.968323)</f>
        <v>3087.968323</v>
      </c>
    </row>
    <row r="1243">
      <c r="A1243" s="3">
        <f>IFERROR(__xludf.DUMMYFUNCTION("""COMPUTED_VALUE"""),41598.99861111111)</f>
        <v>41598.99861</v>
      </c>
      <c r="B1243" s="1">
        <f>IFERROR(__xludf.DUMMYFUNCTION("""COMPUTED_VALUE"""),3103.963605)</f>
        <v>3103.963605</v>
      </c>
    </row>
    <row r="1244">
      <c r="A1244" s="3">
        <f>IFERROR(__xludf.DUMMYFUNCTION("""COMPUTED_VALUE"""),41599.99861111111)</f>
        <v>41599.99861</v>
      </c>
      <c r="B1244" s="1">
        <f>IFERROR(__xludf.DUMMYFUNCTION("""COMPUTED_VALUE"""),3116.224405)</f>
        <v>3116.224405</v>
      </c>
    </row>
    <row r="1245">
      <c r="A1245" s="3">
        <f>IFERROR(__xludf.DUMMYFUNCTION("""COMPUTED_VALUE"""),41600.99861111111)</f>
        <v>41600.99861</v>
      </c>
      <c r="B1245" s="1">
        <f>IFERROR(__xludf.DUMMYFUNCTION("""COMPUTED_VALUE"""),3113.940267)</f>
        <v>3113.940267</v>
      </c>
    </row>
    <row r="1246">
      <c r="A1246" s="3">
        <f>IFERROR(__xludf.DUMMYFUNCTION("""COMPUTED_VALUE"""),41601.99861111111)</f>
        <v>41601.99861</v>
      </c>
      <c r="B1246" s="1">
        <f>IFERROR(__xludf.DUMMYFUNCTION("""COMPUTED_VALUE"""),3114.023336)</f>
        <v>3114.023336</v>
      </c>
    </row>
    <row r="1247">
      <c r="A1247" s="3">
        <f>IFERROR(__xludf.DUMMYFUNCTION("""COMPUTED_VALUE"""),41603.99861111111)</f>
        <v>41603.99861</v>
      </c>
      <c r="B1247" s="1">
        <f>IFERROR(__xludf.DUMMYFUNCTION("""COMPUTED_VALUE"""),3127.902586)</f>
        <v>3127.902586</v>
      </c>
    </row>
    <row r="1248">
      <c r="A1248" s="3">
        <f>IFERROR(__xludf.DUMMYFUNCTION("""COMPUTED_VALUE"""),41604.99861111111)</f>
        <v>41604.99861</v>
      </c>
      <c r="B1248" s="1">
        <f>IFERROR(__xludf.DUMMYFUNCTION("""COMPUTED_VALUE"""),3136.260415)</f>
        <v>3136.260415</v>
      </c>
    </row>
    <row r="1249">
      <c r="A1249" s="3">
        <f>IFERROR(__xludf.DUMMYFUNCTION("""COMPUTED_VALUE"""),41605.99861111111)</f>
        <v>41605.99861</v>
      </c>
      <c r="B1249" s="1">
        <f>IFERROR(__xludf.DUMMYFUNCTION("""COMPUTED_VALUE"""),3170.70559)</f>
        <v>3170.70559</v>
      </c>
    </row>
    <row r="1250">
      <c r="A1250" s="3">
        <f>IFERROR(__xludf.DUMMYFUNCTION("""COMPUTED_VALUE"""),41606.99861111111)</f>
        <v>41606.99861</v>
      </c>
      <c r="B1250" s="1">
        <f>IFERROR(__xludf.DUMMYFUNCTION("""COMPUTED_VALUE"""),3170.87488)</f>
        <v>3170.87488</v>
      </c>
    </row>
    <row r="1251">
      <c r="A1251" s="3">
        <f>IFERROR(__xludf.DUMMYFUNCTION("""COMPUTED_VALUE"""),41607.99861111111)</f>
        <v>41607.99861</v>
      </c>
      <c r="B1251" s="1">
        <f>IFERROR(__xludf.DUMMYFUNCTION("""COMPUTED_VALUE"""),3162.217564)</f>
        <v>3162.217564</v>
      </c>
    </row>
    <row r="1252">
      <c r="A1252" s="3">
        <f>IFERROR(__xludf.DUMMYFUNCTION("""COMPUTED_VALUE"""),41608.99861111111)</f>
        <v>41608.99861</v>
      </c>
      <c r="B1252" s="1">
        <f>IFERROR(__xludf.DUMMYFUNCTION("""COMPUTED_VALUE"""),3103.64157)</f>
        <v>3103.64157</v>
      </c>
    </row>
    <row r="1253">
      <c r="A1253" s="3">
        <f>IFERROR(__xludf.DUMMYFUNCTION("""COMPUTED_VALUE"""),41609.99861111111)</f>
        <v>41609.99861</v>
      </c>
      <c r="B1253" s="1">
        <f>IFERROR(__xludf.DUMMYFUNCTION("""COMPUTED_VALUE"""),3103.64157)</f>
        <v>3103.64157</v>
      </c>
    </row>
    <row r="1254">
      <c r="A1254" s="3">
        <f>IFERROR(__xludf.DUMMYFUNCTION("""COMPUTED_VALUE"""),41610.99861111111)</f>
        <v>41610.99861</v>
      </c>
      <c r="B1254" s="1">
        <f>IFERROR(__xludf.DUMMYFUNCTION("""COMPUTED_VALUE"""),3171.78608)</f>
        <v>3171.78608</v>
      </c>
    </row>
    <row r="1255">
      <c r="A1255" s="3">
        <f>IFERROR(__xludf.DUMMYFUNCTION("""COMPUTED_VALUE"""),41611.99861111111)</f>
        <v>41611.99861</v>
      </c>
      <c r="B1255" s="1">
        <f>IFERROR(__xludf.DUMMYFUNCTION("""COMPUTED_VALUE"""),3171.87082)</f>
        <v>3171.87082</v>
      </c>
    </row>
    <row r="1256">
      <c r="A1256" s="3">
        <f>IFERROR(__xludf.DUMMYFUNCTION("""COMPUTED_VALUE"""),41612.99861111111)</f>
        <v>41612.99861</v>
      </c>
      <c r="B1256" s="1">
        <f>IFERROR(__xludf.DUMMYFUNCTION("""COMPUTED_VALUE"""),3195.174635)</f>
        <v>3195.174635</v>
      </c>
    </row>
    <row r="1257">
      <c r="A1257" s="3">
        <f>IFERROR(__xludf.DUMMYFUNCTION("""COMPUTED_VALUE"""),41613.99861111111)</f>
        <v>41613.99861</v>
      </c>
      <c r="B1257" s="1">
        <f>IFERROR(__xludf.DUMMYFUNCTION("""COMPUTED_VALUE"""),3195.804654)</f>
        <v>3195.804654</v>
      </c>
    </row>
    <row r="1258">
      <c r="A1258" s="3">
        <f>IFERROR(__xludf.DUMMYFUNCTION("""COMPUTED_VALUE"""),41614.99861111111)</f>
        <v>41614.99861</v>
      </c>
      <c r="B1258" s="1">
        <f>IFERROR(__xludf.DUMMYFUNCTION("""COMPUTED_VALUE"""),3186.581622)</f>
        <v>3186.581622</v>
      </c>
    </row>
    <row r="1259">
      <c r="A1259" s="3">
        <f>IFERROR(__xludf.DUMMYFUNCTION("""COMPUTED_VALUE"""),41615.99861111111)</f>
        <v>41615.99861</v>
      </c>
      <c r="B1259" s="1">
        <f>IFERROR(__xludf.DUMMYFUNCTION("""COMPUTED_VALUE"""),3117.791505)</f>
        <v>3117.791505</v>
      </c>
    </row>
    <row r="1260">
      <c r="A1260" s="3">
        <f>IFERROR(__xludf.DUMMYFUNCTION("""COMPUTED_VALUE"""),41616.99861111111)</f>
        <v>41616.99861</v>
      </c>
      <c r="B1260" s="1">
        <f>IFERROR(__xludf.DUMMYFUNCTION("""COMPUTED_VALUE"""),3117.458565)</f>
        <v>3117.458565</v>
      </c>
    </row>
    <row r="1261">
      <c r="A1261" s="3">
        <f>IFERROR(__xludf.DUMMYFUNCTION("""COMPUTED_VALUE"""),41617.99861111111)</f>
        <v>41617.99861</v>
      </c>
      <c r="B1261" s="1">
        <f>IFERROR(__xludf.DUMMYFUNCTION("""COMPUTED_VALUE"""),3152.655448)</f>
        <v>3152.655448</v>
      </c>
    </row>
    <row r="1262">
      <c r="A1262" s="3">
        <f>IFERROR(__xludf.DUMMYFUNCTION("""COMPUTED_VALUE"""),41618.99861111111)</f>
        <v>41618.99861</v>
      </c>
      <c r="B1262" s="1">
        <f>IFERROR(__xludf.DUMMYFUNCTION("""COMPUTED_VALUE"""),3158.091297)</f>
        <v>3158.091297</v>
      </c>
    </row>
    <row r="1263">
      <c r="A1263" s="3">
        <f>IFERROR(__xludf.DUMMYFUNCTION("""COMPUTED_VALUE"""),41619.99861111111)</f>
        <v>41619.99861</v>
      </c>
      <c r="B1263" s="1">
        <f>IFERROR(__xludf.DUMMYFUNCTION("""COMPUTED_VALUE"""),3170.002659)</f>
        <v>3170.002659</v>
      </c>
    </row>
    <row r="1264">
      <c r="A1264" s="3">
        <f>IFERROR(__xludf.DUMMYFUNCTION("""COMPUTED_VALUE"""),41620.99861111111)</f>
        <v>41620.99861</v>
      </c>
      <c r="B1264" s="1">
        <f>IFERROR(__xludf.DUMMYFUNCTION("""COMPUTED_VALUE"""),3202.466025)</f>
        <v>3202.466025</v>
      </c>
    </row>
    <row r="1265">
      <c r="A1265" s="3">
        <f>IFERROR(__xludf.DUMMYFUNCTION("""COMPUTED_VALUE"""),41621.99861111111)</f>
        <v>41621.99861</v>
      </c>
      <c r="B1265" s="1">
        <f>IFERROR(__xludf.DUMMYFUNCTION("""COMPUTED_VALUE"""),3204.981131)</f>
        <v>3204.981131</v>
      </c>
    </row>
    <row r="1266">
      <c r="A1266" s="3">
        <f>IFERROR(__xludf.DUMMYFUNCTION("""COMPUTED_VALUE"""),41622.99861111111)</f>
        <v>41622.99861</v>
      </c>
      <c r="B1266" s="1">
        <f>IFERROR(__xludf.DUMMYFUNCTION("""COMPUTED_VALUE"""),3205.042463)</f>
        <v>3205.042463</v>
      </c>
    </row>
    <row r="1267">
      <c r="A1267" s="3">
        <f>IFERROR(__xludf.DUMMYFUNCTION("""COMPUTED_VALUE"""),41623.99861111111)</f>
        <v>41623.99861</v>
      </c>
      <c r="B1267" s="1">
        <f>IFERROR(__xludf.DUMMYFUNCTION("""COMPUTED_VALUE"""),3200.384332)</f>
        <v>3200.384332</v>
      </c>
    </row>
    <row r="1268">
      <c r="A1268" s="3">
        <f>IFERROR(__xludf.DUMMYFUNCTION("""COMPUTED_VALUE"""),41624.99861111111)</f>
        <v>41624.99861</v>
      </c>
      <c r="B1268" s="1">
        <f>IFERROR(__xludf.DUMMYFUNCTION("""COMPUTED_VALUE"""),3193.124721)</f>
        <v>3193.124721</v>
      </c>
    </row>
    <row r="1269">
      <c r="A1269" s="3">
        <f>IFERROR(__xludf.DUMMYFUNCTION("""COMPUTED_VALUE"""),41625.99861111111)</f>
        <v>41625.99861</v>
      </c>
      <c r="B1269" s="1">
        <f>IFERROR(__xludf.DUMMYFUNCTION("""COMPUTED_VALUE"""),3195.648047)</f>
        <v>3195.648047</v>
      </c>
    </row>
    <row r="1270">
      <c r="A1270" s="3">
        <f>IFERROR(__xludf.DUMMYFUNCTION("""COMPUTED_VALUE"""),41626.99861111111)</f>
        <v>41626.99861</v>
      </c>
      <c r="B1270" s="1">
        <f>IFERROR(__xludf.DUMMYFUNCTION("""COMPUTED_VALUE"""),3205.850127)</f>
        <v>3205.850127</v>
      </c>
    </row>
    <row r="1271">
      <c r="A1271" s="3">
        <f>IFERROR(__xludf.DUMMYFUNCTION("""COMPUTED_VALUE"""),41627.99861111111)</f>
        <v>41627.99861</v>
      </c>
      <c r="B1271" s="1">
        <f>IFERROR(__xludf.DUMMYFUNCTION("""COMPUTED_VALUE"""),3234.312861)</f>
        <v>3234.312861</v>
      </c>
    </row>
    <row r="1272">
      <c r="A1272" s="3">
        <f>IFERROR(__xludf.DUMMYFUNCTION("""COMPUTED_VALUE"""),41628.99861111111)</f>
        <v>41628.99861</v>
      </c>
      <c r="B1272" s="1">
        <f>IFERROR(__xludf.DUMMYFUNCTION("""COMPUTED_VALUE"""),3243.308055)</f>
        <v>3243.308055</v>
      </c>
    </row>
    <row r="1273">
      <c r="A1273" s="3">
        <f>IFERROR(__xludf.DUMMYFUNCTION("""COMPUTED_VALUE"""),41629.99861111111)</f>
        <v>41629.99861</v>
      </c>
      <c r="B1273" s="1">
        <f>IFERROR(__xludf.DUMMYFUNCTION("""COMPUTED_VALUE"""),3242.424034)</f>
        <v>3242.424034</v>
      </c>
    </row>
    <row r="1274">
      <c r="A1274" s="3">
        <f>IFERROR(__xludf.DUMMYFUNCTION("""COMPUTED_VALUE"""),41630.99861111111)</f>
        <v>41630.99861</v>
      </c>
      <c r="B1274" s="1">
        <f>IFERROR(__xludf.DUMMYFUNCTION("""COMPUTED_VALUE"""),3243.048467)</f>
        <v>3243.048467</v>
      </c>
    </row>
    <row r="1275">
      <c r="A1275" s="3">
        <f>IFERROR(__xludf.DUMMYFUNCTION("""COMPUTED_VALUE"""),41631.99861111111)</f>
        <v>41631.99861</v>
      </c>
      <c r="B1275" s="1">
        <f>IFERROR(__xludf.DUMMYFUNCTION("""COMPUTED_VALUE"""),3242.053006)</f>
        <v>3242.053006</v>
      </c>
    </row>
    <row r="1276">
      <c r="A1276" s="3">
        <f>IFERROR(__xludf.DUMMYFUNCTION("""COMPUTED_VALUE"""),41632.99861111111)</f>
        <v>41632.99861</v>
      </c>
      <c r="B1276" s="1">
        <f>IFERROR(__xludf.DUMMYFUNCTION("""COMPUTED_VALUE"""),3239.552957)</f>
        <v>3239.552957</v>
      </c>
    </row>
    <row r="1277">
      <c r="A1277" s="3">
        <f>IFERROR(__xludf.DUMMYFUNCTION("""COMPUTED_VALUE"""),41633.99861111111)</f>
        <v>41633.99861</v>
      </c>
      <c r="B1277" s="1">
        <f>IFERROR(__xludf.DUMMYFUNCTION("""COMPUTED_VALUE"""),3239.552957)</f>
        <v>3239.552957</v>
      </c>
    </row>
    <row r="1278">
      <c r="A1278" s="3">
        <f>IFERROR(__xludf.DUMMYFUNCTION("""COMPUTED_VALUE"""),41634.99861111111)</f>
        <v>41634.99861</v>
      </c>
      <c r="B1278" s="1">
        <f>IFERROR(__xludf.DUMMYFUNCTION("""COMPUTED_VALUE"""),3239.207468)</f>
        <v>3239.207468</v>
      </c>
    </row>
    <row r="1279">
      <c r="A1279" s="3">
        <f>IFERROR(__xludf.DUMMYFUNCTION("""COMPUTED_VALUE"""),41635.99861111111)</f>
        <v>41635.99861</v>
      </c>
      <c r="B1279" s="1">
        <f>IFERROR(__xludf.DUMMYFUNCTION("""COMPUTED_VALUE"""),3237.866585)</f>
        <v>3237.866585</v>
      </c>
    </row>
    <row r="1280">
      <c r="A1280" s="3">
        <f>IFERROR(__xludf.DUMMYFUNCTION("""COMPUTED_VALUE"""),41636.99861111111)</f>
        <v>41636.99861</v>
      </c>
      <c r="B1280" s="1">
        <f>IFERROR(__xludf.DUMMYFUNCTION("""COMPUTED_VALUE"""),3242.337521)</f>
        <v>3242.337521</v>
      </c>
    </row>
    <row r="1281">
      <c r="A1281" s="3">
        <f>IFERROR(__xludf.DUMMYFUNCTION("""COMPUTED_VALUE"""),41637.99861111111)</f>
        <v>41637.99861</v>
      </c>
      <c r="B1281" s="1">
        <f>IFERROR(__xludf.DUMMYFUNCTION("""COMPUTED_VALUE"""),3240.026647)</f>
        <v>3240.026647</v>
      </c>
    </row>
    <row r="1282">
      <c r="A1282" s="3">
        <f>IFERROR(__xludf.DUMMYFUNCTION("""COMPUTED_VALUE"""),41638.99861111111)</f>
        <v>41638.99861</v>
      </c>
      <c r="B1282" s="1">
        <f>IFERROR(__xludf.DUMMYFUNCTION("""COMPUTED_VALUE"""),3258.160036)</f>
        <v>3258.160036</v>
      </c>
    </row>
    <row r="1283">
      <c r="A1283" s="3">
        <f>IFERROR(__xludf.DUMMYFUNCTION("""COMPUTED_VALUE"""),41639.99861111111)</f>
        <v>41639.99861</v>
      </c>
      <c r="B1283" s="1">
        <f>IFERROR(__xludf.DUMMYFUNCTION("""COMPUTED_VALUE"""),3244.902236)</f>
        <v>3244.902236</v>
      </c>
    </row>
    <row r="1284">
      <c r="A1284" s="3">
        <f>IFERROR(__xludf.DUMMYFUNCTION("""COMPUTED_VALUE"""),41640.99861111111)</f>
        <v>41640.99861</v>
      </c>
      <c r="B1284" s="1">
        <f>IFERROR(__xludf.DUMMYFUNCTION("""COMPUTED_VALUE"""),3242.133252)</f>
        <v>3242.133252</v>
      </c>
    </row>
    <row r="1285">
      <c r="A1285" s="3">
        <f>IFERROR(__xludf.DUMMYFUNCTION("""COMPUTED_VALUE"""),41641.99861111111)</f>
        <v>41641.99861</v>
      </c>
      <c r="B1285" s="1">
        <f>IFERROR(__xludf.DUMMYFUNCTION("""COMPUTED_VALUE"""),3230.042437)</f>
        <v>3230.042437</v>
      </c>
    </row>
    <row r="1286">
      <c r="A1286" s="3">
        <f>IFERROR(__xludf.DUMMYFUNCTION("""COMPUTED_VALUE"""),41642.99861111111)</f>
        <v>41642.99861</v>
      </c>
      <c r="B1286" s="1">
        <f>IFERROR(__xludf.DUMMYFUNCTION("""COMPUTED_VALUE"""),3231.902594)</f>
        <v>3231.902594</v>
      </c>
    </row>
    <row r="1287">
      <c r="A1287" s="3">
        <f>IFERROR(__xludf.DUMMYFUNCTION("""COMPUTED_VALUE"""),41643.99861111111)</f>
        <v>41643.99861</v>
      </c>
      <c r="B1287" s="1">
        <f>IFERROR(__xludf.DUMMYFUNCTION("""COMPUTED_VALUE"""),3231.251501)</f>
        <v>3231.251501</v>
      </c>
    </row>
    <row r="1288">
      <c r="A1288" s="3">
        <f>IFERROR(__xludf.DUMMYFUNCTION("""COMPUTED_VALUE"""),41644.99861111111)</f>
        <v>41644.99861</v>
      </c>
      <c r="B1288" s="1">
        <f>IFERROR(__xludf.DUMMYFUNCTION("""COMPUTED_VALUE"""),3232.711452)</f>
        <v>3232.711452</v>
      </c>
    </row>
    <row r="1289">
      <c r="A1289" s="3">
        <f>IFERROR(__xludf.DUMMYFUNCTION("""COMPUTED_VALUE"""),41645.99861111111)</f>
        <v>41645.99861</v>
      </c>
      <c r="B1289" s="1">
        <f>IFERROR(__xludf.DUMMYFUNCTION("""COMPUTED_VALUE"""),3238.402771)</f>
        <v>3238.402771</v>
      </c>
    </row>
    <row r="1290">
      <c r="A1290" s="3">
        <f>IFERROR(__xludf.DUMMYFUNCTION("""COMPUTED_VALUE"""),41646.99861111111)</f>
        <v>41646.99861</v>
      </c>
      <c r="B1290" s="1">
        <f>IFERROR(__xludf.DUMMYFUNCTION("""COMPUTED_VALUE"""),3219.995153)</f>
        <v>3219.995153</v>
      </c>
    </row>
    <row r="1291">
      <c r="A1291" s="3">
        <f>IFERROR(__xludf.DUMMYFUNCTION("""COMPUTED_VALUE"""),41647.99861111111)</f>
        <v>41647.99861</v>
      </c>
      <c r="B1291" s="1">
        <f>IFERROR(__xludf.DUMMYFUNCTION("""COMPUTED_VALUE"""),3223.111813)</f>
        <v>3223.111813</v>
      </c>
    </row>
    <row r="1292">
      <c r="A1292" s="3">
        <f>IFERROR(__xludf.DUMMYFUNCTION("""COMPUTED_VALUE"""),41648.99861111111)</f>
        <v>41648.99861</v>
      </c>
      <c r="B1292" s="1">
        <f>IFERROR(__xludf.DUMMYFUNCTION("""COMPUTED_VALUE"""),3210.930749)</f>
        <v>3210.930749</v>
      </c>
    </row>
    <row r="1293">
      <c r="A1293" s="3">
        <f>IFERROR(__xludf.DUMMYFUNCTION("""COMPUTED_VALUE"""),41649.99861111111)</f>
        <v>41649.99861</v>
      </c>
      <c r="B1293" s="1">
        <f>IFERROR(__xludf.DUMMYFUNCTION("""COMPUTED_VALUE"""),3153.066587)</f>
        <v>3153.066587</v>
      </c>
    </row>
    <row r="1294">
      <c r="A1294" s="3">
        <f>IFERROR(__xludf.DUMMYFUNCTION("""COMPUTED_VALUE"""),41650.99861111111)</f>
        <v>41650.99861</v>
      </c>
      <c r="B1294" s="1">
        <f>IFERROR(__xludf.DUMMYFUNCTION("""COMPUTED_VALUE"""),3155.369481)</f>
        <v>3155.369481</v>
      </c>
    </row>
    <row r="1295">
      <c r="A1295" s="3">
        <f>IFERROR(__xludf.DUMMYFUNCTION("""COMPUTED_VALUE"""),41651.99861111111)</f>
        <v>41651.99861</v>
      </c>
      <c r="B1295" s="1">
        <f>IFERROR(__xludf.DUMMYFUNCTION("""COMPUTED_VALUE"""),3207.869412)</f>
        <v>3207.869412</v>
      </c>
    </row>
    <row r="1296">
      <c r="A1296" s="3">
        <f>IFERROR(__xludf.DUMMYFUNCTION("""COMPUTED_VALUE"""),41652.99861111111)</f>
        <v>41652.99861</v>
      </c>
      <c r="B1296" s="1">
        <f>IFERROR(__xludf.DUMMYFUNCTION("""COMPUTED_VALUE"""),3152.55677)</f>
        <v>3152.55677</v>
      </c>
    </row>
    <row r="1297">
      <c r="A1297" s="3">
        <f>IFERROR(__xludf.DUMMYFUNCTION("""COMPUTED_VALUE"""),41653.99861111111)</f>
        <v>41653.99861</v>
      </c>
      <c r="B1297" s="1">
        <f>IFERROR(__xludf.DUMMYFUNCTION("""COMPUTED_VALUE"""),3149.95726)</f>
        <v>3149.95726</v>
      </c>
    </row>
    <row r="1298">
      <c r="A1298" s="3">
        <f>IFERROR(__xludf.DUMMYFUNCTION("""COMPUTED_VALUE"""),41654.99861111111)</f>
        <v>41654.99861</v>
      </c>
      <c r="B1298" s="1">
        <f>IFERROR(__xludf.DUMMYFUNCTION("""COMPUTED_VALUE"""),3154.133254)</f>
        <v>3154.133254</v>
      </c>
    </row>
    <row r="1299">
      <c r="A1299" s="3">
        <f>IFERROR(__xludf.DUMMYFUNCTION("""COMPUTED_VALUE"""),41655.99861111111)</f>
        <v>41655.99861</v>
      </c>
      <c r="B1299" s="1">
        <f>IFERROR(__xludf.DUMMYFUNCTION("""COMPUTED_VALUE"""),3169.917969)</f>
        <v>3169.917969</v>
      </c>
    </row>
    <row r="1300">
      <c r="A1300" s="3">
        <f>IFERROR(__xludf.DUMMYFUNCTION("""COMPUTED_VALUE"""),41656.99861111111)</f>
        <v>41656.99861</v>
      </c>
      <c r="B1300" s="1">
        <f>IFERROR(__xludf.DUMMYFUNCTION("""COMPUTED_VALUE"""),3162.133254)</f>
        <v>3162.133254</v>
      </c>
    </row>
    <row r="1301">
      <c r="A1301" s="3">
        <f>IFERROR(__xludf.DUMMYFUNCTION("""COMPUTED_VALUE"""),41657.99861111111)</f>
        <v>41657.99861</v>
      </c>
      <c r="B1301" s="1">
        <f>IFERROR(__xludf.DUMMYFUNCTION("""COMPUTED_VALUE"""),3166.850775)</f>
        <v>3166.850775</v>
      </c>
    </row>
    <row r="1302">
      <c r="A1302" s="3">
        <f>IFERROR(__xludf.DUMMYFUNCTION("""COMPUTED_VALUE"""),41658.99861111111)</f>
        <v>41658.99861</v>
      </c>
      <c r="B1302" s="1">
        <f>IFERROR(__xludf.DUMMYFUNCTION("""COMPUTED_VALUE"""),3195.881833)</f>
        <v>3195.881833</v>
      </c>
    </row>
    <row r="1303">
      <c r="A1303" s="3">
        <f>IFERROR(__xludf.DUMMYFUNCTION("""COMPUTED_VALUE"""),41659.99861111111)</f>
        <v>41659.99861</v>
      </c>
      <c r="B1303" s="1">
        <f>IFERROR(__xludf.DUMMYFUNCTION("""COMPUTED_VALUE"""),3175.666566)</f>
        <v>3175.666566</v>
      </c>
    </row>
    <row r="1304">
      <c r="A1304" s="3">
        <f>IFERROR(__xludf.DUMMYFUNCTION("""COMPUTED_VALUE"""),41660.99861111111)</f>
        <v>41660.99861</v>
      </c>
      <c r="B1304" s="1">
        <f>IFERROR(__xludf.DUMMYFUNCTION("""COMPUTED_VALUE"""),3219.452256)</f>
        <v>3219.452256</v>
      </c>
    </row>
    <row r="1305">
      <c r="A1305" s="3">
        <f>IFERROR(__xludf.DUMMYFUNCTION("""COMPUTED_VALUE"""),41661.99861111111)</f>
        <v>41661.99861</v>
      </c>
      <c r="B1305" s="1">
        <f>IFERROR(__xludf.DUMMYFUNCTION("""COMPUTED_VALUE"""),3216.78317)</f>
        <v>3216.78317</v>
      </c>
    </row>
    <row r="1306">
      <c r="A1306" s="3">
        <f>IFERROR(__xludf.DUMMYFUNCTION("""COMPUTED_VALUE"""),41662.99861111111)</f>
        <v>41662.99861</v>
      </c>
      <c r="B1306" s="1">
        <f>IFERROR(__xludf.DUMMYFUNCTION("""COMPUTED_VALUE"""),3227.726425)</f>
        <v>3227.726425</v>
      </c>
    </row>
    <row r="1307">
      <c r="A1307" s="3">
        <f>IFERROR(__xludf.DUMMYFUNCTION("""COMPUTED_VALUE"""),41663.99861111111)</f>
        <v>41663.99861</v>
      </c>
      <c r="B1307" s="1">
        <f>IFERROR(__xludf.DUMMYFUNCTION("""COMPUTED_VALUE"""),3233.694139)</f>
        <v>3233.694139</v>
      </c>
    </row>
    <row r="1308">
      <c r="A1308" s="3">
        <f>IFERROR(__xludf.DUMMYFUNCTION("""COMPUTED_VALUE"""),41664.99861111111)</f>
        <v>41664.99861</v>
      </c>
      <c r="B1308" s="1">
        <f>IFERROR(__xludf.DUMMYFUNCTION("""COMPUTED_VALUE"""),3236.331538)</f>
        <v>3236.331538</v>
      </c>
    </row>
    <row r="1309">
      <c r="A1309" s="3">
        <f>IFERROR(__xludf.DUMMYFUNCTION("""COMPUTED_VALUE"""),41665.99861111111)</f>
        <v>41665.99861</v>
      </c>
      <c r="B1309" s="1">
        <f>IFERROR(__xludf.DUMMYFUNCTION("""COMPUTED_VALUE"""),3236.369356)</f>
        <v>3236.369356</v>
      </c>
    </row>
    <row r="1310">
      <c r="A1310" s="3">
        <f>IFERROR(__xludf.DUMMYFUNCTION("""COMPUTED_VALUE"""),41666.99861111111)</f>
        <v>41666.99861</v>
      </c>
      <c r="B1310" s="1">
        <f>IFERROR(__xludf.DUMMYFUNCTION("""COMPUTED_VALUE"""),3255.311118)</f>
        <v>3255.311118</v>
      </c>
    </row>
    <row r="1311">
      <c r="A1311" s="3">
        <f>IFERROR(__xludf.DUMMYFUNCTION("""COMPUTED_VALUE"""),41667.99861111111)</f>
        <v>41667.99861</v>
      </c>
      <c r="B1311" s="1">
        <f>IFERROR(__xludf.DUMMYFUNCTION("""COMPUTED_VALUE"""),3227.5541)</f>
        <v>3227.5541</v>
      </c>
    </row>
    <row r="1312">
      <c r="A1312" s="3">
        <f>IFERROR(__xludf.DUMMYFUNCTION("""COMPUTED_VALUE"""),41668.99861111111)</f>
        <v>41668.99861</v>
      </c>
      <c r="B1312" s="1">
        <f>IFERROR(__xludf.DUMMYFUNCTION("""COMPUTED_VALUE"""),3225.866674)</f>
        <v>3225.866674</v>
      </c>
    </row>
    <row r="1313">
      <c r="A1313" s="3">
        <f>IFERROR(__xludf.DUMMYFUNCTION("""COMPUTED_VALUE"""),41669.99861111111)</f>
        <v>41669.99861</v>
      </c>
      <c r="B1313" s="1">
        <f>IFERROR(__xludf.DUMMYFUNCTION("""COMPUTED_VALUE"""),3240.89882)</f>
        <v>3240.89882</v>
      </c>
    </row>
    <row r="1314">
      <c r="A1314" s="3">
        <f>IFERROR(__xludf.DUMMYFUNCTION("""COMPUTED_VALUE"""),41670.99861111111)</f>
        <v>41670.99861</v>
      </c>
      <c r="B1314" s="1">
        <f>IFERROR(__xludf.DUMMYFUNCTION("""COMPUTED_VALUE"""),3239.740759)</f>
        <v>3239.740759</v>
      </c>
    </row>
    <row r="1315">
      <c r="A1315" s="3">
        <f>IFERROR(__xludf.DUMMYFUNCTION("""COMPUTED_VALUE"""),41671.99861111111)</f>
        <v>41671.99861</v>
      </c>
      <c r="B1315" s="1">
        <f>IFERROR(__xludf.DUMMYFUNCTION("""COMPUTED_VALUE"""),3248.155853)</f>
        <v>3248.155853</v>
      </c>
    </row>
    <row r="1316">
      <c r="A1316" s="3">
        <f>IFERROR(__xludf.DUMMYFUNCTION("""COMPUTED_VALUE"""),41672.99861111111)</f>
        <v>41672.99861</v>
      </c>
      <c r="B1316" s="1">
        <f>IFERROR(__xludf.DUMMYFUNCTION("""COMPUTED_VALUE"""),3242.853711)</f>
        <v>3242.853711</v>
      </c>
    </row>
    <row r="1317">
      <c r="A1317" s="3">
        <f>IFERROR(__xludf.DUMMYFUNCTION("""COMPUTED_VALUE"""),41673.99861111111)</f>
        <v>41673.99861</v>
      </c>
      <c r="B1317" s="1">
        <f>IFERROR(__xludf.DUMMYFUNCTION("""COMPUTED_VALUE"""),3227.640323)</f>
        <v>3227.640323</v>
      </c>
    </row>
    <row r="1318">
      <c r="A1318" s="3">
        <f>IFERROR(__xludf.DUMMYFUNCTION("""COMPUTED_VALUE"""),41674.99861111111)</f>
        <v>41674.99861</v>
      </c>
      <c r="B1318" s="1">
        <f>IFERROR(__xludf.DUMMYFUNCTION("""COMPUTED_VALUE"""),3197.491316)</f>
        <v>3197.491316</v>
      </c>
    </row>
    <row r="1319">
      <c r="A1319" s="3">
        <f>IFERROR(__xludf.DUMMYFUNCTION("""COMPUTED_VALUE"""),41675.99861111111)</f>
        <v>41675.99861</v>
      </c>
      <c r="B1319" s="1">
        <f>IFERROR(__xludf.DUMMYFUNCTION("""COMPUTED_VALUE"""),3208.242093)</f>
        <v>3208.242093</v>
      </c>
    </row>
    <row r="1320">
      <c r="A1320" s="3">
        <f>IFERROR(__xludf.DUMMYFUNCTION("""COMPUTED_VALUE"""),41676.99861111111)</f>
        <v>41676.99861</v>
      </c>
      <c r="B1320" s="1">
        <f>IFERROR(__xludf.DUMMYFUNCTION("""COMPUTED_VALUE"""),3186.804387)</f>
        <v>3186.804387</v>
      </c>
    </row>
    <row r="1321">
      <c r="A1321" s="3">
        <f>IFERROR(__xludf.DUMMYFUNCTION("""COMPUTED_VALUE"""),41677.99861111111)</f>
        <v>41677.99861</v>
      </c>
      <c r="B1321" s="1">
        <f>IFERROR(__xludf.DUMMYFUNCTION("""COMPUTED_VALUE"""),3200.351913)</f>
        <v>3200.351913</v>
      </c>
    </row>
    <row r="1322">
      <c r="A1322" s="3">
        <f>IFERROR(__xludf.DUMMYFUNCTION("""COMPUTED_VALUE"""),41678.99861111111)</f>
        <v>41678.99861</v>
      </c>
      <c r="B1322" s="1">
        <f>IFERROR(__xludf.DUMMYFUNCTION("""COMPUTED_VALUE"""),3207.351717)</f>
        <v>3207.351717</v>
      </c>
    </row>
    <row r="1323">
      <c r="A1323" s="3">
        <f>IFERROR(__xludf.DUMMYFUNCTION("""COMPUTED_VALUE"""),41679.99861111111)</f>
        <v>41679.99861</v>
      </c>
      <c r="B1323" s="1">
        <f>IFERROR(__xludf.DUMMYFUNCTION("""COMPUTED_VALUE"""),3202.487011)</f>
        <v>3202.487011</v>
      </c>
    </row>
    <row r="1324">
      <c r="A1324" s="3">
        <f>IFERROR(__xludf.DUMMYFUNCTION("""COMPUTED_VALUE"""),41680.99861111111)</f>
        <v>41680.99861</v>
      </c>
      <c r="B1324" s="1">
        <f>IFERROR(__xludf.DUMMYFUNCTION("""COMPUTED_VALUE"""),3209.672174)</f>
        <v>3209.672174</v>
      </c>
    </row>
    <row r="1325">
      <c r="A1325" s="3">
        <f>IFERROR(__xludf.DUMMYFUNCTION("""COMPUTED_VALUE"""),41681.99861111111)</f>
        <v>41681.99861</v>
      </c>
      <c r="B1325" s="1">
        <f>IFERROR(__xludf.DUMMYFUNCTION("""COMPUTED_VALUE"""),3200.149464)</f>
        <v>3200.149464</v>
      </c>
    </row>
    <row r="1326">
      <c r="A1326" s="3">
        <f>IFERROR(__xludf.DUMMYFUNCTION("""COMPUTED_VALUE"""),41682.99861111111)</f>
        <v>41682.99861</v>
      </c>
      <c r="B1326" s="1">
        <f>IFERROR(__xludf.DUMMYFUNCTION("""COMPUTED_VALUE"""),3184.487222)</f>
        <v>3184.487222</v>
      </c>
    </row>
    <row r="1327">
      <c r="A1327" s="3">
        <f>IFERROR(__xludf.DUMMYFUNCTION("""COMPUTED_VALUE"""),41683.99861111111)</f>
        <v>41683.99861</v>
      </c>
      <c r="B1327" s="1">
        <f>IFERROR(__xludf.DUMMYFUNCTION("""COMPUTED_VALUE"""),3169.553456)</f>
        <v>3169.553456</v>
      </c>
    </row>
    <row r="1328">
      <c r="A1328" s="3">
        <f>IFERROR(__xludf.DUMMYFUNCTION("""COMPUTED_VALUE"""),41684.99861111111)</f>
        <v>41684.99861</v>
      </c>
      <c r="B1328" s="1">
        <f>IFERROR(__xludf.DUMMYFUNCTION("""COMPUTED_VALUE"""),3097.163232)</f>
        <v>3097.163232</v>
      </c>
    </row>
    <row r="1329">
      <c r="A1329" s="3">
        <f>IFERROR(__xludf.DUMMYFUNCTION("""COMPUTED_VALUE"""),41685.99861111111)</f>
        <v>41685.99861</v>
      </c>
      <c r="B1329" s="1">
        <f>IFERROR(__xludf.DUMMYFUNCTION("""COMPUTED_VALUE"""),3102.841859)</f>
        <v>3102.841859</v>
      </c>
    </row>
    <row r="1330">
      <c r="A1330" s="3">
        <f>IFERROR(__xludf.DUMMYFUNCTION("""COMPUTED_VALUE"""),41686.99861111111)</f>
        <v>41686.99861</v>
      </c>
      <c r="B1330" s="1">
        <f>IFERROR(__xludf.DUMMYFUNCTION("""COMPUTED_VALUE"""),3118.345528)</f>
        <v>3118.345528</v>
      </c>
    </row>
    <row r="1331">
      <c r="A1331" s="3">
        <f>IFERROR(__xludf.DUMMYFUNCTION("""COMPUTED_VALUE"""),41687.99861111111)</f>
        <v>41687.99861</v>
      </c>
      <c r="B1331" s="1">
        <f>IFERROR(__xludf.DUMMYFUNCTION("""COMPUTED_VALUE"""),3104.248882)</f>
        <v>3104.248882</v>
      </c>
    </row>
    <row r="1332">
      <c r="A1332" s="3">
        <f>IFERROR(__xludf.DUMMYFUNCTION("""COMPUTED_VALUE"""),41688.99861111111)</f>
        <v>41688.99861</v>
      </c>
      <c r="B1332" s="1">
        <f>IFERROR(__xludf.DUMMYFUNCTION("""COMPUTED_VALUE"""),3159.692492)</f>
        <v>3159.692492</v>
      </c>
    </row>
    <row r="1333">
      <c r="A1333" s="3">
        <f>IFERROR(__xludf.DUMMYFUNCTION("""COMPUTED_VALUE"""),41689.99861111111)</f>
        <v>41689.99861</v>
      </c>
      <c r="B1333" s="1">
        <f>IFERROR(__xludf.DUMMYFUNCTION("""COMPUTED_VALUE"""),3115.34038)</f>
        <v>3115.34038</v>
      </c>
    </row>
    <row r="1334">
      <c r="A1334" s="3">
        <f>IFERROR(__xludf.DUMMYFUNCTION("""COMPUTED_VALUE"""),41690.99861111111)</f>
        <v>41690.99861</v>
      </c>
      <c r="B1334" s="1">
        <f>IFERROR(__xludf.DUMMYFUNCTION("""COMPUTED_VALUE"""),3139.11275)</f>
        <v>3139.11275</v>
      </c>
    </row>
    <row r="1335">
      <c r="A1335" s="3">
        <f>IFERROR(__xludf.DUMMYFUNCTION("""COMPUTED_VALUE"""),41691.99861111111)</f>
        <v>41691.99861</v>
      </c>
      <c r="B1335" s="1">
        <f>IFERROR(__xludf.DUMMYFUNCTION("""COMPUTED_VALUE"""),3114.933255)</f>
        <v>3114.933255</v>
      </c>
    </row>
    <row r="1336">
      <c r="A1336" s="3">
        <f>IFERROR(__xludf.DUMMYFUNCTION("""COMPUTED_VALUE"""),41692.99861111111)</f>
        <v>41692.99861</v>
      </c>
      <c r="B1336" s="1">
        <f>IFERROR(__xludf.DUMMYFUNCTION("""COMPUTED_VALUE"""),3121.070564)</f>
        <v>3121.070564</v>
      </c>
    </row>
    <row r="1337">
      <c r="A1337" s="3">
        <f>IFERROR(__xludf.DUMMYFUNCTION("""COMPUTED_VALUE"""),41693.99861111111)</f>
        <v>41693.99861</v>
      </c>
      <c r="B1337" s="1">
        <f>IFERROR(__xludf.DUMMYFUNCTION("""COMPUTED_VALUE"""),3117.676888)</f>
        <v>3117.676888</v>
      </c>
    </row>
    <row r="1338">
      <c r="A1338" s="3">
        <f>IFERROR(__xludf.DUMMYFUNCTION("""COMPUTED_VALUE"""),41694.99861111111)</f>
        <v>41694.99861</v>
      </c>
      <c r="B1338" s="1">
        <f>IFERROR(__xludf.DUMMYFUNCTION("""COMPUTED_VALUE"""),3089.734648)</f>
        <v>3089.734648</v>
      </c>
    </row>
    <row r="1339">
      <c r="A1339" s="3">
        <f>IFERROR(__xludf.DUMMYFUNCTION("""COMPUTED_VALUE"""),41695.99861111111)</f>
        <v>41695.99861</v>
      </c>
      <c r="B1339" s="1">
        <f>IFERROR(__xludf.DUMMYFUNCTION("""COMPUTED_VALUE"""),3101.395894)</f>
        <v>3101.395894</v>
      </c>
    </row>
    <row r="1340">
      <c r="A1340" s="3">
        <f>IFERROR(__xludf.DUMMYFUNCTION("""COMPUTED_VALUE"""),41696.99861111111)</f>
        <v>41696.99861</v>
      </c>
      <c r="B1340" s="1">
        <f>IFERROR(__xludf.DUMMYFUNCTION("""COMPUTED_VALUE"""),3113.673365)</f>
        <v>3113.673365</v>
      </c>
    </row>
    <row r="1341">
      <c r="A1341" s="3">
        <f>IFERROR(__xludf.DUMMYFUNCTION("""COMPUTED_VALUE"""),41697.99861111111)</f>
        <v>41697.99861</v>
      </c>
      <c r="B1341" s="1">
        <f>IFERROR(__xludf.DUMMYFUNCTION("""COMPUTED_VALUE"""),3096.324765)</f>
        <v>3096.324765</v>
      </c>
    </row>
    <row r="1342">
      <c r="A1342" s="3">
        <f>IFERROR(__xludf.DUMMYFUNCTION("""COMPUTED_VALUE"""),41698.99861111111)</f>
        <v>41698.99861</v>
      </c>
      <c r="B1342" s="1">
        <f>IFERROR(__xludf.DUMMYFUNCTION("""COMPUTED_VALUE"""),3087.536686)</f>
        <v>3087.536686</v>
      </c>
    </row>
    <row r="1343">
      <c r="A1343" s="3">
        <f>IFERROR(__xludf.DUMMYFUNCTION("""COMPUTED_VALUE"""),41699.99861111111)</f>
        <v>41699.99861</v>
      </c>
      <c r="B1343" s="1">
        <f>IFERROR(__xludf.DUMMYFUNCTION("""COMPUTED_VALUE"""),3092.468632)</f>
        <v>3092.468632</v>
      </c>
    </row>
    <row r="1344">
      <c r="A1344" s="3">
        <f>IFERROR(__xludf.DUMMYFUNCTION("""COMPUTED_VALUE"""),41700.99861111111)</f>
        <v>41700.99861</v>
      </c>
      <c r="B1344" s="1">
        <f>IFERROR(__xludf.DUMMYFUNCTION("""COMPUTED_VALUE"""),3087.536686)</f>
        <v>3087.536686</v>
      </c>
    </row>
    <row r="1345">
      <c r="A1345" s="3">
        <f>IFERROR(__xludf.DUMMYFUNCTION("""COMPUTED_VALUE"""),41701.99861111111)</f>
        <v>41701.99861</v>
      </c>
      <c r="B1345" s="1">
        <f>IFERROR(__xludf.DUMMYFUNCTION("""COMPUTED_VALUE"""),3111.00435)</f>
        <v>3111.00435</v>
      </c>
    </row>
    <row r="1346">
      <c r="A1346" s="3">
        <f>IFERROR(__xludf.DUMMYFUNCTION("""COMPUTED_VALUE"""),41702.99861111111)</f>
        <v>41702.99861</v>
      </c>
      <c r="B1346" s="1">
        <f>IFERROR(__xludf.DUMMYFUNCTION("""COMPUTED_VALUE"""),3086.900746)</f>
        <v>3086.900746</v>
      </c>
    </row>
    <row r="1347">
      <c r="A1347" s="3">
        <f>IFERROR(__xludf.DUMMYFUNCTION("""COMPUTED_VALUE"""),41703.99861111111)</f>
        <v>41703.99861</v>
      </c>
      <c r="B1347" s="1">
        <f>IFERROR(__xludf.DUMMYFUNCTION("""COMPUTED_VALUE"""),3085.353113)</f>
        <v>3085.353113</v>
      </c>
    </row>
    <row r="1348">
      <c r="A1348" s="3">
        <f>IFERROR(__xludf.DUMMYFUNCTION("""COMPUTED_VALUE"""),41704.99861111111)</f>
        <v>41704.99861</v>
      </c>
      <c r="B1348" s="1">
        <f>IFERROR(__xludf.DUMMYFUNCTION("""COMPUTED_VALUE"""),3045.265218)</f>
        <v>3045.265218</v>
      </c>
    </row>
    <row r="1349">
      <c r="A1349" s="3">
        <f>IFERROR(__xludf.DUMMYFUNCTION("""COMPUTED_VALUE"""),41705.99861111111)</f>
        <v>41705.99861</v>
      </c>
      <c r="B1349" s="1">
        <f>IFERROR(__xludf.DUMMYFUNCTION("""COMPUTED_VALUE"""),3038.373228)</f>
        <v>3038.373228</v>
      </c>
    </row>
    <row r="1350">
      <c r="A1350" s="3">
        <f>IFERROR(__xludf.DUMMYFUNCTION("""COMPUTED_VALUE"""),41706.99861111111)</f>
        <v>41706.99861</v>
      </c>
      <c r="B1350" s="1">
        <f>IFERROR(__xludf.DUMMYFUNCTION("""COMPUTED_VALUE"""),3043.425995)</f>
        <v>3043.425995</v>
      </c>
    </row>
    <row r="1351">
      <c r="A1351" s="3">
        <f>IFERROR(__xludf.DUMMYFUNCTION("""COMPUTED_VALUE"""),41707.99861111111)</f>
        <v>41707.99861</v>
      </c>
      <c r="B1351" s="1">
        <f>IFERROR(__xludf.DUMMYFUNCTION("""COMPUTED_VALUE"""),3039.022002)</f>
        <v>3039.022002</v>
      </c>
    </row>
    <row r="1352">
      <c r="A1352" s="3">
        <f>IFERROR(__xludf.DUMMYFUNCTION("""COMPUTED_VALUE"""),41708.99861111111)</f>
        <v>41708.99861</v>
      </c>
      <c r="B1352" s="1">
        <f>IFERROR(__xludf.DUMMYFUNCTION("""COMPUTED_VALUE"""),3050.765983)</f>
        <v>3050.765983</v>
      </c>
    </row>
    <row r="1353">
      <c r="A1353" s="3">
        <f>IFERROR(__xludf.DUMMYFUNCTION("""COMPUTED_VALUE"""),41709.99861111111)</f>
        <v>41709.99861</v>
      </c>
      <c r="B1353" s="1">
        <f>IFERROR(__xludf.DUMMYFUNCTION("""COMPUTED_VALUE"""),3065.44596)</f>
        <v>3065.44596</v>
      </c>
    </row>
    <row r="1354">
      <c r="A1354" s="3">
        <f>IFERROR(__xludf.DUMMYFUNCTION("""COMPUTED_VALUE"""),41710.99861111111)</f>
        <v>41710.99861</v>
      </c>
      <c r="B1354" s="1">
        <f>IFERROR(__xludf.DUMMYFUNCTION("""COMPUTED_VALUE"""),3052.100527)</f>
        <v>3052.100527</v>
      </c>
    </row>
    <row r="1355">
      <c r="A1355" s="3">
        <f>IFERROR(__xludf.DUMMYFUNCTION("""COMPUTED_VALUE"""),41711.99861111111)</f>
        <v>41711.99861</v>
      </c>
      <c r="B1355" s="1">
        <f>IFERROR(__xludf.DUMMYFUNCTION("""COMPUTED_VALUE"""),3048.282488)</f>
        <v>3048.282488</v>
      </c>
    </row>
    <row r="1356">
      <c r="A1356" s="3">
        <f>IFERROR(__xludf.DUMMYFUNCTION("""COMPUTED_VALUE"""),41712.99861111111)</f>
        <v>41712.99861</v>
      </c>
      <c r="B1356" s="1">
        <f>IFERROR(__xludf.DUMMYFUNCTION("""COMPUTED_VALUE"""),3013.713157)</f>
        <v>3013.713157</v>
      </c>
    </row>
    <row r="1357">
      <c r="A1357" s="3">
        <f>IFERROR(__xludf.DUMMYFUNCTION("""COMPUTED_VALUE"""),41713.99861111111)</f>
        <v>41713.99861</v>
      </c>
      <c r="B1357" s="1">
        <f>IFERROR(__xludf.DUMMYFUNCTION("""COMPUTED_VALUE"""),3019.326812)</f>
        <v>3019.326812</v>
      </c>
    </row>
    <row r="1358">
      <c r="A1358" s="3">
        <f>IFERROR(__xludf.DUMMYFUNCTION("""COMPUTED_VALUE"""),41714.99861111111)</f>
        <v>41714.99861</v>
      </c>
      <c r="B1358" s="1">
        <f>IFERROR(__xludf.DUMMYFUNCTION("""COMPUTED_VALUE"""),3015.000223)</f>
        <v>3015.000223</v>
      </c>
    </row>
    <row r="1359">
      <c r="A1359" s="3">
        <f>IFERROR(__xludf.DUMMYFUNCTION("""COMPUTED_VALUE"""),41715.99861111111)</f>
        <v>41715.99861</v>
      </c>
      <c r="B1359" s="1">
        <f>IFERROR(__xludf.DUMMYFUNCTION("""COMPUTED_VALUE"""),3012.25078)</f>
        <v>3012.25078</v>
      </c>
    </row>
    <row r="1360">
      <c r="A1360" s="3">
        <f>IFERROR(__xludf.DUMMYFUNCTION("""COMPUTED_VALUE"""),41716.99861111111)</f>
        <v>41716.99861</v>
      </c>
      <c r="B1360" s="1">
        <f>IFERROR(__xludf.DUMMYFUNCTION("""COMPUTED_VALUE"""),3022.579193)</f>
        <v>3022.579193</v>
      </c>
    </row>
    <row r="1361">
      <c r="A1361" s="3">
        <f>IFERROR(__xludf.DUMMYFUNCTION("""COMPUTED_VALUE"""),41717.99861111111)</f>
        <v>41717.99861</v>
      </c>
      <c r="B1361" s="1">
        <f>IFERROR(__xludf.DUMMYFUNCTION("""COMPUTED_VALUE"""),3015.839096)</f>
        <v>3015.839096</v>
      </c>
    </row>
    <row r="1362">
      <c r="A1362" s="3">
        <f>IFERROR(__xludf.DUMMYFUNCTION("""COMPUTED_VALUE"""),41718.99861111111)</f>
        <v>41718.99861</v>
      </c>
      <c r="B1362" s="1">
        <f>IFERROR(__xludf.DUMMYFUNCTION("""COMPUTED_VALUE"""),3052.263475)</f>
        <v>3052.263475</v>
      </c>
    </row>
    <row r="1363">
      <c r="A1363" s="3">
        <f>IFERROR(__xludf.DUMMYFUNCTION("""COMPUTED_VALUE"""),41719.99861111111)</f>
        <v>41719.99861</v>
      </c>
      <c r="B1363" s="1">
        <f>IFERROR(__xludf.DUMMYFUNCTION("""COMPUTED_VALUE"""),3042.132478)</f>
        <v>3042.132478</v>
      </c>
    </row>
    <row r="1364">
      <c r="A1364" s="3">
        <f>IFERROR(__xludf.DUMMYFUNCTION("""COMPUTED_VALUE"""),41720.99861111111)</f>
        <v>41720.99861</v>
      </c>
      <c r="B1364" s="1">
        <f>IFERROR(__xludf.DUMMYFUNCTION("""COMPUTED_VALUE"""),3046.901146)</f>
        <v>3046.901146</v>
      </c>
    </row>
    <row r="1365">
      <c r="A1365" s="3">
        <f>IFERROR(__xludf.DUMMYFUNCTION("""COMPUTED_VALUE"""),41721.99861111111)</f>
        <v>41721.99861</v>
      </c>
      <c r="B1365" s="1">
        <f>IFERROR(__xludf.DUMMYFUNCTION("""COMPUTED_VALUE"""),3043.025632)</f>
        <v>3043.025632</v>
      </c>
    </row>
    <row r="1366">
      <c r="A1366" s="3">
        <f>IFERROR(__xludf.DUMMYFUNCTION("""COMPUTED_VALUE"""),41722.99861111111)</f>
        <v>41722.99861</v>
      </c>
      <c r="B1366" s="1">
        <f>IFERROR(__xludf.DUMMYFUNCTION("""COMPUTED_VALUE"""),3029.6807)</f>
        <v>3029.6807</v>
      </c>
    </row>
    <row r="1367">
      <c r="A1367" s="3">
        <f>IFERROR(__xludf.DUMMYFUNCTION("""COMPUTED_VALUE"""),41723.99861111111)</f>
        <v>41723.99861</v>
      </c>
      <c r="B1367" s="1">
        <f>IFERROR(__xludf.DUMMYFUNCTION("""COMPUTED_VALUE"""),3037.930671)</f>
        <v>3037.930671</v>
      </c>
    </row>
    <row r="1368">
      <c r="A1368" s="3">
        <f>IFERROR(__xludf.DUMMYFUNCTION("""COMPUTED_VALUE"""),41724.99861111111)</f>
        <v>41724.99861</v>
      </c>
      <c r="B1368" s="1">
        <f>IFERROR(__xludf.DUMMYFUNCTION("""COMPUTED_VALUE"""),3052.100527)</f>
        <v>3052.100527</v>
      </c>
    </row>
    <row r="1369">
      <c r="A1369" s="3">
        <f>IFERROR(__xludf.DUMMYFUNCTION("""COMPUTED_VALUE"""),41725.99861111111)</f>
        <v>41725.99861</v>
      </c>
      <c r="B1369" s="1">
        <f>IFERROR(__xludf.DUMMYFUNCTION("""COMPUTED_VALUE"""),3034.771419)</f>
        <v>3034.771419</v>
      </c>
    </row>
    <row r="1370">
      <c r="A1370" s="3">
        <f>IFERROR(__xludf.DUMMYFUNCTION("""COMPUTED_VALUE"""),41726.99861111111)</f>
        <v>41726.99861</v>
      </c>
      <c r="B1370" s="1">
        <f>IFERROR(__xludf.DUMMYFUNCTION("""COMPUTED_VALUE"""),3017.402401)</f>
        <v>3017.402401</v>
      </c>
    </row>
    <row r="1371">
      <c r="A1371" s="3">
        <f>IFERROR(__xludf.DUMMYFUNCTION("""COMPUTED_VALUE"""),41727.99861111111)</f>
        <v>41727.99861</v>
      </c>
      <c r="B1371" s="1">
        <f>IFERROR(__xludf.DUMMYFUNCTION("""COMPUTED_VALUE"""),3022.745912)</f>
        <v>3022.745912</v>
      </c>
    </row>
    <row r="1372">
      <c r="A1372" s="3">
        <f>IFERROR(__xludf.DUMMYFUNCTION("""COMPUTED_VALUE"""),41729.99861111111)</f>
        <v>41729.99861</v>
      </c>
      <c r="B1372" s="1">
        <f>IFERROR(__xludf.DUMMYFUNCTION("""COMPUTED_VALUE"""),3003.896584)</f>
        <v>3003.896584</v>
      </c>
    </row>
    <row r="1373">
      <c r="A1373" s="3">
        <f>IFERROR(__xludf.DUMMYFUNCTION("""COMPUTED_VALUE"""),41730.99861111111)</f>
        <v>41730.99861</v>
      </c>
      <c r="B1373" s="1">
        <f>IFERROR(__xludf.DUMMYFUNCTION("""COMPUTED_VALUE"""),3004.857694)</f>
        <v>3004.857694</v>
      </c>
    </row>
    <row r="1374">
      <c r="A1374" s="3">
        <f>IFERROR(__xludf.DUMMYFUNCTION("""COMPUTED_VALUE"""),41731.99861111111)</f>
        <v>41731.99861</v>
      </c>
      <c r="B1374" s="1">
        <f>IFERROR(__xludf.DUMMYFUNCTION("""COMPUTED_VALUE"""),3006.746756)</f>
        <v>3006.746756</v>
      </c>
    </row>
    <row r="1375">
      <c r="A1375" s="3">
        <f>IFERROR(__xludf.DUMMYFUNCTION("""COMPUTED_VALUE"""),41732.99861111111)</f>
        <v>41732.99861</v>
      </c>
      <c r="B1375" s="1">
        <f>IFERROR(__xludf.DUMMYFUNCTION("""COMPUTED_VALUE"""),3025.328955)</f>
        <v>3025.328955</v>
      </c>
    </row>
    <row r="1376">
      <c r="A1376" s="3">
        <f>IFERROR(__xludf.DUMMYFUNCTION("""COMPUTED_VALUE"""),41733.99861111111)</f>
        <v>41733.99861</v>
      </c>
      <c r="B1376" s="1">
        <f>IFERROR(__xludf.DUMMYFUNCTION("""COMPUTED_VALUE"""),3018.334082)</f>
        <v>3018.334082</v>
      </c>
    </row>
    <row r="1377">
      <c r="A1377" s="3">
        <f>IFERROR(__xludf.DUMMYFUNCTION("""COMPUTED_VALUE"""),41734.99861111111)</f>
        <v>41734.99861</v>
      </c>
      <c r="B1377" s="1">
        <f>IFERROR(__xludf.DUMMYFUNCTION("""COMPUTED_VALUE"""),3023.230057)</f>
        <v>3023.230057</v>
      </c>
    </row>
    <row r="1378">
      <c r="A1378" s="3">
        <f>IFERROR(__xludf.DUMMYFUNCTION("""COMPUTED_VALUE"""),41735.99861111111)</f>
        <v>41735.99861</v>
      </c>
      <c r="B1378" s="1">
        <f>IFERROR(__xludf.DUMMYFUNCTION("""COMPUTED_VALUE"""),3019.220447)</f>
        <v>3019.220447</v>
      </c>
    </row>
    <row r="1379">
      <c r="A1379" s="3">
        <f>IFERROR(__xludf.DUMMYFUNCTION("""COMPUTED_VALUE"""),41736.99861111111)</f>
        <v>41736.99861</v>
      </c>
      <c r="B1379" s="1">
        <f>IFERROR(__xludf.DUMMYFUNCTION("""COMPUTED_VALUE"""),3014.733314)</f>
        <v>3014.733314</v>
      </c>
    </row>
    <row r="1380">
      <c r="A1380" s="3">
        <f>IFERROR(__xludf.DUMMYFUNCTION("""COMPUTED_VALUE"""),41737.99861111111)</f>
        <v>41737.99861</v>
      </c>
      <c r="B1380" s="1">
        <f>IFERROR(__xludf.DUMMYFUNCTION("""COMPUTED_VALUE"""),3005.31134)</f>
        <v>3005.31134</v>
      </c>
    </row>
    <row r="1381">
      <c r="A1381" s="3">
        <f>IFERROR(__xludf.DUMMYFUNCTION("""COMPUTED_VALUE"""),41738.99861111111)</f>
        <v>41738.99861</v>
      </c>
      <c r="B1381" s="1">
        <f>IFERROR(__xludf.DUMMYFUNCTION("""COMPUTED_VALUE"""),3008.14084)</f>
        <v>3008.14084</v>
      </c>
    </row>
    <row r="1382">
      <c r="A1382" s="3">
        <f>IFERROR(__xludf.DUMMYFUNCTION("""COMPUTED_VALUE"""),41739.99861111111)</f>
        <v>41739.99861</v>
      </c>
      <c r="B1382" s="1">
        <f>IFERROR(__xludf.DUMMYFUNCTION("""COMPUTED_VALUE"""),3025.494583)</f>
        <v>3025.494583</v>
      </c>
    </row>
    <row r="1383">
      <c r="A1383" s="3">
        <f>IFERROR(__xludf.DUMMYFUNCTION("""COMPUTED_VALUE"""),41740.99861111111)</f>
        <v>41740.99861</v>
      </c>
      <c r="B1383" s="1">
        <f>IFERROR(__xludf.DUMMYFUNCTION("""COMPUTED_VALUE"""),3041.505313)</f>
        <v>3041.505313</v>
      </c>
    </row>
    <row r="1384">
      <c r="A1384" s="3">
        <f>IFERROR(__xludf.DUMMYFUNCTION("""COMPUTED_VALUE"""),41741.99861111111)</f>
        <v>41741.99861</v>
      </c>
      <c r="B1384" s="1">
        <f>IFERROR(__xludf.DUMMYFUNCTION("""COMPUTED_VALUE"""),3046.982424)</f>
        <v>3046.982424</v>
      </c>
    </row>
    <row r="1385">
      <c r="A1385" s="3">
        <f>IFERROR(__xludf.DUMMYFUNCTION("""COMPUTED_VALUE"""),41742.99861111111)</f>
        <v>41742.99861</v>
      </c>
      <c r="B1385" s="1">
        <f>IFERROR(__xludf.DUMMYFUNCTION("""COMPUTED_VALUE"""),3041.505313)</f>
        <v>3041.505313</v>
      </c>
    </row>
    <row r="1386">
      <c r="A1386" s="3">
        <f>IFERROR(__xludf.DUMMYFUNCTION("""COMPUTED_VALUE"""),41743.99861111111)</f>
        <v>41743.99861</v>
      </c>
      <c r="B1386" s="1">
        <f>IFERROR(__xludf.DUMMYFUNCTION("""COMPUTED_VALUE"""),3052.123048)</f>
        <v>3052.123048</v>
      </c>
    </row>
    <row r="1387">
      <c r="A1387" s="3">
        <f>IFERROR(__xludf.DUMMYFUNCTION("""COMPUTED_VALUE"""),41744.99861111111)</f>
        <v>41744.99861</v>
      </c>
      <c r="B1387" s="1">
        <f>IFERROR(__xludf.DUMMYFUNCTION("""COMPUTED_VALUE"""),3053.414666)</f>
        <v>3053.414666</v>
      </c>
    </row>
    <row r="1388">
      <c r="A1388" s="3">
        <f>IFERROR(__xludf.DUMMYFUNCTION("""COMPUTED_VALUE"""),41745.99861111111)</f>
        <v>41745.99861</v>
      </c>
      <c r="B1388" s="1">
        <f>IFERROR(__xludf.DUMMYFUNCTION("""COMPUTED_VALUE"""),3044.093267)</f>
        <v>3044.093267</v>
      </c>
    </row>
    <row r="1389">
      <c r="A1389" s="3">
        <f>IFERROR(__xludf.DUMMYFUNCTION("""COMPUTED_VALUE"""),41746.99861111111)</f>
        <v>41746.99861</v>
      </c>
      <c r="B1389" s="1">
        <f>IFERROR(__xludf.DUMMYFUNCTION("""COMPUTED_VALUE"""),3054.361942)</f>
        <v>3054.361942</v>
      </c>
    </row>
    <row r="1390">
      <c r="A1390" s="3">
        <f>IFERROR(__xludf.DUMMYFUNCTION("""COMPUTED_VALUE"""),41747.99861111111)</f>
        <v>41747.99861</v>
      </c>
      <c r="B1390" s="1">
        <f>IFERROR(__xludf.DUMMYFUNCTION("""COMPUTED_VALUE"""),3054.443545)</f>
        <v>3054.443545</v>
      </c>
    </row>
    <row r="1391">
      <c r="A1391" s="3">
        <f>IFERROR(__xludf.DUMMYFUNCTION("""COMPUTED_VALUE"""),41748.99861111111)</f>
        <v>41748.99861</v>
      </c>
      <c r="B1391" s="1">
        <f>IFERROR(__xludf.DUMMYFUNCTION("""COMPUTED_VALUE"""),3057.938183)</f>
        <v>3057.938183</v>
      </c>
    </row>
    <row r="1392">
      <c r="A1392" s="3">
        <f>IFERROR(__xludf.DUMMYFUNCTION("""COMPUTED_VALUE"""),41749.99861111111)</f>
        <v>41749.99861</v>
      </c>
      <c r="B1392" s="1">
        <f>IFERROR(__xludf.DUMMYFUNCTION("""COMPUTED_VALUE"""),3054.443545)</f>
        <v>3054.443545</v>
      </c>
    </row>
    <row r="1393">
      <c r="A1393" s="3">
        <f>IFERROR(__xludf.DUMMYFUNCTION("""COMPUTED_VALUE"""),41750.99861111111)</f>
        <v>41750.99861</v>
      </c>
      <c r="B1393" s="1">
        <f>IFERROR(__xludf.DUMMYFUNCTION("""COMPUTED_VALUE"""),3046.895772)</f>
        <v>3046.895772</v>
      </c>
    </row>
    <row r="1394">
      <c r="A1394" s="3">
        <f>IFERROR(__xludf.DUMMYFUNCTION("""COMPUTED_VALUE"""),41751.99861111111)</f>
        <v>41751.99861</v>
      </c>
      <c r="B1394" s="1">
        <f>IFERROR(__xludf.DUMMYFUNCTION("""COMPUTED_VALUE"""),3080.043771)</f>
        <v>3080.043771</v>
      </c>
    </row>
    <row r="1395">
      <c r="A1395" s="3">
        <f>IFERROR(__xludf.DUMMYFUNCTION("""COMPUTED_VALUE"""),41752.99861111111)</f>
        <v>41752.99861</v>
      </c>
      <c r="B1395" s="1">
        <f>IFERROR(__xludf.DUMMYFUNCTION("""COMPUTED_VALUE"""),3101.478629)</f>
        <v>3101.478629</v>
      </c>
    </row>
    <row r="1396">
      <c r="A1396" s="3">
        <f>IFERROR(__xludf.DUMMYFUNCTION("""COMPUTED_VALUE"""),41753.99861111111)</f>
        <v>41753.99861</v>
      </c>
      <c r="B1396" s="1">
        <f>IFERROR(__xludf.DUMMYFUNCTION("""COMPUTED_VALUE"""),3094.558127)</f>
        <v>3094.558127</v>
      </c>
    </row>
    <row r="1397">
      <c r="A1397" s="3">
        <f>IFERROR(__xludf.DUMMYFUNCTION("""COMPUTED_VALUE"""),41754.99861111111)</f>
        <v>41754.99861</v>
      </c>
      <c r="B1397" s="1">
        <f>IFERROR(__xludf.DUMMYFUNCTION("""COMPUTED_VALUE"""),3086.551508)</f>
        <v>3086.551508</v>
      </c>
    </row>
    <row r="1398">
      <c r="A1398" s="3">
        <f>IFERROR(__xludf.DUMMYFUNCTION("""COMPUTED_VALUE"""),41756.99861111111)</f>
        <v>41756.99861</v>
      </c>
      <c r="B1398" s="1">
        <f>IFERROR(__xludf.DUMMYFUNCTION("""COMPUTED_VALUE"""),3083.917695)</f>
        <v>3083.917695</v>
      </c>
    </row>
    <row r="1399">
      <c r="A1399" s="3">
        <f>IFERROR(__xludf.DUMMYFUNCTION("""COMPUTED_VALUE"""),41757.99861111111)</f>
        <v>41757.99861</v>
      </c>
      <c r="B1399" s="1">
        <f>IFERROR(__xludf.DUMMYFUNCTION("""COMPUTED_VALUE"""),3089.333256)</f>
        <v>3089.333256</v>
      </c>
    </row>
    <row r="1400">
      <c r="A1400" s="3">
        <f>IFERROR(__xludf.DUMMYFUNCTION("""COMPUTED_VALUE"""),41758.99861111111)</f>
        <v>41758.99861</v>
      </c>
      <c r="B1400" s="1">
        <f>IFERROR(__xludf.DUMMYFUNCTION("""COMPUTED_VALUE"""),3081.131562)</f>
        <v>3081.131562</v>
      </c>
    </row>
    <row r="1401">
      <c r="A1401" s="3">
        <f>IFERROR(__xludf.DUMMYFUNCTION("""COMPUTED_VALUE"""),41759.99861111111)</f>
        <v>41759.99861</v>
      </c>
      <c r="B1401" s="1">
        <f>IFERROR(__xludf.DUMMYFUNCTION("""COMPUTED_VALUE"""),3080.967046)</f>
        <v>3080.967046</v>
      </c>
    </row>
    <row r="1402">
      <c r="A1402" s="3">
        <f>IFERROR(__xludf.DUMMYFUNCTION("""COMPUTED_VALUE"""),41760.99861111111)</f>
        <v>41760.99861</v>
      </c>
      <c r="B1402" s="1">
        <f>IFERROR(__xludf.DUMMYFUNCTION("""COMPUTED_VALUE"""),3081.295963)</f>
        <v>3081.295963</v>
      </c>
    </row>
    <row r="1403">
      <c r="A1403" s="3">
        <f>IFERROR(__xludf.DUMMYFUNCTION("""COMPUTED_VALUE"""),41761.99861111111)</f>
        <v>41761.99861</v>
      </c>
      <c r="B1403" s="1">
        <f>IFERROR(__xludf.DUMMYFUNCTION("""COMPUTED_VALUE"""),3073.945486)</f>
        <v>3073.945486</v>
      </c>
    </row>
    <row r="1404">
      <c r="A1404" s="3">
        <f>IFERROR(__xludf.DUMMYFUNCTION("""COMPUTED_VALUE"""),41762.99861111111)</f>
        <v>41762.99861</v>
      </c>
      <c r="B1404" s="1">
        <f>IFERROR(__xludf.DUMMYFUNCTION("""COMPUTED_VALUE"""),3075.492569)</f>
        <v>3075.492569</v>
      </c>
    </row>
    <row r="1405">
      <c r="A1405" s="3">
        <f>IFERROR(__xludf.DUMMYFUNCTION("""COMPUTED_VALUE"""),41764.99861111111)</f>
        <v>41764.99861</v>
      </c>
      <c r="B1405" s="1">
        <f>IFERROR(__xludf.DUMMYFUNCTION("""COMPUTED_VALUE"""),3067.918122)</f>
        <v>3067.918122</v>
      </c>
    </row>
    <row r="1406">
      <c r="A1406" s="3">
        <f>IFERROR(__xludf.DUMMYFUNCTION("""COMPUTED_VALUE"""),41765.99861111111)</f>
        <v>41765.99861</v>
      </c>
      <c r="B1406" s="1">
        <f>IFERROR(__xludf.DUMMYFUNCTION("""COMPUTED_VALUE"""),3071.872707)</f>
        <v>3071.872707</v>
      </c>
    </row>
    <row r="1407">
      <c r="A1407" s="3">
        <f>IFERROR(__xludf.DUMMYFUNCTION("""COMPUTED_VALUE"""),41766.99861111111)</f>
        <v>41766.99861</v>
      </c>
      <c r="B1407" s="1">
        <f>IFERROR(__xludf.DUMMYFUNCTION("""COMPUTED_VALUE"""),3087.885945)</f>
        <v>3087.885945</v>
      </c>
    </row>
    <row r="1408">
      <c r="A1408" s="3">
        <f>IFERROR(__xludf.DUMMYFUNCTION("""COMPUTED_VALUE"""),41767.99861111111)</f>
        <v>41767.99861</v>
      </c>
      <c r="B1408" s="1">
        <f>IFERROR(__xludf.DUMMYFUNCTION("""COMPUTED_VALUE"""),3075.958075)</f>
        <v>3075.958075</v>
      </c>
    </row>
    <row r="1409">
      <c r="A1409" s="3">
        <f>IFERROR(__xludf.DUMMYFUNCTION("""COMPUTED_VALUE"""),41768.99861111111)</f>
        <v>41768.99861</v>
      </c>
      <c r="B1409" s="1">
        <f>IFERROR(__xludf.DUMMYFUNCTION("""COMPUTED_VALUE"""),3075.671867)</f>
        <v>3075.671867</v>
      </c>
    </row>
    <row r="1410">
      <c r="A1410" s="3">
        <f>IFERROR(__xludf.DUMMYFUNCTION("""COMPUTED_VALUE"""),41769.99861111111)</f>
        <v>41769.99861</v>
      </c>
      <c r="B1410" s="1">
        <f>IFERROR(__xludf.DUMMYFUNCTION("""COMPUTED_VALUE"""),3082.768393)</f>
        <v>3082.768393</v>
      </c>
    </row>
    <row r="1411">
      <c r="A1411" s="3">
        <f>IFERROR(__xludf.DUMMYFUNCTION("""COMPUTED_VALUE"""),41770.99861111111)</f>
        <v>41770.99861</v>
      </c>
      <c r="B1411" s="1">
        <f>IFERROR(__xludf.DUMMYFUNCTION("""COMPUTED_VALUE"""),3057.25174)</f>
        <v>3057.25174</v>
      </c>
    </row>
    <row r="1412">
      <c r="A1412" s="3">
        <f>IFERROR(__xludf.DUMMYFUNCTION("""COMPUTED_VALUE"""),41771.99861111111)</f>
        <v>41771.99861</v>
      </c>
      <c r="B1412" s="1">
        <f>IFERROR(__xludf.DUMMYFUNCTION("""COMPUTED_VALUE"""),3071.754201)</f>
        <v>3071.754201</v>
      </c>
    </row>
    <row r="1413">
      <c r="A1413" s="3">
        <f>IFERROR(__xludf.DUMMYFUNCTION("""COMPUTED_VALUE"""),41772.99861111111)</f>
        <v>41772.99861</v>
      </c>
      <c r="B1413" s="1">
        <f>IFERROR(__xludf.DUMMYFUNCTION("""COMPUTED_VALUE"""),3065.282298)</f>
        <v>3065.282298</v>
      </c>
    </row>
    <row r="1414">
      <c r="A1414" s="3">
        <f>IFERROR(__xludf.DUMMYFUNCTION("""COMPUTED_VALUE"""),41773.99861111111)</f>
        <v>41773.99861</v>
      </c>
      <c r="B1414" s="1">
        <f>IFERROR(__xludf.DUMMYFUNCTION("""COMPUTED_VALUE"""),3044.17447)</f>
        <v>3044.17447</v>
      </c>
    </row>
    <row r="1415">
      <c r="A1415" s="3">
        <f>IFERROR(__xludf.DUMMYFUNCTION("""COMPUTED_VALUE"""),41774.99861111111)</f>
        <v>41774.99861</v>
      </c>
      <c r="B1415" s="1">
        <f>IFERROR(__xludf.DUMMYFUNCTION("""COMPUTED_VALUE"""),3038.592857)</f>
        <v>3038.592857</v>
      </c>
    </row>
    <row r="1416">
      <c r="A1416" s="3">
        <f>IFERROR(__xludf.DUMMYFUNCTION("""COMPUTED_VALUE"""),41775.99861111111)</f>
        <v>41775.99861</v>
      </c>
      <c r="B1416" s="1">
        <f>IFERROR(__xludf.DUMMYFUNCTION("""COMPUTED_VALUE"""),3018.50562)</f>
        <v>3018.50562</v>
      </c>
    </row>
    <row r="1417">
      <c r="A1417" s="3">
        <f>IFERROR(__xludf.DUMMYFUNCTION("""COMPUTED_VALUE"""),41776.99861111111)</f>
        <v>41776.99861</v>
      </c>
      <c r="B1417" s="1">
        <f>IFERROR(__xludf.DUMMYFUNCTION("""COMPUTED_VALUE"""),3071.91605)</f>
        <v>3071.91605</v>
      </c>
    </row>
    <row r="1418">
      <c r="A1418" s="3">
        <f>IFERROR(__xludf.DUMMYFUNCTION("""COMPUTED_VALUE"""),41778.99861111111)</f>
        <v>41778.99861</v>
      </c>
      <c r="B1418" s="1">
        <f>IFERROR(__xludf.DUMMYFUNCTION("""COMPUTED_VALUE"""),3047.852851)</f>
        <v>3047.852851</v>
      </c>
    </row>
    <row r="1419">
      <c r="A1419" s="3">
        <f>IFERROR(__xludf.DUMMYFUNCTION("""COMPUTED_VALUE"""),41779.99861111111)</f>
        <v>41779.99861</v>
      </c>
      <c r="B1419" s="1">
        <f>IFERROR(__xludf.DUMMYFUNCTION("""COMPUTED_VALUE"""),3058.528343)</f>
        <v>3058.528343</v>
      </c>
    </row>
    <row r="1420">
      <c r="A1420" s="3">
        <f>IFERROR(__xludf.DUMMYFUNCTION("""COMPUTED_VALUE"""),41780.99861111111)</f>
        <v>41780.99861</v>
      </c>
      <c r="B1420" s="1">
        <f>IFERROR(__xludf.DUMMYFUNCTION("""COMPUTED_VALUE"""),3067.705594)</f>
        <v>3067.705594</v>
      </c>
    </row>
    <row r="1421">
      <c r="A1421" s="3">
        <f>IFERROR(__xludf.DUMMYFUNCTION("""COMPUTED_VALUE"""),41781.99861111111)</f>
        <v>41781.99861</v>
      </c>
      <c r="B1421" s="1">
        <f>IFERROR(__xludf.DUMMYFUNCTION("""COMPUTED_VALUE"""),3071.70869)</f>
        <v>3071.70869</v>
      </c>
    </row>
    <row r="1422">
      <c r="A1422" s="3">
        <f>IFERROR(__xludf.DUMMYFUNCTION("""COMPUTED_VALUE"""),41782.99861111111)</f>
        <v>41782.99861</v>
      </c>
      <c r="B1422" s="1">
        <f>IFERROR(__xludf.DUMMYFUNCTION("""COMPUTED_VALUE"""),3095.880073)</f>
        <v>3095.880073</v>
      </c>
    </row>
    <row r="1423">
      <c r="A1423" s="3">
        <f>IFERROR(__xludf.DUMMYFUNCTION("""COMPUTED_VALUE"""),41784.99861111111)</f>
        <v>41784.99861</v>
      </c>
      <c r="B1423" s="1">
        <f>IFERROR(__xludf.DUMMYFUNCTION("""COMPUTED_VALUE"""),3091.917482)</f>
        <v>3091.917482</v>
      </c>
    </row>
    <row r="1424">
      <c r="A1424" s="3">
        <f>IFERROR(__xludf.DUMMYFUNCTION("""COMPUTED_VALUE"""),41785.99861111111)</f>
        <v>41785.99861</v>
      </c>
      <c r="B1424" s="1">
        <f>IFERROR(__xludf.DUMMYFUNCTION("""COMPUTED_VALUE"""),3085.217072)</f>
        <v>3085.217072</v>
      </c>
    </row>
    <row r="1425">
      <c r="A1425" s="3">
        <f>IFERROR(__xludf.DUMMYFUNCTION("""COMPUTED_VALUE"""),41786.99861111111)</f>
        <v>41786.99861</v>
      </c>
      <c r="B1425" s="1">
        <f>IFERROR(__xludf.DUMMYFUNCTION("""COMPUTED_VALUE"""),3085.299379)</f>
        <v>3085.299379</v>
      </c>
    </row>
    <row r="1426">
      <c r="A1426" s="3">
        <f>IFERROR(__xludf.DUMMYFUNCTION("""COMPUTED_VALUE"""),41787.99861111111)</f>
        <v>41787.99861</v>
      </c>
      <c r="B1426" s="1">
        <f>IFERROR(__xludf.DUMMYFUNCTION("""COMPUTED_VALUE"""),3104.644898)</f>
        <v>3104.644898</v>
      </c>
    </row>
    <row r="1427">
      <c r="A1427" s="3">
        <f>IFERROR(__xludf.DUMMYFUNCTION("""COMPUTED_VALUE"""),41788.99861111111)</f>
        <v>41788.99861</v>
      </c>
      <c r="B1427" s="1">
        <f>IFERROR(__xludf.DUMMYFUNCTION("""COMPUTED_VALUE"""),3094.640683)</f>
        <v>3094.640683</v>
      </c>
    </row>
    <row r="1428">
      <c r="A1428" s="3">
        <f>IFERROR(__xludf.DUMMYFUNCTION("""COMPUTED_VALUE"""),41789.99861111111)</f>
        <v>41789.99861</v>
      </c>
      <c r="B1428" s="1">
        <f>IFERROR(__xludf.DUMMYFUNCTION("""COMPUTED_VALUE"""),3111.407569)</f>
        <v>3111.407569</v>
      </c>
    </row>
    <row r="1429">
      <c r="A1429" s="3">
        <f>IFERROR(__xludf.DUMMYFUNCTION("""COMPUTED_VALUE"""),41792.99861111111)</f>
        <v>41792.99861</v>
      </c>
      <c r="B1429" s="1">
        <f>IFERROR(__xludf.DUMMYFUNCTION("""COMPUTED_VALUE"""),3138.59453)</f>
        <v>3138.59453</v>
      </c>
    </row>
    <row r="1430">
      <c r="A1430" s="3">
        <f>IFERROR(__xludf.DUMMYFUNCTION("""COMPUTED_VALUE"""),41793.99861111111)</f>
        <v>41793.99861</v>
      </c>
      <c r="B1430" s="1">
        <f>IFERROR(__xludf.DUMMYFUNCTION("""COMPUTED_VALUE"""),3138.582903)</f>
        <v>3138.582903</v>
      </c>
    </row>
    <row r="1431">
      <c r="A1431" s="3">
        <f>IFERROR(__xludf.DUMMYFUNCTION("""COMPUTED_VALUE"""),41794.99861111111)</f>
        <v>41794.99861</v>
      </c>
      <c r="B1431" s="1">
        <f>IFERROR(__xludf.DUMMYFUNCTION("""COMPUTED_VALUE"""),3169.371118)</f>
        <v>3169.371118</v>
      </c>
    </row>
    <row r="1432">
      <c r="A1432" s="3">
        <f>IFERROR(__xludf.DUMMYFUNCTION("""COMPUTED_VALUE"""),41795.99861111111)</f>
        <v>41795.99861</v>
      </c>
      <c r="B1432" s="1">
        <f>IFERROR(__xludf.DUMMYFUNCTION("""COMPUTED_VALUE"""),3161.195613)</f>
        <v>3161.195613</v>
      </c>
    </row>
    <row r="1433">
      <c r="A1433" s="3">
        <f>IFERROR(__xludf.DUMMYFUNCTION("""COMPUTED_VALUE"""),41796.99861111111)</f>
        <v>41796.99861</v>
      </c>
      <c r="B1433" s="1">
        <f>IFERROR(__xludf.DUMMYFUNCTION("""COMPUTED_VALUE"""),3152.852599)</f>
        <v>3152.852599</v>
      </c>
    </row>
    <row r="1434">
      <c r="A1434" s="3">
        <f>IFERROR(__xludf.DUMMYFUNCTION("""COMPUTED_VALUE"""),41797.99861111111)</f>
        <v>41797.99861</v>
      </c>
      <c r="B1434" s="1">
        <f>IFERROR(__xludf.DUMMYFUNCTION("""COMPUTED_VALUE"""),3155.647637)</f>
        <v>3155.647637</v>
      </c>
    </row>
    <row r="1435">
      <c r="A1435" s="3">
        <f>IFERROR(__xludf.DUMMYFUNCTION("""COMPUTED_VALUE"""),41798.99861111111)</f>
        <v>41798.99861</v>
      </c>
      <c r="B1435" s="1">
        <f>IFERROR(__xludf.DUMMYFUNCTION("""COMPUTED_VALUE"""),3157.921244)</f>
        <v>3157.921244</v>
      </c>
    </row>
    <row r="1436">
      <c r="A1436" s="3">
        <f>IFERROR(__xludf.DUMMYFUNCTION("""COMPUTED_VALUE"""),41799.99861111111)</f>
        <v>41799.99861</v>
      </c>
      <c r="B1436" s="1">
        <f>IFERROR(__xludf.DUMMYFUNCTION("""COMPUTED_VALUE"""),3139.916201)</f>
        <v>3139.916201</v>
      </c>
    </row>
    <row r="1437">
      <c r="A1437" s="3">
        <f>IFERROR(__xludf.DUMMYFUNCTION("""COMPUTED_VALUE"""),41800.99861111111)</f>
        <v>41800.99861</v>
      </c>
      <c r="B1437" s="1">
        <f>IFERROR(__xludf.DUMMYFUNCTION("""COMPUTED_VALUE"""),3153.357454)</f>
        <v>3153.357454</v>
      </c>
    </row>
    <row r="1438">
      <c r="A1438" s="3">
        <f>IFERROR(__xludf.DUMMYFUNCTION("""COMPUTED_VALUE"""),41801.99861111111)</f>
        <v>41801.99861</v>
      </c>
      <c r="B1438" s="1">
        <f>IFERROR(__xludf.DUMMYFUNCTION("""COMPUTED_VALUE"""),3150.856731)</f>
        <v>3150.856731</v>
      </c>
    </row>
    <row r="1439">
      <c r="A1439" s="3">
        <f>IFERROR(__xludf.DUMMYFUNCTION("""COMPUTED_VALUE"""),41802.99861111111)</f>
        <v>41802.99861</v>
      </c>
      <c r="B1439" s="1">
        <f>IFERROR(__xludf.DUMMYFUNCTION("""COMPUTED_VALUE"""),3141.249499)</f>
        <v>3141.249499</v>
      </c>
    </row>
    <row r="1440">
      <c r="A1440" s="3">
        <f>IFERROR(__xludf.DUMMYFUNCTION("""COMPUTED_VALUE"""),41803.99861111111)</f>
        <v>41803.99861</v>
      </c>
      <c r="B1440" s="1">
        <f>IFERROR(__xludf.DUMMYFUNCTION("""COMPUTED_VALUE"""),3142.247631)</f>
        <v>3142.247631</v>
      </c>
    </row>
    <row r="1441">
      <c r="A1441" s="3">
        <f>IFERROR(__xludf.DUMMYFUNCTION("""COMPUTED_VALUE"""),41804.99861111111)</f>
        <v>41804.99861</v>
      </c>
      <c r="B1441" s="1">
        <f>IFERROR(__xludf.DUMMYFUNCTION("""COMPUTED_VALUE"""),3148.281311)</f>
        <v>3148.281311</v>
      </c>
    </row>
    <row r="1442">
      <c r="A1442" s="3">
        <f>IFERROR(__xludf.DUMMYFUNCTION("""COMPUTED_VALUE"""),41805.99861111111)</f>
        <v>41805.99861</v>
      </c>
      <c r="B1442" s="1">
        <f>IFERROR(__xludf.DUMMYFUNCTION("""COMPUTED_VALUE"""),3148.281311)</f>
        <v>3148.281311</v>
      </c>
    </row>
    <row r="1443">
      <c r="A1443" s="3">
        <f>IFERROR(__xludf.DUMMYFUNCTION("""COMPUTED_VALUE"""),41806.99861111111)</f>
        <v>41806.99861</v>
      </c>
      <c r="B1443" s="1">
        <f>IFERROR(__xludf.DUMMYFUNCTION("""COMPUTED_VALUE"""),3150.498578)</f>
        <v>3150.498578</v>
      </c>
    </row>
    <row r="1444">
      <c r="A1444" s="3">
        <f>IFERROR(__xludf.DUMMYFUNCTION("""COMPUTED_VALUE"""),41807.99861111111)</f>
        <v>41807.99861</v>
      </c>
      <c r="B1444" s="1">
        <f>IFERROR(__xludf.DUMMYFUNCTION("""COMPUTED_VALUE"""),3169.164249)</f>
        <v>3169.164249</v>
      </c>
    </row>
    <row r="1445">
      <c r="A1445" s="3">
        <f>IFERROR(__xludf.DUMMYFUNCTION("""COMPUTED_VALUE"""),41808.99861111111)</f>
        <v>41808.99861</v>
      </c>
      <c r="B1445" s="1">
        <f>IFERROR(__xludf.DUMMYFUNCTION("""COMPUTED_VALUE"""),3203.810845)</f>
        <v>3203.810845</v>
      </c>
    </row>
    <row r="1446">
      <c r="A1446" s="3">
        <f>IFERROR(__xludf.DUMMYFUNCTION("""COMPUTED_VALUE"""),41809.99861111111)</f>
        <v>41809.99861</v>
      </c>
      <c r="B1446" s="1">
        <f>IFERROR(__xludf.DUMMYFUNCTION("""COMPUTED_VALUE"""),3177.248538)</f>
        <v>3177.248538</v>
      </c>
    </row>
    <row r="1447">
      <c r="A1447" s="3">
        <f>IFERROR(__xludf.DUMMYFUNCTION("""COMPUTED_VALUE"""),41810.99861111111)</f>
        <v>41810.99861</v>
      </c>
      <c r="B1447" s="1">
        <f>IFERROR(__xludf.DUMMYFUNCTION("""COMPUTED_VALUE"""),3189.303115)</f>
        <v>3189.303115</v>
      </c>
    </row>
    <row r="1448">
      <c r="A1448" s="3">
        <f>IFERROR(__xludf.DUMMYFUNCTION("""COMPUTED_VALUE"""),41811.99861111111)</f>
        <v>41811.99861</v>
      </c>
      <c r="B1448" s="1">
        <f>IFERROR(__xludf.DUMMYFUNCTION("""COMPUTED_VALUE"""),3193.269988)</f>
        <v>3193.269988</v>
      </c>
    </row>
    <row r="1449">
      <c r="A1449" s="3">
        <f>IFERROR(__xludf.DUMMYFUNCTION("""COMPUTED_VALUE"""),41813.99861111111)</f>
        <v>41813.99861</v>
      </c>
      <c r="B1449" s="1">
        <f>IFERROR(__xludf.DUMMYFUNCTION("""COMPUTED_VALUE"""),3196.544216)</f>
        <v>3196.544216</v>
      </c>
    </row>
    <row r="1450">
      <c r="A1450" s="3">
        <f>IFERROR(__xludf.DUMMYFUNCTION("""COMPUTED_VALUE"""),41814.99861111111)</f>
        <v>41814.99861</v>
      </c>
      <c r="B1450" s="1">
        <f>IFERROR(__xludf.DUMMYFUNCTION("""COMPUTED_VALUE"""),3198.496017)</f>
        <v>3198.496017</v>
      </c>
    </row>
    <row r="1451">
      <c r="A1451" s="3">
        <f>IFERROR(__xludf.DUMMYFUNCTION("""COMPUTED_VALUE"""),41815.99861111111)</f>
        <v>41815.99861</v>
      </c>
      <c r="B1451" s="1">
        <f>IFERROR(__xludf.DUMMYFUNCTION("""COMPUTED_VALUE"""),3223.742039)</f>
        <v>3223.742039</v>
      </c>
    </row>
    <row r="1452">
      <c r="A1452" s="3">
        <f>IFERROR(__xludf.DUMMYFUNCTION("""COMPUTED_VALUE"""),41816.99861111111)</f>
        <v>41816.99861</v>
      </c>
      <c r="B1452" s="1">
        <f>IFERROR(__xludf.DUMMYFUNCTION("""COMPUTED_VALUE"""),3226.581255)</f>
        <v>3226.581255</v>
      </c>
    </row>
    <row r="1453">
      <c r="A1453" s="3">
        <f>IFERROR(__xludf.DUMMYFUNCTION("""COMPUTED_VALUE"""),41817.99861111111)</f>
        <v>41817.99861</v>
      </c>
      <c r="B1453" s="1">
        <f>IFERROR(__xludf.DUMMYFUNCTION("""COMPUTED_VALUE"""),3208.413378)</f>
        <v>3208.413378</v>
      </c>
    </row>
    <row r="1454">
      <c r="A1454" s="3">
        <f>IFERROR(__xludf.DUMMYFUNCTION("""COMPUTED_VALUE"""),41820.99861111111)</f>
        <v>41820.99861</v>
      </c>
      <c r="B1454" s="1">
        <f>IFERROR(__xludf.DUMMYFUNCTION("""COMPUTED_VALUE"""),3171.87082)</f>
        <v>3171.87082</v>
      </c>
    </row>
    <row r="1455">
      <c r="A1455" s="3">
        <f>IFERROR(__xludf.DUMMYFUNCTION("""COMPUTED_VALUE"""),41821.99861111111)</f>
        <v>41821.99861</v>
      </c>
      <c r="B1455" s="1">
        <f>IFERROR(__xludf.DUMMYFUNCTION("""COMPUTED_VALUE"""),3176.043479)</f>
        <v>3176.043479</v>
      </c>
    </row>
    <row r="1456">
      <c r="A1456" s="3">
        <f>IFERROR(__xludf.DUMMYFUNCTION("""COMPUTED_VALUE"""),41822.99861111111)</f>
        <v>41822.99861</v>
      </c>
      <c r="B1456" s="1">
        <f>IFERROR(__xludf.DUMMYFUNCTION("""COMPUTED_VALUE"""),3176.128326)</f>
        <v>3176.128326</v>
      </c>
    </row>
    <row r="1457">
      <c r="A1457" s="3">
        <f>IFERROR(__xludf.DUMMYFUNCTION("""COMPUTED_VALUE"""),41823.99861111111)</f>
        <v>41823.99861</v>
      </c>
      <c r="B1457" s="1">
        <f>IFERROR(__xludf.DUMMYFUNCTION("""COMPUTED_VALUE"""),3177.377951)</f>
        <v>3177.377951</v>
      </c>
    </row>
    <row r="1458">
      <c r="A1458" s="3">
        <f>IFERROR(__xludf.DUMMYFUNCTION("""COMPUTED_VALUE"""),41824.99861111111)</f>
        <v>41824.99861</v>
      </c>
      <c r="B1458" s="1">
        <f>IFERROR(__xludf.DUMMYFUNCTION("""COMPUTED_VALUE"""),3165.452264)</f>
        <v>3165.452264</v>
      </c>
    </row>
    <row r="1459">
      <c r="A1459" s="3">
        <f>IFERROR(__xludf.DUMMYFUNCTION("""COMPUTED_VALUE"""),41825.99861111111)</f>
        <v>41825.99861</v>
      </c>
      <c r="B1459" s="1">
        <f>IFERROR(__xludf.DUMMYFUNCTION("""COMPUTED_VALUE"""),3170.443081)</f>
        <v>3170.443081</v>
      </c>
    </row>
    <row r="1460">
      <c r="A1460" s="3">
        <f>IFERROR(__xludf.DUMMYFUNCTION("""COMPUTED_VALUE"""),41827.99861111111)</f>
        <v>41827.99861</v>
      </c>
      <c r="B1460" s="1">
        <f>IFERROR(__xludf.DUMMYFUNCTION("""COMPUTED_VALUE"""),3129.086394)</f>
        <v>3129.086394</v>
      </c>
    </row>
    <row r="1461">
      <c r="A1461" s="3">
        <f>IFERROR(__xludf.DUMMYFUNCTION("""COMPUTED_VALUE"""),41828.99861111111)</f>
        <v>41828.99861</v>
      </c>
      <c r="B1461" s="1">
        <f>IFERROR(__xludf.DUMMYFUNCTION("""COMPUTED_VALUE"""),3110.749527)</f>
        <v>3110.749527</v>
      </c>
    </row>
    <row r="1462">
      <c r="A1462" s="3">
        <f>IFERROR(__xludf.DUMMYFUNCTION("""COMPUTED_VALUE"""),41829.99861111111)</f>
        <v>41829.99861</v>
      </c>
      <c r="B1462" s="1">
        <f>IFERROR(__xludf.DUMMYFUNCTION("""COMPUTED_VALUE"""),3100.061387)</f>
        <v>3100.061387</v>
      </c>
    </row>
    <row r="1463">
      <c r="A1463" s="3">
        <f>IFERROR(__xludf.DUMMYFUNCTION("""COMPUTED_VALUE"""),41830.99861111111)</f>
        <v>41830.99861</v>
      </c>
      <c r="B1463" s="1">
        <f>IFERROR(__xludf.DUMMYFUNCTION("""COMPUTED_VALUE"""),3088.133196)</f>
        <v>3088.133196</v>
      </c>
    </row>
    <row r="1464">
      <c r="A1464" s="3">
        <f>IFERROR(__xludf.DUMMYFUNCTION("""COMPUTED_VALUE"""),41831.99861111111)</f>
        <v>41831.99861</v>
      </c>
      <c r="B1464" s="1">
        <f>IFERROR(__xludf.DUMMYFUNCTION("""COMPUTED_VALUE"""),3094.336543)</f>
        <v>3094.336543</v>
      </c>
    </row>
    <row r="1465">
      <c r="A1465" s="3">
        <f>IFERROR(__xludf.DUMMYFUNCTION("""COMPUTED_VALUE"""),41832.99861111111)</f>
        <v>41832.99861</v>
      </c>
      <c r="B1465" s="1">
        <f>IFERROR(__xludf.DUMMYFUNCTION("""COMPUTED_VALUE"""),3104.549463)</f>
        <v>3104.549463</v>
      </c>
    </row>
    <row r="1466">
      <c r="A1466" s="3">
        <f>IFERROR(__xludf.DUMMYFUNCTION("""COMPUTED_VALUE"""),41833.99861111111)</f>
        <v>41833.99861</v>
      </c>
      <c r="B1466" s="1">
        <f>IFERROR(__xludf.DUMMYFUNCTION("""COMPUTED_VALUE"""),3104.549463)</f>
        <v>3104.549463</v>
      </c>
    </row>
    <row r="1467">
      <c r="A1467" s="3">
        <f>IFERROR(__xludf.DUMMYFUNCTION("""COMPUTED_VALUE"""),41834.99861111111)</f>
        <v>41834.99861</v>
      </c>
      <c r="B1467" s="1">
        <f>IFERROR(__xludf.DUMMYFUNCTION("""COMPUTED_VALUE"""),3112.154975)</f>
        <v>3112.154975</v>
      </c>
    </row>
    <row r="1468">
      <c r="A1468" s="3">
        <f>IFERROR(__xludf.DUMMYFUNCTION("""COMPUTED_VALUE"""),41835.99861111111)</f>
        <v>41835.99861</v>
      </c>
      <c r="B1468" s="1">
        <f>IFERROR(__xludf.DUMMYFUNCTION("""COMPUTED_VALUE"""),3127.919038)</f>
        <v>3127.919038</v>
      </c>
    </row>
    <row r="1469">
      <c r="A1469" s="3">
        <f>IFERROR(__xludf.DUMMYFUNCTION("""COMPUTED_VALUE"""),41836.99861111111)</f>
        <v>41836.99861</v>
      </c>
      <c r="B1469" s="1">
        <f>IFERROR(__xludf.DUMMYFUNCTION("""COMPUTED_VALUE"""),3107.350619)</f>
        <v>3107.350619</v>
      </c>
    </row>
    <row r="1470">
      <c r="A1470" s="3">
        <f>IFERROR(__xludf.DUMMYFUNCTION("""COMPUTED_VALUE"""),41837.99861111111)</f>
        <v>41837.99861</v>
      </c>
      <c r="B1470" s="1">
        <f>IFERROR(__xludf.DUMMYFUNCTION("""COMPUTED_VALUE"""),3112.237994)</f>
        <v>3112.237994</v>
      </c>
    </row>
    <row r="1471">
      <c r="A1471" s="3">
        <f>IFERROR(__xludf.DUMMYFUNCTION("""COMPUTED_VALUE"""),41838.99861111111)</f>
        <v>41838.99861</v>
      </c>
      <c r="B1471" s="1">
        <f>IFERROR(__xludf.DUMMYFUNCTION("""COMPUTED_VALUE"""),3099.978572)</f>
        <v>3099.978572</v>
      </c>
    </row>
    <row r="1472">
      <c r="A1472" s="3">
        <f>IFERROR(__xludf.DUMMYFUNCTION("""COMPUTED_VALUE"""),41839.99861111111)</f>
        <v>41839.99861</v>
      </c>
      <c r="B1472" s="1">
        <f>IFERROR(__xludf.DUMMYFUNCTION("""COMPUTED_VALUE"""),3104.466693)</f>
        <v>3104.466693</v>
      </c>
    </row>
    <row r="1473">
      <c r="A1473" s="3">
        <f>IFERROR(__xludf.DUMMYFUNCTION("""COMPUTED_VALUE"""),41840.99861111111)</f>
        <v>41840.99861</v>
      </c>
      <c r="B1473" s="1">
        <f>IFERROR(__xludf.DUMMYFUNCTION("""COMPUTED_VALUE"""),3106.703595)</f>
        <v>3106.703595</v>
      </c>
    </row>
    <row r="1474">
      <c r="A1474" s="3">
        <f>IFERROR(__xludf.DUMMYFUNCTION("""COMPUTED_VALUE"""),41841.99861111111)</f>
        <v>41841.99861</v>
      </c>
      <c r="B1474" s="1">
        <f>IFERROR(__xludf.DUMMYFUNCTION("""COMPUTED_VALUE"""),3085.381802)</f>
        <v>3085.381802</v>
      </c>
    </row>
    <row r="1475">
      <c r="A1475" s="3">
        <f>IFERROR(__xludf.DUMMYFUNCTION("""COMPUTED_VALUE"""),41842.99861111111)</f>
        <v>41842.99861</v>
      </c>
      <c r="B1475" s="1">
        <f>IFERROR(__xludf.DUMMYFUNCTION("""COMPUTED_VALUE"""),3090.554818)</f>
        <v>3090.554818</v>
      </c>
    </row>
    <row r="1476">
      <c r="A1476" s="3">
        <f>IFERROR(__xludf.DUMMYFUNCTION("""COMPUTED_VALUE"""),41843.99861111111)</f>
        <v>41843.99861</v>
      </c>
      <c r="B1476" s="1">
        <f>IFERROR(__xludf.DUMMYFUNCTION("""COMPUTED_VALUE"""),3065.44596)</f>
        <v>3065.44596</v>
      </c>
    </row>
    <row r="1477">
      <c r="A1477" s="3">
        <f>IFERROR(__xludf.DUMMYFUNCTION("""COMPUTED_VALUE"""),41844.99861111111)</f>
        <v>41844.99861</v>
      </c>
      <c r="B1477" s="1">
        <f>IFERROR(__xludf.DUMMYFUNCTION("""COMPUTED_VALUE"""),3083.32884)</f>
        <v>3083.32884</v>
      </c>
    </row>
    <row r="1478">
      <c r="A1478" s="3">
        <f>IFERROR(__xludf.DUMMYFUNCTION("""COMPUTED_VALUE"""),41845.99861111111)</f>
        <v>41845.99861</v>
      </c>
      <c r="B1478" s="1">
        <f>IFERROR(__xludf.DUMMYFUNCTION("""COMPUTED_VALUE"""),3085.648703)</f>
        <v>3085.648703</v>
      </c>
    </row>
    <row r="1479">
      <c r="A1479" s="3">
        <f>IFERROR(__xludf.DUMMYFUNCTION("""COMPUTED_VALUE"""),41846.99861111111)</f>
        <v>41846.99861</v>
      </c>
      <c r="B1479" s="1">
        <f>IFERROR(__xludf.DUMMYFUNCTION("""COMPUTED_VALUE"""),3089.994589)</f>
        <v>3089.994589</v>
      </c>
    </row>
    <row r="1480">
      <c r="A1480" s="3">
        <f>IFERROR(__xludf.DUMMYFUNCTION("""COMPUTED_VALUE"""),41847.99861111111)</f>
        <v>41847.99861</v>
      </c>
      <c r="B1480" s="1">
        <f>IFERROR(__xludf.DUMMYFUNCTION("""COMPUTED_VALUE"""),3089.994589)</f>
        <v>3089.994589</v>
      </c>
    </row>
    <row r="1481">
      <c r="A1481" s="3">
        <f>IFERROR(__xludf.DUMMYFUNCTION("""COMPUTED_VALUE"""),41848.99861111111)</f>
        <v>41848.99861</v>
      </c>
      <c r="B1481" s="1">
        <f>IFERROR(__xludf.DUMMYFUNCTION("""COMPUTED_VALUE"""),3085.566274)</f>
        <v>3085.566274</v>
      </c>
    </row>
    <row r="1482">
      <c r="A1482" s="3">
        <f>IFERROR(__xludf.DUMMYFUNCTION("""COMPUTED_VALUE"""),41849.99861111111)</f>
        <v>41849.99861</v>
      </c>
      <c r="B1482" s="1">
        <f>IFERROR(__xludf.DUMMYFUNCTION("""COMPUTED_VALUE"""),3082.933256)</f>
        <v>3082.933256</v>
      </c>
    </row>
    <row r="1483">
      <c r="A1483" s="3">
        <f>IFERROR(__xludf.DUMMYFUNCTION("""COMPUTED_VALUE"""),41850.99861111111)</f>
        <v>41850.99861</v>
      </c>
      <c r="B1483" s="1">
        <f>IFERROR(__xludf.DUMMYFUNCTION("""COMPUTED_VALUE"""),3085.154586)</f>
        <v>3085.154586</v>
      </c>
    </row>
    <row r="1484">
      <c r="A1484" s="3">
        <f>IFERROR(__xludf.DUMMYFUNCTION("""COMPUTED_VALUE"""),41851.99861111111)</f>
        <v>41851.99861</v>
      </c>
      <c r="B1484" s="1">
        <f>IFERROR(__xludf.DUMMYFUNCTION("""COMPUTED_VALUE"""),3139.11275)</f>
        <v>3139.11275</v>
      </c>
    </row>
    <row r="1485">
      <c r="A1485" s="3">
        <f>IFERROR(__xludf.DUMMYFUNCTION("""COMPUTED_VALUE"""),41852.99861111111)</f>
        <v>41852.99861</v>
      </c>
      <c r="B1485" s="1">
        <f>IFERROR(__xludf.DUMMYFUNCTION("""COMPUTED_VALUE"""),3166.479693)</f>
        <v>3166.479693</v>
      </c>
    </row>
    <row r="1486">
      <c r="A1486" s="3">
        <f>IFERROR(__xludf.DUMMYFUNCTION("""COMPUTED_VALUE"""),41853.99861111111)</f>
        <v>41853.99861</v>
      </c>
      <c r="B1486" s="1">
        <f>IFERROR(__xludf.DUMMYFUNCTION("""COMPUTED_VALUE"""),3148.449197)</f>
        <v>3148.449197</v>
      </c>
    </row>
    <row r="1487">
      <c r="A1487" s="3">
        <f>IFERROR(__xludf.DUMMYFUNCTION("""COMPUTED_VALUE"""),41854.99861111111)</f>
        <v>41854.99861</v>
      </c>
      <c r="B1487" s="1">
        <f>IFERROR(__xludf.DUMMYFUNCTION("""COMPUTED_VALUE"""),3167.145695)</f>
        <v>3167.145695</v>
      </c>
    </row>
    <row r="1488">
      <c r="A1488" s="3">
        <f>IFERROR(__xludf.DUMMYFUNCTION("""COMPUTED_VALUE"""),41855.99861111111)</f>
        <v>41855.99861</v>
      </c>
      <c r="B1488" s="1">
        <f>IFERROR(__xludf.DUMMYFUNCTION("""COMPUTED_VALUE"""),3137.343789)</f>
        <v>3137.343789</v>
      </c>
    </row>
    <row r="1489">
      <c r="A1489" s="3">
        <f>IFERROR(__xludf.DUMMYFUNCTION("""COMPUTED_VALUE"""),41856.99861111111)</f>
        <v>41856.99861</v>
      </c>
      <c r="B1489" s="1">
        <f>IFERROR(__xludf.DUMMYFUNCTION("""COMPUTED_VALUE"""),3116.075479)</f>
        <v>3116.075479</v>
      </c>
    </row>
    <row r="1490">
      <c r="A1490" s="3">
        <f>IFERROR(__xludf.DUMMYFUNCTION("""COMPUTED_VALUE"""),41857.99861111111)</f>
        <v>41857.99861</v>
      </c>
      <c r="B1490" s="1">
        <f>IFERROR(__xludf.DUMMYFUNCTION("""COMPUTED_VALUE"""),3138.312024)</f>
        <v>3138.312024</v>
      </c>
    </row>
    <row r="1491">
      <c r="A1491" s="3">
        <f>IFERROR(__xludf.DUMMYFUNCTION("""COMPUTED_VALUE"""),41858.99861111111)</f>
        <v>41858.99861</v>
      </c>
      <c r="B1491" s="1">
        <f>IFERROR(__xludf.DUMMYFUNCTION("""COMPUTED_VALUE"""),3151.558798)</f>
        <v>3151.558798</v>
      </c>
    </row>
    <row r="1492">
      <c r="A1492" s="3">
        <f>IFERROR(__xludf.DUMMYFUNCTION("""COMPUTED_VALUE"""),41859.99861111111)</f>
        <v>41859.99861</v>
      </c>
      <c r="B1492" s="1">
        <f>IFERROR(__xludf.DUMMYFUNCTION("""COMPUTED_VALUE"""),3134.758587)</f>
        <v>3134.758587</v>
      </c>
    </row>
    <row r="1493">
      <c r="A1493" s="3">
        <f>IFERROR(__xludf.DUMMYFUNCTION("""COMPUTED_VALUE"""),41861.99861111111)</f>
        <v>41861.99861</v>
      </c>
      <c r="B1493" s="1">
        <f>IFERROR(__xludf.DUMMYFUNCTION("""COMPUTED_VALUE"""),3152.087921)</f>
        <v>3152.087921</v>
      </c>
    </row>
    <row r="1494">
      <c r="A1494" s="3">
        <f>IFERROR(__xludf.DUMMYFUNCTION("""COMPUTED_VALUE"""),41862.99861111111)</f>
        <v>41862.99861</v>
      </c>
      <c r="B1494" s="1">
        <f>IFERROR(__xludf.DUMMYFUNCTION("""COMPUTED_VALUE"""),3119.999922)</f>
        <v>3119.999922</v>
      </c>
    </row>
    <row r="1495">
      <c r="A1495" s="3">
        <f>IFERROR(__xludf.DUMMYFUNCTION("""COMPUTED_VALUE"""),41863.99861111111)</f>
        <v>41863.99861</v>
      </c>
      <c r="B1495" s="1">
        <f>IFERROR(__xludf.DUMMYFUNCTION("""COMPUTED_VALUE"""),3117.826028)</f>
        <v>3117.826028</v>
      </c>
    </row>
    <row r="1496">
      <c r="A1496" s="3">
        <f>IFERROR(__xludf.DUMMYFUNCTION("""COMPUTED_VALUE"""),41864.99861111111)</f>
        <v>41864.99861</v>
      </c>
      <c r="B1496" s="1">
        <f>IFERROR(__xludf.DUMMYFUNCTION("""COMPUTED_VALUE"""),3115.466588)</f>
        <v>3115.466588</v>
      </c>
    </row>
    <row r="1497">
      <c r="A1497" s="3">
        <f>IFERROR(__xludf.DUMMYFUNCTION("""COMPUTED_VALUE"""),41865.99861111111)</f>
        <v>41865.99861</v>
      </c>
      <c r="B1497" s="1">
        <f>IFERROR(__xludf.DUMMYFUNCTION("""COMPUTED_VALUE"""),3114.657764)</f>
        <v>3114.657764</v>
      </c>
    </row>
    <row r="1498">
      <c r="A1498" s="3">
        <f>IFERROR(__xludf.DUMMYFUNCTION("""COMPUTED_VALUE"""),41866.99861111111)</f>
        <v>41866.99861</v>
      </c>
      <c r="B1498" s="1">
        <f>IFERROR(__xludf.DUMMYFUNCTION("""COMPUTED_VALUE"""),3114.023336)</f>
        <v>3114.023336</v>
      </c>
    </row>
    <row r="1499">
      <c r="A1499" s="3">
        <f>IFERROR(__xludf.DUMMYFUNCTION("""COMPUTED_VALUE"""),41868.99861111111)</f>
        <v>41868.99861</v>
      </c>
      <c r="B1499" s="1">
        <f>IFERROR(__xludf.DUMMYFUNCTION("""COMPUTED_VALUE"""),3115.0978)</f>
        <v>3115.0978</v>
      </c>
    </row>
    <row r="1500">
      <c r="A1500" s="3">
        <f>IFERROR(__xludf.DUMMYFUNCTION("""COMPUTED_VALUE"""),41869.99861111111)</f>
        <v>41869.99861</v>
      </c>
      <c r="B1500" s="1">
        <f>IFERROR(__xludf.DUMMYFUNCTION("""COMPUTED_VALUE"""),3114.666588)</f>
        <v>3114.666588</v>
      </c>
    </row>
    <row r="1501">
      <c r="A1501" s="3">
        <f>IFERROR(__xludf.DUMMYFUNCTION("""COMPUTED_VALUE"""),41870.99861111111)</f>
        <v>41870.99861</v>
      </c>
      <c r="B1501" s="1">
        <f>IFERROR(__xludf.DUMMYFUNCTION("""COMPUTED_VALUE"""),3113.121899)</f>
        <v>3113.121899</v>
      </c>
    </row>
    <row r="1502">
      <c r="A1502" s="3">
        <f>IFERROR(__xludf.DUMMYFUNCTION("""COMPUTED_VALUE"""),41871.99861111111)</f>
        <v>41871.99861</v>
      </c>
      <c r="B1502" s="1">
        <f>IFERROR(__xludf.DUMMYFUNCTION("""COMPUTED_VALUE"""),3122.664597)</f>
        <v>3122.664597</v>
      </c>
    </row>
    <row r="1503">
      <c r="A1503" s="3">
        <f>IFERROR(__xludf.DUMMYFUNCTION("""COMPUTED_VALUE"""),41872.99861111111)</f>
        <v>41872.99861</v>
      </c>
      <c r="B1503" s="1">
        <f>IFERROR(__xludf.DUMMYFUNCTION("""COMPUTED_VALUE"""),3119.628418)</f>
        <v>3119.628418</v>
      </c>
    </row>
    <row r="1504">
      <c r="A1504" s="3">
        <f>IFERROR(__xludf.DUMMYFUNCTION("""COMPUTED_VALUE"""),41873.99861111111)</f>
        <v>41873.99861</v>
      </c>
      <c r="B1504" s="1">
        <f>IFERROR(__xludf.DUMMYFUNCTION("""COMPUTED_VALUE"""),3113.069003)</f>
        <v>3113.069003</v>
      </c>
    </row>
    <row r="1505">
      <c r="A1505" s="3">
        <f>IFERROR(__xludf.DUMMYFUNCTION("""COMPUTED_VALUE"""),41874.99861111111)</f>
        <v>41874.99861</v>
      </c>
      <c r="B1505" s="1">
        <f>IFERROR(__xludf.DUMMYFUNCTION("""COMPUTED_VALUE"""),3115.263922)</f>
        <v>3115.263922</v>
      </c>
    </row>
    <row r="1506">
      <c r="A1506" s="3">
        <f>IFERROR(__xludf.DUMMYFUNCTION("""COMPUTED_VALUE"""),41875.99861111111)</f>
        <v>41875.99861</v>
      </c>
      <c r="B1506" s="1">
        <f>IFERROR(__xludf.DUMMYFUNCTION("""COMPUTED_VALUE"""),3115.263922)</f>
        <v>3115.263922</v>
      </c>
    </row>
    <row r="1507">
      <c r="A1507" s="3">
        <f>IFERROR(__xludf.DUMMYFUNCTION("""COMPUTED_VALUE"""),41876.99861111111)</f>
        <v>41876.99861</v>
      </c>
      <c r="B1507" s="1">
        <f>IFERROR(__xludf.DUMMYFUNCTION("""COMPUTED_VALUE"""),3121.964228)</f>
        <v>3121.964228</v>
      </c>
    </row>
    <row r="1508">
      <c r="A1508" s="3">
        <f>IFERROR(__xludf.DUMMYFUNCTION("""COMPUTED_VALUE"""),41877.99861111111)</f>
        <v>41877.99861</v>
      </c>
      <c r="B1508" s="1">
        <f>IFERROR(__xludf.DUMMYFUNCTION("""COMPUTED_VALUE"""),3119.466588)</f>
        <v>3119.466588</v>
      </c>
    </row>
    <row r="1509">
      <c r="A1509" s="3">
        <f>IFERROR(__xludf.DUMMYFUNCTION("""COMPUTED_VALUE"""),41878.99861111111)</f>
        <v>41878.99861</v>
      </c>
      <c r="B1509" s="1">
        <f>IFERROR(__xludf.DUMMYFUNCTION("""COMPUTED_VALUE"""),3113.406464)</f>
        <v>3113.406464</v>
      </c>
    </row>
    <row r="1510">
      <c r="A1510" s="3">
        <f>IFERROR(__xludf.DUMMYFUNCTION("""COMPUTED_VALUE"""),41879.99861111111)</f>
        <v>41879.99861</v>
      </c>
      <c r="B1510" s="1">
        <f>IFERROR(__xludf.DUMMYFUNCTION("""COMPUTED_VALUE"""),3127.168829)</f>
        <v>3127.168829</v>
      </c>
    </row>
    <row r="1511">
      <c r="A1511" s="3">
        <f>IFERROR(__xludf.DUMMYFUNCTION("""COMPUTED_VALUE"""),41880.99861111111)</f>
        <v>41880.99861</v>
      </c>
      <c r="B1511" s="1">
        <f>IFERROR(__xludf.DUMMYFUNCTION("""COMPUTED_VALUE"""),3121.06323)</f>
        <v>3121.06323</v>
      </c>
    </row>
    <row r="1512">
      <c r="A1512" s="3">
        <f>IFERROR(__xludf.DUMMYFUNCTION("""COMPUTED_VALUE"""),41882.99861111111)</f>
        <v>41882.99861</v>
      </c>
      <c r="B1512" s="1">
        <f>IFERROR(__xludf.DUMMYFUNCTION("""COMPUTED_VALUE"""),3125.226783)</f>
        <v>3125.226783</v>
      </c>
    </row>
    <row r="1513">
      <c r="A1513" s="3">
        <f>IFERROR(__xludf.DUMMYFUNCTION("""COMPUTED_VALUE"""),41883.99861111111)</f>
        <v>41883.99861</v>
      </c>
      <c r="B1513" s="1">
        <f>IFERROR(__xludf.DUMMYFUNCTION("""COMPUTED_VALUE"""),3125.049952)</f>
        <v>3125.049952</v>
      </c>
    </row>
    <row r="1514">
      <c r="A1514" s="3">
        <f>IFERROR(__xludf.DUMMYFUNCTION("""COMPUTED_VALUE"""),41884.99861111111)</f>
        <v>41884.99861</v>
      </c>
      <c r="B1514" s="1">
        <f>IFERROR(__xludf.DUMMYFUNCTION("""COMPUTED_VALUE"""),3131.466588)</f>
        <v>3131.466588</v>
      </c>
    </row>
    <row r="1515">
      <c r="A1515" s="3">
        <f>IFERROR(__xludf.DUMMYFUNCTION("""COMPUTED_VALUE"""),41885.99861111111)</f>
        <v>41885.99861</v>
      </c>
      <c r="B1515" s="1">
        <f>IFERROR(__xludf.DUMMYFUNCTION("""COMPUTED_VALUE"""),3140.21128)</f>
        <v>3140.21128</v>
      </c>
    </row>
    <row r="1516">
      <c r="A1516" s="3">
        <f>IFERROR(__xludf.DUMMYFUNCTION("""COMPUTED_VALUE"""),41886.99861111111)</f>
        <v>41886.99861</v>
      </c>
      <c r="B1516" s="1">
        <f>IFERROR(__xludf.DUMMYFUNCTION("""COMPUTED_VALUE"""),3134.025482)</f>
        <v>3134.025482</v>
      </c>
    </row>
    <row r="1517">
      <c r="A1517" s="3">
        <f>IFERROR(__xludf.DUMMYFUNCTION("""COMPUTED_VALUE"""),41887.99861111111)</f>
        <v>41887.99861</v>
      </c>
      <c r="B1517" s="1">
        <f>IFERROR(__xludf.DUMMYFUNCTION("""COMPUTED_VALUE"""),3128.536274)</f>
        <v>3128.536274</v>
      </c>
    </row>
    <row r="1518">
      <c r="A1518" s="3">
        <f>IFERROR(__xludf.DUMMYFUNCTION("""COMPUTED_VALUE"""),41890.99861111111)</f>
        <v>41890.99861</v>
      </c>
      <c r="B1518" s="1">
        <f>IFERROR(__xludf.DUMMYFUNCTION("""COMPUTED_VALUE"""),3123.383309)</f>
        <v>3123.383309</v>
      </c>
    </row>
    <row r="1519">
      <c r="A1519" s="3">
        <f>IFERROR(__xludf.DUMMYFUNCTION("""COMPUTED_VALUE"""),41891.99861111111)</f>
        <v>41891.99861</v>
      </c>
      <c r="B1519" s="1">
        <f>IFERROR(__xludf.DUMMYFUNCTION("""COMPUTED_VALUE"""),3150.140035)</f>
        <v>3150.140035</v>
      </c>
    </row>
    <row r="1520">
      <c r="A1520" s="3">
        <f>IFERROR(__xludf.DUMMYFUNCTION("""COMPUTED_VALUE"""),41892.99861111111)</f>
        <v>41892.99861</v>
      </c>
      <c r="B1520" s="1">
        <f>IFERROR(__xludf.DUMMYFUNCTION("""COMPUTED_VALUE"""),3153.778304)</f>
        <v>3153.778304</v>
      </c>
    </row>
    <row r="1521">
      <c r="A1521" s="3">
        <f>IFERROR(__xludf.DUMMYFUNCTION("""COMPUTED_VALUE"""),41893.99861111111)</f>
        <v>41893.99861</v>
      </c>
      <c r="B1521" s="1">
        <f>IFERROR(__xludf.DUMMYFUNCTION("""COMPUTED_VALUE"""),3157.445218)</f>
        <v>3157.445218</v>
      </c>
    </row>
    <row r="1522">
      <c r="A1522" s="3">
        <f>IFERROR(__xludf.DUMMYFUNCTION("""COMPUTED_VALUE"""),41894.99861111111)</f>
        <v>41894.99861</v>
      </c>
      <c r="B1522" s="1">
        <f>IFERROR(__xludf.DUMMYFUNCTION("""COMPUTED_VALUE"""),3171.532216)</f>
        <v>3171.532216</v>
      </c>
    </row>
    <row r="1523">
      <c r="A1523" s="3">
        <f>IFERROR(__xludf.DUMMYFUNCTION("""COMPUTED_VALUE"""),41895.99861111111)</f>
        <v>41895.99861</v>
      </c>
      <c r="B1523" s="1">
        <f>IFERROR(__xludf.DUMMYFUNCTION("""COMPUTED_VALUE"""),3233.144125)</f>
        <v>3233.144125</v>
      </c>
    </row>
    <row r="1524">
      <c r="A1524" s="3">
        <f>IFERROR(__xludf.DUMMYFUNCTION("""COMPUTED_VALUE"""),41897.99861111111)</f>
        <v>41897.99861</v>
      </c>
      <c r="B1524" s="1">
        <f>IFERROR(__xludf.DUMMYFUNCTION("""COMPUTED_VALUE"""),3185.384783)</f>
        <v>3185.384783</v>
      </c>
    </row>
    <row r="1525">
      <c r="A1525" s="3">
        <f>IFERROR(__xludf.DUMMYFUNCTION("""COMPUTED_VALUE"""),41898.99861111111)</f>
        <v>41898.99861</v>
      </c>
      <c r="B1525" s="1">
        <f>IFERROR(__xludf.DUMMYFUNCTION("""COMPUTED_VALUE"""),3198.473384)</f>
        <v>3198.473384</v>
      </c>
    </row>
    <row r="1526">
      <c r="A1526" s="3">
        <f>IFERROR(__xludf.DUMMYFUNCTION("""COMPUTED_VALUE"""),41899.99861111111)</f>
        <v>41899.99861</v>
      </c>
      <c r="B1526" s="1">
        <f>IFERROR(__xludf.DUMMYFUNCTION("""COMPUTED_VALUE"""),3192.76139)</f>
        <v>3192.76139</v>
      </c>
    </row>
    <row r="1527">
      <c r="A1527" s="3">
        <f>IFERROR(__xludf.DUMMYFUNCTION("""COMPUTED_VALUE"""),41900.99861111111)</f>
        <v>41900.99861</v>
      </c>
      <c r="B1527" s="1">
        <f>IFERROR(__xludf.DUMMYFUNCTION("""COMPUTED_VALUE"""),3194.71497)</f>
        <v>3194.71497</v>
      </c>
    </row>
    <row r="1528">
      <c r="A1528" s="3">
        <f>IFERROR(__xludf.DUMMYFUNCTION("""COMPUTED_VALUE"""),41901.99861111111)</f>
        <v>41901.99861</v>
      </c>
      <c r="B1528" s="1">
        <f>IFERROR(__xludf.DUMMYFUNCTION("""COMPUTED_VALUE"""),3197.683681)</f>
        <v>3197.683681</v>
      </c>
    </row>
    <row r="1529">
      <c r="A1529" s="3">
        <f>IFERROR(__xludf.DUMMYFUNCTION("""COMPUTED_VALUE"""),41902.99861111111)</f>
        <v>41902.99861</v>
      </c>
      <c r="B1529" s="1">
        <f>IFERROR(__xludf.DUMMYFUNCTION("""COMPUTED_VALUE"""),3203.501048)</f>
        <v>3203.501048</v>
      </c>
    </row>
    <row r="1530">
      <c r="A1530" s="3">
        <f>IFERROR(__xludf.DUMMYFUNCTION("""COMPUTED_VALUE"""),41904.99861111111)</f>
        <v>41904.99861</v>
      </c>
      <c r="B1530" s="1">
        <f>IFERROR(__xludf.DUMMYFUNCTION("""COMPUTED_VALUE"""),3199.530187)</f>
        <v>3199.530187</v>
      </c>
    </row>
    <row r="1531">
      <c r="A1531" s="3">
        <f>IFERROR(__xludf.DUMMYFUNCTION("""COMPUTED_VALUE"""),41905.99861111111)</f>
        <v>41905.99861</v>
      </c>
      <c r="B1531" s="1">
        <f>IFERROR(__xludf.DUMMYFUNCTION("""COMPUTED_VALUE"""),3194.811433)</f>
        <v>3194.811433</v>
      </c>
    </row>
    <row r="1532">
      <c r="A1532" s="3">
        <f>IFERROR(__xludf.DUMMYFUNCTION("""COMPUTED_VALUE"""),41906.99861111111)</f>
        <v>41906.99861</v>
      </c>
      <c r="B1532" s="1">
        <f>IFERROR(__xludf.DUMMYFUNCTION("""COMPUTED_VALUE"""),3184.545176)</f>
        <v>3184.545176</v>
      </c>
    </row>
    <row r="1533">
      <c r="A1533" s="3">
        <f>IFERROR(__xludf.DUMMYFUNCTION("""COMPUTED_VALUE"""),41907.99861111111)</f>
        <v>41907.99861</v>
      </c>
      <c r="B1533" s="1">
        <f>IFERROR(__xludf.DUMMYFUNCTION("""COMPUTED_VALUE"""),3196.946646)</f>
        <v>3196.946646</v>
      </c>
    </row>
    <row r="1534">
      <c r="A1534" s="3">
        <f>IFERROR(__xludf.DUMMYFUNCTION("""COMPUTED_VALUE"""),41908.99861111111)</f>
        <v>41908.99861</v>
      </c>
      <c r="B1534" s="1">
        <f>IFERROR(__xludf.DUMMYFUNCTION("""COMPUTED_VALUE"""),3216.249353)</f>
        <v>3216.249353</v>
      </c>
    </row>
    <row r="1535">
      <c r="A1535" s="3">
        <f>IFERROR(__xludf.DUMMYFUNCTION("""COMPUTED_VALUE"""),41909.99861111111)</f>
        <v>41909.99861</v>
      </c>
      <c r="B1535" s="1">
        <f>IFERROR(__xludf.DUMMYFUNCTION("""COMPUTED_VALUE"""),3219.38665)</f>
        <v>3219.38665</v>
      </c>
    </row>
    <row r="1536">
      <c r="A1536" s="3">
        <f>IFERROR(__xludf.DUMMYFUNCTION("""COMPUTED_VALUE"""),41910.99861111111)</f>
        <v>41910.99861</v>
      </c>
      <c r="B1536" s="1">
        <f>IFERROR(__xludf.DUMMYFUNCTION("""COMPUTED_VALUE"""),3216.296423)</f>
        <v>3216.296423</v>
      </c>
    </row>
    <row r="1537">
      <c r="A1537" s="3">
        <f>IFERROR(__xludf.DUMMYFUNCTION("""COMPUTED_VALUE"""),41911.99861111111)</f>
        <v>41911.99861</v>
      </c>
      <c r="B1537" s="1">
        <f>IFERROR(__xludf.DUMMYFUNCTION("""COMPUTED_VALUE"""),3240.459024)</f>
        <v>3240.459024</v>
      </c>
    </row>
    <row r="1538">
      <c r="A1538" s="3">
        <f>IFERROR(__xludf.DUMMYFUNCTION("""COMPUTED_VALUE"""),41912.99861111111)</f>
        <v>41912.99861</v>
      </c>
      <c r="B1538" s="1">
        <f>IFERROR(__xludf.DUMMYFUNCTION("""COMPUTED_VALUE"""),3249.352755)</f>
        <v>3249.352755</v>
      </c>
    </row>
    <row r="1539">
      <c r="A1539" s="3">
        <f>IFERROR(__xludf.DUMMYFUNCTION("""COMPUTED_VALUE"""),41913.99861111111)</f>
        <v>41913.99861</v>
      </c>
      <c r="B1539" s="1">
        <f>IFERROR(__xludf.DUMMYFUNCTION("""COMPUTED_VALUE"""),3236.651781)</f>
        <v>3236.651781</v>
      </c>
    </row>
    <row r="1540">
      <c r="A1540" s="3">
        <f>IFERROR(__xludf.DUMMYFUNCTION("""COMPUTED_VALUE"""),41914.99861111111)</f>
        <v>41914.99861</v>
      </c>
      <c r="B1540" s="1">
        <f>IFERROR(__xludf.DUMMYFUNCTION("""COMPUTED_VALUE"""),3232.107548)</f>
        <v>3232.107548</v>
      </c>
    </row>
    <row r="1541">
      <c r="A1541" s="3">
        <f>IFERROR(__xludf.DUMMYFUNCTION("""COMPUTED_VALUE"""),41915.99861111111)</f>
        <v>41915.99861</v>
      </c>
      <c r="B1541" s="1">
        <f>IFERROR(__xludf.DUMMYFUNCTION("""COMPUTED_VALUE"""),3247.054332)</f>
        <v>3247.054332</v>
      </c>
    </row>
    <row r="1542">
      <c r="A1542" s="3">
        <f>IFERROR(__xludf.DUMMYFUNCTION("""COMPUTED_VALUE"""),41916.99861111111)</f>
        <v>41916.99861</v>
      </c>
      <c r="B1542" s="1">
        <f>IFERROR(__xludf.DUMMYFUNCTION("""COMPUTED_VALUE"""),3254.548747)</f>
        <v>3254.548747</v>
      </c>
    </row>
    <row r="1543">
      <c r="A1543" s="3">
        <f>IFERROR(__xludf.DUMMYFUNCTION("""COMPUTED_VALUE"""),41918.99861111111)</f>
        <v>41918.99861</v>
      </c>
      <c r="B1543" s="1">
        <f>IFERROR(__xludf.DUMMYFUNCTION("""COMPUTED_VALUE"""),3241.014923)</f>
        <v>3241.014923</v>
      </c>
    </row>
    <row r="1544">
      <c r="A1544" s="3">
        <f>IFERROR(__xludf.DUMMYFUNCTION("""COMPUTED_VALUE"""),41919.99861111111)</f>
        <v>41919.99861</v>
      </c>
      <c r="B1544" s="1">
        <f>IFERROR(__xludf.DUMMYFUNCTION("""COMPUTED_VALUE"""),3260.393826)</f>
        <v>3260.393826</v>
      </c>
    </row>
    <row r="1545">
      <c r="A1545" s="3">
        <f>IFERROR(__xludf.DUMMYFUNCTION("""COMPUTED_VALUE"""),41920.99861111111)</f>
        <v>41920.99861</v>
      </c>
      <c r="B1545" s="1">
        <f>IFERROR(__xludf.DUMMYFUNCTION("""COMPUTED_VALUE"""),3258.519818)</f>
        <v>3258.519818</v>
      </c>
    </row>
    <row r="1546">
      <c r="A1546" s="3">
        <f>IFERROR(__xludf.DUMMYFUNCTION("""COMPUTED_VALUE"""),41921.99861111111)</f>
        <v>41921.99861</v>
      </c>
      <c r="B1546" s="1">
        <f>IFERROR(__xludf.DUMMYFUNCTION("""COMPUTED_VALUE"""),3253.803032)</f>
        <v>3253.803032</v>
      </c>
    </row>
    <row r="1547">
      <c r="A1547" s="3">
        <f>IFERROR(__xludf.DUMMYFUNCTION("""COMPUTED_VALUE"""),41922.99861111111)</f>
        <v>41922.99861</v>
      </c>
      <c r="B1547" s="1">
        <f>IFERROR(__xludf.DUMMYFUNCTION("""COMPUTED_VALUE"""),3258.954738)</f>
        <v>3258.954738</v>
      </c>
    </row>
    <row r="1548">
      <c r="A1548" s="3">
        <f>IFERROR(__xludf.DUMMYFUNCTION("""COMPUTED_VALUE"""),41923.99861111111)</f>
        <v>41923.99861</v>
      </c>
      <c r="B1548" s="1">
        <f>IFERROR(__xludf.DUMMYFUNCTION("""COMPUTED_VALUE"""),3262.678438)</f>
        <v>3262.678438</v>
      </c>
    </row>
    <row r="1549">
      <c r="A1549" s="3">
        <f>IFERROR(__xludf.DUMMYFUNCTION("""COMPUTED_VALUE"""),41924.99861111111)</f>
        <v>41924.99861</v>
      </c>
      <c r="B1549" s="1">
        <f>IFERROR(__xludf.DUMMYFUNCTION("""COMPUTED_VALUE"""),3262.678438)</f>
        <v>3262.678438</v>
      </c>
    </row>
    <row r="1550">
      <c r="A1550" s="3">
        <f>IFERROR(__xludf.DUMMYFUNCTION("""COMPUTED_VALUE"""),41925.99861111111)</f>
        <v>41925.99861</v>
      </c>
      <c r="B1550" s="1">
        <f>IFERROR(__xludf.DUMMYFUNCTION("""COMPUTED_VALUE"""),3255.851088)</f>
        <v>3255.851088</v>
      </c>
    </row>
    <row r="1551">
      <c r="A1551" s="3">
        <f>IFERROR(__xludf.DUMMYFUNCTION("""COMPUTED_VALUE"""),41926.99861111111)</f>
        <v>41926.99861</v>
      </c>
      <c r="B1551" s="1">
        <f>IFERROR(__xludf.DUMMYFUNCTION("""COMPUTED_VALUE"""),3255.317341)</f>
        <v>3255.317341</v>
      </c>
    </row>
    <row r="1552">
      <c r="A1552" s="3">
        <f>IFERROR(__xludf.DUMMYFUNCTION("""COMPUTED_VALUE"""),41927.99861111111)</f>
        <v>41927.99861</v>
      </c>
      <c r="B1552" s="1">
        <f>IFERROR(__xludf.DUMMYFUNCTION("""COMPUTED_VALUE"""),3263.05666)</f>
        <v>3263.05666</v>
      </c>
    </row>
    <row r="1553">
      <c r="A1553" s="3">
        <f>IFERROR(__xludf.DUMMYFUNCTION("""COMPUTED_VALUE"""),41928.99861111111)</f>
        <v>41928.99861</v>
      </c>
      <c r="B1553" s="1">
        <f>IFERROR(__xludf.DUMMYFUNCTION("""COMPUTED_VALUE"""),3258.519818)</f>
        <v>3258.519818</v>
      </c>
    </row>
    <row r="1554">
      <c r="A1554" s="3">
        <f>IFERROR(__xludf.DUMMYFUNCTION("""COMPUTED_VALUE"""),41929.99861111111)</f>
        <v>41929.99861</v>
      </c>
      <c r="B1554" s="1">
        <f>IFERROR(__xludf.DUMMYFUNCTION("""COMPUTED_VALUE"""),3226.253542)</f>
        <v>3226.253542</v>
      </c>
    </row>
    <row r="1555">
      <c r="A1555" s="3">
        <f>IFERROR(__xludf.DUMMYFUNCTION("""COMPUTED_VALUE"""),41930.99861111111)</f>
        <v>41930.99861</v>
      </c>
      <c r="B1555" s="1">
        <f>IFERROR(__xludf.DUMMYFUNCTION("""COMPUTED_VALUE"""),3231.633131)</f>
        <v>3231.633131</v>
      </c>
    </row>
    <row r="1556">
      <c r="A1556" s="3">
        <f>IFERROR(__xludf.DUMMYFUNCTION("""COMPUTED_VALUE"""),41931.99861111111)</f>
        <v>41931.99861</v>
      </c>
      <c r="B1556" s="1">
        <f>IFERROR(__xludf.DUMMYFUNCTION("""COMPUTED_VALUE"""),3231.633131)</f>
        <v>3231.633131</v>
      </c>
    </row>
    <row r="1557">
      <c r="A1557" s="3">
        <f>IFERROR(__xludf.DUMMYFUNCTION("""COMPUTED_VALUE"""),41932.99861111111)</f>
        <v>41932.99861</v>
      </c>
      <c r="B1557" s="1">
        <f>IFERROR(__xludf.DUMMYFUNCTION("""COMPUTED_VALUE"""),3203.774784)</f>
        <v>3203.774784</v>
      </c>
    </row>
    <row r="1558">
      <c r="A1558" s="3">
        <f>IFERROR(__xludf.DUMMYFUNCTION("""COMPUTED_VALUE"""),41933.99861111111)</f>
        <v>41933.99861</v>
      </c>
      <c r="B1558" s="1">
        <f>IFERROR(__xludf.DUMMYFUNCTION("""COMPUTED_VALUE"""),3198.153656)</f>
        <v>3198.153656</v>
      </c>
    </row>
    <row r="1559">
      <c r="A1559" s="3">
        <f>IFERROR(__xludf.DUMMYFUNCTION("""COMPUTED_VALUE"""),41934.99861111111)</f>
        <v>41934.99861</v>
      </c>
      <c r="B1559" s="1">
        <f>IFERROR(__xludf.DUMMYFUNCTION("""COMPUTED_VALUE"""),3196.456638)</f>
        <v>3196.456638</v>
      </c>
    </row>
    <row r="1560">
      <c r="A1560" s="3">
        <f>IFERROR(__xludf.DUMMYFUNCTION("""COMPUTED_VALUE"""),41935.99861111111)</f>
        <v>41935.99861</v>
      </c>
      <c r="B1560" s="1">
        <f>IFERROR(__xludf.DUMMYFUNCTION("""COMPUTED_VALUE"""),3216.210349)</f>
        <v>3216.210349</v>
      </c>
    </row>
    <row r="1561">
      <c r="A1561" s="3">
        <f>IFERROR(__xludf.DUMMYFUNCTION("""COMPUTED_VALUE"""),41936.99861111111)</f>
        <v>41936.99861</v>
      </c>
      <c r="B1561" s="1">
        <f>IFERROR(__xludf.DUMMYFUNCTION("""COMPUTED_VALUE"""),3218.712483)</f>
        <v>3218.712483</v>
      </c>
    </row>
    <row r="1562">
      <c r="A1562" s="3">
        <f>IFERROR(__xludf.DUMMYFUNCTION("""COMPUTED_VALUE"""),41937.99861111111)</f>
        <v>41937.99861</v>
      </c>
      <c r="B1562" s="1">
        <f>IFERROR(__xludf.DUMMYFUNCTION("""COMPUTED_VALUE"""),3226.655066)</f>
        <v>3226.655066</v>
      </c>
    </row>
    <row r="1563">
      <c r="A1563" s="3">
        <f>IFERROR(__xludf.DUMMYFUNCTION("""COMPUTED_VALUE"""),41939.99861111111)</f>
        <v>41939.99861</v>
      </c>
      <c r="B1563" s="1">
        <f>IFERROR(__xludf.DUMMYFUNCTION("""COMPUTED_VALUE"""),3228.474568)</f>
        <v>3228.474568</v>
      </c>
    </row>
    <row r="1564">
      <c r="A1564" s="3">
        <f>IFERROR(__xludf.DUMMYFUNCTION("""COMPUTED_VALUE"""),41940.99861111111)</f>
        <v>41940.99861</v>
      </c>
      <c r="B1564" s="1">
        <f>IFERROR(__xludf.DUMMYFUNCTION("""COMPUTED_VALUE"""),3238.519593)</f>
        <v>3238.519593</v>
      </c>
    </row>
    <row r="1565">
      <c r="A1565" s="3">
        <f>IFERROR(__xludf.DUMMYFUNCTION("""COMPUTED_VALUE"""),41941.99861111111)</f>
        <v>41941.99861</v>
      </c>
      <c r="B1565" s="1">
        <f>IFERROR(__xludf.DUMMYFUNCTION("""COMPUTED_VALUE"""),3226.512229)</f>
        <v>3226.512229</v>
      </c>
    </row>
    <row r="1566">
      <c r="A1566" s="3">
        <f>IFERROR(__xludf.DUMMYFUNCTION("""COMPUTED_VALUE"""),41942.99861111111)</f>
        <v>41942.99861</v>
      </c>
      <c r="B1566" s="1">
        <f>IFERROR(__xludf.DUMMYFUNCTION("""COMPUTED_VALUE"""),3242.161404)</f>
        <v>3242.161404</v>
      </c>
    </row>
    <row r="1567">
      <c r="A1567" s="3">
        <f>IFERROR(__xludf.DUMMYFUNCTION("""COMPUTED_VALUE"""),41943.99861111111)</f>
        <v>41943.99861</v>
      </c>
      <c r="B1567" s="1">
        <f>IFERROR(__xludf.DUMMYFUNCTION("""COMPUTED_VALUE"""),3220.556024)</f>
        <v>3220.556024</v>
      </c>
    </row>
    <row r="1568">
      <c r="A1568" s="3">
        <f>IFERROR(__xludf.DUMMYFUNCTION("""COMPUTED_VALUE"""),41944.99861111111)</f>
        <v>41944.99861</v>
      </c>
      <c r="B1568" s="1">
        <f>IFERROR(__xludf.DUMMYFUNCTION("""COMPUTED_VALUE"""),3260.060363)</f>
        <v>3260.060363</v>
      </c>
    </row>
    <row r="1569">
      <c r="A1569" s="3">
        <f>IFERROR(__xludf.DUMMYFUNCTION("""COMPUTED_VALUE"""),41945.99861111111)</f>
        <v>41945.99861</v>
      </c>
      <c r="B1569" s="1">
        <f>IFERROR(__xludf.DUMMYFUNCTION("""COMPUTED_VALUE"""),3260.060363)</f>
        <v>3260.060363</v>
      </c>
    </row>
    <row r="1570">
      <c r="A1570" s="3">
        <f>IFERROR(__xludf.DUMMYFUNCTION("""COMPUTED_VALUE"""),41946.99861111111)</f>
        <v>41946.99861</v>
      </c>
      <c r="B1570" s="1">
        <f>IFERROR(__xludf.DUMMYFUNCTION("""COMPUTED_VALUE"""),3230.687087)</f>
        <v>3230.687087</v>
      </c>
    </row>
    <row r="1571">
      <c r="A1571" s="3">
        <f>IFERROR(__xludf.DUMMYFUNCTION("""COMPUTED_VALUE"""),41947.99861111111)</f>
        <v>41947.99861</v>
      </c>
      <c r="B1571" s="1">
        <f>IFERROR(__xludf.DUMMYFUNCTION("""COMPUTED_VALUE"""),3230.884059)</f>
        <v>3230.884059</v>
      </c>
    </row>
    <row r="1572">
      <c r="A1572" s="3">
        <f>IFERROR(__xludf.DUMMYFUNCTION("""COMPUTED_VALUE"""),41948.99861111111)</f>
        <v>41948.99861</v>
      </c>
      <c r="B1572" s="1">
        <f>IFERROR(__xludf.DUMMYFUNCTION("""COMPUTED_VALUE"""),3248.485774)</f>
        <v>3248.485774</v>
      </c>
    </row>
    <row r="1573">
      <c r="A1573" s="3">
        <f>IFERROR(__xludf.DUMMYFUNCTION("""COMPUTED_VALUE"""),41949.99861111111)</f>
        <v>41949.99861</v>
      </c>
      <c r="B1573" s="1">
        <f>IFERROR(__xludf.DUMMYFUNCTION("""COMPUTED_VALUE"""),3241.90188)</f>
        <v>3241.90188</v>
      </c>
    </row>
    <row r="1574">
      <c r="A1574" s="3">
        <f>IFERROR(__xludf.DUMMYFUNCTION("""COMPUTED_VALUE"""),41950.99861111111)</f>
        <v>41950.99861</v>
      </c>
      <c r="B1574" s="1">
        <f>IFERROR(__xludf.DUMMYFUNCTION("""COMPUTED_VALUE"""),3245.541493)</f>
        <v>3245.541493</v>
      </c>
    </row>
    <row r="1575">
      <c r="A1575" s="3">
        <f>IFERROR(__xludf.DUMMYFUNCTION("""COMPUTED_VALUE"""),41953.99861111111)</f>
        <v>41953.99861</v>
      </c>
      <c r="B1575" s="1">
        <f>IFERROR(__xludf.DUMMYFUNCTION("""COMPUTED_VALUE"""),3242.976365)</f>
        <v>3242.976365</v>
      </c>
    </row>
    <row r="1576">
      <c r="A1576" s="3">
        <f>IFERROR(__xludf.DUMMYFUNCTION("""COMPUTED_VALUE"""),41954.99861111111)</f>
        <v>41954.99861</v>
      </c>
      <c r="B1576" s="1">
        <f>IFERROR(__xludf.DUMMYFUNCTION("""COMPUTED_VALUE"""),3235.600134)</f>
        <v>3235.600134</v>
      </c>
    </row>
    <row r="1577">
      <c r="A1577" s="3">
        <f>IFERROR(__xludf.DUMMYFUNCTION("""COMPUTED_VALUE"""),41955.99861111111)</f>
        <v>41955.99861</v>
      </c>
      <c r="B1577" s="1">
        <f>IFERROR(__xludf.DUMMYFUNCTION("""COMPUTED_VALUE"""),3251.253831)</f>
        <v>3251.253831</v>
      </c>
    </row>
    <row r="1578">
      <c r="A1578" s="3">
        <f>IFERROR(__xludf.DUMMYFUNCTION("""COMPUTED_VALUE"""),41956.99861111111)</f>
        <v>41956.99861</v>
      </c>
      <c r="B1578" s="1">
        <f>IFERROR(__xludf.DUMMYFUNCTION("""COMPUTED_VALUE"""),3251.514024)</f>
        <v>3251.514024</v>
      </c>
    </row>
    <row r="1579">
      <c r="A1579" s="3">
        <f>IFERROR(__xludf.DUMMYFUNCTION("""COMPUTED_VALUE"""),41957.99861111111)</f>
        <v>41957.99861</v>
      </c>
      <c r="B1579" s="1">
        <f>IFERROR(__xludf.DUMMYFUNCTION("""COMPUTED_VALUE"""),3325.97254)</f>
        <v>3325.97254</v>
      </c>
    </row>
    <row r="1580">
      <c r="A1580" s="3">
        <f>IFERROR(__xludf.DUMMYFUNCTION("""COMPUTED_VALUE"""),41958.99861111111)</f>
        <v>41958.99861</v>
      </c>
      <c r="B1580" s="1">
        <f>IFERROR(__xludf.DUMMYFUNCTION("""COMPUTED_VALUE"""),3332.587189)</f>
        <v>3332.587189</v>
      </c>
    </row>
    <row r="1581">
      <c r="A1581" s="3">
        <f>IFERROR(__xludf.DUMMYFUNCTION("""COMPUTED_VALUE"""),41959.99861111111)</f>
        <v>41959.99861</v>
      </c>
      <c r="B1581" s="1">
        <f>IFERROR(__xludf.DUMMYFUNCTION("""COMPUTED_VALUE"""),3262.939684)</f>
        <v>3262.939684</v>
      </c>
    </row>
    <row r="1582">
      <c r="A1582" s="3">
        <f>IFERROR(__xludf.DUMMYFUNCTION("""COMPUTED_VALUE"""),41960.99861111111)</f>
        <v>41960.99861</v>
      </c>
      <c r="B1582" s="1">
        <f>IFERROR(__xludf.DUMMYFUNCTION("""COMPUTED_VALUE"""),3253.735267)</f>
        <v>3253.735267</v>
      </c>
    </row>
    <row r="1583">
      <c r="A1583" s="3">
        <f>IFERROR(__xludf.DUMMYFUNCTION("""COMPUTED_VALUE"""),41961.99861111111)</f>
        <v>41961.99861</v>
      </c>
      <c r="B1583" s="1">
        <f>IFERROR(__xludf.DUMMYFUNCTION("""COMPUTED_VALUE"""),3235.05864)</f>
        <v>3235.05864</v>
      </c>
    </row>
    <row r="1584">
      <c r="A1584" s="3">
        <f>IFERROR(__xludf.DUMMYFUNCTION("""COMPUTED_VALUE"""),41962.99861111111)</f>
        <v>41962.99861</v>
      </c>
      <c r="B1584" s="1">
        <f>IFERROR(__xludf.DUMMYFUNCTION("""COMPUTED_VALUE"""),3228.749701)</f>
        <v>3228.749701</v>
      </c>
    </row>
    <row r="1585">
      <c r="A1585" s="3">
        <f>IFERROR(__xludf.DUMMYFUNCTION("""COMPUTED_VALUE"""),41963.99861111111)</f>
        <v>41963.99861</v>
      </c>
      <c r="B1585" s="1">
        <f>IFERROR(__xludf.DUMMYFUNCTION("""COMPUTED_VALUE"""),3237.538659)</f>
        <v>3237.538659</v>
      </c>
    </row>
    <row r="1586">
      <c r="A1586" s="3">
        <f>IFERROR(__xludf.DUMMYFUNCTION("""COMPUTED_VALUE"""),41964.99861111111)</f>
        <v>41964.99861</v>
      </c>
      <c r="B1586" s="1">
        <f>IFERROR(__xludf.DUMMYFUNCTION("""COMPUTED_VALUE"""),3237.538659)</f>
        <v>3237.538659</v>
      </c>
    </row>
    <row r="1587">
      <c r="A1587" s="3">
        <f>IFERROR(__xludf.DUMMYFUNCTION("""COMPUTED_VALUE"""),41965.99861111111)</f>
        <v>41965.99861</v>
      </c>
      <c r="B1587" s="1">
        <f>IFERROR(__xludf.DUMMYFUNCTION("""COMPUTED_VALUE"""),3270.066143)</f>
        <v>3270.066143</v>
      </c>
    </row>
    <row r="1588">
      <c r="A1588" s="3">
        <f>IFERROR(__xludf.DUMMYFUNCTION("""COMPUTED_VALUE"""),41967.99861111111)</f>
        <v>41967.99861</v>
      </c>
      <c r="B1588" s="1">
        <f>IFERROR(__xludf.DUMMYFUNCTION("""COMPUTED_VALUE"""),3237.452272)</f>
        <v>3237.452272</v>
      </c>
    </row>
    <row r="1589">
      <c r="A1589" s="3">
        <f>IFERROR(__xludf.DUMMYFUNCTION("""COMPUTED_VALUE"""),41968.99861111111)</f>
        <v>41968.99861</v>
      </c>
      <c r="B1589" s="1">
        <f>IFERROR(__xludf.DUMMYFUNCTION("""COMPUTED_VALUE"""),3238.143489)</f>
        <v>3238.143489</v>
      </c>
    </row>
    <row r="1590">
      <c r="A1590" s="3">
        <f>IFERROR(__xludf.DUMMYFUNCTION("""COMPUTED_VALUE"""),41969.99861111111)</f>
        <v>41969.99861</v>
      </c>
      <c r="B1590" s="1">
        <f>IFERROR(__xludf.DUMMYFUNCTION("""COMPUTED_VALUE"""),3247.965779)</f>
        <v>3247.965779</v>
      </c>
    </row>
    <row r="1591">
      <c r="A1591" s="3">
        <f>IFERROR(__xludf.DUMMYFUNCTION("""COMPUTED_VALUE"""),41970.99861111111)</f>
        <v>41970.99861</v>
      </c>
      <c r="B1591" s="1">
        <f>IFERROR(__xludf.DUMMYFUNCTION("""COMPUTED_VALUE"""),3248.052465)</f>
        <v>3248.052465</v>
      </c>
    </row>
    <row r="1592">
      <c r="A1592" s="3">
        <f>IFERROR(__xludf.DUMMYFUNCTION("""COMPUTED_VALUE"""),41971.99861111111)</f>
        <v>41971.99861</v>
      </c>
      <c r="B1592" s="1">
        <f>IFERROR(__xludf.DUMMYFUNCTION("""COMPUTED_VALUE"""),3244.417132)</f>
        <v>3244.417132</v>
      </c>
    </row>
    <row r="1593">
      <c r="A1593" s="3">
        <f>IFERROR(__xludf.DUMMYFUNCTION("""COMPUTED_VALUE"""),41974.99861111111)</f>
        <v>41974.99861</v>
      </c>
      <c r="B1593" s="1">
        <f>IFERROR(__xludf.DUMMYFUNCTION("""COMPUTED_VALUE"""),3276.349426)</f>
        <v>3276.349426</v>
      </c>
    </row>
    <row r="1594">
      <c r="A1594" s="3">
        <f>IFERROR(__xludf.DUMMYFUNCTION("""COMPUTED_VALUE"""),41975.99861111111)</f>
        <v>41975.99861</v>
      </c>
      <c r="B1594" s="1">
        <f>IFERROR(__xludf.DUMMYFUNCTION("""COMPUTED_VALUE"""),3276.524241)</f>
        <v>3276.524241</v>
      </c>
    </row>
    <row r="1595">
      <c r="A1595" s="3">
        <f>IFERROR(__xludf.DUMMYFUNCTION("""COMPUTED_VALUE"""),41976.99861111111)</f>
        <v>41976.99861</v>
      </c>
      <c r="B1595" s="1">
        <f>IFERROR(__xludf.DUMMYFUNCTION("""COMPUTED_VALUE"""),3276.87375)</f>
        <v>3276.87375</v>
      </c>
    </row>
    <row r="1596">
      <c r="A1596" s="3">
        <f>IFERROR(__xludf.DUMMYFUNCTION("""COMPUTED_VALUE"""),41977.99861111111)</f>
        <v>41977.99861</v>
      </c>
      <c r="B1596" s="1">
        <f>IFERROR(__xludf.DUMMYFUNCTION("""COMPUTED_VALUE"""),3276.786403)</f>
        <v>3276.786403</v>
      </c>
    </row>
    <row r="1597">
      <c r="A1597" s="3">
        <f>IFERROR(__xludf.DUMMYFUNCTION("""COMPUTED_VALUE"""),41978.99861111111)</f>
        <v>41978.99861</v>
      </c>
      <c r="B1597" s="1">
        <f>IFERROR(__xludf.DUMMYFUNCTION("""COMPUTED_VALUE"""),3276.698934)</f>
        <v>3276.698934</v>
      </c>
    </row>
    <row r="1598">
      <c r="A1598" s="3">
        <f>IFERROR(__xludf.DUMMYFUNCTION("""COMPUTED_VALUE"""),41979.99861111111)</f>
        <v>41979.99861</v>
      </c>
      <c r="B1598" s="1">
        <f>IFERROR(__xludf.DUMMYFUNCTION("""COMPUTED_VALUE"""),3309.223205)</f>
        <v>3309.223205</v>
      </c>
    </row>
    <row r="1599">
      <c r="A1599" s="3">
        <f>IFERROR(__xludf.DUMMYFUNCTION("""COMPUTED_VALUE"""),41981.99861111111)</f>
        <v>41981.99861</v>
      </c>
      <c r="B1599" s="1">
        <f>IFERROR(__xludf.DUMMYFUNCTION("""COMPUTED_VALUE"""),3277.660604)</f>
        <v>3277.660604</v>
      </c>
    </row>
    <row r="1600">
      <c r="A1600" s="3">
        <f>IFERROR(__xludf.DUMMYFUNCTION("""COMPUTED_VALUE"""),41982.99861111111)</f>
        <v>41982.99861</v>
      </c>
      <c r="B1600" s="1">
        <f>IFERROR(__xludf.DUMMYFUNCTION("""COMPUTED_VALUE"""),3277.223381)</f>
        <v>3277.223381</v>
      </c>
    </row>
    <row r="1601">
      <c r="A1601" s="3">
        <f>IFERROR(__xludf.DUMMYFUNCTION("""COMPUTED_VALUE"""),41983.99861111111)</f>
        <v>41983.99861</v>
      </c>
      <c r="B1601" s="1">
        <f>IFERROR(__xludf.DUMMYFUNCTION("""COMPUTED_VALUE"""),3277.573135)</f>
        <v>3277.573135</v>
      </c>
    </row>
    <row r="1602">
      <c r="A1602" s="3">
        <f>IFERROR(__xludf.DUMMYFUNCTION("""COMPUTED_VALUE"""),41984.99861111111)</f>
        <v>41984.99861</v>
      </c>
      <c r="B1602" s="1">
        <f>IFERROR(__xludf.DUMMYFUNCTION("""COMPUTED_VALUE"""),3324.441813)</f>
        <v>3324.441813</v>
      </c>
    </row>
    <row r="1603">
      <c r="A1603" s="3">
        <f>IFERROR(__xludf.DUMMYFUNCTION("""COMPUTED_VALUE"""),41985.99861111111)</f>
        <v>41985.99861</v>
      </c>
      <c r="B1603" s="1">
        <f>IFERROR(__xludf.DUMMYFUNCTION("""COMPUTED_VALUE"""),3360.690632)</f>
        <v>3360.690632</v>
      </c>
    </row>
    <row r="1604">
      <c r="A1604" s="3">
        <f>IFERROR(__xludf.DUMMYFUNCTION("""COMPUTED_VALUE"""),41986.99861111111)</f>
        <v>41986.99861</v>
      </c>
      <c r="B1604" s="1">
        <f>IFERROR(__xludf.DUMMYFUNCTION("""COMPUTED_VALUE"""),3364.490461)</f>
        <v>3364.490461</v>
      </c>
    </row>
    <row r="1605">
      <c r="A1605" s="3">
        <f>IFERROR(__xludf.DUMMYFUNCTION("""COMPUTED_VALUE"""),41987.99861111111)</f>
        <v>41987.99861</v>
      </c>
      <c r="B1605" s="1">
        <f>IFERROR(__xludf.DUMMYFUNCTION("""COMPUTED_VALUE"""),3364.490461)</f>
        <v>3364.490461</v>
      </c>
    </row>
    <row r="1606">
      <c r="A1606" s="3">
        <f>IFERROR(__xludf.DUMMYFUNCTION("""COMPUTED_VALUE"""),41988.99861111111)</f>
        <v>41988.99861</v>
      </c>
      <c r="B1606" s="1">
        <f>IFERROR(__xludf.DUMMYFUNCTION("""COMPUTED_VALUE"""),3427.672093)</f>
        <v>3427.672093</v>
      </c>
    </row>
    <row r="1607">
      <c r="A1607" s="3">
        <f>IFERROR(__xludf.DUMMYFUNCTION("""COMPUTED_VALUE"""),41989.99861111111)</f>
        <v>41989.99861</v>
      </c>
      <c r="B1607" s="1">
        <f>IFERROR(__xludf.DUMMYFUNCTION("""COMPUTED_VALUE"""),3388.722829)</f>
        <v>3388.722829</v>
      </c>
    </row>
    <row r="1608">
      <c r="A1608" s="3">
        <f>IFERROR(__xludf.DUMMYFUNCTION("""COMPUTED_VALUE"""),41990.99861111111)</f>
        <v>41990.99861</v>
      </c>
      <c r="B1608" s="1">
        <f>IFERROR(__xludf.DUMMYFUNCTION("""COMPUTED_VALUE"""),3379.827129)</f>
        <v>3379.827129</v>
      </c>
    </row>
    <row r="1609">
      <c r="A1609" s="3">
        <f>IFERROR(__xludf.DUMMYFUNCTION("""COMPUTED_VALUE"""),41991.99861111111)</f>
        <v>41991.99861</v>
      </c>
      <c r="B1609" s="1">
        <f>IFERROR(__xludf.DUMMYFUNCTION("""COMPUTED_VALUE"""),3328.26624)</f>
        <v>3328.26624</v>
      </c>
    </row>
    <row r="1610">
      <c r="A1610" s="3">
        <f>IFERROR(__xludf.DUMMYFUNCTION("""COMPUTED_VALUE"""),41992.99861111111)</f>
        <v>41992.99861</v>
      </c>
      <c r="B1610" s="1">
        <f>IFERROR(__xludf.DUMMYFUNCTION("""COMPUTED_VALUE"""),3299.098213)</f>
        <v>3299.098213</v>
      </c>
    </row>
    <row r="1611">
      <c r="A1611" s="3">
        <f>IFERROR(__xludf.DUMMYFUNCTION("""COMPUTED_VALUE"""),41995.99861111111)</f>
        <v>41995.99861</v>
      </c>
      <c r="B1611" s="1">
        <f>IFERROR(__xludf.DUMMYFUNCTION("""COMPUTED_VALUE"""),3322.577993)</f>
        <v>3322.577993</v>
      </c>
    </row>
    <row r="1612">
      <c r="A1612" s="3">
        <f>IFERROR(__xludf.DUMMYFUNCTION("""COMPUTED_VALUE"""),41996.99861111111)</f>
        <v>41996.99861</v>
      </c>
      <c r="B1612" s="1">
        <f>IFERROR(__xludf.DUMMYFUNCTION("""COMPUTED_VALUE"""),3311.726328)</f>
        <v>3311.726328</v>
      </c>
    </row>
    <row r="1613">
      <c r="A1613" s="3">
        <f>IFERROR(__xludf.DUMMYFUNCTION("""COMPUTED_VALUE"""),41997.99861111111)</f>
        <v>41997.99861</v>
      </c>
      <c r="B1613" s="1">
        <f>IFERROR(__xludf.DUMMYFUNCTION("""COMPUTED_VALUE"""),3322.852219)</f>
        <v>3322.852219</v>
      </c>
    </row>
    <row r="1614">
      <c r="A1614" s="3">
        <f>IFERROR(__xludf.DUMMYFUNCTION("""COMPUTED_VALUE"""),41998.99861111111)</f>
        <v>41998.99861</v>
      </c>
      <c r="B1614" s="1">
        <f>IFERROR(__xludf.DUMMYFUNCTION("""COMPUTED_VALUE"""),3323.11783)</f>
        <v>3323.11783</v>
      </c>
    </row>
    <row r="1615">
      <c r="A1615" s="3">
        <f>IFERROR(__xludf.DUMMYFUNCTION("""COMPUTED_VALUE"""),41999.99861111111)</f>
        <v>41999.99861</v>
      </c>
      <c r="B1615" s="1">
        <f>IFERROR(__xludf.DUMMYFUNCTION("""COMPUTED_VALUE"""),3307.12849)</f>
        <v>3307.12849</v>
      </c>
    </row>
    <row r="1616">
      <c r="A1616" s="3">
        <f>IFERROR(__xludf.DUMMYFUNCTION("""COMPUTED_VALUE"""),42000.99861111111)</f>
        <v>42000.99861</v>
      </c>
      <c r="B1616" s="1">
        <f>IFERROR(__xludf.DUMMYFUNCTION("""COMPUTED_VALUE"""),3305.003365)</f>
        <v>3305.003365</v>
      </c>
    </row>
    <row r="1617">
      <c r="A1617" s="3">
        <f>IFERROR(__xludf.DUMMYFUNCTION("""COMPUTED_VALUE"""),42002.99861111111)</f>
        <v>42002.99861</v>
      </c>
      <c r="B1617" s="1">
        <f>IFERROR(__xludf.DUMMYFUNCTION("""COMPUTED_VALUE"""),3306.599824)</f>
        <v>3306.599824</v>
      </c>
    </row>
    <row r="1618">
      <c r="A1618" s="3">
        <f>IFERROR(__xludf.DUMMYFUNCTION("""COMPUTED_VALUE"""),42003.99861111111)</f>
        <v>42003.99861</v>
      </c>
      <c r="B1618" s="1">
        <f>IFERROR(__xludf.DUMMYFUNCTION("""COMPUTED_VALUE"""),3309.264288)</f>
        <v>3309.264288</v>
      </c>
    </row>
    <row r="1619">
      <c r="A1619" s="3">
        <f>IFERROR(__xludf.DUMMYFUNCTION("""COMPUTED_VALUE"""),42004.99861111111)</f>
        <v>42004.99861</v>
      </c>
      <c r="B1619" s="1">
        <f>IFERROR(__xludf.DUMMYFUNCTION("""COMPUTED_VALUE"""),3305.763014)</f>
        <v>3305.763014</v>
      </c>
    </row>
    <row r="1620">
      <c r="A1620" s="3">
        <f>IFERROR(__xludf.DUMMYFUNCTION("""COMPUTED_VALUE"""),42005.99861111111)</f>
        <v>42005.99861</v>
      </c>
      <c r="B1620" s="1">
        <f>IFERROR(__xludf.DUMMYFUNCTION("""COMPUTED_VALUE"""),3302.238802)</f>
        <v>3302.238802</v>
      </c>
    </row>
    <row r="1621">
      <c r="A1621" s="3">
        <f>IFERROR(__xludf.DUMMYFUNCTION("""COMPUTED_VALUE"""),42006.99861111111)</f>
        <v>42006.99861</v>
      </c>
      <c r="B1621" s="1">
        <f>IFERROR(__xludf.DUMMYFUNCTION("""COMPUTED_VALUE"""),3325.073856)</f>
        <v>3325.073856</v>
      </c>
    </row>
    <row r="1622">
      <c r="A1622" s="3">
        <f>IFERROR(__xludf.DUMMYFUNCTION("""COMPUTED_VALUE"""),42009.99861111111)</f>
        <v>42009.99861</v>
      </c>
      <c r="B1622" s="1">
        <f>IFERROR(__xludf.DUMMYFUNCTION("""COMPUTED_VALUE"""),3363.975437)</f>
        <v>3363.975437</v>
      </c>
    </row>
    <row r="1623">
      <c r="A1623" s="3">
        <f>IFERROR(__xludf.DUMMYFUNCTION("""COMPUTED_VALUE"""),42010.99861111111)</f>
        <v>42010.99861</v>
      </c>
      <c r="B1623" s="1">
        <f>IFERROR(__xludf.DUMMYFUNCTION("""COMPUTED_VALUE"""),3369.87251)</f>
        <v>3369.87251</v>
      </c>
    </row>
    <row r="1624">
      <c r="A1624" s="3">
        <f>IFERROR(__xludf.DUMMYFUNCTION("""COMPUTED_VALUE"""),42011.99861111111)</f>
        <v>42011.99861</v>
      </c>
      <c r="B1624" s="1">
        <f>IFERROR(__xludf.DUMMYFUNCTION("""COMPUTED_VALUE"""),3391.547719)</f>
        <v>3391.547719</v>
      </c>
    </row>
    <row r="1625">
      <c r="A1625" s="3">
        <f>IFERROR(__xludf.DUMMYFUNCTION("""COMPUTED_VALUE"""),42012.99861111111)</f>
        <v>42012.99861</v>
      </c>
      <c r="B1625" s="1">
        <f>IFERROR(__xludf.DUMMYFUNCTION("""COMPUTED_VALUE"""),3362.218297)</f>
        <v>3362.218297</v>
      </c>
    </row>
    <row r="1626">
      <c r="A1626" s="3">
        <f>IFERROR(__xludf.DUMMYFUNCTION("""COMPUTED_VALUE"""),42013.99861111111)</f>
        <v>42013.99861</v>
      </c>
      <c r="B1626" s="1">
        <f>IFERROR(__xludf.DUMMYFUNCTION("""COMPUTED_VALUE"""),3346.739769)</f>
        <v>3346.739769</v>
      </c>
    </row>
    <row r="1627">
      <c r="A1627" s="3">
        <f>IFERROR(__xludf.DUMMYFUNCTION("""COMPUTED_VALUE"""),42016.99861111111)</f>
        <v>42016.99861</v>
      </c>
      <c r="B1627" s="1">
        <f>IFERROR(__xludf.DUMMYFUNCTION("""COMPUTED_VALUE"""),3346.033891)</f>
        <v>3346.033891</v>
      </c>
    </row>
    <row r="1628">
      <c r="A1628" s="3">
        <f>IFERROR(__xludf.DUMMYFUNCTION("""COMPUTED_VALUE"""),42017.99861111111)</f>
        <v>42017.99861</v>
      </c>
      <c r="B1628" s="1">
        <f>IFERROR(__xludf.DUMMYFUNCTION("""COMPUTED_VALUE"""),3353.760836)</f>
        <v>3353.760836</v>
      </c>
    </row>
    <row r="1629">
      <c r="A1629" s="3">
        <f>IFERROR(__xludf.DUMMYFUNCTION("""COMPUTED_VALUE"""),42018.99861111111)</f>
        <v>42018.99861</v>
      </c>
      <c r="B1629" s="1">
        <f>IFERROR(__xludf.DUMMYFUNCTION("""COMPUTED_VALUE"""),3345.412833)</f>
        <v>3345.412833</v>
      </c>
    </row>
    <row r="1630">
      <c r="A1630" s="3">
        <f>IFERROR(__xludf.DUMMYFUNCTION("""COMPUTED_VALUE"""),42019.99861111111)</f>
        <v>42019.99861</v>
      </c>
      <c r="B1630" s="1">
        <f>IFERROR(__xludf.DUMMYFUNCTION("""COMPUTED_VALUE"""),3326.042282)</f>
        <v>3326.042282</v>
      </c>
    </row>
    <row r="1631">
      <c r="A1631" s="3">
        <f>IFERROR(__xludf.DUMMYFUNCTION("""COMPUTED_VALUE"""),42020.99861111111)</f>
        <v>42020.99861</v>
      </c>
      <c r="B1631" s="1">
        <f>IFERROR(__xludf.DUMMYFUNCTION("""COMPUTED_VALUE"""),3351.717076)</f>
        <v>3351.717076</v>
      </c>
    </row>
    <row r="1632">
      <c r="A1632" s="3">
        <f>IFERROR(__xludf.DUMMYFUNCTION("""COMPUTED_VALUE"""),42023.99861111111)</f>
        <v>42023.99861</v>
      </c>
      <c r="B1632" s="1">
        <f>IFERROR(__xludf.DUMMYFUNCTION("""COMPUTED_VALUE"""),3367.191848)</f>
        <v>3367.191848</v>
      </c>
    </row>
    <row r="1633">
      <c r="A1633" s="3">
        <f>IFERROR(__xludf.DUMMYFUNCTION("""COMPUTED_VALUE"""),42024.99861111111)</f>
        <v>42024.99861</v>
      </c>
      <c r="B1633" s="1">
        <f>IFERROR(__xludf.DUMMYFUNCTION("""COMPUTED_VALUE"""),3348.705728)</f>
        <v>3348.705728</v>
      </c>
    </row>
    <row r="1634">
      <c r="A1634" s="3">
        <f>IFERROR(__xludf.DUMMYFUNCTION("""COMPUTED_VALUE"""),42025.99861111111)</f>
        <v>42025.99861</v>
      </c>
      <c r="B1634" s="1">
        <f>IFERROR(__xludf.DUMMYFUNCTION("""COMPUTED_VALUE"""),3323.11378)</f>
        <v>3323.11378</v>
      </c>
    </row>
    <row r="1635">
      <c r="A1635" s="3">
        <f>IFERROR(__xludf.DUMMYFUNCTION("""COMPUTED_VALUE"""),42026.99861111111)</f>
        <v>42026.99861</v>
      </c>
      <c r="B1635" s="1">
        <f>IFERROR(__xludf.DUMMYFUNCTION("""COMPUTED_VALUE"""),3302.451781)</f>
        <v>3302.451781</v>
      </c>
    </row>
    <row r="1636">
      <c r="A1636" s="3">
        <f>IFERROR(__xludf.DUMMYFUNCTION("""COMPUTED_VALUE"""),42027.99861111111)</f>
        <v>42027.99861</v>
      </c>
      <c r="B1636" s="1">
        <f>IFERROR(__xludf.DUMMYFUNCTION("""COMPUTED_VALUE"""),3303.989277)</f>
        <v>3303.989277</v>
      </c>
    </row>
    <row r="1637">
      <c r="A1637" s="3">
        <f>IFERROR(__xludf.DUMMYFUNCTION("""COMPUTED_VALUE"""),42030.99861111111)</f>
        <v>42030.99861</v>
      </c>
      <c r="B1637" s="1">
        <f>IFERROR(__xludf.DUMMYFUNCTION("""COMPUTED_VALUE"""),3322.601147)</f>
        <v>3322.601147</v>
      </c>
    </row>
    <row r="1638">
      <c r="A1638" s="3">
        <f>IFERROR(__xludf.DUMMYFUNCTION("""COMPUTED_VALUE"""),42031.99861111111)</f>
        <v>42031.99861</v>
      </c>
      <c r="B1638" s="1">
        <f>IFERROR(__xludf.DUMMYFUNCTION("""COMPUTED_VALUE"""),3312.667863)</f>
        <v>3312.667863</v>
      </c>
    </row>
    <row r="1639">
      <c r="A1639" s="3">
        <f>IFERROR(__xludf.DUMMYFUNCTION("""COMPUTED_VALUE"""),42032.99861111111)</f>
        <v>42032.99861</v>
      </c>
      <c r="B1639" s="1">
        <f>IFERROR(__xludf.DUMMYFUNCTION("""COMPUTED_VALUE"""),3317.705856)</f>
        <v>3317.705856</v>
      </c>
    </row>
    <row r="1640">
      <c r="A1640" s="3">
        <f>IFERROR(__xludf.DUMMYFUNCTION("""COMPUTED_VALUE"""),42033.99861111111)</f>
        <v>42033.99861</v>
      </c>
      <c r="B1640" s="1">
        <f>IFERROR(__xludf.DUMMYFUNCTION("""COMPUTED_VALUE"""),3344.4192)</f>
        <v>3344.4192</v>
      </c>
    </row>
    <row r="1641">
      <c r="A1641" s="3">
        <f>IFERROR(__xludf.DUMMYFUNCTION("""COMPUTED_VALUE"""),42034.99861111111)</f>
        <v>42034.99861</v>
      </c>
      <c r="B1641" s="1">
        <f>IFERROR(__xludf.DUMMYFUNCTION("""COMPUTED_VALUE"""),3386.719115)</f>
        <v>3386.719115</v>
      </c>
    </row>
    <row r="1642">
      <c r="A1642" s="3">
        <f>IFERROR(__xludf.DUMMYFUNCTION("""COMPUTED_VALUE"""),42035.99861111111)</f>
        <v>42035.99861</v>
      </c>
      <c r="B1642" s="1">
        <f>IFERROR(__xludf.DUMMYFUNCTION("""COMPUTED_VALUE"""),3402.075079)</f>
        <v>3402.075079</v>
      </c>
    </row>
    <row r="1643">
      <c r="A1643" s="3">
        <f>IFERROR(__xludf.DUMMYFUNCTION("""COMPUTED_VALUE"""),42037.99861111111)</f>
        <v>42037.99861</v>
      </c>
      <c r="B1643" s="1">
        <f>IFERROR(__xludf.DUMMYFUNCTION("""COMPUTED_VALUE"""),3367.509929)</f>
        <v>3367.509929</v>
      </c>
    </row>
    <row r="1644">
      <c r="A1644" s="3">
        <f>IFERROR(__xludf.DUMMYFUNCTION("""COMPUTED_VALUE"""),42038.99861111111)</f>
        <v>42038.99861</v>
      </c>
      <c r="B1644" s="1">
        <f>IFERROR(__xludf.DUMMYFUNCTION("""COMPUTED_VALUE"""),3354.317243)</f>
        <v>3354.317243</v>
      </c>
    </row>
    <row r="1645">
      <c r="A1645" s="3">
        <f>IFERROR(__xludf.DUMMYFUNCTION("""COMPUTED_VALUE"""),42039.99861111111)</f>
        <v>42039.99861</v>
      </c>
      <c r="B1645" s="1">
        <f>IFERROR(__xludf.DUMMYFUNCTION("""COMPUTED_VALUE"""),3364.154712)</f>
        <v>3364.154712</v>
      </c>
    </row>
    <row r="1646">
      <c r="A1646" s="3">
        <f>IFERROR(__xludf.DUMMYFUNCTION("""COMPUTED_VALUE"""),42040.99861111111)</f>
        <v>42040.99861</v>
      </c>
      <c r="B1646" s="1">
        <f>IFERROR(__xludf.DUMMYFUNCTION("""COMPUTED_VALUE"""),3354.118307)</f>
        <v>3354.118307</v>
      </c>
    </row>
    <row r="1647">
      <c r="A1647" s="3">
        <f>IFERROR(__xludf.DUMMYFUNCTION("""COMPUTED_VALUE"""),42041.99861111111)</f>
        <v>42041.99861</v>
      </c>
      <c r="B1647" s="1">
        <f>IFERROR(__xludf.DUMMYFUNCTION("""COMPUTED_VALUE"""),3367.183649)</f>
        <v>3367.183649</v>
      </c>
    </row>
    <row r="1648">
      <c r="A1648" s="3">
        <f>IFERROR(__xludf.DUMMYFUNCTION("""COMPUTED_VALUE"""),42044.99861111111)</f>
        <v>42044.99861</v>
      </c>
      <c r="B1648" s="1">
        <f>IFERROR(__xludf.DUMMYFUNCTION("""COMPUTED_VALUE"""),3379.586352)</f>
        <v>3379.586352</v>
      </c>
    </row>
    <row r="1649">
      <c r="A1649" s="3">
        <f>IFERROR(__xludf.DUMMYFUNCTION("""COMPUTED_VALUE"""),42045.99861111111)</f>
        <v>42045.99861</v>
      </c>
      <c r="B1649" s="1">
        <f>IFERROR(__xludf.DUMMYFUNCTION("""COMPUTED_VALUE"""),3395.949482)</f>
        <v>3395.949482</v>
      </c>
    </row>
    <row r="1650">
      <c r="A1650" s="3">
        <f>IFERROR(__xludf.DUMMYFUNCTION("""COMPUTED_VALUE"""),42046.99861111111)</f>
        <v>42046.99861</v>
      </c>
      <c r="B1650" s="1">
        <f>IFERROR(__xludf.DUMMYFUNCTION("""COMPUTED_VALUE"""),3417.58292)</f>
        <v>3417.58292</v>
      </c>
    </row>
    <row r="1651">
      <c r="A1651" s="3">
        <f>IFERROR(__xludf.DUMMYFUNCTION("""COMPUTED_VALUE"""),42047.99861111111)</f>
        <v>42047.99861</v>
      </c>
      <c r="B1651" s="1">
        <f>IFERROR(__xludf.DUMMYFUNCTION("""COMPUTED_VALUE"""),3407.605031)</f>
        <v>3407.605031</v>
      </c>
    </row>
    <row r="1652">
      <c r="A1652" s="3">
        <f>IFERROR(__xludf.DUMMYFUNCTION("""COMPUTED_VALUE"""),42048.99861111111)</f>
        <v>42048.99861</v>
      </c>
      <c r="B1652" s="1">
        <f>IFERROR(__xludf.DUMMYFUNCTION("""COMPUTED_VALUE"""),3379.271633)</f>
        <v>3379.271633</v>
      </c>
    </row>
    <row r="1653">
      <c r="A1653" s="3">
        <f>IFERROR(__xludf.DUMMYFUNCTION("""COMPUTED_VALUE"""),42050.99861111111)</f>
        <v>42050.99861</v>
      </c>
      <c r="B1653" s="1">
        <f>IFERROR(__xludf.DUMMYFUNCTION("""COMPUTED_VALUE"""),3409.331215)</f>
        <v>3409.331215</v>
      </c>
    </row>
    <row r="1654">
      <c r="A1654" s="3">
        <f>IFERROR(__xludf.DUMMYFUNCTION("""COMPUTED_VALUE"""),42051.99861111111)</f>
        <v>42051.99861</v>
      </c>
      <c r="B1654" s="1">
        <f>IFERROR(__xludf.DUMMYFUNCTION("""COMPUTED_VALUE"""),3366.693344)</f>
        <v>3366.693344</v>
      </c>
    </row>
    <row r="1655">
      <c r="A1655" s="3">
        <f>IFERROR(__xludf.DUMMYFUNCTION("""COMPUTED_VALUE"""),42052.99861111111)</f>
        <v>42052.99861</v>
      </c>
      <c r="B1655" s="1">
        <f>IFERROR(__xludf.DUMMYFUNCTION("""COMPUTED_VALUE"""),3404.777129)</f>
        <v>3404.777129</v>
      </c>
    </row>
    <row r="1656">
      <c r="A1656" s="3">
        <f>IFERROR(__xludf.DUMMYFUNCTION("""COMPUTED_VALUE"""),42053.99861111111)</f>
        <v>42053.99861</v>
      </c>
      <c r="B1656" s="1">
        <f>IFERROR(__xludf.DUMMYFUNCTION("""COMPUTED_VALUE"""),3415.089251)</f>
        <v>3415.089251</v>
      </c>
    </row>
    <row r="1657">
      <c r="A1657" s="3">
        <f>IFERROR(__xludf.DUMMYFUNCTION("""COMPUTED_VALUE"""),42054.99861111111)</f>
        <v>42054.99861</v>
      </c>
      <c r="B1657" s="1">
        <f>IFERROR(__xludf.DUMMYFUNCTION("""COMPUTED_VALUE"""),3438.292155)</f>
        <v>3438.292155</v>
      </c>
    </row>
    <row r="1658">
      <c r="A1658" s="3">
        <f>IFERROR(__xludf.DUMMYFUNCTION("""COMPUTED_VALUE"""),42055.99861111111)</f>
        <v>42055.99861</v>
      </c>
      <c r="B1658" s="1">
        <f>IFERROR(__xludf.DUMMYFUNCTION("""COMPUTED_VALUE"""),3415.797937)</f>
        <v>3415.797937</v>
      </c>
    </row>
    <row r="1659">
      <c r="A1659" s="3">
        <f>IFERROR(__xludf.DUMMYFUNCTION("""COMPUTED_VALUE"""),42058.99861111111)</f>
        <v>42058.99861</v>
      </c>
      <c r="B1659" s="1">
        <f>IFERROR(__xludf.DUMMYFUNCTION("""COMPUTED_VALUE"""),3428.967509)</f>
        <v>3428.967509</v>
      </c>
    </row>
    <row r="1660">
      <c r="A1660" s="3">
        <f>IFERROR(__xludf.DUMMYFUNCTION("""COMPUTED_VALUE"""),42059.99861111111)</f>
        <v>42059.99861</v>
      </c>
      <c r="B1660" s="1">
        <f>IFERROR(__xludf.DUMMYFUNCTION("""COMPUTED_VALUE"""),3412.260288)</f>
        <v>3412.260288</v>
      </c>
    </row>
    <row r="1661">
      <c r="A1661" s="3">
        <f>IFERROR(__xludf.DUMMYFUNCTION("""COMPUTED_VALUE"""),42060.99861111111)</f>
        <v>42060.99861</v>
      </c>
      <c r="B1661" s="1">
        <f>IFERROR(__xludf.DUMMYFUNCTION("""COMPUTED_VALUE"""),3428.182712)</f>
        <v>3428.182712</v>
      </c>
    </row>
    <row r="1662">
      <c r="A1662" s="3">
        <f>IFERROR(__xludf.DUMMYFUNCTION("""COMPUTED_VALUE"""),42061.99861111111)</f>
        <v>42061.99861</v>
      </c>
      <c r="B1662" s="1">
        <f>IFERROR(__xludf.DUMMYFUNCTION("""COMPUTED_VALUE"""),3432.285948)</f>
        <v>3432.285948</v>
      </c>
    </row>
    <row r="1663">
      <c r="A1663" s="3">
        <f>IFERROR(__xludf.DUMMYFUNCTION("""COMPUTED_VALUE"""),42062.99861111111)</f>
        <v>42062.99861</v>
      </c>
      <c r="B1663" s="1">
        <f>IFERROR(__xludf.DUMMYFUNCTION("""COMPUTED_VALUE"""),3460.98446)</f>
        <v>3460.98446</v>
      </c>
    </row>
    <row r="1664">
      <c r="A1664" s="3">
        <f>IFERROR(__xludf.DUMMYFUNCTION("""COMPUTED_VALUE"""),42065.99861111111)</f>
        <v>42065.99861</v>
      </c>
      <c r="B1664" s="1">
        <f>IFERROR(__xludf.DUMMYFUNCTION("""COMPUTED_VALUE"""),3469.496714)</f>
        <v>3469.496714</v>
      </c>
    </row>
    <row r="1665">
      <c r="A1665" s="3">
        <f>IFERROR(__xludf.DUMMYFUNCTION("""COMPUTED_VALUE"""),42066.99861111111)</f>
        <v>42066.99861</v>
      </c>
      <c r="B1665" s="1">
        <f>IFERROR(__xludf.DUMMYFUNCTION("""COMPUTED_VALUE"""),3461.897666)</f>
        <v>3461.897666</v>
      </c>
    </row>
    <row r="1666">
      <c r="A1666" s="3">
        <f>IFERROR(__xludf.DUMMYFUNCTION("""COMPUTED_VALUE"""),42067.99861111111)</f>
        <v>42067.99861</v>
      </c>
      <c r="B1666" s="1">
        <f>IFERROR(__xludf.DUMMYFUNCTION("""COMPUTED_VALUE"""),3474.650861)</f>
        <v>3474.650861</v>
      </c>
    </row>
    <row r="1667">
      <c r="A1667" s="3">
        <f>IFERROR(__xludf.DUMMYFUNCTION("""COMPUTED_VALUE"""),42068.99861111111)</f>
        <v>42068.99861</v>
      </c>
      <c r="B1667" s="1">
        <f>IFERROR(__xludf.DUMMYFUNCTION("""COMPUTED_VALUE"""),3444.684678)</f>
        <v>3444.684678</v>
      </c>
    </row>
    <row r="1668">
      <c r="A1668" s="3">
        <f>IFERROR(__xludf.DUMMYFUNCTION("""COMPUTED_VALUE"""),42069.99861111111)</f>
        <v>42069.99861</v>
      </c>
      <c r="B1668" s="1">
        <f>IFERROR(__xludf.DUMMYFUNCTION("""COMPUTED_VALUE"""),3474.851866)</f>
        <v>3474.851866</v>
      </c>
    </row>
    <row r="1669">
      <c r="A1669" s="3">
        <f>IFERROR(__xludf.DUMMYFUNCTION("""COMPUTED_VALUE"""),42072.99861111111)</f>
        <v>42072.99861</v>
      </c>
      <c r="B1669" s="1">
        <f>IFERROR(__xludf.DUMMYFUNCTION("""COMPUTED_VALUE"""),3491.067257)</f>
        <v>3491.067257</v>
      </c>
    </row>
    <row r="1670">
      <c r="A1670" s="3">
        <f>IFERROR(__xludf.DUMMYFUNCTION("""COMPUTED_VALUE"""),42073.99861111111)</f>
        <v>42073.99861</v>
      </c>
      <c r="B1670" s="1">
        <f>IFERROR(__xludf.DUMMYFUNCTION("""COMPUTED_VALUE"""),3489.427554)</f>
        <v>3489.427554</v>
      </c>
    </row>
    <row r="1671">
      <c r="A1671" s="3">
        <f>IFERROR(__xludf.DUMMYFUNCTION("""COMPUTED_VALUE"""),42074.99861111111)</f>
        <v>42074.99861</v>
      </c>
      <c r="B1671" s="1">
        <f>IFERROR(__xludf.DUMMYFUNCTION("""COMPUTED_VALUE"""),3517.178764)</f>
        <v>3517.178764</v>
      </c>
    </row>
    <row r="1672">
      <c r="A1672" s="3">
        <f>IFERROR(__xludf.DUMMYFUNCTION("""COMPUTED_VALUE"""),42075.99861111111)</f>
        <v>42075.99861</v>
      </c>
      <c r="B1672" s="1">
        <f>IFERROR(__xludf.DUMMYFUNCTION("""COMPUTED_VALUE"""),3511.999912)</f>
        <v>3511.999912</v>
      </c>
    </row>
    <row r="1673">
      <c r="A1673" s="3">
        <f>IFERROR(__xludf.DUMMYFUNCTION("""COMPUTED_VALUE"""),42076.99861111111)</f>
        <v>42076.99861</v>
      </c>
      <c r="B1673" s="1">
        <f>IFERROR(__xludf.DUMMYFUNCTION("""COMPUTED_VALUE"""),3515.999912)</f>
        <v>3515.999912</v>
      </c>
    </row>
    <row r="1674">
      <c r="A1674" s="3">
        <f>IFERROR(__xludf.DUMMYFUNCTION("""COMPUTED_VALUE"""),42077.99861111111)</f>
        <v>42077.99861</v>
      </c>
      <c r="B1674" s="1">
        <f>IFERROR(__xludf.DUMMYFUNCTION("""COMPUTED_VALUE"""),3541.389244)</f>
        <v>3541.389244</v>
      </c>
    </row>
    <row r="1675">
      <c r="A1675" s="3">
        <f>IFERROR(__xludf.DUMMYFUNCTION("""COMPUTED_VALUE"""),42079.99861111111)</f>
        <v>42079.99861</v>
      </c>
      <c r="B1675" s="1">
        <f>IFERROR(__xludf.DUMMYFUNCTION("""COMPUTED_VALUE"""),3522.705964)</f>
        <v>3522.705964</v>
      </c>
    </row>
    <row r="1676">
      <c r="A1676" s="3">
        <f>IFERROR(__xludf.DUMMYFUNCTION("""COMPUTED_VALUE"""),42080.99861111111)</f>
        <v>42080.99861</v>
      </c>
      <c r="B1676" s="1">
        <f>IFERROR(__xludf.DUMMYFUNCTION("""COMPUTED_VALUE"""),3502.402499)</f>
        <v>3502.402499</v>
      </c>
    </row>
    <row r="1677">
      <c r="A1677" s="3">
        <f>IFERROR(__xludf.DUMMYFUNCTION("""COMPUTED_VALUE"""),42081.99861111111)</f>
        <v>42081.99861</v>
      </c>
      <c r="B1677" s="1">
        <f>IFERROR(__xludf.DUMMYFUNCTION("""COMPUTED_VALUE"""),3434.66658)</f>
        <v>3434.66658</v>
      </c>
    </row>
    <row r="1678">
      <c r="A1678" s="3">
        <f>IFERROR(__xludf.DUMMYFUNCTION("""COMPUTED_VALUE"""),42082.99861111111)</f>
        <v>42082.99861</v>
      </c>
      <c r="B1678" s="1">
        <f>IFERROR(__xludf.DUMMYFUNCTION("""COMPUTED_VALUE"""),3486.502975)</f>
        <v>3486.502975</v>
      </c>
    </row>
    <row r="1679">
      <c r="A1679" s="3">
        <f>IFERROR(__xludf.DUMMYFUNCTION("""COMPUTED_VALUE"""),42083.99861111111)</f>
        <v>42083.99861</v>
      </c>
      <c r="B1679" s="1">
        <f>IFERROR(__xludf.DUMMYFUNCTION("""COMPUTED_VALUE"""),3473.148031)</f>
        <v>3473.148031</v>
      </c>
    </row>
    <row r="1680">
      <c r="A1680" s="3">
        <f>IFERROR(__xludf.DUMMYFUNCTION("""COMPUTED_VALUE"""),42086.99861111111)</f>
        <v>42086.99861</v>
      </c>
      <c r="B1680" s="1">
        <f>IFERROR(__xludf.DUMMYFUNCTION("""COMPUTED_VALUE"""),3451.098481)</f>
        <v>3451.098481</v>
      </c>
    </row>
    <row r="1681">
      <c r="A1681" s="3">
        <f>IFERROR(__xludf.DUMMYFUNCTION("""COMPUTED_VALUE"""),42087.99861111111)</f>
        <v>42087.99861</v>
      </c>
      <c r="B1681" s="1">
        <f>IFERROR(__xludf.DUMMYFUNCTION("""COMPUTED_VALUE"""),3444.915933)</f>
        <v>3444.915933</v>
      </c>
    </row>
    <row r="1682">
      <c r="A1682" s="3">
        <f>IFERROR(__xludf.DUMMYFUNCTION("""COMPUTED_VALUE"""),42088.99861111111)</f>
        <v>42088.99861</v>
      </c>
      <c r="B1682" s="1">
        <f>IFERROR(__xludf.DUMMYFUNCTION("""COMPUTED_VALUE"""),3447.44832)</f>
        <v>3447.44832</v>
      </c>
    </row>
    <row r="1683">
      <c r="A1683" s="3">
        <f>IFERROR(__xludf.DUMMYFUNCTION("""COMPUTED_VALUE"""),42089.99861111111)</f>
        <v>42089.99861</v>
      </c>
      <c r="B1683" s="1">
        <f>IFERROR(__xludf.DUMMYFUNCTION("""COMPUTED_VALUE"""),3472.574297)</f>
        <v>3472.574297</v>
      </c>
    </row>
    <row r="1684">
      <c r="A1684" s="3">
        <f>IFERROR(__xludf.DUMMYFUNCTION("""COMPUTED_VALUE"""),42090.99861111111)</f>
        <v>42090.99861</v>
      </c>
      <c r="B1684" s="1">
        <f>IFERROR(__xludf.DUMMYFUNCTION("""COMPUTED_VALUE"""),3475.165933)</f>
        <v>3475.165933</v>
      </c>
    </row>
    <row r="1685">
      <c r="A1685" s="3">
        <f>IFERROR(__xludf.DUMMYFUNCTION("""COMPUTED_VALUE"""),42093.99861111111)</f>
        <v>42093.99861</v>
      </c>
      <c r="B1685" s="1">
        <f>IFERROR(__xludf.DUMMYFUNCTION("""COMPUTED_VALUE"""),3493.220123)</f>
        <v>3493.220123</v>
      </c>
    </row>
    <row r="1686">
      <c r="A1686" s="3">
        <f>IFERROR(__xludf.DUMMYFUNCTION("""COMPUTED_VALUE"""),42094.99861111111)</f>
        <v>42094.99861</v>
      </c>
      <c r="B1686" s="1">
        <f>IFERROR(__xludf.DUMMYFUNCTION("""COMPUTED_VALUE"""),3488.061535)</f>
        <v>3488.061535</v>
      </c>
    </row>
    <row r="1687">
      <c r="A1687" s="3">
        <f>IFERROR(__xludf.DUMMYFUNCTION("""COMPUTED_VALUE"""),42095.99861111111)</f>
        <v>42095.99861</v>
      </c>
      <c r="B1687" s="1">
        <f>IFERROR(__xludf.DUMMYFUNCTION("""COMPUTED_VALUE"""),3458.787067)</f>
        <v>3458.787067</v>
      </c>
    </row>
    <row r="1688">
      <c r="A1688" s="3">
        <f>IFERROR(__xludf.DUMMYFUNCTION("""COMPUTED_VALUE"""),42096.99861111111)</f>
        <v>42096.99861</v>
      </c>
      <c r="B1688" s="1">
        <f>IFERROR(__xludf.DUMMYFUNCTION("""COMPUTED_VALUE"""),3462.851226)</f>
        <v>3462.851226</v>
      </c>
    </row>
    <row r="1689">
      <c r="A1689" s="3">
        <f>IFERROR(__xludf.DUMMYFUNCTION("""COMPUTED_VALUE"""),42097.99861111111)</f>
        <v>42097.99861</v>
      </c>
      <c r="B1689" s="1">
        <f>IFERROR(__xludf.DUMMYFUNCTION("""COMPUTED_VALUE"""),3456.687978)</f>
        <v>3456.687978</v>
      </c>
    </row>
    <row r="1690">
      <c r="A1690" s="3">
        <f>IFERROR(__xludf.DUMMYFUNCTION("""COMPUTED_VALUE"""),42100.99861111111)</f>
        <v>42100.99861</v>
      </c>
      <c r="B1690" s="1">
        <f>IFERROR(__xludf.DUMMYFUNCTION("""COMPUTED_VALUE"""),3451.355641)</f>
        <v>3451.355641</v>
      </c>
    </row>
    <row r="1691">
      <c r="A1691" s="3">
        <f>IFERROR(__xludf.DUMMYFUNCTION("""COMPUTED_VALUE"""),42101.99861111111)</f>
        <v>42101.99861</v>
      </c>
      <c r="B1691" s="1">
        <f>IFERROR(__xludf.DUMMYFUNCTION("""COMPUTED_VALUE"""),3468.385512)</f>
        <v>3468.385512</v>
      </c>
    </row>
    <row r="1692">
      <c r="A1692" s="3">
        <f>IFERROR(__xludf.DUMMYFUNCTION("""COMPUTED_VALUE"""),42102.99861111111)</f>
        <v>42102.99861</v>
      </c>
      <c r="B1692" s="1">
        <f>IFERROR(__xludf.DUMMYFUNCTION("""COMPUTED_VALUE"""),3449.518223)</f>
        <v>3449.518223</v>
      </c>
    </row>
    <row r="1693">
      <c r="A1693" s="3">
        <f>IFERROR(__xludf.DUMMYFUNCTION("""COMPUTED_VALUE"""),42103.99861111111)</f>
        <v>42103.99861</v>
      </c>
      <c r="B1693" s="1">
        <f>IFERROR(__xludf.DUMMYFUNCTION("""COMPUTED_VALUE"""),3452.371419)</f>
        <v>3452.371419</v>
      </c>
    </row>
    <row r="1694">
      <c r="A1694" s="3">
        <f>IFERROR(__xludf.DUMMYFUNCTION("""COMPUTED_VALUE"""),42104.99861111111)</f>
        <v>42104.99861</v>
      </c>
      <c r="B1694" s="1">
        <f>IFERROR(__xludf.DUMMYFUNCTION("""COMPUTED_VALUE"""),3436.966655)</f>
        <v>3436.966655</v>
      </c>
    </row>
    <row r="1695">
      <c r="A1695" s="3">
        <f>IFERROR(__xludf.DUMMYFUNCTION("""COMPUTED_VALUE"""),42107.99861111111)</f>
        <v>42107.99861</v>
      </c>
      <c r="B1695" s="1">
        <f>IFERROR(__xludf.DUMMYFUNCTION("""COMPUTED_VALUE"""),3478.388329)</f>
        <v>3478.388329</v>
      </c>
    </row>
    <row r="1696">
      <c r="A1696" s="3">
        <f>IFERROR(__xludf.DUMMYFUNCTION("""COMPUTED_VALUE"""),42108.99861111111)</f>
        <v>42108.99861</v>
      </c>
      <c r="B1696" s="1">
        <f>IFERROR(__xludf.DUMMYFUNCTION("""COMPUTED_VALUE"""),3463.97195)</f>
        <v>3463.97195</v>
      </c>
    </row>
    <row r="1697">
      <c r="A1697" s="3">
        <f>IFERROR(__xludf.DUMMYFUNCTION("""COMPUTED_VALUE"""),42109.99861111111)</f>
        <v>42109.99861</v>
      </c>
      <c r="B1697" s="1">
        <f>IFERROR(__xludf.DUMMYFUNCTION("""COMPUTED_VALUE"""),3439.291611)</f>
        <v>3439.291611</v>
      </c>
    </row>
    <row r="1698">
      <c r="A1698" s="3">
        <f>IFERROR(__xludf.DUMMYFUNCTION("""COMPUTED_VALUE"""),42110.99861111111)</f>
        <v>42110.99861</v>
      </c>
      <c r="B1698" s="1">
        <f>IFERROR(__xludf.DUMMYFUNCTION("""COMPUTED_VALUE"""),3422.225669)</f>
        <v>3422.225669</v>
      </c>
    </row>
    <row r="1699">
      <c r="A1699" s="3">
        <f>IFERROR(__xludf.DUMMYFUNCTION("""COMPUTED_VALUE"""),42111.99861111111)</f>
        <v>42111.99861</v>
      </c>
      <c r="B1699" s="1">
        <f>IFERROR(__xludf.DUMMYFUNCTION("""COMPUTED_VALUE"""),3413.333248)</f>
        <v>3413.333248</v>
      </c>
    </row>
    <row r="1700">
      <c r="A1700" s="3">
        <f>IFERROR(__xludf.DUMMYFUNCTION("""COMPUTED_VALUE"""),42112.99861111111)</f>
        <v>42112.99861</v>
      </c>
      <c r="B1700" s="1">
        <f>IFERROR(__xludf.DUMMYFUNCTION("""COMPUTED_VALUE"""),3422.918101)</f>
        <v>3422.918101</v>
      </c>
    </row>
    <row r="1701">
      <c r="A1701" s="3">
        <f>IFERROR(__xludf.DUMMYFUNCTION("""COMPUTED_VALUE"""),42113.99861111111)</f>
        <v>42113.99861</v>
      </c>
      <c r="B1701" s="1">
        <f>IFERROR(__xludf.DUMMYFUNCTION("""COMPUTED_VALUE"""),3440.001489)</f>
        <v>3440.001489</v>
      </c>
    </row>
    <row r="1702">
      <c r="A1702" s="3">
        <f>IFERROR(__xludf.DUMMYFUNCTION("""COMPUTED_VALUE"""),42114.99861111111)</f>
        <v>42114.99861</v>
      </c>
      <c r="B1702" s="1">
        <f>IFERROR(__xludf.DUMMYFUNCTION("""COMPUTED_VALUE"""),3462.452263)</f>
        <v>3462.452263</v>
      </c>
    </row>
    <row r="1703">
      <c r="A1703" s="3">
        <f>IFERROR(__xludf.DUMMYFUNCTION("""COMPUTED_VALUE"""),42115.99861111111)</f>
        <v>42115.99861</v>
      </c>
      <c r="B1703" s="1">
        <f>IFERROR(__xludf.DUMMYFUNCTION("""COMPUTED_VALUE"""),3449.886456)</f>
        <v>3449.886456</v>
      </c>
    </row>
    <row r="1704">
      <c r="A1704" s="3">
        <f>IFERROR(__xludf.DUMMYFUNCTION("""COMPUTED_VALUE"""),42116.99861111111)</f>
        <v>42116.99861</v>
      </c>
      <c r="B1704" s="1">
        <f>IFERROR(__xludf.DUMMYFUNCTION("""COMPUTED_VALUE"""),3440.183352)</f>
        <v>3440.183352</v>
      </c>
    </row>
    <row r="1705">
      <c r="A1705" s="3">
        <f>IFERROR(__xludf.DUMMYFUNCTION("""COMPUTED_VALUE"""),42117.99861111111)</f>
        <v>42117.99861</v>
      </c>
      <c r="B1705" s="1">
        <f>IFERROR(__xludf.DUMMYFUNCTION("""COMPUTED_VALUE"""),3454.171402)</f>
        <v>3454.171402</v>
      </c>
    </row>
    <row r="1706">
      <c r="A1706" s="3">
        <f>IFERROR(__xludf.DUMMYFUNCTION("""COMPUTED_VALUE"""),42118.99861111111)</f>
        <v>42118.99861</v>
      </c>
      <c r="B1706" s="1">
        <f>IFERROR(__xludf.DUMMYFUNCTION("""COMPUTED_VALUE"""),3451.476096)</f>
        <v>3451.476096</v>
      </c>
    </row>
    <row r="1707">
      <c r="A1707" s="3">
        <f>IFERROR(__xludf.DUMMYFUNCTION("""COMPUTED_VALUE"""),42120.99861111111)</f>
        <v>42120.99861</v>
      </c>
      <c r="B1707" s="1">
        <f>IFERROR(__xludf.DUMMYFUNCTION("""COMPUTED_VALUE"""),3461.6632)</f>
        <v>3461.6632</v>
      </c>
    </row>
    <row r="1708">
      <c r="A1708" s="3">
        <f>IFERROR(__xludf.DUMMYFUNCTION("""COMPUTED_VALUE"""),42121.99861111111)</f>
        <v>42121.99861</v>
      </c>
      <c r="B1708" s="1">
        <f>IFERROR(__xludf.DUMMYFUNCTION("""COMPUTED_VALUE"""),3451.617974)</f>
        <v>3451.617974</v>
      </c>
    </row>
    <row r="1709">
      <c r="A1709" s="3">
        <f>IFERROR(__xludf.DUMMYFUNCTION("""COMPUTED_VALUE"""),42122.99861111111)</f>
        <v>42122.99861</v>
      </c>
      <c r="B1709" s="1">
        <f>IFERROR(__xludf.DUMMYFUNCTION("""COMPUTED_VALUE"""),3453.938495)</f>
        <v>3453.938495</v>
      </c>
    </row>
    <row r="1710">
      <c r="A1710" s="3">
        <f>IFERROR(__xludf.DUMMYFUNCTION("""COMPUTED_VALUE"""),42123.99861111111)</f>
        <v>42123.99861</v>
      </c>
      <c r="B1710" s="1">
        <f>IFERROR(__xludf.DUMMYFUNCTION("""COMPUTED_VALUE"""),3448.505957)</f>
        <v>3448.505957</v>
      </c>
    </row>
    <row r="1711">
      <c r="A1711" s="3">
        <f>IFERROR(__xludf.DUMMYFUNCTION("""COMPUTED_VALUE"""),42124.99861111111)</f>
        <v>42124.99861</v>
      </c>
      <c r="B1711" s="1">
        <f>IFERROR(__xludf.DUMMYFUNCTION("""COMPUTED_VALUE"""),3455.56854)</f>
        <v>3455.56854</v>
      </c>
    </row>
    <row r="1712">
      <c r="A1712" s="3">
        <f>IFERROR(__xludf.DUMMYFUNCTION("""COMPUTED_VALUE"""),42125.99861111111)</f>
        <v>42125.99861</v>
      </c>
      <c r="B1712" s="1">
        <f>IFERROR(__xludf.DUMMYFUNCTION("""COMPUTED_VALUE"""),3460.369052)</f>
        <v>3460.369052</v>
      </c>
    </row>
    <row r="1713">
      <c r="A1713" s="3">
        <f>IFERROR(__xludf.DUMMYFUNCTION("""COMPUTED_VALUE"""),42128.99861111111)</f>
        <v>42128.99861</v>
      </c>
      <c r="B1713" s="1">
        <f>IFERROR(__xludf.DUMMYFUNCTION("""COMPUTED_VALUE"""),3432.90344)</f>
        <v>3432.90344</v>
      </c>
    </row>
    <row r="1714">
      <c r="A1714" s="3">
        <f>IFERROR(__xludf.DUMMYFUNCTION("""COMPUTED_VALUE"""),42129.99861111111)</f>
        <v>42129.99861</v>
      </c>
      <c r="B1714" s="1">
        <f>IFERROR(__xludf.DUMMYFUNCTION("""COMPUTED_VALUE"""),3471.981133)</f>
        <v>3471.981133</v>
      </c>
    </row>
    <row r="1715">
      <c r="A1715" s="3">
        <f>IFERROR(__xludf.DUMMYFUNCTION("""COMPUTED_VALUE"""),42130.99861111111)</f>
        <v>42130.99861</v>
      </c>
      <c r="B1715" s="1">
        <f>IFERROR(__xludf.DUMMYFUNCTION("""COMPUTED_VALUE"""),3472.826783)</f>
        <v>3472.826783</v>
      </c>
    </row>
    <row r="1716">
      <c r="A1716" s="3">
        <f>IFERROR(__xludf.DUMMYFUNCTION("""COMPUTED_VALUE"""),42131.99861111111)</f>
        <v>42131.99861</v>
      </c>
      <c r="B1716" s="1">
        <f>IFERROR(__xludf.DUMMYFUNCTION("""COMPUTED_VALUE"""),3495.168902)</f>
        <v>3495.168902</v>
      </c>
    </row>
    <row r="1717">
      <c r="A1717" s="3">
        <f>IFERROR(__xludf.DUMMYFUNCTION("""COMPUTED_VALUE"""),42132.99861111111)</f>
        <v>42132.99861</v>
      </c>
      <c r="B1717" s="1">
        <f>IFERROR(__xludf.DUMMYFUNCTION("""COMPUTED_VALUE"""),3479.478336)</f>
        <v>3479.478336</v>
      </c>
    </row>
    <row r="1718">
      <c r="A1718" s="3">
        <f>IFERROR(__xludf.DUMMYFUNCTION("""COMPUTED_VALUE"""),42135.99861111111)</f>
        <v>42135.99861</v>
      </c>
      <c r="B1718" s="1">
        <f>IFERROR(__xludf.DUMMYFUNCTION("""COMPUTED_VALUE"""),3515.937742)</f>
        <v>3515.937742</v>
      </c>
    </row>
    <row r="1719">
      <c r="A1719" s="3">
        <f>IFERROR(__xludf.DUMMYFUNCTION("""COMPUTED_VALUE"""),42136.99861111111)</f>
        <v>42136.99861</v>
      </c>
      <c r="B1719" s="1">
        <f>IFERROR(__xludf.DUMMYFUNCTION("""COMPUTED_VALUE"""),3509.076284)</f>
        <v>3509.076284</v>
      </c>
    </row>
    <row r="1720">
      <c r="A1720" s="3">
        <f>IFERROR(__xludf.DUMMYFUNCTION("""COMPUTED_VALUE"""),42137.99861111111)</f>
        <v>42137.99861</v>
      </c>
      <c r="B1720" s="1">
        <f>IFERROR(__xludf.DUMMYFUNCTION("""COMPUTED_VALUE"""),3497.597373)</f>
        <v>3497.597373</v>
      </c>
    </row>
    <row r="1721">
      <c r="A1721" s="3">
        <f>IFERROR(__xludf.DUMMYFUNCTION("""COMPUTED_VALUE"""),42138.99861111111)</f>
        <v>42138.99861</v>
      </c>
      <c r="B1721" s="1">
        <f>IFERROR(__xludf.DUMMYFUNCTION("""COMPUTED_VALUE"""),3474.395134)</f>
        <v>3474.395134</v>
      </c>
    </row>
    <row r="1722">
      <c r="A1722" s="3">
        <f>IFERROR(__xludf.DUMMYFUNCTION("""COMPUTED_VALUE"""),42139.99861111111)</f>
        <v>42139.99861</v>
      </c>
      <c r="B1722" s="1">
        <f>IFERROR(__xludf.DUMMYFUNCTION("""COMPUTED_VALUE"""),3479.478336)</f>
        <v>3479.478336</v>
      </c>
    </row>
    <row r="1723">
      <c r="A1723" s="3">
        <f>IFERROR(__xludf.DUMMYFUNCTION("""COMPUTED_VALUE"""),42142.99861111111)</f>
        <v>42142.99861</v>
      </c>
      <c r="B1723" s="1">
        <f>IFERROR(__xludf.DUMMYFUNCTION("""COMPUTED_VALUE"""),3514.27111)</f>
        <v>3514.27111</v>
      </c>
    </row>
    <row r="1724">
      <c r="A1724" s="3">
        <f>IFERROR(__xludf.DUMMYFUNCTION("""COMPUTED_VALUE"""),42143.99861111111)</f>
        <v>42143.99861</v>
      </c>
      <c r="B1724" s="1">
        <f>IFERROR(__xludf.DUMMYFUNCTION("""COMPUTED_VALUE"""),3515.122279)</f>
        <v>3515.122279</v>
      </c>
    </row>
    <row r="1725">
      <c r="A1725" s="3">
        <f>IFERROR(__xludf.DUMMYFUNCTION("""COMPUTED_VALUE"""),42144.99861111111)</f>
        <v>42144.99861</v>
      </c>
      <c r="B1725" s="1">
        <f>IFERROR(__xludf.DUMMYFUNCTION("""COMPUTED_VALUE"""),3474.187137)</f>
        <v>3474.187137</v>
      </c>
    </row>
    <row r="1726">
      <c r="A1726" s="3">
        <f>IFERROR(__xludf.DUMMYFUNCTION("""COMPUTED_VALUE"""),42145.99861111111)</f>
        <v>42145.99861</v>
      </c>
      <c r="B1726" s="1">
        <f>IFERROR(__xludf.DUMMYFUNCTION("""COMPUTED_VALUE"""),3499.572791)</f>
        <v>3499.572791</v>
      </c>
    </row>
    <row r="1727">
      <c r="A1727" s="3">
        <f>IFERROR(__xludf.DUMMYFUNCTION("""COMPUTED_VALUE"""),42146.99861111111)</f>
        <v>42146.99861</v>
      </c>
      <c r="B1727" s="1">
        <f>IFERROR(__xludf.DUMMYFUNCTION("""COMPUTED_VALUE"""),3504.093337)</f>
        <v>3504.093337</v>
      </c>
    </row>
    <row r="1728">
      <c r="A1728" s="3">
        <f>IFERROR(__xludf.DUMMYFUNCTION("""COMPUTED_VALUE"""),42149.99861111111)</f>
        <v>42149.99861</v>
      </c>
      <c r="B1728" s="1">
        <f>IFERROR(__xludf.DUMMYFUNCTION("""COMPUTED_VALUE"""),3516.738639)</f>
        <v>3516.738639</v>
      </c>
    </row>
    <row r="1729">
      <c r="A1729" s="3">
        <f>IFERROR(__xludf.DUMMYFUNCTION("""COMPUTED_VALUE"""),42150.99861111111)</f>
        <v>42150.99861</v>
      </c>
      <c r="B1729" s="1">
        <f>IFERROR(__xludf.DUMMYFUNCTION("""COMPUTED_VALUE"""),3528.767839)</f>
        <v>3528.767839</v>
      </c>
    </row>
    <row r="1730">
      <c r="A1730" s="3">
        <f>IFERROR(__xludf.DUMMYFUNCTION("""COMPUTED_VALUE"""),42151.99861111111)</f>
        <v>42151.99861</v>
      </c>
      <c r="B1730" s="1">
        <f>IFERROR(__xludf.DUMMYFUNCTION("""COMPUTED_VALUE"""),3516.407121)</f>
        <v>3516.407121</v>
      </c>
    </row>
    <row r="1731">
      <c r="A1731" s="3">
        <f>IFERROR(__xludf.DUMMYFUNCTION("""COMPUTED_VALUE"""),42152.99861111111)</f>
        <v>42152.99861</v>
      </c>
      <c r="B1731" s="1">
        <f>IFERROR(__xludf.DUMMYFUNCTION("""COMPUTED_VALUE"""),3514.602913)</f>
        <v>3514.602913</v>
      </c>
    </row>
    <row r="1732">
      <c r="A1732" s="3">
        <f>IFERROR(__xludf.DUMMYFUNCTION("""COMPUTED_VALUE"""),42153.99861111111)</f>
        <v>42153.99861</v>
      </c>
      <c r="B1732" s="1">
        <f>IFERROR(__xludf.DUMMYFUNCTION("""COMPUTED_VALUE"""),3520.093764)</f>
        <v>3520.093764</v>
      </c>
    </row>
    <row r="1733">
      <c r="A1733" s="3">
        <f>IFERROR(__xludf.DUMMYFUNCTION("""COMPUTED_VALUE"""),42156.99861111111)</f>
        <v>42156.99861</v>
      </c>
      <c r="B1733" s="1">
        <f>IFERROR(__xludf.DUMMYFUNCTION("""COMPUTED_VALUE"""),3520.555195)</f>
        <v>3520.555195</v>
      </c>
    </row>
    <row r="1734">
      <c r="A1734" s="3">
        <f>IFERROR(__xludf.DUMMYFUNCTION("""COMPUTED_VALUE"""),42157.99861111111)</f>
        <v>42157.99861</v>
      </c>
      <c r="B1734" s="1">
        <f>IFERROR(__xludf.DUMMYFUNCTION("""COMPUTED_VALUE"""),3511.067095)</f>
        <v>3511.067095</v>
      </c>
    </row>
    <row r="1735">
      <c r="A1735" s="3">
        <f>IFERROR(__xludf.DUMMYFUNCTION("""COMPUTED_VALUE"""),42158.99861111111)</f>
        <v>42158.99861</v>
      </c>
      <c r="B1735" s="1">
        <f>IFERROR(__xludf.DUMMYFUNCTION("""COMPUTED_VALUE"""),3531.861484)</f>
        <v>3531.861484</v>
      </c>
    </row>
    <row r="1736">
      <c r="A1736" s="3">
        <f>IFERROR(__xludf.DUMMYFUNCTION("""COMPUTED_VALUE"""),42159.99861111111)</f>
        <v>42159.99861</v>
      </c>
      <c r="B1736" s="1">
        <f>IFERROR(__xludf.DUMMYFUNCTION("""COMPUTED_VALUE"""),3543.306979)</f>
        <v>3543.306979</v>
      </c>
    </row>
    <row r="1737">
      <c r="A1737" s="3">
        <f>IFERROR(__xludf.DUMMYFUNCTION("""COMPUTED_VALUE"""),42160.99861111111)</f>
        <v>42160.99861</v>
      </c>
      <c r="B1737" s="1">
        <f>IFERROR(__xludf.DUMMYFUNCTION("""COMPUTED_VALUE"""),3574.136256)</f>
        <v>3574.136256</v>
      </c>
    </row>
    <row r="1738">
      <c r="A1738" s="3">
        <f>IFERROR(__xludf.DUMMYFUNCTION("""COMPUTED_VALUE"""),42163.99861111111)</f>
        <v>42163.99861</v>
      </c>
      <c r="B1738" s="1">
        <f>IFERROR(__xludf.DUMMYFUNCTION("""COMPUTED_VALUE"""),3549.427878)</f>
        <v>3549.427878</v>
      </c>
    </row>
    <row r="1739">
      <c r="A1739" s="3">
        <f>IFERROR(__xludf.DUMMYFUNCTION("""COMPUTED_VALUE"""),42164.99861111111)</f>
        <v>42164.99861</v>
      </c>
      <c r="B1739" s="1">
        <f>IFERROR(__xludf.DUMMYFUNCTION("""COMPUTED_VALUE"""),3562.466566)</f>
        <v>3562.466566</v>
      </c>
    </row>
    <row r="1740">
      <c r="A1740" s="3">
        <f>IFERROR(__xludf.DUMMYFUNCTION("""COMPUTED_VALUE"""),42165.99861111111)</f>
        <v>42165.99861</v>
      </c>
      <c r="B1740" s="1">
        <f>IFERROR(__xludf.DUMMYFUNCTION("""COMPUTED_VALUE"""),3525.093369)</f>
        <v>3525.093369</v>
      </c>
    </row>
    <row r="1741">
      <c r="A1741" s="3">
        <f>IFERROR(__xludf.DUMMYFUNCTION("""COMPUTED_VALUE"""),42166.99861111111)</f>
        <v>42166.99861</v>
      </c>
      <c r="B1741" s="1">
        <f>IFERROR(__xludf.DUMMYFUNCTION("""COMPUTED_VALUE"""),3533.08764)</f>
        <v>3533.08764</v>
      </c>
    </row>
    <row r="1742">
      <c r="A1742" s="3">
        <f>IFERROR(__xludf.DUMMYFUNCTION("""COMPUTED_VALUE"""),42167.99861111111)</f>
        <v>42167.99861</v>
      </c>
      <c r="B1742" s="1">
        <f>IFERROR(__xludf.DUMMYFUNCTION("""COMPUTED_VALUE"""),3552.087421)</f>
        <v>3552.087421</v>
      </c>
    </row>
    <row r="1743">
      <c r="A1743" s="3">
        <f>IFERROR(__xludf.DUMMYFUNCTION("""COMPUTED_VALUE"""),42170.99861111111)</f>
        <v>42170.99861</v>
      </c>
      <c r="B1743" s="1">
        <f>IFERROR(__xludf.DUMMYFUNCTION("""COMPUTED_VALUE"""),3555.982591)</f>
        <v>3555.982591</v>
      </c>
    </row>
    <row r="1744">
      <c r="A1744" s="3">
        <f>IFERROR(__xludf.DUMMYFUNCTION("""COMPUTED_VALUE"""),42171.99861111111)</f>
        <v>42171.99861</v>
      </c>
      <c r="B1744" s="1">
        <f>IFERROR(__xludf.DUMMYFUNCTION("""COMPUTED_VALUE"""),3561.131809)</f>
        <v>3561.131809</v>
      </c>
    </row>
    <row r="1745">
      <c r="A1745" s="3">
        <f>IFERROR(__xludf.DUMMYFUNCTION("""COMPUTED_VALUE"""),42172.99861111111)</f>
        <v>42172.99861</v>
      </c>
      <c r="B1745" s="1">
        <f>IFERROR(__xludf.DUMMYFUNCTION("""COMPUTED_VALUE"""),3558.937376)</f>
        <v>3558.937376</v>
      </c>
    </row>
    <row r="1746">
      <c r="A1746" s="3">
        <f>IFERROR(__xludf.DUMMYFUNCTION("""COMPUTED_VALUE"""),42173.99861111111)</f>
        <v>42173.99861</v>
      </c>
      <c r="B1746" s="1">
        <f>IFERROR(__xludf.DUMMYFUNCTION("""COMPUTED_VALUE"""),3548.163136)</f>
        <v>3548.163136</v>
      </c>
    </row>
    <row r="1747">
      <c r="A1747" s="3">
        <f>IFERROR(__xludf.DUMMYFUNCTION("""COMPUTED_VALUE"""),42174.99861111111)</f>
        <v>42174.99861</v>
      </c>
      <c r="B1747" s="1">
        <f>IFERROR(__xludf.DUMMYFUNCTION("""COMPUTED_VALUE"""),3555.021273)</f>
        <v>3555.021273</v>
      </c>
    </row>
    <row r="1748">
      <c r="A1748" s="3">
        <f>IFERROR(__xludf.DUMMYFUNCTION("""COMPUTED_VALUE"""),42177.99861111111)</f>
        <v>42177.99861</v>
      </c>
      <c r="B1748" s="1">
        <f>IFERROR(__xludf.DUMMYFUNCTION("""COMPUTED_VALUE"""),3551.366895)</f>
        <v>3551.366895</v>
      </c>
    </row>
    <row r="1749">
      <c r="A1749" s="3">
        <f>IFERROR(__xludf.DUMMYFUNCTION("""COMPUTED_VALUE"""),42178.99861111111)</f>
        <v>42178.99861</v>
      </c>
      <c r="B1749" s="1">
        <f>IFERROR(__xludf.DUMMYFUNCTION("""COMPUTED_VALUE"""),3533.14483)</f>
        <v>3533.14483</v>
      </c>
    </row>
    <row r="1750">
      <c r="A1750" s="3">
        <f>IFERROR(__xludf.DUMMYFUNCTION("""COMPUTED_VALUE"""),42179.99861111111)</f>
        <v>42179.99861</v>
      </c>
      <c r="B1750" s="1">
        <f>IFERROR(__xludf.DUMMYFUNCTION("""COMPUTED_VALUE"""),3544.094403)</f>
        <v>3544.094403</v>
      </c>
    </row>
    <row r="1751">
      <c r="A1751" s="3">
        <f>IFERROR(__xludf.DUMMYFUNCTION("""COMPUTED_VALUE"""),42180.99861111111)</f>
        <v>42180.99861</v>
      </c>
      <c r="B1751" s="1">
        <f>IFERROR(__xludf.DUMMYFUNCTION("""COMPUTED_VALUE"""),3550.496336)</f>
        <v>3550.496336</v>
      </c>
    </row>
    <row r="1752">
      <c r="A1752" s="3">
        <f>IFERROR(__xludf.DUMMYFUNCTION("""COMPUTED_VALUE"""),42181.99861111111)</f>
        <v>42181.99861</v>
      </c>
      <c r="B1752" s="1">
        <f>IFERROR(__xludf.DUMMYFUNCTION("""COMPUTED_VALUE"""),3552.249086)</f>
        <v>3552.249086</v>
      </c>
    </row>
    <row r="1753">
      <c r="A1753" s="3">
        <f>IFERROR(__xludf.DUMMYFUNCTION("""COMPUTED_VALUE"""),42184.99861111111)</f>
        <v>42184.99861</v>
      </c>
      <c r="B1753" s="1">
        <f>IFERROR(__xludf.DUMMYFUNCTION("""COMPUTED_VALUE"""),3555.757168)</f>
        <v>3555.757168</v>
      </c>
    </row>
    <row r="1754">
      <c r="A1754" s="3">
        <f>IFERROR(__xludf.DUMMYFUNCTION("""COMPUTED_VALUE"""),42185.99861111111)</f>
        <v>42185.99861</v>
      </c>
      <c r="B1754" s="1">
        <f>IFERROR(__xludf.DUMMYFUNCTION("""COMPUTED_VALUE"""),3559.670149)</f>
        <v>3559.670149</v>
      </c>
    </row>
    <row r="1755">
      <c r="A1755" s="3">
        <f>IFERROR(__xludf.DUMMYFUNCTION("""COMPUTED_VALUE"""),42186.99861111111)</f>
        <v>42186.99861</v>
      </c>
      <c r="B1755" s="1">
        <f>IFERROR(__xludf.DUMMYFUNCTION("""COMPUTED_VALUE"""),3555.543617)</f>
        <v>3555.543617</v>
      </c>
    </row>
    <row r="1756">
      <c r="A1756" s="3">
        <f>IFERROR(__xludf.DUMMYFUNCTION("""COMPUTED_VALUE"""),42187.99861111111)</f>
        <v>42187.99861</v>
      </c>
      <c r="B1756" s="1">
        <f>IFERROR(__xludf.DUMMYFUNCTION("""COMPUTED_VALUE"""),3540.059195)</f>
        <v>3540.059195</v>
      </c>
    </row>
    <row r="1757">
      <c r="A1757" s="3">
        <f>IFERROR(__xludf.DUMMYFUNCTION("""COMPUTED_VALUE"""),42188.99861111111)</f>
        <v>42188.99861</v>
      </c>
      <c r="B1757" s="1">
        <f>IFERROR(__xludf.DUMMYFUNCTION("""COMPUTED_VALUE"""),3557.143549)</f>
        <v>3557.143549</v>
      </c>
    </row>
    <row r="1758">
      <c r="A1758" s="3">
        <f>IFERROR(__xludf.DUMMYFUNCTION("""COMPUTED_VALUE"""),42191.99861111111)</f>
        <v>42191.99861</v>
      </c>
      <c r="B1758" s="1">
        <f>IFERROR(__xludf.DUMMYFUNCTION("""COMPUTED_VALUE"""),3561.321904)</f>
        <v>3561.321904</v>
      </c>
    </row>
    <row r="1759">
      <c r="A1759" s="3">
        <f>IFERROR(__xludf.DUMMYFUNCTION("""COMPUTED_VALUE"""),42192.99861111111)</f>
        <v>42192.99861</v>
      </c>
      <c r="B1759" s="1">
        <f>IFERROR(__xludf.DUMMYFUNCTION("""COMPUTED_VALUE"""),3556.842649)</f>
        <v>3556.842649</v>
      </c>
    </row>
    <row r="1760">
      <c r="A1760" s="3">
        <f>IFERROR(__xludf.DUMMYFUNCTION("""COMPUTED_VALUE"""),42193.99861111111)</f>
        <v>42193.99861</v>
      </c>
      <c r="B1760" s="1">
        <f>IFERROR(__xludf.DUMMYFUNCTION("""COMPUTED_VALUE"""),3559.89213)</f>
        <v>3559.89213</v>
      </c>
    </row>
    <row r="1761">
      <c r="A1761" s="3">
        <f>IFERROR(__xludf.DUMMYFUNCTION("""COMPUTED_VALUE"""),42194.99861111111)</f>
        <v>42194.99861</v>
      </c>
      <c r="B1761" s="1">
        <f>IFERROR(__xludf.DUMMYFUNCTION("""COMPUTED_VALUE"""),3551.444174)</f>
        <v>3551.444174</v>
      </c>
    </row>
    <row r="1762">
      <c r="A1762" s="3">
        <f>IFERROR(__xludf.DUMMYFUNCTION("""COMPUTED_VALUE"""),42195.99861111111)</f>
        <v>42195.99861</v>
      </c>
      <c r="B1762" s="1">
        <f>IFERROR(__xludf.DUMMYFUNCTION("""COMPUTED_VALUE"""),3540.799911)</f>
        <v>3540.799911</v>
      </c>
    </row>
    <row r="1763">
      <c r="A1763" s="3">
        <f>IFERROR(__xludf.DUMMYFUNCTION("""COMPUTED_VALUE"""),42198.99861111111)</f>
        <v>42198.99861</v>
      </c>
      <c r="B1763" s="1">
        <f>IFERROR(__xludf.DUMMYFUNCTION("""COMPUTED_VALUE"""),3545.493337)</f>
        <v>3545.493337</v>
      </c>
    </row>
    <row r="1764">
      <c r="A1764" s="3">
        <f>IFERROR(__xludf.DUMMYFUNCTION("""COMPUTED_VALUE"""),42199.99861111111)</f>
        <v>42199.99861</v>
      </c>
      <c r="B1764" s="1">
        <f>IFERROR(__xludf.DUMMYFUNCTION("""COMPUTED_VALUE"""),3551.693645)</f>
        <v>3551.693645</v>
      </c>
    </row>
    <row r="1765">
      <c r="A1765" s="3">
        <f>IFERROR(__xludf.DUMMYFUNCTION("""COMPUTED_VALUE"""),42200.99861111111)</f>
        <v>42200.99861</v>
      </c>
      <c r="B1765" s="1">
        <f>IFERROR(__xludf.DUMMYFUNCTION("""COMPUTED_VALUE"""),3559.93274)</f>
        <v>3559.93274</v>
      </c>
    </row>
    <row r="1766">
      <c r="A1766" s="3">
        <f>IFERROR(__xludf.DUMMYFUNCTION("""COMPUTED_VALUE"""),42201.99861111111)</f>
        <v>42201.99861</v>
      </c>
      <c r="B1766" s="1">
        <f>IFERROR(__xludf.DUMMYFUNCTION("""COMPUTED_VALUE"""),3559.39433)</f>
        <v>3559.39433</v>
      </c>
    </row>
    <row r="1767">
      <c r="A1767" s="3">
        <f>IFERROR(__xludf.DUMMYFUNCTION("""COMPUTED_VALUE"""),42202.99861111111)</f>
        <v>42202.99861</v>
      </c>
      <c r="B1767" s="1">
        <f>IFERROR(__xludf.DUMMYFUNCTION("""COMPUTED_VALUE"""),3563.135559)</f>
        <v>3563.135559</v>
      </c>
    </row>
    <row r="1768">
      <c r="A1768" s="3">
        <f>IFERROR(__xludf.DUMMYFUNCTION("""COMPUTED_VALUE"""),42205.99861111111)</f>
        <v>42205.99861</v>
      </c>
      <c r="B1768" s="1">
        <f>IFERROR(__xludf.DUMMYFUNCTION("""COMPUTED_VALUE"""),3561.036695)</f>
        <v>3561.036695</v>
      </c>
    </row>
    <row r="1769">
      <c r="A1769" s="3">
        <f>IFERROR(__xludf.DUMMYFUNCTION("""COMPUTED_VALUE"""),42206.99861111111)</f>
        <v>42206.99861</v>
      </c>
      <c r="B1769" s="1">
        <f>IFERROR(__xludf.DUMMYFUNCTION("""COMPUTED_VALUE"""),3559.89213)</f>
        <v>3559.89213</v>
      </c>
    </row>
    <row r="1770">
      <c r="A1770" s="3">
        <f>IFERROR(__xludf.DUMMYFUNCTION("""COMPUTED_VALUE"""),42207.99861111111)</f>
        <v>42207.99861</v>
      </c>
      <c r="B1770" s="1">
        <f>IFERROR(__xludf.DUMMYFUNCTION("""COMPUTED_VALUE"""),3577.62647)</f>
        <v>3577.62647</v>
      </c>
    </row>
    <row r="1771">
      <c r="A1771" s="3">
        <f>IFERROR(__xludf.DUMMYFUNCTION("""COMPUTED_VALUE"""),42208.99861111111)</f>
        <v>42208.99861</v>
      </c>
      <c r="B1771" s="1">
        <f>IFERROR(__xludf.DUMMYFUNCTION("""COMPUTED_VALUE"""),3585.444569)</f>
        <v>3585.444569</v>
      </c>
    </row>
    <row r="1772">
      <c r="A1772" s="3">
        <f>IFERROR(__xludf.DUMMYFUNCTION("""COMPUTED_VALUE"""),42209.99861111111)</f>
        <v>42209.99861</v>
      </c>
      <c r="B1772" s="1">
        <f>IFERROR(__xludf.DUMMYFUNCTION("""COMPUTED_VALUE"""),3581.524218)</f>
        <v>3581.524218</v>
      </c>
    </row>
    <row r="1773">
      <c r="A1773" s="3">
        <f>IFERROR(__xludf.DUMMYFUNCTION("""COMPUTED_VALUE"""),42212.99861111111)</f>
        <v>42212.99861</v>
      </c>
      <c r="B1773" s="1">
        <f>IFERROR(__xludf.DUMMYFUNCTION("""COMPUTED_VALUE"""),3594.884622)</f>
        <v>3594.884622</v>
      </c>
    </row>
    <row r="1774">
      <c r="A1774" s="3">
        <f>IFERROR(__xludf.DUMMYFUNCTION("""COMPUTED_VALUE"""),42213.99861111111)</f>
        <v>42213.99861</v>
      </c>
      <c r="B1774" s="1">
        <f>IFERROR(__xludf.DUMMYFUNCTION("""COMPUTED_VALUE"""),3548.068379)</f>
        <v>3548.068379</v>
      </c>
    </row>
    <row r="1775">
      <c r="A1775" s="3">
        <f>IFERROR(__xludf.DUMMYFUNCTION("""COMPUTED_VALUE"""),42214.99861111111)</f>
        <v>42214.99861</v>
      </c>
      <c r="B1775" s="1">
        <f>IFERROR(__xludf.DUMMYFUNCTION("""COMPUTED_VALUE"""),3593.837498)</f>
        <v>3593.837498</v>
      </c>
    </row>
    <row r="1776">
      <c r="A1776" s="3">
        <f>IFERROR(__xludf.DUMMYFUNCTION("""COMPUTED_VALUE"""),42215.99861111111)</f>
        <v>42215.99861</v>
      </c>
      <c r="B1776" s="1">
        <f>IFERROR(__xludf.DUMMYFUNCTION("""COMPUTED_VALUE"""),3601.996882)</f>
        <v>3601.996882</v>
      </c>
    </row>
    <row r="1777">
      <c r="A1777" s="3">
        <f>IFERROR(__xludf.DUMMYFUNCTION("""COMPUTED_VALUE"""),42216.99861111111)</f>
        <v>42216.99861</v>
      </c>
      <c r="B1777" s="1">
        <f>IFERROR(__xludf.DUMMYFUNCTION("""COMPUTED_VALUE"""),3579.904458)</f>
        <v>3579.904458</v>
      </c>
    </row>
    <row r="1778">
      <c r="A1778" s="3">
        <f>IFERROR(__xludf.DUMMYFUNCTION("""COMPUTED_VALUE"""),42219.99861111111)</f>
        <v>42219.99861</v>
      </c>
      <c r="B1778" s="1">
        <f>IFERROR(__xludf.DUMMYFUNCTION("""COMPUTED_VALUE"""),3588.210124)</f>
        <v>3588.210124</v>
      </c>
    </row>
    <row r="1779">
      <c r="A1779" s="3">
        <f>IFERROR(__xludf.DUMMYFUNCTION("""COMPUTED_VALUE"""),42220.99861111111)</f>
        <v>42220.99861</v>
      </c>
      <c r="B1779" s="1">
        <f>IFERROR(__xludf.DUMMYFUNCTION("""COMPUTED_VALUE"""),3600.416382)</f>
        <v>3600.416382</v>
      </c>
    </row>
    <row r="1780">
      <c r="A1780" s="3">
        <f>IFERROR(__xludf.DUMMYFUNCTION("""COMPUTED_VALUE"""),42221.99861111111)</f>
        <v>42221.99861</v>
      </c>
      <c r="B1780" s="1">
        <f>IFERROR(__xludf.DUMMYFUNCTION("""COMPUTED_VALUE"""),3608.767578)</f>
        <v>3608.767578</v>
      </c>
    </row>
    <row r="1781">
      <c r="A1781" s="3">
        <f>IFERROR(__xludf.DUMMYFUNCTION("""COMPUTED_VALUE"""),42222.99861111111)</f>
        <v>42222.99861</v>
      </c>
      <c r="B1781" s="1">
        <f>IFERROR(__xludf.DUMMYFUNCTION("""COMPUTED_VALUE"""),3594.596741)</f>
        <v>3594.596741</v>
      </c>
    </row>
    <row r="1782">
      <c r="A1782" s="3">
        <f>IFERROR(__xludf.DUMMYFUNCTION("""COMPUTED_VALUE"""),42223.99861111111)</f>
        <v>42223.99861</v>
      </c>
      <c r="B1782" s="1">
        <f>IFERROR(__xludf.DUMMYFUNCTION("""COMPUTED_VALUE"""),3595.274848)</f>
        <v>3595.274848</v>
      </c>
    </row>
    <row r="1783">
      <c r="A1783" s="3">
        <f>IFERROR(__xludf.DUMMYFUNCTION("""COMPUTED_VALUE"""),42226.99861111111)</f>
        <v>42226.99861</v>
      </c>
      <c r="B1783" s="1">
        <f>IFERROR(__xludf.DUMMYFUNCTION("""COMPUTED_VALUE"""),3596.186605)</f>
        <v>3596.186605</v>
      </c>
    </row>
    <row r="1784">
      <c r="A1784" s="3">
        <f>IFERROR(__xludf.DUMMYFUNCTION("""COMPUTED_VALUE"""),42227.99861111111)</f>
        <v>42227.99861</v>
      </c>
      <c r="B1784" s="1">
        <f>IFERROR(__xludf.DUMMYFUNCTION("""COMPUTED_VALUE"""),3631.970936)</f>
        <v>3631.970936</v>
      </c>
    </row>
    <row r="1785">
      <c r="A1785" s="3">
        <f>IFERROR(__xludf.DUMMYFUNCTION("""COMPUTED_VALUE"""),42228.99861111111)</f>
        <v>42228.99861</v>
      </c>
      <c r="B1785" s="1">
        <f>IFERROR(__xludf.DUMMYFUNCTION("""COMPUTED_VALUE"""),3665.04006)</f>
        <v>3665.04006</v>
      </c>
    </row>
    <row r="1786">
      <c r="A1786" s="3">
        <f>IFERROR(__xludf.DUMMYFUNCTION("""COMPUTED_VALUE"""),42229.99861111111)</f>
        <v>42229.99861</v>
      </c>
      <c r="B1786" s="1">
        <f>IFERROR(__xludf.DUMMYFUNCTION("""COMPUTED_VALUE"""),3649.586324)</f>
        <v>3649.586324</v>
      </c>
    </row>
    <row r="1787">
      <c r="A1787" s="3">
        <f>IFERROR(__xludf.DUMMYFUNCTION("""COMPUTED_VALUE"""),42230.99861111111)</f>
        <v>42230.99861</v>
      </c>
      <c r="B1787" s="1">
        <f>IFERROR(__xludf.DUMMYFUNCTION("""COMPUTED_VALUE"""),3659.480188)</f>
        <v>3659.480188</v>
      </c>
    </row>
    <row r="1788">
      <c r="A1788" s="3">
        <f>IFERROR(__xludf.DUMMYFUNCTION("""COMPUTED_VALUE"""),42233.99861111111)</f>
        <v>42233.99861</v>
      </c>
      <c r="B1788" s="1">
        <f>IFERROR(__xludf.DUMMYFUNCTION("""COMPUTED_VALUE"""),3690.657204)</f>
        <v>3690.657204</v>
      </c>
    </row>
    <row r="1789">
      <c r="A1789" s="3">
        <f>IFERROR(__xludf.DUMMYFUNCTION("""COMPUTED_VALUE"""),42234.99861111111)</f>
        <v>42234.99861</v>
      </c>
      <c r="B1789" s="1">
        <f>IFERROR(__xludf.DUMMYFUNCTION("""COMPUTED_VALUE"""),3686.483541)</f>
        <v>3686.483541</v>
      </c>
    </row>
    <row r="1790">
      <c r="A1790" s="3">
        <f>IFERROR(__xludf.DUMMYFUNCTION("""COMPUTED_VALUE"""),42235.99861111111)</f>
        <v>42235.99861</v>
      </c>
      <c r="B1790" s="1">
        <f>IFERROR(__xludf.DUMMYFUNCTION("""COMPUTED_VALUE"""),3669.949961)</f>
        <v>3669.949961</v>
      </c>
    </row>
    <row r="1791">
      <c r="A1791" s="3">
        <f>IFERROR(__xludf.DUMMYFUNCTION("""COMPUTED_VALUE"""),42236.99861111111)</f>
        <v>42236.99861</v>
      </c>
      <c r="B1791" s="1">
        <f>IFERROR(__xludf.DUMMYFUNCTION("""COMPUTED_VALUE"""),3706.125605)</f>
        <v>3706.125605</v>
      </c>
    </row>
    <row r="1792">
      <c r="A1792" s="3">
        <f>IFERROR(__xludf.DUMMYFUNCTION("""COMPUTED_VALUE"""),42237.99861111111)</f>
        <v>42237.99861</v>
      </c>
      <c r="B1792" s="1">
        <f>IFERROR(__xludf.DUMMYFUNCTION("""COMPUTED_VALUE"""),3686.752684)</f>
        <v>3686.752684</v>
      </c>
    </row>
    <row r="1793">
      <c r="A1793" s="3">
        <f>IFERROR(__xludf.DUMMYFUNCTION("""COMPUTED_VALUE"""),42240.99861111111)</f>
        <v>42240.99861</v>
      </c>
      <c r="B1793" s="1">
        <f>IFERROR(__xludf.DUMMYFUNCTION("""COMPUTED_VALUE"""),3710.171895)</f>
        <v>3710.171895</v>
      </c>
    </row>
    <row r="1794">
      <c r="A1794" s="3">
        <f>IFERROR(__xludf.DUMMYFUNCTION("""COMPUTED_VALUE"""),42241.99861111111)</f>
        <v>42241.99861</v>
      </c>
      <c r="B1794" s="1">
        <f>IFERROR(__xludf.DUMMYFUNCTION("""COMPUTED_VALUE"""),3684.027852)</f>
        <v>3684.027852</v>
      </c>
    </row>
    <row r="1795">
      <c r="A1795" s="3">
        <f>IFERROR(__xludf.DUMMYFUNCTION("""COMPUTED_VALUE"""),42242.99861111111)</f>
        <v>42242.99861</v>
      </c>
      <c r="B1795" s="1">
        <f>IFERROR(__xludf.DUMMYFUNCTION("""COMPUTED_VALUE"""),3726.044893)</f>
        <v>3726.044893</v>
      </c>
    </row>
    <row r="1796">
      <c r="A1796" s="3">
        <f>IFERROR(__xludf.DUMMYFUNCTION("""COMPUTED_VALUE"""),42243.99861111111)</f>
        <v>42243.99861</v>
      </c>
      <c r="B1796" s="1">
        <f>IFERROR(__xludf.DUMMYFUNCTION("""COMPUTED_VALUE"""),3683.086354)</f>
        <v>3683.086354</v>
      </c>
    </row>
    <row r="1797">
      <c r="A1797" s="3">
        <f>IFERROR(__xludf.DUMMYFUNCTION("""COMPUTED_VALUE"""),42244.99861111111)</f>
        <v>42244.99861</v>
      </c>
      <c r="B1797" s="1">
        <f>IFERROR(__xludf.DUMMYFUNCTION("""COMPUTED_VALUE"""),3712.501243)</f>
        <v>3712.501243</v>
      </c>
    </row>
    <row r="1798">
      <c r="A1798" s="3">
        <f>IFERROR(__xludf.DUMMYFUNCTION("""COMPUTED_VALUE"""),42247.99861111111)</f>
        <v>42247.99861</v>
      </c>
      <c r="B1798" s="1">
        <f>IFERROR(__xludf.DUMMYFUNCTION("""COMPUTED_VALUE"""),3737.31974)</f>
        <v>3737.31974</v>
      </c>
    </row>
    <row r="1799">
      <c r="A1799" s="3">
        <f>IFERROR(__xludf.DUMMYFUNCTION("""COMPUTED_VALUE"""),42248.99861111111)</f>
        <v>42248.99861</v>
      </c>
      <c r="B1799" s="1">
        <f>IFERROR(__xludf.DUMMYFUNCTION("""COMPUTED_VALUE"""),3733.916994)</f>
        <v>3733.916994</v>
      </c>
    </row>
    <row r="1800">
      <c r="A1800" s="3">
        <f>IFERROR(__xludf.DUMMYFUNCTION("""COMPUTED_VALUE"""),42249.99861111111)</f>
        <v>42249.99861</v>
      </c>
      <c r="B1800" s="1">
        <f>IFERROR(__xludf.DUMMYFUNCTION("""COMPUTED_VALUE"""),3751.368265)</f>
        <v>3751.368265</v>
      </c>
    </row>
    <row r="1801">
      <c r="A1801" s="3">
        <f>IFERROR(__xludf.DUMMYFUNCTION("""COMPUTED_VALUE"""),42250.99861111111)</f>
        <v>42250.99861</v>
      </c>
      <c r="B1801" s="1">
        <f>IFERROR(__xludf.DUMMYFUNCTION("""COMPUTED_VALUE"""),3754.972291)</f>
        <v>3754.972291</v>
      </c>
    </row>
    <row r="1802">
      <c r="A1802" s="3">
        <f>IFERROR(__xludf.DUMMYFUNCTION("""COMPUTED_VALUE"""),42251.99861111111)</f>
        <v>42251.99861</v>
      </c>
      <c r="B1802" s="1">
        <f>IFERROR(__xludf.DUMMYFUNCTION("""COMPUTED_VALUE"""),3788.445064)</f>
        <v>3788.445064</v>
      </c>
    </row>
    <row r="1803">
      <c r="A1803" s="3">
        <f>IFERROR(__xludf.DUMMYFUNCTION("""COMPUTED_VALUE"""),42254.99861111111)</f>
        <v>42254.99861</v>
      </c>
      <c r="B1803" s="1">
        <f>IFERROR(__xludf.DUMMYFUNCTION("""COMPUTED_VALUE"""),3807.072695)</f>
        <v>3807.072695</v>
      </c>
    </row>
    <row r="1804">
      <c r="A1804" s="3">
        <f>IFERROR(__xludf.DUMMYFUNCTION("""COMPUTED_VALUE"""),42255.99861111111)</f>
        <v>42255.99861</v>
      </c>
      <c r="B1804" s="1">
        <f>IFERROR(__xludf.DUMMYFUNCTION("""COMPUTED_VALUE"""),3781.344172)</f>
        <v>3781.344172</v>
      </c>
    </row>
    <row r="1805">
      <c r="A1805" s="3">
        <f>IFERROR(__xludf.DUMMYFUNCTION("""COMPUTED_VALUE"""),42256.99861111111)</f>
        <v>42256.99861</v>
      </c>
      <c r="B1805" s="1">
        <f>IFERROR(__xludf.DUMMYFUNCTION("""COMPUTED_VALUE"""),3806.191387)</f>
        <v>3806.191387</v>
      </c>
    </row>
    <row r="1806">
      <c r="A1806" s="3">
        <f>IFERROR(__xludf.DUMMYFUNCTION("""COMPUTED_VALUE"""),42257.99861111111)</f>
        <v>42257.99861</v>
      </c>
      <c r="B1806" s="1">
        <f>IFERROR(__xludf.DUMMYFUNCTION("""COMPUTED_VALUE"""),3801.372478)</f>
        <v>3801.372478</v>
      </c>
    </row>
    <row r="1807">
      <c r="A1807" s="3">
        <f>IFERROR(__xludf.DUMMYFUNCTION("""COMPUTED_VALUE"""),42258.99861111111)</f>
        <v>42258.99861</v>
      </c>
      <c r="B1807" s="1">
        <f>IFERROR(__xludf.DUMMYFUNCTION("""COMPUTED_VALUE"""),3809.193273)</f>
        <v>3809.193273</v>
      </c>
    </row>
    <row r="1808">
      <c r="A1808" s="3">
        <f>IFERROR(__xludf.DUMMYFUNCTION("""COMPUTED_VALUE"""),42261.99861111111)</f>
        <v>42261.99861</v>
      </c>
      <c r="B1808" s="1">
        <f>IFERROR(__xludf.DUMMYFUNCTION("""COMPUTED_VALUE"""),3819.768729)</f>
        <v>3819.768729</v>
      </c>
    </row>
    <row r="1809">
      <c r="A1809" s="3">
        <f>IFERROR(__xludf.DUMMYFUNCTION("""COMPUTED_VALUE"""),42262.99861111111)</f>
        <v>42262.99861</v>
      </c>
      <c r="B1809" s="1">
        <f>IFERROR(__xludf.DUMMYFUNCTION("""COMPUTED_VALUE"""),3844.100304)</f>
        <v>3844.100304</v>
      </c>
    </row>
    <row r="1810">
      <c r="A1810" s="3">
        <f>IFERROR(__xludf.DUMMYFUNCTION("""COMPUTED_VALUE"""),42263.99861111111)</f>
        <v>42263.99861</v>
      </c>
      <c r="B1810" s="1">
        <f>IFERROR(__xludf.DUMMYFUNCTION("""COMPUTED_VALUE"""),3839.19023)</f>
        <v>3839.19023</v>
      </c>
    </row>
    <row r="1811">
      <c r="A1811" s="3">
        <f>IFERROR(__xludf.DUMMYFUNCTION("""COMPUTED_VALUE"""),42264.99861111111)</f>
        <v>42264.99861</v>
      </c>
      <c r="B1811" s="1">
        <f>IFERROR(__xludf.DUMMYFUNCTION("""COMPUTED_VALUE"""),3799.91984)</f>
        <v>3799.91984</v>
      </c>
    </row>
    <row r="1812">
      <c r="A1812" s="3">
        <f>IFERROR(__xludf.DUMMYFUNCTION("""COMPUTED_VALUE"""),42265.99861111111)</f>
        <v>42265.99861</v>
      </c>
      <c r="B1812" s="1">
        <f>IFERROR(__xludf.DUMMYFUNCTION("""COMPUTED_VALUE"""),3840.902309)</f>
        <v>3840.902309</v>
      </c>
    </row>
    <row r="1813">
      <c r="A1813" s="3">
        <f>IFERROR(__xludf.DUMMYFUNCTION("""COMPUTED_VALUE"""),42268.99861111111)</f>
        <v>42268.99861</v>
      </c>
      <c r="B1813" s="1">
        <f>IFERROR(__xludf.DUMMYFUNCTION("""COMPUTED_VALUE"""),3862.890073)</f>
        <v>3862.890073</v>
      </c>
    </row>
    <row r="1814">
      <c r="A1814" s="3">
        <f>IFERROR(__xludf.DUMMYFUNCTION("""COMPUTED_VALUE"""),42269.99861111111)</f>
        <v>42269.99861</v>
      </c>
      <c r="B1814" s="1">
        <f>IFERROR(__xludf.DUMMYFUNCTION("""COMPUTED_VALUE"""),3896.259891)</f>
        <v>3896.259891</v>
      </c>
    </row>
    <row r="1815">
      <c r="A1815" s="3">
        <f>IFERROR(__xludf.DUMMYFUNCTION("""COMPUTED_VALUE"""),42270.99861111111)</f>
        <v>42270.99861</v>
      </c>
      <c r="B1815" s="1">
        <f>IFERROR(__xludf.DUMMYFUNCTION("""COMPUTED_VALUE"""),3908.481645)</f>
        <v>3908.481645</v>
      </c>
    </row>
    <row r="1816">
      <c r="A1816" s="3">
        <f>IFERROR(__xludf.DUMMYFUNCTION("""COMPUTED_VALUE"""),42271.99861111111)</f>
        <v>42271.99861</v>
      </c>
      <c r="B1816" s="1">
        <f>IFERROR(__xludf.DUMMYFUNCTION("""COMPUTED_VALUE"""),3916.804473)</f>
        <v>3916.804473</v>
      </c>
    </row>
    <row r="1817">
      <c r="A1817" s="3">
        <f>IFERROR(__xludf.DUMMYFUNCTION("""COMPUTED_VALUE"""),42272.99861111111)</f>
        <v>42272.99861</v>
      </c>
      <c r="B1817" s="1">
        <f>IFERROR(__xludf.DUMMYFUNCTION("""COMPUTED_VALUE"""),3902.132979)</f>
        <v>3902.132979</v>
      </c>
    </row>
    <row r="1818">
      <c r="A1818" s="3">
        <f>IFERROR(__xludf.DUMMYFUNCTION("""COMPUTED_VALUE"""),42275.99861111111)</f>
        <v>42275.99861</v>
      </c>
      <c r="B1818" s="1">
        <f>IFERROR(__xludf.DUMMYFUNCTION("""COMPUTED_VALUE"""),3923.908673)</f>
        <v>3923.908673</v>
      </c>
    </row>
    <row r="1819">
      <c r="A1819" s="3">
        <f>IFERROR(__xludf.DUMMYFUNCTION("""COMPUTED_VALUE"""),42276.99861111111)</f>
        <v>42276.99861</v>
      </c>
      <c r="B1819" s="1">
        <f>IFERROR(__xludf.DUMMYFUNCTION("""COMPUTED_VALUE"""),3919.265225)</f>
        <v>3919.265225</v>
      </c>
    </row>
    <row r="1820">
      <c r="A1820" s="3">
        <f>IFERROR(__xludf.DUMMYFUNCTION("""COMPUTED_VALUE"""),42277.99861111111)</f>
        <v>42277.99861</v>
      </c>
      <c r="B1820" s="1">
        <f>IFERROR(__xludf.DUMMYFUNCTION("""COMPUTED_VALUE"""),3884.884284)</f>
        <v>3884.884284</v>
      </c>
    </row>
    <row r="1821">
      <c r="A1821" s="3">
        <f>IFERROR(__xludf.DUMMYFUNCTION("""COMPUTED_VALUE"""),42278.99861111111)</f>
        <v>42278.99861</v>
      </c>
      <c r="B1821" s="1">
        <f>IFERROR(__xludf.DUMMYFUNCTION("""COMPUTED_VALUE"""),3915.469503)</f>
        <v>3915.469503</v>
      </c>
    </row>
    <row r="1822">
      <c r="A1822" s="3">
        <f>IFERROR(__xludf.DUMMYFUNCTION("""COMPUTED_VALUE"""),42279.99861111111)</f>
        <v>42279.99861</v>
      </c>
      <c r="B1822" s="1">
        <f>IFERROR(__xludf.DUMMYFUNCTION("""COMPUTED_VALUE"""),3894.562727)</f>
        <v>3894.562727</v>
      </c>
    </row>
    <row r="1823">
      <c r="A1823" s="3">
        <f>IFERROR(__xludf.DUMMYFUNCTION("""COMPUTED_VALUE"""),42282.99861111111)</f>
        <v>42282.99861</v>
      </c>
      <c r="B1823" s="1">
        <f>IFERROR(__xludf.DUMMYFUNCTION("""COMPUTED_VALUE"""),3853.321185)</f>
        <v>3853.321185</v>
      </c>
    </row>
    <row r="1824">
      <c r="A1824" s="3">
        <f>IFERROR(__xludf.DUMMYFUNCTION("""COMPUTED_VALUE"""),42283.99861111111)</f>
        <v>42283.99861</v>
      </c>
      <c r="B1824" s="1">
        <f>IFERROR(__xludf.DUMMYFUNCTION("""COMPUTED_VALUE"""),3755.442169)</f>
        <v>3755.442169</v>
      </c>
    </row>
    <row r="1825">
      <c r="A1825" s="3">
        <f>IFERROR(__xludf.DUMMYFUNCTION("""COMPUTED_VALUE"""),42284.99861111111)</f>
        <v>42284.99861</v>
      </c>
      <c r="B1825" s="1">
        <f>IFERROR(__xludf.DUMMYFUNCTION("""COMPUTED_VALUE"""),3701.380157)</f>
        <v>3701.380157</v>
      </c>
    </row>
    <row r="1826">
      <c r="A1826" s="3">
        <f>IFERROR(__xludf.DUMMYFUNCTION("""COMPUTED_VALUE"""),42285.99861111111)</f>
        <v>42285.99861</v>
      </c>
      <c r="B1826" s="1">
        <f>IFERROR(__xludf.DUMMYFUNCTION("""COMPUTED_VALUE"""),3580.105113)</f>
        <v>3580.105113</v>
      </c>
    </row>
    <row r="1827">
      <c r="A1827" s="3">
        <f>IFERROR(__xludf.DUMMYFUNCTION("""COMPUTED_VALUE"""),42286.99861111111)</f>
        <v>42286.99861</v>
      </c>
      <c r="B1827" s="1">
        <f>IFERROR(__xludf.DUMMYFUNCTION("""COMPUTED_VALUE"""),3555.697809)</f>
        <v>3555.697809</v>
      </c>
    </row>
    <row r="1828">
      <c r="A1828" s="3">
        <f>IFERROR(__xludf.DUMMYFUNCTION("""COMPUTED_VALUE"""),42289.99861111111)</f>
        <v>42289.99861</v>
      </c>
      <c r="B1828" s="1">
        <f>IFERROR(__xludf.DUMMYFUNCTION("""COMPUTED_VALUE"""),3605.532898)</f>
        <v>3605.532898</v>
      </c>
    </row>
    <row r="1829">
      <c r="A1829" s="3">
        <f>IFERROR(__xludf.DUMMYFUNCTION("""COMPUTED_VALUE"""),42290.99861111111)</f>
        <v>42290.99861</v>
      </c>
      <c r="B1829" s="1">
        <f>IFERROR(__xludf.DUMMYFUNCTION("""COMPUTED_VALUE"""),3645.541126)</f>
        <v>3645.541126</v>
      </c>
    </row>
    <row r="1830">
      <c r="A1830" s="3">
        <f>IFERROR(__xludf.DUMMYFUNCTION("""COMPUTED_VALUE"""),42291.99861111111)</f>
        <v>42291.99861</v>
      </c>
      <c r="B1830" s="1">
        <f>IFERROR(__xludf.DUMMYFUNCTION("""COMPUTED_VALUE"""),3542.234233)</f>
        <v>3542.234233</v>
      </c>
    </row>
    <row r="1831">
      <c r="A1831" s="3">
        <f>IFERROR(__xludf.DUMMYFUNCTION("""COMPUTED_VALUE"""),42292.99861111111)</f>
        <v>42292.99861</v>
      </c>
      <c r="B1831" s="1">
        <f>IFERROR(__xludf.DUMMYFUNCTION("""COMPUTED_VALUE"""),3578.104046)</f>
        <v>3578.104046</v>
      </c>
    </row>
    <row r="1832">
      <c r="A1832" s="3">
        <f>IFERROR(__xludf.DUMMYFUNCTION("""COMPUTED_VALUE"""),42293.99861111111)</f>
        <v>42293.99861</v>
      </c>
      <c r="B1832" s="1">
        <f>IFERROR(__xludf.DUMMYFUNCTION("""COMPUTED_VALUE"""),3598.803419)</f>
        <v>3598.803419</v>
      </c>
    </row>
    <row r="1833">
      <c r="A1833" s="3">
        <f>IFERROR(__xludf.DUMMYFUNCTION("""COMPUTED_VALUE"""),42296.99861111111)</f>
        <v>42296.99861</v>
      </c>
      <c r="B1833" s="1">
        <f>IFERROR(__xludf.DUMMYFUNCTION("""COMPUTED_VALUE"""),3639.999909)</f>
        <v>3639.999909</v>
      </c>
    </row>
    <row r="1834">
      <c r="A1834" s="3">
        <f>IFERROR(__xludf.DUMMYFUNCTION("""COMPUTED_VALUE"""),42297.99861111111)</f>
        <v>42297.99861</v>
      </c>
      <c r="B1834" s="1">
        <f>IFERROR(__xludf.DUMMYFUNCTION("""COMPUTED_VALUE"""),3666.043713)</f>
        <v>3666.043713</v>
      </c>
    </row>
    <row r="1835">
      <c r="A1835" s="3">
        <f>IFERROR(__xludf.DUMMYFUNCTION("""COMPUTED_VALUE"""),42298.99861111111)</f>
        <v>42298.99861</v>
      </c>
      <c r="B1835" s="1">
        <f>IFERROR(__xludf.DUMMYFUNCTION("""COMPUTED_VALUE"""),3657.331998)</f>
        <v>3657.331998</v>
      </c>
    </row>
    <row r="1836">
      <c r="A1836" s="3">
        <f>IFERROR(__xludf.DUMMYFUNCTION("""COMPUTED_VALUE"""),42299.99861111111)</f>
        <v>42299.99861</v>
      </c>
      <c r="B1836" s="1">
        <f>IFERROR(__xludf.DUMMYFUNCTION("""COMPUTED_VALUE"""),3594.3249)</f>
        <v>3594.3249</v>
      </c>
    </row>
    <row r="1837">
      <c r="A1837" s="3">
        <f>IFERROR(__xludf.DUMMYFUNCTION("""COMPUTED_VALUE"""),42300.99861111111)</f>
        <v>42300.99861</v>
      </c>
      <c r="B1837" s="1">
        <f>IFERROR(__xludf.DUMMYFUNCTION("""COMPUTED_VALUE"""),3612.172335)</f>
        <v>3612.172335</v>
      </c>
    </row>
    <row r="1838">
      <c r="A1838" s="3">
        <f>IFERROR(__xludf.DUMMYFUNCTION("""COMPUTED_VALUE"""),42303.99861111111)</f>
        <v>42303.99861</v>
      </c>
      <c r="B1838" s="1">
        <f>IFERROR(__xludf.DUMMYFUNCTION("""COMPUTED_VALUE"""),3635.34369)</f>
        <v>3635.34369</v>
      </c>
    </row>
    <row r="1839">
      <c r="A1839" s="3">
        <f>IFERROR(__xludf.DUMMYFUNCTION("""COMPUTED_VALUE"""),42304.99861111111)</f>
        <v>42304.99861</v>
      </c>
      <c r="B1839" s="1">
        <f>IFERROR(__xludf.DUMMYFUNCTION("""COMPUTED_VALUE"""),3644.178583)</f>
        <v>3644.178583</v>
      </c>
    </row>
    <row r="1840">
      <c r="A1840" s="3">
        <f>IFERROR(__xludf.DUMMYFUNCTION("""COMPUTED_VALUE"""),42305.99861111111)</f>
        <v>42305.99861</v>
      </c>
      <c r="B1840" s="1">
        <f>IFERROR(__xludf.DUMMYFUNCTION("""COMPUTED_VALUE"""),3632.333576)</f>
        <v>3632.333576</v>
      </c>
    </row>
    <row r="1841">
      <c r="A1841" s="3">
        <f>IFERROR(__xludf.DUMMYFUNCTION("""COMPUTED_VALUE"""),42306.99861111111)</f>
        <v>42306.99861</v>
      </c>
      <c r="B1841" s="1">
        <f>IFERROR(__xludf.DUMMYFUNCTION("""COMPUTED_VALUE"""),3631.266907)</f>
        <v>3631.266907</v>
      </c>
    </row>
    <row r="1842">
      <c r="A1842" s="3">
        <f>IFERROR(__xludf.DUMMYFUNCTION("""COMPUTED_VALUE"""),42307.99861111111)</f>
        <v>42307.99861</v>
      </c>
      <c r="B1842" s="1">
        <f>IFERROR(__xludf.DUMMYFUNCTION("""COMPUTED_VALUE"""),3637.770808)</f>
        <v>3637.770808</v>
      </c>
    </row>
    <row r="1843">
      <c r="A1843" s="3">
        <f>IFERROR(__xludf.DUMMYFUNCTION("""COMPUTED_VALUE"""),42310.99861111111)</f>
        <v>42310.99861</v>
      </c>
      <c r="B1843" s="1">
        <f>IFERROR(__xludf.DUMMYFUNCTION("""COMPUTED_VALUE"""),3626.458606)</f>
        <v>3626.458606</v>
      </c>
    </row>
    <row r="1844">
      <c r="A1844" s="3">
        <f>IFERROR(__xludf.DUMMYFUNCTION("""COMPUTED_VALUE"""),42311.99861111111)</f>
        <v>42311.99861</v>
      </c>
      <c r="B1844" s="1">
        <f>IFERROR(__xludf.DUMMYFUNCTION("""COMPUTED_VALUE"""),3577.151091)</f>
        <v>3577.151091</v>
      </c>
    </row>
    <row r="1845">
      <c r="A1845" s="3">
        <f>IFERROR(__xludf.DUMMYFUNCTION("""COMPUTED_VALUE"""),42312.99861111111)</f>
        <v>42312.99861</v>
      </c>
      <c r="B1845" s="1">
        <f>IFERROR(__xludf.DUMMYFUNCTION("""COMPUTED_VALUE"""),3592.214823)</f>
        <v>3592.214823</v>
      </c>
    </row>
    <row r="1846">
      <c r="A1846" s="3">
        <f>IFERROR(__xludf.DUMMYFUNCTION("""COMPUTED_VALUE"""),42313.99861111111)</f>
        <v>42313.99861</v>
      </c>
      <c r="B1846" s="1">
        <f>IFERROR(__xludf.DUMMYFUNCTION("""COMPUTED_VALUE"""),3606.762739)</f>
        <v>3606.762739</v>
      </c>
    </row>
    <row r="1847">
      <c r="A1847" s="3">
        <f>IFERROR(__xludf.DUMMYFUNCTION("""COMPUTED_VALUE"""),42314.99861111111)</f>
        <v>42314.99861</v>
      </c>
      <c r="B1847" s="1">
        <f>IFERROR(__xludf.DUMMYFUNCTION("""COMPUTED_VALUE"""),3633.014747)</f>
        <v>3633.014747</v>
      </c>
    </row>
    <row r="1848">
      <c r="A1848" s="3">
        <f>IFERROR(__xludf.DUMMYFUNCTION("""COMPUTED_VALUE"""),42317.99861111111)</f>
        <v>42317.99861</v>
      </c>
      <c r="B1848" s="1">
        <f>IFERROR(__xludf.DUMMYFUNCTION("""COMPUTED_VALUE"""),3642.551989)</f>
        <v>3642.551989</v>
      </c>
    </row>
    <row r="1849">
      <c r="A1849" s="3">
        <f>IFERROR(__xludf.DUMMYFUNCTION("""COMPUTED_VALUE"""),42318.99861111111)</f>
        <v>42318.99861</v>
      </c>
      <c r="B1849" s="1">
        <f>IFERROR(__xludf.DUMMYFUNCTION("""COMPUTED_VALUE"""),3620.247715)</f>
        <v>3620.247715</v>
      </c>
    </row>
    <row r="1850">
      <c r="A1850" s="3">
        <f>IFERROR(__xludf.DUMMYFUNCTION("""COMPUTED_VALUE"""),42319.99861111111)</f>
        <v>42319.99861</v>
      </c>
      <c r="B1850" s="1">
        <f>IFERROR(__xludf.DUMMYFUNCTION("""COMPUTED_VALUE"""),3610.228655)</f>
        <v>3610.228655</v>
      </c>
    </row>
    <row r="1851">
      <c r="A1851" s="3">
        <f>IFERROR(__xludf.DUMMYFUNCTION("""COMPUTED_VALUE"""),42320.99861111111)</f>
        <v>42320.99861</v>
      </c>
      <c r="B1851" s="1">
        <f>IFERROR(__xludf.DUMMYFUNCTION("""COMPUTED_VALUE"""),3633.887693)</f>
        <v>3633.887693</v>
      </c>
    </row>
    <row r="1852">
      <c r="A1852" s="3">
        <f>IFERROR(__xludf.DUMMYFUNCTION("""COMPUTED_VALUE"""),42321.99861111111)</f>
        <v>42321.99861</v>
      </c>
      <c r="B1852" s="1">
        <f>IFERROR(__xludf.DUMMYFUNCTION("""COMPUTED_VALUE"""),3665.777447)</f>
        <v>3665.777447</v>
      </c>
    </row>
    <row r="1853">
      <c r="A1853" s="3">
        <f>IFERROR(__xludf.DUMMYFUNCTION("""COMPUTED_VALUE"""),42324.99861111111)</f>
        <v>42324.99861</v>
      </c>
      <c r="B1853" s="1">
        <f>IFERROR(__xludf.DUMMYFUNCTION("""COMPUTED_VALUE"""),3660.151558)</f>
        <v>3660.151558</v>
      </c>
    </row>
    <row r="1854">
      <c r="A1854" s="3">
        <f>IFERROR(__xludf.DUMMYFUNCTION("""COMPUTED_VALUE"""),42325.99861111111)</f>
        <v>42325.99861</v>
      </c>
      <c r="B1854" s="1">
        <f>IFERROR(__xludf.DUMMYFUNCTION("""COMPUTED_VALUE"""),3663.160012)</f>
        <v>3663.160012</v>
      </c>
    </row>
    <row r="1855">
      <c r="A1855" s="3">
        <f>IFERROR(__xludf.DUMMYFUNCTION("""COMPUTED_VALUE"""),42326.99861111111)</f>
        <v>42326.99861</v>
      </c>
      <c r="B1855" s="1">
        <f>IFERROR(__xludf.DUMMYFUNCTION("""COMPUTED_VALUE"""),3658.76437)</f>
        <v>3658.76437</v>
      </c>
    </row>
    <row r="1856">
      <c r="A1856" s="3">
        <f>IFERROR(__xludf.DUMMYFUNCTION("""COMPUTED_VALUE"""),42327.99861111111)</f>
        <v>42327.99861</v>
      </c>
      <c r="B1856" s="1">
        <f>IFERROR(__xludf.DUMMYFUNCTION("""COMPUTED_VALUE"""),3645.124143)</f>
        <v>3645.124143</v>
      </c>
    </row>
    <row r="1857">
      <c r="A1857" s="3">
        <f>IFERROR(__xludf.DUMMYFUNCTION("""COMPUTED_VALUE"""),42328.99861111111)</f>
        <v>42328.99861</v>
      </c>
      <c r="B1857" s="1">
        <f>IFERROR(__xludf.DUMMYFUNCTION("""COMPUTED_VALUE"""),3616.259815)</f>
        <v>3616.259815</v>
      </c>
    </row>
    <row r="1858">
      <c r="A1858" s="3">
        <f>IFERROR(__xludf.DUMMYFUNCTION("""COMPUTED_VALUE"""),42331.99861111111)</f>
        <v>42331.99861</v>
      </c>
      <c r="B1858" s="1">
        <f>IFERROR(__xludf.DUMMYFUNCTION("""COMPUTED_VALUE"""),3648.670195)</f>
        <v>3648.670195</v>
      </c>
    </row>
    <row r="1859">
      <c r="A1859" s="3">
        <f>IFERROR(__xludf.DUMMYFUNCTION("""COMPUTED_VALUE"""),42332.99861111111)</f>
        <v>42332.99861</v>
      </c>
      <c r="B1859" s="1">
        <f>IFERROR(__xludf.DUMMYFUNCTION("""COMPUTED_VALUE"""),3629.967124)</f>
        <v>3629.967124</v>
      </c>
    </row>
    <row r="1860">
      <c r="A1860" s="3">
        <f>IFERROR(__xludf.DUMMYFUNCTION("""COMPUTED_VALUE"""),42333.99861111111)</f>
        <v>42333.99861</v>
      </c>
      <c r="B1860" s="1">
        <f>IFERROR(__xludf.DUMMYFUNCTION("""COMPUTED_VALUE"""),3623.130421)</f>
        <v>3623.130421</v>
      </c>
    </row>
    <row r="1861">
      <c r="A1861" s="3">
        <f>IFERROR(__xludf.DUMMYFUNCTION("""COMPUTED_VALUE"""),42334.99861111111)</f>
        <v>42334.99861</v>
      </c>
      <c r="B1861" s="1">
        <f>IFERROR(__xludf.DUMMYFUNCTION("""COMPUTED_VALUE"""),3664.914445)</f>
        <v>3664.914445</v>
      </c>
    </row>
    <row r="1862">
      <c r="A1862" s="3">
        <f>IFERROR(__xludf.DUMMYFUNCTION("""COMPUTED_VALUE"""),42335.99861111111)</f>
        <v>42335.99861</v>
      </c>
      <c r="B1862" s="1">
        <f>IFERROR(__xludf.DUMMYFUNCTION("""COMPUTED_VALUE"""),3636.702942)</f>
        <v>3636.702942</v>
      </c>
    </row>
    <row r="1863">
      <c r="A1863" s="3">
        <f>IFERROR(__xludf.DUMMYFUNCTION("""COMPUTED_VALUE"""),42338.99861111111)</f>
        <v>42338.99861</v>
      </c>
      <c r="B1863" s="1">
        <f>IFERROR(__xludf.DUMMYFUNCTION("""COMPUTED_VALUE"""),3702.923183)</f>
        <v>3702.923183</v>
      </c>
    </row>
    <row r="1864">
      <c r="A1864" s="3">
        <f>IFERROR(__xludf.DUMMYFUNCTION("""COMPUTED_VALUE"""),42339.99861111111)</f>
        <v>42339.99861</v>
      </c>
      <c r="B1864" s="1">
        <f>IFERROR(__xludf.DUMMYFUNCTION("""COMPUTED_VALUE"""),3688.776079)</f>
        <v>3688.776079</v>
      </c>
    </row>
    <row r="1865">
      <c r="A1865" s="3">
        <f>IFERROR(__xludf.DUMMYFUNCTION("""COMPUTED_VALUE"""),42340.99861111111)</f>
        <v>42340.99861</v>
      </c>
      <c r="B1865" s="1">
        <f>IFERROR(__xludf.DUMMYFUNCTION("""COMPUTED_VALUE"""),3680.296304)</f>
        <v>3680.296304</v>
      </c>
    </row>
    <row r="1866">
      <c r="A1866" s="3">
        <f>IFERROR(__xludf.DUMMYFUNCTION("""COMPUTED_VALUE"""),42341.99861111111)</f>
        <v>42341.99861</v>
      </c>
      <c r="B1866" s="1">
        <f>IFERROR(__xludf.DUMMYFUNCTION("""COMPUTED_VALUE"""),3654.826282)</f>
        <v>3654.826282</v>
      </c>
    </row>
    <row r="1867">
      <c r="A1867" s="3">
        <f>IFERROR(__xludf.DUMMYFUNCTION("""COMPUTED_VALUE"""),42342.99861111111)</f>
        <v>42342.99861</v>
      </c>
      <c r="B1867" s="1">
        <f>IFERROR(__xludf.DUMMYFUNCTION("""COMPUTED_VALUE"""),3668.50645)</f>
        <v>3668.50645</v>
      </c>
    </row>
    <row r="1868">
      <c r="A1868" s="3">
        <f>IFERROR(__xludf.DUMMYFUNCTION("""COMPUTED_VALUE"""),42345.99861111111)</f>
        <v>42345.99861</v>
      </c>
      <c r="B1868" s="1">
        <f>IFERROR(__xludf.DUMMYFUNCTION("""COMPUTED_VALUE"""),3700.54152)</f>
        <v>3700.54152</v>
      </c>
    </row>
    <row r="1869">
      <c r="A1869" s="3">
        <f>IFERROR(__xludf.DUMMYFUNCTION("""COMPUTED_VALUE"""),42346.99861111111)</f>
        <v>42346.99861</v>
      </c>
      <c r="B1869" s="1">
        <f>IFERROR(__xludf.DUMMYFUNCTION("""COMPUTED_VALUE"""),3731.912961)</f>
        <v>3731.912961</v>
      </c>
    </row>
    <row r="1870">
      <c r="A1870" s="3">
        <f>IFERROR(__xludf.DUMMYFUNCTION("""COMPUTED_VALUE"""),42347.99861111111)</f>
        <v>42347.99861</v>
      </c>
      <c r="B1870" s="1">
        <f>IFERROR(__xludf.DUMMYFUNCTION("""COMPUTED_VALUE"""),3715.071076)</f>
        <v>3715.071076</v>
      </c>
    </row>
    <row r="1871">
      <c r="A1871" s="3">
        <f>IFERROR(__xludf.DUMMYFUNCTION("""COMPUTED_VALUE"""),42348.99861111111)</f>
        <v>42348.99861</v>
      </c>
      <c r="B1871" s="1">
        <f>IFERROR(__xludf.DUMMYFUNCTION("""COMPUTED_VALUE"""),3715.909644)</f>
        <v>3715.909644</v>
      </c>
    </row>
    <row r="1872">
      <c r="A1872" s="3">
        <f>IFERROR(__xludf.DUMMYFUNCTION("""COMPUTED_VALUE"""),42349.99861111111)</f>
        <v>42349.99861</v>
      </c>
      <c r="B1872" s="1">
        <f>IFERROR(__xludf.DUMMYFUNCTION("""COMPUTED_VALUE"""),3770.916055)</f>
        <v>3770.916055</v>
      </c>
    </row>
    <row r="1873">
      <c r="A1873" s="3">
        <f>IFERROR(__xludf.DUMMYFUNCTION("""COMPUTED_VALUE"""),42352.99861111111)</f>
        <v>42352.99861</v>
      </c>
      <c r="B1873" s="1">
        <f>IFERROR(__xludf.DUMMYFUNCTION("""COMPUTED_VALUE"""),3736.518885)</f>
        <v>3736.518885</v>
      </c>
    </row>
    <row r="1874">
      <c r="A1874" s="3">
        <f>IFERROR(__xludf.DUMMYFUNCTION("""COMPUTED_VALUE"""),42353.99861111111)</f>
        <v>42353.99861</v>
      </c>
      <c r="B1874" s="1">
        <f>IFERROR(__xludf.DUMMYFUNCTION("""COMPUTED_VALUE"""),3728.913052)</f>
        <v>3728.913052</v>
      </c>
    </row>
    <row r="1875">
      <c r="A1875" s="3">
        <f>IFERROR(__xludf.DUMMYFUNCTION("""COMPUTED_VALUE"""),42354.99861111111)</f>
        <v>42354.99861</v>
      </c>
      <c r="B1875" s="1">
        <f>IFERROR(__xludf.DUMMYFUNCTION("""COMPUTED_VALUE"""),3667.86615)</f>
        <v>3667.86615</v>
      </c>
    </row>
    <row r="1876">
      <c r="A1876" s="3">
        <f>IFERROR(__xludf.DUMMYFUNCTION("""COMPUTED_VALUE"""),42355.99861111111)</f>
        <v>42355.99861</v>
      </c>
      <c r="B1876" s="1">
        <f>IFERROR(__xludf.DUMMYFUNCTION("""COMPUTED_VALUE"""),3742.858553)</f>
        <v>3742.858553</v>
      </c>
    </row>
    <row r="1877">
      <c r="A1877" s="3">
        <f>IFERROR(__xludf.DUMMYFUNCTION("""COMPUTED_VALUE"""),42356.99861111111)</f>
        <v>42356.99861</v>
      </c>
      <c r="B1877" s="1">
        <f>IFERROR(__xludf.DUMMYFUNCTION("""COMPUTED_VALUE"""),3700.68857)</f>
        <v>3700.68857</v>
      </c>
    </row>
    <row r="1878">
      <c r="A1878" s="3">
        <f>IFERROR(__xludf.DUMMYFUNCTION("""COMPUTED_VALUE"""),42359.99861111111)</f>
        <v>42359.99861</v>
      </c>
      <c r="B1878" s="1">
        <f>IFERROR(__xludf.DUMMYFUNCTION("""COMPUTED_VALUE"""),3670.409961)</f>
        <v>3670.409961</v>
      </c>
    </row>
    <row r="1879">
      <c r="A1879" s="3">
        <f>IFERROR(__xludf.DUMMYFUNCTION("""COMPUTED_VALUE"""),42360.99861111111)</f>
        <v>42360.99861</v>
      </c>
      <c r="B1879" s="1">
        <f>IFERROR(__xludf.DUMMYFUNCTION("""COMPUTED_VALUE"""),3639.442976)</f>
        <v>3639.442976</v>
      </c>
    </row>
    <row r="1880">
      <c r="A1880" s="3">
        <f>IFERROR(__xludf.DUMMYFUNCTION("""COMPUTED_VALUE"""),42361.99861111111)</f>
        <v>42361.99861</v>
      </c>
      <c r="B1880" s="1">
        <f>IFERROR(__xludf.DUMMYFUNCTION("""COMPUTED_VALUE"""),3637.698556)</f>
        <v>3637.698556</v>
      </c>
    </row>
    <row r="1881">
      <c r="A1881" s="3">
        <f>IFERROR(__xludf.DUMMYFUNCTION("""COMPUTED_VALUE"""),42362.99861111111)</f>
        <v>42362.99861</v>
      </c>
      <c r="B1881" s="1">
        <f>IFERROR(__xludf.DUMMYFUNCTION("""COMPUTED_VALUE"""),3636.412033)</f>
        <v>3636.412033</v>
      </c>
    </row>
    <row r="1882">
      <c r="A1882" s="3">
        <f>IFERROR(__xludf.DUMMYFUNCTION("""COMPUTED_VALUE"""),42363.99861111111)</f>
        <v>42363.99861</v>
      </c>
      <c r="B1882" s="1">
        <f>IFERROR(__xludf.DUMMYFUNCTION("""COMPUTED_VALUE"""),3640.685856)</f>
        <v>3640.685856</v>
      </c>
    </row>
    <row r="1883">
      <c r="A1883" s="3">
        <f>IFERROR(__xludf.DUMMYFUNCTION("""COMPUTED_VALUE"""),42366.99861111111)</f>
        <v>42366.99861</v>
      </c>
      <c r="B1883" s="1">
        <f>IFERROR(__xludf.DUMMYFUNCTION("""COMPUTED_VALUE"""),3602.413058)</f>
        <v>3602.413058</v>
      </c>
    </row>
    <row r="1884">
      <c r="A1884" s="3">
        <f>IFERROR(__xludf.DUMMYFUNCTION("""COMPUTED_VALUE"""),42367.99861111111)</f>
        <v>42367.99861</v>
      </c>
      <c r="B1884" s="1">
        <f>IFERROR(__xludf.DUMMYFUNCTION("""COMPUTED_VALUE"""),3653.501997)</f>
        <v>3653.501997</v>
      </c>
    </row>
    <row r="1885">
      <c r="A1885" s="3">
        <f>IFERROR(__xludf.DUMMYFUNCTION("""COMPUTED_VALUE"""),42368.99861111111)</f>
        <v>42368.99861</v>
      </c>
      <c r="B1885" s="1">
        <f>IFERROR(__xludf.DUMMYFUNCTION("""COMPUTED_VALUE"""),3689.441905)</f>
        <v>3689.441905</v>
      </c>
    </row>
    <row r="1886">
      <c r="A1886" s="3">
        <f>IFERROR(__xludf.DUMMYFUNCTION("""COMPUTED_VALUE"""),42369.99861111111)</f>
        <v>42369.99861</v>
      </c>
      <c r="B1886" s="1">
        <f>IFERROR(__xludf.DUMMYFUNCTION("""COMPUTED_VALUE"""),3670.005752)</f>
        <v>3670.005752</v>
      </c>
    </row>
    <row r="1887">
      <c r="A1887" s="3">
        <f>IFERROR(__xludf.DUMMYFUNCTION("""COMPUTED_VALUE"""),42370.99861111111)</f>
        <v>42370.99861</v>
      </c>
      <c r="B1887" s="1">
        <f>IFERROR(__xludf.DUMMYFUNCTION("""COMPUTED_VALUE"""),3675.783814)</f>
        <v>3675.783814</v>
      </c>
    </row>
    <row r="1888">
      <c r="A1888" s="3">
        <f>IFERROR(__xludf.DUMMYFUNCTION("""COMPUTED_VALUE"""),42373.99861111111)</f>
        <v>42373.99861</v>
      </c>
      <c r="B1888" s="1">
        <f>IFERROR(__xludf.DUMMYFUNCTION("""COMPUTED_VALUE"""),3719.386973)</f>
        <v>3719.386973</v>
      </c>
    </row>
    <row r="1889">
      <c r="A1889" s="3">
        <f>IFERROR(__xludf.DUMMYFUNCTION("""COMPUTED_VALUE"""),42374.99861111111)</f>
        <v>42374.99861</v>
      </c>
      <c r="B1889" s="1">
        <f>IFERROR(__xludf.DUMMYFUNCTION("""COMPUTED_VALUE"""),3683.78915)</f>
        <v>3683.78915</v>
      </c>
    </row>
    <row r="1890">
      <c r="A1890" s="3">
        <f>IFERROR(__xludf.DUMMYFUNCTION("""COMPUTED_VALUE"""),42375.99861111111)</f>
        <v>42375.99861</v>
      </c>
      <c r="B1890" s="1">
        <f>IFERROR(__xludf.DUMMYFUNCTION("""COMPUTED_VALUE"""),3709.087973)</f>
        <v>3709.087973</v>
      </c>
    </row>
    <row r="1891">
      <c r="A1891" s="3">
        <f>IFERROR(__xludf.DUMMYFUNCTION("""COMPUTED_VALUE"""),42376.99861111111)</f>
        <v>42376.99861</v>
      </c>
      <c r="B1891" s="1">
        <f>IFERROR(__xludf.DUMMYFUNCTION("""COMPUTED_VALUE"""),3715.657414)</f>
        <v>3715.657414</v>
      </c>
    </row>
    <row r="1892">
      <c r="A1892" s="3">
        <f>IFERROR(__xludf.DUMMYFUNCTION("""COMPUTED_VALUE"""),42377.99861111111)</f>
        <v>42377.99861</v>
      </c>
      <c r="B1892" s="1">
        <f>IFERROR(__xludf.DUMMYFUNCTION("""COMPUTED_VALUE"""),3703.999907)</f>
        <v>3703.999907</v>
      </c>
    </row>
    <row r="1893">
      <c r="A1893" s="3">
        <f>IFERROR(__xludf.DUMMYFUNCTION("""COMPUTED_VALUE"""),42380.99861111111)</f>
        <v>42380.99861</v>
      </c>
      <c r="B1893" s="1">
        <f>IFERROR(__xludf.DUMMYFUNCTION("""COMPUTED_VALUE"""),3676.921025)</f>
        <v>3676.921025</v>
      </c>
    </row>
    <row r="1894">
      <c r="A1894" s="3">
        <f>IFERROR(__xludf.DUMMYFUNCTION("""COMPUTED_VALUE"""),42381.99861111111)</f>
        <v>42381.99861</v>
      </c>
      <c r="B1894" s="1">
        <f>IFERROR(__xludf.DUMMYFUNCTION("""COMPUTED_VALUE"""),3682.398122)</f>
        <v>3682.398122</v>
      </c>
    </row>
    <row r="1895">
      <c r="A1895" s="3">
        <f>IFERROR(__xludf.DUMMYFUNCTION("""COMPUTED_VALUE"""),42382.99861111111)</f>
        <v>42382.99861</v>
      </c>
      <c r="B1895" s="1">
        <f>IFERROR(__xludf.DUMMYFUNCTION("""COMPUTED_VALUE"""),3691.450405)</f>
        <v>3691.450405</v>
      </c>
    </row>
    <row r="1896">
      <c r="A1896" s="3">
        <f>IFERROR(__xludf.DUMMYFUNCTION("""COMPUTED_VALUE"""),42383.99861111111)</f>
        <v>42383.99861</v>
      </c>
      <c r="B1896" s="1">
        <f>IFERROR(__xludf.DUMMYFUNCTION("""COMPUTED_VALUE"""),3691.095966)</f>
        <v>3691.095966</v>
      </c>
    </row>
    <row r="1897">
      <c r="A1897" s="3">
        <f>IFERROR(__xludf.DUMMYFUNCTION("""COMPUTED_VALUE"""),42384.99861111111)</f>
        <v>42384.99861</v>
      </c>
      <c r="B1897" s="1">
        <f>IFERROR(__xludf.DUMMYFUNCTION("""COMPUTED_VALUE"""),3731.207674)</f>
        <v>3731.207674</v>
      </c>
    </row>
    <row r="1898">
      <c r="A1898" s="3">
        <f>IFERROR(__xludf.DUMMYFUNCTION("""COMPUTED_VALUE"""),42387.99861111111)</f>
        <v>42387.99861</v>
      </c>
      <c r="B1898" s="1">
        <f>IFERROR(__xludf.DUMMYFUNCTION("""COMPUTED_VALUE"""),3713.531254)</f>
        <v>3713.531254</v>
      </c>
    </row>
    <row r="1899">
      <c r="A1899" s="3">
        <f>IFERROR(__xludf.DUMMYFUNCTION("""COMPUTED_VALUE"""),42388.99861111111)</f>
        <v>42388.99861</v>
      </c>
      <c r="B1899" s="1">
        <f>IFERROR(__xludf.DUMMYFUNCTION("""COMPUTED_VALUE"""),3692.233685)</f>
        <v>3692.233685</v>
      </c>
    </row>
    <row r="1900">
      <c r="A1900" s="3">
        <f>IFERROR(__xludf.DUMMYFUNCTION("""COMPUTED_VALUE"""),42389.99861111111)</f>
        <v>42389.99861</v>
      </c>
      <c r="B1900" s="1">
        <f>IFERROR(__xludf.DUMMYFUNCTION("""COMPUTED_VALUE"""),3690.800249)</f>
        <v>3690.800249</v>
      </c>
    </row>
    <row r="1901">
      <c r="A1901" s="3">
        <f>IFERROR(__xludf.DUMMYFUNCTION("""COMPUTED_VALUE"""),42390.99861111111)</f>
        <v>42390.99861</v>
      </c>
      <c r="B1901" s="1">
        <f>IFERROR(__xludf.DUMMYFUNCTION("""COMPUTED_VALUE"""),3669.189281)</f>
        <v>3669.189281</v>
      </c>
    </row>
    <row r="1902">
      <c r="A1902" s="3">
        <f>IFERROR(__xludf.DUMMYFUNCTION("""COMPUTED_VALUE"""),42391.99861111111)</f>
        <v>42391.99861</v>
      </c>
      <c r="B1902" s="1">
        <f>IFERROR(__xludf.DUMMYFUNCTION("""COMPUTED_VALUE"""),3667.627015)</f>
        <v>3667.627015</v>
      </c>
    </row>
    <row r="1903">
      <c r="A1903" s="3">
        <f>IFERROR(__xludf.DUMMYFUNCTION("""COMPUTED_VALUE"""),42392.99861111111)</f>
        <v>42392.99861</v>
      </c>
      <c r="B1903" s="1">
        <f>IFERROR(__xludf.DUMMYFUNCTION("""COMPUTED_VALUE"""),3695.216257)</f>
        <v>3695.216257</v>
      </c>
    </row>
    <row r="1904">
      <c r="A1904" s="3">
        <f>IFERROR(__xludf.DUMMYFUNCTION("""COMPUTED_VALUE"""),42394.99861111111)</f>
        <v>42394.99861</v>
      </c>
      <c r="B1904" s="1">
        <f>IFERROR(__xludf.DUMMYFUNCTION("""COMPUTED_VALUE"""),3692.332293)</f>
        <v>3692.332293</v>
      </c>
    </row>
    <row r="1905">
      <c r="A1905" s="3">
        <f>IFERROR(__xludf.DUMMYFUNCTION("""COMPUTED_VALUE"""),42395.99861111111)</f>
        <v>42395.99861</v>
      </c>
      <c r="B1905" s="1">
        <f>IFERROR(__xludf.DUMMYFUNCTION("""COMPUTED_VALUE"""),3705.879079)</f>
        <v>3705.879079</v>
      </c>
    </row>
    <row r="1906">
      <c r="A1906" s="3">
        <f>IFERROR(__xludf.DUMMYFUNCTION("""COMPUTED_VALUE"""),42396.99861111111)</f>
        <v>42396.99861</v>
      </c>
      <c r="B1906" s="1">
        <f>IFERROR(__xludf.DUMMYFUNCTION("""COMPUTED_VALUE"""),3685.939346)</f>
        <v>3685.939346</v>
      </c>
    </row>
    <row r="1907">
      <c r="A1907" s="3">
        <f>IFERROR(__xludf.DUMMYFUNCTION("""COMPUTED_VALUE"""),42397.99861111111)</f>
        <v>42397.99861</v>
      </c>
      <c r="B1907" s="1">
        <f>IFERROR(__xludf.DUMMYFUNCTION("""COMPUTED_VALUE"""),3674.782309)</f>
        <v>3674.782309</v>
      </c>
    </row>
    <row r="1908">
      <c r="A1908" s="3">
        <f>IFERROR(__xludf.DUMMYFUNCTION("""COMPUTED_VALUE"""),42398.99861111111)</f>
        <v>42398.99861</v>
      </c>
      <c r="B1908" s="1">
        <f>IFERROR(__xludf.DUMMYFUNCTION("""COMPUTED_VALUE"""),3649.001992)</f>
        <v>3649.001992</v>
      </c>
    </row>
    <row r="1909">
      <c r="A1909" s="3">
        <f>IFERROR(__xludf.DUMMYFUNCTION("""COMPUTED_VALUE"""),42401.99861111111)</f>
        <v>42401.99861</v>
      </c>
      <c r="B1909" s="1">
        <f>IFERROR(__xludf.DUMMYFUNCTION("""COMPUTED_VALUE"""),3638.6449)</f>
        <v>3638.6449</v>
      </c>
    </row>
    <row r="1910">
      <c r="A1910" s="3">
        <f>IFERROR(__xludf.DUMMYFUNCTION("""COMPUTED_VALUE"""),42402.99861111111)</f>
        <v>42402.99861</v>
      </c>
      <c r="B1910" s="1">
        <f>IFERROR(__xludf.DUMMYFUNCTION("""COMPUTED_VALUE"""),3665.536406)</f>
        <v>3665.536406</v>
      </c>
    </row>
    <row r="1911">
      <c r="A1911" s="3">
        <f>IFERROR(__xludf.DUMMYFUNCTION("""COMPUTED_VALUE"""),42403.99861111111)</f>
        <v>42403.99861</v>
      </c>
      <c r="B1911" s="1">
        <f>IFERROR(__xludf.DUMMYFUNCTION("""COMPUTED_VALUE"""),3626.024433)</f>
        <v>3626.024433</v>
      </c>
    </row>
    <row r="1912">
      <c r="A1912" s="3">
        <f>IFERROR(__xludf.DUMMYFUNCTION("""COMPUTED_VALUE"""),42404.99861111111)</f>
        <v>42404.99861</v>
      </c>
      <c r="B1912" s="1">
        <f>IFERROR(__xludf.DUMMYFUNCTION("""COMPUTED_VALUE"""),3633.548621)</f>
        <v>3633.548621</v>
      </c>
    </row>
    <row r="1913">
      <c r="A1913" s="3">
        <f>IFERROR(__xludf.DUMMYFUNCTION("""COMPUTED_VALUE"""),42405.99861111111)</f>
        <v>42405.99861</v>
      </c>
      <c r="B1913" s="1">
        <f>IFERROR(__xludf.DUMMYFUNCTION("""COMPUTED_VALUE"""),3625.954146)</f>
        <v>3625.954146</v>
      </c>
    </row>
    <row r="1914">
      <c r="A1914" s="3">
        <f>IFERROR(__xludf.DUMMYFUNCTION("""COMPUTED_VALUE"""),42406.99861111111)</f>
        <v>42406.99861</v>
      </c>
      <c r="B1914" s="1">
        <f>IFERROR(__xludf.DUMMYFUNCTION("""COMPUTED_VALUE"""),3628.117242)</f>
        <v>3628.117242</v>
      </c>
    </row>
    <row r="1915">
      <c r="A1915" s="3">
        <f>IFERROR(__xludf.DUMMYFUNCTION("""COMPUTED_VALUE"""),42408.99861111111)</f>
        <v>42408.99861</v>
      </c>
      <c r="B1915" s="1">
        <f>IFERROR(__xludf.DUMMYFUNCTION("""COMPUTED_VALUE"""),3650.924993)</f>
        <v>3650.924993</v>
      </c>
    </row>
    <row r="1916">
      <c r="A1916" s="3">
        <f>IFERROR(__xludf.DUMMYFUNCTION("""COMPUTED_VALUE"""),42409.99861111111)</f>
        <v>42409.99861</v>
      </c>
      <c r="B1916" s="1">
        <f>IFERROR(__xludf.DUMMYFUNCTION("""COMPUTED_VALUE"""),3620.247715)</f>
        <v>3620.247715</v>
      </c>
    </row>
    <row r="1917">
      <c r="A1917" s="3">
        <f>IFERROR(__xludf.DUMMYFUNCTION("""COMPUTED_VALUE"""),42410.99861111111)</f>
        <v>42410.99861</v>
      </c>
      <c r="B1917" s="1">
        <f>IFERROR(__xludf.DUMMYFUNCTION("""COMPUTED_VALUE"""),3591.831221)</f>
        <v>3591.831221</v>
      </c>
    </row>
    <row r="1918">
      <c r="A1918" s="3">
        <f>IFERROR(__xludf.DUMMYFUNCTION("""COMPUTED_VALUE"""),42411.99861111111)</f>
        <v>42411.99861</v>
      </c>
      <c r="B1918" s="1">
        <f>IFERROR(__xludf.DUMMYFUNCTION("""COMPUTED_VALUE"""),3598.601119)</f>
        <v>3598.601119</v>
      </c>
    </row>
    <row r="1919">
      <c r="A1919" s="3">
        <f>IFERROR(__xludf.DUMMYFUNCTION("""COMPUTED_VALUE"""),42412.99861111111)</f>
        <v>42412.99861</v>
      </c>
      <c r="B1919" s="1">
        <f>IFERROR(__xludf.DUMMYFUNCTION("""COMPUTED_VALUE"""),3590.09216)</f>
        <v>3590.09216</v>
      </c>
    </row>
    <row r="1920">
      <c r="A1920" s="3">
        <f>IFERROR(__xludf.DUMMYFUNCTION("""COMPUTED_VALUE"""),42414.99861111111)</f>
        <v>42414.99861</v>
      </c>
      <c r="B1920" s="1">
        <f>IFERROR(__xludf.DUMMYFUNCTION("""COMPUTED_VALUE"""),3671.027506)</f>
        <v>3671.027506</v>
      </c>
    </row>
    <row r="1921">
      <c r="A1921" s="3">
        <f>IFERROR(__xludf.DUMMYFUNCTION("""COMPUTED_VALUE"""),42415.99861111111)</f>
        <v>42415.99861</v>
      </c>
      <c r="B1921" s="1">
        <f>IFERROR(__xludf.DUMMYFUNCTION("""COMPUTED_VALUE"""),3543.40163)</f>
        <v>3543.40163</v>
      </c>
    </row>
    <row r="1922">
      <c r="A1922" s="3">
        <f>IFERROR(__xludf.DUMMYFUNCTION("""COMPUTED_VALUE"""),42416.99861111111)</f>
        <v>42416.99861</v>
      </c>
      <c r="B1922" s="1">
        <f>IFERROR(__xludf.DUMMYFUNCTION("""COMPUTED_VALUE"""),3575.966225)</f>
        <v>3575.966225</v>
      </c>
    </row>
    <row r="1923">
      <c r="A1923" s="3">
        <f>IFERROR(__xludf.DUMMYFUNCTION("""COMPUTED_VALUE"""),42417.99861111111)</f>
        <v>42417.99861</v>
      </c>
      <c r="B1923" s="1">
        <f>IFERROR(__xludf.DUMMYFUNCTION("""COMPUTED_VALUE"""),3604.132665)</f>
        <v>3604.132665</v>
      </c>
    </row>
    <row r="1924">
      <c r="A1924" s="3">
        <f>IFERROR(__xludf.DUMMYFUNCTION("""COMPUTED_VALUE"""),42418.99861111111)</f>
        <v>42418.99861</v>
      </c>
      <c r="B1924" s="1">
        <f>IFERROR(__xludf.DUMMYFUNCTION("""COMPUTED_VALUE"""),3581.344328)</f>
        <v>3581.344328</v>
      </c>
    </row>
    <row r="1925">
      <c r="A1925" s="3">
        <f>IFERROR(__xludf.DUMMYFUNCTION("""COMPUTED_VALUE"""),42419.99861111111)</f>
        <v>42419.99861</v>
      </c>
      <c r="B1925" s="1">
        <f>IFERROR(__xludf.DUMMYFUNCTION("""COMPUTED_VALUE"""),3580.533243)</f>
        <v>3580.533243</v>
      </c>
    </row>
    <row r="1926">
      <c r="A1926" s="3">
        <f>IFERROR(__xludf.DUMMYFUNCTION("""COMPUTED_VALUE"""),42420.99861111111)</f>
        <v>42420.99861</v>
      </c>
      <c r="B1926" s="1">
        <f>IFERROR(__xludf.DUMMYFUNCTION("""COMPUTED_VALUE"""),3612.716211)</f>
        <v>3612.716211</v>
      </c>
    </row>
    <row r="1927">
      <c r="A1927" s="3">
        <f>IFERROR(__xludf.DUMMYFUNCTION("""COMPUTED_VALUE"""),42422.99861111111)</f>
        <v>42422.99861</v>
      </c>
      <c r="B1927" s="1">
        <f>IFERROR(__xludf.DUMMYFUNCTION("""COMPUTED_VALUE"""),3574.00327)</f>
        <v>3574.00327</v>
      </c>
    </row>
    <row r="1928">
      <c r="A1928" s="3">
        <f>IFERROR(__xludf.DUMMYFUNCTION("""COMPUTED_VALUE"""),42423.99861111111)</f>
        <v>42423.99861</v>
      </c>
      <c r="B1928" s="1">
        <f>IFERROR(__xludf.DUMMYFUNCTION("""COMPUTED_VALUE"""),3580.487433)</f>
        <v>3580.487433</v>
      </c>
    </row>
    <row r="1929">
      <c r="A1929" s="3">
        <f>IFERROR(__xludf.DUMMYFUNCTION("""COMPUTED_VALUE"""),42424.99861111111)</f>
        <v>42424.99861</v>
      </c>
      <c r="B1929" s="1">
        <f>IFERROR(__xludf.DUMMYFUNCTION("""COMPUTED_VALUE"""),3569.238076)</f>
        <v>3569.238076</v>
      </c>
    </row>
    <row r="1930">
      <c r="A1930" s="3">
        <f>IFERROR(__xludf.DUMMYFUNCTION("""COMPUTED_VALUE"""),42425.99861111111)</f>
        <v>42425.99861</v>
      </c>
      <c r="B1930" s="1">
        <f>IFERROR(__xludf.DUMMYFUNCTION("""COMPUTED_VALUE"""),3585.253192)</f>
        <v>3585.253192</v>
      </c>
    </row>
    <row r="1931">
      <c r="A1931" s="3">
        <f>IFERROR(__xludf.DUMMYFUNCTION("""COMPUTED_VALUE"""),42426.99861111111)</f>
        <v>42426.99861</v>
      </c>
      <c r="B1931" s="1">
        <f>IFERROR(__xludf.DUMMYFUNCTION("""COMPUTED_VALUE"""),3580.2864)</f>
        <v>3580.2864</v>
      </c>
    </row>
    <row r="1932">
      <c r="A1932" s="3">
        <f>IFERROR(__xludf.DUMMYFUNCTION("""COMPUTED_VALUE"""),42429.99861111111)</f>
        <v>42429.99861</v>
      </c>
      <c r="B1932" s="1">
        <f>IFERROR(__xludf.DUMMYFUNCTION("""COMPUTED_VALUE"""),3568.18663)</f>
        <v>3568.18663</v>
      </c>
    </row>
    <row r="1933">
      <c r="A1933" s="3">
        <f>IFERROR(__xludf.DUMMYFUNCTION("""COMPUTED_VALUE"""),42430.99861111111)</f>
        <v>42430.99861</v>
      </c>
      <c r="B1933" s="1">
        <f>IFERROR(__xludf.DUMMYFUNCTION("""COMPUTED_VALUE"""),3536.888107)</f>
        <v>3536.888107</v>
      </c>
    </row>
    <row r="1934">
      <c r="A1934" s="3">
        <f>IFERROR(__xludf.DUMMYFUNCTION("""COMPUTED_VALUE"""),42431.99861111111)</f>
        <v>42431.99861</v>
      </c>
      <c r="B1934" s="1">
        <f>IFERROR(__xludf.DUMMYFUNCTION("""COMPUTED_VALUE"""),3537.21696)</f>
        <v>3537.21696</v>
      </c>
    </row>
    <row r="1935">
      <c r="A1935" s="3">
        <f>IFERROR(__xludf.DUMMYFUNCTION("""COMPUTED_VALUE"""),42432.99861111111)</f>
        <v>42432.99861</v>
      </c>
      <c r="B1935" s="1">
        <f>IFERROR(__xludf.DUMMYFUNCTION("""COMPUTED_VALUE"""),3508.02246)</f>
        <v>3508.02246</v>
      </c>
    </row>
    <row r="1936">
      <c r="A1936" s="3">
        <f>IFERROR(__xludf.DUMMYFUNCTION("""COMPUTED_VALUE"""),42433.99861111111)</f>
        <v>42433.99861</v>
      </c>
      <c r="B1936" s="1">
        <f>IFERROR(__xludf.DUMMYFUNCTION("""COMPUTED_VALUE"""),3474.411264)</f>
        <v>3474.411264</v>
      </c>
    </row>
    <row r="1937">
      <c r="A1937" s="3">
        <f>IFERROR(__xludf.DUMMYFUNCTION("""COMPUTED_VALUE"""),42436.99861111111)</f>
        <v>42436.99861</v>
      </c>
      <c r="B1937" s="1">
        <f>IFERROR(__xludf.DUMMYFUNCTION("""COMPUTED_VALUE"""),3466.944)</f>
        <v>3466.944</v>
      </c>
    </row>
    <row r="1938">
      <c r="A1938" s="3">
        <f>IFERROR(__xludf.DUMMYFUNCTION("""COMPUTED_VALUE"""),42437.99861111111)</f>
        <v>42437.99861</v>
      </c>
      <c r="B1938" s="1">
        <f>IFERROR(__xludf.DUMMYFUNCTION("""COMPUTED_VALUE"""),3518.592554)</f>
        <v>3518.592554</v>
      </c>
    </row>
    <row r="1939">
      <c r="A1939" s="3">
        <f>IFERROR(__xludf.DUMMYFUNCTION("""COMPUTED_VALUE"""),42438.99861111111)</f>
        <v>42438.99861</v>
      </c>
      <c r="B1939" s="1">
        <f>IFERROR(__xludf.DUMMYFUNCTION("""COMPUTED_VALUE"""),3497.156874)</f>
        <v>3497.156874</v>
      </c>
    </row>
    <row r="1940">
      <c r="A1940" s="3">
        <f>IFERROR(__xludf.DUMMYFUNCTION("""COMPUTED_VALUE"""),42439.99861111111)</f>
        <v>42439.99861</v>
      </c>
      <c r="B1940" s="1">
        <f>IFERROR(__xludf.DUMMYFUNCTION("""COMPUTED_VALUE"""),3501.519954)</f>
        <v>3501.519954</v>
      </c>
    </row>
    <row r="1941">
      <c r="A1941" s="3">
        <f>IFERROR(__xludf.DUMMYFUNCTION("""COMPUTED_VALUE"""),42440.99861111111)</f>
        <v>42440.99861</v>
      </c>
      <c r="B1941" s="1">
        <f>IFERROR(__xludf.DUMMYFUNCTION("""COMPUTED_VALUE"""),3451.46658)</f>
        <v>3451.46658</v>
      </c>
    </row>
    <row r="1942">
      <c r="A1942" s="3">
        <f>IFERROR(__xludf.DUMMYFUNCTION("""COMPUTED_VALUE"""),42443.99861111111)</f>
        <v>42443.99861</v>
      </c>
      <c r="B1942" s="1">
        <f>IFERROR(__xludf.DUMMYFUNCTION("""COMPUTED_VALUE"""),3465.121849)</f>
        <v>3465.121849</v>
      </c>
    </row>
    <row r="1943">
      <c r="A1943" s="3">
        <f>IFERROR(__xludf.DUMMYFUNCTION("""COMPUTED_VALUE"""),42444.99861111111)</f>
        <v>42444.99861</v>
      </c>
      <c r="B1943" s="1">
        <f>IFERROR(__xludf.DUMMYFUNCTION("""COMPUTED_VALUE"""),3503.951626)</f>
        <v>3503.951626</v>
      </c>
    </row>
    <row r="1944">
      <c r="A1944" s="3">
        <f>IFERROR(__xludf.DUMMYFUNCTION("""COMPUTED_VALUE"""),42445.99861111111)</f>
        <v>42445.99861</v>
      </c>
      <c r="B1944" s="1">
        <f>IFERROR(__xludf.DUMMYFUNCTION("""COMPUTED_VALUE"""),3409.060555)</f>
        <v>3409.060555</v>
      </c>
    </row>
    <row r="1945">
      <c r="A1945" s="3">
        <f>IFERROR(__xludf.DUMMYFUNCTION("""COMPUTED_VALUE"""),42446.99861111111)</f>
        <v>42446.99861</v>
      </c>
      <c r="B1945" s="1">
        <f>IFERROR(__xludf.DUMMYFUNCTION("""COMPUTED_VALUE"""),3453.016488)</f>
        <v>3453.016488</v>
      </c>
    </row>
    <row r="1946">
      <c r="A1946" s="3">
        <f>IFERROR(__xludf.DUMMYFUNCTION("""COMPUTED_VALUE"""),42447.99861111111)</f>
        <v>42447.99861</v>
      </c>
      <c r="B1946" s="1">
        <f>IFERROR(__xludf.DUMMYFUNCTION("""COMPUTED_VALUE"""),3476.985313)</f>
        <v>3476.985313</v>
      </c>
    </row>
    <row r="1947">
      <c r="A1947" s="3">
        <f>IFERROR(__xludf.DUMMYFUNCTION("""COMPUTED_VALUE"""),42448.99861111111)</f>
        <v>42448.99861</v>
      </c>
      <c r="B1947" s="1">
        <f>IFERROR(__xludf.DUMMYFUNCTION("""COMPUTED_VALUE"""),3508.276336)</f>
        <v>3508.276336</v>
      </c>
    </row>
    <row r="1948">
      <c r="A1948" s="3">
        <f>IFERROR(__xludf.DUMMYFUNCTION("""COMPUTED_VALUE"""),42450.99861111111)</f>
        <v>42450.99861</v>
      </c>
      <c r="B1948" s="1">
        <f>IFERROR(__xludf.DUMMYFUNCTION("""COMPUTED_VALUE"""),3519.878137)</f>
        <v>3519.878137</v>
      </c>
    </row>
    <row r="1949">
      <c r="A1949" s="3">
        <f>IFERROR(__xludf.DUMMYFUNCTION("""COMPUTED_VALUE"""),42451.99861111111)</f>
        <v>42451.99861</v>
      </c>
      <c r="B1949" s="1">
        <f>IFERROR(__xludf.DUMMYFUNCTION("""COMPUTED_VALUE"""),3497.890621)</f>
        <v>3497.890621</v>
      </c>
    </row>
    <row r="1950">
      <c r="A1950" s="3">
        <f>IFERROR(__xludf.DUMMYFUNCTION("""COMPUTED_VALUE"""),42452.99861111111)</f>
        <v>42452.99861</v>
      </c>
      <c r="B1950" s="1">
        <f>IFERROR(__xludf.DUMMYFUNCTION("""COMPUTED_VALUE"""),3527.762883)</f>
        <v>3527.762883</v>
      </c>
    </row>
    <row r="1951">
      <c r="A1951" s="3">
        <f>IFERROR(__xludf.DUMMYFUNCTION("""COMPUTED_VALUE"""),42453.99861111111)</f>
        <v>42453.99861</v>
      </c>
      <c r="B1951" s="1">
        <f>IFERROR(__xludf.DUMMYFUNCTION("""COMPUTED_VALUE"""),3532.568008)</f>
        <v>3532.568008</v>
      </c>
    </row>
    <row r="1952">
      <c r="A1952" s="3">
        <f>IFERROR(__xludf.DUMMYFUNCTION("""COMPUTED_VALUE"""),42454.99861111111)</f>
        <v>42454.99861</v>
      </c>
      <c r="B1952" s="1">
        <f>IFERROR(__xludf.DUMMYFUNCTION("""COMPUTED_VALUE"""),3511.531718)</f>
        <v>3511.531718</v>
      </c>
    </row>
    <row r="1953">
      <c r="A1953" s="3">
        <f>IFERROR(__xludf.DUMMYFUNCTION("""COMPUTED_VALUE"""),42457.99861111111)</f>
        <v>42457.99861</v>
      </c>
      <c r="B1953" s="1">
        <f>IFERROR(__xludf.DUMMYFUNCTION("""COMPUTED_VALUE"""),3550.457133)</f>
        <v>3550.457133</v>
      </c>
    </row>
    <row r="1954">
      <c r="A1954" s="3">
        <f>IFERROR(__xludf.DUMMYFUNCTION("""COMPUTED_VALUE"""),42458.99861111111)</f>
        <v>42458.99861</v>
      </c>
      <c r="B1954" s="1">
        <f>IFERROR(__xludf.DUMMYFUNCTION("""COMPUTED_VALUE"""),3518.32561)</f>
        <v>3518.32561</v>
      </c>
    </row>
    <row r="1955">
      <c r="A1955" s="3">
        <f>IFERROR(__xludf.DUMMYFUNCTION("""COMPUTED_VALUE"""),42459.99861111111)</f>
        <v>42459.99861</v>
      </c>
      <c r="B1955" s="1">
        <f>IFERROR(__xludf.DUMMYFUNCTION("""COMPUTED_VALUE"""),3534.342267)</f>
        <v>3534.342267</v>
      </c>
    </row>
    <row r="1956">
      <c r="A1956" s="3">
        <f>IFERROR(__xludf.DUMMYFUNCTION("""COMPUTED_VALUE"""),42460.99861111111)</f>
        <v>42460.99861</v>
      </c>
      <c r="B1956" s="1">
        <f>IFERROR(__xludf.DUMMYFUNCTION("""COMPUTED_VALUE"""),3513.390738)</f>
        <v>3513.390738</v>
      </c>
    </row>
    <row r="1957">
      <c r="A1957" s="3">
        <f>IFERROR(__xludf.DUMMYFUNCTION("""COMPUTED_VALUE"""),42461.99861111111)</f>
        <v>42461.99861</v>
      </c>
      <c r="B1957" s="1">
        <f>IFERROR(__xludf.DUMMYFUNCTION("""COMPUTED_VALUE"""),3505.487638)</f>
        <v>3505.487638</v>
      </c>
    </row>
    <row r="1958">
      <c r="A1958" s="3">
        <f>IFERROR(__xludf.DUMMYFUNCTION("""COMPUTED_VALUE"""),42462.99861111111)</f>
        <v>42462.99861</v>
      </c>
      <c r="B1958" s="1">
        <f>IFERROR(__xludf.DUMMYFUNCTION("""COMPUTED_VALUE"""),3504.253342)</f>
        <v>3504.253342</v>
      </c>
    </row>
    <row r="1959">
      <c r="A1959" s="3">
        <f>IFERROR(__xludf.DUMMYFUNCTION("""COMPUTED_VALUE"""),42463.99861111111)</f>
        <v>42463.99861</v>
      </c>
      <c r="B1959" s="1">
        <f>IFERROR(__xludf.DUMMYFUNCTION("""COMPUTED_VALUE"""),3504.253342)</f>
        <v>3504.253342</v>
      </c>
    </row>
    <row r="1960">
      <c r="A1960" s="3">
        <f>IFERROR(__xludf.DUMMYFUNCTION("""COMPUTED_VALUE"""),42464.99861111111)</f>
        <v>42464.99861</v>
      </c>
      <c r="B1960" s="1">
        <f>IFERROR(__xludf.DUMMYFUNCTION("""COMPUTED_VALUE"""),3508.02246)</f>
        <v>3508.02246</v>
      </c>
    </row>
    <row r="1961">
      <c r="A1961" s="3">
        <f>IFERROR(__xludf.DUMMYFUNCTION("""COMPUTED_VALUE"""),42465.99861111111)</f>
        <v>42465.99861</v>
      </c>
      <c r="B1961" s="1">
        <f>IFERROR(__xludf.DUMMYFUNCTION("""COMPUTED_VALUE"""),3527.087173)</f>
        <v>3527.087173</v>
      </c>
    </row>
    <row r="1962">
      <c r="A1962" s="3">
        <f>IFERROR(__xludf.DUMMYFUNCTION("""COMPUTED_VALUE"""),42466.99861111111)</f>
        <v>42466.99861</v>
      </c>
      <c r="B1962" s="1">
        <f>IFERROR(__xludf.DUMMYFUNCTION("""COMPUTED_VALUE"""),3516.283972)</f>
        <v>3516.283972</v>
      </c>
    </row>
    <row r="1963">
      <c r="A1963" s="3">
        <f>IFERROR(__xludf.DUMMYFUNCTION("""COMPUTED_VALUE"""),42467.99861111111)</f>
        <v>42467.99861</v>
      </c>
      <c r="B1963" s="1">
        <f>IFERROR(__xludf.DUMMYFUNCTION("""COMPUTED_VALUE"""),3517.316789)</f>
        <v>3517.316789</v>
      </c>
    </row>
    <row r="1964">
      <c r="A1964" s="3">
        <f>IFERROR(__xludf.DUMMYFUNCTION("""COMPUTED_VALUE"""),42468.99861111111)</f>
        <v>42468.99861</v>
      </c>
      <c r="B1964" s="1">
        <f>IFERROR(__xludf.DUMMYFUNCTION("""COMPUTED_VALUE"""),3497.706367)</f>
        <v>3497.706367</v>
      </c>
    </row>
    <row r="1965">
      <c r="A1965" s="3">
        <f>IFERROR(__xludf.DUMMYFUNCTION("""COMPUTED_VALUE"""),42469.99861111111)</f>
        <v>42469.99861</v>
      </c>
      <c r="B1965" s="1">
        <f>IFERROR(__xludf.DUMMYFUNCTION("""COMPUTED_VALUE"""),3504.533762)</f>
        <v>3504.533762</v>
      </c>
    </row>
    <row r="1966">
      <c r="A1966" s="3">
        <f>IFERROR(__xludf.DUMMYFUNCTION("""COMPUTED_VALUE"""),42470.99861111111)</f>
        <v>42470.99861</v>
      </c>
      <c r="B1966" s="1">
        <f>IFERROR(__xludf.DUMMYFUNCTION("""COMPUTED_VALUE"""),3504.533762)</f>
        <v>3504.533762</v>
      </c>
    </row>
    <row r="1967">
      <c r="A1967" s="3">
        <f>IFERROR(__xludf.DUMMYFUNCTION("""COMPUTED_VALUE"""),42471.99861111111)</f>
        <v>42471.99861</v>
      </c>
      <c r="B1967" s="1">
        <f>IFERROR(__xludf.DUMMYFUNCTION("""COMPUTED_VALUE"""),3491.999912)</f>
        <v>3491.999912</v>
      </c>
    </row>
    <row r="1968">
      <c r="A1968" s="3">
        <f>IFERROR(__xludf.DUMMYFUNCTION("""COMPUTED_VALUE"""),42472.99861111111)</f>
        <v>42472.99861</v>
      </c>
      <c r="B1968" s="1">
        <f>IFERROR(__xludf.DUMMYFUNCTION("""COMPUTED_VALUE"""),3490.507994)</f>
        <v>3490.507994</v>
      </c>
    </row>
    <row r="1969">
      <c r="A1969" s="3">
        <f>IFERROR(__xludf.DUMMYFUNCTION("""COMPUTED_VALUE"""),42473.99861111111)</f>
        <v>42473.99861</v>
      </c>
      <c r="B1969" s="1">
        <f>IFERROR(__xludf.DUMMYFUNCTION("""COMPUTED_VALUE"""),3509.451048)</f>
        <v>3509.451048</v>
      </c>
    </row>
    <row r="1970">
      <c r="A1970" s="3">
        <f>IFERROR(__xludf.DUMMYFUNCTION("""COMPUTED_VALUE"""),42474.99861111111)</f>
        <v>42474.99861</v>
      </c>
      <c r="B1970" s="1">
        <f>IFERROR(__xludf.DUMMYFUNCTION("""COMPUTED_VALUE"""),3516.847207)</f>
        <v>3516.847207</v>
      </c>
    </row>
    <row r="1971">
      <c r="A1971" s="3">
        <f>IFERROR(__xludf.DUMMYFUNCTION("""COMPUTED_VALUE"""),42475.99861111111)</f>
        <v>42475.99861</v>
      </c>
      <c r="B1971" s="1">
        <f>IFERROR(__xludf.DUMMYFUNCTION("""COMPUTED_VALUE"""),3501.61344)</f>
        <v>3501.61344</v>
      </c>
    </row>
    <row r="1972">
      <c r="A1972" s="3">
        <f>IFERROR(__xludf.DUMMYFUNCTION("""COMPUTED_VALUE"""),42478.99861111111)</f>
        <v>42478.99861</v>
      </c>
      <c r="B1972" s="1">
        <f>IFERROR(__xludf.DUMMYFUNCTION("""COMPUTED_VALUE"""),3498.504871)</f>
        <v>3498.504871</v>
      </c>
    </row>
    <row r="1973">
      <c r="A1973" s="3">
        <f>IFERROR(__xludf.DUMMYFUNCTION("""COMPUTED_VALUE"""),42479.99861111111)</f>
        <v>42479.99861</v>
      </c>
      <c r="B1973" s="1">
        <f>IFERROR(__xludf.DUMMYFUNCTION("""COMPUTED_VALUE"""),3494.725568)</f>
        <v>3494.725568</v>
      </c>
    </row>
    <row r="1974">
      <c r="A1974" s="3">
        <f>IFERROR(__xludf.DUMMYFUNCTION("""COMPUTED_VALUE"""),42480.99861111111)</f>
        <v>42480.99861</v>
      </c>
      <c r="B1974" s="1">
        <f>IFERROR(__xludf.DUMMYFUNCTION("""COMPUTED_VALUE"""),3514.776137)</f>
        <v>3514.776137</v>
      </c>
    </row>
    <row r="1975">
      <c r="A1975" s="3">
        <f>IFERROR(__xludf.DUMMYFUNCTION("""COMPUTED_VALUE"""),42481.99861111111)</f>
        <v>42481.99861</v>
      </c>
      <c r="B1975" s="1">
        <f>IFERROR(__xludf.DUMMYFUNCTION("""COMPUTED_VALUE"""),3516.847207)</f>
        <v>3516.847207</v>
      </c>
    </row>
    <row r="1976">
      <c r="A1976" s="3">
        <f>IFERROR(__xludf.DUMMYFUNCTION("""COMPUTED_VALUE"""),42482.99861111111)</f>
        <v>42482.99861</v>
      </c>
      <c r="B1976" s="1">
        <f>IFERROR(__xludf.DUMMYFUNCTION("""COMPUTED_VALUE"""),3518.666578)</f>
        <v>3518.666578</v>
      </c>
    </row>
    <row r="1977">
      <c r="A1977" s="3">
        <f>IFERROR(__xludf.DUMMYFUNCTION("""COMPUTED_VALUE"""),42485.99861111111)</f>
        <v>42485.99861</v>
      </c>
      <c r="B1977" s="1">
        <f>IFERROR(__xludf.DUMMYFUNCTION("""COMPUTED_VALUE"""),3521.3711)</f>
        <v>3521.3711</v>
      </c>
    </row>
    <row r="1978">
      <c r="A1978" s="3">
        <f>IFERROR(__xludf.DUMMYFUNCTION("""COMPUTED_VALUE"""),42486.99861111111)</f>
        <v>42486.99861</v>
      </c>
      <c r="B1978" s="1">
        <f>IFERROR(__xludf.DUMMYFUNCTION("""COMPUTED_VALUE"""),3514.112431)</f>
        <v>3514.112431</v>
      </c>
    </row>
    <row r="1979">
      <c r="A1979" s="3">
        <f>IFERROR(__xludf.DUMMYFUNCTION("""COMPUTED_VALUE"""),42487.99861111111)</f>
        <v>42487.99861</v>
      </c>
      <c r="B1979" s="1">
        <f>IFERROR(__xludf.DUMMYFUNCTION("""COMPUTED_VALUE"""),3511.652003)</f>
        <v>3511.652003</v>
      </c>
    </row>
    <row r="1980">
      <c r="A1980" s="3">
        <f>IFERROR(__xludf.DUMMYFUNCTION("""COMPUTED_VALUE"""),42488.99861111111)</f>
        <v>42488.99861</v>
      </c>
      <c r="B1980" s="1">
        <f>IFERROR(__xludf.DUMMYFUNCTION("""COMPUTED_VALUE"""),3515.937742)</f>
        <v>3515.937742</v>
      </c>
    </row>
    <row r="1981">
      <c r="A1981" s="3">
        <f>IFERROR(__xludf.DUMMYFUNCTION("""COMPUTED_VALUE"""),42489.99861111111)</f>
        <v>42489.99861</v>
      </c>
      <c r="B1981" s="1">
        <f>IFERROR(__xludf.DUMMYFUNCTION("""COMPUTED_VALUE"""),3513.520594)</f>
        <v>3513.520594</v>
      </c>
    </row>
    <row r="1982">
      <c r="A1982" s="3">
        <f>IFERROR(__xludf.DUMMYFUNCTION("""COMPUTED_VALUE"""),42490.99861111111)</f>
        <v>42490.99861</v>
      </c>
      <c r="B1982" s="1">
        <f>IFERROR(__xludf.DUMMYFUNCTION("""COMPUTED_VALUE"""),3526.059648)</f>
        <v>3526.059648</v>
      </c>
    </row>
    <row r="1983">
      <c r="A1983" s="3">
        <f>IFERROR(__xludf.DUMMYFUNCTION("""COMPUTED_VALUE"""),42492.99861111111)</f>
        <v>42492.99861</v>
      </c>
      <c r="B1983" s="1">
        <f>IFERROR(__xludf.DUMMYFUNCTION("""COMPUTED_VALUE"""),3496.008685)</f>
        <v>3496.008685</v>
      </c>
    </row>
    <row r="1984">
      <c r="A1984" s="3">
        <f>IFERROR(__xludf.DUMMYFUNCTION("""COMPUTED_VALUE"""),42493.99861111111)</f>
        <v>42493.99861</v>
      </c>
      <c r="B1984" s="1">
        <f>IFERROR(__xludf.DUMMYFUNCTION("""COMPUTED_VALUE"""),3519.848349)</f>
        <v>3519.848349</v>
      </c>
    </row>
    <row r="1985">
      <c r="A1985" s="3">
        <f>IFERROR(__xludf.DUMMYFUNCTION("""COMPUTED_VALUE"""),42494.99861111111)</f>
        <v>42494.99861</v>
      </c>
      <c r="B1985" s="1">
        <f>IFERROR(__xludf.DUMMYFUNCTION("""COMPUTED_VALUE"""),3563.896509)</f>
        <v>3563.896509</v>
      </c>
    </row>
    <row r="1986">
      <c r="A1986" s="3">
        <f>IFERROR(__xludf.DUMMYFUNCTION("""COMPUTED_VALUE"""),42495.99861111111)</f>
        <v>42495.99861</v>
      </c>
      <c r="B1986" s="1">
        <f>IFERROR(__xludf.DUMMYFUNCTION("""COMPUTED_VALUE"""),3562.847032)</f>
        <v>3562.847032</v>
      </c>
    </row>
    <row r="1987">
      <c r="A1987" s="3">
        <f>IFERROR(__xludf.DUMMYFUNCTION("""COMPUTED_VALUE"""),42496.99861111111)</f>
        <v>42496.99861</v>
      </c>
      <c r="B1987" s="1">
        <f>IFERROR(__xludf.DUMMYFUNCTION("""COMPUTED_VALUE"""),3553.123267)</f>
        <v>3553.123267</v>
      </c>
    </row>
    <row r="1988">
      <c r="A1988" s="3">
        <f>IFERROR(__xludf.DUMMYFUNCTION("""COMPUTED_VALUE"""),42497.99861111111)</f>
        <v>42497.99861</v>
      </c>
      <c r="B1988" s="1">
        <f>IFERROR(__xludf.DUMMYFUNCTION("""COMPUTED_VALUE"""),3574.618577)</f>
        <v>3574.618577</v>
      </c>
    </row>
    <row r="1989">
      <c r="A1989" s="3">
        <f>IFERROR(__xludf.DUMMYFUNCTION("""COMPUTED_VALUE"""),42499.99861111111)</f>
        <v>42499.99861</v>
      </c>
      <c r="B1989" s="1">
        <f>IFERROR(__xludf.DUMMYFUNCTION("""COMPUTED_VALUE"""),3571.295011)</f>
        <v>3571.295011</v>
      </c>
    </row>
    <row r="1990">
      <c r="A1990" s="3">
        <f>IFERROR(__xludf.DUMMYFUNCTION("""COMPUTED_VALUE"""),42500.99861111111)</f>
        <v>42500.99861</v>
      </c>
      <c r="B1990" s="1">
        <f>IFERROR(__xludf.DUMMYFUNCTION("""COMPUTED_VALUE"""),3550.298976)</f>
        <v>3550.298976</v>
      </c>
    </row>
    <row r="1991">
      <c r="A1991" s="3">
        <f>IFERROR(__xludf.DUMMYFUNCTION("""COMPUTED_VALUE"""),42501.99861111111)</f>
        <v>42501.99861</v>
      </c>
      <c r="B1991" s="1">
        <f>IFERROR(__xludf.DUMMYFUNCTION("""COMPUTED_VALUE"""),3536.966221)</f>
        <v>3536.966221</v>
      </c>
    </row>
    <row r="1992">
      <c r="A1992" s="3">
        <f>IFERROR(__xludf.DUMMYFUNCTION("""COMPUTED_VALUE"""),42502.99861111111)</f>
        <v>42502.99861</v>
      </c>
      <c r="B1992" s="1">
        <f>IFERROR(__xludf.DUMMYFUNCTION("""COMPUTED_VALUE"""),3539.196739)</f>
        <v>3539.196739</v>
      </c>
    </row>
    <row r="1993">
      <c r="A1993" s="3">
        <f>IFERROR(__xludf.DUMMYFUNCTION("""COMPUTED_VALUE"""),42503.99861111111)</f>
        <v>42503.99861</v>
      </c>
      <c r="B1993" s="1">
        <f>IFERROR(__xludf.DUMMYFUNCTION("""COMPUTED_VALUE"""),3555.199911)</f>
        <v>3555.199911</v>
      </c>
    </row>
    <row r="1994">
      <c r="A1994" s="3">
        <f>IFERROR(__xludf.DUMMYFUNCTION("""COMPUTED_VALUE"""),42506.99861111111)</f>
        <v>42506.99861</v>
      </c>
      <c r="B1994" s="1">
        <f>IFERROR(__xludf.DUMMYFUNCTION("""COMPUTED_VALUE"""),3555.507999)</f>
        <v>3555.507999</v>
      </c>
    </row>
    <row r="1995">
      <c r="A1995" s="3">
        <f>IFERROR(__xludf.DUMMYFUNCTION("""COMPUTED_VALUE"""),42507.99861111111)</f>
        <v>42507.99861</v>
      </c>
      <c r="B1995" s="1">
        <f>IFERROR(__xludf.DUMMYFUNCTION("""COMPUTED_VALUE"""),3555.448659)</f>
        <v>3555.448659</v>
      </c>
    </row>
    <row r="1996">
      <c r="A1996" s="3">
        <f>IFERROR(__xludf.DUMMYFUNCTION("""COMPUTED_VALUE"""),42508.99861111111)</f>
        <v>42508.99861</v>
      </c>
      <c r="B1996" s="1">
        <f>IFERROR(__xludf.DUMMYFUNCTION("""COMPUTED_VALUE"""),3587.066673)</f>
        <v>3587.066673</v>
      </c>
    </row>
    <row r="1997">
      <c r="A1997" s="3">
        <f>IFERROR(__xludf.DUMMYFUNCTION("""COMPUTED_VALUE"""),42509.99861111111)</f>
        <v>42509.99861</v>
      </c>
      <c r="B1997" s="1">
        <f>IFERROR(__xludf.DUMMYFUNCTION("""COMPUTED_VALUE"""),3628.720029)</f>
        <v>3628.720029</v>
      </c>
    </row>
    <row r="1998">
      <c r="A1998" s="3">
        <f>IFERROR(__xludf.DUMMYFUNCTION("""COMPUTED_VALUE"""),42510.99861111111)</f>
        <v>42510.99861</v>
      </c>
      <c r="B1998" s="1">
        <f>IFERROR(__xludf.DUMMYFUNCTION("""COMPUTED_VALUE"""),3627.032729)</f>
        <v>3627.032729</v>
      </c>
    </row>
    <row r="1999">
      <c r="A1999" s="3">
        <f>IFERROR(__xludf.DUMMYFUNCTION("""COMPUTED_VALUE"""),42512.99861111111)</f>
        <v>42512.99861</v>
      </c>
      <c r="B1999" s="1">
        <f>IFERROR(__xludf.DUMMYFUNCTION("""COMPUTED_VALUE"""),3631.993181)</f>
        <v>3631.993181</v>
      </c>
    </row>
    <row r="2000">
      <c r="A2000" s="3">
        <f>IFERROR(__xludf.DUMMYFUNCTION("""COMPUTED_VALUE"""),42513.99861111111)</f>
        <v>42513.99861</v>
      </c>
      <c r="B2000" s="1">
        <f>IFERROR(__xludf.DUMMYFUNCTION("""COMPUTED_VALUE"""),3613.750311)</f>
        <v>3613.750311</v>
      </c>
    </row>
    <row r="2001">
      <c r="A2001" s="3">
        <f>IFERROR(__xludf.DUMMYFUNCTION("""COMPUTED_VALUE"""),42514.99861111111)</f>
        <v>42514.99861</v>
      </c>
      <c r="B2001" s="1">
        <f>IFERROR(__xludf.DUMMYFUNCTION("""COMPUTED_VALUE"""),3622.530633)</f>
        <v>3622.530633</v>
      </c>
    </row>
    <row r="2002">
      <c r="A2002" s="3">
        <f>IFERROR(__xludf.DUMMYFUNCTION("""COMPUTED_VALUE"""),42515.99861111111)</f>
        <v>42515.99861</v>
      </c>
      <c r="B2002" s="1">
        <f>IFERROR(__xludf.DUMMYFUNCTION("""COMPUTED_VALUE"""),3632.286959)</f>
        <v>3632.286959</v>
      </c>
    </row>
    <row r="2003">
      <c r="A2003" s="3">
        <f>IFERROR(__xludf.DUMMYFUNCTION("""COMPUTED_VALUE"""),42516.99861111111)</f>
        <v>42516.99861</v>
      </c>
      <c r="B2003" s="1">
        <f>IFERROR(__xludf.DUMMYFUNCTION("""COMPUTED_VALUE"""),3617.021258)</f>
        <v>3617.021258</v>
      </c>
    </row>
    <row r="2004">
      <c r="A2004" s="3">
        <f>IFERROR(__xludf.DUMMYFUNCTION("""COMPUTED_VALUE"""),42517.99861111111)</f>
        <v>42517.99861</v>
      </c>
      <c r="B2004" s="1">
        <f>IFERROR(__xludf.DUMMYFUNCTION("""COMPUTED_VALUE"""),3617.736403)</f>
        <v>3617.736403</v>
      </c>
    </row>
    <row r="2005">
      <c r="A2005" s="3">
        <f>IFERROR(__xludf.DUMMYFUNCTION("""COMPUTED_VALUE"""),42519.99861111111)</f>
        <v>42519.99861</v>
      </c>
      <c r="B2005" s="1">
        <f>IFERROR(__xludf.DUMMYFUNCTION("""COMPUTED_VALUE"""),3663.100239)</f>
        <v>3663.100239</v>
      </c>
    </row>
    <row r="2006">
      <c r="A2006" s="3">
        <f>IFERROR(__xludf.DUMMYFUNCTION("""COMPUTED_VALUE"""),42520.99861111111)</f>
        <v>42520.99861</v>
      </c>
      <c r="B2006" s="1">
        <f>IFERROR(__xludf.DUMMYFUNCTION("""COMPUTED_VALUE"""),3638.814669)</f>
        <v>3638.814669</v>
      </c>
    </row>
    <row r="2007">
      <c r="A2007" s="3">
        <f>IFERROR(__xludf.DUMMYFUNCTION("""COMPUTED_VALUE"""),42521.99861111111)</f>
        <v>42521.99861</v>
      </c>
      <c r="B2007" s="1">
        <f>IFERROR(__xludf.DUMMYFUNCTION("""COMPUTED_VALUE"""),3643.185108)</f>
        <v>3643.185108</v>
      </c>
    </row>
    <row r="2008">
      <c r="A2008" s="3">
        <f>IFERROR(__xludf.DUMMYFUNCTION("""COMPUTED_VALUE"""),42522.99861111111)</f>
        <v>42522.99861</v>
      </c>
      <c r="B2008" s="1">
        <f>IFERROR(__xludf.DUMMYFUNCTION("""COMPUTED_VALUE"""),3633.790653)</f>
        <v>3633.790653</v>
      </c>
    </row>
    <row r="2009">
      <c r="A2009" s="3">
        <f>IFERROR(__xludf.DUMMYFUNCTION("""COMPUTED_VALUE"""),42523.99861111111)</f>
        <v>42523.99861</v>
      </c>
      <c r="B2009" s="1">
        <f>IFERROR(__xludf.DUMMYFUNCTION("""COMPUTED_VALUE"""),3633.790653)</f>
        <v>3633.790653</v>
      </c>
    </row>
    <row r="2010">
      <c r="A2010" s="3">
        <f>IFERROR(__xludf.DUMMYFUNCTION("""COMPUTED_VALUE"""),42524.99861111111)</f>
        <v>42524.99861</v>
      </c>
      <c r="B2010" s="1">
        <f>IFERROR(__xludf.DUMMYFUNCTION("""COMPUTED_VALUE"""),3581.571606)</f>
        <v>3581.571606</v>
      </c>
    </row>
    <row r="2011">
      <c r="A2011" s="3">
        <f>IFERROR(__xludf.DUMMYFUNCTION("""COMPUTED_VALUE"""),42527.99861111111)</f>
        <v>42527.99861</v>
      </c>
      <c r="B2011" s="1">
        <f>IFERROR(__xludf.DUMMYFUNCTION("""COMPUTED_VALUE"""),3562.524915)</f>
        <v>3562.524915</v>
      </c>
    </row>
    <row r="2012">
      <c r="A2012" s="3">
        <f>IFERROR(__xludf.DUMMYFUNCTION("""COMPUTED_VALUE"""),42528.99861111111)</f>
        <v>42528.99861</v>
      </c>
      <c r="B2012" s="1">
        <f>IFERROR(__xludf.DUMMYFUNCTION("""COMPUTED_VALUE"""),3530.683506)</f>
        <v>3530.683506</v>
      </c>
    </row>
    <row r="2013">
      <c r="A2013" s="3">
        <f>IFERROR(__xludf.DUMMYFUNCTION("""COMPUTED_VALUE"""),42529.99861111111)</f>
        <v>42529.99861</v>
      </c>
      <c r="B2013" s="1">
        <f>IFERROR(__xludf.DUMMYFUNCTION("""COMPUTED_VALUE"""),3525.28154)</f>
        <v>3525.28154</v>
      </c>
    </row>
    <row r="2014">
      <c r="A2014" s="3">
        <f>IFERROR(__xludf.DUMMYFUNCTION("""COMPUTED_VALUE"""),42530.99861111111)</f>
        <v>42530.99861</v>
      </c>
      <c r="B2014" s="1">
        <f>IFERROR(__xludf.DUMMYFUNCTION("""COMPUTED_VALUE"""),3537.95617)</f>
        <v>3537.95617</v>
      </c>
    </row>
    <row r="2015">
      <c r="A2015" s="3">
        <f>IFERROR(__xludf.DUMMYFUNCTION("""COMPUTED_VALUE"""),42531.99861111111)</f>
        <v>42531.99861</v>
      </c>
      <c r="B2015" s="1">
        <f>IFERROR(__xludf.DUMMYFUNCTION("""COMPUTED_VALUE"""),3553.599911)</f>
        <v>3553.599911</v>
      </c>
    </row>
    <row r="2016">
      <c r="A2016" s="3">
        <f>IFERROR(__xludf.DUMMYFUNCTION("""COMPUTED_VALUE"""),42534.99861111111)</f>
        <v>42534.99861</v>
      </c>
      <c r="B2016" s="1">
        <f>IFERROR(__xludf.DUMMYFUNCTION("""COMPUTED_VALUE"""),3555.964753)</f>
        <v>3555.964753</v>
      </c>
    </row>
    <row r="2017">
      <c r="A2017" s="3">
        <f>IFERROR(__xludf.DUMMYFUNCTION("""COMPUTED_VALUE"""),42535.99861111111)</f>
        <v>42535.99861</v>
      </c>
      <c r="B2017" s="1">
        <f>IFERROR(__xludf.DUMMYFUNCTION("""COMPUTED_VALUE"""),3564.848097)</f>
        <v>3564.848097</v>
      </c>
    </row>
    <row r="2018">
      <c r="A2018" s="3">
        <f>IFERROR(__xludf.DUMMYFUNCTION("""COMPUTED_VALUE"""),42536.99861111111)</f>
        <v>42536.99861</v>
      </c>
      <c r="B2018" s="1">
        <f>IFERROR(__xludf.DUMMYFUNCTION("""COMPUTED_VALUE"""),3555.792781)</f>
        <v>3555.792781</v>
      </c>
    </row>
    <row r="2019">
      <c r="A2019" s="3">
        <f>IFERROR(__xludf.DUMMYFUNCTION("""COMPUTED_VALUE"""),42537.99861111111)</f>
        <v>42537.99861</v>
      </c>
      <c r="B2019" s="1">
        <f>IFERROR(__xludf.DUMMYFUNCTION("""COMPUTED_VALUE"""),3574.079401)</f>
        <v>3574.079401</v>
      </c>
    </row>
    <row r="2020">
      <c r="A2020" s="3">
        <f>IFERROR(__xludf.DUMMYFUNCTION("""COMPUTED_VALUE"""),42538.99861111111)</f>
        <v>42538.99861</v>
      </c>
      <c r="B2020" s="1">
        <f>IFERROR(__xludf.DUMMYFUNCTION("""COMPUTED_VALUE"""),3555.199911)</f>
        <v>3555.199911</v>
      </c>
    </row>
    <row r="2021">
      <c r="A2021" s="3">
        <f>IFERROR(__xludf.DUMMYFUNCTION("""COMPUTED_VALUE"""),42540.99861111111)</f>
        <v>42540.99861</v>
      </c>
      <c r="B2021" s="1">
        <f>IFERROR(__xludf.DUMMYFUNCTION("""COMPUTED_VALUE"""),3580.474704)</f>
        <v>3580.474704</v>
      </c>
    </row>
    <row r="2022">
      <c r="A2022" s="3">
        <f>IFERROR(__xludf.DUMMYFUNCTION("""COMPUTED_VALUE"""),42541.99861111111)</f>
        <v>42541.99861</v>
      </c>
      <c r="B2022" s="1">
        <f>IFERROR(__xludf.DUMMYFUNCTION("""COMPUTED_VALUE"""),3537.294995)</f>
        <v>3537.294995</v>
      </c>
    </row>
    <row r="2023">
      <c r="A2023" s="3">
        <f>IFERROR(__xludf.DUMMYFUNCTION("""COMPUTED_VALUE"""),42542.99861111111)</f>
        <v>42542.99861</v>
      </c>
      <c r="B2023" s="1">
        <f>IFERROR(__xludf.DUMMYFUNCTION("""COMPUTED_VALUE"""),3538.535447)</f>
        <v>3538.535447</v>
      </c>
    </row>
    <row r="2024">
      <c r="A2024" s="3">
        <f>IFERROR(__xludf.DUMMYFUNCTION("""COMPUTED_VALUE"""),42543.99861111111)</f>
        <v>42543.99861</v>
      </c>
      <c r="B2024" s="1">
        <f>IFERROR(__xludf.DUMMYFUNCTION("""COMPUTED_VALUE"""),3522.800044)</f>
        <v>3522.800044</v>
      </c>
    </row>
    <row r="2025">
      <c r="A2025" s="3">
        <f>IFERROR(__xludf.DUMMYFUNCTION("""COMPUTED_VALUE"""),42544.99861111111)</f>
        <v>42544.99861</v>
      </c>
      <c r="B2025" s="1">
        <f>IFERROR(__xludf.DUMMYFUNCTION("""COMPUTED_VALUE"""),3535.97344)</f>
        <v>3535.97344</v>
      </c>
    </row>
    <row r="2026">
      <c r="A2026" s="3">
        <f>IFERROR(__xludf.DUMMYFUNCTION("""COMPUTED_VALUE"""),42545.99861111111)</f>
        <v>42545.99861</v>
      </c>
      <c r="B2026" s="1">
        <f>IFERROR(__xludf.DUMMYFUNCTION("""COMPUTED_VALUE"""),3566.761673)</f>
        <v>3566.761673</v>
      </c>
    </row>
    <row r="2027">
      <c r="A2027" s="3">
        <f>IFERROR(__xludf.DUMMYFUNCTION("""COMPUTED_VALUE"""),42548.99861111111)</f>
        <v>42548.99861</v>
      </c>
      <c r="B2027" s="1">
        <f>IFERROR(__xludf.DUMMYFUNCTION("""COMPUTED_VALUE"""),3573.049187)</f>
        <v>3573.049187</v>
      </c>
    </row>
    <row r="2028">
      <c r="A2028" s="3">
        <f>IFERROR(__xludf.DUMMYFUNCTION("""COMPUTED_VALUE"""),42549.99861111111)</f>
        <v>42549.99861</v>
      </c>
      <c r="B2028" s="1">
        <f>IFERROR(__xludf.DUMMYFUNCTION("""COMPUTED_VALUE"""),3513.361916)</f>
        <v>3513.361916</v>
      </c>
    </row>
    <row r="2029">
      <c r="A2029" s="3">
        <f>IFERROR(__xludf.DUMMYFUNCTION("""COMPUTED_VALUE"""),42550.99861111111)</f>
        <v>42550.99861</v>
      </c>
      <c r="B2029" s="1">
        <f>IFERROR(__xludf.DUMMYFUNCTION("""COMPUTED_VALUE"""),3507.849168)</f>
        <v>3507.849168</v>
      </c>
    </row>
    <row r="2030">
      <c r="A2030" s="3">
        <f>IFERROR(__xludf.DUMMYFUNCTION("""COMPUTED_VALUE"""),42551.99861111111)</f>
        <v>42551.99861</v>
      </c>
      <c r="B2030" s="1">
        <f>IFERROR(__xludf.DUMMYFUNCTION("""COMPUTED_VALUE"""),3513.398136)</f>
        <v>3513.398136</v>
      </c>
    </row>
    <row r="2031">
      <c r="A2031" s="3">
        <f>IFERROR(__xludf.DUMMYFUNCTION("""COMPUTED_VALUE"""),42552.99861111111)</f>
        <v>42552.99861</v>
      </c>
      <c r="B2031" s="1">
        <f>IFERROR(__xludf.DUMMYFUNCTION("""COMPUTED_VALUE"""),3496.587264)</f>
        <v>3496.587264</v>
      </c>
    </row>
    <row r="2032">
      <c r="A2032" s="3">
        <f>IFERROR(__xludf.DUMMYFUNCTION("""COMPUTED_VALUE"""),42553.99861111111)</f>
        <v>42553.99861</v>
      </c>
      <c r="B2032" s="1">
        <f>IFERROR(__xludf.DUMMYFUNCTION("""COMPUTED_VALUE"""),3503.577363)</f>
        <v>3503.577363</v>
      </c>
    </row>
    <row r="2033">
      <c r="A2033" s="3">
        <f>IFERROR(__xludf.DUMMYFUNCTION("""COMPUTED_VALUE"""),42555.99861111111)</f>
        <v>42555.99861</v>
      </c>
      <c r="B2033" s="1">
        <f>IFERROR(__xludf.DUMMYFUNCTION("""COMPUTED_VALUE"""),3486.664637)</f>
        <v>3486.664637</v>
      </c>
    </row>
    <row r="2034">
      <c r="A2034" s="3">
        <f>IFERROR(__xludf.DUMMYFUNCTION("""COMPUTED_VALUE"""),42556.99861111111)</f>
        <v>42556.99861</v>
      </c>
      <c r="B2034" s="1">
        <f>IFERROR(__xludf.DUMMYFUNCTION("""COMPUTED_VALUE"""),3512.143037)</f>
        <v>3512.143037</v>
      </c>
    </row>
    <row r="2035">
      <c r="A2035" s="3">
        <f>IFERROR(__xludf.DUMMYFUNCTION("""COMPUTED_VALUE"""),42557.99861111111)</f>
        <v>42557.99861</v>
      </c>
      <c r="B2035" s="1">
        <f>IFERROR(__xludf.DUMMYFUNCTION("""COMPUTED_VALUE"""),3525.738465)</f>
        <v>3525.738465</v>
      </c>
    </row>
    <row r="2036">
      <c r="A2036" s="3">
        <f>IFERROR(__xludf.DUMMYFUNCTION("""COMPUTED_VALUE"""),42558.99861111111)</f>
        <v>42558.99861</v>
      </c>
      <c r="B2036" s="1">
        <f>IFERROR(__xludf.DUMMYFUNCTION("""COMPUTED_VALUE"""),3496.596718)</f>
        <v>3496.596718</v>
      </c>
    </row>
    <row r="2037">
      <c r="A2037" s="3">
        <f>IFERROR(__xludf.DUMMYFUNCTION("""COMPUTED_VALUE"""),42559.99861111111)</f>
        <v>42559.99861</v>
      </c>
      <c r="B2037" s="1">
        <f>IFERROR(__xludf.DUMMYFUNCTION("""COMPUTED_VALUE"""),3493.828121)</f>
        <v>3493.828121</v>
      </c>
    </row>
    <row r="2038">
      <c r="A2038" s="3">
        <f>IFERROR(__xludf.DUMMYFUNCTION("""COMPUTED_VALUE"""),42560.99861111111)</f>
        <v>42560.99861</v>
      </c>
      <c r="B2038" s="1">
        <f>IFERROR(__xludf.DUMMYFUNCTION("""COMPUTED_VALUE"""),3503.319176)</f>
        <v>3503.319176</v>
      </c>
    </row>
    <row r="2039">
      <c r="A2039" s="3">
        <f>IFERROR(__xludf.DUMMYFUNCTION("""COMPUTED_VALUE"""),42562.99861111111)</f>
        <v>42562.99861</v>
      </c>
      <c r="B2039" s="1">
        <f>IFERROR(__xludf.DUMMYFUNCTION("""COMPUTED_VALUE"""),3501.841619)</f>
        <v>3501.841619</v>
      </c>
    </row>
    <row r="2040">
      <c r="A2040" s="3">
        <f>IFERROR(__xludf.DUMMYFUNCTION("""COMPUTED_VALUE"""),42563.99861111111)</f>
        <v>42563.99861</v>
      </c>
      <c r="B2040" s="1">
        <f>IFERROR(__xludf.DUMMYFUNCTION("""COMPUTED_VALUE"""),3490.389685)</f>
        <v>3490.389685</v>
      </c>
    </row>
    <row r="2041">
      <c r="A2041" s="3">
        <f>IFERROR(__xludf.DUMMYFUNCTION("""COMPUTED_VALUE"""),42564.99861111111)</f>
        <v>42564.99861</v>
      </c>
      <c r="B2041" s="1">
        <f>IFERROR(__xludf.DUMMYFUNCTION("""COMPUTED_VALUE"""),3474.465398)</f>
        <v>3474.465398</v>
      </c>
    </row>
    <row r="2042">
      <c r="A2042" s="3">
        <f>IFERROR(__xludf.DUMMYFUNCTION("""COMPUTED_VALUE"""),42565.99861111111)</f>
        <v>42565.99861</v>
      </c>
      <c r="B2042" s="1">
        <f>IFERROR(__xludf.DUMMYFUNCTION("""COMPUTED_VALUE"""),3475.985725)</f>
        <v>3475.985725</v>
      </c>
    </row>
    <row r="2043">
      <c r="A2043" s="3">
        <f>IFERROR(__xludf.DUMMYFUNCTION("""COMPUTED_VALUE"""),42566.99861111111)</f>
        <v>42566.99861</v>
      </c>
      <c r="B2043" s="1">
        <f>IFERROR(__xludf.DUMMYFUNCTION("""COMPUTED_VALUE"""),3483.385654)</f>
        <v>3483.385654</v>
      </c>
    </row>
    <row r="2044">
      <c r="A2044" s="3">
        <f>IFERROR(__xludf.DUMMYFUNCTION("""COMPUTED_VALUE"""),42567.99861111111)</f>
        <v>42567.99861</v>
      </c>
      <c r="B2044" s="1">
        <f>IFERROR(__xludf.DUMMYFUNCTION("""COMPUTED_VALUE"""),3508.957684)</f>
        <v>3508.957684</v>
      </c>
    </row>
    <row r="2045">
      <c r="A2045" s="3">
        <f>IFERROR(__xludf.DUMMYFUNCTION("""COMPUTED_VALUE"""),42569.99861111111)</f>
        <v>42569.99861</v>
      </c>
      <c r="B2045" s="1">
        <f>IFERROR(__xludf.DUMMYFUNCTION("""COMPUTED_VALUE"""),3491.283786)</f>
        <v>3491.283786</v>
      </c>
    </row>
    <row r="2046">
      <c r="A2046" s="3">
        <f>IFERROR(__xludf.DUMMYFUNCTION("""COMPUTED_VALUE"""),42570.99861111111)</f>
        <v>42570.99861</v>
      </c>
      <c r="B2046" s="1">
        <f>IFERROR(__xludf.DUMMYFUNCTION("""COMPUTED_VALUE"""),3495.381386)</f>
        <v>3495.381386</v>
      </c>
    </row>
    <row r="2047">
      <c r="A2047" s="3">
        <f>IFERROR(__xludf.DUMMYFUNCTION("""COMPUTED_VALUE"""),42571.99861111111)</f>
        <v>42571.99861</v>
      </c>
      <c r="B2047" s="1">
        <f>IFERROR(__xludf.DUMMYFUNCTION("""COMPUTED_VALUE"""),3498.491666)</f>
        <v>3498.491666</v>
      </c>
    </row>
    <row r="2048">
      <c r="A2048" s="3">
        <f>IFERROR(__xludf.DUMMYFUNCTION("""COMPUTED_VALUE"""),42572.99861111111)</f>
        <v>42572.99861</v>
      </c>
      <c r="B2048" s="1">
        <f>IFERROR(__xludf.DUMMYFUNCTION("""COMPUTED_VALUE"""),3500.186768)</f>
        <v>3500.186768</v>
      </c>
    </row>
    <row r="2049">
      <c r="A2049" s="3">
        <f>IFERROR(__xludf.DUMMYFUNCTION("""COMPUTED_VALUE"""),42573.99861111111)</f>
        <v>42573.99861</v>
      </c>
      <c r="B2049" s="1">
        <f>IFERROR(__xludf.DUMMYFUNCTION("""COMPUTED_VALUE"""),3497.172977)</f>
        <v>3497.172977</v>
      </c>
    </row>
    <row r="2050">
      <c r="A2050" s="3">
        <f>IFERROR(__xludf.DUMMYFUNCTION("""COMPUTED_VALUE"""),42576.99861111111)</f>
        <v>42576.99861</v>
      </c>
      <c r="B2050" s="1">
        <f>IFERROR(__xludf.DUMMYFUNCTION("""COMPUTED_VALUE"""),3497.315827)</f>
        <v>3497.315827</v>
      </c>
    </row>
    <row r="2051">
      <c r="A2051" s="3">
        <f>IFERROR(__xludf.DUMMYFUNCTION("""COMPUTED_VALUE"""),42577.99861111111)</f>
        <v>42577.99861</v>
      </c>
      <c r="B2051" s="1">
        <f>IFERROR(__xludf.DUMMYFUNCTION("""COMPUTED_VALUE"""),3514.83418)</f>
        <v>3514.83418</v>
      </c>
    </row>
    <row r="2052">
      <c r="A2052" s="3">
        <f>IFERROR(__xludf.DUMMYFUNCTION("""COMPUTED_VALUE"""),42578.99861111111)</f>
        <v>42578.99861</v>
      </c>
      <c r="B2052" s="1">
        <f>IFERROR(__xludf.DUMMYFUNCTION("""COMPUTED_VALUE"""),3497.276416)</f>
        <v>3497.276416</v>
      </c>
    </row>
    <row r="2053">
      <c r="A2053" s="3">
        <f>IFERROR(__xludf.DUMMYFUNCTION("""COMPUTED_VALUE"""),42579.99861111111)</f>
        <v>42579.99861</v>
      </c>
      <c r="B2053" s="1">
        <f>IFERROR(__xludf.DUMMYFUNCTION("""COMPUTED_VALUE"""),3485.851511)</f>
        <v>3485.851511</v>
      </c>
    </row>
    <row r="2054">
      <c r="A2054" s="3">
        <f>IFERROR(__xludf.DUMMYFUNCTION("""COMPUTED_VALUE"""),42580.99861111111)</f>
        <v>42580.99861</v>
      </c>
      <c r="B2054" s="1">
        <f>IFERROR(__xludf.DUMMYFUNCTION("""COMPUTED_VALUE"""),3472.092485)</f>
        <v>3472.092485</v>
      </c>
    </row>
    <row r="2055">
      <c r="A2055" s="3">
        <f>IFERROR(__xludf.DUMMYFUNCTION("""COMPUTED_VALUE"""),42581.99861111111)</f>
        <v>42581.99861</v>
      </c>
      <c r="B2055" s="1">
        <f>IFERROR(__xludf.DUMMYFUNCTION("""COMPUTED_VALUE"""),3499.653219)</f>
        <v>3499.653219</v>
      </c>
    </row>
    <row r="2056">
      <c r="A2056" s="3">
        <f>IFERROR(__xludf.DUMMYFUNCTION("""COMPUTED_VALUE"""),42583.99861111111)</f>
        <v>42583.99861</v>
      </c>
      <c r="B2056" s="1">
        <f>IFERROR(__xludf.DUMMYFUNCTION("""COMPUTED_VALUE"""),3473.223236)</f>
        <v>3473.223236</v>
      </c>
    </row>
    <row r="2057">
      <c r="A2057" s="3">
        <f>IFERROR(__xludf.DUMMYFUNCTION("""COMPUTED_VALUE"""),42584.99861111111)</f>
        <v>42584.99861</v>
      </c>
      <c r="B2057" s="1">
        <f>IFERROR(__xludf.DUMMYFUNCTION("""COMPUTED_VALUE"""),3495.021205)</f>
        <v>3495.021205</v>
      </c>
    </row>
    <row r="2058">
      <c r="A2058" s="3">
        <f>IFERROR(__xludf.DUMMYFUNCTION("""COMPUTED_VALUE"""),42585.99861111111)</f>
        <v>42585.99861</v>
      </c>
      <c r="B2058" s="1">
        <f>IFERROR(__xludf.DUMMYFUNCTION("""COMPUTED_VALUE"""),3508.397082)</f>
        <v>3508.397082</v>
      </c>
    </row>
    <row r="2059">
      <c r="A2059" s="3">
        <f>IFERROR(__xludf.DUMMYFUNCTION("""COMPUTED_VALUE"""),42586.99861111111)</f>
        <v>42586.99861</v>
      </c>
      <c r="B2059" s="1">
        <f>IFERROR(__xludf.DUMMYFUNCTION("""COMPUTED_VALUE"""),3498.424609)</f>
        <v>3498.424609</v>
      </c>
    </row>
    <row r="2060">
      <c r="A2060" s="3">
        <f>IFERROR(__xludf.DUMMYFUNCTION("""COMPUTED_VALUE"""),42587.99861111111)</f>
        <v>42587.99861</v>
      </c>
      <c r="B2060" s="1">
        <f>IFERROR(__xludf.DUMMYFUNCTION("""COMPUTED_VALUE"""),3499.386507)</f>
        <v>3499.386507</v>
      </c>
    </row>
    <row r="2061">
      <c r="A2061" s="3">
        <f>IFERROR(__xludf.DUMMYFUNCTION("""COMPUTED_VALUE"""),42590.99861111111)</f>
        <v>42590.99861</v>
      </c>
      <c r="B2061" s="1">
        <f>IFERROR(__xludf.DUMMYFUNCTION("""COMPUTED_VALUE"""),3498.678412)</f>
        <v>3498.678412</v>
      </c>
    </row>
    <row r="2062">
      <c r="A2062" s="3">
        <f>IFERROR(__xludf.DUMMYFUNCTION("""COMPUTED_VALUE"""),42591.99861111111)</f>
        <v>42591.99861</v>
      </c>
      <c r="B2062" s="1">
        <f>IFERROR(__xludf.DUMMYFUNCTION("""COMPUTED_VALUE"""),3497.423832)</f>
        <v>3497.423832</v>
      </c>
    </row>
    <row r="2063">
      <c r="A2063" s="3">
        <f>IFERROR(__xludf.DUMMYFUNCTION("""COMPUTED_VALUE"""),42592.99861111111)</f>
        <v>42592.99861</v>
      </c>
      <c r="B2063" s="1">
        <f>IFERROR(__xludf.DUMMYFUNCTION("""COMPUTED_VALUE"""),3493.551135)</f>
        <v>3493.551135</v>
      </c>
    </row>
    <row r="2064">
      <c r="A2064" s="3">
        <f>IFERROR(__xludf.DUMMYFUNCTION("""COMPUTED_VALUE"""),42593.99861111111)</f>
        <v>42593.99861</v>
      </c>
      <c r="B2064" s="1">
        <f>IFERROR(__xludf.DUMMYFUNCTION("""COMPUTED_VALUE"""),3497.369804)</f>
        <v>3497.369804</v>
      </c>
    </row>
    <row r="2065">
      <c r="A2065" s="3">
        <f>IFERROR(__xludf.DUMMYFUNCTION("""COMPUTED_VALUE"""),42594.99861111111)</f>
        <v>42594.99861</v>
      </c>
      <c r="B2065" s="1">
        <f>IFERROR(__xludf.DUMMYFUNCTION("""COMPUTED_VALUE"""),3496.359798)</f>
        <v>3496.359798</v>
      </c>
    </row>
    <row r="2066">
      <c r="A2066" s="3">
        <f>IFERROR(__xludf.DUMMYFUNCTION("""COMPUTED_VALUE"""),42597.99861111111)</f>
        <v>42597.99861</v>
      </c>
      <c r="B2066" s="1">
        <f>IFERROR(__xludf.DUMMYFUNCTION("""COMPUTED_VALUE"""),3487.57098)</f>
        <v>3487.57098</v>
      </c>
    </row>
    <row r="2067">
      <c r="A2067" s="3">
        <f>IFERROR(__xludf.DUMMYFUNCTION("""COMPUTED_VALUE"""),42598.99861111111)</f>
        <v>42598.99861</v>
      </c>
      <c r="B2067" s="1">
        <f>IFERROR(__xludf.DUMMYFUNCTION("""COMPUTED_VALUE"""),3499.719623)</f>
        <v>3499.719623</v>
      </c>
    </row>
    <row r="2068">
      <c r="A2068" s="3">
        <f>IFERROR(__xludf.DUMMYFUNCTION("""COMPUTED_VALUE"""),42599.99861111111)</f>
        <v>42599.99861</v>
      </c>
      <c r="B2068" s="1">
        <f>IFERROR(__xludf.DUMMYFUNCTION("""COMPUTED_VALUE"""),3501.44165)</f>
        <v>3501.44165</v>
      </c>
    </row>
    <row r="2069">
      <c r="A2069" s="3">
        <f>IFERROR(__xludf.DUMMYFUNCTION("""COMPUTED_VALUE"""),42600.99861111111)</f>
        <v>42600.99861</v>
      </c>
      <c r="B2069" s="1">
        <f>IFERROR(__xludf.DUMMYFUNCTION("""COMPUTED_VALUE"""),3500.86791)</f>
        <v>3500.86791</v>
      </c>
    </row>
    <row r="2070">
      <c r="A2070" s="3">
        <f>IFERROR(__xludf.DUMMYFUNCTION("""COMPUTED_VALUE"""),42601.99861111111)</f>
        <v>42601.99861</v>
      </c>
      <c r="B2070" s="1">
        <f>IFERROR(__xludf.DUMMYFUNCTION("""COMPUTED_VALUE"""),3503.999912)</f>
        <v>3503.999912</v>
      </c>
    </row>
    <row r="2071">
      <c r="A2071" s="3">
        <f>IFERROR(__xludf.DUMMYFUNCTION("""COMPUTED_VALUE"""),42603.99861111111)</f>
        <v>42603.99861</v>
      </c>
      <c r="B2071" s="1">
        <f>IFERROR(__xludf.DUMMYFUNCTION("""COMPUTED_VALUE"""),3514.399912)</f>
        <v>3514.399912</v>
      </c>
    </row>
    <row r="2072">
      <c r="A2072" s="3">
        <f>IFERROR(__xludf.DUMMYFUNCTION("""COMPUTED_VALUE"""),42604.99861111111)</f>
        <v>42604.99861</v>
      </c>
      <c r="B2072" s="1">
        <f>IFERROR(__xludf.DUMMYFUNCTION("""COMPUTED_VALUE"""),3526.537763)</f>
        <v>3526.537763</v>
      </c>
    </row>
    <row r="2073">
      <c r="A2073" s="3">
        <f>IFERROR(__xludf.DUMMYFUNCTION("""COMPUTED_VALUE"""),42605.99861111111)</f>
        <v>42605.99861</v>
      </c>
      <c r="B2073" s="1">
        <f>IFERROR(__xludf.DUMMYFUNCTION("""COMPUTED_VALUE"""),3533.117902)</f>
        <v>3533.117902</v>
      </c>
    </row>
    <row r="2074">
      <c r="A2074" s="3">
        <f>IFERROR(__xludf.DUMMYFUNCTION("""COMPUTED_VALUE"""),42606.99861111111)</f>
        <v>42606.99861</v>
      </c>
      <c r="B2074" s="1">
        <f>IFERROR(__xludf.DUMMYFUNCTION("""COMPUTED_VALUE"""),3540.565074)</f>
        <v>3540.565074</v>
      </c>
    </row>
    <row r="2075">
      <c r="A2075" s="3">
        <f>IFERROR(__xludf.DUMMYFUNCTION("""COMPUTED_VALUE"""),42607.99861111111)</f>
        <v>42607.99861</v>
      </c>
      <c r="B2075" s="1">
        <f>IFERROR(__xludf.DUMMYFUNCTION("""COMPUTED_VALUE"""),3536.038376)</f>
        <v>3536.038376</v>
      </c>
    </row>
    <row r="2076">
      <c r="A2076" s="3">
        <f>IFERROR(__xludf.DUMMYFUNCTION("""COMPUTED_VALUE"""),42608.99861111111)</f>
        <v>42608.99861</v>
      </c>
      <c r="B2076" s="1">
        <f>IFERROR(__xludf.DUMMYFUNCTION("""COMPUTED_VALUE"""),3545.539312)</f>
        <v>3545.539312</v>
      </c>
    </row>
    <row r="2077">
      <c r="A2077" s="3">
        <f>IFERROR(__xludf.DUMMYFUNCTION("""COMPUTED_VALUE"""),42609.99861111111)</f>
        <v>42609.99861</v>
      </c>
      <c r="B2077" s="1">
        <f>IFERROR(__xludf.DUMMYFUNCTION("""COMPUTED_VALUE"""),3554.325499)</f>
        <v>3554.325499</v>
      </c>
    </row>
    <row r="2078">
      <c r="A2078" s="3">
        <f>IFERROR(__xludf.DUMMYFUNCTION("""COMPUTED_VALUE"""),42610.99861111111)</f>
        <v>42610.99861</v>
      </c>
      <c r="B2078" s="1">
        <f>IFERROR(__xludf.DUMMYFUNCTION("""COMPUTED_VALUE"""),3549.806548)</f>
        <v>3549.806548</v>
      </c>
    </row>
    <row r="2079">
      <c r="A2079" s="3">
        <f>IFERROR(__xludf.DUMMYFUNCTION("""COMPUTED_VALUE"""),42611.99861111111)</f>
        <v>42611.99861</v>
      </c>
      <c r="B2079" s="1">
        <f>IFERROR(__xludf.DUMMYFUNCTION("""COMPUTED_VALUE"""),3537.138764)</f>
        <v>3537.138764</v>
      </c>
    </row>
    <row r="2080">
      <c r="A2080" s="3">
        <f>IFERROR(__xludf.DUMMYFUNCTION("""COMPUTED_VALUE"""),42612.99861111111)</f>
        <v>42612.99861</v>
      </c>
      <c r="B2080" s="1">
        <f>IFERROR(__xludf.DUMMYFUNCTION("""COMPUTED_VALUE"""),3546.010286)</f>
        <v>3546.010286</v>
      </c>
    </row>
    <row r="2081">
      <c r="A2081" s="3">
        <f>IFERROR(__xludf.DUMMYFUNCTION("""COMPUTED_VALUE"""),42613.99861111111)</f>
        <v>42613.99861</v>
      </c>
      <c r="B2081" s="1">
        <f>IFERROR(__xludf.DUMMYFUNCTION("""COMPUTED_VALUE"""),3545.682577)</f>
        <v>3545.682577</v>
      </c>
    </row>
    <row r="2082">
      <c r="A2082" s="3">
        <f>IFERROR(__xludf.DUMMYFUNCTION("""COMPUTED_VALUE"""),42614.99861111111)</f>
        <v>42614.99861</v>
      </c>
      <c r="B2082" s="1">
        <f>IFERROR(__xludf.DUMMYFUNCTION("""COMPUTED_VALUE"""),3543.340701)</f>
        <v>3543.340701</v>
      </c>
    </row>
    <row r="2083">
      <c r="A2083" s="3">
        <f>IFERROR(__xludf.DUMMYFUNCTION("""COMPUTED_VALUE"""),42615.99861111111)</f>
        <v>42615.99861</v>
      </c>
      <c r="B2083" s="1">
        <f>IFERROR(__xludf.DUMMYFUNCTION("""COMPUTED_VALUE"""),3518.760395)</f>
        <v>3518.760395</v>
      </c>
    </row>
    <row r="2084">
      <c r="A2084" s="3">
        <f>IFERROR(__xludf.DUMMYFUNCTION("""COMPUTED_VALUE"""),42616.99861111111)</f>
        <v>42616.99861</v>
      </c>
      <c r="B2084" s="1">
        <f>IFERROR(__xludf.DUMMYFUNCTION("""COMPUTED_VALUE"""),3518.760395)</f>
        <v>3518.760395</v>
      </c>
    </row>
    <row r="2085">
      <c r="A2085" s="3">
        <f>IFERROR(__xludf.DUMMYFUNCTION("""COMPUTED_VALUE"""),42617.99861111111)</f>
        <v>42617.99861</v>
      </c>
      <c r="B2085" s="1">
        <f>IFERROR(__xludf.DUMMYFUNCTION("""COMPUTED_VALUE"""),3518.760395)</f>
        <v>3518.760395</v>
      </c>
    </row>
    <row r="2086">
      <c r="A2086" s="3">
        <f>IFERROR(__xludf.DUMMYFUNCTION("""COMPUTED_VALUE"""),42618.99861111111)</f>
        <v>42618.99861</v>
      </c>
      <c r="B2086" s="1">
        <f>IFERROR(__xludf.DUMMYFUNCTION("""COMPUTED_VALUE"""),3503.737256)</f>
        <v>3503.737256</v>
      </c>
    </row>
    <row r="2087">
      <c r="A2087" s="3">
        <f>IFERROR(__xludf.DUMMYFUNCTION("""COMPUTED_VALUE"""),42619.99861111111)</f>
        <v>42619.99861</v>
      </c>
      <c r="B2087" s="1">
        <f>IFERROR(__xludf.DUMMYFUNCTION("""COMPUTED_VALUE"""),3486.223795)</f>
        <v>3486.223795</v>
      </c>
    </row>
    <row r="2088">
      <c r="A2088" s="3">
        <f>IFERROR(__xludf.DUMMYFUNCTION("""COMPUTED_VALUE"""),42620.99861111111)</f>
        <v>42620.99861</v>
      </c>
      <c r="B2088" s="1">
        <f>IFERROR(__xludf.DUMMYFUNCTION("""COMPUTED_VALUE"""),3488.961739)</f>
        <v>3488.961739</v>
      </c>
    </row>
    <row r="2089">
      <c r="A2089" s="3">
        <f>IFERROR(__xludf.DUMMYFUNCTION("""COMPUTED_VALUE"""),42621.99861111111)</f>
        <v>42621.99861</v>
      </c>
      <c r="B2089" s="1">
        <f>IFERROR(__xludf.DUMMYFUNCTION("""COMPUTED_VALUE"""),3489.32188)</f>
        <v>3489.32188</v>
      </c>
    </row>
    <row r="2090">
      <c r="A2090" s="3">
        <f>IFERROR(__xludf.DUMMYFUNCTION("""COMPUTED_VALUE"""),42622.99861111111)</f>
        <v>42622.99861</v>
      </c>
      <c r="B2090" s="1">
        <f>IFERROR(__xludf.DUMMYFUNCTION("""COMPUTED_VALUE"""),3513.304448)</f>
        <v>3513.304448</v>
      </c>
    </row>
    <row r="2091">
      <c r="A2091" s="3">
        <f>IFERROR(__xludf.DUMMYFUNCTION("""COMPUTED_VALUE"""),42623.99861111111)</f>
        <v>42623.99861</v>
      </c>
      <c r="B2091" s="1">
        <f>IFERROR(__xludf.DUMMYFUNCTION("""COMPUTED_VALUE"""),3510.638208)</f>
        <v>3510.638208</v>
      </c>
    </row>
    <row r="2092">
      <c r="A2092" s="3">
        <f>IFERROR(__xludf.DUMMYFUNCTION("""COMPUTED_VALUE"""),42624.99861111111)</f>
        <v>42624.99861</v>
      </c>
      <c r="B2092" s="1">
        <f>IFERROR(__xludf.DUMMYFUNCTION("""COMPUTED_VALUE"""),3524.408184)</f>
        <v>3524.408184</v>
      </c>
    </row>
    <row r="2093">
      <c r="A2093" s="3">
        <f>IFERROR(__xludf.DUMMYFUNCTION("""COMPUTED_VALUE"""),42625.99861111111)</f>
        <v>42625.99861</v>
      </c>
      <c r="B2093" s="1">
        <f>IFERROR(__xludf.DUMMYFUNCTION("""COMPUTED_VALUE"""),3516.096271)</f>
        <v>3516.096271</v>
      </c>
    </row>
    <row r="2094">
      <c r="A2094" s="3">
        <f>IFERROR(__xludf.DUMMYFUNCTION("""COMPUTED_VALUE"""),42626.99861111111)</f>
        <v>42626.99861</v>
      </c>
      <c r="B2094" s="1">
        <f>IFERROR(__xludf.DUMMYFUNCTION("""COMPUTED_VALUE"""),3534.986712)</f>
        <v>3534.986712</v>
      </c>
    </row>
    <row r="2095">
      <c r="A2095" s="3">
        <f>IFERROR(__xludf.DUMMYFUNCTION("""COMPUTED_VALUE"""),42627.99861111111)</f>
        <v>42627.99861</v>
      </c>
      <c r="B2095" s="1">
        <f>IFERROR(__xludf.DUMMYFUNCTION("""COMPUTED_VALUE"""),3521.168077)</f>
        <v>3521.168077</v>
      </c>
    </row>
    <row r="2096">
      <c r="A2096" s="3">
        <f>IFERROR(__xludf.DUMMYFUNCTION("""COMPUTED_VALUE"""),42628.99861111111)</f>
        <v>42628.99861</v>
      </c>
      <c r="B2096" s="1">
        <f>IFERROR(__xludf.DUMMYFUNCTION("""COMPUTED_VALUE"""),3508.060125)</f>
        <v>3508.060125</v>
      </c>
    </row>
    <row r="2097">
      <c r="A2097" s="3">
        <f>IFERROR(__xludf.DUMMYFUNCTION("""COMPUTED_VALUE"""),42629.99861111111)</f>
        <v>42629.99861</v>
      </c>
      <c r="B2097" s="1">
        <f>IFERROR(__xludf.DUMMYFUNCTION("""COMPUTED_VALUE"""),3509.197487)</f>
        <v>3509.197487</v>
      </c>
    </row>
    <row r="2098">
      <c r="A2098" s="3">
        <f>IFERROR(__xludf.DUMMYFUNCTION("""COMPUTED_VALUE"""),42630.99861111111)</f>
        <v>42630.99861</v>
      </c>
      <c r="B2098" s="1">
        <f>IFERROR(__xludf.DUMMYFUNCTION("""COMPUTED_VALUE"""),3512.457951)</f>
        <v>3512.457951</v>
      </c>
    </row>
    <row r="2099">
      <c r="A2099" s="3">
        <f>IFERROR(__xludf.DUMMYFUNCTION("""COMPUTED_VALUE"""),42631.99861111111)</f>
        <v>42631.99861</v>
      </c>
      <c r="B2099" s="1">
        <f>IFERROR(__xludf.DUMMYFUNCTION("""COMPUTED_VALUE"""),3509.197487)</f>
        <v>3509.197487</v>
      </c>
    </row>
    <row r="2100">
      <c r="A2100" s="3">
        <f>IFERROR(__xludf.DUMMYFUNCTION("""COMPUTED_VALUE"""),42632.99861111111)</f>
        <v>42632.99861</v>
      </c>
      <c r="B2100" s="1">
        <f>IFERROR(__xludf.DUMMYFUNCTION("""COMPUTED_VALUE"""),3507.474575)</f>
        <v>3507.474575</v>
      </c>
    </row>
    <row r="2101">
      <c r="A2101" s="3">
        <f>IFERROR(__xludf.DUMMYFUNCTION("""COMPUTED_VALUE"""),42633.99861111111)</f>
        <v>42633.99861</v>
      </c>
      <c r="B2101" s="1">
        <f>IFERROR(__xludf.DUMMYFUNCTION("""COMPUTED_VALUE"""),3512.640469)</f>
        <v>3512.640469</v>
      </c>
    </row>
    <row r="2102">
      <c r="A2102" s="3">
        <f>IFERROR(__xludf.DUMMYFUNCTION("""COMPUTED_VALUE"""),42634.99861111111)</f>
        <v>42634.99861</v>
      </c>
      <c r="B2102" s="1">
        <f>IFERROR(__xludf.DUMMYFUNCTION("""COMPUTED_VALUE"""),3481.297795)</f>
        <v>3481.297795</v>
      </c>
    </row>
    <row r="2103">
      <c r="A2103" s="3">
        <f>IFERROR(__xludf.DUMMYFUNCTION("""COMPUTED_VALUE"""),42635.99861111111)</f>
        <v>42635.99861</v>
      </c>
      <c r="B2103" s="1">
        <f>IFERROR(__xludf.DUMMYFUNCTION("""COMPUTED_VALUE"""),3486.360916)</f>
        <v>3486.360916</v>
      </c>
    </row>
    <row r="2104">
      <c r="A2104" s="3">
        <f>IFERROR(__xludf.DUMMYFUNCTION("""COMPUTED_VALUE"""),42636.99861111111)</f>
        <v>42636.99861</v>
      </c>
      <c r="B2104" s="1">
        <f>IFERROR(__xludf.DUMMYFUNCTION("""COMPUTED_VALUE"""),3488.173573)</f>
        <v>3488.173573</v>
      </c>
    </row>
    <row r="2105">
      <c r="A2105" s="3">
        <f>IFERROR(__xludf.DUMMYFUNCTION("""COMPUTED_VALUE"""),42637.99861111111)</f>
        <v>42637.99861</v>
      </c>
      <c r="B2105" s="1">
        <f>IFERROR(__xludf.DUMMYFUNCTION("""COMPUTED_VALUE"""),3491.190539)</f>
        <v>3491.190539</v>
      </c>
    </row>
    <row r="2106">
      <c r="A2106" s="3">
        <f>IFERROR(__xludf.DUMMYFUNCTION("""COMPUTED_VALUE"""),42638.99861111111)</f>
        <v>42638.99861</v>
      </c>
      <c r="B2106" s="1">
        <f>IFERROR(__xludf.DUMMYFUNCTION("""COMPUTED_VALUE"""),3484.516754)</f>
        <v>3484.516754</v>
      </c>
    </row>
    <row r="2107">
      <c r="A2107" s="3">
        <f>IFERROR(__xludf.DUMMYFUNCTION("""COMPUTED_VALUE"""),42639.99861111111)</f>
        <v>42639.99861</v>
      </c>
      <c r="B2107" s="1">
        <f>IFERROR(__xludf.DUMMYFUNCTION("""COMPUTED_VALUE"""),3480.872403)</f>
        <v>3480.872403</v>
      </c>
    </row>
    <row r="2108">
      <c r="A2108" s="3">
        <f>IFERROR(__xludf.DUMMYFUNCTION("""COMPUTED_VALUE"""),42640.99861111111)</f>
        <v>42640.99861</v>
      </c>
      <c r="B2108" s="1">
        <f>IFERROR(__xludf.DUMMYFUNCTION("""COMPUTED_VALUE"""),3447.475093)</f>
        <v>3447.475093</v>
      </c>
    </row>
    <row r="2109">
      <c r="A2109" s="3">
        <f>IFERROR(__xludf.DUMMYFUNCTION("""COMPUTED_VALUE"""),42641.99861111111)</f>
        <v>42641.99861</v>
      </c>
      <c r="B2109" s="1">
        <f>IFERROR(__xludf.DUMMYFUNCTION("""COMPUTED_VALUE"""),3449.739673)</f>
        <v>3449.739673</v>
      </c>
    </row>
    <row r="2110">
      <c r="A2110" s="3">
        <f>IFERROR(__xludf.DUMMYFUNCTION("""COMPUTED_VALUE"""),42642.99861111111)</f>
        <v>42642.99861</v>
      </c>
      <c r="B2110" s="1">
        <f>IFERROR(__xludf.DUMMYFUNCTION("""COMPUTED_VALUE"""),3463.218369)</f>
        <v>3463.218369</v>
      </c>
    </row>
    <row r="2111">
      <c r="A2111" s="3">
        <f>IFERROR(__xludf.DUMMYFUNCTION("""COMPUTED_VALUE"""),42643.99861111111)</f>
        <v>42643.99861</v>
      </c>
      <c r="B2111" s="1">
        <f>IFERROR(__xludf.DUMMYFUNCTION("""COMPUTED_VALUE"""),3469.289819)</f>
        <v>3469.289819</v>
      </c>
    </row>
    <row r="2112">
      <c r="A2112" s="3">
        <f>IFERROR(__xludf.DUMMYFUNCTION("""COMPUTED_VALUE"""),42644.99861111111)</f>
        <v>42644.99861</v>
      </c>
      <c r="B2112" s="1">
        <f>IFERROR(__xludf.DUMMYFUNCTION("""COMPUTED_VALUE"""),3468.756656)</f>
        <v>3468.756656</v>
      </c>
    </row>
    <row r="2113">
      <c r="A2113" s="3">
        <f>IFERROR(__xludf.DUMMYFUNCTION("""COMPUTED_VALUE"""),42645.99861111111)</f>
        <v>42645.99861</v>
      </c>
      <c r="B2113" s="1">
        <f>IFERROR(__xludf.DUMMYFUNCTION("""COMPUTED_VALUE"""),3456.493913)</f>
        <v>3456.493913</v>
      </c>
    </row>
    <row r="2114">
      <c r="A2114" s="3">
        <f>IFERROR(__xludf.DUMMYFUNCTION("""COMPUTED_VALUE"""),42646.99861111111)</f>
        <v>42646.99861</v>
      </c>
      <c r="B2114" s="1">
        <f>IFERROR(__xludf.DUMMYFUNCTION("""COMPUTED_VALUE"""),3458.746897)</f>
        <v>3458.746897</v>
      </c>
    </row>
    <row r="2115">
      <c r="A2115" s="3">
        <f>IFERROR(__xludf.DUMMYFUNCTION("""COMPUTED_VALUE"""),42647.99861111111)</f>
        <v>42647.99861</v>
      </c>
      <c r="B2115" s="1">
        <f>IFERROR(__xludf.DUMMYFUNCTION("""COMPUTED_VALUE"""),3477.715495)</f>
        <v>3477.715495</v>
      </c>
    </row>
    <row r="2116">
      <c r="A2116" s="3">
        <f>IFERROR(__xludf.DUMMYFUNCTION("""COMPUTED_VALUE"""),42648.99861111111)</f>
        <v>42648.99861</v>
      </c>
      <c r="B2116" s="1">
        <f>IFERROR(__xludf.DUMMYFUNCTION("""COMPUTED_VALUE"""),3474.569468)</f>
        <v>3474.569468</v>
      </c>
    </row>
    <row r="2117">
      <c r="A2117" s="3">
        <f>IFERROR(__xludf.DUMMYFUNCTION("""COMPUTED_VALUE"""),42649.99861111111)</f>
        <v>42649.99861</v>
      </c>
      <c r="B2117" s="1">
        <f>IFERROR(__xludf.DUMMYFUNCTION("""COMPUTED_VALUE"""),3471.239718)</f>
        <v>3471.239718</v>
      </c>
    </row>
    <row r="2118">
      <c r="A2118" s="3">
        <f>IFERROR(__xludf.DUMMYFUNCTION("""COMPUTED_VALUE"""),42650.99861111111)</f>
        <v>42650.99861</v>
      </c>
      <c r="B2118" s="1">
        <f>IFERROR(__xludf.DUMMYFUNCTION("""COMPUTED_VALUE"""),3458.748799)</f>
        <v>3458.748799</v>
      </c>
    </row>
    <row r="2119">
      <c r="A2119" s="3">
        <f>IFERROR(__xludf.DUMMYFUNCTION("""COMPUTED_VALUE"""),42652.99861111111)</f>
        <v>42652.99861</v>
      </c>
      <c r="B2119" s="1">
        <f>IFERROR(__xludf.DUMMYFUNCTION("""COMPUTED_VALUE"""),3457.682189)</f>
        <v>3457.682189</v>
      </c>
    </row>
    <row r="2120">
      <c r="A2120" s="3">
        <f>IFERROR(__xludf.DUMMYFUNCTION("""COMPUTED_VALUE"""),42653.99861111111)</f>
        <v>42653.99861</v>
      </c>
      <c r="B2120" s="1">
        <f>IFERROR(__xludf.DUMMYFUNCTION("""COMPUTED_VALUE"""),3451.350966)</f>
        <v>3451.350966</v>
      </c>
    </row>
    <row r="2121">
      <c r="A2121" s="3">
        <f>IFERROR(__xludf.DUMMYFUNCTION("""COMPUTED_VALUE"""),42654.99861111111)</f>
        <v>42654.99861</v>
      </c>
      <c r="B2121" s="1">
        <f>IFERROR(__xludf.DUMMYFUNCTION("""COMPUTED_VALUE"""),3488.427851)</f>
        <v>3488.427851</v>
      </c>
    </row>
    <row r="2122">
      <c r="A2122" s="3">
        <f>IFERROR(__xludf.DUMMYFUNCTION("""COMPUTED_VALUE"""),42655.99861111111)</f>
        <v>42655.99861</v>
      </c>
      <c r="B2122" s="1">
        <f>IFERROR(__xludf.DUMMYFUNCTION("""COMPUTED_VALUE"""),3475.254886)</f>
        <v>3475.254886</v>
      </c>
    </row>
    <row r="2123">
      <c r="A2123" s="3">
        <f>IFERROR(__xludf.DUMMYFUNCTION("""COMPUTED_VALUE"""),42656.99861111111)</f>
        <v>42656.99861</v>
      </c>
      <c r="B2123" s="1">
        <f>IFERROR(__xludf.DUMMYFUNCTION("""COMPUTED_VALUE"""),3482.486076)</f>
        <v>3482.486076</v>
      </c>
    </row>
    <row r="2124">
      <c r="A2124" s="3">
        <f>IFERROR(__xludf.DUMMYFUNCTION("""COMPUTED_VALUE"""),42657.99861111111)</f>
        <v>42657.99861</v>
      </c>
      <c r="B2124" s="1">
        <f>IFERROR(__xludf.DUMMYFUNCTION("""COMPUTED_VALUE"""),3484.694897)</f>
        <v>3484.694897</v>
      </c>
    </row>
    <row r="2125">
      <c r="A2125" s="3">
        <f>IFERROR(__xludf.DUMMYFUNCTION("""COMPUTED_VALUE"""),42658.99861111111)</f>
        <v>42658.99861</v>
      </c>
      <c r="B2125" s="1">
        <f>IFERROR(__xludf.DUMMYFUNCTION("""COMPUTED_VALUE"""),3490.72457)</f>
        <v>3490.72457</v>
      </c>
    </row>
    <row r="2126">
      <c r="A2126" s="3">
        <f>IFERROR(__xludf.DUMMYFUNCTION("""COMPUTED_VALUE"""),42659.99861111111)</f>
        <v>42659.99861</v>
      </c>
      <c r="B2126" s="1">
        <f>IFERROR(__xludf.DUMMYFUNCTION("""COMPUTED_VALUE"""),3494.461391)</f>
        <v>3494.461391</v>
      </c>
    </row>
    <row r="2127">
      <c r="A2127" s="3">
        <f>IFERROR(__xludf.DUMMYFUNCTION("""COMPUTED_VALUE"""),42660.99861111111)</f>
        <v>42660.99861</v>
      </c>
      <c r="B2127" s="1">
        <f>IFERROR(__xludf.DUMMYFUNCTION("""COMPUTED_VALUE"""),3483.517844)</f>
        <v>3483.517844</v>
      </c>
    </row>
    <row r="2128">
      <c r="A2128" s="3">
        <f>IFERROR(__xludf.DUMMYFUNCTION("""COMPUTED_VALUE"""),42661.99861111111)</f>
        <v>42661.99861</v>
      </c>
      <c r="B2128" s="1">
        <f>IFERROR(__xludf.DUMMYFUNCTION("""COMPUTED_VALUE"""),3475.150753)</f>
        <v>3475.150753</v>
      </c>
    </row>
    <row r="2129">
      <c r="A2129" s="3">
        <f>IFERROR(__xludf.DUMMYFUNCTION("""COMPUTED_VALUE"""),42662.99861111111)</f>
        <v>42662.99861</v>
      </c>
      <c r="B2129" s="1">
        <f>IFERROR(__xludf.DUMMYFUNCTION("""COMPUTED_VALUE"""),3463.356012)</f>
        <v>3463.356012</v>
      </c>
    </row>
    <row r="2130">
      <c r="A2130" s="3">
        <f>IFERROR(__xludf.DUMMYFUNCTION("""COMPUTED_VALUE"""),42663.99861111111)</f>
        <v>42663.99861</v>
      </c>
      <c r="B2130" s="1">
        <f>IFERROR(__xludf.DUMMYFUNCTION("""COMPUTED_VALUE"""),3471.703087)</f>
        <v>3471.703087</v>
      </c>
    </row>
    <row r="2131">
      <c r="A2131" s="3">
        <f>IFERROR(__xludf.DUMMYFUNCTION("""COMPUTED_VALUE"""),42664.99861111111)</f>
        <v>42664.99861</v>
      </c>
      <c r="B2131" s="1">
        <f>IFERROR(__xludf.DUMMYFUNCTION("""COMPUTED_VALUE"""),3472.429539)</f>
        <v>3472.429539</v>
      </c>
    </row>
    <row r="2132">
      <c r="A2132" s="3">
        <f>IFERROR(__xludf.DUMMYFUNCTION("""COMPUTED_VALUE"""),42665.99861111111)</f>
        <v>42665.99861</v>
      </c>
      <c r="B2132" s="1">
        <f>IFERROR(__xludf.DUMMYFUNCTION("""COMPUTED_VALUE"""),3478.562218)</f>
        <v>3478.562218</v>
      </c>
    </row>
    <row r="2133">
      <c r="A2133" s="3">
        <f>IFERROR(__xludf.DUMMYFUNCTION("""COMPUTED_VALUE"""),42666.99861111111)</f>
        <v>42666.99861</v>
      </c>
      <c r="B2133" s="1">
        <f>IFERROR(__xludf.DUMMYFUNCTION("""COMPUTED_VALUE"""),3479.628771)</f>
        <v>3479.628771</v>
      </c>
    </row>
    <row r="2134">
      <c r="A2134" s="3">
        <f>IFERROR(__xludf.DUMMYFUNCTION("""COMPUTED_VALUE"""),42667.99861111111)</f>
        <v>42667.99861</v>
      </c>
      <c r="B2134" s="1">
        <f>IFERROR(__xludf.DUMMYFUNCTION("""COMPUTED_VALUE"""),3473.478971)</f>
        <v>3473.478971</v>
      </c>
    </row>
    <row r="2135">
      <c r="A2135" s="3">
        <f>IFERROR(__xludf.DUMMYFUNCTION("""COMPUTED_VALUE"""),42668.99861111111)</f>
        <v>42668.99861</v>
      </c>
      <c r="B2135" s="1">
        <f>IFERROR(__xludf.DUMMYFUNCTION("""COMPUTED_VALUE"""),3464.238923)</f>
        <v>3464.238923</v>
      </c>
    </row>
    <row r="2136">
      <c r="A2136" s="3">
        <f>IFERROR(__xludf.DUMMYFUNCTION("""COMPUTED_VALUE"""),42669.99861111111)</f>
        <v>42669.99861</v>
      </c>
      <c r="B2136" s="1">
        <f>IFERROR(__xludf.DUMMYFUNCTION("""COMPUTED_VALUE"""),3477.610653)</f>
        <v>3477.610653</v>
      </c>
    </row>
    <row r="2137">
      <c r="A2137" s="3">
        <f>IFERROR(__xludf.DUMMYFUNCTION("""COMPUTED_VALUE"""),42670.99861111111)</f>
        <v>42670.99861</v>
      </c>
      <c r="B2137" s="1">
        <f>IFERROR(__xludf.DUMMYFUNCTION("""COMPUTED_VALUE"""),3484.702759)</f>
        <v>3484.702759</v>
      </c>
    </row>
    <row r="2138">
      <c r="A2138" s="3">
        <f>IFERROR(__xludf.DUMMYFUNCTION("""COMPUTED_VALUE"""),42671.99861111111)</f>
        <v>42671.99861</v>
      </c>
      <c r="B2138" s="1">
        <f>IFERROR(__xludf.DUMMYFUNCTION("""COMPUTED_VALUE"""),3483.559457)</f>
        <v>3483.559457</v>
      </c>
    </row>
    <row r="2139">
      <c r="A2139" s="3">
        <f>IFERROR(__xludf.DUMMYFUNCTION("""COMPUTED_VALUE"""),42672.99861111111)</f>
        <v>42672.99861</v>
      </c>
      <c r="B2139" s="1">
        <f>IFERROR(__xludf.DUMMYFUNCTION("""COMPUTED_VALUE"""),3483.559457)</f>
        <v>3483.559457</v>
      </c>
    </row>
    <row r="2140">
      <c r="A2140" s="3">
        <f>IFERROR(__xludf.DUMMYFUNCTION("""COMPUTED_VALUE"""),42673.99861111111)</f>
        <v>42673.99861</v>
      </c>
      <c r="B2140" s="1">
        <f>IFERROR(__xludf.DUMMYFUNCTION("""COMPUTED_VALUE"""),3483.559457)</f>
        <v>3483.559457</v>
      </c>
    </row>
    <row r="2141">
      <c r="A2141" s="3">
        <f>IFERROR(__xludf.DUMMYFUNCTION("""COMPUTED_VALUE"""),42674.99861111111)</f>
        <v>42674.99861</v>
      </c>
      <c r="B2141" s="1">
        <f>IFERROR(__xludf.DUMMYFUNCTION("""COMPUTED_VALUE"""),3474.024133)</f>
        <v>3474.024133</v>
      </c>
    </row>
    <row r="2142">
      <c r="A2142" s="3">
        <f>IFERROR(__xludf.DUMMYFUNCTION("""COMPUTED_VALUE"""),42675.99861111111)</f>
        <v>42675.99861</v>
      </c>
      <c r="B2142" s="1">
        <f>IFERROR(__xludf.DUMMYFUNCTION("""COMPUTED_VALUE"""),3480.698275)</f>
        <v>3480.698275</v>
      </c>
    </row>
    <row r="2143">
      <c r="A2143" s="3">
        <f>IFERROR(__xludf.DUMMYFUNCTION("""COMPUTED_VALUE"""),42676.99861111111)</f>
        <v>42676.99861</v>
      </c>
      <c r="B2143" s="1">
        <f>IFERROR(__xludf.DUMMYFUNCTION("""COMPUTED_VALUE"""),3483.205941)</f>
        <v>3483.205941</v>
      </c>
    </row>
    <row r="2144">
      <c r="A2144" s="3">
        <f>IFERROR(__xludf.DUMMYFUNCTION("""COMPUTED_VALUE"""),42677.99861111111)</f>
        <v>42677.99861</v>
      </c>
      <c r="B2144" s="1">
        <f>IFERROR(__xludf.DUMMYFUNCTION("""COMPUTED_VALUE"""),3489.918517)</f>
        <v>3489.918517</v>
      </c>
    </row>
    <row r="2145">
      <c r="A2145" s="3">
        <f>IFERROR(__xludf.DUMMYFUNCTION("""COMPUTED_VALUE"""),42678.99861111111)</f>
        <v>42678.99861</v>
      </c>
      <c r="B2145" s="1">
        <f>IFERROR(__xludf.DUMMYFUNCTION("""COMPUTED_VALUE"""),3496.799912)</f>
        <v>3496.799912</v>
      </c>
    </row>
    <row r="2146">
      <c r="A2146" s="3">
        <f>IFERROR(__xludf.DUMMYFUNCTION("""COMPUTED_VALUE"""),42679.99861111111)</f>
        <v>42679.99861</v>
      </c>
      <c r="B2146" s="1">
        <f>IFERROR(__xludf.DUMMYFUNCTION("""COMPUTED_VALUE"""),3496.799912)</f>
        <v>3496.799912</v>
      </c>
    </row>
    <row r="2147">
      <c r="A2147" s="3">
        <f>IFERROR(__xludf.DUMMYFUNCTION("""COMPUTED_VALUE"""),42680.99861111111)</f>
        <v>42680.99861</v>
      </c>
      <c r="B2147" s="1">
        <f>IFERROR(__xludf.DUMMYFUNCTION("""COMPUTED_VALUE"""),3497.333245)</f>
        <v>3497.333245</v>
      </c>
    </row>
    <row r="2148">
      <c r="A2148" s="3">
        <f>IFERROR(__xludf.DUMMYFUNCTION("""COMPUTED_VALUE"""),42681.99861111111)</f>
        <v>42681.99861</v>
      </c>
      <c r="B2148" s="1">
        <f>IFERROR(__xludf.DUMMYFUNCTION("""COMPUTED_VALUE"""),3494.152702)</f>
        <v>3494.152702</v>
      </c>
    </row>
    <row r="2149">
      <c r="A2149" s="3">
        <f>IFERROR(__xludf.DUMMYFUNCTION("""COMPUTED_VALUE"""),42682.99861111111)</f>
        <v>42682.99861</v>
      </c>
      <c r="B2149" s="1">
        <f>IFERROR(__xludf.DUMMYFUNCTION("""COMPUTED_VALUE"""),3481.87097)</f>
        <v>3481.87097</v>
      </c>
    </row>
    <row r="2150">
      <c r="A2150" s="3">
        <f>IFERROR(__xludf.DUMMYFUNCTION("""COMPUTED_VALUE"""),42683.99861111111)</f>
        <v>42683.99861</v>
      </c>
      <c r="B2150" s="1">
        <f>IFERROR(__xludf.DUMMYFUNCTION("""COMPUTED_VALUE"""),3503.293316)</f>
        <v>3503.293316</v>
      </c>
    </row>
    <row r="2151">
      <c r="A2151" s="3">
        <f>IFERROR(__xludf.DUMMYFUNCTION("""COMPUTED_VALUE"""),42684.99861111111)</f>
        <v>42684.99861</v>
      </c>
      <c r="B2151" s="1">
        <f>IFERROR(__xludf.DUMMYFUNCTION("""COMPUTED_VALUE"""),3627.14213)</f>
        <v>3627.14213</v>
      </c>
    </row>
    <row r="2152">
      <c r="A2152" s="3">
        <f>IFERROR(__xludf.DUMMYFUNCTION("""COMPUTED_VALUE"""),42685.99861111111)</f>
        <v>42685.99861</v>
      </c>
      <c r="B2152" s="1">
        <f>IFERROR(__xludf.DUMMYFUNCTION("""COMPUTED_VALUE"""),3562.228219)</f>
        <v>3562.228219</v>
      </c>
    </row>
    <row r="2153">
      <c r="A2153" s="3">
        <f>IFERROR(__xludf.DUMMYFUNCTION("""COMPUTED_VALUE"""),42686.99861111111)</f>
        <v>42686.99861</v>
      </c>
      <c r="B2153" s="1">
        <f>IFERROR(__xludf.DUMMYFUNCTION("""COMPUTED_VALUE"""),3603.698657)</f>
        <v>3603.698657</v>
      </c>
    </row>
    <row r="2154">
      <c r="A2154" s="3">
        <f>IFERROR(__xludf.DUMMYFUNCTION("""COMPUTED_VALUE"""),42687.99861111111)</f>
        <v>42687.99861</v>
      </c>
      <c r="B2154" s="1">
        <f>IFERROR(__xludf.DUMMYFUNCTION("""COMPUTED_VALUE"""),3562.426473)</f>
        <v>3562.426473</v>
      </c>
    </row>
    <row r="2155">
      <c r="A2155" s="3">
        <f>IFERROR(__xludf.DUMMYFUNCTION("""COMPUTED_VALUE"""),42688.99861111111)</f>
        <v>42688.99861</v>
      </c>
      <c r="B2155" s="1">
        <f>IFERROR(__xludf.DUMMYFUNCTION("""COMPUTED_VALUE"""),3593.282743)</f>
        <v>3593.282743</v>
      </c>
    </row>
    <row r="2156">
      <c r="A2156" s="3">
        <f>IFERROR(__xludf.DUMMYFUNCTION("""COMPUTED_VALUE"""),42689.99861111111)</f>
        <v>42689.99861</v>
      </c>
      <c r="B2156" s="1">
        <f>IFERROR(__xludf.DUMMYFUNCTION("""COMPUTED_VALUE"""),3554.019043)</f>
        <v>3554.019043</v>
      </c>
    </row>
    <row r="2157">
      <c r="A2157" s="3">
        <f>IFERROR(__xludf.DUMMYFUNCTION("""COMPUTED_VALUE"""),42690.99861111111)</f>
        <v>42690.99861</v>
      </c>
      <c r="B2157" s="1">
        <f>IFERROR(__xludf.DUMMYFUNCTION("""COMPUTED_VALUE"""),3581.417671)</f>
        <v>3581.417671</v>
      </c>
    </row>
    <row r="2158">
      <c r="A2158" s="3">
        <f>IFERROR(__xludf.DUMMYFUNCTION("""COMPUTED_VALUE"""),42691.99861111111)</f>
        <v>42691.99861</v>
      </c>
      <c r="B2158" s="1">
        <f>IFERROR(__xludf.DUMMYFUNCTION("""COMPUTED_VALUE"""),3579.989739)</f>
        <v>3579.989739</v>
      </c>
    </row>
    <row r="2159">
      <c r="A2159" s="3">
        <f>IFERROR(__xludf.DUMMYFUNCTION("""COMPUTED_VALUE"""),42692.99861111111)</f>
        <v>42692.99861</v>
      </c>
      <c r="B2159" s="1">
        <f>IFERROR(__xludf.DUMMYFUNCTION("""COMPUTED_VALUE"""),3563.086533)</f>
        <v>3563.086533</v>
      </c>
    </row>
    <row r="2160">
      <c r="A2160" s="3">
        <f>IFERROR(__xludf.DUMMYFUNCTION("""COMPUTED_VALUE"""),42693.99861111111)</f>
        <v>42693.99861</v>
      </c>
      <c r="B2160" s="1">
        <f>IFERROR(__xludf.DUMMYFUNCTION("""COMPUTED_VALUE"""),3564.68103)</f>
        <v>3564.68103</v>
      </c>
    </row>
    <row r="2161">
      <c r="A2161" s="3">
        <f>IFERROR(__xludf.DUMMYFUNCTION("""COMPUTED_VALUE"""),42694.99861111111)</f>
        <v>42694.99861</v>
      </c>
      <c r="B2161" s="1">
        <f>IFERROR(__xludf.DUMMYFUNCTION("""COMPUTED_VALUE"""),3594.016567)</f>
        <v>3594.016567</v>
      </c>
    </row>
    <row r="2162">
      <c r="A2162" s="3">
        <f>IFERROR(__xludf.DUMMYFUNCTION("""COMPUTED_VALUE"""),42695.99861111111)</f>
        <v>42695.99861</v>
      </c>
      <c r="B2162" s="1">
        <f>IFERROR(__xludf.DUMMYFUNCTION("""COMPUTED_VALUE"""),3579.683454)</f>
        <v>3579.683454</v>
      </c>
    </row>
    <row r="2163">
      <c r="A2163" s="3">
        <f>IFERROR(__xludf.DUMMYFUNCTION("""COMPUTED_VALUE"""),42696.99861111111)</f>
        <v>42696.99861</v>
      </c>
      <c r="B2163" s="1">
        <f>IFERROR(__xludf.DUMMYFUNCTION("""COMPUTED_VALUE"""),3585.787109)</f>
        <v>3585.787109</v>
      </c>
    </row>
    <row r="2164">
      <c r="A2164" s="3">
        <f>IFERROR(__xludf.DUMMYFUNCTION("""COMPUTED_VALUE"""),42697.99861111111)</f>
        <v>42697.99861</v>
      </c>
      <c r="B2164" s="1">
        <f>IFERROR(__xludf.DUMMYFUNCTION("""COMPUTED_VALUE"""),3632.795771)</f>
        <v>3632.795771</v>
      </c>
    </row>
    <row r="2165">
      <c r="A2165" s="3">
        <f>IFERROR(__xludf.DUMMYFUNCTION("""COMPUTED_VALUE"""),42698.99861111111)</f>
        <v>42698.99861</v>
      </c>
      <c r="B2165" s="1">
        <f>IFERROR(__xludf.DUMMYFUNCTION("""COMPUTED_VALUE"""),3619.037346)</f>
        <v>3619.037346</v>
      </c>
    </row>
    <row r="2166">
      <c r="A2166" s="3">
        <f>IFERROR(__xludf.DUMMYFUNCTION("""COMPUTED_VALUE"""),42699.99861111111)</f>
        <v>42699.99861</v>
      </c>
      <c r="B2166" s="1">
        <f>IFERROR(__xludf.DUMMYFUNCTION("""COMPUTED_VALUE"""),3607.593138)</f>
        <v>3607.593138</v>
      </c>
    </row>
    <row r="2167">
      <c r="A2167" s="3">
        <f>IFERROR(__xludf.DUMMYFUNCTION("""COMPUTED_VALUE"""),42700.99861111111)</f>
        <v>42700.99861</v>
      </c>
      <c r="B2167" s="1">
        <f>IFERROR(__xludf.DUMMYFUNCTION("""COMPUTED_VALUE"""),3613.391447)</f>
        <v>3613.391447</v>
      </c>
    </row>
    <row r="2168">
      <c r="A2168" s="3">
        <f>IFERROR(__xludf.DUMMYFUNCTION("""COMPUTED_VALUE"""),42701.99861111111)</f>
        <v>42701.99861</v>
      </c>
      <c r="B2168" s="1">
        <f>IFERROR(__xludf.DUMMYFUNCTION("""COMPUTED_VALUE"""),3599.561973)</f>
        <v>3599.561973</v>
      </c>
    </row>
    <row r="2169">
      <c r="A2169" s="3">
        <f>IFERROR(__xludf.DUMMYFUNCTION("""COMPUTED_VALUE"""),42702.99861111111)</f>
        <v>42702.99861</v>
      </c>
      <c r="B2169" s="1">
        <f>IFERROR(__xludf.DUMMYFUNCTION("""COMPUTED_VALUE"""),3597.949874)</f>
        <v>3597.949874</v>
      </c>
    </row>
    <row r="2170">
      <c r="A2170" s="3">
        <f>IFERROR(__xludf.DUMMYFUNCTION("""COMPUTED_VALUE"""),42703.99861111111)</f>
        <v>42703.99861</v>
      </c>
      <c r="B2170" s="1">
        <f>IFERROR(__xludf.DUMMYFUNCTION("""COMPUTED_VALUE"""),3603.896861)</f>
        <v>3603.896861</v>
      </c>
    </row>
    <row r="2171">
      <c r="A2171" s="3">
        <f>IFERROR(__xludf.DUMMYFUNCTION("""COMPUTED_VALUE"""),42704.99861111111)</f>
        <v>42704.99861</v>
      </c>
      <c r="B2171" s="1">
        <f>IFERROR(__xludf.DUMMYFUNCTION("""COMPUTED_VALUE"""),3623.064536)</f>
        <v>3623.064536</v>
      </c>
    </row>
    <row r="2172">
      <c r="A2172" s="3">
        <f>IFERROR(__xludf.DUMMYFUNCTION("""COMPUTED_VALUE"""),42705.99861111111)</f>
        <v>42705.99861</v>
      </c>
      <c r="B2172" s="1">
        <f>IFERROR(__xludf.DUMMYFUNCTION("""COMPUTED_VALUE"""),3609.130941)</f>
        <v>3609.130941</v>
      </c>
    </row>
    <row r="2173">
      <c r="A2173" s="3">
        <f>IFERROR(__xludf.DUMMYFUNCTION("""COMPUTED_VALUE"""),42706.99861111111)</f>
        <v>42706.99861</v>
      </c>
      <c r="B2173" s="1">
        <f>IFERROR(__xludf.DUMMYFUNCTION("""COMPUTED_VALUE"""),3589.141842)</f>
        <v>3589.141842</v>
      </c>
    </row>
    <row r="2174">
      <c r="A2174" s="3">
        <f>IFERROR(__xludf.DUMMYFUNCTION("""COMPUTED_VALUE"""),42708.99861111111)</f>
        <v>42708.99861</v>
      </c>
      <c r="B2174" s="1">
        <f>IFERROR(__xludf.DUMMYFUNCTION("""COMPUTED_VALUE"""),3637.139281)</f>
        <v>3637.139281</v>
      </c>
    </row>
    <row r="2175">
      <c r="A2175" s="3">
        <f>IFERROR(__xludf.DUMMYFUNCTION("""COMPUTED_VALUE"""),42709.99861111111)</f>
        <v>42709.99861</v>
      </c>
      <c r="B2175" s="1">
        <f>IFERROR(__xludf.DUMMYFUNCTION("""COMPUTED_VALUE"""),4067.201348)</f>
        <v>4067.201348</v>
      </c>
    </row>
    <row r="2176">
      <c r="A2176" s="3">
        <f>IFERROR(__xludf.DUMMYFUNCTION("""COMPUTED_VALUE"""),42710.99861111111)</f>
        <v>42710.99861</v>
      </c>
      <c r="B2176" s="1">
        <f>IFERROR(__xludf.DUMMYFUNCTION("""COMPUTED_VALUE"""),3545.221773)</f>
        <v>3545.221773</v>
      </c>
    </row>
    <row r="2177">
      <c r="A2177" s="3">
        <f>IFERROR(__xludf.DUMMYFUNCTION("""COMPUTED_VALUE"""),42711.99861111111)</f>
        <v>42711.99861</v>
      </c>
      <c r="B2177" s="1">
        <f>IFERROR(__xludf.DUMMYFUNCTION("""COMPUTED_VALUE"""),3543.651746)</f>
        <v>3543.651746</v>
      </c>
    </row>
    <row r="2178">
      <c r="A2178" s="3">
        <f>IFERROR(__xludf.DUMMYFUNCTION("""COMPUTED_VALUE"""),42712.99861111111)</f>
        <v>42712.99861</v>
      </c>
      <c r="B2178" s="1">
        <f>IFERROR(__xludf.DUMMYFUNCTION("""COMPUTED_VALUE"""),3552.529687)</f>
        <v>3552.529687</v>
      </c>
    </row>
    <row r="2179">
      <c r="A2179" s="3">
        <f>IFERROR(__xludf.DUMMYFUNCTION("""COMPUTED_VALUE"""),42713.99861111111)</f>
        <v>42713.99861</v>
      </c>
      <c r="B2179" s="1">
        <f>IFERROR(__xludf.DUMMYFUNCTION("""COMPUTED_VALUE"""),3558.09728)</f>
        <v>3558.09728</v>
      </c>
    </row>
    <row r="2180">
      <c r="A2180" s="3">
        <f>IFERROR(__xludf.DUMMYFUNCTION("""COMPUTED_VALUE"""),42714.99861111111)</f>
        <v>42714.99861</v>
      </c>
      <c r="B2180" s="1">
        <f>IFERROR(__xludf.DUMMYFUNCTION("""COMPUTED_VALUE"""),3559.731685)</f>
        <v>3559.731685</v>
      </c>
    </row>
    <row r="2181">
      <c r="A2181" s="3">
        <f>IFERROR(__xludf.DUMMYFUNCTION("""COMPUTED_VALUE"""),42715.99861111111)</f>
        <v>42715.99861</v>
      </c>
      <c r="B2181" s="1">
        <f>IFERROR(__xludf.DUMMYFUNCTION("""COMPUTED_VALUE"""),3561.296768)</f>
        <v>3561.296768</v>
      </c>
    </row>
    <row r="2182">
      <c r="A2182" s="3">
        <f>IFERROR(__xludf.DUMMYFUNCTION("""COMPUTED_VALUE"""),42716.99861111111)</f>
        <v>42716.99861</v>
      </c>
      <c r="B2182" s="1">
        <f>IFERROR(__xludf.DUMMYFUNCTION("""COMPUTED_VALUE"""),3544.202398)</f>
        <v>3544.202398</v>
      </c>
    </row>
    <row r="2183">
      <c r="A2183" s="3">
        <f>IFERROR(__xludf.DUMMYFUNCTION("""COMPUTED_VALUE"""),42717.99861111111)</f>
        <v>42717.99861</v>
      </c>
      <c r="B2183" s="1">
        <f>IFERROR(__xludf.DUMMYFUNCTION("""COMPUTED_VALUE"""),3545.114724)</f>
        <v>3545.114724</v>
      </c>
    </row>
    <row r="2184">
      <c r="A2184" s="3">
        <f>IFERROR(__xludf.DUMMYFUNCTION("""COMPUTED_VALUE"""),42718.99861111111)</f>
        <v>42718.99861</v>
      </c>
      <c r="B2184" s="1">
        <f>IFERROR(__xludf.DUMMYFUNCTION("""COMPUTED_VALUE"""),3577.656233)</f>
        <v>3577.656233</v>
      </c>
    </row>
    <row r="2185">
      <c r="A2185" s="3">
        <f>IFERROR(__xludf.DUMMYFUNCTION("""COMPUTED_VALUE"""),42719.99861111111)</f>
        <v>42719.99861</v>
      </c>
      <c r="B2185" s="1">
        <f>IFERROR(__xludf.DUMMYFUNCTION("""COMPUTED_VALUE"""),3579.989739)</f>
        <v>3579.989739</v>
      </c>
    </row>
    <row r="2186">
      <c r="A2186" s="3">
        <f>IFERROR(__xludf.DUMMYFUNCTION("""COMPUTED_VALUE"""),42720.99861111111)</f>
        <v>42720.99861</v>
      </c>
      <c r="B2186" s="1">
        <f>IFERROR(__xludf.DUMMYFUNCTION("""COMPUTED_VALUE"""),3580.029353)</f>
        <v>3580.029353</v>
      </c>
    </row>
    <row r="2187">
      <c r="A2187" s="3">
        <f>IFERROR(__xludf.DUMMYFUNCTION("""COMPUTED_VALUE"""),42721.99861111111)</f>
        <v>42721.99861</v>
      </c>
      <c r="B2187" s="1">
        <f>IFERROR(__xludf.DUMMYFUNCTION("""COMPUTED_VALUE"""),3645.929627)</f>
        <v>3645.929627</v>
      </c>
    </row>
    <row r="2188">
      <c r="A2188" s="3">
        <f>IFERROR(__xludf.DUMMYFUNCTION("""COMPUTED_VALUE"""),42722.99861111111)</f>
        <v>42722.99861</v>
      </c>
      <c r="B2188" s="1">
        <f>IFERROR(__xludf.DUMMYFUNCTION("""COMPUTED_VALUE"""),3638.860183)</f>
        <v>3638.860183</v>
      </c>
    </row>
    <row r="2189">
      <c r="A2189" s="3">
        <f>IFERROR(__xludf.DUMMYFUNCTION("""COMPUTED_VALUE"""),42723.99861111111)</f>
        <v>42723.99861</v>
      </c>
      <c r="B2189" s="1">
        <f>IFERROR(__xludf.DUMMYFUNCTION("""COMPUTED_VALUE"""),3568.663978)</f>
        <v>3568.663978</v>
      </c>
    </row>
    <row r="2190">
      <c r="A2190" s="3">
        <f>IFERROR(__xludf.DUMMYFUNCTION("""COMPUTED_VALUE"""),42724.99861111111)</f>
        <v>42724.99861</v>
      </c>
      <c r="B2190" s="1">
        <f>IFERROR(__xludf.DUMMYFUNCTION("""COMPUTED_VALUE"""),3582.563624)</f>
        <v>3582.563624</v>
      </c>
    </row>
    <row r="2191">
      <c r="A2191" s="3">
        <f>IFERROR(__xludf.DUMMYFUNCTION("""COMPUTED_VALUE"""),42725.99861111111)</f>
        <v>42725.99861</v>
      </c>
      <c r="B2191" s="1">
        <f>IFERROR(__xludf.DUMMYFUNCTION("""COMPUTED_VALUE"""),3587.368493)</f>
        <v>3587.368493</v>
      </c>
    </row>
    <row r="2192">
      <c r="A2192" s="3">
        <f>IFERROR(__xludf.DUMMYFUNCTION("""COMPUTED_VALUE"""),42726.99861111111)</f>
        <v>42726.99861</v>
      </c>
      <c r="B2192" s="1">
        <f>IFERROR(__xludf.DUMMYFUNCTION("""COMPUTED_VALUE"""),3589.846216)</f>
        <v>3589.846216</v>
      </c>
    </row>
    <row r="2193">
      <c r="A2193" s="3">
        <f>IFERROR(__xludf.DUMMYFUNCTION("""COMPUTED_VALUE"""),42727.99861111111)</f>
        <v>42727.99861</v>
      </c>
      <c r="B2193" s="1">
        <f>IFERROR(__xludf.DUMMYFUNCTION("""COMPUTED_VALUE"""),3581.082783)</f>
        <v>3581.082783</v>
      </c>
    </row>
    <row r="2194">
      <c r="A2194" s="3">
        <f>IFERROR(__xludf.DUMMYFUNCTION("""COMPUTED_VALUE"""),42728.99861111111)</f>
        <v>42728.99861</v>
      </c>
      <c r="B2194" s="1">
        <f>IFERROR(__xludf.DUMMYFUNCTION("""COMPUTED_VALUE"""),3580.987408)</f>
        <v>3580.987408</v>
      </c>
    </row>
    <row r="2195">
      <c r="A2195" s="3">
        <f>IFERROR(__xludf.DUMMYFUNCTION("""COMPUTED_VALUE"""),42729.99861111111)</f>
        <v>42729.99861</v>
      </c>
      <c r="B2195" s="1">
        <f>IFERROR(__xludf.DUMMYFUNCTION("""COMPUTED_VALUE"""),3583.386641)</f>
        <v>3583.386641</v>
      </c>
    </row>
    <row r="2196">
      <c r="A2196" s="3">
        <f>IFERROR(__xludf.DUMMYFUNCTION("""COMPUTED_VALUE"""),42730.99861111111)</f>
        <v>42730.99861</v>
      </c>
      <c r="B2196" s="1">
        <f>IFERROR(__xludf.DUMMYFUNCTION("""COMPUTED_VALUE"""),3655.59814)</f>
        <v>3655.59814</v>
      </c>
    </row>
    <row r="2197">
      <c r="A2197" s="3">
        <f>IFERROR(__xludf.DUMMYFUNCTION("""COMPUTED_VALUE"""),42731.99861111111)</f>
        <v>42731.99861</v>
      </c>
      <c r="B2197" s="1">
        <f>IFERROR(__xludf.DUMMYFUNCTION("""COMPUTED_VALUE"""),3584.412009)</f>
        <v>3584.412009</v>
      </c>
    </row>
    <row r="2198">
      <c r="A2198" s="3">
        <f>IFERROR(__xludf.DUMMYFUNCTION("""COMPUTED_VALUE"""),42732.99861111111)</f>
        <v>42732.99861</v>
      </c>
      <c r="B2198" s="1">
        <f>IFERROR(__xludf.DUMMYFUNCTION("""COMPUTED_VALUE"""),3601.55912)</f>
        <v>3601.55912</v>
      </c>
    </row>
    <row r="2199">
      <c r="A2199" s="3">
        <f>IFERROR(__xludf.DUMMYFUNCTION("""COMPUTED_VALUE"""),42733.99861111111)</f>
        <v>42733.99861</v>
      </c>
      <c r="B2199" s="1">
        <f>IFERROR(__xludf.DUMMYFUNCTION("""COMPUTED_VALUE"""),3595.439505)</f>
        <v>3595.439505</v>
      </c>
    </row>
    <row r="2200">
      <c r="A2200" s="3">
        <f>IFERROR(__xludf.DUMMYFUNCTION("""COMPUTED_VALUE"""),42734.99861111111)</f>
        <v>42734.99861</v>
      </c>
      <c r="B2200" s="1">
        <f>IFERROR(__xludf.DUMMYFUNCTION("""COMPUTED_VALUE"""),3603.550711)</f>
        <v>3603.550711</v>
      </c>
    </row>
    <row r="2201">
      <c r="A2201" s="3">
        <f>IFERROR(__xludf.DUMMYFUNCTION("""COMPUTED_VALUE"""),42735.99861111111)</f>
        <v>42735.99861</v>
      </c>
      <c r="B2201" s="1">
        <f>IFERROR(__xludf.DUMMYFUNCTION("""COMPUTED_VALUE"""),3603.550711)</f>
        <v>3603.550711</v>
      </c>
    </row>
    <row r="2202">
      <c r="A2202" s="3">
        <f>IFERROR(__xludf.DUMMYFUNCTION("""COMPUTED_VALUE"""),42736.99861111111)</f>
        <v>42736.99861</v>
      </c>
      <c r="B2202" s="1">
        <f>IFERROR(__xludf.DUMMYFUNCTION("""COMPUTED_VALUE"""),3601.951266)</f>
        <v>3601.951266</v>
      </c>
    </row>
    <row r="2203">
      <c r="A2203" s="3">
        <f>IFERROR(__xludf.DUMMYFUNCTION("""COMPUTED_VALUE"""),42737.99861111111)</f>
        <v>42737.99861</v>
      </c>
      <c r="B2203" s="1">
        <f>IFERROR(__xludf.DUMMYFUNCTION("""COMPUTED_VALUE"""),3605.253282)</f>
        <v>3605.253282</v>
      </c>
    </row>
    <row r="2204">
      <c r="A2204" s="3">
        <f>IFERROR(__xludf.DUMMYFUNCTION("""COMPUTED_VALUE"""),42738.99861111111)</f>
        <v>42738.99861</v>
      </c>
      <c r="B2204" s="1">
        <f>IFERROR(__xludf.DUMMYFUNCTION("""COMPUTED_VALUE"""),3588.531956)</f>
        <v>3588.531956</v>
      </c>
    </row>
    <row r="2205">
      <c r="A2205" s="3">
        <f>IFERROR(__xludf.DUMMYFUNCTION("""COMPUTED_VALUE"""),42739.99861111111)</f>
        <v>42739.99861</v>
      </c>
      <c r="B2205" s="1">
        <f>IFERROR(__xludf.DUMMYFUNCTION("""COMPUTED_VALUE"""),3563.077211)</f>
        <v>3563.077211</v>
      </c>
    </row>
    <row r="2206">
      <c r="A2206" s="3">
        <f>IFERROR(__xludf.DUMMYFUNCTION("""COMPUTED_VALUE"""),42740.99861111111)</f>
        <v>42740.99861</v>
      </c>
      <c r="B2206" s="1">
        <f>IFERROR(__xludf.DUMMYFUNCTION("""COMPUTED_VALUE"""),3555.336034)</f>
        <v>3555.336034</v>
      </c>
    </row>
    <row r="2207">
      <c r="A2207" s="3">
        <f>IFERROR(__xludf.DUMMYFUNCTION("""COMPUTED_VALUE"""),42741.99861111111)</f>
        <v>42741.99861</v>
      </c>
      <c r="B2207" s="1">
        <f>IFERROR(__xludf.DUMMYFUNCTION("""COMPUTED_VALUE"""),3557.581992)</f>
        <v>3557.581992</v>
      </c>
    </row>
    <row r="2208">
      <c r="A2208" s="3">
        <f>IFERROR(__xludf.DUMMYFUNCTION("""COMPUTED_VALUE"""),42742.99861111111)</f>
        <v>42742.99861</v>
      </c>
      <c r="B2208" s="1">
        <f>IFERROR(__xludf.DUMMYFUNCTION("""COMPUTED_VALUE"""),3557.581992)</f>
        <v>3557.581992</v>
      </c>
    </row>
    <row r="2209">
      <c r="A2209" s="3">
        <f>IFERROR(__xludf.DUMMYFUNCTION("""COMPUTED_VALUE"""),42743.99861111111)</f>
        <v>42743.99861</v>
      </c>
      <c r="B2209" s="1">
        <f>IFERROR(__xludf.DUMMYFUNCTION("""COMPUTED_VALUE"""),3559.9818)</f>
        <v>3559.9818</v>
      </c>
    </row>
    <row r="2210">
      <c r="A2210" s="3">
        <f>IFERROR(__xludf.DUMMYFUNCTION("""COMPUTED_VALUE"""),42744.99861111111)</f>
        <v>42744.99861</v>
      </c>
      <c r="B2210" s="1">
        <f>IFERROR(__xludf.DUMMYFUNCTION("""COMPUTED_VALUE"""),3554.096143)</f>
        <v>3554.096143</v>
      </c>
    </row>
    <row r="2211">
      <c r="A2211" s="3">
        <f>IFERROR(__xludf.DUMMYFUNCTION("""COMPUTED_VALUE"""),42745.99861111111)</f>
        <v>42745.99861</v>
      </c>
      <c r="B2211" s="1">
        <f>IFERROR(__xludf.DUMMYFUNCTION("""COMPUTED_VALUE"""),3548.335351)</f>
        <v>3548.335351</v>
      </c>
    </row>
    <row r="2212">
      <c r="A2212" s="3">
        <f>IFERROR(__xludf.DUMMYFUNCTION("""COMPUTED_VALUE"""),42746.99861111111)</f>
        <v>42746.99861</v>
      </c>
      <c r="B2212" s="1">
        <f>IFERROR(__xludf.DUMMYFUNCTION("""COMPUTED_VALUE"""),3534.703619)</f>
        <v>3534.703619</v>
      </c>
    </row>
    <row r="2213">
      <c r="A2213" s="3">
        <f>IFERROR(__xludf.DUMMYFUNCTION("""COMPUTED_VALUE"""),42747.99861111111)</f>
        <v>42747.99861</v>
      </c>
      <c r="B2213" s="1">
        <f>IFERROR(__xludf.DUMMYFUNCTION("""COMPUTED_VALUE"""),3535.183785)</f>
        <v>3535.183785</v>
      </c>
    </row>
    <row r="2214">
      <c r="A2214" s="3">
        <f>IFERROR(__xludf.DUMMYFUNCTION("""COMPUTED_VALUE"""),42748.99861111111)</f>
        <v>42748.99861</v>
      </c>
      <c r="B2214" s="1">
        <f>IFERROR(__xludf.DUMMYFUNCTION("""COMPUTED_VALUE"""),3549.943933)</f>
        <v>3549.943933</v>
      </c>
    </row>
    <row r="2215">
      <c r="A2215" s="3">
        <f>IFERROR(__xludf.DUMMYFUNCTION("""COMPUTED_VALUE"""),42750.99861111111)</f>
        <v>42750.99861</v>
      </c>
      <c r="B2215" s="1">
        <f>IFERROR(__xludf.DUMMYFUNCTION("""COMPUTED_VALUE"""),3549.849278)</f>
        <v>3549.849278</v>
      </c>
    </row>
    <row r="2216">
      <c r="A2216" s="3">
        <f>IFERROR(__xludf.DUMMYFUNCTION("""COMPUTED_VALUE"""),42751.99861111111)</f>
        <v>42751.99861</v>
      </c>
      <c r="B2216" s="1">
        <f>IFERROR(__xludf.DUMMYFUNCTION("""COMPUTED_VALUE"""),3563.439193)</f>
        <v>3563.439193</v>
      </c>
    </row>
    <row r="2217">
      <c r="A2217" s="3">
        <f>IFERROR(__xludf.DUMMYFUNCTION("""COMPUTED_VALUE"""),42752.99861111111)</f>
        <v>42752.99861</v>
      </c>
      <c r="B2217" s="1">
        <f>IFERROR(__xludf.DUMMYFUNCTION("""COMPUTED_VALUE"""),3549.954484)</f>
        <v>3549.954484</v>
      </c>
    </row>
    <row r="2218">
      <c r="A2218" s="3">
        <f>IFERROR(__xludf.DUMMYFUNCTION("""COMPUTED_VALUE"""),42753.99861111111)</f>
        <v>42753.99861</v>
      </c>
      <c r="B2218" s="1">
        <f>IFERROR(__xludf.DUMMYFUNCTION("""COMPUTED_VALUE"""),3569.235679)</f>
        <v>3569.235679</v>
      </c>
    </row>
    <row r="2219">
      <c r="A2219" s="3">
        <f>IFERROR(__xludf.DUMMYFUNCTION("""COMPUTED_VALUE"""),42754.99861111111)</f>
        <v>42754.99861</v>
      </c>
      <c r="B2219" s="1">
        <f>IFERROR(__xludf.DUMMYFUNCTION("""COMPUTED_VALUE"""),3571.371348)</f>
        <v>3571.371348</v>
      </c>
    </row>
    <row r="2220">
      <c r="A2220" s="3">
        <f>IFERROR(__xludf.DUMMYFUNCTION("""COMPUTED_VALUE"""),42755.99861111111)</f>
        <v>42755.99861</v>
      </c>
      <c r="B2220" s="1">
        <f>IFERROR(__xludf.DUMMYFUNCTION("""COMPUTED_VALUE"""),3571.466577)</f>
        <v>3571.466577</v>
      </c>
    </row>
    <row r="2221">
      <c r="A2221" s="3">
        <f>IFERROR(__xludf.DUMMYFUNCTION("""COMPUTED_VALUE"""),42756.99861111111)</f>
        <v>42756.99861</v>
      </c>
      <c r="B2221" s="1">
        <f>IFERROR(__xludf.DUMMYFUNCTION("""COMPUTED_VALUE"""),3571.466577)</f>
        <v>3571.466577</v>
      </c>
    </row>
    <row r="2222">
      <c r="A2222" s="3">
        <f>IFERROR(__xludf.DUMMYFUNCTION("""COMPUTED_VALUE"""),42757.99861111111)</f>
        <v>42757.99861</v>
      </c>
      <c r="B2222" s="1">
        <f>IFERROR(__xludf.DUMMYFUNCTION("""COMPUTED_VALUE"""),3574.837927)</f>
        <v>3574.837927</v>
      </c>
    </row>
    <row r="2223">
      <c r="A2223" s="3">
        <f>IFERROR(__xludf.DUMMYFUNCTION("""COMPUTED_VALUE"""),42758.99861111111)</f>
        <v>42758.99861</v>
      </c>
      <c r="B2223" s="1">
        <f>IFERROR(__xludf.DUMMYFUNCTION("""COMPUTED_VALUE"""),3562.466566)</f>
        <v>3562.466566</v>
      </c>
    </row>
    <row r="2224">
      <c r="A2224" s="3">
        <f>IFERROR(__xludf.DUMMYFUNCTION("""COMPUTED_VALUE"""),42759.99861111111)</f>
        <v>42759.99861</v>
      </c>
      <c r="B2224" s="1">
        <f>IFERROR(__xludf.DUMMYFUNCTION("""COMPUTED_VALUE"""),3561.855835)</f>
        <v>3561.855835</v>
      </c>
    </row>
    <row r="2225">
      <c r="A2225" s="3">
        <f>IFERROR(__xludf.DUMMYFUNCTION("""COMPUTED_VALUE"""),42760.99861111111)</f>
        <v>42760.99861</v>
      </c>
      <c r="B2225" s="1">
        <f>IFERROR(__xludf.DUMMYFUNCTION("""COMPUTED_VALUE"""),3554.914728)</f>
        <v>3554.914728</v>
      </c>
    </row>
    <row r="2226">
      <c r="A2226" s="3">
        <f>IFERROR(__xludf.DUMMYFUNCTION("""COMPUTED_VALUE"""),42761.99861111111)</f>
        <v>42761.99861</v>
      </c>
      <c r="B2226" s="1">
        <f>IFERROR(__xludf.DUMMYFUNCTION("""COMPUTED_VALUE"""),3570.05694)</f>
        <v>3570.05694</v>
      </c>
    </row>
    <row r="2227">
      <c r="A2227" s="3">
        <f>IFERROR(__xludf.DUMMYFUNCTION("""COMPUTED_VALUE"""),42762.99861111111)</f>
        <v>42762.99861</v>
      </c>
      <c r="B2227" s="1">
        <f>IFERROR(__xludf.DUMMYFUNCTION("""COMPUTED_VALUE"""),3562.056514)</f>
        <v>3562.056514</v>
      </c>
    </row>
    <row r="2228">
      <c r="A2228" s="3">
        <f>IFERROR(__xludf.DUMMYFUNCTION("""COMPUTED_VALUE"""),42763.99861111111)</f>
        <v>42763.99861</v>
      </c>
      <c r="B2228" s="1">
        <f>IFERROR(__xludf.DUMMYFUNCTION("""COMPUTED_VALUE"""),3565.251351)</f>
        <v>3565.251351</v>
      </c>
    </row>
    <row r="2229">
      <c r="A2229" s="3">
        <f>IFERROR(__xludf.DUMMYFUNCTION("""COMPUTED_VALUE"""),42764.99861111111)</f>
        <v>42764.99861</v>
      </c>
      <c r="B2229" s="1">
        <f>IFERROR(__xludf.DUMMYFUNCTION("""COMPUTED_VALUE"""),3553.315667)</f>
        <v>3553.315667</v>
      </c>
    </row>
    <row r="2230">
      <c r="A2230" s="3">
        <f>IFERROR(__xludf.DUMMYFUNCTION("""COMPUTED_VALUE"""),42765.99861111111)</f>
        <v>42765.99861</v>
      </c>
      <c r="B2230" s="1">
        <f>IFERROR(__xludf.DUMMYFUNCTION("""COMPUTED_VALUE"""),3560.883073)</f>
        <v>3560.883073</v>
      </c>
    </row>
    <row r="2231">
      <c r="A2231" s="3">
        <f>IFERROR(__xludf.DUMMYFUNCTION("""COMPUTED_VALUE"""),42766.99861111111)</f>
        <v>42766.99861</v>
      </c>
      <c r="B2231" s="1">
        <f>IFERROR(__xludf.DUMMYFUNCTION("""COMPUTED_VALUE"""),3562.751882)</f>
        <v>3562.751882</v>
      </c>
    </row>
    <row r="2232">
      <c r="A2232" s="3">
        <f>IFERROR(__xludf.DUMMYFUNCTION("""COMPUTED_VALUE"""),42767.99861111111)</f>
        <v>42767.99861</v>
      </c>
      <c r="B2232" s="1">
        <f>IFERROR(__xludf.DUMMYFUNCTION("""COMPUTED_VALUE"""),3566.470837)</f>
        <v>3566.470837</v>
      </c>
    </row>
    <row r="2233">
      <c r="A2233" s="3">
        <f>IFERROR(__xludf.DUMMYFUNCTION("""COMPUTED_VALUE"""),42768.99861111111)</f>
        <v>42768.99861</v>
      </c>
      <c r="B2233" s="1">
        <f>IFERROR(__xludf.DUMMYFUNCTION("""COMPUTED_VALUE"""),3558.743464)</f>
        <v>3558.743464</v>
      </c>
    </row>
    <row r="2234">
      <c r="A2234" s="3">
        <f>IFERROR(__xludf.DUMMYFUNCTION("""COMPUTED_VALUE"""),42769.99861111111)</f>
        <v>42769.99861</v>
      </c>
      <c r="B2234" s="1">
        <f>IFERROR(__xludf.DUMMYFUNCTION("""COMPUTED_VALUE"""),3555.638574)</f>
        <v>3555.638574</v>
      </c>
    </row>
    <row r="2235">
      <c r="A2235" s="3">
        <f>IFERROR(__xludf.DUMMYFUNCTION("""COMPUTED_VALUE"""),42770.99861111111)</f>
        <v>42770.99861</v>
      </c>
      <c r="B2235" s="1">
        <f>IFERROR(__xludf.DUMMYFUNCTION("""COMPUTED_VALUE"""),3559.731376)</f>
        <v>3559.731376</v>
      </c>
    </row>
    <row r="2236">
      <c r="A2236" s="3">
        <f>IFERROR(__xludf.DUMMYFUNCTION("""COMPUTED_VALUE"""),42771.99861111111)</f>
        <v>42771.99861</v>
      </c>
      <c r="B2236" s="1">
        <f>IFERROR(__xludf.DUMMYFUNCTION("""COMPUTED_VALUE"""),3556.799911)</f>
        <v>3556.799911</v>
      </c>
    </row>
    <row r="2237">
      <c r="A2237" s="3">
        <f>IFERROR(__xludf.DUMMYFUNCTION("""COMPUTED_VALUE"""),42772.99861111111)</f>
        <v>42772.99861</v>
      </c>
      <c r="B2237" s="1">
        <f>IFERROR(__xludf.DUMMYFUNCTION("""COMPUTED_VALUE"""),3558.724557)</f>
        <v>3558.724557</v>
      </c>
    </row>
    <row r="2238">
      <c r="A2238" s="3">
        <f>IFERROR(__xludf.DUMMYFUNCTION("""COMPUTED_VALUE"""),42773.99861111111)</f>
        <v>42773.99861</v>
      </c>
      <c r="B2238" s="1">
        <f>IFERROR(__xludf.DUMMYFUNCTION("""COMPUTED_VALUE"""),3553.407834)</f>
        <v>3553.407834</v>
      </c>
    </row>
    <row r="2239">
      <c r="A2239" s="3">
        <f>IFERROR(__xludf.DUMMYFUNCTION("""COMPUTED_VALUE"""),42774.99861111111)</f>
        <v>42774.99861</v>
      </c>
      <c r="B2239" s="1">
        <f>IFERROR(__xludf.DUMMYFUNCTION("""COMPUTED_VALUE"""),3551.556449)</f>
        <v>3551.556449</v>
      </c>
    </row>
    <row r="2240">
      <c r="A2240" s="3">
        <f>IFERROR(__xludf.DUMMYFUNCTION("""COMPUTED_VALUE"""),42775.99861111111)</f>
        <v>42775.99861</v>
      </c>
      <c r="B2240" s="1">
        <f>IFERROR(__xludf.DUMMYFUNCTION("""COMPUTED_VALUE"""),3547.250336)</f>
        <v>3547.250336</v>
      </c>
    </row>
    <row r="2241">
      <c r="A2241" s="3">
        <f>IFERROR(__xludf.DUMMYFUNCTION("""COMPUTED_VALUE"""),42776.99861111111)</f>
        <v>42776.99861</v>
      </c>
      <c r="B2241" s="1">
        <f>IFERROR(__xludf.DUMMYFUNCTION("""COMPUTED_VALUE"""),3550.038589)</f>
        <v>3550.038589</v>
      </c>
    </row>
    <row r="2242">
      <c r="A2242" s="3">
        <f>IFERROR(__xludf.DUMMYFUNCTION("""COMPUTED_VALUE"""),42777.99861111111)</f>
        <v>42777.99861</v>
      </c>
      <c r="B2242" s="1">
        <f>IFERROR(__xludf.DUMMYFUNCTION("""COMPUTED_VALUE"""),3560.206576)</f>
        <v>3560.206576</v>
      </c>
    </row>
    <row r="2243">
      <c r="A2243" s="3">
        <f>IFERROR(__xludf.DUMMYFUNCTION("""COMPUTED_VALUE"""),42778.99861111111)</f>
        <v>42778.99861</v>
      </c>
      <c r="B2243" s="1">
        <f>IFERROR(__xludf.DUMMYFUNCTION("""COMPUTED_VALUE"""),3555.810287)</f>
        <v>3555.810287</v>
      </c>
    </row>
    <row r="2244">
      <c r="A2244" s="3">
        <f>IFERROR(__xludf.DUMMYFUNCTION("""COMPUTED_VALUE"""),42779.99861111111)</f>
        <v>42779.99861</v>
      </c>
      <c r="B2244" s="1">
        <f>IFERROR(__xludf.DUMMYFUNCTION("""COMPUTED_VALUE"""),3556.878481)</f>
        <v>3556.878481</v>
      </c>
    </row>
    <row r="2245">
      <c r="A2245" s="3">
        <f>IFERROR(__xludf.DUMMYFUNCTION("""COMPUTED_VALUE"""),42780.99861111111)</f>
        <v>42780.99861</v>
      </c>
      <c r="B2245" s="1">
        <f>IFERROR(__xludf.DUMMYFUNCTION("""COMPUTED_VALUE"""),3556.344535)</f>
        <v>3556.344535</v>
      </c>
    </row>
    <row r="2246">
      <c r="A2246" s="3">
        <f>IFERROR(__xludf.DUMMYFUNCTION("""COMPUTED_VALUE"""),42781.99861111111)</f>
        <v>42781.99861</v>
      </c>
      <c r="B2246" s="1">
        <f>IFERROR(__xludf.DUMMYFUNCTION("""COMPUTED_VALUE"""),3554.914728)</f>
        <v>3554.914728</v>
      </c>
    </row>
    <row r="2247">
      <c r="A2247" s="3">
        <f>IFERROR(__xludf.DUMMYFUNCTION("""COMPUTED_VALUE"""),42782.99861111111)</f>
        <v>42782.99861</v>
      </c>
      <c r="B2247" s="1">
        <f>IFERROR(__xludf.DUMMYFUNCTION("""COMPUTED_VALUE"""),3556.344535)</f>
        <v>3556.344535</v>
      </c>
    </row>
    <row r="2248">
      <c r="A2248" s="3">
        <f>IFERROR(__xludf.DUMMYFUNCTION("""COMPUTED_VALUE"""),42783.99861111111)</f>
        <v>42783.99861</v>
      </c>
      <c r="B2248" s="1">
        <f>IFERROR(__xludf.DUMMYFUNCTION("""COMPUTED_VALUE"""),3562.880571)</f>
        <v>3562.880571</v>
      </c>
    </row>
    <row r="2249">
      <c r="A2249" s="3">
        <f>IFERROR(__xludf.DUMMYFUNCTION("""COMPUTED_VALUE"""),42784.99861111111)</f>
        <v>42784.99861</v>
      </c>
      <c r="B2249" s="1">
        <f>IFERROR(__xludf.DUMMYFUNCTION("""COMPUTED_VALUE"""),3566.38789)</f>
        <v>3566.38789</v>
      </c>
    </row>
    <row r="2250">
      <c r="A2250" s="3">
        <f>IFERROR(__xludf.DUMMYFUNCTION("""COMPUTED_VALUE"""),42785.99861111111)</f>
        <v>42785.99861</v>
      </c>
      <c r="B2250" s="1">
        <f>IFERROR(__xludf.DUMMYFUNCTION("""COMPUTED_VALUE"""),3560.189748)</f>
        <v>3560.189748</v>
      </c>
    </row>
    <row r="2251">
      <c r="A2251" s="3">
        <f>IFERROR(__xludf.DUMMYFUNCTION("""COMPUTED_VALUE"""),42786.99861111111)</f>
        <v>42786.99861</v>
      </c>
      <c r="B2251" s="1">
        <f>IFERROR(__xludf.DUMMYFUNCTION("""COMPUTED_VALUE"""),3563.476156)</f>
        <v>3563.476156</v>
      </c>
    </row>
    <row r="2252">
      <c r="A2252" s="3">
        <f>IFERROR(__xludf.DUMMYFUNCTION("""COMPUTED_VALUE"""),42787.99861111111)</f>
        <v>42787.99861</v>
      </c>
      <c r="B2252" s="1">
        <f>IFERROR(__xludf.DUMMYFUNCTION("""COMPUTED_VALUE"""),3566.413013)</f>
        <v>3566.413013</v>
      </c>
    </row>
    <row r="2253">
      <c r="A2253" s="3">
        <f>IFERROR(__xludf.DUMMYFUNCTION("""COMPUTED_VALUE"""),42788.99861111111)</f>
        <v>42788.99861</v>
      </c>
      <c r="B2253" s="1">
        <f>IFERROR(__xludf.DUMMYFUNCTION("""COMPUTED_VALUE"""),3560.883073)</f>
        <v>3560.883073</v>
      </c>
    </row>
    <row r="2254">
      <c r="A2254" s="3">
        <f>IFERROR(__xludf.DUMMYFUNCTION("""COMPUTED_VALUE"""),42789.99861111111)</f>
        <v>42789.99861</v>
      </c>
      <c r="B2254" s="1">
        <f>IFERROR(__xludf.DUMMYFUNCTION("""COMPUTED_VALUE"""),3557.317419)</f>
        <v>3557.317419</v>
      </c>
    </row>
    <row r="2255">
      <c r="A2255" s="3">
        <f>IFERROR(__xludf.DUMMYFUNCTION("""COMPUTED_VALUE"""),42790.99861111111)</f>
        <v>42790.99861</v>
      </c>
      <c r="B2255" s="1">
        <f>IFERROR(__xludf.DUMMYFUNCTION("""COMPUTED_VALUE"""),3556.688628)</f>
        <v>3556.688628</v>
      </c>
    </row>
    <row r="2256">
      <c r="A2256" s="3">
        <f>IFERROR(__xludf.DUMMYFUNCTION("""COMPUTED_VALUE"""),42791.99861111111)</f>
        <v>42791.99861</v>
      </c>
      <c r="B2256" s="1">
        <f>IFERROR(__xludf.DUMMYFUNCTION("""COMPUTED_VALUE"""),3552.989364)</f>
        <v>3552.989364</v>
      </c>
    </row>
    <row r="2257">
      <c r="A2257" s="3">
        <f>IFERROR(__xludf.DUMMYFUNCTION("""COMPUTED_VALUE"""),42792.99861111111)</f>
        <v>42792.99861</v>
      </c>
      <c r="B2257" s="1">
        <f>IFERROR(__xludf.DUMMYFUNCTION("""COMPUTED_VALUE"""),3553.256045)</f>
        <v>3553.256045</v>
      </c>
    </row>
    <row r="2258">
      <c r="A2258" s="3">
        <f>IFERROR(__xludf.DUMMYFUNCTION("""COMPUTED_VALUE"""),42793.99861111111)</f>
        <v>42793.99861</v>
      </c>
      <c r="B2258" s="1">
        <f>IFERROR(__xludf.DUMMYFUNCTION("""COMPUTED_VALUE"""),3561.53034)</f>
        <v>3561.53034</v>
      </c>
    </row>
    <row r="2259">
      <c r="A2259" s="3">
        <f>IFERROR(__xludf.DUMMYFUNCTION("""COMPUTED_VALUE"""),42794.99861111111)</f>
        <v>42794.99861</v>
      </c>
      <c r="B2259" s="1">
        <f>IFERROR(__xludf.DUMMYFUNCTION("""COMPUTED_VALUE"""),3575.31893)</f>
        <v>3575.31893</v>
      </c>
    </row>
    <row r="2260">
      <c r="A2260" s="3">
        <f>IFERROR(__xludf.DUMMYFUNCTION("""COMPUTED_VALUE"""),42795.99861111111)</f>
        <v>42795.99861</v>
      </c>
      <c r="B2260" s="1">
        <f>IFERROR(__xludf.DUMMYFUNCTION("""COMPUTED_VALUE"""),3575.967864)</f>
        <v>3575.967864</v>
      </c>
    </row>
    <row r="2261">
      <c r="A2261" s="3">
        <f>IFERROR(__xludf.DUMMYFUNCTION("""COMPUTED_VALUE"""),42796.99861111111)</f>
        <v>42796.99861</v>
      </c>
      <c r="B2261" s="1">
        <f>IFERROR(__xludf.DUMMYFUNCTION("""COMPUTED_VALUE"""),3570.799083)</f>
        <v>3570.799083</v>
      </c>
    </row>
    <row r="2262">
      <c r="A2262" s="3">
        <f>IFERROR(__xludf.DUMMYFUNCTION("""COMPUTED_VALUE"""),42797.99861111111)</f>
        <v>42797.99861</v>
      </c>
      <c r="B2262" s="1">
        <f>IFERROR(__xludf.DUMMYFUNCTION("""COMPUTED_VALUE"""),3555.294367)</f>
        <v>3555.294367</v>
      </c>
    </row>
    <row r="2263">
      <c r="A2263" s="3">
        <f>IFERROR(__xludf.DUMMYFUNCTION("""COMPUTED_VALUE"""),42798.99861111111)</f>
        <v>42798.99861</v>
      </c>
      <c r="B2263" s="1">
        <f>IFERROR(__xludf.DUMMYFUNCTION("""COMPUTED_VALUE"""),3561.252576)</f>
        <v>3561.252576</v>
      </c>
    </row>
    <row r="2264">
      <c r="A2264" s="3">
        <f>IFERROR(__xludf.DUMMYFUNCTION("""COMPUTED_VALUE"""),42799.99861111111)</f>
        <v>42799.99861</v>
      </c>
      <c r="B2264" s="1">
        <f>IFERROR(__xludf.DUMMYFUNCTION("""COMPUTED_VALUE"""),3541.272077)</f>
        <v>3541.272077</v>
      </c>
    </row>
    <row r="2265">
      <c r="A2265" s="3">
        <f>IFERROR(__xludf.DUMMYFUNCTION("""COMPUTED_VALUE"""),42800.99861111111)</f>
        <v>42800.99861</v>
      </c>
      <c r="B2265" s="1">
        <f>IFERROR(__xludf.DUMMYFUNCTION("""COMPUTED_VALUE"""),3562.046092)</f>
        <v>3562.046092</v>
      </c>
    </row>
    <row r="2266">
      <c r="A2266" s="3">
        <f>IFERROR(__xludf.DUMMYFUNCTION("""COMPUTED_VALUE"""),42801.99861111111)</f>
        <v>42801.99861</v>
      </c>
      <c r="B2266" s="1">
        <f>IFERROR(__xludf.DUMMYFUNCTION("""COMPUTED_VALUE"""),3560.539298)</f>
        <v>3560.539298</v>
      </c>
    </row>
    <row r="2267">
      <c r="A2267" s="3">
        <f>IFERROR(__xludf.DUMMYFUNCTION("""COMPUTED_VALUE"""),42802.99861111111)</f>
        <v>42802.99861</v>
      </c>
      <c r="B2267" s="1">
        <f>IFERROR(__xludf.DUMMYFUNCTION("""COMPUTED_VALUE"""),3568.892256)</f>
        <v>3568.892256</v>
      </c>
    </row>
    <row r="2268">
      <c r="A2268" s="3">
        <f>IFERROR(__xludf.DUMMYFUNCTION("""COMPUTED_VALUE"""),42803.99861111111)</f>
        <v>42803.99861</v>
      </c>
      <c r="B2268" s="1">
        <f>IFERROR(__xludf.DUMMYFUNCTION("""COMPUTED_VALUE"""),3578.427431)</f>
        <v>3578.427431</v>
      </c>
    </row>
    <row r="2269">
      <c r="A2269" s="3">
        <f>IFERROR(__xludf.DUMMYFUNCTION("""COMPUTED_VALUE"""),42804.99861111111)</f>
        <v>42804.99861</v>
      </c>
      <c r="B2269" s="1">
        <f>IFERROR(__xludf.DUMMYFUNCTION("""COMPUTED_VALUE"""),3565.15227)</f>
        <v>3565.15227</v>
      </c>
    </row>
    <row r="2270">
      <c r="A2270" s="3">
        <f>IFERROR(__xludf.DUMMYFUNCTION("""COMPUTED_VALUE"""),42806.99861111111)</f>
        <v>42806.99861</v>
      </c>
      <c r="B2270" s="1">
        <f>IFERROR(__xludf.DUMMYFUNCTION("""COMPUTED_VALUE"""),3559.312938)</f>
        <v>3559.312938</v>
      </c>
    </row>
    <row r="2271">
      <c r="A2271" s="3">
        <f>IFERROR(__xludf.DUMMYFUNCTION("""COMPUTED_VALUE"""),42807.99861111111)</f>
        <v>42807.99861</v>
      </c>
      <c r="B2271" s="1">
        <f>IFERROR(__xludf.DUMMYFUNCTION("""COMPUTED_VALUE"""),3569.960147)</f>
        <v>3569.960147</v>
      </c>
    </row>
    <row r="2272">
      <c r="A2272" s="3">
        <f>IFERROR(__xludf.DUMMYFUNCTION("""COMPUTED_VALUE"""),42808.99861111111)</f>
        <v>42808.99861</v>
      </c>
      <c r="B2272" s="1">
        <f>IFERROR(__xludf.DUMMYFUNCTION("""COMPUTED_VALUE"""),3570.666577)</f>
        <v>3570.666577</v>
      </c>
    </row>
    <row r="2273">
      <c r="A2273" s="3">
        <f>IFERROR(__xludf.DUMMYFUNCTION("""COMPUTED_VALUE"""),42809.99861111111)</f>
        <v>42809.99861</v>
      </c>
      <c r="B2273" s="1">
        <f>IFERROR(__xludf.DUMMYFUNCTION("""COMPUTED_VALUE"""),3528.579365)</f>
        <v>3528.579365</v>
      </c>
    </row>
    <row r="2274">
      <c r="A2274" s="3">
        <f>IFERROR(__xludf.DUMMYFUNCTION("""COMPUTED_VALUE"""),42810.99861111111)</f>
        <v>42810.99861</v>
      </c>
      <c r="B2274" s="1">
        <f>IFERROR(__xludf.DUMMYFUNCTION("""COMPUTED_VALUE"""),3544.969298)</f>
        <v>3544.969298</v>
      </c>
    </row>
    <row r="2275">
      <c r="A2275" s="3">
        <f>IFERROR(__xludf.DUMMYFUNCTION("""COMPUTED_VALUE"""),42811.99861111111)</f>
        <v>42811.99861</v>
      </c>
      <c r="B2275" s="1">
        <f>IFERROR(__xludf.DUMMYFUNCTION("""COMPUTED_VALUE"""),3559.611449)</f>
        <v>3559.611449</v>
      </c>
    </row>
    <row r="2276">
      <c r="A2276" s="3">
        <f>IFERROR(__xludf.DUMMYFUNCTION("""COMPUTED_VALUE"""),42812.99861111111)</f>
        <v>42812.99861</v>
      </c>
      <c r="B2276" s="1">
        <f>IFERROR(__xludf.DUMMYFUNCTION("""COMPUTED_VALUE"""),3559.611449)</f>
        <v>3559.611449</v>
      </c>
    </row>
    <row r="2277">
      <c r="A2277" s="3">
        <f>IFERROR(__xludf.DUMMYFUNCTION("""COMPUTED_VALUE"""),42813.99861111111)</f>
        <v>42813.99861</v>
      </c>
      <c r="B2277" s="1">
        <f>IFERROR(__xludf.DUMMYFUNCTION("""COMPUTED_VALUE"""),3555.235502)</f>
        <v>3555.235502</v>
      </c>
    </row>
    <row r="2278">
      <c r="A2278" s="3">
        <f>IFERROR(__xludf.DUMMYFUNCTION("""COMPUTED_VALUE"""),42814.99861111111)</f>
        <v>42814.99861</v>
      </c>
      <c r="B2278" s="1">
        <f>IFERROR(__xludf.DUMMYFUNCTION("""COMPUTED_VALUE"""),3559.566274)</f>
        <v>3559.566274</v>
      </c>
    </row>
    <row r="2279">
      <c r="A2279" s="3">
        <f>IFERROR(__xludf.DUMMYFUNCTION("""COMPUTED_VALUE"""),42815.99861111111)</f>
        <v>42815.99861</v>
      </c>
      <c r="B2279" s="1">
        <f>IFERROR(__xludf.DUMMYFUNCTION("""COMPUTED_VALUE"""),3553.158414)</f>
        <v>3553.158414</v>
      </c>
    </row>
    <row r="2280">
      <c r="A2280" s="3">
        <f>IFERROR(__xludf.DUMMYFUNCTION("""COMPUTED_VALUE"""),42816.99861111111)</f>
        <v>42816.99861</v>
      </c>
      <c r="B2280" s="1">
        <f>IFERROR(__xludf.DUMMYFUNCTION("""COMPUTED_VALUE"""),3557.946372)</f>
        <v>3557.946372</v>
      </c>
    </row>
    <row r="2281">
      <c r="A2281" s="3">
        <f>IFERROR(__xludf.DUMMYFUNCTION("""COMPUTED_VALUE"""),42817.99861111111)</f>
        <v>42817.99861</v>
      </c>
      <c r="B2281" s="1">
        <f>IFERROR(__xludf.DUMMYFUNCTION("""COMPUTED_VALUE"""),3555.733531)</f>
        <v>3555.733531</v>
      </c>
    </row>
    <row r="2282">
      <c r="A2282" s="3">
        <f>IFERROR(__xludf.DUMMYFUNCTION("""COMPUTED_VALUE"""),42818.99861111111)</f>
        <v>42818.99861</v>
      </c>
      <c r="B2282" s="1">
        <f>IFERROR(__xludf.DUMMYFUNCTION("""COMPUTED_VALUE"""),3548.679872)</f>
        <v>3548.679872</v>
      </c>
    </row>
    <row r="2283">
      <c r="A2283" s="3">
        <f>IFERROR(__xludf.DUMMYFUNCTION("""COMPUTED_VALUE"""),42819.99861111111)</f>
        <v>42819.99861</v>
      </c>
      <c r="B2283" s="1">
        <f>IFERROR(__xludf.DUMMYFUNCTION("""COMPUTED_VALUE"""),3548.679872)</f>
        <v>3548.679872</v>
      </c>
    </row>
    <row r="2284">
      <c r="A2284" s="3">
        <f>IFERROR(__xludf.DUMMYFUNCTION("""COMPUTED_VALUE"""),42820.99861111111)</f>
        <v>42820.99861</v>
      </c>
      <c r="B2284" s="1">
        <f>IFERROR(__xludf.DUMMYFUNCTION("""COMPUTED_VALUE"""),3552.568408)</f>
        <v>3552.568408</v>
      </c>
    </row>
    <row r="2285">
      <c r="A2285" s="3">
        <f>IFERROR(__xludf.DUMMYFUNCTION("""COMPUTED_VALUE"""),42821.99861111111)</f>
        <v>42821.99861</v>
      </c>
      <c r="B2285" s="1">
        <f>IFERROR(__xludf.DUMMYFUNCTION("""COMPUTED_VALUE"""),3553.063661)</f>
        <v>3553.063661</v>
      </c>
    </row>
    <row r="2286">
      <c r="A2286" s="3">
        <f>IFERROR(__xludf.DUMMYFUNCTION("""COMPUTED_VALUE"""),42822.99861111111)</f>
        <v>42822.99861</v>
      </c>
      <c r="B2286" s="1">
        <f>IFERROR(__xludf.DUMMYFUNCTION("""COMPUTED_VALUE"""),3553.615194)</f>
        <v>3553.615194</v>
      </c>
    </row>
    <row r="2287">
      <c r="A2287" s="3">
        <f>IFERROR(__xludf.DUMMYFUNCTION("""COMPUTED_VALUE"""),42823.99861111111)</f>
        <v>42823.99861</v>
      </c>
      <c r="B2287" s="1">
        <f>IFERROR(__xludf.DUMMYFUNCTION("""COMPUTED_VALUE"""),3551.823443)</f>
        <v>3551.823443</v>
      </c>
    </row>
    <row r="2288">
      <c r="A2288" s="3">
        <f>IFERROR(__xludf.DUMMYFUNCTION("""COMPUTED_VALUE"""),42824.99861111111)</f>
        <v>42824.99861</v>
      </c>
      <c r="B2288" s="1">
        <f>IFERROR(__xludf.DUMMYFUNCTION("""COMPUTED_VALUE"""),3550.565956)</f>
        <v>3550.565956</v>
      </c>
    </row>
    <row r="2289">
      <c r="A2289" s="3">
        <f>IFERROR(__xludf.DUMMYFUNCTION("""COMPUTED_VALUE"""),42825.99861111111)</f>
        <v>42825.99861</v>
      </c>
      <c r="B2289" s="1">
        <f>IFERROR(__xludf.DUMMYFUNCTION("""COMPUTED_VALUE"""),3556.819296)</f>
        <v>3556.819296</v>
      </c>
    </row>
    <row r="2290">
      <c r="A2290" s="3">
        <f>IFERROR(__xludf.DUMMYFUNCTION("""COMPUTED_VALUE"""),42827.99861111111)</f>
        <v>42827.99861</v>
      </c>
      <c r="B2290" s="1">
        <f>IFERROR(__xludf.DUMMYFUNCTION("""COMPUTED_VALUE"""),3556.569048)</f>
        <v>3556.569048</v>
      </c>
    </row>
    <row r="2291">
      <c r="A2291" s="3">
        <f>IFERROR(__xludf.DUMMYFUNCTION("""COMPUTED_VALUE"""),42828.99861111111)</f>
        <v>42828.99861</v>
      </c>
      <c r="B2291" s="1">
        <f>IFERROR(__xludf.DUMMYFUNCTION("""COMPUTED_VALUE"""),3555.579196)</f>
        <v>3555.579196</v>
      </c>
    </row>
    <row r="2292">
      <c r="A2292" s="3">
        <f>IFERROR(__xludf.DUMMYFUNCTION("""COMPUTED_VALUE"""),42829.99861111111)</f>
        <v>42829.99861</v>
      </c>
      <c r="B2292" s="1">
        <f>IFERROR(__xludf.DUMMYFUNCTION("""COMPUTED_VALUE"""),3559.47135)</f>
        <v>3559.47135</v>
      </c>
    </row>
    <row r="2293">
      <c r="A2293" s="3">
        <f>IFERROR(__xludf.DUMMYFUNCTION("""COMPUTED_VALUE"""),42830.99861111111)</f>
        <v>42830.99861</v>
      </c>
      <c r="B2293" s="1">
        <f>IFERROR(__xludf.DUMMYFUNCTION("""COMPUTED_VALUE"""),3556.878481)</f>
        <v>3556.878481</v>
      </c>
    </row>
    <row r="2294">
      <c r="A2294" s="3">
        <f>IFERROR(__xludf.DUMMYFUNCTION("""COMPUTED_VALUE"""),42831.99861111111)</f>
        <v>42831.99861</v>
      </c>
      <c r="B2294" s="1">
        <f>IFERROR(__xludf.DUMMYFUNCTION("""COMPUTED_VALUE"""),3564.887664)</f>
        <v>3564.887664</v>
      </c>
    </row>
    <row r="2295">
      <c r="A2295" s="3">
        <f>IFERROR(__xludf.DUMMYFUNCTION("""COMPUTED_VALUE"""),42832.99861111111)</f>
        <v>42832.99861</v>
      </c>
      <c r="B2295" s="1">
        <f>IFERROR(__xludf.DUMMYFUNCTION("""COMPUTED_VALUE"""),3561.032806)</f>
        <v>3561.032806</v>
      </c>
    </row>
    <row r="2296">
      <c r="A2296" s="3">
        <f>IFERROR(__xludf.DUMMYFUNCTION("""COMPUTED_VALUE"""),42833.99861111111)</f>
        <v>42833.99861</v>
      </c>
      <c r="B2296" s="1">
        <f>IFERROR(__xludf.DUMMYFUNCTION("""COMPUTED_VALUE"""),3614.763707)</f>
        <v>3614.763707</v>
      </c>
    </row>
    <row r="2297">
      <c r="A2297" s="3">
        <f>IFERROR(__xludf.DUMMYFUNCTION("""COMPUTED_VALUE"""),42834.99861111111)</f>
        <v>42834.99861</v>
      </c>
      <c r="B2297" s="1">
        <f>IFERROR(__xludf.DUMMYFUNCTION("""COMPUTED_VALUE"""),3566.704003)</f>
        <v>3566.704003</v>
      </c>
    </row>
    <row r="2298">
      <c r="A2298" s="3">
        <f>IFERROR(__xludf.DUMMYFUNCTION("""COMPUTED_VALUE"""),42835.99861111111)</f>
        <v>42835.99861</v>
      </c>
      <c r="B2298" s="1">
        <f>IFERROR(__xludf.DUMMYFUNCTION("""COMPUTED_VALUE"""),3543.18514)</f>
        <v>3543.18514</v>
      </c>
    </row>
    <row r="2299">
      <c r="A2299" s="3">
        <f>IFERROR(__xludf.DUMMYFUNCTION("""COMPUTED_VALUE"""),42836.99861111111)</f>
        <v>42836.99861</v>
      </c>
      <c r="B2299" s="1">
        <f>IFERROR(__xludf.DUMMYFUNCTION("""COMPUTED_VALUE"""),3548.430116)</f>
        <v>3548.430116</v>
      </c>
    </row>
    <row r="2300">
      <c r="A2300" s="3">
        <f>IFERROR(__xludf.DUMMYFUNCTION("""COMPUTED_VALUE"""),42837.99861111111)</f>
        <v>42837.99861</v>
      </c>
      <c r="B2300" s="1">
        <f>IFERROR(__xludf.DUMMYFUNCTION("""COMPUTED_VALUE"""),3544.597732)</f>
        <v>3544.597732</v>
      </c>
    </row>
    <row r="2301">
      <c r="A2301" s="3">
        <f>IFERROR(__xludf.DUMMYFUNCTION("""COMPUTED_VALUE"""),42838.99861111111)</f>
        <v>42838.99861</v>
      </c>
      <c r="B2301" s="1">
        <f>IFERROR(__xludf.DUMMYFUNCTION("""COMPUTED_VALUE"""),3544.803916)</f>
        <v>3544.803916</v>
      </c>
    </row>
    <row r="2302">
      <c r="A2302" s="3">
        <f>IFERROR(__xludf.DUMMYFUNCTION("""COMPUTED_VALUE"""),42839.99861111111)</f>
        <v>42839.99861</v>
      </c>
      <c r="B2302" s="1">
        <f>IFERROR(__xludf.DUMMYFUNCTION("""COMPUTED_VALUE"""),3600.455327)</f>
        <v>3600.455327</v>
      </c>
    </row>
    <row r="2303">
      <c r="A2303" s="3">
        <f>IFERROR(__xludf.DUMMYFUNCTION("""COMPUTED_VALUE"""),42840.99861111111)</f>
        <v>42840.99861</v>
      </c>
      <c r="B2303" s="1">
        <f>IFERROR(__xludf.DUMMYFUNCTION("""COMPUTED_VALUE"""),3600.726425)</f>
        <v>3600.726425</v>
      </c>
    </row>
    <row r="2304">
      <c r="A2304" s="3">
        <f>IFERROR(__xludf.DUMMYFUNCTION("""COMPUTED_VALUE"""),42841.99861111111)</f>
        <v>42841.99861</v>
      </c>
      <c r="B2304" s="1">
        <f>IFERROR(__xludf.DUMMYFUNCTION("""COMPUTED_VALUE"""),3543.767)</f>
        <v>3543.767</v>
      </c>
    </row>
    <row r="2305">
      <c r="A2305" s="3">
        <f>IFERROR(__xludf.DUMMYFUNCTION("""COMPUTED_VALUE"""),42842.99861111111)</f>
        <v>42842.99861</v>
      </c>
      <c r="B2305" s="1">
        <f>IFERROR(__xludf.DUMMYFUNCTION("""COMPUTED_VALUE"""),3611.367861)</f>
        <v>3611.367861</v>
      </c>
    </row>
    <row r="2306">
      <c r="A2306" s="3">
        <f>IFERROR(__xludf.DUMMYFUNCTION("""COMPUTED_VALUE"""),42843.99861111111)</f>
        <v>42843.99861</v>
      </c>
      <c r="B2306" s="1">
        <f>IFERROR(__xludf.DUMMYFUNCTION("""COMPUTED_VALUE"""),3549.954484)</f>
        <v>3549.954484</v>
      </c>
    </row>
    <row r="2307">
      <c r="A2307" s="3">
        <f>IFERROR(__xludf.DUMMYFUNCTION("""COMPUTED_VALUE"""),42844.99861111111)</f>
        <v>42844.99861</v>
      </c>
      <c r="B2307" s="1">
        <f>IFERROR(__xludf.DUMMYFUNCTION("""COMPUTED_VALUE"""),3562.598345)</f>
        <v>3562.598345</v>
      </c>
    </row>
    <row r="2308">
      <c r="A2308" s="3">
        <f>IFERROR(__xludf.DUMMYFUNCTION("""COMPUTED_VALUE"""),42845.99861111111)</f>
        <v>42845.99861</v>
      </c>
      <c r="B2308" s="1">
        <f>IFERROR(__xludf.DUMMYFUNCTION("""COMPUTED_VALUE"""),3555.181694)</f>
        <v>3555.181694</v>
      </c>
    </row>
    <row r="2309">
      <c r="A2309" s="3">
        <f>IFERROR(__xludf.DUMMYFUNCTION("""COMPUTED_VALUE"""),42846.99861111111)</f>
        <v>42846.99861</v>
      </c>
      <c r="B2309" s="1">
        <f>IFERROR(__xludf.DUMMYFUNCTION("""COMPUTED_VALUE"""),3548.981279)</f>
        <v>3548.981279</v>
      </c>
    </row>
    <row r="2310">
      <c r="A2310" s="3">
        <f>IFERROR(__xludf.DUMMYFUNCTION("""COMPUTED_VALUE"""),42848.99861111111)</f>
        <v>42848.99861</v>
      </c>
      <c r="B2310" s="1">
        <f>IFERROR(__xludf.DUMMYFUNCTION("""COMPUTED_VALUE"""),3495.2259)</f>
        <v>3495.2259</v>
      </c>
    </row>
    <row r="2311">
      <c r="A2311" s="3">
        <f>IFERROR(__xludf.DUMMYFUNCTION("""COMPUTED_VALUE"""),42849.99861111111)</f>
        <v>42849.99861</v>
      </c>
      <c r="B2311" s="1">
        <f>IFERROR(__xludf.DUMMYFUNCTION("""COMPUTED_VALUE"""),3503.657321)</f>
        <v>3503.657321</v>
      </c>
    </row>
    <row r="2312">
      <c r="A2312" s="3">
        <f>IFERROR(__xludf.DUMMYFUNCTION("""COMPUTED_VALUE"""),42850.99861111111)</f>
        <v>42850.99861</v>
      </c>
      <c r="B2312" s="1">
        <f>IFERROR(__xludf.DUMMYFUNCTION("""COMPUTED_VALUE"""),3551.728726)</f>
        <v>3551.728726</v>
      </c>
    </row>
    <row r="2313">
      <c r="A2313" s="3">
        <f>IFERROR(__xludf.DUMMYFUNCTION("""COMPUTED_VALUE"""),42851.99861111111)</f>
        <v>42851.99861</v>
      </c>
      <c r="B2313" s="1">
        <f>IFERROR(__xludf.DUMMYFUNCTION("""COMPUTED_VALUE"""),3540.231617)</f>
        <v>3540.231617</v>
      </c>
    </row>
    <row r="2314">
      <c r="A2314" s="3">
        <f>IFERROR(__xludf.DUMMYFUNCTION("""COMPUTED_VALUE"""),42852.99861111111)</f>
        <v>42852.99861</v>
      </c>
      <c r="B2314" s="1">
        <f>IFERROR(__xludf.DUMMYFUNCTION("""COMPUTED_VALUE"""),3564.258526)</f>
        <v>3564.258526</v>
      </c>
    </row>
    <row r="2315">
      <c r="A2315" s="3">
        <f>IFERROR(__xludf.DUMMYFUNCTION("""COMPUTED_VALUE"""),42853.99861111111)</f>
        <v>42853.99861</v>
      </c>
      <c r="B2315" s="1">
        <f>IFERROR(__xludf.DUMMYFUNCTION("""COMPUTED_VALUE"""),3561.91432)</f>
        <v>3561.91432</v>
      </c>
    </row>
    <row r="2316">
      <c r="A2316" s="3">
        <f>IFERROR(__xludf.DUMMYFUNCTION("""COMPUTED_VALUE"""),42854.99861111111)</f>
        <v>42854.99861</v>
      </c>
      <c r="B2316" s="1">
        <f>IFERROR(__xludf.DUMMYFUNCTION("""COMPUTED_VALUE"""),3563.817531)</f>
        <v>3563.817531</v>
      </c>
    </row>
    <row r="2317">
      <c r="A2317" s="3">
        <f>IFERROR(__xludf.DUMMYFUNCTION("""COMPUTED_VALUE"""),42855.99861111111)</f>
        <v>42855.99861</v>
      </c>
      <c r="B2317" s="1">
        <f>IFERROR(__xludf.DUMMYFUNCTION("""COMPUTED_VALUE"""),3553.101827)</f>
        <v>3553.101827</v>
      </c>
    </row>
    <row r="2318">
      <c r="A2318" s="3">
        <f>IFERROR(__xludf.DUMMYFUNCTION("""COMPUTED_VALUE"""),42856.99861111111)</f>
        <v>42856.99861</v>
      </c>
      <c r="B2318" s="1">
        <f>IFERROR(__xludf.DUMMYFUNCTION("""COMPUTED_VALUE"""),3556.937657)</f>
        <v>3556.937657</v>
      </c>
    </row>
    <row r="2319">
      <c r="A2319" s="3">
        <f>IFERROR(__xludf.DUMMYFUNCTION("""COMPUTED_VALUE"""),42857.99861111111)</f>
        <v>42857.99861</v>
      </c>
      <c r="B2319" s="1">
        <f>IFERROR(__xludf.DUMMYFUNCTION("""COMPUTED_VALUE"""),3549.213789)</f>
        <v>3549.213789</v>
      </c>
    </row>
    <row r="2320">
      <c r="A2320" s="3">
        <f>IFERROR(__xludf.DUMMYFUNCTION("""COMPUTED_VALUE"""),42858.99861111111)</f>
        <v>42858.99861</v>
      </c>
      <c r="B2320" s="1">
        <f>IFERROR(__xludf.DUMMYFUNCTION("""COMPUTED_VALUE"""),3551.995713)</f>
        <v>3551.995713</v>
      </c>
    </row>
    <row r="2321">
      <c r="A2321" s="3">
        <f>IFERROR(__xludf.DUMMYFUNCTION("""COMPUTED_VALUE"""),42859.99861111111)</f>
        <v>42859.99861</v>
      </c>
      <c r="B2321" s="1">
        <f>IFERROR(__xludf.DUMMYFUNCTION("""COMPUTED_VALUE"""),3561.321904)</f>
        <v>3561.321904</v>
      </c>
    </row>
    <row r="2322">
      <c r="A2322" s="3">
        <f>IFERROR(__xludf.DUMMYFUNCTION("""COMPUTED_VALUE"""),42860.99861111111)</f>
        <v>42860.99861</v>
      </c>
      <c r="B2322" s="1">
        <f>IFERROR(__xludf.DUMMYFUNCTION("""COMPUTED_VALUE"""),3554.458024)</f>
        <v>3554.458024</v>
      </c>
    </row>
    <row r="2323">
      <c r="A2323" s="3">
        <f>IFERROR(__xludf.DUMMYFUNCTION("""COMPUTED_VALUE"""),42862.99861111111)</f>
        <v>42862.99861</v>
      </c>
      <c r="B2323" s="1">
        <f>IFERROR(__xludf.DUMMYFUNCTION("""COMPUTED_VALUE"""),3555.270177)</f>
        <v>3555.270177</v>
      </c>
    </row>
    <row r="2324">
      <c r="A2324" s="3">
        <f>IFERROR(__xludf.DUMMYFUNCTION("""COMPUTED_VALUE"""),42863.99861111111)</f>
        <v>42863.99861</v>
      </c>
      <c r="B2324" s="1">
        <f>IFERROR(__xludf.DUMMYFUNCTION("""COMPUTED_VALUE"""),3556.955586)</f>
        <v>3556.955586</v>
      </c>
    </row>
    <row r="2325">
      <c r="A2325" s="3">
        <f>IFERROR(__xludf.DUMMYFUNCTION("""COMPUTED_VALUE"""),42864.99861111111)</f>
        <v>42864.99861</v>
      </c>
      <c r="B2325" s="1">
        <f>IFERROR(__xludf.DUMMYFUNCTION("""COMPUTED_VALUE"""),3566.203886)</f>
        <v>3566.203886</v>
      </c>
    </row>
    <row r="2326">
      <c r="A2326" s="3">
        <f>IFERROR(__xludf.DUMMYFUNCTION("""COMPUTED_VALUE"""),42865.99861111111)</f>
        <v>42865.99861</v>
      </c>
      <c r="B2326" s="1">
        <f>IFERROR(__xludf.DUMMYFUNCTION("""COMPUTED_VALUE"""),3564.792457)</f>
        <v>3564.792457</v>
      </c>
    </row>
    <row r="2327">
      <c r="A2327" s="3">
        <f>IFERROR(__xludf.DUMMYFUNCTION("""COMPUTED_VALUE"""),42866.99861111111)</f>
        <v>42866.99861</v>
      </c>
      <c r="B2327" s="1">
        <f>IFERROR(__xludf.DUMMYFUNCTION("""COMPUTED_VALUE"""),3553.752084)</f>
        <v>3553.752084</v>
      </c>
    </row>
    <row r="2328">
      <c r="A2328" s="3">
        <f>IFERROR(__xludf.DUMMYFUNCTION("""COMPUTED_VALUE"""),42867.99861111111)</f>
        <v>42867.99861</v>
      </c>
      <c r="B2328" s="1">
        <f>IFERROR(__xludf.DUMMYFUNCTION("""COMPUTED_VALUE"""),3554.647762)</f>
        <v>3554.647762</v>
      </c>
    </row>
    <row r="2329">
      <c r="A2329" s="3">
        <f>IFERROR(__xludf.DUMMYFUNCTION("""COMPUTED_VALUE"""),42869.99861111111)</f>
        <v>42869.99861</v>
      </c>
      <c r="B2329" s="1">
        <f>IFERROR(__xludf.DUMMYFUNCTION("""COMPUTED_VALUE"""),3552.799911)</f>
        <v>3552.799911</v>
      </c>
    </row>
    <row r="2330">
      <c r="A2330" s="3">
        <f>IFERROR(__xludf.DUMMYFUNCTION("""COMPUTED_VALUE"""),42870.99861111111)</f>
        <v>42870.99861</v>
      </c>
      <c r="B2330" s="1">
        <f>IFERROR(__xludf.DUMMYFUNCTION("""COMPUTED_VALUE"""),3546.354759)</f>
        <v>3546.354759</v>
      </c>
    </row>
    <row r="2331">
      <c r="A2331" s="3">
        <f>IFERROR(__xludf.DUMMYFUNCTION("""COMPUTED_VALUE"""),42871.99861111111)</f>
        <v>42871.99861</v>
      </c>
      <c r="B2331" s="1">
        <f>IFERROR(__xludf.DUMMYFUNCTION("""COMPUTED_VALUE"""),3543.323861)</f>
        <v>3543.323861</v>
      </c>
    </row>
    <row r="2332">
      <c r="A2332" s="3">
        <f>IFERROR(__xludf.DUMMYFUNCTION("""COMPUTED_VALUE"""),42872.99861111111)</f>
        <v>42872.99861</v>
      </c>
      <c r="B2332" s="1">
        <f>IFERROR(__xludf.DUMMYFUNCTION("""COMPUTED_VALUE"""),3555.543617)</f>
        <v>3555.543617</v>
      </c>
    </row>
    <row r="2333">
      <c r="A2333" s="3">
        <f>IFERROR(__xludf.DUMMYFUNCTION("""COMPUTED_VALUE"""),42873.99861111111)</f>
        <v>42873.99861</v>
      </c>
      <c r="B2333" s="1">
        <f>IFERROR(__xludf.DUMMYFUNCTION("""COMPUTED_VALUE"""),3576.881942)</f>
        <v>3576.881942</v>
      </c>
    </row>
    <row r="2334">
      <c r="A2334" s="3">
        <f>IFERROR(__xludf.DUMMYFUNCTION("""COMPUTED_VALUE"""),42874.99861111111)</f>
        <v>42874.99861</v>
      </c>
      <c r="B2334" s="1">
        <f>IFERROR(__xludf.DUMMYFUNCTION("""COMPUTED_VALUE"""),3556.516522)</f>
        <v>3556.516522</v>
      </c>
    </row>
    <row r="2335">
      <c r="A2335" s="3">
        <f>IFERROR(__xludf.DUMMYFUNCTION("""COMPUTED_VALUE"""),42875.99861111111)</f>
        <v>42875.99861</v>
      </c>
      <c r="B2335" s="1">
        <f>IFERROR(__xludf.DUMMYFUNCTION("""COMPUTED_VALUE"""),3559.541243)</f>
        <v>3559.541243</v>
      </c>
    </row>
    <row r="2336">
      <c r="A2336" s="3">
        <f>IFERROR(__xludf.DUMMYFUNCTION("""COMPUTED_VALUE"""),42876.99861111111)</f>
        <v>42876.99861</v>
      </c>
      <c r="B2336" s="1">
        <f>IFERROR(__xludf.DUMMYFUNCTION("""COMPUTED_VALUE"""),3554.322768)</f>
        <v>3554.322768</v>
      </c>
    </row>
    <row r="2337">
      <c r="A2337" s="3">
        <f>IFERROR(__xludf.DUMMYFUNCTION("""COMPUTED_VALUE"""),42877.99861111111)</f>
        <v>42877.99861</v>
      </c>
      <c r="B2337" s="1">
        <f>IFERROR(__xludf.DUMMYFUNCTION("""COMPUTED_VALUE"""),3549.575415)</f>
        <v>3549.575415</v>
      </c>
    </row>
    <row r="2338">
      <c r="A2338" s="3">
        <f>IFERROR(__xludf.DUMMYFUNCTION("""COMPUTED_VALUE"""),42878.99861111111)</f>
        <v>42878.99861</v>
      </c>
      <c r="B2338" s="1">
        <f>IFERROR(__xludf.DUMMYFUNCTION("""COMPUTED_VALUE"""),3549.480747)</f>
        <v>3549.480747</v>
      </c>
    </row>
    <row r="2339">
      <c r="A2339" s="3">
        <f>IFERROR(__xludf.DUMMYFUNCTION("""COMPUTED_VALUE"""),42879.99861111111)</f>
        <v>42879.99861</v>
      </c>
      <c r="B2339" s="1">
        <f>IFERROR(__xludf.DUMMYFUNCTION("""COMPUTED_VALUE"""),3551.366895)</f>
        <v>3551.366895</v>
      </c>
    </row>
    <row r="2340">
      <c r="A2340" s="3">
        <f>IFERROR(__xludf.DUMMYFUNCTION("""COMPUTED_VALUE"""),42880.99861111111)</f>
        <v>42880.99861</v>
      </c>
      <c r="B2340" s="1">
        <f>IFERROR(__xludf.DUMMYFUNCTION("""COMPUTED_VALUE"""),3551.272052)</f>
        <v>3551.272052</v>
      </c>
    </row>
    <row r="2341">
      <c r="A2341" s="3">
        <f>IFERROR(__xludf.DUMMYFUNCTION("""COMPUTED_VALUE"""),42881.99861111111)</f>
        <v>42881.99861</v>
      </c>
      <c r="B2341" s="1">
        <f>IFERROR(__xludf.DUMMYFUNCTION("""COMPUTED_VALUE"""),3547.982406)</f>
        <v>3547.982406</v>
      </c>
    </row>
    <row r="2342">
      <c r="A2342" s="3">
        <f>IFERROR(__xludf.DUMMYFUNCTION("""COMPUTED_VALUE"""),42882.99861111111)</f>
        <v>42882.99861</v>
      </c>
      <c r="B2342" s="1">
        <f>IFERROR(__xludf.DUMMYFUNCTION("""COMPUTED_VALUE"""),3546.114344)</f>
        <v>3546.114344</v>
      </c>
    </row>
    <row r="2343">
      <c r="A2343" s="3">
        <f>IFERROR(__xludf.DUMMYFUNCTION("""COMPUTED_VALUE"""),42883.99861111111)</f>
        <v>42883.99861</v>
      </c>
      <c r="B2343" s="1">
        <f>IFERROR(__xludf.DUMMYFUNCTION("""COMPUTED_VALUE"""),3543.561055)</f>
        <v>3543.561055</v>
      </c>
    </row>
    <row r="2344">
      <c r="A2344" s="3">
        <f>IFERROR(__xludf.DUMMYFUNCTION("""COMPUTED_VALUE"""),42884.99861111111)</f>
        <v>42884.99861</v>
      </c>
      <c r="B2344" s="1">
        <f>IFERROR(__xludf.DUMMYFUNCTION("""COMPUTED_VALUE"""),3554.268285)</f>
        <v>3554.268285</v>
      </c>
    </row>
    <row r="2345">
      <c r="A2345" s="3">
        <f>IFERROR(__xludf.DUMMYFUNCTION("""COMPUTED_VALUE"""),42885.99861111111)</f>
        <v>42885.99861</v>
      </c>
      <c r="B2345" s="1">
        <f>IFERROR(__xludf.DUMMYFUNCTION("""COMPUTED_VALUE"""),3555.81059)</f>
        <v>3555.81059</v>
      </c>
    </row>
    <row r="2346">
      <c r="A2346" s="3">
        <f>IFERROR(__xludf.DUMMYFUNCTION("""COMPUTED_VALUE"""),42886.99861111111)</f>
        <v>42886.99861</v>
      </c>
      <c r="B2346" s="1">
        <f>IFERROR(__xludf.DUMMYFUNCTION("""COMPUTED_VALUE"""),3545.255618)</f>
        <v>3545.255618</v>
      </c>
    </row>
    <row r="2347">
      <c r="A2347" s="3">
        <f>IFERROR(__xludf.DUMMYFUNCTION("""COMPUTED_VALUE"""),42887.99861111111)</f>
        <v>42887.99861</v>
      </c>
      <c r="B2347" s="1">
        <f>IFERROR(__xludf.DUMMYFUNCTION("""COMPUTED_VALUE"""),3547.534433)</f>
        <v>3547.534433</v>
      </c>
    </row>
    <row r="2348">
      <c r="A2348" s="3">
        <f>IFERROR(__xludf.DUMMYFUNCTION("""COMPUTED_VALUE"""),42888.99861111111)</f>
        <v>42888.99861</v>
      </c>
      <c r="B2348" s="1">
        <f>IFERROR(__xludf.DUMMYFUNCTION("""COMPUTED_VALUE"""),3546.716433)</f>
        <v>3546.716433</v>
      </c>
    </row>
    <row r="2349">
      <c r="A2349" s="3">
        <f>IFERROR(__xludf.DUMMYFUNCTION("""COMPUTED_VALUE"""),42889.99861111111)</f>
        <v>42889.99861</v>
      </c>
      <c r="B2349" s="1">
        <f>IFERROR(__xludf.DUMMYFUNCTION("""COMPUTED_VALUE"""),3547.922427)</f>
        <v>3547.922427</v>
      </c>
    </row>
    <row r="2350">
      <c r="A2350" s="3">
        <f>IFERROR(__xludf.DUMMYFUNCTION("""COMPUTED_VALUE"""),42890.99861111111)</f>
        <v>42890.99861</v>
      </c>
      <c r="B2350" s="1">
        <f>IFERROR(__xludf.DUMMYFUNCTION("""COMPUTED_VALUE"""),3548.017152)</f>
        <v>3548.017152</v>
      </c>
    </row>
    <row r="2351">
      <c r="A2351" s="3">
        <f>IFERROR(__xludf.DUMMYFUNCTION("""COMPUTED_VALUE"""),42891.99861111111)</f>
        <v>42891.99861</v>
      </c>
      <c r="B2351" s="1">
        <f>IFERROR(__xludf.DUMMYFUNCTION("""COMPUTED_VALUE"""),3546.199569)</f>
        <v>3546.199569</v>
      </c>
    </row>
    <row r="2352">
      <c r="A2352" s="3">
        <f>IFERROR(__xludf.DUMMYFUNCTION("""COMPUTED_VALUE"""),42892.99861111111)</f>
        <v>42892.99861</v>
      </c>
      <c r="B2352" s="1">
        <f>IFERROR(__xludf.DUMMYFUNCTION("""COMPUTED_VALUE"""),3539.697685)</f>
        <v>3539.697685</v>
      </c>
    </row>
    <row r="2353">
      <c r="A2353" s="3">
        <f>IFERROR(__xludf.DUMMYFUNCTION("""COMPUTED_VALUE"""),42893.99861111111)</f>
        <v>42893.99861</v>
      </c>
      <c r="B2353" s="1">
        <f>IFERROR(__xludf.DUMMYFUNCTION("""COMPUTED_VALUE"""),3553.924121)</f>
        <v>3553.924121</v>
      </c>
    </row>
    <row r="2354">
      <c r="A2354" s="3">
        <f>IFERROR(__xludf.DUMMYFUNCTION("""COMPUTED_VALUE"""),42894.99861111111)</f>
        <v>42894.99861</v>
      </c>
      <c r="B2354" s="1">
        <f>IFERROR(__xludf.DUMMYFUNCTION("""COMPUTED_VALUE"""),3549.343059)</f>
        <v>3549.343059</v>
      </c>
    </row>
    <row r="2355">
      <c r="A2355" s="3">
        <f>IFERROR(__xludf.DUMMYFUNCTION("""COMPUTED_VALUE"""),42895.99861111111)</f>
        <v>42895.99861</v>
      </c>
      <c r="B2355" s="1">
        <f>IFERROR(__xludf.DUMMYFUNCTION("""COMPUTED_VALUE"""),3547.0438)</f>
        <v>3547.0438</v>
      </c>
    </row>
    <row r="2356">
      <c r="A2356" s="3">
        <f>IFERROR(__xludf.DUMMYFUNCTION("""COMPUTED_VALUE"""),42896.99861111111)</f>
        <v>42896.99861</v>
      </c>
      <c r="B2356" s="1">
        <f>IFERROR(__xludf.DUMMYFUNCTION("""COMPUTED_VALUE"""),3544.908474)</f>
        <v>3544.908474</v>
      </c>
    </row>
    <row r="2357">
      <c r="A2357" s="3">
        <f>IFERROR(__xludf.DUMMYFUNCTION("""COMPUTED_VALUE"""),42897.99861111111)</f>
        <v>42897.99861</v>
      </c>
      <c r="B2357" s="1">
        <f>IFERROR(__xludf.DUMMYFUNCTION("""COMPUTED_VALUE"""),3545.333244)</f>
        <v>3545.333244</v>
      </c>
    </row>
    <row r="2358">
      <c r="A2358" s="3">
        <f>IFERROR(__xludf.DUMMYFUNCTION("""COMPUTED_VALUE"""),42898.99861111111)</f>
        <v>42898.99861</v>
      </c>
      <c r="B2358" s="1">
        <f>IFERROR(__xludf.DUMMYFUNCTION("""COMPUTED_VALUE"""),3554.380797)</f>
        <v>3554.380797</v>
      </c>
    </row>
    <row r="2359">
      <c r="A2359" s="3">
        <f>IFERROR(__xludf.DUMMYFUNCTION("""COMPUTED_VALUE"""),42899.99861111111)</f>
        <v>42899.99861</v>
      </c>
      <c r="B2359" s="1">
        <f>IFERROR(__xludf.DUMMYFUNCTION("""COMPUTED_VALUE"""),3546.121998)</f>
        <v>3546.121998</v>
      </c>
    </row>
    <row r="2360">
      <c r="A2360" s="3">
        <f>IFERROR(__xludf.DUMMYFUNCTION("""COMPUTED_VALUE"""),42900.99861111111)</f>
        <v>42900.99861</v>
      </c>
      <c r="B2360" s="1">
        <f>IFERROR(__xludf.DUMMYFUNCTION("""COMPUTED_VALUE"""),3547.189946)</f>
        <v>3547.189946</v>
      </c>
    </row>
    <row r="2361">
      <c r="A2361" s="3">
        <f>IFERROR(__xludf.DUMMYFUNCTION("""COMPUTED_VALUE"""),42901.99861111111)</f>
        <v>42901.99861</v>
      </c>
      <c r="B2361" s="1">
        <f>IFERROR(__xludf.DUMMYFUNCTION("""COMPUTED_VALUE"""),3549.325842)</f>
        <v>3549.325842</v>
      </c>
    </row>
    <row r="2362">
      <c r="A2362" s="3">
        <f>IFERROR(__xludf.DUMMYFUNCTION("""COMPUTED_VALUE"""),42902.99861111111)</f>
        <v>42902.99861</v>
      </c>
      <c r="B2362" s="1">
        <f>IFERROR(__xludf.DUMMYFUNCTION("""COMPUTED_VALUE"""),3544.188895)</f>
        <v>3544.188895</v>
      </c>
    </row>
    <row r="2363">
      <c r="A2363" s="3">
        <f>IFERROR(__xludf.DUMMYFUNCTION("""COMPUTED_VALUE"""),42903.99861111111)</f>
        <v>42903.99861</v>
      </c>
      <c r="B2363" s="1">
        <f>IFERROR(__xludf.DUMMYFUNCTION("""COMPUTED_VALUE"""),3543.655533)</f>
        <v>3543.655533</v>
      </c>
    </row>
    <row r="2364">
      <c r="A2364" s="3">
        <f>IFERROR(__xludf.DUMMYFUNCTION("""COMPUTED_VALUE"""),42904.99861111111)</f>
        <v>42904.99861</v>
      </c>
      <c r="B2364" s="1">
        <f>IFERROR(__xludf.DUMMYFUNCTION("""COMPUTED_VALUE"""),3540.910975)</f>
        <v>3540.910975</v>
      </c>
    </row>
    <row r="2365">
      <c r="A2365" s="3">
        <f>IFERROR(__xludf.DUMMYFUNCTION("""COMPUTED_VALUE"""),42905.99861111111)</f>
        <v>42905.99861</v>
      </c>
      <c r="B2365" s="1">
        <f>IFERROR(__xludf.DUMMYFUNCTION("""COMPUTED_VALUE"""),3547.000487)</f>
        <v>3547.000487</v>
      </c>
    </row>
    <row r="2366">
      <c r="A2366" s="3">
        <f>IFERROR(__xludf.DUMMYFUNCTION("""COMPUTED_VALUE"""),42906.99861111111)</f>
        <v>42906.99861</v>
      </c>
      <c r="B2366" s="1">
        <f>IFERROR(__xludf.DUMMYFUNCTION("""COMPUTED_VALUE"""),3548.619513)</f>
        <v>3548.619513</v>
      </c>
    </row>
    <row r="2367">
      <c r="A2367" s="3">
        <f>IFERROR(__xludf.DUMMYFUNCTION("""COMPUTED_VALUE"""),42907.99861111111)</f>
        <v>42907.99861</v>
      </c>
      <c r="B2367" s="1">
        <f>IFERROR(__xludf.DUMMYFUNCTION("""COMPUTED_VALUE"""),3551.573963)</f>
        <v>3551.573963</v>
      </c>
    </row>
    <row r="2368">
      <c r="A2368" s="3">
        <f>IFERROR(__xludf.DUMMYFUNCTION("""COMPUTED_VALUE"""),42908.99861111111)</f>
        <v>42908.99861</v>
      </c>
      <c r="B2368" s="1">
        <f>IFERROR(__xludf.DUMMYFUNCTION("""COMPUTED_VALUE"""),3561.58887)</f>
        <v>3561.58887</v>
      </c>
    </row>
    <row r="2369">
      <c r="A2369" s="3">
        <f>IFERROR(__xludf.DUMMYFUNCTION("""COMPUTED_VALUE"""),42909.99861111111)</f>
        <v>42909.99861</v>
      </c>
      <c r="B2369" s="1">
        <f>IFERROR(__xludf.DUMMYFUNCTION("""COMPUTED_VALUE"""),3552.856315)</f>
        <v>3552.856315</v>
      </c>
    </row>
    <row r="2370">
      <c r="A2370" s="3">
        <f>IFERROR(__xludf.DUMMYFUNCTION("""COMPUTED_VALUE"""),42910.99861111111)</f>
        <v>42910.99861</v>
      </c>
      <c r="B2370" s="1">
        <f>IFERROR(__xludf.DUMMYFUNCTION("""COMPUTED_VALUE"""),3550.723904)</f>
        <v>3550.723904</v>
      </c>
    </row>
    <row r="2371">
      <c r="A2371" s="3">
        <f>IFERROR(__xludf.DUMMYFUNCTION("""COMPUTED_VALUE"""),42911.99861111111)</f>
        <v>42911.99861</v>
      </c>
      <c r="B2371" s="1">
        <f>IFERROR(__xludf.DUMMYFUNCTION("""COMPUTED_VALUE"""),3542.305462)</f>
        <v>3542.305462</v>
      </c>
    </row>
    <row r="2372">
      <c r="A2372" s="3">
        <f>IFERROR(__xludf.DUMMYFUNCTION("""COMPUTED_VALUE"""),42912.99861111111)</f>
        <v>42912.99861</v>
      </c>
      <c r="B2372" s="1">
        <f>IFERROR(__xludf.DUMMYFUNCTION("""COMPUTED_VALUE"""),3554.784358)</f>
        <v>3554.784358</v>
      </c>
    </row>
    <row r="2373">
      <c r="A2373" s="3">
        <f>IFERROR(__xludf.DUMMYFUNCTION("""COMPUTED_VALUE"""),42913.99861111111)</f>
        <v>42913.99861</v>
      </c>
      <c r="B2373" s="1">
        <f>IFERROR(__xludf.DUMMYFUNCTION("""COMPUTED_VALUE"""),3551.546416)</f>
        <v>3551.546416</v>
      </c>
    </row>
    <row r="2374">
      <c r="A2374" s="3">
        <f>IFERROR(__xludf.DUMMYFUNCTION("""COMPUTED_VALUE"""),42914.99861111111)</f>
        <v>42914.99861</v>
      </c>
      <c r="B2374" s="1">
        <f>IFERROR(__xludf.DUMMYFUNCTION("""COMPUTED_VALUE"""),3549.196479)</f>
        <v>3549.196479</v>
      </c>
    </row>
    <row r="2375">
      <c r="A2375" s="3">
        <f>IFERROR(__xludf.DUMMYFUNCTION("""COMPUTED_VALUE"""),42915.99861111111)</f>
        <v>42915.99861</v>
      </c>
      <c r="B2375" s="1">
        <f>IFERROR(__xludf.DUMMYFUNCTION("""COMPUTED_VALUE"""),3544.864705)</f>
        <v>3544.864705</v>
      </c>
    </row>
    <row r="2376">
      <c r="A2376" s="3">
        <f>IFERROR(__xludf.DUMMYFUNCTION("""COMPUTED_VALUE"""),42916.99861111111)</f>
        <v>42916.99861</v>
      </c>
      <c r="B2376" s="1">
        <f>IFERROR(__xludf.DUMMYFUNCTION("""COMPUTED_VALUE"""),3554.019043)</f>
        <v>3554.019043</v>
      </c>
    </row>
    <row r="2377">
      <c r="A2377" s="3">
        <f>IFERROR(__xludf.DUMMYFUNCTION("""COMPUTED_VALUE"""),42917.99861111111)</f>
        <v>42917.99861</v>
      </c>
      <c r="B2377" s="1">
        <f>IFERROR(__xludf.DUMMYFUNCTION("""COMPUTED_VALUE"""),3549.213789)</f>
        <v>3549.213789</v>
      </c>
    </row>
    <row r="2378">
      <c r="A2378" s="3">
        <f>IFERROR(__xludf.DUMMYFUNCTION("""COMPUTED_VALUE"""),42918.99861111111)</f>
        <v>42918.99861</v>
      </c>
      <c r="B2378" s="1">
        <f>IFERROR(__xludf.DUMMYFUNCTION("""COMPUTED_VALUE"""),3546.511572)</f>
        <v>3546.511572</v>
      </c>
    </row>
    <row r="2379">
      <c r="A2379" s="3">
        <f>IFERROR(__xludf.DUMMYFUNCTION("""COMPUTED_VALUE"""),42919.99861111111)</f>
        <v>42919.99861</v>
      </c>
      <c r="B2379" s="1">
        <f>IFERROR(__xludf.DUMMYFUNCTION("""COMPUTED_VALUE"""),3567.72908)</f>
        <v>3567.72908</v>
      </c>
    </row>
    <row r="2380">
      <c r="A2380" s="3">
        <f>IFERROR(__xludf.DUMMYFUNCTION("""COMPUTED_VALUE"""),42920.99861111111)</f>
        <v>42920.99861</v>
      </c>
      <c r="B2380" s="1">
        <f>IFERROR(__xludf.DUMMYFUNCTION("""COMPUTED_VALUE"""),3564.353719)</f>
        <v>3564.353719</v>
      </c>
    </row>
    <row r="2381">
      <c r="A2381" s="3">
        <f>IFERROR(__xludf.DUMMYFUNCTION("""COMPUTED_VALUE"""),42921.99861111111)</f>
        <v>42921.99861</v>
      </c>
      <c r="B2381" s="1">
        <f>IFERROR(__xludf.DUMMYFUNCTION("""COMPUTED_VALUE"""),3567.65267)</f>
        <v>3567.65267</v>
      </c>
    </row>
    <row r="2382">
      <c r="A2382" s="3">
        <f>IFERROR(__xludf.DUMMYFUNCTION("""COMPUTED_VALUE"""),42922.99861111111)</f>
        <v>42922.99861</v>
      </c>
      <c r="B2382" s="1">
        <f>IFERROR(__xludf.DUMMYFUNCTION("""COMPUTED_VALUE"""),3572.896848)</f>
        <v>3572.896848</v>
      </c>
    </row>
    <row r="2383">
      <c r="A2383" s="3">
        <f>IFERROR(__xludf.DUMMYFUNCTION("""COMPUTED_VALUE"""),42923.99861111111)</f>
        <v>42923.99861</v>
      </c>
      <c r="B2383" s="1">
        <f>IFERROR(__xludf.DUMMYFUNCTION("""COMPUTED_VALUE"""),3578.770249)</f>
        <v>3578.770249</v>
      </c>
    </row>
    <row r="2384">
      <c r="A2384" s="3">
        <f>IFERROR(__xludf.DUMMYFUNCTION("""COMPUTED_VALUE"""),42924.99861111111)</f>
        <v>42924.99861</v>
      </c>
      <c r="B2384" s="1">
        <f>IFERROR(__xludf.DUMMYFUNCTION("""COMPUTED_VALUE"""),3639.985266)</f>
        <v>3639.985266</v>
      </c>
    </row>
    <row r="2385">
      <c r="A2385" s="3">
        <f>IFERROR(__xludf.DUMMYFUNCTION("""COMPUTED_VALUE"""),42925.99861111111)</f>
        <v>42925.99861</v>
      </c>
      <c r="B2385" s="1">
        <f>IFERROR(__xludf.DUMMYFUNCTION("""COMPUTED_VALUE"""),3575.657239)</f>
        <v>3575.657239</v>
      </c>
    </row>
    <row r="2386">
      <c r="A2386" s="3">
        <f>IFERROR(__xludf.DUMMYFUNCTION("""COMPUTED_VALUE"""),42926.99861111111)</f>
        <v>42926.99861</v>
      </c>
      <c r="B2386" s="1">
        <f>IFERROR(__xludf.DUMMYFUNCTION("""COMPUTED_VALUE"""),3574.804317)</f>
        <v>3574.804317</v>
      </c>
    </row>
    <row r="2387">
      <c r="A2387" s="3">
        <f>IFERROR(__xludf.DUMMYFUNCTION("""COMPUTED_VALUE"""),42927.99861111111)</f>
        <v>42927.99861</v>
      </c>
      <c r="B2387" s="1">
        <f>IFERROR(__xludf.DUMMYFUNCTION("""COMPUTED_VALUE"""),3563.62955)</f>
        <v>3563.62955</v>
      </c>
    </row>
    <row r="2388">
      <c r="A2388" s="3">
        <f>IFERROR(__xludf.DUMMYFUNCTION("""COMPUTED_VALUE"""),42928.99861111111)</f>
        <v>42928.99861</v>
      </c>
      <c r="B2388" s="1">
        <f>IFERROR(__xludf.DUMMYFUNCTION("""COMPUTED_VALUE"""),3567.747949)</f>
        <v>3567.747949</v>
      </c>
    </row>
    <row r="2389">
      <c r="A2389" s="3">
        <f>IFERROR(__xludf.DUMMYFUNCTION("""COMPUTED_VALUE"""),42929.99861111111)</f>
        <v>42929.99861</v>
      </c>
      <c r="B2389" s="1">
        <f>IFERROR(__xludf.DUMMYFUNCTION("""COMPUTED_VALUE"""),3561.39876)</f>
        <v>3561.39876</v>
      </c>
    </row>
    <row r="2390">
      <c r="A2390" s="3">
        <f>IFERROR(__xludf.DUMMYFUNCTION("""COMPUTED_VALUE"""),42930.99861111111)</f>
        <v>42930.99861</v>
      </c>
      <c r="B2390" s="1">
        <f>IFERROR(__xludf.DUMMYFUNCTION("""COMPUTED_VALUE"""),3549.024202)</f>
        <v>3549.024202</v>
      </c>
    </row>
    <row r="2391">
      <c r="A2391" s="3">
        <f>IFERROR(__xludf.DUMMYFUNCTION("""COMPUTED_VALUE"""),42932.99861111111)</f>
        <v>42932.99861</v>
      </c>
      <c r="B2391" s="1">
        <f>IFERROR(__xludf.DUMMYFUNCTION("""COMPUTED_VALUE"""),3555.199911)</f>
        <v>3555.199911</v>
      </c>
    </row>
    <row r="2392">
      <c r="A2392" s="3">
        <f>IFERROR(__xludf.DUMMYFUNCTION("""COMPUTED_VALUE"""),42933.99861111111)</f>
        <v>42933.99861</v>
      </c>
      <c r="B2392" s="1">
        <f>IFERROR(__xludf.DUMMYFUNCTION("""COMPUTED_VALUE"""),3556.249556)</f>
        <v>3556.249556</v>
      </c>
    </row>
    <row r="2393">
      <c r="A2393" s="3">
        <f>IFERROR(__xludf.DUMMYFUNCTION("""COMPUTED_VALUE"""),42934.99861111111)</f>
        <v>42934.99861</v>
      </c>
      <c r="B2393" s="1">
        <f>IFERROR(__xludf.DUMMYFUNCTION("""COMPUTED_VALUE"""),3551.177209)</f>
        <v>3551.177209</v>
      </c>
    </row>
    <row r="2394">
      <c r="A2394" s="3">
        <f>IFERROR(__xludf.DUMMYFUNCTION("""COMPUTED_VALUE"""),42935.99861111111)</f>
        <v>42935.99861</v>
      </c>
      <c r="B2394" s="1">
        <f>IFERROR(__xludf.DUMMYFUNCTION("""COMPUTED_VALUE"""),3553.235755)</f>
        <v>3553.235755</v>
      </c>
    </row>
    <row r="2395">
      <c r="A2395" s="3">
        <f>IFERROR(__xludf.DUMMYFUNCTION("""COMPUTED_VALUE"""),42936.99861111111)</f>
        <v>42936.99861</v>
      </c>
      <c r="B2395" s="1">
        <f>IFERROR(__xludf.DUMMYFUNCTION("""COMPUTED_VALUE"""),3551.444174)</f>
        <v>3551.444174</v>
      </c>
    </row>
    <row r="2396">
      <c r="A2396" s="3">
        <f>IFERROR(__xludf.DUMMYFUNCTION("""COMPUTED_VALUE"""),42937.99861111111)</f>
        <v>42937.99861</v>
      </c>
      <c r="B2396" s="1">
        <f>IFERROR(__xludf.DUMMYFUNCTION("""COMPUTED_VALUE"""),3556.249556)</f>
        <v>3556.249556</v>
      </c>
    </row>
    <row r="2397">
      <c r="A2397" s="3">
        <f>IFERROR(__xludf.DUMMYFUNCTION("""COMPUTED_VALUE"""),42938.99861111111)</f>
        <v>42938.99861</v>
      </c>
      <c r="B2397" s="1">
        <f>IFERROR(__xludf.DUMMYFUNCTION("""COMPUTED_VALUE"""),3556.516522)</f>
        <v>3556.516522</v>
      </c>
    </row>
    <row r="2398">
      <c r="A2398" s="3">
        <f>IFERROR(__xludf.DUMMYFUNCTION("""COMPUTED_VALUE"""),42939.99861111111)</f>
        <v>42939.99861</v>
      </c>
      <c r="B2398" s="1">
        <f>IFERROR(__xludf.DUMMYFUNCTION("""COMPUTED_VALUE"""),3537.710634)</f>
        <v>3537.710634</v>
      </c>
    </row>
    <row r="2399">
      <c r="A2399" s="3">
        <f>IFERROR(__xludf.DUMMYFUNCTION("""COMPUTED_VALUE"""),42940.99861111111)</f>
        <v>42940.99861</v>
      </c>
      <c r="B2399" s="1">
        <f>IFERROR(__xludf.DUMMYFUNCTION("""COMPUTED_VALUE"""),3555.104614)</f>
        <v>3555.104614</v>
      </c>
    </row>
    <row r="2400">
      <c r="A2400" s="3">
        <f>IFERROR(__xludf.DUMMYFUNCTION("""COMPUTED_VALUE"""),42941.99861111111)</f>
        <v>42941.99861</v>
      </c>
      <c r="B2400" s="1">
        <f>IFERROR(__xludf.DUMMYFUNCTION("""COMPUTED_VALUE"""),3558.308373)</f>
        <v>3558.308373</v>
      </c>
    </row>
    <row r="2401">
      <c r="A2401" s="3">
        <f>IFERROR(__xludf.DUMMYFUNCTION("""COMPUTED_VALUE"""),42942.99861111111)</f>
        <v>42942.99861</v>
      </c>
      <c r="B2401" s="1">
        <f>IFERROR(__xludf.DUMMYFUNCTION("""COMPUTED_VALUE"""),3558.290379)</f>
        <v>3558.290379</v>
      </c>
    </row>
    <row r="2402">
      <c r="A2402" s="3">
        <f>IFERROR(__xludf.DUMMYFUNCTION("""COMPUTED_VALUE"""),42943.99861111111)</f>
        <v>42943.99861</v>
      </c>
      <c r="B2402" s="1">
        <f>IFERROR(__xludf.DUMMYFUNCTION("""COMPUTED_VALUE"""),3553.674807)</f>
        <v>3553.674807</v>
      </c>
    </row>
    <row r="2403">
      <c r="A2403" s="3">
        <f>IFERROR(__xludf.DUMMYFUNCTION("""COMPUTED_VALUE"""),42944.99861111111)</f>
        <v>42944.99861</v>
      </c>
      <c r="B2403" s="1">
        <f>IFERROR(__xludf.DUMMYFUNCTION("""COMPUTED_VALUE"""),3559.51195)</f>
        <v>3559.51195</v>
      </c>
    </row>
    <row r="2404">
      <c r="A2404" s="3">
        <f>IFERROR(__xludf.DUMMYFUNCTION("""COMPUTED_VALUE"""),42945.99861111111)</f>
        <v>42945.99861</v>
      </c>
      <c r="B2404" s="1">
        <f>IFERROR(__xludf.DUMMYFUNCTION("""COMPUTED_VALUE"""),3555.507999)</f>
        <v>3555.507999</v>
      </c>
    </row>
    <row r="2405">
      <c r="A2405" s="3">
        <f>IFERROR(__xludf.DUMMYFUNCTION("""COMPUTED_VALUE"""),42946.99861111111)</f>
        <v>42946.99861</v>
      </c>
      <c r="B2405" s="1">
        <f>IFERROR(__xludf.DUMMYFUNCTION("""COMPUTED_VALUE"""),3552.189321)</f>
        <v>3552.189321</v>
      </c>
    </row>
    <row r="2406">
      <c r="A2406" s="3">
        <f>IFERROR(__xludf.DUMMYFUNCTION("""COMPUTED_VALUE"""),42947.99861111111)</f>
        <v>42947.99861</v>
      </c>
      <c r="B2406" s="1">
        <f>IFERROR(__xludf.DUMMYFUNCTION("""COMPUTED_VALUE"""),3555.353835)</f>
        <v>3555.353835</v>
      </c>
    </row>
    <row r="2407">
      <c r="A2407" s="3">
        <f>IFERROR(__xludf.DUMMYFUNCTION("""COMPUTED_VALUE"""),42948.99861111111)</f>
        <v>42948.99861</v>
      </c>
      <c r="B2407" s="1">
        <f>IFERROR(__xludf.DUMMYFUNCTION("""COMPUTED_VALUE"""),3555.086877)</f>
        <v>3555.086877</v>
      </c>
    </row>
    <row r="2408">
      <c r="A2408" s="3">
        <f>IFERROR(__xludf.DUMMYFUNCTION("""COMPUTED_VALUE"""),42949.99861111111)</f>
        <v>42949.99861</v>
      </c>
      <c r="B2408" s="1">
        <f>IFERROR(__xludf.DUMMYFUNCTION("""COMPUTED_VALUE"""),3555.086877)</f>
        <v>3555.086877</v>
      </c>
    </row>
    <row r="2409">
      <c r="A2409" s="3">
        <f>IFERROR(__xludf.DUMMYFUNCTION("""COMPUTED_VALUE"""),42950.99861111111)</f>
        <v>42950.99861</v>
      </c>
      <c r="B2409" s="1">
        <f>IFERROR(__xludf.DUMMYFUNCTION("""COMPUTED_VALUE"""),3555.715625)</f>
        <v>3555.715625</v>
      </c>
    </row>
    <row r="2410">
      <c r="A2410" s="3">
        <f>IFERROR(__xludf.DUMMYFUNCTION("""COMPUTED_VALUE"""),42951.99861111111)</f>
        <v>42951.99861</v>
      </c>
      <c r="B2410" s="1">
        <f>IFERROR(__xludf.DUMMYFUNCTION("""COMPUTED_VALUE"""),3554.511134)</f>
        <v>3554.511134</v>
      </c>
    </row>
    <row r="2411">
      <c r="A2411" s="3">
        <f>IFERROR(__xludf.DUMMYFUNCTION("""COMPUTED_VALUE"""),42953.99861111111)</f>
        <v>42953.99861</v>
      </c>
      <c r="B2411" s="1">
        <f>IFERROR(__xludf.DUMMYFUNCTION("""COMPUTED_VALUE"""),3549.161204)</f>
        <v>3549.161204</v>
      </c>
    </row>
    <row r="2412">
      <c r="A2412" s="3">
        <f>IFERROR(__xludf.DUMMYFUNCTION("""COMPUTED_VALUE"""),42954.99861111111)</f>
        <v>42954.99861</v>
      </c>
      <c r="B2412" s="1">
        <f>IFERROR(__xludf.DUMMYFUNCTION("""COMPUTED_VALUE"""),3554.458024)</f>
        <v>3554.458024</v>
      </c>
    </row>
    <row r="2413">
      <c r="A2413" s="3">
        <f>IFERROR(__xludf.DUMMYFUNCTION("""COMPUTED_VALUE"""),42955.99861111111)</f>
        <v>42955.99861</v>
      </c>
      <c r="B2413" s="1">
        <f>IFERROR(__xludf.DUMMYFUNCTION("""COMPUTED_VALUE"""),3552.434815)</f>
        <v>3552.434815</v>
      </c>
    </row>
    <row r="2414">
      <c r="A2414" s="3">
        <f>IFERROR(__xludf.DUMMYFUNCTION("""COMPUTED_VALUE"""),42956.99861111111)</f>
        <v>42956.99861</v>
      </c>
      <c r="B2414" s="1">
        <f>IFERROR(__xludf.DUMMYFUNCTION("""COMPUTED_VALUE"""),3557.489504)</f>
        <v>3557.489504</v>
      </c>
    </row>
    <row r="2415">
      <c r="A2415" s="3">
        <f>IFERROR(__xludf.DUMMYFUNCTION("""COMPUTED_VALUE"""),42957.99861111111)</f>
        <v>42957.99861</v>
      </c>
      <c r="B2415" s="1">
        <f>IFERROR(__xludf.DUMMYFUNCTION("""COMPUTED_VALUE"""),3557.946372)</f>
        <v>3557.946372</v>
      </c>
    </row>
    <row r="2416">
      <c r="A2416" s="3">
        <f>IFERROR(__xludf.DUMMYFUNCTION("""COMPUTED_VALUE"""),42958.99861111111)</f>
        <v>42958.99861</v>
      </c>
      <c r="B2416" s="1">
        <f>IFERROR(__xludf.DUMMYFUNCTION("""COMPUTED_VALUE"""),3563.724595)</f>
        <v>3563.724595</v>
      </c>
    </row>
    <row r="2417">
      <c r="A2417" s="3">
        <f>IFERROR(__xludf.DUMMYFUNCTION("""COMPUTED_VALUE"""),42959.99861111111)</f>
        <v>42959.99861</v>
      </c>
      <c r="B2417" s="1">
        <f>IFERROR(__xludf.DUMMYFUNCTION("""COMPUTED_VALUE"""),3564.258526)</f>
        <v>3564.258526</v>
      </c>
    </row>
    <row r="2418">
      <c r="A2418" s="3">
        <f>IFERROR(__xludf.DUMMYFUNCTION("""COMPUTED_VALUE"""),42960.99861111111)</f>
        <v>42960.99861</v>
      </c>
      <c r="B2418" s="1">
        <f>IFERROR(__xludf.DUMMYFUNCTION("""COMPUTED_VALUE"""),3560.361503)</f>
        <v>3560.361503</v>
      </c>
    </row>
    <row r="2419">
      <c r="A2419" s="3">
        <f>IFERROR(__xludf.DUMMYFUNCTION("""COMPUTED_VALUE"""),42961.99861111111)</f>
        <v>42961.99861</v>
      </c>
      <c r="B2419" s="1">
        <f>IFERROR(__xludf.DUMMYFUNCTION("""COMPUTED_VALUE"""),3561.38046)</f>
        <v>3561.38046</v>
      </c>
    </row>
    <row r="2420">
      <c r="A2420" s="3">
        <f>IFERROR(__xludf.DUMMYFUNCTION("""COMPUTED_VALUE"""),42962.99861111111)</f>
        <v>42962.99861</v>
      </c>
      <c r="B2420" s="1">
        <f>IFERROR(__xludf.DUMMYFUNCTION("""COMPUTED_VALUE"""),3565.154637)</f>
        <v>3565.154637</v>
      </c>
    </row>
    <row r="2421">
      <c r="A2421" s="3">
        <f>IFERROR(__xludf.DUMMYFUNCTION("""COMPUTED_VALUE"""),42963.99861111111)</f>
        <v>42963.99861</v>
      </c>
      <c r="B2421" s="1">
        <f>IFERROR(__xludf.DUMMYFUNCTION("""COMPUTED_VALUE"""),3563.801323)</f>
        <v>3563.801323</v>
      </c>
    </row>
    <row r="2422">
      <c r="A2422" s="3">
        <f>IFERROR(__xludf.DUMMYFUNCTION("""COMPUTED_VALUE"""),42964.99861111111)</f>
        <v>42964.99861</v>
      </c>
      <c r="B2422" s="1">
        <f>IFERROR(__xludf.DUMMYFUNCTION("""COMPUTED_VALUE"""),3569.674254)</f>
        <v>3569.674254</v>
      </c>
    </row>
    <row r="2423">
      <c r="A2423" s="3">
        <f>IFERROR(__xludf.DUMMYFUNCTION("""COMPUTED_VALUE"""),42965.99861111111)</f>
        <v>42965.99861</v>
      </c>
      <c r="B2423" s="1">
        <f>IFERROR(__xludf.DUMMYFUNCTION("""COMPUTED_VALUE"""),3565.36588)</f>
        <v>3565.36588</v>
      </c>
    </row>
    <row r="2424">
      <c r="A2424" s="3">
        <f>IFERROR(__xludf.DUMMYFUNCTION("""COMPUTED_VALUE"""),42966.99861111111)</f>
        <v>42966.99861</v>
      </c>
      <c r="B2424" s="1">
        <f>IFERROR(__xludf.DUMMYFUNCTION("""COMPUTED_VALUE"""),3564.565154)</f>
        <v>3564.565154</v>
      </c>
    </row>
    <row r="2425">
      <c r="A2425" s="3">
        <f>IFERROR(__xludf.DUMMYFUNCTION("""COMPUTED_VALUE"""),42967.99861111111)</f>
        <v>42967.99861</v>
      </c>
      <c r="B2425" s="1">
        <f>IFERROR(__xludf.DUMMYFUNCTION("""COMPUTED_VALUE"""),3561.523152)</f>
        <v>3561.523152</v>
      </c>
    </row>
    <row r="2426">
      <c r="A2426" s="3">
        <f>IFERROR(__xludf.DUMMYFUNCTION("""COMPUTED_VALUE"""),42968.99861111111)</f>
        <v>42968.99861</v>
      </c>
      <c r="B2426" s="1">
        <f>IFERROR(__xludf.DUMMYFUNCTION("""COMPUTED_VALUE"""),3561.91432)</f>
        <v>3561.91432</v>
      </c>
    </row>
    <row r="2427">
      <c r="A2427" s="3">
        <f>IFERROR(__xludf.DUMMYFUNCTION("""COMPUTED_VALUE"""),42969.99861111111)</f>
        <v>42969.99861</v>
      </c>
      <c r="B2427" s="1">
        <f>IFERROR(__xludf.DUMMYFUNCTION("""COMPUTED_VALUE"""),3557.317419)</f>
        <v>3557.317419</v>
      </c>
    </row>
    <row r="2428">
      <c r="A2428" s="3">
        <f>IFERROR(__xludf.DUMMYFUNCTION("""COMPUTED_VALUE"""),42970.99861111111)</f>
        <v>42970.99861</v>
      </c>
      <c r="B2428" s="1">
        <f>IFERROR(__xludf.DUMMYFUNCTION("""COMPUTED_VALUE"""),3564.068274)</f>
        <v>3564.068274</v>
      </c>
    </row>
    <row r="2429">
      <c r="A2429" s="3">
        <f>IFERROR(__xludf.DUMMYFUNCTION("""COMPUTED_VALUE"""),42971.99861111111)</f>
        <v>42971.99861</v>
      </c>
      <c r="B2429" s="1">
        <f>IFERROR(__xludf.DUMMYFUNCTION("""COMPUTED_VALUE"""),3559.263149)</f>
        <v>3559.263149</v>
      </c>
    </row>
    <row r="2430">
      <c r="A2430" s="3">
        <f>IFERROR(__xludf.DUMMYFUNCTION("""COMPUTED_VALUE"""),42972.99861111111)</f>
        <v>42972.99861</v>
      </c>
      <c r="B2430" s="1">
        <f>IFERROR(__xludf.DUMMYFUNCTION("""COMPUTED_VALUE"""),3560.92342)</f>
        <v>3560.92342</v>
      </c>
    </row>
    <row r="2431">
      <c r="A2431" s="3">
        <f>IFERROR(__xludf.DUMMYFUNCTION("""COMPUTED_VALUE"""),42973.99861111111)</f>
        <v>42973.99861</v>
      </c>
      <c r="B2431" s="1">
        <f>IFERROR(__xludf.DUMMYFUNCTION("""COMPUTED_VALUE"""),3560.92342)</f>
        <v>3560.92342</v>
      </c>
    </row>
    <row r="2432">
      <c r="A2432" s="3">
        <f>IFERROR(__xludf.DUMMYFUNCTION("""COMPUTED_VALUE"""),42974.99861111111)</f>
        <v>42974.99861</v>
      </c>
      <c r="B2432" s="1">
        <f>IFERROR(__xludf.DUMMYFUNCTION("""COMPUTED_VALUE"""),3557.256258)</f>
        <v>3557.256258</v>
      </c>
    </row>
    <row r="2433">
      <c r="A2433" s="3">
        <f>IFERROR(__xludf.DUMMYFUNCTION("""COMPUTED_VALUE"""),42975.99861111111)</f>
        <v>42975.99861</v>
      </c>
      <c r="B2433" s="1">
        <f>IFERROR(__xludf.DUMMYFUNCTION("""COMPUTED_VALUE"""),3551.633875)</f>
        <v>3551.633875</v>
      </c>
    </row>
    <row r="2434">
      <c r="A2434" s="3">
        <f>IFERROR(__xludf.DUMMYFUNCTION("""COMPUTED_VALUE"""),42976.99861111111)</f>
        <v>42976.99861</v>
      </c>
      <c r="B2434" s="1">
        <f>IFERROR(__xludf.DUMMYFUNCTION("""COMPUTED_VALUE"""),3559.263149)</f>
        <v>3559.263149</v>
      </c>
    </row>
    <row r="2435">
      <c r="A2435" s="3">
        <f>IFERROR(__xludf.DUMMYFUNCTION("""COMPUTED_VALUE"""),42977.99861111111)</f>
        <v>42977.99861</v>
      </c>
      <c r="B2435" s="1">
        <f>IFERROR(__xludf.DUMMYFUNCTION("""COMPUTED_VALUE"""),3559.625172)</f>
        <v>3559.625172</v>
      </c>
    </row>
    <row r="2436">
      <c r="A2436" s="3">
        <f>IFERROR(__xludf.DUMMYFUNCTION("""COMPUTED_VALUE"""),42978.99861111111)</f>
        <v>42978.99861</v>
      </c>
      <c r="B2436" s="1">
        <f>IFERROR(__xludf.DUMMYFUNCTION("""COMPUTED_VALUE"""),3555.964753)</f>
        <v>3555.964753</v>
      </c>
    </row>
    <row r="2437">
      <c r="A2437" s="3">
        <f>IFERROR(__xludf.DUMMYFUNCTION("""COMPUTED_VALUE"""),42979.99861111111)</f>
        <v>42979.99861</v>
      </c>
      <c r="B2437" s="1">
        <f>IFERROR(__xludf.DUMMYFUNCTION("""COMPUTED_VALUE"""),3558.978089)</f>
        <v>3558.978089</v>
      </c>
    </row>
    <row r="2438">
      <c r="A2438" s="3">
        <f>IFERROR(__xludf.DUMMYFUNCTION("""COMPUTED_VALUE"""),42980.99861111111)</f>
        <v>42980.99861</v>
      </c>
      <c r="B2438" s="1">
        <f>IFERROR(__xludf.DUMMYFUNCTION("""COMPUTED_VALUE"""),3559.51195)</f>
        <v>3559.51195</v>
      </c>
    </row>
    <row r="2439">
      <c r="A2439" s="3">
        <f>IFERROR(__xludf.DUMMYFUNCTION("""COMPUTED_VALUE"""),42981.99861111111)</f>
        <v>42981.99861</v>
      </c>
      <c r="B2439" s="1">
        <f>IFERROR(__xludf.DUMMYFUNCTION("""COMPUTED_VALUE"""),3554.933244)</f>
        <v>3554.933244</v>
      </c>
    </row>
    <row r="2440">
      <c r="A2440" s="3">
        <f>IFERROR(__xludf.DUMMYFUNCTION("""COMPUTED_VALUE"""),42982.99861111111)</f>
        <v>42982.99861</v>
      </c>
      <c r="B2440" s="1">
        <f>IFERROR(__xludf.DUMMYFUNCTION("""COMPUTED_VALUE"""),3564.697384)</f>
        <v>3564.697384</v>
      </c>
    </row>
    <row r="2441">
      <c r="A2441" s="3">
        <f>IFERROR(__xludf.DUMMYFUNCTION("""COMPUTED_VALUE"""),42983.99861111111)</f>
        <v>42983.99861</v>
      </c>
      <c r="B2441" s="1">
        <f>IFERROR(__xludf.DUMMYFUNCTION("""COMPUTED_VALUE"""),3559.073154)</f>
        <v>3559.073154</v>
      </c>
    </row>
    <row r="2442">
      <c r="A2442" s="3">
        <f>IFERROR(__xludf.DUMMYFUNCTION("""COMPUTED_VALUE"""),42984.99861111111)</f>
        <v>42984.99861</v>
      </c>
      <c r="B2442" s="1">
        <f>IFERROR(__xludf.DUMMYFUNCTION("""COMPUTED_VALUE"""),3560.864857)</f>
        <v>3560.864857</v>
      </c>
    </row>
    <row r="2443">
      <c r="A2443" s="3">
        <f>IFERROR(__xludf.DUMMYFUNCTION("""COMPUTED_VALUE"""),42985.99861111111)</f>
        <v>42985.99861</v>
      </c>
      <c r="B2443" s="1">
        <f>IFERROR(__xludf.DUMMYFUNCTION("""COMPUTED_VALUE"""),3547.896156)</f>
        <v>3547.896156</v>
      </c>
    </row>
    <row r="2444">
      <c r="A2444" s="3">
        <f>IFERROR(__xludf.DUMMYFUNCTION("""COMPUTED_VALUE"""),42986.99861111111)</f>
        <v>42986.99861</v>
      </c>
      <c r="B2444" s="1">
        <f>IFERROR(__xludf.DUMMYFUNCTION("""COMPUTED_VALUE"""),3522.581643)</f>
        <v>3522.581643</v>
      </c>
    </row>
    <row r="2445">
      <c r="A2445" s="3">
        <f>IFERROR(__xludf.DUMMYFUNCTION("""COMPUTED_VALUE"""),42987.99861111111)</f>
        <v>42987.99861</v>
      </c>
      <c r="B2445" s="1">
        <f>IFERROR(__xludf.DUMMYFUNCTION("""COMPUTED_VALUE"""),3522.047797)</f>
        <v>3522.047797</v>
      </c>
    </row>
    <row r="2446">
      <c r="A2446" s="3">
        <f>IFERROR(__xludf.DUMMYFUNCTION("""COMPUTED_VALUE"""),42988.99861111111)</f>
        <v>42988.99861</v>
      </c>
      <c r="B2446" s="1">
        <f>IFERROR(__xludf.DUMMYFUNCTION("""COMPUTED_VALUE"""),3519.387573)</f>
        <v>3519.387573</v>
      </c>
    </row>
    <row r="2447">
      <c r="A2447" s="3">
        <f>IFERROR(__xludf.DUMMYFUNCTION("""COMPUTED_VALUE"""),42989.99861111111)</f>
        <v>42989.99861</v>
      </c>
      <c r="B2447" s="1">
        <f>IFERROR(__xludf.DUMMYFUNCTION("""COMPUTED_VALUE"""),3517.257833)</f>
        <v>3517.257833</v>
      </c>
    </row>
    <row r="2448">
      <c r="A2448" s="3">
        <f>IFERROR(__xludf.DUMMYFUNCTION("""COMPUTED_VALUE"""),42990.99861111111)</f>
        <v>42990.99861</v>
      </c>
      <c r="B2448" s="1">
        <f>IFERROR(__xludf.DUMMYFUNCTION("""COMPUTED_VALUE"""),3525.80005)</f>
        <v>3525.80005</v>
      </c>
    </row>
    <row r="2449">
      <c r="A2449" s="3">
        <f>IFERROR(__xludf.DUMMYFUNCTION("""COMPUTED_VALUE"""),42991.99861111111)</f>
        <v>42991.99861</v>
      </c>
      <c r="B2449" s="1">
        <f>IFERROR(__xludf.DUMMYFUNCTION("""COMPUTED_VALUE"""),3534.970571)</f>
        <v>3534.970571</v>
      </c>
    </row>
    <row r="2450">
      <c r="A2450" s="3">
        <f>IFERROR(__xludf.DUMMYFUNCTION("""COMPUTED_VALUE"""),42992.99861111111)</f>
        <v>42992.99861</v>
      </c>
      <c r="B2450" s="1">
        <f>IFERROR(__xludf.DUMMYFUNCTION("""COMPUTED_VALUE"""),3540.215041)</f>
        <v>3540.215041</v>
      </c>
    </row>
    <row r="2451">
      <c r="A2451" s="3">
        <f>IFERROR(__xludf.DUMMYFUNCTION("""COMPUTED_VALUE"""),42993.99861111111)</f>
        <v>42993.99861</v>
      </c>
      <c r="B2451" s="1">
        <f>IFERROR(__xludf.DUMMYFUNCTION("""COMPUTED_VALUE"""),3532.360757)</f>
        <v>3532.360757</v>
      </c>
    </row>
    <row r="2452">
      <c r="A2452" s="3">
        <f>IFERROR(__xludf.DUMMYFUNCTION("""COMPUTED_VALUE"""),42995.99861111111)</f>
        <v>42995.99861</v>
      </c>
      <c r="B2452" s="1">
        <f>IFERROR(__xludf.DUMMYFUNCTION("""COMPUTED_VALUE"""),3533.9608)</f>
        <v>3533.9608</v>
      </c>
    </row>
    <row r="2453">
      <c r="A2453" s="3">
        <f>IFERROR(__xludf.DUMMYFUNCTION("""COMPUTED_VALUE"""),42996.99861111111)</f>
        <v>42996.99861</v>
      </c>
      <c r="B2453" s="1">
        <f>IFERROR(__xludf.DUMMYFUNCTION("""COMPUTED_VALUE"""),3541.911307)</f>
        <v>3541.911307</v>
      </c>
    </row>
    <row r="2454">
      <c r="A2454" s="3">
        <f>IFERROR(__xludf.DUMMYFUNCTION("""COMPUTED_VALUE"""),42997.99861111111)</f>
        <v>42997.99861</v>
      </c>
      <c r="B2454" s="1">
        <f>IFERROR(__xludf.DUMMYFUNCTION("""COMPUTED_VALUE"""),3538.896788)</f>
        <v>3538.896788</v>
      </c>
    </row>
    <row r="2455">
      <c r="A2455" s="3">
        <f>IFERROR(__xludf.DUMMYFUNCTION("""COMPUTED_VALUE"""),42998.99861111111)</f>
        <v>42998.99861</v>
      </c>
      <c r="B2455" s="1">
        <f>IFERROR(__xludf.DUMMYFUNCTION("""COMPUTED_VALUE"""),3543.151428)</f>
        <v>3543.151428</v>
      </c>
    </row>
    <row r="2456">
      <c r="A2456" s="3">
        <f>IFERROR(__xludf.DUMMYFUNCTION("""COMPUTED_VALUE"""),42999.99861111111)</f>
        <v>42999.99861</v>
      </c>
      <c r="B2456" s="1">
        <f>IFERROR(__xludf.DUMMYFUNCTION("""COMPUTED_VALUE"""),3543.151428)</f>
        <v>3543.151428</v>
      </c>
    </row>
    <row r="2457">
      <c r="A2457" s="3">
        <f>IFERROR(__xludf.DUMMYFUNCTION("""COMPUTED_VALUE"""),43000.99861111111)</f>
        <v>43000.99861</v>
      </c>
      <c r="B2457" s="1">
        <f>IFERROR(__xludf.DUMMYFUNCTION("""COMPUTED_VALUE"""),3546.742701)</f>
        <v>3546.742701</v>
      </c>
    </row>
    <row r="2458">
      <c r="A2458" s="3">
        <f>IFERROR(__xludf.DUMMYFUNCTION("""COMPUTED_VALUE"""),43002.99861111111)</f>
        <v>43002.99861</v>
      </c>
      <c r="B2458" s="1">
        <f>IFERROR(__xludf.DUMMYFUNCTION("""COMPUTED_VALUE"""),3548.645133)</f>
        <v>3548.645133</v>
      </c>
    </row>
    <row r="2459">
      <c r="A2459" s="3">
        <f>IFERROR(__xludf.DUMMYFUNCTION("""COMPUTED_VALUE"""),43003.99861111111)</f>
        <v>43003.99861</v>
      </c>
      <c r="B2459" s="1">
        <f>IFERROR(__xludf.DUMMYFUNCTION("""COMPUTED_VALUE"""),3555.620794)</f>
        <v>3555.620794</v>
      </c>
    </row>
    <row r="2460">
      <c r="A2460" s="3">
        <f>IFERROR(__xludf.DUMMYFUNCTION("""COMPUTED_VALUE"""),43004.99861111111)</f>
        <v>43004.99861</v>
      </c>
      <c r="B2460" s="1">
        <f>IFERROR(__xludf.DUMMYFUNCTION("""COMPUTED_VALUE"""),3570.761066)</f>
        <v>3570.761066</v>
      </c>
    </row>
    <row r="2461">
      <c r="A2461" s="3">
        <f>IFERROR(__xludf.DUMMYFUNCTION("""COMPUTED_VALUE"""),43005.99861111111)</f>
        <v>43005.99861</v>
      </c>
      <c r="B2461" s="1">
        <f>IFERROR(__xludf.DUMMYFUNCTION("""COMPUTED_VALUE"""),3585.95829)</f>
        <v>3585.95829</v>
      </c>
    </row>
    <row r="2462">
      <c r="A2462" s="3">
        <f>IFERROR(__xludf.DUMMYFUNCTION("""COMPUTED_VALUE"""),43006.99861111111)</f>
        <v>43006.99861</v>
      </c>
      <c r="B2462" s="1">
        <f>IFERROR(__xludf.DUMMYFUNCTION("""COMPUTED_VALUE"""),3605.883334)</f>
        <v>3605.883334</v>
      </c>
    </row>
    <row r="2463">
      <c r="A2463" s="3">
        <f>IFERROR(__xludf.DUMMYFUNCTION("""COMPUTED_VALUE"""),43007.99861111111)</f>
        <v>43007.99861</v>
      </c>
      <c r="B2463" s="1">
        <f>IFERROR(__xludf.DUMMYFUNCTION("""COMPUTED_VALUE"""),3570.575791)</f>
        <v>3570.575791</v>
      </c>
    </row>
    <row r="2464">
      <c r="A2464" s="3">
        <f>IFERROR(__xludf.DUMMYFUNCTION("""COMPUTED_VALUE"""),43009.99861111111)</f>
        <v>43009.99861</v>
      </c>
      <c r="B2464" s="1">
        <f>IFERROR(__xludf.DUMMYFUNCTION("""COMPUTED_VALUE"""),3590.858049)</f>
        <v>3590.858049</v>
      </c>
    </row>
    <row r="2465">
      <c r="A2465" s="3">
        <f>IFERROR(__xludf.DUMMYFUNCTION("""COMPUTED_VALUE"""),43010.99861111111)</f>
        <v>43010.99861</v>
      </c>
      <c r="B2465" s="1">
        <f>IFERROR(__xludf.DUMMYFUNCTION("""COMPUTED_VALUE"""),3612.312345)</f>
        <v>3612.312345</v>
      </c>
    </row>
    <row r="2466">
      <c r="A2466" s="3">
        <f>IFERROR(__xludf.DUMMYFUNCTION("""COMPUTED_VALUE"""),43011.99861111111)</f>
        <v>43011.99861</v>
      </c>
      <c r="B2466" s="1">
        <f>IFERROR(__xludf.DUMMYFUNCTION("""COMPUTED_VALUE"""),3613.840197)</f>
        <v>3613.840197</v>
      </c>
    </row>
    <row r="2467">
      <c r="A2467" s="3">
        <f>IFERROR(__xludf.DUMMYFUNCTION("""COMPUTED_VALUE"""),43012.99861111111)</f>
        <v>43012.99861</v>
      </c>
      <c r="B2467" s="1">
        <f>IFERROR(__xludf.DUMMYFUNCTION("""COMPUTED_VALUE"""),3595.835492)</f>
        <v>3595.835492</v>
      </c>
    </row>
    <row r="2468">
      <c r="A2468" s="3">
        <f>IFERROR(__xludf.DUMMYFUNCTION("""COMPUTED_VALUE"""),43013.99861111111)</f>
        <v>43013.99861</v>
      </c>
      <c r="B2468" s="1">
        <f>IFERROR(__xludf.DUMMYFUNCTION("""COMPUTED_VALUE"""),3591.33858)</f>
        <v>3591.33858</v>
      </c>
    </row>
    <row r="2469">
      <c r="A2469" s="3">
        <f>IFERROR(__xludf.DUMMYFUNCTION("""COMPUTED_VALUE"""),43014.99861111111)</f>
        <v>43014.99861</v>
      </c>
      <c r="B2469" s="1">
        <f>IFERROR(__xludf.DUMMYFUNCTION("""COMPUTED_VALUE"""),3602.646846)</f>
        <v>3602.646846</v>
      </c>
    </row>
    <row r="2470">
      <c r="A2470" s="3">
        <f>IFERROR(__xludf.DUMMYFUNCTION("""COMPUTED_VALUE"""),43015.99861111111)</f>
        <v>43015.99861</v>
      </c>
      <c r="B2470" s="1">
        <f>IFERROR(__xludf.DUMMYFUNCTION("""COMPUTED_VALUE"""),3602.370085)</f>
        <v>3602.370085</v>
      </c>
    </row>
    <row r="2471">
      <c r="A2471" s="3">
        <f>IFERROR(__xludf.DUMMYFUNCTION("""COMPUTED_VALUE"""),43016.99861111111)</f>
        <v>43016.99861</v>
      </c>
      <c r="B2471" s="1">
        <f>IFERROR(__xludf.DUMMYFUNCTION("""COMPUTED_VALUE"""),3599.295873)</f>
        <v>3599.295873</v>
      </c>
    </row>
    <row r="2472">
      <c r="A2472" s="3">
        <f>IFERROR(__xludf.DUMMYFUNCTION("""COMPUTED_VALUE"""),43017.99861111111)</f>
        <v>43017.99861</v>
      </c>
      <c r="B2472" s="1">
        <f>IFERROR(__xludf.DUMMYFUNCTION("""COMPUTED_VALUE"""),3606.898719)</f>
        <v>3606.898719</v>
      </c>
    </row>
    <row r="2473">
      <c r="A2473" s="3">
        <f>IFERROR(__xludf.DUMMYFUNCTION("""COMPUTED_VALUE"""),43018.99861111111)</f>
        <v>43018.99861</v>
      </c>
      <c r="B2473" s="1">
        <f>IFERROR(__xludf.DUMMYFUNCTION("""COMPUTED_VALUE"""),3606.995045)</f>
        <v>3606.995045</v>
      </c>
    </row>
    <row r="2474">
      <c r="A2474" s="3">
        <f>IFERROR(__xludf.DUMMYFUNCTION("""COMPUTED_VALUE"""),43019.99861111111)</f>
        <v>43019.99861</v>
      </c>
      <c r="B2474" s="1">
        <f>IFERROR(__xludf.DUMMYFUNCTION("""COMPUTED_VALUE"""),3606.417222)</f>
        <v>3606.417222</v>
      </c>
    </row>
    <row r="2475">
      <c r="A2475" s="3">
        <f>IFERROR(__xludf.DUMMYFUNCTION("""COMPUTED_VALUE"""),43020.99861111111)</f>
        <v>43020.99861</v>
      </c>
      <c r="B2475" s="1">
        <f>IFERROR(__xludf.DUMMYFUNCTION("""COMPUTED_VALUE"""),3603.406372)</f>
        <v>3603.406372</v>
      </c>
    </row>
    <row r="2476">
      <c r="A2476" s="3">
        <f>IFERROR(__xludf.DUMMYFUNCTION("""COMPUTED_VALUE"""),43021.99861111111)</f>
        <v>43021.99861</v>
      </c>
      <c r="B2476" s="1">
        <f>IFERROR(__xludf.DUMMYFUNCTION("""COMPUTED_VALUE"""),3584.487682)</f>
        <v>3584.487682</v>
      </c>
    </row>
    <row r="2477">
      <c r="A2477" s="3">
        <f>IFERROR(__xludf.DUMMYFUNCTION("""COMPUTED_VALUE"""),43022.99861111111)</f>
        <v>43022.99861</v>
      </c>
      <c r="B2477" s="1">
        <f>IFERROR(__xludf.DUMMYFUNCTION("""COMPUTED_VALUE"""),3601.035577)</f>
        <v>3601.035577</v>
      </c>
    </row>
    <row r="2478">
      <c r="A2478" s="3">
        <f>IFERROR(__xludf.DUMMYFUNCTION("""COMPUTED_VALUE"""),43023.99861111111)</f>
        <v>43023.99861</v>
      </c>
      <c r="B2478" s="1">
        <f>IFERROR(__xludf.DUMMYFUNCTION("""COMPUTED_VALUE"""),3597.866576)</f>
        <v>3597.866576</v>
      </c>
    </row>
    <row r="2479">
      <c r="A2479" s="3">
        <f>IFERROR(__xludf.DUMMYFUNCTION("""COMPUTED_VALUE"""),43024.99861111111)</f>
        <v>43024.99861</v>
      </c>
      <c r="B2479" s="1">
        <f>IFERROR(__xludf.DUMMYFUNCTION("""COMPUTED_VALUE"""),3597.245168)</f>
        <v>3597.245168</v>
      </c>
    </row>
    <row r="2480">
      <c r="A2480" s="3">
        <f>IFERROR(__xludf.DUMMYFUNCTION("""COMPUTED_VALUE"""),43025.99861111111)</f>
        <v>43025.99861</v>
      </c>
      <c r="B2480" s="1">
        <f>IFERROR(__xludf.DUMMYFUNCTION("""COMPUTED_VALUE"""),3602.413058)</f>
        <v>3602.413058</v>
      </c>
    </row>
    <row r="2481">
      <c r="A2481" s="3">
        <f>IFERROR(__xludf.DUMMYFUNCTION("""COMPUTED_VALUE"""),43026.99861111111)</f>
        <v>43026.99861</v>
      </c>
      <c r="B2481" s="1">
        <f>IFERROR(__xludf.DUMMYFUNCTION("""COMPUTED_VALUE"""),3606.321031)</f>
        <v>3606.321031</v>
      </c>
    </row>
    <row r="2482">
      <c r="A2482" s="3">
        <f>IFERROR(__xludf.DUMMYFUNCTION("""COMPUTED_VALUE"""),43027.99861111111)</f>
        <v>43027.99861</v>
      </c>
      <c r="B2482" s="1">
        <f>IFERROR(__xludf.DUMMYFUNCTION("""COMPUTED_VALUE"""),3601.366753)</f>
        <v>3601.366753</v>
      </c>
    </row>
    <row r="2483">
      <c r="A2483" s="3">
        <f>IFERROR(__xludf.DUMMYFUNCTION("""COMPUTED_VALUE"""),43028.99861111111)</f>
        <v>43028.99861</v>
      </c>
      <c r="B2483" s="1">
        <f>IFERROR(__xludf.DUMMYFUNCTION("""COMPUTED_VALUE"""),3609.560658)</f>
        <v>3609.560658</v>
      </c>
    </row>
    <row r="2484">
      <c r="A2484" s="3">
        <f>IFERROR(__xludf.DUMMYFUNCTION("""COMPUTED_VALUE"""),43029.99861111111)</f>
        <v>43029.99861</v>
      </c>
      <c r="B2484" s="1">
        <f>IFERROR(__xludf.DUMMYFUNCTION("""COMPUTED_VALUE"""),3609.560658)</f>
        <v>3609.560658</v>
      </c>
    </row>
    <row r="2485">
      <c r="A2485" s="3">
        <f>IFERROR(__xludf.DUMMYFUNCTION("""COMPUTED_VALUE"""),43030.99861111111)</f>
        <v>43030.99861</v>
      </c>
      <c r="B2485" s="1">
        <f>IFERROR(__xludf.DUMMYFUNCTION("""COMPUTED_VALUE"""),3604.362675)</f>
        <v>3604.362675</v>
      </c>
    </row>
    <row r="2486">
      <c r="A2486" s="3">
        <f>IFERROR(__xludf.DUMMYFUNCTION("""COMPUTED_VALUE"""),43031.99861111111)</f>
        <v>43031.99861</v>
      </c>
      <c r="B2486" s="1">
        <f>IFERROR(__xludf.DUMMYFUNCTION("""COMPUTED_VALUE"""),3613.187334)</f>
        <v>3613.187334</v>
      </c>
    </row>
    <row r="2487">
      <c r="A2487" s="3">
        <f>IFERROR(__xludf.DUMMYFUNCTION("""COMPUTED_VALUE"""),43032.99861111111)</f>
        <v>43032.99861</v>
      </c>
      <c r="B2487" s="1">
        <f>IFERROR(__xludf.DUMMYFUNCTION("""COMPUTED_VALUE"""),3610.421387)</f>
        <v>3610.421387</v>
      </c>
    </row>
    <row r="2488">
      <c r="A2488" s="3">
        <f>IFERROR(__xludf.DUMMYFUNCTION("""COMPUTED_VALUE"""),43033.99861111111)</f>
        <v>43033.99861</v>
      </c>
      <c r="B2488" s="1">
        <f>IFERROR(__xludf.DUMMYFUNCTION("""COMPUTED_VALUE"""),3623.644875)</f>
        <v>3623.644875</v>
      </c>
    </row>
    <row r="2489">
      <c r="A2489" s="3">
        <f>IFERROR(__xludf.DUMMYFUNCTION("""COMPUTED_VALUE"""),43034.99861111111)</f>
        <v>43034.99861</v>
      </c>
      <c r="B2489" s="1">
        <f>IFERROR(__xludf.DUMMYFUNCTION("""COMPUTED_VALUE"""),3642.698735)</f>
        <v>3642.698735</v>
      </c>
    </row>
    <row r="2490">
      <c r="A2490" s="3">
        <f>IFERROR(__xludf.DUMMYFUNCTION("""COMPUTED_VALUE"""),43035.99861111111)</f>
        <v>43035.99861</v>
      </c>
      <c r="B2490" s="1">
        <f>IFERROR(__xludf.DUMMYFUNCTION("""COMPUTED_VALUE"""),3628.136613)</f>
        <v>3628.136613</v>
      </c>
    </row>
    <row r="2491">
      <c r="A2491" s="3">
        <f>IFERROR(__xludf.DUMMYFUNCTION("""COMPUTED_VALUE"""),43037.99861111111)</f>
        <v>43037.99861</v>
      </c>
      <c r="B2491" s="1">
        <f>IFERROR(__xludf.DUMMYFUNCTION("""COMPUTED_VALUE"""),3623.659797)</f>
        <v>3623.659797</v>
      </c>
    </row>
    <row r="2492">
      <c r="A2492" s="3">
        <f>IFERROR(__xludf.DUMMYFUNCTION("""COMPUTED_VALUE"""),43038.99861111111)</f>
        <v>43038.99861</v>
      </c>
      <c r="B2492" s="1">
        <f>IFERROR(__xludf.DUMMYFUNCTION("""COMPUTED_VALUE"""),3623.598439)</f>
        <v>3623.598439</v>
      </c>
    </row>
    <row r="2493">
      <c r="A2493" s="3">
        <f>IFERROR(__xludf.DUMMYFUNCTION("""COMPUTED_VALUE"""),43039.99861111111)</f>
        <v>43039.99861</v>
      </c>
      <c r="B2493" s="1">
        <f>IFERROR(__xludf.DUMMYFUNCTION("""COMPUTED_VALUE"""),3618.356051)</f>
        <v>3618.356051</v>
      </c>
    </row>
    <row r="2494">
      <c r="A2494" s="3">
        <f>IFERROR(__xludf.DUMMYFUNCTION("""COMPUTED_VALUE"""),43040.99861111111)</f>
        <v>43040.99861</v>
      </c>
      <c r="B2494" s="1">
        <f>IFERROR(__xludf.DUMMYFUNCTION("""COMPUTED_VALUE"""),3617.799329)</f>
        <v>3617.799329</v>
      </c>
    </row>
    <row r="2495">
      <c r="A2495" s="3">
        <f>IFERROR(__xludf.DUMMYFUNCTION("""COMPUTED_VALUE"""),43041.99861111111)</f>
        <v>43041.99861</v>
      </c>
      <c r="B2495" s="1">
        <f>IFERROR(__xludf.DUMMYFUNCTION("""COMPUTED_VALUE"""),3615.322945)</f>
        <v>3615.322945</v>
      </c>
    </row>
    <row r="2496">
      <c r="A2496" s="3">
        <f>IFERROR(__xludf.DUMMYFUNCTION("""COMPUTED_VALUE"""),43042.99861111111)</f>
        <v>43042.99861</v>
      </c>
      <c r="B2496" s="1">
        <f>IFERROR(__xludf.DUMMYFUNCTION("""COMPUTED_VALUE"""),3598.024714)</f>
        <v>3598.024714</v>
      </c>
    </row>
    <row r="2497">
      <c r="A2497" s="3">
        <f>IFERROR(__xludf.DUMMYFUNCTION("""COMPUTED_VALUE"""),43043.99861111111)</f>
        <v>43043.99861</v>
      </c>
      <c r="B2497" s="1">
        <f>IFERROR(__xludf.DUMMYFUNCTION("""COMPUTED_VALUE"""),3598.024714)</f>
        <v>3598.024714</v>
      </c>
    </row>
    <row r="2498">
      <c r="A2498" s="3">
        <f>IFERROR(__xludf.DUMMYFUNCTION("""COMPUTED_VALUE"""),43044.99861111111)</f>
        <v>43044.99861</v>
      </c>
      <c r="B2498" s="1">
        <f>IFERROR(__xludf.DUMMYFUNCTION("""COMPUTED_VALUE"""),3596.968691)</f>
        <v>3596.968691</v>
      </c>
    </row>
    <row r="2499">
      <c r="A2499" s="3">
        <f>IFERROR(__xludf.DUMMYFUNCTION("""COMPUTED_VALUE"""),43045.99861111111)</f>
        <v>43045.99861</v>
      </c>
      <c r="B2499" s="1">
        <f>IFERROR(__xludf.DUMMYFUNCTION("""COMPUTED_VALUE"""),3599.305861)</f>
        <v>3599.305861</v>
      </c>
    </row>
    <row r="2500">
      <c r="A2500" s="3">
        <f>IFERROR(__xludf.DUMMYFUNCTION("""COMPUTED_VALUE"""),43046.99861111111)</f>
        <v>43046.99861</v>
      </c>
      <c r="B2500" s="1">
        <f>IFERROR(__xludf.DUMMYFUNCTION("""COMPUTED_VALUE"""),3607.677709)</f>
        <v>3607.677709</v>
      </c>
    </row>
    <row r="2501">
      <c r="A2501" s="3">
        <f>IFERROR(__xludf.DUMMYFUNCTION("""COMPUTED_VALUE"""),43047.99861111111)</f>
        <v>43047.99861</v>
      </c>
      <c r="B2501" s="1">
        <f>IFERROR(__xludf.DUMMYFUNCTION("""COMPUTED_VALUE"""),3604.741165)</f>
        <v>3604.741165</v>
      </c>
    </row>
    <row r="2502">
      <c r="A2502" s="3">
        <f>IFERROR(__xludf.DUMMYFUNCTION("""COMPUTED_VALUE"""),43048.99861111111)</f>
        <v>43048.99861</v>
      </c>
      <c r="B2502" s="1">
        <f>IFERROR(__xludf.DUMMYFUNCTION("""COMPUTED_VALUE"""),3610.955275)</f>
        <v>3610.955275</v>
      </c>
    </row>
    <row r="2503">
      <c r="A2503" s="3">
        <f>IFERROR(__xludf.DUMMYFUNCTION("""COMPUTED_VALUE"""),43049.99861111111)</f>
        <v>43049.99861</v>
      </c>
      <c r="B2503" s="1">
        <f>IFERROR(__xludf.DUMMYFUNCTION("""COMPUTED_VALUE"""),3615.055994)</f>
        <v>3615.055994</v>
      </c>
    </row>
    <row r="2504">
      <c r="A2504" s="3">
        <f>IFERROR(__xludf.DUMMYFUNCTION("""COMPUTED_VALUE"""),43050.99861111111)</f>
        <v>43050.99861</v>
      </c>
      <c r="B2504" s="1">
        <f>IFERROR(__xludf.DUMMYFUNCTION("""COMPUTED_VALUE"""),3617.226309)</f>
        <v>3617.226309</v>
      </c>
    </row>
    <row r="2505">
      <c r="A2505" s="3">
        <f>IFERROR(__xludf.DUMMYFUNCTION("""COMPUTED_VALUE"""),43051.99861111111)</f>
        <v>43051.99861</v>
      </c>
      <c r="B2505" s="1">
        <f>IFERROR(__xludf.DUMMYFUNCTION("""COMPUTED_VALUE"""),3606.662359)</f>
        <v>3606.662359</v>
      </c>
    </row>
    <row r="2506">
      <c r="A2506" s="3">
        <f>IFERROR(__xludf.DUMMYFUNCTION("""COMPUTED_VALUE"""),43052.99861111111)</f>
        <v>43052.99861</v>
      </c>
      <c r="B2506" s="1">
        <f>IFERROR(__xludf.DUMMYFUNCTION("""COMPUTED_VALUE"""),3618.089092)</f>
        <v>3618.089092</v>
      </c>
    </row>
    <row r="2507">
      <c r="A2507" s="3">
        <f>IFERROR(__xludf.DUMMYFUNCTION("""COMPUTED_VALUE"""),43053.99861111111)</f>
        <v>43053.99861</v>
      </c>
      <c r="B2507" s="1">
        <f>IFERROR(__xludf.DUMMYFUNCTION("""COMPUTED_VALUE"""),3615.760272)</f>
        <v>3615.760272</v>
      </c>
    </row>
    <row r="2508">
      <c r="A2508" s="3">
        <f>IFERROR(__xludf.DUMMYFUNCTION("""COMPUTED_VALUE"""),43054.99861111111)</f>
        <v>43054.99861</v>
      </c>
      <c r="B2508" s="1">
        <f>IFERROR(__xludf.DUMMYFUNCTION("""COMPUTED_VALUE"""),3613.090829)</f>
        <v>3613.090829</v>
      </c>
    </row>
    <row r="2509">
      <c r="A2509" s="3">
        <f>IFERROR(__xludf.DUMMYFUNCTION("""COMPUTED_VALUE"""),43055.99861111111)</f>
        <v>43055.99861</v>
      </c>
      <c r="B2509" s="1">
        <f>IFERROR(__xludf.DUMMYFUNCTION("""COMPUTED_VALUE"""),3607.003631)</f>
        <v>3607.003631</v>
      </c>
    </row>
    <row r="2510">
      <c r="A2510" s="3">
        <f>IFERROR(__xludf.DUMMYFUNCTION("""COMPUTED_VALUE"""),43056.99861111111)</f>
        <v>43056.99861</v>
      </c>
      <c r="B2510" s="1">
        <f>IFERROR(__xludf.DUMMYFUNCTION("""COMPUTED_VALUE"""),3604.921024)</f>
        <v>3604.921024</v>
      </c>
    </row>
    <row r="2511">
      <c r="A2511" s="3">
        <f>IFERROR(__xludf.DUMMYFUNCTION("""COMPUTED_VALUE"""),43057.99861111111)</f>
        <v>43057.99861</v>
      </c>
      <c r="B2511" s="1">
        <f>IFERROR(__xludf.DUMMYFUNCTION("""COMPUTED_VALUE"""),3603.890954)</f>
        <v>3603.890954</v>
      </c>
    </row>
    <row r="2512">
      <c r="A2512" s="3">
        <f>IFERROR(__xludf.DUMMYFUNCTION("""COMPUTED_VALUE"""),43058.99861111111)</f>
        <v>43058.99861</v>
      </c>
      <c r="B2512" s="1">
        <f>IFERROR(__xludf.DUMMYFUNCTION("""COMPUTED_VALUE"""),3604.440139)</f>
        <v>3604.440139</v>
      </c>
    </row>
    <row r="2513">
      <c r="A2513" s="3">
        <f>IFERROR(__xludf.DUMMYFUNCTION("""COMPUTED_VALUE"""),43059.99861111111)</f>
        <v>43059.99861</v>
      </c>
      <c r="B2513" s="1">
        <f>IFERROR(__xludf.DUMMYFUNCTION("""COMPUTED_VALUE"""),3610.51782)</f>
        <v>3610.51782</v>
      </c>
    </row>
    <row r="2514">
      <c r="A2514" s="3">
        <f>IFERROR(__xludf.DUMMYFUNCTION("""COMPUTED_VALUE"""),43060.99861111111)</f>
        <v>43060.99861</v>
      </c>
      <c r="B2514" s="1">
        <f>IFERROR(__xludf.DUMMYFUNCTION("""COMPUTED_VALUE"""),3609.012502)</f>
        <v>3609.012502</v>
      </c>
    </row>
    <row r="2515">
      <c r="A2515" s="3">
        <f>IFERROR(__xludf.DUMMYFUNCTION("""COMPUTED_VALUE"""),43061.99861111111)</f>
        <v>43061.99861</v>
      </c>
      <c r="B2515" s="1">
        <f>IFERROR(__xludf.DUMMYFUNCTION("""COMPUTED_VALUE"""),3597.503989)</f>
        <v>3597.503989</v>
      </c>
    </row>
    <row r="2516">
      <c r="A2516" s="3">
        <f>IFERROR(__xludf.DUMMYFUNCTION("""COMPUTED_VALUE"""),43062.99861111111)</f>
        <v>43062.99861</v>
      </c>
      <c r="B2516" s="1">
        <f>IFERROR(__xludf.DUMMYFUNCTION("""COMPUTED_VALUE"""),3601.29214)</f>
        <v>3601.29214</v>
      </c>
    </row>
    <row r="2517">
      <c r="A2517" s="3">
        <f>IFERROR(__xludf.DUMMYFUNCTION("""COMPUTED_VALUE"""),43063.99861111111)</f>
        <v>43063.99861</v>
      </c>
      <c r="B2517" s="1">
        <f>IFERROR(__xludf.DUMMYFUNCTION("""COMPUTED_VALUE"""),3603.598719)</f>
        <v>3603.598719</v>
      </c>
    </row>
    <row r="2518">
      <c r="A2518" s="3">
        <f>IFERROR(__xludf.DUMMYFUNCTION("""COMPUTED_VALUE"""),43064.99861111111)</f>
        <v>43064.99861</v>
      </c>
      <c r="B2518" s="1">
        <f>IFERROR(__xludf.DUMMYFUNCTION("""COMPUTED_VALUE"""),3603.598719)</f>
        <v>3603.598719</v>
      </c>
    </row>
    <row r="2519">
      <c r="A2519" s="3">
        <f>IFERROR(__xludf.DUMMYFUNCTION("""COMPUTED_VALUE"""),43065.99861111111)</f>
        <v>43065.99861</v>
      </c>
      <c r="B2519" s="1">
        <f>IFERROR(__xludf.DUMMYFUNCTION("""COMPUTED_VALUE"""),3601.771765)</f>
        <v>3601.771765</v>
      </c>
    </row>
    <row r="2520">
      <c r="A2520" s="3">
        <f>IFERROR(__xludf.DUMMYFUNCTION("""COMPUTED_VALUE"""),43066.99861111111)</f>
        <v>43066.99861</v>
      </c>
      <c r="B2520" s="1">
        <f>IFERROR(__xludf.DUMMYFUNCTION("""COMPUTED_VALUE"""),3606.7805)</f>
        <v>3606.7805</v>
      </c>
    </row>
    <row r="2521">
      <c r="A2521" s="3">
        <f>IFERROR(__xludf.DUMMYFUNCTION("""COMPUTED_VALUE"""),43067.99861111111)</f>
        <v>43067.99861</v>
      </c>
      <c r="B2521" s="1">
        <f>IFERROR(__xludf.DUMMYFUNCTION("""COMPUTED_VALUE"""),3603.94029)</f>
        <v>3603.94029</v>
      </c>
    </row>
    <row r="2522">
      <c r="A2522" s="3">
        <f>IFERROR(__xludf.DUMMYFUNCTION("""COMPUTED_VALUE"""),43068.99861111111)</f>
        <v>43068.99861</v>
      </c>
      <c r="B2522" s="1">
        <f>IFERROR(__xludf.DUMMYFUNCTION("""COMPUTED_VALUE"""),3605.200556)</f>
        <v>3605.200556</v>
      </c>
    </row>
    <row r="2523">
      <c r="A2523" s="3">
        <f>IFERROR(__xludf.DUMMYFUNCTION("""COMPUTED_VALUE"""),43069.99861111111)</f>
        <v>43069.99861</v>
      </c>
      <c r="B2523" s="1">
        <f>IFERROR(__xludf.DUMMYFUNCTION("""COMPUTED_VALUE"""),3614.692495)</f>
        <v>3614.692495</v>
      </c>
    </row>
    <row r="2524">
      <c r="A2524" s="3">
        <f>IFERROR(__xludf.DUMMYFUNCTION("""COMPUTED_VALUE"""),43070.99861111111)</f>
        <v>43070.99861</v>
      </c>
      <c r="B2524" s="1">
        <f>IFERROR(__xludf.DUMMYFUNCTION("""COMPUTED_VALUE"""),3612.617138)</f>
        <v>3612.617138</v>
      </c>
    </row>
    <row r="2525">
      <c r="A2525" s="3">
        <f>IFERROR(__xludf.DUMMYFUNCTION("""COMPUTED_VALUE"""),43071.99861111111)</f>
        <v>43071.99861</v>
      </c>
      <c r="B2525" s="1">
        <f>IFERROR(__xludf.DUMMYFUNCTION("""COMPUTED_VALUE"""),3614.163571)</f>
        <v>3614.163571</v>
      </c>
    </row>
    <row r="2526">
      <c r="A2526" s="3">
        <f>IFERROR(__xludf.DUMMYFUNCTION("""COMPUTED_VALUE"""),43072.99861111111)</f>
        <v>43072.99861</v>
      </c>
      <c r="B2526" s="1">
        <f>IFERROR(__xludf.DUMMYFUNCTION("""COMPUTED_VALUE"""),3618.219139)</f>
        <v>3618.219139</v>
      </c>
    </row>
    <row r="2527">
      <c r="A2527" s="3">
        <f>IFERROR(__xludf.DUMMYFUNCTION("""COMPUTED_VALUE"""),43073.99861111111)</f>
        <v>43073.99861</v>
      </c>
      <c r="B2527" s="1">
        <f>IFERROR(__xludf.DUMMYFUNCTION("""COMPUTED_VALUE"""),3602.146114)</f>
        <v>3602.146114</v>
      </c>
    </row>
    <row r="2528">
      <c r="A2528" s="3">
        <f>IFERROR(__xludf.DUMMYFUNCTION("""COMPUTED_VALUE"""),43074.99861111111)</f>
        <v>43074.99861</v>
      </c>
      <c r="B2528" s="1">
        <f>IFERROR(__xludf.DUMMYFUNCTION("""COMPUTED_VALUE"""),3607.218055)</f>
        <v>3607.218055</v>
      </c>
    </row>
    <row r="2529">
      <c r="A2529" s="3">
        <f>IFERROR(__xludf.DUMMYFUNCTION("""COMPUTED_VALUE"""),43075.99861111111)</f>
        <v>43075.99861</v>
      </c>
      <c r="B2529" s="1">
        <f>IFERROR(__xludf.DUMMYFUNCTION("""COMPUTED_VALUE"""),3612.823885)</f>
        <v>3612.823885</v>
      </c>
    </row>
    <row r="2530">
      <c r="A2530" s="3">
        <f>IFERROR(__xludf.DUMMYFUNCTION("""COMPUTED_VALUE"""),43076.99861111111)</f>
        <v>43076.99861</v>
      </c>
      <c r="B2530" s="1">
        <f>IFERROR(__xludf.DUMMYFUNCTION("""COMPUTED_VALUE"""),3618.378855)</f>
        <v>3618.378855</v>
      </c>
    </row>
    <row r="2531">
      <c r="A2531" s="3">
        <f>IFERROR(__xludf.DUMMYFUNCTION("""COMPUTED_VALUE"""),43077.99861111111)</f>
        <v>43077.99861</v>
      </c>
      <c r="B2531" s="1">
        <f>IFERROR(__xludf.DUMMYFUNCTION("""COMPUTED_VALUE"""),3616.884779)</f>
        <v>3616.884779</v>
      </c>
    </row>
    <row r="2532">
      <c r="A2532" s="3">
        <f>IFERROR(__xludf.DUMMYFUNCTION("""COMPUTED_VALUE"""),43078.99861111111)</f>
        <v>43078.99861</v>
      </c>
      <c r="B2532" s="1">
        <f>IFERROR(__xludf.DUMMYFUNCTION("""COMPUTED_VALUE"""),3610.325753)</f>
        <v>3610.325753</v>
      </c>
    </row>
    <row r="2533">
      <c r="A2533" s="3">
        <f>IFERROR(__xludf.DUMMYFUNCTION("""COMPUTED_VALUE"""),43079.99861111111)</f>
        <v>43079.99861</v>
      </c>
      <c r="B2533" s="1">
        <f>IFERROR(__xludf.DUMMYFUNCTION("""COMPUTED_VALUE"""),3604.077132)</f>
        <v>3604.077132</v>
      </c>
    </row>
    <row r="2534">
      <c r="A2534" s="3">
        <f>IFERROR(__xludf.DUMMYFUNCTION("""COMPUTED_VALUE"""),43080.99861111111)</f>
        <v>43080.99861</v>
      </c>
      <c r="B2534" s="1">
        <f>IFERROR(__xludf.DUMMYFUNCTION("""COMPUTED_VALUE"""),3617.628882)</f>
        <v>3617.628882</v>
      </c>
    </row>
    <row r="2535">
      <c r="A2535" s="3">
        <f>IFERROR(__xludf.DUMMYFUNCTION("""COMPUTED_VALUE"""),43081.99861111111)</f>
        <v>43081.99861</v>
      </c>
      <c r="B2535" s="1">
        <f>IFERROR(__xludf.DUMMYFUNCTION("""COMPUTED_VALUE"""),3617.555175)</f>
        <v>3617.555175</v>
      </c>
    </row>
    <row r="2536">
      <c r="A2536" s="3">
        <f>IFERROR(__xludf.DUMMYFUNCTION("""COMPUTED_VALUE"""),43082.99861111111)</f>
        <v>43082.99861</v>
      </c>
      <c r="B2536" s="1">
        <f>IFERROR(__xludf.DUMMYFUNCTION("""COMPUTED_VALUE"""),3614.522091)</f>
        <v>3614.522091</v>
      </c>
    </row>
    <row r="2537">
      <c r="A2537" s="3">
        <f>IFERROR(__xludf.DUMMYFUNCTION("""COMPUTED_VALUE"""),43083.99861111111)</f>
        <v>43083.99861</v>
      </c>
      <c r="B2537" s="1">
        <f>IFERROR(__xludf.DUMMYFUNCTION("""COMPUTED_VALUE"""),3614.592647)</f>
        <v>3614.592647</v>
      </c>
    </row>
    <row r="2538">
      <c r="A2538" s="3">
        <f>IFERROR(__xludf.DUMMYFUNCTION("""COMPUTED_VALUE"""),43084.99861111111)</f>
        <v>43084.99861</v>
      </c>
      <c r="B2538" s="1">
        <f>IFERROR(__xludf.DUMMYFUNCTION("""COMPUTED_VALUE"""),3620.54699)</f>
        <v>3620.54699</v>
      </c>
    </row>
    <row r="2539">
      <c r="A2539" s="3">
        <f>IFERROR(__xludf.DUMMYFUNCTION("""COMPUTED_VALUE"""),43086.99861111111)</f>
        <v>43086.99861</v>
      </c>
      <c r="B2539" s="1">
        <f>IFERROR(__xludf.DUMMYFUNCTION("""COMPUTED_VALUE"""),3618.133242)</f>
        <v>3618.133242</v>
      </c>
    </row>
    <row r="2540">
      <c r="A2540" s="3">
        <f>IFERROR(__xludf.DUMMYFUNCTION("""COMPUTED_VALUE"""),43087.99861111111)</f>
        <v>43087.99861</v>
      </c>
      <c r="B2540" s="1">
        <f>IFERROR(__xludf.DUMMYFUNCTION("""COMPUTED_VALUE"""),3625.490488)</f>
        <v>3625.490488</v>
      </c>
    </row>
    <row r="2541">
      <c r="A2541" s="3">
        <f>IFERROR(__xludf.DUMMYFUNCTION("""COMPUTED_VALUE"""),43088.99861111111)</f>
        <v>43088.99861</v>
      </c>
      <c r="B2541" s="1">
        <f>IFERROR(__xludf.DUMMYFUNCTION("""COMPUTED_VALUE"""),3623.768601)</f>
        <v>3623.768601</v>
      </c>
    </row>
    <row r="2542">
      <c r="A2542" s="3">
        <f>IFERROR(__xludf.DUMMYFUNCTION("""COMPUTED_VALUE"""),43089.99861111111)</f>
        <v>43089.99861</v>
      </c>
      <c r="B2542" s="1">
        <f>IFERROR(__xludf.DUMMYFUNCTION("""COMPUTED_VALUE"""),3623.234712)</f>
        <v>3623.234712</v>
      </c>
    </row>
    <row r="2543">
      <c r="A2543" s="3">
        <f>IFERROR(__xludf.DUMMYFUNCTION("""COMPUTED_VALUE"""),43090.99861111111)</f>
        <v>43090.99861</v>
      </c>
      <c r="B2543" s="1">
        <f>IFERROR(__xludf.DUMMYFUNCTION("""COMPUTED_VALUE"""),3619.621988)</f>
        <v>3619.621988</v>
      </c>
    </row>
    <row r="2544">
      <c r="A2544" s="3">
        <f>IFERROR(__xludf.DUMMYFUNCTION("""COMPUTED_VALUE"""),43091.99861111111)</f>
        <v>43091.99861</v>
      </c>
      <c r="B2544" s="1">
        <f>IFERROR(__xludf.DUMMYFUNCTION("""COMPUTED_VALUE"""),3617.452971)</f>
        <v>3617.452971</v>
      </c>
    </row>
    <row r="2545">
      <c r="A2545" s="3">
        <f>IFERROR(__xludf.DUMMYFUNCTION("""COMPUTED_VALUE"""),43092.99861111111)</f>
        <v>43092.99861</v>
      </c>
      <c r="B2545" s="1">
        <f>IFERROR(__xludf.DUMMYFUNCTION("""COMPUTED_VALUE"""),3617.452971)</f>
        <v>3617.452971</v>
      </c>
    </row>
    <row r="2546">
      <c r="A2546" s="3">
        <f>IFERROR(__xludf.DUMMYFUNCTION("""COMPUTED_VALUE"""),43093.99861111111)</f>
        <v>43093.99861</v>
      </c>
      <c r="B2546" s="1">
        <f>IFERROR(__xludf.DUMMYFUNCTION("""COMPUTED_VALUE"""),3613.599909)</f>
        <v>3613.599909</v>
      </c>
    </row>
    <row r="2547">
      <c r="A2547" s="3">
        <f>IFERROR(__xludf.DUMMYFUNCTION("""COMPUTED_VALUE"""),43094.99861111111)</f>
        <v>43094.99861</v>
      </c>
      <c r="B2547" s="1">
        <f>IFERROR(__xludf.DUMMYFUNCTION("""COMPUTED_VALUE"""),3676.774171)</f>
        <v>3676.774171</v>
      </c>
    </row>
    <row r="2548">
      <c r="A2548" s="3">
        <f>IFERROR(__xludf.DUMMYFUNCTION("""COMPUTED_VALUE"""),43095.99861111111)</f>
        <v>43095.99861</v>
      </c>
      <c r="B2548" s="1">
        <f>IFERROR(__xludf.DUMMYFUNCTION("""COMPUTED_VALUE"""),3617.532392)</f>
        <v>3617.532392</v>
      </c>
    </row>
    <row r="2549">
      <c r="A2549" s="3">
        <f>IFERROR(__xludf.DUMMYFUNCTION("""COMPUTED_VALUE"""),43096.99861111111)</f>
        <v>43096.99861</v>
      </c>
      <c r="B2549" s="1">
        <f>IFERROR(__xludf.DUMMYFUNCTION("""COMPUTED_VALUE"""),3619.520418)</f>
        <v>3619.520418</v>
      </c>
    </row>
    <row r="2550">
      <c r="A2550" s="3">
        <f>IFERROR(__xludf.DUMMYFUNCTION("""COMPUTED_VALUE"""),43097.99861111111)</f>
        <v>43097.99861</v>
      </c>
      <c r="B2550" s="1">
        <f>IFERROR(__xludf.DUMMYFUNCTION("""COMPUTED_VALUE"""),3619.713755)</f>
        <v>3619.713755</v>
      </c>
    </row>
    <row r="2551">
      <c r="A2551" s="3">
        <f>IFERROR(__xludf.DUMMYFUNCTION("""COMPUTED_VALUE"""),43098.99861111111)</f>
        <v>43098.99861</v>
      </c>
      <c r="B2551" s="1">
        <f>IFERROR(__xludf.DUMMYFUNCTION("""COMPUTED_VALUE"""),3605.769135)</f>
        <v>3605.769135</v>
      </c>
    </row>
    <row r="2552">
      <c r="A2552" s="3">
        <f>IFERROR(__xludf.DUMMYFUNCTION("""COMPUTED_VALUE"""),43099.99861111111)</f>
        <v>43099.99861</v>
      </c>
      <c r="B2552" s="1">
        <f>IFERROR(__xludf.DUMMYFUNCTION("""COMPUTED_VALUE"""),3599.625972)</f>
        <v>3599.625972</v>
      </c>
    </row>
    <row r="2553">
      <c r="A2553" s="3">
        <f>IFERROR(__xludf.DUMMYFUNCTION("""COMPUTED_VALUE"""),43100.99861111111)</f>
        <v>43100.99861</v>
      </c>
      <c r="B2553" s="1">
        <f>IFERROR(__xludf.DUMMYFUNCTION("""COMPUTED_VALUE"""),3611.199909)</f>
        <v>3611.199909</v>
      </c>
    </row>
    <row r="2554">
      <c r="A2554" s="3">
        <f>IFERROR(__xludf.DUMMYFUNCTION("""COMPUTED_VALUE"""),43101.99861111111)</f>
        <v>43101.99861</v>
      </c>
      <c r="B2554" s="1">
        <f>IFERROR(__xludf.DUMMYFUNCTION("""COMPUTED_VALUE"""),3622.219739)</f>
        <v>3622.219739</v>
      </c>
    </row>
    <row r="2555">
      <c r="A2555" s="3">
        <f>IFERROR(__xludf.DUMMYFUNCTION("""COMPUTED_VALUE"""),43102.99861111111)</f>
        <v>43102.99861</v>
      </c>
      <c r="B2555" s="1">
        <f>IFERROR(__xludf.DUMMYFUNCTION("""COMPUTED_VALUE"""),3603.064773)</f>
        <v>3603.064773</v>
      </c>
    </row>
    <row r="2556">
      <c r="A2556" s="3">
        <f>IFERROR(__xludf.DUMMYFUNCTION("""COMPUTED_VALUE"""),43103.99861111111)</f>
        <v>43103.99861</v>
      </c>
      <c r="B2556" s="1">
        <f>IFERROR(__xludf.DUMMYFUNCTION("""COMPUTED_VALUE"""),3595.205563)</f>
        <v>3595.205563</v>
      </c>
    </row>
    <row r="2557">
      <c r="A2557" s="3">
        <f>IFERROR(__xludf.DUMMYFUNCTION("""COMPUTED_VALUE"""),43104.99861111111)</f>
        <v>43104.99861</v>
      </c>
      <c r="B2557" s="1">
        <f>IFERROR(__xludf.DUMMYFUNCTION("""COMPUTED_VALUE"""),3580.962001)</f>
        <v>3580.962001</v>
      </c>
    </row>
    <row r="2558">
      <c r="A2558" s="3">
        <f>IFERROR(__xludf.DUMMYFUNCTION("""COMPUTED_VALUE"""),43105.99861111111)</f>
        <v>43105.99861</v>
      </c>
      <c r="B2558" s="1">
        <f>IFERROR(__xludf.DUMMYFUNCTION("""COMPUTED_VALUE"""),3579.894252)</f>
        <v>3579.894252</v>
      </c>
    </row>
    <row r="2559">
      <c r="A2559" s="3">
        <f>IFERROR(__xludf.DUMMYFUNCTION("""COMPUTED_VALUE"""),43107.99861111111)</f>
        <v>43107.99861</v>
      </c>
      <c r="B2559" s="1">
        <f>IFERROR(__xludf.DUMMYFUNCTION("""COMPUTED_VALUE"""),3580.533243)</f>
        <v>3580.533243</v>
      </c>
    </row>
    <row r="2560">
      <c r="A2560" s="3">
        <f>IFERROR(__xludf.DUMMYFUNCTION("""COMPUTED_VALUE"""),43108.99861111111)</f>
        <v>43108.99861</v>
      </c>
      <c r="B2560" s="1">
        <f>IFERROR(__xludf.DUMMYFUNCTION("""COMPUTED_VALUE"""),3584.643651)</f>
        <v>3584.643651</v>
      </c>
    </row>
    <row r="2561">
      <c r="A2561" s="3">
        <f>IFERROR(__xludf.DUMMYFUNCTION("""COMPUTED_VALUE"""),43109.99861111111)</f>
        <v>43109.99861</v>
      </c>
      <c r="B2561" s="1">
        <f>IFERROR(__xludf.DUMMYFUNCTION("""COMPUTED_VALUE"""),3584.966058)</f>
        <v>3584.966058</v>
      </c>
    </row>
    <row r="2562">
      <c r="A2562" s="3">
        <f>IFERROR(__xludf.DUMMYFUNCTION("""COMPUTED_VALUE"""),43110.99861111111)</f>
        <v>43110.99861</v>
      </c>
      <c r="B2562" s="1">
        <f>IFERROR(__xludf.DUMMYFUNCTION("""COMPUTED_VALUE"""),3587.710833)</f>
        <v>3587.710833</v>
      </c>
    </row>
    <row r="2563">
      <c r="A2563" s="3">
        <f>IFERROR(__xludf.DUMMYFUNCTION("""COMPUTED_VALUE"""),43111.99861111111)</f>
        <v>43111.99861</v>
      </c>
      <c r="B2563" s="1">
        <f>IFERROR(__xludf.DUMMYFUNCTION("""COMPUTED_VALUE"""),3574.993891)</f>
        <v>3574.993891</v>
      </c>
    </row>
    <row r="2564">
      <c r="A2564" s="3">
        <f>IFERROR(__xludf.DUMMYFUNCTION("""COMPUTED_VALUE"""),43112.99861111111)</f>
        <v>43112.99861</v>
      </c>
      <c r="B2564" s="1">
        <f>IFERROR(__xludf.DUMMYFUNCTION("""COMPUTED_VALUE"""),3560.259776)</f>
        <v>3560.259776</v>
      </c>
    </row>
    <row r="2565">
      <c r="A2565" s="3">
        <f>IFERROR(__xludf.DUMMYFUNCTION("""COMPUTED_VALUE"""),43113.99861111111)</f>
        <v>43113.99861</v>
      </c>
      <c r="B2565" s="1">
        <f>IFERROR(__xludf.DUMMYFUNCTION("""COMPUTED_VALUE"""),3553.577607)</f>
        <v>3553.577607</v>
      </c>
    </row>
    <row r="2566">
      <c r="A2566" s="3">
        <f>IFERROR(__xludf.DUMMYFUNCTION("""COMPUTED_VALUE"""),43114.99861111111)</f>
        <v>43114.99861</v>
      </c>
      <c r="B2566" s="1">
        <f>IFERROR(__xludf.DUMMYFUNCTION("""COMPUTED_VALUE"""),3545.333244)</f>
        <v>3545.333244</v>
      </c>
    </row>
    <row r="2567">
      <c r="A2567" s="3">
        <f>IFERROR(__xludf.DUMMYFUNCTION("""COMPUTED_VALUE"""),43115.99861111111)</f>
        <v>43115.99861</v>
      </c>
      <c r="B2567" s="1">
        <f>IFERROR(__xludf.DUMMYFUNCTION("""COMPUTED_VALUE"""),3551.314452)</f>
        <v>3551.314452</v>
      </c>
    </row>
    <row r="2568">
      <c r="A2568" s="3">
        <f>IFERROR(__xludf.DUMMYFUNCTION("""COMPUTED_VALUE"""),43116.99861111111)</f>
        <v>43116.99861</v>
      </c>
      <c r="B2568" s="1">
        <f>IFERROR(__xludf.DUMMYFUNCTION("""COMPUTED_VALUE"""),3551.67624)</f>
        <v>3551.67624</v>
      </c>
    </row>
    <row r="2569">
      <c r="A2569" s="3">
        <f>IFERROR(__xludf.DUMMYFUNCTION("""COMPUTED_VALUE"""),43117.99861111111)</f>
        <v>43117.99861</v>
      </c>
      <c r="B2569" s="1">
        <f>IFERROR(__xludf.DUMMYFUNCTION("""COMPUTED_VALUE"""),3559.873965)</f>
        <v>3559.873965</v>
      </c>
    </row>
    <row r="2570">
      <c r="A2570" s="3">
        <f>IFERROR(__xludf.DUMMYFUNCTION("""COMPUTED_VALUE"""),43118.99861111111)</f>
        <v>43118.99861</v>
      </c>
      <c r="B2570" s="1">
        <f>IFERROR(__xludf.DUMMYFUNCTION("""COMPUTED_VALUE"""),3558.770062)</f>
        <v>3558.770062</v>
      </c>
    </row>
    <row r="2571">
      <c r="A2571" s="3">
        <f>IFERROR(__xludf.DUMMYFUNCTION("""COMPUTED_VALUE"""),43119.99861111111)</f>
        <v>43119.99861</v>
      </c>
      <c r="B2571" s="1">
        <f>IFERROR(__xludf.DUMMYFUNCTION("""COMPUTED_VALUE"""),3555.122309)</f>
        <v>3555.122309</v>
      </c>
    </row>
    <row r="2572">
      <c r="A2572" s="3">
        <f>IFERROR(__xludf.DUMMYFUNCTION("""COMPUTED_VALUE"""),43120.99861111111)</f>
        <v>43120.99861</v>
      </c>
      <c r="B2572" s="1">
        <f>IFERROR(__xludf.DUMMYFUNCTION("""COMPUTED_VALUE"""),3555.839111)</f>
        <v>3555.839111</v>
      </c>
    </row>
    <row r="2573">
      <c r="A2573" s="3">
        <f>IFERROR(__xludf.DUMMYFUNCTION("""COMPUTED_VALUE"""),43121.99861111111)</f>
        <v>43121.99861</v>
      </c>
      <c r="B2573" s="1">
        <f>IFERROR(__xludf.DUMMYFUNCTION("""COMPUTED_VALUE"""),3553.333244)</f>
        <v>3553.333244</v>
      </c>
    </row>
    <row r="2574">
      <c r="A2574" s="3">
        <f>IFERROR(__xludf.DUMMYFUNCTION("""COMPUTED_VALUE"""),43122.99861111111)</f>
        <v>43122.99861</v>
      </c>
      <c r="B2574" s="1">
        <f>IFERROR(__xludf.DUMMYFUNCTION("""COMPUTED_VALUE"""),3561.190336)</f>
        <v>3561.190336</v>
      </c>
    </row>
    <row r="2575">
      <c r="A2575" s="3">
        <f>IFERROR(__xludf.DUMMYFUNCTION("""COMPUTED_VALUE"""),43123.99861111111)</f>
        <v>43123.99861</v>
      </c>
      <c r="B2575" s="1">
        <f>IFERROR(__xludf.DUMMYFUNCTION("""COMPUTED_VALUE"""),3560.539298)</f>
        <v>3560.539298</v>
      </c>
    </row>
    <row r="2576">
      <c r="A2576" s="3">
        <f>IFERROR(__xludf.DUMMYFUNCTION("""COMPUTED_VALUE"""),43124.99861111111)</f>
        <v>43124.99861</v>
      </c>
      <c r="B2576" s="1">
        <f>IFERROR(__xludf.DUMMYFUNCTION("""COMPUTED_VALUE"""),3549.730353)</f>
        <v>3549.730353</v>
      </c>
    </row>
    <row r="2577">
      <c r="A2577" s="3">
        <f>IFERROR(__xludf.DUMMYFUNCTION("""COMPUTED_VALUE"""),43125.99861111111)</f>
        <v>43125.99861</v>
      </c>
      <c r="B2577" s="1">
        <f>IFERROR(__xludf.DUMMYFUNCTION("""COMPUTED_VALUE"""),3549.99729)</f>
        <v>3549.99729</v>
      </c>
    </row>
    <row r="2578">
      <c r="A2578" s="3">
        <f>IFERROR(__xludf.DUMMYFUNCTION("""COMPUTED_VALUE"""),43126.99861111111)</f>
        <v>43126.99861</v>
      </c>
      <c r="B2578" s="1">
        <f>IFERROR(__xludf.DUMMYFUNCTION("""COMPUTED_VALUE"""),3546.933244)</f>
        <v>3546.933244</v>
      </c>
    </row>
    <row r="2579">
      <c r="A2579" s="3">
        <f>IFERROR(__xludf.DUMMYFUNCTION("""COMPUTED_VALUE"""),43128.99861111111)</f>
        <v>43128.99861</v>
      </c>
      <c r="B2579" s="1">
        <f>IFERROR(__xludf.DUMMYFUNCTION("""COMPUTED_VALUE"""),3545.599911)</f>
        <v>3545.599911</v>
      </c>
    </row>
    <row r="2580">
      <c r="A2580" s="3">
        <f>IFERROR(__xludf.DUMMYFUNCTION("""COMPUTED_VALUE"""),43129.99861111111)</f>
        <v>43129.99861</v>
      </c>
      <c r="B2580" s="1">
        <f>IFERROR(__xludf.DUMMYFUNCTION("""COMPUTED_VALUE"""),3568.72059)</f>
        <v>3568.72059</v>
      </c>
    </row>
    <row r="2581">
      <c r="A2581" s="3">
        <f>IFERROR(__xludf.DUMMYFUNCTION("""COMPUTED_VALUE"""),43130.99861111111)</f>
        <v>43130.99861</v>
      </c>
      <c r="B2581" s="1">
        <f>IFERROR(__xludf.DUMMYFUNCTION("""COMPUTED_VALUE"""),3582.850565)</f>
        <v>3582.850565</v>
      </c>
    </row>
    <row r="2582">
      <c r="A2582" s="3">
        <f>IFERROR(__xludf.DUMMYFUNCTION("""COMPUTED_VALUE"""),43131.99861111111)</f>
        <v>43131.99861</v>
      </c>
      <c r="B2582" s="1">
        <f>IFERROR(__xludf.DUMMYFUNCTION("""COMPUTED_VALUE"""),3572.70614)</f>
        <v>3572.70614</v>
      </c>
    </row>
    <row r="2583">
      <c r="A2583" s="3">
        <f>IFERROR(__xludf.DUMMYFUNCTION("""COMPUTED_VALUE"""),43132.99861111111)</f>
        <v>43132.99861</v>
      </c>
      <c r="B2583" s="1">
        <f>IFERROR(__xludf.DUMMYFUNCTION("""COMPUTED_VALUE"""),3573.507016)</f>
        <v>3573.507016</v>
      </c>
    </row>
    <row r="2584">
      <c r="A2584" s="3">
        <f>IFERROR(__xludf.DUMMYFUNCTION("""COMPUTED_VALUE"""),43133.99861111111)</f>
        <v>43133.99861</v>
      </c>
      <c r="B2584" s="1">
        <f>IFERROR(__xludf.DUMMYFUNCTION("""COMPUTED_VALUE"""),3576.266577)</f>
        <v>3576.266577</v>
      </c>
    </row>
    <row r="2585">
      <c r="A2585" s="3">
        <f>IFERROR(__xludf.DUMMYFUNCTION("""COMPUTED_VALUE"""),43134.99861111111)</f>
        <v>43134.99861</v>
      </c>
      <c r="B2585" s="1">
        <f>IFERROR(__xludf.DUMMYFUNCTION("""COMPUTED_VALUE"""),3576.266577)</f>
        <v>3576.266577</v>
      </c>
    </row>
    <row r="2586">
      <c r="A2586" s="3">
        <f>IFERROR(__xludf.DUMMYFUNCTION("""COMPUTED_VALUE"""),43135.99861111111)</f>
        <v>43135.99861</v>
      </c>
      <c r="B2586" s="1">
        <f>IFERROR(__xludf.DUMMYFUNCTION("""COMPUTED_VALUE"""),3576.552768)</f>
        <v>3576.552768</v>
      </c>
    </row>
    <row r="2587">
      <c r="A2587" s="3">
        <f>IFERROR(__xludf.DUMMYFUNCTION("""COMPUTED_VALUE"""),43136.99861111111)</f>
        <v>43136.99861</v>
      </c>
      <c r="B2587" s="1">
        <f>IFERROR(__xludf.DUMMYFUNCTION("""COMPUTED_VALUE"""),3621.025636)</f>
        <v>3621.025636</v>
      </c>
    </row>
    <row r="2588">
      <c r="A2588" s="3">
        <f>IFERROR(__xludf.DUMMYFUNCTION("""COMPUTED_VALUE"""),43137.99861111111)</f>
        <v>43137.99861</v>
      </c>
      <c r="B2588" s="1">
        <f>IFERROR(__xludf.DUMMYFUNCTION("""COMPUTED_VALUE"""),3615.300326)</f>
        <v>3615.300326</v>
      </c>
    </row>
    <row r="2589">
      <c r="A2589" s="3">
        <f>IFERROR(__xludf.DUMMYFUNCTION("""COMPUTED_VALUE"""),43138.99861111111)</f>
        <v>43138.99861</v>
      </c>
      <c r="B2589" s="1">
        <f>IFERROR(__xludf.DUMMYFUNCTION("""COMPUTED_VALUE"""),3641.289799)</f>
        <v>3641.289799</v>
      </c>
    </row>
    <row r="2590">
      <c r="A2590" s="3">
        <f>IFERROR(__xludf.DUMMYFUNCTION("""COMPUTED_VALUE"""),43139.99861111111)</f>
        <v>43139.99861</v>
      </c>
      <c r="B2590" s="1">
        <f>IFERROR(__xludf.DUMMYFUNCTION("""COMPUTED_VALUE"""),3629.714547)</f>
        <v>3629.714547</v>
      </c>
    </row>
    <row r="2591">
      <c r="A2591" s="3">
        <f>IFERROR(__xludf.DUMMYFUNCTION("""COMPUTED_VALUE"""),43140.99861111111)</f>
        <v>43140.99861</v>
      </c>
      <c r="B2591" s="1">
        <f>IFERROR(__xludf.DUMMYFUNCTION("""COMPUTED_VALUE"""),3633.304741)</f>
        <v>3633.304741</v>
      </c>
    </row>
    <row r="2592">
      <c r="A2592" s="3">
        <f>IFERROR(__xludf.DUMMYFUNCTION("""COMPUTED_VALUE"""),43141.99861111111)</f>
        <v>43141.99861</v>
      </c>
      <c r="B2592" s="1">
        <f>IFERROR(__xludf.DUMMYFUNCTION("""COMPUTED_VALUE"""),3633.304741)</f>
        <v>3633.304741</v>
      </c>
    </row>
    <row r="2593">
      <c r="A2593" s="3">
        <f>IFERROR(__xludf.DUMMYFUNCTION("""COMPUTED_VALUE"""),43142.99861111111)</f>
        <v>43142.99861</v>
      </c>
      <c r="B2593" s="1">
        <f>IFERROR(__xludf.DUMMYFUNCTION("""COMPUTED_VALUE"""),3629.526776)</f>
        <v>3629.526776</v>
      </c>
    </row>
    <row r="2594">
      <c r="A2594" s="3">
        <f>IFERROR(__xludf.DUMMYFUNCTION("""COMPUTED_VALUE"""),43143.99861111111)</f>
        <v>43143.99861</v>
      </c>
      <c r="B2594" s="1">
        <f>IFERROR(__xludf.DUMMYFUNCTION("""COMPUTED_VALUE"""),3641.823673)</f>
        <v>3641.823673</v>
      </c>
    </row>
    <row r="2595">
      <c r="A2595" s="3">
        <f>IFERROR(__xludf.DUMMYFUNCTION("""COMPUTED_VALUE"""),43144.99861111111)</f>
        <v>43144.99861</v>
      </c>
      <c r="B2595" s="1">
        <f>IFERROR(__xludf.DUMMYFUNCTION("""COMPUTED_VALUE"""),3641.022862)</f>
        <v>3641.022862</v>
      </c>
    </row>
    <row r="2596">
      <c r="A2596" s="3">
        <f>IFERROR(__xludf.DUMMYFUNCTION("""COMPUTED_VALUE"""),43145.99861111111)</f>
        <v>43145.99861</v>
      </c>
      <c r="B2596" s="1">
        <f>IFERROR(__xludf.DUMMYFUNCTION("""COMPUTED_VALUE"""),3635.635653)</f>
        <v>3635.635653</v>
      </c>
    </row>
    <row r="2597">
      <c r="A2597" s="3">
        <f>IFERROR(__xludf.DUMMYFUNCTION("""COMPUTED_VALUE"""),43146.99861111111)</f>
        <v>43146.99861</v>
      </c>
      <c r="B2597" s="1">
        <f>IFERROR(__xludf.DUMMYFUNCTION("""COMPUTED_VALUE"""),3617.918624)</f>
        <v>3617.918624</v>
      </c>
    </row>
    <row r="2598">
      <c r="A2598" s="3">
        <f>IFERROR(__xludf.DUMMYFUNCTION("""COMPUTED_VALUE"""),43147.99861111111)</f>
        <v>43147.99861</v>
      </c>
      <c r="B2598" s="1">
        <f>IFERROR(__xludf.DUMMYFUNCTION("""COMPUTED_VALUE"""),3613.770221)</f>
        <v>3613.770221</v>
      </c>
    </row>
    <row r="2599">
      <c r="A2599" s="3">
        <f>IFERROR(__xludf.DUMMYFUNCTION("""COMPUTED_VALUE"""),43148.99861111111)</f>
        <v>43148.99861</v>
      </c>
      <c r="B2599" s="1">
        <f>IFERROR(__xludf.DUMMYFUNCTION("""COMPUTED_VALUE"""),3613.770221)</f>
        <v>3613.770221</v>
      </c>
    </row>
    <row r="2600">
      <c r="A2600" s="3">
        <f>IFERROR(__xludf.DUMMYFUNCTION("""COMPUTED_VALUE"""),43149.99861111111)</f>
        <v>43149.99861</v>
      </c>
      <c r="B2600" s="1">
        <f>IFERROR(__xludf.DUMMYFUNCTION("""COMPUTED_VALUE"""),3613.962931)</f>
        <v>3613.962931</v>
      </c>
    </row>
    <row r="2601">
      <c r="A2601" s="3">
        <f>IFERROR(__xludf.DUMMYFUNCTION("""COMPUTED_VALUE"""),43150.99861111111)</f>
        <v>43150.99861</v>
      </c>
      <c r="B2601" s="1">
        <f>IFERROR(__xludf.DUMMYFUNCTION("""COMPUTED_VALUE"""),3618.162771)</f>
        <v>3618.162771</v>
      </c>
    </row>
    <row r="2602">
      <c r="A2602" s="3">
        <f>IFERROR(__xludf.DUMMYFUNCTION("""COMPUTED_VALUE"""),43151.99861111111)</f>
        <v>43151.99861</v>
      </c>
      <c r="B2602" s="1">
        <f>IFERROR(__xludf.DUMMYFUNCTION("""COMPUTED_VALUE"""),3632.383848)</f>
        <v>3632.383848</v>
      </c>
    </row>
    <row r="2603">
      <c r="A2603" s="3">
        <f>IFERROR(__xludf.DUMMYFUNCTION("""COMPUTED_VALUE"""),43152.99861111111)</f>
        <v>43152.99861</v>
      </c>
      <c r="B2603" s="1">
        <f>IFERROR(__xludf.DUMMYFUNCTION("""COMPUTED_VALUE"""),3633.645539)</f>
        <v>3633.645539</v>
      </c>
    </row>
    <row r="2604">
      <c r="A2604" s="3">
        <f>IFERROR(__xludf.DUMMYFUNCTION("""COMPUTED_VALUE"""),43153.99861111111)</f>
        <v>43153.99861</v>
      </c>
      <c r="B2604" s="1">
        <f>IFERROR(__xludf.DUMMYFUNCTION("""COMPUTED_VALUE"""),3651.119876)</f>
        <v>3651.119876</v>
      </c>
    </row>
    <row r="2605">
      <c r="A2605" s="3">
        <f>IFERROR(__xludf.DUMMYFUNCTION("""COMPUTED_VALUE"""),43154.99861111111)</f>
        <v>43154.99861</v>
      </c>
      <c r="B2605" s="1">
        <f>IFERROR(__xludf.DUMMYFUNCTION("""COMPUTED_VALUE"""),3645.101747)</f>
        <v>3645.101747</v>
      </c>
    </row>
    <row r="2606">
      <c r="A2606" s="3">
        <f>IFERROR(__xludf.DUMMYFUNCTION("""COMPUTED_VALUE"""),43155.99861111111)</f>
        <v>43155.99861</v>
      </c>
      <c r="B2606" s="1">
        <f>IFERROR(__xludf.DUMMYFUNCTION("""COMPUTED_VALUE"""),3640.824576)</f>
        <v>3640.824576</v>
      </c>
    </row>
    <row r="2607">
      <c r="A2607" s="3">
        <f>IFERROR(__xludf.DUMMYFUNCTION("""COMPUTED_VALUE"""),43156.99861111111)</f>
        <v>43156.99861</v>
      </c>
      <c r="B2607" s="1">
        <f>IFERROR(__xludf.DUMMYFUNCTION("""COMPUTED_VALUE"""),3643.083706)</f>
        <v>3643.083706</v>
      </c>
    </row>
    <row r="2608">
      <c r="A2608" s="3">
        <f>IFERROR(__xludf.DUMMYFUNCTION("""COMPUTED_VALUE"""),43157.99861111111)</f>
        <v>43157.99861</v>
      </c>
      <c r="B2608" s="1">
        <f>IFERROR(__xludf.DUMMYFUNCTION("""COMPUTED_VALUE"""),3644.153697)</f>
        <v>3644.153697</v>
      </c>
    </row>
    <row r="2609">
      <c r="A2609" s="3">
        <f>IFERROR(__xludf.DUMMYFUNCTION("""COMPUTED_VALUE"""),43158.99861111111)</f>
        <v>43158.99861</v>
      </c>
      <c r="B2609" s="1">
        <f>IFERROR(__xludf.DUMMYFUNCTION("""COMPUTED_VALUE"""),3655.144691)</f>
        <v>3655.144691</v>
      </c>
    </row>
    <row r="2610">
      <c r="A2610" s="3">
        <f>IFERROR(__xludf.DUMMYFUNCTION("""COMPUTED_VALUE"""),43159.99861111111)</f>
        <v>43159.99861</v>
      </c>
      <c r="B2610" s="1">
        <f>IFERROR(__xludf.DUMMYFUNCTION("""COMPUTED_VALUE"""),3671.889492)</f>
        <v>3671.889492</v>
      </c>
    </row>
    <row r="2611">
      <c r="A2611" s="3">
        <f>IFERROR(__xludf.DUMMYFUNCTION("""COMPUTED_VALUE"""),43160.99861111111)</f>
        <v>43160.99861</v>
      </c>
      <c r="B2611" s="1">
        <f>IFERROR(__xludf.DUMMYFUNCTION("""COMPUTED_VALUE"""),3667.885542)</f>
        <v>3667.885542</v>
      </c>
    </row>
    <row r="2612">
      <c r="A2612" s="3">
        <f>IFERROR(__xludf.DUMMYFUNCTION("""COMPUTED_VALUE"""),43161.99861111111)</f>
        <v>43161.99861</v>
      </c>
      <c r="B2612" s="1">
        <f>IFERROR(__xludf.DUMMYFUNCTION("""COMPUTED_VALUE"""),3670.750794)</f>
        <v>3670.750794</v>
      </c>
    </row>
    <row r="2613">
      <c r="A2613" s="3">
        <f>IFERROR(__xludf.DUMMYFUNCTION("""COMPUTED_VALUE"""),43162.99861111111)</f>
        <v>43162.99861</v>
      </c>
      <c r="B2613" s="1">
        <f>IFERROR(__xludf.DUMMYFUNCTION("""COMPUTED_VALUE"""),3670.750794)</f>
        <v>3670.750794</v>
      </c>
    </row>
    <row r="2614">
      <c r="A2614" s="3">
        <f>IFERROR(__xludf.DUMMYFUNCTION("""COMPUTED_VALUE"""),43163.99861111111)</f>
        <v>43163.99861</v>
      </c>
      <c r="B2614" s="1">
        <f>IFERROR(__xludf.DUMMYFUNCTION("""COMPUTED_VALUE"""),3666.933241)</f>
        <v>3666.933241</v>
      </c>
    </row>
    <row r="2615">
      <c r="A2615" s="3">
        <f>IFERROR(__xludf.DUMMYFUNCTION("""COMPUTED_VALUE"""),43164.99861111111)</f>
        <v>43164.99861</v>
      </c>
      <c r="B2615" s="1">
        <f>IFERROR(__xludf.DUMMYFUNCTION("""COMPUTED_VALUE"""),3666.720014)</f>
        <v>3666.720014</v>
      </c>
    </row>
    <row r="2616">
      <c r="A2616" s="3">
        <f>IFERROR(__xludf.DUMMYFUNCTION("""COMPUTED_VALUE"""),43165.99861111111)</f>
        <v>43165.99861</v>
      </c>
      <c r="B2616" s="1">
        <f>IFERROR(__xludf.DUMMYFUNCTION("""COMPUTED_VALUE"""),3672.592318)</f>
        <v>3672.592318</v>
      </c>
    </row>
    <row r="2617">
      <c r="A2617" s="3">
        <f>IFERROR(__xludf.DUMMYFUNCTION("""COMPUTED_VALUE"""),43166.99861111111)</f>
        <v>43166.99861</v>
      </c>
      <c r="B2617" s="1">
        <f>IFERROR(__xludf.DUMMYFUNCTION("""COMPUTED_VALUE"""),3668.757396)</f>
        <v>3668.757396</v>
      </c>
    </row>
    <row r="2618">
      <c r="A2618" s="3">
        <f>IFERROR(__xludf.DUMMYFUNCTION("""COMPUTED_VALUE"""),43167.99861111111)</f>
        <v>43167.99861</v>
      </c>
      <c r="B2618" s="1">
        <f>IFERROR(__xludf.DUMMYFUNCTION("""COMPUTED_VALUE"""),3679.602786)</f>
        <v>3679.602786</v>
      </c>
    </row>
    <row r="2619">
      <c r="A2619" s="3">
        <f>IFERROR(__xludf.DUMMYFUNCTION("""COMPUTED_VALUE"""),43168.99861111111)</f>
        <v>43168.99861</v>
      </c>
      <c r="B2619" s="1">
        <f>IFERROR(__xludf.DUMMYFUNCTION("""COMPUTED_VALUE"""),3676.019095)</f>
        <v>3676.019095</v>
      </c>
    </row>
    <row r="2620">
      <c r="A2620" s="3">
        <f>IFERROR(__xludf.DUMMYFUNCTION("""COMPUTED_VALUE"""),43170.99861111111)</f>
        <v>43170.99861</v>
      </c>
      <c r="B2620" s="1">
        <f>IFERROR(__xludf.DUMMYFUNCTION("""COMPUTED_VALUE"""),3672.533241)</f>
        <v>3672.533241</v>
      </c>
    </row>
    <row r="2621">
      <c r="A2621" s="3">
        <f>IFERROR(__xludf.DUMMYFUNCTION("""COMPUTED_VALUE"""),43171.99861111111)</f>
        <v>43171.99861</v>
      </c>
      <c r="B2621" s="1">
        <f>IFERROR(__xludf.DUMMYFUNCTION("""COMPUTED_VALUE"""),3671.132609)</f>
        <v>3671.132609</v>
      </c>
    </row>
    <row r="2622">
      <c r="A2622" s="3">
        <f>IFERROR(__xludf.DUMMYFUNCTION("""COMPUTED_VALUE"""),43172.99861111111)</f>
        <v>43172.99861</v>
      </c>
      <c r="B2622" s="1">
        <f>IFERROR(__xludf.DUMMYFUNCTION("""COMPUTED_VALUE"""),3667.324988)</f>
        <v>3667.324988</v>
      </c>
    </row>
    <row r="2623">
      <c r="A2623" s="3">
        <f>IFERROR(__xludf.DUMMYFUNCTION("""COMPUTED_VALUE"""),43173.99861111111)</f>
        <v>43173.99861</v>
      </c>
      <c r="B2623" s="1">
        <f>IFERROR(__xludf.DUMMYFUNCTION("""COMPUTED_VALUE"""),3663.516939)</f>
        <v>3663.516939</v>
      </c>
    </row>
    <row r="2624">
      <c r="A2624" s="3">
        <f>IFERROR(__xludf.DUMMYFUNCTION("""COMPUTED_VALUE"""),43174.99861111111)</f>
        <v>43174.99861</v>
      </c>
      <c r="B2624" s="1">
        <f>IFERROR(__xludf.DUMMYFUNCTION("""COMPUTED_VALUE"""),3672.619404)</f>
        <v>3672.619404</v>
      </c>
    </row>
    <row r="2625">
      <c r="A2625" s="3">
        <f>IFERROR(__xludf.DUMMYFUNCTION("""COMPUTED_VALUE"""),43175.99861111111)</f>
        <v>43175.99861</v>
      </c>
      <c r="B2625" s="1">
        <f>IFERROR(__xludf.DUMMYFUNCTION("""COMPUTED_VALUE"""),3671.724718)</f>
        <v>3671.724718</v>
      </c>
    </row>
    <row r="2626">
      <c r="A2626" s="3">
        <f>IFERROR(__xludf.DUMMYFUNCTION("""COMPUTED_VALUE"""),43177.99861111111)</f>
        <v>43177.99861</v>
      </c>
      <c r="B2626" s="1">
        <f>IFERROR(__xludf.DUMMYFUNCTION("""COMPUTED_VALUE"""),3666.524372)</f>
        <v>3666.524372</v>
      </c>
    </row>
    <row r="2627">
      <c r="A2627" s="3">
        <f>IFERROR(__xludf.DUMMYFUNCTION("""COMPUTED_VALUE"""),43178.99861111111)</f>
        <v>43178.99861</v>
      </c>
      <c r="B2627" s="1">
        <f>IFERROR(__xludf.DUMMYFUNCTION("""COMPUTED_VALUE"""),3676.286054)</f>
        <v>3676.286054</v>
      </c>
    </row>
    <row r="2628">
      <c r="A2628" s="3">
        <f>IFERROR(__xludf.DUMMYFUNCTION("""COMPUTED_VALUE"""),43179.99861111111)</f>
        <v>43179.99861</v>
      </c>
      <c r="B2628" s="1">
        <f>IFERROR(__xludf.DUMMYFUNCTION("""COMPUTED_VALUE"""),3668.811215)</f>
        <v>3668.811215</v>
      </c>
    </row>
    <row r="2629">
      <c r="A2629" s="3">
        <f>IFERROR(__xludf.DUMMYFUNCTION("""COMPUTED_VALUE"""),43180.99861111111)</f>
        <v>43180.99861</v>
      </c>
      <c r="B2629" s="1">
        <f>IFERROR(__xludf.DUMMYFUNCTION("""COMPUTED_VALUE"""),3658.373777)</f>
        <v>3658.373777</v>
      </c>
    </row>
    <row r="2630">
      <c r="A2630" s="3">
        <f>IFERROR(__xludf.DUMMYFUNCTION("""COMPUTED_VALUE"""),43181.99861111111)</f>
        <v>43181.99861</v>
      </c>
      <c r="B2630" s="1">
        <f>IFERROR(__xludf.DUMMYFUNCTION("""COMPUTED_VALUE"""),3671.551627)</f>
        <v>3671.551627</v>
      </c>
    </row>
    <row r="2631">
      <c r="A2631" s="3">
        <f>IFERROR(__xludf.DUMMYFUNCTION("""COMPUTED_VALUE"""),43182.99861111111)</f>
        <v>43182.99861</v>
      </c>
      <c r="B2631" s="1">
        <f>IFERROR(__xludf.DUMMYFUNCTION("""COMPUTED_VALUE"""),3677.789575)</f>
        <v>3677.789575</v>
      </c>
    </row>
    <row r="2632">
      <c r="A2632" s="3">
        <f>IFERROR(__xludf.DUMMYFUNCTION("""COMPUTED_VALUE"""),43183.99861111111)</f>
        <v>43183.99861</v>
      </c>
      <c r="B2632" s="1">
        <f>IFERROR(__xludf.DUMMYFUNCTION("""COMPUTED_VALUE"""),3679.164657)</f>
        <v>3679.164657</v>
      </c>
    </row>
    <row r="2633">
      <c r="A2633" s="3">
        <f>IFERROR(__xludf.DUMMYFUNCTION("""COMPUTED_VALUE"""),43184.99861111111)</f>
        <v>43184.99861</v>
      </c>
      <c r="B2633" s="1">
        <f>IFERROR(__xludf.DUMMYFUNCTION("""COMPUTED_VALUE"""),3670.258103)</f>
        <v>3670.258103</v>
      </c>
    </row>
    <row r="2634">
      <c r="A2634" s="3">
        <f>IFERROR(__xludf.DUMMYFUNCTION("""COMPUTED_VALUE"""),43185.99861111111)</f>
        <v>43185.99861</v>
      </c>
      <c r="B2634" s="1">
        <f>IFERROR(__xludf.DUMMYFUNCTION("""COMPUTED_VALUE"""),3662.039442)</f>
        <v>3662.039442</v>
      </c>
    </row>
    <row r="2635">
      <c r="A2635" s="3">
        <f>IFERROR(__xludf.DUMMYFUNCTION("""COMPUTED_VALUE"""),43186.99861111111)</f>
        <v>43186.99861</v>
      </c>
      <c r="B2635" s="1">
        <f>IFERROR(__xludf.DUMMYFUNCTION("""COMPUTED_VALUE"""),3668.010339)</f>
        <v>3668.010339</v>
      </c>
    </row>
    <row r="2636">
      <c r="A2636" s="3">
        <f>IFERROR(__xludf.DUMMYFUNCTION("""COMPUTED_VALUE"""),43187.99861111111)</f>
        <v>43187.99861</v>
      </c>
      <c r="B2636" s="1">
        <f>IFERROR(__xludf.DUMMYFUNCTION("""COMPUTED_VALUE"""),3672.085515)</f>
        <v>3672.085515</v>
      </c>
    </row>
    <row r="2637">
      <c r="A2637" s="3">
        <f>IFERROR(__xludf.DUMMYFUNCTION("""COMPUTED_VALUE"""),43188.99861111111)</f>
        <v>43188.99861</v>
      </c>
      <c r="B2637" s="1">
        <f>IFERROR(__xludf.DUMMYFUNCTION("""COMPUTED_VALUE"""),3672.352459)</f>
        <v>3672.352459</v>
      </c>
    </row>
    <row r="2638">
      <c r="A2638" s="3">
        <f>IFERROR(__xludf.DUMMYFUNCTION("""COMPUTED_VALUE"""),43189.99861111111)</f>
        <v>43189.99861</v>
      </c>
      <c r="B2638" s="1">
        <f>IFERROR(__xludf.DUMMYFUNCTION("""COMPUTED_VALUE"""),3663.81262)</f>
        <v>3663.81262</v>
      </c>
    </row>
    <row r="2639">
      <c r="A2639" s="3">
        <f>IFERROR(__xludf.DUMMYFUNCTION("""COMPUTED_VALUE"""),43190.99861111111)</f>
        <v>43190.99861</v>
      </c>
      <c r="B2639" s="1">
        <f>IFERROR(__xludf.DUMMYFUNCTION("""COMPUTED_VALUE"""),3667.013388)</f>
        <v>3667.013388</v>
      </c>
    </row>
    <row r="2640">
      <c r="A2640" s="3">
        <f>IFERROR(__xludf.DUMMYFUNCTION("""COMPUTED_VALUE"""),43191.99861111111)</f>
        <v>43191.99861</v>
      </c>
      <c r="B2640" s="1">
        <f>IFERROR(__xludf.DUMMYFUNCTION("""COMPUTED_VALUE"""),3673.425761)</f>
        <v>3673.425761</v>
      </c>
    </row>
    <row r="2641">
      <c r="A2641" s="3">
        <f>IFERROR(__xludf.DUMMYFUNCTION("""COMPUTED_VALUE"""),43192.99861111111)</f>
        <v>43192.99861</v>
      </c>
      <c r="B2641" s="1">
        <f>IFERROR(__xludf.DUMMYFUNCTION("""COMPUTED_VALUE"""),3665.449003)</f>
        <v>3665.449003</v>
      </c>
    </row>
    <row r="2642">
      <c r="A2642" s="3">
        <f>IFERROR(__xludf.DUMMYFUNCTION("""COMPUTED_VALUE"""),43193.99861111111)</f>
        <v>43193.99861</v>
      </c>
      <c r="B2642" s="1">
        <f>IFERROR(__xludf.DUMMYFUNCTION("""COMPUTED_VALUE"""),3668.179324)</f>
        <v>3668.179324</v>
      </c>
    </row>
    <row r="2643">
      <c r="A2643" s="3">
        <f>IFERROR(__xludf.DUMMYFUNCTION("""COMPUTED_VALUE"""),43194.99861111111)</f>
        <v>43194.99861</v>
      </c>
      <c r="B2643" s="1">
        <f>IFERROR(__xludf.DUMMYFUNCTION("""COMPUTED_VALUE"""),3670.554842)</f>
        <v>3670.554842</v>
      </c>
    </row>
    <row r="2644">
      <c r="A2644" s="3">
        <f>IFERROR(__xludf.DUMMYFUNCTION("""COMPUTED_VALUE"""),43195.99861111111)</f>
        <v>43195.99861</v>
      </c>
      <c r="B2644" s="1">
        <f>IFERROR(__xludf.DUMMYFUNCTION("""COMPUTED_VALUE"""),3672.761132)</f>
        <v>3672.761132</v>
      </c>
    </row>
    <row r="2645">
      <c r="A2645" s="3">
        <f>IFERROR(__xludf.DUMMYFUNCTION("""COMPUTED_VALUE"""),43196.99861111111)</f>
        <v>43196.99861</v>
      </c>
      <c r="B2645" s="1">
        <f>IFERROR(__xludf.DUMMYFUNCTION("""COMPUTED_VALUE"""),3673.954125)</f>
        <v>3673.954125</v>
      </c>
    </row>
    <row r="2646">
      <c r="A2646" s="3">
        <f>IFERROR(__xludf.DUMMYFUNCTION("""COMPUTED_VALUE"""),43197.99861111111)</f>
        <v>43197.99861</v>
      </c>
      <c r="B2646" s="1">
        <f>IFERROR(__xludf.DUMMYFUNCTION("""COMPUTED_VALUE"""),3673.954125)</f>
        <v>3673.954125</v>
      </c>
    </row>
    <row r="2647">
      <c r="A2647" s="3">
        <f>IFERROR(__xludf.DUMMYFUNCTION("""COMPUTED_VALUE"""),43198.99861111111)</f>
        <v>43198.99861</v>
      </c>
      <c r="B2647" s="1">
        <f>IFERROR(__xludf.DUMMYFUNCTION("""COMPUTED_VALUE"""),3670.328951)</f>
        <v>3670.328951</v>
      </c>
    </row>
    <row r="2648">
      <c r="A2648" s="3">
        <f>IFERROR(__xludf.DUMMYFUNCTION("""COMPUTED_VALUE"""),43199.99861111111)</f>
        <v>43199.99861</v>
      </c>
      <c r="B2648" s="1">
        <f>IFERROR(__xludf.DUMMYFUNCTION("""COMPUTED_VALUE"""),3674.994624)</f>
        <v>3674.994624</v>
      </c>
    </row>
    <row r="2649">
      <c r="A2649" s="3">
        <f>IFERROR(__xludf.DUMMYFUNCTION("""COMPUTED_VALUE"""),43200.99861111111)</f>
        <v>43200.99861</v>
      </c>
      <c r="B2649" s="1">
        <f>IFERROR(__xludf.DUMMYFUNCTION("""COMPUTED_VALUE"""),3668.277146)</f>
        <v>3668.277146</v>
      </c>
    </row>
    <row r="2650">
      <c r="A2650" s="3">
        <f>IFERROR(__xludf.DUMMYFUNCTION("""COMPUTED_VALUE"""),43201.99861111111)</f>
        <v>43201.99861</v>
      </c>
      <c r="B2650" s="1">
        <f>IFERROR(__xludf.DUMMYFUNCTION("""COMPUTED_VALUE"""),3671.222167)</f>
        <v>3671.222167</v>
      </c>
    </row>
    <row r="2651">
      <c r="A2651" s="3">
        <f>IFERROR(__xludf.DUMMYFUNCTION("""COMPUTED_VALUE"""),43202.99861111111)</f>
        <v>43202.99861</v>
      </c>
      <c r="B2651" s="1">
        <f>IFERROR(__xludf.DUMMYFUNCTION("""COMPUTED_VALUE"""),3675.120061)</f>
        <v>3675.120061</v>
      </c>
    </row>
    <row r="2652">
      <c r="A2652" s="3">
        <f>IFERROR(__xludf.DUMMYFUNCTION("""COMPUTED_VALUE"""),43203.99861111111)</f>
        <v>43203.99861</v>
      </c>
      <c r="B2652" s="1">
        <f>IFERROR(__xludf.DUMMYFUNCTION("""COMPUTED_VALUE"""),3675.653964)</f>
        <v>3675.653964</v>
      </c>
    </row>
    <row r="2653">
      <c r="A2653" s="3">
        <f>IFERROR(__xludf.DUMMYFUNCTION("""COMPUTED_VALUE"""),43205.99861111111)</f>
        <v>43205.99861</v>
      </c>
      <c r="B2653" s="1">
        <f>IFERROR(__xludf.DUMMYFUNCTION("""COMPUTED_VALUE"""),3662.328525)</f>
        <v>3662.328525</v>
      </c>
    </row>
    <row r="2654">
      <c r="A2654" s="3">
        <f>IFERROR(__xludf.DUMMYFUNCTION("""COMPUTED_VALUE"""),43206.99861111111)</f>
        <v>43206.99861</v>
      </c>
      <c r="B2654" s="1">
        <f>IFERROR(__xludf.DUMMYFUNCTION("""COMPUTED_VALUE"""),3674.656944)</f>
        <v>3674.656944</v>
      </c>
    </row>
    <row r="2655">
      <c r="A2655" s="3">
        <f>IFERROR(__xludf.DUMMYFUNCTION("""COMPUTED_VALUE"""),43207.99861111111)</f>
        <v>43207.99861</v>
      </c>
      <c r="B2655" s="1">
        <f>IFERROR(__xludf.DUMMYFUNCTION("""COMPUTED_VALUE"""),3672.156422)</f>
        <v>3672.156422</v>
      </c>
    </row>
    <row r="2656">
      <c r="A2656" s="3">
        <f>IFERROR(__xludf.DUMMYFUNCTION("""COMPUTED_VALUE"""),43208.99861111111)</f>
        <v>43208.99861</v>
      </c>
      <c r="B2656" s="1">
        <f>IFERROR(__xludf.DUMMYFUNCTION("""COMPUTED_VALUE"""),3675.457756)</f>
        <v>3675.457756</v>
      </c>
    </row>
    <row r="2657">
      <c r="A2657" s="3">
        <f>IFERROR(__xludf.DUMMYFUNCTION("""COMPUTED_VALUE"""),43209.99861111111)</f>
        <v>43209.99861</v>
      </c>
      <c r="B2657" s="1">
        <f>IFERROR(__xludf.DUMMYFUNCTION("""COMPUTED_VALUE"""),3683.831064)</f>
        <v>3683.831064</v>
      </c>
    </row>
    <row r="2658">
      <c r="A2658" s="3">
        <f>IFERROR(__xludf.DUMMYFUNCTION("""COMPUTED_VALUE"""),43210.99861111111)</f>
        <v>43210.99861</v>
      </c>
      <c r="B2658" s="1">
        <f>IFERROR(__xludf.DUMMYFUNCTION("""COMPUTED_VALUE"""),3695.211105)</f>
        <v>3695.211105</v>
      </c>
    </row>
    <row r="2659">
      <c r="A2659" s="3">
        <f>IFERROR(__xludf.DUMMYFUNCTION("""COMPUTED_VALUE"""),43211.99861111111)</f>
        <v>43211.99861</v>
      </c>
      <c r="B2659" s="1">
        <f>IFERROR(__xludf.DUMMYFUNCTION("""COMPUTED_VALUE"""),3703.912376)</f>
        <v>3703.912376</v>
      </c>
    </row>
    <row r="2660">
      <c r="A2660" s="3">
        <f>IFERROR(__xludf.DUMMYFUNCTION("""COMPUTED_VALUE"""),43212.99861111111)</f>
        <v>43212.99861</v>
      </c>
      <c r="B2660" s="1">
        <f>IFERROR(__xludf.DUMMYFUNCTION("""COMPUTED_VALUE"""),3706.597551)</f>
        <v>3706.597551</v>
      </c>
    </row>
    <row r="2661">
      <c r="A2661" s="3">
        <f>IFERROR(__xludf.DUMMYFUNCTION("""COMPUTED_VALUE"""),43213.99861111111)</f>
        <v>43213.99861</v>
      </c>
      <c r="B2661" s="1">
        <f>IFERROR(__xludf.DUMMYFUNCTION("""COMPUTED_VALUE"""),3726.809093)</f>
        <v>3726.809093</v>
      </c>
    </row>
    <row r="2662">
      <c r="A2662" s="3">
        <f>IFERROR(__xludf.DUMMYFUNCTION("""COMPUTED_VALUE"""),43214.99861111111)</f>
        <v>43214.99861</v>
      </c>
      <c r="B2662" s="1">
        <f>IFERROR(__xludf.DUMMYFUNCTION("""COMPUTED_VALUE"""),3703.446542)</f>
        <v>3703.446542</v>
      </c>
    </row>
    <row r="2663">
      <c r="A2663" s="3">
        <f>IFERROR(__xludf.DUMMYFUNCTION("""COMPUTED_VALUE"""),43215.99861111111)</f>
        <v>43215.99861</v>
      </c>
      <c r="B2663" s="1">
        <f>IFERROR(__xludf.DUMMYFUNCTION("""COMPUTED_VALUE"""),3715.597433)</f>
        <v>3715.597433</v>
      </c>
    </row>
    <row r="2664">
      <c r="A2664" s="3">
        <f>IFERROR(__xludf.DUMMYFUNCTION("""COMPUTED_VALUE"""),43216.99861111111)</f>
        <v>43216.99861</v>
      </c>
      <c r="B2664" s="1">
        <f>IFERROR(__xludf.DUMMYFUNCTION("""COMPUTED_VALUE"""),3705.018619)</f>
        <v>3705.018619</v>
      </c>
    </row>
    <row r="2665">
      <c r="A2665" s="3">
        <f>IFERROR(__xludf.DUMMYFUNCTION("""COMPUTED_VALUE"""),43217.99861111111)</f>
        <v>43217.99861</v>
      </c>
      <c r="B2665" s="1">
        <f>IFERROR(__xludf.DUMMYFUNCTION("""COMPUTED_VALUE"""),3693.974946)</f>
        <v>3693.974946</v>
      </c>
    </row>
    <row r="2666">
      <c r="A2666" s="3">
        <f>IFERROR(__xludf.DUMMYFUNCTION("""COMPUTED_VALUE"""),43219.99861111111)</f>
        <v>43219.99861</v>
      </c>
      <c r="B2666" s="1">
        <f>IFERROR(__xludf.DUMMYFUNCTION("""COMPUTED_VALUE"""),3698.863805)</f>
        <v>3698.863805</v>
      </c>
    </row>
    <row r="2667">
      <c r="A2667" s="3">
        <f>IFERROR(__xludf.DUMMYFUNCTION("""COMPUTED_VALUE"""),43220.99861111111)</f>
        <v>43220.99861</v>
      </c>
      <c r="B2667" s="1">
        <f>IFERROR(__xludf.DUMMYFUNCTION("""COMPUTED_VALUE"""),3707.130912)</f>
        <v>3707.130912</v>
      </c>
    </row>
    <row r="2668">
      <c r="A2668" s="3">
        <f>IFERROR(__xludf.DUMMYFUNCTION("""COMPUTED_VALUE"""),43221.99861111111)</f>
        <v>43221.99861</v>
      </c>
      <c r="B2668" s="1">
        <f>IFERROR(__xludf.DUMMYFUNCTION("""COMPUTED_VALUE"""),3728.712654)</f>
        <v>3728.712654</v>
      </c>
    </row>
    <row r="2669">
      <c r="A2669" s="3">
        <f>IFERROR(__xludf.DUMMYFUNCTION("""COMPUTED_VALUE"""),43222.99861111111)</f>
        <v>43222.99861</v>
      </c>
      <c r="B2669" s="1">
        <f>IFERROR(__xludf.DUMMYFUNCTION("""COMPUTED_VALUE"""),3737.734195)</f>
        <v>3737.734195</v>
      </c>
    </row>
    <row r="2670">
      <c r="A2670" s="3">
        <f>IFERROR(__xludf.DUMMYFUNCTION("""COMPUTED_VALUE"""),43223.99861111111)</f>
        <v>43223.99861</v>
      </c>
      <c r="B2670" s="1">
        <f>IFERROR(__xludf.DUMMYFUNCTION("""COMPUTED_VALUE"""),3718.900092)</f>
        <v>3718.900092</v>
      </c>
    </row>
    <row r="2671">
      <c r="A2671" s="3">
        <f>IFERROR(__xludf.DUMMYFUNCTION("""COMPUTED_VALUE"""),43224.99861111111)</f>
        <v>43224.99861</v>
      </c>
      <c r="B2671" s="1">
        <f>IFERROR(__xludf.DUMMYFUNCTION("""COMPUTED_VALUE"""),3718.247782)</f>
        <v>3718.247782</v>
      </c>
    </row>
    <row r="2672">
      <c r="A2672" s="3">
        <f>IFERROR(__xludf.DUMMYFUNCTION("""COMPUTED_VALUE"""),43225.99861111111)</f>
        <v>43225.99861</v>
      </c>
      <c r="B2672" s="1">
        <f>IFERROR(__xludf.DUMMYFUNCTION("""COMPUTED_VALUE"""),3714.216623)</f>
        <v>3714.216623</v>
      </c>
    </row>
    <row r="2673">
      <c r="A2673" s="3">
        <f>IFERROR(__xludf.DUMMYFUNCTION("""COMPUTED_VALUE"""),43226.99861111111)</f>
        <v>43226.99861</v>
      </c>
      <c r="B2673" s="1">
        <f>IFERROR(__xludf.DUMMYFUNCTION("""COMPUTED_VALUE"""),3715.565637)</f>
        <v>3715.565637</v>
      </c>
    </row>
    <row r="2674">
      <c r="A2674" s="3">
        <f>IFERROR(__xludf.DUMMYFUNCTION("""COMPUTED_VALUE"""),43227.99861111111)</f>
        <v>43227.99861</v>
      </c>
      <c r="B2674" s="1">
        <f>IFERROR(__xludf.DUMMYFUNCTION("""COMPUTED_VALUE"""),3809.097927)</f>
        <v>3809.097927</v>
      </c>
    </row>
    <row r="2675">
      <c r="A2675" s="3">
        <f>IFERROR(__xludf.DUMMYFUNCTION("""COMPUTED_VALUE"""),43228.99861111111)</f>
        <v>43228.99861</v>
      </c>
      <c r="B2675" s="1">
        <f>IFERROR(__xludf.DUMMYFUNCTION("""COMPUTED_VALUE"""),3808.228276)</f>
        <v>3808.228276</v>
      </c>
    </row>
    <row r="2676">
      <c r="A2676" s="3">
        <f>IFERROR(__xludf.DUMMYFUNCTION("""COMPUTED_VALUE"""),43229.99861111111)</f>
        <v>43229.99861</v>
      </c>
      <c r="B2676" s="1">
        <f>IFERROR(__xludf.DUMMYFUNCTION("""COMPUTED_VALUE"""),3756.807192)</f>
        <v>3756.807192</v>
      </c>
    </row>
    <row r="2677">
      <c r="A2677" s="3">
        <f>IFERROR(__xludf.DUMMYFUNCTION("""COMPUTED_VALUE"""),43230.99861111111)</f>
        <v>43230.99861</v>
      </c>
      <c r="B2677" s="1">
        <f>IFERROR(__xludf.DUMMYFUNCTION("""COMPUTED_VALUE"""),3756.406112)</f>
        <v>3756.406112</v>
      </c>
    </row>
    <row r="2678">
      <c r="A2678" s="3">
        <f>IFERROR(__xludf.DUMMYFUNCTION("""COMPUTED_VALUE"""),43231.99861111111)</f>
        <v>43231.99861</v>
      </c>
      <c r="B2678" s="1">
        <f>IFERROR(__xludf.DUMMYFUNCTION("""COMPUTED_VALUE"""),3717.33324)</f>
        <v>3717.33324</v>
      </c>
    </row>
    <row r="2679">
      <c r="A2679" s="3">
        <f>IFERROR(__xludf.DUMMYFUNCTION("""COMPUTED_VALUE"""),43232.99861111111)</f>
        <v>43232.99861</v>
      </c>
      <c r="B2679" s="1">
        <f>IFERROR(__xludf.DUMMYFUNCTION("""COMPUTED_VALUE"""),3718.13324)</f>
        <v>3718.13324</v>
      </c>
    </row>
    <row r="2680">
      <c r="A2680" s="3">
        <f>IFERROR(__xludf.DUMMYFUNCTION("""COMPUTED_VALUE"""),43233.99861111111)</f>
        <v>43233.99861</v>
      </c>
      <c r="B2680" s="1">
        <f>IFERROR(__xludf.DUMMYFUNCTION("""COMPUTED_VALUE"""),3718.232375)</f>
        <v>3718.232375</v>
      </c>
    </row>
    <row r="2681">
      <c r="A2681" s="3">
        <f>IFERROR(__xludf.DUMMYFUNCTION("""COMPUTED_VALUE"""),43234.99861111111)</f>
        <v>43234.99861</v>
      </c>
      <c r="B2681" s="1">
        <f>IFERROR(__xludf.DUMMYFUNCTION("""COMPUTED_VALUE"""),3727.542094)</f>
        <v>3727.542094</v>
      </c>
    </row>
    <row r="2682">
      <c r="A2682" s="3">
        <f>IFERROR(__xludf.DUMMYFUNCTION("""COMPUTED_VALUE"""),43235.99861111111)</f>
        <v>43235.99861</v>
      </c>
      <c r="B2682" s="1">
        <f>IFERROR(__xludf.DUMMYFUNCTION("""COMPUTED_VALUE"""),3746.128272)</f>
        <v>3746.128272</v>
      </c>
    </row>
    <row r="2683">
      <c r="A2683" s="3">
        <f>IFERROR(__xludf.DUMMYFUNCTION("""COMPUTED_VALUE"""),43236.99861111111)</f>
        <v>43236.99861</v>
      </c>
      <c r="B2683" s="1">
        <f>IFERROR(__xludf.DUMMYFUNCTION("""COMPUTED_VALUE"""),3777.350516)</f>
        <v>3777.350516</v>
      </c>
    </row>
    <row r="2684">
      <c r="A2684" s="3">
        <f>IFERROR(__xludf.DUMMYFUNCTION("""COMPUTED_VALUE"""),43237.99861111111)</f>
        <v>43237.99861</v>
      </c>
      <c r="B2684" s="1">
        <f>IFERROR(__xludf.DUMMYFUNCTION("""COMPUTED_VALUE"""),3778.095094)</f>
        <v>3778.095094</v>
      </c>
    </row>
    <row r="2685">
      <c r="A2685" s="3">
        <f>IFERROR(__xludf.DUMMYFUNCTION("""COMPUTED_VALUE"""),43238.99861111111)</f>
        <v>43238.99861</v>
      </c>
      <c r="B2685" s="1">
        <f>IFERROR(__xludf.DUMMYFUNCTION("""COMPUTED_VALUE"""),3773.091228)</f>
        <v>3773.091228</v>
      </c>
    </row>
    <row r="2686">
      <c r="A2686" s="3">
        <f>IFERROR(__xludf.DUMMYFUNCTION("""COMPUTED_VALUE"""),43239.99861111111)</f>
        <v>43239.99861</v>
      </c>
      <c r="B2686" s="1">
        <f>IFERROR(__xludf.DUMMYFUNCTION("""COMPUTED_VALUE"""),3769.267557)</f>
        <v>3769.267557</v>
      </c>
    </row>
    <row r="2687">
      <c r="A2687" s="3">
        <f>IFERROR(__xludf.DUMMYFUNCTION("""COMPUTED_VALUE"""),43240.99861111111)</f>
        <v>43240.99861</v>
      </c>
      <c r="B2687" s="1">
        <f>IFERROR(__xludf.DUMMYFUNCTION("""COMPUTED_VALUE"""),3776.900604)</f>
        <v>3776.900604</v>
      </c>
    </row>
    <row r="2688">
      <c r="A2688" s="3">
        <f>IFERROR(__xludf.DUMMYFUNCTION("""COMPUTED_VALUE"""),43241.99861111111)</f>
        <v>43241.99861</v>
      </c>
      <c r="B2688" s="1">
        <f>IFERROR(__xludf.DUMMYFUNCTION("""COMPUTED_VALUE"""),3796.353073)</f>
        <v>3796.353073</v>
      </c>
    </row>
    <row r="2689">
      <c r="A2689" s="3">
        <f>IFERROR(__xludf.DUMMYFUNCTION("""COMPUTED_VALUE"""),43242.99861111111)</f>
        <v>43242.99861</v>
      </c>
      <c r="B2689" s="1">
        <f>IFERROR(__xludf.DUMMYFUNCTION("""COMPUTED_VALUE"""),3790.721221)</f>
        <v>3790.721221</v>
      </c>
    </row>
    <row r="2690">
      <c r="A2690" s="3">
        <f>IFERROR(__xludf.DUMMYFUNCTION("""COMPUTED_VALUE"""),43243.99861111111)</f>
        <v>43243.99861</v>
      </c>
      <c r="B2690" s="1">
        <f>IFERROR(__xludf.DUMMYFUNCTION("""COMPUTED_VALUE"""),3783.343469)</f>
        <v>3783.343469</v>
      </c>
    </row>
    <row r="2691">
      <c r="A2691" s="3">
        <f>IFERROR(__xludf.DUMMYFUNCTION("""COMPUTED_VALUE"""),43244.99861111111)</f>
        <v>43244.99861</v>
      </c>
      <c r="B2691" s="1">
        <f>IFERROR(__xludf.DUMMYFUNCTION("""COMPUTED_VALUE"""),3770.522418)</f>
        <v>3770.522418</v>
      </c>
    </row>
    <row r="2692">
      <c r="A2692" s="3">
        <f>IFERROR(__xludf.DUMMYFUNCTION("""COMPUTED_VALUE"""),43245.99861111111)</f>
        <v>43245.99861</v>
      </c>
      <c r="B2692" s="1">
        <f>IFERROR(__xludf.DUMMYFUNCTION("""COMPUTED_VALUE"""),3762.56625)</f>
        <v>3762.56625</v>
      </c>
    </row>
    <row r="2693">
      <c r="A2693" s="3">
        <f>IFERROR(__xludf.DUMMYFUNCTION("""COMPUTED_VALUE"""),43246.99861111111)</f>
        <v>43246.99861</v>
      </c>
      <c r="B2693" s="1">
        <f>IFERROR(__xludf.DUMMYFUNCTION("""COMPUTED_VALUE"""),3745.500039)</f>
        <v>3745.500039</v>
      </c>
    </row>
    <row r="2694">
      <c r="A2694" s="3">
        <f>IFERROR(__xludf.DUMMYFUNCTION("""COMPUTED_VALUE"""),43247.99861111111)</f>
        <v>43247.99861</v>
      </c>
      <c r="B2694" s="1">
        <f>IFERROR(__xludf.DUMMYFUNCTION("""COMPUTED_VALUE"""),3754.233334)</f>
        <v>3754.233334</v>
      </c>
    </row>
    <row r="2695">
      <c r="A2695" s="3">
        <f>IFERROR(__xludf.DUMMYFUNCTION("""COMPUTED_VALUE"""),43248.99861111111)</f>
        <v>43248.99861</v>
      </c>
      <c r="B2695" s="1">
        <f>IFERROR(__xludf.DUMMYFUNCTION("""COMPUTED_VALUE"""),3739.789611)</f>
        <v>3739.789611</v>
      </c>
    </row>
    <row r="2696">
      <c r="A2696" s="3">
        <f>IFERROR(__xludf.DUMMYFUNCTION("""COMPUTED_VALUE"""),43249.99861111111)</f>
        <v>43249.99861</v>
      </c>
      <c r="B2696" s="1">
        <f>IFERROR(__xludf.DUMMYFUNCTION("""COMPUTED_VALUE"""),3745.461297)</f>
        <v>3745.461297</v>
      </c>
    </row>
    <row r="2697">
      <c r="A2697" s="3">
        <f>IFERROR(__xludf.DUMMYFUNCTION("""COMPUTED_VALUE"""),43250.99861111111)</f>
        <v>43250.99861</v>
      </c>
      <c r="B2697" s="1">
        <f>IFERROR(__xludf.DUMMYFUNCTION("""COMPUTED_VALUE"""),3731.279513)</f>
        <v>3731.279513</v>
      </c>
    </row>
    <row r="2698">
      <c r="A2698" s="3">
        <f>IFERROR(__xludf.DUMMYFUNCTION("""COMPUTED_VALUE"""),43251.99861111111)</f>
        <v>43251.99861</v>
      </c>
      <c r="B2698" s="1">
        <f>IFERROR(__xludf.DUMMYFUNCTION("""COMPUTED_VALUE"""),3705.384535)</f>
        <v>3705.384535</v>
      </c>
    </row>
    <row r="2699">
      <c r="A2699" s="3">
        <f>IFERROR(__xludf.DUMMYFUNCTION("""COMPUTED_VALUE"""),43252.99861111111)</f>
        <v>43252.99861</v>
      </c>
      <c r="B2699" s="1">
        <f>IFERROR(__xludf.DUMMYFUNCTION("""COMPUTED_VALUE"""),3689.999352)</f>
        <v>3689.999352</v>
      </c>
    </row>
    <row r="2700">
      <c r="A2700" s="3">
        <f>IFERROR(__xludf.DUMMYFUNCTION("""COMPUTED_VALUE"""),43253.99861111111)</f>
        <v>43253.99861</v>
      </c>
      <c r="B2700" s="1">
        <f>IFERROR(__xludf.DUMMYFUNCTION("""COMPUTED_VALUE"""),3694.934896)</f>
        <v>3694.934896</v>
      </c>
    </row>
    <row r="2701">
      <c r="A2701" s="3">
        <f>IFERROR(__xludf.DUMMYFUNCTION("""COMPUTED_VALUE"""),43254.99861111111)</f>
        <v>43254.99861</v>
      </c>
      <c r="B2701" s="1">
        <f>IFERROR(__xludf.DUMMYFUNCTION("""COMPUTED_VALUE"""),3716.998105)</f>
        <v>3716.998105</v>
      </c>
    </row>
    <row r="2702">
      <c r="A2702" s="3">
        <f>IFERROR(__xludf.DUMMYFUNCTION("""COMPUTED_VALUE"""),43255.99861111111)</f>
        <v>43255.99861</v>
      </c>
      <c r="B2702" s="1">
        <f>IFERROR(__xludf.DUMMYFUNCTION("""COMPUTED_VALUE"""),3699.650215)</f>
        <v>3699.650215</v>
      </c>
    </row>
    <row r="2703">
      <c r="A2703" s="3">
        <f>IFERROR(__xludf.DUMMYFUNCTION("""COMPUTED_VALUE"""),43256.99861111111)</f>
        <v>43256.99861</v>
      </c>
      <c r="B2703" s="1">
        <f>IFERROR(__xludf.DUMMYFUNCTION("""COMPUTED_VALUE"""),3703.01149)</f>
        <v>3703.01149</v>
      </c>
    </row>
    <row r="2704">
      <c r="A2704" s="3">
        <f>IFERROR(__xludf.DUMMYFUNCTION("""COMPUTED_VALUE"""),43257.99861111111)</f>
        <v>43257.99861</v>
      </c>
      <c r="B2704" s="1">
        <f>IFERROR(__xludf.DUMMYFUNCTION("""COMPUTED_VALUE"""),3689.802389)</f>
        <v>3689.802389</v>
      </c>
    </row>
    <row r="2705">
      <c r="A2705" s="3">
        <f>IFERROR(__xludf.DUMMYFUNCTION("""COMPUTED_VALUE"""),43258.99861111111)</f>
        <v>43258.99861</v>
      </c>
      <c r="B2705" s="1">
        <f>IFERROR(__xludf.DUMMYFUNCTION("""COMPUTED_VALUE"""),3701.14263)</f>
        <v>3701.14263</v>
      </c>
    </row>
    <row r="2706">
      <c r="A2706" s="3">
        <f>IFERROR(__xludf.DUMMYFUNCTION("""COMPUTED_VALUE"""),43259.99861111111)</f>
        <v>43259.99861</v>
      </c>
      <c r="B2706" s="1">
        <f>IFERROR(__xludf.DUMMYFUNCTION("""COMPUTED_VALUE"""),3719.533337)</f>
        <v>3719.533337</v>
      </c>
    </row>
    <row r="2707">
      <c r="A2707" s="3">
        <f>IFERROR(__xludf.DUMMYFUNCTION("""COMPUTED_VALUE"""),43260.99861111111)</f>
        <v>43260.99861</v>
      </c>
      <c r="B2707" s="1">
        <f>IFERROR(__xludf.DUMMYFUNCTION("""COMPUTED_VALUE"""),3719.596699)</f>
        <v>3719.596699</v>
      </c>
    </row>
    <row r="2708">
      <c r="A2708" s="3">
        <f>IFERROR(__xludf.DUMMYFUNCTION("""COMPUTED_VALUE"""),43261.99861111111)</f>
        <v>43261.99861</v>
      </c>
      <c r="B2708" s="1">
        <f>IFERROR(__xludf.DUMMYFUNCTION("""COMPUTED_VALUE"""),3697.994395)</f>
        <v>3697.994395</v>
      </c>
    </row>
    <row r="2709">
      <c r="A2709" s="3">
        <f>IFERROR(__xludf.DUMMYFUNCTION("""COMPUTED_VALUE"""),43262.99861111111)</f>
        <v>43262.99861</v>
      </c>
      <c r="B2709" s="1">
        <f>IFERROR(__xludf.DUMMYFUNCTION("""COMPUTED_VALUE"""),3716.764481)</f>
        <v>3716.764481</v>
      </c>
    </row>
    <row r="2710">
      <c r="A2710" s="3">
        <f>IFERROR(__xludf.DUMMYFUNCTION("""COMPUTED_VALUE"""),43263.99861111111)</f>
        <v>43263.99861</v>
      </c>
      <c r="B2710" s="1">
        <f>IFERROR(__xludf.DUMMYFUNCTION("""COMPUTED_VALUE"""),3716.863752)</f>
        <v>3716.863752</v>
      </c>
    </row>
    <row r="2711">
      <c r="A2711" s="3">
        <f>IFERROR(__xludf.DUMMYFUNCTION("""COMPUTED_VALUE"""),43264.99861111111)</f>
        <v>43264.99861</v>
      </c>
      <c r="B2711" s="1">
        <f>IFERROR(__xludf.DUMMYFUNCTION("""COMPUTED_VALUE"""),3716.863752)</f>
        <v>3716.863752</v>
      </c>
    </row>
    <row r="2712">
      <c r="A2712" s="3">
        <f>IFERROR(__xludf.DUMMYFUNCTION("""COMPUTED_VALUE"""),43265.99861111111)</f>
        <v>43265.99861</v>
      </c>
      <c r="B2712" s="1">
        <f>IFERROR(__xludf.DUMMYFUNCTION("""COMPUTED_VALUE"""),3770.331472)</f>
        <v>3770.331472</v>
      </c>
    </row>
    <row r="2713">
      <c r="A2713" s="3">
        <f>IFERROR(__xludf.DUMMYFUNCTION("""COMPUTED_VALUE"""),43266.99861111111)</f>
        <v>43266.99861</v>
      </c>
      <c r="B2713" s="1">
        <f>IFERROR(__xludf.DUMMYFUNCTION("""COMPUTED_VALUE"""),3755.652136)</f>
        <v>3755.652136</v>
      </c>
    </row>
    <row r="2714">
      <c r="A2714" s="3">
        <f>IFERROR(__xludf.DUMMYFUNCTION("""COMPUTED_VALUE"""),43268.99861111111)</f>
        <v>43268.99861</v>
      </c>
      <c r="B2714" s="1">
        <f>IFERROR(__xludf.DUMMYFUNCTION("""COMPUTED_VALUE"""),3712.997892)</f>
        <v>3712.997892</v>
      </c>
    </row>
    <row r="2715">
      <c r="A2715" s="3">
        <f>IFERROR(__xludf.DUMMYFUNCTION("""COMPUTED_VALUE"""),43269.99861111111)</f>
        <v>43269.99861</v>
      </c>
      <c r="B2715" s="1">
        <f>IFERROR(__xludf.DUMMYFUNCTION("""COMPUTED_VALUE"""),3716.566078)</f>
        <v>3716.566078</v>
      </c>
    </row>
    <row r="2716">
      <c r="A2716" s="3">
        <f>IFERROR(__xludf.DUMMYFUNCTION("""COMPUTED_VALUE"""),43270.99861111111)</f>
        <v>43270.99861</v>
      </c>
      <c r="B2716" s="1">
        <f>IFERROR(__xludf.DUMMYFUNCTION("""COMPUTED_VALUE"""),3716.66521)</f>
        <v>3716.66521</v>
      </c>
    </row>
    <row r="2717">
      <c r="A2717" s="3">
        <f>IFERROR(__xludf.DUMMYFUNCTION("""COMPUTED_VALUE"""),43271.99861111111)</f>
        <v>43271.99861</v>
      </c>
      <c r="B2717" s="1">
        <f>IFERROR(__xludf.DUMMYFUNCTION("""COMPUTED_VALUE"""),3716.962884)</f>
        <v>3716.962884</v>
      </c>
    </row>
    <row r="2718">
      <c r="A2718" s="3">
        <f>IFERROR(__xludf.DUMMYFUNCTION("""COMPUTED_VALUE"""),43272.99861111111)</f>
        <v>43272.99861</v>
      </c>
      <c r="B2718" s="1">
        <f>IFERROR(__xludf.DUMMYFUNCTION("""COMPUTED_VALUE"""),3760.711016)</f>
        <v>3760.711016</v>
      </c>
    </row>
    <row r="2719">
      <c r="A2719" s="3">
        <f>IFERROR(__xludf.DUMMYFUNCTION("""COMPUTED_VALUE"""),43273.99861111111)</f>
        <v>43273.99861</v>
      </c>
      <c r="B2719" s="1">
        <f>IFERROR(__xludf.DUMMYFUNCTION("""COMPUTED_VALUE"""),3756.746572)</f>
        <v>3756.746572</v>
      </c>
    </row>
    <row r="2720">
      <c r="A2720" s="3">
        <f>IFERROR(__xludf.DUMMYFUNCTION("""COMPUTED_VALUE"""),43275.99861111111)</f>
        <v>43275.99861</v>
      </c>
      <c r="B2720" s="1">
        <f>IFERROR(__xludf.DUMMYFUNCTION("""COMPUTED_VALUE"""),3752.899965)</f>
        <v>3752.899965</v>
      </c>
    </row>
    <row r="2721">
      <c r="A2721" s="3">
        <f>IFERROR(__xludf.DUMMYFUNCTION("""COMPUTED_VALUE"""),43276.99861111111)</f>
        <v>43276.99861</v>
      </c>
      <c r="B2721" s="1">
        <f>IFERROR(__xludf.DUMMYFUNCTION("""COMPUTED_VALUE"""),3777.131032)</f>
        <v>3777.131032</v>
      </c>
    </row>
    <row r="2722">
      <c r="A2722" s="3">
        <f>IFERROR(__xludf.DUMMYFUNCTION("""COMPUTED_VALUE"""),43277.99861111111)</f>
        <v>43277.99861</v>
      </c>
      <c r="B2722" s="1">
        <f>IFERROR(__xludf.DUMMYFUNCTION("""COMPUTED_VALUE"""),3788.113283)</f>
        <v>3788.113283</v>
      </c>
    </row>
    <row r="2723">
      <c r="A2723" s="3">
        <f>IFERROR(__xludf.DUMMYFUNCTION("""COMPUTED_VALUE"""),43278.99861111111)</f>
        <v>43278.99861</v>
      </c>
      <c r="B2723" s="1">
        <f>IFERROR(__xludf.DUMMYFUNCTION("""COMPUTED_VALUE"""),3799.951825)</f>
        <v>3799.951825</v>
      </c>
    </row>
    <row r="2724">
      <c r="A2724" s="3">
        <f>IFERROR(__xludf.DUMMYFUNCTION("""COMPUTED_VALUE"""),43279.99861111111)</f>
        <v>43279.99861</v>
      </c>
      <c r="B2724" s="1">
        <f>IFERROR(__xludf.DUMMYFUNCTION("""COMPUTED_VALUE"""),3830.650418)</f>
        <v>3830.650418</v>
      </c>
    </row>
    <row r="2725">
      <c r="A2725" s="3">
        <f>IFERROR(__xludf.DUMMYFUNCTION("""COMPUTED_VALUE"""),43280.99861111111)</f>
        <v>43280.99861</v>
      </c>
      <c r="B2725" s="1">
        <f>IFERROR(__xludf.DUMMYFUNCTION("""COMPUTED_VALUE"""),3810.095708)</f>
        <v>3810.095708</v>
      </c>
    </row>
    <row r="2726">
      <c r="A2726" s="3">
        <f>IFERROR(__xludf.DUMMYFUNCTION("""COMPUTED_VALUE"""),43281.99861111111)</f>
        <v>43281.99861</v>
      </c>
      <c r="B2726" s="1">
        <f>IFERROR(__xludf.DUMMYFUNCTION("""COMPUTED_VALUE"""),3810.095708)</f>
        <v>3810.095708</v>
      </c>
    </row>
    <row r="2727">
      <c r="A2727" s="3">
        <f>IFERROR(__xludf.DUMMYFUNCTION("""COMPUTED_VALUE"""),43282.99861111111)</f>
        <v>43282.99861</v>
      </c>
      <c r="B2727" s="1">
        <f>IFERROR(__xludf.DUMMYFUNCTION("""COMPUTED_VALUE"""),3817.968365)</f>
        <v>3817.968365</v>
      </c>
    </row>
    <row r="2728">
      <c r="A2728" s="3">
        <f>IFERROR(__xludf.DUMMYFUNCTION("""COMPUTED_VALUE"""),43283.99861111111)</f>
        <v>43283.99861</v>
      </c>
      <c r="B2728" s="1">
        <f>IFERROR(__xludf.DUMMYFUNCTION("""COMPUTED_VALUE"""),3829.951879)</f>
        <v>3829.951879</v>
      </c>
    </row>
    <row r="2729">
      <c r="A2729" s="3">
        <f>IFERROR(__xludf.DUMMYFUNCTION("""COMPUTED_VALUE"""),43284.99861111111)</f>
        <v>43284.99861</v>
      </c>
      <c r="B2729" s="1">
        <f>IFERROR(__xludf.DUMMYFUNCTION("""COMPUTED_VALUE"""),3831.962791)</f>
        <v>3831.962791</v>
      </c>
    </row>
    <row r="2730">
      <c r="A2730" s="3">
        <f>IFERROR(__xludf.DUMMYFUNCTION("""COMPUTED_VALUE"""),43285.99861111111)</f>
        <v>43285.99861</v>
      </c>
      <c r="B2730" s="1">
        <f>IFERROR(__xludf.DUMMYFUNCTION("""COMPUTED_VALUE"""),3843.997632)</f>
        <v>3843.997632</v>
      </c>
    </row>
    <row r="2731">
      <c r="A2731" s="3">
        <f>IFERROR(__xludf.DUMMYFUNCTION("""COMPUTED_VALUE"""),43286.99861111111)</f>
        <v>43286.99861</v>
      </c>
      <c r="B2731" s="1">
        <f>IFERROR(__xludf.DUMMYFUNCTION("""COMPUTED_VALUE"""),3838.133515)</f>
        <v>3838.133515</v>
      </c>
    </row>
    <row r="2732">
      <c r="A2732" s="3">
        <f>IFERROR(__xludf.DUMMYFUNCTION("""COMPUTED_VALUE"""),43287.99861111111)</f>
        <v>43287.99861</v>
      </c>
      <c r="B2732" s="1">
        <f>IFERROR(__xludf.DUMMYFUNCTION("""COMPUTED_VALUE"""),3827.793335)</f>
        <v>3827.793335</v>
      </c>
    </row>
    <row r="2733">
      <c r="A2733" s="3">
        <f>IFERROR(__xludf.DUMMYFUNCTION("""COMPUTED_VALUE"""),43288.99861111111)</f>
        <v>43288.99861</v>
      </c>
      <c r="B2733" s="1">
        <f>IFERROR(__xludf.DUMMYFUNCTION("""COMPUTED_VALUE"""),3823.403776)</f>
        <v>3823.403776</v>
      </c>
    </row>
    <row r="2734">
      <c r="A2734" s="3">
        <f>IFERROR(__xludf.DUMMYFUNCTION("""COMPUTED_VALUE"""),43289.99861111111)</f>
        <v>43289.99861</v>
      </c>
      <c r="B2734" s="1">
        <f>IFERROR(__xludf.DUMMYFUNCTION("""COMPUTED_VALUE"""),3815.301627)</f>
        <v>3815.301627</v>
      </c>
    </row>
    <row r="2735">
      <c r="A2735" s="3">
        <f>IFERROR(__xludf.DUMMYFUNCTION("""COMPUTED_VALUE"""),43290.99861111111)</f>
        <v>43290.99861</v>
      </c>
      <c r="B2735" s="1">
        <f>IFERROR(__xludf.DUMMYFUNCTION("""COMPUTED_VALUE"""),3820.239591)</f>
        <v>3820.239591</v>
      </c>
    </row>
    <row r="2736">
      <c r="A2736" s="3">
        <f>IFERROR(__xludf.DUMMYFUNCTION("""COMPUTED_VALUE"""),43291.99861111111)</f>
        <v>43291.99861</v>
      </c>
      <c r="B2736" s="1">
        <f>IFERROR(__xludf.DUMMYFUNCTION("""COMPUTED_VALUE"""),3837.426518)</f>
        <v>3837.426518</v>
      </c>
    </row>
    <row r="2737">
      <c r="A2737" s="3">
        <f>IFERROR(__xludf.DUMMYFUNCTION("""COMPUTED_VALUE"""),43292.99861111111)</f>
        <v>43292.99861</v>
      </c>
      <c r="B2737" s="1">
        <f>IFERROR(__xludf.DUMMYFUNCTION("""COMPUTED_VALUE"""),3838.022486)</f>
        <v>3838.022486</v>
      </c>
    </row>
    <row r="2738">
      <c r="A2738" s="3">
        <f>IFERROR(__xludf.DUMMYFUNCTION("""COMPUTED_VALUE"""),43293.99861111111)</f>
        <v>43293.99861</v>
      </c>
      <c r="B2738" s="1">
        <f>IFERROR(__xludf.DUMMYFUNCTION("""COMPUTED_VALUE"""),3840.506149)</f>
        <v>3840.506149</v>
      </c>
    </row>
    <row r="2739">
      <c r="A2739" s="3">
        <f>IFERROR(__xludf.DUMMYFUNCTION("""COMPUTED_VALUE"""),43294.99861111111)</f>
        <v>43294.99861</v>
      </c>
      <c r="B2739" s="1">
        <f>IFERROR(__xludf.DUMMYFUNCTION("""COMPUTED_VALUE"""),3832.719904)</f>
        <v>3832.719904</v>
      </c>
    </row>
    <row r="2740">
      <c r="A2740" s="3">
        <f>IFERROR(__xludf.DUMMYFUNCTION("""COMPUTED_VALUE"""),43295.99861111111)</f>
        <v>43295.99861</v>
      </c>
      <c r="B2740" s="1">
        <f>IFERROR(__xludf.DUMMYFUNCTION("""COMPUTED_VALUE"""),3832.799904)</f>
        <v>3832.799904</v>
      </c>
    </row>
    <row r="2741">
      <c r="A2741" s="3">
        <f>IFERROR(__xludf.DUMMYFUNCTION("""COMPUTED_VALUE"""),43296.99861111111)</f>
        <v>43296.99861</v>
      </c>
      <c r="B2741" s="1">
        <f>IFERROR(__xludf.DUMMYFUNCTION("""COMPUTED_VALUE"""),3832.902096)</f>
        <v>3832.902096</v>
      </c>
    </row>
    <row r="2742">
      <c r="A2742" s="3">
        <f>IFERROR(__xludf.DUMMYFUNCTION("""COMPUTED_VALUE"""),43297.99861111111)</f>
        <v>43297.99861</v>
      </c>
      <c r="B2742" s="1">
        <f>IFERROR(__xludf.DUMMYFUNCTION("""COMPUTED_VALUE"""),3834.583345)</f>
        <v>3834.583345</v>
      </c>
    </row>
    <row r="2743">
      <c r="A2743" s="3">
        <f>IFERROR(__xludf.DUMMYFUNCTION("""COMPUTED_VALUE"""),43298.99861111111)</f>
        <v>43298.99861</v>
      </c>
      <c r="B2743" s="1">
        <f>IFERROR(__xludf.DUMMYFUNCTION("""COMPUTED_VALUE"""),3837.755549)</f>
        <v>3837.755549</v>
      </c>
    </row>
    <row r="2744">
      <c r="A2744" s="3">
        <f>IFERROR(__xludf.DUMMYFUNCTION("""COMPUTED_VALUE"""),43299.99861111111)</f>
        <v>43299.99861</v>
      </c>
      <c r="B2744" s="1">
        <f>IFERROR(__xludf.DUMMYFUNCTION("""COMPUTED_VALUE"""),3855.148276)</f>
        <v>3855.148276</v>
      </c>
    </row>
    <row r="2745">
      <c r="A2745" s="3">
        <f>IFERROR(__xludf.DUMMYFUNCTION("""COMPUTED_VALUE"""),43300.99861111111)</f>
        <v>43300.99861</v>
      </c>
      <c r="B2745" s="1">
        <f>IFERROR(__xludf.DUMMYFUNCTION("""COMPUTED_VALUE"""),3861.943674)</f>
        <v>3861.943674</v>
      </c>
    </row>
    <row r="2746">
      <c r="A2746" s="3">
        <f>IFERROR(__xludf.DUMMYFUNCTION("""COMPUTED_VALUE"""),43301.99861111111)</f>
        <v>43301.99861</v>
      </c>
      <c r="B2746" s="1">
        <f>IFERROR(__xludf.DUMMYFUNCTION("""COMPUTED_VALUE"""),3866.917495)</f>
        <v>3866.917495</v>
      </c>
    </row>
    <row r="2747">
      <c r="A2747" s="3">
        <f>IFERROR(__xludf.DUMMYFUNCTION("""COMPUTED_VALUE"""),43302.99861111111)</f>
        <v>43302.99861</v>
      </c>
      <c r="B2747" s="1">
        <f>IFERROR(__xludf.DUMMYFUNCTION("""COMPUTED_VALUE"""),3873.402242)</f>
        <v>3873.402242</v>
      </c>
    </row>
    <row r="2748">
      <c r="A2748" s="3">
        <f>IFERROR(__xludf.DUMMYFUNCTION("""COMPUTED_VALUE"""),43303.99861111111)</f>
        <v>43303.99861</v>
      </c>
      <c r="B2748" s="1">
        <f>IFERROR(__xludf.DUMMYFUNCTION("""COMPUTED_VALUE"""),3859.569473)</f>
        <v>3859.569473</v>
      </c>
    </row>
    <row r="2749">
      <c r="A2749" s="3">
        <f>IFERROR(__xludf.DUMMYFUNCTION("""COMPUTED_VALUE"""),43304.99861111111)</f>
        <v>43304.99861</v>
      </c>
      <c r="B2749" s="1">
        <f>IFERROR(__xludf.DUMMYFUNCTION("""COMPUTED_VALUE"""),3888.607078)</f>
        <v>3888.607078</v>
      </c>
    </row>
    <row r="2750">
      <c r="A2750" s="3">
        <f>IFERROR(__xludf.DUMMYFUNCTION("""COMPUTED_VALUE"""),43305.99861111111)</f>
        <v>43305.99861</v>
      </c>
      <c r="B2750" s="1">
        <f>IFERROR(__xludf.DUMMYFUNCTION("""COMPUTED_VALUE"""),3882.250747)</f>
        <v>3882.250747</v>
      </c>
    </row>
    <row r="2751">
      <c r="A2751" s="3">
        <f>IFERROR(__xludf.DUMMYFUNCTION("""COMPUTED_VALUE"""),43306.99861111111)</f>
        <v>43306.99861</v>
      </c>
      <c r="B2751" s="1">
        <f>IFERROR(__xludf.DUMMYFUNCTION("""COMPUTED_VALUE"""),3862.070669)</f>
        <v>3862.070669</v>
      </c>
    </row>
    <row r="2752">
      <c r="A2752" s="3">
        <f>IFERROR(__xludf.DUMMYFUNCTION("""COMPUTED_VALUE"""),43307.99861111111)</f>
        <v>43307.99861</v>
      </c>
      <c r="B2752" s="1">
        <f>IFERROR(__xludf.DUMMYFUNCTION("""COMPUTED_VALUE"""),3876.951704)</f>
        <v>3876.951704</v>
      </c>
    </row>
    <row r="2753">
      <c r="A2753" s="3">
        <f>IFERROR(__xludf.DUMMYFUNCTION("""COMPUTED_VALUE"""),43308.99861111111)</f>
        <v>43308.99861</v>
      </c>
      <c r="B2753" s="1">
        <f>IFERROR(__xludf.DUMMYFUNCTION("""COMPUTED_VALUE"""),3836.496116)</f>
        <v>3836.496116</v>
      </c>
    </row>
    <row r="2754">
      <c r="A2754" s="3">
        <f>IFERROR(__xludf.DUMMYFUNCTION("""COMPUTED_VALUE"""),43310.99861111111)</f>
        <v>43310.99861</v>
      </c>
      <c r="B2754" s="1">
        <f>IFERROR(__xludf.DUMMYFUNCTION("""COMPUTED_VALUE"""),3843.035699)</f>
        <v>3843.035699</v>
      </c>
    </row>
    <row r="2755">
      <c r="A2755" s="3">
        <f>IFERROR(__xludf.DUMMYFUNCTION("""COMPUTED_VALUE"""),43311.99861111111)</f>
        <v>43311.99861</v>
      </c>
      <c r="B2755" s="1">
        <f>IFERROR(__xludf.DUMMYFUNCTION("""COMPUTED_VALUE"""),3844.593222)</f>
        <v>3844.593222</v>
      </c>
    </row>
    <row r="2756">
      <c r="A2756" s="3">
        <f>IFERROR(__xludf.DUMMYFUNCTION("""COMPUTED_VALUE"""),43312.99861111111)</f>
        <v>43312.99861</v>
      </c>
      <c r="B2756" s="1">
        <f>IFERROR(__xludf.DUMMYFUNCTION("""COMPUTED_VALUE"""),3846.145594)</f>
        <v>3846.145594</v>
      </c>
    </row>
    <row r="2757">
      <c r="A2757" s="3">
        <f>IFERROR(__xludf.DUMMYFUNCTION("""COMPUTED_VALUE"""),43313.99861111111)</f>
        <v>43313.99861</v>
      </c>
      <c r="B2757" s="1">
        <f>IFERROR(__xludf.DUMMYFUNCTION("""COMPUTED_VALUE"""),3867.652511)</f>
        <v>3867.652511</v>
      </c>
    </row>
    <row r="2758">
      <c r="A2758" s="3">
        <f>IFERROR(__xludf.DUMMYFUNCTION("""COMPUTED_VALUE"""),43314.99861111111)</f>
        <v>43314.99861</v>
      </c>
      <c r="B2758" s="1">
        <f>IFERROR(__xludf.DUMMYFUNCTION("""COMPUTED_VALUE"""),3875.987576)</f>
        <v>3875.987576</v>
      </c>
    </row>
    <row r="2759">
      <c r="A2759" s="3">
        <f>IFERROR(__xludf.DUMMYFUNCTION("""COMPUTED_VALUE"""),43315.99861111111)</f>
        <v>43315.99861</v>
      </c>
      <c r="B2759" s="1">
        <f>IFERROR(__xludf.DUMMYFUNCTION("""COMPUTED_VALUE"""),3863.438482)</f>
        <v>3863.438482</v>
      </c>
    </row>
    <row r="2760">
      <c r="A2760" s="3">
        <f>IFERROR(__xludf.DUMMYFUNCTION("""COMPUTED_VALUE"""),43317.99861111111)</f>
        <v>43317.99861</v>
      </c>
      <c r="B2760" s="1">
        <f>IFERROR(__xludf.DUMMYFUNCTION("""COMPUTED_VALUE"""),3863.036232)</f>
        <v>3863.036232</v>
      </c>
    </row>
    <row r="2761">
      <c r="A2761" s="3">
        <f>IFERROR(__xludf.DUMMYFUNCTION("""COMPUTED_VALUE"""),43318.99861111111)</f>
        <v>43318.99861</v>
      </c>
      <c r="B2761" s="1">
        <f>IFERROR(__xludf.DUMMYFUNCTION("""COMPUTED_VALUE"""),3882.354441)</f>
        <v>3882.354441</v>
      </c>
    </row>
    <row r="2762">
      <c r="A2762" s="3">
        <f>IFERROR(__xludf.DUMMYFUNCTION("""COMPUTED_VALUE"""),43319.99861111111)</f>
        <v>43319.99861</v>
      </c>
      <c r="B2762" s="1">
        <f>IFERROR(__xludf.DUMMYFUNCTION("""COMPUTED_VALUE"""),3849.562208)</f>
        <v>3849.562208</v>
      </c>
    </row>
    <row r="2763">
      <c r="A2763" s="3">
        <f>IFERROR(__xludf.DUMMYFUNCTION("""COMPUTED_VALUE"""),43320.99861111111)</f>
        <v>43320.99861</v>
      </c>
      <c r="B2763" s="1">
        <f>IFERROR(__xludf.DUMMYFUNCTION("""COMPUTED_VALUE"""),3843.669058)</f>
        <v>3843.669058</v>
      </c>
    </row>
    <row r="2764">
      <c r="A2764" s="3">
        <f>IFERROR(__xludf.DUMMYFUNCTION("""COMPUTED_VALUE"""),43321.99861111111)</f>
        <v>43321.99861</v>
      </c>
      <c r="B2764" s="1">
        <f>IFERROR(__xludf.DUMMYFUNCTION("""COMPUTED_VALUE"""),3863.21762)</f>
        <v>3863.21762</v>
      </c>
    </row>
    <row r="2765">
      <c r="A2765" s="3">
        <f>IFERROR(__xludf.DUMMYFUNCTION("""COMPUTED_VALUE"""),43322.99861111111)</f>
        <v>43322.99861</v>
      </c>
      <c r="B2765" s="1">
        <f>IFERROR(__xludf.DUMMYFUNCTION("""COMPUTED_VALUE"""),3864.922513)</f>
        <v>3864.922513</v>
      </c>
    </row>
    <row r="2766">
      <c r="A2766" s="3">
        <f>IFERROR(__xludf.DUMMYFUNCTION("""COMPUTED_VALUE"""),43324.99861111111)</f>
        <v>43324.99861</v>
      </c>
      <c r="B2766" s="1">
        <f>IFERROR(__xludf.DUMMYFUNCTION("""COMPUTED_VALUE"""),3859.569473)</f>
        <v>3859.569473</v>
      </c>
    </row>
    <row r="2767">
      <c r="A2767" s="3">
        <f>IFERROR(__xludf.DUMMYFUNCTION("""COMPUTED_VALUE"""),43325.99861111111)</f>
        <v>43325.99861</v>
      </c>
      <c r="B2767" s="1">
        <f>IFERROR(__xludf.DUMMYFUNCTION("""COMPUTED_VALUE"""),3895.784822)</f>
        <v>3895.784822</v>
      </c>
    </row>
    <row r="2768">
      <c r="A2768" s="3">
        <f>IFERROR(__xludf.DUMMYFUNCTION("""COMPUTED_VALUE"""),43326.99861111111)</f>
        <v>43326.99861</v>
      </c>
      <c r="B2768" s="1">
        <f>IFERROR(__xludf.DUMMYFUNCTION("""COMPUTED_VALUE"""),3908.598147)</f>
        <v>3908.598147</v>
      </c>
    </row>
    <row r="2769">
      <c r="A2769" s="3">
        <f>IFERROR(__xludf.DUMMYFUNCTION("""COMPUTED_VALUE"""),43327.99861111111)</f>
        <v>43327.99861</v>
      </c>
      <c r="B2769" s="1">
        <f>IFERROR(__xludf.DUMMYFUNCTION("""COMPUTED_VALUE"""),3886.832653)</f>
        <v>3886.832653</v>
      </c>
    </row>
    <row r="2770">
      <c r="A2770" s="3">
        <f>IFERROR(__xludf.DUMMYFUNCTION("""COMPUTED_VALUE"""),43328.99861111111)</f>
        <v>43328.99861</v>
      </c>
      <c r="B2770" s="1">
        <f>IFERROR(__xludf.DUMMYFUNCTION("""COMPUTED_VALUE"""),3897.116854)</f>
        <v>3897.116854</v>
      </c>
    </row>
    <row r="2771">
      <c r="A2771" s="3">
        <f>IFERROR(__xludf.DUMMYFUNCTION("""COMPUTED_VALUE"""),43329.99861111111)</f>
        <v>43329.99861</v>
      </c>
      <c r="B2771" s="1">
        <f>IFERROR(__xludf.DUMMYFUNCTION("""COMPUTED_VALUE"""),3892.552833)</f>
        <v>3892.552833</v>
      </c>
    </row>
    <row r="2772">
      <c r="A2772" s="3">
        <f>IFERROR(__xludf.DUMMYFUNCTION("""COMPUTED_VALUE"""),43331.99861111111)</f>
        <v>43331.99861</v>
      </c>
      <c r="B2772" s="1">
        <f>IFERROR(__xludf.DUMMYFUNCTION("""COMPUTED_VALUE"""),3885.970176)</f>
        <v>3885.970176</v>
      </c>
    </row>
    <row r="2773">
      <c r="A2773" s="3">
        <f>IFERROR(__xludf.DUMMYFUNCTION("""COMPUTED_VALUE"""),43332.99861111111)</f>
        <v>43332.99861</v>
      </c>
      <c r="B2773" s="1">
        <f>IFERROR(__xludf.DUMMYFUNCTION("""COMPUTED_VALUE"""),3887.035096)</f>
        <v>3887.035096</v>
      </c>
    </row>
    <row r="2774">
      <c r="A2774" s="3">
        <f>IFERROR(__xludf.DUMMYFUNCTION("""COMPUTED_VALUE"""),43333.99861111111)</f>
        <v>43333.99861</v>
      </c>
      <c r="B2774" s="1">
        <f>IFERROR(__xludf.DUMMYFUNCTION("""COMPUTED_VALUE"""),3889.066798)</f>
        <v>3889.066798</v>
      </c>
    </row>
    <row r="2775">
      <c r="A2775" s="3">
        <f>IFERROR(__xludf.DUMMYFUNCTION("""COMPUTED_VALUE"""),43334.99861111111)</f>
        <v>43334.99861</v>
      </c>
      <c r="B2775" s="1">
        <f>IFERROR(__xludf.DUMMYFUNCTION("""COMPUTED_VALUE"""),3890.431394)</f>
        <v>3890.431394</v>
      </c>
    </row>
    <row r="2776">
      <c r="A2776" s="3">
        <f>IFERROR(__xludf.DUMMYFUNCTION("""COMPUTED_VALUE"""),43335.99861111111)</f>
        <v>43335.99861</v>
      </c>
      <c r="B2776" s="1">
        <f>IFERROR(__xludf.DUMMYFUNCTION("""COMPUTED_VALUE"""),3914.052997)</f>
        <v>3914.052997</v>
      </c>
    </row>
    <row r="2777">
      <c r="A2777" s="3">
        <f>IFERROR(__xludf.DUMMYFUNCTION("""COMPUTED_VALUE"""),43336.99861111111)</f>
        <v>43336.99861</v>
      </c>
      <c r="B2777" s="1">
        <f>IFERROR(__xludf.DUMMYFUNCTION("""COMPUTED_VALUE"""),3889.971327)</f>
        <v>3889.971327</v>
      </c>
    </row>
    <row r="2778">
      <c r="A2778" s="3">
        <f>IFERROR(__xludf.DUMMYFUNCTION("""COMPUTED_VALUE"""),43338.99861111111)</f>
        <v>43338.99861</v>
      </c>
      <c r="B2778" s="1">
        <f>IFERROR(__xludf.DUMMYFUNCTION("""COMPUTED_VALUE"""),3882.089359)</f>
        <v>3882.089359</v>
      </c>
    </row>
    <row r="2779">
      <c r="A2779" s="3">
        <f>IFERROR(__xludf.DUMMYFUNCTION("""COMPUTED_VALUE"""),43339.99861111111)</f>
        <v>43339.99861</v>
      </c>
      <c r="B2779" s="1">
        <f>IFERROR(__xludf.DUMMYFUNCTION("""COMPUTED_VALUE"""),3883.891514)</f>
        <v>3883.891514</v>
      </c>
    </row>
    <row r="2780">
      <c r="A2780" s="3">
        <f>IFERROR(__xludf.DUMMYFUNCTION("""COMPUTED_VALUE"""),43340.99861111111)</f>
        <v>43340.99861</v>
      </c>
      <c r="B2780" s="1">
        <f>IFERROR(__xludf.DUMMYFUNCTION("""COMPUTED_VALUE"""),3911.63901)</f>
        <v>3911.63901</v>
      </c>
    </row>
    <row r="2781">
      <c r="A2781" s="3">
        <f>IFERROR(__xludf.DUMMYFUNCTION("""COMPUTED_VALUE"""),43341.99861111111)</f>
        <v>43341.99861</v>
      </c>
      <c r="B2781" s="1">
        <f>IFERROR(__xludf.DUMMYFUNCTION("""COMPUTED_VALUE"""),3902.399937)</f>
        <v>3902.399937</v>
      </c>
    </row>
    <row r="2782">
      <c r="A2782" s="3">
        <f>IFERROR(__xludf.DUMMYFUNCTION("""COMPUTED_VALUE"""),43342.99861111111)</f>
        <v>43342.99861</v>
      </c>
      <c r="B2782" s="1">
        <f>IFERROR(__xludf.DUMMYFUNCTION("""COMPUTED_VALUE"""),3937.484872)</f>
        <v>3937.484872</v>
      </c>
    </row>
    <row r="2783">
      <c r="A2783" s="3">
        <f>IFERROR(__xludf.DUMMYFUNCTION("""COMPUTED_VALUE"""),43343.99861111111)</f>
        <v>43343.99861</v>
      </c>
      <c r="B2783" s="1">
        <f>IFERROR(__xludf.DUMMYFUNCTION("""COMPUTED_VALUE"""),3931.804121)</f>
        <v>3931.804121</v>
      </c>
    </row>
    <row r="2784">
      <c r="A2784" s="3">
        <f>IFERROR(__xludf.DUMMYFUNCTION("""COMPUTED_VALUE"""),43344.99861111111)</f>
        <v>43344.99861</v>
      </c>
      <c r="B2784" s="1">
        <f>IFERROR(__xludf.DUMMYFUNCTION("""COMPUTED_VALUE"""),3931.270089)</f>
        <v>3931.270089</v>
      </c>
    </row>
    <row r="2785">
      <c r="A2785" s="3">
        <f>IFERROR(__xludf.DUMMYFUNCTION("""COMPUTED_VALUE"""),43345.99861111111)</f>
        <v>43345.99861</v>
      </c>
      <c r="B2785" s="1">
        <f>IFERROR(__xludf.DUMMYFUNCTION("""COMPUTED_VALUE"""),3925.923874)</f>
        <v>3925.923874</v>
      </c>
    </row>
    <row r="2786">
      <c r="A2786" s="3">
        <f>IFERROR(__xludf.DUMMYFUNCTION("""COMPUTED_VALUE"""),43346.99861111111)</f>
        <v>43346.99861</v>
      </c>
      <c r="B2786" s="1">
        <f>IFERROR(__xludf.DUMMYFUNCTION("""COMPUTED_VALUE"""),3959.000601)</f>
        <v>3959.000601</v>
      </c>
    </row>
    <row r="2787">
      <c r="A2787" s="3">
        <f>IFERROR(__xludf.DUMMYFUNCTION("""COMPUTED_VALUE"""),43347.99861111111)</f>
        <v>43347.99861</v>
      </c>
      <c r="B2787" s="1">
        <f>IFERROR(__xludf.DUMMYFUNCTION("""COMPUTED_VALUE"""),3985.052595)</f>
        <v>3985.052595</v>
      </c>
    </row>
    <row r="2788">
      <c r="A2788" s="3">
        <f>IFERROR(__xludf.DUMMYFUNCTION("""COMPUTED_VALUE"""),43348.99861111111)</f>
        <v>43348.99861</v>
      </c>
      <c r="B2788" s="1">
        <f>IFERROR(__xludf.DUMMYFUNCTION("""COMPUTED_VALUE"""),3998.265035)</f>
        <v>3998.265035</v>
      </c>
    </row>
    <row r="2789">
      <c r="A2789" s="3">
        <f>IFERROR(__xludf.DUMMYFUNCTION("""COMPUTED_VALUE"""),43349.99861111111)</f>
        <v>43349.99861</v>
      </c>
      <c r="B2789" s="1">
        <f>IFERROR(__xludf.DUMMYFUNCTION("""COMPUTED_VALUE"""),3976.238135)</f>
        <v>3976.238135</v>
      </c>
    </row>
    <row r="2790">
      <c r="A2790" s="3">
        <f>IFERROR(__xludf.DUMMYFUNCTION("""COMPUTED_VALUE"""),43350.99861111111)</f>
        <v>43350.99861</v>
      </c>
      <c r="B2790" s="1">
        <f>IFERROR(__xludf.DUMMYFUNCTION("""COMPUTED_VALUE"""),3996.823729)</f>
        <v>3996.823729</v>
      </c>
    </row>
    <row r="2791">
      <c r="A2791" s="3">
        <f>IFERROR(__xludf.DUMMYFUNCTION("""COMPUTED_VALUE"""),43351.99861111111)</f>
        <v>43351.99861</v>
      </c>
      <c r="B2791" s="1">
        <f>IFERROR(__xludf.DUMMYFUNCTION("""COMPUTED_VALUE"""),3953.71798)</f>
        <v>3953.71798</v>
      </c>
    </row>
    <row r="2792">
      <c r="A2792" s="3">
        <f>IFERROR(__xludf.DUMMYFUNCTION("""COMPUTED_VALUE"""),43352.99861111111)</f>
        <v>43352.99861</v>
      </c>
      <c r="B2792" s="1">
        <f>IFERROR(__xludf.DUMMYFUNCTION("""COMPUTED_VALUE"""),3949.501312)</f>
        <v>3949.501312</v>
      </c>
    </row>
    <row r="2793">
      <c r="A2793" s="3">
        <f>IFERROR(__xludf.DUMMYFUNCTION("""COMPUTED_VALUE"""),43353.99861111111)</f>
        <v>43353.99861</v>
      </c>
      <c r="B2793" s="1">
        <f>IFERROR(__xludf.DUMMYFUNCTION("""COMPUTED_VALUE"""),3961.702683)</f>
        <v>3961.702683</v>
      </c>
    </row>
    <row r="2794">
      <c r="A2794" s="3">
        <f>IFERROR(__xludf.DUMMYFUNCTION("""COMPUTED_VALUE"""),43354.99861111111)</f>
        <v>43354.99861</v>
      </c>
      <c r="B2794" s="1">
        <f>IFERROR(__xludf.DUMMYFUNCTION("""COMPUTED_VALUE"""),3960.123788)</f>
        <v>3960.123788</v>
      </c>
    </row>
    <row r="2795">
      <c r="A2795" s="3">
        <f>IFERROR(__xludf.DUMMYFUNCTION("""COMPUTED_VALUE"""),43355.99861111111)</f>
        <v>43355.99861</v>
      </c>
      <c r="B2795" s="1">
        <f>IFERROR(__xludf.DUMMYFUNCTION("""COMPUTED_VALUE"""),3952.749527)</f>
        <v>3952.749527</v>
      </c>
    </row>
    <row r="2796">
      <c r="A2796" s="3">
        <f>IFERROR(__xludf.DUMMYFUNCTION("""COMPUTED_VALUE"""),43356.99861111111)</f>
        <v>43356.99861</v>
      </c>
      <c r="B2796" s="1">
        <f>IFERROR(__xludf.DUMMYFUNCTION("""COMPUTED_VALUE"""),3934.863783)</f>
        <v>3934.863783</v>
      </c>
    </row>
    <row r="2797">
      <c r="A2797" s="3">
        <f>IFERROR(__xludf.DUMMYFUNCTION("""COMPUTED_VALUE"""),43357.99861111111)</f>
        <v>43357.99861</v>
      </c>
      <c r="B2797" s="1">
        <f>IFERROR(__xludf.DUMMYFUNCTION("""COMPUTED_VALUE"""),3949.250183)</f>
        <v>3949.250183</v>
      </c>
    </row>
    <row r="2798">
      <c r="A2798" s="3">
        <f>IFERROR(__xludf.DUMMYFUNCTION("""COMPUTED_VALUE"""),43359.99861111111)</f>
        <v>43359.99861</v>
      </c>
      <c r="B2798" s="1">
        <f>IFERROR(__xludf.DUMMYFUNCTION("""COMPUTED_VALUE"""),3948.217401)</f>
        <v>3948.217401</v>
      </c>
    </row>
    <row r="2799">
      <c r="A2799" s="3">
        <f>IFERROR(__xludf.DUMMYFUNCTION("""COMPUTED_VALUE"""),43360.99861111111)</f>
        <v>43360.99861</v>
      </c>
      <c r="B2799" s="1">
        <f>IFERROR(__xludf.DUMMYFUNCTION("""COMPUTED_VALUE"""),3979.471364)</f>
        <v>3979.471364</v>
      </c>
    </row>
    <row r="2800">
      <c r="A2800" s="3">
        <f>IFERROR(__xludf.DUMMYFUNCTION("""COMPUTED_VALUE"""),43361.99861111111)</f>
        <v>43361.99861</v>
      </c>
      <c r="B2800" s="1">
        <f>IFERROR(__xludf.DUMMYFUNCTION("""COMPUTED_VALUE"""),3968.342902)</f>
        <v>3968.342902</v>
      </c>
    </row>
    <row r="2801">
      <c r="A2801" s="3">
        <f>IFERROR(__xludf.DUMMYFUNCTION("""COMPUTED_VALUE"""),43362.99861111111)</f>
        <v>43362.99861</v>
      </c>
      <c r="B2801" s="1">
        <f>IFERROR(__xludf.DUMMYFUNCTION("""COMPUTED_VALUE"""),3972.02494)</f>
        <v>3972.02494</v>
      </c>
    </row>
    <row r="2802">
      <c r="A2802" s="3">
        <f>IFERROR(__xludf.DUMMYFUNCTION("""COMPUTED_VALUE"""),43363.99861111111)</f>
        <v>43363.99861</v>
      </c>
      <c r="B2802" s="1">
        <f>IFERROR(__xludf.DUMMYFUNCTION("""COMPUTED_VALUE"""),3959.106204)</f>
        <v>3959.106204</v>
      </c>
    </row>
    <row r="2803">
      <c r="A2803" s="3">
        <f>IFERROR(__xludf.DUMMYFUNCTION("""COMPUTED_VALUE"""),43364.99861111111)</f>
        <v>43364.99861</v>
      </c>
      <c r="B2803" s="1">
        <f>IFERROR(__xludf.DUMMYFUNCTION("""COMPUTED_VALUE"""),3965.563195)</f>
        <v>3965.563195</v>
      </c>
    </row>
    <row r="2804">
      <c r="A2804" s="3">
        <f>IFERROR(__xludf.DUMMYFUNCTION("""COMPUTED_VALUE"""),43365.99861111111)</f>
        <v>43365.99861</v>
      </c>
      <c r="B2804" s="1">
        <f>IFERROR(__xludf.DUMMYFUNCTION("""COMPUTED_VALUE"""),3959.898291)</f>
        <v>3959.898291</v>
      </c>
    </row>
    <row r="2805">
      <c r="A2805" s="3">
        <f>IFERROR(__xludf.DUMMYFUNCTION("""COMPUTED_VALUE"""),43366.99861111111)</f>
        <v>43366.99861</v>
      </c>
      <c r="B2805" s="1">
        <f>IFERROR(__xludf.DUMMYFUNCTION("""COMPUTED_VALUE"""),3949.761254)</f>
        <v>3949.761254</v>
      </c>
    </row>
    <row r="2806">
      <c r="A2806" s="3">
        <f>IFERROR(__xludf.DUMMYFUNCTION("""COMPUTED_VALUE"""),43367.99861111111)</f>
        <v>43367.99861</v>
      </c>
      <c r="B2806" s="1">
        <f>IFERROR(__xludf.DUMMYFUNCTION("""COMPUTED_VALUE"""),3966.953134)</f>
        <v>3966.953134</v>
      </c>
    </row>
    <row r="2807">
      <c r="A2807" s="3">
        <f>IFERROR(__xludf.DUMMYFUNCTION("""COMPUTED_VALUE"""),43368.99861111111)</f>
        <v>43368.99861</v>
      </c>
      <c r="B2807" s="1">
        <f>IFERROR(__xludf.DUMMYFUNCTION("""COMPUTED_VALUE"""),4010.010605)</f>
        <v>4010.010605</v>
      </c>
    </row>
    <row r="2808">
      <c r="A2808" s="3">
        <f>IFERROR(__xludf.DUMMYFUNCTION("""COMPUTED_VALUE"""),43369.99861111111)</f>
        <v>43369.99861</v>
      </c>
      <c r="B2808" s="1">
        <f>IFERROR(__xludf.DUMMYFUNCTION("""COMPUTED_VALUE"""),4001.335009)</f>
        <v>4001.335009</v>
      </c>
    </row>
    <row r="2809">
      <c r="A2809" s="3">
        <f>IFERROR(__xludf.DUMMYFUNCTION("""COMPUTED_VALUE"""),43370.99861111111)</f>
        <v>43370.99861</v>
      </c>
      <c r="B2809" s="1">
        <f>IFERROR(__xludf.DUMMYFUNCTION("""COMPUTED_VALUE"""),3982.169509)</f>
        <v>3982.169509</v>
      </c>
    </row>
    <row r="2810">
      <c r="A2810" s="3">
        <f>IFERROR(__xludf.DUMMYFUNCTION("""COMPUTED_VALUE"""),43371.99861111111)</f>
        <v>43371.99861</v>
      </c>
      <c r="B2810" s="1">
        <f>IFERROR(__xludf.DUMMYFUNCTION("""COMPUTED_VALUE"""),3976.074019)</f>
        <v>3976.074019</v>
      </c>
    </row>
    <row r="2811">
      <c r="A2811" s="3">
        <f>IFERROR(__xludf.DUMMYFUNCTION("""COMPUTED_VALUE"""),43373.99861111111)</f>
        <v>43373.99861</v>
      </c>
      <c r="B2811" s="1">
        <f>IFERROR(__xludf.DUMMYFUNCTION("""COMPUTED_VALUE"""),3974.078473)</f>
        <v>3974.078473</v>
      </c>
    </row>
    <row r="2812">
      <c r="A2812" s="3">
        <f>IFERROR(__xludf.DUMMYFUNCTION("""COMPUTED_VALUE"""),43374.99861111111)</f>
        <v>43374.99861</v>
      </c>
      <c r="B2812" s="1">
        <f>IFERROR(__xludf.DUMMYFUNCTION("""COMPUTED_VALUE"""),4018.39233)</f>
        <v>4018.39233</v>
      </c>
    </row>
    <row r="2813">
      <c r="A2813" s="3">
        <f>IFERROR(__xludf.DUMMYFUNCTION("""COMPUTED_VALUE"""),43375.99861111111)</f>
        <v>43375.99861</v>
      </c>
      <c r="B2813" s="1">
        <f>IFERROR(__xludf.DUMMYFUNCTION("""COMPUTED_VALUE"""),4014.415303)</f>
        <v>4014.415303</v>
      </c>
    </row>
    <row r="2814">
      <c r="A2814" s="3">
        <f>IFERROR(__xludf.DUMMYFUNCTION("""COMPUTED_VALUE"""),43376.99861111111)</f>
        <v>43376.99861</v>
      </c>
      <c r="B2814" s="1">
        <f>IFERROR(__xludf.DUMMYFUNCTION("""COMPUTED_VALUE"""),4041.646519)</f>
        <v>4041.646519</v>
      </c>
    </row>
    <row r="2815">
      <c r="A2815" s="3">
        <f>IFERROR(__xludf.DUMMYFUNCTION("""COMPUTED_VALUE"""),43377.99861111111)</f>
        <v>43377.99861</v>
      </c>
      <c r="B2815" s="1">
        <f>IFERROR(__xludf.DUMMYFUNCTION("""COMPUTED_VALUE"""),4113.757023)</f>
        <v>4113.757023</v>
      </c>
    </row>
    <row r="2816">
      <c r="A2816" s="3">
        <f>IFERROR(__xludf.DUMMYFUNCTION("""COMPUTED_VALUE"""),43378.99861111111)</f>
        <v>43378.99861</v>
      </c>
      <c r="B2816" s="1">
        <f>IFERROR(__xludf.DUMMYFUNCTION("""COMPUTED_VALUE"""),4028.236908)</f>
        <v>4028.236908</v>
      </c>
    </row>
    <row r="2817">
      <c r="A2817" s="3">
        <f>IFERROR(__xludf.DUMMYFUNCTION("""COMPUTED_VALUE"""),43379.99861111111)</f>
        <v>43379.99861</v>
      </c>
      <c r="B2817" s="1">
        <f>IFERROR(__xludf.DUMMYFUNCTION("""COMPUTED_VALUE"""),4052.466456)</f>
        <v>4052.466456</v>
      </c>
    </row>
    <row r="2818">
      <c r="A2818" s="3">
        <f>IFERROR(__xludf.DUMMYFUNCTION("""COMPUTED_VALUE"""),43380.99861111111)</f>
        <v>43380.99861</v>
      </c>
      <c r="B2818" s="1">
        <f>IFERROR(__xludf.DUMMYFUNCTION("""COMPUTED_VALUE"""),4045.809592)</f>
        <v>4045.809592</v>
      </c>
    </row>
    <row r="2819">
      <c r="A2819" s="3">
        <f>IFERROR(__xludf.DUMMYFUNCTION("""COMPUTED_VALUE"""),43381.99861111111)</f>
        <v>43381.99861</v>
      </c>
      <c r="B2819" s="1">
        <f>IFERROR(__xludf.DUMMYFUNCTION("""COMPUTED_VALUE"""),4111.380966)</f>
        <v>4111.380966</v>
      </c>
    </row>
    <row r="2820">
      <c r="A2820" s="3">
        <f>IFERROR(__xludf.DUMMYFUNCTION("""COMPUTED_VALUE"""),43382.99861111111)</f>
        <v>43382.99861</v>
      </c>
      <c r="B2820" s="1">
        <f>IFERROR(__xludf.DUMMYFUNCTION("""COMPUTED_VALUE"""),4063.584386)</f>
        <v>4063.584386</v>
      </c>
    </row>
    <row r="2821">
      <c r="A2821" s="3">
        <f>IFERROR(__xludf.DUMMYFUNCTION("""COMPUTED_VALUE"""),43383.99861111111)</f>
        <v>43383.99861</v>
      </c>
      <c r="B2821" s="1">
        <f>IFERROR(__xludf.DUMMYFUNCTION("""COMPUTED_VALUE"""),4056.485278)</f>
        <v>4056.485278</v>
      </c>
    </row>
    <row r="2822">
      <c r="A2822" s="3">
        <f>IFERROR(__xludf.DUMMYFUNCTION("""COMPUTED_VALUE"""),43384.99861111111)</f>
        <v>43384.99861</v>
      </c>
      <c r="B2822" s="1">
        <f>IFERROR(__xludf.DUMMYFUNCTION("""COMPUTED_VALUE"""),4084.252095)</f>
        <v>4084.252095</v>
      </c>
    </row>
    <row r="2823">
      <c r="A2823" s="3">
        <f>IFERROR(__xludf.DUMMYFUNCTION("""COMPUTED_VALUE"""),43385.99861111111)</f>
        <v>43385.99861</v>
      </c>
      <c r="B2823" s="1">
        <f>IFERROR(__xludf.DUMMYFUNCTION("""COMPUTED_VALUE"""),4048.069594)</f>
        <v>4048.069594</v>
      </c>
    </row>
    <row r="2824">
      <c r="A2824" s="3">
        <f>IFERROR(__xludf.DUMMYFUNCTION("""COMPUTED_VALUE"""),43387.99861111111)</f>
        <v>43387.99861</v>
      </c>
      <c r="B2824" s="1">
        <f>IFERROR(__xludf.DUMMYFUNCTION("""COMPUTED_VALUE"""),4052.043494)</f>
        <v>4052.043494</v>
      </c>
    </row>
    <row r="2825">
      <c r="A2825" s="3">
        <f>IFERROR(__xludf.DUMMYFUNCTION("""COMPUTED_VALUE"""),43388.99861111111)</f>
        <v>43388.99861</v>
      </c>
      <c r="B2825" s="1">
        <f>IFERROR(__xludf.DUMMYFUNCTION("""COMPUTED_VALUE"""),4053.625616)</f>
        <v>4053.625616</v>
      </c>
    </row>
    <row r="2826">
      <c r="A2826" s="3">
        <f>IFERROR(__xludf.DUMMYFUNCTION("""COMPUTED_VALUE"""),43389.99861111111)</f>
        <v>43389.99861</v>
      </c>
      <c r="B2826" s="1">
        <f>IFERROR(__xludf.DUMMYFUNCTION("""COMPUTED_VALUE"""),4054.926771)</f>
        <v>4054.926771</v>
      </c>
    </row>
    <row r="2827">
      <c r="A2827" s="3">
        <f>IFERROR(__xludf.DUMMYFUNCTION("""COMPUTED_VALUE"""),43390.99861111111)</f>
        <v>43390.99861</v>
      </c>
      <c r="B2827" s="1">
        <f>IFERROR(__xludf.DUMMYFUNCTION("""COMPUTED_VALUE"""),4073.304099)</f>
        <v>4073.304099</v>
      </c>
    </row>
    <row r="2828">
      <c r="A2828" s="3">
        <f>IFERROR(__xludf.DUMMYFUNCTION("""COMPUTED_VALUE"""),43391.99861111111)</f>
        <v>43391.99861</v>
      </c>
      <c r="B2828" s="1">
        <f>IFERROR(__xludf.DUMMYFUNCTION("""COMPUTED_VALUE"""),4091.855395)</f>
        <v>4091.855395</v>
      </c>
    </row>
    <row r="2829">
      <c r="A2829" s="3">
        <f>IFERROR(__xludf.DUMMYFUNCTION("""COMPUTED_VALUE"""),43392.99861111111)</f>
        <v>43392.99861</v>
      </c>
      <c r="B2829" s="1">
        <f>IFERROR(__xludf.DUMMYFUNCTION("""COMPUTED_VALUE"""),4048.972499)</f>
        <v>4048.972499</v>
      </c>
    </row>
    <row r="2830">
      <c r="A2830" s="3">
        <f>IFERROR(__xludf.DUMMYFUNCTION("""COMPUTED_VALUE"""),43394.99861111111)</f>
        <v>43394.99861</v>
      </c>
      <c r="B2830" s="1">
        <f>IFERROR(__xludf.DUMMYFUNCTION("""COMPUTED_VALUE"""),4046.863689)</f>
        <v>4046.863689</v>
      </c>
    </row>
    <row r="2831">
      <c r="A2831" s="3">
        <f>IFERROR(__xludf.DUMMYFUNCTION("""COMPUTED_VALUE"""),43395.99861111111)</f>
        <v>43395.99861</v>
      </c>
      <c r="B2831" s="1">
        <f>IFERROR(__xludf.DUMMYFUNCTION("""COMPUTED_VALUE"""),4073.519524)</f>
        <v>4073.519524</v>
      </c>
    </row>
    <row r="2832">
      <c r="A2832" s="3">
        <f>IFERROR(__xludf.DUMMYFUNCTION("""COMPUTED_VALUE"""),43396.99861111111)</f>
        <v>43396.99861</v>
      </c>
      <c r="B2832" s="1">
        <f>IFERROR(__xludf.DUMMYFUNCTION("""COMPUTED_VALUE"""),4051.392851)</f>
        <v>4051.392851</v>
      </c>
    </row>
    <row r="2833">
      <c r="A2833" s="3">
        <f>IFERROR(__xludf.DUMMYFUNCTION("""COMPUTED_VALUE"""),43397.99861111111)</f>
        <v>43397.99861</v>
      </c>
      <c r="B2833" s="1">
        <f>IFERROR(__xludf.DUMMYFUNCTION("""COMPUTED_VALUE"""),4075.126755)</f>
        <v>4075.126755</v>
      </c>
    </row>
    <row r="2834">
      <c r="A2834" s="3">
        <f>IFERROR(__xludf.DUMMYFUNCTION("""COMPUTED_VALUE"""),43398.99861111111)</f>
        <v>43398.99861</v>
      </c>
      <c r="B2834" s="1">
        <f>IFERROR(__xludf.DUMMYFUNCTION("""COMPUTED_VALUE"""),4071.762033)</f>
        <v>4071.762033</v>
      </c>
    </row>
    <row r="2835">
      <c r="A2835" s="3">
        <f>IFERROR(__xludf.DUMMYFUNCTION("""COMPUTED_VALUE"""),43399.99861111111)</f>
        <v>43399.99861</v>
      </c>
      <c r="B2835" s="1">
        <f>IFERROR(__xludf.DUMMYFUNCTION("""COMPUTED_VALUE"""),4054.394533)</f>
        <v>4054.394533</v>
      </c>
    </row>
    <row r="2836">
      <c r="A2836" s="3">
        <f>IFERROR(__xludf.DUMMYFUNCTION("""COMPUTED_VALUE"""),43400.99861111111)</f>
        <v>43400.99861</v>
      </c>
      <c r="B2836" s="1">
        <f>IFERROR(__xludf.DUMMYFUNCTION("""COMPUTED_VALUE"""),4059.572423)</f>
        <v>4059.572423</v>
      </c>
    </row>
    <row r="2837">
      <c r="A2837" s="3">
        <f>IFERROR(__xludf.DUMMYFUNCTION("""COMPUTED_VALUE"""),43401.99861111111)</f>
        <v>43401.99861</v>
      </c>
      <c r="B2837" s="1">
        <f>IFERROR(__xludf.DUMMYFUNCTION("""COMPUTED_VALUE"""),4055.35104)</f>
        <v>4055.35104</v>
      </c>
    </row>
    <row r="2838">
      <c r="A2838" s="3">
        <f>IFERROR(__xludf.DUMMYFUNCTION("""COMPUTED_VALUE"""),43402.99861111111)</f>
        <v>43402.99861</v>
      </c>
      <c r="B2838" s="1">
        <f>IFERROR(__xludf.DUMMYFUNCTION("""COMPUTED_VALUE"""),4083.115298)</f>
        <v>4083.115298</v>
      </c>
    </row>
    <row r="2839">
      <c r="A2839" s="3">
        <f>IFERROR(__xludf.DUMMYFUNCTION("""COMPUTED_VALUE"""),43403.99861111111)</f>
        <v>43403.99861</v>
      </c>
      <c r="B2839" s="1">
        <f>IFERROR(__xludf.DUMMYFUNCTION("""COMPUTED_VALUE"""),4076.957938)</f>
        <v>4076.957938</v>
      </c>
    </row>
    <row r="2840">
      <c r="A2840" s="3">
        <f>IFERROR(__xludf.DUMMYFUNCTION("""COMPUTED_VALUE"""),43404.99861111111)</f>
        <v>43404.99861</v>
      </c>
      <c r="B2840" s="1">
        <f>IFERROR(__xludf.DUMMYFUNCTION("""COMPUTED_VALUE"""),4055.402715)</f>
        <v>4055.402715</v>
      </c>
    </row>
    <row r="2841">
      <c r="A2841" s="3">
        <f>IFERROR(__xludf.DUMMYFUNCTION("""COMPUTED_VALUE"""),43405.99861111111)</f>
        <v>43405.99861</v>
      </c>
      <c r="B2841" s="1">
        <f>IFERROR(__xludf.DUMMYFUNCTION("""COMPUTED_VALUE"""),4022.181253)</f>
        <v>4022.181253</v>
      </c>
    </row>
    <row r="2842">
      <c r="A2842" s="3">
        <f>IFERROR(__xludf.DUMMYFUNCTION("""COMPUTED_VALUE"""),43406.99861111111)</f>
        <v>43406.99861</v>
      </c>
      <c r="B2842" s="1">
        <f>IFERROR(__xludf.DUMMYFUNCTION("""COMPUTED_VALUE"""),3991.454099)</f>
        <v>3991.454099</v>
      </c>
    </row>
    <row r="2843">
      <c r="A2843" s="3">
        <f>IFERROR(__xludf.DUMMYFUNCTION("""COMPUTED_VALUE"""),43408.99861111111)</f>
        <v>43408.99861</v>
      </c>
      <c r="B2843" s="1">
        <f>IFERROR(__xludf.DUMMYFUNCTION("""COMPUTED_VALUE"""),3984.856037)</f>
        <v>3984.856037</v>
      </c>
    </row>
    <row r="2844">
      <c r="A2844" s="3">
        <f>IFERROR(__xludf.DUMMYFUNCTION("""COMPUTED_VALUE"""),43409.99861111111)</f>
        <v>43409.99861</v>
      </c>
      <c r="B2844" s="1">
        <f>IFERROR(__xludf.DUMMYFUNCTION("""COMPUTED_VALUE"""),3982.598019)</f>
        <v>3982.598019</v>
      </c>
    </row>
    <row r="2845">
      <c r="A2845" s="3">
        <f>IFERROR(__xludf.DUMMYFUNCTION("""COMPUTED_VALUE"""),43410.99861111111)</f>
        <v>43410.99861</v>
      </c>
      <c r="B2845" s="1">
        <f>IFERROR(__xludf.DUMMYFUNCTION("""COMPUTED_VALUE"""),3958.255427)</f>
        <v>3958.255427</v>
      </c>
    </row>
    <row r="2846">
      <c r="A2846" s="3">
        <f>IFERROR(__xludf.DUMMYFUNCTION("""COMPUTED_VALUE"""),43411.99861111111)</f>
        <v>43411.99861</v>
      </c>
      <c r="B2846" s="1">
        <f>IFERROR(__xludf.DUMMYFUNCTION("""COMPUTED_VALUE"""),3896.572836)</f>
        <v>3896.572836</v>
      </c>
    </row>
    <row r="2847">
      <c r="A2847" s="3">
        <f>IFERROR(__xludf.DUMMYFUNCTION("""COMPUTED_VALUE"""),43412.99861111111)</f>
        <v>43412.99861</v>
      </c>
      <c r="B2847" s="1">
        <f>IFERROR(__xludf.DUMMYFUNCTION("""COMPUTED_VALUE"""),3930.049376)</f>
        <v>3930.049376</v>
      </c>
    </row>
    <row r="2848">
      <c r="A2848" s="3">
        <f>IFERROR(__xludf.DUMMYFUNCTION("""COMPUTED_VALUE"""),43413.99861111111)</f>
        <v>43413.99861</v>
      </c>
      <c r="B2848" s="1">
        <f>IFERROR(__xludf.DUMMYFUNCTION("""COMPUTED_VALUE"""),3917.267135)</f>
        <v>3917.267135</v>
      </c>
    </row>
    <row r="2849">
      <c r="A2849" s="3">
        <f>IFERROR(__xludf.DUMMYFUNCTION("""COMPUTED_VALUE"""),43414.99861111111)</f>
        <v>43414.99861</v>
      </c>
      <c r="B2849" s="1">
        <f>IFERROR(__xludf.DUMMYFUNCTION("""COMPUTED_VALUE"""),3917.267135)</f>
        <v>3917.267135</v>
      </c>
    </row>
    <row r="2850">
      <c r="A2850" s="3">
        <f>IFERROR(__xludf.DUMMYFUNCTION("""COMPUTED_VALUE"""),43415.99861111111)</f>
        <v>43415.99861</v>
      </c>
      <c r="B2850" s="1">
        <f>IFERROR(__xludf.DUMMYFUNCTION("""COMPUTED_VALUE"""),3913.089776)</f>
        <v>3913.089776</v>
      </c>
    </row>
    <row r="2851">
      <c r="A2851" s="3">
        <f>IFERROR(__xludf.DUMMYFUNCTION("""COMPUTED_VALUE"""),43416.99861111111)</f>
        <v>43416.99861</v>
      </c>
      <c r="B2851" s="1">
        <f>IFERROR(__xludf.DUMMYFUNCTION("""COMPUTED_VALUE"""),3953.12206)</f>
        <v>3953.12206</v>
      </c>
    </row>
    <row r="2852">
      <c r="A2852" s="3">
        <f>IFERROR(__xludf.DUMMYFUNCTION("""COMPUTED_VALUE"""),43417.99861111111)</f>
        <v>43417.99861</v>
      </c>
      <c r="B2852" s="1">
        <f>IFERROR(__xludf.DUMMYFUNCTION("""COMPUTED_VALUE"""),3949.570063)</f>
        <v>3949.570063</v>
      </c>
    </row>
    <row r="2853">
      <c r="A2853" s="3">
        <f>IFERROR(__xludf.DUMMYFUNCTION("""COMPUTED_VALUE"""),43418.99861111111)</f>
        <v>43418.99861</v>
      </c>
      <c r="B2853" s="1">
        <f>IFERROR(__xludf.DUMMYFUNCTION("""COMPUTED_VALUE"""),3953.059462)</f>
        <v>3953.059462</v>
      </c>
    </row>
    <row r="2854">
      <c r="A2854" s="3">
        <f>IFERROR(__xludf.DUMMYFUNCTION("""COMPUTED_VALUE"""),43419.99861111111)</f>
        <v>43419.99861</v>
      </c>
      <c r="B2854" s="1">
        <f>IFERROR(__xludf.DUMMYFUNCTION("""COMPUTED_VALUE"""),3886.051217)</f>
        <v>3886.051217</v>
      </c>
    </row>
    <row r="2855">
      <c r="A2855" s="3">
        <f>IFERROR(__xludf.DUMMYFUNCTION("""COMPUTED_VALUE"""),43420.99861111111)</f>
        <v>43420.99861</v>
      </c>
      <c r="B2855" s="1">
        <f>IFERROR(__xludf.DUMMYFUNCTION("""COMPUTED_VALUE"""),3893.524458)</f>
        <v>3893.524458</v>
      </c>
    </row>
    <row r="2856">
      <c r="A2856" s="3">
        <f>IFERROR(__xludf.DUMMYFUNCTION("""COMPUTED_VALUE"""),43421.99861111111)</f>
        <v>43421.99861</v>
      </c>
      <c r="B2856" s="1">
        <f>IFERROR(__xludf.DUMMYFUNCTION("""COMPUTED_VALUE"""),3892.901847)</f>
        <v>3892.901847</v>
      </c>
    </row>
    <row r="2857">
      <c r="A2857" s="3">
        <f>IFERROR(__xludf.DUMMYFUNCTION("""COMPUTED_VALUE"""),43422.99861111111)</f>
        <v>43422.99861</v>
      </c>
      <c r="B2857" s="1">
        <f>IFERROR(__xludf.DUMMYFUNCTION("""COMPUTED_VALUE"""),3892.798005)</f>
        <v>3892.798005</v>
      </c>
    </row>
    <row r="2858">
      <c r="A2858" s="3">
        <f>IFERROR(__xludf.DUMMYFUNCTION("""COMPUTED_VALUE"""),43423.99861111111)</f>
        <v>43423.99861</v>
      </c>
      <c r="B2858" s="1">
        <f>IFERROR(__xludf.DUMMYFUNCTION("""COMPUTED_VALUE"""),3905.616083)</f>
        <v>3905.616083</v>
      </c>
    </row>
    <row r="2859">
      <c r="A2859" s="3">
        <f>IFERROR(__xludf.DUMMYFUNCTION("""COMPUTED_VALUE"""),43424.99861111111)</f>
        <v>43424.99861</v>
      </c>
      <c r="B2859" s="1">
        <f>IFERROR(__xludf.DUMMYFUNCTION("""COMPUTED_VALUE"""),3913.193091)</f>
        <v>3913.193091</v>
      </c>
    </row>
    <row r="2860">
      <c r="A2860" s="3">
        <f>IFERROR(__xludf.DUMMYFUNCTION("""COMPUTED_VALUE"""),43425.99861111111)</f>
        <v>43425.99861</v>
      </c>
      <c r="B2860" s="1">
        <f>IFERROR(__xludf.DUMMYFUNCTION("""COMPUTED_VALUE"""),3904.665218)</f>
        <v>3904.665218</v>
      </c>
    </row>
    <row r="2861">
      <c r="A2861" s="3">
        <f>IFERROR(__xludf.DUMMYFUNCTION("""COMPUTED_VALUE"""),43426.99861111111)</f>
        <v>43426.99861</v>
      </c>
      <c r="B2861" s="1">
        <f>IFERROR(__xludf.DUMMYFUNCTION("""COMPUTED_VALUE"""),3894.995154)</f>
        <v>3894.995154</v>
      </c>
    </row>
    <row r="2862">
      <c r="A2862" s="3">
        <f>IFERROR(__xludf.DUMMYFUNCTION("""COMPUTED_VALUE"""),43427.99861111111)</f>
        <v>43427.99861</v>
      </c>
      <c r="B2862" s="1">
        <f>IFERROR(__xludf.DUMMYFUNCTION("""COMPUTED_VALUE"""),3875.466569)</f>
        <v>3875.466569</v>
      </c>
    </row>
    <row r="2863">
      <c r="A2863" s="3">
        <f>IFERROR(__xludf.DUMMYFUNCTION("""COMPUTED_VALUE"""),43428.99861111111)</f>
        <v>43428.99861</v>
      </c>
      <c r="B2863" s="1">
        <f>IFERROR(__xludf.DUMMYFUNCTION("""COMPUTED_VALUE"""),3881.769135)</f>
        <v>3881.769135</v>
      </c>
    </row>
    <row r="2864">
      <c r="A2864" s="3">
        <f>IFERROR(__xludf.DUMMYFUNCTION("""COMPUTED_VALUE"""),43429.99861111111)</f>
        <v>43429.99861</v>
      </c>
      <c r="B2864" s="1">
        <f>IFERROR(__xludf.DUMMYFUNCTION("""COMPUTED_VALUE"""),3873.710547)</f>
        <v>3873.710547</v>
      </c>
    </row>
    <row r="2865">
      <c r="A2865" s="3">
        <f>IFERROR(__xludf.DUMMYFUNCTION("""COMPUTED_VALUE"""),43430.99861111111)</f>
        <v>43430.99861</v>
      </c>
      <c r="B2865" s="1">
        <f>IFERROR(__xludf.DUMMYFUNCTION("""COMPUTED_VALUE"""),3876.010512)</f>
        <v>3876.010512</v>
      </c>
    </row>
    <row r="2866">
      <c r="A2866" s="3">
        <f>IFERROR(__xludf.DUMMYFUNCTION("""COMPUTED_VALUE"""),43431.99861111111)</f>
        <v>43431.99861</v>
      </c>
      <c r="B2866" s="1">
        <f>IFERROR(__xludf.DUMMYFUNCTION("""COMPUTED_VALUE"""),3889.185329)</f>
        <v>3889.185329</v>
      </c>
    </row>
    <row r="2867">
      <c r="A2867" s="3">
        <f>IFERROR(__xludf.DUMMYFUNCTION("""COMPUTED_VALUE"""),43432.99861111111)</f>
        <v>43432.99861</v>
      </c>
      <c r="B2867" s="1">
        <f>IFERROR(__xludf.DUMMYFUNCTION("""COMPUTED_VALUE"""),3858.82783)</f>
        <v>3858.82783</v>
      </c>
    </row>
    <row r="2868">
      <c r="A2868" s="3">
        <f>IFERROR(__xludf.DUMMYFUNCTION("""COMPUTED_VALUE"""),43433.99861111111)</f>
        <v>43433.99861</v>
      </c>
      <c r="B2868" s="1">
        <f>IFERROR(__xludf.DUMMYFUNCTION("""COMPUTED_VALUE"""),3830.820503)</f>
        <v>3830.820503</v>
      </c>
    </row>
    <row r="2869">
      <c r="A2869" s="3">
        <f>IFERROR(__xludf.DUMMYFUNCTION("""COMPUTED_VALUE"""),43434.99861111111)</f>
        <v>43434.99861</v>
      </c>
      <c r="B2869" s="1">
        <f>IFERROR(__xludf.DUMMYFUNCTION("""COMPUTED_VALUE"""),3821.245559)</f>
        <v>3821.245559</v>
      </c>
    </row>
    <row r="2870">
      <c r="A2870" s="3">
        <f>IFERROR(__xludf.DUMMYFUNCTION("""COMPUTED_VALUE"""),43435.99861111111)</f>
        <v>43435.99861</v>
      </c>
      <c r="B2870" s="1">
        <f>IFERROR(__xludf.DUMMYFUNCTION("""COMPUTED_VALUE"""),3836.546237)</f>
        <v>3836.546237</v>
      </c>
    </row>
    <row r="2871">
      <c r="A2871" s="3">
        <f>IFERROR(__xludf.DUMMYFUNCTION("""COMPUTED_VALUE"""),43436.99861111111)</f>
        <v>43436.99861</v>
      </c>
      <c r="B2871" s="1">
        <f>IFERROR(__xludf.DUMMYFUNCTION("""COMPUTED_VALUE"""),3810.539185)</f>
        <v>3810.539185</v>
      </c>
    </row>
    <row r="2872">
      <c r="A2872" s="3">
        <f>IFERROR(__xludf.DUMMYFUNCTION("""COMPUTED_VALUE"""),43437.99861111111)</f>
        <v>43437.99861</v>
      </c>
      <c r="B2872" s="1">
        <f>IFERROR(__xludf.DUMMYFUNCTION("""COMPUTED_VALUE"""),3826.488333)</f>
        <v>3826.488333</v>
      </c>
    </row>
    <row r="2873">
      <c r="A2873" s="3">
        <f>IFERROR(__xludf.DUMMYFUNCTION("""COMPUTED_VALUE"""),43438.99861111111)</f>
        <v>43438.99861</v>
      </c>
      <c r="B2873" s="1">
        <f>IFERROR(__xludf.DUMMYFUNCTION("""COMPUTED_VALUE"""),3855.736057)</f>
        <v>3855.736057</v>
      </c>
    </row>
    <row r="2874">
      <c r="A2874" s="3">
        <f>IFERROR(__xludf.DUMMYFUNCTION("""COMPUTED_VALUE"""),43439.99861111111)</f>
        <v>43439.99861</v>
      </c>
      <c r="B2874" s="1">
        <f>IFERROR(__xludf.DUMMYFUNCTION("""COMPUTED_VALUE"""),3851.096705)</f>
        <v>3851.096705</v>
      </c>
    </row>
    <row r="2875">
      <c r="A2875" s="3">
        <f>IFERROR(__xludf.DUMMYFUNCTION("""COMPUTED_VALUE"""),43440.99861111111)</f>
        <v>43440.99861</v>
      </c>
      <c r="B2875" s="1">
        <f>IFERROR(__xludf.DUMMYFUNCTION("""COMPUTED_VALUE"""),3876.924646)</f>
        <v>3876.924646</v>
      </c>
    </row>
    <row r="2876">
      <c r="A2876" s="3">
        <f>IFERROR(__xludf.DUMMYFUNCTION("""COMPUTED_VALUE"""),43441.99861111111)</f>
        <v>43441.99861</v>
      </c>
      <c r="B2876" s="1">
        <f>IFERROR(__xludf.DUMMYFUNCTION("""COMPUTED_VALUE"""),3881.245957)</f>
        <v>3881.245957</v>
      </c>
    </row>
    <row r="2877">
      <c r="A2877" s="3">
        <f>IFERROR(__xludf.DUMMYFUNCTION("""COMPUTED_VALUE"""),43443.99861111111)</f>
        <v>43443.99861</v>
      </c>
      <c r="B2877" s="1">
        <f>IFERROR(__xludf.DUMMYFUNCTION("""COMPUTED_VALUE"""),3855.257858)</f>
        <v>3855.257858</v>
      </c>
    </row>
    <row r="2878">
      <c r="A2878" s="3">
        <f>IFERROR(__xludf.DUMMYFUNCTION("""COMPUTED_VALUE"""),43444.99861111111)</f>
        <v>43444.99861</v>
      </c>
      <c r="B2878" s="1">
        <f>IFERROR(__xludf.DUMMYFUNCTION("""COMPUTED_VALUE"""),3882.054658)</f>
        <v>3882.054658</v>
      </c>
    </row>
    <row r="2879">
      <c r="A2879" s="3">
        <f>IFERROR(__xludf.DUMMYFUNCTION("""COMPUTED_VALUE"""),43445.99861111111)</f>
        <v>43445.99861</v>
      </c>
      <c r="B2879" s="1">
        <f>IFERROR(__xludf.DUMMYFUNCTION("""COMPUTED_VALUE"""),3902.057998)</f>
        <v>3902.057998</v>
      </c>
    </row>
    <row r="2880">
      <c r="A2880" s="3">
        <f>IFERROR(__xludf.DUMMYFUNCTION("""COMPUTED_VALUE"""),43446.99861111111)</f>
        <v>43446.99861</v>
      </c>
      <c r="B2880" s="1">
        <f>IFERROR(__xludf.DUMMYFUNCTION("""COMPUTED_VALUE"""),3890.540315)</f>
        <v>3890.540315</v>
      </c>
    </row>
    <row r="2881">
      <c r="A2881" s="3">
        <f>IFERROR(__xludf.DUMMYFUNCTION("""COMPUTED_VALUE"""),43447.99861111111)</f>
        <v>43447.99861</v>
      </c>
      <c r="B2881" s="1">
        <f>IFERROR(__xludf.DUMMYFUNCTION("""COMPUTED_VALUE"""),3883.002732)</f>
        <v>3883.002732</v>
      </c>
    </row>
    <row r="2882">
      <c r="A2882" s="3">
        <f>IFERROR(__xludf.DUMMYFUNCTION("""COMPUTED_VALUE"""),43448.99861111111)</f>
        <v>43448.99861</v>
      </c>
      <c r="B2882" s="1">
        <f>IFERROR(__xludf.DUMMYFUNCTION("""COMPUTED_VALUE"""),3885.734061)</f>
        <v>3885.734061</v>
      </c>
    </row>
    <row r="2883">
      <c r="A2883" s="3">
        <f>IFERROR(__xludf.DUMMYFUNCTION("""COMPUTED_VALUE"""),43450.99861111111)</f>
        <v>43450.99861</v>
      </c>
      <c r="B2883" s="1">
        <f>IFERROR(__xludf.DUMMYFUNCTION("""COMPUTED_VALUE"""),3886.637372)</f>
        <v>3886.637372</v>
      </c>
    </row>
    <row r="2884">
      <c r="A2884" s="3">
        <f>IFERROR(__xludf.DUMMYFUNCTION("""COMPUTED_VALUE"""),43451.99861111111)</f>
        <v>43451.99861</v>
      </c>
      <c r="B2884" s="1">
        <f>IFERROR(__xludf.DUMMYFUNCTION("""COMPUTED_VALUE"""),3894.370017)</f>
        <v>3894.370017</v>
      </c>
    </row>
    <row r="2885">
      <c r="A2885" s="3">
        <f>IFERROR(__xludf.DUMMYFUNCTION("""COMPUTED_VALUE"""),43452.99861111111)</f>
        <v>43452.99861</v>
      </c>
      <c r="B2885" s="1">
        <f>IFERROR(__xludf.DUMMYFUNCTION("""COMPUTED_VALUE"""),3863.38176)</f>
        <v>3863.38176</v>
      </c>
    </row>
    <row r="2886">
      <c r="A2886" s="3">
        <f>IFERROR(__xludf.DUMMYFUNCTION("""COMPUTED_VALUE"""),43453.99861111111)</f>
        <v>43453.99861</v>
      </c>
      <c r="B2886" s="1">
        <f>IFERROR(__xludf.DUMMYFUNCTION("""COMPUTED_VALUE"""),3867.171827)</f>
        <v>3867.171827</v>
      </c>
    </row>
    <row r="2887">
      <c r="A2887" s="3">
        <f>IFERROR(__xludf.DUMMYFUNCTION("""COMPUTED_VALUE"""),43454.99861111111)</f>
        <v>43454.99861</v>
      </c>
      <c r="B2887" s="1">
        <f>IFERROR(__xludf.DUMMYFUNCTION("""COMPUTED_VALUE"""),3877.704553)</f>
        <v>3877.704553</v>
      </c>
    </row>
    <row r="2888">
      <c r="A2888" s="3">
        <f>IFERROR(__xludf.DUMMYFUNCTION("""COMPUTED_VALUE"""),43455.99861111111)</f>
        <v>43455.99861</v>
      </c>
      <c r="B2888" s="1">
        <f>IFERROR(__xludf.DUMMYFUNCTION("""COMPUTED_VALUE"""),3877.915461)</f>
        <v>3877.915461</v>
      </c>
    </row>
    <row r="2889">
      <c r="A2889" s="3">
        <f>IFERROR(__xludf.DUMMYFUNCTION("""COMPUTED_VALUE"""),43456.99861111111)</f>
        <v>43456.99861</v>
      </c>
      <c r="B2889" s="1">
        <f>IFERROR(__xludf.DUMMYFUNCTION("""COMPUTED_VALUE"""),3877.915461)</f>
        <v>3877.915461</v>
      </c>
    </row>
    <row r="2890">
      <c r="A2890" s="3">
        <f>IFERROR(__xludf.DUMMYFUNCTION("""COMPUTED_VALUE"""),43457.99861111111)</f>
        <v>43457.99861</v>
      </c>
      <c r="B2890" s="1">
        <f>IFERROR(__xludf.DUMMYFUNCTION("""COMPUTED_VALUE"""),3876.572099)</f>
        <v>3876.572099</v>
      </c>
    </row>
    <row r="2891">
      <c r="A2891" s="3">
        <f>IFERROR(__xludf.DUMMYFUNCTION("""COMPUTED_VALUE"""),43458.99861111111)</f>
        <v>43458.99861</v>
      </c>
      <c r="B2891" s="1">
        <f>IFERROR(__xludf.DUMMYFUNCTION("""COMPUTED_VALUE"""),3883.401803)</f>
        <v>3883.401803</v>
      </c>
    </row>
    <row r="2892">
      <c r="A2892" s="3">
        <f>IFERROR(__xludf.DUMMYFUNCTION("""COMPUTED_VALUE"""),43459.99861111111)</f>
        <v>43459.99861</v>
      </c>
      <c r="B2892" s="1">
        <f>IFERROR(__xludf.DUMMYFUNCTION("""COMPUTED_VALUE"""),3921.725422)</f>
        <v>3921.725422</v>
      </c>
    </row>
    <row r="2893">
      <c r="A2893" s="3">
        <f>IFERROR(__xludf.DUMMYFUNCTION("""COMPUTED_VALUE"""),43460.99861111111)</f>
        <v>43460.99861</v>
      </c>
      <c r="B2893" s="1">
        <f>IFERROR(__xludf.DUMMYFUNCTION("""COMPUTED_VALUE"""),3895.008919)</f>
        <v>3895.008919</v>
      </c>
    </row>
    <row r="2894">
      <c r="A2894" s="3">
        <f>IFERROR(__xludf.DUMMYFUNCTION("""COMPUTED_VALUE"""),43461.99861111111)</f>
        <v>43461.99861</v>
      </c>
      <c r="B2894" s="1">
        <f>IFERROR(__xludf.DUMMYFUNCTION("""COMPUTED_VALUE"""),3885.683744)</f>
        <v>3885.683744</v>
      </c>
    </row>
    <row r="2895">
      <c r="A2895" s="3">
        <f>IFERROR(__xludf.DUMMYFUNCTION("""COMPUTED_VALUE"""),43462.99861111111)</f>
        <v>43462.99861</v>
      </c>
      <c r="B2895" s="1">
        <f>IFERROR(__xludf.DUMMYFUNCTION("""COMPUTED_VALUE"""),3885.464128)</f>
        <v>3885.464128</v>
      </c>
    </row>
    <row r="2896">
      <c r="A2896" s="3">
        <f>IFERROR(__xludf.DUMMYFUNCTION("""COMPUTED_VALUE"""),43464.99861111111)</f>
        <v>43464.99861</v>
      </c>
      <c r="B2896" s="1">
        <f>IFERROR(__xludf.DUMMYFUNCTION("""COMPUTED_VALUE"""),3879.248262)</f>
        <v>3879.248262</v>
      </c>
    </row>
    <row r="2897">
      <c r="A2897" s="3">
        <f>IFERROR(__xludf.DUMMYFUNCTION("""COMPUTED_VALUE"""),43465.99861111111)</f>
        <v>43465.99861</v>
      </c>
      <c r="B2897" s="1">
        <f>IFERROR(__xludf.DUMMYFUNCTION("""COMPUTED_VALUE"""),3858.778248)</f>
        <v>3858.778248</v>
      </c>
    </row>
    <row r="2898">
      <c r="A2898" s="3">
        <f>IFERROR(__xludf.DUMMYFUNCTION("""COMPUTED_VALUE"""),43466.99861111111)</f>
        <v>43466.99861</v>
      </c>
      <c r="B2898" s="1">
        <f>IFERROR(__xludf.DUMMYFUNCTION("""COMPUTED_VALUE"""),3882.713018)</f>
        <v>3882.713018</v>
      </c>
    </row>
    <row r="2899">
      <c r="A2899" s="3">
        <f>IFERROR(__xludf.DUMMYFUNCTION("""COMPUTED_VALUE"""),43467.99861111111)</f>
        <v>43467.99861</v>
      </c>
      <c r="B2899" s="1">
        <f>IFERROR(__xludf.DUMMYFUNCTION("""COMPUTED_VALUE"""),3845.97112)</f>
        <v>3845.97112</v>
      </c>
    </row>
    <row r="2900">
      <c r="A2900" s="3">
        <f>IFERROR(__xludf.DUMMYFUNCTION("""COMPUTED_VALUE"""),43468.99861111111)</f>
        <v>43468.99861</v>
      </c>
      <c r="B2900" s="1">
        <f>IFERROR(__xludf.DUMMYFUNCTION("""COMPUTED_VALUE"""),3837.738148)</f>
        <v>3837.738148</v>
      </c>
    </row>
    <row r="2901">
      <c r="A2901" s="3">
        <f>IFERROR(__xludf.DUMMYFUNCTION("""COMPUTED_VALUE"""),43469.99861111111)</f>
        <v>43469.99861</v>
      </c>
      <c r="B2901" s="1">
        <f>IFERROR(__xludf.DUMMYFUNCTION("""COMPUTED_VALUE"""),3792.960855)</f>
        <v>3792.960855</v>
      </c>
    </row>
    <row r="2902">
      <c r="A2902" s="3">
        <f>IFERROR(__xludf.DUMMYFUNCTION("""COMPUTED_VALUE"""),43470.99861111111)</f>
        <v>43470.99861</v>
      </c>
      <c r="B2902" s="1">
        <f>IFERROR(__xludf.DUMMYFUNCTION("""COMPUTED_VALUE"""),3791.227753)</f>
        <v>3791.227753</v>
      </c>
    </row>
    <row r="2903">
      <c r="A2903" s="3">
        <f>IFERROR(__xludf.DUMMYFUNCTION("""COMPUTED_VALUE"""),43471.99861111111)</f>
        <v>43471.99861</v>
      </c>
      <c r="B2903" s="1">
        <f>IFERROR(__xludf.DUMMYFUNCTION("""COMPUTED_VALUE"""),3803.924608)</f>
        <v>3803.924608</v>
      </c>
    </row>
    <row r="2904">
      <c r="A2904" s="3">
        <f>IFERROR(__xludf.DUMMYFUNCTION("""COMPUTED_VALUE"""),43472.99861111111)</f>
        <v>43472.99861</v>
      </c>
      <c r="B2904" s="1">
        <f>IFERROR(__xludf.DUMMYFUNCTION("""COMPUTED_VALUE"""),3758.673976)</f>
        <v>3758.673976</v>
      </c>
    </row>
    <row r="2905">
      <c r="A2905" s="3">
        <f>IFERROR(__xludf.DUMMYFUNCTION("""COMPUTED_VALUE"""),43473.99861111111)</f>
        <v>43473.99861</v>
      </c>
      <c r="B2905" s="1">
        <f>IFERROR(__xludf.DUMMYFUNCTION("""COMPUTED_VALUE"""),3773.554635)</f>
        <v>3773.554635</v>
      </c>
    </row>
    <row r="2906">
      <c r="A2906" s="3">
        <f>IFERROR(__xludf.DUMMYFUNCTION("""COMPUTED_VALUE"""),43474.99861111111)</f>
        <v>43474.99861</v>
      </c>
      <c r="B2906" s="1">
        <f>IFERROR(__xludf.DUMMYFUNCTION("""COMPUTED_VALUE"""),3770.513632)</f>
        <v>3770.513632</v>
      </c>
    </row>
    <row r="2907">
      <c r="A2907" s="3">
        <f>IFERROR(__xludf.DUMMYFUNCTION("""COMPUTED_VALUE"""),43475.99861111111)</f>
        <v>43475.99861</v>
      </c>
      <c r="B2907" s="1">
        <f>IFERROR(__xludf.DUMMYFUNCTION("""COMPUTED_VALUE"""),3748.332313)</f>
        <v>3748.332313</v>
      </c>
    </row>
    <row r="2908">
      <c r="A2908" s="3">
        <f>IFERROR(__xludf.DUMMYFUNCTION("""COMPUTED_VALUE"""),43476.99861111111)</f>
        <v>43476.99861</v>
      </c>
      <c r="B2908" s="1">
        <f>IFERROR(__xludf.DUMMYFUNCTION("""COMPUTED_VALUE"""),3756.703308)</f>
        <v>3756.703308</v>
      </c>
    </row>
    <row r="2909">
      <c r="A2909" s="3">
        <f>IFERROR(__xludf.DUMMYFUNCTION("""COMPUTED_VALUE"""),43477.99861111111)</f>
        <v>43477.99861</v>
      </c>
      <c r="B2909" s="1">
        <f>IFERROR(__xludf.DUMMYFUNCTION("""COMPUTED_VALUE"""),3745.364229)</f>
        <v>3745.364229</v>
      </c>
    </row>
    <row r="2910">
      <c r="A2910" s="3">
        <f>IFERROR(__xludf.DUMMYFUNCTION("""COMPUTED_VALUE"""),43478.99861111111)</f>
        <v>43478.99861</v>
      </c>
      <c r="B2910" s="1">
        <f>IFERROR(__xludf.DUMMYFUNCTION("""COMPUTED_VALUE"""),3742.269131)</f>
        <v>3742.269131</v>
      </c>
    </row>
    <row r="2911">
      <c r="A2911" s="3">
        <f>IFERROR(__xludf.DUMMYFUNCTION("""COMPUTED_VALUE"""),43479.99861111111)</f>
        <v>43479.99861</v>
      </c>
      <c r="B2911" s="1">
        <f>IFERROR(__xludf.DUMMYFUNCTION("""COMPUTED_VALUE"""),3768.15072)</f>
        <v>3768.15072</v>
      </c>
    </row>
    <row r="2912">
      <c r="A2912" s="3">
        <f>IFERROR(__xludf.DUMMYFUNCTION("""COMPUTED_VALUE"""),43480.99861111111)</f>
        <v>43480.99861</v>
      </c>
      <c r="B2912" s="1">
        <f>IFERROR(__xludf.DUMMYFUNCTION("""COMPUTED_VALUE"""),3765.644526)</f>
        <v>3765.644526</v>
      </c>
    </row>
    <row r="2913">
      <c r="A2913" s="3">
        <f>IFERROR(__xludf.DUMMYFUNCTION("""COMPUTED_VALUE"""),43481.99861111111)</f>
        <v>43481.99861</v>
      </c>
      <c r="B2913" s="1">
        <f>IFERROR(__xludf.DUMMYFUNCTION("""COMPUTED_VALUE"""),3773.886957)</f>
        <v>3773.886957</v>
      </c>
    </row>
    <row r="2914">
      <c r="A2914" s="3">
        <f>IFERROR(__xludf.DUMMYFUNCTION("""COMPUTED_VALUE"""),43482.99861111111)</f>
        <v>43482.99861</v>
      </c>
      <c r="B2914" s="1">
        <f>IFERROR(__xludf.DUMMYFUNCTION("""COMPUTED_VALUE"""),3783.199315)</f>
        <v>3783.199315</v>
      </c>
    </row>
    <row r="2915">
      <c r="A2915" s="3">
        <f>IFERROR(__xludf.DUMMYFUNCTION("""COMPUTED_VALUE"""),43483.99861111111)</f>
        <v>43483.99861</v>
      </c>
      <c r="B2915" s="1">
        <f>IFERROR(__xludf.DUMMYFUNCTION("""COMPUTED_VALUE"""),3797.262283)</f>
        <v>3797.262283</v>
      </c>
    </row>
    <row r="2916">
      <c r="A2916" s="3">
        <f>IFERROR(__xludf.DUMMYFUNCTION("""COMPUTED_VALUE"""),43485.99861111111)</f>
        <v>43485.99861</v>
      </c>
      <c r="B2916" s="1">
        <f>IFERROR(__xludf.DUMMYFUNCTION("""COMPUTED_VALUE"""),3777.629566)</f>
        <v>3777.629566</v>
      </c>
    </row>
    <row r="2917">
      <c r="A2917" s="3">
        <f>IFERROR(__xludf.DUMMYFUNCTION("""COMPUTED_VALUE"""),43486.99861111111)</f>
        <v>43486.99861</v>
      </c>
      <c r="B2917" s="1">
        <f>IFERROR(__xludf.DUMMYFUNCTION("""COMPUTED_VALUE"""),3819.069948)</f>
        <v>3819.069948</v>
      </c>
    </row>
    <row r="2918">
      <c r="A2918" s="3">
        <f>IFERROR(__xludf.DUMMYFUNCTION("""COMPUTED_VALUE"""),43487.99861111111)</f>
        <v>43487.99861</v>
      </c>
      <c r="B2918" s="1">
        <f>IFERROR(__xludf.DUMMYFUNCTION("""COMPUTED_VALUE"""),3792.74433)</f>
        <v>3792.74433</v>
      </c>
    </row>
    <row r="2919">
      <c r="A2919" s="3">
        <f>IFERROR(__xludf.DUMMYFUNCTION("""COMPUTED_VALUE"""),43488.99861111111)</f>
        <v>43488.99861</v>
      </c>
      <c r="B2919" s="1">
        <f>IFERROR(__xludf.DUMMYFUNCTION("""COMPUTED_VALUE"""),3771.357606)</f>
        <v>3771.357606</v>
      </c>
    </row>
    <row r="2920">
      <c r="A2920" s="3">
        <f>IFERROR(__xludf.DUMMYFUNCTION("""COMPUTED_VALUE"""),43489.99861111111)</f>
        <v>43489.99861</v>
      </c>
      <c r="B2920" s="1">
        <f>IFERROR(__xludf.DUMMYFUNCTION("""COMPUTED_VALUE"""),3787.571363)</f>
        <v>3787.571363</v>
      </c>
    </row>
    <row r="2921">
      <c r="A2921" s="3">
        <f>IFERROR(__xludf.DUMMYFUNCTION("""COMPUTED_VALUE"""),43490.99861111111)</f>
        <v>43490.99861</v>
      </c>
      <c r="B2921" s="1">
        <f>IFERROR(__xludf.DUMMYFUNCTION("""COMPUTED_VALUE"""),3754.40419)</f>
        <v>3754.40419</v>
      </c>
    </row>
    <row r="2922">
      <c r="A2922" s="3">
        <f>IFERROR(__xludf.DUMMYFUNCTION("""COMPUTED_VALUE"""),43491.99861111111)</f>
        <v>43491.99861</v>
      </c>
      <c r="B2922" s="1">
        <f>IFERROR(__xludf.DUMMYFUNCTION("""COMPUTED_VALUE"""),3835.850326)</f>
        <v>3835.850326</v>
      </c>
    </row>
    <row r="2923">
      <c r="A2923" s="3">
        <f>IFERROR(__xludf.DUMMYFUNCTION("""COMPUTED_VALUE"""),43492.99861111111)</f>
        <v>43492.99861</v>
      </c>
      <c r="B2923" s="1">
        <f>IFERROR(__xludf.DUMMYFUNCTION("""COMPUTED_VALUE"""),3753.832955)</f>
        <v>3753.832955</v>
      </c>
    </row>
    <row r="2924">
      <c r="A2924" s="3">
        <f>IFERROR(__xludf.DUMMYFUNCTION("""COMPUTED_VALUE"""),43493.99861111111)</f>
        <v>43493.99861</v>
      </c>
      <c r="B2924" s="1">
        <f>IFERROR(__xludf.DUMMYFUNCTION("""COMPUTED_VALUE"""),3754.638884)</f>
        <v>3754.638884</v>
      </c>
    </row>
    <row r="2925">
      <c r="A2925" s="3">
        <f>IFERROR(__xludf.DUMMYFUNCTION("""COMPUTED_VALUE"""),43494.99861111111)</f>
        <v>43494.99861</v>
      </c>
      <c r="B2925" s="1">
        <f>IFERROR(__xludf.DUMMYFUNCTION("""COMPUTED_VALUE"""),3757.174491)</f>
        <v>3757.174491</v>
      </c>
    </row>
    <row r="2926">
      <c r="A2926" s="3">
        <f>IFERROR(__xludf.DUMMYFUNCTION("""COMPUTED_VALUE"""),43495.99861111111)</f>
        <v>43495.99861</v>
      </c>
      <c r="B2926" s="1">
        <f>IFERROR(__xludf.DUMMYFUNCTION("""COMPUTED_VALUE"""),3746.729187)</f>
        <v>3746.729187</v>
      </c>
    </row>
    <row r="2927">
      <c r="A2927" s="3">
        <f>IFERROR(__xludf.DUMMYFUNCTION("""COMPUTED_VALUE"""),43496.99861111111)</f>
        <v>43496.99861</v>
      </c>
      <c r="B2927" s="1">
        <f>IFERROR(__xludf.DUMMYFUNCTION("""COMPUTED_VALUE"""),3727.646345)</f>
        <v>3727.646345</v>
      </c>
    </row>
    <row r="2928">
      <c r="A2928" s="3">
        <f>IFERROR(__xludf.DUMMYFUNCTION("""COMPUTED_VALUE"""),43497.99861111111)</f>
        <v>43497.99861</v>
      </c>
      <c r="B2928" s="1">
        <f>IFERROR(__xludf.DUMMYFUNCTION("""COMPUTED_VALUE"""),3714.468489)</f>
        <v>3714.468489</v>
      </c>
    </row>
    <row r="2929">
      <c r="A2929" s="3">
        <f>IFERROR(__xludf.DUMMYFUNCTION("""COMPUTED_VALUE"""),43499.99861111111)</f>
        <v>43499.99861</v>
      </c>
      <c r="B2929" s="1">
        <f>IFERROR(__xludf.DUMMYFUNCTION("""COMPUTED_VALUE"""),3715.268446)</f>
        <v>3715.268446</v>
      </c>
    </row>
    <row r="2930">
      <c r="A2930" s="3">
        <f>IFERROR(__xludf.DUMMYFUNCTION("""COMPUTED_VALUE"""),43500.99861111111)</f>
        <v>43500.99861</v>
      </c>
      <c r="B2930" s="1">
        <f>IFERROR(__xludf.DUMMYFUNCTION("""COMPUTED_VALUE"""),3726.272716)</f>
        <v>3726.272716</v>
      </c>
    </row>
    <row r="2931">
      <c r="A2931" s="3">
        <f>IFERROR(__xludf.DUMMYFUNCTION("""COMPUTED_VALUE"""),43501.99861111111)</f>
        <v>43501.99861</v>
      </c>
      <c r="B2931" s="1">
        <f>IFERROR(__xludf.DUMMYFUNCTION("""COMPUTED_VALUE"""),3724.205112)</f>
        <v>3724.205112</v>
      </c>
    </row>
    <row r="2932">
      <c r="A2932" s="3">
        <f>IFERROR(__xludf.DUMMYFUNCTION("""COMPUTED_VALUE"""),43502.99861111111)</f>
        <v>43502.99861</v>
      </c>
      <c r="B2932" s="1">
        <f>IFERROR(__xludf.DUMMYFUNCTION("""COMPUTED_VALUE"""),3714.827158)</f>
        <v>3714.827158</v>
      </c>
    </row>
    <row r="2933">
      <c r="A2933" s="3">
        <f>IFERROR(__xludf.DUMMYFUNCTION("""COMPUTED_VALUE"""),43503.99861111111)</f>
        <v>43503.99861</v>
      </c>
      <c r="B2933" s="1">
        <f>IFERROR(__xludf.DUMMYFUNCTION("""COMPUTED_VALUE"""),3728.243392)</f>
        <v>3728.243392</v>
      </c>
    </row>
    <row r="2934">
      <c r="A2934" s="3">
        <f>IFERROR(__xludf.DUMMYFUNCTION("""COMPUTED_VALUE"""),43504.99861111111)</f>
        <v>43504.99861</v>
      </c>
      <c r="B2934" s="1">
        <f>IFERROR(__xludf.DUMMYFUNCTION("""COMPUTED_VALUE"""),3743.916069)</f>
        <v>3743.916069</v>
      </c>
    </row>
    <row r="2935">
      <c r="A2935" s="3">
        <f>IFERROR(__xludf.DUMMYFUNCTION("""COMPUTED_VALUE"""),43505.99861111111)</f>
        <v>43505.99861</v>
      </c>
      <c r="B2935" s="1">
        <f>IFERROR(__xludf.DUMMYFUNCTION("""COMPUTED_VALUE"""),3747.951289)</f>
        <v>3747.951289</v>
      </c>
    </row>
    <row r="2936">
      <c r="A2936" s="3">
        <f>IFERROR(__xludf.DUMMYFUNCTION("""COMPUTED_VALUE"""),43506.99861111111)</f>
        <v>43506.99861</v>
      </c>
      <c r="B2936" s="1">
        <f>IFERROR(__xludf.DUMMYFUNCTION("""COMPUTED_VALUE"""),3722.13324)</f>
        <v>3722.13324</v>
      </c>
    </row>
    <row r="2937">
      <c r="A2937" s="3">
        <f>IFERROR(__xludf.DUMMYFUNCTION("""COMPUTED_VALUE"""),43507.99861111111)</f>
        <v>43507.99861</v>
      </c>
      <c r="B2937" s="1">
        <f>IFERROR(__xludf.DUMMYFUNCTION("""COMPUTED_VALUE"""),3746.329106)</f>
        <v>3746.329106</v>
      </c>
    </row>
    <row r="2938">
      <c r="A2938" s="3">
        <f>IFERROR(__xludf.DUMMYFUNCTION("""COMPUTED_VALUE"""),43508.99861111111)</f>
        <v>43508.99861</v>
      </c>
      <c r="B2938" s="1">
        <f>IFERROR(__xludf.DUMMYFUNCTION("""COMPUTED_VALUE"""),3740.909703)</f>
        <v>3740.909703</v>
      </c>
    </row>
    <row r="2939">
      <c r="A2939" s="3">
        <f>IFERROR(__xludf.DUMMYFUNCTION("""COMPUTED_VALUE"""),43509.99861111111)</f>
        <v>43509.99861</v>
      </c>
      <c r="B2939" s="1">
        <f>IFERROR(__xludf.DUMMYFUNCTION("""COMPUTED_VALUE"""),3777.326854)</f>
        <v>3777.326854</v>
      </c>
    </row>
    <row r="2940">
      <c r="A2940" s="3">
        <f>IFERROR(__xludf.DUMMYFUNCTION("""COMPUTED_VALUE"""),43510.99861111111)</f>
        <v>43510.99861</v>
      </c>
      <c r="B2940" s="1">
        <f>IFERROR(__xludf.DUMMYFUNCTION("""COMPUTED_VALUE"""),3759.577118)</f>
        <v>3759.577118</v>
      </c>
    </row>
    <row r="2941">
      <c r="A2941" s="3">
        <f>IFERROR(__xludf.DUMMYFUNCTION("""COMPUTED_VALUE"""),43511.99861111111)</f>
        <v>43511.99861</v>
      </c>
      <c r="B2941" s="1">
        <f>IFERROR(__xludf.DUMMYFUNCTION("""COMPUTED_VALUE"""),3765.538187)</f>
        <v>3765.538187</v>
      </c>
    </row>
    <row r="2942">
      <c r="A2942" s="3">
        <f>IFERROR(__xludf.DUMMYFUNCTION("""COMPUTED_VALUE"""),43512.99861111111)</f>
        <v>43512.99861</v>
      </c>
      <c r="B2942" s="1">
        <f>IFERROR(__xludf.DUMMYFUNCTION("""COMPUTED_VALUE"""),3774.028149)</f>
        <v>3774.028149</v>
      </c>
    </row>
    <row r="2943">
      <c r="A2943" s="3">
        <f>IFERROR(__xludf.DUMMYFUNCTION("""COMPUTED_VALUE"""),43513.99861111111)</f>
        <v>43513.99861</v>
      </c>
      <c r="B2943" s="1">
        <f>IFERROR(__xludf.DUMMYFUNCTION("""COMPUTED_VALUE"""),3769.499398)</f>
        <v>3769.499398</v>
      </c>
    </row>
    <row r="2944">
      <c r="A2944" s="3">
        <f>IFERROR(__xludf.DUMMYFUNCTION("""COMPUTED_VALUE"""),43514.99861111111)</f>
        <v>43514.99861</v>
      </c>
      <c r="B2944" s="1">
        <f>IFERROR(__xludf.DUMMYFUNCTION("""COMPUTED_VALUE"""),3788.707886)</f>
        <v>3788.707886</v>
      </c>
    </row>
    <row r="2945">
      <c r="A2945" s="3">
        <f>IFERROR(__xludf.DUMMYFUNCTION("""COMPUTED_VALUE"""),43515.99861111111)</f>
        <v>43515.99861</v>
      </c>
      <c r="B2945" s="1">
        <f>IFERROR(__xludf.DUMMYFUNCTION("""COMPUTED_VALUE"""),3763.683317)</f>
        <v>3763.683317</v>
      </c>
    </row>
    <row r="2946">
      <c r="A2946" s="3">
        <f>IFERROR(__xludf.DUMMYFUNCTION("""COMPUTED_VALUE"""),43516.99861111111)</f>
        <v>43516.99861</v>
      </c>
      <c r="B2946" s="1">
        <f>IFERROR(__xludf.DUMMYFUNCTION("""COMPUTED_VALUE"""),3746.129136)</f>
        <v>3746.129136</v>
      </c>
    </row>
    <row r="2947">
      <c r="A2947" s="3">
        <f>IFERROR(__xludf.DUMMYFUNCTION("""COMPUTED_VALUE"""),43517.99861111111)</f>
        <v>43517.99861</v>
      </c>
      <c r="B2947" s="1">
        <f>IFERROR(__xludf.DUMMYFUNCTION("""COMPUTED_VALUE"""),3769.75647)</f>
        <v>3769.75647</v>
      </c>
    </row>
    <row r="2948">
      <c r="A2948" s="3">
        <f>IFERROR(__xludf.DUMMYFUNCTION("""COMPUTED_VALUE"""),43518.99861111111)</f>
        <v>43518.99861</v>
      </c>
      <c r="B2948" s="1">
        <f>IFERROR(__xludf.DUMMYFUNCTION("""COMPUTED_VALUE"""),3739.846239)</f>
        <v>3739.846239</v>
      </c>
    </row>
    <row r="2949">
      <c r="A2949" s="3">
        <f>IFERROR(__xludf.DUMMYFUNCTION("""COMPUTED_VALUE"""),43519.99861111111)</f>
        <v>43519.99861</v>
      </c>
      <c r="B2949" s="1">
        <f>IFERROR(__xludf.DUMMYFUNCTION("""COMPUTED_VALUE"""),3737.752895)</f>
        <v>3737.752895</v>
      </c>
    </row>
    <row r="2950">
      <c r="A2950" s="3">
        <f>IFERROR(__xludf.DUMMYFUNCTION("""COMPUTED_VALUE"""),43520.99861111111)</f>
        <v>43520.99861</v>
      </c>
      <c r="B2950" s="1">
        <f>IFERROR(__xludf.DUMMYFUNCTION("""COMPUTED_VALUE"""),3746.833337)</f>
        <v>3746.833337</v>
      </c>
    </row>
    <row r="2951">
      <c r="A2951" s="3">
        <f>IFERROR(__xludf.DUMMYFUNCTION("""COMPUTED_VALUE"""),43521.99861111111)</f>
        <v>43521.99861</v>
      </c>
      <c r="B2951" s="1">
        <f>IFERROR(__xludf.DUMMYFUNCTION("""COMPUTED_VALUE"""),3740.655659)</f>
        <v>3740.655659</v>
      </c>
    </row>
    <row r="2952">
      <c r="A2952" s="3">
        <f>IFERROR(__xludf.DUMMYFUNCTION("""COMPUTED_VALUE"""),43522.99861111111)</f>
        <v>43522.99861</v>
      </c>
      <c r="B2952" s="1">
        <f>IFERROR(__xludf.DUMMYFUNCTION("""COMPUTED_VALUE"""),3726.641683)</f>
        <v>3726.641683</v>
      </c>
    </row>
    <row r="2953">
      <c r="A2953" s="3">
        <f>IFERROR(__xludf.DUMMYFUNCTION("""COMPUTED_VALUE"""),43523.99861111111)</f>
        <v>43523.99861</v>
      </c>
      <c r="B2953" s="1">
        <f>IFERROR(__xludf.DUMMYFUNCTION("""COMPUTED_VALUE"""),3741.324011)</f>
        <v>3741.324011</v>
      </c>
    </row>
    <row r="2954">
      <c r="A2954" s="3">
        <f>IFERROR(__xludf.DUMMYFUNCTION("""COMPUTED_VALUE"""),43524.99861111111)</f>
        <v>43524.99861</v>
      </c>
      <c r="B2954" s="1">
        <f>IFERROR(__xludf.DUMMYFUNCTION("""COMPUTED_VALUE"""),3789.411781)</f>
        <v>3789.411781</v>
      </c>
    </row>
    <row r="2955">
      <c r="A2955" s="3">
        <f>IFERROR(__xludf.DUMMYFUNCTION("""COMPUTED_VALUE"""),43525.99861111111)</f>
        <v>43525.99861</v>
      </c>
      <c r="B2955" s="1">
        <f>IFERROR(__xludf.DUMMYFUNCTION("""COMPUTED_VALUE"""),3781.818625)</f>
        <v>3781.818625</v>
      </c>
    </row>
    <row r="2956">
      <c r="A2956" s="3">
        <f>IFERROR(__xludf.DUMMYFUNCTION("""COMPUTED_VALUE"""),43526.99861111111)</f>
        <v>43526.99861</v>
      </c>
      <c r="B2956" s="1">
        <f>IFERROR(__xludf.DUMMYFUNCTION("""COMPUTED_VALUE"""),3764.341705)</f>
        <v>3764.341705</v>
      </c>
    </row>
    <row r="2957">
      <c r="A2957" s="3">
        <f>IFERROR(__xludf.DUMMYFUNCTION("""COMPUTED_VALUE"""),43527.99861111111)</f>
        <v>43527.99861</v>
      </c>
      <c r="B2957" s="1">
        <f>IFERROR(__xludf.DUMMYFUNCTION("""COMPUTED_VALUE"""),3763.698832)</f>
        <v>3763.698832</v>
      </c>
    </row>
    <row r="2958">
      <c r="A2958" s="3">
        <f>IFERROR(__xludf.DUMMYFUNCTION("""COMPUTED_VALUE"""),43528.99861111111)</f>
        <v>43528.99861</v>
      </c>
      <c r="B2958" s="1">
        <f>IFERROR(__xludf.DUMMYFUNCTION("""COMPUTED_VALUE"""),3789.595701)</f>
        <v>3789.595701</v>
      </c>
    </row>
    <row r="2959">
      <c r="A2959" s="3">
        <f>IFERROR(__xludf.DUMMYFUNCTION("""COMPUTED_VALUE"""),43529.99861111111)</f>
        <v>43529.99861</v>
      </c>
      <c r="B2959" s="1">
        <f>IFERROR(__xludf.DUMMYFUNCTION("""COMPUTED_VALUE"""),3774.226652)</f>
        <v>3774.226652</v>
      </c>
    </row>
    <row r="2960">
      <c r="A2960" s="3">
        <f>IFERROR(__xludf.DUMMYFUNCTION("""COMPUTED_VALUE"""),43530.99861111111)</f>
        <v>43530.99861</v>
      </c>
      <c r="B2960" s="1">
        <f>IFERROR(__xludf.DUMMYFUNCTION("""COMPUTED_VALUE"""),3791.291932)</f>
        <v>3791.291932</v>
      </c>
    </row>
    <row r="2961">
      <c r="A2961" s="3">
        <f>IFERROR(__xludf.DUMMYFUNCTION("""COMPUTED_VALUE"""),43531.99861111111)</f>
        <v>43531.99861</v>
      </c>
      <c r="B2961" s="1">
        <f>IFERROR(__xludf.DUMMYFUNCTION("""COMPUTED_VALUE"""),3797.566872)</f>
        <v>3797.566872</v>
      </c>
    </row>
    <row r="2962">
      <c r="A2962" s="3">
        <f>IFERROR(__xludf.DUMMYFUNCTION("""COMPUTED_VALUE"""),43532.99861111111)</f>
        <v>43532.99861</v>
      </c>
      <c r="B2962" s="1">
        <f>IFERROR(__xludf.DUMMYFUNCTION("""COMPUTED_VALUE"""),3813.000385)</f>
        <v>3813.000385</v>
      </c>
    </row>
    <row r="2963">
      <c r="A2963" s="3">
        <f>IFERROR(__xludf.DUMMYFUNCTION("""COMPUTED_VALUE"""),43533.99861111111)</f>
        <v>43533.99861</v>
      </c>
      <c r="B2963" s="1">
        <f>IFERROR(__xludf.DUMMYFUNCTION("""COMPUTED_VALUE"""),3813.000385)</f>
        <v>3813.000385</v>
      </c>
    </row>
    <row r="2964">
      <c r="A2964" s="3">
        <f>IFERROR(__xludf.DUMMYFUNCTION("""COMPUTED_VALUE"""),43534.99861111111)</f>
        <v>43534.99861</v>
      </c>
      <c r="B2964" s="1">
        <f>IFERROR(__xludf.DUMMYFUNCTION("""COMPUTED_VALUE"""),3815.694672)</f>
        <v>3815.694672</v>
      </c>
    </row>
    <row r="2965">
      <c r="A2965" s="3">
        <f>IFERROR(__xludf.DUMMYFUNCTION("""COMPUTED_VALUE"""),43535.99861111111)</f>
        <v>43535.99861</v>
      </c>
      <c r="B2965" s="1">
        <f>IFERROR(__xludf.DUMMYFUNCTION("""COMPUTED_VALUE"""),3809.21385)</f>
        <v>3809.21385</v>
      </c>
    </row>
    <row r="2966">
      <c r="A2966" s="3">
        <f>IFERROR(__xludf.DUMMYFUNCTION("""COMPUTED_VALUE"""),43536.99861111111)</f>
        <v>43536.99861</v>
      </c>
      <c r="B2966" s="1">
        <f>IFERROR(__xludf.DUMMYFUNCTION("""COMPUTED_VALUE"""),3803.644991)</f>
        <v>3803.644991</v>
      </c>
    </row>
    <row r="2967">
      <c r="A2967" s="3">
        <f>IFERROR(__xludf.DUMMYFUNCTION("""COMPUTED_VALUE"""),43537.99861111111)</f>
        <v>43537.99861</v>
      </c>
      <c r="B2967" s="1">
        <f>IFERROR(__xludf.DUMMYFUNCTION("""COMPUTED_VALUE"""),3803.690925)</f>
        <v>3803.690925</v>
      </c>
    </row>
    <row r="2968">
      <c r="A2968" s="3">
        <f>IFERROR(__xludf.DUMMYFUNCTION("""COMPUTED_VALUE"""),43538.99861111111)</f>
        <v>43538.99861</v>
      </c>
      <c r="B2968" s="1">
        <f>IFERROR(__xludf.DUMMYFUNCTION("""COMPUTED_VALUE"""),3811.479233)</f>
        <v>3811.479233</v>
      </c>
    </row>
    <row r="2969">
      <c r="A2969" s="3">
        <f>IFERROR(__xludf.DUMMYFUNCTION("""COMPUTED_VALUE"""),43539.99861111111)</f>
        <v>43539.99861</v>
      </c>
      <c r="B2969" s="1">
        <f>IFERROR(__xludf.DUMMYFUNCTION("""COMPUTED_VALUE"""),3807.401836)</f>
        <v>3807.401836</v>
      </c>
    </row>
    <row r="2970">
      <c r="A2970" s="3">
        <f>IFERROR(__xludf.DUMMYFUNCTION("""COMPUTED_VALUE"""),43540.99861111111)</f>
        <v>43540.99861</v>
      </c>
      <c r="B2970" s="1">
        <f>IFERROR(__xludf.DUMMYFUNCTION("""COMPUTED_VALUE"""),3803.66165)</f>
        <v>3803.66165</v>
      </c>
    </row>
    <row r="2971">
      <c r="A2971" s="3">
        <f>IFERROR(__xludf.DUMMYFUNCTION("""COMPUTED_VALUE"""),43541.99861111111)</f>
        <v>43541.99861</v>
      </c>
      <c r="B2971" s="1">
        <f>IFERROR(__xludf.DUMMYFUNCTION("""COMPUTED_VALUE"""),3802.09576)</f>
        <v>3802.09576</v>
      </c>
    </row>
    <row r="2972">
      <c r="A2972" s="3">
        <f>IFERROR(__xludf.DUMMYFUNCTION("""COMPUTED_VALUE"""),43542.99861111111)</f>
        <v>43542.99861</v>
      </c>
      <c r="B2972" s="1">
        <f>IFERROR(__xludf.DUMMYFUNCTION("""COMPUTED_VALUE"""),3802.437504)</f>
        <v>3802.437504</v>
      </c>
    </row>
    <row r="2973">
      <c r="A2973" s="3">
        <f>IFERROR(__xludf.DUMMYFUNCTION("""COMPUTED_VALUE"""),43543.99861111111)</f>
        <v>43543.99861</v>
      </c>
      <c r="B2973" s="1">
        <f>IFERROR(__xludf.DUMMYFUNCTION("""COMPUTED_VALUE"""),3794.160695)</f>
        <v>3794.160695</v>
      </c>
    </row>
    <row r="2974">
      <c r="A2974" s="3">
        <f>IFERROR(__xludf.DUMMYFUNCTION("""COMPUTED_VALUE"""),43544.99861111111)</f>
        <v>43544.99861</v>
      </c>
      <c r="B2974" s="1">
        <f>IFERROR(__xludf.DUMMYFUNCTION("""COMPUTED_VALUE"""),3749.366668)</f>
        <v>3749.366668</v>
      </c>
    </row>
    <row r="2975">
      <c r="A2975" s="3">
        <f>IFERROR(__xludf.DUMMYFUNCTION("""COMPUTED_VALUE"""),43545.99861111111)</f>
        <v>43545.99861</v>
      </c>
      <c r="B2975" s="1">
        <f>IFERROR(__xludf.DUMMYFUNCTION("""COMPUTED_VALUE"""),3770.364966)</f>
        <v>3770.364966</v>
      </c>
    </row>
    <row r="2976">
      <c r="A2976" s="3">
        <f>IFERROR(__xludf.DUMMYFUNCTION("""COMPUTED_VALUE"""),43546.99861111111)</f>
        <v>43546.99861</v>
      </c>
      <c r="B2976" s="1">
        <f>IFERROR(__xludf.DUMMYFUNCTION("""COMPUTED_VALUE"""),3815.309487)</f>
        <v>3815.309487</v>
      </c>
    </row>
    <row r="2977">
      <c r="A2977" s="3">
        <f>IFERROR(__xludf.DUMMYFUNCTION("""COMPUTED_VALUE"""),43547.99861111111)</f>
        <v>43547.99861</v>
      </c>
      <c r="B2977" s="1">
        <f>IFERROR(__xludf.DUMMYFUNCTION("""COMPUTED_VALUE"""),3815.309487)</f>
        <v>3815.309487</v>
      </c>
    </row>
    <row r="2978">
      <c r="A2978" s="3">
        <f>IFERROR(__xludf.DUMMYFUNCTION("""COMPUTED_VALUE"""),43548.99861111111)</f>
        <v>43548.99861</v>
      </c>
      <c r="B2978" s="1">
        <f>IFERROR(__xludf.DUMMYFUNCTION("""COMPUTED_VALUE"""),3777.031099)</f>
        <v>3777.031099</v>
      </c>
    </row>
    <row r="2979">
      <c r="A2979" s="3">
        <f>IFERROR(__xludf.DUMMYFUNCTION("""COMPUTED_VALUE"""),43549.99861111111)</f>
        <v>43549.99861</v>
      </c>
      <c r="B2979" s="1">
        <f>IFERROR(__xludf.DUMMYFUNCTION("""COMPUTED_VALUE"""),3781.030779)</f>
        <v>3781.030779</v>
      </c>
    </row>
    <row r="2980">
      <c r="A2980" s="3">
        <f>IFERROR(__xludf.DUMMYFUNCTION("""COMPUTED_VALUE"""),43550.99861111111)</f>
        <v>43550.99861</v>
      </c>
      <c r="B2980" s="1">
        <f>IFERROR(__xludf.DUMMYFUNCTION("""COMPUTED_VALUE"""),3778.64305)</f>
        <v>3778.64305</v>
      </c>
    </row>
    <row r="2981">
      <c r="A2981" s="3">
        <f>IFERROR(__xludf.DUMMYFUNCTION("""COMPUTED_VALUE"""),43551.99861111111)</f>
        <v>43551.99861</v>
      </c>
      <c r="B2981" s="1">
        <f>IFERROR(__xludf.DUMMYFUNCTION("""COMPUTED_VALUE"""),3826.35575)</f>
        <v>3826.35575</v>
      </c>
    </row>
    <row r="2982">
      <c r="A2982" s="3">
        <f>IFERROR(__xludf.DUMMYFUNCTION("""COMPUTED_VALUE"""),43552.99861111111)</f>
        <v>43552.99861</v>
      </c>
      <c r="B2982" s="1">
        <f>IFERROR(__xludf.DUMMYFUNCTION("""COMPUTED_VALUE"""),3797.55809)</f>
        <v>3797.55809</v>
      </c>
    </row>
    <row r="2983">
      <c r="A2983" s="3">
        <f>IFERROR(__xludf.DUMMYFUNCTION("""COMPUTED_VALUE"""),43553.99861111111)</f>
        <v>43553.99861</v>
      </c>
      <c r="B2983" s="1">
        <f>IFERROR(__xludf.DUMMYFUNCTION("""COMPUTED_VALUE"""),3816.633015)</f>
        <v>3816.633015</v>
      </c>
    </row>
    <row r="2984">
      <c r="A2984" s="3">
        <f>IFERROR(__xludf.DUMMYFUNCTION("""COMPUTED_VALUE"""),43554.99861111111)</f>
        <v>43554.99861</v>
      </c>
      <c r="B2984" s="1">
        <f>IFERROR(__xludf.DUMMYFUNCTION("""COMPUTED_VALUE"""),3793.9632)</f>
        <v>3793.9632</v>
      </c>
    </row>
    <row r="2985">
      <c r="A2985" s="3">
        <f>IFERROR(__xludf.DUMMYFUNCTION("""COMPUTED_VALUE"""),43555.99861111111)</f>
        <v>43555.99861</v>
      </c>
      <c r="B2985" s="1">
        <f>IFERROR(__xludf.DUMMYFUNCTION("""COMPUTED_VALUE"""),3793.9632)</f>
        <v>3793.9632</v>
      </c>
    </row>
    <row r="2986">
      <c r="A2986" s="3">
        <f>IFERROR(__xludf.DUMMYFUNCTION("""COMPUTED_VALUE"""),43556.99861111111)</f>
        <v>43556.99861</v>
      </c>
      <c r="B2986" s="1">
        <f>IFERROR(__xludf.DUMMYFUNCTION("""COMPUTED_VALUE"""),3798.62467)</f>
        <v>3798.62467</v>
      </c>
    </row>
    <row r="2987">
      <c r="A2987" s="3">
        <f>IFERROR(__xludf.DUMMYFUNCTION("""COMPUTED_VALUE"""),43557.99861111111)</f>
        <v>43557.99861</v>
      </c>
      <c r="B2987" s="1">
        <f>IFERROR(__xludf.DUMMYFUNCTION("""COMPUTED_VALUE"""),3791.6208)</f>
        <v>3791.6208</v>
      </c>
    </row>
    <row r="2988">
      <c r="A2988" s="3">
        <f>IFERROR(__xludf.DUMMYFUNCTION("""COMPUTED_VALUE"""),43558.99861111111)</f>
        <v>43558.99861</v>
      </c>
      <c r="B2988" s="1">
        <f>IFERROR(__xludf.DUMMYFUNCTION("""COMPUTED_VALUE"""),3791.9763)</f>
        <v>3791.9763</v>
      </c>
    </row>
    <row r="2989">
      <c r="A2989" s="3">
        <f>IFERROR(__xludf.DUMMYFUNCTION("""COMPUTED_VALUE"""),43559.99861111111)</f>
        <v>43559.99861</v>
      </c>
      <c r="B2989" s="1">
        <f>IFERROR(__xludf.DUMMYFUNCTION("""COMPUTED_VALUE"""),3774.963255)</f>
        <v>3774.963255</v>
      </c>
    </row>
    <row r="2990">
      <c r="A2990" s="3">
        <f>IFERROR(__xludf.DUMMYFUNCTION("""COMPUTED_VALUE"""),43560.99861111111)</f>
        <v>43560.99861</v>
      </c>
      <c r="B2990" s="1">
        <f>IFERROR(__xludf.DUMMYFUNCTION("""COMPUTED_VALUE"""),3759.63944)</f>
        <v>3759.63944</v>
      </c>
    </row>
    <row r="2991">
      <c r="A2991" s="3">
        <f>IFERROR(__xludf.DUMMYFUNCTION("""COMPUTED_VALUE"""),43561.99861111111)</f>
        <v>43561.99861</v>
      </c>
      <c r="B2991" s="1">
        <f>IFERROR(__xludf.DUMMYFUNCTION("""COMPUTED_VALUE"""),3760.980555)</f>
        <v>3760.980555</v>
      </c>
    </row>
    <row r="2992">
      <c r="A2992" s="3">
        <f>IFERROR(__xludf.DUMMYFUNCTION("""COMPUTED_VALUE"""),43562.99861111111)</f>
        <v>43562.99861</v>
      </c>
      <c r="B2992" s="1">
        <f>IFERROR(__xludf.DUMMYFUNCTION("""COMPUTED_VALUE"""),3764.247892)</f>
        <v>3764.247892</v>
      </c>
    </row>
    <row r="2993">
      <c r="A2993" s="3">
        <f>IFERROR(__xludf.DUMMYFUNCTION("""COMPUTED_VALUE"""),43563.99861111111)</f>
        <v>43563.99861</v>
      </c>
      <c r="B2993" s="1">
        <f>IFERROR(__xludf.DUMMYFUNCTION("""COMPUTED_VALUE"""),3784.12195)</f>
        <v>3784.12195</v>
      </c>
    </row>
    <row r="2994">
      <c r="A2994" s="3">
        <f>IFERROR(__xludf.DUMMYFUNCTION("""COMPUTED_VALUE"""),43564.99861111111)</f>
        <v>43564.99861</v>
      </c>
      <c r="B2994" s="1">
        <f>IFERROR(__xludf.DUMMYFUNCTION("""COMPUTED_VALUE"""),3771.160235)</f>
        <v>3771.160235</v>
      </c>
    </row>
    <row r="2995">
      <c r="A2995" s="3">
        <f>IFERROR(__xludf.DUMMYFUNCTION("""COMPUTED_VALUE"""),43565.99861111111)</f>
        <v>43565.99861</v>
      </c>
      <c r="B2995" s="1">
        <f>IFERROR(__xludf.DUMMYFUNCTION("""COMPUTED_VALUE"""),3781.542375)</f>
        <v>3781.542375</v>
      </c>
    </row>
    <row r="2996">
      <c r="A2996" s="3">
        <f>IFERROR(__xludf.DUMMYFUNCTION("""COMPUTED_VALUE"""),43566.99861111111)</f>
        <v>43566.99861</v>
      </c>
      <c r="B2996" s="1">
        <f>IFERROR(__xludf.DUMMYFUNCTION("""COMPUTED_VALUE"""),3771.552075)</f>
        <v>3771.552075</v>
      </c>
    </row>
    <row r="2997">
      <c r="A2997" s="3">
        <f>IFERROR(__xludf.DUMMYFUNCTION("""COMPUTED_VALUE"""),43567.99861111111)</f>
        <v>43567.99861</v>
      </c>
      <c r="B2997" s="1">
        <f>IFERROR(__xludf.DUMMYFUNCTION("""COMPUTED_VALUE"""),3762.000375)</f>
        <v>3762.000375</v>
      </c>
    </row>
    <row r="2998">
      <c r="A2998" s="3">
        <f>IFERROR(__xludf.DUMMYFUNCTION("""COMPUTED_VALUE"""),43568.99861111111)</f>
        <v>43568.99861</v>
      </c>
      <c r="B2998" s="1">
        <f>IFERROR(__xludf.DUMMYFUNCTION("""COMPUTED_VALUE"""),3764.592625)</f>
        <v>3764.592625</v>
      </c>
    </row>
    <row r="2999">
      <c r="A2999" s="3">
        <f>IFERROR(__xludf.DUMMYFUNCTION("""COMPUTED_VALUE"""),43569.99861111111)</f>
        <v>43569.99861</v>
      </c>
      <c r="B2999" s="1">
        <f>IFERROR(__xludf.DUMMYFUNCTION("""COMPUTED_VALUE"""),3757.932836)</f>
        <v>3757.932836</v>
      </c>
    </row>
    <row r="3000">
      <c r="A3000" s="3">
        <f>IFERROR(__xludf.DUMMYFUNCTION("""COMPUTED_VALUE"""),43570.99861111111)</f>
        <v>43570.99861</v>
      </c>
      <c r="B3000" s="1">
        <f>IFERROR(__xludf.DUMMYFUNCTION("""COMPUTED_VALUE"""),3775.717987)</f>
        <v>3775.717987</v>
      </c>
    </row>
    <row r="3001">
      <c r="A3001" s="3">
        <f>IFERROR(__xludf.DUMMYFUNCTION("""COMPUTED_VALUE"""),43571.99861111111)</f>
        <v>43571.99861</v>
      </c>
      <c r="B3001" s="1">
        <f>IFERROR(__xludf.DUMMYFUNCTION("""COMPUTED_VALUE"""),3755.553975)</f>
        <v>3755.553975</v>
      </c>
    </row>
    <row r="3002">
      <c r="A3002" s="3">
        <f>IFERROR(__xludf.DUMMYFUNCTION("""COMPUTED_VALUE"""),43572.99861111111)</f>
        <v>43572.99861</v>
      </c>
      <c r="B3002" s="1">
        <f>IFERROR(__xludf.DUMMYFUNCTION("""COMPUTED_VALUE"""),3755.835675)</f>
        <v>3755.835675</v>
      </c>
    </row>
    <row r="3003">
      <c r="A3003" s="3">
        <f>IFERROR(__xludf.DUMMYFUNCTION("""COMPUTED_VALUE"""),43573.99861111111)</f>
        <v>43573.99861</v>
      </c>
      <c r="B3003" s="1">
        <f>IFERROR(__xludf.DUMMYFUNCTION("""COMPUTED_VALUE"""),3743.653155)</f>
        <v>3743.653155</v>
      </c>
    </row>
    <row r="3004">
      <c r="A3004" s="3">
        <f>IFERROR(__xludf.DUMMYFUNCTION("""COMPUTED_VALUE"""),43574.99861111111)</f>
        <v>43574.99861</v>
      </c>
      <c r="B3004" s="1">
        <f>IFERROR(__xludf.DUMMYFUNCTION("""COMPUTED_VALUE"""),3743.350442)</f>
        <v>3743.350442</v>
      </c>
    </row>
    <row r="3005">
      <c r="A3005" s="3">
        <f>IFERROR(__xludf.DUMMYFUNCTION("""COMPUTED_VALUE"""),43575.99861111111)</f>
        <v>43575.99861</v>
      </c>
      <c r="B3005" s="1">
        <f>IFERROR(__xludf.DUMMYFUNCTION("""COMPUTED_VALUE"""),3743.22564)</f>
        <v>3743.22564</v>
      </c>
    </row>
    <row r="3006">
      <c r="A3006" s="3">
        <f>IFERROR(__xludf.DUMMYFUNCTION("""COMPUTED_VALUE"""),43576.99861111111)</f>
        <v>43576.99861</v>
      </c>
      <c r="B3006" s="1">
        <f>IFERROR(__xludf.DUMMYFUNCTION("""COMPUTED_VALUE"""),3744.799906)</f>
        <v>3744.799906</v>
      </c>
    </row>
    <row r="3007">
      <c r="A3007" s="3">
        <f>IFERROR(__xludf.DUMMYFUNCTION("""COMPUTED_VALUE"""),43577.99861111111)</f>
        <v>43577.99861</v>
      </c>
      <c r="B3007" s="1">
        <f>IFERROR(__xludf.DUMMYFUNCTION("""COMPUTED_VALUE"""),3750.66948)</f>
        <v>3750.66948</v>
      </c>
    </row>
    <row r="3008">
      <c r="A3008" s="3">
        <f>IFERROR(__xludf.DUMMYFUNCTION("""COMPUTED_VALUE"""),43578.99861111111)</f>
        <v>43578.99861</v>
      </c>
      <c r="B3008" s="1">
        <f>IFERROR(__xludf.DUMMYFUNCTION("""COMPUTED_VALUE"""),3751.30254)</f>
        <v>3751.30254</v>
      </c>
    </row>
    <row r="3009">
      <c r="A3009" s="3">
        <f>IFERROR(__xludf.DUMMYFUNCTION("""COMPUTED_VALUE"""),43579.99861111111)</f>
        <v>43579.99861</v>
      </c>
      <c r="B3009" s="1">
        <f>IFERROR(__xludf.DUMMYFUNCTION("""COMPUTED_VALUE"""),3776.101455)</f>
        <v>3776.101455</v>
      </c>
    </row>
    <row r="3010">
      <c r="A3010" s="3">
        <f>IFERROR(__xludf.DUMMYFUNCTION("""COMPUTED_VALUE"""),43580.99861111111)</f>
        <v>43580.99861</v>
      </c>
      <c r="B3010" s="1">
        <f>IFERROR(__xludf.DUMMYFUNCTION("""COMPUTED_VALUE"""),3815.77127)</f>
        <v>3815.77127</v>
      </c>
    </row>
    <row r="3011">
      <c r="A3011" s="3">
        <f>IFERROR(__xludf.DUMMYFUNCTION("""COMPUTED_VALUE"""),43581.99861111111)</f>
        <v>43581.99861</v>
      </c>
      <c r="B3011" s="1">
        <f>IFERROR(__xludf.DUMMYFUNCTION("""COMPUTED_VALUE"""),3783.397685)</f>
        <v>3783.397685</v>
      </c>
    </row>
    <row r="3012">
      <c r="A3012" s="3">
        <f>IFERROR(__xludf.DUMMYFUNCTION("""COMPUTED_VALUE"""),43582.99861111111)</f>
        <v>43582.99861</v>
      </c>
      <c r="B3012" s="1">
        <f>IFERROR(__xludf.DUMMYFUNCTION("""COMPUTED_VALUE"""),3788.504825)</f>
        <v>3788.504825</v>
      </c>
    </row>
    <row r="3013">
      <c r="A3013" s="3">
        <f>IFERROR(__xludf.DUMMYFUNCTION("""COMPUTED_VALUE"""),43583.99861111111)</f>
        <v>43583.99861</v>
      </c>
      <c r="B3013" s="1">
        <f>IFERROR(__xludf.DUMMYFUNCTION("""COMPUTED_VALUE"""),3778.998379)</f>
        <v>3778.998379</v>
      </c>
    </row>
    <row r="3014">
      <c r="A3014" s="3">
        <f>IFERROR(__xludf.DUMMYFUNCTION("""COMPUTED_VALUE"""),43584.99861111111)</f>
        <v>43584.99861</v>
      </c>
      <c r="B3014" s="1">
        <f>IFERROR(__xludf.DUMMYFUNCTION("""COMPUTED_VALUE"""),3785.8967)</f>
        <v>3785.8967</v>
      </c>
    </row>
    <row r="3015">
      <c r="A3015" s="3">
        <f>IFERROR(__xludf.DUMMYFUNCTION("""COMPUTED_VALUE"""),43585.99861111111)</f>
        <v>43585.99861</v>
      </c>
      <c r="B3015" s="1">
        <f>IFERROR(__xludf.DUMMYFUNCTION("""COMPUTED_VALUE"""),3800.3325)</f>
        <v>3800.3325</v>
      </c>
    </row>
    <row r="3016">
      <c r="A3016" s="3">
        <f>IFERROR(__xludf.DUMMYFUNCTION("""COMPUTED_VALUE"""),43586.99861111111)</f>
        <v>43586.99861</v>
      </c>
      <c r="B3016" s="1">
        <f>IFERROR(__xludf.DUMMYFUNCTION("""COMPUTED_VALUE"""),3798.086456)</f>
        <v>3798.086456</v>
      </c>
    </row>
    <row r="3017">
      <c r="A3017" s="3">
        <f>IFERROR(__xludf.DUMMYFUNCTION("""COMPUTED_VALUE"""),43587.99861111111)</f>
        <v>43587.99861</v>
      </c>
      <c r="B3017" s="1">
        <f>IFERROR(__xludf.DUMMYFUNCTION("""COMPUTED_VALUE"""),3799.54875)</f>
        <v>3799.54875</v>
      </c>
    </row>
    <row r="3018">
      <c r="A3018" s="3">
        <f>IFERROR(__xludf.DUMMYFUNCTION("""COMPUTED_VALUE"""),43588.99861111111)</f>
        <v>43588.99861</v>
      </c>
      <c r="B3018" s="1">
        <f>IFERROR(__xludf.DUMMYFUNCTION("""COMPUTED_VALUE"""),3786.75027)</f>
        <v>3786.75027</v>
      </c>
    </row>
    <row r="3019">
      <c r="A3019" s="3">
        <f>IFERROR(__xludf.DUMMYFUNCTION("""COMPUTED_VALUE"""),43589.99861111111)</f>
        <v>43589.99861</v>
      </c>
      <c r="B3019" s="1">
        <f>IFERROR(__xludf.DUMMYFUNCTION("""COMPUTED_VALUE"""),3786.75027)</f>
        <v>3786.75027</v>
      </c>
    </row>
    <row r="3020">
      <c r="A3020" s="3">
        <f>IFERROR(__xludf.DUMMYFUNCTION("""COMPUTED_VALUE"""),43590.99861111111)</f>
        <v>43590.99861</v>
      </c>
      <c r="B3020" s="1">
        <f>IFERROR(__xludf.DUMMYFUNCTION("""COMPUTED_VALUE"""),3796.179021)</f>
        <v>3796.179021</v>
      </c>
    </row>
    <row r="3021">
      <c r="A3021" s="3">
        <f>IFERROR(__xludf.DUMMYFUNCTION("""COMPUTED_VALUE"""),43591.99861111111)</f>
        <v>43591.99861</v>
      </c>
      <c r="B3021" s="1">
        <f>IFERROR(__xludf.DUMMYFUNCTION("""COMPUTED_VALUE"""),3811.37138)</f>
        <v>3811.37138</v>
      </c>
    </row>
    <row r="3022">
      <c r="A3022" s="3">
        <f>IFERROR(__xludf.DUMMYFUNCTION("""COMPUTED_VALUE"""),43592.99861111111)</f>
        <v>43592.99861</v>
      </c>
      <c r="B3022" s="1">
        <f>IFERROR(__xludf.DUMMYFUNCTION("""COMPUTED_VALUE"""),3827.022362)</f>
        <v>3827.022362</v>
      </c>
    </row>
    <row r="3023">
      <c r="A3023" s="3">
        <f>IFERROR(__xludf.DUMMYFUNCTION("""COMPUTED_VALUE"""),43593.99861111111)</f>
        <v>43593.99861</v>
      </c>
      <c r="B3023" s="1">
        <f>IFERROR(__xludf.DUMMYFUNCTION("""COMPUTED_VALUE"""),3811.690275)</f>
        <v>3811.690275</v>
      </c>
    </row>
    <row r="3024">
      <c r="A3024" s="3">
        <f>IFERROR(__xludf.DUMMYFUNCTION("""COMPUTED_VALUE"""),43594.99861111111)</f>
        <v>43594.99861</v>
      </c>
      <c r="B3024" s="1">
        <f>IFERROR(__xludf.DUMMYFUNCTION("""COMPUTED_VALUE"""),3826.49925)</f>
        <v>3826.49925</v>
      </c>
    </row>
    <row r="3025">
      <c r="A3025" s="3">
        <f>IFERROR(__xludf.DUMMYFUNCTION("""COMPUTED_VALUE"""),43595.99861111111)</f>
        <v>43595.99861</v>
      </c>
      <c r="B3025" s="1">
        <f>IFERROR(__xludf.DUMMYFUNCTION("""COMPUTED_VALUE"""),3818.176968)</f>
        <v>3818.176968</v>
      </c>
    </row>
    <row r="3026">
      <c r="A3026" s="3">
        <f>IFERROR(__xludf.DUMMYFUNCTION("""COMPUTED_VALUE"""),43596.99861111111)</f>
        <v>43596.99861</v>
      </c>
      <c r="B3026" s="1">
        <f>IFERROR(__xludf.DUMMYFUNCTION("""COMPUTED_VALUE"""),3818.223077)</f>
        <v>3818.223077</v>
      </c>
    </row>
    <row r="3027">
      <c r="A3027" s="3">
        <f>IFERROR(__xludf.DUMMYFUNCTION("""COMPUTED_VALUE"""),43597.99861111111)</f>
        <v>43597.99861</v>
      </c>
      <c r="B3027" s="1">
        <f>IFERROR(__xludf.DUMMYFUNCTION("""COMPUTED_VALUE"""),3819.745349)</f>
        <v>3819.745349</v>
      </c>
    </row>
    <row r="3028">
      <c r="A3028" s="3">
        <f>IFERROR(__xludf.DUMMYFUNCTION("""COMPUTED_VALUE"""),43598.99861111111)</f>
        <v>43598.99861</v>
      </c>
      <c r="B3028" s="1">
        <f>IFERROR(__xludf.DUMMYFUNCTION("""COMPUTED_VALUE"""),3866.424068)</f>
        <v>3866.424068</v>
      </c>
    </row>
    <row r="3029">
      <c r="A3029" s="3">
        <f>IFERROR(__xludf.DUMMYFUNCTION("""COMPUTED_VALUE"""),43599.99861111111)</f>
        <v>43599.99861</v>
      </c>
      <c r="B3029" s="1">
        <f>IFERROR(__xludf.DUMMYFUNCTION("""COMPUTED_VALUE"""),3847.6152)</f>
        <v>3847.6152</v>
      </c>
    </row>
    <row r="3030">
      <c r="A3030" s="3">
        <f>IFERROR(__xludf.DUMMYFUNCTION("""COMPUTED_VALUE"""),43600.99861111111)</f>
        <v>43600.99861</v>
      </c>
      <c r="B3030" s="1">
        <f>IFERROR(__xludf.DUMMYFUNCTION("""COMPUTED_VALUE"""),3878.32724)</f>
        <v>3878.32724</v>
      </c>
    </row>
    <row r="3031">
      <c r="A3031" s="3">
        <f>IFERROR(__xludf.DUMMYFUNCTION("""COMPUTED_VALUE"""),43601.99861111111)</f>
        <v>43601.99861</v>
      </c>
      <c r="B3031" s="1">
        <f>IFERROR(__xludf.DUMMYFUNCTION("""COMPUTED_VALUE"""),3886.1943)</f>
        <v>3886.1943</v>
      </c>
    </row>
    <row r="3032">
      <c r="A3032" s="3">
        <f>IFERROR(__xludf.DUMMYFUNCTION("""COMPUTED_VALUE"""),43602.99861111111)</f>
        <v>43602.99861</v>
      </c>
      <c r="B3032" s="1">
        <f>IFERROR(__xludf.DUMMYFUNCTION("""COMPUTED_VALUE"""),3869.17856)</f>
        <v>3869.17856</v>
      </c>
    </row>
    <row r="3033">
      <c r="A3033" s="3">
        <f>IFERROR(__xludf.DUMMYFUNCTION("""COMPUTED_VALUE"""),43603.99861111111)</f>
        <v>43603.99861</v>
      </c>
      <c r="B3033" s="1">
        <f>IFERROR(__xludf.DUMMYFUNCTION("""COMPUTED_VALUE"""),3868.2209)</f>
        <v>3868.2209</v>
      </c>
    </row>
    <row r="3034">
      <c r="A3034" s="3">
        <f>IFERROR(__xludf.DUMMYFUNCTION("""COMPUTED_VALUE"""),43604.99861111111)</f>
        <v>43604.99861</v>
      </c>
      <c r="B3034" s="1">
        <f>IFERROR(__xludf.DUMMYFUNCTION("""COMPUTED_VALUE"""),3853.281939)</f>
        <v>3853.281939</v>
      </c>
    </row>
    <row r="3035">
      <c r="A3035" s="3">
        <f>IFERROR(__xludf.DUMMYFUNCTION("""COMPUTED_VALUE"""),43605.99861111111)</f>
        <v>43605.99861</v>
      </c>
      <c r="B3035" s="1">
        <f>IFERROR(__xludf.DUMMYFUNCTION("""COMPUTED_VALUE"""),3854.931675)</f>
        <v>3854.931675</v>
      </c>
    </row>
    <row r="3036">
      <c r="A3036" s="3">
        <f>IFERROR(__xludf.DUMMYFUNCTION("""COMPUTED_VALUE"""),43606.99861111111)</f>
        <v>43606.99861</v>
      </c>
      <c r="B3036" s="1">
        <f>IFERROR(__xludf.DUMMYFUNCTION("""COMPUTED_VALUE"""),3854.40328)</f>
        <v>3854.40328</v>
      </c>
    </row>
    <row r="3037">
      <c r="A3037" s="3">
        <f>IFERROR(__xludf.DUMMYFUNCTION("""COMPUTED_VALUE"""),43607.99861111111)</f>
        <v>43607.99861</v>
      </c>
      <c r="B3037" s="1">
        <f>IFERROR(__xludf.DUMMYFUNCTION("""COMPUTED_VALUE"""),3873.09125)</f>
        <v>3873.09125</v>
      </c>
    </row>
    <row r="3038">
      <c r="A3038" s="3">
        <f>IFERROR(__xludf.DUMMYFUNCTION("""COMPUTED_VALUE"""),43608.99861111111)</f>
        <v>43608.99861</v>
      </c>
      <c r="B3038" s="1">
        <f>IFERROR(__xludf.DUMMYFUNCTION("""COMPUTED_VALUE"""),3855.4698)</f>
        <v>3855.4698</v>
      </c>
    </row>
    <row r="3039">
      <c r="A3039" s="3">
        <f>IFERROR(__xludf.DUMMYFUNCTION("""COMPUTED_VALUE"""),43609.99861111111)</f>
        <v>43609.99861</v>
      </c>
      <c r="B3039" s="1">
        <f>IFERROR(__xludf.DUMMYFUNCTION("""COMPUTED_VALUE"""),3838.410771)</f>
        <v>3838.410771</v>
      </c>
    </row>
    <row r="3040">
      <c r="A3040" s="3">
        <f>IFERROR(__xludf.DUMMYFUNCTION("""COMPUTED_VALUE"""),43610.99861111111)</f>
        <v>43610.99861</v>
      </c>
      <c r="B3040" s="1">
        <f>IFERROR(__xludf.DUMMYFUNCTION("""COMPUTED_VALUE"""),3839.86625)</f>
        <v>3839.86625</v>
      </c>
    </row>
    <row r="3041">
      <c r="A3041" s="3">
        <f>IFERROR(__xludf.DUMMYFUNCTION("""COMPUTED_VALUE"""),43611.99861111111)</f>
        <v>43611.99861</v>
      </c>
      <c r="B3041" s="1">
        <f>IFERROR(__xludf.DUMMYFUNCTION("""COMPUTED_VALUE"""),3838.030903)</f>
        <v>3838.030903</v>
      </c>
    </row>
    <row r="3042">
      <c r="A3042" s="3">
        <f>IFERROR(__xludf.DUMMYFUNCTION("""COMPUTED_VALUE"""),43612.99861111111)</f>
        <v>43612.99861</v>
      </c>
      <c r="B3042" s="1">
        <f>IFERROR(__xludf.DUMMYFUNCTION("""COMPUTED_VALUE"""),3854.71485)</f>
        <v>3854.71485</v>
      </c>
    </row>
    <row r="3043">
      <c r="A3043" s="3">
        <f>IFERROR(__xludf.DUMMYFUNCTION("""COMPUTED_VALUE"""),43613.99861111111)</f>
        <v>43613.99861</v>
      </c>
      <c r="B3043" s="1">
        <f>IFERROR(__xludf.DUMMYFUNCTION("""COMPUTED_VALUE"""),3859.488055)</f>
        <v>3859.488055</v>
      </c>
    </row>
    <row r="3044">
      <c r="A3044" s="3">
        <f>IFERROR(__xludf.DUMMYFUNCTION("""COMPUTED_VALUE"""),43614.99861111111)</f>
        <v>43614.99861</v>
      </c>
      <c r="B3044" s="1">
        <f>IFERROR(__xludf.DUMMYFUNCTION("""COMPUTED_VALUE"""),3839.76)</f>
        <v>3839.76</v>
      </c>
    </row>
    <row r="3045">
      <c r="A3045" s="3">
        <f>IFERROR(__xludf.DUMMYFUNCTION("""COMPUTED_VALUE"""),43615.99861111111)</f>
        <v>43615.99861</v>
      </c>
      <c r="B3045" s="1">
        <f>IFERROR(__xludf.DUMMYFUNCTION("""COMPUTED_VALUE"""),3842.46952)</f>
        <v>3842.46952</v>
      </c>
    </row>
    <row r="3046">
      <c r="A3046" s="3">
        <f>IFERROR(__xludf.DUMMYFUNCTION("""COMPUTED_VALUE"""),43616.99861111111)</f>
        <v>43616.99861</v>
      </c>
      <c r="B3046" s="1">
        <f>IFERROR(__xludf.DUMMYFUNCTION("""COMPUTED_VALUE"""),3807.08575)</f>
        <v>3807.08575</v>
      </c>
    </row>
    <row r="3047">
      <c r="A3047" s="3">
        <f>IFERROR(__xludf.DUMMYFUNCTION("""COMPUTED_VALUE"""),43617.99861111111)</f>
        <v>43617.99861</v>
      </c>
      <c r="B3047" s="1">
        <f>IFERROR(__xludf.DUMMYFUNCTION("""COMPUTED_VALUE"""),3807.442887)</f>
        <v>3807.442887</v>
      </c>
    </row>
    <row r="3048">
      <c r="A3048" s="3">
        <f>IFERROR(__xludf.DUMMYFUNCTION("""COMPUTED_VALUE"""),43618.99861111111)</f>
        <v>43618.99861</v>
      </c>
      <c r="B3048" s="1">
        <f>IFERROR(__xludf.DUMMYFUNCTION("""COMPUTED_VALUE"""),3806.412904)</f>
        <v>3806.412904</v>
      </c>
    </row>
    <row r="3049">
      <c r="A3049" s="3">
        <f>IFERROR(__xludf.DUMMYFUNCTION("""COMPUTED_VALUE"""),43619.99861111111)</f>
        <v>43619.99861</v>
      </c>
      <c r="B3049" s="1">
        <f>IFERROR(__xludf.DUMMYFUNCTION("""COMPUTED_VALUE"""),3797.452)</f>
        <v>3797.452</v>
      </c>
    </row>
    <row r="3050">
      <c r="A3050" s="3">
        <f>IFERROR(__xludf.DUMMYFUNCTION("""COMPUTED_VALUE"""),43620.99861111111)</f>
        <v>43620.99861</v>
      </c>
      <c r="B3050" s="1">
        <f>IFERROR(__xludf.DUMMYFUNCTION("""COMPUTED_VALUE"""),3805.2382)</f>
        <v>3805.2382</v>
      </c>
    </row>
    <row r="3051">
      <c r="A3051" s="3">
        <f>IFERROR(__xludf.DUMMYFUNCTION("""COMPUTED_VALUE"""),43621.99861111111)</f>
        <v>43621.99861</v>
      </c>
      <c r="B3051" s="1">
        <f>IFERROR(__xludf.DUMMYFUNCTION("""COMPUTED_VALUE"""),3809.780955)</f>
        <v>3809.780955</v>
      </c>
    </row>
    <row r="3052">
      <c r="A3052" s="3">
        <f>IFERROR(__xludf.DUMMYFUNCTION("""COMPUTED_VALUE"""),43622.99861111111)</f>
        <v>43622.99861</v>
      </c>
      <c r="B3052" s="1">
        <f>IFERROR(__xludf.DUMMYFUNCTION("""COMPUTED_VALUE"""),3803.737437)</f>
        <v>3803.737437</v>
      </c>
    </row>
    <row r="3053">
      <c r="A3053" s="3">
        <f>IFERROR(__xludf.DUMMYFUNCTION("""COMPUTED_VALUE"""),43623.99861111111)</f>
        <v>43623.99861</v>
      </c>
      <c r="B3053" s="1">
        <f>IFERROR(__xludf.DUMMYFUNCTION("""COMPUTED_VALUE"""),3792.08297)</f>
        <v>3792.08297</v>
      </c>
    </row>
    <row r="3054">
      <c r="A3054" s="3">
        <f>IFERROR(__xludf.DUMMYFUNCTION("""COMPUTED_VALUE"""),43624.99861111111)</f>
        <v>43624.99861</v>
      </c>
      <c r="B3054" s="1">
        <f>IFERROR(__xludf.DUMMYFUNCTION("""COMPUTED_VALUE"""),3792.08297)</f>
        <v>3792.08297</v>
      </c>
    </row>
    <row r="3055">
      <c r="A3055" s="3">
        <f>IFERROR(__xludf.DUMMYFUNCTION("""COMPUTED_VALUE"""),43625.99861111111)</f>
        <v>43625.99861</v>
      </c>
      <c r="B3055" s="1">
        <f>IFERROR(__xludf.DUMMYFUNCTION("""COMPUTED_VALUE"""),3806.362085)</f>
        <v>3806.362085</v>
      </c>
    </row>
    <row r="3056">
      <c r="A3056" s="3">
        <f>IFERROR(__xludf.DUMMYFUNCTION("""COMPUTED_VALUE"""),43626.99861111111)</f>
        <v>43626.99861</v>
      </c>
      <c r="B3056" s="1">
        <f>IFERROR(__xludf.DUMMYFUNCTION("""COMPUTED_VALUE"""),3816.919275)</f>
        <v>3816.919275</v>
      </c>
    </row>
    <row r="3057">
      <c r="A3057" s="3">
        <f>IFERROR(__xludf.DUMMYFUNCTION("""COMPUTED_VALUE"""),43627.99861111111)</f>
        <v>43627.99861</v>
      </c>
      <c r="B3057" s="1">
        <f>IFERROR(__xludf.DUMMYFUNCTION("""COMPUTED_VALUE"""),3811.784987)</f>
        <v>3811.784987</v>
      </c>
    </row>
    <row r="3058">
      <c r="A3058" s="3">
        <f>IFERROR(__xludf.DUMMYFUNCTION("""COMPUTED_VALUE"""),43628.99861111111)</f>
        <v>43628.99861</v>
      </c>
      <c r="B3058" s="1">
        <f>IFERROR(__xludf.DUMMYFUNCTION("""COMPUTED_VALUE"""),3802.729745)</f>
        <v>3802.729745</v>
      </c>
    </row>
    <row r="3059">
      <c r="A3059" s="3">
        <f>IFERROR(__xludf.DUMMYFUNCTION("""COMPUTED_VALUE"""),43629.99861111111)</f>
        <v>43629.99861</v>
      </c>
      <c r="B3059" s="1">
        <f>IFERROR(__xludf.DUMMYFUNCTION("""COMPUTED_VALUE"""),3808.2618)</f>
        <v>3808.2618</v>
      </c>
    </row>
    <row r="3060">
      <c r="A3060" s="3">
        <f>IFERROR(__xludf.DUMMYFUNCTION("""COMPUTED_VALUE"""),43630.99861111111)</f>
        <v>43630.99861</v>
      </c>
      <c r="B3060" s="1">
        <f>IFERROR(__xludf.DUMMYFUNCTION("""COMPUTED_VALUE"""),3828.297829)</f>
        <v>3828.297829</v>
      </c>
    </row>
    <row r="3061">
      <c r="A3061" s="3">
        <f>IFERROR(__xludf.DUMMYFUNCTION("""COMPUTED_VALUE"""),43631.99861111111)</f>
        <v>43631.99861</v>
      </c>
      <c r="B3061" s="1">
        <f>IFERROR(__xludf.DUMMYFUNCTION("""COMPUTED_VALUE"""),3836.846407)</f>
        <v>3836.846407</v>
      </c>
    </row>
    <row r="3062">
      <c r="A3062" s="3">
        <f>IFERROR(__xludf.DUMMYFUNCTION("""COMPUTED_VALUE"""),43632.99861111111)</f>
        <v>43632.99861</v>
      </c>
      <c r="B3062" s="1">
        <f>IFERROR(__xludf.DUMMYFUNCTION("""COMPUTED_VALUE"""),3819.3888)</f>
        <v>3819.3888</v>
      </c>
    </row>
    <row r="3063">
      <c r="A3063" s="3">
        <f>IFERROR(__xludf.DUMMYFUNCTION("""COMPUTED_VALUE"""),43633.99861111111)</f>
        <v>43633.99861</v>
      </c>
      <c r="B3063" s="1">
        <f>IFERROR(__xludf.DUMMYFUNCTION("""COMPUTED_VALUE"""),3844.087642)</f>
        <v>3844.087642</v>
      </c>
    </row>
    <row r="3064">
      <c r="A3064" s="3">
        <f>IFERROR(__xludf.DUMMYFUNCTION("""COMPUTED_VALUE"""),43634.99861111111)</f>
        <v>43634.99861</v>
      </c>
      <c r="B3064" s="1">
        <f>IFERROR(__xludf.DUMMYFUNCTION("""COMPUTED_VALUE"""),3810.809275)</f>
        <v>3810.809275</v>
      </c>
    </row>
    <row r="3065">
      <c r="A3065" s="3">
        <f>IFERROR(__xludf.DUMMYFUNCTION("""COMPUTED_VALUE"""),43635.99861111111)</f>
        <v>43635.99861</v>
      </c>
      <c r="B3065" s="1">
        <f>IFERROR(__xludf.DUMMYFUNCTION("""COMPUTED_VALUE"""),3810.13311)</f>
        <v>3810.13311</v>
      </c>
    </row>
    <row r="3066">
      <c r="A3066" s="3">
        <f>IFERROR(__xludf.DUMMYFUNCTION("""COMPUTED_VALUE"""),43636.99861111111)</f>
        <v>43636.99861</v>
      </c>
      <c r="B3066" s="1">
        <f>IFERROR(__xludf.DUMMYFUNCTION("""COMPUTED_VALUE"""),3771.693525)</f>
        <v>3771.693525</v>
      </c>
    </row>
    <row r="3067">
      <c r="A3067" s="3">
        <f>IFERROR(__xludf.DUMMYFUNCTION("""COMPUTED_VALUE"""),43637.99861111111)</f>
        <v>43637.99861</v>
      </c>
      <c r="B3067" s="1">
        <f>IFERROR(__xludf.DUMMYFUNCTION("""COMPUTED_VALUE"""),3766.784375)</f>
        <v>3766.784375</v>
      </c>
    </row>
    <row r="3068">
      <c r="A3068" s="3">
        <f>IFERROR(__xludf.DUMMYFUNCTION("""COMPUTED_VALUE"""),43638.99861111111)</f>
        <v>43638.99861</v>
      </c>
      <c r="B3068" s="1">
        <f>IFERROR(__xludf.DUMMYFUNCTION("""COMPUTED_VALUE"""),3766.784375)</f>
        <v>3766.784375</v>
      </c>
    </row>
    <row r="3069">
      <c r="A3069" s="3">
        <f>IFERROR(__xludf.DUMMYFUNCTION("""COMPUTED_VALUE"""),43639.99861111111)</f>
        <v>43639.99861</v>
      </c>
      <c r="B3069" s="1">
        <f>IFERROR(__xludf.DUMMYFUNCTION("""COMPUTED_VALUE"""),3774.012469)</f>
        <v>3774.012469</v>
      </c>
    </row>
    <row r="3070">
      <c r="A3070" s="3">
        <f>IFERROR(__xludf.DUMMYFUNCTION("""COMPUTED_VALUE"""),43640.99861111111)</f>
        <v>43640.99861</v>
      </c>
      <c r="B3070" s="1">
        <f>IFERROR(__xludf.DUMMYFUNCTION("""COMPUTED_VALUE"""),3782.55504)</f>
        <v>3782.55504</v>
      </c>
    </row>
    <row r="3071">
      <c r="A3071" s="3">
        <f>IFERROR(__xludf.DUMMYFUNCTION("""COMPUTED_VALUE"""),43641.99861111111)</f>
        <v>43641.99861</v>
      </c>
      <c r="B3071" s="1">
        <f>IFERROR(__xludf.DUMMYFUNCTION("""COMPUTED_VALUE"""),3766.43125)</f>
        <v>3766.43125</v>
      </c>
    </row>
    <row r="3072">
      <c r="A3072" s="3">
        <f>IFERROR(__xludf.DUMMYFUNCTION("""COMPUTED_VALUE"""),43642.99861111111)</f>
        <v>43642.99861</v>
      </c>
      <c r="B3072" s="1">
        <f>IFERROR(__xludf.DUMMYFUNCTION("""COMPUTED_VALUE"""),3791.78958)</f>
        <v>3791.78958</v>
      </c>
    </row>
    <row r="3073">
      <c r="A3073" s="3">
        <f>IFERROR(__xludf.DUMMYFUNCTION("""COMPUTED_VALUE"""),43643.99861111111)</f>
        <v>43643.99861</v>
      </c>
      <c r="B3073" s="1">
        <f>IFERROR(__xludf.DUMMYFUNCTION("""COMPUTED_VALUE"""),3783.167812)</f>
        <v>3783.167812</v>
      </c>
    </row>
    <row r="3074">
      <c r="A3074" s="3">
        <f>IFERROR(__xludf.DUMMYFUNCTION("""COMPUTED_VALUE"""),43644.99861111111)</f>
        <v>43644.99861</v>
      </c>
      <c r="B3074" s="1">
        <f>IFERROR(__xludf.DUMMYFUNCTION("""COMPUTED_VALUE"""),3766.664371)</f>
        <v>3766.664371</v>
      </c>
    </row>
    <row r="3075">
      <c r="A3075" s="3">
        <f>IFERROR(__xludf.DUMMYFUNCTION("""COMPUTED_VALUE"""),43645.99861111111)</f>
        <v>43645.99861</v>
      </c>
      <c r="B3075" s="1">
        <f>IFERROR(__xludf.DUMMYFUNCTION("""COMPUTED_VALUE"""),3766.664371)</f>
        <v>3766.664371</v>
      </c>
    </row>
    <row r="3076">
      <c r="A3076" s="3">
        <f>IFERROR(__xludf.DUMMYFUNCTION("""COMPUTED_VALUE"""),43646.99861111111)</f>
        <v>43646.99861</v>
      </c>
      <c r="B3076" s="1">
        <f>IFERROR(__xludf.DUMMYFUNCTION("""COMPUTED_VALUE"""),3767.165222)</f>
        <v>3767.165222</v>
      </c>
    </row>
    <row r="3077">
      <c r="A3077" s="3">
        <f>IFERROR(__xludf.DUMMYFUNCTION("""COMPUTED_VALUE"""),43647.99861111111)</f>
        <v>43647.99861</v>
      </c>
      <c r="B3077" s="1">
        <f>IFERROR(__xludf.DUMMYFUNCTION("""COMPUTED_VALUE"""),3774.109745)</f>
        <v>3774.109745</v>
      </c>
    </row>
    <row r="3078">
      <c r="A3078" s="3">
        <f>IFERROR(__xludf.DUMMYFUNCTION("""COMPUTED_VALUE"""),43648.99861111111)</f>
        <v>43648.99861</v>
      </c>
      <c r="B3078" s="1">
        <f>IFERROR(__xludf.DUMMYFUNCTION("""COMPUTED_VALUE"""),3786.376335)</f>
        <v>3786.376335</v>
      </c>
    </row>
    <row r="3079">
      <c r="A3079" s="3">
        <f>IFERROR(__xludf.DUMMYFUNCTION("""COMPUTED_VALUE"""),43649.99861111111)</f>
        <v>43649.99861</v>
      </c>
      <c r="B3079" s="1">
        <f>IFERROR(__xludf.DUMMYFUNCTION("""COMPUTED_VALUE"""),3782.118187)</f>
        <v>3782.118187</v>
      </c>
    </row>
    <row r="3080">
      <c r="A3080" s="3">
        <f>IFERROR(__xludf.DUMMYFUNCTION("""COMPUTED_VALUE"""),43650.99861111111)</f>
        <v>43650.99861</v>
      </c>
      <c r="B3080" s="1">
        <f>IFERROR(__xludf.DUMMYFUNCTION("""COMPUTED_VALUE"""),3779.434642)</f>
        <v>3779.434642</v>
      </c>
    </row>
    <row r="3081">
      <c r="A3081" s="3">
        <f>IFERROR(__xludf.DUMMYFUNCTION("""COMPUTED_VALUE"""),43651.99861111111)</f>
        <v>43651.99861</v>
      </c>
      <c r="B3081" s="1">
        <f>IFERROR(__xludf.DUMMYFUNCTION("""COMPUTED_VALUE"""),3755.020705)</f>
        <v>3755.020705</v>
      </c>
    </row>
    <row r="3082">
      <c r="A3082" s="3">
        <f>IFERROR(__xludf.DUMMYFUNCTION("""COMPUTED_VALUE"""),43652.99861111111)</f>
        <v>43652.99861</v>
      </c>
      <c r="B3082" s="1">
        <f>IFERROR(__xludf.DUMMYFUNCTION("""COMPUTED_VALUE"""),3755.020705)</f>
        <v>3755.020705</v>
      </c>
    </row>
    <row r="3083">
      <c r="A3083" s="3">
        <f>IFERROR(__xludf.DUMMYFUNCTION("""COMPUTED_VALUE"""),43653.99861111111)</f>
        <v>43653.99861</v>
      </c>
      <c r="B3083" s="1">
        <f>IFERROR(__xludf.DUMMYFUNCTION("""COMPUTED_VALUE"""),3755.020705)</f>
        <v>3755.020705</v>
      </c>
    </row>
    <row r="3084">
      <c r="A3084" s="3">
        <f>IFERROR(__xludf.DUMMYFUNCTION("""COMPUTED_VALUE"""),43654.99861111111)</f>
        <v>43654.99861</v>
      </c>
      <c r="B3084" s="1">
        <f>IFERROR(__xludf.DUMMYFUNCTION("""COMPUTED_VALUE"""),3784.03015)</f>
        <v>3784.03015</v>
      </c>
    </row>
    <row r="3085">
      <c r="A3085" s="3">
        <f>IFERROR(__xludf.DUMMYFUNCTION("""COMPUTED_VALUE"""),43655.99861111111)</f>
        <v>43655.99861</v>
      </c>
      <c r="B3085" s="1">
        <f>IFERROR(__xludf.DUMMYFUNCTION("""COMPUTED_VALUE"""),3796.8824)</f>
        <v>3796.8824</v>
      </c>
    </row>
    <row r="3086">
      <c r="A3086" s="3">
        <f>IFERROR(__xludf.DUMMYFUNCTION("""COMPUTED_VALUE"""),43656.99861111111)</f>
        <v>43656.99861</v>
      </c>
      <c r="B3086" s="1">
        <f>IFERROR(__xludf.DUMMYFUNCTION("""COMPUTED_VALUE"""),3777.159747)</f>
        <v>3777.159747</v>
      </c>
    </row>
    <row r="3087">
      <c r="A3087" s="3">
        <f>IFERROR(__xludf.DUMMYFUNCTION("""COMPUTED_VALUE"""),43657.99861111111)</f>
        <v>43657.99861</v>
      </c>
      <c r="B3087" s="1">
        <f>IFERROR(__xludf.DUMMYFUNCTION("""COMPUTED_VALUE"""),3767.01928)</f>
        <v>3767.01928</v>
      </c>
    </row>
    <row r="3088">
      <c r="A3088" s="3">
        <f>IFERROR(__xludf.DUMMYFUNCTION("""COMPUTED_VALUE"""),43658.99861111111)</f>
        <v>43658.99861</v>
      </c>
      <c r="B3088" s="1">
        <f>IFERROR(__xludf.DUMMYFUNCTION("""COMPUTED_VALUE"""),3727.703949)</f>
        <v>3727.703949</v>
      </c>
    </row>
    <row r="3089">
      <c r="A3089" s="3">
        <f>IFERROR(__xludf.DUMMYFUNCTION("""COMPUTED_VALUE"""),43659.99861111111)</f>
        <v>43659.99861</v>
      </c>
      <c r="B3089" s="1">
        <f>IFERROR(__xludf.DUMMYFUNCTION("""COMPUTED_VALUE"""),3727.703949)</f>
        <v>3727.703949</v>
      </c>
    </row>
    <row r="3090">
      <c r="A3090" s="3">
        <f>IFERROR(__xludf.DUMMYFUNCTION("""COMPUTED_VALUE"""),43660.99861111111)</f>
        <v>43660.99861</v>
      </c>
      <c r="B3090" s="1">
        <f>IFERROR(__xludf.DUMMYFUNCTION("""COMPUTED_VALUE"""),3734.502778)</f>
        <v>3734.502778</v>
      </c>
    </row>
    <row r="3091">
      <c r="A3091" s="3">
        <f>IFERROR(__xludf.DUMMYFUNCTION("""COMPUTED_VALUE"""),43661.99861111111)</f>
        <v>43661.99861</v>
      </c>
      <c r="B3091" s="1">
        <f>IFERROR(__xludf.DUMMYFUNCTION("""COMPUTED_VALUE"""),3729.487125)</f>
        <v>3729.487125</v>
      </c>
    </row>
    <row r="3092">
      <c r="A3092" s="3">
        <f>IFERROR(__xludf.DUMMYFUNCTION("""COMPUTED_VALUE"""),43662.99861111111)</f>
        <v>43662.99861</v>
      </c>
      <c r="B3092" s="1">
        <f>IFERROR(__xludf.DUMMYFUNCTION("""COMPUTED_VALUE"""),3736.713375)</f>
        <v>3736.713375</v>
      </c>
    </row>
    <row r="3093">
      <c r="A3093" s="3">
        <f>IFERROR(__xludf.DUMMYFUNCTION("""COMPUTED_VALUE"""),43663.99861111111)</f>
        <v>43663.99861</v>
      </c>
      <c r="B3093" s="1">
        <f>IFERROR(__xludf.DUMMYFUNCTION("""COMPUTED_VALUE"""),3739.808605)</f>
        <v>3739.808605</v>
      </c>
    </row>
    <row r="3094">
      <c r="A3094" s="3">
        <f>IFERROR(__xludf.DUMMYFUNCTION("""COMPUTED_VALUE"""),43664.99861111111)</f>
        <v>43664.99861</v>
      </c>
      <c r="B3094" s="1">
        <f>IFERROR(__xludf.DUMMYFUNCTION("""COMPUTED_VALUE"""),3725.53827)</f>
        <v>3725.53827</v>
      </c>
    </row>
    <row r="3095">
      <c r="A3095" s="3">
        <f>IFERROR(__xludf.DUMMYFUNCTION("""COMPUTED_VALUE"""),43665.99861111111)</f>
        <v>43665.99861</v>
      </c>
      <c r="B3095" s="1">
        <f>IFERROR(__xludf.DUMMYFUNCTION("""COMPUTED_VALUE"""),3711.40608)</f>
        <v>3711.40608</v>
      </c>
    </row>
    <row r="3096">
      <c r="A3096" s="3">
        <f>IFERROR(__xludf.DUMMYFUNCTION("""COMPUTED_VALUE"""),43666.99861111111)</f>
        <v>43666.99861</v>
      </c>
      <c r="B3096" s="1">
        <f>IFERROR(__xludf.DUMMYFUNCTION("""COMPUTED_VALUE"""),3715.248)</f>
        <v>3715.248</v>
      </c>
    </row>
    <row r="3097">
      <c r="A3097" s="3">
        <f>IFERROR(__xludf.DUMMYFUNCTION("""COMPUTED_VALUE"""),43667.99861111111)</f>
        <v>43667.99861</v>
      </c>
      <c r="B3097" s="1">
        <f>IFERROR(__xludf.DUMMYFUNCTION("""COMPUTED_VALUE"""),3718.623696)</f>
        <v>3718.623696</v>
      </c>
    </row>
    <row r="3098">
      <c r="A3098" s="3">
        <f>IFERROR(__xludf.DUMMYFUNCTION("""COMPUTED_VALUE"""),43668.99861111111)</f>
        <v>43668.99861</v>
      </c>
      <c r="B3098" s="1">
        <f>IFERROR(__xludf.DUMMYFUNCTION("""COMPUTED_VALUE"""),3732.596595)</f>
        <v>3732.596595</v>
      </c>
    </row>
    <row r="3099">
      <c r="A3099" s="3">
        <f>IFERROR(__xludf.DUMMYFUNCTION("""COMPUTED_VALUE"""),43669.99861111111)</f>
        <v>43669.99861</v>
      </c>
      <c r="B3099" s="1">
        <f>IFERROR(__xludf.DUMMYFUNCTION("""COMPUTED_VALUE"""),3744.94452)</f>
        <v>3744.94452</v>
      </c>
    </row>
    <row r="3100">
      <c r="A3100" s="3">
        <f>IFERROR(__xludf.DUMMYFUNCTION("""COMPUTED_VALUE"""),43670.99861111111)</f>
        <v>43670.99861</v>
      </c>
      <c r="B3100" s="1">
        <f>IFERROR(__xludf.DUMMYFUNCTION("""COMPUTED_VALUE"""),3740.938215)</f>
        <v>3740.938215</v>
      </c>
    </row>
    <row r="3101">
      <c r="A3101" s="3">
        <f>IFERROR(__xludf.DUMMYFUNCTION("""COMPUTED_VALUE"""),43671.99861111111)</f>
        <v>43671.99861</v>
      </c>
      <c r="B3101" s="1">
        <f>IFERROR(__xludf.DUMMYFUNCTION("""COMPUTED_VALUE"""),3747.656787)</f>
        <v>3747.656787</v>
      </c>
    </row>
    <row r="3102">
      <c r="A3102" s="3">
        <f>IFERROR(__xludf.DUMMYFUNCTION("""COMPUTED_VALUE"""),43672.99861111111)</f>
        <v>43672.99861</v>
      </c>
      <c r="B3102" s="1">
        <f>IFERROR(__xludf.DUMMYFUNCTION("""COMPUTED_VALUE"""),3733.121726)</f>
        <v>3733.121726</v>
      </c>
    </row>
    <row r="3103">
      <c r="A3103" s="3">
        <f>IFERROR(__xludf.DUMMYFUNCTION("""COMPUTED_VALUE"""),43673.99861111111)</f>
        <v>43673.99861</v>
      </c>
      <c r="B3103" s="1">
        <f>IFERROR(__xludf.DUMMYFUNCTION("""COMPUTED_VALUE"""),3733.146648)</f>
        <v>3733.146648</v>
      </c>
    </row>
    <row r="3104">
      <c r="A3104" s="3">
        <f>IFERROR(__xludf.DUMMYFUNCTION("""COMPUTED_VALUE"""),43674.99861111111)</f>
        <v>43674.99861</v>
      </c>
      <c r="B3104" s="1">
        <f>IFERROR(__xludf.DUMMYFUNCTION("""COMPUTED_VALUE"""),3734.001632)</f>
        <v>3734.001632</v>
      </c>
    </row>
    <row r="3105">
      <c r="A3105" s="3">
        <f>IFERROR(__xludf.DUMMYFUNCTION("""COMPUTED_VALUE"""),43675.99861111111)</f>
        <v>43675.99861</v>
      </c>
      <c r="B3105" s="1">
        <f>IFERROR(__xludf.DUMMYFUNCTION("""COMPUTED_VALUE"""),3751.13235)</f>
        <v>3751.13235</v>
      </c>
    </row>
    <row r="3106">
      <c r="A3106" s="3">
        <f>IFERROR(__xludf.DUMMYFUNCTION("""COMPUTED_VALUE"""),43676.99861111111)</f>
        <v>43676.99861</v>
      </c>
      <c r="B3106" s="1">
        <f>IFERROR(__xludf.DUMMYFUNCTION("""COMPUTED_VALUE"""),3751.238992)</f>
        <v>3751.238992</v>
      </c>
    </row>
    <row r="3107">
      <c r="A3107" s="3">
        <f>IFERROR(__xludf.DUMMYFUNCTION("""COMPUTED_VALUE"""),43677.99861111111)</f>
        <v>43677.99861</v>
      </c>
      <c r="B3107" s="1">
        <f>IFERROR(__xludf.DUMMYFUNCTION("""COMPUTED_VALUE"""),3780.8134)</f>
        <v>3780.8134</v>
      </c>
    </row>
    <row r="3108">
      <c r="A3108" s="3">
        <f>IFERROR(__xludf.DUMMYFUNCTION("""COMPUTED_VALUE"""),43678.99861111111)</f>
        <v>43678.99861</v>
      </c>
      <c r="B3108" s="1">
        <f>IFERROR(__xludf.DUMMYFUNCTION("""COMPUTED_VALUE"""),3823.72062)</f>
        <v>3823.72062</v>
      </c>
    </row>
    <row r="3109">
      <c r="A3109" s="3">
        <f>IFERROR(__xludf.DUMMYFUNCTION("""COMPUTED_VALUE"""),43679.99861111111)</f>
        <v>43679.99861</v>
      </c>
      <c r="B3109" s="1">
        <f>IFERROR(__xludf.DUMMYFUNCTION("""COMPUTED_VALUE"""),3793.828756)</f>
        <v>3793.828756</v>
      </c>
    </row>
    <row r="3110">
      <c r="A3110" s="3">
        <f>IFERROR(__xludf.DUMMYFUNCTION("""COMPUTED_VALUE"""),43680.99861111111)</f>
        <v>43680.99861</v>
      </c>
      <c r="B3110" s="1">
        <f>IFERROR(__xludf.DUMMYFUNCTION("""COMPUTED_VALUE"""),3793.828756)</f>
        <v>3793.828756</v>
      </c>
    </row>
    <row r="3111">
      <c r="A3111" s="3">
        <f>IFERROR(__xludf.DUMMYFUNCTION("""COMPUTED_VALUE"""),43681.99861111111)</f>
        <v>43681.99861</v>
      </c>
      <c r="B3111" s="1">
        <f>IFERROR(__xludf.DUMMYFUNCTION("""COMPUTED_VALUE"""),3779.670208)</f>
        <v>3779.670208</v>
      </c>
    </row>
    <row r="3112">
      <c r="A3112" s="3">
        <f>IFERROR(__xludf.DUMMYFUNCTION("""COMPUTED_VALUE"""),43682.99861111111)</f>
        <v>43682.99861</v>
      </c>
      <c r="B3112" s="1">
        <f>IFERROR(__xludf.DUMMYFUNCTION("""COMPUTED_VALUE"""),3800.0979)</f>
        <v>3800.0979</v>
      </c>
    </row>
    <row r="3113">
      <c r="A3113" s="3">
        <f>IFERROR(__xludf.DUMMYFUNCTION("""COMPUTED_VALUE"""),43683.99861111111)</f>
        <v>43683.99861</v>
      </c>
      <c r="B3113" s="1">
        <f>IFERROR(__xludf.DUMMYFUNCTION("""COMPUTED_VALUE"""),3802.835025)</f>
        <v>3802.835025</v>
      </c>
    </row>
    <row r="3114">
      <c r="A3114" s="3">
        <f>IFERROR(__xludf.DUMMYFUNCTION("""COMPUTED_VALUE"""),43684.99861111111)</f>
        <v>43684.99861</v>
      </c>
      <c r="B3114" s="1">
        <f>IFERROR(__xludf.DUMMYFUNCTION("""COMPUTED_VALUE"""),3805.648605)</f>
        <v>3805.648605</v>
      </c>
    </row>
    <row r="3115">
      <c r="A3115" s="3">
        <f>IFERROR(__xludf.DUMMYFUNCTION("""COMPUTED_VALUE"""),43685.99861111111)</f>
        <v>43685.99861</v>
      </c>
      <c r="B3115" s="1">
        <f>IFERROR(__xludf.DUMMYFUNCTION("""COMPUTED_VALUE"""),3796.409587)</f>
        <v>3796.409587</v>
      </c>
    </row>
    <row r="3116">
      <c r="A3116" s="3">
        <f>IFERROR(__xludf.DUMMYFUNCTION("""COMPUTED_VALUE"""),43686.99861111111)</f>
        <v>43686.99861</v>
      </c>
      <c r="B3116" s="1">
        <f>IFERROR(__xludf.DUMMYFUNCTION("""COMPUTED_VALUE"""),3782.84115)</f>
        <v>3782.84115</v>
      </c>
    </row>
    <row r="3117">
      <c r="A3117" s="3">
        <f>IFERROR(__xludf.DUMMYFUNCTION("""COMPUTED_VALUE"""),43687.99861111111)</f>
        <v>43687.99861</v>
      </c>
      <c r="B3117" s="1">
        <f>IFERROR(__xludf.DUMMYFUNCTION("""COMPUTED_VALUE"""),3782.84115)</f>
        <v>3782.84115</v>
      </c>
    </row>
    <row r="3118">
      <c r="A3118" s="3">
        <f>IFERROR(__xludf.DUMMYFUNCTION("""COMPUTED_VALUE"""),43688.99861111111)</f>
        <v>43688.99861</v>
      </c>
      <c r="B3118" s="1">
        <f>IFERROR(__xludf.DUMMYFUNCTION("""COMPUTED_VALUE"""),3782.789498)</f>
        <v>3782.789498</v>
      </c>
    </row>
    <row r="3119">
      <c r="A3119" s="3">
        <f>IFERROR(__xludf.DUMMYFUNCTION("""COMPUTED_VALUE"""),43689.99861111111)</f>
        <v>43689.99861</v>
      </c>
      <c r="B3119" s="1">
        <f>IFERROR(__xludf.DUMMYFUNCTION("""COMPUTED_VALUE"""),3798.01812)</f>
        <v>3798.01812</v>
      </c>
    </row>
    <row r="3120">
      <c r="A3120" s="3">
        <f>IFERROR(__xludf.DUMMYFUNCTION("""COMPUTED_VALUE"""),43690.99861111111)</f>
        <v>43690.99861</v>
      </c>
      <c r="B3120" s="1">
        <f>IFERROR(__xludf.DUMMYFUNCTION("""COMPUTED_VALUE"""),3795.673248)</f>
        <v>3795.673248</v>
      </c>
    </row>
    <row r="3121">
      <c r="A3121" s="3">
        <f>IFERROR(__xludf.DUMMYFUNCTION("""COMPUTED_VALUE"""),43691.99861111111)</f>
        <v>43691.99861</v>
      </c>
      <c r="B3121" s="1">
        <f>IFERROR(__xludf.DUMMYFUNCTION("""COMPUTED_VALUE"""),3796.933525)</f>
        <v>3796.933525</v>
      </c>
    </row>
    <row r="3122">
      <c r="A3122" s="3">
        <f>IFERROR(__xludf.DUMMYFUNCTION("""COMPUTED_VALUE"""),43692.99861111111)</f>
        <v>43692.99861</v>
      </c>
      <c r="B3122" s="1">
        <f>IFERROR(__xludf.DUMMYFUNCTION("""COMPUTED_VALUE"""),3827.06348)</f>
        <v>3827.06348</v>
      </c>
    </row>
    <row r="3123">
      <c r="A3123" s="3">
        <f>IFERROR(__xludf.DUMMYFUNCTION("""COMPUTED_VALUE"""),43693.99861111111)</f>
        <v>43693.99861</v>
      </c>
      <c r="B3123" s="1">
        <f>IFERROR(__xludf.DUMMYFUNCTION("""COMPUTED_VALUE"""),3792.00736)</f>
        <v>3792.00736</v>
      </c>
    </row>
    <row r="3124">
      <c r="A3124" s="3">
        <f>IFERROR(__xludf.DUMMYFUNCTION("""COMPUTED_VALUE"""),43694.99861111111)</f>
        <v>43694.99861</v>
      </c>
      <c r="B3124" s="1">
        <f>IFERROR(__xludf.DUMMYFUNCTION("""COMPUTED_VALUE"""),3792.00736)</f>
        <v>3792.00736</v>
      </c>
    </row>
    <row r="3125">
      <c r="A3125" s="3">
        <f>IFERROR(__xludf.DUMMYFUNCTION("""COMPUTED_VALUE"""),43695.99861111111)</f>
        <v>43695.99861</v>
      </c>
      <c r="B3125" s="1">
        <f>IFERROR(__xludf.DUMMYFUNCTION("""COMPUTED_VALUE"""),3795.038473)</f>
        <v>3795.038473</v>
      </c>
    </row>
    <row r="3126">
      <c r="A3126" s="3">
        <f>IFERROR(__xludf.DUMMYFUNCTION("""COMPUTED_VALUE"""),43696.99861111111)</f>
        <v>43696.99861</v>
      </c>
      <c r="B3126" s="1">
        <f>IFERROR(__xludf.DUMMYFUNCTION("""COMPUTED_VALUE"""),3804.334125)</f>
        <v>3804.334125</v>
      </c>
    </row>
    <row r="3127">
      <c r="A3127" s="3">
        <f>IFERROR(__xludf.DUMMYFUNCTION("""COMPUTED_VALUE"""),43697.99861111111)</f>
        <v>43697.99861</v>
      </c>
      <c r="B3127" s="1">
        <f>IFERROR(__xludf.DUMMYFUNCTION("""COMPUTED_VALUE"""),3820.691262)</f>
        <v>3820.691262</v>
      </c>
    </row>
    <row r="3128">
      <c r="A3128" s="3">
        <f>IFERROR(__xludf.DUMMYFUNCTION("""COMPUTED_VALUE"""),43698.99861111111)</f>
        <v>43698.99861</v>
      </c>
      <c r="B3128" s="1">
        <f>IFERROR(__xludf.DUMMYFUNCTION("""COMPUTED_VALUE"""),3809.90475)</f>
        <v>3809.90475</v>
      </c>
    </row>
    <row r="3129">
      <c r="A3129" s="3">
        <f>IFERROR(__xludf.DUMMYFUNCTION("""COMPUTED_VALUE"""),43699.99861111111)</f>
        <v>43699.99861</v>
      </c>
      <c r="B3129" s="1">
        <f>IFERROR(__xludf.DUMMYFUNCTION("""COMPUTED_VALUE"""),3795.9051)</f>
        <v>3795.9051</v>
      </c>
    </row>
    <row r="3130">
      <c r="A3130" s="3">
        <f>IFERROR(__xludf.DUMMYFUNCTION("""COMPUTED_VALUE"""),43700.99861111111)</f>
        <v>43700.99861</v>
      </c>
      <c r="B3130" s="1">
        <f>IFERROR(__xludf.DUMMYFUNCTION("""COMPUTED_VALUE"""),3810.556018)</f>
        <v>3810.556018</v>
      </c>
    </row>
    <row r="3131">
      <c r="A3131" s="3">
        <f>IFERROR(__xludf.DUMMYFUNCTION("""COMPUTED_VALUE"""),43701.99861111111)</f>
        <v>43701.99861</v>
      </c>
      <c r="B3131" s="1">
        <f>IFERROR(__xludf.DUMMYFUNCTION("""COMPUTED_VALUE"""),3843.195072)</f>
        <v>3843.195072</v>
      </c>
    </row>
    <row r="3132">
      <c r="A3132" s="3">
        <f>IFERROR(__xludf.DUMMYFUNCTION("""COMPUTED_VALUE"""),43702.99861111111)</f>
        <v>43702.99861</v>
      </c>
      <c r="B3132" s="1">
        <f>IFERROR(__xludf.DUMMYFUNCTION("""COMPUTED_VALUE"""),3789.880673)</f>
        <v>3789.880673</v>
      </c>
    </row>
    <row r="3133">
      <c r="A3133" s="3">
        <f>IFERROR(__xludf.DUMMYFUNCTION("""COMPUTED_VALUE"""),43703.99861111111)</f>
        <v>43703.99861</v>
      </c>
      <c r="B3133" s="1">
        <f>IFERROR(__xludf.DUMMYFUNCTION("""COMPUTED_VALUE"""),3823.244304)</f>
        <v>3823.244304</v>
      </c>
    </row>
    <row r="3134">
      <c r="A3134" s="3">
        <f>IFERROR(__xludf.DUMMYFUNCTION("""COMPUTED_VALUE"""),43704.99861111111)</f>
        <v>43704.99861</v>
      </c>
      <c r="B3134" s="1">
        <f>IFERROR(__xludf.DUMMYFUNCTION("""COMPUTED_VALUE"""),3825.84087)</f>
        <v>3825.84087</v>
      </c>
    </row>
    <row r="3135">
      <c r="A3135" s="3">
        <f>IFERROR(__xludf.DUMMYFUNCTION("""COMPUTED_VALUE"""),43705.99861111111)</f>
        <v>43705.99861</v>
      </c>
      <c r="B3135" s="1">
        <f>IFERROR(__xludf.DUMMYFUNCTION("""COMPUTED_VALUE"""),3817.031592)</f>
        <v>3817.031592</v>
      </c>
    </row>
    <row r="3136">
      <c r="A3136" s="3">
        <f>IFERROR(__xludf.DUMMYFUNCTION("""COMPUTED_VALUE"""),43706.99861111111)</f>
        <v>43706.99861</v>
      </c>
      <c r="B3136" s="1">
        <f>IFERROR(__xludf.DUMMYFUNCTION("""COMPUTED_VALUE"""),3796.13556)</f>
        <v>3796.13556</v>
      </c>
    </row>
    <row r="3137">
      <c r="A3137" s="3">
        <f>IFERROR(__xludf.DUMMYFUNCTION("""COMPUTED_VALUE"""),43707.99861111111)</f>
        <v>43707.99861</v>
      </c>
      <c r="B3137" s="1">
        <f>IFERROR(__xludf.DUMMYFUNCTION("""COMPUTED_VALUE"""),3782.645193)</f>
        <v>3782.645193</v>
      </c>
    </row>
    <row r="3138">
      <c r="A3138" s="3">
        <f>IFERROR(__xludf.DUMMYFUNCTION("""COMPUTED_VALUE"""),43708.99861111111)</f>
        <v>43708.99861</v>
      </c>
      <c r="B3138" s="1">
        <f>IFERROR(__xludf.DUMMYFUNCTION("""COMPUTED_VALUE"""),3782.39607)</f>
        <v>3782.39607</v>
      </c>
    </row>
    <row r="3139">
      <c r="A3139" s="3">
        <f>IFERROR(__xludf.DUMMYFUNCTION("""COMPUTED_VALUE"""),43709.99861111111)</f>
        <v>43709.99861</v>
      </c>
      <c r="B3139" s="1">
        <f>IFERROR(__xludf.DUMMYFUNCTION("""COMPUTED_VALUE"""),3782.162295)</f>
        <v>3782.162295</v>
      </c>
    </row>
    <row r="3140">
      <c r="A3140" s="3">
        <f>IFERROR(__xludf.DUMMYFUNCTION("""COMPUTED_VALUE"""),43710.99861111111)</f>
        <v>43710.99861</v>
      </c>
      <c r="B3140" s="1">
        <f>IFERROR(__xludf.DUMMYFUNCTION("""COMPUTED_VALUE"""),3806.471812)</f>
        <v>3806.471812</v>
      </c>
    </row>
    <row r="3141">
      <c r="A3141" s="3">
        <f>IFERROR(__xludf.DUMMYFUNCTION("""COMPUTED_VALUE"""),43711.99861111111)</f>
        <v>43711.99861</v>
      </c>
      <c r="B3141" s="1">
        <f>IFERROR(__xludf.DUMMYFUNCTION("""COMPUTED_VALUE"""),3803.539608)</f>
        <v>3803.539608</v>
      </c>
    </row>
    <row r="3142">
      <c r="A3142" s="3">
        <f>IFERROR(__xludf.DUMMYFUNCTION("""COMPUTED_VALUE"""),43712.99861111111)</f>
        <v>43712.99861</v>
      </c>
      <c r="B3142" s="1">
        <f>IFERROR(__xludf.DUMMYFUNCTION("""COMPUTED_VALUE"""),3784.2882)</f>
        <v>3784.2882</v>
      </c>
    </row>
    <row r="3143">
      <c r="A3143" s="3">
        <f>IFERROR(__xludf.DUMMYFUNCTION("""COMPUTED_VALUE"""),43713.99861111111)</f>
        <v>43713.99861</v>
      </c>
      <c r="B3143" s="1">
        <f>IFERROR(__xludf.DUMMYFUNCTION("""COMPUTED_VALUE"""),3779.118054)</f>
        <v>3779.118054</v>
      </c>
    </row>
    <row r="3144">
      <c r="A3144" s="3">
        <f>IFERROR(__xludf.DUMMYFUNCTION("""COMPUTED_VALUE"""),43714.99861111111)</f>
        <v>43714.99861</v>
      </c>
      <c r="B3144" s="1">
        <f>IFERROR(__xludf.DUMMYFUNCTION("""COMPUTED_VALUE"""),3750.442861)</f>
        <v>3750.442861</v>
      </c>
    </row>
    <row r="3145">
      <c r="A3145" s="3">
        <f>IFERROR(__xludf.DUMMYFUNCTION("""COMPUTED_VALUE"""),43715.99861111111)</f>
        <v>43715.99861</v>
      </c>
      <c r="B3145" s="1">
        <f>IFERROR(__xludf.DUMMYFUNCTION("""COMPUTED_VALUE"""),3786.454765)</f>
        <v>3786.454765</v>
      </c>
    </row>
    <row r="3146">
      <c r="A3146" s="3">
        <f>IFERROR(__xludf.DUMMYFUNCTION("""COMPUTED_VALUE"""),43716.99861111111)</f>
        <v>43716.99861</v>
      </c>
      <c r="B3146" s="1">
        <f>IFERROR(__xludf.DUMMYFUNCTION("""COMPUTED_VALUE"""),3757.464269)</f>
        <v>3757.464269</v>
      </c>
    </row>
    <row r="3147">
      <c r="A3147" s="3">
        <f>IFERROR(__xludf.DUMMYFUNCTION("""COMPUTED_VALUE"""),43717.99861111111)</f>
        <v>43717.99861</v>
      </c>
      <c r="B3147" s="1">
        <f>IFERROR(__xludf.DUMMYFUNCTION("""COMPUTED_VALUE"""),3740.94522)</f>
        <v>3740.94522</v>
      </c>
    </row>
    <row r="3148">
      <c r="A3148" s="3">
        <f>IFERROR(__xludf.DUMMYFUNCTION("""COMPUTED_VALUE"""),43718.99861111111)</f>
        <v>43718.99861</v>
      </c>
      <c r="B3148" s="1">
        <f>IFERROR(__xludf.DUMMYFUNCTION("""COMPUTED_VALUE"""),3744.118414)</f>
        <v>3744.118414</v>
      </c>
    </row>
    <row r="3149">
      <c r="A3149" s="3">
        <f>IFERROR(__xludf.DUMMYFUNCTION("""COMPUTED_VALUE"""),43719.99861111111)</f>
        <v>43719.99861</v>
      </c>
      <c r="B3149" s="1">
        <f>IFERROR(__xludf.DUMMYFUNCTION("""COMPUTED_VALUE"""),3762.436402)</f>
        <v>3762.436402</v>
      </c>
    </row>
    <row r="3150">
      <c r="A3150" s="3">
        <f>IFERROR(__xludf.DUMMYFUNCTION("""COMPUTED_VALUE"""),43720.99861111111)</f>
        <v>43720.99861</v>
      </c>
      <c r="B3150" s="1">
        <f>IFERROR(__xludf.DUMMYFUNCTION("""COMPUTED_VALUE"""),3729.734)</f>
        <v>3729.734</v>
      </c>
    </row>
    <row r="3151">
      <c r="A3151" s="3">
        <f>IFERROR(__xludf.DUMMYFUNCTION("""COMPUTED_VALUE"""),43721.99861111111)</f>
        <v>43721.99861</v>
      </c>
      <c r="B3151" s="1">
        <f>IFERROR(__xludf.DUMMYFUNCTION("""COMPUTED_VALUE"""),3750.510225)</f>
        <v>3750.510225</v>
      </c>
    </row>
    <row r="3152">
      <c r="A3152" s="3">
        <f>IFERROR(__xludf.DUMMYFUNCTION("""COMPUTED_VALUE"""),43722.99861111111)</f>
        <v>43722.99861</v>
      </c>
      <c r="B3152" s="1">
        <f>IFERROR(__xludf.DUMMYFUNCTION("""COMPUTED_VALUE"""),3750.510225)</f>
        <v>3750.510225</v>
      </c>
    </row>
    <row r="3153">
      <c r="A3153" s="3">
        <f>IFERROR(__xludf.DUMMYFUNCTION("""COMPUTED_VALUE"""),43723.99861111111)</f>
        <v>43723.99861</v>
      </c>
      <c r="B3153" s="1">
        <f>IFERROR(__xludf.DUMMYFUNCTION("""COMPUTED_VALUE"""),3750.510225)</f>
        <v>3750.510225</v>
      </c>
    </row>
    <row r="3154">
      <c r="A3154" s="3">
        <f>IFERROR(__xludf.DUMMYFUNCTION("""COMPUTED_VALUE"""),43724.99861111111)</f>
        <v>43724.99861</v>
      </c>
      <c r="B3154" s="1">
        <f>IFERROR(__xludf.DUMMYFUNCTION("""COMPUTED_VALUE"""),3778.906367)</f>
        <v>3778.906367</v>
      </c>
    </row>
    <row r="3155">
      <c r="A3155" s="3">
        <f>IFERROR(__xludf.DUMMYFUNCTION("""COMPUTED_VALUE"""),43725.99861111111)</f>
        <v>43725.99861</v>
      </c>
      <c r="B3155" s="1">
        <f>IFERROR(__xludf.DUMMYFUNCTION("""COMPUTED_VALUE"""),3767.695204)</f>
        <v>3767.695204</v>
      </c>
    </row>
    <row r="3156">
      <c r="A3156" s="3">
        <f>IFERROR(__xludf.DUMMYFUNCTION("""COMPUTED_VALUE"""),43726.99861111111)</f>
        <v>43726.99861</v>
      </c>
      <c r="B3156" s="1">
        <f>IFERROR(__xludf.DUMMYFUNCTION("""COMPUTED_VALUE"""),3766.84605)</f>
        <v>3766.84605</v>
      </c>
    </row>
    <row r="3157">
      <c r="A3157" s="3">
        <f>IFERROR(__xludf.DUMMYFUNCTION("""COMPUTED_VALUE"""),43727.99861111111)</f>
        <v>43727.99861</v>
      </c>
      <c r="B3157" s="1">
        <f>IFERROR(__xludf.DUMMYFUNCTION("""COMPUTED_VALUE"""),3775.5892)</f>
        <v>3775.5892</v>
      </c>
    </row>
    <row r="3158">
      <c r="A3158" s="3">
        <f>IFERROR(__xludf.DUMMYFUNCTION("""COMPUTED_VALUE"""),43728.99861111111)</f>
        <v>43728.99861</v>
      </c>
      <c r="B3158" s="1">
        <f>IFERROR(__xludf.DUMMYFUNCTION("""COMPUTED_VALUE"""),3760.510782)</f>
        <v>3760.510782</v>
      </c>
    </row>
    <row r="3159">
      <c r="A3159" s="3">
        <f>IFERROR(__xludf.DUMMYFUNCTION("""COMPUTED_VALUE"""),43729.99861111111)</f>
        <v>43729.99861</v>
      </c>
      <c r="B3159" s="1">
        <f>IFERROR(__xludf.DUMMYFUNCTION("""COMPUTED_VALUE"""),3760.331927)</f>
        <v>3760.331927</v>
      </c>
    </row>
    <row r="3160">
      <c r="A3160" s="3">
        <f>IFERROR(__xludf.DUMMYFUNCTION("""COMPUTED_VALUE"""),43730.99861111111)</f>
        <v>43730.99861</v>
      </c>
      <c r="B3160" s="1">
        <f>IFERROR(__xludf.DUMMYFUNCTION("""COMPUTED_VALUE"""),3746.85091)</f>
        <v>3746.85091</v>
      </c>
    </row>
    <row r="3161">
      <c r="A3161" s="3">
        <f>IFERROR(__xludf.DUMMYFUNCTION("""COMPUTED_VALUE"""),43731.99861111111)</f>
        <v>43731.99861</v>
      </c>
      <c r="B3161" s="1">
        <f>IFERROR(__xludf.DUMMYFUNCTION("""COMPUTED_VALUE"""),3754.990575)</f>
        <v>3754.990575</v>
      </c>
    </row>
    <row r="3162">
      <c r="A3162" s="3">
        <f>IFERROR(__xludf.DUMMYFUNCTION("""COMPUTED_VALUE"""),43732.99861111111)</f>
        <v>43732.99861</v>
      </c>
      <c r="B3162" s="1">
        <f>IFERROR(__xludf.DUMMYFUNCTION("""COMPUTED_VALUE"""),3781.089112)</f>
        <v>3781.089112</v>
      </c>
    </row>
    <row r="3163">
      <c r="A3163" s="3">
        <f>IFERROR(__xludf.DUMMYFUNCTION("""COMPUTED_VALUE"""),43733.99861111111)</f>
        <v>43733.99861</v>
      </c>
      <c r="B3163" s="1">
        <f>IFERROR(__xludf.DUMMYFUNCTION("""COMPUTED_VALUE"""),3772.31925)</f>
        <v>3772.31925</v>
      </c>
    </row>
    <row r="3164">
      <c r="A3164" s="3">
        <f>IFERROR(__xludf.DUMMYFUNCTION("""COMPUTED_VALUE"""),43734.99861111111)</f>
        <v>43734.99861</v>
      </c>
      <c r="B3164" s="1">
        <f>IFERROR(__xludf.DUMMYFUNCTION("""COMPUTED_VALUE"""),3796.9533)</f>
        <v>3796.9533</v>
      </c>
    </row>
    <row r="3165">
      <c r="A3165" s="3">
        <f>IFERROR(__xludf.DUMMYFUNCTION("""COMPUTED_VALUE"""),43735.99861111111)</f>
        <v>43735.99861</v>
      </c>
      <c r="B3165" s="1">
        <f>IFERROR(__xludf.DUMMYFUNCTION("""COMPUTED_VALUE"""),3783.97881)</f>
        <v>3783.97881</v>
      </c>
    </row>
    <row r="3166">
      <c r="A3166" s="3">
        <f>IFERROR(__xludf.DUMMYFUNCTION("""COMPUTED_VALUE"""),43736.99861111111)</f>
        <v>43736.99861</v>
      </c>
      <c r="B3166" s="1">
        <f>IFERROR(__xludf.DUMMYFUNCTION("""COMPUTED_VALUE"""),3783.836862)</f>
        <v>3783.836862</v>
      </c>
    </row>
    <row r="3167">
      <c r="A3167" s="3">
        <f>IFERROR(__xludf.DUMMYFUNCTION("""COMPUTED_VALUE"""),43737.99861111111)</f>
        <v>43737.99861</v>
      </c>
      <c r="B3167" s="1">
        <f>IFERROR(__xludf.DUMMYFUNCTION("""COMPUTED_VALUE"""),3775.621681)</f>
        <v>3775.621681</v>
      </c>
    </row>
    <row r="3168">
      <c r="A3168" s="3">
        <f>IFERROR(__xludf.DUMMYFUNCTION("""COMPUTED_VALUE"""),43738.99861111111)</f>
        <v>43738.99861</v>
      </c>
      <c r="B3168" s="1">
        <f>IFERROR(__xludf.DUMMYFUNCTION("""COMPUTED_VALUE"""),3792.242908)</f>
        <v>3792.242908</v>
      </c>
    </row>
    <row r="3169">
      <c r="A3169" s="3">
        <f>IFERROR(__xludf.DUMMYFUNCTION("""COMPUTED_VALUE"""),43739.99861111111)</f>
        <v>43739.99861</v>
      </c>
      <c r="B3169" s="1">
        <f>IFERROR(__xludf.DUMMYFUNCTION("""COMPUTED_VALUE"""),3789.825385)</f>
        <v>3789.825385</v>
      </c>
    </row>
    <row r="3170">
      <c r="A3170" s="3">
        <f>IFERROR(__xludf.DUMMYFUNCTION("""COMPUTED_VALUE"""),43740.99861111111)</f>
        <v>43740.99861</v>
      </c>
      <c r="B3170" s="1">
        <f>IFERROR(__xludf.DUMMYFUNCTION("""COMPUTED_VALUE"""),3784.599925)</f>
        <v>3784.599925</v>
      </c>
    </row>
    <row r="3171">
      <c r="A3171" s="3">
        <f>IFERROR(__xludf.DUMMYFUNCTION("""COMPUTED_VALUE"""),43741.99861111111)</f>
        <v>43741.99861</v>
      </c>
      <c r="B3171" s="1">
        <f>IFERROR(__xludf.DUMMYFUNCTION("""COMPUTED_VALUE"""),3784.857882)</f>
        <v>3784.857882</v>
      </c>
    </row>
    <row r="3172">
      <c r="A3172" s="3">
        <f>IFERROR(__xludf.DUMMYFUNCTION("""COMPUTED_VALUE"""),43742.99861111111)</f>
        <v>43742.99861</v>
      </c>
      <c r="B3172" s="1">
        <f>IFERROR(__xludf.DUMMYFUNCTION("""COMPUTED_VALUE"""),3767.70038)</f>
        <v>3767.70038</v>
      </c>
    </row>
    <row r="3173">
      <c r="A3173" s="3">
        <f>IFERROR(__xludf.DUMMYFUNCTION("""COMPUTED_VALUE"""),43743.99861111111)</f>
        <v>43743.99861</v>
      </c>
      <c r="B3173" s="1">
        <f>IFERROR(__xludf.DUMMYFUNCTION("""COMPUTED_VALUE"""),3768.90177)</f>
        <v>3768.90177</v>
      </c>
    </row>
    <row r="3174">
      <c r="A3174" s="3">
        <f>IFERROR(__xludf.DUMMYFUNCTION("""COMPUTED_VALUE"""),43744.99861111111)</f>
        <v>43744.99861</v>
      </c>
      <c r="B3174" s="1">
        <f>IFERROR(__xludf.DUMMYFUNCTION("""COMPUTED_VALUE"""),3768.227882)</f>
        <v>3768.227882</v>
      </c>
    </row>
    <row r="3175">
      <c r="A3175" s="3">
        <f>IFERROR(__xludf.DUMMYFUNCTION("""COMPUTED_VALUE"""),43745.99861111111)</f>
        <v>43745.99861</v>
      </c>
      <c r="B3175" s="1">
        <f>IFERROR(__xludf.DUMMYFUNCTION("""COMPUTED_VALUE"""),3797.245882)</f>
        <v>3797.245882</v>
      </c>
    </row>
    <row r="3176">
      <c r="A3176" s="3">
        <f>IFERROR(__xludf.DUMMYFUNCTION("""COMPUTED_VALUE"""),43746.99861111111)</f>
        <v>43746.99861</v>
      </c>
      <c r="B3176" s="1">
        <f>IFERROR(__xludf.DUMMYFUNCTION("""COMPUTED_VALUE"""),3789.683255)</f>
        <v>3789.683255</v>
      </c>
    </row>
    <row r="3177">
      <c r="A3177" s="3">
        <f>IFERROR(__xludf.DUMMYFUNCTION("""COMPUTED_VALUE"""),43747.99861111111)</f>
        <v>43747.99861</v>
      </c>
      <c r="B3177" s="1">
        <f>IFERROR(__xludf.DUMMYFUNCTION("""COMPUTED_VALUE"""),3778.78475)</f>
        <v>3778.78475</v>
      </c>
    </row>
    <row r="3178">
      <c r="A3178" s="3">
        <f>IFERROR(__xludf.DUMMYFUNCTION("""COMPUTED_VALUE"""),43748.99861111111)</f>
        <v>43748.99861</v>
      </c>
      <c r="B3178" s="1">
        <f>IFERROR(__xludf.DUMMYFUNCTION("""COMPUTED_VALUE"""),3773.48928)</f>
        <v>3773.48928</v>
      </c>
    </row>
    <row r="3179">
      <c r="A3179" s="3">
        <f>IFERROR(__xludf.DUMMYFUNCTION("""COMPUTED_VALUE"""),43749.99861111111)</f>
        <v>43749.99861</v>
      </c>
      <c r="B3179" s="1">
        <f>IFERROR(__xludf.DUMMYFUNCTION("""COMPUTED_VALUE"""),3765.397846)</f>
        <v>3765.397846</v>
      </c>
    </row>
    <row r="3180">
      <c r="A3180" s="3">
        <f>IFERROR(__xludf.DUMMYFUNCTION("""COMPUTED_VALUE"""),43750.99861111111)</f>
        <v>43750.99861</v>
      </c>
      <c r="B3180" s="1">
        <f>IFERROR(__xludf.DUMMYFUNCTION("""COMPUTED_VALUE"""),3765.349087)</f>
        <v>3765.349087</v>
      </c>
    </row>
    <row r="3181">
      <c r="A3181" s="3">
        <f>IFERROR(__xludf.DUMMYFUNCTION("""COMPUTED_VALUE"""),43751.99861111111)</f>
        <v>43751.99861</v>
      </c>
      <c r="B3181" s="1">
        <f>IFERROR(__xludf.DUMMYFUNCTION("""COMPUTED_VALUE"""),3766.311608)</f>
        <v>3766.311608</v>
      </c>
    </row>
    <row r="3182">
      <c r="A3182" s="3">
        <f>IFERROR(__xludf.DUMMYFUNCTION("""COMPUTED_VALUE"""),43752.99861111111)</f>
        <v>43752.99861</v>
      </c>
      <c r="B3182" s="1">
        <f>IFERROR(__xludf.DUMMYFUNCTION("""COMPUTED_VALUE"""),3763.005642)</f>
        <v>3763.005642</v>
      </c>
    </row>
    <row r="3183">
      <c r="A3183" s="3">
        <f>IFERROR(__xludf.DUMMYFUNCTION("""COMPUTED_VALUE"""),43753.99861111111)</f>
        <v>43753.99861</v>
      </c>
      <c r="B3183" s="1">
        <f>IFERROR(__xludf.DUMMYFUNCTION("""COMPUTED_VALUE"""),3790.871406)</f>
        <v>3790.871406</v>
      </c>
    </row>
    <row r="3184">
      <c r="A3184" s="3">
        <f>IFERROR(__xludf.DUMMYFUNCTION("""COMPUTED_VALUE"""),43754.99861111111)</f>
        <v>43754.99861</v>
      </c>
      <c r="B3184" s="1">
        <f>IFERROR(__xludf.DUMMYFUNCTION("""COMPUTED_VALUE"""),3793.522003)</f>
        <v>3793.522003</v>
      </c>
    </row>
    <row r="3185">
      <c r="A3185" s="3">
        <f>IFERROR(__xludf.DUMMYFUNCTION("""COMPUTED_VALUE"""),43755.99861111111)</f>
        <v>43755.99861</v>
      </c>
      <c r="B3185" s="1">
        <f>IFERROR(__xludf.DUMMYFUNCTION("""COMPUTED_VALUE"""),3783.118063)</f>
        <v>3783.118063</v>
      </c>
    </row>
    <row r="3186">
      <c r="A3186" s="3">
        <f>IFERROR(__xludf.DUMMYFUNCTION("""COMPUTED_VALUE"""),43756.99861111111)</f>
        <v>43756.99861</v>
      </c>
      <c r="B3186" s="1">
        <f>IFERROR(__xludf.DUMMYFUNCTION("""COMPUTED_VALUE"""),3766.456486)</f>
        <v>3766.456486</v>
      </c>
    </row>
    <row r="3187">
      <c r="A3187" s="3">
        <f>IFERROR(__xludf.DUMMYFUNCTION("""COMPUTED_VALUE"""),43757.99861111111)</f>
        <v>43757.99861</v>
      </c>
      <c r="B3187" s="1">
        <f>IFERROR(__xludf.DUMMYFUNCTION("""COMPUTED_VALUE"""),3766.462137)</f>
        <v>3766.462137</v>
      </c>
    </row>
    <row r="3188">
      <c r="A3188" s="3">
        <f>IFERROR(__xludf.DUMMYFUNCTION("""COMPUTED_VALUE"""),43758.99861111111)</f>
        <v>43758.99861</v>
      </c>
      <c r="B3188" s="1">
        <f>IFERROR(__xludf.DUMMYFUNCTION("""COMPUTED_VALUE"""),3771.044552)</f>
        <v>3771.044552</v>
      </c>
    </row>
    <row r="3189">
      <c r="A3189" s="3">
        <f>IFERROR(__xludf.DUMMYFUNCTION("""COMPUTED_VALUE"""),43759.99861111111)</f>
        <v>43759.99861</v>
      </c>
      <c r="B3189" s="1">
        <f>IFERROR(__xludf.DUMMYFUNCTION("""COMPUTED_VALUE"""),3761.029889)</f>
        <v>3761.029889</v>
      </c>
    </row>
    <row r="3190">
      <c r="A3190" s="3">
        <f>IFERROR(__xludf.DUMMYFUNCTION("""COMPUTED_VALUE"""),43760.99861111111)</f>
        <v>43760.99861</v>
      </c>
      <c r="B3190" s="1">
        <f>IFERROR(__xludf.DUMMYFUNCTION("""COMPUTED_VALUE"""),3745.924351)</f>
        <v>3745.924351</v>
      </c>
    </row>
    <row r="3191">
      <c r="A3191" s="3">
        <f>IFERROR(__xludf.DUMMYFUNCTION("""COMPUTED_VALUE"""),43761.99861111111)</f>
        <v>43761.99861</v>
      </c>
      <c r="B3191" s="1">
        <f>IFERROR(__xludf.DUMMYFUNCTION("""COMPUTED_VALUE"""),3735.543152)</f>
        <v>3735.543152</v>
      </c>
    </row>
    <row r="3192">
      <c r="A3192" s="3">
        <f>IFERROR(__xludf.DUMMYFUNCTION("""COMPUTED_VALUE"""),43762.99861111111)</f>
        <v>43762.99861</v>
      </c>
      <c r="B3192" s="1">
        <f>IFERROR(__xludf.DUMMYFUNCTION("""COMPUTED_VALUE"""),3757.645613)</f>
        <v>3757.645613</v>
      </c>
    </row>
    <row r="3193">
      <c r="A3193" s="3">
        <f>IFERROR(__xludf.DUMMYFUNCTION("""COMPUTED_VALUE"""),43763.99861111111)</f>
        <v>43763.99861</v>
      </c>
      <c r="B3193" s="1">
        <f>IFERROR(__xludf.DUMMYFUNCTION("""COMPUTED_VALUE"""),3742.632608)</f>
        <v>3742.632608</v>
      </c>
    </row>
    <row r="3194">
      <c r="A3194" s="3">
        <f>IFERROR(__xludf.DUMMYFUNCTION("""COMPUTED_VALUE"""),43764.99861111111)</f>
        <v>43764.99861</v>
      </c>
      <c r="B3194" s="1">
        <f>IFERROR(__xludf.DUMMYFUNCTION("""COMPUTED_VALUE"""),3742.637661)</f>
        <v>3742.637661</v>
      </c>
    </row>
    <row r="3195">
      <c r="A3195" s="3">
        <f>IFERROR(__xludf.DUMMYFUNCTION("""COMPUTED_VALUE"""),43765.99861111111)</f>
        <v>43765.99861</v>
      </c>
      <c r="B3195" s="1">
        <f>IFERROR(__xludf.DUMMYFUNCTION("""COMPUTED_VALUE"""),3742.637661)</f>
        <v>3742.637661</v>
      </c>
    </row>
    <row r="3196">
      <c r="A3196" s="3">
        <f>IFERROR(__xludf.DUMMYFUNCTION("""COMPUTED_VALUE"""),43766.99861111111)</f>
        <v>43766.99861</v>
      </c>
      <c r="B3196" s="1">
        <f>IFERROR(__xludf.DUMMYFUNCTION("""COMPUTED_VALUE"""),3739.601035)</f>
        <v>3739.601035</v>
      </c>
    </row>
    <row r="3197">
      <c r="A3197" s="3">
        <f>IFERROR(__xludf.DUMMYFUNCTION("""COMPUTED_VALUE"""),43767.99861111111)</f>
        <v>43767.99861</v>
      </c>
      <c r="B3197" s="1">
        <f>IFERROR(__xludf.DUMMYFUNCTION("""COMPUTED_VALUE"""),3752.532323)</f>
        <v>3752.532323</v>
      </c>
    </row>
    <row r="3198">
      <c r="A3198" s="3">
        <f>IFERROR(__xludf.DUMMYFUNCTION("""COMPUTED_VALUE"""),43768.99861111111)</f>
        <v>43768.99861</v>
      </c>
      <c r="B3198" s="1">
        <f>IFERROR(__xludf.DUMMYFUNCTION("""COMPUTED_VALUE"""),3750.797073)</f>
        <v>3750.797073</v>
      </c>
    </row>
    <row r="3199">
      <c r="A3199" s="3">
        <f>IFERROR(__xludf.DUMMYFUNCTION("""COMPUTED_VALUE"""),43769.99861111111)</f>
        <v>43769.99861</v>
      </c>
      <c r="B3199" s="1">
        <f>IFERROR(__xludf.DUMMYFUNCTION("""COMPUTED_VALUE"""),3766.90009)</f>
        <v>3766.90009</v>
      </c>
    </row>
    <row r="3200">
      <c r="A3200" s="3">
        <f>IFERROR(__xludf.DUMMYFUNCTION("""COMPUTED_VALUE"""),43770.99861111111)</f>
        <v>43770.99861</v>
      </c>
      <c r="B3200" s="1">
        <f>IFERROR(__xludf.DUMMYFUNCTION("""COMPUTED_VALUE"""),3732.420477)</f>
        <v>3732.420477</v>
      </c>
    </row>
    <row r="3201">
      <c r="A3201" s="3">
        <f>IFERROR(__xludf.DUMMYFUNCTION("""COMPUTED_VALUE"""),43771.99861111111)</f>
        <v>43771.99861</v>
      </c>
      <c r="B3201" s="1">
        <f>IFERROR(__xludf.DUMMYFUNCTION("""COMPUTED_VALUE"""),3732.415441)</f>
        <v>3732.415441</v>
      </c>
    </row>
    <row r="3202">
      <c r="A3202" s="3">
        <f>IFERROR(__xludf.DUMMYFUNCTION("""COMPUTED_VALUE"""),43772.99861111111)</f>
        <v>43772.99861</v>
      </c>
      <c r="B3202" s="1">
        <f>IFERROR(__xludf.DUMMYFUNCTION("""COMPUTED_VALUE"""),3740.958433)</f>
        <v>3740.958433</v>
      </c>
    </row>
    <row r="3203">
      <c r="A3203" s="3">
        <f>IFERROR(__xludf.DUMMYFUNCTION("""COMPUTED_VALUE"""),43773.99861111111)</f>
        <v>43773.99861</v>
      </c>
      <c r="B3203" s="1">
        <f>IFERROR(__xludf.DUMMYFUNCTION("""COMPUTED_VALUE"""),3749.636518)</f>
        <v>3749.636518</v>
      </c>
    </row>
    <row r="3204">
      <c r="A3204" s="3">
        <f>IFERROR(__xludf.DUMMYFUNCTION("""COMPUTED_VALUE"""),43774.99861111111)</f>
        <v>43774.99861</v>
      </c>
      <c r="B3204" s="1">
        <f>IFERROR(__xludf.DUMMYFUNCTION("""COMPUTED_VALUE"""),3741.892417)</f>
        <v>3741.892417</v>
      </c>
    </row>
    <row r="3205">
      <c r="A3205" s="3">
        <f>IFERROR(__xludf.DUMMYFUNCTION("""COMPUTED_VALUE"""),43775.99861111111)</f>
        <v>43775.99861</v>
      </c>
      <c r="B3205" s="1">
        <f>IFERROR(__xludf.DUMMYFUNCTION("""COMPUTED_VALUE"""),3736.990433)</f>
        <v>3736.990433</v>
      </c>
    </row>
    <row r="3206">
      <c r="A3206" s="3">
        <f>IFERROR(__xludf.DUMMYFUNCTION("""COMPUTED_VALUE"""),43776.99861111111)</f>
        <v>43776.99861</v>
      </c>
      <c r="B3206" s="1">
        <f>IFERROR(__xludf.DUMMYFUNCTION("""COMPUTED_VALUE"""),3751.595594)</f>
        <v>3751.595594</v>
      </c>
    </row>
    <row r="3207">
      <c r="A3207" s="3">
        <f>IFERROR(__xludf.DUMMYFUNCTION("""COMPUTED_VALUE"""),43777.99861111111)</f>
        <v>43777.99861</v>
      </c>
      <c r="B3207" s="1">
        <f>IFERROR(__xludf.DUMMYFUNCTION("""COMPUTED_VALUE"""),3736.967826)</f>
        <v>3736.967826</v>
      </c>
    </row>
    <row r="3208">
      <c r="A3208" s="3">
        <f>IFERROR(__xludf.DUMMYFUNCTION("""COMPUTED_VALUE"""),43778.99861111111)</f>
        <v>43778.99861</v>
      </c>
      <c r="B3208" s="1">
        <f>IFERROR(__xludf.DUMMYFUNCTION("""COMPUTED_VALUE"""),3736.967826)</f>
        <v>3736.967826</v>
      </c>
    </row>
    <row r="3209">
      <c r="A3209" s="3">
        <f>IFERROR(__xludf.DUMMYFUNCTION("""COMPUTED_VALUE"""),43779.99861111111)</f>
        <v>43779.99861</v>
      </c>
      <c r="B3209" s="1">
        <f>IFERROR(__xludf.DUMMYFUNCTION("""COMPUTED_VALUE"""),3738.038796)</f>
        <v>3738.038796</v>
      </c>
    </row>
    <row r="3210">
      <c r="A3210" s="3">
        <f>IFERROR(__xludf.DUMMYFUNCTION("""COMPUTED_VALUE"""),43780.99861111111)</f>
        <v>43780.99861</v>
      </c>
      <c r="B3210" s="1">
        <f>IFERROR(__xludf.DUMMYFUNCTION("""COMPUTED_VALUE"""),3734.09925)</f>
        <v>3734.09925</v>
      </c>
    </row>
    <row r="3211">
      <c r="A3211" s="3">
        <f>IFERROR(__xludf.DUMMYFUNCTION("""COMPUTED_VALUE"""),43781.99861111111)</f>
        <v>43781.99861</v>
      </c>
      <c r="B3211" s="1">
        <f>IFERROR(__xludf.DUMMYFUNCTION("""COMPUTED_VALUE"""),3749.410873)</f>
        <v>3749.410873</v>
      </c>
    </row>
    <row r="3212">
      <c r="A3212" s="3">
        <f>IFERROR(__xludf.DUMMYFUNCTION("""COMPUTED_VALUE"""),43782.99861111111)</f>
        <v>43782.99861</v>
      </c>
      <c r="B3212" s="1">
        <f>IFERROR(__xludf.DUMMYFUNCTION("""COMPUTED_VALUE"""),3754.593662)</f>
        <v>3754.593662</v>
      </c>
    </row>
    <row r="3213">
      <c r="A3213" s="3">
        <f>IFERROR(__xludf.DUMMYFUNCTION("""COMPUTED_VALUE"""),43783.99861111111)</f>
        <v>43783.99861</v>
      </c>
      <c r="B3213" s="1">
        <f>IFERROR(__xludf.DUMMYFUNCTION("""COMPUTED_VALUE"""),3756.345552)</f>
        <v>3756.345552</v>
      </c>
    </row>
    <row r="3214">
      <c r="A3214" s="3">
        <f>IFERROR(__xludf.DUMMYFUNCTION("""COMPUTED_VALUE"""),43784.99861111111)</f>
        <v>43784.99861</v>
      </c>
      <c r="B3214" s="1">
        <f>IFERROR(__xludf.DUMMYFUNCTION("""COMPUTED_VALUE"""),3752.221963)</f>
        <v>3752.221963</v>
      </c>
    </row>
    <row r="3215">
      <c r="A3215" s="3">
        <f>IFERROR(__xludf.DUMMYFUNCTION("""COMPUTED_VALUE"""),43785.99861111111)</f>
        <v>43785.99861</v>
      </c>
      <c r="B3215" s="1">
        <f>IFERROR(__xludf.DUMMYFUNCTION("""COMPUTED_VALUE"""),3752.660384)</f>
        <v>3752.660384</v>
      </c>
    </row>
    <row r="3216">
      <c r="A3216" s="3">
        <f>IFERROR(__xludf.DUMMYFUNCTION("""COMPUTED_VALUE"""),43786.99861111111)</f>
        <v>43786.99861</v>
      </c>
      <c r="B3216" s="1">
        <f>IFERROR(__xludf.DUMMYFUNCTION("""COMPUTED_VALUE"""),3745.995599)</f>
        <v>3745.995599</v>
      </c>
    </row>
    <row r="3217">
      <c r="A3217" s="3">
        <f>IFERROR(__xludf.DUMMYFUNCTION("""COMPUTED_VALUE"""),43787.99861111111)</f>
        <v>43787.99861</v>
      </c>
      <c r="B3217" s="1">
        <f>IFERROR(__xludf.DUMMYFUNCTION("""COMPUTED_VALUE"""),3749.350616)</f>
        <v>3749.350616</v>
      </c>
    </row>
    <row r="3218">
      <c r="A3218" s="3">
        <f>IFERROR(__xludf.DUMMYFUNCTION("""COMPUTED_VALUE"""),43788.99861111111)</f>
        <v>43788.99861</v>
      </c>
      <c r="B3218" s="1">
        <f>IFERROR(__xludf.DUMMYFUNCTION("""COMPUTED_VALUE"""),3756.927447)</f>
        <v>3756.927447</v>
      </c>
    </row>
    <row r="3219">
      <c r="A3219" s="3">
        <f>IFERROR(__xludf.DUMMYFUNCTION("""COMPUTED_VALUE"""),43789.99861111111)</f>
        <v>43789.99861</v>
      </c>
      <c r="B3219" s="1">
        <f>IFERROR(__xludf.DUMMYFUNCTION("""COMPUTED_VALUE"""),3743.679115)</f>
        <v>3743.679115</v>
      </c>
    </row>
    <row r="3220">
      <c r="A3220" s="3">
        <f>IFERROR(__xludf.DUMMYFUNCTION("""COMPUTED_VALUE"""),43790.99861111111)</f>
        <v>43790.99861</v>
      </c>
      <c r="B3220" s="1">
        <f>IFERROR(__xludf.DUMMYFUNCTION("""COMPUTED_VALUE"""),3753.956665)</f>
        <v>3753.956665</v>
      </c>
    </row>
    <row r="3221">
      <c r="A3221" s="3">
        <f>IFERROR(__xludf.DUMMYFUNCTION("""COMPUTED_VALUE"""),43791.99861111111)</f>
        <v>43791.99861</v>
      </c>
      <c r="B3221" s="1">
        <f>IFERROR(__xludf.DUMMYFUNCTION("""COMPUTED_VALUE"""),3757.337247)</f>
        <v>3757.337247</v>
      </c>
    </row>
    <row r="3222">
      <c r="A3222" s="3">
        <f>IFERROR(__xludf.DUMMYFUNCTION("""COMPUTED_VALUE"""),43792.99861111111)</f>
        <v>43792.99861</v>
      </c>
      <c r="B3222" s="1">
        <f>IFERROR(__xludf.DUMMYFUNCTION("""COMPUTED_VALUE"""),3757.337247)</f>
        <v>3757.337247</v>
      </c>
    </row>
    <row r="3223">
      <c r="A3223" s="3">
        <f>IFERROR(__xludf.DUMMYFUNCTION("""COMPUTED_VALUE"""),43793.99861111111)</f>
        <v>43793.99861</v>
      </c>
      <c r="B3223" s="1">
        <f>IFERROR(__xludf.DUMMYFUNCTION("""COMPUTED_VALUE"""),3756.579743)</f>
        <v>3756.579743</v>
      </c>
    </row>
    <row r="3224">
      <c r="A3224" s="3">
        <f>IFERROR(__xludf.DUMMYFUNCTION("""COMPUTED_VALUE"""),43794.99861111111)</f>
        <v>43794.99861</v>
      </c>
      <c r="B3224" s="1">
        <f>IFERROR(__xludf.DUMMYFUNCTION("""COMPUTED_VALUE"""),3751.390843)</f>
        <v>3751.390843</v>
      </c>
    </row>
    <row r="3225">
      <c r="A3225" s="3">
        <f>IFERROR(__xludf.DUMMYFUNCTION("""COMPUTED_VALUE"""),43795.99861111111)</f>
        <v>43795.99861</v>
      </c>
      <c r="B3225" s="1">
        <f>IFERROR(__xludf.DUMMYFUNCTION("""COMPUTED_VALUE"""),3755.835675)</f>
        <v>3755.835675</v>
      </c>
    </row>
    <row r="3226">
      <c r="A3226" s="3">
        <f>IFERROR(__xludf.DUMMYFUNCTION("""COMPUTED_VALUE"""),43796.99861111111)</f>
        <v>43796.99861</v>
      </c>
      <c r="B3226" s="1">
        <f>IFERROR(__xludf.DUMMYFUNCTION("""COMPUTED_VALUE"""),3757.665602)</f>
        <v>3757.665602</v>
      </c>
    </row>
    <row r="3227">
      <c r="A3227" s="3">
        <f>IFERROR(__xludf.DUMMYFUNCTION("""COMPUTED_VALUE"""),43797.99861111111)</f>
        <v>43797.99861</v>
      </c>
      <c r="B3227" s="1">
        <f>IFERROR(__xludf.DUMMYFUNCTION("""COMPUTED_VALUE"""),3754.002752)</f>
        <v>3754.002752</v>
      </c>
    </row>
    <row r="3228">
      <c r="A3228" s="3">
        <f>IFERROR(__xludf.DUMMYFUNCTION("""COMPUTED_VALUE"""),43798.99861111111)</f>
        <v>43798.99861</v>
      </c>
      <c r="B3228" s="1">
        <f>IFERROR(__xludf.DUMMYFUNCTION("""COMPUTED_VALUE"""),3756.030434)</f>
        <v>3756.030434</v>
      </c>
    </row>
    <row r="3229">
      <c r="A3229" s="3">
        <f>IFERROR(__xludf.DUMMYFUNCTION("""COMPUTED_VALUE"""),43799.99861111111)</f>
        <v>43799.99861</v>
      </c>
      <c r="B3229" s="1">
        <f>IFERROR(__xludf.DUMMYFUNCTION("""COMPUTED_VALUE"""),3756.33785)</f>
        <v>3756.33785</v>
      </c>
    </row>
    <row r="3230">
      <c r="A3230" s="3">
        <f>IFERROR(__xludf.DUMMYFUNCTION("""COMPUTED_VALUE"""),43800.99861111111)</f>
        <v>43800.99861</v>
      </c>
      <c r="B3230" s="1">
        <f>IFERROR(__xludf.DUMMYFUNCTION("""COMPUTED_VALUE"""),3753.940687)</f>
        <v>3753.940687</v>
      </c>
    </row>
    <row r="3231">
      <c r="A3231" s="3">
        <f>IFERROR(__xludf.DUMMYFUNCTION("""COMPUTED_VALUE"""),43801.99861111111)</f>
        <v>43801.99861</v>
      </c>
      <c r="B3231" s="1">
        <f>IFERROR(__xludf.DUMMYFUNCTION("""COMPUTED_VALUE"""),3767.388533)</f>
        <v>3767.388533</v>
      </c>
    </row>
    <row r="3232">
      <c r="A3232" s="3">
        <f>IFERROR(__xludf.DUMMYFUNCTION("""COMPUTED_VALUE"""),43802.99861111111)</f>
        <v>43802.99861</v>
      </c>
      <c r="B3232" s="1">
        <f>IFERROR(__xludf.DUMMYFUNCTION("""COMPUTED_VALUE"""),3761.367373)</f>
        <v>3761.367373</v>
      </c>
    </row>
    <row r="3233">
      <c r="A3233" s="3">
        <f>IFERROR(__xludf.DUMMYFUNCTION("""COMPUTED_VALUE"""),43803.99861111111)</f>
        <v>43803.99861</v>
      </c>
      <c r="B3233" s="1">
        <f>IFERROR(__xludf.DUMMYFUNCTION("""COMPUTED_VALUE"""),3733.216018)</f>
        <v>3733.216018</v>
      </c>
    </row>
    <row r="3234">
      <c r="A3234" s="3">
        <f>IFERROR(__xludf.DUMMYFUNCTION("""COMPUTED_VALUE"""),43804.99861111111)</f>
        <v>43804.99861</v>
      </c>
      <c r="B3234" s="1">
        <f>IFERROR(__xludf.DUMMYFUNCTION("""COMPUTED_VALUE"""),3725.609485)</f>
        <v>3725.609485</v>
      </c>
    </row>
    <row r="3235">
      <c r="A3235" s="3">
        <f>IFERROR(__xludf.DUMMYFUNCTION("""COMPUTED_VALUE"""),43805.99861111111)</f>
        <v>43805.99861</v>
      </c>
      <c r="B3235" s="1">
        <f>IFERROR(__xludf.DUMMYFUNCTION("""COMPUTED_VALUE"""),3739.955918)</f>
        <v>3739.955918</v>
      </c>
    </row>
    <row r="3236">
      <c r="A3236" s="3">
        <f>IFERROR(__xludf.DUMMYFUNCTION("""COMPUTED_VALUE"""),43806.99861111111)</f>
        <v>43806.99861</v>
      </c>
      <c r="B3236" s="1">
        <f>IFERROR(__xludf.DUMMYFUNCTION("""COMPUTED_VALUE"""),3739.955918)</f>
        <v>3739.955918</v>
      </c>
    </row>
    <row r="3237">
      <c r="A3237" s="3">
        <f>IFERROR(__xludf.DUMMYFUNCTION("""COMPUTED_VALUE"""),43807.99861111111)</f>
        <v>43807.99861</v>
      </c>
      <c r="B3237" s="1">
        <f>IFERROR(__xludf.DUMMYFUNCTION("""COMPUTED_VALUE"""),3740.556508)</f>
        <v>3740.556508</v>
      </c>
    </row>
    <row r="3238">
      <c r="A3238" s="3">
        <f>IFERROR(__xludf.DUMMYFUNCTION("""COMPUTED_VALUE"""),43808.99861111111)</f>
        <v>43808.99861</v>
      </c>
      <c r="B3238" s="1">
        <f>IFERROR(__xludf.DUMMYFUNCTION("""COMPUTED_VALUE"""),3735.803064)</f>
        <v>3735.803064</v>
      </c>
    </row>
    <row r="3239">
      <c r="A3239" s="3">
        <f>IFERROR(__xludf.DUMMYFUNCTION("""COMPUTED_VALUE"""),43809.99861111111)</f>
        <v>43809.99861</v>
      </c>
      <c r="B3239" s="1">
        <f>IFERROR(__xludf.DUMMYFUNCTION("""COMPUTED_VALUE"""),3740.117576)</f>
        <v>3740.117576</v>
      </c>
    </row>
    <row r="3240">
      <c r="A3240" s="3">
        <f>IFERROR(__xludf.DUMMYFUNCTION("""COMPUTED_VALUE"""),43810.99861111111)</f>
        <v>43810.99861</v>
      </c>
      <c r="B3240" s="1">
        <f>IFERROR(__xludf.DUMMYFUNCTION("""COMPUTED_VALUE"""),3727.869752)</f>
        <v>3727.869752</v>
      </c>
    </row>
    <row r="3241">
      <c r="A3241" s="3">
        <f>IFERROR(__xludf.DUMMYFUNCTION("""COMPUTED_VALUE"""),43811.99861111111)</f>
        <v>43811.99861</v>
      </c>
      <c r="B3241" s="1">
        <f>IFERROR(__xludf.DUMMYFUNCTION("""COMPUTED_VALUE"""),3739.911128)</f>
        <v>3739.911128</v>
      </c>
    </row>
    <row r="3242">
      <c r="A3242" s="3">
        <f>IFERROR(__xludf.DUMMYFUNCTION("""COMPUTED_VALUE"""),43812.99861111111)</f>
        <v>43812.99861</v>
      </c>
      <c r="B3242" s="1">
        <f>IFERROR(__xludf.DUMMYFUNCTION("""COMPUTED_VALUE"""),3725.784601)</f>
        <v>3725.784601</v>
      </c>
    </row>
    <row r="3243">
      <c r="A3243" s="3">
        <f>IFERROR(__xludf.DUMMYFUNCTION("""COMPUTED_VALUE"""),43813.99861111111)</f>
        <v>43813.99861</v>
      </c>
      <c r="B3243" s="1">
        <f>IFERROR(__xludf.DUMMYFUNCTION("""COMPUTED_VALUE"""),3725.784601)</f>
        <v>3725.784601</v>
      </c>
    </row>
    <row r="3244">
      <c r="A3244" s="3">
        <f>IFERROR(__xludf.DUMMYFUNCTION("""COMPUTED_VALUE"""),43814.99861111111)</f>
        <v>43814.99861</v>
      </c>
      <c r="B3244" s="1">
        <f>IFERROR(__xludf.DUMMYFUNCTION("""COMPUTED_VALUE"""),3725.49288)</f>
        <v>3725.49288</v>
      </c>
    </row>
    <row r="3245">
      <c r="A3245" s="3">
        <f>IFERROR(__xludf.DUMMYFUNCTION("""COMPUTED_VALUE"""),43815.99861111111)</f>
        <v>43815.99861</v>
      </c>
      <c r="B3245" s="1">
        <f>IFERROR(__xludf.DUMMYFUNCTION("""COMPUTED_VALUE"""),3736.041696)</f>
        <v>3736.041696</v>
      </c>
    </row>
    <row r="3246">
      <c r="A3246" s="3">
        <f>IFERROR(__xludf.DUMMYFUNCTION("""COMPUTED_VALUE"""),43816.99861111111)</f>
        <v>43816.99861</v>
      </c>
      <c r="B3246" s="1">
        <f>IFERROR(__xludf.DUMMYFUNCTION("""COMPUTED_VALUE"""),3740.156582)</f>
        <v>3740.156582</v>
      </c>
    </row>
    <row r="3247">
      <c r="A3247" s="3">
        <f>IFERROR(__xludf.DUMMYFUNCTION("""COMPUTED_VALUE"""),43817.99861111111)</f>
        <v>43817.99861</v>
      </c>
      <c r="B3247" s="1">
        <f>IFERROR(__xludf.DUMMYFUNCTION("""COMPUTED_VALUE"""),3725.946022)</f>
        <v>3725.946022</v>
      </c>
    </row>
    <row r="3248">
      <c r="A3248" s="3">
        <f>IFERROR(__xludf.DUMMYFUNCTION("""COMPUTED_VALUE"""),43818.99861111111)</f>
        <v>43818.99861</v>
      </c>
      <c r="B3248" s="1">
        <f>IFERROR(__xludf.DUMMYFUNCTION("""COMPUTED_VALUE"""),3727.764366)</f>
        <v>3727.764366</v>
      </c>
    </row>
    <row r="3249">
      <c r="A3249" s="3">
        <f>IFERROR(__xludf.DUMMYFUNCTION("""COMPUTED_VALUE"""),43819.99861111111)</f>
        <v>43819.99861</v>
      </c>
      <c r="B3249" s="1">
        <f>IFERROR(__xludf.DUMMYFUNCTION("""COMPUTED_VALUE"""),3722.978452)</f>
        <v>3722.978452</v>
      </c>
    </row>
    <row r="3250">
      <c r="A3250" s="3">
        <f>IFERROR(__xludf.DUMMYFUNCTION("""COMPUTED_VALUE"""),43820.99861111111)</f>
        <v>43820.99861</v>
      </c>
      <c r="B3250" s="1">
        <f>IFERROR(__xludf.DUMMYFUNCTION("""COMPUTED_VALUE"""),3722.978452)</f>
        <v>3722.978452</v>
      </c>
    </row>
    <row r="3251">
      <c r="A3251" s="3">
        <f>IFERROR(__xludf.DUMMYFUNCTION("""COMPUTED_VALUE"""),43821.99861111111)</f>
        <v>43821.99861</v>
      </c>
      <c r="B3251" s="1">
        <f>IFERROR(__xludf.DUMMYFUNCTION("""COMPUTED_VALUE"""),3721.784834)</f>
        <v>3721.784834</v>
      </c>
    </row>
    <row r="3252">
      <c r="A3252" s="3">
        <f>IFERROR(__xludf.DUMMYFUNCTION("""COMPUTED_VALUE"""),43822.99861111111)</f>
        <v>43822.99861</v>
      </c>
      <c r="B3252" s="1">
        <f>IFERROR(__xludf.DUMMYFUNCTION("""COMPUTED_VALUE"""),3722.204957)</f>
        <v>3722.204957</v>
      </c>
    </row>
    <row r="3253">
      <c r="A3253" s="3">
        <f>IFERROR(__xludf.DUMMYFUNCTION("""COMPUTED_VALUE"""),43823.99861111111)</f>
        <v>43823.99861</v>
      </c>
      <c r="B3253" s="1">
        <f>IFERROR(__xludf.DUMMYFUNCTION("""COMPUTED_VALUE"""),3722.162608)</f>
        <v>3722.162608</v>
      </c>
    </row>
    <row r="3254">
      <c r="A3254" s="3">
        <f>IFERROR(__xludf.DUMMYFUNCTION("""COMPUTED_VALUE"""),43824.99861111111)</f>
        <v>43824.99861</v>
      </c>
      <c r="B3254" s="1">
        <f>IFERROR(__xludf.DUMMYFUNCTION("""COMPUTED_VALUE"""),3713.507181)</f>
        <v>3713.507181</v>
      </c>
    </row>
    <row r="3255">
      <c r="A3255" s="3">
        <f>IFERROR(__xludf.DUMMYFUNCTION("""COMPUTED_VALUE"""),43825.99861111111)</f>
        <v>43825.99861</v>
      </c>
      <c r="B3255" s="1">
        <f>IFERROR(__xludf.DUMMYFUNCTION("""COMPUTED_VALUE"""),3726.344905)</f>
        <v>3726.344905</v>
      </c>
    </row>
    <row r="3256">
      <c r="A3256" s="3">
        <f>IFERROR(__xludf.DUMMYFUNCTION("""COMPUTED_VALUE"""),43826.99861111111)</f>
        <v>43826.99861</v>
      </c>
      <c r="B3256" s="1">
        <f>IFERROR(__xludf.DUMMYFUNCTION("""COMPUTED_VALUE"""),3719.676303)</f>
        <v>3719.676303</v>
      </c>
    </row>
    <row r="3257">
      <c r="A3257" s="3">
        <f>IFERROR(__xludf.DUMMYFUNCTION("""COMPUTED_VALUE"""),43827.99861111111)</f>
        <v>43827.99861</v>
      </c>
      <c r="B3257" s="1">
        <f>IFERROR(__xludf.DUMMYFUNCTION("""COMPUTED_VALUE"""),3719.676303)</f>
        <v>3719.676303</v>
      </c>
    </row>
    <row r="3258">
      <c r="A3258" s="3">
        <f>IFERROR(__xludf.DUMMYFUNCTION("""COMPUTED_VALUE"""),43828.99861111111)</f>
        <v>43828.99861</v>
      </c>
      <c r="B3258" s="1">
        <f>IFERROR(__xludf.DUMMYFUNCTION("""COMPUTED_VALUE"""),3720.879133)</f>
        <v>3720.879133</v>
      </c>
    </row>
    <row r="3259">
      <c r="A3259" s="3">
        <f>IFERROR(__xludf.DUMMYFUNCTION("""COMPUTED_VALUE"""),43829.99861111111)</f>
        <v>43829.99861</v>
      </c>
      <c r="B3259" s="1">
        <f>IFERROR(__xludf.DUMMYFUNCTION("""COMPUTED_VALUE"""),3711.427451)</f>
        <v>3711.427451</v>
      </c>
    </row>
    <row r="3260">
      <c r="A3260" s="3">
        <f>IFERROR(__xludf.DUMMYFUNCTION("""COMPUTED_VALUE"""),43830.99861111111)</f>
        <v>43830.99861</v>
      </c>
      <c r="B3260" s="1">
        <f>IFERROR(__xludf.DUMMYFUNCTION("""COMPUTED_VALUE"""),3701.043702)</f>
        <v>3701.043702</v>
      </c>
    </row>
    <row r="3261">
      <c r="A3261" s="3">
        <f>IFERROR(__xludf.DUMMYFUNCTION("""COMPUTED_VALUE"""),43831.99861111111)</f>
        <v>43831.99861</v>
      </c>
      <c r="B3261" s="1">
        <f>IFERROR(__xludf.DUMMYFUNCTION("""COMPUTED_VALUE"""),3703.337713)</f>
        <v>3703.337713</v>
      </c>
    </row>
    <row r="3262">
      <c r="A3262" s="3">
        <f>IFERROR(__xludf.DUMMYFUNCTION("""COMPUTED_VALUE"""),43832.99861111111)</f>
        <v>43832.99861</v>
      </c>
      <c r="B3262" s="1">
        <f>IFERROR(__xludf.DUMMYFUNCTION("""COMPUTED_VALUE"""),3702.940606)</f>
        <v>3702.940606</v>
      </c>
    </row>
    <row r="3263">
      <c r="A3263" s="3">
        <f>IFERROR(__xludf.DUMMYFUNCTION("""COMPUTED_VALUE"""),43833.99861111111)</f>
        <v>43833.99861</v>
      </c>
      <c r="B3263" s="1">
        <f>IFERROR(__xludf.DUMMYFUNCTION("""COMPUTED_VALUE"""),3715.417487)</f>
        <v>3715.417487</v>
      </c>
    </row>
    <row r="3264">
      <c r="A3264" s="3">
        <f>IFERROR(__xludf.DUMMYFUNCTION("""COMPUTED_VALUE"""),43834.99861111111)</f>
        <v>43834.99861</v>
      </c>
      <c r="B3264" s="1">
        <f>IFERROR(__xludf.DUMMYFUNCTION("""COMPUTED_VALUE"""),3715.417487)</f>
        <v>3715.417487</v>
      </c>
    </row>
    <row r="3265">
      <c r="A3265" s="3">
        <f>IFERROR(__xludf.DUMMYFUNCTION("""COMPUTED_VALUE"""),43835.99861111111)</f>
        <v>43835.99861</v>
      </c>
      <c r="B3265" s="1">
        <f>IFERROR(__xludf.DUMMYFUNCTION("""COMPUTED_VALUE"""),3715.031979)</f>
        <v>3715.031979</v>
      </c>
    </row>
    <row r="3266">
      <c r="A3266" s="3">
        <f>IFERROR(__xludf.DUMMYFUNCTION("""COMPUTED_VALUE"""),43836.99861111111)</f>
        <v>43836.99861</v>
      </c>
      <c r="B3266" s="1">
        <f>IFERROR(__xludf.DUMMYFUNCTION("""COMPUTED_VALUE"""),3712.217951)</f>
        <v>3712.217951</v>
      </c>
    </row>
    <row r="3267">
      <c r="A3267" s="3">
        <f>IFERROR(__xludf.DUMMYFUNCTION("""COMPUTED_VALUE"""),43837.99861111111)</f>
        <v>43837.99861</v>
      </c>
      <c r="B3267" s="1">
        <f>IFERROR(__xludf.DUMMYFUNCTION("""COMPUTED_VALUE"""),3697.619235)</f>
        <v>3697.619235</v>
      </c>
    </row>
    <row r="3268">
      <c r="A3268" s="3">
        <f>IFERROR(__xludf.DUMMYFUNCTION("""COMPUTED_VALUE"""),43838.99861111111)</f>
        <v>43838.99861</v>
      </c>
      <c r="B3268" s="1">
        <f>IFERROR(__xludf.DUMMYFUNCTION("""COMPUTED_VALUE"""),3706.59446)</f>
        <v>3706.59446</v>
      </c>
    </row>
    <row r="3269">
      <c r="A3269" s="3">
        <f>IFERROR(__xludf.DUMMYFUNCTION("""COMPUTED_VALUE"""),43839.99861111111)</f>
        <v>43839.99861</v>
      </c>
      <c r="B3269" s="1">
        <f>IFERROR(__xludf.DUMMYFUNCTION("""COMPUTED_VALUE"""),3687.51972)</f>
        <v>3687.51972</v>
      </c>
    </row>
    <row r="3270">
      <c r="A3270" s="3">
        <f>IFERROR(__xludf.DUMMYFUNCTION("""COMPUTED_VALUE"""),43840.99861111111)</f>
        <v>43840.99861</v>
      </c>
      <c r="B3270" s="1">
        <f>IFERROR(__xludf.DUMMYFUNCTION("""COMPUTED_VALUE"""),3667.22064)</f>
        <v>3667.22064</v>
      </c>
    </row>
    <row r="3271">
      <c r="A3271" s="3">
        <f>IFERROR(__xludf.DUMMYFUNCTION("""COMPUTED_VALUE"""),43841.99861111111)</f>
        <v>43841.99861</v>
      </c>
      <c r="B3271" s="1">
        <f>IFERROR(__xludf.DUMMYFUNCTION("""COMPUTED_VALUE"""),3667.165886)</f>
        <v>3667.165886</v>
      </c>
    </row>
    <row r="3272">
      <c r="A3272" s="3">
        <f>IFERROR(__xludf.DUMMYFUNCTION("""COMPUTED_VALUE"""),43842.99861111111)</f>
        <v>43842.99861</v>
      </c>
      <c r="B3272" s="1">
        <f>IFERROR(__xludf.DUMMYFUNCTION("""COMPUTED_VALUE"""),3659.284574)</f>
        <v>3659.284574</v>
      </c>
    </row>
    <row r="3273">
      <c r="A3273" s="3">
        <f>IFERROR(__xludf.DUMMYFUNCTION("""COMPUTED_VALUE"""),43843.99861111111)</f>
        <v>43843.99861</v>
      </c>
      <c r="B3273" s="1">
        <f>IFERROR(__xludf.DUMMYFUNCTION("""COMPUTED_VALUE"""),3643.31734)</f>
        <v>3643.31734</v>
      </c>
    </row>
    <row r="3274">
      <c r="A3274" s="3">
        <f>IFERROR(__xludf.DUMMYFUNCTION("""COMPUTED_VALUE"""),43844.99861111111)</f>
        <v>43844.99861</v>
      </c>
      <c r="B3274" s="1">
        <f>IFERROR(__xludf.DUMMYFUNCTION("""COMPUTED_VALUE"""),3645.039757)</f>
        <v>3645.039757</v>
      </c>
    </row>
    <row r="3275">
      <c r="A3275" s="3">
        <f>IFERROR(__xludf.DUMMYFUNCTION("""COMPUTED_VALUE"""),43845.99861111111)</f>
        <v>43845.99861</v>
      </c>
      <c r="B3275" s="1">
        <f>IFERROR(__xludf.DUMMYFUNCTION("""COMPUTED_VALUE"""),3643.549179)</f>
        <v>3643.549179</v>
      </c>
    </row>
    <row r="3276">
      <c r="A3276" s="3">
        <f>IFERROR(__xludf.DUMMYFUNCTION("""COMPUTED_VALUE"""),43846.99861111111)</f>
        <v>43846.99861</v>
      </c>
      <c r="B3276" s="1">
        <f>IFERROR(__xludf.DUMMYFUNCTION("""COMPUTED_VALUE"""),3633.546462)</f>
        <v>3633.546462</v>
      </c>
    </row>
    <row r="3277">
      <c r="A3277" s="3">
        <f>IFERROR(__xludf.DUMMYFUNCTION("""COMPUTED_VALUE"""),43847.99861111111)</f>
        <v>43847.99861</v>
      </c>
      <c r="B3277" s="1">
        <f>IFERROR(__xludf.DUMMYFUNCTION("""COMPUTED_VALUE"""),3637.930902)</f>
        <v>3637.930902</v>
      </c>
    </row>
    <row r="3278">
      <c r="A3278" s="3">
        <f>IFERROR(__xludf.DUMMYFUNCTION("""COMPUTED_VALUE"""),43848.99861111111)</f>
        <v>43848.99861</v>
      </c>
      <c r="B3278" s="1">
        <f>IFERROR(__xludf.DUMMYFUNCTION("""COMPUTED_VALUE"""),3637.930902)</f>
        <v>3637.930902</v>
      </c>
    </row>
    <row r="3279">
      <c r="A3279" s="3">
        <f>IFERROR(__xludf.DUMMYFUNCTION("""COMPUTED_VALUE"""),43849.99861111111)</f>
        <v>43849.99861</v>
      </c>
      <c r="B3279" s="1">
        <f>IFERROR(__xludf.DUMMYFUNCTION("""COMPUTED_VALUE"""),3641.743993)</f>
        <v>3641.743993</v>
      </c>
    </row>
    <row r="3280">
      <c r="A3280" s="3">
        <f>IFERROR(__xludf.DUMMYFUNCTION("""COMPUTED_VALUE"""),43850.99861111111)</f>
        <v>43850.99861</v>
      </c>
      <c r="B3280" s="1">
        <f>IFERROR(__xludf.DUMMYFUNCTION("""COMPUTED_VALUE"""),3630.668526)</f>
        <v>3630.668526</v>
      </c>
    </row>
    <row r="3281">
      <c r="A3281" s="3">
        <f>IFERROR(__xludf.DUMMYFUNCTION("""COMPUTED_VALUE"""),43851.99861111111)</f>
        <v>43851.99861</v>
      </c>
      <c r="B3281" s="1">
        <f>IFERROR(__xludf.DUMMYFUNCTION("""COMPUTED_VALUE"""),3641.337426)</f>
        <v>3641.337426</v>
      </c>
    </row>
    <row r="3282">
      <c r="A3282" s="3">
        <f>IFERROR(__xludf.DUMMYFUNCTION("""COMPUTED_VALUE"""),43852.99861111111)</f>
        <v>43852.99861</v>
      </c>
      <c r="B3282" s="1">
        <f>IFERROR(__xludf.DUMMYFUNCTION("""COMPUTED_VALUE"""),3633.741194)</f>
        <v>3633.741194</v>
      </c>
    </row>
    <row r="3283">
      <c r="A3283" s="3">
        <f>IFERROR(__xludf.DUMMYFUNCTION("""COMPUTED_VALUE"""),43853.99861111111)</f>
        <v>43853.99861</v>
      </c>
      <c r="B3283" s="1">
        <f>IFERROR(__xludf.DUMMYFUNCTION("""COMPUTED_VALUE"""),3629.366348)</f>
        <v>3629.366348</v>
      </c>
    </row>
    <row r="3284">
      <c r="A3284" s="3">
        <f>IFERROR(__xludf.DUMMYFUNCTION("""COMPUTED_VALUE"""),43854.99861111111)</f>
        <v>43854.99861</v>
      </c>
      <c r="B3284" s="1">
        <f>IFERROR(__xludf.DUMMYFUNCTION("""COMPUTED_VALUE"""),3627.6887)</f>
        <v>3627.6887</v>
      </c>
    </row>
    <row r="3285">
      <c r="A3285" s="3">
        <f>IFERROR(__xludf.DUMMYFUNCTION("""COMPUTED_VALUE"""),43855.99861111111)</f>
        <v>43855.99861</v>
      </c>
      <c r="B3285" s="1">
        <f>IFERROR(__xludf.DUMMYFUNCTION("""COMPUTED_VALUE"""),3627.6887)</f>
        <v>3627.6887</v>
      </c>
    </row>
    <row r="3286">
      <c r="A3286" s="3">
        <f>IFERROR(__xludf.DUMMYFUNCTION("""COMPUTED_VALUE"""),43856.99861111111)</f>
        <v>43856.99861</v>
      </c>
      <c r="B3286" s="1">
        <f>IFERROR(__xludf.DUMMYFUNCTION("""COMPUTED_VALUE"""),3656.175929)</f>
        <v>3656.175929</v>
      </c>
    </row>
    <row r="3287">
      <c r="A3287" s="3">
        <f>IFERROR(__xludf.DUMMYFUNCTION("""COMPUTED_VALUE"""),43857.99861111111)</f>
        <v>43857.99861</v>
      </c>
      <c r="B3287" s="1">
        <f>IFERROR(__xludf.DUMMYFUNCTION("""COMPUTED_VALUE"""),3523.323506)</f>
        <v>3523.323506</v>
      </c>
    </row>
    <row r="3288">
      <c r="A3288" s="3">
        <f>IFERROR(__xludf.DUMMYFUNCTION("""COMPUTED_VALUE"""),43858.99861111111)</f>
        <v>43858.99861</v>
      </c>
      <c r="B3288" s="1">
        <f>IFERROR(__xludf.DUMMYFUNCTION("""COMPUTED_VALUE"""),3635.082129)</f>
        <v>3635.082129</v>
      </c>
    </row>
    <row r="3289">
      <c r="A3289" s="3">
        <f>IFERROR(__xludf.DUMMYFUNCTION("""COMPUTED_VALUE"""),43859.99861111111)</f>
        <v>43859.99861</v>
      </c>
      <c r="B3289" s="1">
        <f>IFERROR(__xludf.DUMMYFUNCTION("""COMPUTED_VALUE"""),3640.162428)</f>
        <v>3640.162428</v>
      </c>
    </row>
    <row r="3290">
      <c r="A3290" s="3">
        <f>IFERROR(__xludf.DUMMYFUNCTION("""COMPUTED_VALUE"""),43860.99861111111)</f>
        <v>43860.99861</v>
      </c>
      <c r="B3290" s="1">
        <f>IFERROR(__xludf.DUMMYFUNCTION("""COMPUTED_VALUE"""),3637.553079)</f>
        <v>3637.553079</v>
      </c>
    </row>
    <row r="3291">
      <c r="A3291" s="3">
        <f>IFERROR(__xludf.DUMMYFUNCTION("""COMPUTED_VALUE"""),43861.99861111111)</f>
        <v>43861.99861</v>
      </c>
      <c r="B3291" s="1">
        <f>IFERROR(__xludf.DUMMYFUNCTION("""COMPUTED_VALUE"""),3670.943964)</f>
        <v>3670.943964</v>
      </c>
    </row>
    <row r="3292">
      <c r="A3292" s="3">
        <f>IFERROR(__xludf.DUMMYFUNCTION("""COMPUTED_VALUE"""),43862.99861111111)</f>
        <v>43862.99861</v>
      </c>
      <c r="B3292" s="1">
        <f>IFERROR(__xludf.DUMMYFUNCTION("""COMPUTED_VALUE"""),3670.943964)</f>
        <v>3670.943964</v>
      </c>
    </row>
    <row r="3293">
      <c r="A3293" s="3">
        <f>IFERROR(__xludf.DUMMYFUNCTION("""COMPUTED_VALUE"""),43863.99861111111)</f>
        <v>43863.99861</v>
      </c>
      <c r="B3293" s="1">
        <f>IFERROR(__xludf.DUMMYFUNCTION("""COMPUTED_VALUE"""),3634.956444)</f>
        <v>3634.956444</v>
      </c>
    </row>
    <row r="3294">
      <c r="A3294" s="3">
        <f>IFERROR(__xludf.DUMMYFUNCTION("""COMPUTED_VALUE"""),43864.99861111111)</f>
        <v>43864.99861</v>
      </c>
      <c r="B3294" s="1">
        <f>IFERROR(__xludf.DUMMYFUNCTION("""COMPUTED_VALUE"""),3661.624034)</f>
        <v>3661.624034</v>
      </c>
    </row>
    <row r="3295">
      <c r="A3295" s="3">
        <f>IFERROR(__xludf.DUMMYFUNCTION("""COMPUTED_VALUE"""),43865.99861111111)</f>
        <v>43865.99861</v>
      </c>
      <c r="B3295" s="1">
        <f>IFERROR(__xludf.DUMMYFUNCTION("""COMPUTED_VALUE"""),3653.560123)</f>
        <v>3653.560123</v>
      </c>
    </row>
    <row r="3296">
      <c r="A3296" s="3">
        <f>IFERROR(__xludf.DUMMYFUNCTION("""COMPUTED_VALUE"""),43866.99861111111)</f>
        <v>43866.99861</v>
      </c>
      <c r="B3296" s="1">
        <f>IFERROR(__xludf.DUMMYFUNCTION("""COMPUTED_VALUE"""),3644.289022)</f>
        <v>3644.289022</v>
      </c>
    </row>
    <row r="3297">
      <c r="A3297" s="3">
        <f>IFERROR(__xludf.DUMMYFUNCTION("""COMPUTED_VALUE"""),43867.99861111111)</f>
        <v>43867.99861</v>
      </c>
      <c r="B3297" s="1">
        <f>IFERROR(__xludf.DUMMYFUNCTION("""COMPUTED_VALUE"""),3652.686011)</f>
        <v>3652.686011</v>
      </c>
    </row>
    <row r="3298">
      <c r="A3298" s="3">
        <f>IFERROR(__xludf.DUMMYFUNCTION("""COMPUTED_VALUE"""),43868.99861111111)</f>
        <v>43868.99861</v>
      </c>
      <c r="B3298" s="1">
        <f>IFERROR(__xludf.DUMMYFUNCTION("""COMPUTED_VALUE"""),3647.031845)</f>
        <v>3647.031845</v>
      </c>
    </row>
    <row r="3299">
      <c r="A3299" s="3">
        <f>IFERROR(__xludf.DUMMYFUNCTION("""COMPUTED_VALUE"""),43869.99861111111)</f>
        <v>43869.99861</v>
      </c>
      <c r="B3299" s="1">
        <f>IFERROR(__xludf.DUMMYFUNCTION("""COMPUTED_VALUE"""),3647.031845)</f>
        <v>3647.031845</v>
      </c>
    </row>
    <row r="3300">
      <c r="A3300" s="3">
        <f>IFERROR(__xludf.DUMMYFUNCTION("""COMPUTED_VALUE"""),43870.99861111111)</f>
        <v>43870.99861</v>
      </c>
      <c r="B3300" s="1">
        <f>IFERROR(__xludf.DUMMYFUNCTION("""COMPUTED_VALUE"""),3646.847701)</f>
        <v>3646.847701</v>
      </c>
    </row>
    <row r="3301">
      <c r="A3301" s="3">
        <f>IFERROR(__xludf.DUMMYFUNCTION("""COMPUTED_VALUE"""),43871.99861111111)</f>
        <v>43871.99861</v>
      </c>
      <c r="B3301" s="1">
        <f>IFERROR(__xludf.DUMMYFUNCTION("""COMPUTED_VALUE"""),3654.146105)</f>
        <v>3654.146105</v>
      </c>
    </row>
    <row r="3302">
      <c r="A3302" s="3">
        <f>IFERROR(__xludf.DUMMYFUNCTION("""COMPUTED_VALUE"""),43872.99861111111)</f>
        <v>43872.99861</v>
      </c>
      <c r="B3302" s="1">
        <f>IFERROR(__xludf.DUMMYFUNCTION("""COMPUTED_VALUE"""),3642.323584)</f>
        <v>3642.323584</v>
      </c>
    </row>
    <row r="3303">
      <c r="A3303" s="3">
        <f>IFERROR(__xludf.DUMMYFUNCTION("""COMPUTED_VALUE"""),43873.99861111111)</f>
        <v>43873.99861</v>
      </c>
      <c r="B3303" s="1">
        <f>IFERROR(__xludf.DUMMYFUNCTION("""COMPUTED_VALUE"""),3656.164712)</f>
        <v>3656.164712</v>
      </c>
    </row>
    <row r="3304">
      <c r="A3304" s="3">
        <f>IFERROR(__xludf.DUMMYFUNCTION("""COMPUTED_VALUE"""),43874.99861111111)</f>
        <v>43874.99861</v>
      </c>
      <c r="B3304" s="1">
        <f>IFERROR(__xludf.DUMMYFUNCTION("""COMPUTED_VALUE"""),3665.185411)</f>
        <v>3665.185411</v>
      </c>
    </row>
    <row r="3305">
      <c r="A3305" s="3">
        <f>IFERROR(__xludf.DUMMYFUNCTION("""COMPUTED_VALUE"""),43875.99861111111)</f>
        <v>43875.99861</v>
      </c>
      <c r="B3305" s="1">
        <f>IFERROR(__xludf.DUMMYFUNCTION("""COMPUTED_VALUE"""),3651.532239)</f>
        <v>3651.532239</v>
      </c>
    </row>
    <row r="3306">
      <c r="A3306" s="3">
        <f>IFERROR(__xludf.DUMMYFUNCTION("""COMPUTED_VALUE"""),43876.99861111111)</f>
        <v>43876.99861</v>
      </c>
      <c r="B3306" s="1">
        <f>IFERROR(__xludf.DUMMYFUNCTION("""COMPUTED_VALUE"""),3651.532239)</f>
        <v>3651.532239</v>
      </c>
    </row>
    <row r="3307">
      <c r="A3307" s="3">
        <f>IFERROR(__xludf.DUMMYFUNCTION("""COMPUTED_VALUE"""),43877.99861111111)</f>
        <v>43877.99861</v>
      </c>
      <c r="B3307" s="1">
        <f>IFERROR(__xludf.DUMMYFUNCTION("""COMPUTED_VALUE"""),3648.797454)</f>
        <v>3648.797454</v>
      </c>
    </row>
    <row r="3308">
      <c r="A3308" s="3">
        <f>IFERROR(__xludf.DUMMYFUNCTION("""COMPUTED_VALUE"""),43878.99861111111)</f>
        <v>43878.99861</v>
      </c>
      <c r="B3308" s="1">
        <f>IFERROR(__xludf.DUMMYFUNCTION("""COMPUTED_VALUE"""),3660.082881)</f>
        <v>3660.082881</v>
      </c>
    </row>
    <row r="3309">
      <c r="A3309" s="3">
        <f>IFERROR(__xludf.DUMMYFUNCTION("""COMPUTED_VALUE"""),43879.99861111111)</f>
        <v>43879.99861</v>
      </c>
      <c r="B3309" s="1">
        <f>IFERROR(__xludf.DUMMYFUNCTION("""COMPUTED_VALUE"""),3671.580632)</f>
        <v>3671.580632</v>
      </c>
    </row>
    <row r="3310">
      <c r="A3310" s="3">
        <f>IFERROR(__xludf.DUMMYFUNCTION("""COMPUTED_VALUE"""),43880.99861111111)</f>
        <v>43880.99861</v>
      </c>
      <c r="B3310" s="1">
        <f>IFERROR(__xludf.DUMMYFUNCTION("""COMPUTED_VALUE"""),3643.837047)</f>
        <v>3643.837047</v>
      </c>
    </row>
    <row r="3311">
      <c r="A3311" s="3">
        <f>IFERROR(__xludf.DUMMYFUNCTION("""COMPUTED_VALUE"""),43881.99861111111)</f>
        <v>43881.99861</v>
      </c>
      <c r="B3311" s="1">
        <f>IFERROR(__xludf.DUMMYFUNCTION("""COMPUTED_VALUE"""),3654.873553)</f>
        <v>3654.873553</v>
      </c>
    </row>
    <row r="3312">
      <c r="A3312" s="3">
        <f>IFERROR(__xludf.DUMMYFUNCTION("""COMPUTED_VALUE"""),43882.99861111111)</f>
        <v>43882.99861</v>
      </c>
      <c r="B3312" s="1">
        <f>IFERROR(__xludf.DUMMYFUNCTION("""COMPUTED_VALUE"""),3672.265337)</f>
        <v>3672.265337</v>
      </c>
    </row>
    <row r="3313">
      <c r="A3313" s="3">
        <f>IFERROR(__xludf.DUMMYFUNCTION("""COMPUTED_VALUE"""),43883.99861111111)</f>
        <v>43883.99861</v>
      </c>
      <c r="B3313" s="1">
        <f>IFERROR(__xludf.DUMMYFUNCTION("""COMPUTED_VALUE"""),3672.265337)</f>
        <v>3672.265337</v>
      </c>
    </row>
    <row r="3314">
      <c r="A3314" s="3">
        <f>IFERROR(__xludf.DUMMYFUNCTION("""COMPUTED_VALUE"""),43884.99861111111)</f>
        <v>43884.99861</v>
      </c>
      <c r="B3314" s="1">
        <f>IFERROR(__xludf.DUMMYFUNCTION("""COMPUTED_VALUE"""),3672.157767)</f>
        <v>3672.157767</v>
      </c>
    </row>
    <row r="3315">
      <c r="A3315" s="3">
        <f>IFERROR(__xludf.DUMMYFUNCTION("""COMPUTED_VALUE"""),43885.99861111111)</f>
        <v>43885.99861</v>
      </c>
      <c r="B3315" s="1">
        <f>IFERROR(__xludf.DUMMYFUNCTION("""COMPUTED_VALUE"""),3701.306239)</f>
        <v>3701.306239</v>
      </c>
    </row>
    <row r="3316">
      <c r="A3316" s="3">
        <f>IFERROR(__xludf.DUMMYFUNCTION("""COMPUTED_VALUE"""),43886.99861111111)</f>
        <v>43886.99861</v>
      </c>
      <c r="B3316" s="1">
        <f>IFERROR(__xludf.DUMMYFUNCTION("""COMPUTED_VALUE"""),3746.906718)</f>
        <v>3746.906718</v>
      </c>
    </row>
    <row r="3317">
      <c r="A3317" s="3">
        <f>IFERROR(__xludf.DUMMYFUNCTION("""COMPUTED_VALUE"""),43887.99861111111)</f>
        <v>43887.99861</v>
      </c>
      <c r="B3317" s="1">
        <f>IFERROR(__xludf.DUMMYFUNCTION("""COMPUTED_VALUE"""),3713.935787)</f>
        <v>3713.935787</v>
      </c>
    </row>
    <row r="3318">
      <c r="A3318" s="3">
        <f>IFERROR(__xludf.DUMMYFUNCTION("""COMPUTED_VALUE"""),43888.99861111111)</f>
        <v>43888.99861</v>
      </c>
      <c r="B3318" s="1">
        <f>IFERROR(__xludf.DUMMYFUNCTION("""COMPUTED_VALUE"""),3815.694455)</f>
        <v>3815.694455</v>
      </c>
    </row>
    <row r="3319">
      <c r="A3319" s="3">
        <f>IFERROR(__xludf.DUMMYFUNCTION("""COMPUTED_VALUE"""),43889.99861111111)</f>
        <v>43889.99861</v>
      </c>
      <c r="B3319" s="1">
        <f>IFERROR(__xludf.DUMMYFUNCTION("""COMPUTED_VALUE"""),3815.31969)</f>
        <v>3815.31969</v>
      </c>
    </row>
    <row r="3320">
      <c r="A3320" s="3">
        <f>IFERROR(__xludf.DUMMYFUNCTION("""COMPUTED_VALUE"""),43890.99861111111)</f>
        <v>43890.99861</v>
      </c>
      <c r="B3320" s="1">
        <f>IFERROR(__xludf.DUMMYFUNCTION("""COMPUTED_VALUE"""),3815.31969)</f>
        <v>3815.31969</v>
      </c>
    </row>
    <row r="3321">
      <c r="A3321" s="3">
        <f>IFERROR(__xludf.DUMMYFUNCTION("""COMPUTED_VALUE"""),43891.99861111111)</f>
        <v>43891.99861</v>
      </c>
      <c r="B3321" s="1">
        <f>IFERROR(__xludf.DUMMYFUNCTION("""COMPUTED_VALUE"""),3725.477026)</f>
        <v>3725.477026</v>
      </c>
    </row>
    <row r="3322">
      <c r="A3322" s="3">
        <f>IFERROR(__xludf.DUMMYFUNCTION("""COMPUTED_VALUE"""),43892.99861111111)</f>
        <v>43892.99861</v>
      </c>
      <c r="B3322" s="1">
        <f>IFERROR(__xludf.DUMMYFUNCTION("""COMPUTED_VALUE"""),3793.078503)</f>
        <v>3793.078503</v>
      </c>
    </row>
    <row r="3323">
      <c r="A3323" s="3">
        <f>IFERROR(__xludf.DUMMYFUNCTION("""COMPUTED_VALUE"""),43893.99861111111)</f>
        <v>43893.99861</v>
      </c>
      <c r="B3323" s="1">
        <f>IFERROR(__xludf.DUMMYFUNCTION("""COMPUTED_VALUE"""),3784.403149)</f>
        <v>3784.403149</v>
      </c>
    </row>
    <row r="3324">
      <c r="A3324" s="3">
        <f>IFERROR(__xludf.DUMMYFUNCTION("""COMPUTED_VALUE"""),43894.99861111111)</f>
        <v>43894.99861</v>
      </c>
      <c r="B3324" s="1">
        <f>IFERROR(__xludf.DUMMYFUNCTION("""COMPUTED_VALUE"""),3773.639901)</f>
        <v>3773.639901</v>
      </c>
    </row>
    <row r="3325">
      <c r="A3325" s="3">
        <f>IFERROR(__xludf.DUMMYFUNCTION("""COMPUTED_VALUE"""),43895.99861111111)</f>
        <v>43895.99861</v>
      </c>
      <c r="B3325" s="1">
        <f>IFERROR(__xludf.DUMMYFUNCTION("""COMPUTED_VALUE"""),3859.070206)</f>
        <v>3859.070206</v>
      </c>
    </row>
    <row r="3326">
      <c r="A3326" s="3">
        <f>IFERROR(__xludf.DUMMYFUNCTION("""COMPUTED_VALUE"""),43896.99861111111)</f>
        <v>43896.99861</v>
      </c>
      <c r="B3326" s="1">
        <f>IFERROR(__xludf.DUMMYFUNCTION("""COMPUTED_VALUE"""),3799.740688)</f>
        <v>3799.740688</v>
      </c>
    </row>
    <row r="3327">
      <c r="A3327" s="3">
        <f>IFERROR(__xludf.DUMMYFUNCTION("""COMPUTED_VALUE"""),43897.99861111111)</f>
        <v>43897.99861</v>
      </c>
      <c r="B3327" s="1">
        <f>IFERROR(__xludf.DUMMYFUNCTION("""COMPUTED_VALUE"""),3799.444013)</f>
        <v>3799.444013</v>
      </c>
    </row>
    <row r="3328">
      <c r="A3328" s="3">
        <f>IFERROR(__xludf.DUMMYFUNCTION("""COMPUTED_VALUE"""),43898.99861111111)</f>
        <v>43898.99861</v>
      </c>
      <c r="B3328" s="1">
        <f>IFERROR(__xludf.DUMMYFUNCTION("""COMPUTED_VALUE"""),3798.300058)</f>
        <v>3798.300058</v>
      </c>
    </row>
    <row r="3329">
      <c r="A3329" s="3">
        <f>IFERROR(__xludf.DUMMYFUNCTION("""COMPUTED_VALUE"""),43899.99861111111)</f>
        <v>43899.99861</v>
      </c>
      <c r="B3329" s="1">
        <f>IFERROR(__xludf.DUMMYFUNCTION("""COMPUTED_VALUE"""),3753.692303)</f>
        <v>3753.692303</v>
      </c>
    </row>
    <row r="3330">
      <c r="A3330" s="3">
        <f>IFERROR(__xludf.DUMMYFUNCTION("""COMPUTED_VALUE"""),43900.99861111111)</f>
        <v>43900.99861</v>
      </c>
      <c r="B3330" s="1">
        <f>IFERROR(__xludf.DUMMYFUNCTION("""COMPUTED_VALUE"""),3802.730935)</f>
        <v>3802.730935</v>
      </c>
    </row>
    <row r="3331">
      <c r="A3331" s="3">
        <f>IFERROR(__xludf.DUMMYFUNCTION("""COMPUTED_VALUE"""),43901.99861111111)</f>
        <v>43901.99861</v>
      </c>
      <c r="B3331" s="1">
        <f>IFERROR(__xludf.DUMMYFUNCTION("""COMPUTED_VALUE"""),3871.605994)</f>
        <v>3871.605994</v>
      </c>
    </row>
    <row r="3332">
      <c r="A3332" s="3">
        <f>IFERROR(__xludf.DUMMYFUNCTION("""COMPUTED_VALUE"""),43902.99861111111)</f>
        <v>43902.99861</v>
      </c>
      <c r="B3332" s="1">
        <f>IFERROR(__xludf.DUMMYFUNCTION("""COMPUTED_VALUE"""),3959.627121)</f>
        <v>3959.627121</v>
      </c>
    </row>
    <row r="3333">
      <c r="A3333" s="3">
        <f>IFERROR(__xludf.DUMMYFUNCTION("""COMPUTED_VALUE"""),43903.99861111111)</f>
        <v>43903.99861</v>
      </c>
      <c r="B3333" s="1">
        <f>IFERROR(__xludf.DUMMYFUNCTION("""COMPUTED_VALUE"""),3903.006145)</f>
        <v>3903.006145</v>
      </c>
    </row>
    <row r="3334">
      <c r="A3334" s="3">
        <f>IFERROR(__xludf.DUMMYFUNCTION("""COMPUTED_VALUE"""),43904.99861111111)</f>
        <v>43904.99861</v>
      </c>
      <c r="B3334" s="1">
        <f>IFERROR(__xludf.DUMMYFUNCTION("""COMPUTED_VALUE"""),3903.006145)</f>
        <v>3903.006145</v>
      </c>
    </row>
    <row r="3335">
      <c r="A3335" s="3">
        <f>IFERROR(__xludf.DUMMYFUNCTION("""COMPUTED_VALUE"""),43905.99861111111)</f>
        <v>43905.99861</v>
      </c>
      <c r="B3335" s="1">
        <f>IFERROR(__xludf.DUMMYFUNCTION("""COMPUTED_VALUE"""),3896.595595)</f>
        <v>3896.595595</v>
      </c>
    </row>
    <row r="3336">
      <c r="A3336" s="3">
        <f>IFERROR(__xludf.DUMMYFUNCTION("""COMPUTED_VALUE"""),43906.99861111111)</f>
        <v>43906.99861</v>
      </c>
      <c r="B3336" s="1">
        <f>IFERROR(__xludf.DUMMYFUNCTION("""COMPUTED_VALUE"""),3963.639431)</f>
        <v>3963.639431</v>
      </c>
    </row>
    <row r="3337">
      <c r="A3337" s="3">
        <f>IFERROR(__xludf.DUMMYFUNCTION("""COMPUTED_VALUE"""),43907.99861111111)</f>
        <v>43907.99861</v>
      </c>
      <c r="B3337" s="1">
        <f>IFERROR(__xludf.DUMMYFUNCTION("""COMPUTED_VALUE"""),4031.983027)</f>
        <v>4031.983027</v>
      </c>
    </row>
    <row r="3338">
      <c r="A3338" s="3">
        <f>IFERROR(__xludf.DUMMYFUNCTION("""COMPUTED_VALUE"""),43908.99861111111)</f>
        <v>43908.99861</v>
      </c>
      <c r="B3338" s="1">
        <f>IFERROR(__xludf.DUMMYFUNCTION("""COMPUTED_VALUE"""),4018.939097)</f>
        <v>4018.939097</v>
      </c>
    </row>
    <row r="3339">
      <c r="A3339" s="3">
        <f>IFERROR(__xludf.DUMMYFUNCTION("""COMPUTED_VALUE"""),43909.99861111111)</f>
        <v>43909.99861</v>
      </c>
      <c r="B3339" s="1">
        <f>IFERROR(__xludf.DUMMYFUNCTION("""COMPUTED_VALUE"""),4231.533196)</f>
        <v>4231.533196</v>
      </c>
    </row>
    <row r="3340">
      <c r="A3340" s="3">
        <f>IFERROR(__xludf.DUMMYFUNCTION("""COMPUTED_VALUE"""),43910.99861111111)</f>
        <v>43910.99861</v>
      </c>
      <c r="B3340" s="1">
        <f>IFERROR(__xludf.DUMMYFUNCTION("""COMPUTED_VALUE"""),4198.945089)</f>
        <v>4198.945089</v>
      </c>
    </row>
    <row r="3341">
      <c r="A3341" s="3">
        <f>IFERROR(__xludf.DUMMYFUNCTION("""COMPUTED_VALUE"""),43911.99861111111)</f>
        <v>43911.99861</v>
      </c>
      <c r="B3341" s="1">
        <f>IFERROR(__xludf.DUMMYFUNCTION("""COMPUTED_VALUE"""),4215.060536)</f>
        <v>4215.060536</v>
      </c>
    </row>
    <row r="3342">
      <c r="A3342" s="3">
        <f>IFERROR(__xludf.DUMMYFUNCTION("""COMPUTED_VALUE"""),43912.99861111111)</f>
        <v>43912.99861</v>
      </c>
      <c r="B3342" s="1">
        <f>IFERROR(__xludf.DUMMYFUNCTION("""COMPUTED_VALUE"""),4200.809645)</f>
        <v>4200.809645</v>
      </c>
    </row>
    <row r="3343">
      <c r="A3343" s="3">
        <f>IFERROR(__xludf.DUMMYFUNCTION("""COMPUTED_VALUE"""),43913.99861111111)</f>
        <v>43913.99861</v>
      </c>
      <c r="B3343" s="1">
        <f>IFERROR(__xludf.DUMMYFUNCTION("""COMPUTED_VALUE"""),4396.400843)</f>
        <v>4396.400843</v>
      </c>
    </row>
    <row r="3344">
      <c r="A3344" s="3">
        <f>IFERROR(__xludf.DUMMYFUNCTION("""COMPUTED_VALUE"""),43914.99861111111)</f>
        <v>43914.99861</v>
      </c>
      <c r="B3344" s="1">
        <f>IFERROR(__xludf.DUMMYFUNCTION("""COMPUTED_VALUE"""),4321.292783)</f>
        <v>4321.292783</v>
      </c>
    </row>
    <row r="3345">
      <c r="A3345" s="3">
        <f>IFERROR(__xludf.DUMMYFUNCTION("""COMPUTED_VALUE"""),43915.99861111111)</f>
        <v>43915.99861</v>
      </c>
      <c r="B3345" s="1">
        <f>IFERROR(__xludf.DUMMYFUNCTION("""COMPUTED_VALUE"""),4381.97921)</f>
        <v>4381.97921</v>
      </c>
    </row>
    <row r="3346">
      <c r="A3346" s="3">
        <f>IFERROR(__xludf.DUMMYFUNCTION("""COMPUTED_VALUE"""),43916.99861111111)</f>
        <v>43916.99861</v>
      </c>
      <c r="B3346" s="1">
        <f>IFERROR(__xludf.DUMMYFUNCTION("""COMPUTED_VALUE"""),4321.761222)</f>
        <v>4321.761222</v>
      </c>
    </row>
    <row r="3347">
      <c r="A3347" s="3">
        <f>IFERROR(__xludf.DUMMYFUNCTION("""COMPUTED_VALUE"""),43917.99861111111)</f>
        <v>43917.99861</v>
      </c>
      <c r="B3347" s="1">
        <f>IFERROR(__xludf.DUMMYFUNCTION("""COMPUTED_VALUE"""),4265.464777)</f>
        <v>4265.464777</v>
      </c>
    </row>
    <row r="3348">
      <c r="A3348" s="3">
        <f>IFERROR(__xludf.DUMMYFUNCTION("""COMPUTED_VALUE"""),43918.99861111111)</f>
        <v>43918.99861</v>
      </c>
      <c r="B3348" s="1">
        <f>IFERROR(__xludf.DUMMYFUNCTION("""COMPUTED_VALUE"""),4265.464777)</f>
        <v>4265.464777</v>
      </c>
    </row>
    <row r="3349">
      <c r="A3349" s="3">
        <f>IFERROR(__xludf.DUMMYFUNCTION("""COMPUTED_VALUE"""),43919.99861111111)</f>
        <v>43919.99861</v>
      </c>
      <c r="B3349" s="1">
        <f>IFERROR(__xludf.DUMMYFUNCTION("""COMPUTED_VALUE"""),4256.796028)</f>
        <v>4256.796028</v>
      </c>
    </row>
    <row r="3350">
      <c r="A3350" s="3">
        <f>IFERROR(__xludf.DUMMYFUNCTION("""COMPUTED_VALUE"""),43920.99861111111)</f>
        <v>43920.99861</v>
      </c>
      <c r="B3350" s="1">
        <f>IFERROR(__xludf.DUMMYFUNCTION("""COMPUTED_VALUE"""),4352.376084)</f>
        <v>4352.376084</v>
      </c>
    </row>
    <row r="3351">
      <c r="A3351" s="3">
        <f>IFERROR(__xludf.DUMMYFUNCTION("""COMPUTED_VALUE"""),43921.99861111111)</f>
        <v>43921.99861</v>
      </c>
      <c r="B3351" s="1">
        <f>IFERROR(__xludf.DUMMYFUNCTION("""COMPUTED_VALUE"""),4324.332974)</f>
        <v>4324.332974</v>
      </c>
    </row>
    <row r="3352">
      <c r="A3352" s="3">
        <f>IFERROR(__xludf.DUMMYFUNCTION("""COMPUTED_VALUE"""),43922.99861111111)</f>
        <v>43922.99861</v>
      </c>
      <c r="B3352" s="1">
        <f>IFERROR(__xludf.DUMMYFUNCTION("""COMPUTED_VALUE"""),4364.192425)</f>
        <v>4364.192425</v>
      </c>
    </row>
    <row r="3353">
      <c r="A3353" s="3">
        <f>IFERROR(__xludf.DUMMYFUNCTION("""COMPUTED_VALUE"""),43923.99861111111)</f>
        <v>43923.99861</v>
      </c>
      <c r="B3353" s="1">
        <f>IFERROR(__xludf.DUMMYFUNCTION("""COMPUTED_VALUE"""),4372.011194)</f>
        <v>4372.011194</v>
      </c>
    </row>
    <row r="3354">
      <c r="A3354" s="3">
        <f>IFERROR(__xludf.DUMMYFUNCTION("""COMPUTED_VALUE"""),43924.99861111111)</f>
        <v>43924.99861</v>
      </c>
      <c r="B3354" s="1">
        <f>IFERROR(__xludf.DUMMYFUNCTION("""COMPUTED_VALUE"""),4425.122006)</f>
        <v>4425.122006</v>
      </c>
    </row>
    <row r="3355">
      <c r="A3355" s="3">
        <f>IFERROR(__xludf.DUMMYFUNCTION("""COMPUTED_VALUE"""),43925.99861111111)</f>
        <v>43925.99861</v>
      </c>
      <c r="B3355" s="1">
        <f>IFERROR(__xludf.DUMMYFUNCTION("""COMPUTED_VALUE"""),4352.727311)</f>
        <v>4352.727311</v>
      </c>
    </row>
    <row r="3356">
      <c r="A3356" s="3">
        <f>IFERROR(__xludf.DUMMYFUNCTION("""COMPUTED_VALUE"""),43926.99861111111)</f>
        <v>43926.99861</v>
      </c>
      <c r="B3356" s="1">
        <f>IFERROR(__xludf.DUMMYFUNCTION("""COMPUTED_VALUE"""),4364.868359)</f>
        <v>4364.868359</v>
      </c>
    </row>
    <row r="3357">
      <c r="A3357" s="3">
        <f>IFERROR(__xludf.DUMMYFUNCTION("""COMPUTED_VALUE"""),43927.99861111111)</f>
        <v>43927.99861</v>
      </c>
      <c r="B3357" s="1">
        <f>IFERROR(__xludf.DUMMYFUNCTION("""COMPUTED_VALUE"""),4352.734292)</f>
        <v>4352.734292</v>
      </c>
    </row>
    <row r="3358">
      <c r="A3358" s="3">
        <f>IFERROR(__xludf.DUMMYFUNCTION("""COMPUTED_VALUE"""),43928.99861111111)</f>
        <v>43928.99861</v>
      </c>
      <c r="B3358" s="1">
        <f>IFERROR(__xludf.DUMMYFUNCTION("""COMPUTED_VALUE"""),4324.271391)</f>
        <v>4324.271391</v>
      </c>
    </row>
    <row r="3359">
      <c r="A3359" s="3">
        <f>IFERROR(__xludf.DUMMYFUNCTION("""COMPUTED_VALUE"""),43929.99861111111)</f>
        <v>43929.99861</v>
      </c>
      <c r="B3359" s="1">
        <f>IFERROR(__xludf.DUMMYFUNCTION("""COMPUTED_VALUE"""),4308.814072)</f>
        <v>4308.814072</v>
      </c>
    </row>
    <row r="3360">
      <c r="A3360" s="3">
        <f>IFERROR(__xludf.DUMMYFUNCTION("""COMPUTED_VALUE"""),43930.99861111111)</f>
        <v>43930.99861</v>
      </c>
      <c r="B3360" s="1">
        <f>IFERROR(__xludf.DUMMYFUNCTION("""COMPUTED_VALUE"""),4229.003943)</f>
        <v>4229.003943</v>
      </c>
    </row>
    <row r="3361">
      <c r="A3361" s="3">
        <f>IFERROR(__xludf.DUMMYFUNCTION("""COMPUTED_VALUE"""),43931.99861111111)</f>
        <v>43931.99861</v>
      </c>
      <c r="B3361" s="1">
        <f>IFERROR(__xludf.DUMMYFUNCTION("""COMPUTED_VALUE"""),4198.031535)</f>
        <v>4198.031535</v>
      </c>
    </row>
    <row r="3362">
      <c r="A3362" s="3">
        <f>IFERROR(__xludf.DUMMYFUNCTION("""COMPUTED_VALUE"""),43932.99861111111)</f>
        <v>43932.99861</v>
      </c>
      <c r="B3362" s="1">
        <f>IFERROR(__xludf.DUMMYFUNCTION("""COMPUTED_VALUE"""),4198.031535)</f>
        <v>4198.031535</v>
      </c>
    </row>
    <row r="3363">
      <c r="A3363" s="3">
        <f>IFERROR(__xludf.DUMMYFUNCTION("""COMPUTED_VALUE"""),43933.99861111111)</f>
        <v>43933.99861</v>
      </c>
      <c r="B3363" s="1">
        <f>IFERROR(__xludf.DUMMYFUNCTION("""COMPUTED_VALUE"""),4201.461779)</f>
        <v>4201.461779</v>
      </c>
    </row>
    <row r="3364">
      <c r="A3364" s="3">
        <f>IFERROR(__xludf.DUMMYFUNCTION("""COMPUTED_VALUE"""),43934.99861111111)</f>
        <v>43934.99861</v>
      </c>
      <c r="B3364" s="1">
        <f>IFERROR(__xludf.DUMMYFUNCTION("""COMPUTED_VALUE"""),4215.178012)</f>
        <v>4215.178012</v>
      </c>
    </row>
    <row r="3365">
      <c r="A3365" s="3">
        <f>IFERROR(__xludf.DUMMYFUNCTION("""COMPUTED_VALUE"""),43935.99861111111)</f>
        <v>43935.99861</v>
      </c>
      <c r="B3365" s="1">
        <f>IFERROR(__xludf.DUMMYFUNCTION("""COMPUTED_VALUE"""),4144.950422)</f>
        <v>4144.950422</v>
      </c>
    </row>
    <row r="3366">
      <c r="A3366" s="3">
        <f>IFERROR(__xludf.DUMMYFUNCTION("""COMPUTED_VALUE"""),43936.99861111111)</f>
        <v>43936.99861</v>
      </c>
      <c r="B3366" s="1">
        <f>IFERROR(__xludf.DUMMYFUNCTION("""COMPUTED_VALUE"""),4231.520351)</f>
        <v>4231.520351</v>
      </c>
    </row>
    <row r="3367">
      <c r="A3367" s="3">
        <f>IFERROR(__xludf.DUMMYFUNCTION("""COMPUTED_VALUE"""),43937.99861111111)</f>
        <v>43937.99861</v>
      </c>
      <c r="B3367" s="1">
        <f>IFERROR(__xludf.DUMMYFUNCTION("""COMPUTED_VALUE"""),4146.360163)</f>
        <v>4146.360163</v>
      </c>
    </row>
    <row r="3368">
      <c r="A3368" s="3">
        <f>IFERROR(__xludf.DUMMYFUNCTION("""COMPUTED_VALUE"""),43938.99861111111)</f>
        <v>43938.99861</v>
      </c>
      <c r="B3368" s="1">
        <f>IFERROR(__xludf.DUMMYFUNCTION("""COMPUTED_VALUE"""),4111.960949)</f>
        <v>4111.960949</v>
      </c>
    </row>
    <row r="3369">
      <c r="A3369" s="3">
        <f>IFERROR(__xludf.DUMMYFUNCTION("""COMPUTED_VALUE"""),43939.99861111111)</f>
        <v>43939.99861</v>
      </c>
      <c r="B3369" s="1">
        <f>IFERROR(__xludf.DUMMYFUNCTION("""COMPUTED_VALUE"""),4111.111738)</f>
        <v>4111.111738</v>
      </c>
    </row>
    <row r="3370">
      <c r="A3370" s="3">
        <f>IFERROR(__xludf.DUMMYFUNCTION("""COMPUTED_VALUE"""),43940.99861111111)</f>
        <v>43940.99861</v>
      </c>
      <c r="B3370" s="1">
        <f>IFERROR(__xludf.DUMMYFUNCTION("""COMPUTED_VALUE"""),4105.361039)</f>
        <v>4105.361039</v>
      </c>
    </row>
    <row r="3371">
      <c r="A3371" s="3">
        <f>IFERROR(__xludf.DUMMYFUNCTION("""COMPUTED_VALUE"""),43941.99861111111)</f>
        <v>43941.99861</v>
      </c>
      <c r="B3371" s="1">
        <f>IFERROR(__xludf.DUMMYFUNCTION("""COMPUTED_VALUE"""),4098.623733)</f>
        <v>4098.623733</v>
      </c>
    </row>
    <row r="3372">
      <c r="A3372" s="3">
        <f>IFERROR(__xludf.DUMMYFUNCTION("""COMPUTED_VALUE"""),43942.99861111111)</f>
        <v>43942.99861</v>
      </c>
      <c r="B3372" s="1">
        <f>IFERROR(__xludf.DUMMYFUNCTION("""COMPUTED_VALUE"""),4103.645556)</f>
        <v>4103.645556</v>
      </c>
    </row>
    <row r="3373">
      <c r="A3373" s="3">
        <f>IFERROR(__xludf.DUMMYFUNCTION("""COMPUTED_VALUE"""),43943.99861111111)</f>
        <v>43943.99861</v>
      </c>
      <c r="B3373" s="1">
        <f>IFERROR(__xludf.DUMMYFUNCTION("""COMPUTED_VALUE"""),4095.392659)</f>
        <v>4095.392659</v>
      </c>
    </row>
    <row r="3374">
      <c r="A3374" s="3">
        <f>IFERROR(__xludf.DUMMYFUNCTION("""COMPUTED_VALUE"""),43944.99861111111)</f>
        <v>43944.99861</v>
      </c>
      <c r="B3374" s="1">
        <f>IFERROR(__xludf.DUMMYFUNCTION("""COMPUTED_VALUE"""),4095.279926)</f>
        <v>4095.279926</v>
      </c>
    </row>
    <row r="3375">
      <c r="A3375" s="3">
        <f>IFERROR(__xludf.DUMMYFUNCTION("""COMPUTED_VALUE"""),43945.99861111111)</f>
        <v>43945.99861</v>
      </c>
      <c r="B3375" s="1">
        <f>IFERROR(__xludf.DUMMYFUNCTION("""COMPUTED_VALUE"""),4145.442384)</f>
        <v>4145.442384</v>
      </c>
    </row>
    <row r="3376">
      <c r="A3376" s="3">
        <f>IFERROR(__xludf.DUMMYFUNCTION("""COMPUTED_VALUE"""),43946.99861111111)</f>
        <v>43946.99861</v>
      </c>
      <c r="B3376" s="1">
        <f>IFERROR(__xludf.DUMMYFUNCTION("""COMPUTED_VALUE"""),4138.847078)</f>
        <v>4138.847078</v>
      </c>
    </row>
    <row r="3377">
      <c r="A3377" s="3">
        <f>IFERROR(__xludf.DUMMYFUNCTION("""COMPUTED_VALUE"""),43947.99861111111)</f>
        <v>43947.99861</v>
      </c>
      <c r="B3377" s="1">
        <f>IFERROR(__xludf.DUMMYFUNCTION("""COMPUTED_VALUE"""),4081.711943)</f>
        <v>4081.711943</v>
      </c>
    </row>
    <row r="3378">
      <c r="A3378" s="3">
        <f>IFERROR(__xludf.DUMMYFUNCTION("""COMPUTED_VALUE"""),43948.99861111111)</f>
        <v>43948.99861</v>
      </c>
      <c r="B3378" s="1">
        <f>IFERROR(__xludf.DUMMYFUNCTION("""COMPUTED_VALUE"""),4073.310465)</f>
        <v>4073.310465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IFERROR(__xludf.DUMMYFUNCTION("googlefinance(""Currency:AEDIDR"",""price"",""01/01/2010"",""28/04/2020"",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IFERROR(__xludf.DUMMYFUNCTION("""COMPUTED_VALUE"""),40182.99861111111)</f>
        <v>40182.99861</v>
      </c>
      <c r="B2" s="1">
        <f>IFERROR(__xludf.DUMMYFUNCTION("""COMPUTED_VALUE"""),2552.399994)</f>
        <v>2552.399994</v>
      </c>
    </row>
    <row r="3">
      <c r="A3" s="3">
        <f>IFERROR(__xludf.DUMMYFUNCTION("""COMPUTED_VALUE"""),40183.99861111111)</f>
        <v>40183.99861</v>
      </c>
      <c r="B3" s="1">
        <f>IFERROR(__xludf.DUMMYFUNCTION("""COMPUTED_VALUE"""),2533.3407)</f>
        <v>2533.3407</v>
      </c>
    </row>
    <row r="4">
      <c r="A4" s="3">
        <f>IFERROR(__xludf.DUMMYFUNCTION("""COMPUTED_VALUE"""),40184.99861111111)</f>
        <v>40184.99861</v>
      </c>
      <c r="B4" s="1">
        <f>IFERROR(__xludf.DUMMYFUNCTION("""COMPUTED_VALUE"""),2509.627725)</f>
        <v>2509.627725</v>
      </c>
    </row>
    <row r="5">
      <c r="A5" s="3">
        <f>IFERROR(__xludf.DUMMYFUNCTION("""COMPUTED_VALUE"""),40185.99861111111)</f>
        <v>40185.99861</v>
      </c>
      <c r="B5" s="1">
        <f>IFERROR(__xludf.DUMMYFUNCTION("""COMPUTED_VALUE"""),2523.78905)</f>
        <v>2523.78905</v>
      </c>
    </row>
    <row r="6">
      <c r="A6" s="3">
        <f>IFERROR(__xludf.DUMMYFUNCTION("""COMPUTED_VALUE"""),40186.99861111111)</f>
        <v>40186.99861</v>
      </c>
      <c r="B6" s="1">
        <f>IFERROR(__xludf.DUMMYFUNCTION("""COMPUTED_VALUE"""),2507.69694)</f>
        <v>2507.69694</v>
      </c>
    </row>
    <row r="7">
      <c r="A7" s="3">
        <f>IFERROR(__xludf.DUMMYFUNCTION("""COMPUTED_VALUE"""),40189.99861111111)</f>
        <v>40189.99861</v>
      </c>
      <c r="B7" s="1">
        <f>IFERROR(__xludf.DUMMYFUNCTION("""COMPUTED_VALUE"""),2489.929858)</f>
        <v>2489.929858</v>
      </c>
    </row>
    <row r="8">
      <c r="A8" s="3">
        <f>IFERROR(__xludf.DUMMYFUNCTION("""COMPUTED_VALUE"""),40190.99861111111)</f>
        <v>40190.99861</v>
      </c>
      <c r="B8" s="1">
        <f>IFERROR(__xludf.DUMMYFUNCTION("""COMPUTED_VALUE"""),2496.16278)</f>
        <v>2496.16278</v>
      </c>
    </row>
    <row r="9">
      <c r="A9" s="3">
        <f>IFERROR(__xludf.DUMMYFUNCTION("""COMPUTED_VALUE"""),40191.99861111111)</f>
        <v>40191.99861</v>
      </c>
      <c r="B9" s="1">
        <f>IFERROR(__xludf.DUMMYFUNCTION("""COMPUTED_VALUE"""),2487.99738)</f>
        <v>2487.99738</v>
      </c>
    </row>
    <row r="10">
      <c r="A10" s="3">
        <f>IFERROR(__xludf.DUMMYFUNCTION("""COMPUTED_VALUE"""),40192.99861111111)</f>
        <v>40192.99861</v>
      </c>
      <c r="B10" s="1">
        <f>IFERROR(__xludf.DUMMYFUNCTION("""COMPUTED_VALUE"""),2492.025644)</f>
        <v>2492.025644</v>
      </c>
    </row>
    <row r="11">
      <c r="A11" s="3">
        <f>IFERROR(__xludf.DUMMYFUNCTION("""COMPUTED_VALUE"""),40193.99861111111)</f>
        <v>40193.99861</v>
      </c>
      <c r="B11" s="1">
        <f>IFERROR(__xludf.DUMMYFUNCTION("""COMPUTED_VALUE"""),2511.159898)</f>
        <v>2511.159898</v>
      </c>
    </row>
    <row r="12">
      <c r="A12" s="3">
        <f>IFERROR(__xludf.DUMMYFUNCTION("""COMPUTED_VALUE"""),40196.99861111111)</f>
        <v>40196.99861</v>
      </c>
      <c r="B12" s="1">
        <f>IFERROR(__xludf.DUMMYFUNCTION("""COMPUTED_VALUE"""),2485.0034)</f>
        <v>2485.0034</v>
      </c>
    </row>
    <row r="13">
      <c r="A13" s="3">
        <f>IFERROR(__xludf.DUMMYFUNCTION("""COMPUTED_VALUE"""),40197.99861111111)</f>
        <v>40197.99861</v>
      </c>
      <c r="B13" s="1">
        <f>IFERROR(__xludf.DUMMYFUNCTION("""COMPUTED_VALUE"""),2512.023192)</f>
        <v>2512.023192</v>
      </c>
    </row>
    <row r="14">
      <c r="A14" s="3">
        <f>IFERROR(__xludf.DUMMYFUNCTION("""COMPUTED_VALUE"""),40198.99861111111)</f>
        <v>40198.99861</v>
      </c>
      <c r="B14" s="1">
        <f>IFERROR(__xludf.DUMMYFUNCTION("""COMPUTED_VALUE"""),2529.99244)</f>
        <v>2529.99244</v>
      </c>
    </row>
    <row r="15">
      <c r="A15" s="3">
        <f>IFERROR(__xludf.DUMMYFUNCTION("""COMPUTED_VALUE"""),40199.99861111111)</f>
        <v>40199.99861</v>
      </c>
      <c r="B15" s="1">
        <f>IFERROR(__xludf.DUMMYFUNCTION("""COMPUTED_VALUE"""),2499.42894)</f>
        <v>2499.42894</v>
      </c>
    </row>
    <row r="16">
      <c r="A16" s="3">
        <f>IFERROR(__xludf.DUMMYFUNCTION("""COMPUTED_VALUE"""),40200.99861111111)</f>
        <v>40200.99861</v>
      </c>
      <c r="B16" s="1">
        <f>IFERROR(__xludf.DUMMYFUNCTION("""COMPUTED_VALUE"""),2514.9432)</f>
        <v>2514.9432</v>
      </c>
    </row>
    <row r="17">
      <c r="A17" s="3">
        <f>IFERROR(__xludf.DUMMYFUNCTION("""COMPUTED_VALUE"""),40203.99861111111)</f>
        <v>40203.99861</v>
      </c>
      <c r="B17" s="1">
        <f>IFERROR(__xludf.DUMMYFUNCTION("""COMPUTED_VALUE"""),2536.517592)</f>
        <v>2536.517592</v>
      </c>
    </row>
    <row r="18">
      <c r="A18" s="3">
        <f>IFERROR(__xludf.DUMMYFUNCTION("""COMPUTED_VALUE"""),40204.99861111111)</f>
        <v>40204.99861</v>
      </c>
      <c r="B18" s="1">
        <f>IFERROR(__xludf.DUMMYFUNCTION("""COMPUTED_VALUE"""),2553.034791)</f>
        <v>2553.034791</v>
      </c>
    </row>
    <row r="19">
      <c r="A19" s="3">
        <f>IFERROR(__xludf.DUMMYFUNCTION("""COMPUTED_VALUE"""),40205.99861111111)</f>
        <v>40205.99861</v>
      </c>
      <c r="B19" s="1">
        <f>IFERROR(__xludf.DUMMYFUNCTION("""COMPUTED_VALUE"""),2558.57239)</f>
        <v>2558.57239</v>
      </c>
    </row>
    <row r="20">
      <c r="A20" s="3">
        <f>IFERROR(__xludf.DUMMYFUNCTION("""COMPUTED_VALUE"""),40206.99861111111)</f>
        <v>40206.99861</v>
      </c>
      <c r="B20" s="1">
        <f>IFERROR(__xludf.DUMMYFUNCTION("""COMPUTED_VALUE"""),2538.064891)</f>
        <v>2538.064891</v>
      </c>
    </row>
    <row r="21">
      <c r="A21" s="3">
        <f>IFERROR(__xludf.DUMMYFUNCTION("""COMPUTED_VALUE"""),40207.99861111111)</f>
        <v>40207.99861</v>
      </c>
      <c r="B21" s="1">
        <f>IFERROR(__xludf.DUMMYFUNCTION("""COMPUTED_VALUE"""),2517.85)</f>
        <v>2517.85</v>
      </c>
    </row>
    <row r="22">
      <c r="A22" s="3">
        <f>IFERROR(__xludf.DUMMYFUNCTION("""COMPUTED_VALUE"""),40210.99861111111)</f>
        <v>40210.99861</v>
      </c>
      <c r="B22" s="1">
        <f>IFERROR(__xludf.DUMMYFUNCTION("""COMPUTED_VALUE"""),2519.406952)</f>
        <v>2519.406952</v>
      </c>
    </row>
    <row r="23">
      <c r="A23" s="3">
        <f>IFERROR(__xludf.DUMMYFUNCTION("""COMPUTED_VALUE"""),40211.99861111111)</f>
        <v>40211.99861</v>
      </c>
      <c r="B23" s="1">
        <f>IFERROR(__xludf.DUMMYFUNCTION("""COMPUTED_VALUE"""),2535.002866)</f>
        <v>2535.002866</v>
      </c>
    </row>
    <row r="24">
      <c r="A24" s="3">
        <f>IFERROR(__xludf.DUMMYFUNCTION("""COMPUTED_VALUE"""),40212.99861111111)</f>
        <v>40212.99861</v>
      </c>
      <c r="B24" s="1">
        <f>IFERROR(__xludf.DUMMYFUNCTION("""COMPUTED_VALUE"""),2549.418704)</f>
        <v>2549.418704</v>
      </c>
    </row>
    <row r="25">
      <c r="A25" s="3">
        <f>IFERROR(__xludf.DUMMYFUNCTION("""COMPUTED_VALUE"""),40213.99861111111)</f>
        <v>40213.99861</v>
      </c>
      <c r="B25" s="1">
        <f>IFERROR(__xludf.DUMMYFUNCTION("""COMPUTED_VALUE"""),2555.677394)</f>
        <v>2555.677394</v>
      </c>
    </row>
    <row r="26">
      <c r="A26" s="3">
        <f>IFERROR(__xludf.DUMMYFUNCTION("""COMPUTED_VALUE"""),40214.99861111111)</f>
        <v>40214.99861</v>
      </c>
      <c r="B26" s="1">
        <f>IFERROR(__xludf.DUMMYFUNCTION("""COMPUTED_VALUE"""),2577.595544)</f>
        <v>2577.595544</v>
      </c>
    </row>
    <row r="27">
      <c r="A27" s="3">
        <f>IFERROR(__xludf.DUMMYFUNCTION("""COMPUTED_VALUE"""),40217.99861111111)</f>
        <v>40217.99861</v>
      </c>
      <c r="B27" s="1">
        <f>IFERROR(__xludf.DUMMYFUNCTION("""COMPUTED_VALUE"""),2581.965435)</f>
        <v>2581.965435</v>
      </c>
    </row>
    <row r="28">
      <c r="A28" s="3">
        <f>IFERROR(__xludf.DUMMYFUNCTION("""COMPUTED_VALUE"""),40218.99861111111)</f>
        <v>40218.99861</v>
      </c>
      <c r="B28" s="1">
        <f>IFERROR(__xludf.DUMMYFUNCTION("""COMPUTED_VALUE"""),2542.531032)</f>
        <v>2542.531032</v>
      </c>
    </row>
    <row r="29">
      <c r="A29" s="3">
        <f>IFERROR(__xludf.DUMMYFUNCTION("""COMPUTED_VALUE"""),40219.99861111111)</f>
        <v>40219.99861</v>
      </c>
      <c r="B29" s="1">
        <f>IFERROR(__xludf.DUMMYFUNCTION("""COMPUTED_VALUE"""),2535.193392)</f>
        <v>2535.193392</v>
      </c>
    </row>
    <row r="30">
      <c r="A30" s="3">
        <f>IFERROR(__xludf.DUMMYFUNCTION("""COMPUTED_VALUE"""),40220.99861111111)</f>
        <v>40220.99861</v>
      </c>
      <c r="B30" s="1">
        <f>IFERROR(__xludf.DUMMYFUNCTION("""COMPUTED_VALUE"""),2540.119725)</f>
        <v>2540.119725</v>
      </c>
    </row>
    <row r="31">
      <c r="A31" s="3">
        <f>IFERROR(__xludf.DUMMYFUNCTION("""COMPUTED_VALUE"""),40221.99861111111)</f>
        <v>40221.99861</v>
      </c>
      <c r="B31" s="1">
        <f>IFERROR(__xludf.DUMMYFUNCTION("""COMPUTED_VALUE"""),2538.190851)</f>
        <v>2538.190851</v>
      </c>
    </row>
    <row r="32">
      <c r="A32" s="3">
        <f>IFERROR(__xludf.DUMMYFUNCTION("""COMPUTED_VALUE"""),40224.99861111111)</f>
        <v>40224.99861</v>
      </c>
      <c r="B32" s="1">
        <f>IFERROR(__xludf.DUMMYFUNCTION("""COMPUTED_VALUE"""),2543.467664)</f>
        <v>2543.467664</v>
      </c>
    </row>
    <row r="33">
      <c r="A33" s="3">
        <f>IFERROR(__xludf.DUMMYFUNCTION("""COMPUTED_VALUE"""),40225.99861111111)</f>
        <v>40225.99861</v>
      </c>
      <c r="B33" s="1">
        <f>IFERROR(__xludf.DUMMYFUNCTION("""COMPUTED_VALUE"""),2532.779895)</f>
        <v>2532.779895</v>
      </c>
    </row>
    <row r="34">
      <c r="A34" s="3">
        <f>IFERROR(__xludf.DUMMYFUNCTION("""COMPUTED_VALUE"""),40226.99861111111)</f>
        <v>40226.99861</v>
      </c>
      <c r="B34" s="1">
        <f>IFERROR(__xludf.DUMMYFUNCTION("""COMPUTED_VALUE"""),2558.749314)</f>
        <v>2558.749314</v>
      </c>
    </row>
    <row r="35">
      <c r="A35" s="3">
        <f>IFERROR(__xludf.DUMMYFUNCTION("""COMPUTED_VALUE"""),40227.99861111111)</f>
        <v>40227.99861</v>
      </c>
      <c r="B35" s="1">
        <f>IFERROR(__xludf.DUMMYFUNCTION("""COMPUTED_VALUE"""),2586.32055)</f>
        <v>2586.32055</v>
      </c>
    </row>
    <row r="36">
      <c r="A36" s="3">
        <f>IFERROR(__xludf.DUMMYFUNCTION("""COMPUTED_VALUE"""),40228.99861111111)</f>
        <v>40228.99861</v>
      </c>
      <c r="B36" s="1">
        <f>IFERROR(__xludf.DUMMYFUNCTION("""COMPUTED_VALUE"""),2529.708528)</f>
        <v>2529.708528</v>
      </c>
    </row>
    <row r="37">
      <c r="A37" s="3">
        <f>IFERROR(__xludf.DUMMYFUNCTION("""COMPUTED_VALUE"""),40231.99861111111)</f>
        <v>40231.99861</v>
      </c>
      <c r="B37" s="1">
        <f>IFERROR(__xludf.DUMMYFUNCTION("""COMPUTED_VALUE"""),2526.757191)</f>
        <v>2526.757191</v>
      </c>
    </row>
    <row r="38">
      <c r="A38" s="3">
        <f>IFERROR(__xludf.DUMMYFUNCTION("""COMPUTED_VALUE"""),40232.99861111111)</f>
        <v>40232.99861</v>
      </c>
      <c r="B38" s="1">
        <f>IFERROR(__xludf.DUMMYFUNCTION("""COMPUTED_VALUE"""),2542.651124)</f>
        <v>2542.651124</v>
      </c>
    </row>
    <row r="39">
      <c r="A39" s="3">
        <f>IFERROR(__xludf.DUMMYFUNCTION("""COMPUTED_VALUE"""),40233.99861111111)</f>
        <v>40233.99861</v>
      </c>
      <c r="B39" s="1">
        <f>IFERROR(__xludf.DUMMYFUNCTION("""COMPUTED_VALUE"""),2545.509014)</f>
        <v>2545.509014</v>
      </c>
    </row>
    <row r="40">
      <c r="A40" s="3">
        <f>IFERROR(__xludf.DUMMYFUNCTION("""COMPUTED_VALUE"""),40234.99861111111)</f>
        <v>40234.99861</v>
      </c>
      <c r="B40" s="1">
        <f>IFERROR(__xludf.DUMMYFUNCTION("""COMPUTED_VALUE"""),2541.414848)</f>
        <v>2541.414848</v>
      </c>
    </row>
    <row r="41">
      <c r="A41" s="3">
        <f>IFERROR(__xludf.DUMMYFUNCTION("""COMPUTED_VALUE"""),40235.99861111111)</f>
        <v>40235.99861</v>
      </c>
      <c r="B41" s="1">
        <f>IFERROR(__xludf.DUMMYFUNCTION("""COMPUTED_VALUE"""),2542.6282)</f>
        <v>2542.6282</v>
      </c>
    </row>
    <row r="42">
      <c r="A42" s="3">
        <f>IFERROR(__xludf.DUMMYFUNCTION("""COMPUTED_VALUE"""),40238.99861111111)</f>
        <v>40238.99861</v>
      </c>
      <c r="B42" s="1">
        <f>IFERROR(__xludf.DUMMYFUNCTION("""COMPUTED_VALUE"""),2554.999624)</f>
        <v>2554.999624</v>
      </c>
    </row>
    <row r="43">
      <c r="A43" s="3">
        <f>IFERROR(__xludf.DUMMYFUNCTION("""COMPUTED_VALUE"""),40239.99861111111)</f>
        <v>40239.99861</v>
      </c>
      <c r="B43" s="1">
        <f>IFERROR(__xludf.DUMMYFUNCTION("""COMPUTED_VALUE"""),2500.361056)</f>
        <v>2500.361056</v>
      </c>
    </row>
    <row r="44">
      <c r="A44" s="3">
        <f>IFERROR(__xludf.DUMMYFUNCTION("""COMPUTED_VALUE"""),40240.99861111111)</f>
        <v>40240.99861</v>
      </c>
      <c r="B44" s="1">
        <f>IFERROR(__xludf.DUMMYFUNCTION("""COMPUTED_VALUE"""),2490.805432)</f>
        <v>2490.805432</v>
      </c>
    </row>
    <row r="45">
      <c r="A45" s="3">
        <f>IFERROR(__xludf.DUMMYFUNCTION("""COMPUTED_VALUE"""),40241.99861111111)</f>
        <v>40241.99861</v>
      </c>
      <c r="B45" s="1">
        <f>IFERROR(__xludf.DUMMYFUNCTION("""COMPUTED_VALUE"""),2539.699736)</f>
        <v>2539.699736</v>
      </c>
    </row>
    <row r="46">
      <c r="A46" s="3">
        <f>IFERROR(__xludf.DUMMYFUNCTION("""COMPUTED_VALUE"""),40242.99861111111)</f>
        <v>40242.99861</v>
      </c>
      <c r="B46" s="1">
        <f>IFERROR(__xludf.DUMMYFUNCTION("""COMPUTED_VALUE"""),2504.2644)</f>
        <v>2504.2644</v>
      </c>
    </row>
    <row r="47">
      <c r="A47" s="3">
        <f>IFERROR(__xludf.DUMMYFUNCTION("""COMPUTED_VALUE"""),40245.99861111111)</f>
        <v>40245.99861</v>
      </c>
      <c r="B47" s="1">
        <f>IFERROR(__xludf.DUMMYFUNCTION("""COMPUTED_VALUE"""),2498.6124)</f>
        <v>2498.6124</v>
      </c>
    </row>
    <row r="48">
      <c r="A48" s="3">
        <f>IFERROR(__xludf.DUMMYFUNCTION("""COMPUTED_VALUE"""),40246.99861111111)</f>
        <v>40246.99861</v>
      </c>
      <c r="B48" s="1">
        <f>IFERROR(__xludf.DUMMYFUNCTION("""COMPUTED_VALUE"""),2497.468206)</f>
        <v>2497.468206</v>
      </c>
    </row>
    <row r="49">
      <c r="A49" s="3">
        <f>IFERROR(__xludf.DUMMYFUNCTION("""COMPUTED_VALUE"""),40247.99861111111)</f>
        <v>40247.99861</v>
      </c>
      <c r="B49" s="1">
        <f>IFERROR(__xludf.DUMMYFUNCTION("""COMPUTED_VALUE"""),2496.505275)</f>
        <v>2496.505275</v>
      </c>
    </row>
    <row r="50">
      <c r="A50" s="3">
        <f>IFERROR(__xludf.DUMMYFUNCTION("""COMPUTED_VALUE"""),40248.99861111111)</f>
        <v>40248.99861</v>
      </c>
      <c r="B50" s="1">
        <f>IFERROR(__xludf.DUMMYFUNCTION("""COMPUTED_VALUE"""),2491.968554)</f>
        <v>2491.968554</v>
      </c>
    </row>
    <row r="51">
      <c r="A51" s="3">
        <f>IFERROR(__xludf.DUMMYFUNCTION("""COMPUTED_VALUE"""),40249.99861111111)</f>
        <v>40249.99861</v>
      </c>
      <c r="B51" s="1">
        <f>IFERROR(__xludf.DUMMYFUNCTION("""COMPUTED_VALUE"""),2489.004446)</f>
        <v>2489.004446</v>
      </c>
    </row>
    <row r="52">
      <c r="A52" s="3">
        <f>IFERROR(__xludf.DUMMYFUNCTION("""COMPUTED_VALUE"""),40252.99861111111)</f>
        <v>40252.99861</v>
      </c>
      <c r="B52" s="1">
        <f>IFERROR(__xludf.DUMMYFUNCTION("""COMPUTED_VALUE"""),2505.661862)</f>
        <v>2505.661862</v>
      </c>
    </row>
    <row r="53">
      <c r="A53" s="3">
        <f>IFERROR(__xludf.DUMMYFUNCTION("""COMPUTED_VALUE"""),40253.99861111111)</f>
        <v>40253.99861</v>
      </c>
      <c r="B53" s="1">
        <f>IFERROR(__xludf.DUMMYFUNCTION("""COMPUTED_VALUE"""),2491.211478)</f>
        <v>2491.211478</v>
      </c>
    </row>
    <row r="54">
      <c r="A54" s="3">
        <f>IFERROR(__xludf.DUMMYFUNCTION("""COMPUTED_VALUE"""),40254.99861111111)</f>
        <v>40254.99861</v>
      </c>
      <c r="B54" s="1">
        <f>IFERROR(__xludf.DUMMYFUNCTION("""COMPUTED_VALUE"""),2477.42987)</f>
        <v>2477.42987</v>
      </c>
    </row>
    <row r="55">
      <c r="A55" s="3">
        <f>IFERROR(__xludf.DUMMYFUNCTION("""COMPUTED_VALUE"""),40255.99861111111)</f>
        <v>40255.99861</v>
      </c>
      <c r="B55" s="1">
        <f>IFERROR(__xludf.DUMMYFUNCTION("""COMPUTED_VALUE"""),2483.092878)</f>
        <v>2483.092878</v>
      </c>
    </row>
    <row r="56">
      <c r="A56" s="3">
        <f>IFERROR(__xludf.DUMMYFUNCTION("""COMPUTED_VALUE"""),40256.99861111111)</f>
        <v>40256.99861</v>
      </c>
      <c r="B56" s="1">
        <f>IFERROR(__xludf.DUMMYFUNCTION("""COMPUTED_VALUE"""),2479.85088)</f>
        <v>2479.85088</v>
      </c>
    </row>
    <row r="57">
      <c r="A57" s="3">
        <f>IFERROR(__xludf.DUMMYFUNCTION("""COMPUTED_VALUE"""),40259.99861111111)</f>
        <v>40259.99861</v>
      </c>
      <c r="B57" s="1">
        <f>IFERROR(__xludf.DUMMYFUNCTION("""COMPUTED_VALUE"""),2481.758804)</f>
        <v>2481.758804</v>
      </c>
    </row>
    <row r="58">
      <c r="A58" s="3">
        <f>IFERROR(__xludf.DUMMYFUNCTION("""COMPUTED_VALUE"""),40260.99861111111)</f>
        <v>40260.99861</v>
      </c>
      <c r="B58" s="1">
        <f>IFERROR(__xludf.DUMMYFUNCTION("""COMPUTED_VALUE"""),2489.434458)</f>
        <v>2489.434458</v>
      </c>
    </row>
    <row r="59">
      <c r="A59" s="3">
        <f>IFERROR(__xludf.DUMMYFUNCTION("""COMPUTED_VALUE"""),40261.99861111111)</f>
        <v>40261.99861</v>
      </c>
      <c r="B59" s="1">
        <f>IFERROR(__xludf.DUMMYFUNCTION("""COMPUTED_VALUE"""),2481.385928)</f>
        <v>2481.385928</v>
      </c>
    </row>
    <row r="60">
      <c r="A60" s="3">
        <f>IFERROR(__xludf.DUMMYFUNCTION("""COMPUTED_VALUE"""),40262.99861111111)</f>
        <v>40262.99861</v>
      </c>
      <c r="B60" s="1">
        <f>IFERROR(__xludf.DUMMYFUNCTION("""COMPUTED_VALUE"""),2485.711068)</f>
        <v>2485.711068</v>
      </c>
    </row>
    <row r="61">
      <c r="A61" s="3">
        <f>IFERROR(__xludf.DUMMYFUNCTION("""COMPUTED_VALUE"""),40263.99861111111)</f>
        <v>40263.99861</v>
      </c>
      <c r="B61" s="1">
        <f>IFERROR(__xludf.DUMMYFUNCTION("""COMPUTED_VALUE"""),2480.895896)</f>
        <v>2480.895896</v>
      </c>
    </row>
    <row r="62">
      <c r="A62" s="3">
        <f>IFERROR(__xludf.DUMMYFUNCTION("""COMPUTED_VALUE"""),40266.99861111111)</f>
        <v>40266.99861</v>
      </c>
      <c r="B62" s="1">
        <f>IFERROR(__xludf.DUMMYFUNCTION("""COMPUTED_VALUE"""),2470.12425)</f>
        <v>2470.12425</v>
      </c>
    </row>
    <row r="63">
      <c r="A63" s="3">
        <f>IFERROR(__xludf.DUMMYFUNCTION("""COMPUTED_VALUE"""),40267.99861111111)</f>
        <v>40267.99861</v>
      </c>
      <c r="B63" s="1">
        <f>IFERROR(__xludf.DUMMYFUNCTION("""COMPUTED_VALUE"""),2470.233126)</f>
        <v>2470.233126</v>
      </c>
    </row>
    <row r="64">
      <c r="A64" s="3">
        <f>IFERROR(__xludf.DUMMYFUNCTION("""COMPUTED_VALUE"""),40268.99861111111)</f>
        <v>40268.99861</v>
      </c>
      <c r="B64" s="1">
        <f>IFERROR(__xludf.DUMMYFUNCTION("""COMPUTED_VALUE"""),2478.38278)</f>
        <v>2478.38278</v>
      </c>
    </row>
    <row r="65">
      <c r="A65" s="3">
        <f>IFERROR(__xludf.DUMMYFUNCTION("""COMPUTED_VALUE"""),40269.99861111111)</f>
        <v>40269.99861</v>
      </c>
      <c r="B65" s="1">
        <f>IFERROR(__xludf.DUMMYFUNCTION("""COMPUTED_VALUE"""),2461.06908)</f>
        <v>2461.06908</v>
      </c>
    </row>
    <row r="66">
      <c r="A66" s="3">
        <f>IFERROR(__xludf.DUMMYFUNCTION("""COMPUTED_VALUE"""),40270.99861111111)</f>
        <v>40270.99861</v>
      </c>
      <c r="B66" s="1">
        <f>IFERROR(__xludf.DUMMYFUNCTION("""COMPUTED_VALUE"""),2476.177474)</f>
        <v>2476.177474</v>
      </c>
    </row>
    <row r="67">
      <c r="A67" s="3">
        <f>IFERROR(__xludf.DUMMYFUNCTION("""COMPUTED_VALUE"""),40273.99861111111)</f>
        <v>40273.99861</v>
      </c>
      <c r="B67" s="1">
        <f>IFERROR(__xludf.DUMMYFUNCTION("""COMPUTED_VALUE"""),2464.534272)</f>
        <v>2464.534272</v>
      </c>
    </row>
    <row r="68">
      <c r="A68" s="3">
        <f>IFERROR(__xludf.DUMMYFUNCTION("""COMPUTED_VALUE"""),40274.99861111111)</f>
        <v>40274.99861</v>
      </c>
      <c r="B68" s="1">
        <f>IFERROR(__xludf.DUMMYFUNCTION("""COMPUTED_VALUE"""),2460.495298)</f>
        <v>2460.495298</v>
      </c>
    </row>
    <row r="69">
      <c r="A69" s="3">
        <f>IFERROR(__xludf.DUMMYFUNCTION("""COMPUTED_VALUE"""),40275.99861111111)</f>
        <v>40275.99861</v>
      </c>
      <c r="B69" s="1">
        <f>IFERROR(__xludf.DUMMYFUNCTION("""COMPUTED_VALUE"""),2465.087625)</f>
        <v>2465.087625</v>
      </c>
    </row>
    <row r="70">
      <c r="A70" s="3">
        <f>IFERROR(__xludf.DUMMYFUNCTION("""COMPUTED_VALUE"""),40276.99861111111)</f>
        <v>40276.99861</v>
      </c>
      <c r="B70" s="1">
        <f>IFERROR(__xludf.DUMMYFUNCTION("""COMPUTED_VALUE"""),2465.958825)</f>
        <v>2465.958825</v>
      </c>
    </row>
    <row r="71">
      <c r="A71" s="3">
        <f>IFERROR(__xludf.DUMMYFUNCTION("""COMPUTED_VALUE"""),40277.99861111111)</f>
        <v>40277.99861</v>
      </c>
      <c r="B71" s="1">
        <f>IFERROR(__xludf.DUMMYFUNCTION("""COMPUTED_VALUE"""),2448.317025)</f>
        <v>2448.317025</v>
      </c>
    </row>
    <row r="72">
      <c r="A72" s="3">
        <f>IFERROR(__xludf.DUMMYFUNCTION("""COMPUTED_VALUE"""),40280.99861111111)</f>
        <v>40280.99861</v>
      </c>
      <c r="B72" s="1">
        <f>IFERROR(__xludf.DUMMYFUNCTION("""COMPUTED_VALUE"""),2453.24475)</f>
        <v>2453.24475</v>
      </c>
    </row>
    <row r="73">
      <c r="A73" s="3">
        <f>IFERROR(__xludf.DUMMYFUNCTION("""COMPUTED_VALUE"""),40281.99861111111)</f>
        <v>40281.99861</v>
      </c>
      <c r="B73" s="1">
        <f>IFERROR(__xludf.DUMMYFUNCTION("""COMPUTED_VALUE"""),2452.836375)</f>
        <v>2452.836375</v>
      </c>
    </row>
    <row r="74">
      <c r="A74" s="3">
        <f>IFERROR(__xludf.DUMMYFUNCTION("""COMPUTED_VALUE"""),40282.99861111111)</f>
        <v>40282.99861</v>
      </c>
      <c r="B74" s="1">
        <f>IFERROR(__xludf.DUMMYFUNCTION("""COMPUTED_VALUE"""),2453.173422)</f>
        <v>2453.173422</v>
      </c>
    </row>
    <row r="75">
      <c r="A75" s="3">
        <f>IFERROR(__xludf.DUMMYFUNCTION("""COMPUTED_VALUE"""),40283.99861111111)</f>
        <v>40283.99861</v>
      </c>
      <c r="B75" s="1">
        <f>IFERROR(__xludf.DUMMYFUNCTION("""COMPUTED_VALUE"""),2450.549475)</f>
        <v>2450.549475</v>
      </c>
    </row>
    <row r="76">
      <c r="A76" s="3">
        <f>IFERROR(__xludf.DUMMYFUNCTION("""COMPUTED_VALUE"""),40284.99861111111)</f>
        <v>40284.99861</v>
      </c>
      <c r="B76" s="1">
        <f>IFERROR(__xludf.DUMMYFUNCTION("""COMPUTED_VALUE"""),2451.370359)</f>
        <v>2451.370359</v>
      </c>
    </row>
    <row r="77">
      <c r="A77" s="3">
        <f>IFERROR(__xludf.DUMMYFUNCTION("""COMPUTED_VALUE"""),40287.99861111111)</f>
        <v>40287.99861</v>
      </c>
      <c r="B77" s="1">
        <f>IFERROR(__xludf.DUMMYFUNCTION("""COMPUTED_VALUE"""),2454.7149)</f>
        <v>2454.7149</v>
      </c>
    </row>
    <row r="78">
      <c r="A78" s="3">
        <f>IFERROR(__xludf.DUMMYFUNCTION("""COMPUTED_VALUE"""),40288.99861111111)</f>
        <v>40288.99861</v>
      </c>
      <c r="B78" s="1">
        <f>IFERROR(__xludf.DUMMYFUNCTION("""COMPUTED_VALUE"""),2455.09605)</f>
        <v>2455.09605</v>
      </c>
    </row>
    <row r="79">
      <c r="A79" s="3">
        <f>IFERROR(__xludf.DUMMYFUNCTION("""COMPUTED_VALUE"""),40289.99861111111)</f>
        <v>40289.99861</v>
      </c>
      <c r="B79" s="1">
        <f>IFERROR(__xludf.DUMMYFUNCTION("""COMPUTED_VALUE"""),2456.232493)</f>
        <v>2456.232493</v>
      </c>
    </row>
    <row r="80">
      <c r="A80" s="3">
        <f>IFERROR(__xludf.DUMMYFUNCTION("""COMPUTED_VALUE"""),40290.99861111111)</f>
        <v>40290.99861</v>
      </c>
      <c r="B80" s="1">
        <f>IFERROR(__xludf.DUMMYFUNCTION("""COMPUTED_VALUE"""),2478.645675)</f>
        <v>2478.645675</v>
      </c>
    </row>
    <row r="81">
      <c r="A81" s="3">
        <f>IFERROR(__xludf.DUMMYFUNCTION("""COMPUTED_VALUE"""),40291.99861111111)</f>
        <v>40291.99861</v>
      </c>
      <c r="B81" s="1">
        <f>IFERROR(__xludf.DUMMYFUNCTION("""COMPUTED_VALUE"""),2451.339)</f>
        <v>2451.339</v>
      </c>
    </row>
    <row r="82">
      <c r="A82" s="3">
        <f>IFERROR(__xludf.DUMMYFUNCTION("""COMPUTED_VALUE"""),40294.99861111111)</f>
        <v>40294.99861</v>
      </c>
      <c r="B82" s="1">
        <f>IFERROR(__xludf.DUMMYFUNCTION("""COMPUTED_VALUE"""),2439.877275)</f>
        <v>2439.877275</v>
      </c>
    </row>
    <row r="83">
      <c r="A83" s="3">
        <f>IFERROR(__xludf.DUMMYFUNCTION("""COMPUTED_VALUE"""),40295.99861111111)</f>
        <v>40295.99861</v>
      </c>
      <c r="B83" s="1">
        <f>IFERROR(__xludf.DUMMYFUNCTION("""COMPUTED_VALUE"""),2476.413225)</f>
        <v>2476.413225</v>
      </c>
    </row>
    <row r="84">
      <c r="A84" s="3">
        <f>IFERROR(__xludf.DUMMYFUNCTION("""COMPUTED_VALUE"""),40296.99861111111)</f>
        <v>40296.99861</v>
      </c>
      <c r="B84" s="1">
        <f>IFERROR(__xludf.DUMMYFUNCTION("""COMPUTED_VALUE"""),2456.258176)</f>
        <v>2456.258176</v>
      </c>
    </row>
    <row r="85">
      <c r="A85" s="3">
        <f>IFERROR(__xludf.DUMMYFUNCTION("""COMPUTED_VALUE"""),40297.99861111111)</f>
        <v>40297.99861</v>
      </c>
      <c r="B85" s="1">
        <f>IFERROR(__xludf.DUMMYFUNCTION("""COMPUTED_VALUE"""),2450.930625)</f>
        <v>2450.930625</v>
      </c>
    </row>
    <row r="86">
      <c r="A86" s="3">
        <f>IFERROR(__xludf.DUMMYFUNCTION("""COMPUTED_VALUE"""),40298.99861111111)</f>
        <v>40298.99861</v>
      </c>
      <c r="B86" s="1">
        <f>IFERROR(__xludf.DUMMYFUNCTION("""COMPUTED_VALUE"""),2457.973288)</f>
        <v>2457.973288</v>
      </c>
    </row>
    <row r="87">
      <c r="A87" s="3">
        <f>IFERROR(__xludf.DUMMYFUNCTION("""COMPUTED_VALUE"""),40301.99861111111)</f>
        <v>40301.99861</v>
      </c>
      <c r="B87" s="1">
        <f>IFERROR(__xludf.DUMMYFUNCTION("""COMPUTED_VALUE"""),2455.814053)</f>
        <v>2455.814053</v>
      </c>
    </row>
    <row r="88">
      <c r="A88" s="3">
        <f>IFERROR(__xludf.DUMMYFUNCTION("""COMPUTED_VALUE"""),40302.99861111111)</f>
        <v>40302.99861</v>
      </c>
      <c r="B88" s="1">
        <f>IFERROR(__xludf.DUMMYFUNCTION("""COMPUTED_VALUE"""),2469.135128)</f>
        <v>2469.135128</v>
      </c>
    </row>
    <row r="89">
      <c r="A89" s="3">
        <f>IFERROR(__xludf.DUMMYFUNCTION("""COMPUTED_VALUE"""),40303.99861111111)</f>
        <v>40303.99861</v>
      </c>
      <c r="B89" s="1">
        <f>IFERROR(__xludf.DUMMYFUNCTION("""COMPUTED_VALUE"""),2481.967125)</f>
        <v>2481.967125</v>
      </c>
    </row>
    <row r="90">
      <c r="A90" s="3">
        <f>IFERROR(__xludf.DUMMYFUNCTION("""COMPUTED_VALUE"""),40304.99861111111)</f>
        <v>40304.99861</v>
      </c>
      <c r="B90" s="1">
        <f>IFERROR(__xludf.DUMMYFUNCTION("""COMPUTED_VALUE"""),2524.68315)</f>
        <v>2524.68315</v>
      </c>
    </row>
    <row r="91">
      <c r="A91" s="3">
        <f>IFERROR(__xludf.DUMMYFUNCTION("""COMPUTED_VALUE"""),40305.99861111111)</f>
        <v>40305.99861</v>
      </c>
      <c r="B91" s="1">
        <f>IFERROR(__xludf.DUMMYFUNCTION("""COMPUTED_VALUE"""),2510.042269)</f>
        <v>2510.042269</v>
      </c>
    </row>
    <row r="92">
      <c r="A92" s="3">
        <f>IFERROR(__xludf.DUMMYFUNCTION("""COMPUTED_VALUE"""),40308.99861111111)</f>
        <v>40308.99861</v>
      </c>
      <c r="B92" s="1">
        <f>IFERROR(__xludf.DUMMYFUNCTION("""COMPUTED_VALUE"""),2504.926976)</f>
        <v>2504.926976</v>
      </c>
    </row>
    <row r="93">
      <c r="A93" s="3">
        <f>IFERROR(__xludf.DUMMYFUNCTION("""COMPUTED_VALUE"""),40309.99861111111)</f>
        <v>40309.99861</v>
      </c>
      <c r="B93" s="1">
        <f>IFERROR(__xludf.DUMMYFUNCTION("""COMPUTED_VALUE"""),2500.987208)</f>
        <v>2500.987208</v>
      </c>
    </row>
    <row r="94">
      <c r="A94" s="3">
        <f>IFERROR(__xludf.DUMMYFUNCTION("""COMPUTED_VALUE"""),40310.99861111111)</f>
        <v>40310.99861</v>
      </c>
      <c r="B94" s="1">
        <f>IFERROR(__xludf.DUMMYFUNCTION("""COMPUTED_VALUE"""),2498.79917)</f>
        <v>2498.79917</v>
      </c>
    </row>
    <row r="95">
      <c r="A95" s="3">
        <f>IFERROR(__xludf.DUMMYFUNCTION("""COMPUTED_VALUE"""),40311.99861111111)</f>
        <v>40311.99861</v>
      </c>
      <c r="B95" s="1">
        <f>IFERROR(__xludf.DUMMYFUNCTION("""COMPUTED_VALUE"""),2478.482325)</f>
        <v>2478.482325</v>
      </c>
    </row>
    <row r="96">
      <c r="A96" s="3">
        <f>IFERROR(__xludf.DUMMYFUNCTION("""COMPUTED_VALUE"""),40312.99861111111)</f>
        <v>40312.99861</v>
      </c>
      <c r="B96" s="1">
        <f>IFERROR(__xludf.DUMMYFUNCTION("""COMPUTED_VALUE"""),2478.61845)</f>
        <v>2478.61845</v>
      </c>
    </row>
    <row r="97">
      <c r="A97" s="3">
        <f>IFERROR(__xludf.DUMMYFUNCTION("""COMPUTED_VALUE"""),40315.99861111111)</f>
        <v>40315.99861</v>
      </c>
      <c r="B97" s="1">
        <f>IFERROR(__xludf.DUMMYFUNCTION("""COMPUTED_VALUE"""),2471.067784)</f>
        <v>2471.067784</v>
      </c>
    </row>
    <row r="98">
      <c r="A98" s="3">
        <f>IFERROR(__xludf.DUMMYFUNCTION("""COMPUTED_VALUE"""),40316.99861111111)</f>
        <v>40316.99861</v>
      </c>
      <c r="B98" s="1">
        <f>IFERROR(__xludf.DUMMYFUNCTION("""COMPUTED_VALUE"""),2527.432875)</f>
        <v>2527.432875</v>
      </c>
    </row>
    <row r="99">
      <c r="A99" s="3">
        <f>IFERROR(__xludf.DUMMYFUNCTION("""COMPUTED_VALUE"""),40317.99861111111)</f>
        <v>40317.99861</v>
      </c>
      <c r="B99" s="1">
        <f>IFERROR(__xludf.DUMMYFUNCTION("""COMPUTED_VALUE"""),2483.343102)</f>
        <v>2483.343102</v>
      </c>
    </row>
    <row r="100">
      <c r="A100" s="3">
        <f>IFERROR(__xludf.DUMMYFUNCTION("""COMPUTED_VALUE"""),40318.99861111111)</f>
        <v>40318.99861</v>
      </c>
      <c r="B100" s="1">
        <f>IFERROR(__xludf.DUMMYFUNCTION("""COMPUTED_VALUE"""),2483.219475)</f>
        <v>2483.219475</v>
      </c>
    </row>
    <row r="101">
      <c r="A101" s="3">
        <f>IFERROR(__xludf.DUMMYFUNCTION("""COMPUTED_VALUE"""),40319.99861111111)</f>
        <v>40319.99861</v>
      </c>
      <c r="B101" s="1">
        <f>IFERROR(__xludf.DUMMYFUNCTION("""COMPUTED_VALUE"""),2521.19835)</f>
        <v>2521.19835</v>
      </c>
    </row>
    <row r="102">
      <c r="A102" s="3">
        <f>IFERROR(__xludf.DUMMYFUNCTION("""COMPUTED_VALUE"""),40322.99861111111)</f>
        <v>40322.99861</v>
      </c>
      <c r="B102" s="1">
        <f>IFERROR(__xludf.DUMMYFUNCTION("""COMPUTED_VALUE"""),2527.1334)</f>
        <v>2527.1334</v>
      </c>
    </row>
    <row r="103">
      <c r="A103" s="3">
        <f>IFERROR(__xludf.DUMMYFUNCTION("""COMPUTED_VALUE"""),40323.99861111111)</f>
        <v>40323.99861</v>
      </c>
      <c r="B103" s="1">
        <f>IFERROR(__xludf.DUMMYFUNCTION("""COMPUTED_VALUE"""),2527.541775)</f>
        <v>2527.541775</v>
      </c>
    </row>
    <row r="104">
      <c r="A104" s="3">
        <f>IFERROR(__xludf.DUMMYFUNCTION("""COMPUTED_VALUE"""),40324.99861111111)</f>
        <v>40324.99861</v>
      </c>
      <c r="B104" s="1">
        <f>IFERROR(__xludf.DUMMYFUNCTION("""COMPUTED_VALUE"""),2552.67045)</f>
        <v>2552.67045</v>
      </c>
    </row>
    <row r="105">
      <c r="A105" s="3">
        <f>IFERROR(__xludf.DUMMYFUNCTION("""COMPUTED_VALUE"""),40325.99861111111)</f>
        <v>40325.99861</v>
      </c>
      <c r="B105" s="1">
        <f>IFERROR(__xludf.DUMMYFUNCTION("""COMPUTED_VALUE"""),2508.59945)</f>
        <v>2508.59945</v>
      </c>
    </row>
    <row r="106">
      <c r="A106" s="3">
        <f>IFERROR(__xludf.DUMMYFUNCTION("""COMPUTED_VALUE"""),40326.99861111111)</f>
        <v>40326.99861</v>
      </c>
      <c r="B106" s="1">
        <f>IFERROR(__xludf.DUMMYFUNCTION("""COMPUTED_VALUE"""),2530.7271)</f>
        <v>2530.7271</v>
      </c>
    </row>
    <row r="107">
      <c r="A107" s="3">
        <f>IFERROR(__xludf.DUMMYFUNCTION("""COMPUTED_VALUE"""),40329.99861111111)</f>
        <v>40329.99861</v>
      </c>
      <c r="B107" s="1">
        <f>IFERROR(__xludf.DUMMYFUNCTION("""COMPUTED_VALUE"""),2527.082428)</f>
        <v>2527.082428</v>
      </c>
    </row>
    <row r="108">
      <c r="A108" s="3">
        <f>IFERROR(__xludf.DUMMYFUNCTION("""COMPUTED_VALUE"""),40330.99861111111)</f>
        <v>40330.99861</v>
      </c>
      <c r="B108" s="1">
        <f>IFERROR(__xludf.DUMMYFUNCTION("""COMPUTED_VALUE"""),2516.978475)</f>
        <v>2516.978475</v>
      </c>
    </row>
    <row r="109">
      <c r="A109" s="3">
        <f>IFERROR(__xludf.DUMMYFUNCTION("""COMPUTED_VALUE"""),40331.99861111111)</f>
        <v>40331.99861</v>
      </c>
      <c r="B109" s="1">
        <f>IFERROR(__xludf.DUMMYFUNCTION("""COMPUTED_VALUE"""),2516.069304)</f>
        <v>2516.069304</v>
      </c>
    </row>
    <row r="110">
      <c r="A110" s="3">
        <f>IFERROR(__xludf.DUMMYFUNCTION("""COMPUTED_VALUE"""),40332.99861111111)</f>
        <v>40332.99861</v>
      </c>
      <c r="B110" s="1">
        <f>IFERROR(__xludf.DUMMYFUNCTION("""COMPUTED_VALUE"""),2514.909375)</f>
        <v>2514.909375</v>
      </c>
    </row>
    <row r="111">
      <c r="A111" s="3">
        <f>IFERROR(__xludf.DUMMYFUNCTION("""COMPUTED_VALUE"""),40333.99861111111)</f>
        <v>40333.99861</v>
      </c>
      <c r="B111" s="1">
        <f>IFERROR(__xludf.DUMMYFUNCTION("""COMPUTED_VALUE"""),2527.307902)</f>
        <v>2527.307902</v>
      </c>
    </row>
    <row r="112">
      <c r="A112" s="3">
        <f>IFERROR(__xludf.DUMMYFUNCTION("""COMPUTED_VALUE"""),40336.99861111111)</f>
        <v>40336.99861</v>
      </c>
      <c r="B112" s="1">
        <f>IFERROR(__xludf.DUMMYFUNCTION("""COMPUTED_VALUE"""),2536.945906)</f>
        <v>2536.945906</v>
      </c>
    </row>
    <row r="113">
      <c r="A113" s="3">
        <f>IFERROR(__xludf.DUMMYFUNCTION("""COMPUTED_VALUE"""),40337.99861111111)</f>
        <v>40337.99861</v>
      </c>
      <c r="B113" s="1">
        <f>IFERROR(__xludf.DUMMYFUNCTION("""COMPUTED_VALUE"""),2511.162884)</f>
        <v>2511.162884</v>
      </c>
    </row>
    <row r="114">
      <c r="A114" s="3">
        <f>IFERROR(__xludf.DUMMYFUNCTION("""COMPUTED_VALUE"""),40338.99861111111)</f>
        <v>40338.99861</v>
      </c>
      <c r="B114" s="1">
        <f>IFERROR(__xludf.DUMMYFUNCTION("""COMPUTED_VALUE"""),2526.8067)</f>
        <v>2526.8067</v>
      </c>
    </row>
    <row r="115">
      <c r="A115" s="3">
        <f>IFERROR(__xludf.DUMMYFUNCTION("""COMPUTED_VALUE"""),40339.99861111111)</f>
        <v>40339.99861</v>
      </c>
      <c r="B115" s="1">
        <f>IFERROR(__xludf.DUMMYFUNCTION("""COMPUTED_VALUE"""),2502.259612)</f>
        <v>2502.259612</v>
      </c>
    </row>
    <row r="116">
      <c r="A116" s="3">
        <f>IFERROR(__xludf.DUMMYFUNCTION("""COMPUTED_VALUE"""),40340.99861111111)</f>
        <v>40340.99861</v>
      </c>
      <c r="B116" s="1">
        <f>IFERROR(__xludf.DUMMYFUNCTION("""COMPUTED_VALUE"""),2503.866316)</f>
        <v>2503.866316</v>
      </c>
    </row>
    <row r="117">
      <c r="A117" s="3">
        <f>IFERROR(__xludf.DUMMYFUNCTION("""COMPUTED_VALUE"""),40343.99861111111)</f>
        <v>40343.99861</v>
      </c>
      <c r="B117" s="1">
        <f>IFERROR(__xludf.DUMMYFUNCTION("""COMPUTED_VALUE"""),2505.471336)</f>
        <v>2505.471336</v>
      </c>
    </row>
    <row r="118">
      <c r="A118" s="3">
        <f>IFERROR(__xludf.DUMMYFUNCTION("""COMPUTED_VALUE"""),40344.99861111111)</f>
        <v>40344.99861</v>
      </c>
      <c r="B118" s="1">
        <f>IFERROR(__xludf.DUMMYFUNCTION("""COMPUTED_VALUE"""),2488.72866)</f>
        <v>2488.72866</v>
      </c>
    </row>
    <row r="119">
      <c r="A119" s="3">
        <f>IFERROR(__xludf.DUMMYFUNCTION("""COMPUTED_VALUE"""),40345.99861111111)</f>
        <v>40345.99861</v>
      </c>
      <c r="B119" s="1">
        <f>IFERROR(__xludf.DUMMYFUNCTION("""COMPUTED_VALUE"""),2494.708425)</f>
        <v>2494.708425</v>
      </c>
    </row>
    <row r="120">
      <c r="A120" s="3">
        <f>IFERROR(__xludf.DUMMYFUNCTION("""COMPUTED_VALUE"""),40346.99861111111)</f>
        <v>40346.99861</v>
      </c>
      <c r="B120" s="1">
        <f>IFERROR(__xludf.DUMMYFUNCTION("""COMPUTED_VALUE"""),2489.154525)</f>
        <v>2489.154525</v>
      </c>
    </row>
    <row r="121">
      <c r="A121" s="3">
        <f>IFERROR(__xludf.DUMMYFUNCTION("""COMPUTED_VALUE"""),40347.99861111111)</f>
        <v>40347.99861</v>
      </c>
      <c r="B121" s="1">
        <f>IFERROR(__xludf.DUMMYFUNCTION("""COMPUTED_VALUE"""),2469.80659)</f>
        <v>2469.80659</v>
      </c>
    </row>
    <row r="122">
      <c r="A122" s="3">
        <f>IFERROR(__xludf.DUMMYFUNCTION("""COMPUTED_VALUE"""),40350.99861111111)</f>
        <v>40350.99861</v>
      </c>
      <c r="B122" s="1">
        <f>IFERROR(__xludf.DUMMYFUNCTION("""COMPUTED_VALUE"""),2449.768254)</f>
        <v>2449.768254</v>
      </c>
    </row>
    <row r="123">
      <c r="A123" s="3">
        <f>IFERROR(__xludf.DUMMYFUNCTION("""COMPUTED_VALUE"""),40351.99861111111)</f>
        <v>40351.99861</v>
      </c>
      <c r="B123" s="1">
        <f>IFERROR(__xludf.DUMMYFUNCTION("""COMPUTED_VALUE"""),2453.60712)</f>
        <v>2453.60712</v>
      </c>
    </row>
    <row r="124">
      <c r="A124" s="3">
        <f>IFERROR(__xludf.DUMMYFUNCTION("""COMPUTED_VALUE"""),40352.99861111111)</f>
        <v>40352.99861</v>
      </c>
      <c r="B124" s="1">
        <f>IFERROR(__xludf.DUMMYFUNCTION("""COMPUTED_VALUE"""),2444.04031)</f>
        <v>2444.04031</v>
      </c>
    </row>
    <row r="125">
      <c r="A125" s="3">
        <f>IFERROR(__xludf.DUMMYFUNCTION("""COMPUTED_VALUE"""),40353.99861111111)</f>
        <v>40353.99861</v>
      </c>
      <c r="B125" s="1">
        <f>IFERROR(__xludf.DUMMYFUNCTION("""COMPUTED_VALUE"""),2468.082375)</f>
        <v>2468.082375</v>
      </c>
    </row>
    <row r="126">
      <c r="A126" s="3">
        <f>IFERROR(__xludf.DUMMYFUNCTION("""COMPUTED_VALUE"""),40354.99861111111)</f>
        <v>40354.99861</v>
      </c>
      <c r="B126" s="1">
        <f>IFERROR(__xludf.DUMMYFUNCTION("""COMPUTED_VALUE"""),2468.1096)</f>
        <v>2468.1096</v>
      </c>
    </row>
    <row r="127">
      <c r="A127" s="3">
        <f>IFERROR(__xludf.DUMMYFUNCTION("""COMPUTED_VALUE"""),40357.99861111111)</f>
        <v>40357.99861</v>
      </c>
      <c r="B127" s="1">
        <f>IFERROR(__xludf.DUMMYFUNCTION("""COMPUTED_VALUE"""),2466.339975)</f>
        <v>2466.339975</v>
      </c>
    </row>
    <row r="128">
      <c r="A128" s="3">
        <f>IFERROR(__xludf.DUMMYFUNCTION("""COMPUTED_VALUE"""),40358.99861111111)</f>
        <v>40358.99861</v>
      </c>
      <c r="B128" s="1">
        <f>IFERROR(__xludf.DUMMYFUNCTION("""COMPUTED_VALUE"""),2471.240475)</f>
        <v>2471.240475</v>
      </c>
    </row>
    <row r="129">
      <c r="A129" s="3">
        <f>IFERROR(__xludf.DUMMYFUNCTION("""COMPUTED_VALUE"""),40359.99861111111)</f>
        <v>40359.99861</v>
      </c>
      <c r="B129" s="1">
        <f>IFERROR(__xludf.DUMMYFUNCTION("""COMPUTED_VALUE"""),2462.4468)</f>
        <v>2462.4468</v>
      </c>
    </row>
    <row r="130">
      <c r="A130" s="3">
        <f>IFERROR(__xludf.DUMMYFUNCTION("""COMPUTED_VALUE"""),40360.99861111111)</f>
        <v>40360.99861</v>
      </c>
      <c r="B130" s="1">
        <f>IFERROR(__xludf.DUMMYFUNCTION("""COMPUTED_VALUE"""),2460.059682)</f>
        <v>2460.059682</v>
      </c>
    </row>
    <row r="131">
      <c r="A131" s="3">
        <f>IFERROR(__xludf.DUMMYFUNCTION("""COMPUTED_VALUE"""),40361.99861111111)</f>
        <v>40361.99861</v>
      </c>
      <c r="B131" s="1">
        <f>IFERROR(__xludf.DUMMYFUNCTION("""COMPUTED_VALUE"""),2467.229448)</f>
        <v>2467.229448</v>
      </c>
    </row>
    <row r="132">
      <c r="A132" s="3">
        <f>IFERROR(__xludf.DUMMYFUNCTION("""COMPUTED_VALUE"""),40364.99861111111)</f>
        <v>40364.99861</v>
      </c>
      <c r="B132" s="1">
        <f>IFERROR(__xludf.DUMMYFUNCTION("""COMPUTED_VALUE"""),2472.782518)</f>
        <v>2472.782518</v>
      </c>
    </row>
    <row r="133">
      <c r="A133" s="3">
        <f>IFERROR(__xludf.DUMMYFUNCTION("""COMPUTED_VALUE"""),40365.99861111111)</f>
        <v>40365.99861</v>
      </c>
      <c r="B133" s="1">
        <f>IFERROR(__xludf.DUMMYFUNCTION("""COMPUTED_VALUE"""),2456.765336)</f>
        <v>2456.765336</v>
      </c>
    </row>
    <row r="134">
      <c r="A134" s="3">
        <f>IFERROR(__xludf.DUMMYFUNCTION("""COMPUTED_VALUE"""),40366.99861111111)</f>
        <v>40366.99861</v>
      </c>
      <c r="B134" s="1">
        <f>IFERROR(__xludf.DUMMYFUNCTION("""COMPUTED_VALUE"""),2466.757278)</f>
        <v>2466.757278</v>
      </c>
    </row>
    <row r="135">
      <c r="A135" s="3">
        <f>IFERROR(__xludf.DUMMYFUNCTION("""COMPUTED_VALUE"""),40367.99861111111)</f>
        <v>40367.99861</v>
      </c>
      <c r="B135" s="1">
        <f>IFERROR(__xludf.DUMMYFUNCTION("""COMPUTED_VALUE"""),2462.564474)</f>
        <v>2462.564474</v>
      </c>
    </row>
    <row r="136">
      <c r="A136" s="3">
        <f>IFERROR(__xludf.DUMMYFUNCTION("""COMPUTED_VALUE"""),40368.99861111111)</f>
        <v>40368.99861</v>
      </c>
      <c r="B136" s="1">
        <f>IFERROR(__xludf.DUMMYFUNCTION("""COMPUTED_VALUE"""),2459.624066)</f>
        <v>2459.624066</v>
      </c>
    </row>
    <row r="137">
      <c r="A137" s="3">
        <f>IFERROR(__xludf.DUMMYFUNCTION("""COMPUTED_VALUE"""),40371.99861111111)</f>
        <v>40371.99861</v>
      </c>
      <c r="B137" s="1">
        <f>IFERROR(__xludf.DUMMYFUNCTION("""COMPUTED_VALUE"""),2469.969946)</f>
        <v>2469.969946</v>
      </c>
    </row>
    <row r="138">
      <c r="A138" s="3">
        <f>IFERROR(__xludf.DUMMYFUNCTION("""COMPUTED_VALUE"""),40372.99861111111)</f>
        <v>40372.99861</v>
      </c>
      <c r="B138" s="1">
        <f>IFERROR(__xludf.DUMMYFUNCTION("""COMPUTED_VALUE"""),2444.323054)</f>
        <v>2444.323054</v>
      </c>
    </row>
    <row r="139">
      <c r="A139" s="3">
        <f>IFERROR(__xludf.DUMMYFUNCTION("""COMPUTED_VALUE"""),40373.99861111111)</f>
        <v>40373.99861</v>
      </c>
      <c r="B139" s="1">
        <f>IFERROR(__xludf.DUMMYFUNCTION("""COMPUTED_VALUE"""),2455.458488)</f>
        <v>2455.458488</v>
      </c>
    </row>
    <row r="140">
      <c r="A140" s="3">
        <f>IFERROR(__xludf.DUMMYFUNCTION("""COMPUTED_VALUE"""),40374.99861111111)</f>
        <v>40374.99861</v>
      </c>
      <c r="B140" s="1">
        <f>IFERROR(__xludf.DUMMYFUNCTION("""COMPUTED_VALUE"""),2460.522524)</f>
        <v>2460.522524</v>
      </c>
    </row>
    <row r="141">
      <c r="A141" s="3">
        <f>IFERROR(__xludf.DUMMYFUNCTION("""COMPUTED_VALUE"""),40375.99861111111)</f>
        <v>40375.99861</v>
      </c>
      <c r="B141" s="1">
        <f>IFERROR(__xludf.DUMMYFUNCTION("""COMPUTED_VALUE"""),2459.59684)</f>
        <v>2459.59684</v>
      </c>
    </row>
    <row r="142">
      <c r="A142" s="3">
        <f>IFERROR(__xludf.DUMMYFUNCTION("""COMPUTED_VALUE"""),40378.99861111111)</f>
        <v>40378.99861</v>
      </c>
      <c r="B142" s="1">
        <f>IFERROR(__xludf.DUMMYFUNCTION("""COMPUTED_VALUE"""),2471.893875)</f>
        <v>2471.893875</v>
      </c>
    </row>
    <row r="143">
      <c r="A143" s="3">
        <f>IFERROR(__xludf.DUMMYFUNCTION("""COMPUTED_VALUE"""),40379.99861111111)</f>
        <v>40379.99861</v>
      </c>
      <c r="B143" s="1">
        <f>IFERROR(__xludf.DUMMYFUNCTION("""COMPUTED_VALUE"""),2460.604202)</f>
        <v>2460.604202</v>
      </c>
    </row>
    <row r="144">
      <c r="A144" s="3">
        <f>IFERROR(__xludf.DUMMYFUNCTION("""COMPUTED_VALUE"""),40380.99861111111)</f>
        <v>40380.99861</v>
      </c>
      <c r="B144" s="1">
        <f>IFERROR(__xludf.DUMMYFUNCTION("""COMPUTED_VALUE"""),2474.370414)</f>
        <v>2474.370414</v>
      </c>
    </row>
    <row r="145">
      <c r="A145" s="3">
        <f>IFERROR(__xludf.DUMMYFUNCTION("""COMPUTED_VALUE"""),40381.99861111111)</f>
        <v>40381.99861</v>
      </c>
      <c r="B145" s="1">
        <f>IFERROR(__xludf.DUMMYFUNCTION("""COMPUTED_VALUE"""),2449.11483)</f>
        <v>2449.11483</v>
      </c>
    </row>
    <row r="146">
      <c r="A146" s="3">
        <f>IFERROR(__xludf.DUMMYFUNCTION("""COMPUTED_VALUE"""),40382.99861111111)</f>
        <v>40382.99861</v>
      </c>
      <c r="B146" s="1">
        <f>IFERROR(__xludf.DUMMYFUNCTION("""COMPUTED_VALUE"""),2443.585725)</f>
        <v>2443.585725</v>
      </c>
    </row>
    <row r="147">
      <c r="A147" s="3">
        <f>IFERROR(__xludf.DUMMYFUNCTION("""COMPUTED_VALUE"""),40385.99861111111)</f>
        <v>40385.99861</v>
      </c>
      <c r="B147" s="1">
        <f>IFERROR(__xludf.DUMMYFUNCTION("""COMPUTED_VALUE"""),2427.769646)</f>
        <v>2427.769646</v>
      </c>
    </row>
    <row r="148">
      <c r="A148" s="3">
        <f>IFERROR(__xludf.DUMMYFUNCTION("""COMPUTED_VALUE"""),40386.99861111111)</f>
        <v>40386.99861</v>
      </c>
      <c r="B148" s="1">
        <f>IFERROR(__xludf.DUMMYFUNCTION("""COMPUTED_VALUE"""),2428.451961)</f>
        <v>2428.451961</v>
      </c>
    </row>
    <row r="149">
      <c r="A149" s="3">
        <f>IFERROR(__xludf.DUMMYFUNCTION("""COMPUTED_VALUE"""),40387.99861111111)</f>
        <v>40387.99861</v>
      </c>
      <c r="B149" s="1">
        <f>IFERROR(__xludf.DUMMYFUNCTION("""COMPUTED_VALUE"""),2457.05625)</f>
        <v>2457.05625</v>
      </c>
    </row>
    <row r="150">
      <c r="A150" s="3">
        <f>IFERROR(__xludf.DUMMYFUNCTION("""COMPUTED_VALUE"""),40388.99861111111)</f>
        <v>40388.99861</v>
      </c>
      <c r="B150" s="1">
        <f>IFERROR(__xludf.DUMMYFUNCTION("""COMPUTED_VALUE"""),2442.335556)</f>
        <v>2442.335556</v>
      </c>
    </row>
    <row r="151">
      <c r="A151" s="3">
        <f>IFERROR(__xludf.DUMMYFUNCTION("""COMPUTED_VALUE"""),40389.99861111111)</f>
        <v>40389.99861</v>
      </c>
      <c r="B151" s="1">
        <f>IFERROR(__xludf.DUMMYFUNCTION("""COMPUTED_VALUE"""),2429.539336)</f>
        <v>2429.539336</v>
      </c>
    </row>
    <row r="152">
      <c r="A152" s="3">
        <f>IFERROR(__xludf.DUMMYFUNCTION("""COMPUTED_VALUE"""),40392.99861111111)</f>
        <v>40392.99861</v>
      </c>
      <c r="B152" s="1">
        <f>IFERROR(__xludf.DUMMYFUNCTION("""COMPUTED_VALUE"""),2404.45755)</f>
        <v>2404.45755</v>
      </c>
    </row>
    <row r="153">
      <c r="A153" s="3">
        <f>IFERROR(__xludf.DUMMYFUNCTION("""COMPUTED_VALUE"""),40393.99861111111)</f>
        <v>40393.99861</v>
      </c>
      <c r="B153" s="1">
        <f>IFERROR(__xludf.DUMMYFUNCTION("""COMPUTED_VALUE"""),2394.809277)</f>
        <v>2394.809277</v>
      </c>
    </row>
    <row r="154">
      <c r="A154" s="3">
        <f>IFERROR(__xludf.DUMMYFUNCTION("""COMPUTED_VALUE"""),40394.99861111111)</f>
        <v>40394.99861</v>
      </c>
      <c r="B154" s="1">
        <f>IFERROR(__xludf.DUMMYFUNCTION("""COMPUTED_VALUE"""),2434.82118)</f>
        <v>2434.82118</v>
      </c>
    </row>
    <row r="155">
      <c r="A155" s="3">
        <f>IFERROR(__xludf.DUMMYFUNCTION("""COMPUTED_VALUE"""),40395.99861111111)</f>
        <v>40395.99861</v>
      </c>
      <c r="B155" s="1">
        <f>IFERROR(__xludf.DUMMYFUNCTION("""COMPUTED_VALUE"""),2429.859732)</f>
        <v>2429.859732</v>
      </c>
    </row>
    <row r="156">
      <c r="A156" s="3">
        <f>IFERROR(__xludf.DUMMYFUNCTION("""COMPUTED_VALUE"""),40396.99861111111)</f>
        <v>40396.99861</v>
      </c>
      <c r="B156" s="1">
        <f>IFERROR(__xludf.DUMMYFUNCTION("""COMPUTED_VALUE"""),2413.49625)</f>
        <v>2413.49625</v>
      </c>
    </row>
    <row r="157">
      <c r="A157" s="3">
        <f>IFERROR(__xludf.DUMMYFUNCTION("""COMPUTED_VALUE"""),40399.99861111111)</f>
        <v>40399.99861</v>
      </c>
      <c r="B157" s="1">
        <f>IFERROR(__xludf.DUMMYFUNCTION("""COMPUTED_VALUE"""),2432.282134)</f>
        <v>2432.282134</v>
      </c>
    </row>
    <row r="158">
      <c r="A158" s="3">
        <f>IFERROR(__xludf.DUMMYFUNCTION("""COMPUTED_VALUE"""),40400.99861111111)</f>
        <v>40400.99861</v>
      </c>
      <c r="B158" s="1">
        <f>IFERROR(__xludf.DUMMYFUNCTION("""COMPUTED_VALUE"""),2417.933925)</f>
        <v>2417.933925</v>
      </c>
    </row>
    <row r="159">
      <c r="A159" s="3">
        <f>IFERROR(__xludf.DUMMYFUNCTION("""COMPUTED_VALUE"""),40401.99861111111)</f>
        <v>40401.99861</v>
      </c>
      <c r="B159" s="1">
        <f>IFERROR(__xludf.DUMMYFUNCTION("""COMPUTED_VALUE"""),2451.9924)</f>
        <v>2451.9924</v>
      </c>
    </row>
    <row r="160">
      <c r="A160" s="3">
        <f>IFERROR(__xludf.DUMMYFUNCTION("""COMPUTED_VALUE"""),40402.99861111111)</f>
        <v>40402.99861</v>
      </c>
      <c r="B160" s="1">
        <f>IFERROR(__xludf.DUMMYFUNCTION("""COMPUTED_VALUE"""),2456.642244)</f>
        <v>2456.642244</v>
      </c>
    </row>
    <row r="161">
      <c r="A161" s="3">
        <f>IFERROR(__xludf.DUMMYFUNCTION("""COMPUTED_VALUE"""),40403.99861111111)</f>
        <v>40403.99861</v>
      </c>
      <c r="B161" s="1">
        <f>IFERROR(__xludf.DUMMYFUNCTION("""COMPUTED_VALUE"""),2441.421096)</f>
        <v>2441.421096</v>
      </c>
    </row>
    <row r="162">
      <c r="A162" s="3">
        <f>IFERROR(__xludf.DUMMYFUNCTION("""COMPUTED_VALUE"""),40406.99861111111)</f>
        <v>40406.99861</v>
      </c>
      <c r="B162" s="1">
        <f>IFERROR(__xludf.DUMMYFUNCTION("""COMPUTED_VALUE"""),2428.941903)</f>
        <v>2428.941903</v>
      </c>
    </row>
    <row r="163">
      <c r="A163" s="3">
        <f>IFERROR(__xludf.DUMMYFUNCTION("""COMPUTED_VALUE"""),40407.99861111111)</f>
        <v>40407.99861</v>
      </c>
      <c r="B163" s="1">
        <f>IFERROR(__xludf.DUMMYFUNCTION("""COMPUTED_VALUE"""),2415.81264)</f>
        <v>2415.81264</v>
      </c>
    </row>
    <row r="164">
      <c r="A164" s="3">
        <f>IFERROR(__xludf.DUMMYFUNCTION("""COMPUTED_VALUE"""),40408.99861111111)</f>
        <v>40408.99861</v>
      </c>
      <c r="B164" s="1">
        <f>IFERROR(__xludf.DUMMYFUNCTION("""COMPUTED_VALUE"""),2421.694332)</f>
        <v>2421.694332</v>
      </c>
    </row>
    <row r="165">
      <c r="A165" s="3">
        <f>IFERROR(__xludf.DUMMYFUNCTION("""COMPUTED_VALUE"""),40409.99861111111)</f>
        <v>40409.99861</v>
      </c>
      <c r="B165" s="1">
        <f>IFERROR(__xludf.DUMMYFUNCTION("""COMPUTED_VALUE"""),2430.275634)</f>
        <v>2430.275634</v>
      </c>
    </row>
    <row r="166">
      <c r="A166" s="3">
        <f>IFERROR(__xludf.DUMMYFUNCTION("""COMPUTED_VALUE"""),40410.99861111111)</f>
        <v>40410.99861</v>
      </c>
      <c r="B166" s="1">
        <f>IFERROR(__xludf.DUMMYFUNCTION("""COMPUTED_VALUE"""),2449.247277)</f>
        <v>2449.247277</v>
      </c>
    </row>
    <row r="167">
      <c r="A167" s="3">
        <f>IFERROR(__xludf.DUMMYFUNCTION("""COMPUTED_VALUE"""),40413.99861111111)</f>
        <v>40413.99861</v>
      </c>
      <c r="B167" s="1">
        <f>IFERROR(__xludf.DUMMYFUNCTION("""COMPUTED_VALUE"""),2413.5974)</f>
        <v>2413.5974</v>
      </c>
    </row>
    <row r="168">
      <c r="A168" s="3">
        <f>IFERROR(__xludf.DUMMYFUNCTION("""COMPUTED_VALUE"""),40414.99861111111)</f>
        <v>40414.99861</v>
      </c>
      <c r="B168" s="1">
        <f>IFERROR(__xludf.DUMMYFUNCTION("""COMPUTED_VALUE"""),2443.751664)</f>
        <v>2443.751664</v>
      </c>
    </row>
    <row r="169">
      <c r="A169" s="3">
        <f>IFERROR(__xludf.DUMMYFUNCTION("""COMPUTED_VALUE"""),40415.99861111111)</f>
        <v>40415.99861</v>
      </c>
      <c r="B169" s="1">
        <f>IFERROR(__xludf.DUMMYFUNCTION("""COMPUTED_VALUE"""),2416.68038)</f>
        <v>2416.68038</v>
      </c>
    </row>
    <row r="170">
      <c r="A170" s="3">
        <f>IFERROR(__xludf.DUMMYFUNCTION("""COMPUTED_VALUE"""),40416.99861111111)</f>
        <v>40416.99861</v>
      </c>
      <c r="B170" s="1">
        <f>IFERROR(__xludf.DUMMYFUNCTION("""COMPUTED_VALUE"""),2446.473764)</f>
        <v>2446.473764</v>
      </c>
    </row>
    <row r="171">
      <c r="A171" s="3">
        <f>IFERROR(__xludf.DUMMYFUNCTION("""COMPUTED_VALUE"""),40417.99861111111)</f>
        <v>40417.99861</v>
      </c>
      <c r="B171" s="1">
        <f>IFERROR(__xludf.DUMMYFUNCTION("""COMPUTED_VALUE"""),2453.959539)</f>
        <v>2453.959539</v>
      </c>
    </row>
    <row r="172">
      <c r="A172" s="3">
        <f>IFERROR(__xludf.DUMMYFUNCTION("""COMPUTED_VALUE"""),40420.99861111111)</f>
        <v>40420.99861</v>
      </c>
      <c r="B172" s="1">
        <f>IFERROR(__xludf.DUMMYFUNCTION("""COMPUTED_VALUE"""),2427.56878)</f>
        <v>2427.56878</v>
      </c>
    </row>
    <row r="173">
      <c r="A173" s="3">
        <f>IFERROR(__xludf.DUMMYFUNCTION("""COMPUTED_VALUE"""),40421.99861111111)</f>
        <v>40421.99861</v>
      </c>
      <c r="B173" s="1">
        <f>IFERROR(__xludf.DUMMYFUNCTION("""COMPUTED_VALUE"""),2453.755382)</f>
        <v>2453.755382</v>
      </c>
    </row>
    <row r="174">
      <c r="A174" s="3">
        <f>IFERROR(__xludf.DUMMYFUNCTION("""COMPUTED_VALUE"""),40422.99861111111)</f>
        <v>40422.99861</v>
      </c>
      <c r="B174" s="1">
        <f>IFERROR(__xludf.DUMMYFUNCTION("""COMPUTED_VALUE"""),2452.011232)</f>
        <v>2452.011232</v>
      </c>
    </row>
    <row r="175">
      <c r="A175" s="3">
        <f>IFERROR(__xludf.DUMMYFUNCTION("""COMPUTED_VALUE"""),40423.99861111111)</f>
        <v>40423.99861</v>
      </c>
      <c r="B175" s="1">
        <f>IFERROR(__xludf.DUMMYFUNCTION("""COMPUTED_VALUE"""),2447.456592)</f>
        <v>2447.456592</v>
      </c>
    </row>
    <row r="176">
      <c r="A176" s="3">
        <f>IFERROR(__xludf.DUMMYFUNCTION("""COMPUTED_VALUE"""),40424.99861111111)</f>
        <v>40424.99861</v>
      </c>
      <c r="B176" s="1">
        <f>IFERROR(__xludf.DUMMYFUNCTION("""COMPUTED_VALUE"""),2444.870407)</f>
        <v>2444.870407</v>
      </c>
    </row>
    <row r="177">
      <c r="A177" s="3">
        <f>IFERROR(__xludf.DUMMYFUNCTION("""COMPUTED_VALUE"""),40427.99861111111)</f>
        <v>40427.99861</v>
      </c>
      <c r="B177" s="1">
        <f>IFERROR(__xludf.DUMMYFUNCTION("""COMPUTED_VALUE"""),2449.427243)</f>
        <v>2449.427243</v>
      </c>
    </row>
    <row r="178">
      <c r="A178" s="3">
        <f>IFERROR(__xludf.DUMMYFUNCTION("""COMPUTED_VALUE"""),40428.99861111111)</f>
        <v>40428.99861</v>
      </c>
      <c r="B178" s="1">
        <f>IFERROR(__xludf.DUMMYFUNCTION("""COMPUTED_VALUE"""),2458.970642)</f>
        <v>2458.970642</v>
      </c>
    </row>
    <row r="179">
      <c r="A179" s="3">
        <f>IFERROR(__xludf.DUMMYFUNCTION("""COMPUTED_VALUE"""),40429.99861111111)</f>
        <v>40429.99861</v>
      </c>
      <c r="B179" s="1">
        <f>IFERROR(__xludf.DUMMYFUNCTION("""COMPUTED_VALUE"""),2451.38508)</f>
        <v>2451.38508</v>
      </c>
    </row>
    <row r="180">
      <c r="A180" s="3">
        <f>IFERROR(__xludf.DUMMYFUNCTION("""COMPUTED_VALUE"""),40430.99861111111)</f>
        <v>40430.99861</v>
      </c>
      <c r="B180" s="1">
        <f>IFERROR(__xludf.DUMMYFUNCTION("""COMPUTED_VALUE"""),2457.7854)</f>
        <v>2457.7854</v>
      </c>
    </row>
    <row r="181">
      <c r="A181" s="3">
        <f>IFERROR(__xludf.DUMMYFUNCTION("""COMPUTED_VALUE"""),40431.99861111111)</f>
        <v>40431.99861</v>
      </c>
      <c r="B181" s="1">
        <f>IFERROR(__xludf.DUMMYFUNCTION("""COMPUTED_VALUE"""),2456.0217)</f>
        <v>2456.0217</v>
      </c>
    </row>
    <row r="182">
      <c r="A182" s="3">
        <f>IFERROR(__xludf.DUMMYFUNCTION("""COMPUTED_VALUE"""),40434.99861111111)</f>
        <v>40434.99861</v>
      </c>
      <c r="B182" s="1">
        <f>IFERROR(__xludf.DUMMYFUNCTION("""COMPUTED_VALUE"""),2449.65105)</f>
        <v>2449.65105</v>
      </c>
    </row>
    <row r="183">
      <c r="A183" s="3">
        <f>IFERROR(__xludf.DUMMYFUNCTION("""COMPUTED_VALUE"""),40435.99861111111)</f>
        <v>40435.99861</v>
      </c>
      <c r="B183" s="1">
        <f>IFERROR(__xludf.DUMMYFUNCTION("""COMPUTED_VALUE"""),2446.792425)</f>
        <v>2446.792425</v>
      </c>
    </row>
    <row r="184">
      <c r="A184" s="3">
        <f>IFERROR(__xludf.DUMMYFUNCTION("""COMPUTED_VALUE"""),40436.99861111111)</f>
        <v>40436.99861</v>
      </c>
      <c r="B184" s="1">
        <f>IFERROR(__xludf.DUMMYFUNCTION("""COMPUTED_VALUE"""),2443.696856)</f>
        <v>2443.696856</v>
      </c>
    </row>
    <row r="185">
      <c r="A185" s="3">
        <f>IFERROR(__xludf.DUMMYFUNCTION("""COMPUTED_VALUE"""),40437.99861111111)</f>
        <v>40437.99861</v>
      </c>
      <c r="B185" s="1">
        <f>IFERROR(__xludf.DUMMYFUNCTION("""COMPUTED_VALUE"""),2431.1925)</f>
        <v>2431.1925</v>
      </c>
    </row>
    <row r="186">
      <c r="A186" s="3">
        <f>IFERROR(__xludf.DUMMYFUNCTION("""COMPUTED_VALUE"""),40438.99861111111)</f>
        <v>40438.99861</v>
      </c>
      <c r="B186" s="1">
        <f>IFERROR(__xludf.DUMMYFUNCTION("""COMPUTED_VALUE"""),2443.66155)</f>
        <v>2443.66155</v>
      </c>
    </row>
    <row r="187">
      <c r="A187" s="3">
        <f>IFERROR(__xludf.DUMMYFUNCTION("""COMPUTED_VALUE"""),40441.99861111111)</f>
        <v>40441.99861</v>
      </c>
      <c r="B187" s="1">
        <f>IFERROR(__xludf.DUMMYFUNCTION("""COMPUTED_VALUE"""),2445.40395)</f>
        <v>2445.40395</v>
      </c>
    </row>
    <row r="188">
      <c r="A188" s="3">
        <f>IFERROR(__xludf.DUMMYFUNCTION("""COMPUTED_VALUE"""),40442.99861111111)</f>
        <v>40442.99861</v>
      </c>
      <c r="B188" s="1">
        <f>IFERROR(__xludf.DUMMYFUNCTION("""COMPUTED_VALUE"""),2416.0554)</f>
        <v>2416.0554</v>
      </c>
    </row>
    <row r="189">
      <c r="A189" s="3">
        <f>IFERROR(__xludf.DUMMYFUNCTION("""COMPUTED_VALUE"""),40443.99861111111)</f>
        <v>40443.99861</v>
      </c>
      <c r="B189" s="1">
        <f>IFERROR(__xludf.DUMMYFUNCTION("""COMPUTED_VALUE"""),2427.945216)</f>
        <v>2427.945216</v>
      </c>
    </row>
    <row r="190">
      <c r="A190" s="3">
        <f>IFERROR(__xludf.DUMMYFUNCTION("""COMPUTED_VALUE"""),40444.99861111111)</f>
        <v>40444.99861</v>
      </c>
      <c r="B190" s="1">
        <f>IFERROR(__xludf.DUMMYFUNCTION("""COMPUTED_VALUE"""),2441.257752)</f>
        <v>2441.257752</v>
      </c>
    </row>
    <row r="191">
      <c r="A191" s="3">
        <f>IFERROR(__xludf.DUMMYFUNCTION("""COMPUTED_VALUE"""),40445.99861111111)</f>
        <v>40445.99861</v>
      </c>
      <c r="B191" s="1">
        <f>IFERROR(__xludf.DUMMYFUNCTION("""COMPUTED_VALUE"""),2409.68475)</f>
        <v>2409.68475</v>
      </c>
    </row>
    <row r="192">
      <c r="A192" s="3">
        <f>IFERROR(__xludf.DUMMYFUNCTION("""COMPUTED_VALUE"""),40448.99861111111)</f>
        <v>40448.99861</v>
      </c>
      <c r="B192" s="1">
        <f>IFERROR(__xludf.DUMMYFUNCTION("""COMPUTED_VALUE"""),2441.946375)</f>
        <v>2441.946375</v>
      </c>
    </row>
    <row r="193">
      <c r="A193" s="3">
        <f>IFERROR(__xludf.DUMMYFUNCTION("""COMPUTED_VALUE"""),40449.99861111111)</f>
        <v>40449.99861</v>
      </c>
      <c r="B193" s="1">
        <f>IFERROR(__xludf.DUMMYFUNCTION("""COMPUTED_VALUE"""),2436.80085)</f>
        <v>2436.80085</v>
      </c>
    </row>
    <row r="194">
      <c r="A194" s="3">
        <f>IFERROR(__xludf.DUMMYFUNCTION("""COMPUTED_VALUE"""),40450.99861111111)</f>
        <v>40450.99861</v>
      </c>
      <c r="B194" s="1">
        <f>IFERROR(__xludf.DUMMYFUNCTION("""COMPUTED_VALUE"""),2431.68255)</f>
        <v>2431.68255</v>
      </c>
    </row>
    <row r="195">
      <c r="A195" s="3">
        <f>IFERROR(__xludf.DUMMYFUNCTION("""COMPUTED_VALUE"""),40451.99861111111)</f>
        <v>40451.99861</v>
      </c>
      <c r="B195" s="1">
        <f>IFERROR(__xludf.DUMMYFUNCTION("""COMPUTED_VALUE"""),2432.208183)</f>
        <v>2432.208183</v>
      </c>
    </row>
    <row r="196">
      <c r="A196" s="3">
        <f>IFERROR(__xludf.DUMMYFUNCTION("""COMPUTED_VALUE"""),40452.99861111111)</f>
        <v>40452.99861</v>
      </c>
      <c r="B196" s="1">
        <f>IFERROR(__xludf.DUMMYFUNCTION("""COMPUTED_VALUE"""),2428.571368)</f>
        <v>2428.571368</v>
      </c>
    </row>
    <row r="197">
      <c r="A197" s="3">
        <f>IFERROR(__xludf.DUMMYFUNCTION("""COMPUTED_VALUE"""),40455.99861111111)</f>
        <v>40455.99861</v>
      </c>
      <c r="B197" s="1">
        <f>IFERROR(__xludf.DUMMYFUNCTION("""COMPUTED_VALUE"""),2432.09858)</f>
        <v>2432.09858</v>
      </c>
    </row>
    <row r="198">
      <c r="A198" s="3">
        <f>IFERROR(__xludf.DUMMYFUNCTION("""COMPUTED_VALUE"""),40456.99861111111)</f>
        <v>40456.99861</v>
      </c>
      <c r="B198" s="1">
        <f>IFERROR(__xludf.DUMMYFUNCTION("""COMPUTED_VALUE"""),2403.722475)</f>
        <v>2403.722475</v>
      </c>
    </row>
    <row r="199">
      <c r="A199" s="3">
        <f>IFERROR(__xludf.DUMMYFUNCTION("""COMPUTED_VALUE"""),40457.99861111111)</f>
        <v>40457.99861</v>
      </c>
      <c r="B199" s="1">
        <f>IFERROR(__xludf.DUMMYFUNCTION("""COMPUTED_VALUE"""),2415.6198)</f>
        <v>2415.6198</v>
      </c>
    </row>
    <row r="200">
      <c r="A200" s="3">
        <f>IFERROR(__xludf.DUMMYFUNCTION("""COMPUTED_VALUE"""),40458.99861111111)</f>
        <v>40458.99861</v>
      </c>
      <c r="B200" s="1">
        <f>IFERROR(__xludf.DUMMYFUNCTION("""COMPUTED_VALUE"""),2426.5098)</f>
        <v>2426.5098</v>
      </c>
    </row>
    <row r="201">
      <c r="A201" s="3">
        <f>IFERROR(__xludf.DUMMYFUNCTION("""COMPUTED_VALUE"""),40459.99861111111)</f>
        <v>40459.99861</v>
      </c>
      <c r="B201" s="1">
        <f>IFERROR(__xludf.DUMMYFUNCTION("""COMPUTED_VALUE"""),2427.898275)</f>
        <v>2427.898275</v>
      </c>
    </row>
    <row r="202">
      <c r="A202" s="3">
        <f>IFERROR(__xludf.DUMMYFUNCTION("""COMPUTED_VALUE"""),40462.99861111111)</f>
        <v>40462.99861</v>
      </c>
      <c r="B202" s="1">
        <f>IFERROR(__xludf.DUMMYFUNCTION("""COMPUTED_VALUE"""),2448.970425)</f>
        <v>2448.970425</v>
      </c>
    </row>
    <row r="203">
      <c r="A203" s="3">
        <f>IFERROR(__xludf.DUMMYFUNCTION("""COMPUTED_VALUE"""),40463.99861111111)</f>
        <v>40463.99861</v>
      </c>
      <c r="B203" s="1">
        <f>IFERROR(__xludf.DUMMYFUNCTION("""COMPUTED_VALUE"""),2425.829175)</f>
        <v>2425.829175</v>
      </c>
    </row>
    <row r="204">
      <c r="A204" s="3">
        <f>IFERROR(__xludf.DUMMYFUNCTION("""COMPUTED_VALUE"""),40464.99861111111)</f>
        <v>40464.99861</v>
      </c>
      <c r="B204" s="1">
        <f>IFERROR(__xludf.DUMMYFUNCTION("""COMPUTED_VALUE"""),2417.226075)</f>
        <v>2417.226075</v>
      </c>
    </row>
    <row r="205">
      <c r="A205" s="3">
        <f>IFERROR(__xludf.DUMMYFUNCTION("""COMPUTED_VALUE"""),40465.99861111111)</f>
        <v>40465.99861</v>
      </c>
      <c r="B205" s="1">
        <f>IFERROR(__xludf.DUMMYFUNCTION("""COMPUTED_VALUE"""),2423.545156)</f>
        <v>2423.545156</v>
      </c>
    </row>
    <row r="206">
      <c r="A206" s="3">
        <f>IFERROR(__xludf.DUMMYFUNCTION("""COMPUTED_VALUE"""),40466.99861111111)</f>
        <v>40466.99861</v>
      </c>
      <c r="B206" s="1">
        <f>IFERROR(__xludf.DUMMYFUNCTION("""COMPUTED_VALUE"""),2434.704525)</f>
        <v>2434.704525</v>
      </c>
    </row>
    <row r="207">
      <c r="A207" s="3">
        <f>IFERROR(__xludf.DUMMYFUNCTION("""COMPUTED_VALUE"""),40469.99861111111)</f>
        <v>40469.99861</v>
      </c>
      <c r="B207" s="1">
        <f>IFERROR(__xludf.DUMMYFUNCTION("""COMPUTED_VALUE"""),2435.560141)</f>
        <v>2435.560141</v>
      </c>
    </row>
    <row r="208">
      <c r="A208" s="3">
        <f>IFERROR(__xludf.DUMMYFUNCTION("""COMPUTED_VALUE"""),40470.99861111111)</f>
        <v>40470.99861</v>
      </c>
      <c r="B208" s="1">
        <f>IFERROR(__xludf.DUMMYFUNCTION("""COMPUTED_VALUE"""),2441.385863)</f>
        <v>2441.385863</v>
      </c>
    </row>
    <row r="209">
      <c r="A209" s="3">
        <f>IFERROR(__xludf.DUMMYFUNCTION("""COMPUTED_VALUE"""),40471.99861111111)</f>
        <v>40471.99861</v>
      </c>
      <c r="B209" s="1">
        <f>IFERROR(__xludf.DUMMYFUNCTION("""COMPUTED_VALUE"""),2400.673275)</f>
        <v>2400.673275</v>
      </c>
    </row>
    <row r="210">
      <c r="A210" s="3">
        <f>IFERROR(__xludf.DUMMYFUNCTION("""COMPUTED_VALUE"""),40472.99861111111)</f>
        <v>40472.99861</v>
      </c>
      <c r="B210" s="1">
        <f>IFERROR(__xludf.DUMMYFUNCTION("""COMPUTED_VALUE"""),2409.276375)</f>
        <v>2409.276375</v>
      </c>
    </row>
    <row r="211">
      <c r="A211" s="3">
        <f>IFERROR(__xludf.DUMMYFUNCTION("""COMPUTED_VALUE"""),40473.99861111111)</f>
        <v>40473.99861</v>
      </c>
      <c r="B211" s="1">
        <f>IFERROR(__xludf.DUMMYFUNCTION("""COMPUTED_VALUE"""),2428.178036)</f>
        <v>2428.178036</v>
      </c>
    </row>
    <row r="212">
      <c r="A212" s="3">
        <f>IFERROR(__xludf.DUMMYFUNCTION("""COMPUTED_VALUE"""),40476.99861111111)</f>
        <v>40476.99861</v>
      </c>
      <c r="B212" s="1">
        <f>IFERROR(__xludf.DUMMYFUNCTION("""COMPUTED_VALUE"""),2430.37575)</f>
        <v>2430.37575</v>
      </c>
    </row>
    <row r="213">
      <c r="A213" s="3">
        <f>IFERROR(__xludf.DUMMYFUNCTION("""COMPUTED_VALUE"""),40477.99861111111)</f>
        <v>40477.99861</v>
      </c>
      <c r="B213" s="1">
        <f>IFERROR(__xludf.DUMMYFUNCTION("""COMPUTED_VALUE"""),2427.116222)</f>
        <v>2427.116222</v>
      </c>
    </row>
    <row r="214">
      <c r="A214" s="3">
        <f>IFERROR(__xludf.DUMMYFUNCTION("""COMPUTED_VALUE"""),40478.99861111111)</f>
        <v>40478.99861</v>
      </c>
      <c r="B214" s="1">
        <f>IFERROR(__xludf.DUMMYFUNCTION("""COMPUTED_VALUE"""),2429.811596)</f>
        <v>2429.811596</v>
      </c>
    </row>
    <row r="215">
      <c r="A215" s="3">
        <f>IFERROR(__xludf.DUMMYFUNCTION("""COMPUTED_VALUE"""),40479.99861111111)</f>
        <v>40479.99861</v>
      </c>
      <c r="B215" s="1">
        <f>IFERROR(__xludf.DUMMYFUNCTION("""COMPUTED_VALUE"""),2403.225824)</f>
        <v>2403.225824</v>
      </c>
    </row>
    <row r="216">
      <c r="A216" s="3">
        <f>IFERROR(__xludf.DUMMYFUNCTION("""COMPUTED_VALUE"""),40480.99861111111)</f>
        <v>40480.99861</v>
      </c>
      <c r="B216" s="1">
        <f>IFERROR(__xludf.DUMMYFUNCTION("""COMPUTED_VALUE"""),2431.737)</f>
        <v>2431.737</v>
      </c>
    </row>
    <row r="217">
      <c r="A217" s="3">
        <f>IFERROR(__xludf.DUMMYFUNCTION("""COMPUTED_VALUE"""),40483.99861111111)</f>
        <v>40483.99861</v>
      </c>
      <c r="B217" s="1">
        <f>IFERROR(__xludf.DUMMYFUNCTION("""COMPUTED_VALUE"""),2425.264854)</f>
        <v>2425.264854</v>
      </c>
    </row>
    <row r="218">
      <c r="A218" s="3">
        <f>IFERROR(__xludf.DUMMYFUNCTION("""COMPUTED_VALUE"""),40484.99861111111)</f>
        <v>40484.99861</v>
      </c>
      <c r="B218" s="1">
        <f>IFERROR(__xludf.DUMMYFUNCTION("""COMPUTED_VALUE"""),2403.10289)</f>
        <v>2403.10289</v>
      </c>
    </row>
    <row r="219">
      <c r="A219" s="3">
        <f>IFERROR(__xludf.DUMMYFUNCTION("""COMPUTED_VALUE"""),40485.99861111111)</f>
        <v>40485.99861</v>
      </c>
      <c r="B219" s="1">
        <f>IFERROR(__xludf.DUMMYFUNCTION("""COMPUTED_VALUE"""),2388.183042)</f>
        <v>2388.183042</v>
      </c>
    </row>
    <row r="220">
      <c r="A220" s="3">
        <f>IFERROR(__xludf.DUMMYFUNCTION("""COMPUTED_VALUE"""),40486.99861111111)</f>
        <v>40486.99861</v>
      </c>
      <c r="B220" s="1">
        <f>IFERROR(__xludf.DUMMYFUNCTION("""COMPUTED_VALUE"""),2425.28839)</f>
        <v>2425.28839</v>
      </c>
    </row>
    <row r="221">
      <c r="A221" s="3">
        <f>IFERROR(__xludf.DUMMYFUNCTION("""COMPUTED_VALUE"""),40487.99861111111)</f>
        <v>40487.99861</v>
      </c>
      <c r="B221" s="1">
        <f>IFERROR(__xludf.DUMMYFUNCTION("""COMPUTED_VALUE"""),2423.114)</f>
        <v>2423.114</v>
      </c>
    </row>
    <row r="222">
      <c r="A222" s="3">
        <f>IFERROR(__xludf.DUMMYFUNCTION("""COMPUTED_VALUE"""),40490.99861111111)</f>
        <v>40490.99861</v>
      </c>
      <c r="B222" s="1">
        <f>IFERROR(__xludf.DUMMYFUNCTION("""COMPUTED_VALUE"""),2424.325557)</f>
        <v>2424.325557</v>
      </c>
    </row>
    <row r="223">
      <c r="A223" s="3">
        <f>IFERROR(__xludf.DUMMYFUNCTION("""COMPUTED_VALUE"""),40491.99861111111)</f>
        <v>40491.99861</v>
      </c>
      <c r="B223" s="1">
        <f>IFERROR(__xludf.DUMMYFUNCTION("""COMPUTED_VALUE"""),2397.2493)</f>
        <v>2397.2493</v>
      </c>
    </row>
    <row r="224">
      <c r="A224" s="3">
        <f>IFERROR(__xludf.DUMMYFUNCTION("""COMPUTED_VALUE"""),40492.99861111111)</f>
        <v>40492.99861</v>
      </c>
      <c r="B224" s="1">
        <f>IFERROR(__xludf.DUMMYFUNCTION("""COMPUTED_VALUE"""),2390.421692)</f>
        <v>2390.421692</v>
      </c>
    </row>
    <row r="225">
      <c r="A225" s="3">
        <f>IFERROR(__xludf.DUMMYFUNCTION("""COMPUTED_VALUE"""),40493.99861111111)</f>
        <v>40493.99861</v>
      </c>
      <c r="B225" s="1">
        <f>IFERROR(__xludf.DUMMYFUNCTION("""COMPUTED_VALUE"""),2395.34348)</f>
        <v>2395.34348</v>
      </c>
    </row>
    <row r="226">
      <c r="A226" s="3">
        <f>IFERROR(__xludf.DUMMYFUNCTION("""COMPUTED_VALUE"""),40494.99861111111)</f>
        <v>40494.99861</v>
      </c>
      <c r="B226" s="1">
        <f>IFERROR(__xludf.DUMMYFUNCTION("""COMPUTED_VALUE"""),2429.770757)</f>
        <v>2429.770757</v>
      </c>
    </row>
    <row r="227">
      <c r="A227" s="3">
        <f>IFERROR(__xludf.DUMMYFUNCTION("""COMPUTED_VALUE"""),40497.99861111111)</f>
        <v>40497.99861</v>
      </c>
      <c r="B227" s="1">
        <f>IFERROR(__xludf.DUMMYFUNCTION("""COMPUTED_VALUE"""),2441.388262)</f>
        <v>2441.388262</v>
      </c>
    </row>
    <row r="228">
      <c r="A228" s="3">
        <f>IFERROR(__xludf.DUMMYFUNCTION("""COMPUTED_VALUE"""),40498.99861111111)</f>
        <v>40498.99861</v>
      </c>
      <c r="B228" s="1">
        <f>IFERROR(__xludf.DUMMYFUNCTION("""COMPUTED_VALUE"""),2410.69176)</f>
        <v>2410.69176</v>
      </c>
    </row>
    <row r="229">
      <c r="A229" s="3">
        <f>IFERROR(__xludf.DUMMYFUNCTION("""COMPUTED_VALUE"""),40499.99861111111)</f>
        <v>40499.99861</v>
      </c>
      <c r="B229" s="1">
        <f>IFERROR(__xludf.DUMMYFUNCTION("""COMPUTED_VALUE"""),2408.3235)</f>
        <v>2408.3235</v>
      </c>
    </row>
    <row r="230">
      <c r="A230" s="3">
        <f>IFERROR(__xludf.DUMMYFUNCTION("""COMPUTED_VALUE"""),40500.99861111111)</f>
        <v>40500.99861</v>
      </c>
      <c r="B230" s="1">
        <f>IFERROR(__xludf.DUMMYFUNCTION("""COMPUTED_VALUE"""),2407.50675)</f>
        <v>2407.50675</v>
      </c>
    </row>
    <row r="231">
      <c r="A231" s="3">
        <f>IFERROR(__xludf.DUMMYFUNCTION("""COMPUTED_VALUE"""),40501.99861111111)</f>
        <v>40501.99861</v>
      </c>
      <c r="B231" s="1">
        <f>IFERROR(__xludf.DUMMYFUNCTION("""COMPUTED_VALUE"""),2431.587262)</f>
        <v>2431.587262</v>
      </c>
    </row>
    <row r="232">
      <c r="A232" s="3">
        <f>IFERROR(__xludf.DUMMYFUNCTION("""COMPUTED_VALUE"""),40504.99861111111)</f>
        <v>40504.99861</v>
      </c>
      <c r="B232" s="1">
        <f>IFERROR(__xludf.DUMMYFUNCTION("""COMPUTED_VALUE"""),2431.042762)</f>
        <v>2431.042762</v>
      </c>
    </row>
    <row r="233">
      <c r="A233" s="3">
        <f>IFERROR(__xludf.DUMMYFUNCTION("""COMPUTED_VALUE"""),40505.99861111111)</f>
        <v>40505.99861</v>
      </c>
      <c r="B233" s="1">
        <f>IFERROR(__xludf.DUMMYFUNCTION("""COMPUTED_VALUE"""),2441.075175)</f>
        <v>2441.075175</v>
      </c>
    </row>
    <row r="234">
      <c r="A234" s="3">
        <f>IFERROR(__xludf.DUMMYFUNCTION("""COMPUTED_VALUE"""),40506.99861111111)</f>
        <v>40506.99861</v>
      </c>
      <c r="B234" s="1">
        <f>IFERROR(__xludf.DUMMYFUNCTION("""COMPUTED_VALUE"""),2439.937388)</f>
        <v>2439.937388</v>
      </c>
    </row>
    <row r="235">
      <c r="A235" s="3">
        <f>IFERROR(__xludf.DUMMYFUNCTION("""COMPUTED_VALUE"""),40507.99861111111)</f>
        <v>40507.99861</v>
      </c>
      <c r="B235" s="1">
        <f>IFERROR(__xludf.DUMMYFUNCTION("""COMPUTED_VALUE"""),2440.760541)</f>
        <v>2440.760541</v>
      </c>
    </row>
    <row r="236">
      <c r="A236" s="3">
        <f>IFERROR(__xludf.DUMMYFUNCTION("""COMPUTED_VALUE"""),40508.99861111111)</f>
        <v>40508.99861</v>
      </c>
      <c r="B236" s="1">
        <f>IFERROR(__xludf.DUMMYFUNCTION("""COMPUTED_VALUE"""),2422.4805)</f>
        <v>2422.4805</v>
      </c>
    </row>
    <row r="237">
      <c r="A237" s="3">
        <f>IFERROR(__xludf.DUMMYFUNCTION("""COMPUTED_VALUE"""),40511.99861111111)</f>
        <v>40511.99861</v>
      </c>
      <c r="B237" s="1">
        <f>IFERROR(__xludf.DUMMYFUNCTION("""COMPUTED_VALUE"""),2454.366108)</f>
        <v>2454.366108</v>
      </c>
    </row>
    <row r="238">
      <c r="A238" s="3">
        <f>IFERROR(__xludf.DUMMYFUNCTION("""COMPUTED_VALUE"""),40512.99861111111)</f>
        <v>40512.99861</v>
      </c>
      <c r="B238" s="1">
        <f>IFERROR(__xludf.DUMMYFUNCTION("""COMPUTED_VALUE"""),2459.402548)</f>
        <v>2459.402548</v>
      </c>
    </row>
    <row r="239">
      <c r="A239" s="3">
        <f>IFERROR(__xludf.DUMMYFUNCTION("""COMPUTED_VALUE"""),40513.99861111111)</f>
        <v>40513.99861</v>
      </c>
      <c r="B239" s="1">
        <f>IFERROR(__xludf.DUMMYFUNCTION("""COMPUTED_VALUE"""),2455.182828)</f>
        <v>2455.182828</v>
      </c>
    </row>
    <row r="240">
      <c r="A240" s="3">
        <f>IFERROR(__xludf.DUMMYFUNCTION("""COMPUTED_VALUE"""),40514.99861111111)</f>
        <v>40514.99861</v>
      </c>
      <c r="B240" s="1">
        <f>IFERROR(__xludf.DUMMYFUNCTION("""COMPUTED_VALUE"""),2427.29184)</f>
        <v>2427.29184</v>
      </c>
    </row>
    <row r="241">
      <c r="A241" s="3">
        <f>IFERROR(__xludf.DUMMYFUNCTION("""COMPUTED_VALUE"""),40515.99861111111)</f>
        <v>40515.99861</v>
      </c>
      <c r="B241" s="1">
        <f>IFERROR(__xludf.DUMMYFUNCTION("""COMPUTED_VALUE"""),2446.0764)</f>
        <v>2446.0764</v>
      </c>
    </row>
    <row r="242">
      <c r="A242" s="3">
        <f>IFERROR(__xludf.DUMMYFUNCTION("""COMPUTED_VALUE"""),40518.99861111111)</f>
        <v>40518.99861</v>
      </c>
      <c r="B242" s="1">
        <f>IFERROR(__xludf.DUMMYFUNCTION("""COMPUTED_VALUE"""),2452.958887)</f>
        <v>2452.958887</v>
      </c>
    </row>
    <row r="243">
      <c r="A243" s="3">
        <f>IFERROR(__xludf.DUMMYFUNCTION("""COMPUTED_VALUE"""),40519.99861111111)</f>
        <v>40519.99861</v>
      </c>
      <c r="B243" s="1">
        <f>IFERROR(__xludf.DUMMYFUNCTION("""COMPUTED_VALUE"""),2447.6174)</f>
        <v>2447.6174</v>
      </c>
    </row>
    <row r="244">
      <c r="A244" s="3">
        <f>IFERROR(__xludf.DUMMYFUNCTION("""COMPUTED_VALUE"""),40520.99861111111)</f>
        <v>40520.99861</v>
      </c>
      <c r="B244" s="1">
        <f>IFERROR(__xludf.DUMMYFUNCTION("""COMPUTED_VALUE"""),2455.7852)</f>
        <v>2455.7852</v>
      </c>
    </row>
    <row r="245">
      <c r="A245" s="3">
        <f>IFERROR(__xludf.DUMMYFUNCTION("""COMPUTED_VALUE"""),40521.99861111111)</f>
        <v>40521.99861</v>
      </c>
      <c r="B245" s="1">
        <f>IFERROR(__xludf.DUMMYFUNCTION("""COMPUTED_VALUE"""),2455.1505)</f>
        <v>2455.1505</v>
      </c>
    </row>
    <row r="246">
      <c r="A246" s="3">
        <f>IFERROR(__xludf.DUMMYFUNCTION("""COMPUTED_VALUE"""),40522.99861111111)</f>
        <v>40522.99861</v>
      </c>
      <c r="B246" s="1">
        <f>IFERROR(__xludf.DUMMYFUNCTION("""COMPUTED_VALUE"""),2454.33375)</f>
        <v>2454.33375</v>
      </c>
    </row>
    <row r="247">
      <c r="A247" s="3">
        <f>IFERROR(__xludf.DUMMYFUNCTION("""COMPUTED_VALUE"""),40525.99861111111)</f>
        <v>40525.99861</v>
      </c>
      <c r="B247" s="1">
        <f>IFERROR(__xludf.DUMMYFUNCTION("""COMPUTED_VALUE"""),2454.33375)</f>
        <v>2454.33375</v>
      </c>
    </row>
    <row r="248">
      <c r="A248" s="3">
        <f>IFERROR(__xludf.DUMMYFUNCTION("""COMPUTED_VALUE"""),40526.99861111111)</f>
        <v>40526.99861</v>
      </c>
      <c r="B248" s="1">
        <f>IFERROR(__xludf.DUMMYFUNCTION("""COMPUTED_VALUE"""),2452.822762)</f>
        <v>2452.822762</v>
      </c>
    </row>
    <row r="249">
      <c r="A249" s="3">
        <f>IFERROR(__xludf.DUMMYFUNCTION("""COMPUTED_VALUE"""),40527.99861111111)</f>
        <v>40527.99861</v>
      </c>
      <c r="B249" s="1">
        <f>IFERROR(__xludf.DUMMYFUNCTION("""COMPUTED_VALUE"""),2456.362012)</f>
        <v>2456.362012</v>
      </c>
    </row>
    <row r="250">
      <c r="A250" s="3">
        <f>IFERROR(__xludf.DUMMYFUNCTION("""COMPUTED_VALUE"""),40528.99861111111)</f>
        <v>40528.99861</v>
      </c>
      <c r="B250" s="1">
        <f>IFERROR(__xludf.DUMMYFUNCTION("""COMPUTED_VALUE"""),2433.3705)</f>
        <v>2433.3705</v>
      </c>
    </row>
    <row r="251">
      <c r="A251" s="3">
        <f>IFERROR(__xludf.DUMMYFUNCTION("""COMPUTED_VALUE"""),40529.99861111111)</f>
        <v>40529.99861</v>
      </c>
      <c r="B251" s="1">
        <f>IFERROR(__xludf.DUMMYFUNCTION("""COMPUTED_VALUE"""),2459.538668)</f>
        <v>2459.538668</v>
      </c>
    </row>
    <row r="252">
      <c r="A252" s="3">
        <f>IFERROR(__xludf.DUMMYFUNCTION("""COMPUTED_VALUE"""),40532.99861111111)</f>
        <v>40532.99861</v>
      </c>
      <c r="B252" s="1">
        <f>IFERROR(__xludf.DUMMYFUNCTION("""COMPUTED_VALUE"""),2434.73175)</f>
        <v>2434.73175</v>
      </c>
    </row>
    <row r="253">
      <c r="A253" s="3">
        <f>IFERROR(__xludf.DUMMYFUNCTION("""COMPUTED_VALUE"""),40533.99861111111)</f>
        <v>40533.99861</v>
      </c>
      <c r="B253" s="1">
        <f>IFERROR(__xludf.DUMMYFUNCTION("""COMPUTED_VALUE"""),2461.670887)</f>
        <v>2461.670887</v>
      </c>
    </row>
    <row r="254">
      <c r="A254" s="3">
        <f>IFERROR(__xludf.DUMMYFUNCTION("""COMPUTED_VALUE"""),40534.99861111111)</f>
        <v>40534.99861</v>
      </c>
      <c r="B254" s="1">
        <f>IFERROR(__xludf.DUMMYFUNCTION("""COMPUTED_VALUE"""),2461.5756)</f>
        <v>2461.5756</v>
      </c>
    </row>
    <row r="255">
      <c r="A255" s="3">
        <f>IFERROR(__xludf.DUMMYFUNCTION("""COMPUTED_VALUE"""),40535.99861111111)</f>
        <v>40535.99861</v>
      </c>
      <c r="B255" s="1">
        <f>IFERROR(__xludf.DUMMYFUNCTION("""COMPUTED_VALUE"""),2460.840525)</f>
        <v>2460.840525</v>
      </c>
    </row>
    <row r="256">
      <c r="A256" s="3">
        <f>IFERROR(__xludf.DUMMYFUNCTION("""COMPUTED_VALUE"""),40536.99861111111)</f>
        <v>40536.99861</v>
      </c>
      <c r="B256" s="1">
        <f>IFERROR(__xludf.DUMMYFUNCTION("""COMPUTED_VALUE"""),2458.87168)</f>
        <v>2458.87168</v>
      </c>
    </row>
    <row r="257">
      <c r="A257" s="3">
        <f>IFERROR(__xludf.DUMMYFUNCTION("""COMPUTED_VALUE"""),40539.99861111111)</f>
        <v>40539.99861</v>
      </c>
      <c r="B257" s="1">
        <f>IFERROR(__xludf.DUMMYFUNCTION("""COMPUTED_VALUE"""),2433.46397)</f>
        <v>2433.46397</v>
      </c>
    </row>
    <row r="258">
      <c r="A258" s="3">
        <f>IFERROR(__xludf.DUMMYFUNCTION("""COMPUTED_VALUE"""),40540.99861111111)</f>
        <v>40540.99861</v>
      </c>
      <c r="B258" s="1">
        <f>IFERROR(__xludf.DUMMYFUNCTION("""COMPUTED_VALUE"""),2455.000762)</f>
        <v>2455.000762</v>
      </c>
    </row>
    <row r="259">
      <c r="A259" s="3">
        <f>IFERROR(__xludf.DUMMYFUNCTION("""COMPUTED_VALUE"""),40541.99861111111)</f>
        <v>40541.99861</v>
      </c>
      <c r="B259" s="1">
        <f>IFERROR(__xludf.DUMMYFUNCTION("""COMPUTED_VALUE"""),2450.464733)</f>
        <v>2450.464733</v>
      </c>
    </row>
    <row r="260">
      <c r="A260" s="3">
        <f>IFERROR(__xludf.DUMMYFUNCTION("""COMPUTED_VALUE"""),40542.99861111111)</f>
        <v>40542.99861</v>
      </c>
      <c r="B260" s="1">
        <f>IFERROR(__xludf.DUMMYFUNCTION("""COMPUTED_VALUE"""),2419.2135)</f>
        <v>2419.2135</v>
      </c>
    </row>
    <row r="261">
      <c r="A261" s="3">
        <f>IFERROR(__xludf.DUMMYFUNCTION("""COMPUTED_VALUE"""),40543.99861111111)</f>
        <v>40543.99861</v>
      </c>
      <c r="B261" s="1">
        <f>IFERROR(__xludf.DUMMYFUNCTION("""COMPUTED_VALUE"""),2452.958887)</f>
        <v>2452.958887</v>
      </c>
    </row>
    <row r="262">
      <c r="A262" s="3">
        <f>IFERROR(__xludf.DUMMYFUNCTION("""COMPUTED_VALUE"""),40546.99861111111)</f>
        <v>40546.99861</v>
      </c>
      <c r="B262" s="1">
        <f>IFERROR(__xludf.DUMMYFUNCTION("""COMPUTED_VALUE"""),2447.513887)</f>
        <v>2447.513887</v>
      </c>
    </row>
    <row r="263">
      <c r="A263" s="3">
        <f>IFERROR(__xludf.DUMMYFUNCTION("""COMPUTED_VALUE"""),40547.99861111111)</f>
        <v>40547.99861</v>
      </c>
      <c r="B263" s="1">
        <f>IFERROR(__xludf.DUMMYFUNCTION("""COMPUTED_VALUE"""),2419.2135)</f>
        <v>2419.2135</v>
      </c>
    </row>
    <row r="264">
      <c r="A264" s="3">
        <f>IFERROR(__xludf.DUMMYFUNCTION("""COMPUTED_VALUE"""),40548.99861111111)</f>
        <v>40548.99861</v>
      </c>
      <c r="B264" s="1">
        <f>IFERROR(__xludf.DUMMYFUNCTION("""COMPUTED_VALUE"""),2445.880387)</f>
        <v>2445.880387</v>
      </c>
    </row>
    <row r="265">
      <c r="A265" s="3">
        <f>IFERROR(__xludf.DUMMYFUNCTION("""COMPUTED_VALUE"""),40549.99861111111)</f>
        <v>40549.99861</v>
      </c>
      <c r="B265" s="1">
        <f>IFERROR(__xludf.DUMMYFUNCTION("""COMPUTED_VALUE"""),2454.371234)</f>
        <v>2454.371234</v>
      </c>
    </row>
    <row r="266">
      <c r="A266" s="3">
        <f>IFERROR(__xludf.DUMMYFUNCTION("""COMPUTED_VALUE"""),40550.99861111111)</f>
        <v>40550.99861</v>
      </c>
      <c r="B266" s="1">
        <f>IFERROR(__xludf.DUMMYFUNCTION("""COMPUTED_VALUE"""),2424.93075)</f>
        <v>2424.93075</v>
      </c>
    </row>
    <row r="267">
      <c r="A267" s="3">
        <f>IFERROR(__xludf.DUMMYFUNCTION("""COMPUTED_VALUE"""),40553.99861111111)</f>
        <v>40553.99861</v>
      </c>
      <c r="B267" s="1">
        <f>IFERROR(__xludf.DUMMYFUNCTION("""COMPUTED_VALUE"""),2464.211647)</f>
        <v>2464.211647</v>
      </c>
    </row>
    <row r="268">
      <c r="A268" s="3">
        <f>IFERROR(__xludf.DUMMYFUNCTION("""COMPUTED_VALUE"""),40554.99861111111)</f>
        <v>40554.99861</v>
      </c>
      <c r="B268" s="1">
        <f>IFERROR(__xludf.DUMMYFUNCTION("""COMPUTED_VALUE"""),2432.118826)</f>
        <v>2432.118826</v>
      </c>
    </row>
    <row r="269">
      <c r="A269" s="3">
        <f>IFERROR(__xludf.DUMMYFUNCTION("""COMPUTED_VALUE"""),40555.99861111111)</f>
        <v>40555.99861</v>
      </c>
      <c r="B269" s="1">
        <f>IFERROR(__xludf.DUMMYFUNCTION("""COMPUTED_VALUE"""),2460.9592)</f>
        <v>2460.9592</v>
      </c>
    </row>
    <row r="270">
      <c r="A270" s="3">
        <f>IFERROR(__xludf.DUMMYFUNCTION("""COMPUTED_VALUE"""),40556.99861111111)</f>
        <v>40556.99861</v>
      </c>
      <c r="B270" s="1">
        <f>IFERROR(__xludf.DUMMYFUNCTION("""COMPUTED_VALUE"""),2463.848887)</f>
        <v>2463.848887</v>
      </c>
    </row>
    <row r="271">
      <c r="A271" s="3">
        <f>IFERROR(__xludf.DUMMYFUNCTION("""COMPUTED_VALUE"""),40557.99861111111)</f>
        <v>40557.99861</v>
      </c>
      <c r="B271" s="1">
        <f>IFERROR(__xludf.DUMMYFUNCTION("""COMPUTED_VALUE"""),2464.393387)</f>
        <v>2464.393387</v>
      </c>
    </row>
    <row r="272">
      <c r="A272" s="3">
        <f>IFERROR(__xludf.DUMMYFUNCTION("""COMPUTED_VALUE"""),40560.99861111111)</f>
        <v>40560.99861</v>
      </c>
      <c r="B272" s="1">
        <f>IFERROR(__xludf.DUMMYFUNCTION("""COMPUTED_VALUE"""),2466.585)</f>
        <v>2466.585</v>
      </c>
    </row>
    <row r="273">
      <c r="A273" s="3">
        <f>IFERROR(__xludf.DUMMYFUNCTION("""COMPUTED_VALUE"""),40561.99861111111)</f>
        <v>40561.99861</v>
      </c>
      <c r="B273" s="1">
        <f>IFERROR(__xludf.DUMMYFUNCTION("""COMPUTED_VALUE"""),2464.937887)</f>
        <v>2464.937887</v>
      </c>
    </row>
    <row r="274">
      <c r="A274" s="3">
        <f>IFERROR(__xludf.DUMMYFUNCTION("""COMPUTED_VALUE"""),40562.99861111111)</f>
        <v>40562.99861</v>
      </c>
      <c r="B274" s="1">
        <f>IFERROR(__xludf.DUMMYFUNCTION("""COMPUTED_VALUE"""),2436.093)</f>
        <v>2436.093</v>
      </c>
    </row>
    <row r="275">
      <c r="A275" s="3">
        <f>IFERROR(__xludf.DUMMYFUNCTION("""COMPUTED_VALUE"""),40563.99861111111)</f>
        <v>40563.99861</v>
      </c>
      <c r="B275" s="1">
        <f>IFERROR(__xludf.DUMMYFUNCTION("""COMPUTED_VALUE"""),2425.539528)</f>
        <v>2425.539528</v>
      </c>
    </row>
    <row r="276">
      <c r="A276" s="3">
        <f>IFERROR(__xludf.DUMMYFUNCTION("""COMPUTED_VALUE"""),40564.99861111111)</f>
        <v>40564.99861</v>
      </c>
      <c r="B276" s="1">
        <f>IFERROR(__xludf.DUMMYFUNCTION("""COMPUTED_VALUE"""),2403.286875)</f>
        <v>2403.286875</v>
      </c>
    </row>
    <row r="277">
      <c r="A277" s="3">
        <f>IFERROR(__xludf.DUMMYFUNCTION("""COMPUTED_VALUE"""),40567.99861111111)</f>
        <v>40567.99861</v>
      </c>
      <c r="B277" s="1">
        <f>IFERROR(__xludf.DUMMYFUNCTION("""COMPUTED_VALUE"""),2463.8625)</f>
        <v>2463.8625</v>
      </c>
    </row>
    <row r="278">
      <c r="A278" s="3">
        <f>IFERROR(__xludf.DUMMYFUNCTION("""COMPUTED_VALUE"""),40568.99861111111)</f>
        <v>40568.99861</v>
      </c>
      <c r="B278" s="1">
        <f>IFERROR(__xludf.DUMMYFUNCTION("""COMPUTED_VALUE"""),2460.173512)</f>
        <v>2460.173512</v>
      </c>
    </row>
    <row r="279">
      <c r="A279" s="3">
        <f>IFERROR(__xludf.DUMMYFUNCTION("""COMPUTED_VALUE"""),40569.99861111111)</f>
        <v>40569.99861</v>
      </c>
      <c r="B279" s="1">
        <f>IFERROR(__xludf.DUMMYFUNCTION("""COMPUTED_VALUE"""),2428.63335)</f>
        <v>2428.63335</v>
      </c>
    </row>
    <row r="280">
      <c r="A280" s="3">
        <f>IFERROR(__xludf.DUMMYFUNCTION("""COMPUTED_VALUE"""),40570.99861111111)</f>
        <v>40570.99861</v>
      </c>
      <c r="B280" s="1">
        <f>IFERROR(__xludf.DUMMYFUNCTION("""COMPUTED_VALUE"""),2457.04552)</f>
        <v>2457.04552</v>
      </c>
    </row>
    <row r="281">
      <c r="A281" s="3">
        <f>IFERROR(__xludf.DUMMYFUNCTION("""COMPUTED_VALUE"""),40571.99861111111)</f>
        <v>40571.99861</v>
      </c>
      <c r="B281" s="1">
        <f>IFERROR(__xludf.DUMMYFUNCTION("""COMPUTED_VALUE"""),2457.31771)</f>
        <v>2457.31771</v>
      </c>
    </row>
    <row r="282">
      <c r="A282" s="3">
        <f>IFERROR(__xludf.DUMMYFUNCTION("""COMPUTED_VALUE"""),40574.99861111111)</f>
        <v>40574.99861</v>
      </c>
      <c r="B282" s="1">
        <f>IFERROR(__xludf.DUMMYFUNCTION("""COMPUTED_VALUE"""),2438.8155)</f>
        <v>2438.8155</v>
      </c>
    </row>
    <row r="283">
      <c r="A283" s="3">
        <f>IFERROR(__xludf.DUMMYFUNCTION("""COMPUTED_VALUE"""),40575.99861111111)</f>
        <v>40575.99861</v>
      </c>
      <c r="B283" s="1">
        <f>IFERROR(__xludf.DUMMYFUNCTION("""COMPUTED_VALUE"""),2450.25)</f>
        <v>2450.25</v>
      </c>
    </row>
    <row r="284">
      <c r="A284" s="3">
        <f>IFERROR(__xludf.DUMMYFUNCTION("""COMPUTED_VALUE"""),40576.99861111111)</f>
        <v>40576.99861</v>
      </c>
      <c r="B284" s="1">
        <f>IFERROR(__xludf.DUMMYFUNCTION("""COMPUTED_VALUE"""),2455.953637)</f>
        <v>2455.953637</v>
      </c>
    </row>
    <row r="285">
      <c r="A285" s="3">
        <f>IFERROR(__xludf.DUMMYFUNCTION("""COMPUTED_VALUE"""),40577.99861111111)</f>
        <v>40577.99861</v>
      </c>
      <c r="B285" s="1">
        <f>IFERROR(__xludf.DUMMYFUNCTION("""COMPUTED_VALUE"""),2428.83146)</f>
        <v>2428.83146</v>
      </c>
    </row>
    <row r="286">
      <c r="A286" s="3">
        <f>IFERROR(__xludf.DUMMYFUNCTION("""COMPUTED_VALUE"""),40578.99861111111)</f>
        <v>40578.99861</v>
      </c>
      <c r="B286" s="1">
        <f>IFERROR(__xludf.DUMMYFUNCTION("""COMPUTED_VALUE"""),2448.284437)</f>
        <v>2448.284437</v>
      </c>
    </row>
    <row r="287">
      <c r="A287" s="3">
        <f>IFERROR(__xludf.DUMMYFUNCTION("""COMPUTED_VALUE"""),40581.99861111111)</f>
        <v>40581.99861</v>
      </c>
      <c r="B287" s="1">
        <f>IFERROR(__xludf.DUMMYFUNCTION("""COMPUTED_VALUE"""),2402.2251)</f>
        <v>2402.2251</v>
      </c>
    </row>
    <row r="288">
      <c r="A288" s="3">
        <f>IFERROR(__xludf.DUMMYFUNCTION("""COMPUTED_VALUE"""),40582.99861111111)</f>
        <v>40582.99861</v>
      </c>
      <c r="B288" s="1">
        <f>IFERROR(__xludf.DUMMYFUNCTION("""COMPUTED_VALUE"""),2423.114)</f>
        <v>2423.114</v>
      </c>
    </row>
    <row r="289">
      <c r="A289" s="3">
        <f>IFERROR(__xludf.DUMMYFUNCTION("""COMPUTED_VALUE"""),40583.99861111111)</f>
        <v>40583.99861</v>
      </c>
      <c r="B289" s="1">
        <f>IFERROR(__xludf.DUMMYFUNCTION("""COMPUTED_VALUE"""),2431.178887)</f>
        <v>2431.178887</v>
      </c>
    </row>
    <row r="290">
      <c r="A290" s="3">
        <f>IFERROR(__xludf.DUMMYFUNCTION("""COMPUTED_VALUE"""),40584.99861111111)</f>
        <v>40584.99861</v>
      </c>
      <c r="B290" s="1">
        <f>IFERROR(__xludf.DUMMYFUNCTION("""COMPUTED_VALUE"""),2429.83125)</f>
        <v>2429.83125</v>
      </c>
    </row>
    <row r="291">
      <c r="A291" s="3">
        <f>IFERROR(__xludf.DUMMYFUNCTION("""COMPUTED_VALUE"""),40585.99861111111)</f>
        <v>40585.99861</v>
      </c>
      <c r="B291" s="1">
        <f>IFERROR(__xludf.DUMMYFUNCTION("""COMPUTED_VALUE"""),2430.9747)</f>
        <v>2430.9747</v>
      </c>
    </row>
    <row r="292">
      <c r="A292" s="3">
        <f>IFERROR(__xludf.DUMMYFUNCTION("""COMPUTED_VALUE"""),40588.99861111111)</f>
        <v>40588.99861</v>
      </c>
      <c r="B292" s="1">
        <f>IFERROR(__xludf.DUMMYFUNCTION("""COMPUTED_VALUE"""),2426.780723)</f>
        <v>2426.780723</v>
      </c>
    </row>
    <row r="293">
      <c r="A293" s="3">
        <f>IFERROR(__xludf.DUMMYFUNCTION("""COMPUTED_VALUE"""),40589.99861111111)</f>
        <v>40589.99861</v>
      </c>
      <c r="B293" s="1">
        <f>IFERROR(__xludf.DUMMYFUNCTION("""COMPUTED_VALUE"""),2399.7956)</f>
        <v>2399.7956</v>
      </c>
    </row>
    <row r="294">
      <c r="A294" s="3">
        <f>IFERROR(__xludf.DUMMYFUNCTION("""COMPUTED_VALUE"""),40590.99861111111)</f>
        <v>40590.99861</v>
      </c>
      <c r="B294" s="1">
        <f>IFERROR(__xludf.DUMMYFUNCTION("""COMPUTED_VALUE"""),2421.739087)</f>
        <v>2421.739087</v>
      </c>
    </row>
    <row r="295">
      <c r="A295" s="3">
        <f>IFERROR(__xludf.DUMMYFUNCTION("""COMPUTED_VALUE"""),40591.99861111111)</f>
        <v>40591.99861</v>
      </c>
      <c r="B295" s="1">
        <f>IFERROR(__xludf.DUMMYFUNCTION("""COMPUTED_VALUE"""),2389.7404)</f>
        <v>2389.7404</v>
      </c>
    </row>
    <row r="296">
      <c r="A296" s="3">
        <f>IFERROR(__xludf.DUMMYFUNCTION("""COMPUTED_VALUE"""),40592.99861111111)</f>
        <v>40592.99861</v>
      </c>
      <c r="B296" s="1">
        <f>IFERROR(__xludf.DUMMYFUNCTION("""COMPUTED_VALUE"""),2411.263613)</f>
        <v>2411.263613</v>
      </c>
    </row>
    <row r="297">
      <c r="A297" s="3">
        <f>IFERROR(__xludf.DUMMYFUNCTION("""COMPUTED_VALUE"""),40595.99861111111)</f>
        <v>40595.99861</v>
      </c>
      <c r="B297" s="1">
        <f>IFERROR(__xludf.DUMMYFUNCTION("""COMPUTED_VALUE"""),2382.1875)</f>
        <v>2382.1875</v>
      </c>
    </row>
    <row r="298">
      <c r="A298" s="3">
        <f>IFERROR(__xludf.DUMMYFUNCTION("""COMPUTED_VALUE"""),40596.99861111111)</f>
        <v>40596.99861</v>
      </c>
      <c r="B298" s="1">
        <f>IFERROR(__xludf.DUMMYFUNCTION("""COMPUTED_VALUE"""),2416.613512)</f>
        <v>2416.613512</v>
      </c>
    </row>
    <row r="299">
      <c r="A299" s="3">
        <f>IFERROR(__xludf.DUMMYFUNCTION("""COMPUTED_VALUE"""),40597.99861111111)</f>
        <v>40597.99861</v>
      </c>
      <c r="B299" s="1">
        <f>IFERROR(__xludf.DUMMYFUNCTION("""COMPUTED_VALUE"""),2415.22456)</f>
        <v>2415.22456</v>
      </c>
    </row>
    <row r="300">
      <c r="A300" s="3">
        <f>IFERROR(__xludf.DUMMYFUNCTION("""COMPUTED_VALUE"""),40598.99861111111)</f>
        <v>40598.99861</v>
      </c>
      <c r="B300" s="1">
        <f>IFERROR(__xludf.DUMMYFUNCTION("""COMPUTED_VALUE"""),2413.31895)</f>
        <v>2413.31895</v>
      </c>
    </row>
    <row r="301">
      <c r="A301" s="3">
        <f>IFERROR(__xludf.DUMMYFUNCTION("""COMPUTED_VALUE"""),40599.99861111111)</f>
        <v>40599.99861</v>
      </c>
      <c r="B301" s="1">
        <f>IFERROR(__xludf.DUMMYFUNCTION("""COMPUTED_VALUE"""),2406.907933)</f>
        <v>2406.907933</v>
      </c>
    </row>
    <row r="302">
      <c r="A302" s="3">
        <f>IFERROR(__xludf.DUMMYFUNCTION("""COMPUTED_VALUE"""),40602.99861111111)</f>
        <v>40602.99861</v>
      </c>
      <c r="B302" s="1">
        <f>IFERROR(__xludf.DUMMYFUNCTION("""COMPUTED_VALUE"""),2401.463333)</f>
        <v>2401.463333</v>
      </c>
    </row>
    <row r="303">
      <c r="A303" s="3">
        <f>IFERROR(__xludf.DUMMYFUNCTION("""COMPUTED_VALUE"""),40603.99861111111)</f>
        <v>40603.99861</v>
      </c>
      <c r="B303" s="1">
        <f>IFERROR(__xludf.DUMMYFUNCTION("""COMPUTED_VALUE"""),2395.07954)</f>
        <v>2395.07954</v>
      </c>
    </row>
    <row r="304">
      <c r="A304" s="3">
        <f>IFERROR(__xludf.DUMMYFUNCTION("""COMPUTED_VALUE"""),40604.99861111111)</f>
        <v>40604.99861</v>
      </c>
      <c r="B304" s="1">
        <f>IFERROR(__xludf.DUMMYFUNCTION("""COMPUTED_VALUE"""),2399.101388)</f>
        <v>2399.101388</v>
      </c>
    </row>
    <row r="305">
      <c r="A305" s="3">
        <f>IFERROR(__xludf.DUMMYFUNCTION("""COMPUTED_VALUE"""),40605.99861111111)</f>
        <v>40605.99861</v>
      </c>
      <c r="B305" s="1">
        <f>IFERROR(__xludf.DUMMYFUNCTION("""COMPUTED_VALUE"""),2397.107653)</f>
        <v>2397.107653</v>
      </c>
    </row>
    <row r="306">
      <c r="A306" s="3">
        <f>IFERROR(__xludf.DUMMYFUNCTION("""COMPUTED_VALUE"""),40606.99861111111)</f>
        <v>40606.99861</v>
      </c>
      <c r="B306" s="1">
        <f>IFERROR(__xludf.DUMMYFUNCTION("""COMPUTED_VALUE"""),2385.524267)</f>
        <v>2385.524267</v>
      </c>
    </row>
    <row r="307">
      <c r="A307" s="3">
        <f>IFERROR(__xludf.DUMMYFUNCTION("""COMPUTED_VALUE"""),40609.99861111111)</f>
        <v>40609.99861</v>
      </c>
      <c r="B307" s="1">
        <f>IFERROR(__xludf.DUMMYFUNCTION("""COMPUTED_VALUE"""),2391.887028)</f>
        <v>2391.887028</v>
      </c>
    </row>
    <row r="308">
      <c r="A308" s="3">
        <f>IFERROR(__xludf.DUMMYFUNCTION("""COMPUTED_VALUE"""),40610.99861111111)</f>
        <v>40610.99861</v>
      </c>
      <c r="B308" s="1">
        <f>IFERROR(__xludf.DUMMYFUNCTION("""COMPUTED_VALUE"""),2391.90064)</f>
        <v>2391.90064</v>
      </c>
    </row>
    <row r="309">
      <c r="A309" s="3">
        <f>IFERROR(__xludf.DUMMYFUNCTION("""COMPUTED_VALUE"""),40611.99861111111)</f>
        <v>40611.99861</v>
      </c>
      <c r="B309" s="1">
        <f>IFERROR(__xludf.DUMMYFUNCTION("""COMPUTED_VALUE"""),2384.91)</f>
        <v>2384.91</v>
      </c>
    </row>
    <row r="310">
      <c r="A310" s="3">
        <f>IFERROR(__xludf.DUMMYFUNCTION("""COMPUTED_VALUE"""),40612.99861111111)</f>
        <v>40612.99861</v>
      </c>
      <c r="B310" s="1">
        <f>IFERROR(__xludf.DUMMYFUNCTION("""COMPUTED_VALUE"""),2391.294262)</f>
        <v>2391.294262</v>
      </c>
    </row>
    <row r="311">
      <c r="A311" s="3">
        <f>IFERROR(__xludf.DUMMYFUNCTION("""COMPUTED_VALUE"""),40613.99861111111)</f>
        <v>40613.99861</v>
      </c>
      <c r="B311" s="1">
        <f>IFERROR(__xludf.DUMMYFUNCTION("""COMPUTED_VALUE"""),2389.524637)</f>
        <v>2389.524637</v>
      </c>
    </row>
    <row r="312">
      <c r="A312" s="3">
        <f>IFERROR(__xludf.DUMMYFUNCTION("""COMPUTED_VALUE"""),40616.99861111111)</f>
        <v>40616.99861</v>
      </c>
      <c r="B312" s="1">
        <f>IFERROR(__xludf.DUMMYFUNCTION("""COMPUTED_VALUE"""),2385.401763)</f>
        <v>2385.401763</v>
      </c>
    </row>
    <row r="313">
      <c r="A313" s="3">
        <f>IFERROR(__xludf.DUMMYFUNCTION("""COMPUTED_VALUE"""),40617.99861111111)</f>
        <v>40617.99861</v>
      </c>
      <c r="B313" s="1">
        <f>IFERROR(__xludf.DUMMYFUNCTION("""COMPUTED_VALUE"""),2388.906)</f>
        <v>2388.906</v>
      </c>
    </row>
    <row r="314">
      <c r="A314" s="3">
        <f>IFERROR(__xludf.DUMMYFUNCTION("""COMPUTED_VALUE"""),40618.99861111111)</f>
        <v>40618.99861</v>
      </c>
      <c r="B314" s="1">
        <f>IFERROR(__xludf.DUMMYFUNCTION("""COMPUTED_VALUE"""),2385.13373)</f>
        <v>2385.13373</v>
      </c>
    </row>
    <row r="315">
      <c r="A315" s="3">
        <f>IFERROR(__xludf.DUMMYFUNCTION("""COMPUTED_VALUE"""),40619.99861111111)</f>
        <v>40619.99861</v>
      </c>
      <c r="B315" s="1">
        <f>IFERROR(__xludf.DUMMYFUNCTION("""COMPUTED_VALUE"""),2387.4571)</f>
        <v>2387.4571</v>
      </c>
    </row>
    <row r="316">
      <c r="A316" s="3">
        <f>IFERROR(__xludf.DUMMYFUNCTION("""COMPUTED_VALUE"""),40620.99861111111)</f>
        <v>40620.99861</v>
      </c>
      <c r="B316" s="1">
        <f>IFERROR(__xludf.DUMMYFUNCTION("""COMPUTED_VALUE"""),2380.82625)</f>
        <v>2380.82625</v>
      </c>
    </row>
    <row r="317">
      <c r="A317" s="3">
        <f>IFERROR(__xludf.DUMMYFUNCTION("""COMPUTED_VALUE"""),40623.99861111111)</f>
        <v>40623.99861</v>
      </c>
      <c r="B317" s="1">
        <f>IFERROR(__xludf.DUMMYFUNCTION("""COMPUTED_VALUE"""),2374.02)</f>
        <v>2374.02</v>
      </c>
    </row>
    <row r="318">
      <c r="A318" s="3">
        <f>IFERROR(__xludf.DUMMYFUNCTION("""COMPUTED_VALUE"""),40624.99861111111)</f>
        <v>40624.99861</v>
      </c>
      <c r="B318" s="1">
        <f>IFERROR(__xludf.DUMMYFUNCTION("""COMPUTED_VALUE"""),2374.29225)</f>
        <v>2374.29225</v>
      </c>
    </row>
    <row r="319">
      <c r="A319" s="3">
        <f>IFERROR(__xludf.DUMMYFUNCTION("""COMPUTED_VALUE"""),40625.99861111111)</f>
        <v>40625.99861</v>
      </c>
      <c r="B319" s="1">
        <f>IFERROR(__xludf.DUMMYFUNCTION("""COMPUTED_VALUE"""),2374.414762)</f>
        <v>2374.414762</v>
      </c>
    </row>
    <row r="320">
      <c r="A320" s="3">
        <f>IFERROR(__xludf.DUMMYFUNCTION("""COMPUTED_VALUE"""),40626.99861111111)</f>
        <v>40626.99861</v>
      </c>
      <c r="B320" s="1">
        <f>IFERROR(__xludf.DUMMYFUNCTION("""COMPUTED_VALUE"""),2371.3846)</f>
        <v>2371.3846</v>
      </c>
    </row>
    <row r="321">
      <c r="A321" s="3">
        <f>IFERROR(__xludf.DUMMYFUNCTION("""COMPUTED_VALUE"""),40627.99861111111)</f>
        <v>40627.99861</v>
      </c>
      <c r="B321" s="1">
        <f>IFERROR(__xludf.DUMMYFUNCTION("""COMPUTED_VALUE"""),2369.816596)</f>
        <v>2369.816596</v>
      </c>
    </row>
    <row r="322">
      <c r="A322" s="3">
        <f>IFERROR(__xludf.DUMMYFUNCTION("""COMPUTED_VALUE"""),40630.99861111111)</f>
        <v>40630.99861</v>
      </c>
      <c r="B322" s="1">
        <f>IFERROR(__xludf.DUMMYFUNCTION("""COMPUTED_VALUE"""),2373.52995)</f>
        <v>2373.52995</v>
      </c>
    </row>
    <row r="323">
      <c r="A323" s="3">
        <f>IFERROR(__xludf.DUMMYFUNCTION("""COMPUTED_VALUE"""),40631.99861111111)</f>
        <v>40631.99861</v>
      </c>
      <c r="B323" s="1">
        <f>IFERROR(__xludf.DUMMYFUNCTION("""COMPUTED_VALUE"""),2365.379247)</f>
        <v>2365.379247</v>
      </c>
    </row>
    <row r="324">
      <c r="A324" s="3">
        <f>IFERROR(__xludf.DUMMYFUNCTION("""COMPUTED_VALUE"""),40632.99861111111)</f>
        <v>40632.99861</v>
      </c>
      <c r="B324" s="1">
        <f>IFERROR(__xludf.DUMMYFUNCTION("""COMPUTED_VALUE"""),2368.319331)</f>
        <v>2368.319331</v>
      </c>
    </row>
    <row r="325">
      <c r="A325" s="3">
        <f>IFERROR(__xludf.DUMMYFUNCTION("""COMPUTED_VALUE"""),40633.99861111111)</f>
        <v>40633.99861</v>
      </c>
      <c r="B325" s="1">
        <f>IFERROR(__xludf.DUMMYFUNCTION("""COMPUTED_VALUE"""),2373.943844)</f>
        <v>2373.943844</v>
      </c>
    </row>
    <row r="326">
      <c r="A326" s="3">
        <f>IFERROR(__xludf.DUMMYFUNCTION("""COMPUTED_VALUE"""),40634.99861111111)</f>
        <v>40634.99861</v>
      </c>
      <c r="B326" s="1">
        <f>IFERROR(__xludf.DUMMYFUNCTION("""COMPUTED_VALUE"""),2359.051222)</f>
        <v>2359.051222</v>
      </c>
    </row>
    <row r="327">
      <c r="A327" s="3">
        <f>IFERROR(__xludf.DUMMYFUNCTION("""COMPUTED_VALUE"""),40636.99861111111)</f>
        <v>40636.99861</v>
      </c>
      <c r="B327" s="1">
        <f>IFERROR(__xludf.DUMMYFUNCTION("""COMPUTED_VALUE"""),2359.380175)</f>
        <v>2359.380175</v>
      </c>
    </row>
    <row r="328">
      <c r="A328" s="3">
        <f>IFERROR(__xludf.DUMMYFUNCTION("""COMPUTED_VALUE"""),40637.99861111111)</f>
        <v>40637.99861</v>
      </c>
      <c r="B328" s="1">
        <f>IFERROR(__xludf.DUMMYFUNCTION("""COMPUTED_VALUE"""),2353.41398)</f>
        <v>2353.41398</v>
      </c>
    </row>
    <row r="329">
      <c r="A329" s="3">
        <f>IFERROR(__xludf.DUMMYFUNCTION("""COMPUTED_VALUE"""),40638.99861111111)</f>
        <v>40638.99861</v>
      </c>
      <c r="B329" s="1">
        <f>IFERROR(__xludf.DUMMYFUNCTION("""COMPUTED_VALUE"""),2355.947458)</f>
        <v>2355.947458</v>
      </c>
    </row>
    <row r="330">
      <c r="A330" s="3">
        <f>IFERROR(__xludf.DUMMYFUNCTION("""COMPUTED_VALUE"""),40639.99861111111)</f>
        <v>40639.99861</v>
      </c>
      <c r="B330" s="1">
        <f>IFERROR(__xludf.DUMMYFUNCTION("""COMPUTED_VALUE"""),2351.364104)</f>
        <v>2351.364104</v>
      </c>
    </row>
    <row r="331">
      <c r="A331" s="3">
        <f>IFERROR(__xludf.DUMMYFUNCTION("""COMPUTED_VALUE"""),40640.99861111111)</f>
        <v>40640.99861</v>
      </c>
      <c r="B331" s="1">
        <f>IFERROR(__xludf.DUMMYFUNCTION("""COMPUTED_VALUE"""),2353.083975)</f>
        <v>2353.083975</v>
      </c>
    </row>
    <row r="332">
      <c r="A332" s="3">
        <f>IFERROR(__xludf.DUMMYFUNCTION("""COMPUTED_VALUE"""),40641.99861111111)</f>
        <v>40641.99861</v>
      </c>
      <c r="B332" s="1">
        <f>IFERROR(__xludf.DUMMYFUNCTION("""COMPUTED_VALUE"""),2343.940792)</f>
        <v>2343.940792</v>
      </c>
    </row>
    <row r="333">
      <c r="A333" s="3">
        <f>IFERROR(__xludf.DUMMYFUNCTION("""COMPUTED_VALUE"""),40642.99861111111)</f>
        <v>40642.99861</v>
      </c>
      <c r="B333" s="1">
        <f>IFERROR(__xludf.DUMMYFUNCTION("""COMPUTED_VALUE"""),2349.516861)</f>
        <v>2349.516861</v>
      </c>
    </row>
    <row r="334">
      <c r="A334" s="3">
        <f>IFERROR(__xludf.DUMMYFUNCTION("""COMPUTED_VALUE"""),40644.99861111111)</f>
        <v>40644.99861</v>
      </c>
      <c r="B334" s="1">
        <f>IFERROR(__xludf.DUMMYFUNCTION("""COMPUTED_VALUE"""),2356.286765)</f>
        <v>2356.286765</v>
      </c>
    </row>
    <row r="335">
      <c r="A335" s="3">
        <f>IFERROR(__xludf.DUMMYFUNCTION("""COMPUTED_VALUE"""),40645.99861111111)</f>
        <v>40645.99861</v>
      </c>
      <c r="B335" s="1">
        <f>IFERROR(__xludf.DUMMYFUNCTION("""COMPUTED_VALUE"""),2345.75596)</f>
        <v>2345.75596</v>
      </c>
    </row>
    <row r="336">
      <c r="A336" s="3">
        <f>IFERROR(__xludf.DUMMYFUNCTION("""COMPUTED_VALUE"""),40646.99861111111)</f>
        <v>40646.99861</v>
      </c>
      <c r="B336" s="1">
        <f>IFERROR(__xludf.DUMMYFUNCTION("""COMPUTED_VALUE"""),2359.825755)</f>
        <v>2359.825755</v>
      </c>
    </row>
    <row r="337">
      <c r="A337" s="3">
        <f>IFERROR(__xludf.DUMMYFUNCTION("""COMPUTED_VALUE"""),40647.99861111111)</f>
        <v>40647.99861</v>
      </c>
      <c r="B337" s="1">
        <f>IFERROR(__xludf.DUMMYFUNCTION("""COMPUTED_VALUE"""),2353.782249)</f>
        <v>2353.782249</v>
      </c>
    </row>
    <row r="338">
      <c r="A338" s="3">
        <f>IFERROR(__xludf.DUMMYFUNCTION("""COMPUTED_VALUE"""),40648.99861111111)</f>
        <v>40648.99861</v>
      </c>
      <c r="B338" s="1">
        <f>IFERROR(__xludf.DUMMYFUNCTION("""COMPUTED_VALUE"""),2360.157456)</f>
        <v>2360.157456</v>
      </c>
    </row>
    <row r="339">
      <c r="A339" s="3">
        <f>IFERROR(__xludf.DUMMYFUNCTION("""COMPUTED_VALUE"""),40650.99861111111)</f>
        <v>40650.99861</v>
      </c>
      <c r="B339" s="1">
        <f>IFERROR(__xludf.DUMMYFUNCTION("""COMPUTED_VALUE"""),2351.340534)</f>
        <v>2351.340534</v>
      </c>
    </row>
    <row r="340">
      <c r="A340" s="3">
        <f>IFERROR(__xludf.DUMMYFUNCTION("""COMPUTED_VALUE"""),40651.99861111111)</f>
        <v>40651.99861</v>
      </c>
      <c r="B340" s="1">
        <f>IFERROR(__xludf.DUMMYFUNCTION("""COMPUTED_VALUE"""),2356.700008)</f>
        <v>2356.700008</v>
      </c>
    </row>
    <row r="341">
      <c r="A341" s="3">
        <f>IFERROR(__xludf.DUMMYFUNCTION("""COMPUTED_VALUE"""),40652.99861111111)</f>
        <v>40652.99861</v>
      </c>
      <c r="B341" s="1">
        <f>IFERROR(__xludf.DUMMYFUNCTION("""COMPUTED_VALUE"""),2359.612976)</f>
        <v>2359.612976</v>
      </c>
    </row>
    <row r="342">
      <c r="A342" s="3">
        <f>IFERROR(__xludf.DUMMYFUNCTION("""COMPUTED_VALUE"""),40653.99861111111)</f>
        <v>40653.99861</v>
      </c>
      <c r="B342" s="1">
        <f>IFERROR(__xludf.DUMMYFUNCTION("""COMPUTED_VALUE"""),2350.411264)</f>
        <v>2350.411264</v>
      </c>
    </row>
    <row r="343">
      <c r="A343" s="3">
        <f>IFERROR(__xludf.DUMMYFUNCTION("""COMPUTED_VALUE"""),40654.99861111111)</f>
        <v>40654.99861</v>
      </c>
      <c r="B343" s="1">
        <f>IFERROR(__xludf.DUMMYFUNCTION("""COMPUTED_VALUE"""),2352.148869)</f>
        <v>2352.148869</v>
      </c>
    </row>
    <row r="344">
      <c r="A344" s="3">
        <f>IFERROR(__xludf.DUMMYFUNCTION("""COMPUTED_VALUE"""),40657.99861111111)</f>
        <v>40657.99861</v>
      </c>
      <c r="B344" s="1">
        <f>IFERROR(__xludf.DUMMYFUNCTION("""COMPUTED_VALUE"""),2347.067151)</f>
        <v>2347.067151</v>
      </c>
    </row>
    <row r="345">
      <c r="A345" s="3">
        <f>IFERROR(__xludf.DUMMYFUNCTION("""COMPUTED_VALUE"""),40658.99861111111)</f>
        <v>40658.99861</v>
      </c>
      <c r="B345" s="1">
        <f>IFERROR(__xludf.DUMMYFUNCTION("""COMPUTED_VALUE"""),2347.579968)</f>
        <v>2347.579968</v>
      </c>
    </row>
    <row r="346">
      <c r="A346" s="3">
        <f>IFERROR(__xludf.DUMMYFUNCTION("""COMPUTED_VALUE"""),40659.99861111111)</f>
        <v>40659.99861</v>
      </c>
      <c r="B346" s="1">
        <f>IFERROR(__xludf.DUMMYFUNCTION("""COMPUTED_VALUE"""),2345.837632)</f>
        <v>2345.837632</v>
      </c>
    </row>
    <row r="347">
      <c r="A347" s="3">
        <f>IFERROR(__xludf.DUMMYFUNCTION("""COMPUTED_VALUE"""),40660.99861111111)</f>
        <v>40660.99861</v>
      </c>
      <c r="B347" s="1">
        <f>IFERROR(__xludf.DUMMYFUNCTION("""COMPUTED_VALUE"""),2332.497872)</f>
        <v>2332.497872</v>
      </c>
    </row>
    <row r="348">
      <c r="A348" s="3">
        <f>IFERROR(__xludf.DUMMYFUNCTION("""COMPUTED_VALUE"""),40661.99861111111)</f>
        <v>40661.99861</v>
      </c>
      <c r="B348" s="1">
        <f>IFERROR(__xludf.DUMMYFUNCTION("""COMPUTED_VALUE"""),2328.410413)</f>
        <v>2328.410413</v>
      </c>
    </row>
    <row r="349">
      <c r="A349" s="3">
        <f>IFERROR(__xludf.DUMMYFUNCTION("""COMPUTED_VALUE"""),40662.99861111111)</f>
        <v>40662.99861</v>
      </c>
      <c r="B349" s="1">
        <f>IFERROR(__xludf.DUMMYFUNCTION("""COMPUTED_VALUE"""),2332.929431)</f>
        <v>2332.929431</v>
      </c>
    </row>
    <row r="350">
      <c r="A350" s="3">
        <f>IFERROR(__xludf.DUMMYFUNCTION("""COMPUTED_VALUE"""),40663.99861111111)</f>
        <v>40663.99861</v>
      </c>
      <c r="B350" s="1">
        <f>IFERROR(__xludf.DUMMYFUNCTION("""COMPUTED_VALUE"""),2327.81945)</f>
        <v>2327.81945</v>
      </c>
    </row>
    <row r="351">
      <c r="A351" s="3">
        <f>IFERROR(__xludf.DUMMYFUNCTION("""COMPUTED_VALUE"""),40665.99861111111)</f>
        <v>40665.99861</v>
      </c>
      <c r="B351" s="1">
        <f>IFERROR(__xludf.DUMMYFUNCTION("""COMPUTED_VALUE"""),2330.84115)</f>
        <v>2330.84115</v>
      </c>
    </row>
    <row r="352">
      <c r="A352" s="3">
        <f>IFERROR(__xludf.DUMMYFUNCTION("""COMPUTED_VALUE"""),40666.99861111111)</f>
        <v>40666.99861</v>
      </c>
      <c r="B352" s="1">
        <f>IFERROR(__xludf.DUMMYFUNCTION("""COMPUTED_VALUE"""),2330.152685)</f>
        <v>2330.152685</v>
      </c>
    </row>
    <row r="353">
      <c r="A353" s="3">
        <f>IFERROR(__xludf.DUMMYFUNCTION("""COMPUTED_VALUE"""),40667.99861111111)</f>
        <v>40667.99861</v>
      </c>
      <c r="B353" s="1">
        <f>IFERROR(__xludf.DUMMYFUNCTION("""COMPUTED_VALUE"""),2323.622848)</f>
        <v>2323.622848</v>
      </c>
    </row>
    <row r="354">
      <c r="A354" s="3">
        <f>IFERROR(__xludf.DUMMYFUNCTION("""COMPUTED_VALUE"""),40668.99861111111)</f>
        <v>40668.99861</v>
      </c>
      <c r="B354" s="1">
        <f>IFERROR(__xludf.DUMMYFUNCTION("""COMPUTED_VALUE"""),2336.258925)</f>
        <v>2336.258925</v>
      </c>
    </row>
    <row r="355">
      <c r="A355" s="3">
        <f>IFERROR(__xludf.DUMMYFUNCTION("""COMPUTED_VALUE"""),40669.99861111111)</f>
        <v>40669.99861</v>
      </c>
      <c r="B355" s="1">
        <f>IFERROR(__xludf.DUMMYFUNCTION("""COMPUTED_VALUE"""),2366.609544)</f>
        <v>2366.609544</v>
      </c>
    </row>
    <row r="356">
      <c r="A356" s="3">
        <f>IFERROR(__xludf.DUMMYFUNCTION("""COMPUTED_VALUE"""),40670.99861111111)</f>
        <v>40670.99861</v>
      </c>
      <c r="B356" s="1">
        <f>IFERROR(__xludf.DUMMYFUNCTION("""COMPUTED_VALUE"""),2322.947428)</f>
        <v>2322.947428</v>
      </c>
    </row>
    <row r="357">
      <c r="A357" s="3">
        <f>IFERROR(__xludf.DUMMYFUNCTION("""COMPUTED_VALUE"""),40672.99861111111)</f>
        <v>40672.99861</v>
      </c>
      <c r="B357" s="1">
        <f>IFERROR(__xludf.DUMMYFUNCTION("""COMPUTED_VALUE"""),2320.1145)</f>
        <v>2320.1145</v>
      </c>
    </row>
    <row r="358">
      <c r="A358" s="3">
        <f>IFERROR(__xludf.DUMMYFUNCTION("""COMPUTED_VALUE"""),40673.99861111111)</f>
        <v>40673.99861</v>
      </c>
      <c r="B358" s="1">
        <f>IFERROR(__xludf.DUMMYFUNCTION("""COMPUTED_VALUE"""),2321.80245)</f>
        <v>2321.80245</v>
      </c>
    </row>
    <row r="359">
      <c r="A359" s="3">
        <f>IFERROR(__xludf.DUMMYFUNCTION("""COMPUTED_VALUE"""),40674.99861111111)</f>
        <v>40674.99861</v>
      </c>
      <c r="B359" s="1">
        <f>IFERROR(__xludf.DUMMYFUNCTION("""COMPUTED_VALUE"""),2337.70185)</f>
        <v>2337.70185</v>
      </c>
    </row>
    <row r="360">
      <c r="A360" s="3">
        <f>IFERROR(__xludf.DUMMYFUNCTION("""COMPUTED_VALUE"""),40675.99861111111)</f>
        <v>40675.99861</v>
      </c>
      <c r="B360" s="1">
        <f>IFERROR(__xludf.DUMMYFUNCTION("""COMPUTED_VALUE"""),2327.7375)</f>
        <v>2327.7375</v>
      </c>
    </row>
    <row r="361">
      <c r="A361" s="3">
        <f>IFERROR(__xludf.DUMMYFUNCTION("""COMPUTED_VALUE"""),40676.99861111111)</f>
        <v>40676.99861</v>
      </c>
      <c r="B361" s="1">
        <f>IFERROR(__xludf.DUMMYFUNCTION("""COMPUTED_VALUE"""),2343.065175)</f>
        <v>2343.065175</v>
      </c>
    </row>
    <row r="362">
      <c r="A362" s="3">
        <f>IFERROR(__xludf.DUMMYFUNCTION("""COMPUTED_VALUE"""),40678.99861111111)</f>
        <v>40678.99861</v>
      </c>
      <c r="B362" s="1">
        <f>IFERROR(__xludf.DUMMYFUNCTION("""COMPUTED_VALUE"""),2327.95554)</f>
        <v>2327.95554</v>
      </c>
    </row>
    <row r="363">
      <c r="A363" s="3">
        <f>IFERROR(__xludf.DUMMYFUNCTION("""COMPUTED_VALUE"""),40679.99861111111)</f>
        <v>40679.99861</v>
      </c>
      <c r="B363" s="1">
        <f>IFERROR(__xludf.DUMMYFUNCTION("""COMPUTED_VALUE"""),2339.2809)</f>
        <v>2339.2809</v>
      </c>
    </row>
    <row r="364">
      <c r="A364" s="3">
        <f>IFERROR(__xludf.DUMMYFUNCTION("""COMPUTED_VALUE"""),40680.99861111111)</f>
        <v>40680.99861</v>
      </c>
      <c r="B364" s="1">
        <f>IFERROR(__xludf.DUMMYFUNCTION("""COMPUTED_VALUE"""),2280.883275)</f>
        <v>2280.883275</v>
      </c>
    </row>
    <row r="365">
      <c r="A365" s="3">
        <f>IFERROR(__xludf.DUMMYFUNCTION("""COMPUTED_VALUE"""),40681.99861111111)</f>
        <v>40681.99861</v>
      </c>
      <c r="B365" s="1">
        <f>IFERROR(__xludf.DUMMYFUNCTION("""COMPUTED_VALUE"""),2325.913425)</f>
        <v>2325.913425</v>
      </c>
    </row>
    <row r="366">
      <c r="A366" s="3">
        <f>IFERROR(__xludf.DUMMYFUNCTION("""COMPUTED_VALUE"""),40682.99861111111)</f>
        <v>40682.99861</v>
      </c>
      <c r="B366" s="1">
        <f>IFERROR(__xludf.DUMMYFUNCTION("""COMPUTED_VALUE"""),2328.282)</f>
        <v>2328.282</v>
      </c>
    </row>
    <row r="367">
      <c r="A367" s="3">
        <f>IFERROR(__xludf.DUMMYFUNCTION("""COMPUTED_VALUE"""),40683.99861111111)</f>
        <v>40683.99861</v>
      </c>
      <c r="B367" s="1">
        <f>IFERROR(__xludf.DUMMYFUNCTION("""COMPUTED_VALUE"""),2329.74434)</f>
        <v>2329.74434</v>
      </c>
    </row>
    <row r="368">
      <c r="A368" s="3">
        <f>IFERROR(__xludf.DUMMYFUNCTION("""COMPUTED_VALUE"""),40684.99861111111)</f>
        <v>40684.99861</v>
      </c>
      <c r="B368" s="1">
        <f>IFERROR(__xludf.DUMMYFUNCTION("""COMPUTED_VALUE"""),2291.61951)</f>
        <v>2291.61951</v>
      </c>
    </row>
    <row r="369">
      <c r="A369" s="3">
        <f>IFERROR(__xludf.DUMMYFUNCTION("""COMPUTED_VALUE"""),40686.99861111111)</f>
        <v>40686.99861</v>
      </c>
      <c r="B369" s="1">
        <f>IFERROR(__xludf.DUMMYFUNCTION("""COMPUTED_VALUE"""),2341.436)</f>
        <v>2341.436</v>
      </c>
    </row>
    <row r="370">
      <c r="A370" s="3">
        <f>IFERROR(__xludf.DUMMYFUNCTION("""COMPUTED_VALUE"""),40687.99861111111)</f>
        <v>40687.99861</v>
      </c>
      <c r="B370" s="1">
        <f>IFERROR(__xludf.DUMMYFUNCTION("""COMPUTED_VALUE"""),2288.394992)</f>
        <v>2288.394992</v>
      </c>
    </row>
    <row r="371">
      <c r="A371" s="3">
        <f>IFERROR(__xludf.DUMMYFUNCTION("""COMPUTED_VALUE"""),40688.99861111111)</f>
        <v>40688.99861</v>
      </c>
      <c r="B371" s="1">
        <f>IFERROR(__xludf.DUMMYFUNCTION("""COMPUTED_VALUE"""),2339.158387)</f>
        <v>2339.158387</v>
      </c>
    </row>
    <row r="372">
      <c r="A372" s="3">
        <f>IFERROR(__xludf.DUMMYFUNCTION("""COMPUTED_VALUE"""),40689.99861111111)</f>
        <v>40689.99861</v>
      </c>
      <c r="B372" s="1">
        <f>IFERROR(__xludf.DUMMYFUNCTION("""COMPUTED_VALUE"""),2334.54375)</f>
        <v>2334.54375</v>
      </c>
    </row>
    <row r="373">
      <c r="A373" s="3">
        <f>IFERROR(__xludf.DUMMYFUNCTION("""COMPUTED_VALUE"""),40690.99861111111)</f>
        <v>40690.99861</v>
      </c>
      <c r="B373" s="1">
        <f>IFERROR(__xludf.DUMMYFUNCTION("""COMPUTED_VALUE"""),2330.446387)</f>
        <v>2330.446387</v>
      </c>
    </row>
    <row r="374">
      <c r="A374" s="3">
        <f>IFERROR(__xludf.DUMMYFUNCTION("""COMPUTED_VALUE"""),40691.99861111111)</f>
        <v>40691.99861</v>
      </c>
      <c r="B374" s="1">
        <f>IFERROR(__xludf.DUMMYFUNCTION("""COMPUTED_VALUE"""),2275.533672)</f>
        <v>2275.533672</v>
      </c>
    </row>
    <row r="375">
      <c r="A375" s="3">
        <f>IFERROR(__xludf.DUMMYFUNCTION("""COMPUTED_VALUE"""),40693.99861111111)</f>
        <v>40693.99861</v>
      </c>
      <c r="B375" s="1">
        <f>IFERROR(__xludf.DUMMYFUNCTION("""COMPUTED_VALUE"""),2325.628401)</f>
        <v>2325.628401</v>
      </c>
    </row>
    <row r="376">
      <c r="A376" s="3">
        <f>IFERROR(__xludf.DUMMYFUNCTION("""COMPUTED_VALUE"""),40694.99861111111)</f>
        <v>40694.99861</v>
      </c>
      <c r="B376" s="1">
        <f>IFERROR(__xludf.DUMMYFUNCTION("""COMPUTED_VALUE"""),2324.272517)</f>
        <v>2324.272517</v>
      </c>
    </row>
    <row r="377">
      <c r="A377" s="3">
        <f>IFERROR(__xludf.DUMMYFUNCTION("""COMPUTED_VALUE"""),40695.99861111111)</f>
        <v>40695.99861</v>
      </c>
      <c r="B377" s="1">
        <f>IFERROR(__xludf.DUMMYFUNCTION("""COMPUTED_VALUE"""),2325.015)</f>
        <v>2325.015</v>
      </c>
    </row>
    <row r="378">
      <c r="A378" s="3">
        <f>IFERROR(__xludf.DUMMYFUNCTION("""COMPUTED_VALUE"""),40696.99861111111)</f>
        <v>40696.99861</v>
      </c>
      <c r="B378" s="1">
        <f>IFERROR(__xludf.DUMMYFUNCTION("""COMPUTED_VALUE"""),2325.042225)</f>
        <v>2325.042225</v>
      </c>
    </row>
    <row r="379">
      <c r="A379" s="3">
        <f>IFERROR(__xludf.DUMMYFUNCTION("""COMPUTED_VALUE"""),40697.99861111111)</f>
        <v>40697.99861</v>
      </c>
      <c r="B379" s="1">
        <f>IFERROR(__xludf.DUMMYFUNCTION("""COMPUTED_VALUE"""),2319.692512)</f>
        <v>2319.692512</v>
      </c>
    </row>
    <row r="380">
      <c r="A380" s="3">
        <f>IFERROR(__xludf.DUMMYFUNCTION("""COMPUTED_VALUE"""),40698.99861111111)</f>
        <v>40698.99861</v>
      </c>
      <c r="B380" s="1">
        <f>IFERROR(__xludf.DUMMYFUNCTION("""COMPUTED_VALUE"""),2318.994735)</f>
        <v>2318.994735</v>
      </c>
    </row>
    <row r="381">
      <c r="A381" s="3">
        <f>IFERROR(__xludf.DUMMYFUNCTION("""COMPUTED_VALUE"""),40699.99861111111)</f>
        <v>40699.99861</v>
      </c>
      <c r="B381" s="1">
        <f>IFERROR(__xludf.DUMMYFUNCTION("""COMPUTED_VALUE"""),2319.096081)</f>
        <v>2319.096081</v>
      </c>
    </row>
    <row r="382">
      <c r="A382" s="3">
        <f>IFERROR(__xludf.DUMMYFUNCTION("""COMPUTED_VALUE"""),40700.99861111111)</f>
        <v>40700.99861</v>
      </c>
      <c r="B382" s="1">
        <f>IFERROR(__xludf.DUMMYFUNCTION("""COMPUTED_VALUE"""),2314.125)</f>
        <v>2314.125</v>
      </c>
    </row>
    <row r="383">
      <c r="A383" s="3">
        <f>IFERROR(__xludf.DUMMYFUNCTION("""COMPUTED_VALUE"""),40701.99861111111)</f>
        <v>40701.99861</v>
      </c>
      <c r="B383" s="1">
        <f>IFERROR(__xludf.DUMMYFUNCTION("""COMPUTED_VALUE"""),2318.331262)</f>
        <v>2318.331262</v>
      </c>
    </row>
    <row r="384">
      <c r="A384" s="3">
        <f>IFERROR(__xludf.DUMMYFUNCTION("""COMPUTED_VALUE"""),40702.99861111111)</f>
        <v>40702.99861</v>
      </c>
      <c r="B384" s="1">
        <f>IFERROR(__xludf.DUMMYFUNCTION("""COMPUTED_VALUE"""),2311.56585)</f>
        <v>2311.56585</v>
      </c>
    </row>
    <row r="385">
      <c r="A385" s="3">
        <f>IFERROR(__xludf.DUMMYFUNCTION("""COMPUTED_VALUE"""),40703.99861111111)</f>
        <v>40703.99861</v>
      </c>
      <c r="B385" s="1">
        <f>IFERROR(__xludf.DUMMYFUNCTION("""COMPUTED_VALUE"""),2319.57)</f>
        <v>2319.57</v>
      </c>
    </row>
    <row r="386">
      <c r="A386" s="3">
        <f>IFERROR(__xludf.DUMMYFUNCTION("""COMPUTED_VALUE"""),40704.99861111111)</f>
        <v>40704.99861</v>
      </c>
      <c r="B386" s="1">
        <f>IFERROR(__xludf.DUMMYFUNCTION("""COMPUTED_VALUE"""),2321.993025)</f>
        <v>2321.993025</v>
      </c>
    </row>
    <row r="387">
      <c r="A387" s="3">
        <f>IFERROR(__xludf.DUMMYFUNCTION("""COMPUTED_VALUE"""),40705.99861111111)</f>
        <v>40705.99861</v>
      </c>
      <c r="B387" s="1">
        <f>IFERROR(__xludf.DUMMYFUNCTION("""COMPUTED_VALUE"""),2312.44128)</f>
        <v>2312.44128</v>
      </c>
    </row>
    <row r="388">
      <c r="A388" s="3">
        <f>IFERROR(__xludf.DUMMYFUNCTION("""COMPUTED_VALUE"""),40707.99861111111)</f>
        <v>40707.99861</v>
      </c>
      <c r="B388" s="1">
        <f>IFERROR(__xludf.DUMMYFUNCTION("""COMPUTED_VALUE"""),2324.865262)</f>
        <v>2324.865262</v>
      </c>
    </row>
    <row r="389">
      <c r="A389" s="3">
        <f>IFERROR(__xludf.DUMMYFUNCTION("""COMPUTED_VALUE"""),40708.99861111111)</f>
        <v>40708.99861</v>
      </c>
      <c r="B389" s="1">
        <f>IFERROR(__xludf.DUMMYFUNCTION("""COMPUTED_VALUE"""),2322.770511)</f>
        <v>2322.770511</v>
      </c>
    </row>
    <row r="390">
      <c r="A390" s="3">
        <f>IFERROR(__xludf.DUMMYFUNCTION("""COMPUTED_VALUE"""),40709.99861111111)</f>
        <v>40709.99861</v>
      </c>
      <c r="B390" s="1">
        <f>IFERROR(__xludf.DUMMYFUNCTION("""COMPUTED_VALUE"""),2320.0056)</f>
        <v>2320.0056</v>
      </c>
    </row>
    <row r="391">
      <c r="A391" s="3">
        <f>IFERROR(__xludf.DUMMYFUNCTION("""COMPUTED_VALUE"""),40710.99861111111)</f>
        <v>40710.99861</v>
      </c>
      <c r="B391" s="1">
        <f>IFERROR(__xludf.DUMMYFUNCTION("""COMPUTED_VALUE"""),2344.0725)</f>
        <v>2344.0725</v>
      </c>
    </row>
    <row r="392">
      <c r="A392" s="3">
        <f>IFERROR(__xludf.DUMMYFUNCTION("""COMPUTED_VALUE"""),40711.99861111111)</f>
        <v>40711.99861</v>
      </c>
      <c r="B392" s="1">
        <f>IFERROR(__xludf.DUMMYFUNCTION("""COMPUTED_VALUE"""),2335.905)</f>
        <v>2335.905</v>
      </c>
    </row>
    <row r="393">
      <c r="A393" s="3">
        <f>IFERROR(__xludf.DUMMYFUNCTION("""COMPUTED_VALUE"""),40712.99861111111)</f>
        <v>40712.99861</v>
      </c>
      <c r="B393" s="1">
        <f>IFERROR(__xludf.DUMMYFUNCTION("""COMPUTED_VALUE"""),2282.719224)</f>
        <v>2282.719224</v>
      </c>
    </row>
    <row r="394">
      <c r="A394" s="3">
        <f>IFERROR(__xludf.DUMMYFUNCTION("""COMPUTED_VALUE"""),40714.99861111111)</f>
        <v>40714.99861</v>
      </c>
      <c r="B394" s="1">
        <f>IFERROR(__xludf.DUMMYFUNCTION("""COMPUTED_VALUE"""),2344.45365)</f>
        <v>2344.45365</v>
      </c>
    </row>
    <row r="395">
      <c r="A395" s="3">
        <f>IFERROR(__xludf.DUMMYFUNCTION("""COMPUTED_VALUE"""),40715.99861111111)</f>
        <v>40715.99861</v>
      </c>
      <c r="B395" s="1">
        <f>IFERROR(__xludf.DUMMYFUNCTION("""COMPUTED_VALUE"""),2341.35)</f>
        <v>2341.35</v>
      </c>
    </row>
    <row r="396">
      <c r="A396" s="3">
        <f>IFERROR(__xludf.DUMMYFUNCTION("""COMPUTED_VALUE"""),40716.99861111111)</f>
        <v>40716.99861</v>
      </c>
      <c r="B396" s="1">
        <f>IFERROR(__xludf.DUMMYFUNCTION("""COMPUTED_VALUE"""),2335.905)</f>
        <v>2335.905</v>
      </c>
    </row>
    <row r="397">
      <c r="A397" s="3">
        <f>IFERROR(__xludf.DUMMYFUNCTION("""COMPUTED_VALUE"""),40717.99861111111)</f>
        <v>40717.99861</v>
      </c>
      <c r="B397" s="1">
        <f>IFERROR(__xludf.DUMMYFUNCTION("""COMPUTED_VALUE"""),2341.164388)</f>
        <v>2341.164388</v>
      </c>
    </row>
    <row r="398">
      <c r="A398" s="3">
        <f>IFERROR(__xludf.DUMMYFUNCTION("""COMPUTED_VALUE"""),40718.99861111111)</f>
        <v>40718.99861</v>
      </c>
      <c r="B398" s="1">
        <f>IFERROR(__xludf.DUMMYFUNCTION("""COMPUTED_VALUE"""),2333.9435)</f>
        <v>2333.9435</v>
      </c>
    </row>
    <row r="399">
      <c r="A399" s="3">
        <f>IFERROR(__xludf.DUMMYFUNCTION("""COMPUTED_VALUE"""),40719.99861111111)</f>
        <v>40719.99861</v>
      </c>
      <c r="B399" s="1">
        <f>IFERROR(__xludf.DUMMYFUNCTION("""COMPUTED_VALUE"""),2299.267768)</f>
        <v>2299.267768</v>
      </c>
    </row>
    <row r="400">
      <c r="A400" s="3">
        <f>IFERROR(__xludf.DUMMYFUNCTION("""COMPUTED_VALUE"""),40721.99861111111)</f>
        <v>40721.99861</v>
      </c>
      <c r="B400" s="1">
        <f>IFERROR(__xludf.DUMMYFUNCTION("""COMPUTED_VALUE"""),2348.15625)</f>
        <v>2348.15625</v>
      </c>
    </row>
    <row r="401">
      <c r="A401" s="3">
        <f>IFERROR(__xludf.DUMMYFUNCTION("""COMPUTED_VALUE"""),40722.99861111111)</f>
        <v>40722.99861</v>
      </c>
      <c r="B401" s="1">
        <f>IFERROR(__xludf.DUMMYFUNCTION("""COMPUTED_VALUE"""),2346.7088)</f>
        <v>2346.7088</v>
      </c>
    </row>
    <row r="402">
      <c r="A402" s="3">
        <f>IFERROR(__xludf.DUMMYFUNCTION("""COMPUTED_VALUE"""),40723.99861111111)</f>
        <v>40723.99861</v>
      </c>
      <c r="B402" s="1">
        <f>IFERROR(__xludf.DUMMYFUNCTION("""COMPUTED_VALUE"""),2345.964637)</f>
        <v>2345.964637</v>
      </c>
    </row>
    <row r="403">
      <c r="A403" s="3">
        <f>IFERROR(__xludf.DUMMYFUNCTION("""COMPUTED_VALUE"""),40724.99861111111)</f>
        <v>40724.99861</v>
      </c>
      <c r="B403" s="1">
        <f>IFERROR(__xludf.DUMMYFUNCTION("""COMPUTED_VALUE"""),2332.55232)</f>
        <v>2332.55232</v>
      </c>
    </row>
    <row r="404">
      <c r="A404" s="3">
        <f>IFERROR(__xludf.DUMMYFUNCTION("""COMPUTED_VALUE"""),40725.99861111111)</f>
        <v>40725.99861</v>
      </c>
      <c r="B404" s="1">
        <f>IFERROR(__xludf.DUMMYFUNCTION("""COMPUTED_VALUE"""),2325.28725)</f>
        <v>2325.28725</v>
      </c>
    </row>
    <row r="405">
      <c r="A405" s="3">
        <f>IFERROR(__xludf.DUMMYFUNCTION("""COMPUTED_VALUE"""),40726.99861111111)</f>
        <v>40726.99861</v>
      </c>
      <c r="B405" s="1">
        <f>IFERROR(__xludf.DUMMYFUNCTION("""COMPUTED_VALUE"""),2279.480282)</f>
        <v>2279.480282</v>
      </c>
    </row>
    <row r="406">
      <c r="A406" s="3">
        <f>IFERROR(__xludf.DUMMYFUNCTION("""COMPUTED_VALUE"""),40728.99861111111)</f>
        <v>40728.99861</v>
      </c>
      <c r="B406" s="1">
        <f>IFERROR(__xludf.DUMMYFUNCTION("""COMPUTED_VALUE"""),2319.725665)</f>
        <v>2319.725665</v>
      </c>
    </row>
    <row r="407">
      <c r="A407" s="3">
        <f>IFERROR(__xludf.DUMMYFUNCTION("""COMPUTED_VALUE"""),40729.99861111111)</f>
        <v>40729.99861</v>
      </c>
      <c r="B407" s="1">
        <f>IFERROR(__xludf.DUMMYFUNCTION("""COMPUTED_VALUE"""),2324.320762)</f>
        <v>2324.320762</v>
      </c>
    </row>
    <row r="408">
      <c r="A408" s="3">
        <f>IFERROR(__xludf.DUMMYFUNCTION("""COMPUTED_VALUE"""),40730.99861111111)</f>
        <v>40730.99861</v>
      </c>
      <c r="B408" s="1">
        <f>IFERROR(__xludf.DUMMYFUNCTION("""COMPUTED_VALUE"""),2323.650072)</f>
        <v>2323.650072</v>
      </c>
    </row>
    <row r="409">
      <c r="A409" s="3">
        <f>IFERROR(__xludf.DUMMYFUNCTION("""COMPUTED_VALUE"""),40731.99861111111)</f>
        <v>40731.99861</v>
      </c>
      <c r="B409" s="1">
        <f>IFERROR(__xludf.DUMMYFUNCTION("""COMPUTED_VALUE"""),2323.231762)</f>
        <v>2323.231762</v>
      </c>
    </row>
    <row r="410">
      <c r="A410" s="3">
        <f>IFERROR(__xludf.DUMMYFUNCTION("""COMPUTED_VALUE"""),40732.99861111111)</f>
        <v>40732.99861</v>
      </c>
      <c r="B410" s="1">
        <f>IFERROR(__xludf.DUMMYFUNCTION("""COMPUTED_VALUE"""),2317.514512)</f>
        <v>2317.514512</v>
      </c>
    </row>
    <row r="411">
      <c r="A411" s="3">
        <f>IFERROR(__xludf.DUMMYFUNCTION("""COMPUTED_VALUE"""),40734.99861111111)</f>
        <v>40734.99861</v>
      </c>
      <c r="B411" s="1">
        <f>IFERROR(__xludf.DUMMYFUNCTION("""COMPUTED_VALUE"""),2317.003765)</f>
        <v>2317.003765</v>
      </c>
    </row>
    <row r="412">
      <c r="A412" s="3">
        <f>IFERROR(__xludf.DUMMYFUNCTION("""COMPUTED_VALUE"""),40735.99861111111)</f>
        <v>40735.99861</v>
      </c>
      <c r="B412" s="1">
        <f>IFERROR(__xludf.DUMMYFUNCTION("""COMPUTED_VALUE"""),2321.189887)</f>
        <v>2321.189887</v>
      </c>
    </row>
    <row r="413">
      <c r="A413" s="3">
        <f>IFERROR(__xludf.DUMMYFUNCTION("""COMPUTED_VALUE"""),40736.99861111111)</f>
        <v>40736.99861</v>
      </c>
      <c r="B413" s="1">
        <f>IFERROR(__xludf.DUMMYFUNCTION("""COMPUTED_VALUE"""),2332.352137)</f>
        <v>2332.352137</v>
      </c>
    </row>
    <row r="414">
      <c r="A414" s="3">
        <f>IFERROR(__xludf.DUMMYFUNCTION("""COMPUTED_VALUE"""),40737.99861111111)</f>
        <v>40737.99861</v>
      </c>
      <c r="B414" s="1">
        <f>IFERROR(__xludf.DUMMYFUNCTION("""COMPUTED_VALUE"""),2327.652)</f>
        <v>2327.652</v>
      </c>
    </row>
    <row r="415">
      <c r="A415" s="3">
        <f>IFERROR(__xludf.DUMMYFUNCTION("""COMPUTED_VALUE"""),40738.99861111111)</f>
        <v>40738.99861</v>
      </c>
      <c r="B415" s="1">
        <f>IFERROR(__xludf.DUMMYFUNCTION("""COMPUTED_VALUE"""),2322.908707)</f>
        <v>2322.908707</v>
      </c>
    </row>
    <row r="416">
      <c r="A416" s="3">
        <f>IFERROR(__xludf.DUMMYFUNCTION("""COMPUTED_VALUE"""),40739.99861111111)</f>
        <v>40739.99861</v>
      </c>
      <c r="B416" s="1">
        <f>IFERROR(__xludf.DUMMYFUNCTION("""COMPUTED_VALUE"""),2323.367887)</f>
        <v>2323.367887</v>
      </c>
    </row>
    <row r="417">
      <c r="A417" s="3">
        <f>IFERROR(__xludf.DUMMYFUNCTION("""COMPUTED_VALUE"""),40740.99861111111)</f>
        <v>40740.99861</v>
      </c>
      <c r="B417" s="1">
        <f>IFERROR(__xludf.DUMMYFUNCTION("""COMPUTED_VALUE"""),2277.168759)</f>
        <v>2277.168759</v>
      </c>
    </row>
    <row r="418">
      <c r="A418" s="3">
        <f>IFERROR(__xludf.DUMMYFUNCTION("""COMPUTED_VALUE"""),40742.99861111111)</f>
        <v>40742.99861</v>
      </c>
      <c r="B418" s="1">
        <f>IFERROR(__xludf.DUMMYFUNCTION("""COMPUTED_VALUE"""),2331.525736)</f>
        <v>2331.525736</v>
      </c>
    </row>
    <row r="419">
      <c r="A419" s="3">
        <f>IFERROR(__xludf.DUMMYFUNCTION("""COMPUTED_VALUE"""),40743.99861111111)</f>
        <v>40743.99861</v>
      </c>
      <c r="B419" s="1">
        <f>IFERROR(__xludf.DUMMYFUNCTION("""COMPUTED_VALUE"""),2325.1004)</f>
        <v>2325.1004</v>
      </c>
    </row>
    <row r="420">
      <c r="A420" s="3">
        <f>IFERROR(__xludf.DUMMYFUNCTION("""COMPUTED_VALUE"""),40744.99861111111)</f>
        <v>40744.99861</v>
      </c>
      <c r="B420" s="1">
        <f>IFERROR(__xludf.DUMMYFUNCTION("""COMPUTED_VALUE"""),2322.3778)</f>
        <v>2322.3778</v>
      </c>
    </row>
    <row r="421">
      <c r="A421" s="3">
        <f>IFERROR(__xludf.DUMMYFUNCTION("""COMPUTED_VALUE"""),40745.99861111111)</f>
        <v>40745.99861</v>
      </c>
      <c r="B421" s="1">
        <f>IFERROR(__xludf.DUMMYFUNCTION("""COMPUTED_VALUE"""),2324.28362)</f>
        <v>2324.28362</v>
      </c>
    </row>
    <row r="422">
      <c r="A422" s="3">
        <f>IFERROR(__xludf.DUMMYFUNCTION("""COMPUTED_VALUE"""),40746.99861111111)</f>
        <v>40746.99861</v>
      </c>
      <c r="B422" s="1">
        <f>IFERROR(__xludf.DUMMYFUNCTION("""COMPUTED_VALUE"""),2320.93125)</f>
        <v>2320.93125</v>
      </c>
    </row>
    <row r="423">
      <c r="A423" s="3">
        <f>IFERROR(__xludf.DUMMYFUNCTION("""COMPUTED_VALUE"""),40748.99861111111)</f>
        <v>40748.99861</v>
      </c>
      <c r="B423" s="1">
        <f>IFERROR(__xludf.DUMMYFUNCTION("""COMPUTED_VALUE"""),2320.95052)</f>
        <v>2320.95052</v>
      </c>
    </row>
    <row r="424">
      <c r="A424" s="3">
        <f>IFERROR(__xludf.DUMMYFUNCTION("""COMPUTED_VALUE"""),40749.99861111111)</f>
        <v>40749.99861</v>
      </c>
      <c r="B424" s="1">
        <f>IFERROR(__xludf.DUMMYFUNCTION("""COMPUTED_VALUE"""),2320.202678)</f>
        <v>2320.202678</v>
      </c>
    </row>
    <row r="425">
      <c r="A425" s="3">
        <f>IFERROR(__xludf.DUMMYFUNCTION("""COMPUTED_VALUE"""),40750.99861111111)</f>
        <v>40750.99861</v>
      </c>
      <c r="B425" s="1">
        <f>IFERROR(__xludf.DUMMYFUNCTION("""COMPUTED_VALUE"""),2314.04)</f>
        <v>2314.04</v>
      </c>
    </row>
    <row r="426">
      <c r="A426" s="3">
        <f>IFERROR(__xludf.DUMMYFUNCTION("""COMPUTED_VALUE"""),40751.99861111111)</f>
        <v>40751.99861</v>
      </c>
      <c r="B426" s="1">
        <f>IFERROR(__xludf.DUMMYFUNCTION("""COMPUTED_VALUE"""),2309.2245)</f>
        <v>2309.2245</v>
      </c>
    </row>
    <row r="427">
      <c r="A427" s="3">
        <f>IFERROR(__xludf.DUMMYFUNCTION("""COMPUTED_VALUE"""),40752.99861111111)</f>
        <v>40752.99861</v>
      </c>
      <c r="B427" s="1">
        <f>IFERROR(__xludf.DUMMYFUNCTION("""COMPUTED_VALUE"""),2312.76375)</f>
        <v>2312.76375</v>
      </c>
    </row>
    <row r="428">
      <c r="A428" s="3">
        <f>IFERROR(__xludf.DUMMYFUNCTION("""COMPUTED_VALUE"""),40753.99861111111)</f>
        <v>40753.99861</v>
      </c>
      <c r="B428" s="1">
        <f>IFERROR(__xludf.DUMMYFUNCTION("""COMPUTED_VALUE"""),2313.955)</f>
        <v>2313.955</v>
      </c>
    </row>
    <row r="429">
      <c r="A429" s="3">
        <f>IFERROR(__xludf.DUMMYFUNCTION("""COMPUTED_VALUE"""),40754.99861111111)</f>
        <v>40754.99861</v>
      </c>
      <c r="B429" s="1">
        <f>IFERROR(__xludf.DUMMYFUNCTION("""COMPUTED_VALUE"""),2247.336735)</f>
        <v>2247.336735</v>
      </c>
    </row>
    <row r="430">
      <c r="A430" s="3">
        <f>IFERROR(__xludf.DUMMYFUNCTION("""COMPUTED_VALUE"""),40756.99861111111)</f>
        <v>40756.99861</v>
      </c>
      <c r="B430" s="1">
        <f>IFERROR(__xludf.DUMMYFUNCTION("""COMPUTED_VALUE"""),2295.541584)</f>
        <v>2295.541584</v>
      </c>
    </row>
    <row r="431">
      <c r="A431" s="3">
        <f>IFERROR(__xludf.DUMMYFUNCTION("""COMPUTED_VALUE"""),40757.99861111111)</f>
        <v>40757.99861</v>
      </c>
      <c r="B431" s="1">
        <f>IFERROR(__xludf.DUMMYFUNCTION("""COMPUTED_VALUE"""),2304.755215)</f>
        <v>2304.755215</v>
      </c>
    </row>
    <row r="432">
      <c r="A432" s="3">
        <f>IFERROR(__xludf.DUMMYFUNCTION("""COMPUTED_VALUE"""),40758.99861111111)</f>
        <v>40758.99861</v>
      </c>
      <c r="B432" s="1">
        <f>IFERROR(__xludf.DUMMYFUNCTION("""COMPUTED_VALUE"""),2266.036188)</f>
        <v>2266.036188</v>
      </c>
    </row>
    <row r="433">
      <c r="A433" s="3">
        <f>IFERROR(__xludf.DUMMYFUNCTION("""COMPUTED_VALUE"""),40759.99861111111)</f>
        <v>40759.99861</v>
      </c>
      <c r="B433" s="1">
        <f>IFERROR(__xludf.DUMMYFUNCTION("""COMPUTED_VALUE"""),2306.102556)</f>
        <v>2306.102556</v>
      </c>
    </row>
    <row r="434">
      <c r="A434" s="3">
        <f>IFERROR(__xludf.DUMMYFUNCTION("""COMPUTED_VALUE"""),40760.99861111111)</f>
        <v>40760.99861</v>
      </c>
      <c r="B434" s="1">
        <f>IFERROR(__xludf.DUMMYFUNCTION("""COMPUTED_VALUE"""),2317.599091)</f>
        <v>2317.599091</v>
      </c>
    </row>
    <row r="435">
      <c r="A435" s="3">
        <f>IFERROR(__xludf.DUMMYFUNCTION("""COMPUTED_VALUE"""),40761.99861111111)</f>
        <v>40761.99861</v>
      </c>
      <c r="B435" s="1">
        <f>IFERROR(__xludf.DUMMYFUNCTION("""COMPUTED_VALUE"""),2274.526606)</f>
        <v>2274.526606</v>
      </c>
    </row>
    <row r="436">
      <c r="A436" s="3">
        <f>IFERROR(__xludf.DUMMYFUNCTION("""COMPUTED_VALUE"""),40763.99861111111)</f>
        <v>40763.99861</v>
      </c>
      <c r="B436" s="1">
        <f>IFERROR(__xludf.DUMMYFUNCTION("""COMPUTED_VALUE"""),2307.708477)</f>
        <v>2307.708477</v>
      </c>
    </row>
    <row r="437">
      <c r="A437" s="3">
        <f>IFERROR(__xludf.DUMMYFUNCTION("""COMPUTED_VALUE"""),40764.99861111111)</f>
        <v>40764.99861</v>
      </c>
      <c r="B437" s="1">
        <f>IFERROR(__xludf.DUMMYFUNCTION("""COMPUTED_VALUE"""),2318.320368)</f>
        <v>2318.320368</v>
      </c>
    </row>
    <row r="438">
      <c r="A438" s="3">
        <f>IFERROR(__xludf.DUMMYFUNCTION("""COMPUTED_VALUE"""),40765.99861111111)</f>
        <v>40765.99861</v>
      </c>
      <c r="B438" s="1">
        <f>IFERROR(__xludf.DUMMYFUNCTION("""COMPUTED_VALUE"""),2313.696657)</f>
        <v>2313.696657</v>
      </c>
    </row>
    <row r="439">
      <c r="A439" s="3">
        <f>IFERROR(__xludf.DUMMYFUNCTION("""COMPUTED_VALUE"""),40766.99861111111)</f>
        <v>40766.99861</v>
      </c>
      <c r="B439" s="1">
        <f>IFERROR(__xludf.DUMMYFUNCTION("""COMPUTED_VALUE"""),2316.061274)</f>
        <v>2316.061274</v>
      </c>
    </row>
    <row r="440">
      <c r="A440" s="3">
        <f>IFERROR(__xludf.DUMMYFUNCTION("""COMPUTED_VALUE"""),40770.99861111111)</f>
        <v>40770.99861</v>
      </c>
      <c r="B440" s="1">
        <f>IFERROR(__xludf.DUMMYFUNCTION("""COMPUTED_VALUE"""),2257.190013)</f>
        <v>2257.190013</v>
      </c>
    </row>
    <row r="441">
      <c r="A441" s="3">
        <f>IFERROR(__xludf.DUMMYFUNCTION("""COMPUTED_VALUE"""),40771.99861111111)</f>
        <v>40771.99861</v>
      </c>
      <c r="B441" s="1">
        <f>IFERROR(__xludf.DUMMYFUNCTION("""COMPUTED_VALUE"""),2275.154553)</f>
        <v>2275.154553</v>
      </c>
    </row>
    <row r="442">
      <c r="A442" s="3">
        <f>IFERROR(__xludf.DUMMYFUNCTION("""COMPUTED_VALUE"""),40772.99861111111)</f>
        <v>40772.99861</v>
      </c>
      <c r="B442" s="1">
        <f>IFERROR(__xludf.DUMMYFUNCTION("""COMPUTED_VALUE"""),2279.373498)</f>
        <v>2279.373498</v>
      </c>
    </row>
    <row r="443">
      <c r="A443" s="3">
        <f>IFERROR(__xludf.DUMMYFUNCTION("""COMPUTED_VALUE"""),40773.99861111111)</f>
        <v>40773.99861</v>
      </c>
      <c r="B443" s="1">
        <f>IFERROR(__xludf.DUMMYFUNCTION("""COMPUTED_VALUE"""),2330.46)</f>
        <v>2330.46</v>
      </c>
    </row>
    <row r="444">
      <c r="A444" s="3">
        <f>IFERROR(__xludf.DUMMYFUNCTION("""COMPUTED_VALUE"""),40774.99861111111)</f>
        <v>40774.99861</v>
      </c>
      <c r="B444" s="1">
        <f>IFERROR(__xludf.DUMMYFUNCTION("""COMPUTED_VALUE"""),2324.9061)</f>
        <v>2324.9061</v>
      </c>
    </row>
    <row r="445">
      <c r="A445" s="3">
        <f>IFERROR(__xludf.DUMMYFUNCTION("""COMPUTED_VALUE"""),40775.99861111111)</f>
        <v>40775.99861</v>
      </c>
      <c r="B445" s="1">
        <f>IFERROR(__xludf.DUMMYFUNCTION("""COMPUTED_VALUE"""),2269.790674)</f>
        <v>2269.790674</v>
      </c>
    </row>
    <row r="446">
      <c r="A446" s="3">
        <f>IFERROR(__xludf.DUMMYFUNCTION("""COMPUTED_VALUE"""),40777.99861111111)</f>
        <v>40777.99861</v>
      </c>
      <c r="B446" s="1">
        <f>IFERROR(__xludf.DUMMYFUNCTION("""COMPUTED_VALUE"""),2324.19825)</f>
        <v>2324.19825</v>
      </c>
    </row>
    <row r="447">
      <c r="A447" s="3">
        <f>IFERROR(__xludf.DUMMYFUNCTION("""COMPUTED_VALUE"""),40778.99861111111)</f>
        <v>40778.99861</v>
      </c>
      <c r="B447" s="1">
        <f>IFERROR(__xludf.DUMMYFUNCTION("""COMPUTED_VALUE"""),2325.83175)</f>
        <v>2325.83175</v>
      </c>
    </row>
    <row r="448">
      <c r="A448" s="3">
        <f>IFERROR(__xludf.DUMMYFUNCTION("""COMPUTED_VALUE"""),40779.99861111111)</f>
        <v>40779.99861</v>
      </c>
      <c r="B448" s="1">
        <f>IFERROR(__xludf.DUMMYFUNCTION("""COMPUTED_VALUE"""),2327.7375)</f>
        <v>2327.7375</v>
      </c>
    </row>
    <row r="449">
      <c r="A449" s="3">
        <f>IFERROR(__xludf.DUMMYFUNCTION("""COMPUTED_VALUE"""),40780.99861111111)</f>
        <v>40780.99861</v>
      </c>
      <c r="B449" s="1">
        <f>IFERROR(__xludf.DUMMYFUNCTION("""COMPUTED_VALUE"""),2341.35)</f>
        <v>2341.35</v>
      </c>
    </row>
    <row r="450">
      <c r="A450" s="3">
        <f>IFERROR(__xludf.DUMMYFUNCTION("""COMPUTED_VALUE"""),40781.99861111111)</f>
        <v>40781.99861</v>
      </c>
      <c r="B450" s="1">
        <f>IFERROR(__xludf.DUMMYFUNCTION("""COMPUTED_VALUE"""),2326.18944)</f>
        <v>2326.18944</v>
      </c>
    </row>
    <row r="451">
      <c r="A451" s="3">
        <f>IFERROR(__xludf.DUMMYFUNCTION("""COMPUTED_VALUE"""),40782.99861111111)</f>
        <v>40782.99861</v>
      </c>
      <c r="B451" s="1">
        <f>IFERROR(__xludf.DUMMYFUNCTION("""COMPUTED_VALUE"""),2275.37424)</f>
        <v>2275.37424</v>
      </c>
    </row>
    <row r="452">
      <c r="A452" s="3">
        <f>IFERROR(__xludf.DUMMYFUNCTION("""COMPUTED_VALUE"""),40784.99861111111)</f>
        <v>40784.99861</v>
      </c>
      <c r="B452" s="1">
        <f>IFERROR(__xludf.DUMMYFUNCTION("""COMPUTED_VALUE"""),2319.57)</f>
        <v>2319.57</v>
      </c>
    </row>
    <row r="453">
      <c r="A453" s="3">
        <f>IFERROR(__xludf.DUMMYFUNCTION("""COMPUTED_VALUE"""),40785.99861111111)</f>
        <v>40785.99861</v>
      </c>
      <c r="B453" s="1">
        <f>IFERROR(__xludf.DUMMYFUNCTION("""COMPUTED_VALUE"""),2323.180967)</f>
        <v>2323.180967</v>
      </c>
    </row>
    <row r="454">
      <c r="A454" s="3">
        <f>IFERROR(__xludf.DUMMYFUNCTION("""COMPUTED_VALUE"""),40786.99861111111)</f>
        <v>40786.99861</v>
      </c>
      <c r="B454" s="1">
        <f>IFERROR(__xludf.DUMMYFUNCTION("""COMPUTED_VALUE"""),2323.180967)</f>
        <v>2323.180967</v>
      </c>
    </row>
    <row r="455">
      <c r="A455" s="3">
        <f>IFERROR(__xludf.DUMMYFUNCTION("""COMPUTED_VALUE"""),40787.99861111111)</f>
        <v>40787.99861</v>
      </c>
      <c r="B455" s="1">
        <f>IFERROR(__xludf.DUMMYFUNCTION("""COMPUTED_VALUE"""),2311.4025)</f>
        <v>2311.4025</v>
      </c>
    </row>
    <row r="456">
      <c r="A456" s="3">
        <f>IFERROR(__xludf.DUMMYFUNCTION("""COMPUTED_VALUE"""),40788.99861111111)</f>
        <v>40788.99861</v>
      </c>
      <c r="B456" s="1">
        <f>IFERROR(__xludf.DUMMYFUNCTION("""COMPUTED_VALUE"""),2314.125)</f>
        <v>2314.125</v>
      </c>
    </row>
    <row r="457">
      <c r="A457" s="3">
        <f>IFERROR(__xludf.DUMMYFUNCTION("""COMPUTED_VALUE"""),40789.99861111111)</f>
        <v>40789.99861</v>
      </c>
      <c r="B457" s="1">
        <f>IFERROR(__xludf.DUMMYFUNCTION("""COMPUTED_VALUE"""),2286.85636)</f>
        <v>2286.85636</v>
      </c>
    </row>
    <row r="458">
      <c r="A458" s="3">
        <f>IFERROR(__xludf.DUMMYFUNCTION("""COMPUTED_VALUE"""),40791.99861111111)</f>
        <v>40791.99861</v>
      </c>
      <c r="B458" s="1">
        <f>IFERROR(__xludf.DUMMYFUNCTION("""COMPUTED_VALUE"""),2280.816105)</f>
        <v>2280.816105</v>
      </c>
    </row>
    <row r="459">
      <c r="A459" s="3">
        <f>IFERROR(__xludf.DUMMYFUNCTION("""COMPUTED_VALUE"""),40792.99861111111)</f>
        <v>40792.99861</v>
      </c>
      <c r="B459" s="1">
        <f>IFERROR(__xludf.DUMMYFUNCTION("""COMPUTED_VALUE"""),2328.540637)</f>
        <v>2328.540637</v>
      </c>
    </row>
    <row r="460">
      <c r="A460" s="3">
        <f>IFERROR(__xludf.DUMMYFUNCTION("""COMPUTED_VALUE"""),40793.99861111111)</f>
        <v>40793.99861</v>
      </c>
      <c r="B460" s="1">
        <f>IFERROR(__xludf.DUMMYFUNCTION("""COMPUTED_VALUE"""),2323.65375)</f>
        <v>2323.65375</v>
      </c>
    </row>
    <row r="461">
      <c r="A461" s="3">
        <f>IFERROR(__xludf.DUMMYFUNCTION("""COMPUTED_VALUE"""),40794.99861111111)</f>
        <v>40794.99861</v>
      </c>
      <c r="B461" s="1">
        <f>IFERROR(__xludf.DUMMYFUNCTION("""COMPUTED_VALUE"""),2332.453028)</f>
        <v>2332.453028</v>
      </c>
    </row>
    <row r="462">
      <c r="A462" s="3">
        <f>IFERROR(__xludf.DUMMYFUNCTION("""COMPUTED_VALUE"""),40795.99861111111)</f>
        <v>40795.99861</v>
      </c>
      <c r="B462" s="1">
        <f>IFERROR(__xludf.DUMMYFUNCTION("""COMPUTED_VALUE"""),2333.168887)</f>
        <v>2333.168887</v>
      </c>
    </row>
    <row r="463">
      <c r="A463" s="3">
        <f>IFERROR(__xludf.DUMMYFUNCTION("""COMPUTED_VALUE"""),40797.99861111111)</f>
        <v>40797.99861</v>
      </c>
      <c r="B463" s="1">
        <f>IFERROR(__xludf.DUMMYFUNCTION("""COMPUTED_VALUE"""),2311.44074)</f>
        <v>2311.44074</v>
      </c>
    </row>
    <row r="464">
      <c r="A464" s="3">
        <f>IFERROR(__xludf.DUMMYFUNCTION("""COMPUTED_VALUE"""),40798.99861111111)</f>
        <v>40798.99861</v>
      </c>
      <c r="B464" s="1">
        <f>IFERROR(__xludf.DUMMYFUNCTION("""COMPUTED_VALUE"""),2333.808675)</f>
        <v>2333.808675</v>
      </c>
    </row>
    <row r="465">
      <c r="A465" s="3">
        <f>IFERROR(__xludf.DUMMYFUNCTION("""COMPUTED_VALUE"""),40799.99861111111)</f>
        <v>40799.99861</v>
      </c>
      <c r="B465" s="1">
        <f>IFERROR(__xludf.DUMMYFUNCTION("""COMPUTED_VALUE"""),2349.78975)</f>
        <v>2349.78975</v>
      </c>
    </row>
    <row r="466">
      <c r="A466" s="3">
        <f>IFERROR(__xludf.DUMMYFUNCTION("""COMPUTED_VALUE"""),40800.99861111111)</f>
        <v>40800.99861</v>
      </c>
      <c r="B466" s="1">
        <f>IFERROR(__xludf.DUMMYFUNCTION("""COMPUTED_VALUE"""),2374.006387)</f>
        <v>2374.006387</v>
      </c>
    </row>
    <row r="467">
      <c r="A467" s="3">
        <f>IFERROR(__xludf.DUMMYFUNCTION("""COMPUTED_VALUE"""),40801.99861111111)</f>
        <v>40801.99861</v>
      </c>
      <c r="B467" s="1">
        <f>IFERROR(__xludf.DUMMYFUNCTION("""COMPUTED_VALUE"""),2398.25025)</f>
        <v>2398.25025</v>
      </c>
    </row>
    <row r="468">
      <c r="A468" s="3">
        <f>IFERROR(__xludf.DUMMYFUNCTION("""COMPUTED_VALUE"""),40802.99861111111)</f>
        <v>40802.99861</v>
      </c>
      <c r="B468" s="1">
        <f>IFERROR(__xludf.DUMMYFUNCTION("""COMPUTED_VALUE"""),2386.169988)</f>
        <v>2386.169988</v>
      </c>
    </row>
    <row r="469">
      <c r="A469" s="3">
        <f>IFERROR(__xludf.DUMMYFUNCTION("""COMPUTED_VALUE"""),40805.99861111111)</f>
        <v>40805.99861</v>
      </c>
      <c r="B469" s="1">
        <f>IFERROR(__xludf.DUMMYFUNCTION("""COMPUTED_VALUE"""),2401.369056)</f>
        <v>2401.369056</v>
      </c>
    </row>
    <row r="470">
      <c r="A470" s="3">
        <f>IFERROR(__xludf.DUMMYFUNCTION("""COMPUTED_VALUE"""),40806.99861111111)</f>
        <v>40806.99861</v>
      </c>
      <c r="B470" s="1">
        <f>IFERROR(__xludf.DUMMYFUNCTION("""COMPUTED_VALUE"""),2399.081321)</f>
        <v>2399.081321</v>
      </c>
    </row>
    <row r="471">
      <c r="A471" s="3">
        <f>IFERROR(__xludf.DUMMYFUNCTION("""COMPUTED_VALUE"""),40807.99861111111)</f>
        <v>40807.99861</v>
      </c>
      <c r="B471" s="1">
        <f>IFERROR(__xludf.DUMMYFUNCTION("""COMPUTED_VALUE"""),2406.758207)</f>
        <v>2406.758207</v>
      </c>
    </row>
    <row r="472">
      <c r="A472" s="3">
        <f>IFERROR(__xludf.DUMMYFUNCTION("""COMPUTED_VALUE"""),40808.99861111111)</f>
        <v>40808.99861</v>
      </c>
      <c r="B472" s="1">
        <f>IFERROR(__xludf.DUMMYFUNCTION("""COMPUTED_VALUE"""),2385.537878)</f>
        <v>2385.537878</v>
      </c>
    </row>
    <row r="473">
      <c r="A473" s="3">
        <f>IFERROR(__xludf.DUMMYFUNCTION("""COMPUTED_VALUE"""),40809.99861111111)</f>
        <v>40809.99861</v>
      </c>
      <c r="B473" s="1">
        <f>IFERROR(__xludf.DUMMYFUNCTION("""COMPUTED_VALUE"""),2382.282668)</f>
        <v>2382.282668</v>
      </c>
    </row>
    <row r="474">
      <c r="A474" s="3">
        <f>IFERROR(__xludf.DUMMYFUNCTION("""COMPUTED_VALUE"""),40810.99861111111)</f>
        <v>40810.99861</v>
      </c>
      <c r="B474" s="1">
        <f>IFERROR(__xludf.DUMMYFUNCTION("""COMPUTED_VALUE"""),2333.154178)</f>
        <v>2333.154178</v>
      </c>
    </row>
    <row r="475">
      <c r="A475" s="3">
        <f>IFERROR(__xludf.DUMMYFUNCTION("""COMPUTED_VALUE"""),40812.99861111111)</f>
        <v>40812.99861</v>
      </c>
      <c r="B475" s="1">
        <f>IFERROR(__xludf.DUMMYFUNCTION("""COMPUTED_VALUE"""),2472.03)</f>
        <v>2472.03</v>
      </c>
    </row>
    <row r="476">
      <c r="A476" s="3">
        <f>IFERROR(__xludf.DUMMYFUNCTION("""COMPUTED_VALUE"""),40813.99861111111)</f>
        <v>40813.99861</v>
      </c>
      <c r="B476" s="1">
        <f>IFERROR(__xludf.DUMMYFUNCTION("""COMPUTED_VALUE"""),2424.372637)</f>
        <v>2424.372637</v>
      </c>
    </row>
    <row r="477">
      <c r="A477" s="3">
        <f>IFERROR(__xludf.DUMMYFUNCTION("""COMPUTED_VALUE"""),40814.99861111111)</f>
        <v>40814.99861</v>
      </c>
      <c r="B477" s="1">
        <f>IFERROR(__xludf.DUMMYFUNCTION("""COMPUTED_VALUE"""),2420.288887)</f>
        <v>2420.288887</v>
      </c>
    </row>
    <row r="478">
      <c r="A478" s="3">
        <f>IFERROR(__xludf.DUMMYFUNCTION("""COMPUTED_VALUE"""),40815.99861111111)</f>
        <v>40815.99861</v>
      </c>
      <c r="B478" s="1">
        <f>IFERROR(__xludf.DUMMYFUNCTION("""COMPUTED_VALUE"""),2437.34535)</f>
        <v>2437.34535</v>
      </c>
    </row>
    <row r="479">
      <c r="A479" s="3">
        <f>IFERROR(__xludf.DUMMYFUNCTION("""COMPUTED_VALUE"""),40816.99861111111)</f>
        <v>40816.99861</v>
      </c>
      <c r="B479" s="1">
        <f>IFERROR(__xludf.DUMMYFUNCTION("""COMPUTED_VALUE"""),2393.063887)</f>
        <v>2393.063887</v>
      </c>
    </row>
    <row r="480">
      <c r="A480" s="3">
        <f>IFERROR(__xludf.DUMMYFUNCTION("""COMPUTED_VALUE"""),40819.99861111111)</f>
        <v>40819.99861</v>
      </c>
      <c r="B480" s="1">
        <f>IFERROR(__xludf.DUMMYFUNCTION("""COMPUTED_VALUE"""),2422.330762)</f>
        <v>2422.330762</v>
      </c>
    </row>
    <row r="481">
      <c r="A481" s="3">
        <f>IFERROR(__xludf.DUMMYFUNCTION("""COMPUTED_VALUE"""),40820.99861111111)</f>
        <v>40820.99861</v>
      </c>
      <c r="B481" s="1">
        <f>IFERROR(__xludf.DUMMYFUNCTION("""COMPUTED_VALUE"""),2346.73596)</f>
        <v>2346.73596</v>
      </c>
    </row>
    <row r="482">
      <c r="A482" s="3">
        <f>IFERROR(__xludf.DUMMYFUNCTION("""COMPUTED_VALUE"""),40821.99861111111)</f>
        <v>40821.99861</v>
      </c>
      <c r="B482" s="1">
        <f>IFERROR(__xludf.DUMMYFUNCTION("""COMPUTED_VALUE"""),2438.352675)</f>
        <v>2438.352675</v>
      </c>
    </row>
    <row r="483">
      <c r="A483" s="3">
        <f>IFERROR(__xludf.DUMMYFUNCTION("""COMPUTED_VALUE"""),40822.99861111111)</f>
        <v>40822.99861</v>
      </c>
      <c r="B483" s="1">
        <f>IFERROR(__xludf.DUMMYFUNCTION("""COMPUTED_VALUE"""),2420.3025)</f>
        <v>2420.3025</v>
      </c>
    </row>
    <row r="484">
      <c r="A484" s="3">
        <f>IFERROR(__xludf.DUMMYFUNCTION("""COMPUTED_VALUE"""),40823.99861111111)</f>
        <v>40823.99861</v>
      </c>
      <c r="B484" s="1">
        <f>IFERROR(__xludf.DUMMYFUNCTION("""COMPUTED_VALUE"""),2422.330762)</f>
        <v>2422.330762</v>
      </c>
    </row>
    <row r="485">
      <c r="A485" s="3">
        <f>IFERROR(__xludf.DUMMYFUNCTION("""COMPUTED_VALUE"""),40825.99861111111)</f>
        <v>40825.99861</v>
      </c>
      <c r="B485" s="1">
        <f>IFERROR(__xludf.DUMMYFUNCTION("""COMPUTED_VALUE"""),2421.707941)</f>
        <v>2421.707941</v>
      </c>
    </row>
    <row r="486">
      <c r="A486" s="3">
        <f>IFERROR(__xludf.DUMMYFUNCTION("""COMPUTED_VALUE"""),40826.99861111111)</f>
        <v>40826.99861</v>
      </c>
      <c r="B486" s="1">
        <f>IFERROR(__xludf.DUMMYFUNCTION("""COMPUTED_VALUE"""),2420.347041)</f>
        <v>2420.347041</v>
      </c>
    </row>
    <row r="487">
      <c r="A487" s="3">
        <f>IFERROR(__xludf.DUMMYFUNCTION("""COMPUTED_VALUE"""),40827.99861111111)</f>
        <v>40827.99861</v>
      </c>
      <c r="B487" s="1">
        <f>IFERROR(__xludf.DUMMYFUNCTION("""COMPUTED_VALUE"""),2372.68023)</f>
        <v>2372.68023</v>
      </c>
    </row>
    <row r="488">
      <c r="A488" s="3">
        <f>IFERROR(__xludf.DUMMYFUNCTION("""COMPUTED_VALUE"""),40828.99861111111)</f>
        <v>40828.99861</v>
      </c>
      <c r="B488" s="1">
        <f>IFERROR(__xludf.DUMMYFUNCTION("""COMPUTED_VALUE"""),2411.4816)</f>
        <v>2411.4816</v>
      </c>
    </row>
    <row r="489">
      <c r="A489" s="3">
        <f>IFERROR(__xludf.DUMMYFUNCTION("""COMPUTED_VALUE"""),40829.99861111111)</f>
        <v>40829.99861</v>
      </c>
      <c r="B489" s="1">
        <f>IFERROR(__xludf.DUMMYFUNCTION("""COMPUTED_VALUE"""),2414.843887)</f>
        <v>2414.843887</v>
      </c>
    </row>
    <row r="490">
      <c r="A490" s="3">
        <f>IFERROR(__xludf.DUMMYFUNCTION("""COMPUTED_VALUE"""),40830.99861111111)</f>
        <v>40830.99861</v>
      </c>
      <c r="B490" s="1">
        <f>IFERROR(__xludf.DUMMYFUNCTION("""COMPUTED_VALUE"""),2409.1947)</f>
        <v>2409.1947</v>
      </c>
    </row>
    <row r="491">
      <c r="A491" s="3">
        <f>IFERROR(__xludf.DUMMYFUNCTION("""COMPUTED_VALUE"""),40831.99861111111)</f>
        <v>40831.99861</v>
      </c>
      <c r="B491" s="1">
        <f>IFERROR(__xludf.DUMMYFUNCTION("""COMPUTED_VALUE"""),2350.981968)</f>
        <v>2350.981968</v>
      </c>
    </row>
    <row r="492">
      <c r="A492" s="3">
        <f>IFERROR(__xludf.DUMMYFUNCTION("""COMPUTED_VALUE"""),40833.99861111111)</f>
        <v>40833.99861</v>
      </c>
      <c r="B492" s="1">
        <f>IFERROR(__xludf.DUMMYFUNCTION("""COMPUTED_VALUE"""),2417.63445)</f>
        <v>2417.63445</v>
      </c>
    </row>
    <row r="493">
      <c r="A493" s="3">
        <f>IFERROR(__xludf.DUMMYFUNCTION("""COMPUTED_VALUE"""),40834.99861111111)</f>
        <v>40834.99861</v>
      </c>
      <c r="B493" s="1">
        <f>IFERROR(__xludf.DUMMYFUNCTION("""COMPUTED_VALUE"""),2417.58)</f>
        <v>2417.58</v>
      </c>
    </row>
    <row r="494">
      <c r="A494" s="3">
        <f>IFERROR(__xludf.DUMMYFUNCTION("""COMPUTED_VALUE"""),40835.99861111111)</f>
        <v>40835.99861</v>
      </c>
      <c r="B494" s="1">
        <f>IFERROR(__xludf.DUMMYFUNCTION("""COMPUTED_VALUE"""),2406.9078)</f>
        <v>2406.9078</v>
      </c>
    </row>
    <row r="495">
      <c r="A495" s="3">
        <f>IFERROR(__xludf.DUMMYFUNCTION("""COMPUTED_VALUE"""),40836.99861111111)</f>
        <v>40836.99861</v>
      </c>
      <c r="B495" s="1">
        <f>IFERROR(__xludf.DUMMYFUNCTION("""COMPUTED_VALUE"""),2402.592637)</f>
        <v>2402.592637</v>
      </c>
    </row>
    <row r="496">
      <c r="A496" s="3">
        <f>IFERROR(__xludf.DUMMYFUNCTION("""COMPUTED_VALUE"""),40837.99861111111)</f>
        <v>40837.99861</v>
      </c>
      <c r="B496" s="1">
        <f>IFERROR(__xludf.DUMMYFUNCTION("""COMPUTED_VALUE"""),2409.4125)</f>
        <v>2409.4125</v>
      </c>
    </row>
    <row r="497">
      <c r="A497" s="3">
        <f>IFERROR(__xludf.DUMMYFUNCTION("""COMPUTED_VALUE"""),40838.99861111111)</f>
        <v>40838.99861</v>
      </c>
      <c r="B497" s="1">
        <f>IFERROR(__xludf.DUMMYFUNCTION("""COMPUTED_VALUE"""),2328.748764)</f>
        <v>2328.748764</v>
      </c>
    </row>
    <row r="498">
      <c r="A498" s="3">
        <f>IFERROR(__xludf.DUMMYFUNCTION("""COMPUTED_VALUE"""),40840.99861111111)</f>
        <v>40840.99861</v>
      </c>
      <c r="B498" s="1">
        <f>IFERROR(__xludf.DUMMYFUNCTION("""COMPUTED_VALUE"""),2406.499588)</f>
        <v>2406.499588</v>
      </c>
    </row>
    <row r="499">
      <c r="A499" s="3">
        <f>IFERROR(__xludf.DUMMYFUNCTION("""COMPUTED_VALUE"""),40841.99861111111)</f>
        <v>40841.99861</v>
      </c>
      <c r="B499" s="1">
        <f>IFERROR(__xludf.DUMMYFUNCTION("""COMPUTED_VALUE"""),2409.398887)</f>
        <v>2409.398887</v>
      </c>
    </row>
    <row r="500">
      <c r="A500" s="3">
        <f>IFERROR(__xludf.DUMMYFUNCTION("""COMPUTED_VALUE"""),40842.99861111111)</f>
        <v>40842.99861</v>
      </c>
      <c r="B500" s="1">
        <f>IFERROR(__xludf.DUMMYFUNCTION("""COMPUTED_VALUE"""),2415.660637)</f>
        <v>2415.660637</v>
      </c>
    </row>
    <row r="501">
      <c r="A501" s="3">
        <f>IFERROR(__xludf.DUMMYFUNCTION("""COMPUTED_VALUE"""),40843.99861111111)</f>
        <v>40843.99861</v>
      </c>
      <c r="B501" s="1">
        <f>IFERROR(__xludf.DUMMYFUNCTION("""COMPUTED_VALUE"""),2410.753396)</f>
        <v>2410.753396</v>
      </c>
    </row>
    <row r="502">
      <c r="A502" s="3">
        <f>IFERROR(__xludf.DUMMYFUNCTION("""COMPUTED_VALUE"""),40844.99861111111)</f>
        <v>40844.99861</v>
      </c>
      <c r="B502" s="1">
        <f>IFERROR(__xludf.DUMMYFUNCTION("""COMPUTED_VALUE"""),2398.011628)</f>
        <v>2398.011628</v>
      </c>
    </row>
    <row r="503">
      <c r="A503" s="3">
        <f>IFERROR(__xludf.DUMMYFUNCTION("""COMPUTED_VALUE"""),40847.99861111111)</f>
        <v>40847.99861</v>
      </c>
      <c r="B503" s="1">
        <f>IFERROR(__xludf.DUMMYFUNCTION("""COMPUTED_VALUE"""),2402.151808)</f>
        <v>2402.151808</v>
      </c>
    </row>
    <row r="504">
      <c r="A504" s="3">
        <f>IFERROR(__xludf.DUMMYFUNCTION("""COMPUTED_VALUE"""),40848.99861111111)</f>
        <v>40848.99861</v>
      </c>
      <c r="B504" s="1">
        <f>IFERROR(__xludf.DUMMYFUNCTION("""COMPUTED_VALUE"""),2413.28397)</f>
        <v>2413.28397</v>
      </c>
    </row>
    <row r="505">
      <c r="A505" s="3">
        <f>IFERROR(__xludf.DUMMYFUNCTION("""COMPUTED_VALUE"""),40849.99861111111)</f>
        <v>40849.99861</v>
      </c>
      <c r="B505" s="1">
        <f>IFERROR(__xludf.DUMMYFUNCTION("""COMPUTED_VALUE"""),2422.592526)</f>
        <v>2422.592526</v>
      </c>
    </row>
    <row r="506">
      <c r="A506" s="3">
        <f>IFERROR(__xludf.DUMMYFUNCTION("""COMPUTED_VALUE"""),40850.99861111111)</f>
        <v>40850.99861</v>
      </c>
      <c r="B506" s="1">
        <f>IFERROR(__xludf.DUMMYFUNCTION("""COMPUTED_VALUE"""),2434.984536)</f>
        <v>2434.984536</v>
      </c>
    </row>
    <row r="507">
      <c r="A507" s="3">
        <f>IFERROR(__xludf.DUMMYFUNCTION("""COMPUTED_VALUE"""),40851.99861111111)</f>
        <v>40851.99861</v>
      </c>
      <c r="B507" s="1">
        <f>IFERROR(__xludf.DUMMYFUNCTION("""COMPUTED_VALUE"""),2435.1868)</f>
        <v>2435.1868</v>
      </c>
    </row>
    <row r="508">
      <c r="A508" s="3">
        <f>IFERROR(__xludf.DUMMYFUNCTION("""COMPUTED_VALUE"""),40852.99861111111)</f>
        <v>40852.99861</v>
      </c>
      <c r="B508" s="1">
        <f>IFERROR(__xludf.DUMMYFUNCTION("""COMPUTED_VALUE"""),2405.091352)</f>
        <v>2405.091352</v>
      </c>
    </row>
    <row r="509">
      <c r="A509" s="3">
        <f>IFERROR(__xludf.DUMMYFUNCTION("""COMPUTED_VALUE"""),40854.99861111111)</f>
        <v>40854.99861</v>
      </c>
      <c r="B509" s="1">
        <f>IFERROR(__xludf.DUMMYFUNCTION("""COMPUTED_VALUE"""),2437.895588)</f>
        <v>2437.895588</v>
      </c>
    </row>
    <row r="510">
      <c r="A510" s="3">
        <f>IFERROR(__xludf.DUMMYFUNCTION("""COMPUTED_VALUE"""),40855.99861111111)</f>
        <v>40855.99861</v>
      </c>
      <c r="B510" s="1">
        <f>IFERROR(__xludf.DUMMYFUNCTION("""COMPUTED_VALUE"""),2427.10875)</f>
        <v>2427.10875</v>
      </c>
    </row>
    <row r="511">
      <c r="A511" s="3">
        <f>IFERROR(__xludf.DUMMYFUNCTION("""COMPUTED_VALUE"""),40856.99861111111)</f>
        <v>40856.99861</v>
      </c>
      <c r="B511" s="1">
        <f>IFERROR(__xludf.DUMMYFUNCTION("""COMPUTED_VALUE"""),2420.199988)</f>
        <v>2420.199988</v>
      </c>
    </row>
    <row r="512">
      <c r="A512" s="3">
        <f>IFERROR(__xludf.DUMMYFUNCTION("""COMPUTED_VALUE"""),40857.99861111111)</f>
        <v>40857.99861</v>
      </c>
      <c r="B512" s="1">
        <f>IFERROR(__xludf.DUMMYFUNCTION("""COMPUTED_VALUE"""),2442.068887)</f>
        <v>2442.068887</v>
      </c>
    </row>
    <row r="513">
      <c r="A513" s="3">
        <f>IFERROR(__xludf.DUMMYFUNCTION("""COMPUTED_VALUE"""),40858.99861111111)</f>
        <v>40858.99861</v>
      </c>
      <c r="B513" s="1">
        <f>IFERROR(__xludf.DUMMYFUNCTION("""COMPUTED_VALUE"""),2437.854752)</f>
        <v>2437.854752</v>
      </c>
    </row>
    <row r="514">
      <c r="A514" s="3">
        <f>IFERROR(__xludf.DUMMYFUNCTION("""COMPUTED_VALUE"""),40860.99861111111)</f>
        <v>40860.99861</v>
      </c>
      <c r="B514" s="1">
        <f>IFERROR(__xludf.DUMMYFUNCTION("""COMPUTED_VALUE"""),2440.896631)</f>
        <v>2440.896631</v>
      </c>
    </row>
    <row r="515">
      <c r="A515" s="3">
        <f>IFERROR(__xludf.DUMMYFUNCTION("""COMPUTED_VALUE"""),40861.99861111111)</f>
        <v>40861.99861</v>
      </c>
      <c r="B515" s="1">
        <f>IFERROR(__xludf.DUMMYFUNCTION("""COMPUTED_VALUE"""),2440.080091)</f>
        <v>2440.080091</v>
      </c>
    </row>
    <row r="516">
      <c r="A516" s="3">
        <f>IFERROR(__xludf.DUMMYFUNCTION("""COMPUTED_VALUE"""),40862.99861111111)</f>
        <v>40862.99861</v>
      </c>
      <c r="B516" s="1">
        <f>IFERROR(__xludf.DUMMYFUNCTION("""COMPUTED_VALUE"""),2448.245491)</f>
        <v>2448.245491</v>
      </c>
    </row>
    <row r="517">
      <c r="A517" s="3">
        <f>IFERROR(__xludf.DUMMYFUNCTION("""COMPUTED_VALUE"""),40863.99861111111)</f>
        <v>40863.99861</v>
      </c>
      <c r="B517" s="1">
        <f>IFERROR(__xludf.DUMMYFUNCTION("""COMPUTED_VALUE"""),2447.837221)</f>
        <v>2447.837221</v>
      </c>
    </row>
    <row r="518">
      <c r="A518" s="3">
        <f>IFERROR(__xludf.DUMMYFUNCTION("""COMPUTED_VALUE"""),40864.99861111111)</f>
        <v>40864.99861</v>
      </c>
      <c r="B518" s="1">
        <f>IFERROR(__xludf.DUMMYFUNCTION("""COMPUTED_VALUE"""),2442.189486)</f>
        <v>2442.189486</v>
      </c>
    </row>
    <row r="519">
      <c r="A519" s="3">
        <f>IFERROR(__xludf.DUMMYFUNCTION("""COMPUTED_VALUE"""),40865.99861111111)</f>
        <v>40865.99861</v>
      </c>
      <c r="B519" s="1">
        <f>IFERROR(__xludf.DUMMYFUNCTION("""COMPUTED_VALUE"""),2447.30647)</f>
        <v>2447.30647</v>
      </c>
    </row>
    <row r="520">
      <c r="A520" s="3">
        <f>IFERROR(__xludf.DUMMYFUNCTION("""COMPUTED_VALUE"""),40866.99861111111)</f>
        <v>40866.99861</v>
      </c>
      <c r="B520" s="1">
        <f>IFERROR(__xludf.DUMMYFUNCTION("""COMPUTED_VALUE"""),2422.483654)</f>
        <v>2422.483654</v>
      </c>
    </row>
    <row r="521">
      <c r="A521" s="3">
        <f>IFERROR(__xludf.DUMMYFUNCTION("""COMPUTED_VALUE"""),40868.99861111111)</f>
        <v>40868.99861</v>
      </c>
      <c r="B521" s="1">
        <f>IFERROR(__xludf.DUMMYFUNCTION("""COMPUTED_VALUE"""),2456.410891)</f>
        <v>2456.410891</v>
      </c>
    </row>
    <row r="522">
      <c r="A522" s="3">
        <f>IFERROR(__xludf.DUMMYFUNCTION("""COMPUTED_VALUE"""),40869.99861111111)</f>
        <v>40869.99861</v>
      </c>
      <c r="B522" s="1">
        <f>IFERROR(__xludf.DUMMYFUNCTION("""COMPUTED_VALUE"""),2461.854491)</f>
        <v>2461.854491</v>
      </c>
    </row>
    <row r="523">
      <c r="A523" s="3">
        <f>IFERROR(__xludf.DUMMYFUNCTION("""COMPUTED_VALUE"""),40870.99861111111)</f>
        <v>40870.99861</v>
      </c>
      <c r="B523" s="1">
        <f>IFERROR(__xludf.DUMMYFUNCTION("""COMPUTED_VALUE"""),2454.40018)</f>
        <v>2454.40018</v>
      </c>
    </row>
    <row r="524">
      <c r="A524" s="3">
        <f>IFERROR(__xludf.DUMMYFUNCTION("""COMPUTED_VALUE"""),40871.99861111111)</f>
        <v>40871.99861</v>
      </c>
      <c r="B524" s="1">
        <f>IFERROR(__xludf.DUMMYFUNCTION("""COMPUTED_VALUE"""),2439.475656)</f>
        <v>2439.475656</v>
      </c>
    </row>
    <row r="525">
      <c r="A525" s="3">
        <f>IFERROR(__xludf.DUMMYFUNCTION("""COMPUTED_VALUE"""),40872.99861111111)</f>
        <v>40872.99861</v>
      </c>
      <c r="B525" s="1">
        <f>IFERROR(__xludf.DUMMYFUNCTION("""COMPUTED_VALUE"""),2456.950254)</f>
        <v>2456.950254</v>
      </c>
    </row>
    <row r="526">
      <c r="A526" s="3">
        <f>IFERROR(__xludf.DUMMYFUNCTION("""COMPUTED_VALUE"""),40873.99861111111)</f>
        <v>40873.99861</v>
      </c>
      <c r="B526" s="1">
        <f>IFERROR(__xludf.DUMMYFUNCTION("""COMPUTED_VALUE"""),2458.828365)</f>
        <v>2458.828365</v>
      </c>
    </row>
    <row r="527">
      <c r="A527" s="3">
        <f>IFERROR(__xludf.DUMMYFUNCTION("""COMPUTED_VALUE"""),40874.99861111111)</f>
        <v>40874.99861</v>
      </c>
      <c r="B527" s="1">
        <f>IFERROR(__xludf.DUMMYFUNCTION("""COMPUTED_VALUE"""),2464.66684)</f>
        <v>2464.66684</v>
      </c>
    </row>
    <row r="528">
      <c r="A528" s="3">
        <f>IFERROR(__xludf.DUMMYFUNCTION("""COMPUTED_VALUE"""),40875.99861111111)</f>
        <v>40875.99861</v>
      </c>
      <c r="B528" s="1">
        <f>IFERROR(__xludf.DUMMYFUNCTION("""COMPUTED_VALUE"""),2480.99824)</f>
        <v>2480.99824</v>
      </c>
    </row>
    <row r="529">
      <c r="A529" s="3">
        <f>IFERROR(__xludf.DUMMYFUNCTION("""COMPUTED_VALUE"""),40876.99861111111)</f>
        <v>40876.99861</v>
      </c>
      <c r="B529" s="1">
        <f>IFERROR(__xludf.DUMMYFUNCTION("""COMPUTED_VALUE"""),2482.691305)</f>
        <v>2482.691305</v>
      </c>
    </row>
    <row r="530">
      <c r="A530" s="3">
        <f>IFERROR(__xludf.DUMMYFUNCTION("""COMPUTED_VALUE"""),40877.99861111111)</f>
        <v>40877.99861</v>
      </c>
      <c r="B530" s="1">
        <f>IFERROR(__xludf.DUMMYFUNCTION("""COMPUTED_VALUE"""),2470.496206)</f>
        <v>2470.496206</v>
      </c>
    </row>
    <row r="531">
      <c r="A531" s="3">
        <f>IFERROR(__xludf.DUMMYFUNCTION("""COMPUTED_VALUE"""),40878.99861111111)</f>
        <v>40878.99861</v>
      </c>
      <c r="B531" s="1">
        <f>IFERROR(__xludf.DUMMYFUNCTION("""COMPUTED_VALUE"""),2448.875137)</f>
        <v>2448.875137</v>
      </c>
    </row>
    <row r="532">
      <c r="A532" s="3">
        <f>IFERROR(__xludf.DUMMYFUNCTION("""COMPUTED_VALUE"""),40879.99861111111)</f>
        <v>40879.99861</v>
      </c>
      <c r="B532" s="1">
        <f>IFERROR(__xludf.DUMMYFUNCTION("""COMPUTED_VALUE"""),2454.33375)</f>
        <v>2454.33375</v>
      </c>
    </row>
    <row r="533">
      <c r="A533" s="3">
        <f>IFERROR(__xludf.DUMMYFUNCTION("""COMPUTED_VALUE"""),40881.99861111111)</f>
        <v>40881.99861</v>
      </c>
      <c r="B533" s="1">
        <f>IFERROR(__xludf.DUMMYFUNCTION("""COMPUTED_VALUE"""),2453.689091)</f>
        <v>2453.689091</v>
      </c>
    </row>
    <row r="534">
      <c r="A534" s="3">
        <f>IFERROR(__xludf.DUMMYFUNCTION("""COMPUTED_VALUE"""),40882.99861111111)</f>
        <v>40882.99861</v>
      </c>
      <c r="B534" s="1">
        <f>IFERROR(__xludf.DUMMYFUNCTION("""COMPUTED_VALUE"""),2454.76935)</f>
        <v>2454.76935</v>
      </c>
    </row>
    <row r="535">
      <c r="A535" s="3">
        <f>IFERROR(__xludf.DUMMYFUNCTION("""COMPUTED_VALUE"""),40883.99861111111)</f>
        <v>40883.99861</v>
      </c>
      <c r="B535" s="1">
        <f>IFERROR(__xludf.DUMMYFUNCTION("""COMPUTED_VALUE"""),2459.584438)</f>
        <v>2459.584438</v>
      </c>
    </row>
    <row r="536">
      <c r="A536" s="3">
        <f>IFERROR(__xludf.DUMMYFUNCTION("""COMPUTED_VALUE"""),40884.99861111111)</f>
        <v>40884.99861</v>
      </c>
      <c r="B536" s="1">
        <f>IFERROR(__xludf.DUMMYFUNCTION("""COMPUTED_VALUE"""),2457.70965)</f>
        <v>2457.70965</v>
      </c>
    </row>
    <row r="537">
      <c r="A537" s="3">
        <f>IFERROR(__xludf.DUMMYFUNCTION("""COMPUTED_VALUE"""),40885.99861111111)</f>
        <v>40885.99861</v>
      </c>
      <c r="B537" s="1">
        <f>IFERROR(__xludf.DUMMYFUNCTION("""COMPUTED_VALUE"""),2448.875137)</f>
        <v>2448.875137</v>
      </c>
    </row>
    <row r="538">
      <c r="A538" s="3">
        <f>IFERROR(__xludf.DUMMYFUNCTION("""COMPUTED_VALUE"""),40886.99861111111)</f>
        <v>40886.99861</v>
      </c>
      <c r="B538" s="1">
        <f>IFERROR(__xludf.DUMMYFUNCTION("""COMPUTED_VALUE"""),2463.8625)</f>
        <v>2463.8625</v>
      </c>
    </row>
    <row r="539">
      <c r="A539" s="3">
        <f>IFERROR(__xludf.DUMMYFUNCTION("""COMPUTED_VALUE"""),40887.99861111111)</f>
        <v>40887.99861</v>
      </c>
      <c r="B539" s="1">
        <f>IFERROR(__xludf.DUMMYFUNCTION("""COMPUTED_VALUE"""),2423.109668)</f>
        <v>2423.109668</v>
      </c>
    </row>
    <row r="540">
      <c r="A540" s="3">
        <f>IFERROR(__xludf.DUMMYFUNCTION("""COMPUTED_VALUE"""),40889.99861111111)</f>
        <v>40889.99861</v>
      </c>
      <c r="B540" s="1">
        <f>IFERROR(__xludf.DUMMYFUNCTION("""COMPUTED_VALUE"""),2463.848887)</f>
        <v>2463.848887</v>
      </c>
    </row>
    <row r="541">
      <c r="A541" s="3">
        <f>IFERROR(__xludf.DUMMYFUNCTION("""COMPUTED_VALUE"""),40890.99861111111)</f>
        <v>40890.99861</v>
      </c>
      <c r="B541" s="1">
        <f>IFERROR(__xludf.DUMMYFUNCTION("""COMPUTED_VALUE"""),2480.769225)</f>
        <v>2480.769225</v>
      </c>
    </row>
    <row r="542">
      <c r="A542" s="3">
        <f>IFERROR(__xludf.DUMMYFUNCTION("""COMPUTED_VALUE"""),40891.99861111111)</f>
        <v>40891.99861</v>
      </c>
      <c r="B542" s="1">
        <f>IFERROR(__xludf.DUMMYFUNCTION("""COMPUTED_VALUE"""),2477.475)</f>
        <v>2477.475</v>
      </c>
    </row>
    <row r="543">
      <c r="A543" s="3">
        <f>IFERROR(__xludf.DUMMYFUNCTION("""COMPUTED_VALUE"""),40892.99861111111)</f>
        <v>40892.99861</v>
      </c>
      <c r="B543" s="1">
        <f>IFERROR(__xludf.DUMMYFUNCTION("""COMPUTED_VALUE"""),2474.738887)</f>
        <v>2474.738887</v>
      </c>
    </row>
    <row r="544">
      <c r="A544" s="3">
        <f>IFERROR(__xludf.DUMMYFUNCTION("""COMPUTED_VALUE"""),40893.99861111111)</f>
        <v>40893.99861</v>
      </c>
      <c r="B544" s="1">
        <f>IFERROR(__xludf.DUMMYFUNCTION("""COMPUTED_VALUE"""),2469.9609)</f>
        <v>2469.9609</v>
      </c>
    </row>
    <row r="545">
      <c r="A545" s="3">
        <f>IFERROR(__xludf.DUMMYFUNCTION("""COMPUTED_VALUE"""),40895.99861111111)</f>
        <v>40895.99861</v>
      </c>
      <c r="B545" s="1">
        <f>IFERROR(__xludf.DUMMYFUNCTION("""COMPUTED_VALUE"""),2454.11097)</f>
        <v>2454.11097</v>
      </c>
    </row>
    <row r="546">
      <c r="A546" s="3">
        <f>IFERROR(__xludf.DUMMYFUNCTION("""COMPUTED_VALUE"""),40896.99861111111)</f>
        <v>40896.99861</v>
      </c>
      <c r="B546" s="1">
        <f>IFERROR(__xludf.DUMMYFUNCTION("""COMPUTED_VALUE"""),2481.277032)</f>
        <v>2481.277032</v>
      </c>
    </row>
    <row r="547">
      <c r="A547" s="3">
        <f>IFERROR(__xludf.DUMMYFUNCTION("""COMPUTED_VALUE"""),40897.99861111111)</f>
        <v>40897.99861</v>
      </c>
      <c r="B547" s="1">
        <f>IFERROR(__xludf.DUMMYFUNCTION("""COMPUTED_VALUE"""),2463.2091)</f>
        <v>2463.2091</v>
      </c>
    </row>
    <row r="548">
      <c r="A548" s="3">
        <f>IFERROR(__xludf.DUMMYFUNCTION("""COMPUTED_VALUE"""),40898.99861111111)</f>
        <v>40898.99861</v>
      </c>
      <c r="B548" s="1">
        <f>IFERROR(__xludf.DUMMYFUNCTION("""COMPUTED_VALUE"""),2461.45983)</f>
        <v>2461.45983</v>
      </c>
    </row>
    <row r="549">
      <c r="A549" s="3">
        <f>IFERROR(__xludf.DUMMYFUNCTION("""COMPUTED_VALUE"""),40899.99861111111)</f>
        <v>40899.99861</v>
      </c>
      <c r="B549" s="1">
        <f>IFERROR(__xludf.DUMMYFUNCTION("""COMPUTED_VALUE"""),2487.412125)</f>
        <v>2487.412125</v>
      </c>
    </row>
    <row r="550">
      <c r="A550" s="3">
        <f>IFERROR(__xludf.DUMMYFUNCTION("""COMPUTED_VALUE"""),40900.99861111111)</f>
        <v>40900.99861</v>
      </c>
      <c r="B550" s="1">
        <f>IFERROR(__xludf.DUMMYFUNCTION("""COMPUTED_VALUE"""),2461.14)</f>
        <v>2461.14</v>
      </c>
    </row>
    <row r="551">
      <c r="A551" s="3">
        <f>IFERROR(__xludf.DUMMYFUNCTION("""COMPUTED_VALUE"""),40901.99861111111)</f>
        <v>40901.99861</v>
      </c>
      <c r="B551" s="1">
        <f>IFERROR(__xludf.DUMMYFUNCTION("""COMPUTED_VALUE"""),2459.981328)</f>
        <v>2459.981328</v>
      </c>
    </row>
    <row r="552">
      <c r="A552" s="3">
        <f>IFERROR(__xludf.DUMMYFUNCTION("""COMPUTED_VALUE"""),40903.99861111111)</f>
        <v>40903.99861</v>
      </c>
      <c r="B552" s="1">
        <f>IFERROR(__xludf.DUMMYFUNCTION("""COMPUTED_VALUE"""),2475.602884)</f>
        <v>2475.602884</v>
      </c>
    </row>
    <row r="553">
      <c r="A553" s="3">
        <f>IFERROR(__xludf.DUMMYFUNCTION("""COMPUTED_VALUE"""),40904.99861111111)</f>
        <v>40904.99861</v>
      </c>
      <c r="B553" s="1">
        <f>IFERROR(__xludf.DUMMYFUNCTION("""COMPUTED_VALUE"""),2466.94826)</f>
        <v>2466.94826</v>
      </c>
    </row>
    <row r="554">
      <c r="A554" s="3">
        <f>IFERROR(__xludf.DUMMYFUNCTION("""COMPUTED_VALUE"""),40905.99861111111)</f>
        <v>40905.99861</v>
      </c>
      <c r="B554" s="1">
        <f>IFERROR(__xludf.DUMMYFUNCTION("""COMPUTED_VALUE"""),2462.3379)</f>
        <v>2462.3379</v>
      </c>
    </row>
    <row r="555">
      <c r="A555" s="3">
        <f>IFERROR(__xludf.DUMMYFUNCTION("""COMPUTED_VALUE"""),40906.99861111111)</f>
        <v>40906.99861</v>
      </c>
      <c r="B555" s="1">
        <f>IFERROR(__xludf.DUMMYFUNCTION("""COMPUTED_VALUE"""),2410.542204)</f>
        <v>2410.542204</v>
      </c>
    </row>
    <row r="556">
      <c r="A556" s="3">
        <f>IFERROR(__xludf.DUMMYFUNCTION("""COMPUTED_VALUE"""),40907.99861111111)</f>
        <v>40907.99861</v>
      </c>
      <c r="B556" s="1">
        <f>IFERROR(__xludf.DUMMYFUNCTION("""COMPUTED_VALUE"""),2466.4038)</f>
        <v>2466.4038</v>
      </c>
    </row>
    <row r="557">
      <c r="A557" s="3">
        <f>IFERROR(__xludf.DUMMYFUNCTION("""COMPUTED_VALUE"""),40908.99861111111)</f>
        <v>40908.99861</v>
      </c>
      <c r="B557" s="1">
        <f>IFERROR(__xludf.DUMMYFUNCTION("""COMPUTED_VALUE"""),2464.68045)</f>
        <v>2464.68045</v>
      </c>
    </row>
    <row r="558">
      <c r="A558" s="3">
        <f>IFERROR(__xludf.DUMMYFUNCTION("""COMPUTED_VALUE"""),40910.99861111111)</f>
        <v>40910.99861</v>
      </c>
      <c r="B558" s="1">
        <f>IFERROR(__xludf.DUMMYFUNCTION("""COMPUTED_VALUE"""),2423.436284)</f>
        <v>2423.436284</v>
      </c>
    </row>
    <row r="559">
      <c r="A559" s="3">
        <f>IFERROR(__xludf.DUMMYFUNCTION("""COMPUTED_VALUE"""),40911.99861111111)</f>
        <v>40911.99861</v>
      </c>
      <c r="B559" s="1">
        <f>IFERROR(__xludf.DUMMYFUNCTION("""COMPUTED_VALUE"""),2481.6499)</f>
        <v>2481.6499</v>
      </c>
    </row>
    <row r="560">
      <c r="A560" s="3">
        <f>IFERROR(__xludf.DUMMYFUNCTION("""COMPUTED_VALUE"""),40912.99861111111)</f>
        <v>40912.99861</v>
      </c>
      <c r="B560" s="1">
        <f>IFERROR(__xludf.DUMMYFUNCTION("""COMPUTED_VALUE"""),2481.77655)</f>
        <v>2481.77655</v>
      </c>
    </row>
    <row r="561">
      <c r="A561" s="3">
        <f>IFERROR(__xludf.DUMMYFUNCTION("""COMPUTED_VALUE"""),40913.99861111111)</f>
        <v>40913.99861</v>
      </c>
      <c r="B561" s="1">
        <f>IFERROR(__xludf.DUMMYFUNCTION("""COMPUTED_VALUE"""),2480.1975)</f>
        <v>2480.1975</v>
      </c>
    </row>
    <row r="562">
      <c r="A562" s="3">
        <f>IFERROR(__xludf.DUMMYFUNCTION("""COMPUTED_VALUE"""),40914.99861111111)</f>
        <v>40914.99861</v>
      </c>
      <c r="B562" s="1">
        <f>IFERROR(__xludf.DUMMYFUNCTION("""COMPUTED_VALUE"""),2474.7525)</f>
        <v>2474.7525</v>
      </c>
    </row>
    <row r="563">
      <c r="A563" s="3">
        <f>IFERROR(__xludf.DUMMYFUNCTION("""COMPUTED_VALUE"""),40915.99861111111)</f>
        <v>40915.99861</v>
      </c>
      <c r="B563" s="1">
        <f>IFERROR(__xludf.DUMMYFUNCTION("""COMPUTED_VALUE"""),2465.515312)</f>
        <v>2465.515312</v>
      </c>
    </row>
    <row r="564">
      <c r="A564" s="3">
        <f>IFERROR(__xludf.DUMMYFUNCTION("""COMPUTED_VALUE"""),40917.99861111111)</f>
        <v>40917.99861</v>
      </c>
      <c r="B564" s="1">
        <f>IFERROR(__xludf.DUMMYFUNCTION("""COMPUTED_VALUE"""),2489.9985)</f>
        <v>2489.9985</v>
      </c>
    </row>
    <row r="565">
      <c r="A565" s="3">
        <f>IFERROR(__xludf.DUMMYFUNCTION("""COMPUTED_VALUE"""),40918.99861111111)</f>
        <v>40918.99861</v>
      </c>
      <c r="B565" s="1">
        <f>IFERROR(__xludf.DUMMYFUNCTION("""COMPUTED_VALUE"""),2489.72625)</f>
        <v>2489.72625</v>
      </c>
    </row>
    <row r="566">
      <c r="A566" s="3">
        <f>IFERROR(__xludf.DUMMYFUNCTION("""COMPUTED_VALUE"""),40919.99861111111)</f>
        <v>40919.99861</v>
      </c>
      <c r="B566" s="1">
        <f>IFERROR(__xludf.DUMMYFUNCTION("""COMPUTED_VALUE"""),2501.9775)</f>
        <v>2501.9775</v>
      </c>
    </row>
    <row r="567">
      <c r="A567" s="3">
        <f>IFERROR(__xludf.DUMMYFUNCTION("""COMPUTED_VALUE"""),40920.99861111111)</f>
        <v>40920.99861</v>
      </c>
      <c r="B567" s="1">
        <f>IFERROR(__xludf.DUMMYFUNCTION("""COMPUTED_VALUE"""),2491.0875)</f>
        <v>2491.0875</v>
      </c>
    </row>
    <row r="568">
      <c r="A568" s="3">
        <f>IFERROR(__xludf.DUMMYFUNCTION("""COMPUTED_VALUE"""),40921.99861111111)</f>
        <v>40921.99861</v>
      </c>
      <c r="B568" s="1">
        <f>IFERROR(__xludf.DUMMYFUNCTION("""COMPUTED_VALUE"""),2471.4855)</f>
        <v>2471.4855</v>
      </c>
    </row>
    <row r="569">
      <c r="A569" s="3">
        <f>IFERROR(__xludf.DUMMYFUNCTION("""COMPUTED_VALUE"""),40922.99861111111)</f>
        <v>40922.99861</v>
      </c>
      <c r="B569" s="1">
        <f>IFERROR(__xludf.DUMMYFUNCTION("""COMPUTED_VALUE"""),2464.018322)</f>
        <v>2464.018322</v>
      </c>
    </row>
    <row r="570">
      <c r="A570" s="3">
        <f>IFERROR(__xludf.DUMMYFUNCTION("""COMPUTED_VALUE"""),40924.99861111111)</f>
        <v>40924.99861</v>
      </c>
      <c r="B570" s="1">
        <f>IFERROR(__xludf.DUMMYFUNCTION("""COMPUTED_VALUE"""),2476.810782)</f>
        <v>2476.810782</v>
      </c>
    </row>
    <row r="571">
      <c r="A571" s="3">
        <f>IFERROR(__xludf.DUMMYFUNCTION("""COMPUTED_VALUE"""),40925.99861111111)</f>
        <v>40925.99861</v>
      </c>
      <c r="B571" s="1">
        <f>IFERROR(__xludf.DUMMYFUNCTION("""COMPUTED_VALUE"""),2469.3075)</f>
        <v>2469.3075</v>
      </c>
    </row>
    <row r="572">
      <c r="A572" s="3">
        <f>IFERROR(__xludf.DUMMYFUNCTION("""COMPUTED_VALUE"""),40926.99861111111)</f>
        <v>40926.99861</v>
      </c>
      <c r="B572" s="1">
        <f>IFERROR(__xludf.DUMMYFUNCTION("""COMPUTED_VALUE"""),2452.455225)</f>
        <v>2452.455225</v>
      </c>
    </row>
    <row r="573">
      <c r="A573" s="3">
        <f>IFERROR(__xludf.DUMMYFUNCTION("""COMPUTED_VALUE"""),40927.99861111111)</f>
        <v>40927.99861</v>
      </c>
      <c r="B573" s="1">
        <f>IFERROR(__xludf.DUMMYFUNCTION("""COMPUTED_VALUE"""),2434.6501)</f>
        <v>2434.6501</v>
      </c>
    </row>
    <row r="574">
      <c r="A574" s="3">
        <f>IFERROR(__xludf.DUMMYFUNCTION("""COMPUTED_VALUE"""),40928.99861111111)</f>
        <v>40928.99861</v>
      </c>
      <c r="B574" s="1">
        <f>IFERROR(__xludf.DUMMYFUNCTION("""COMPUTED_VALUE"""),2434.4595)</f>
        <v>2434.4595</v>
      </c>
    </row>
    <row r="575">
      <c r="A575" s="3">
        <f>IFERROR(__xludf.DUMMYFUNCTION("""COMPUTED_VALUE"""),40929.99861111111)</f>
        <v>40929.99861</v>
      </c>
      <c r="B575" s="1">
        <f>IFERROR(__xludf.DUMMYFUNCTION("""COMPUTED_VALUE"""),2427.8456)</f>
        <v>2427.8456</v>
      </c>
    </row>
    <row r="576">
      <c r="A576" s="3">
        <f>IFERROR(__xludf.DUMMYFUNCTION("""COMPUTED_VALUE"""),40931.99861111111)</f>
        <v>40931.99861</v>
      </c>
      <c r="B576" s="1">
        <f>IFERROR(__xludf.DUMMYFUNCTION("""COMPUTED_VALUE"""),2428.47)</f>
        <v>2428.47</v>
      </c>
    </row>
    <row r="577">
      <c r="A577" s="3">
        <f>IFERROR(__xludf.DUMMYFUNCTION("""COMPUTED_VALUE"""),40932.99861111111)</f>
        <v>40932.99861</v>
      </c>
      <c r="B577" s="1">
        <f>IFERROR(__xludf.DUMMYFUNCTION("""COMPUTED_VALUE"""),2438.8155)</f>
        <v>2438.8155</v>
      </c>
    </row>
    <row r="578">
      <c r="A578" s="3">
        <f>IFERROR(__xludf.DUMMYFUNCTION("""COMPUTED_VALUE"""),40933.99861111111)</f>
        <v>40933.99861</v>
      </c>
      <c r="B578" s="1">
        <f>IFERROR(__xludf.DUMMYFUNCTION("""COMPUTED_VALUE"""),2464.02585)</f>
        <v>2464.02585</v>
      </c>
    </row>
    <row r="579">
      <c r="A579" s="3">
        <f>IFERROR(__xludf.DUMMYFUNCTION("""COMPUTED_VALUE"""),40934.99861111111)</f>
        <v>40934.99861</v>
      </c>
      <c r="B579" s="1">
        <f>IFERROR(__xludf.DUMMYFUNCTION("""COMPUTED_VALUE"""),2443.054536)</f>
        <v>2443.054536</v>
      </c>
    </row>
    <row r="580">
      <c r="A580" s="3">
        <f>IFERROR(__xludf.DUMMYFUNCTION("""COMPUTED_VALUE"""),40935.99861111111)</f>
        <v>40935.99861</v>
      </c>
      <c r="B580" s="1">
        <f>IFERROR(__xludf.DUMMYFUNCTION("""COMPUTED_VALUE"""),2444.069925)</f>
        <v>2444.069925</v>
      </c>
    </row>
    <row r="581">
      <c r="A581" s="3">
        <f>IFERROR(__xludf.DUMMYFUNCTION("""COMPUTED_VALUE"""),40936.99861111111)</f>
        <v>40936.99861</v>
      </c>
      <c r="B581" s="1">
        <f>IFERROR(__xludf.DUMMYFUNCTION("""COMPUTED_VALUE"""),2436.55536)</f>
        <v>2436.55536</v>
      </c>
    </row>
    <row r="582">
      <c r="A582" s="3">
        <f>IFERROR(__xludf.DUMMYFUNCTION("""COMPUTED_VALUE"""),40938.99861111111)</f>
        <v>40938.99861</v>
      </c>
      <c r="B582" s="1">
        <f>IFERROR(__xludf.DUMMYFUNCTION("""COMPUTED_VALUE"""),2441.99896)</f>
        <v>2441.99896</v>
      </c>
    </row>
    <row r="583">
      <c r="A583" s="3">
        <f>IFERROR(__xludf.DUMMYFUNCTION("""COMPUTED_VALUE"""),40939.99861111111)</f>
        <v>40939.99861</v>
      </c>
      <c r="B583" s="1">
        <f>IFERROR(__xludf.DUMMYFUNCTION("""COMPUTED_VALUE"""),2445.232456)</f>
        <v>2445.232456</v>
      </c>
    </row>
    <row r="584">
      <c r="A584" s="3">
        <f>IFERROR(__xludf.DUMMYFUNCTION("""COMPUTED_VALUE"""),40940.99861111111)</f>
        <v>40940.99861</v>
      </c>
      <c r="B584" s="1">
        <f>IFERROR(__xludf.DUMMYFUNCTION("""COMPUTED_VALUE"""),2444.805)</f>
        <v>2444.805</v>
      </c>
    </row>
    <row r="585">
      <c r="A585" s="3">
        <f>IFERROR(__xludf.DUMMYFUNCTION("""COMPUTED_VALUE"""),40941.99861111111)</f>
        <v>40941.99861</v>
      </c>
      <c r="B585" s="1">
        <f>IFERROR(__xludf.DUMMYFUNCTION("""COMPUTED_VALUE"""),2439.0333)</f>
        <v>2439.0333</v>
      </c>
    </row>
    <row r="586">
      <c r="A586" s="3">
        <f>IFERROR(__xludf.DUMMYFUNCTION("""COMPUTED_VALUE"""),40942.99861111111)</f>
        <v>40942.99861</v>
      </c>
      <c r="B586" s="1">
        <f>IFERROR(__xludf.DUMMYFUNCTION("""COMPUTED_VALUE"""),2438.516025)</f>
        <v>2438.516025</v>
      </c>
    </row>
    <row r="587">
      <c r="A587" s="3">
        <f>IFERROR(__xludf.DUMMYFUNCTION("""COMPUTED_VALUE"""),40943.99861111111)</f>
        <v>40943.99861</v>
      </c>
      <c r="B587" s="1">
        <f>IFERROR(__xludf.DUMMYFUNCTION("""COMPUTED_VALUE"""),2430.050258)</f>
        <v>2430.050258</v>
      </c>
    </row>
    <row r="588">
      <c r="A588" s="3">
        <f>IFERROR(__xludf.DUMMYFUNCTION("""COMPUTED_VALUE"""),40945.99861111111)</f>
        <v>40945.99861</v>
      </c>
      <c r="B588" s="1">
        <f>IFERROR(__xludf.DUMMYFUNCTION("""COMPUTED_VALUE"""),2445.26512)</f>
        <v>2445.26512</v>
      </c>
    </row>
    <row r="589">
      <c r="A589" s="3">
        <f>IFERROR(__xludf.DUMMYFUNCTION("""COMPUTED_VALUE"""),40946.99861111111)</f>
        <v>40946.99861</v>
      </c>
      <c r="B589" s="1">
        <f>IFERROR(__xludf.DUMMYFUNCTION("""COMPUTED_VALUE"""),2430.5674)</f>
        <v>2430.5674</v>
      </c>
    </row>
    <row r="590">
      <c r="A590" s="3">
        <f>IFERROR(__xludf.DUMMYFUNCTION("""COMPUTED_VALUE"""),40947.99861111111)</f>
        <v>40947.99861</v>
      </c>
      <c r="B590" s="1">
        <f>IFERROR(__xludf.DUMMYFUNCTION("""COMPUTED_VALUE"""),2409.20127)</f>
        <v>2409.20127</v>
      </c>
    </row>
    <row r="591">
      <c r="A591" s="3">
        <f>IFERROR(__xludf.DUMMYFUNCTION("""COMPUTED_VALUE"""),40948.99861111111)</f>
        <v>40948.99861</v>
      </c>
      <c r="B591" s="1">
        <f>IFERROR(__xludf.DUMMYFUNCTION("""COMPUTED_VALUE"""),2427.8456)</f>
        <v>2427.8456</v>
      </c>
    </row>
    <row r="592">
      <c r="A592" s="3">
        <f>IFERROR(__xludf.DUMMYFUNCTION("""COMPUTED_VALUE"""),40949.99861111111)</f>
        <v>40949.99861</v>
      </c>
      <c r="B592" s="1">
        <f>IFERROR(__xludf.DUMMYFUNCTION("""COMPUTED_VALUE"""),2440.0937)</f>
        <v>2440.0937</v>
      </c>
    </row>
    <row r="593">
      <c r="A593" s="3">
        <f>IFERROR(__xludf.DUMMYFUNCTION("""COMPUTED_VALUE"""),40950.99861111111)</f>
        <v>40950.99861</v>
      </c>
      <c r="B593" s="1">
        <f>IFERROR(__xludf.DUMMYFUNCTION("""COMPUTED_VALUE"""),2440.0937)</f>
        <v>2440.0937</v>
      </c>
    </row>
    <row r="594">
      <c r="A594" s="3">
        <f>IFERROR(__xludf.DUMMYFUNCTION("""COMPUTED_VALUE"""),40951.99861111111)</f>
        <v>40951.99861</v>
      </c>
      <c r="B594" s="1">
        <f>IFERROR(__xludf.DUMMYFUNCTION("""COMPUTED_VALUE"""),2440.0937)</f>
        <v>2440.0937</v>
      </c>
    </row>
    <row r="595">
      <c r="A595" s="3">
        <f>IFERROR(__xludf.DUMMYFUNCTION("""COMPUTED_VALUE"""),40952.99861111111)</f>
        <v>40952.99861</v>
      </c>
      <c r="B595" s="1">
        <f>IFERROR(__xludf.DUMMYFUNCTION("""COMPUTED_VALUE"""),2441.86287)</f>
        <v>2441.86287</v>
      </c>
    </row>
    <row r="596">
      <c r="A596" s="3">
        <f>IFERROR(__xludf.DUMMYFUNCTION("""COMPUTED_VALUE"""),40953.99861111111)</f>
        <v>40953.99861</v>
      </c>
      <c r="B596" s="1">
        <f>IFERROR(__xludf.DUMMYFUNCTION("""COMPUTED_VALUE"""),2449.07564)</f>
        <v>2449.07564</v>
      </c>
    </row>
    <row r="597">
      <c r="A597" s="3">
        <f>IFERROR(__xludf.DUMMYFUNCTION("""COMPUTED_VALUE"""),40954.99861111111)</f>
        <v>40954.99861</v>
      </c>
      <c r="B597" s="1">
        <f>IFERROR(__xludf.DUMMYFUNCTION("""COMPUTED_VALUE"""),2430.5674)</f>
        <v>2430.5674</v>
      </c>
    </row>
    <row r="598">
      <c r="A598" s="3">
        <f>IFERROR(__xludf.DUMMYFUNCTION("""COMPUTED_VALUE"""),40955.99861111111)</f>
        <v>40955.99861</v>
      </c>
      <c r="B598" s="1">
        <f>IFERROR(__xludf.DUMMYFUNCTION("""COMPUTED_VALUE"""),2444.1764)</f>
        <v>2444.1764</v>
      </c>
    </row>
    <row r="599">
      <c r="A599" s="3">
        <f>IFERROR(__xludf.DUMMYFUNCTION("""COMPUTED_VALUE"""),40956.99861111111)</f>
        <v>40956.99861</v>
      </c>
      <c r="B599" s="1">
        <f>IFERROR(__xludf.DUMMYFUNCTION("""COMPUTED_VALUE"""),2450.43654)</f>
        <v>2450.43654</v>
      </c>
    </row>
    <row r="600">
      <c r="A600" s="3">
        <f>IFERROR(__xludf.DUMMYFUNCTION("""COMPUTED_VALUE"""),40957.99861111111)</f>
        <v>40957.99861</v>
      </c>
      <c r="B600" s="1">
        <f>IFERROR(__xludf.DUMMYFUNCTION("""COMPUTED_VALUE"""),2445.047376)</f>
        <v>2445.047376</v>
      </c>
    </row>
    <row r="601">
      <c r="A601" s="3">
        <f>IFERROR(__xludf.DUMMYFUNCTION("""COMPUTED_VALUE"""),40958.99861111111)</f>
        <v>40958.99861</v>
      </c>
      <c r="B601" s="1">
        <f>IFERROR(__xludf.DUMMYFUNCTION("""COMPUTED_VALUE"""),2445.047376)</f>
        <v>2445.047376</v>
      </c>
    </row>
    <row r="602">
      <c r="A602" s="3">
        <f>IFERROR(__xludf.DUMMYFUNCTION("""COMPUTED_VALUE"""),40959.99861111111)</f>
        <v>40959.99861</v>
      </c>
      <c r="B602" s="1">
        <f>IFERROR(__xludf.DUMMYFUNCTION("""COMPUTED_VALUE"""),2441.890088)</f>
        <v>2441.890088</v>
      </c>
    </row>
    <row r="603">
      <c r="A603" s="3">
        <f>IFERROR(__xludf.DUMMYFUNCTION("""COMPUTED_VALUE"""),40960.99861111111)</f>
        <v>40960.99861</v>
      </c>
      <c r="B603" s="1">
        <f>IFERROR(__xludf.DUMMYFUNCTION("""COMPUTED_VALUE"""),2457.7854)</f>
        <v>2457.7854</v>
      </c>
    </row>
    <row r="604">
      <c r="A604" s="3">
        <f>IFERROR(__xludf.DUMMYFUNCTION("""COMPUTED_VALUE"""),40961.99861111111)</f>
        <v>40961.99861</v>
      </c>
      <c r="B604" s="1">
        <f>IFERROR(__xludf.DUMMYFUNCTION("""COMPUTED_VALUE"""),2460.5072)</f>
        <v>2460.5072</v>
      </c>
    </row>
    <row r="605">
      <c r="A605" s="3">
        <f>IFERROR(__xludf.DUMMYFUNCTION("""COMPUTED_VALUE"""),40962.99861111111)</f>
        <v>40962.99861</v>
      </c>
      <c r="B605" s="1">
        <f>IFERROR(__xludf.DUMMYFUNCTION("""COMPUTED_VALUE"""),2460.5072)</f>
        <v>2460.5072</v>
      </c>
    </row>
    <row r="606">
      <c r="A606" s="3">
        <f>IFERROR(__xludf.DUMMYFUNCTION("""COMPUTED_VALUE"""),40963.99861111111)</f>
        <v>40963.99861</v>
      </c>
      <c r="B606" s="1">
        <f>IFERROR(__xludf.DUMMYFUNCTION("""COMPUTED_VALUE"""),2460.5072)</f>
        <v>2460.5072</v>
      </c>
    </row>
    <row r="607">
      <c r="A607" s="3">
        <f>IFERROR(__xludf.DUMMYFUNCTION("""COMPUTED_VALUE"""),40964.99861111111)</f>
        <v>40964.99861</v>
      </c>
      <c r="B607" s="1">
        <f>IFERROR(__xludf.DUMMYFUNCTION("""COMPUTED_VALUE"""),2455.308562)</f>
        <v>2455.308562</v>
      </c>
    </row>
    <row r="608">
      <c r="A608" s="3">
        <f>IFERROR(__xludf.DUMMYFUNCTION("""COMPUTED_VALUE"""),40966.99861111111)</f>
        <v>40966.99861</v>
      </c>
      <c r="B608" s="1">
        <f>IFERROR(__xludf.DUMMYFUNCTION("""COMPUTED_VALUE"""),2478.1989)</f>
        <v>2478.1989</v>
      </c>
    </row>
    <row r="609">
      <c r="A609" s="3">
        <f>IFERROR(__xludf.DUMMYFUNCTION("""COMPUTED_VALUE"""),40967.99861111111)</f>
        <v>40967.99861</v>
      </c>
      <c r="B609" s="1">
        <f>IFERROR(__xludf.DUMMYFUNCTION("""COMPUTED_VALUE"""),2450.9809)</f>
        <v>2450.9809</v>
      </c>
    </row>
    <row r="610">
      <c r="A610" s="3">
        <f>IFERROR(__xludf.DUMMYFUNCTION("""COMPUTED_VALUE"""),40968.99861111111)</f>
        <v>40968.99861</v>
      </c>
      <c r="B610" s="1">
        <f>IFERROR(__xludf.DUMMYFUNCTION("""COMPUTED_VALUE"""),2452.3418)</f>
        <v>2452.3418</v>
      </c>
    </row>
    <row r="611">
      <c r="A611" s="3">
        <f>IFERROR(__xludf.DUMMYFUNCTION("""COMPUTED_VALUE"""),40969.99861111111)</f>
        <v>40969.99861</v>
      </c>
      <c r="B611" s="1">
        <f>IFERROR(__xludf.DUMMYFUNCTION("""COMPUTED_VALUE"""),2464.5899)</f>
        <v>2464.5899</v>
      </c>
    </row>
    <row r="612">
      <c r="A612" s="3">
        <f>IFERROR(__xludf.DUMMYFUNCTION("""COMPUTED_VALUE"""),40970.99861111111)</f>
        <v>40970.99861</v>
      </c>
      <c r="B612" s="1">
        <f>IFERROR(__xludf.DUMMYFUNCTION("""COMPUTED_VALUE"""),2464.5899)</f>
        <v>2464.5899</v>
      </c>
    </row>
    <row r="613">
      <c r="A613" s="3">
        <f>IFERROR(__xludf.DUMMYFUNCTION("""COMPUTED_VALUE"""),40971.99861111111)</f>
        <v>40971.99861</v>
      </c>
      <c r="B613" s="1">
        <f>IFERROR(__xludf.DUMMYFUNCTION("""COMPUTED_VALUE"""),2464.5899)</f>
        <v>2464.5899</v>
      </c>
    </row>
    <row r="614">
      <c r="A614" s="3">
        <f>IFERROR(__xludf.DUMMYFUNCTION("""COMPUTED_VALUE"""),40972.99861111111)</f>
        <v>40972.99861</v>
      </c>
      <c r="B614" s="1">
        <f>IFERROR(__xludf.DUMMYFUNCTION("""COMPUTED_VALUE"""),2464.5899)</f>
        <v>2464.5899</v>
      </c>
    </row>
    <row r="615">
      <c r="A615" s="3">
        <f>IFERROR(__xludf.DUMMYFUNCTION("""COMPUTED_VALUE"""),40973.99861111111)</f>
        <v>40973.99861</v>
      </c>
      <c r="B615" s="1">
        <f>IFERROR(__xludf.DUMMYFUNCTION("""COMPUTED_VALUE"""),2480.37634)</f>
        <v>2480.37634</v>
      </c>
    </row>
    <row r="616">
      <c r="A616" s="3">
        <f>IFERROR(__xludf.DUMMYFUNCTION("""COMPUTED_VALUE"""),40974.99861111111)</f>
        <v>40974.99861</v>
      </c>
      <c r="B616" s="1">
        <f>IFERROR(__xludf.DUMMYFUNCTION("""COMPUTED_VALUE"""),2480.9207)</f>
        <v>2480.9207</v>
      </c>
    </row>
    <row r="617">
      <c r="A617" s="3">
        <f>IFERROR(__xludf.DUMMYFUNCTION("""COMPUTED_VALUE"""),40975.99861111111)</f>
        <v>40975.99861</v>
      </c>
      <c r="B617" s="1">
        <f>IFERROR(__xludf.DUMMYFUNCTION("""COMPUTED_VALUE"""),2472.7553)</f>
        <v>2472.7553</v>
      </c>
    </row>
    <row r="618">
      <c r="A618" s="3">
        <f>IFERROR(__xludf.DUMMYFUNCTION("""COMPUTED_VALUE"""),40976.99861111111)</f>
        <v>40976.99861</v>
      </c>
      <c r="B618" s="1">
        <f>IFERROR(__xludf.DUMMYFUNCTION("""COMPUTED_VALUE"""),2478.1989)</f>
        <v>2478.1989</v>
      </c>
    </row>
    <row r="619">
      <c r="A619" s="3">
        <f>IFERROR(__xludf.DUMMYFUNCTION("""COMPUTED_VALUE"""),40977.99861111111)</f>
        <v>40977.99861</v>
      </c>
      <c r="B619" s="1">
        <f>IFERROR(__xludf.DUMMYFUNCTION("""COMPUTED_VALUE"""),2478.1989)</f>
        <v>2478.1989</v>
      </c>
    </row>
    <row r="620">
      <c r="A620" s="3">
        <f>IFERROR(__xludf.DUMMYFUNCTION("""COMPUTED_VALUE"""),40980.99861111111)</f>
        <v>40980.99861</v>
      </c>
      <c r="B620" s="1">
        <f>IFERROR(__xludf.DUMMYFUNCTION("""COMPUTED_VALUE"""),2485.81994)</f>
        <v>2485.81994</v>
      </c>
    </row>
    <row r="621">
      <c r="A621" s="3">
        <f>IFERROR(__xludf.DUMMYFUNCTION("""COMPUTED_VALUE"""),40981.99861111111)</f>
        <v>40981.99861</v>
      </c>
      <c r="B621" s="1">
        <f>IFERROR(__xludf.DUMMYFUNCTION("""COMPUTED_VALUE"""),2485.81994)</f>
        <v>2485.81994</v>
      </c>
    </row>
    <row r="622">
      <c r="A622" s="3">
        <f>IFERROR(__xludf.DUMMYFUNCTION("""COMPUTED_VALUE"""),40982.99861111111)</f>
        <v>40982.99861</v>
      </c>
      <c r="B622" s="1">
        <f>IFERROR(__xludf.DUMMYFUNCTION("""COMPUTED_VALUE"""),2493.98534)</f>
        <v>2493.98534</v>
      </c>
    </row>
    <row r="623">
      <c r="A623" s="3">
        <f>IFERROR(__xludf.DUMMYFUNCTION("""COMPUTED_VALUE"""),40983.99861111111)</f>
        <v>40983.99861</v>
      </c>
      <c r="B623" s="1">
        <f>IFERROR(__xludf.DUMMYFUNCTION("""COMPUTED_VALUE"""),2493.98534)</f>
        <v>2493.98534</v>
      </c>
    </row>
    <row r="624">
      <c r="A624" s="3">
        <f>IFERROR(__xludf.DUMMYFUNCTION("""COMPUTED_VALUE"""),40984.99861111111)</f>
        <v>40984.99861</v>
      </c>
      <c r="B624" s="1">
        <f>IFERROR(__xludf.DUMMYFUNCTION("""COMPUTED_VALUE"""),2476.838)</f>
        <v>2476.838</v>
      </c>
    </row>
    <row r="625">
      <c r="A625" s="3">
        <f>IFERROR(__xludf.DUMMYFUNCTION("""COMPUTED_VALUE"""),40985.99861111111)</f>
        <v>40985.99861</v>
      </c>
      <c r="B625" s="1">
        <f>IFERROR(__xludf.DUMMYFUNCTION("""COMPUTED_VALUE"""),2473.054698)</f>
        <v>2473.054698</v>
      </c>
    </row>
    <row r="626">
      <c r="A626" s="3">
        <f>IFERROR(__xludf.DUMMYFUNCTION("""COMPUTED_VALUE"""),40987.99861111111)</f>
        <v>40987.99861</v>
      </c>
      <c r="B626" s="1">
        <f>IFERROR(__xludf.DUMMYFUNCTION("""COMPUTED_VALUE"""),2480.1975)</f>
        <v>2480.1975</v>
      </c>
    </row>
    <row r="627">
      <c r="A627" s="3">
        <f>IFERROR(__xludf.DUMMYFUNCTION("""COMPUTED_VALUE"""),40988.99861111111)</f>
        <v>40988.99861</v>
      </c>
      <c r="B627" s="1">
        <f>IFERROR(__xludf.DUMMYFUNCTION("""COMPUTED_VALUE"""),2489.0861)</f>
        <v>2489.0861</v>
      </c>
    </row>
    <row r="628">
      <c r="A628" s="3">
        <f>IFERROR(__xludf.DUMMYFUNCTION("""COMPUTED_VALUE"""),40989.99861111111)</f>
        <v>40989.99861</v>
      </c>
      <c r="B628" s="1">
        <f>IFERROR(__xludf.DUMMYFUNCTION("""COMPUTED_VALUE"""),2489.0861)</f>
        <v>2489.0861</v>
      </c>
    </row>
    <row r="629">
      <c r="A629" s="3">
        <f>IFERROR(__xludf.DUMMYFUNCTION("""COMPUTED_VALUE"""),40990.99861111111)</f>
        <v>40990.99861</v>
      </c>
      <c r="B629" s="1">
        <f>IFERROR(__xludf.DUMMYFUNCTION("""COMPUTED_VALUE"""),2510.145)</f>
        <v>2510.145</v>
      </c>
    </row>
    <row r="630">
      <c r="A630" s="3">
        <f>IFERROR(__xludf.DUMMYFUNCTION("""COMPUTED_VALUE"""),40991.99861111111)</f>
        <v>40991.99861</v>
      </c>
      <c r="B630" s="1">
        <f>IFERROR(__xludf.DUMMYFUNCTION("""COMPUTED_VALUE"""),2489.0861)</f>
        <v>2489.0861</v>
      </c>
    </row>
    <row r="631">
      <c r="A631" s="3">
        <f>IFERROR(__xludf.DUMMYFUNCTION("""COMPUTED_VALUE"""),40992.99861111111)</f>
        <v>40992.99861</v>
      </c>
      <c r="B631" s="1">
        <f>IFERROR(__xludf.DUMMYFUNCTION("""COMPUTED_VALUE"""),2437.50799)</f>
        <v>2437.50799</v>
      </c>
    </row>
    <row r="632">
      <c r="A632" s="3">
        <f>IFERROR(__xludf.DUMMYFUNCTION("""COMPUTED_VALUE"""),40994.99861111111)</f>
        <v>40994.99861</v>
      </c>
      <c r="B632" s="1">
        <f>IFERROR(__xludf.DUMMYFUNCTION("""COMPUTED_VALUE"""),2490.447)</f>
        <v>2490.447</v>
      </c>
    </row>
    <row r="633">
      <c r="A633" s="3">
        <f>IFERROR(__xludf.DUMMYFUNCTION("""COMPUTED_VALUE"""),40995.99861111111)</f>
        <v>40995.99861</v>
      </c>
      <c r="B633" s="1">
        <f>IFERROR(__xludf.DUMMYFUNCTION("""COMPUTED_VALUE"""),2491.0875)</f>
        <v>2491.0875</v>
      </c>
    </row>
    <row r="634">
      <c r="A634" s="3">
        <f>IFERROR(__xludf.DUMMYFUNCTION("""COMPUTED_VALUE"""),40996.99861111111)</f>
        <v>40996.99861</v>
      </c>
      <c r="B634" s="1">
        <f>IFERROR(__xludf.DUMMYFUNCTION("""COMPUTED_VALUE"""),2490.447)</f>
        <v>2490.447</v>
      </c>
    </row>
    <row r="635">
      <c r="A635" s="3">
        <f>IFERROR(__xludf.DUMMYFUNCTION("""COMPUTED_VALUE"""),40997.99861111111)</f>
        <v>40997.99861</v>
      </c>
      <c r="B635" s="1">
        <f>IFERROR(__xludf.DUMMYFUNCTION("""COMPUTED_VALUE"""),2490.447)</f>
        <v>2490.447</v>
      </c>
    </row>
    <row r="636">
      <c r="A636" s="3">
        <f>IFERROR(__xludf.DUMMYFUNCTION("""COMPUTED_VALUE"""),40998.99861111111)</f>
        <v>40998.99861</v>
      </c>
      <c r="B636" s="1">
        <f>IFERROR(__xludf.DUMMYFUNCTION("""COMPUTED_VALUE"""),2482.2816)</f>
        <v>2482.2816</v>
      </c>
    </row>
    <row r="637">
      <c r="A637" s="3">
        <f>IFERROR(__xludf.DUMMYFUNCTION("""COMPUTED_VALUE"""),40999.99861111111)</f>
        <v>40999.99861</v>
      </c>
      <c r="B637" s="1">
        <f>IFERROR(__xludf.DUMMYFUNCTION("""COMPUTED_VALUE"""),2480.10416)</f>
        <v>2480.10416</v>
      </c>
    </row>
    <row r="638">
      <c r="A638" s="3">
        <f>IFERROR(__xludf.DUMMYFUNCTION("""COMPUTED_VALUE"""),41001.99861111111)</f>
        <v>41001.99861</v>
      </c>
      <c r="B638" s="1">
        <f>IFERROR(__xludf.DUMMYFUNCTION("""COMPUTED_VALUE"""),2481.82842)</f>
        <v>2481.82842</v>
      </c>
    </row>
    <row r="639">
      <c r="A639" s="3">
        <f>IFERROR(__xludf.DUMMYFUNCTION("""COMPUTED_VALUE"""),41002.99861111111)</f>
        <v>41002.99861</v>
      </c>
      <c r="B639" s="1">
        <f>IFERROR(__xludf.DUMMYFUNCTION("""COMPUTED_VALUE"""),2487.276)</f>
        <v>2487.276</v>
      </c>
    </row>
    <row r="640">
      <c r="A640" s="3">
        <f>IFERROR(__xludf.DUMMYFUNCTION("""COMPUTED_VALUE"""),41003.99861111111)</f>
        <v>41003.99861</v>
      </c>
      <c r="B640" s="1">
        <f>IFERROR(__xludf.DUMMYFUNCTION("""COMPUTED_VALUE"""),2485.81994)</f>
        <v>2485.81994</v>
      </c>
    </row>
    <row r="641">
      <c r="A641" s="3">
        <f>IFERROR(__xludf.DUMMYFUNCTION("""COMPUTED_VALUE"""),41004.99861111111)</f>
        <v>41004.99861</v>
      </c>
      <c r="B641" s="1">
        <f>IFERROR(__xludf.DUMMYFUNCTION("""COMPUTED_VALUE"""),2472.7553)</f>
        <v>2472.7553</v>
      </c>
    </row>
    <row r="642">
      <c r="A642" s="3">
        <f>IFERROR(__xludf.DUMMYFUNCTION("""COMPUTED_VALUE"""),41005.99861111111)</f>
        <v>41005.99861</v>
      </c>
      <c r="B642" s="1">
        <f>IFERROR(__xludf.DUMMYFUNCTION("""COMPUTED_VALUE"""),2504.727225)</f>
        <v>2504.727225</v>
      </c>
    </row>
    <row r="643">
      <c r="A643" s="3">
        <f>IFERROR(__xludf.DUMMYFUNCTION("""COMPUTED_VALUE"""),41006.99861111111)</f>
        <v>41006.99861</v>
      </c>
      <c r="B643" s="1">
        <f>IFERROR(__xludf.DUMMYFUNCTION("""COMPUTED_VALUE"""),2472.700864)</f>
        <v>2472.700864</v>
      </c>
    </row>
    <row r="644">
      <c r="A644" s="3">
        <f>IFERROR(__xludf.DUMMYFUNCTION("""COMPUTED_VALUE"""),41007.99861111111)</f>
        <v>41007.99861</v>
      </c>
      <c r="B644" s="1">
        <f>IFERROR(__xludf.DUMMYFUNCTION("""COMPUTED_VALUE"""),2472.7553)</f>
        <v>2472.7553</v>
      </c>
    </row>
    <row r="645">
      <c r="A645" s="3">
        <f>IFERROR(__xludf.DUMMYFUNCTION("""COMPUTED_VALUE"""),41008.99861111111)</f>
        <v>41008.99861</v>
      </c>
      <c r="B645" s="1">
        <f>IFERROR(__xludf.DUMMYFUNCTION("""COMPUTED_VALUE"""),2491.495875)</f>
        <v>2491.495875</v>
      </c>
    </row>
    <row r="646">
      <c r="A646" s="3">
        <f>IFERROR(__xludf.DUMMYFUNCTION("""COMPUTED_VALUE"""),41009.99861111111)</f>
        <v>41009.99861</v>
      </c>
      <c r="B646" s="1">
        <f>IFERROR(__xludf.DUMMYFUNCTION("""COMPUTED_VALUE"""),2490.17482)</f>
        <v>2490.17482</v>
      </c>
    </row>
    <row r="647">
      <c r="A647" s="3">
        <f>IFERROR(__xludf.DUMMYFUNCTION("""COMPUTED_VALUE"""),41010.99861111111)</f>
        <v>41010.99861</v>
      </c>
      <c r="B647" s="1">
        <f>IFERROR(__xludf.DUMMYFUNCTION("""COMPUTED_VALUE"""),2490.17482)</f>
        <v>2490.17482</v>
      </c>
    </row>
    <row r="648">
      <c r="A648" s="3">
        <f>IFERROR(__xludf.DUMMYFUNCTION("""COMPUTED_VALUE"""),41011.99861111111)</f>
        <v>41011.99861</v>
      </c>
      <c r="B648" s="1">
        <f>IFERROR(__xludf.DUMMYFUNCTION("""COMPUTED_VALUE"""),2490.17482)</f>
        <v>2490.17482</v>
      </c>
    </row>
    <row r="649">
      <c r="A649" s="3">
        <f>IFERROR(__xludf.DUMMYFUNCTION("""COMPUTED_VALUE"""),41012.99861111111)</f>
        <v>41012.99861</v>
      </c>
      <c r="B649" s="1">
        <f>IFERROR(__xludf.DUMMYFUNCTION("""COMPUTED_VALUE"""),2480.9207)</f>
        <v>2480.9207</v>
      </c>
    </row>
    <row r="650">
      <c r="A650" s="3">
        <f>IFERROR(__xludf.DUMMYFUNCTION("""COMPUTED_VALUE"""),41013.99861111111)</f>
        <v>41013.99861</v>
      </c>
      <c r="B650" s="1">
        <f>IFERROR(__xludf.DUMMYFUNCTION("""COMPUTED_VALUE"""),2456.778334)</f>
        <v>2456.778334</v>
      </c>
    </row>
    <row r="651">
      <c r="A651" s="3">
        <f>IFERROR(__xludf.DUMMYFUNCTION("""COMPUTED_VALUE"""),41015.99861111111)</f>
        <v>41015.99861</v>
      </c>
      <c r="B651" s="1">
        <f>IFERROR(__xludf.DUMMYFUNCTION("""COMPUTED_VALUE"""),2491.8079)</f>
        <v>2491.8079</v>
      </c>
    </row>
    <row r="652">
      <c r="A652" s="3">
        <f>IFERROR(__xludf.DUMMYFUNCTION("""COMPUTED_VALUE"""),41016.99861111111)</f>
        <v>41016.99861</v>
      </c>
      <c r="B652" s="1">
        <f>IFERROR(__xludf.DUMMYFUNCTION("""COMPUTED_VALUE"""),2491.8079)</f>
        <v>2491.8079</v>
      </c>
    </row>
    <row r="653">
      <c r="A653" s="3">
        <f>IFERROR(__xludf.DUMMYFUNCTION("""COMPUTED_VALUE"""),41017.99861111111)</f>
        <v>41017.99861</v>
      </c>
      <c r="B653" s="1">
        <f>IFERROR(__xludf.DUMMYFUNCTION("""COMPUTED_VALUE"""),2491.8079)</f>
        <v>2491.8079</v>
      </c>
    </row>
    <row r="654">
      <c r="A654" s="3">
        <f>IFERROR(__xludf.DUMMYFUNCTION("""COMPUTED_VALUE"""),41018.99861111111)</f>
        <v>41018.99861</v>
      </c>
      <c r="B654" s="1">
        <f>IFERROR(__xludf.DUMMYFUNCTION("""COMPUTED_VALUE"""),2491.53572)</f>
        <v>2491.53572</v>
      </c>
    </row>
    <row r="655">
      <c r="A655" s="3">
        <f>IFERROR(__xludf.DUMMYFUNCTION("""COMPUTED_VALUE"""),41019.99861111111)</f>
        <v>41019.99861</v>
      </c>
      <c r="B655" s="1">
        <f>IFERROR(__xludf.DUMMYFUNCTION("""COMPUTED_VALUE"""),2491.53572)</f>
        <v>2491.53572</v>
      </c>
    </row>
    <row r="656">
      <c r="A656" s="3">
        <f>IFERROR(__xludf.DUMMYFUNCTION("""COMPUTED_VALUE"""),41021.99861111111)</f>
        <v>41021.99861</v>
      </c>
      <c r="B656" s="1">
        <f>IFERROR(__xludf.DUMMYFUNCTION("""COMPUTED_VALUE"""),2488.732266)</f>
        <v>2488.732266</v>
      </c>
    </row>
    <row r="657">
      <c r="A657" s="3">
        <f>IFERROR(__xludf.DUMMYFUNCTION("""COMPUTED_VALUE"""),41022.99861111111)</f>
        <v>41022.99861</v>
      </c>
      <c r="B657" s="1">
        <f>IFERROR(__xludf.DUMMYFUNCTION("""COMPUTED_VALUE"""),2493.98534)</f>
        <v>2493.98534</v>
      </c>
    </row>
    <row r="658">
      <c r="A658" s="3">
        <f>IFERROR(__xludf.DUMMYFUNCTION("""COMPUTED_VALUE"""),41023.99861111111)</f>
        <v>41023.99861</v>
      </c>
      <c r="B658" s="1">
        <f>IFERROR(__xludf.DUMMYFUNCTION("""COMPUTED_VALUE"""),2493.98534)</f>
        <v>2493.98534</v>
      </c>
    </row>
    <row r="659">
      <c r="A659" s="3">
        <f>IFERROR(__xludf.DUMMYFUNCTION("""COMPUTED_VALUE"""),41024.99861111111)</f>
        <v>41024.99861</v>
      </c>
      <c r="B659" s="1">
        <f>IFERROR(__xludf.DUMMYFUNCTION("""COMPUTED_VALUE"""),2493.98534)</f>
        <v>2493.98534</v>
      </c>
    </row>
    <row r="660">
      <c r="A660" s="3">
        <f>IFERROR(__xludf.DUMMYFUNCTION("""COMPUTED_VALUE"""),41025.99861111111)</f>
        <v>41025.99861</v>
      </c>
      <c r="B660" s="1">
        <f>IFERROR(__xludf.DUMMYFUNCTION("""COMPUTED_VALUE"""),2492.270606)</f>
        <v>2492.270606</v>
      </c>
    </row>
    <row r="661">
      <c r="A661" s="3">
        <f>IFERROR(__xludf.DUMMYFUNCTION("""COMPUTED_VALUE"""),41026.99861111111)</f>
        <v>41026.99861</v>
      </c>
      <c r="B661" s="1">
        <f>IFERROR(__xludf.DUMMYFUNCTION("""COMPUTED_VALUE"""),2501.599748)</f>
        <v>2501.599748</v>
      </c>
    </row>
    <row r="662">
      <c r="A662" s="3">
        <f>IFERROR(__xludf.DUMMYFUNCTION("""COMPUTED_VALUE"""),41029.99861111111)</f>
        <v>41029.99861</v>
      </c>
      <c r="B662" s="1">
        <f>IFERROR(__xludf.DUMMYFUNCTION("""COMPUTED_VALUE"""),2501.048411)</f>
        <v>2501.048411</v>
      </c>
    </row>
    <row r="663">
      <c r="A663" s="3">
        <f>IFERROR(__xludf.DUMMYFUNCTION("""COMPUTED_VALUE"""),41030.99861111111)</f>
        <v>41030.99861</v>
      </c>
      <c r="B663" s="1">
        <f>IFERROR(__xludf.DUMMYFUNCTION("""COMPUTED_VALUE"""),2499.608925)</f>
        <v>2499.608925</v>
      </c>
    </row>
    <row r="664">
      <c r="A664" s="3">
        <f>IFERROR(__xludf.DUMMYFUNCTION("""COMPUTED_VALUE"""),41031.99861111111)</f>
        <v>41031.99861</v>
      </c>
      <c r="B664" s="1">
        <f>IFERROR(__xludf.DUMMYFUNCTION("""COMPUTED_VALUE"""),2494.5297)</f>
        <v>2494.5297</v>
      </c>
    </row>
    <row r="665">
      <c r="A665" s="3">
        <f>IFERROR(__xludf.DUMMYFUNCTION("""COMPUTED_VALUE"""),41032.99861111111)</f>
        <v>41032.99861</v>
      </c>
      <c r="B665" s="1">
        <f>IFERROR(__xludf.DUMMYFUNCTION("""COMPUTED_VALUE"""),2494.5297)</f>
        <v>2494.5297</v>
      </c>
    </row>
    <row r="666">
      <c r="A666" s="3">
        <f>IFERROR(__xludf.DUMMYFUNCTION("""COMPUTED_VALUE"""),41033.99861111111)</f>
        <v>41033.99861</v>
      </c>
      <c r="B666" s="1">
        <f>IFERROR(__xludf.DUMMYFUNCTION("""COMPUTED_VALUE"""),2501.320591)</f>
        <v>2501.320591</v>
      </c>
    </row>
    <row r="667">
      <c r="A667" s="3">
        <f>IFERROR(__xludf.DUMMYFUNCTION("""COMPUTED_VALUE"""),41035.99861111111)</f>
        <v>41035.99861</v>
      </c>
      <c r="B667" s="1">
        <f>IFERROR(__xludf.DUMMYFUNCTION("""COMPUTED_VALUE"""),2462.575768)</f>
        <v>2462.575768</v>
      </c>
    </row>
    <row r="668">
      <c r="A668" s="3">
        <f>IFERROR(__xludf.DUMMYFUNCTION("""COMPUTED_VALUE"""),41036.99861111111)</f>
        <v>41036.99861</v>
      </c>
      <c r="B668" s="1">
        <f>IFERROR(__xludf.DUMMYFUNCTION("""COMPUTED_VALUE"""),2495.8906)</f>
        <v>2495.8906</v>
      </c>
    </row>
    <row r="669">
      <c r="A669" s="3">
        <f>IFERROR(__xludf.DUMMYFUNCTION("""COMPUTED_VALUE"""),41037.99861111111)</f>
        <v>41037.99861</v>
      </c>
      <c r="B669" s="1">
        <f>IFERROR(__xludf.DUMMYFUNCTION("""COMPUTED_VALUE"""),2494.80188)</f>
        <v>2494.80188</v>
      </c>
    </row>
    <row r="670">
      <c r="A670" s="3">
        <f>IFERROR(__xludf.DUMMYFUNCTION("""COMPUTED_VALUE"""),41038.99861111111)</f>
        <v>41038.99861</v>
      </c>
      <c r="B670" s="1">
        <f>IFERROR(__xludf.DUMMYFUNCTION("""COMPUTED_VALUE"""),2507.59434)</f>
        <v>2507.59434</v>
      </c>
    </row>
    <row r="671">
      <c r="A671" s="3">
        <f>IFERROR(__xludf.DUMMYFUNCTION("""COMPUTED_VALUE"""),41039.99861111111)</f>
        <v>41039.99861</v>
      </c>
      <c r="B671" s="1">
        <f>IFERROR(__xludf.DUMMYFUNCTION("""COMPUTED_VALUE"""),2495.8906)</f>
        <v>2495.8906</v>
      </c>
    </row>
    <row r="672">
      <c r="A672" s="3">
        <f>IFERROR(__xludf.DUMMYFUNCTION("""COMPUTED_VALUE"""),41040.99861111111)</f>
        <v>41040.99861</v>
      </c>
      <c r="B672" s="1">
        <f>IFERROR(__xludf.DUMMYFUNCTION("""COMPUTED_VALUE"""),2499.42894)</f>
        <v>2499.42894</v>
      </c>
    </row>
    <row r="673">
      <c r="A673" s="3">
        <f>IFERROR(__xludf.DUMMYFUNCTION("""COMPUTED_VALUE"""),41041.99861111111)</f>
        <v>41041.99861</v>
      </c>
      <c r="B673" s="1">
        <f>IFERROR(__xludf.DUMMYFUNCTION("""COMPUTED_VALUE"""),2498.47631)</f>
        <v>2498.47631</v>
      </c>
    </row>
    <row r="674">
      <c r="A674" s="3">
        <f>IFERROR(__xludf.DUMMYFUNCTION("""COMPUTED_VALUE"""),41042.99861111111)</f>
        <v>41042.99861</v>
      </c>
      <c r="B674" s="1">
        <f>IFERROR(__xludf.DUMMYFUNCTION("""COMPUTED_VALUE"""),2494.5297)</f>
        <v>2494.5297</v>
      </c>
    </row>
    <row r="675">
      <c r="A675" s="3">
        <f>IFERROR(__xludf.DUMMYFUNCTION("""COMPUTED_VALUE"""),41043.99861111111)</f>
        <v>41043.99861</v>
      </c>
      <c r="B675" s="1">
        <f>IFERROR(__xludf.DUMMYFUNCTION("""COMPUTED_VALUE"""),2514.39884)</f>
        <v>2514.39884</v>
      </c>
    </row>
    <row r="676">
      <c r="A676" s="3">
        <f>IFERROR(__xludf.DUMMYFUNCTION("""COMPUTED_VALUE"""),41044.99861111111)</f>
        <v>41044.99861</v>
      </c>
      <c r="B676" s="1">
        <f>IFERROR(__xludf.DUMMYFUNCTION("""COMPUTED_VALUE"""),2514.39884)</f>
        <v>2514.39884</v>
      </c>
    </row>
    <row r="677">
      <c r="A677" s="3">
        <f>IFERROR(__xludf.DUMMYFUNCTION("""COMPUTED_VALUE"""),41045.99861111111)</f>
        <v>41045.99861</v>
      </c>
      <c r="B677" s="1">
        <f>IFERROR(__xludf.DUMMYFUNCTION("""COMPUTED_VALUE"""),2514.39884)</f>
        <v>2514.39884</v>
      </c>
    </row>
    <row r="678">
      <c r="A678" s="3">
        <f>IFERROR(__xludf.DUMMYFUNCTION("""COMPUTED_VALUE"""),41046.99861111111)</f>
        <v>41046.99861</v>
      </c>
      <c r="B678" s="1">
        <f>IFERROR(__xludf.DUMMYFUNCTION("""COMPUTED_VALUE"""),2508.68306)</f>
        <v>2508.68306</v>
      </c>
    </row>
    <row r="679">
      <c r="A679" s="3">
        <f>IFERROR(__xludf.DUMMYFUNCTION("""COMPUTED_VALUE"""),41047.99861111111)</f>
        <v>41047.99861</v>
      </c>
      <c r="B679" s="1">
        <f>IFERROR(__xludf.DUMMYFUNCTION("""COMPUTED_VALUE"""),2505.525772)</f>
        <v>2505.525772</v>
      </c>
    </row>
    <row r="680">
      <c r="A680" s="3">
        <f>IFERROR(__xludf.DUMMYFUNCTION("""COMPUTED_VALUE"""),41048.99861111111)</f>
        <v>41048.99861</v>
      </c>
      <c r="B680" s="1">
        <f>IFERROR(__xludf.DUMMYFUNCTION("""COMPUTED_VALUE"""),2448.313536)</f>
        <v>2448.313536</v>
      </c>
    </row>
    <row r="681">
      <c r="A681" s="3">
        <f>IFERROR(__xludf.DUMMYFUNCTION("""COMPUTED_VALUE"""),41050.99861111111)</f>
        <v>41050.99861</v>
      </c>
      <c r="B681" s="1">
        <f>IFERROR(__xludf.DUMMYFUNCTION("""COMPUTED_VALUE"""),2515.75974)</f>
        <v>2515.75974</v>
      </c>
    </row>
    <row r="682">
      <c r="A682" s="3">
        <f>IFERROR(__xludf.DUMMYFUNCTION("""COMPUTED_VALUE"""),41051.99861111111)</f>
        <v>41051.99861</v>
      </c>
      <c r="B682" s="1">
        <f>IFERROR(__xludf.DUMMYFUNCTION("""COMPUTED_VALUE"""),2506.7778)</f>
        <v>2506.7778</v>
      </c>
    </row>
    <row r="683">
      <c r="A683" s="3">
        <f>IFERROR(__xludf.DUMMYFUNCTION("""COMPUTED_VALUE"""),41052.99861111111)</f>
        <v>41052.99861</v>
      </c>
      <c r="B683" s="1">
        <f>IFERROR(__xludf.DUMMYFUNCTION("""COMPUTED_VALUE"""),2519.0259)</f>
        <v>2519.0259</v>
      </c>
    </row>
    <row r="684">
      <c r="A684" s="3">
        <f>IFERROR(__xludf.DUMMYFUNCTION("""COMPUTED_VALUE"""),41053.99861111111)</f>
        <v>41053.99861</v>
      </c>
      <c r="B684" s="1">
        <f>IFERROR(__xludf.DUMMYFUNCTION("""COMPUTED_VALUE"""),2519.5812)</f>
        <v>2519.5812</v>
      </c>
    </row>
    <row r="685">
      <c r="A685" s="3">
        <f>IFERROR(__xludf.DUMMYFUNCTION("""COMPUTED_VALUE"""),41054.99861111111)</f>
        <v>41054.99861</v>
      </c>
      <c r="B685" s="1">
        <f>IFERROR(__xludf.DUMMYFUNCTION("""COMPUTED_VALUE"""),2521.7477)</f>
        <v>2521.7477</v>
      </c>
    </row>
    <row r="686">
      <c r="A686" s="3">
        <f>IFERROR(__xludf.DUMMYFUNCTION("""COMPUTED_VALUE"""),41056.99861111111)</f>
        <v>41056.99861</v>
      </c>
      <c r="B686" s="1">
        <f>IFERROR(__xludf.DUMMYFUNCTION("""COMPUTED_VALUE"""),2527.858141)</f>
        <v>2527.858141</v>
      </c>
    </row>
    <row r="687">
      <c r="A687" s="3">
        <f>IFERROR(__xludf.DUMMYFUNCTION("""COMPUTED_VALUE"""),41057.99861111111)</f>
        <v>41057.99861</v>
      </c>
      <c r="B687" s="1">
        <f>IFERROR(__xludf.DUMMYFUNCTION("""COMPUTED_VALUE"""),2521.7477)</f>
        <v>2521.7477</v>
      </c>
    </row>
    <row r="688">
      <c r="A688" s="3">
        <f>IFERROR(__xludf.DUMMYFUNCTION("""COMPUTED_VALUE"""),41058.99861111111)</f>
        <v>41058.99861</v>
      </c>
      <c r="B688" s="1">
        <f>IFERROR(__xludf.DUMMYFUNCTION("""COMPUTED_VALUE"""),2550.3266)</f>
        <v>2550.3266</v>
      </c>
    </row>
    <row r="689">
      <c r="A689" s="3">
        <f>IFERROR(__xludf.DUMMYFUNCTION("""COMPUTED_VALUE"""),41059.99861111111)</f>
        <v>41059.99861</v>
      </c>
      <c r="B689" s="1">
        <f>IFERROR(__xludf.DUMMYFUNCTION("""COMPUTED_VALUE"""),2561.2138)</f>
        <v>2561.2138</v>
      </c>
    </row>
    <row r="690">
      <c r="A690" s="3">
        <f>IFERROR(__xludf.DUMMYFUNCTION("""COMPUTED_VALUE"""),41060.99861111111)</f>
        <v>41060.99861</v>
      </c>
      <c r="B690" s="1">
        <f>IFERROR(__xludf.DUMMYFUNCTION("""COMPUTED_VALUE"""),2551.6875)</f>
        <v>2551.6875</v>
      </c>
    </row>
    <row r="691">
      <c r="A691" s="3">
        <f>IFERROR(__xludf.DUMMYFUNCTION("""COMPUTED_VALUE"""),41061.99861111111)</f>
        <v>41061.99861</v>
      </c>
      <c r="B691" s="1">
        <f>IFERROR(__xludf.DUMMYFUNCTION("""COMPUTED_VALUE"""),2551.6875)</f>
        <v>2551.6875</v>
      </c>
    </row>
    <row r="692">
      <c r="A692" s="3">
        <f>IFERROR(__xludf.DUMMYFUNCTION("""COMPUTED_VALUE"""),41063.99861111111)</f>
        <v>41063.99861</v>
      </c>
      <c r="B692" s="1">
        <f>IFERROR(__xludf.DUMMYFUNCTION("""COMPUTED_VALUE"""),2555.076141)</f>
        <v>2555.076141</v>
      </c>
    </row>
    <row r="693">
      <c r="A693" s="3">
        <f>IFERROR(__xludf.DUMMYFUNCTION("""COMPUTED_VALUE"""),41064.99861111111)</f>
        <v>41064.99861</v>
      </c>
      <c r="B693" s="1">
        <f>IFERROR(__xludf.DUMMYFUNCTION("""COMPUTED_VALUE"""),2551.78125)</f>
        <v>2551.78125</v>
      </c>
    </row>
    <row r="694">
      <c r="A694" s="3">
        <f>IFERROR(__xludf.DUMMYFUNCTION("""COMPUTED_VALUE"""),41065.99861111111)</f>
        <v>41065.99861</v>
      </c>
      <c r="B694" s="1">
        <f>IFERROR(__xludf.DUMMYFUNCTION("""COMPUTED_VALUE"""),2552.50404)</f>
        <v>2552.50404</v>
      </c>
    </row>
    <row r="695">
      <c r="A695" s="3">
        <f>IFERROR(__xludf.DUMMYFUNCTION("""COMPUTED_VALUE"""),41066.99861111111)</f>
        <v>41066.99861</v>
      </c>
      <c r="B695" s="1">
        <f>IFERROR(__xludf.DUMMYFUNCTION("""COMPUTED_VALUE"""),2524.4695)</f>
        <v>2524.4695</v>
      </c>
    </row>
    <row r="696">
      <c r="A696" s="3">
        <f>IFERROR(__xludf.DUMMYFUNCTION("""COMPUTED_VALUE"""),41067.99861111111)</f>
        <v>41067.99861</v>
      </c>
      <c r="B696" s="1">
        <f>IFERROR(__xludf.DUMMYFUNCTION("""COMPUTED_VALUE"""),2546.2439)</f>
        <v>2546.2439</v>
      </c>
    </row>
    <row r="697">
      <c r="A697" s="3">
        <f>IFERROR(__xludf.DUMMYFUNCTION("""COMPUTED_VALUE"""),41068.99861111111)</f>
        <v>41068.99861</v>
      </c>
      <c r="B697" s="1">
        <f>IFERROR(__xludf.DUMMYFUNCTION("""COMPUTED_VALUE"""),2547.6048)</f>
        <v>2547.6048</v>
      </c>
    </row>
    <row r="698">
      <c r="A698" s="3">
        <f>IFERROR(__xludf.DUMMYFUNCTION("""COMPUTED_VALUE"""),41070.99861111111)</f>
        <v>41070.99861</v>
      </c>
      <c r="B698" s="1">
        <f>IFERROR(__xludf.DUMMYFUNCTION("""COMPUTED_VALUE"""),2554.395691)</f>
        <v>2554.395691</v>
      </c>
    </row>
    <row r="699">
      <c r="A699" s="3">
        <f>IFERROR(__xludf.DUMMYFUNCTION("""COMPUTED_VALUE"""),41071.99861111111)</f>
        <v>41071.99861</v>
      </c>
      <c r="B699" s="1">
        <f>IFERROR(__xludf.DUMMYFUNCTION("""COMPUTED_VALUE"""),2553.0484)</f>
        <v>2553.0484</v>
      </c>
    </row>
    <row r="700">
      <c r="A700" s="3">
        <f>IFERROR(__xludf.DUMMYFUNCTION("""COMPUTED_VALUE"""),41072.99861111111)</f>
        <v>41072.99861</v>
      </c>
      <c r="B700" s="1">
        <f>IFERROR(__xludf.DUMMYFUNCTION("""COMPUTED_VALUE"""),2559.8529)</f>
        <v>2559.8529</v>
      </c>
    </row>
    <row r="701">
      <c r="A701" s="3">
        <f>IFERROR(__xludf.DUMMYFUNCTION("""COMPUTED_VALUE"""),41073.99861111111)</f>
        <v>41073.99861</v>
      </c>
      <c r="B701" s="1">
        <f>IFERROR(__xludf.DUMMYFUNCTION("""COMPUTED_VALUE"""),2557.1311)</f>
        <v>2557.1311</v>
      </c>
    </row>
    <row r="702">
      <c r="A702" s="3">
        <f>IFERROR(__xludf.DUMMYFUNCTION("""COMPUTED_VALUE"""),41074.99861111111)</f>
        <v>41074.99861</v>
      </c>
      <c r="B702" s="1">
        <f>IFERROR(__xludf.DUMMYFUNCTION("""COMPUTED_VALUE"""),2557.1311)</f>
        <v>2557.1311</v>
      </c>
    </row>
    <row r="703">
      <c r="A703" s="3">
        <f>IFERROR(__xludf.DUMMYFUNCTION("""COMPUTED_VALUE"""),41075.99861111111)</f>
        <v>41075.99861</v>
      </c>
      <c r="B703" s="1">
        <f>IFERROR(__xludf.DUMMYFUNCTION("""COMPUTED_VALUE"""),2548.9657)</f>
        <v>2548.9657</v>
      </c>
    </row>
    <row r="704">
      <c r="A704" s="3">
        <f>IFERROR(__xludf.DUMMYFUNCTION("""COMPUTED_VALUE"""),41076.99861111111)</f>
        <v>41076.99861</v>
      </c>
      <c r="B704" s="1">
        <f>IFERROR(__xludf.DUMMYFUNCTION("""COMPUTED_VALUE"""),2529.36874)</f>
        <v>2529.36874</v>
      </c>
    </row>
    <row r="705">
      <c r="A705" s="3">
        <f>IFERROR(__xludf.DUMMYFUNCTION("""COMPUTED_VALUE"""),41078.99861111111)</f>
        <v>41078.99861</v>
      </c>
      <c r="B705" s="1">
        <f>IFERROR(__xludf.DUMMYFUNCTION("""COMPUTED_VALUE"""),2546.869914)</f>
        <v>2546.869914</v>
      </c>
    </row>
    <row r="706">
      <c r="A706" s="3">
        <f>IFERROR(__xludf.DUMMYFUNCTION("""COMPUTED_VALUE"""),41079.99861111111)</f>
        <v>41079.99861</v>
      </c>
      <c r="B706" s="1">
        <f>IFERROR(__xludf.DUMMYFUNCTION("""COMPUTED_VALUE"""),2551.905244)</f>
        <v>2551.905244</v>
      </c>
    </row>
    <row r="707">
      <c r="A707" s="3">
        <f>IFERROR(__xludf.DUMMYFUNCTION("""COMPUTED_VALUE"""),41080.99861111111)</f>
        <v>41080.99861</v>
      </c>
      <c r="B707" s="1">
        <f>IFERROR(__xludf.DUMMYFUNCTION("""COMPUTED_VALUE"""),2555.851854)</f>
        <v>2555.851854</v>
      </c>
    </row>
    <row r="708">
      <c r="A708" s="3">
        <f>IFERROR(__xludf.DUMMYFUNCTION("""COMPUTED_VALUE"""),41081.99861111111)</f>
        <v>41081.99861</v>
      </c>
      <c r="B708" s="1">
        <f>IFERROR(__xludf.DUMMYFUNCTION("""COMPUTED_VALUE"""),2558.464782)</f>
        <v>2558.464782</v>
      </c>
    </row>
    <row r="709">
      <c r="A709" s="3">
        <f>IFERROR(__xludf.DUMMYFUNCTION("""COMPUTED_VALUE"""),41082.99861111111)</f>
        <v>41082.99861</v>
      </c>
      <c r="B709" s="1">
        <f>IFERROR(__xludf.DUMMYFUNCTION("""COMPUTED_VALUE"""),2562.03034)</f>
        <v>2562.03034</v>
      </c>
    </row>
    <row r="710">
      <c r="A710" s="3">
        <f>IFERROR(__xludf.DUMMYFUNCTION("""COMPUTED_VALUE"""),41083.99861111111)</f>
        <v>41083.99861</v>
      </c>
      <c r="B710" s="1">
        <f>IFERROR(__xludf.DUMMYFUNCTION("""COMPUTED_VALUE"""),2537.53414)</f>
        <v>2537.53414</v>
      </c>
    </row>
    <row r="711">
      <c r="A711" s="3">
        <f>IFERROR(__xludf.DUMMYFUNCTION("""COMPUTED_VALUE"""),41084.99861111111)</f>
        <v>41084.99861</v>
      </c>
      <c r="B711" s="1">
        <f>IFERROR(__xludf.DUMMYFUNCTION("""COMPUTED_VALUE"""),2568.685141)</f>
        <v>2568.685141</v>
      </c>
    </row>
    <row r="712">
      <c r="A712" s="3">
        <f>IFERROR(__xludf.DUMMYFUNCTION("""COMPUTED_VALUE"""),41085.99861111111)</f>
        <v>41085.99861</v>
      </c>
      <c r="B712" s="1">
        <f>IFERROR(__xludf.DUMMYFUNCTION("""COMPUTED_VALUE"""),2561.34989)</f>
        <v>2561.34989</v>
      </c>
    </row>
    <row r="713">
      <c r="A713" s="3">
        <f>IFERROR(__xludf.DUMMYFUNCTION("""COMPUTED_VALUE"""),41086.99861111111)</f>
        <v>41086.99861</v>
      </c>
      <c r="B713" s="1">
        <f>IFERROR(__xludf.DUMMYFUNCTION("""COMPUTED_VALUE"""),2561.268236)</f>
        <v>2561.268236</v>
      </c>
    </row>
    <row r="714">
      <c r="A714" s="3">
        <f>IFERROR(__xludf.DUMMYFUNCTION("""COMPUTED_VALUE"""),41087.99861111111)</f>
        <v>41087.99861</v>
      </c>
      <c r="B714" s="1">
        <f>IFERROR(__xludf.DUMMYFUNCTION("""COMPUTED_VALUE"""),2562.547482)</f>
        <v>2562.547482</v>
      </c>
    </row>
    <row r="715">
      <c r="A715" s="3">
        <f>IFERROR(__xludf.DUMMYFUNCTION("""COMPUTED_VALUE"""),41088.99861111111)</f>
        <v>41088.99861</v>
      </c>
      <c r="B715" s="1">
        <f>IFERROR(__xludf.DUMMYFUNCTION("""COMPUTED_VALUE"""),2562.465828)</f>
        <v>2562.465828</v>
      </c>
    </row>
    <row r="716">
      <c r="A716" s="3">
        <f>IFERROR(__xludf.DUMMYFUNCTION("""COMPUTED_VALUE"""),41089.99861111111)</f>
        <v>41089.99861</v>
      </c>
      <c r="B716" s="1">
        <f>IFERROR(__xludf.DUMMYFUNCTION("""COMPUTED_VALUE"""),2549.78224)</f>
        <v>2549.78224</v>
      </c>
    </row>
    <row r="717">
      <c r="A717" s="3">
        <f>IFERROR(__xludf.DUMMYFUNCTION("""COMPUTED_VALUE"""),41090.99861111111)</f>
        <v>41090.99861</v>
      </c>
      <c r="B717" s="1">
        <f>IFERROR(__xludf.DUMMYFUNCTION("""COMPUTED_VALUE"""),2549.78224)</f>
        <v>2549.78224</v>
      </c>
    </row>
    <row r="718">
      <c r="A718" s="3">
        <f>IFERROR(__xludf.DUMMYFUNCTION("""COMPUTED_VALUE"""),41092.99861111111)</f>
        <v>41092.99861</v>
      </c>
      <c r="B718" s="1">
        <f>IFERROR(__xludf.DUMMYFUNCTION("""COMPUTED_VALUE"""),2553.715241)</f>
        <v>2553.715241</v>
      </c>
    </row>
    <row r="719">
      <c r="A719" s="3">
        <f>IFERROR(__xludf.DUMMYFUNCTION("""COMPUTED_VALUE"""),41093.99861111111)</f>
        <v>41093.99861</v>
      </c>
      <c r="B719" s="1">
        <f>IFERROR(__xludf.DUMMYFUNCTION("""COMPUTED_VALUE"""),2534.866776)</f>
        <v>2534.866776</v>
      </c>
    </row>
    <row r="720">
      <c r="A720" s="3">
        <f>IFERROR(__xludf.DUMMYFUNCTION("""COMPUTED_VALUE"""),41094.99861111111)</f>
        <v>41094.99861</v>
      </c>
      <c r="B720" s="1">
        <f>IFERROR(__xludf.DUMMYFUNCTION("""COMPUTED_VALUE"""),2540.010978)</f>
        <v>2540.010978</v>
      </c>
    </row>
    <row r="721">
      <c r="A721" s="3">
        <f>IFERROR(__xludf.DUMMYFUNCTION("""COMPUTED_VALUE"""),41095.99861111111)</f>
        <v>41095.99861</v>
      </c>
      <c r="B721" s="1">
        <f>IFERROR(__xludf.DUMMYFUNCTION("""COMPUTED_VALUE"""),2548.203596)</f>
        <v>2548.203596</v>
      </c>
    </row>
    <row r="722">
      <c r="A722" s="3">
        <f>IFERROR(__xludf.DUMMYFUNCTION("""COMPUTED_VALUE"""),41096.99861111111)</f>
        <v>41096.99861</v>
      </c>
      <c r="B722" s="1">
        <f>IFERROR(__xludf.DUMMYFUNCTION("""COMPUTED_VALUE"""),2563.11906)</f>
        <v>2563.11906</v>
      </c>
    </row>
    <row r="723">
      <c r="A723" s="3">
        <f>IFERROR(__xludf.DUMMYFUNCTION("""COMPUTED_VALUE"""),41097.99861111111)</f>
        <v>41097.99861</v>
      </c>
      <c r="B723" s="1">
        <f>IFERROR(__xludf.DUMMYFUNCTION("""COMPUTED_VALUE"""),2530.076408)</f>
        <v>2530.076408</v>
      </c>
    </row>
    <row r="724">
      <c r="A724" s="3">
        <f>IFERROR(__xludf.DUMMYFUNCTION("""COMPUTED_VALUE"""),41099.99861111111)</f>
        <v>41099.99861</v>
      </c>
      <c r="B724" s="1">
        <f>IFERROR(__xludf.DUMMYFUNCTION("""COMPUTED_VALUE"""),2552.830656)</f>
        <v>2552.830656</v>
      </c>
    </row>
    <row r="725">
      <c r="A725" s="3">
        <f>IFERROR(__xludf.DUMMYFUNCTION("""COMPUTED_VALUE"""),41100.99861111111)</f>
        <v>41100.99861</v>
      </c>
      <c r="B725" s="1">
        <f>IFERROR(__xludf.DUMMYFUNCTION("""COMPUTED_VALUE"""),2558.110948)</f>
        <v>2558.110948</v>
      </c>
    </row>
    <row r="726">
      <c r="A726" s="3">
        <f>IFERROR(__xludf.DUMMYFUNCTION("""COMPUTED_VALUE"""),41101.99861111111)</f>
        <v>41101.99861</v>
      </c>
      <c r="B726" s="1">
        <f>IFERROR(__xludf.DUMMYFUNCTION("""COMPUTED_VALUE"""),2554.164338)</f>
        <v>2554.164338</v>
      </c>
    </row>
    <row r="727">
      <c r="A727" s="3">
        <f>IFERROR(__xludf.DUMMYFUNCTION("""COMPUTED_VALUE"""),41102.99861111111)</f>
        <v>41102.99861</v>
      </c>
      <c r="B727" s="1">
        <f>IFERROR(__xludf.DUMMYFUNCTION("""COMPUTED_VALUE"""),2562.411392)</f>
        <v>2562.411392</v>
      </c>
    </row>
    <row r="728">
      <c r="A728" s="3">
        <f>IFERROR(__xludf.DUMMYFUNCTION("""COMPUTED_VALUE"""),41103.99861111111)</f>
        <v>41103.99861</v>
      </c>
      <c r="B728" s="1">
        <f>IFERROR(__xludf.DUMMYFUNCTION("""COMPUTED_VALUE"""),2564.75214)</f>
        <v>2564.75214</v>
      </c>
    </row>
    <row r="729">
      <c r="A729" s="3">
        <f>IFERROR(__xludf.DUMMYFUNCTION("""COMPUTED_VALUE"""),41104.99861111111)</f>
        <v>41104.99861</v>
      </c>
      <c r="B729" s="1">
        <f>IFERROR(__xludf.DUMMYFUNCTION("""COMPUTED_VALUE"""),2564.75214)</f>
        <v>2564.75214</v>
      </c>
    </row>
    <row r="730">
      <c r="A730" s="3">
        <f>IFERROR(__xludf.DUMMYFUNCTION("""COMPUTED_VALUE"""),41106.99861111111)</f>
        <v>41106.99861</v>
      </c>
      <c r="B730" s="1">
        <f>IFERROR(__xludf.DUMMYFUNCTION("""COMPUTED_VALUE"""),2564.017254)</f>
        <v>2564.017254</v>
      </c>
    </row>
    <row r="731">
      <c r="A731" s="3">
        <f>IFERROR(__xludf.DUMMYFUNCTION("""COMPUTED_VALUE"""),41107.99861111111)</f>
        <v>41107.99861</v>
      </c>
      <c r="B731" s="1">
        <f>IFERROR(__xludf.DUMMYFUNCTION("""COMPUTED_VALUE"""),2561.159364)</f>
        <v>2561.159364</v>
      </c>
    </row>
    <row r="732">
      <c r="A732" s="3">
        <f>IFERROR(__xludf.DUMMYFUNCTION("""COMPUTED_VALUE"""),41108.99861111111)</f>
        <v>41108.99861</v>
      </c>
      <c r="B732" s="1">
        <f>IFERROR(__xludf.DUMMYFUNCTION("""COMPUTED_VALUE"""),2563.66342)</f>
        <v>2563.66342</v>
      </c>
    </row>
    <row r="733">
      <c r="A733" s="3">
        <f>IFERROR(__xludf.DUMMYFUNCTION("""COMPUTED_VALUE"""),41109.99861111111)</f>
        <v>41109.99861</v>
      </c>
      <c r="B733" s="1">
        <f>IFERROR(__xludf.DUMMYFUNCTION("""COMPUTED_VALUE"""),2563.064624)</f>
        <v>2563.064624</v>
      </c>
    </row>
    <row r="734">
      <c r="A734" s="3">
        <f>IFERROR(__xludf.DUMMYFUNCTION("""COMPUTED_VALUE"""),41110.99861111111)</f>
        <v>41110.99861</v>
      </c>
      <c r="B734" s="1">
        <f>IFERROR(__xludf.DUMMYFUNCTION("""COMPUTED_VALUE"""),2565.2965)</f>
        <v>2565.2965</v>
      </c>
    </row>
    <row r="735">
      <c r="A735" s="3">
        <f>IFERROR(__xludf.DUMMYFUNCTION("""COMPUTED_VALUE"""),41111.99861111111)</f>
        <v>41111.99861</v>
      </c>
      <c r="B735" s="1">
        <f>IFERROR(__xludf.DUMMYFUNCTION("""COMPUTED_VALUE"""),2565.2965)</f>
        <v>2565.2965</v>
      </c>
    </row>
    <row r="736">
      <c r="A736" s="3">
        <f>IFERROR(__xludf.DUMMYFUNCTION("""COMPUTED_VALUE"""),41113.99861111111)</f>
        <v>41113.99861</v>
      </c>
      <c r="B736" s="1">
        <f>IFERROR(__xludf.DUMMYFUNCTION("""COMPUTED_VALUE"""),2565.02432)</f>
        <v>2565.02432</v>
      </c>
    </row>
    <row r="737">
      <c r="A737" s="3">
        <f>IFERROR(__xludf.DUMMYFUNCTION("""COMPUTED_VALUE"""),41114.99861111111)</f>
        <v>41114.99861</v>
      </c>
      <c r="B737" s="1">
        <f>IFERROR(__xludf.DUMMYFUNCTION("""COMPUTED_VALUE"""),2568.072736)</f>
        <v>2568.072736</v>
      </c>
    </row>
    <row r="738">
      <c r="A738" s="3">
        <f>IFERROR(__xludf.DUMMYFUNCTION("""COMPUTED_VALUE"""),41115.99861111111)</f>
        <v>41115.99861</v>
      </c>
      <c r="B738" s="1">
        <f>IFERROR(__xludf.DUMMYFUNCTION("""COMPUTED_VALUE"""),2573.05363)</f>
        <v>2573.05363</v>
      </c>
    </row>
    <row r="739">
      <c r="A739" s="3">
        <f>IFERROR(__xludf.DUMMYFUNCTION("""COMPUTED_VALUE"""),41116.99861111111)</f>
        <v>41116.99861</v>
      </c>
      <c r="B739" s="1">
        <f>IFERROR(__xludf.DUMMYFUNCTION("""COMPUTED_VALUE"""),2571.175588)</f>
        <v>2571.175588</v>
      </c>
    </row>
    <row r="740">
      <c r="A740" s="3">
        <f>IFERROR(__xludf.DUMMYFUNCTION("""COMPUTED_VALUE"""),41117.99861111111)</f>
        <v>41117.99861</v>
      </c>
      <c r="B740" s="1">
        <f>IFERROR(__xludf.DUMMYFUNCTION("""COMPUTED_VALUE"""),2566.6574)</f>
        <v>2566.6574</v>
      </c>
    </row>
    <row r="741">
      <c r="A741" s="3">
        <f>IFERROR(__xludf.DUMMYFUNCTION("""COMPUTED_VALUE"""),41119.99861111111)</f>
        <v>41119.99861</v>
      </c>
      <c r="B741" s="1">
        <f>IFERROR(__xludf.DUMMYFUNCTION("""COMPUTED_VALUE"""),2566.6574)</f>
        <v>2566.6574</v>
      </c>
    </row>
    <row r="742">
      <c r="A742" s="3">
        <f>IFERROR(__xludf.DUMMYFUNCTION("""COMPUTED_VALUE"""),41120.99861111111)</f>
        <v>41120.99861</v>
      </c>
      <c r="B742" s="1">
        <f>IFERROR(__xludf.DUMMYFUNCTION("""COMPUTED_VALUE"""),2565.02432)</f>
        <v>2565.02432</v>
      </c>
    </row>
    <row r="743">
      <c r="A743" s="3">
        <f>IFERROR(__xludf.DUMMYFUNCTION("""COMPUTED_VALUE"""),41121.99861111111)</f>
        <v>41121.99861</v>
      </c>
      <c r="B743" s="1">
        <f>IFERROR(__xludf.DUMMYFUNCTION("""COMPUTED_VALUE"""),2562.411392)</f>
        <v>2562.411392</v>
      </c>
    </row>
    <row r="744">
      <c r="A744" s="3">
        <f>IFERROR(__xludf.DUMMYFUNCTION("""COMPUTED_VALUE"""),41122.99861111111)</f>
        <v>41122.99861</v>
      </c>
      <c r="B744" s="1">
        <f>IFERROR(__xludf.DUMMYFUNCTION("""COMPUTED_VALUE"""),2561.921468)</f>
        <v>2561.921468</v>
      </c>
    </row>
    <row r="745">
      <c r="A745" s="3">
        <f>IFERROR(__xludf.DUMMYFUNCTION("""COMPUTED_VALUE"""),41123.99861111111)</f>
        <v>41123.99861</v>
      </c>
      <c r="B745" s="1">
        <f>IFERROR(__xludf.DUMMYFUNCTION("""COMPUTED_VALUE"""),2568.181608)</f>
        <v>2568.181608</v>
      </c>
    </row>
    <row r="746">
      <c r="A746" s="3">
        <f>IFERROR(__xludf.DUMMYFUNCTION("""COMPUTED_VALUE"""),41124.99861111111)</f>
        <v>41124.99861</v>
      </c>
      <c r="B746" s="1">
        <f>IFERROR(__xludf.DUMMYFUNCTION("""COMPUTED_VALUE"""),2570.19574)</f>
        <v>2570.19574</v>
      </c>
    </row>
    <row r="747">
      <c r="A747" s="3">
        <f>IFERROR(__xludf.DUMMYFUNCTION("""COMPUTED_VALUE"""),41125.99861111111)</f>
        <v>41125.99861</v>
      </c>
      <c r="B747" s="1">
        <f>IFERROR(__xludf.DUMMYFUNCTION("""COMPUTED_VALUE"""),2566.902362)</f>
        <v>2566.902362</v>
      </c>
    </row>
    <row r="748">
      <c r="A748" s="3">
        <f>IFERROR(__xludf.DUMMYFUNCTION("""COMPUTED_VALUE"""),41127.99861111111)</f>
        <v>41127.99861</v>
      </c>
      <c r="B748" s="1">
        <f>IFERROR(__xludf.DUMMYFUNCTION("""COMPUTED_VALUE"""),2567.88221)</f>
        <v>2567.88221</v>
      </c>
    </row>
    <row r="749">
      <c r="A749" s="3">
        <f>IFERROR(__xludf.DUMMYFUNCTION("""COMPUTED_VALUE"""),41128.99861111111)</f>
        <v>41128.99861</v>
      </c>
      <c r="B749" s="1">
        <f>IFERROR(__xludf.DUMMYFUNCTION("""COMPUTED_VALUE"""),2577.5446)</f>
        <v>2577.5446</v>
      </c>
    </row>
    <row r="750">
      <c r="A750" s="3">
        <f>IFERROR(__xludf.DUMMYFUNCTION("""COMPUTED_VALUE"""),41129.99861111111)</f>
        <v>41129.99861</v>
      </c>
      <c r="B750" s="1">
        <f>IFERROR(__xludf.DUMMYFUNCTION("""COMPUTED_VALUE"""),2569.351982)</f>
        <v>2569.351982</v>
      </c>
    </row>
    <row r="751">
      <c r="A751" s="3">
        <f>IFERROR(__xludf.DUMMYFUNCTION("""COMPUTED_VALUE"""),41130.99861111111)</f>
        <v>41130.99861</v>
      </c>
      <c r="B751" s="1">
        <f>IFERROR(__xludf.DUMMYFUNCTION("""COMPUTED_VALUE"""),2569.624162)</f>
        <v>2569.624162</v>
      </c>
    </row>
    <row r="752">
      <c r="A752" s="3">
        <f>IFERROR(__xludf.DUMMYFUNCTION("""COMPUTED_VALUE"""),41131.99861111111)</f>
        <v>41131.99861</v>
      </c>
      <c r="B752" s="1">
        <f>IFERROR(__xludf.DUMMYFUNCTION("""COMPUTED_VALUE"""),2571.638294)</f>
        <v>2571.638294</v>
      </c>
    </row>
    <row r="753">
      <c r="A753" s="3">
        <f>IFERROR(__xludf.DUMMYFUNCTION("""COMPUTED_VALUE"""),41132.99861111111)</f>
        <v>41132.99861</v>
      </c>
      <c r="B753" s="1">
        <f>IFERROR(__xludf.DUMMYFUNCTION("""COMPUTED_VALUE"""),2572.91754)</f>
        <v>2572.91754</v>
      </c>
    </row>
    <row r="754">
      <c r="A754" s="3">
        <f>IFERROR(__xludf.DUMMYFUNCTION("""COMPUTED_VALUE"""),41134.99861111111)</f>
        <v>41134.99861</v>
      </c>
      <c r="B754" s="1">
        <f>IFERROR(__xludf.DUMMYFUNCTION("""COMPUTED_VALUE"""),2573.298592)</f>
        <v>2573.298592</v>
      </c>
    </row>
    <row r="755">
      <c r="A755" s="3">
        <f>IFERROR(__xludf.DUMMYFUNCTION("""COMPUTED_VALUE"""),41135.99861111111)</f>
        <v>41135.99861</v>
      </c>
      <c r="B755" s="1">
        <f>IFERROR(__xludf.DUMMYFUNCTION("""COMPUTED_VALUE"""),2572.672578)</f>
        <v>2572.672578</v>
      </c>
    </row>
    <row r="756">
      <c r="A756" s="3">
        <f>IFERROR(__xludf.DUMMYFUNCTION("""COMPUTED_VALUE"""),41136.99861111111)</f>
        <v>41136.99861</v>
      </c>
      <c r="B756" s="1">
        <f>IFERROR(__xludf.DUMMYFUNCTION("""COMPUTED_VALUE"""),2576.891368)</f>
        <v>2576.891368</v>
      </c>
    </row>
    <row r="757">
      <c r="A757" s="3">
        <f>IFERROR(__xludf.DUMMYFUNCTION("""COMPUTED_VALUE"""),41137.99861111111)</f>
        <v>41137.99861</v>
      </c>
      <c r="B757" s="1">
        <f>IFERROR(__xludf.DUMMYFUNCTION("""COMPUTED_VALUE"""),2574.577838)</f>
        <v>2574.577838</v>
      </c>
    </row>
    <row r="758">
      <c r="A758" s="3">
        <f>IFERROR(__xludf.DUMMYFUNCTION("""COMPUTED_VALUE"""),41138.99861111111)</f>
        <v>41138.99861</v>
      </c>
      <c r="B758" s="1">
        <f>IFERROR(__xludf.DUMMYFUNCTION("""COMPUTED_VALUE"""),2576.1837)</f>
        <v>2576.1837</v>
      </c>
    </row>
    <row r="759">
      <c r="A759" s="3">
        <f>IFERROR(__xludf.DUMMYFUNCTION("""COMPUTED_VALUE"""),41139.99861111111)</f>
        <v>41139.99861</v>
      </c>
      <c r="B759" s="1">
        <f>IFERROR(__xludf.DUMMYFUNCTION("""COMPUTED_VALUE"""),2576.1837)</f>
        <v>2576.1837</v>
      </c>
    </row>
    <row r="760">
      <c r="A760" s="3">
        <f>IFERROR(__xludf.DUMMYFUNCTION("""COMPUTED_VALUE"""),41140.99861111111)</f>
        <v>41140.99861</v>
      </c>
      <c r="B760" s="1">
        <f>IFERROR(__xludf.DUMMYFUNCTION("""COMPUTED_VALUE"""),2582.974591)</f>
        <v>2582.974591</v>
      </c>
    </row>
    <row r="761">
      <c r="A761" s="3">
        <f>IFERROR(__xludf.DUMMYFUNCTION("""COMPUTED_VALUE"""),41141.99861111111)</f>
        <v>41141.99861</v>
      </c>
      <c r="B761" s="1">
        <f>IFERROR(__xludf.DUMMYFUNCTION("""COMPUTED_VALUE"""),2574.659492)</f>
        <v>2574.659492</v>
      </c>
    </row>
    <row r="762">
      <c r="A762" s="3">
        <f>IFERROR(__xludf.DUMMYFUNCTION("""COMPUTED_VALUE"""),41143.99861111111)</f>
        <v>41143.99861</v>
      </c>
      <c r="B762" s="1">
        <f>IFERROR(__xludf.DUMMYFUNCTION("""COMPUTED_VALUE"""),2576.1837)</f>
        <v>2576.1837</v>
      </c>
    </row>
    <row r="763">
      <c r="A763" s="3">
        <f>IFERROR(__xludf.DUMMYFUNCTION("""COMPUTED_VALUE"""),41144.99861111111)</f>
        <v>41144.99861</v>
      </c>
      <c r="B763" s="1">
        <f>IFERROR(__xludf.DUMMYFUNCTION("""COMPUTED_VALUE"""),2575.884302)</f>
        <v>2575.884302</v>
      </c>
    </row>
    <row r="764">
      <c r="A764" s="3">
        <f>IFERROR(__xludf.DUMMYFUNCTION("""COMPUTED_VALUE"""),41145.99861111111)</f>
        <v>41145.99861</v>
      </c>
      <c r="B764" s="1">
        <f>IFERROR(__xludf.DUMMYFUNCTION("""COMPUTED_VALUE"""),2580.2664)</f>
        <v>2580.2664</v>
      </c>
    </row>
    <row r="765">
      <c r="A765" s="3">
        <f>IFERROR(__xludf.DUMMYFUNCTION("""COMPUTED_VALUE"""),41146.99861111111)</f>
        <v>41146.99861</v>
      </c>
      <c r="B765" s="1">
        <f>IFERROR(__xludf.DUMMYFUNCTION("""COMPUTED_VALUE"""),2580.2664)</f>
        <v>2580.2664</v>
      </c>
    </row>
    <row r="766">
      <c r="A766" s="3">
        <f>IFERROR(__xludf.DUMMYFUNCTION("""COMPUTED_VALUE"""),41148.99861111111)</f>
        <v>41148.99861</v>
      </c>
      <c r="B766" s="1">
        <f>IFERROR(__xludf.DUMMYFUNCTION("""COMPUTED_VALUE"""),2581.6273)</f>
        <v>2581.6273</v>
      </c>
    </row>
    <row r="767">
      <c r="A767" s="3">
        <f>IFERROR(__xludf.DUMMYFUNCTION("""COMPUTED_VALUE"""),41149.99861111111)</f>
        <v>41149.99861</v>
      </c>
      <c r="B767" s="1">
        <f>IFERROR(__xludf.DUMMYFUNCTION("""COMPUTED_VALUE"""),2587.043682)</f>
        <v>2587.043682</v>
      </c>
    </row>
    <row r="768">
      <c r="A768" s="3">
        <f>IFERROR(__xludf.DUMMYFUNCTION("""COMPUTED_VALUE"""),41150.99861111111)</f>
        <v>41150.99861</v>
      </c>
      <c r="B768" s="1">
        <f>IFERROR(__xludf.DUMMYFUNCTION("""COMPUTED_VALUE"""),2590.282624)</f>
        <v>2590.282624</v>
      </c>
    </row>
    <row r="769">
      <c r="A769" s="3">
        <f>IFERROR(__xludf.DUMMYFUNCTION("""COMPUTED_VALUE"""),41151.99861111111)</f>
        <v>41151.99861</v>
      </c>
      <c r="B769" s="1">
        <f>IFERROR(__xludf.DUMMYFUNCTION("""COMPUTED_VALUE"""),2589.683828)</f>
        <v>2589.683828</v>
      </c>
    </row>
    <row r="770">
      <c r="A770" s="3">
        <f>IFERROR(__xludf.DUMMYFUNCTION("""COMPUTED_VALUE"""),41152.99861111111)</f>
        <v>41152.99861</v>
      </c>
      <c r="B770" s="1">
        <f>IFERROR(__xludf.DUMMYFUNCTION("""COMPUTED_VALUE"""),2588.4318)</f>
        <v>2588.4318</v>
      </c>
    </row>
    <row r="771">
      <c r="A771" s="3">
        <f>IFERROR(__xludf.DUMMYFUNCTION("""COMPUTED_VALUE"""),41153.99861111111)</f>
        <v>41153.99861</v>
      </c>
      <c r="B771" s="1">
        <f>IFERROR(__xludf.DUMMYFUNCTION("""COMPUTED_VALUE"""),2588.4318)</f>
        <v>2588.4318</v>
      </c>
    </row>
    <row r="772">
      <c r="A772" s="3">
        <f>IFERROR(__xludf.DUMMYFUNCTION("""COMPUTED_VALUE"""),41154.99861111111)</f>
        <v>41154.99861</v>
      </c>
      <c r="B772" s="1">
        <f>IFERROR(__xludf.DUMMYFUNCTION("""COMPUTED_VALUE"""),2595.222691)</f>
        <v>2595.222691</v>
      </c>
    </row>
    <row r="773">
      <c r="A773" s="3">
        <f>IFERROR(__xludf.DUMMYFUNCTION("""COMPUTED_VALUE"""),41155.99861111111)</f>
        <v>41155.99861</v>
      </c>
      <c r="B773" s="1">
        <f>IFERROR(__xludf.DUMMYFUNCTION("""COMPUTED_VALUE"""),2587.20699)</f>
        <v>2587.20699</v>
      </c>
    </row>
    <row r="774">
      <c r="A774" s="3">
        <f>IFERROR(__xludf.DUMMYFUNCTION("""COMPUTED_VALUE"""),41156.99861111111)</f>
        <v>41156.99861</v>
      </c>
      <c r="B774" s="1">
        <f>IFERROR(__xludf.DUMMYFUNCTION("""COMPUTED_VALUE"""),2596.842162)</f>
        <v>2596.842162</v>
      </c>
    </row>
    <row r="775">
      <c r="A775" s="3">
        <f>IFERROR(__xludf.DUMMYFUNCTION("""COMPUTED_VALUE"""),41157.99861111111)</f>
        <v>41157.99861</v>
      </c>
      <c r="B775" s="1">
        <f>IFERROR(__xludf.DUMMYFUNCTION("""COMPUTED_VALUE"""),2596.760508)</f>
        <v>2596.760508</v>
      </c>
    </row>
    <row r="776">
      <c r="A776" s="3">
        <f>IFERROR(__xludf.DUMMYFUNCTION("""COMPUTED_VALUE"""),41158.99861111111)</f>
        <v>41158.99861</v>
      </c>
      <c r="B776" s="1">
        <f>IFERROR(__xludf.DUMMYFUNCTION("""COMPUTED_VALUE"""),2595.209082)</f>
        <v>2595.209082</v>
      </c>
    </row>
    <row r="777">
      <c r="A777" s="3">
        <f>IFERROR(__xludf.DUMMYFUNCTION("""COMPUTED_VALUE"""),41159.99861111111)</f>
        <v>41159.99861</v>
      </c>
      <c r="B777" s="1">
        <f>IFERROR(__xludf.DUMMYFUNCTION("""COMPUTED_VALUE"""),2597.9581)</f>
        <v>2597.9581</v>
      </c>
    </row>
    <row r="778">
      <c r="A778" s="3">
        <f>IFERROR(__xludf.DUMMYFUNCTION("""COMPUTED_VALUE"""),41160.99861111111)</f>
        <v>41160.99861</v>
      </c>
      <c r="B778" s="1">
        <f>IFERROR(__xludf.DUMMYFUNCTION("""COMPUTED_VALUE"""),2597.114342)</f>
        <v>2597.114342</v>
      </c>
    </row>
    <row r="779">
      <c r="A779" s="3">
        <f>IFERROR(__xludf.DUMMYFUNCTION("""COMPUTED_VALUE"""),41162.99861111111)</f>
        <v>41162.99861</v>
      </c>
      <c r="B779" s="1">
        <f>IFERROR(__xludf.DUMMYFUNCTION("""COMPUTED_VALUE"""),2598.856294)</f>
        <v>2598.856294</v>
      </c>
    </row>
    <row r="780">
      <c r="A780" s="3">
        <f>IFERROR(__xludf.DUMMYFUNCTION("""COMPUTED_VALUE"""),41163.99861111111)</f>
        <v>41163.99861</v>
      </c>
      <c r="B780" s="1">
        <f>IFERROR(__xludf.DUMMYFUNCTION("""COMPUTED_VALUE"""),2598.747422)</f>
        <v>2598.747422</v>
      </c>
    </row>
    <row r="781">
      <c r="A781" s="3">
        <f>IFERROR(__xludf.DUMMYFUNCTION("""COMPUTED_VALUE"""),41164.99861111111)</f>
        <v>41164.99861</v>
      </c>
      <c r="B781" s="1">
        <f>IFERROR(__xludf.DUMMYFUNCTION("""COMPUTED_VALUE"""),2596.080058)</f>
        <v>2596.080058</v>
      </c>
    </row>
    <row r="782">
      <c r="A782" s="3">
        <f>IFERROR(__xludf.DUMMYFUNCTION("""COMPUTED_VALUE"""),41165.99861111111)</f>
        <v>41165.99861</v>
      </c>
      <c r="B782" s="1">
        <f>IFERROR(__xludf.DUMMYFUNCTION("""COMPUTED_VALUE"""),2599.019602)</f>
        <v>2599.019602</v>
      </c>
    </row>
    <row r="783">
      <c r="A783" s="3">
        <f>IFERROR(__xludf.DUMMYFUNCTION("""COMPUTED_VALUE"""),41166.99861111111)</f>
        <v>41166.99861</v>
      </c>
      <c r="B783" s="1">
        <f>IFERROR(__xludf.DUMMYFUNCTION("""COMPUTED_VALUE"""),2580.2664)</f>
        <v>2580.2664</v>
      </c>
    </row>
    <row r="784">
      <c r="A784" s="3">
        <f>IFERROR(__xludf.DUMMYFUNCTION("""COMPUTED_VALUE"""),41167.99861111111)</f>
        <v>41167.99861</v>
      </c>
      <c r="B784" s="1">
        <f>IFERROR(__xludf.DUMMYFUNCTION("""COMPUTED_VALUE"""),2533.260914)</f>
        <v>2533.260914</v>
      </c>
    </row>
    <row r="785">
      <c r="A785" s="3">
        <f>IFERROR(__xludf.DUMMYFUNCTION("""COMPUTED_VALUE"""),41169.99861111111)</f>
        <v>41169.99861</v>
      </c>
      <c r="B785" s="1">
        <f>IFERROR(__xludf.DUMMYFUNCTION("""COMPUTED_VALUE"""),2567.61003)</f>
        <v>2567.61003</v>
      </c>
    </row>
    <row r="786">
      <c r="A786" s="3">
        <f>IFERROR(__xludf.DUMMYFUNCTION("""COMPUTED_VALUE"""),41170.99861111111)</f>
        <v>41170.99861</v>
      </c>
      <c r="B786" s="1">
        <f>IFERROR(__xludf.DUMMYFUNCTION("""COMPUTED_VALUE"""),2578.470012)</f>
        <v>2578.470012</v>
      </c>
    </row>
    <row r="787">
      <c r="A787" s="3">
        <f>IFERROR(__xludf.DUMMYFUNCTION("""COMPUTED_VALUE"""),41171.99861111111)</f>
        <v>41171.99861</v>
      </c>
      <c r="B787" s="1">
        <f>IFERROR(__xludf.DUMMYFUNCTION("""COMPUTED_VALUE"""),2588.077966)</f>
        <v>2588.077966</v>
      </c>
    </row>
    <row r="788">
      <c r="A788" s="3">
        <f>IFERROR(__xludf.DUMMYFUNCTION("""COMPUTED_VALUE"""),41172.99861111111)</f>
        <v>41172.99861</v>
      </c>
      <c r="B788" s="1">
        <f>IFERROR(__xludf.DUMMYFUNCTION("""COMPUTED_VALUE"""),2588.785634)</f>
        <v>2588.785634</v>
      </c>
    </row>
    <row r="789">
      <c r="A789" s="3">
        <f>IFERROR(__xludf.DUMMYFUNCTION("""COMPUTED_VALUE"""),41173.99861111111)</f>
        <v>41173.99861</v>
      </c>
      <c r="B789" s="1">
        <f>IFERROR(__xludf.DUMMYFUNCTION("""COMPUTED_VALUE"""),2591.1536)</f>
        <v>2591.1536</v>
      </c>
    </row>
    <row r="790">
      <c r="A790" s="3">
        <f>IFERROR(__xludf.DUMMYFUNCTION("""COMPUTED_VALUE"""),41174.99861111111)</f>
        <v>41174.99861</v>
      </c>
      <c r="B790" s="1">
        <f>IFERROR(__xludf.DUMMYFUNCTION("""COMPUTED_VALUE"""),2591.1536)</f>
        <v>2591.1536</v>
      </c>
    </row>
    <row r="791">
      <c r="A791" s="3">
        <f>IFERROR(__xludf.DUMMYFUNCTION("""COMPUTED_VALUE"""),41176.99861111111)</f>
        <v>41176.99861</v>
      </c>
      <c r="B791" s="1">
        <f>IFERROR(__xludf.DUMMYFUNCTION("""COMPUTED_VALUE"""),2594.800812)</f>
        <v>2594.800812</v>
      </c>
    </row>
    <row r="792">
      <c r="A792" s="3">
        <f>IFERROR(__xludf.DUMMYFUNCTION("""COMPUTED_VALUE"""),41177.99861111111)</f>
        <v>41177.99861</v>
      </c>
      <c r="B792" s="1">
        <f>IFERROR(__xludf.DUMMYFUNCTION("""COMPUTED_VALUE"""),2598.284716)</f>
        <v>2598.284716</v>
      </c>
    </row>
    <row r="793">
      <c r="A793" s="3">
        <f>IFERROR(__xludf.DUMMYFUNCTION("""COMPUTED_VALUE"""),41178.99861111111)</f>
        <v>41178.99861</v>
      </c>
      <c r="B793" s="1">
        <f>IFERROR(__xludf.DUMMYFUNCTION("""COMPUTED_VALUE"""),2600.843208)</f>
        <v>2600.843208</v>
      </c>
    </row>
    <row r="794">
      <c r="A794" s="3">
        <f>IFERROR(__xludf.DUMMYFUNCTION("""COMPUTED_VALUE"""),41179.99861111111)</f>
        <v>41179.99861</v>
      </c>
      <c r="B794" s="1">
        <f>IFERROR(__xludf.DUMMYFUNCTION("""COMPUTED_VALUE"""),2598.393588)</f>
        <v>2598.393588</v>
      </c>
    </row>
    <row r="795">
      <c r="A795" s="3">
        <f>IFERROR(__xludf.DUMMYFUNCTION("""COMPUTED_VALUE"""),41180.99861111111)</f>
        <v>41180.99861</v>
      </c>
      <c r="B795" s="1">
        <f>IFERROR(__xludf.DUMMYFUNCTION("""COMPUTED_VALUE"""),2597.9581)</f>
        <v>2597.9581</v>
      </c>
    </row>
    <row r="796">
      <c r="A796" s="3">
        <f>IFERROR(__xludf.DUMMYFUNCTION("""COMPUTED_VALUE"""),41181.99861111111)</f>
        <v>41181.99861</v>
      </c>
      <c r="B796" s="1">
        <f>IFERROR(__xludf.DUMMYFUNCTION("""COMPUTED_VALUE"""),2597.9581)</f>
        <v>2597.9581</v>
      </c>
    </row>
    <row r="797">
      <c r="A797" s="3">
        <f>IFERROR(__xludf.DUMMYFUNCTION("""COMPUTED_VALUE"""),41183.99861111111)</f>
        <v>41183.99861</v>
      </c>
      <c r="B797" s="1">
        <f>IFERROR(__xludf.DUMMYFUNCTION("""COMPUTED_VALUE"""),2599.45509)</f>
        <v>2599.45509</v>
      </c>
    </row>
    <row r="798">
      <c r="A798" s="3">
        <f>IFERROR(__xludf.DUMMYFUNCTION("""COMPUTED_VALUE"""),41184.99861111111)</f>
        <v>41184.99861</v>
      </c>
      <c r="B798" s="1">
        <f>IFERROR(__xludf.DUMMYFUNCTION("""COMPUTED_VALUE"""),2599.59118)</f>
        <v>2599.59118</v>
      </c>
    </row>
    <row r="799">
      <c r="A799" s="3">
        <f>IFERROR(__xludf.DUMMYFUNCTION("""COMPUTED_VALUE"""),41185.99861111111)</f>
        <v>41185.99861</v>
      </c>
      <c r="B799" s="1">
        <f>IFERROR(__xludf.DUMMYFUNCTION("""COMPUTED_VALUE"""),2600.924862)</f>
        <v>2600.924862</v>
      </c>
    </row>
    <row r="800">
      <c r="A800" s="3">
        <f>IFERROR(__xludf.DUMMYFUNCTION("""COMPUTED_VALUE"""),41186.99861111111)</f>
        <v>41186.99861</v>
      </c>
      <c r="B800" s="1">
        <f>IFERROR(__xludf.DUMMYFUNCTION("""COMPUTED_VALUE"""),2602.394634)</f>
        <v>2602.394634</v>
      </c>
    </row>
    <row r="801">
      <c r="A801" s="3">
        <f>IFERROR(__xludf.DUMMYFUNCTION("""COMPUTED_VALUE"""),41187.99861111111)</f>
        <v>41187.99861</v>
      </c>
      <c r="B801" s="1">
        <f>IFERROR(__xludf.DUMMYFUNCTION("""COMPUTED_VALUE"""),2603.12952)</f>
        <v>2603.12952</v>
      </c>
    </row>
    <row r="802">
      <c r="A802" s="3">
        <f>IFERROR(__xludf.DUMMYFUNCTION("""COMPUTED_VALUE"""),41189.99861111111)</f>
        <v>41189.99861</v>
      </c>
      <c r="B802" s="1">
        <f>IFERROR(__xludf.DUMMYFUNCTION("""COMPUTED_VALUE"""),2560.451696)</f>
        <v>2560.451696</v>
      </c>
    </row>
    <row r="803">
      <c r="A803" s="3">
        <f>IFERROR(__xludf.DUMMYFUNCTION("""COMPUTED_VALUE"""),41190.99861111111)</f>
        <v>41190.99861</v>
      </c>
      <c r="B803" s="1">
        <f>IFERROR(__xludf.DUMMYFUNCTION("""COMPUTED_VALUE"""),2602.367416)</f>
        <v>2602.367416</v>
      </c>
    </row>
    <row r="804">
      <c r="A804" s="3">
        <f>IFERROR(__xludf.DUMMYFUNCTION("""COMPUTED_VALUE"""),41191.99861111111)</f>
        <v>41191.99861</v>
      </c>
      <c r="B804" s="1">
        <f>IFERROR(__xludf.DUMMYFUNCTION("""COMPUTED_VALUE"""),2603.047866)</f>
        <v>2603.047866</v>
      </c>
    </row>
    <row r="805">
      <c r="A805" s="3">
        <f>IFERROR(__xludf.DUMMYFUNCTION("""COMPUTED_VALUE"""),41192.99861111111)</f>
        <v>41192.99861</v>
      </c>
      <c r="B805" s="1">
        <f>IFERROR(__xludf.DUMMYFUNCTION("""COMPUTED_VALUE"""),2602.748468)</f>
        <v>2602.748468</v>
      </c>
    </row>
    <row r="806">
      <c r="A806" s="3">
        <f>IFERROR(__xludf.DUMMYFUNCTION("""COMPUTED_VALUE"""),41193.99861111111)</f>
        <v>41193.99861</v>
      </c>
      <c r="B806" s="1">
        <f>IFERROR(__xludf.DUMMYFUNCTION("""COMPUTED_VALUE"""),2600.434938)</f>
        <v>2600.434938</v>
      </c>
    </row>
    <row r="807">
      <c r="A807" s="3">
        <f>IFERROR(__xludf.DUMMYFUNCTION("""COMPUTED_VALUE"""),41194.99861111111)</f>
        <v>41194.99861</v>
      </c>
      <c r="B807" s="1">
        <f>IFERROR(__xludf.DUMMYFUNCTION("""COMPUTED_VALUE"""),2600.80425)</f>
        <v>2600.80425</v>
      </c>
    </row>
    <row r="808">
      <c r="A808" s="3">
        <f>IFERROR(__xludf.DUMMYFUNCTION("""COMPUTED_VALUE"""),41195.99861111111)</f>
        <v>41195.99861</v>
      </c>
      <c r="B808" s="1">
        <f>IFERROR(__xludf.DUMMYFUNCTION("""COMPUTED_VALUE"""),2600.13554)</f>
        <v>2600.13554</v>
      </c>
    </row>
    <row r="809">
      <c r="A809" s="3">
        <f>IFERROR(__xludf.DUMMYFUNCTION("""COMPUTED_VALUE"""),41196.99861111111)</f>
        <v>41196.99861</v>
      </c>
      <c r="B809" s="1">
        <f>IFERROR(__xludf.DUMMYFUNCTION("""COMPUTED_VALUE"""),2606.790341)</f>
        <v>2606.790341</v>
      </c>
    </row>
    <row r="810">
      <c r="A810" s="3">
        <f>IFERROR(__xludf.DUMMYFUNCTION("""COMPUTED_VALUE"""),41197.99861111111)</f>
        <v>41197.99861</v>
      </c>
      <c r="B810" s="1">
        <f>IFERROR(__xludf.DUMMYFUNCTION("""COMPUTED_VALUE"""),2602.204108)</f>
        <v>2602.204108</v>
      </c>
    </row>
    <row r="811">
      <c r="A811" s="3">
        <f>IFERROR(__xludf.DUMMYFUNCTION("""COMPUTED_VALUE"""),41198.99861111111)</f>
        <v>41198.99861</v>
      </c>
      <c r="B811" s="1">
        <f>IFERROR(__xludf.DUMMYFUNCTION("""COMPUTED_VALUE"""),2600.938764)</f>
        <v>2600.938764</v>
      </c>
    </row>
    <row r="812">
      <c r="A812" s="3">
        <f>IFERROR(__xludf.DUMMYFUNCTION("""COMPUTED_VALUE"""),41199.99861111111)</f>
        <v>41199.99861</v>
      </c>
      <c r="B812" s="1">
        <f>IFERROR(__xludf.DUMMYFUNCTION("""COMPUTED_VALUE"""),2599.04682)</f>
        <v>2599.04682</v>
      </c>
    </row>
    <row r="813">
      <c r="A813" s="3">
        <f>IFERROR(__xludf.DUMMYFUNCTION("""COMPUTED_VALUE"""),41200.99861111111)</f>
        <v>41200.99861</v>
      </c>
      <c r="B813" s="1">
        <f>IFERROR(__xludf.DUMMYFUNCTION("""COMPUTED_VALUE"""),2601.877492)</f>
        <v>2601.877492</v>
      </c>
    </row>
    <row r="814">
      <c r="A814" s="3">
        <f>IFERROR(__xludf.DUMMYFUNCTION("""COMPUTED_VALUE"""),41201.99861111111)</f>
        <v>41201.99861</v>
      </c>
      <c r="B814" s="1">
        <f>IFERROR(__xludf.DUMMYFUNCTION("""COMPUTED_VALUE"""),2604.21824)</f>
        <v>2604.21824</v>
      </c>
    </row>
    <row r="815">
      <c r="A815" s="3">
        <f>IFERROR(__xludf.DUMMYFUNCTION("""COMPUTED_VALUE"""),41202.99861111111)</f>
        <v>41202.99861</v>
      </c>
      <c r="B815" s="1">
        <f>IFERROR(__xludf.DUMMYFUNCTION("""COMPUTED_VALUE"""),2603.075084)</f>
        <v>2603.075084</v>
      </c>
    </row>
    <row r="816">
      <c r="A816" s="3">
        <f>IFERROR(__xludf.DUMMYFUNCTION("""COMPUTED_VALUE"""),41203.99861111111)</f>
        <v>41203.99861</v>
      </c>
      <c r="B816" s="1">
        <f>IFERROR(__xludf.DUMMYFUNCTION("""COMPUTED_VALUE"""),2610.873041)</f>
        <v>2610.873041</v>
      </c>
    </row>
    <row r="817">
      <c r="A817" s="3">
        <f>IFERROR(__xludf.DUMMYFUNCTION("""COMPUTED_VALUE"""),41204.99861111111)</f>
        <v>41204.99861</v>
      </c>
      <c r="B817" s="1">
        <f>IFERROR(__xludf.DUMMYFUNCTION("""COMPUTED_VALUE"""),2606.39568)</f>
        <v>2606.39568</v>
      </c>
    </row>
    <row r="818">
      <c r="A818" s="3">
        <f>IFERROR(__xludf.DUMMYFUNCTION("""COMPUTED_VALUE"""),41205.99861111111)</f>
        <v>41205.99861</v>
      </c>
      <c r="B818" s="1">
        <f>IFERROR(__xludf.DUMMYFUNCTION("""COMPUTED_VALUE"""),2606.94004)</f>
        <v>2606.94004</v>
      </c>
    </row>
    <row r="819">
      <c r="A819" s="3">
        <f>IFERROR(__xludf.DUMMYFUNCTION("""COMPUTED_VALUE"""),41206.99861111111)</f>
        <v>41206.99861</v>
      </c>
      <c r="B819" s="1">
        <f>IFERROR(__xludf.DUMMYFUNCTION("""COMPUTED_VALUE"""),2607.593272)</f>
        <v>2607.593272</v>
      </c>
    </row>
    <row r="820">
      <c r="A820" s="3">
        <f>IFERROR(__xludf.DUMMYFUNCTION("""COMPUTED_VALUE"""),41207.99861111111)</f>
        <v>41207.99861</v>
      </c>
      <c r="B820" s="1">
        <f>IFERROR(__xludf.DUMMYFUNCTION("""COMPUTED_VALUE"""),2606.341244)</f>
        <v>2606.341244</v>
      </c>
    </row>
    <row r="821">
      <c r="A821" s="3">
        <f>IFERROR(__xludf.DUMMYFUNCTION("""COMPUTED_VALUE"""),41208.99861111111)</f>
        <v>41208.99861</v>
      </c>
      <c r="B821" s="1">
        <f>IFERROR(__xludf.DUMMYFUNCTION("""COMPUTED_VALUE"""),2607.4844)</f>
        <v>2607.4844</v>
      </c>
    </row>
    <row r="822">
      <c r="A822" s="3">
        <f>IFERROR(__xludf.DUMMYFUNCTION("""COMPUTED_VALUE"""),41209.99861111111)</f>
        <v>41209.99861</v>
      </c>
      <c r="B822" s="1">
        <f>IFERROR(__xludf.DUMMYFUNCTION("""COMPUTED_VALUE"""),2607.4844)</f>
        <v>2607.4844</v>
      </c>
    </row>
    <row r="823">
      <c r="A823" s="3">
        <f>IFERROR(__xludf.DUMMYFUNCTION("""COMPUTED_VALUE"""),41211.99861111111)</f>
        <v>41211.99861</v>
      </c>
      <c r="B823" s="1">
        <f>IFERROR(__xludf.DUMMYFUNCTION("""COMPUTED_VALUE"""),2606.382564)</f>
        <v>2606.382564</v>
      </c>
    </row>
    <row r="824">
      <c r="A824" s="3">
        <f>IFERROR(__xludf.DUMMYFUNCTION("""COMPUTED_VALUE"""),41212.99861111111)</f>
        <v>41212.99861</v>
      </c>
      <c r="B824" s="1">
        <f>IFERROR(__xludf.DUMMYFUNCTION("""COMPUTED_VALUE"""),2609.090262)</f>
        <v>2609.090262</v>
      </c>
    </row>
    <row r="825">
      <c r="A825" s="3">
        <f>IFERROR(__xludf.DUMMYFUNCTION("""COMPUTED_VALUE"""),41213.99861111111)</f>
        <v>41213.99861</v>
      </c>
      <c r="B825" s="1">
        <f>IFERROR(__xludf.DUMMYFUNCTION("""COMPUTED_VALUE"""),2606.39568)</f>
        <v>2606.39568</v>
      </c>
    </row>
    <row r="826">
      <c r="A826" s="3">
        <f>IFERROR(__xludf.DUMMYFUNCTION("""COMPUTED_VALUE"""),41214.99861111111)</f>
        <v>41214.99861</v>
      </c>
      <c r="B826" s="1">
        <f>IFERROR(__xludf.DUMMYFUNCTION("""COMPUTED_VALUE"""),2610.61447)</f>
        <v>2610.61447</v>
      </c>
    </row>
    <row r="827">
      <c r="A827" s="3">
        <f>IFERROR(__xludf.DUMMYFUNCTION("""COMPUTED_VALUE"""),41215.99861111111)</f>
        <v>41215.99861</v>
      </c>
      <c r="B827" s="1">
        <f>IFERROR(__xludf.DUMMYFUNCTION("""COMPUTED_VALUE"""),2608.899736)</f>
        <v>2608.899736</v>
      </c>
    </row>
    <row r="828">
      <c r="A828" s="3">
        <f>IFERROR(__xludf.DUMMYFUNCTION("""COMPUTED_VALUE"""),41216.99861111111)</f>
        <v>41216.99861</v>
      </c>
      <c r="B828" s="1">
        <f>IFERROR(__xludf.DUMMYFUNCTION("""COMPUTED_VALUE"""),2610.2062)</f>
        <v>2610.2062</v>
      </c>
    </row>
    <row r="829">
      <c r="A829" s="3">
        <f>IFERROR(__xludf.DUMMYFUNCTION("""COMPUTED_VALUE"""),41217.99861111111)</f>
        <v>41217.99861</v>
      </c>
      <c r="B829" s="1">
        <f>IFERROR(__xludf.DUMMYFUNCTION("""COMPUTED_VALUE"""),2604.544856)</f>
        <v>2604.544856</v>
      </c>
    </row>
    <row r="830">
      <c r="A830" s="3">
        <f>IFERROR(__xludf.DUMMYFUNCTION("""COMPUTED_VALUE"""),41218.99861111111)</f>
        <v>41218.99861</v>
      </c>
      <c r="B830" s="1">
        <f>IFERROR(__xludf.DUMMYFUNCTION("""COMPUTED_VALUE"""),2610.587252)</f>
        <v>2610.587252</v>
      </c>
    </row>
    <row r="831">
      <c r="A831" s="3">
        <f>IFERROR(__xludf.DUMMYFUNCTION("""COMPUTED_VALUE"""),41219.99861111111)</f>
        <v>41219.99861</v>
      </c>
      <c r="B831" s="1">
        <f>IFERROR(__xludf.DUMMYFUNCTION("""COMPUTED_VALUE"""),2610.369508)</f>
        <v>2610.369508</v>
      </c>
    </row>
    <row r="832">
      <c r="A832" s="3">
        <f>IFERROR(__xludf.DUMMYFUNCTION("""COMPUTED_VALUE"""),41220.99861111111)</f>
        <v>41220.99861</v>
      </c>
      <c r="B832" s="1">
        <f>IFERROR(__xludf.DUMMYFUNCTION("""COMPUTED_VALUE"""),2606.314026)</f>
        <v>2606.314026</v>
      </c>
    </row>
    <row r="833">
      <c r="A833" s="3">
        <f>IFERROR(__xludf.DUMMYFUNCTION("""COMPUTED_VALUE"""),41221.99861111111)</f>
        <v>41221.99861</v>
      </c>
      <c r="B833" s="1">
        <f>IFERROR(__xludf.DUMMYFUNCTION("""COMPUTED_VALUE"""),2613.417924)</f>
        <v>2613.417924</v>
      </c>
    </row>
    <row r="834">
      <c r="A834" s="3">
        <f>IFERROR(__xludf.DUMMYFUNCTION("""COMPUTED_VALUE"""),41222.99861111111)</f>
        <v>41222.99861</v>
      </c>
      <c r="B834" s="1">
        <f>IFERROR(__xludf.DUMMYFUNCTION("""COMPUTED_VALUE"""),2610.505598)</f>
        <v>2610.505598</v>
      </c>
    </row>
    <row r="835">
      <c r="A835" s="3">
        <f>IFERROR(__xludf.DUMMYFUNCTION("""COMPUTED_VALUE"""),41223.99861111111)</f>
        <v>41223.99861</v>
      </c>
      <c r="B835" s="1">
        <f>IFERROR(__xludf.DUMMYFUNCTION("""COMPUTED_VALUE"""),2611.5671)</f>
        <v>2611.5671</v>
      </c>
    </row>
    <row r="836">
      <c r="A836" s="3">
        <f>IFERROR(__xludf.DUMMYFUNCTION("""COMPUTED_VALUE"""),41225.99861111111)</f>
        <v>41225.99861</v>
      </c>
      <c r="B836" s="1">
        <f>IFERROR(__xludf.DUMMYFUNCTION("""COMPUTED_VALUE"""),2610.233418)</f>
        <v>2610.233418</v>
      </c>
    </row>
    <row r="837">
      <c r="A837" s="3">
        <f>IFERROR(__xludf.DUMMYFUNCTION("""COMPUTED_VALUE"""),41226.99861111111)</f>
        <v>41226.99861</v>
      </c>
      <c r="B837" s="1">
        <f>IFERROR(__xludf.DUMMYFUNCTION("""COMPUTED_VALUE"""),2611.675972)</f>
        <v>2611.675972</v>
      </c>
    </row>
    <row r="838">
      <c r="A838" s="3">
        <f>IFERROR(__xludf.DUMMYFUNCTION("""COMPUTED_VALUE"""),41227.99861111111)</f>
        <v>41227.99861</v>
      </c>
      <c r="B838" s="1">
        <f>IFERROR(__xludf.DUMMYFUNCTION("""COMPUTED_VALUE"""),2611.648754)</f>
        <v>2611.648754</v>
      </c>
    </row>
    <row r="839">
      <c r="A839" s="3">
        <f>IFERROR(__xludf.DUMMYFUNCTION("""COMPUTED_VALUE"""),41228.99861111111)</f>
        <v>41228.99861</v>
      </c>
      <c r="B839" s="1">
        <f>IFERROR(__xludf.DUMMYFUNCTION("""COMPUTED_VALUE"""),2611.70319)</f>
        <v>2611.70319</v>
      </c>
    </row>
    <row r="840">
      <c r="A840" s="3">
        <f>IFERROR(__xludf.DUMMYFUNCTION("""COMPUTED_VALUE"""),41229.99861111111)</f>
        <v>41229.99861</v>
      </c>
      <c r="B840" s="1">
        <f>IFERROR(__xludf.DUMMYFUNCTION("""COMPUTED_VALUE"""),2612.864925)</f>
        <v>2612.864925</v>
      </c>
    </row>
    <row r="841">
      <c r="A841" s="3">
        <f>IFERROR(__xludf.DUMMYFUNCTION("""COMPUTED_VALUE"""),41230.99861111111)</f>
        <v>41230.99861</v>
      </c>
      <c r="B841" s="1">
        <f>IFERROR(__xludf.DUMMYFUNCTION("""COMPUTED_VALUE"""),2612.928)</f>
        <v>2612.928</v>
      </c>
    </row>
    <row r="842">
      <c r="A842" s="3">
        <f>IFERROR(__xludf.DUMMYFUNCTION("""COMPUTED_VALUE"""),41232.99861111111)</f>
        <v>41232.99861</v>
      </c>
      <c r="B842" s="1">
        <f>IFERROR(__xludf.DUMMYFUNCTION("""COMPUTED_VALUE"""),2613.009654)</f>
        <v>2613.009654</v>
      </c>
    </row>
    <row r="843">
      <c r="A843" s="3">
        <f>IFERROR(__xludf.DUMMYFUNCTION("""COMPUTED_VALUE"""),41233.99861111111)</f>
        <v>41233.99861</v>
      </c>
      <c r="B843" s="1">
        <f>IFERROR(__xludf.DUMMYFUNCTION("""COMPUTED_VALUE"""),2613.989502)</f>
        <v>2613.989502</v>
      </c>
    </row>
    <row r="844">
      <c r="A844" s="3">
        <f>IFERROR(__xludf.DUMMYFUNCTION("""COMPUTED_VALUE"""),41234.99861111111)</f>
        <v>41234.99861</v>
      </c>
      <c r="B844" s="1">
        <f>IFERROR(__xludf.DUMMYFUNCTION("""COMPUTED_VALUE"""),2614.42499)</f>
        <v>2614.42499</v>
      </c>
    </row>
    <row r="845">
      <c r="A845" s="3">
        <f>IFERROR(__xludf.DUMMYFUNCTION("""COMPUTED_VALUE"""),41235.99861111111)</f>
        <v>41235.99861</v>
      </c>
      <c r="B845" s="1">
        <f>IFERROR(__xludf.DUMMYFUNCTION("""COMPUTED_VALUE"""),2612.38364)</f>
        <v>2612.38364</v>
      </c>
    </row>
    <row r="846">
      <c r="A846" s="3">
        <f>IFERROR(__xludf.DUMMYFUNCTION("""COMPUTED_VALUE"""),41236.99861111111)</f>
        <v>41236.99861</v>
      </c>
      <c r="B846" s="1">
        <f>IFERROR(__xludf.DUMMYFUNCTION("""COMPUTED_VALUE"""),2607.511618)</f>
        <v>2607.511618</v>
      </c>
    </row>
    <row r="847">
      <c r="A847" s="3">
        <f>IFERROR(__xludf.DUMMYFUNCTION("""COMPUTED_VALUE"""),41237.99861111111)</f>
        <v>41237.99861</v>
      </c>
      <c r="B847" s="1">
        <f>IFERROR(__xludf.DUMMYFUNCTION("""COMPUTED_VALUE"""),2607.21222)</f>
        <v>2607.21222</v>
      </c>
    </row>
    <row r="848">
      <c r="A848" s="3">
        <f>IFERROR(__xludf.DUMMYFUNCTION("""COMPUTED_VALUE"""),41239.99861111111)</f>
        <v>41239.99861</v>
      </c>
      <c r="B848" s="1">
        <f>IFERROR(__xludf.DUMMYFUNCTION("""COMPUTED_VALUE"""),2605.061998)</f>
        <v>2605.061998</v>
      </c>
    </row>
    <row r="849">
      <c r="A849" s="3">
        <f>IFERROR(__xludf.DUMMYFUNCTION("""COMPUTED_VALUE"""),41240.99861111111)</f>
        <v>41240.99861</v>
      </c>
      <c r="B849" s="1">
        <f>IFERROR(__xludf.DUMMYFUNCTION("""COMPUTED_VALUE"""),2605.225306)</f>
        <v>2605.225306</v>
      </c>
    </row>
    <row r="850">
      <c r="A850" s="3">
        <f>IFERROR(__xludf.DUMMYFUNCTION("""COMPUTED_VALUE"""),41241.99861111111)</f>
        <v>41241.99861</v>
      </c>
      <c r="B850" s="1">
        <f>IFERROR(__xludf.DUMMYFUNCTION("""COMPUTED_VALUE"""),2605.17087)</f>
        <v>2605.17087</v>
      </c>
    </row>
    <row r="851">
      <c r="A851" s="3">
        <f>IFERROR(__xludf.DUMMYFUNCTION("""COMPUTED_VALUE"""),41242.99861111111)</f>
        <v>41242.99861</v>
      </c>
      <c r="B851" s="1">
        <f>IFERROR(__xludf.DUMMYFUNCTION("""COMPUTED_VALUE"""),2605.143652)</f>
        <v>2605.143652</v>
      </c>
    </row>
    <row r="852">
      <c r="A852" s="3">
        <f>IFERROR(__xludf.DUMMYFUNCTION("""COMPUTED_VALUE"""),41243.99861111111)</f>
        <v>41243.99861</v>
      </c>
      <c r="B852" s="1">
        <f>IFERROR(__xludf.DUMMYFUNCTION("""COMPUTED_VALUE"""),2607.34831)</f>
        <v>2607.34831</v>
      </c>
    </row>
    <row r="853">
      <c r="A853" s="3">
        <f>IFERROR(__xludf.DUMMYFUNCTION("""COMPUTED_VALUE"""),41244.99861111111)</f>
        <v>41244.99861</v>
      </c>
      <c r="B853" s="1">
        <f>IFERROR(__xludf.DUMMYFUNCTION("""COMPUTED_VALUE"""),2604.49042)</f>
        <v>2604.49042</v>
      </c>
    </row>
    <row r="854">
      <c r="A854" s="3">
        <f>IFERROR(__xludf.DUMMYFUNCTION("""COMPUTED_VALUE"""),41246.99861111111)</f>
        <v>41246.99861</v>
      </c>
      <c r="B854" s="1">
        <f>IFERROR(__xludf.DUMMYFUNCTION("""COMPUTED_VALUE"""),2603.565008)</f>
        <v>2603.565008</v>
      </c>
    </row>
    <row r="855">
      <c r="A855" s="3">
        <f>IFERROR(__xludf.DUMMYFUNCTION("""COMPUTED_VALUE"""),41247.99861111111)</f>
        <v>41247.99861</v>
      </c>
      <c r="B855" s="1">
        <f>IFERROR(__xludf.DUMMYFUNCTION("""COMPUTED_VALUE"""),2605.742448)</f>
        <v>2605.742448</v>
      </c>
    </row>
    <row r="856">
      <c r="A856" s="3">
        <f>IFERROR(__xludf.DUMMYFUNCTION("""COMPUTED_VALUE"""),41248.99861111111)</f>
        <v>41248.99861</v>
      </c>
      <c r="B856" s="1">
        <f>IFERROR(__xludf.DUMMYFUNCTION("""COMPUTED_VALUE"""),2604.980344)</f>
        <v>2604.980344</v>
      </c>
    </row>
    <row r="857">
      <c r="A857" s="3">
        <f>IFERROR(__xludf.DUMMYFUNCTION("""COMPUTED_VALUE"""),41249.99861111111)</f>
        <v>41249.99861</v>
      </c>
      <c r="B857" s="1">
        <f>IFERROR(__xludf.DUMMYFUNCTION("""COMPUTED_VALUE"""),2607.729362)</f>
        <v>2607.729362</v>
      </c>
    </row>
    <row r="858">
      <c r="A858" s="3">
        <f>IFERROR(__xludf.DUMMYFUNCTION("""COMPUTED_VALUE"""),41250.99861111111)</f>
        <v>41250.99861</v>
      </c>
      <c r="B858" s="1">
        <f>IFERROR(__xludf.DUMMYFUNCTION("""COMPUTED_VALUE"""),2610.832214)</f>
        <v>2610.832214</v>
      </c>
    </row>
    <row r="859">
      <c r="A859" s="3">
        <f>IFERROR(__xludf.DUMMYFUNCTION("""COMPUTED_VALUE"""),41251.99861111111)</f>
        <v>41251.99861</v>
      </c>
      <c r="B859" s="1">
        <f>IFERROR(__xludf.DUMMYFUNCTION("""COMPUTED_VALUE"""),2611.5671)</f>
        <v>2611.5671</v>
      </c>
    </row>
    <row r="860">
      <c r="A860" s="3">
        <f>IFERROR(__xludf.DUMMYFUNCTION("""COMPUTED_VALUE"""),41253.99861111111)</f>
        <v>41253.99861</v>
      </c>
      <c r="B860" s="1">
        <f>IFERROR(__xludf.DUMMYFUNCTION("""COMPUTED_VALUE"""),2613.145744)</f>
        <v>2613.145744</v>
      </c>
    </row>
    <row r="861">
      <c r="A861" s="3">
        <f>IFERROR(__xludf.DUMMYFUNCTION("""COMPUTED_VALUE"""),41254.99861111111)</f>
        <v>41254.99861</v>
      </c>
      <c r="B861" s="1">
        <f>IFERROR(__xludf.DUMMYFUNCTION("""COMPUTED_VALUE"""),2614.452208)</f>
        <v>2614.452208</v>
      </c>
    </row>
    <row r="862">
      <c r="A862" s="3">
        <f>IFERROR(__xludf.DUMMYFUNCTION("""COMPUTED_VALUE"""),41255.99861111111)</f>
        <v>41255.99861</v>
      </c>
      <c r="B862" s="1">
        <f>IFERROR(__xludf.DUMMYFUNCTION("""COMPUTED_VALUE"""),2613.417924)</f>
        <v>2613.417924</v>
      </c>
    </row>
    <row r="863">
      <c r="A863" s="3">
        <f>IFERROR(__xludf.DUMMYFUNCTION("""COMPUTED_VALUE"""),41256.99861111111)</f>
        <v>41256.99861</v>
      </c>
      <c r="B863" s="1">
        <f>IFERROR(__xludf.DUMMYFUNCTION("""COMPUTED_VALUE"""),2614.588298)</f>
        <v>2614.588298</v>
      </c>
    </row>
    <row r="864">
      <c r="A864" s="3">
        <f>IFERROR(__xludf.DUMMYFUNCTION("""COMPUTED_VALUE"""),41257.99861111111)</f>
        <v>41257.99861</v>
      </c>
      <c r="B864" s="1">
        <f>IFERROR(__xludf.DUMMYFUNCTION("""COMPUTED_VALUE"""),2615.37762)</f>
        <v>2615.37762</v>
      </c>
    </row>
    <row r="865">
      <c r="A865" s="3">
        <f>IFERROR(__xludf.DUMMYFUNCTION("""COMPUTED_VALUE"""),41258.99861111111)</f>
        <v>41258.99861</v>
      </c>
      <c r="B865" s="1">
        <f>IFERROR(__xludf.DUMMYFUNCTION("""COMPUTED_VALUE"""),2615.323184)</f>
        <v>2615.323184</v>
      </c>
    </row>
    <row r="866">
      <c r="A866" s="3">
        <f>IFERROR(__xludf.DUMMYFUNCTION("""COMPUTED_VALUE"""),41260.99861111111)</f>
        <v>41260.99861</v>
      </c>
      <c r="B866" s="1">
        <f>IFERROR(__xludf.DUMMYFUNCTION("""COMPUTED_VALUE"""),2616.139724)</f>
        <v>2616.139724</v>
      </c>
    </row>
    <row r="867">
      <c r="A867" s="3">
        <f>IFERROR(__xludf.DUMMYFUNCTION("""COMPUTED_VALUE"""),41261.99861111111)</f>
        <v>41261.99861</v>
      </c>
      <c r="B867" s="1">
        <f>IFERROR(__xludf.DUMMYFUNCTION("""COMPUTED_VALUE"""),2617.201226)</f>
        <v>2617.201226</v>
      </c>
    </row>
    <row r="868">
      <c r="A868" s="3">
        <f>IFERROR(__xludf.DUMMYFUNCTION("""COMPUTED_VALUE"""),41262.99861111111)</f>
        <v>41262.99861</v>
      </c>
      <c r="B868" s="1">
        <f>IFERROR(__xludf.DUMMYFUNCTION("""COMPUTED_VALUE"""),2618.997614)</f>
        <v>2618.997614</v>
      </c>
    </row>
    <row r="869">
      <c r="A869" s="3">
        <f>IFERROR(__xludf.DUMMYFUNCTION("""COMPUTED_VALUE"""),41263.99861111111)</f>
        <v>41263.99861</v>
      </c>
      <c r="B869" s="1">
        <f>IFERROR(__xludf.DUMMYFUNCTION("""COMPUTED_VALUE"""),2619.46032)</f>
        <v>2619.46032</v>
      </c>
    </row>
    <row r="870">
      <c r="A870" s="3">
        <f>IFERROR(__xludf.DUMMYFUNCTION("""COMPUTED_VALUE"""),41264.99861111111)</f>
        <v>41264.99861</v>
      </c>
      <c r="B870" s="1">
        <f>IFERROR(__xludf.DUMMYFUNCTION("""COMPUTED_VALUE"""),2620.14077)</f>
        <v>2620.14077</v>
      </c>
    </row>
    <row r="871">
      <c r="A871" s="3">
        <f>IFERROR(__xludf.DUMMYFUNCTION("""COMPUTED_VALUE"""),41267.99861111111)</f>
        <v>41267.99861</v>
      </c>
      <c r="B871" s="1">
        <f>IFERROR(__xludf.DUMMYFUNCTION("""COMPUTED_VALUE"""),2621.951832)</f>
        <v>2621.951832</v>
      </c>
    </row>
    <row r="872">
      <c r="A872" s="3">
        <f>IFERROR(__xludf.DUMMYFUNCTION("""COMPUTED_VALUE"""),41268.99861111111)</f>
        <v>41268.99861</v>
      </c>
      <c r="B872" s="1">
        <f>IFERROR(__xludf.DUMMYFUNCTION("""COMPUTED_VALUE"""),2621.325795)</f>
        <v>2621.325795</v>
      </c>
    </row>
    <row r="873">
      <c r="A873" s="3">
        <f>IFERROR(__xludf.DUMMYFUNCTION("""COMPUTED_VALUE"""),41269.99861111111)</f>
        <v>41269.99861</v>
      </c>
      <c r="B873" s="1">
        <f>IFERROR(__xludf.DUMMYFUNCTION("""COMPUTED_VALUE"""),2620.82122)</f>
        <v>2620.82122</v>
      </c>
    </row>
    <row r="874">
      <c r="A874" s="3">
        <f>IFERROR(__xludf.DUMMYFUNCTION("""COMPUTED_VALUE"""),41270.99861111111)</f>
        <v>41270.99861</v>
      </c>
      <c r="B874" s="1">
        <f>IFERROR(__xludf.DUMMYFUNCTION("""COMPUTED_VALUE"""),2622.154902)</f>
        <v>2622.154902</v>
      </c>
    </row>
    <row r="875">
      <c r="A875" s="3">
        <f>IFERROR(__xludf.DUMMYFUNCTION("""COMPUTED_VALUE"""),41271.99861111111)</f>
        <v>41271.99861</v>
      </c>
      <c r="B875" s="1">
        <f>IFERROR(__xludf.DUMMYFUNCTION("""COMPUTED_VALUE"""),2621.7675)</f>
        <v>2621.7675</v>
      </c>
    </row>
    <row r="876">
      <c r="A876" s="3">
        <f>IFERROR(__xludf.DUMMYFUNCTION("""COMPUTED_VALUE"""),41272.99861111111)</f>
        <v>41272.99861</v>
      </c>
      <c r="B876" s="1">
        <f>IFERROR(__xludf.DUMMYFUNCTION("""COMPUTED_VALUE"""),2616.357468)</f>
        <v>2616.357468</v>
      </c>
    </row>
    <row r="877">
      <c r="A877" s="3">
        <f>IFERROR(__xludf.DUMMYFUNCTION("""COMPUTED_VALUE"""),41274.99861111111)</f>
        <v>41274.99861</v>
      </c>
      <c r="B877" s="1">
        <f>IFERROR(__xludf.DUMMYFUNCTION("""COMPUTED_VALUE"""),2615.37762)</f>
        <v>2615.37762</v>
      </c>
    </row>
    <row r="878">
      <c r="A878" s="3">
        <f>IFERROR(__xludf.DUMMYFUNCTION("""COMPUTED_VALUE"""),41275.99861111111)</f>
        <v>41275.99861</v>
      </c>
      <c r="B878" s="1">
        <f>IFERROR(__xludf.DUMMYFUNCTION("""COMPUTED_VALUE"""),2615.37762)</f>
        <v>2615.37762</v>
      </c>
    </row>
    <row r="879">
      <c r="A879" s="3">
        <f>IFERROR(__xludf.DUMMYFUNCTION("""COMPUTED_VALUE"""),41276.99861111111)</f>
        <v>41276.99861</v>
      </c>
      <c r="B879" s="1">
        <f>IFERROR(__xludf.DUMMYFUNCTION("""COMPUTED_VALUE"""),2619.05205)</f>
        <v>2619.05205</v>
      </c>
    </row>
    <row r="880">
      <c r="A880" s="3">
        <f>IFERROR(__xludf.DUMMYFUNCTION("""COMPUTED_VALUE"""),41277.99861111111)</f>
        <v>41277.99861</v>
      </c>
      <c r="B880" s="1">
        <f>IFERROR(__xludf.DUMMYFUNCTION("""COMPUTED_VALUE"""),2620.086334)</f>
        <v>2620.086334</v>
      </c>
    </row>
    <row r="881">
      <c r="A881" s="3">
        <f>IFERROR(__xludf.DUMMYFUNCTION("""COMPUTED_VALUE"""),41278.99861111111)</f>
        <v>41278.99861</v>
      </c>
      <c r="B881" s="1">
        <f>IFERROR(__xludf.DUMMYFUNCTION("""COMPUTED_VALUE"""),2622.372646)</f>
        <v>2622.372646</v>
      </c>
    </row>
    <row r="882">
      <c r="A882" s="3">
        <f>IFERROR(__xludf.DUMMYFUNCTION("""COMPUTED_VALUE"""),41279.99861111111)</f>
        <v>41279.99861</v>
      </c>
      <c r="B882" s="1">
        <f>IFERROR(__xludf.DUMMYFUNCTION("""COMPUTED_VALUE"""),2659.6871)</f>
        <v>2659.6871</v>
      </c>
    </row>
    <row r="883">
      <c r="A883" s="3">
        <f>IFERROR(__xludf.DUMMYFUNCTION("""COMPUTED_VALUE"""),41281.99861111111)</f>
        <v>41281.99861</v>
      </c>
      <c r="B883" s="1">
        <f>IFERROR(__xludf.DUMMYFUNCTION("""COMPUTED_VALUE"""),2623.570238)</f>
        <v>2623.570238</v>
      </c>
    </row>
    <row r="884">
      <c r="A884" s="3">
        <f>IFERROR(__xludf.DUMMYFUNCTION("""COMPUTED_VALUE"""),41282.99861111111)</f>
        <v>41282.99861</v>
      </c>
      <c r="B884" s="1">
        <f>IFERROR(__xludf.DUMMYFUNCTION("""COMPUTED_VALUE"""),2624.141816)</f>
        <v>2624.141816</v>
      </c>
    </row>
    <row r="885">
      <c r="A885" s="3">
        <f>IFERROR(__xludf.DUMMYFUNCTION("""COMPUTED_VALUE"""),41283.99861111111)</f>
        <v>41283.99861</v>
      </c>
      <c r="B885" s="1">
        <f>IFERROR(__xludf.DUMMYFUNCTION("""COMPUTED_VALUE"""),2621.664978)</f>
        <v>2621.664978</v>
      </c>
    </row>
    <row r="886">
      <c r="A886" s="3">
        <f>IFERROR(__xludf.DUMMYFUNCTION("""COMPUTED_VALUE"""),41284.99861111111)</f>
        <v>41284.99861</v>
      </c>
      <c r="B886" s="1">
        <f>IFERROR(__xludf.DUMMYFUNCTION("""COMPUTED_VALUE"""),2621.63776)</f>
        <v>2621.63776</v>
      </c>
    </row>
    <row r="887">
      <c r="A887" s="3">
        <f>IFERROR(__xludf.DUMMYFUNCTION("""COMPUTED_VALUE"""),41285.99861111111)</f>
        <v>41285.99861</v>
      </c>
      <c r="B887" s="1">
        <f>IFERROR(__xludf.DUMMYFUNCTION("""COMPUTED_VALUE"""),2614.397772)</f>
        <v>2614.397772</v>
      </c>
    </row>
    <row r="888">
      <c r="A888" s="3">
        <f>IFERROR(__xludf.DUMMYFUNCTION("""COMPUTED_VALUE"""),41286.99861111111)</f>
        <v>41286.99861</v>
      </c>
      <c r="B888" s="1">
        <f>IFERROR(__xludf.DUMMYFUNCTION("""COMPUTED_VALUE"""),2614.098374)</f>
        <v>2614.098374</v>
      </c>
    </row>
    <row r="889">
      <c r="A889" s="3">
        <f>IFERROR(__xludf.DUMMYFUNCTION("""COMPUTED_VALUE"""),41288.99861111111)</f>
        <v>41288.99861</v>
      </c>
      <c r="B889" s="1">
        <f>IFERROR(__xludf.DUMMYFUNCTION("""COMPUTED_VALUE"""),2614.778824)</f>
        <v>2614.778824</v>
      </c>
    </row>
    <row r="890">
      <c r="A890" s="3">
        <f>IFERROR(__xludf.DUMMYFUNCTION("""COMPUTED_VALUE"""),41289.99861111111)</f>
        <v>41289.99861</v>
      </c>
      <c r="B890" s="1">
        <f>IFERROR(__xludf.DUMMYFUNCTION("""COMPUTED_VALUE"""),2618.807088)</f>
        <v>2618.807088</v>
      </c>
    </row>
    <row r="891">
      <c r="A891" s="3">
        <f>IFERROR(__xludf.DUMMYFUNCTION("""COMPUTED_VALUE"""),41290.99861111111)</f>
        <v>41290.99861</v>
      </c>
      <c r="B891" s="1">
        <f>IFERROR(__xludf.DUMMYFUNCTION("""COMPUTED_VALUE"""),2620.059116)</f>
        <v>2620.059116</v>
      </c>
    </row>
    <row r="892">
      <c r="A892" s="3">
        <f>IFERROR(__xludf.DUMMYFUNCTION("""COMPUTED_VALUE"""),41291.99861111111)</f>
        <v>41291.99861</v>
      </c>
      <c r="B892" s="1">
        <f>IFERROR(__xludf.DUMMYFUNCTION("""COMPUTED_VALUE"""),2618.861524)</f>
        <v>2618.861524</v>
      </c>
    </row>
    <row r="893">
      <c r="A893" s="3">
        <f>IFERROR(__xludf.DUMMYFUNCTION("""COMPUTED_VALUE"""),41292.99861111111)</f>
        <v>41292.99861</v>
      </c>
      <c r="B893" s="1">
        <f>IFERROR(__xludf.DUMMYFUNCTION("""COMPUTED_VALUE"""),2613.662886)</f>
        <v>2613.662886</v>
      </c>
    </row>
    <row r="894">
      <c r="A894" s="3">
        <f>IFERROR(__xludf.DUMMYFUNCTION("""COMPUTED_VALUE"""),41293.99861111111)</f>
        <v>41293.99861</v>
      </c>
      <c r="B894" s="1">
        <f>IFERROR(__xludf.DUMMYFUNCTION("""COMPUTED_VALUE"""),2612.873564)</f>
        <v>2612.873564</v>
      </c>
    </row>
    <row r="895">
      <c r="A895" s="3">
        <f>IFERROR(__xludf.DUMMYFUNCTION("""COMPUTED_VALUE"""),41295.99861111111)</f>
        <v>41295.99861</v>
      </c>
      <c r="B895" s="1">
        <f>IFERROR(__xludf.DUMMYFUNCTION("""COMPUTED_VALUE"""),2610.042892)</f>
        <v>2610.042892</v>
      </c>
    </row>
    <row r="896">
      <c r="A896" s="3">
        <f>IFERROR(__xludf.DUMMYFUNCTION("""COMPUTED_VALUE"""),41296.99861111111)</f>
        <v>41296.99861</v>
      </c>
      <c r="B896" s="1">
        <f>IFERROR(__xludf.DUMMYFUNCTION("""COMPUTED_VALUE"""),2610.641688)</f>
        <v>2610.641688</v>
      </c>
    </row>
    <row r="897">
      <c r="A897" s="3">
        <f>IFERROR(__xludf.DUMMYFUNCTION("""COMPUTED_VALUE"""),41297.99861111111)</f>
        <v>41297.99861</v>
      </c>
      <c r="B897" s="1">
        <f>IFERROR(__xludf.DUMMYFUNCTION("""COMPUTED_VALUE"""),2612.084242)</f>
        <v>2612.084242</v>
      </c>
    </row>
    <row r="898">
      <c r="A898" s="3">
        <f>IFERROR(__xludf.DUMMYFUNCTION("""COMPUTED_VALUE"""),41298.99861111111)</f>
        <v>41298.99861</v>
      </c>
      <c r="B898" s="1">
        <f>IFERROR(__xludf.DUMMYFUNCTION("""COMPUTED_VALUE"""),2612.24755)</f>
        <v>2612.24755</v>
      </c>
    </row>
    <row r="899">
      <c r="A899" s="3">
        <f>IFERROR(__xludf.DUMMYFUNCTION("""COMPUTED_VALUE"""),41299.99861111111)</f>
        <v>41299.99861</v>
      </c>
      <c r="B899" s="1">
        <f>IFERROR(__xludf.DUMMYFUNCTION("""COMPUTED_VALUE"""),2619.024832)</f>
        <v>2619.024832</v>
      </c>
    </row>
    <row r="900">
      <c r="A900" s="3">
        <f>IFERROR(__xludf.DUMMYFUNCTION("""COMPUTED_VALUE"""),41300.99861111111)</f>
        <v>41300.99861</v>
      </c>
      <c r="B900" s="1">
        <f>IFERROR(__xludf.DUMMYFUNCTION("""COMPUTED_VALUE"""),2608.137632)</f>
        <v>2608.137632</v>
      </c>
    </row>
    <row r="901">
      <c r="A901" s="3">
        <f>IFERROR(__xludf.DUMMYFUNCTION("""COMPUTED_VALUE"""),41302.99861111111)</f>
        <v>41302.99861</v>
      </c>
      <c r="B901" s="1">
        <f>IFERROR(__xludf.DUMMYFUNCTION("""COMPUTED_VALUE"""),2626.482564)</f>
        <v>2626.482564</v>
      </c>
    </row>
    <row r="902">
      <c r="A902" s="3">
        <f>IFERROR(__xludf.DUMMYFUNCTION("""COMPUTED_VALUE"""),41303.99861111111)</f>
        <v>41303.99861</v>
      </c>
      <c r="B902" s="1">
        <f>IFERROR(__xludf.DUMMYFUNCTION("""COMPUTED_VALUE"""),2626.537)</f>
        <v>2626.537</v>
      </c>
    </row>
    <row r="903">
      <c r="A903" s="3">
        <f>IFERROR(__xludf.DUMMYFUNCTION("""COMPUTED_VALUE"""),41304.99861111111)</f>
        <v>41304.99861</v>
      </c>
      <c r="B903" s="1">
        <f>IFERROR(__xludf.DUMMYFUNCTION("""COMPUTED_VALUE"""),2629.177146)</f>
        <v>2629.177146</v>
      </c>
    </row>
    <row r="904">
      <c r="A904" s="3">
        <f>IFERROR(__xludf.DUMMYFUNCTION("""COMPUTED_VALUE"""),41305.99861111111)</f>
        <v>41305.99861</v>
      </c>
      <c r="B904" s="1">
        <f>IFERROR(__xludf.DUMMYFUNCTION("""COMPUTED_VALUE"""),2631.953382)</f>
        <v>2631.953382</v>
      </c>
    </row>
    <row r="905">
      <c r="A905" s="3">
        <f>IFERROR(__xludf.DUMMYFUNCTION("""COMPUTED_VALUE"""),41306.99861111111)</f>
        <v>41306.99861</v>
      </c>
      <c r="B905" s="1">
        <f>IFERROR(__xludf.DUMMYFUNCTION("""COMPUTED_VALUE"""),2638.37683)</f>
        <v>2638.37683</v>
      </c>
    </row>
    <row r="906">
      <c r="A906" s="3">
        <f>IFERROR(__xludf.DUMMYFUNCTION("""COMPUTED_VALUE"""),41308.99861111111)</f>
        <v>41308.99861</v>
      </c>
      <c r="B906" s="1">
        <f>IFERROR(__xludf.DUMMYFUNCTION("""COMPUTED_VALUE"""),2616.316641)</f>
        <v>2616.316641</v>
      </c>
    </row>
    <row r="907">
      <c r="A907" s="3">
        <f>IFERROR(__xludf.DUMMYFUNCTION("""COMPUTED_VALUE"""),41309.99861111111)</f>
        <v>41309.99861</v>
      </c>
      <c r="B907" s="1">
        <f>IFERROR(__xludf.DUMMYFUNCTION("""COMPUTED_VALUE"""),2624.550086)</f>
        <v>2624.550086</v>
      </c>
    </row>
    <row r="908">
      <c r="A908" s="3">
        <f>IFERROR(__xludf.DUMMYFUNCTION("""COMPUTED_VALUE"""),41310.99861111111)</f>
        <v>41310.99861</v>
      </c>
      <c r="B908" s="1">
        <f>IFERROR(__xludf.DUMMYFUNCTION("""COMPUTED_VALUE"""),2625.965422)</f>
        <v>2625.965422</v>
      </c>
    </row>
    <row r="909">
      <c r="A909" s="3">
        <f>IFERROR(__xludf.DUMMYFUNCTION("""COMPUTED_VALUE"""),41311.99861111111)</f>
        <v>41311.99861</v>
      </c>
      <c r="B909" s="1">
        <f>IFERROR(__xludf.DUMMYFUNCTION("""COMPUTED_VALUE"""),2635.273978)</f>
        <v>2635.273978</v>
      </c>
    </row>
    <row r="910">
      <c r="A910" s="3">
        <f>IFERROR(__xludf.DUMMYFUNCTION("""COMPUTED_VALUE"""),41312.99861111111)</f>
        <v>41312.99861</v>
      </c>
      <c r="B910" s="1">
        <f>IFERROR(__xludf.DUMMYFUNCTION("""COMPUTED_VALUE"""),2630.89188)</f>
        <v>2630.89188</v>
      </c>
    </row>
    <row r="911">
      <c r="A911" s="3">
        <f>IFERROR(__xludf.DUMMYFUNCTION("""COMPUTED_VALUE"""),41313.99861111111)</f>
        <v>41313.99861</v>
      </c>
      <c r="B911" s="1">
        <f>IFERROR(__xludf.DUMMYFUNCTION("""COMPUTED_VALUE"""),2623.787982)</f>
        <v>2623.787982</v>
      </c>
    </row>
    <row r="912">
      <c r="A912" s="3">
        <f>IFERROR(__xludf.DUMMYFUNCTION("""COMPUTED_VALUE"""),41314.99861111111)</f>
        <v>41314.99861</v>
      </c>
      <c r="B912" s="1">
        <f>IFERROR(__xludf.DUMMYFUNCTION("""COMPUTED_VALUE"""),2623.243622)</f>
        <v>2623.243622</v>
      </c>
    </row>
    <row r="913">
      <c r="A913" s="3">
        <f>IFERROR(__xludf.DUMMYFUNCTION("""COMPUTED_VALUE"""),41316.99861111111)</f>
        <v>41316.99861</v>
      </c>
      <c r="B913" s="1">
        <f>IFERROR(__xludf.DUMMYFUNCTION("""COMPUTED_VALUE"""),2611.049958)</f>
        <v>2611.049958</v>
      </c>
    </row>
    <row r="914">
      <c r="A914" s="3">
        <f>IFERROR(__xludf.DUMMYFUNCTION("""COMPUTED_VALUE"""),41317.99861111111)</f>
        <v>41317.99861</v>
      </c>
      <c r="B914" s="1">
        <f>IFERROR(__xludf.DUMMYFUNCTION("""COMPUTED_VALUE"""),2617.745586)</f>
        <v>2617.745586</v>
      </c>
    </row>
    <row r="915">
      <c r="A915" s="3">
        <f>IFERROR(__xludf.DUMMYFUNCTION("""COMPUTED_VALUE"""),41318.99861111111)</f>
        <v>41318.99861</v>
      </c>
      <c r="B915" s="1">
        <f>IFERROR(__xludf.DUMMYFUNCTION("""COMPUTED_VALUE"""),2617.96333)</f>
        <v>2617.96333</v>
      </c>
    </row>
    <row r="916">
      <c r="A916" s="3">
        <f>IFERROR(__xludf.DUMMYFUNCTION("""COMPUTED_VALUE"""),41319.99861111111)</f>
        <v>41319.99861</v>
      </c>
      <c r="B916" s="1">
        <f>IFERROR(__xludf.DUMMYFUNCTION("""COMPUTED_VALUE"""),2621.528888)</f>
        <v>2621.528888</v>
      </c>
    </row>
    <row r="917">
      <c r="A917" s="3">
        <f>IFERROR(__xludf.DUMMYFUNCTION("""COMPUTED_VALUE"""),41320.99861111111)</f>
        <v>41320.99861</v>
      </c>
      <c r="B917" s="1">
        <f>IFERROR(__xludf.DUMMYFUNCTION("""COMPUTED_VALUE"""),2623.325276)</f>
        <v>2623.325276</v>
      </c>
    </row>
    <row r="918">
      <c r="A918" s="3">
        <f>IFERROR(__xludf.DUMMYFUNCTION("""COMPUTED_VALUE"""),41321.99861111111)</f>
        <v>41321.99861</v>
      </c>
      <c r="B918" s="1">
        <f>IFERROR(__xludf.DUMMYFUNCTION("""COMPUTED_VALUE"""),2625.1761)</f>
        <v>2625.1761</v>
      </c>
    </row>
    <row r="919">
      <c r="A919" s="3">
        <f>IFERROR(__xludf.DUMMYFUNCTION("""COMPUTED_VALUE"""),41323.99861111111)</f>
        <v>41323.99861</v>
      </c>
      <c r="B919" s="1">
        <f>IFERROR(__xludf.DUMMYFUNCTION("""COMPUTED_VALUE"""),2627.516848)</f>
        <v>2627.516848</v>
      </c>
    </row>
    <row r="920">
      <c r="A920" s="3">
        <f>IFERROR(__xludf.DUMMYFUNCTION("""COMPUTED_VALUE"""),41324.99861111111)</f>
        <v>41324.99861</v>
      </c>
      <c r="B920" s="1">
        <f>IFERROR(__xludf.DUMMYFUNCTION("""COMPUTED_VALUE"""),2633.314282)</f>
        <v>2633.314282</v>
      </c>
    </row>
    <row r="921">
      <c r="A921" s="3">
        <f>IFERROR(__xludf.DUMMYFUNCTION("""COMPUTED_VALUE"""),41325.99861111111)</f>
        <v>41325.99861</v>
      </c>
      <c r="B921" s="1">
        <f>IFERROR(__xludf.DUMMYFUNCTION("""COMPUTED_VALUE"""),2628.03399)</f>
        <v>2628.03399</v>
      </c>
    </row>
    <row r="922">
      <c r="A922" s="3">
        <f>IFERROR(__xludf.DUMMYFUNCTION("""COMPUTED_VALUE"""),41326.99861111111)</f>
        <v>41326.99861</v>
      </c>
      <c r="B922" s="1">
        <f>IFERROR(__xludf.DUMMYFUNCTION("""COMPUTED_VALUE"""),2633.20541)</f>
        <v>2633.20541</v>
      </c>
    </row>
    <row r="923">
      <c r="A923" s="3">
        <f>IFERROR(__xludf.DUMMYFUNCTION("""COMPUTED_VALUE"""),41327.99861111111)</f>
        <v>41327.99861</v>
      </c>
      <c r="B923" s="1">
        <f>IFERROR(__xludf.DUMMYFUNCTION("""COMPUTED_VALUE"""),2633.47759)</f>
        <v>2633.47759</v>
      </c>
    </row>
    <row r="924">
      <c r="A924" s="3">
        <f>IFERROR(__xludf.DUMMYFUNCTION("""COMPUTED_VALUE"""),41328.99861111111)</f>
        <v>41328.99861</v>
      </c>
      <c r="B924" s="1">
        <f>IFERROR(__xludf.DUMMYFUNCTION("""COMPUTED_VALUE"""),2635.79112)</f>
        <v>2635.79112</v>
      </c>
    </row>
    <row r="925">
      <c r="A925" s="3">
        <f>IFERROR(__xludf.DUMMYFUNCTION("""COMPUTED_VALUE"""),41330.99861111111)</f>
        <v>41330.99861</v>
      </c>
      <c r="B925" s="1">
        <f>IFERROR(__xludf.DUMMYFUNCTION("""COMPUTED_VALUE"""),2633.722552)</f>
        <v>2633.722552</v>
      </c>
    </row>
    <row r="926">
      <c r="A926" s="3">
        <f>IFERROR(__xludf.DUMMYFUNCTION("""COMPUTED_VALUE"""),41331.99861111111)</f>
        <v>41331.99861</v>
      </c>
      <c r="B926" s="1">
        <f>IFERROR(__xludf.DUMMYFUNCTION("""COMPUTED_VALUE"""),2634.29413)</f>
        <v>2634.29413</v>
      </c>
    </row>
    <row r="927">
      <c r="A927" s="3">
        <f>IFERROR(__xludf.DUMMYFUNCTION("""COMPUTED_VALUE"""),41332.99861111111)</f>
        <v>41332.99861</v>
      </c>
      <c r="B927" s="1">
        <f>IFERROR(__xludf.DUMMYFUNCTION("""COMPUTED_VALUE"""),2628.523914)</f>
        <v>2628.523914</v>
      </c>
    </row>
    <row r="928">
      <c r="A928" s="3">
        <f>IFERROR(__xludf.DUMMYFUNCTION("""COMPUTED_VALUE"""),41333.99861111111)</f>
        <v>41333.99861</v>
      </c>
      <c r="B928" s="1">
        <f>IFERROR(__xludf.DUMMYFUNCTION("""COMPUTED_VALUE"""),2622.127684)</f>
        <v>2622.127684</v>
      </c>
    </row>
    <row r="929">
      <c r="A929" s="3">
        <f>IFERROR(__xludf.DUMMYFUNCTION("""COMPUTED_VALUE"""),41334.99861111111)</f>
        <v>41334.99861</v>
      </c>
      <c r="B929" s="1">
        <f>IFERROR(__xludf.DUMMYFUNCTION("""COMPUTED_VALUE"""),2625.910986)</f>
        <v>2625.910986</v>
      </c>
    </row>
    <row r="930">
      <c r="A930" s="3">
        <f>IFERROR(__xludf.DUMMYFUNCTION("""COMPUTED_VALUE"""),41335.99861111111)</f>
        <v>41335.99861</v>
      </c>
      <c r="B930" s="1">
        <f>IFERROR(__xludf.DUMMYFUNCTION("""COMPUTED_VALUE"""),2627.35354)</f>
        <v>2627.35354</v>
      </c>
    </row>
    <row r="931">
      <c r="A931" s="3">
        <f>IFERROR(__xludf.DUMMYFUNCTION("""COMPUTED_VALUE"""),41337.99861111111)</f>
        <v>41337.99861</v>
      </c>
      <c r="B931" s="1">
        <f>IFERROR(__xludf.DUMMYFUNCTION("""COMPUTED_VALUE"""),2634.02195)</f>
        <v>2634.02195</v>
      </c>
    </row>
    <row r="932">
      <c r="A932" s="3">
        <f>IFERROR(__xludf.DUMMYFUNCTION("""COMPUTED_VALUE"""),41338.99861111111)</f>
        <v>41338.99861</v>
      </c>
      <c r="B932" s="1">
        <f>IFERROR(__xludf.DUMMYFUNCTION("""COMPUTED_VALUE"""),2630.293084)</f>
        <v>2630.293084</v>
      </c>
    </row>
    <row r="933">
      <c r="A933" s="3">
        <f>IFERROR(__xludf.DUMMYFUNCTION("""COMPUTED_VALUE"""),41339.99861111111)</f>
        <v>41339.99861</v>
      </c>
      <c r="B933" s="1">
        <f>IFERROR(__xludf.DUMMYFUNCTION("""COMPUTED_VALUE"""),2628.932184)</f>
        <v>2628.932184</v>
      </c>
    </row>
    <row r="934">
      <c r="A934" s="3">
        <f>IFERROR(__xludf.DUMMYFUNCTION("""COMPUTED_VALUE"""),41340.99861111111)</f>
        <v>41340.99861</v>
      </c>
      <c r="B934" s="1">
        <f>IFERROR(__xludf.DUMMYFUNCTION("""COMPUTED_VALUE"""),2630.320302)</f>
        <v>2630.320302</v>
      </c>
    </row>
    <row r="935">
      <c r="A935" s="3">
        <f>IFERROR(__xludf.DUMMYFUNCTION("""COMPUTED_VALUE"""),41341.99861111111)</f>
        <v>41341.99861</v>
      </c>
      <c r="B935" s="1">
        <f>IFERROR(__xludf.DUMMYFUNCTION("""COMPUTED_VALUE"""),2626.781962)</f>
        <v>2626.781962</v>
      </c>
    </row>
    <row r="936">
      <c r="A936" s="3">
        <f>IFERROR(__xludf.DUMMYFUNCTION("""COMPUTED_VALUE"""),41342.99861111111)</f>
        <v>41342.99861</v>
      </c>
      <c r="B936" s="1">
        <f>IFERROR(__xludf.DUMMYFUNCTION("""COMPUTED_VALUE"""),2626.564218)</f>
        <v>2626.564218</v>
      </c>
    </row>
    <row r="937">
      <c r="A937" s="3">
        <f>IFERROR(__xludf.DUMMYFUNCTION("""COMPUTED_VALUE"""),41344.99861111111)</f>
        <v>41344.99861</v>
      </c>
      <c r="B937" s="1">
        <f>IFERROR(__xludf.DUMMYFUNCTION("""COMPUTED_VALUE"""),2631.599548)</f>
        <v>2631.599548</v>
      </c>
    </row>
    <row r="938">
      <c r="A938" s="3">
        <f>IFERROR(__xludf.DUMMYFUNCTION("""COMPUTED_VALUE"""),41345.99861111111)</f>
        <v>41345.99861</v>
      </c>
      <c r="B938" s="1">
        <f>IFERROR(__xludf.DUMMYFUNCTION("""COMPUTED_VALUE"""),2631.43624)</f>
        <v>2631.43624</v>
      </c>
    </row>
    <row r="939">
      <c r="A939" s="3">
        <f>IFERROR(__xludf.DUMMYFUNCTION("""COMPUTED_VALUE"""),41346.99861111111)</f>
        <v>41346.99861</v>
      </c>
      <c r="B939" s="1">
        <f>IFERROR(__xludf.DUMMYFUNCTION("""COMPUTED_VALUE"""),2629.748724)</f>
        <v>2629.748724</v>
      </c>
    </row>
    <row r="940">
      <c r="A940" s="3">
        <f>IFERROR(__xludf.DUMMYFUNCTION("""COMPUTED_VALUE"""),41347.99861111111)</f>
        <v>41347.99861</v>
      </c>
      <c r="B940" s="1">
        <f>IFERROR(__xludf.DUMMYFUNCTION("""COMPUTED_VALUE"""),2632.906012)</f>
        <v>2632.906012</v>
      </c>
    </row>
    <row r="941">
      <c r="A941" s="3">
        <f>IFERROR(__xludf.DUMMYFUNCTION("""COMPUTED_VALUE"""),41348.99861111111)</f>
        <v>41348.99861</v>
      </c>
      <c r="B941" s="1">
        <f>IFERROR(__xludf.DUMMYFUNCTION("""COMPUTED_VALUE"""),2634.239694)</f>
        <v>2634.239694</v>
      </c>
    </row>
    <row r="942">
      <c r="A942" s="3">
        <f>IFERROR(__xludf.DUMMYFUNCTION("""COMPUTED_VALUE"""),41349.99861111111)</f>
        <v>41349.99861</v>
      </c>
      <c r="B942" s="1">
        <f>IFERROR(__xludf.DUMMYFUNCTION("""COMPUTED_VALUE"""),2633.559244)</f>
        <v>2633.559244</v>
      </c>
    </row>
    <row r="943">
      <c r="A943" s="3">
        <f>IFERROR(__xludf.DUMMYFUNCTION("""COMPUTED_VALUE"""),41351.99861111111)</f>
        <v>41351.99861</v>
      </c>
      <c r="B943" s="1">
        <f>IFERROR(__xludf.DUMMYFUNCTION("""COMPUTED_VALUE"""),2635.24676)</f>
        <v>2635.24676</v>
      </c>
    </row>
    <row r="944">
      <c r="A944" s="3">
        <f>IFERROR(__xludf.DUMMYFUNCTION("""COMPUTED_VALUE"""),41352.99861111111)</f>
        <v>41352.99861</v>
      </c>
      <c r="B944" s="1">
        <f>IFERROR(__xludf.DUMMYFUNCTION("""COMPUTED_VALUE"""),2635.437286)</f>
        <v>2635.437286</v>
      </c>
    </row>
    <row r="945">
      <c r="A945" s="3">
        <f>IFERROR(__xludf.DUMMYFUNCTION("""COMPUTED_VALUE"""),41353.99861111111)</f>
        <v>41353.99861</v>
      </c>
      <c r="B945" s="1">
        <f>IFERROR(__xludf.DUMMYFUNCTION("""COMPUTED_VALUE"""),2638.839536)</f>
        <v>2638.839536</v>
      </c>
    </row>
    <row r="946">
      <c r="A946" s="3">
        <f>IFERROR(__xludf.DUMMYFUNCTION("""COMPUTED_VALUE"""),41354.99861111111)</f>
        <v>41354.99861</v>
      </c>
      <c r="B946" s="1">
        <f>IFERROR(__xludf.DUMMYFUNCTION("""COMPUTED_VALUE"""),2641.016976)</f>
        <v>2641.016976</v>
      </c>
    </row>
    <row r="947">
      <c r="A947" s="3">
        <f>IFERROR(__xludf.DUMMYFUNCTION("""COMPUTED_VALUE"""),41355.99861111111)</f>
        <v>41355.99861</v>
      </c>
      <c r="B947" s="1">
        <f>IFERROR(__xludf.DUMMYFUNCTION("""COMPUTED_VALUE"""),2643.847648)</f>
        <v>2643.847648</v>
      </c>
    </row>
    <row r="948">
      <c r="A948" s="3">
        <f>IFERROR(__xludf.DUMMYFUNCTION("""COMPUTED_VALUE"""),41356.99861111111)</f>
        <v>41356.99861</v>
      </c>
      <c r="B948" s="1">
        <f>IFERROR(__xludf.DUMMYFUNCTION("""COMPUTED_VALUE"""),2645.04524)</f>
        <v>2645.04524</v>
      </c>
    </row>
    <row r="949">
      <c r="A949" s="3">
        <f>IFERROR(__xludf.DUMMYFUNCTION("""COMPUTED_VALUE"""),41358.99861111111)</f>
        <v>41358.99861</v>
      </c>
      <c r="B949" s="1">
        <f>IFERROR(__xludf.DUMMYFUNCTION("""COMPUTED_VALUE"""),2641.5069)</f>
        <v>2641.5069</v>
      </c>
    </row>
    <row r="950">
      <c r="A950" s="3">
        <f>IFERROR(__xludf.DUMMYFUNCTION("""COMPUTED_VALUE"""),41359.99861111111)</f>
        <v>41359.99861</v>
      </c>
      <c r="B950" s="1">
        <f>IFERROR(__xludf.DUMMYFUNCTION("""COMPUTED_VALUE"""),2640.908104)</f>
        <v>2640.908104</v>
      </c>
    </row>
    <row r="951">
      <c r="A951" s="3">
        <f>IFERROR(__xludf.DUMMYFUNCTION("""COMPUTED_VALUE"""),41360.99861111111)</f>
        <v>41360.99861</v>
      </c>
      <c r="B951" s="1">
        <f>IFERROR(__xludf.DUMMYFUNCTION("""COMPUTED_VALUE"""),2638.730664)</f>
        <v>2638.730664</v>
      </c>
    </row>
    <row r="952">
      <c r="A952" s="3">
        <f>IFERROR(__xludf.DUMMYFUNCTION("""COMPUTED_VALUE"""),41361.99861111111)</f>
        <v>41361.99861</v>
      </c>
      <c r="B952" s="1">
        <f>IFERROR(__xludf.DUMMYFUNCTION("""COMPUTED_VALUE"""),2637.043148)</f>
        <v>2637.043148</v>
      </c>
    </row>
    <row r="953">
      <c r="A953" s="3">
        <f>IFERROR(__xludf.DUMMYFUNCTION("""COMPUTED_VALUE"""),41362.99861111111)</f>
        <v>41362.99861</v>
      </c>
      <c r="B953" s="1">
        <f>IFERROR(__xludf.DUMMYFUNCTION("""COMPUTED_VALUE"""),2635.51894)</f>
        <v>2635.51894</v>
      </c>
    </row>
    <row r="954">
      <c r="A954" s="3">
        <f>IFERROR(__xludf.DUMMYFUNCTION("""COMPUTED_VALUE"""),41363.99861111111)</f>
        <v>41363.99861</v>
      </c>
      <c r="B954" s="1">
        <f>IFERROR(__xludf.DUMMYFUNCTION("""COMPUTED_VALUE"""),2638.24074)</f>
        <v>2638.24074</v>
      </c>
    </row>
    <row r="955">
      <c r="A955" s="3">
        <f>IFERROR(__xludf.DUMMYFUNCTION("""COMPUTED_VALUE"""),41365.99861111111)</f>
        <v>41365.99861</v>
      </c>
      <c r="B955" s="1">
        <f>IFERROR(__xludf.DUMMYFUNCTION("""COMPUTED_VALUE"""),2644.90875)</f>
        <v>2644.90875</v>
      </c>
    </row>
    <row r="956">
      <c r="A956" s="3">
        <f>IFERROR(__xludf.DUMMYFUNCTION("""COMPUTED_VALUE"""),41366.99861111111)</f>
        <v>41366.99861</v>
      </c>
      <c r="B956" s="1">
        <f>IFERROR(__xludf.DUMMYFUNCTION("""COMPUTED_VALUE"""),2642.45953)</f>
        <v>2642.45953</v>
      </c>
    </row>
    <row r="957">
      <c r="A957" s="3">
        <f>IFERROR(__xludf.DUMMYFUNCTION("""COMPUTED_VALUE"""),41367.99861111111)</f>
        <v>41367.99861</v>
      </c>
      <c r="B957" s="1">
        <f>IFERROR(__xludf.DUMMYFUNCTION("""COMPUTED_VALUE"""),2644.963586)</f>
        <v>2644.963586</v>
      </c>
    </row>
    <row r="958">
      <c r="A958" s="3">
        <f>IFERROR(__xludf.DUMMYFUNCTION("""COMPUTED_VALUE"""),41368.99861111111)</f>
        <v>41368.99861</v>
      </c>
      <c r="B958" s="1">
        <f>IFERROR(__xludf.DUMMYFUNCTION("""COMPUTED_VALUE"""),2645.45351)</f>
        <v>2645.45351</v>
      </c>
    </row>
    <row r="959">
      <c r="A959" s="3">
        <f>IFERROR(__xludf.DUMMYFUNCTION("""COMPUTED_VALUE"""),41369.99861111111)</f>
        <v>41369.99861</v>
      </c>
      <c r="B959" s="1">
        <f>IFERROR(__xludf.DUMMYFUNCTION("""COMPUTED_VALUE"""),2662.002054)</f>
        <v>2662.002054</v>
      </c>
    </row>
    <row r="960">
      <c r="A960" s="3">
        <f>IFERROR(__xludf.DUMMYFUNCTION("""COMPUTED_VALUE"""),41371.99861111111)</f>
        <v>41371.99861</v>
      </c>
      <c r="B960" s="1">
        <f>IFERROR(__xludf.DUMMYFUNCTION("""COMPUTED_VALUE"""),2647.848694)</f>
        <v>2647.848694</v>
      </c>
    </row>
    <row r="961">
      <c r="A961" s="3">
        <f>IFERROR(__xludf.DUMMYFUNCTION("""COMPUTED_VALUE"""),41372.99861111111)</f>
        <v>41372.99861</v>
      </c>
      <c r="B961" s="1">
        <f>IFERROR(__xludf.DUMMYFUNCTION("""COMPUTED_VALUE"""),2645.562382)</f>
        <v>2645.562382</v>
      </c>
    </row>
    <row r="962">
      <c r="A962" s="3">
        <f>IFERROR(__xludf.DUMMYFUNCTION("""COMPUTED_VALUE"""),41373.99861111111)</f>
        <v>41373.99861</v>
      </c>
      <c r="B962" s="1">
        <f>IFERROR(__xludf.DUMMYFUNCTION("""COMPUTED_VALUE"""),2638.0263)</f>
        <v>2638.0263</v>
      </c>
    </row>
    <row r="963">
      <c r="A963" s="3">
        <f>IFERROR(__xludf.DUMMYFUNCTION("""COMPUTED_VALUE"""),41374.99861111111)</f>
        <v>41374.99861</v>
      </c>
      <c r="B963" s="1">
        <f>IFERROR(__xludf.DUMMYFUNCTION("""COMPUTED_VALUE"""),2629.91474)</f>
        <v>2629.91474</v>
      </c>
    </row>
    <row r="964">
      <c r="A964" s="3">
        <f>IFERROR(__xludf.DUMMYFUNCTION("""COMPUTED_VALUE"""),41375.99861111111)</f>
        <v>41375.99861</v>
      </c>
      <c r="B964" s="1">
        <f>IFERROR(__xludf.DUMMYFUNCTION("""COMPUTED_VALUE"""),2633.50778)</f>
        <v>2633.50778</v>
      </c>
    </row>
    <row r="965">
      <c r="A965" s="3">
        <f>IFERROR(__xludf.DUMMYFUNCTION("""COMPUTED_VALUE"""),41376.99861111111)</f>
        <v>41376.99861</v>
      </c>
      <c r="B965" s="1">
        <f>IFERROR(__xludf.DUMMYFUNCTION("""COMPUTED_VALUE"""),2636.257)</f>
        <v>2636.257</v>
      </c>
    </row>
    <row r="966">
      <c r="A966" s="3">
        <f>IFERROR(__xludf.DUMMYFUNCTION("""COMPUTED_VALUE"""),41377.99861111111)</f>
        <v>41377.99861</v>
      </c>
      <c r="B966" s="1">
        <f>IFERROR(__xludf.DUMMYFUNCTION("""COMPUTED_VALUE"""),2637.0736)</f>
        <v>2637.0736</v>
      </c>
    </row>
    <row r="967">
      <c r="A967" s="3">
        <f>IFERROR(__xludf.DUMMYFUNCTION("""COMPUTED_VALUE"""),41378.99861111111)</f>
        <v>41378.99861</v>
      </c>
      <c r="B967" s="1">
        <f>IFERROR(__xludf.DUMMYFUNCTION("""COMPUTED_VALUE"""),2635.8487)</f>
        <v>2635.8487</v>
      </c>
    </row>
    <row r="968">
      <c r="A968" s="3">
        <f>IFERROR(__xludf.DUMMYFUNCTION("""COMPUTED_VALUE"""),41379.99861111111)</f>
        <v>41379.99861</v>
      </c>
      <c r="B968" s="1">
        <f>IFERROR(__xludf.DUMMYFUNCTION("""COMPUTED_VALUE"""),2635.65816)</f>
        <v>2635.65816</v>
      </c>
    </row>
    <row r="969">
      <c r="A969" s="3">
        <f>IFERROR(__xludf.DUMMYFUNCTION("""COMPUTED_VALUE"""),41380.99861111111)</f>
        <v>41380.99861</v>
      </c>
      <c r="B969" s="1">
        <f>IFERROR(__xludf.DUMMYFUNCTION("""COMPUTED_VALUE"""),2637.69966)</f>
        <v>2637.69966</v>
      </c>
    </row>
    <row r="970">
      <c r="A970" s="3">
        <f>IFERROR(__xludf.DUMMYFUNCTION("""COMPUTED_VALUE"""),41381.99861111111)</f>
        <v>41381.99861</v>
      </c>
      <c r="B970" s="1">
        <f>IFERROR(__xludf.DUMMYFUNCTION("""COMPUTED_VALUE"""),2635.65816)</f>
        <v>2635.65816</v>
      </c>
    </row>
    <row r="971">
      <c r="A971" s="3">
        <f>IFERROR(__xludf.DUMMYFUNCTION("""COMPUTED_VALUE"""),41382.99861111111)</f>
        <v>41382.99861</v>
      </c>
      <c r="B971" s="1">
        <f>IFERROR(__xludf.DUMMYFUNCTION("""COMPUTED_VALUE"""),2636.22978)</f>
        <v>2636.22978</v>
      </c>
    </row>
    <row r="972">
      <c r="A972" s="3">
        <f>IFERROR(__xludf.DUMMYFUNCTION("""COMPUTED_VALUE"""),41383.99861111111)</f>
        <v>41383.99861</v>
      </c>
      <c r="B972" s="1">
        <f>IFERROR(__xludf.DUMMYFUNCTION("""COMPUTED_VALUE"""),2636.69252)</f>
        <v>2636.69252</v>
      </c>
    </row>
    <row r="973">
      <c r="A973" s="3">
        <f>IFERROR(__xludf.DUMMYFUNCTION("""COMPUTED_VALUE"""),41385.99861111111)</f>
        <v>41385.99861</v>
      </c>
      <c r="B973" s="1">
        <f>IFERROR(__xludf.DUMMYFUNCTION("""COMPUTED_VALUE"""),2637.0736)</f>
        <v>2637.0736</v>
      </c>
    </row>
    <row r="974">
      <c r="A974" s="3">
        <f>IFERROR(__xludf.DUMMYFUNCTION("""COMPUTED_VALUE"""),41386.99861111111)</f>
        <v>41386.99861</v>
      </c>
      <c r="B974" s="1">
        <f>IFERROR(__xludf.DUMMYFUNCTION("""COMPUTED_VALUE"""),2637.28811)</f>
        <v>2637.28811</v>
      </c>
    </row>
    <row r="975">
      <c r="A975" s="3">
        <f>IFERROR(__xludf.DUMMYFUNCTION("""COMPUTED_VALUE"""),41387.99861111111)</f>
        <v>41387.99861</v>
      </c>
      <c r="B975" s="1">
        <f>IFERROR(__xludf.DUMMYFUNCTION("""COMPUTED_VALUE"""),2638.703446)</f>
        <v>2638.703446</v>
      </c>
    </row>
    <row r="976">
      <c r="A976" s="3">
        <f>IFERROR(__xludf.DUMMYFUNCTION("""COMPUTED_VALUE"""),41388.99861111111)</f>
        <v>41388.99861</v>
      </c>
      <c r="B976" s="1">
        <f>IFERROR(__xludf.DUMMYFUNCTION("""COMPUTED_VALUE"""),2637.097584)</f>
        <v>2637.097584</v>
      </c>
    </row>
    <row r="977">
      <c r="A977" s="3">
        <f>IFERROR(__xludf.DUMMYFUNCTION("""COMPUTED_VALUE"""),41389.99861111111)</f>
        <v>41389.99861</v>
      </c>
      <c r="B977" s="1">
        <f>IFERROR(__xludf.DUMMYFUNCTION("""COMPUTED_VALUE"""),2637.342546)</f>
        <v>2637.342546</v>
      </c>
    </row>
    <row r="978">
      <c r="A978" s="3">
        <f>IFERROR(__xludf.DUMMYFUNCTION("""COMPUTED_VALUE"""),41390.99861111111)</f>
        <v>41390.99861</v>
      </c>
      <c r="B978" s="1">
        <f>IFERROR(__xludf.DUMMYFUNCTION("""COMPUTED_VALUE"""),2639.05728)</f>
        <v>2639.05728</v>
      </c>
    </row>
    <row r="979">
      <c r="A979" s="3">
        <f>IFERROR(__xludf.DUMMYFUNCTION("""COMPUTED_VALUE"""),41391.99861111111)</f>
        <v>41391.99861</v>
      </c>
      <c r="B979" s="1">
        <f>IFERROR(__xludf.DUMMYFUNCTION("""COMPUTED_VALUE"""),2638.022996)</f>
        <v>2638.022996</v>
      </c>
    </row>
    <row r="980">
      <c r="A980" s="3">
        <f>IFERROR(__xludf.DUMMYFUNCTION("""COMPUTED_VALUE"""),41392.99861111111)</f>
        <v>41392.99861</v>
      </c>
      <c r="B980" s="1">
        <f>IFERROR(__xludf.DUMMYFUNCTION("""COMPUTED_VALUE"""),2616.316641)</f>
        <v>2616.316641</v>
      </c>
    </row>
    <row r="981">
      <c r="A981" s="3">
        <f>IFERROR(__xludf.DUMMYFUNCTION("""COMPUTED_VALUE"""),41393.99861111111)</f>
        <v>41393.99861</v>
      </c>
      <c r="B981" s="1">
        <f>IFERROR(__xludf.DUMMYFUNCTION("""COMPUTED_VALUE"""),2637.805252)</f>
        <v>2637.805252</v>
      </c>
    </row>
    <row r="982">
      <c r="A982" s="3">
        <f>IFERROR(__xludf.DUMMYFUNCTION("""COMPUTED_VALUE"""),41394.99861111111)</f>
        <v>41394.99861</v>
      </c>
      <c r="B982" s="1">
        <f>IFERROR(__xludf.DUMMYFUNCTION("""COMPUTED_VALUE"""),2638.485702)</f>
        <v>2638.485702</v>
      </c>
    </row>
    <row r="983">
      <c r="A983" s="3">
        <f>IFERROR(__xludf.DUMMYFUNCTION("""COMPUTED_VALUE"""),41395.99861111111)</f>
        <v>41395.99861</v>
      </c>
      <c r="B983" s="1">
        <f>IFERROR(__xludf.DUMMYFUNCTION("""COMPUTED_VALUE"""),2638.431266)</f>
        <v>2638.431266</v>
      </c>
    </row>
    <row r="984">
      <c r="A984" s="3">
        <f>IFERROR(__xludf.DUMMYFUNCTION("""COMPUTED_VALUE"""),41396.99861111111)</f>
        <v>41396.99861</v>
      </c>
      <c r="B984" s="1">
        <f>IFERROR(__xludf.DUMMYFUNCTION("""COMPUTED_VALUE"""),2642.704492)</f>
        <v>2642.704492</v>
      </c>
    </row>
    <row r="985">
      <c r="A985" s="3">
        <f>IFERROR(__xludf.DUMMYFUNCTION("""COMPUTED_VALUE"""),41397.99861111111)</f>
        <v>41397.99861</v>
      </c>
      <c r="B985" s="1">
        <f>IFERROR(__xludf.DUMMYFUNCTION("""COMPUTED_VALUE"""),2641.289156)</f>
        <v>2641.289156</v>
      </c>
    </row>
    <row r="986">
      <c r="A986" s="3">
        <f>IFERROR(__xludf.DUMMYFUNCTION("""COMPUTED_VALUE"""),41398.99861111111)</f>
        <v>41398.99861</v>
      </c>
      <c r="B986" s="1">
        <f>IFERROR(__xludf.DUMMYFUNCTION("""COMPUTED_VALUE"""),2642.8678)</f>
        <v>2642.8678</v>
      </c>
    </row>
    <row r="987">
      <c r="A987" s="3">
        <f>IFERROR(__xludf.DUMMYFUNCTION("""COMPUTED_VALUE"""),41399.99861111111)</f>
        <v>41399.99861</v>
      </c>
      <c r="B987" s="1">
        <f>IFERROR(__xludf.DUMMYFUNCTION("""COMPUTED_VALUE"""),2616.797263)</f>
        <v>2616.797263</v>
      </c>
    </row>
    <row r="988">
      <c r="A988" s="3">
        <f>IFERROR(__xludf.DUMMYFUNCTION("""COMPUTED_VALUE"""),41400.99861111111)</f>
        <v>41400.99861</v>
      </c>
      <c r="B988" s="1">
        <f>IFERROR(__xludf.DUMMYFUNCTION("""COMPUTED_VALUE"""),2641.64299)</f>
        <v>2641.64299</v>
      </c>
    </row>
    <row r="989">
      <c r="A989" s="3">
        <f>IFERROR(__xludf.DUMMYFUNCTION("""COMPUTED_VALUE"""),41401.99861111111)</f>
        <v>41401.99861</v>
      </c>
      <c r="B989" s="1">
        <f>IFERROR(__xludf.DUMMYFUNCTION("""COMPUTED_VALUE"""),2641.969606)</f>
        <v>2641.969606</v>
      </c>
    </row>
    <row r="990">
      <c r="A990" s="3">
        <f>IFERROR(__xludf.DUMMYFUNCTION("""COMPUTED_VALUE"""),41402.99861111111)</f>
        <v>41402.99861</v>
      </c>
      <c r="B990" s="1">
        <f>IFERROR(__xludf.DUMMYFUNCTION("""COMPUTED_VALUE"""),2641.5069)</f>
        <v>2641.5069</v>
      </c>
    </row>
    <row r="991">
      <c r="A991" s="3">
        <f>IFERROR(__xludf.DUMMYFUNCTION("""COMPUTED_VALUE"""),41403.99861111111)</f>
        <v>41403.99861</v>
      </c>
      <c r="B991" s="1">
        <f>IFERROR(__xludf.DUMMYFUNCTION("""COMPUTED_VALUE"""),2640.390962)</f>
        <v>2640.390962</v>
      </c>
    </row>
    <row r="992">
      <c r="A992" s="3">
        <f>IFERROR(__xludf.DUMMYFUNCTION("""COMPUTED_VALUE"""),41404.99861111111)</f>
        <v>41404.99861</v>
      </c>
      <c r="B992" s="1">
        <f>IFERROR(__xludf.DUMMYFUNCTION("""COMPUTED_VALUE"""),2642.49853)</f>
        <v>2642.49853</v>
      </c>
    </row>
    <row r="993">
      <c r="A993" s="3">
        <f>IFERROR(__xludf.DUMMYFUNCTION("""COMPUTED_VALUE"""),41405.99861111111)</f>
        <v>41405.99861</v>
      </c>
      <c r="B993" s="1">
        <f>IFERROR(__xludf.DUMMYFUNCTION("""COMPUTED_VALUE"""),2642.49853)</f>
        <v>2642.49853</v>
      </c>
    </row>
    <row r="994">
      <c r="A994" s="3">
        <f>IFERROR(__xludf.DUMMYFUNCTION("""COMPUTED_VALUE"""),41407.99861111111)</f>
        <v>41407.99861</v>
      </c>
      <c r="B994" s="1">
        <f>IFERROR(__xludf.DUMMYFUNCTION("""COMPUTED_VALUE"""),2642.541184)</f>
        <v>2642.541184</v>
      </c>
    </row>
    <row r="995">
      <c r="A995" s="3">
        <f>IFERROR(__xludf.DUMMYFUNCTION("""COMPUTED_VALUE"""),41408.99861111111)</f>
        <v>41408.99861</v>
      </c>
      <c r="B995" s="1">
        <f>IFERROR(__xludf.DUMMYFUNCTION("""COMPUTED_VALUE"""),2642.214568)</f>
        <v>2642.214568</v>
      </c>
    </row>
    <row r="996">
      <c r="A996" s="3">
        <f>IFERROR(__xludf.DUMMYFUNCTION("""COMPUTED_VALUE"""),41409.99861111111)</f>
        <v>41409.99861</v>
      </c>
      <c r="B996" s="1">
        <f>IFERROR(__xludf.DUMMYFUNCTION("""COMPUTED_VALUE"""),2645.099676)</f>
        <v>2645.099676</v>
      </c>
    </row>
    <row r="997">
      <c r="A997" s="3">
        <f>IFERROR(__xludf.DUMMYFUNCTION("""COMPUTED_VALUE"""),41410.99861111111)</f>
        <v>41410.99861</v>
      </c>
      <c r="B997" s="1">
        <f>IFERROR(__xludf.DUMMYFUNCTION("""COMPUTED_VALUE"""),2645.888998)</f>
        <v>2645.888998</v>
      </c>
    </row>
    <row r="998">
      <c r="A998" s="3">
        <f>IFERROR(__xludf.DUMMYFUNCTION("""COMPUTED_VALUE"""),41411.99861111111)</f>
        <v>41411.99861</v>
      </c>
      <c r="B998" s="1">
        <f>IFERROR(__xludf.DUMMYFUNCTION("""COMPUTED_VALUE"""),2648.58358)</f>
        <v>2648.58358</v>
      </c>
    </row>
    <row r="999">
      <c r="A999" s="3">
        <f>IFERROR(__xludf.DUMMYFUNCTION("""COMPUTED_VALUE"""),41412.99861111111)</f>
        <v>41412.99861</v>
      </c>
      <c r="B999" s="1">
        <f>IFERROR(__xludf.DUMMYFUNCTION("""COMPUTED_VALUE"""),2648.58358)</f>
        <v>2648.58358</v>
      </c>
    </row>
    <row r="1000">
      <c r="A1000" s="3">
        <f>IFERROR(__xludf.DUMMYFUNCTION("""COMPUTED_VALUE"""),41413.99861111111)</f>
        <v>41413.99861</v>
      </c>
      <c r="B1000" s="1">
        <f>IFERROR(__xludf.DUMMYFUNCTION("""COMPUTED_VALUE"""),2648.58358)</f>
        <v>2648.58358</v>
      </c>
    </row>
    <row r="1001">
      <c r="A1001" s="3">
        <f>IFERROR(__xludf.DUMMYFUNCTION("""COMPUTED_VALUE"""),41414.99861111111)</f>
        <v>41414.99861</v>
      </c>
      <c r="B1001" s="1">
        <f>IFERROR(__xludf.DUMMYFUNCTION("""COMPUTED_VALUE"""),2648.066438)</f>
        <v>2648.066438</v>
      </c>
    </row>
    <row r="1002">
      <c r="A1002" s="3">
        <f>IFERROR(__xludf.DUMMYFUNCTION("""COMPUTED_VALUE"""),41415.99861111111)</f>
        <v>41415.99861</v>
      </c>
      <c r="B1002" s="1">
        <f>IFERROR(__xludf.DUMMYFUNCTION("""COMPUTED_VALUE"""),2649.427338)</f>
        <v>2649.427338</v>
      </c>
    </row>
    <row r="1003">
      <c r="A1003" s="3">
        <f>IFERROR(__xludf.DUMMYFUNCTION("""COMPUTED_VALUE"""),41416.99861111111)</f>
        <v>41416.99861</v>
      </c>
      <c r="B1003" s="1">
        <f>IFERROR(__xludf.DUMMYFUNCTION("""COMPUTED_VALUE"""),2650.026134)</f>
        <v>2650.026134</v>
      </c>
    </row>
    <row r="1004">
      <c r="A1004" s="3">
        <f>IFERROR(__xludf.DUMMYFUNCTION("""COMPUTED_VALUE"""),41417.99861111111)</f>
        <v>41417.99861</v>
      </c>
      <c r="B1004" s="1">
        <f>IFERROR(__xludf.DUMMYFUNCTION("""COMPUTED_VALUE"""),2651.740868)</f>
        <v>2651.740868</v>
      </c>
    </row>
    <row r="1005">
      <c r="A1005" s="3">
        <f>IFERROR(__xludf.DUMMYFUNCTION("""COMPUTED_VALUE"""),41418.99861111111)</f>
        <v>41418.99861</v>
      </c>
      <c r="B1005" s="1">
        <f>IFERROR(__xludf.DUMMYFUNCTION("""COMPUTED_VALUE"""),2653.21064)</f>
        <v>2653.21064</v>
      </c>
    </row>
    <row r="1006">
      <c r="A1006" s="3">
        <f>IFERROR(__xludf.DUMMYFUNCTION("""COMPUTED_VALUE"""),41419.99861111111)</f>
        <v>41419.99861</v>
      </c>
      <c r="B1006" s="1">
        <f>IFERROR(__xludf.DUMMYFUNCTION("""COMPUTED_VALUE"""),2652.12192)</f>
        <v>2652.12192</v>
      </c>
    </row>
    <row r="1007">
      <c r="A1007" s="3">
        <f>IFERROR(__xludf.DUMMYFUNCTION("""COMPUTED_VALUE"""),41421.99861111111)</f>
        <v>41421.99861</v>
      </c>
      <c r="B1007" s="1">
        <f>IFERROR(__xludf.DUMMYFUNCTION("""COMPUTED_VALUE"""),2656.667326)</f>
        <v>2656.667326</v>
      </c>
    </row>
    <row r="1008">
      <c r="A1008" s="3">
        <f>IFERROR(__xludf.DUMMYFUNCTION("""COMPUTED_VALUE"""),41422.99861111111)</f>
        <v>41422.99861</v>
      </c>
      <c r="B1008" s="1">
        <f>IFERROR(__xludf.DUMMYFUNCTION("""COMPUTED_VALUE"""),2657.456648)</f>
        <v>2657.456648</v>
      </c>
    </row>
    <row r="1009">
      <c r="A1009" s="3">
        <f>IFERROR(__xludf.DUMMYFUNCTION("""COMPUTED_VALUE"""),41423.99861111111)</f>
        <v>41423.99861</v>
      </c>
      <c r="B1009" s="1">
        <f>IFERROR(__xludf.DUMMYFUNCTION("""COMPUTED_VALUE"""),2659.960704)</f>
        <v>2659.960704</v>
      </c>
    </row>
    <row r="1010">
      <c r="A1010" s="3">
        <f>IFERROR(__xludf.DUMMYFUNCTION("""COMPUTED_VALUE"""),41424.99861111111)</f>
        <v>41424.99861</v>
      </c>
      <c r="B1010" s="1">
        <f>IFERROR(__xludf.DUMMYFUNCTION("""COMPUTED_VALUE"""),2660.913334)</f>
        <v>2660.913334</v>
      </c>
    </row>
    <row r="1011">
      <c r="A1011" s="3">
        <f>IFERROR(__xludf.DUMMYFUNCTION("""COMPUTED_VALUE"""),41425.99861111111)</f>
        <v>41425.99861</v>
      </c>
      <c r="B1011" s="1">
        <f>IFERROR(__xludf.DUMMYFUNCTION("""COMPUTED_VALUE"""),2659.1986)</f>
        <v>2659.1986</v>
      </c>
    </row>
    <row r="1012">
      <c r="A1012" s="3">
        <f>IFERROR(__xludf.DUMMYFUNCTION("""COMPUTED_VALUE"""),41426.99861111111)</f>
        <v>41426.99861</v>
      </c>
      <c r="B1012" s="1">
        <f>IFERROR(__xludf.DUMMYFUNCTION("""COMPUTED_VALUE"""),2674.361299)</f>
        <v>2674.361299</v>
      </c>
    </row>
    <row r="1013">
      <c r="A1013" s="3">
        <f>IFERROR(__xludf.DUMMYFUNCTION("""COMPUTED_VALUE"""),41427.99861111111)</f>
        <v>41427.99861</v>
      </c>
      <c r="B1013" s="1">
        <f>IFERROR(__xludf.DUMMYFUNCTION("""COMPUTED_VALUE"""),2616.316641)</f>
        <v>2616.316641</v>
      </c>
    </row>
    <row r="1014">
      <c r="A1014" s="3">
        <f>IFERROR(__xludf.DUMMYFUNCTION("""COMPUTED_VALUE"""),41428.99861111111)</f>
        <v>41428.99861</v>
      </c>
      <c r="B1014" s="1">
        <f>IFERROR(__xludf.DUMMYFUNCTION("""COMPUTED_VALUE"""),2660.886116)</f>
        <v>2660.886116</v>
      </c>
    </row>
    <row r="1015">
      <c r="A1015" s="3">
        <f>IFERROR(__xludf.DUMMYFUNCTION("""COMPUTED_VALUE"""),41429.99861111111)</f>
        <v>41429.99861</v>
      </c>
      <c r="B1015" s="1">
        <f>IFERROR(__xludf.DUMMYFUNCTION("""COMPUTED_VALUE"""),2659.389126)</f>
        <v>2659.389126</v>
      </c>
    </row>
    <row r="1016">
      <c r="A1016" s="3">
        <f>IFERROR(__xludf.DUMMYFUNCTION("""COMPUTED_VALUE"""),41430.99861111111)</f>
        <v>41430.99861</v>
      </c>
      <c r="B1016" s="1">
        <f>IFERROR(__xludf.DUMMYFUNCTION("""COMPUTED_VALUE"""),2657.538302)</f>
        <v>2657.538302</v>
      </c>
    </row>
    <row r="1017">
      <c r="A1017" s="3">
        <f>IFERROR(__xludf.DUMMYFUNCTION("""COMPUTED_VALUE"""),41431.99861111111)</f>
        <v>41431.99861</v>
      </c>
      <c r="B1017" s="1">
        <f>IFERROR(__xludf.DUMMYFUNCTION("""COMPUTED_VALUE"""),2657.635941)</f>
        <v>2657.635941</v>
      </c>
    </row>
    <row r="1018">
      <c r="A1018" s="3">
        <f>IFERROR(__xludf.DUMMYFUNCTION("""COMPUTED_VALUE"""),41432.99861111111)</f>
        <v>41432.99861</v>
      </c>
      <c r="B1018" s="1">
        <f>IFERROR(__xludf.DUMMYFUNCTION("""COMPUTED_VALUE"""),2662.0182)</f>
        <v>2662.0182</v>
      </c>
    </row>
    <row r="1019">
      <c r="A1019" s="3">
        <f>IFERROR(__xludf.DUMMYFUNCTION("""COMPUTED_VALUE"""),41433.99861111111)</f>
        <v>41433.99861</v>
      </c>
      <c r="B1019" s="1">
        <f>IFERROR(__xludf.DUMMYFUNCTION("""COMPUTED_VALUE"""),2673.096333)</f>
        <v>2673.096333</v>
      </c>
    </row>
    <row r="1020">
      <c r="A1020" s="3">
        <f>IFERROR(__xludf.DUMMYFUNCTION("""COMPUTED_VALUE"""),41434.99861111111)</f>
        <v>41434.99861</v>
      </c>
      <c r="B1020" s="1">
        <f>IFERROR(__xludf.DUMMYFUNCTION("""COMPUTED_VALUE"""),2662.0182)</f>
        <v>2662.0182</v>
      </c>
    </row>
    <row r="1021">
      <c r="A1021" s="3">
        <f>IFERROR(__xludf.DUMMYFUNCTION("""COMPUTED_VALUE"""),41435.99861111111)</f>
        <v>41435.99861</v>
      </c>
      <c r="B1021" s="1">
        <f>IFERROR(__xludf.DUMMYFUNCTION("""COMPUTED_VALUE"""),2663.063556)</f>
        <v>2663.063556</v>
      </c>
    </row>
    <row r="1022">
      <c r="A1022" s="3">
        <f>IFERROR(__xludf.DUMMYFUNCTION("""COMPUTED_VALUE"""),41436.99861111111)</f>
        <v>41436.99861</v>
      </c>
      <c r="B1022" s="1">
        <f>IFERROR(__xludf.DUMMYFUNCTION("""COMPUTED_VALUE"""),2666.629114)</f>
        <v>2666.629114</v>
      </c>
    </row>
    <row r="1023">
      <c r="A1023" s="3">
        <f>IFERROR(__xludf.DUMMYFUNCTION("""COMPUTED_VALUE"""),41437.99861111111)</f>
        <v>41437.99861</v>
      </c>
      <c r="B1023" s="1">
        <f>IFERROR(__xludf.DUMMYFUNCTION("""COMPUTED_VALUE"""),2675.883234)</f>
        <v>2675.883234</v>
      </c>
    </row>
    <row r="1024">
      <c r="A1024" s="3">
        <f>IFERROR(__xludf.DUMMYFUNCTION("""COMPUTED_VALUE"""),41438.99861111111)</f>
        <v>41438.99861</v>
      </c>
      <c r="B1024" s="1">
        <f>IFERROR(__xludf.DUMMYFUNCTION("""COMPUTED_VALUE"""),2682.19781)</f>
        <v>2682.19781</v>
      </c>
    </row>
    <row r="1025">
      <c r="A1025" s="3">
        <f>IFERROR(__xludf.DUMMYFUNCTION("""COMPUTED_VALUE"""),41439.99861111111)</f>
        <v>41439.99861</v>
      </c>
      <c r="B1025" s="1">
        <f>IFERROR(__xludf.DUMMYFUNCTION("""COMPUTED_VALUE"""),2680.52712)</f>
        <v>2680.52712</v>
      </c>
    </row>
    <row r="1026">
      <c r="A1026" s="3">
        <f>IFERROR(__xludf.DUMMYFUNCTION("""COMPUTED_VALUE"""),41440.99861111111)</f>
        <v>41440.99861</v>
      </c>
      <c r="B1026" s="1">
        <f>IFERROR(__xludf.DUMMYFUNCTION("""COMPUTED_VALUE"""),2654.151909)</f>
        <v>2654.151909</v>
      </c>
    </row>
    <row r="1027">
      <c r="A1027" s="3">
        <f>IFERROR(__xludf.DUMMYFUNCTION("""COMPUTED_VALUE"""),41441.99861111111)</f>
        <v>41441.99861</v>
      </c>
      <c r="B1027" s="1">
        <f>IFERROR(__xludf.DUMMYFUNCTION("""COMPUTED_VALUE"""),2616.412765)</f>
        <v>2616.412765</v>
      </c>
    </row>
    <row r="1028">
      <c r="A1028" s="3">
        <f>IFERROR(__xludf.DUMMYFUNCTION("""COMPUTED_VALUE"""),41442.99861111111)</f>
        <v>41442.99861</v>
      </c>
      <c r="B1028" s="1">
        <f>IFERROR(__xludf.DUMMYFUNCTION("""COMPUTED_VALUE"""),2683.820619)</f>
        <v>2683.820619</v>
      </c>
    </row>
    <row r="1029">
      <c r="A1029" s="3">
        <f>IFERROR(__xludf.DUMMYFUNCTION("""COMPUTED_VALUE"""),41443.99861111111)</f>
        <v>41443.99861</v>
      </c>
      <c r="B1029" s="1">
        <f>IFERROR(__xludf.DUMMYFUNCTION("""COMPUTED_VALUE"""),2688.376296)</f>
        <v>2688.376296</v>
      </c>
    </row>
    <row r="1030">
      <c r="A1030" s="3">
        <f>IFERROR(__xludf.DUMMYFUNCTION("""COMPUTED_VALUE"""),41444.99861111111)</f>
        <v>41444.99861</v>
      </c>
      <c r="B1030" s="1">
        <f>IFERROR(__xludf.DUMMYFUNCTION("""COMPUTED_VALUE"""),2689.291638)</f>
        <v>2689.291638</v>
      </c>
    </row>
    <row r="1031">
      <c r="A1031" s="3">
        <f>IFERROR(__xludf.DUMMYFUNCTION("""COMPUTED_VALUE"""),41445.99861111111)</f>
        <v>41445.99861</v>
      </c>
      <c r="B1031" s="1">
        <f>IFERROR(__xludf.DUMMYFUNCTION("""COMPUTED_VALUE"""),2693.874332)</f>
        <v>2693.874332</v>
      </c>
    </row>
    <row r="1032">
      <c r="A1032" s="3">
        <f>IFERROR(__xludf.DUMMYFUNCTION("""COMPUTED_VALUE"""),41446.99861111111)</f>
        <v>41446.99861</v>
      </c>
      <c r="B1032" s="1">
        <f>IFERROR(__xludf.DUMMYFUNCTION("""COMPUTED_VALUE"""),2700.72)</f>
        <v>2700.72</v>
      </c>
    </row>
    <row r="1033">
      <c r="A1033" s="3">
        <f>IFERROR(__xludf.DUMMYFUNCTION("""COMPUTED_VALUE"""),41447.99861111111)</f>
        <v>41447.99861</v>
      </c>
      <c r="B1033" s="1">
        <f>IFERROR(__xludf.DUMMYFUNCTION("""COMPUTED_VALUE"""),2694.327153)</f>
        <v>2694.327153</v>
      </c>
    </row>
    <row r="1034">
      <c r="A1034" s="3">
        <f>IFERROR(__xludf.DUMMYFUNCTION("""COMPUTED_VALUE"""),41448.99861111111)</f>
        <v>41448.99861</v>
      </c>
      <c r="B1034" s="1">
        <f>IFERROR(__xludf.DUMMYFUNCTION("""COMPUTED_VALUE"""),2616.412765)</f>
        <v>2616.412765</v>
      </c>
    </row>
    <row r="1035">
      <c r="A1035" s="3">
        <f>IFERROR(__xludf.DUMMYFUNCTION("""COMPUTED_VALUE"""),41449.99861111111)</f>
        <v>41449.99861</v>
      </c>
      <c r="B1035" s="1">
        <f>IFERROR(__xludf.DUMMYFUNCTION("""COMPUTED_VALUE"""),2695.071924)</f>
        <v>2695.071924</v>
      </c>
    </row>
    <row r="1036">
      <c r="A1036" s="3">
        <f>IFERROR(__xludf.DUMMYFUNCTION("""COMPUTED_VALUE"""),41450.99861111111)</f>
        <v>41450.99861</v>
      </c>
      <c r="B1036" s="1">
        <f>IFERROR(__xludf.DUMMYFUNCTION("""COMPUTED_VALUE"""),2692.50348)</f>
        <v>2692.50348</v>
      </c>
    </row>
    <row r="1037">
      <c r="A1037" s="3">
        <f>IFERROR(__xludf.DUMMYFUNCTION("""COMPUTED_VALUE"""),41451.99861111111)</f>
        <v>41451.99861</v>
      </c>
      <c r="B1037" s="1">
        <f>IFERROR(__xludf.DUMMYFUNCTION("""COMPUTED_VALUE"""),2693.438844)</f>
        <v>2693.438844</v>
      </c>
    </row>
    <row r="1038">
      <c r="A1038" s="3">
        <f>IFERROR(__xludf.DUMMYFUNCTION("""COMPUTED_VALUE"""),41452.99861111111)</f>
        <v>41452.99861</v>
      </c>
      <c r="B1038" s="1">
        <f>IFERROR(__xludf.DUMMYFUNCTION("""COMPUTED_VALUE"""),2693.918868)</f>
        <v>2693.918868</v>
      </c>
    </row>
    <row r="1039">
      <c r="A1039" s="3">
        <f>IFERROR(__xludf.DUMMYFUNCTION("""COMPUTED_VALUE"""),41453.99861111111)</f>
        <v>41453.99861</v>
      </c>
      <c r="B1039" s="1">
        <f>IFERROR(__xludf.DUMMYFUNCTION("""COMPUTED_VALUE"""),2694.582)</f>
        <v>2694.582</v>
      </c>
    </row>
    <row r="1040">
      <c r="A1040" s="3">
        <f>IFERROR(__xludf.DUMMYFUNCTION("""COMPUTED_VALUE"""),41454.99861111111)</f>
        <v>41454.99861</v>
      </c>
      <c r="B1040" s="1">
        <f>IFERROR(__xludf.DUMMYFUNCTION("""COMPUTED_VALUE"""),2694.582)</f>
        <v>2694.582</v>
      </c>
    </row>
    <row r="1041">
      <c r="A1041" s="3">
        <f>IFERROR(__xludf.DUMMYFUNCTION("""COMPUTED_VALUE"""),41455.99861111111)</f>
        <v>41455.99861</v>
      </c>
      <c r="B1041" s="1">
        <f>IFERROR(__xludf.DUMMYFUNCTION("""COMPUTED_VALUE"""),2616.316641)</f>
        <v>2616.316641</v>
      </c>
    </row>
    <row r="1042">
      <c r="A1042" s="3">
        <f>IFERROR(__xludf.DUMMYFUNCTION("""COMPUTED_VALUE"""),41456.99861111111)</f>
        <v>41456.99861</v>
      </c>
      <c r="B1042" s="1">
        <f>IFERROR(__xludf.DUMMYFUNCTION("""COMPUTED_VALUE"""),2694.092076)</f>
        <v>2694.092076</v>
      </c>
    </row>
    <row r="1043">
      <c r="A1043" s="3">
        <f>IFERROR(__xludf.DUMMYFUNCTION("""COMPUTED_VALUE"""),41457.99861111111)</f>
        <v>41457.99861</v>
      </c>
      <c r="B1043" s="1">
        <f>IFERROR(__xludf.DUMMYFUNCTION("""COMPUTED_VALUE"""),2695.616284)</f>
        <v>2695.616284</v>
      </c>
    </row>
    <row r="1044">
      <c r="A1044" s="3">
        <f>IFERROR(__xludf.DUMMYFUNCTION("""COMPUTED_VALUE"""),41458.99861111111)</f>
        <v>41458.99861</v>
      </c>
      <c r="B1044" s="1">
        <f>IFERROR(__xludf.DUMMYFUNCTION("""COMPUTED_VALUE"""),2697.494326)</f>
        <v>2697.494326</v>
      </c>
    </row>
    <row r="1045">
      <c r="A1045" s="3">
        <f>IFERROR(__xludf.DUMMYFUNCTION("""COMPUTED_VALUE"""),41459.99861111111)</f>
        <v>41459.99861</v>
      </c>
      <c r="B1045" s="1">
        <f>IFERROR(__xludf.DUMMYFUNCTION("""COMPUTED_VALUE"""),2697.57598)</f>
        <v>2697.57598</v>
      </c>
    </row>
    <row r="1046">
      <c r="A1046" s="3">
        <f>IFERROR(__xludf.DUMMYFUNCTION("""COMPUTED_VALUE"""),41460.99861111111)</f>
        <v>41460.99861</v>
      </c>
      <c r="B1046" s="1">
        <f>IFERROR(__xludf.DUMMYFUNCTION("""COMPUTED_VALUE"""),2699.48124)</f>
        <v>2699.48124</v>
      </c>
    </row>
    <row r="1047">
      <c r="A1047" s="3">
        <f>IFERROR(__xludf.DUMMYFUNCTION("""COMPUTED_VALUE"""),41461.99861111111)</f>
        <v>41461.99861</v>
      </c>
      <c r="B1047" s="1">
        <f>IFERROR(__xludf.DUMMYFUNCTION("""COMPUTED_VALUE"""),2699.48124)</f>
        <v>2699.48124</v>
      </c>
    </row>
    <row r="1048">
      <c r="A1048" s="3">
        <f>IFERROR(__xludf.DUMMYFUNCTION("""COMPUTED_VALUE"""),41462.99861111111)</f>
        <v>41462.99861</v>
      </c>
      <c r="B1048" s="1">
        <f>IFERROR(__xludf.DUMMYFUNCTION("""COMPUTED_VALUE"""),2699.48124)</f>
        <v>2699.48124</v>
      </c>
    </row>
    <row r="1049">
      <c r="A1049" s="3">
        <f>IFERROR(__xludf.DUMMYFUNCTION("""COMPUTED_VALUE"""),41463.99861111111)</f>
        <v>41463.99861</v>
      </c>
      <c r="B1049" s="1">
        <f>IFERROR(__xludf.DUMMYFUNCTION("""COMPUTED_VALUE"""),2701.876424)</f>
        <v>2701.876424</v>
      </c>
    </row>
    <row r="1050">
      <c r="A1050" s="3">
        <f>IFERROR(__xludf.DUMMYFUNCTION("""COMPUTED_VALUE"""),41464.99861111111)</f>
        <v>41464.99861</v>
      </c>
      <c r="B1050" s="1">
        <f>IFERROR(__xludf.DUMMYFUNCTION("""COMPUTED_VALUE"""),2702.420784)</f>
        <v>2702.420784</v>
      </c>
    </row>
    <row r="1051">
      <c r="A1051" s="3">
        <f>IFERROR(__xludf.DUMMYFUNCTION("""COMPUTED_VALUE"""),41465.99861111111)</f>
        <v>41465.99861</v>
      </c>
      <c r="B1051" s="1">
        <f>IFERROR(__xludf.DUMMYFUNCTION("""COMPUTED_VALUE"""),2702.61131)</f>
        <v>2702.61131</v>
      </c>
    </row>
    <row r="1052">
      <c r="A1052" s="3">
        <f>IFERROR(__xludf.DUMMYFUNCTION("""COMPUTED_VALUE"""),41466.99861111111)</f>
        <v>41466.99861</v>
      </c>
      <c r="B1052" s="1">
        <f>IFERROR(__xludf.DUMMYFUNCTION("""COMPUTED_VALUE"""),2705.795816)</f>
        <v>2705.795816</v>
      </c>
    </row>
    <row r="1053">
      <c r="A1053" s="3">
        <f>IFERROR(__xludf.DUMMYFUNCTION("""COMPUTED_VALUE"""),41467.99861111111)</f>
        <v>41467.99861</v>
      </c>
      <c r="B1053" s="1">
        <f>IFERROR(__xludf.DUMMYFUNCTION("""COMPUTED_VALUE"""),2713.09024)</f>
        <v>2713.09024</v>
      </c>
    </row>
    <row r="1054">
      <c r="A1054" s="3">
        <f>IFERROR(__xludf.DUMMYFUNCTION("""COMPUTED_VALUE"""),41468.99861111111)</f>
        <v>41468.99861</v>
      </c>
      <c r="B1054" s="1">
        <f>IFERROR(__xludf.DUMMYFUNCTION("""COMPUTED_VALUE"""),2701.604244)</f>
        <v>2701.604244</v>
      </c>
    </row>
    <row r="1055">
      <c r="A1055" s="3">
        <f>IFERROR(__xludf.DUMMYFUNCTION("""COMPUTED_VALUE"""),41469.99861111111)</f>
        <v>41469.99861</v>
      </c>
      <c r="B1055" s="1">
        <f>IFERROR(__xludf.DUMMYFUNCTION("""COMPUTED_VALUE"""),2616.316641)</f>
        <v>2616.316641</v>
      </c>
    </row>
    <row r="1056">
      <c r="A1056" s="3">
        <f>IFERROR(__xludf.DUMMYFUNCTION("""COMPUTED_VALUE"""),41470.99861111111)</f>
        <v>41470.99861</v>
      </c>
      <c r="B1056" s="1">
        <f>IFERROR(__xludf.DUMMYFUNCTION("""COMPUTED_VALUE"""),2718.860456)</f>
        <v>2718.860456</v>
      </c>
    </row>
    <row r="1057">
      <c r="A1057" s="3">
        <f>IFERROR(__xludf.DUMMYFUNCTION("""COMPUTED_VALUE"""),41471.99861111111)</f>
        <v>41471.99861</v>
      </c>
      <c r="B1057" s="1">
        <f>IFERROR(__xludf.DUMMYFUNCTION("""COMPUTED_VALUE"""),2723.70526)</f>
        <v>2723.70526</v>
      </c>
    </row>
    <row r="1058">
      <c r="A1058" s="3">
        <f>IFERROR(__xludf.DUMMYFUNCTION("""COMPUTED_VALUE"""),41472.99861111111)</f>
        <v>41472.99861</v>
      </c>
      <c r="B1058" s="1">
        <f>IFERROR(__xludf.DUMMYFUNCTION("""COMPUTED_VALUE"""),2726.42706)</f>
        <v>2726.42706</v>
      </c>
    </row>
    <row r="1059">
      <c r="A1059" s="3">
        <f>IFERROR(__xludf.DUMMYFUNCTION("""COMPUTED_VALUE"""),41473.99861111111)</f>
        <v>41473.99861</v>
      </c>
      <c r="B1059" s="1">
        <f>IFERROR(__xludf.DUMMYFUNCTION("""COMPUTED_VALUE"""),2730.50976)</f>
        <v>2730.50976</v>
      </c>
    </row>
    <row r="1060">
      <c r="A1060" s="3">
        <f>IFERROR(__xludf.DUMMYFUNCTION("""COMPUTED_VALUE"""),41474.99861111111)</f>
        <v>41474.99861</v>
      </c>
      <c r="B1060" s="1">
        <f>IFERROR(__xludf.DUMMYFUNCTION("""COMPUTED_VALUE"""),2744.28)</f>
        <v>2744.28</v>
      </c>
    </row>
    <row r="1061">
      <c r="A1061" s="3">
        <f>IFERROR(__xludf.DUMMYFUNCTION("""COMPUTED_VALUE"""),41475.99861111111)</f>
        <v>41475.99861</v>
      </c>
      <c r="B1061" s="1">
        <f>IFERROR(__xludf.DUMMYFUNCTION("""COMPUTED_VALUE"""),2736.22554)</f>
        <v>2736.22554</v>
      </c>
    </row>
    <row r="1062">
      <c r="A1062" s="3">
        <f>IFERROR(__xludf.DUMMYFUNCTION("""COMPUTED_VALUE"""),41477.99861111111)</f>
        <v>41477.99861</v>
      </c>
      <c r="B1062" s="1">
        <f>IFERROR(__xludf.DUMMYFUNCTION("""COMPUTED_VALUE"""),2731.87066)</f>
        <v>2731.87066</v>
      </c>
    </row>
    <row r="1063">
      <c r="A1063" s="3">
        <f>IFERROR(__xludf.DUMMYFUNCTION("""COMPUTED_VALUE"""),41478.99861111111)</f>
        <v>41478.99861</v>
      </c>
      <c r="B1063" s="1">
        <f>IFERROR(__xludf.DUMMYFUNCTION("""COMPUTED_VALUE"""),2768.61496)</f>
        <v>2768.61496</v>
      </c>
    </row>
    <row r="1064">
      <c r="A1064" s="3">
        <f>IFERROR(__xludf.DUMMYFUNCTION("""COMPUTED_VALUE"""),41479.99861111111)</f>
        <v>41479.99861</v>
      </c>
      <c r="B1064" s="1">
        <f>IFERROR(__xludf.DUMMYFUNCTION("""COMPUTED_VALUE"""),2784.67358)</f>
        <v>2784.67358</v>
      </c>
    </row>
    <row r="1065">
      <c r="A1065" s="3">
        <f>IFERROR(__xludf.DUMMYFUNCTION("""COMPUTED_VALUE"""),41480.99861111111)</f>
        <v>41480.99861</v>
      </c>
      <c r="B1065" s="1">
        <f>IFERROR(__xludf.DUMMYFUNCTION("""COMPUTED_VALUE"""),2786.85102)</f>
        <v>2786.85102</v>
      </c>
    </row>
    <row r="1066">
      <c r="A1066" s="3">
        <f>IFERROR(__xludf.DUMMYFUNCTION("""COMPUTED_VALUE"""),41481.99861111111)</f>
        <v>41481.99861</v>
      </c>
      <c r="B1066" s="1">
        <f>IFERROR(__xludf.DUMMYFUNCTION("""COMPUTED_VALUE"""),2785.21794)</f>
        <v>2785.21794</v>
      </c>
    </row>
    <row r="1067">
      <c r="A1067" s="3">
        <f>IFERROR(__xludf.DUMMYFUNCTION("""COMPUTED_VALUE"""),41482.99861111111)</f>
        <v>41482.99861</v>
      </c>
      <c r="B1067" s="1">
        <f>IFERROR(__xludf.DUMMYFUNCTION("""COMPUTED_VALUE"""),2787.1232)</f>
        <v>2787.1232</v>
      </c>
    </row>
    <row r="1068">
      <c r="A1068" s="3">
        <f>IFERROR(__xludf.DUMMYFUNCTION("""COMPUTED_VALUE"""),41483.99861111111)</f>
        <v>41483.99861</v>
      </c>
      <c r="B1068" s="1">
        <f>IFERROR(__xludf.DUMMYFUNCTION("""COMPUTED_VALUE"""),2795.01642)</f>
        <v>2795.01642</v>
      </c>
    </row>
    <row r="1069">
      <c r="A1069" s="3">
        <f>IFERROR(__xludf.DUMMYFUNCTION("""COMPUTED_VALUE"""),41484.99861111111)</f>
        <v>41484.99861</v>
      </c>
      <c r="B1069" s="1">
        <f>IFERROR(__xludf.DUMMYFUNCTION("""COMPUTED_VALUE"""),2788.21192)</f>
        <v>2788.21192</v>
      </c>
    </row>
    <row r="1070">
      <c r="A1070" s="3">
        <f>IFERROR(__xludf.DUMMYFUNCTION("""COMPUTED_VALUE"""),41485.99861111111)</f>
        <v>41485.99861</v>
      </c>
      <c r="B1070" s="1">
        <f>IFERROR(__xludf.DUMMYFUNCTION("""COMPUTED_VALUE"""),2788.21192)</f>
        <v>2788.21192</v>
      </c>
    </row>
    <row r="1071">
      <c r="A1071" s="3">
        <f>IFERROR(__xludf.DUMMYFUNCTION("""COMPUTED_VALUE"""),41486.99861111111)</f>
        <v>41486.99861</v>
      </c>
      <c r="B1071" s="1">
        <f>IFERROR(__xludf.DUMMYFUNCTION("""COMPUTED_VALUE"""),2789.845)</f>
        <v>2789.845</v>
      </c>
    </row>
    <row r="1072">
      <c r="A1072" s="3">
        <f>IFERROR(__xludf.DUMMYFUNCTION("""COMPUTED_VALUE"""),41487.99861111111)</f>
        <v>41487.99861</v>
      </c>
      <c r="B1072" s="1">
        <f>IFERROR(__xludf.DUMMYFUNCTION("""COMPUTED_VALUE"""),2790.38936)</f>
        <v>2790.38936</v>
      </c>
    </row>
    <row r="1073">
      <c r="A1073" s="3">
        <f>IFERROR(__xludf.DUMMYFUNCTION("""COMPUTED_VALUE"""),41488.99861111111)</f>
        <v>41488.99861</v>
      </c>
      <c r="B1073" s="1">
        <f>IFERROR(__xludf.DUMMYFUNCTION("""COMPUTED_VALUE"""),2796.0075)</f>
        <v>2796.0075</v>
      </c>
    </row>
    <row r="1074">
      <c r="A1074" s="3">
        <f>IFERROR(__xludf.DUMMYFUNCTION("""COMPUTED_VALUE"""),41489.99861111111)</f>
        <v>41489.99861</v>
      </c>
      <c r="B1074" s="1">
        <f>IFERROR(__xludf.DUMMYFUNCTION("""COMPUTED_VALUE"""),2792.5668)</f>
        <v>2792.5668</v>
      </c>
    </row>
    <row r="1075">
      <c r="A1075" s="3">
        <f>IFERROR(__xludf.DUMMYFUNCTION("""COMPUTED_VALUE"""),41490.99861111111)</f>
        <v>41490.99861</v>
      </c>
      <c r="B1075" s="1">
        <f>IFERROR(__xludf.DUMMYFUNCTION("""COMPUTED_VALUE"""),2784.12922)</f>
        <v>2784.12922</v>
      </c>
    </row>
    <row r="1076">
      <c r="A1076" s="3">
        <f>IFERROR(__xludf.DUMMYFUNCTION("""COMPUTED_VALUE"""),41491.99861111111)</f>
        <v>41491.99861</v>
      </c>
      <c r="B1076" s="1">
        <f>IFERROR(__xludf.DUMMYFUNCTION("""COMPUTED_VALUE"""),2791.47808)</f>
        <v>2791.47808</v>
      </c>
    </row>
    <row r="1077">
      <c r="A1077" s="3">
        <f>IFERROR(__xludf.DUMMYFUNCTION("""COMPUTED_VALUE"""),41492.99861111111)</f>
        <v>41492.99861</v>
      </c>
      <c r="B1077" s="1">
        <f>IFERROR(__xludf.DUMMYFUNCTION("""COMPUTED_VALUE"""),2791.75026)</f>
        <v>2791.75026</v>
      </c>
    </row>
    <row r="1078">
      <c r="A1078" s="3">
        <f>IFERROR(__xludf.DUMMYFUNCTION("""COMPUTED_VALUE"""),41493.99861111111)</f>
        <v>41493.99861</v>
      </c>
      <c r="B1078" s="1">
        <f>IFERROR(__xludf.DUMMYFUNCTION("""COMPUTED_VALUE"""),2792.02244)</f>
        <v>2792.02244</v>
      </c>
    </row>
    <row r="1079">
      <c r="A1079" s="3">
        <f>IFERROR(__xludf.DUMMYFUNCTION("""COMPUTED_VALUE"""),41494.99861111111)</f>
        <v>41494.99861</v>
      </c>
      <c r="B1079" s="1">
        <f>IFERROR(__xludf.DUMMYFUNCTION("""COMPUTED_VALUE"""),2791.75026)</f>
        <v>2791.75026</v>
      </c>
    </row>
    <row r="1080">
      <c r="A1080" s="3">
        <f>IFERROR(__xludf.DUMMYFUNCTION("""COMPUTED_VALUE"""),41495.99861111111)</f>
        <v>41495.99861</v>
      </c>
      <c r="B1080" s="1">
        <f>IFERROR(__xludf.DUMMYFUNCTION("""COMPUTED_VALUE"""),2792.5668)</f>
        <v>2792.5668</v>
      </c>
    </row>
    <row r="1081">
      <c r="A1081" s="3">
        <f>IFERROR(__xludf.DUMMYFUNCTION("""COMPUTED_VALUE"""),41496.99861111111)</f>
        <v>41496.99861</v>
      </c>
      <c r="B1081" s="1">
        <f>IFERROR(__xludf.DUMMYFUNCTION("""COMPUTED_VALUE"""),2795.8021)</f>
        <v>2795.8021</v>
      </c>
    </row>
    <row r="1082">
      <c r="A1082" s="3">
        <f>IFERROR(__xludf.DUMMYFUNCTION("""COMPUTED_VALUE"""),41498.99861111111)</f>
        <v>41498.99861</v>
      </c>
      <c r="B1082" s="1">
        <f>IFERROR(__xludf.DUMMYFUNCTION("""COMPUTED_VALUE"""),2793.11116)</f>
        <v>2793.11116</v>
      </c>
    </row>
    <row r="1083">
      <c r="A1083" s="3">
        <f>IFERROR(__xludf.DUMMYFUNCTION("""COMPUTED_VALUE"""),41499.99861111111)</f>
        <v>41499.99861</v>
      </c>
      <c r="B1083" s="1">
        <f>IFERROR(__xludf.DUMMYFUNCTION("""COMPUTED_VALUE"""),2804.54272)</f>
        <v>2804.54272</v>
      </c>
    </row>
    <row r="1084">
      <c r="A1084" s="3">
        <f>IFERROR(__xludf.DUMMYFUNCTION("""COMPUTED_VALUE"""),41500.99861111111)</f>
        <v>41500.99861</v>
      </c>
      <c r="B1084" s="1">
        <f>IFERROR(__xludf.DUMMYFUNCTION("""COMPUTED_VALUE"""),2803.18182)</f>
        <v>2803.18182</v>
      </c>
    </row>
    <row r="1085">
      <c r="A1085" s="3">
        <f>IFERROR(__xludf.DUMMYFUNCTION("""COMPUTED_VALUE"""),41501.99861111111)</f>
        <v>41501.99861</v>
      </c>
      <c r="B1085" s="1">
        <f>IFERROR(__xludf.DUMMYFUNCTION("""COMPUTED_VALUE"""),2809.71414)</f>
        <v>2809.71414</v>
      </c>
    </row>
    <row r="1086">
      <c r="A1086" s="3">
        <f>IFERROR(__xludf.DUMMYFUNCTION("""COMPUTED_VALUE"""),41502.99861111111)</f>
        <v>41502.99861</v>
      </c>
      <c r="B1086" s="1">
        <f>IFERROR(__xludf.DUMMYFUNCTION("""COMPUTED_VALUE"""),2819.7848)</f>
        <v>2819.7848</v>
      </c>
    </row>
    <row r="1087">
      <c r="A1087" s="3">
        <f>IFERROR(__xludf.DUMMYFUNCTION("""COMPUTED_VALUE"""),41503.99861111111)</f>
        <v>41503.99861</v>
      </c>
      <c r="B1087" s="1">
        <f>IFERROR(__xludf.DUMMYFUNCTION("""COMPUTED_VALUE"""),2818.69608)</f>
        <v>2818.69608</v>
      </c>
    </row>
    <row r="1088">
      <c r="A1088" s="3">
        <f>IFERROR(__xludf.DUMMYFUNCTION("""COMPUTED_VALUE"""),41504.99861111111)</f>
        <v>41504.99861</v>
      </c>
      <c r="B1088" s="1">
        <f>IFERROR(__xludf.DUMMYFUNCTION("""COMPUTED_VALUE"""),2821.96224)</f>
        <v>2821.96224</v>
      </c>
    </row>
    <row r="1089">
      <c r="A1089" s="3">
        <f>IFERROR(__xludf.DUMMYFUNCTION("""COMPUTED_VALUE"""),41505.99861111111)</f>
        <v>41505.99861</v>
      </c>
      <c r="B1089" s="1">
        <f>IFERROR(__xludf.DUMMYFUNCTION("""COMPUTED_VALUE"""),2847.27498)</f>
        <v>2847.27498</v>
      </c>
    </row>
    <row r="1090">
      <c r="A1090" s="3">
        <f>IFERROR(__xludf.DUMMYFUNCTION("""COMPUTED_VALUE"""),41506.99861111111)</f>
        <v>41506.99861</v>
      </c>
      <c r="B1090" s="1">
        <f>IFERROR(__xludf.DUMMYFUNCTION("""COMPUTED_VALUE"""),2900.62226)</f>
        <v>2900.62226</v>
      </c>
    </row>
    <row r="1091">
      <c r="A1091" s="3">
        <f>IFERROR(__xludf.DUMMYFUNCTION("""COMPUTED_VALUE"""),41507.99861111111)</f>
        <v>41507.99861</v>
      </c>
      <c r="B1091" s="1">
        <f>IFERROR(__xludf.DUMMYFUNCTION("""COMPUTED_VALUE"""),2925.39064)</f>
        <v>2925.39064</v>
      </c>
    </row>
    <row r="1092">
      <c r="A1092" s="3">
        <f>IFERROR(__xludf.DUMMYFUNCTION("""COMPUTED_VALUE"""),41508.99861111111)</f>
        <v>41508.99861</v>
      </c>
      <c r="B1092" s="1">
        <f>IFERROR(__xludf.DUMMYFUNCTION("""COMPUTED_VALUE"""),3002.68976)</f>
        <v>3002.68976</v>
      </c>
    </row>
    <row r="1093">
      <c r="A1093" s="3">
        <f>IFERROR(__xludf.DUMMYFUNCTION("""COMPUTED_VALUE"""),41509.99861111111)</f>
        <v>41509.99861</v>
      </c>
      <c r="B1093" s="1">
        <f>IFERROR(__xludf.DUMMYFUNCTION("""COMPUTED_VALUE"""),2925.935)</f>
        <v>2925.935</v>
      </c>
    </row>
    <row r="1094">
      <c r="A1094" s="3">
        <f>IFERROR(__xludf.DUMMYFUNCTION("""COMPUTED_VALUE"""),41510.99861111111)</f>
        <v>41510.99861</v>
      </c>
      <c r="B1094" s="1">
        <f>IFERROR(__xludf.DUMMYFUNCTION("""COMPUTED_VALUE"""),2925.935)</f>
        <v>2925.935</v>
      </c>
    </row>
    <row r="1095">
      <c r="A1095" s="3">
        <f>IFERROR(__xludf.DUMMYFUNCTION("""COMPUTED_VALUE"""),41511.99861111111)</f>
        <v>41511.99861</v>
      </c>
      <c r="B1095" s="1">
        <f>IFERROR(__xludf.DUMMYFUNCTION("""COMPUTED_VALUE"""),2995.3409)</f>
        <v>2995.3409</v>
      </c>
    </row>
    <row r="1096">
      <c r="A1096" s="3">
        <f>IFERROR(__xludf.DUMMYFUNCTION("""COMPUTED_VALUE"""),41512.99861111111)</f>
        <v>41512.99861</v>
      </c>
      <c r="B1096" s="1">
        <f>IFERROR(__xludf.DUMMYFUNCTION("""COMPUTED_VALUE"""),3022.28672)</f>
        <v>3022.28672</v>
      </c>
    </row>
    <row r="1097">
      <c r="A1097" s="3">
        <f>IFERROR(__xludf.DUMMYFUNCTION("""COMPUTED_VALUE"""),41513.99861111111)</f>
        <v>41513.99861</v>
      </c>
      <c r="B1097" s="1">
        <f>IFERROR(__xludf.DUMMYFUNCTION("""COMPUTED_VALUE"""),2965.94546)</f>
        <v>2965.94546</v>
      </c>
    </row>
    <row r="1098">
      <c r="A1098" s="3">
        <f>IFERROR(__xludf.DUMMYFUNCTION("""COMPUTED_VALUE"""),41514.99861111111)</f>
        <v>41514.99861</v>
      </c>
      <c r="B1098" s="1">
        <f>IFERROR(__xludf.DUMMYFUNCTION("""COMPUTED_VALUE"""),2971.38906)</f>
        <v>2971.38906</v>
      </c>
    </row>
    <row r="1099">
      <c r="A1099" s="3">
        <f>IFERROR(__xludf.DUMMYFUNCTION("""COMPUTED_VALUE"""),41515.99861111111)</f>
        <v>41515.99861</v>
      </c>
      <c r="B1099" s="1">
        <f>IFERROR(__xludf.DUMMYFUNCTION("""COMPUTED_VALUE"""),2968.66726)</f>
        <v>2968.66726</v>
      </c>
    </row>
    <row r="1100">
      <c r="A1100" s="3">
        <f>IFERROR(__xludf.DUMMYFUNCTION("""COMPUTED_VALUE"""),41516.99861111111)</f>
        <v>41516.99861</v>
      </c>
      <c r="B1100" s="1">
        <f>IFERROR(__xludf.DUMMYFUNCTION("""COMPUTED_VALUE"""),2963.22366)</f>
        <v>2963.22366</v>
      </c>
    </row>
    <row r="1101">
      <c r="A1101" s="3">
        <f>IFERROR(__xludf.DUMMYFUNCTION("""COMPUTED_VALUE"""),41517.99861111111)</f>
        <v>41517.99861</v>
      </c>
      <c r="B1101" s="1">
        <f>IFERROR(__xludf.DUMMYFUNCTION("""COMPUTED_VALUE"""),2965.4011)</f>
        <v>2965.4011</v>
      </c>
    </row>
    <row r="1102">
      <c r="A1102" s="3">
        <f>IFERROR(__xludf.DUMMYFUNCTION("""COMPUTED_VALUE"""),41519.99861111111)</f>
        <v>41519.99861</v>
      </c>
      <c r="B1102" s="1">
        <f>IFERROR(__xludf.DUMMYFUNCTION("""COMPUTED_VALUE"""),2979.82664)</f>
        <v>2979.82664</v>
      </c>
    </row>
    <row r="1103">
      <c r="A1103" s="3">
        <f>IFERROR(__xludf.DUMMYFUNCTION("""COMPUTED_VALUE"""),41520.99861111111)</f>
        <v>41520.99861</v>
      </c>
      <c r="B1103" s="1">
        <f>IFERROR(__xludf.DUMMYFUNCTION("""COMPUTED_VALUE"""),3004.05066)</f>
        <v>3004.05066</v>
      </c>
    </row>
    <row r="1104">
      <c r="A1104" s="3">
        <f>IFERROR(__xludf.DUMMYFUNCTION("""COMPUTED_VALUE"""),41521.99861111111)</f>
        <v>41521.99861</v>
      </c>
      <c r="B1104" s="1">
        <f>IFERROR(__xludf.DUMMYFUNCTION("""COMPUTED_VALUE"""),3020.38146)</f>
        <v>3020.38146</v>
      </c>
    </row>
    <row r="1105">
      <c r="A1105" s="3">
        <f>IFERROR(__xludf.DUMMYFUNCTION("""COMPUTED_VALUE"""),41522.99861111111)</f>
        <v>41522.99861</v>
      </c>
      <c r="B1105" s="1">
        <f>IFERROR(__xludf.DUMMYFUNCTION("""COMPUTED_VALUE"""),3020.38146)</f>
        <v>3020.38146</v>
      </c>
    </row>
    <row r="1106">
      <c r="A1106" s="3">
        <f>IFERROR(__xludf.DUMMYFUNCTION("""COMPUTED_VALUE"""),41523.99861111111)</f>
        <v>41523.99861</v>
      </c>
      <c r="B1106" s="1">
        <f>IFERROR(__xludf.DUMMYFUNCTION("""COMPUTED_VALUE"""),3033.99046)</f>
        <v>3033.99046</v>
      </c>
    </row>
    <row r="1107">
      <c r="A1107" s="3">
        <f>IFERROR(__xludf.DUMMYFUNCTION("""COMPUTED_VALUE"""),41524.99861111111)</f>
        <v>41524.99861</v>
      </c>
      <c r="B1107" s="1">
        <f>IFERROR(__xludf.DUMMYFUNCTION("""COMPUTED_VALUE"""),3034.807)</f>
        <v>3034.807</v>
      </c>
    </row>
    <row r="1108">
      <c r="A1108" s="3">
        <f>IFERROR(__xludf.DUMMYFUNCTION("""COMPUTED_VALUE"""),41525.99861111111)</f>
        <v>41525.99861</v>
      </c>
      <c r="B1108" s="1">
        <f>IFERROR(__xludf.DUMMYFUNCTION("""COMPUTED_VALUE"""),3034.807)</f>
        <v>3034.807</v>
      </c>
    </row>
    <row r="1109">
      <c r="A1109" s="3">
        <f>IFERROR(__xludf.DUMMYFUNCTION("""COMPUTED_VALUE"""),41526.99861111111)</f>
        <v>41526.99861</v>
      </c>
      <c r="B1109" s="1">
        <f>IFERROR(__xludf.DUMMYFUNCTION("""COMPUTED_VALUE"""),3029.90776)</f>
        <v>3029.90776</v>
      </c>
    </row>
    <row r="1110">
      <c r="A1110" s="3">
        <f>IFERROR(__xludf.DUMMYFUNCTION("""COMPUTED_VALUE"""),41527.99861111111)</f>
        <v>41527.99861</v>
      </c>
      <c r="B1110" s="1">
        <f>IFERROR(__xludf.DUMMYFUNCTION("""COMPUTED_VALUE"""),3051.1378)</f>
        <v>3051.1378</v>
      </c>
    </row>
    <row r="1111">
      <c r="A1111" s="3">
        <f>IFERROR(__xludf.DUMMYFUNCTION("""COMPUTED_VALUE"""),41528.99861111111)</f>
        <v>41528.99861</v>
      </c>
      <c r="B1111" s="1">
        <f>IFERROR(__xludf.DUMMYFUNCTION("""COMPUTED_VALUE"""),3079.98888)</f>
        <v>3079.98888</v>
      </c>
    </row>
    <row r="1112">
      <c r="A1112" s="3">
        <f>IFERROR(__xludf.DUMMYFUNCTION("""COMPUTED_VALUE"""),41529.99861111111)</f>
        <v>41529.99861</v>
      </c>
      <c r="B1112" s="1">
        <f>IFERROR(__xludf.DUMMYFUNCTION("""COMPUTED_VALUE"""),3081.62196)</f>
        <v>3081.62196</v>
      </c>
    </row>
    <row r="1113">
      <c r="A1113" s="3">
        <f>IFERROR(__xludf.DUMMYFUNCTION("""COMPUTED_VALUE"""),41530.99861111111)</f>
        <v>41530.99861</v>
      </c>
      <c r="B1113" s="1">
        <f>IFERROR(__xludf.DUMMYFUNCTION("""COMPUTED_VALUE"""),3097.68058)</f>
        <v>3097.68058</v>
      </c>
    </row>
    <row r="1114">
      <c r="A1114" s="3">
        <f>IFERROR(__xludf.DUMMYFUNCTION("""COMPUTED_VALUE"""),41531.99861111111)</f>
        <v>41531.99861</v>
      </c>
      <c r="B1114" s="1">
        <f>IFERROR(__xludf.DUMMYFUNCTION("""COMPUTED_VALUE"""),3097.68058)</f>
        <v>3097.68058</v>
      </c>
    </row>
    <row r="1115">
      <c r="A1115" s="3">
        <f>IFERROR(__xludf.DUMMYFUNCTION("""COMPUTED_VALUE"""),41532.99861111111)</f>
        <v>41532.99861</v>
      </c>
      <c r="B1115" s="1">
        <f>IFERROR(__xludf.DUMMYFUNCTION("""COMPUTED_VALUE"""),3097.68058)</f>
        <v>3097.68058</v>
      </c>
    </row>
    <row r="1116">
      <c r="A1116" s="3">
        <f>IFERROR(__xludf.DUMMYFUNCTION("""COMPUTED_VALUE"""),41533.99861111111)</f>
        <v>41533.99861</v>
      </c>
      <c r="B1116" s="1">
        <f>IFERROR(__xludf.DUMMYFUNCTION("""COMPUTED_VALUE"""),3088.97082)</f>
        <v>3088.97082</v>
      </c>
    </row>
    <row r="1117">
      <c r="A1117" s="3">
        <f>IFERROR(__xludf.DUMMYFUNCTION("""COMPUTED_VALUE"""),41534.99861111111)</f>
        <v>41534.99861</v>
      </c>
      <c r="B1117" s="1">
        <f>IFERROR(__xludf.DUMMYFUNCTION("""COMPUTED_VALUE"""),3107.47906)</f>
        <v>3107.47906</v>
      </c>
    </row>
    <row r="1118">
      <c r="A1118" s="3">
        <f>IFERROR(__xludf.DUMMYFUNCTION("""COMPUTED_VALUE"""),41535.99861111111)</f>
        <v>41535.99861</v>
      </c>
      <c r="B1118" s="1">
        <f>IFERROR(__xludf.DUMMYFUNCTION("""COMPUTED_VALUE"""),3115.91664)</f>
        <v>3115.91664</v>
      </c>
    </row>
    <row r="1119">
      <c r="A1119" s="3">
        <f>IFERROR(__xludf.DUMMYFUNCTION("""COMPUTED_VALUE"""),41536.99861111111)</f>
        <v>41536.99861</v>
      </c>
      <c r="B1119" s="1">
        <f>IFERROR(__xludf.DUMMYFUNCTION("""COMPUTED_VALUE"""),3063.3859)</f>
        <v>3063.3859</v>
      </c>
    </row>
    <row r="1120">
      <c r="A1120" s="3">
        <f>IFERROR(__xludf.DUMMYFUNCTION("""COMPUTED_VALUE"""),41537.99861111111)</f>
        <v>41537.99861</v>
      </c>
      <c r="B1120" s="1">
        <f>IFERROR(__xludf.DUMMYFUNCTION("""COMPUTED_VALUE"""),3081.62196)</f>
        <v>3081.62196</v>
      </c>
    </row>
    <row r="1121">
      <c r="A1121" s="3">
        <f>IFERROR(__xludf.DUMMYFUNCTION("""COMPUTED_VALUE"""),41538.99861111111)</f>
        <v>41538.99861</v>
      </c>
      <c r="B1121" s="1">
        <f>IFERROR(__xludf.DUMMYFUNCTION("""COMPUTED_VALUE"""),3082.4385)</f>
        <v>3082.4385</v>
      </c>
    </row>
    <row r="1122">
      <c r="A1122" s="3">
        <f>IFERROR(__xludf.DUMMYFUNCTION("""COMPUTED_VALUE"""),41539.99861111111)</f>
        <v>41539.99861</v>
      </c>
      <c r="B1122" s="1">
        <f>IFERROR(__xludf.DUMMYFUNCTION("""COMPUTED_VALUE"""),3089.243)</f>
        <v>3089.243</v>
      </c>
    </row>
    <row r="1123">
      <c r="A1123" s="3">
        <f>IFERROR(__xludf.DUMMYFUNCTION("""COMPUTED_VALUE"""),41540.99861111111)</f>
        <v>41540.99861</v>
      </c>
      <c r="B1123" s="1">
        <f>IFERROR(__xludf.DUMMYFUNCTION("""COMPUTED_VALUE"""),3107.47906)</f>
        <v>3107.47906</v>
      </c>
    </row>
    <row r="1124">
      <c r="A1124" s="3">
        <f>IFERROR(__xludf.DUMMYFUNCTION("""COMPUTED_VALUE"""),41541.99861111111)</f>
        <v>41541.99861</v>
      </c>
      <c r="B1124" s="1">
        <f>IFERROR(__xludf.DUMMYFUNCTION("""COMPUTED_VALUE"""),3115.1001)</f>
        <v>3115.1001</v>
      </c>
    </row>
    <row r="1125">
      <c r="A1125" s="3">
        <f>IFERROR(__xludf.DUMMYFUNCTION("""COMPUTED_VALUE"""),41542.99861111111)</f>
        <v>41542.99861</v>
      </c>
      <c r="B1125" s="1">
        <f>IFERROR(__xludf.DUMMYFUNCTION("""COMPUTED_VALUE"""),3119.4405)</f>
        <v>3119.4405</v>
      </c>
    </row>
    <row r="1126">
      <c r="A1126" s="3">
        <f>IFERROR(__xludf.DUMMYFUNCTION("""COMPUTED_VALUE"""),41543.99861111111)</f>
        <v>41543.99861</v>
      </c>
      <c r="B1126" s="1">
        <f>IFERROR(__xludf.DUMMYFUNCTION("""COMPUTED_VALUE"""),3111.0174)</f>
        <v>3111.0174</v>
      </c>
    </row>
    <row r="1127">
      <c r="A1127" s="3">
        <f>IFERROR(__xludf.DUMMYFUNCTION("""COMPUTED_VALUE"""),41544.99861111111)</f>
        <v>41544.99861</v>
      </c>
      <c r="B1127" s="1">
        <f>IFERROR(__xludf.DUMMYFUNCTION("""COMPUTED_VALUE"""),3132.51962)</f>
        <v>3132.51962</v>
      </c>
    </row>
    <row r="1128">
      <c r="A1128" s="3">
        <f>IFERROR(__xludf.DUMMYFUNCTION("""COMPUTED_VALUE"""),41546.99861111111)</f>
        <v>41546.99861</v>
      </c>
      <c r="B1128" s="1">
        <f>IFERROR(__xludf.DUMMYFUNCTION("""COMPUTED_VALUE"""),3132.51962)</f>
        <v>3132.51962</v>
      </c>
    </row>
    <row r="1129">
      <c r="A1129" s="3">
        <f>IFERROR(__xludf.DUMMYFUNCTION("""COMPUTED_VALUE"""),41547.99861111111)</f>
        <v>41547.99861</v>
      </c>
      <c r="B1129" s="1">
        <f>IFERROR(__xludf.DUMMYFUNCTION("""COMPUTED_VALUE"""),3144.22336)</f>
        <v>3144.22336</v>
      </c>
    </row>
    <row r="1130">
      <c r="A1130" s="3">
        <f>IFERROR(__xludf.DUMMYFUNCTION("""COMPUTED_VALUE"""),41548.99861111111)</f>
        <v>41548.99861</v>
      </c>
      <c r="B1130" s="1">
        <f>IFERROR(__xludf.DUMMYFUNCTION("""COMPUTED_VALUE"""),3123.80986)</f>
        <v>3123.80986</v>
      </c>
    </row>
    <row r="1131">
      <c r="A1131" s="3">
        <f>IFERROR(__xludf.DUMMYFUNCTION("""COMPUTED_VALUE"""),41549.99861111111)</f>
        <v>41549.99861</v>
      </c>
      <c r="B1131" s="1">
        <f>IFERROR(__xludf.DUMMYFUNCTION("""COMPUTED_VALUE"""),3130.61436)</f>
        <v>3130.61436</v>
      </c>
    </row>
    <row r="1132">
      <c r="A1132" s="3">
        <f>IFERROR(__xludf.DUMMYFUNCTION("""COMPUTED_VALUE"""),41550.99861111111)</f>
        <v>41550.99861</v>
      </c>
      <c r="B1132" s="1">
        <f>IFERROR(__xludf.DUMMYFUNCTION("""COMPUTED_VALUE"""),3130.88654)</f>
        <v>3130.88654</v>
      </c>
    </row>
    <row r="1133">
      <c r="A1133" s="3">
        <f>IFERROR(__xludf.DUMMYFUNCTION("""COMPUTED_VALUE"""),41551.99861111111)</f>
        <v>41551.99861</v>
      </c>
      <c r="B1133" s="1">
        <f>IFERROR(__xludf.DUMMYFUNCTION("""COMPUTED_VALUE"""),3128.42475)</f>
        <v>3128.42475</v>
      </c>
    </row>
    <row r="1134">
      <c r="A1134" s="3">
        <f>IFERROR(__xludf.DUMMYFUNCTION("""COMPUTED_VALUE"""),41552.99861111111)</f>
        <v>41552.99861</v>
      </c>
      <c r="B1134" s="1">
        <f>IFERROR(__xludf.DUMMYFUNCTION("""COMPUTED_VALUE"""),3129.52564)</f>
        <v>3129.52564</v>
      </c>
    </row>
    <row r="1135">
      <c r="A1135" s="3">
        <f>IFERROR(__xludf.DUMMYFUNCTION("""COMPUTED_VALUE"""),41553.99861111111)</f>
        <v>41553.99861</v>
      </c>
      <c r="B1135" s="1">
        <f>IFERROR(__xludf.DUMMYFUNCTION("""COMPUTED_VALUE"""),3127.3482)</f>
        <v>3127.3482</v>
      </c>
    </row>
    <row r="1136">
      <c r="A1136" s="3">
        <f>IFERROR(__xludf.DUMMYFUNCTION("""COMPUTED_VALUE"""),41554.99861111111)</f>
        <v>41554.99861</v>
      </c>
      <c r="B1136" s="1">
        <f>IFERROR(__xludf.DUMMYFUNCTION("""COMPUTED_VALUE"""),3129.25346)</f>
        <v>3129.25346</v>
      </c>
    </row>
    <row r="1137">
      <c r="A1137" s="3">
        <f>IFERROR(__xludf.DUMMYFUNCTION("""COMPUTED_VALUE"""),41555.99861111111)</f>
        <v>41555.99861</v>
      </c>
      <c r="B1137" s="1">
        <f>IFERROR(__xludf.DUMMYFUNCTION("""COMPUTED_VALUE"""),3126.80384)</f>
        <v>3126.80384</v>
      </c>
    </row>
    <row r="1138">
      <c r="A1138" s="3">
        <f>IFERROR(__xludf.DUMMYFUNCTION("""COMPUTED_VALUE"""),41556.99861111111)</f>
        <v>41556.99861</v>
      </c>
      <c r="B1138" s="1">
        <f>IFERROR(__xludf.DUMMYFUNCTION("""COMPUTED_VALUE"""),3132.23625)</f>
        <v>3132.23625</v>
      </c>
    </row>
    <row r="1139">
      <c r="A1139" s="3">
        <f>IFERROR(__xludf.DUMMYFUNCTION("""COMPUTED_VALUE"""),41557.99861111111)</f>
        <v>41557.99861</v>
      </c>
      <c r="B1139" s="1">
        <f>IFERROR(__xludf.DUMMYFUNCTION("""COMPUTED_VALUE"""),3120.80175)</f>
        <v>3120.80175</v>
      </c>
    </row>
    <row r="1140">
      <c r="A1140" s="3">
        <f>IFERROR(__xludf.DUMMYFUNCTION("""COMPUTED_VALUE"""),41558.99861111111)</f>
        <v>41558.99861</v>
      </c>
      <c r="B1140" s="1">
        <f>IFERROR(__xludf.DUMMYFUNCTION("""COMPUTED_VALUE"""),3086.5212)</f>
        <v>3086.5212</v>
      </c>
    </row>
    <row r="1141">
      <c r="A1141" s="3">
        <f>IFERROR(__xludf.DUMMYFUNCTION("""COMPUTED_VALUE"""),41559.99861111111)</f>
        <v>41559.99861</v>
      </c>
      <c r="B1141" s="1">
        <f>IFERROR(__xludf.DUMMYFUNCTION("""COMPUTED_VALUE"""),3086.5212)</f>
        <v>3086.5212</v>
      </c>
    </row>
    <row r="1142">
      <c r="A1142" s="3">
        <f>IFERROR(__xludf.DUMMYFUNCTION("""COMPUTED_VALUE"""),41561.99861111111)</f>
        <v>41561.99861</v>
      </c>
      <c r="B1142" s="1">
        <f>IFERROR(__xludf.DUMMYFUNCTION("""COMPUTED_VALUE"""),3085.70466)</f>
        <v>3085.70466</v>
      </c>
    </row>
    <row r="1143">
      <c r="A1143" s="3">
        <f>IFERROR(__xludf.DUMMYFUNCTION("""COMPUTED_VALUE"""),41562.99861111111)</f>
        <v>41562.99861</v>
      </c>
      <c r="B1143" s="1">
        <f>IFERROR(__xludf.DUMMYFUNCTION("""COMPUTED_VALUE"""),3086.27151)</f>
        <v>3086.27151</v>
      </c>
    </row>
    <row r="1144">
      <c r="A1144" s="3">
        <f>IFERROR(__xludf.DUMMYFUNCTION("""COMPUTED_VALUE"""),41563.99861111111)</f>
        <v>41563.99861</v>
      </c>
      <c r="B1144" s="1">
        <f>IFERROR(__xludf.DUMMYFUNCTION("""COMPUTED_VALUE"""),3085.43248)</f>
        <v>3085.43248</v>
      </c>
    </row>
    <row r="1145">
      <c r="A1145" s="3">
        <f>IFERROR(__xludf.DUMMYFUNCTION("""COMPUTED_VALUE"""),41564.99861111111)</f>
        <v>41564.99861</v>
      </c>
      <c r="B1145" s="1">
        <f>IFERROR(__xludf.DUMMYFUNCTION("""COMPUTED_VALUE"""),3076.74346)</f>
        <v>3076.74346</v>
      </c>
    </row>
    <row r="1146">
      <c r="A1146" s="3">
        <f>IFERROR(__xludf.DUMMYFUNCTION("""COMPUTED_VALUE"""),41565.99861111111)</f>
        <v>41565.99861</v>
      </c>
      <c r="B1146" s="1">
        <f>IFERROR(__xludf.DUMMYFUNCTION("""COMPUTED_VALUE"""),3075.08964)</f>
        <v>3075.08964</v>
      </c>
    </row>
    <row r="1147">
      <c r="A1147" s="3">
        <f>IFERROR(__xludf.DUMMYFUNCTION("""COMPUTED_VALUE"""),41566.99861111111)</f>
        <v>41566.99861</v>
      </c>
      <c r="B1147" s="1">
        <f>IFERROR(__xludf.DUMMYFUNCTION("""COMPUTED_VALUE"""),3075.08964)</f>
        <v>3075.08964</v>
      </c>
    </row>
    <row r="1148">
      <c r="A1148" s="3">
        <f>IFERROR(__xludf.DUMMYFUNCTION("""COMPUTED_VALUE"""),41567.99861111111)</f>
        <v>41567.99861</v>
      </c>
      <c r="B1148" s="1">
        <f>IFERROR(__xludf.DUMMYFUNCTION("""COMPUTED_VALUE"""),3075.08964)</f>
        <v>3075.08964</v>
      </c>
    </row>
    <row r="1149">
      <c r="A1149" s="3">
        <f>IFERROR(__xludf.DUMMYFUNCTION("""COMPUTED_VALUE"""),41568.99861111111)</f>
        <v>41568.99861</v>
      </c>
      <c r="B1149" s="1">
        <f>IFERROR(__xludf.DUMMYFUNCTION("""COMPUTED_VALUE"""),3077.81144)</f>
        <v>3077.81144</v>
      </c>
    </row>
    <row r="1150">
      <c r="A1150" s="3">
        <f>IFERROR(__xludf.DUMMYFUNCTION("""COMPUTED_VALUE"""),41569.99861111111)</f>
        <v>41569.99861</v>
      </c>
      <c r="B1150" s="1">
        <f>IFERROR(__xludf.DUMMYFUNCTION("""COMPUTED_VALUE"""),3065.83552)</f>
        <v>3065.83552</v>
      </c>
    </row>
    <row r="1151">
      <c r="A1151" s="3">
        <f>IFERROR(__xludf.DUMMYFUNCTION("""COMPUTED_VALUE"""),41570.99861111111)</f>
        <v>41570.99861</v>
      </c>
      <c r="B1151" s="1">
        <f>IFERROR(__xludf.DUMMYFUNCTION("""COMPUTED_VALUE"""),3060.39192)</f>
        <v>3060.39192</v>
      </c>
    </row>
    <row r="1152">
      <c r="A1152" s="3">
        <f>IFERROR(__xludf.DUMMYFUNCTION("""COMPUTED_VALUE"""),41571.99861111111)</f>
        <v>41571.99861</v>
      </c>
      <c r="B1152" s="1">
        <f>IFERROR(__xludf.DUMMYFUNCTION("""COMPUTED_VALUE"""),3029.598)</f>
        <v>3029.598</v>
      </c>
    </row>
    <row r="1153">
      <c r="A1153" s="3">
        <f>IFERROR(__xludf.DUMMYFUNCTION("""COMPUTED_VALUE"""),41572.99861111111)</f>
        <v>41572.99861</v>
      </c>
      <c r="B1153" s="1">
        <f>IFERROR(__xludf.DUMMYFUNCTION("""COMPUTED_VALUE"""),2991.2582)</f>
        <v>2991.2582</v>
      </c>
    </row>
    <row r="1154">
      <c r="A1154" s="3">
        <f>IFERROR(__xludf.DUMMYFUNCTION("""COMPUTED_VALUE"""),41573.99861111111)</f>
        <v>41573.99861</v>
      </c>
      <c r="B1154" s="1">
        <f>IFERROR(__xludf.DUMMYFUNCTION("""COMPUTED_VALUE"""),2991.2582)</f>
        <v>2991.2582</v>
      </c>
    </row>
    <row r="1155">
      <c r="A1155" s="3">
        <f>IFERROR(__xludf.DUMMYFUNCTION("""COMPUTED_VALUE"""),41574.99861111111)</f>
        <v>41574.99861</v>
      </c>
      <c r="B1155" s="1">
        <f>IFERROR(__xludf.DUMMYFUNCTION("""COMPUTED_VALUE"""),2991.2582)</f>
        <v>2991.2582</v>
      </c>
    </row>
    <row r="1156">
      <c r="A1156" s="3">
        <f>IFERROR(__xludf.DUMMYFUNCTION("""COMPUTED_VALUE"""),41575.99861111111)</f>
        <v>41575.99861</v>
      </c>
      <c r="B1156" s="1">
        <f>IFERROR(__xludf.DUMMYFUNCTION("""COMPUTED_VALUE"""),3000.7845)</f>
        <v>3000.7845</v>
      </c>
    </row>
    <row r="1157">
      <c r="A1157" s="3">
        <f>IFERROR(__xludf.DUMMYFUNCTION("""COMPUTED_VALUE"""),41576.99861111111)</f>
        <v>41576.99861</v>
      </c>
      <c r="B1157" s="1">
        <f>IFERROR(__xludf.DUMMYFUNCTION("""COMPUTED_VALUE"""),3014.3935)</f>
        <v>3014.3935</v>
      </c>
    </row>
    <row r="1158">
      <c r="A1158" s="3">
        <f>IFERROR(__xludf.DUMMYFUNCTION("""COMPUTED_VALUE"""),41577.99861111111)</f>
        <v>41577.99861</v>
      </c>
      <c r="B1158" s="1">
        <f>IFERROR(__xludf.DUMMYFUNCTION("""COMPUTED_VALUE"""),3033.99046)</f>
        <v>3033.99046</v>
      </c>
    </row>
    <row r="1159">
      <c r="A1159" s="3">
        <f>IFERROR(__xludf.DUMMYFUNCTION("""COMPUTED_VALUE"""),41578.99861111111)</f>
        <v>41578.99861</v>
      </c>
      <c r="B1159" s="1">
        <f>IFERROR(__xludf.DUMMYFUNCTION("""COMPUTED_VALUE"""),3060.6641)</f>
        <v>3060.6641</v>
      </c>
    </row>
    <row r="1160">
      <c r="A1160" s="3">
        <f>IFERROR(__xludf.DUMMYFUNCTION("""COMPUTED_VALUE"""),41579.99861111111)</f>
        <v>41579.99861</v>
      </c>
      <c r="B1160" s="1">
        <f>IFERROR(__xludf.DUMMYFUNCTION("""COMPUTED_VALUE"""),3077.81144)</f>
        <v>3077.81144</v>
      </c>
    </row>
    <row r="1161">
      <c r="A1161" s="3">
        <f>IFERROR(__xludf.DUMMYFUNCTION("""COMPUTED_VALUE"""),41580.99861111111)</f>
        <v>41580.99861</v>
      </c>
      <c r="B1161" s="1">
        <f>IFERROR(__xludf.DUMMYFUNCTION("""COMPUTED_VALUE"""),3077.81144)</f>
        <v>3077.81144</v>
      </c>
    </row>
    <row r="1162">
      <c r="A1162" s="3">
        <f>IFERROR(__xludf.DUMMYFUNCTION("""COMPUTED_VALUE"""),41582.99861111111)</f>
        <v>41582.99861</v>
      </c>
      <c r="B1162" s="1">
        <f>IFERROR(__xludf.DUMMYFUNCTION("""COMPUTED_VALUE"""),3082.98286)</f>
        <v>3082.98286</v>
      </c>
    </row>
    <row r="1163">
      <c r="A1163" s="3">
        <f>IFERROR(__xludf.DUMMYFUNCTION("""COMPUTED_VALUE"""),41583.99861111111)</f>
        <v>41583.99861</v>
      </c>
      <c r="B1163" s="1">
        <f>IFERROR(__xludf.DUMMYFUNCTION("""COMPUTED_VALUE"""),3083.7994)</f>
        <v>3083.7994</v>
      </c>
    </row>
    <row r="1164">
      <c r="A1164" s="3">
        <f>IFERROR(__xludf.DUMMYFUNCTION("""COMPUTED_VALUE"""),41584.99861111111)</f>
        <v>41584.99861</v>
      </c>
      <c r="B1164" s="1">
        <f>IFERROR(__xludf.DUMMYFUNCTION("""COMPUTED_VALUE"""),3097.4084)</f>
        <v>3097.4084</v>
      </c>
    </row>
    <row r="1165">
      <c r="A1165" s="3">
        <f>IFERROR(__xludf.DUMMYFUNCTION("""COMPUTED_VALUE"""),41585.99861111111)</f>
        <v>41585.99861</v>
      </c>
      <c r="B1165" s="1">
        <f>IFERROR(__xludf.DUMMYFUNCTION("""COMPUTED_VALUE"""),3093.07726)</f>
        <v>3093.07726</v>
      </c>
    </row>
    <row r="1166">
      <c r="A1166" s="3">
        <f>IFERROR(__xludf.DUMMYFUNCTION("""COMPUTED_VALUE"""),41586.99861111111)</f>
        <v>41586.99861</v>
      </c>
      <c r="B1166" s="1">
        <f>IFERROR(__xludf.DUMMYFUNCTION("""COMPUTED_VALUE"""),3097.95276)</f>
        <v>3097.95276</v>
      </c>
    </row>
    <row r="1167">
      <c r="A1167" s="3">
        <f>IFERROR(__xludf.DUMMYFUNCTION("""COMPUTED_VALUE"""),41588.99861111111)</f>
        <v>41588.99861</v>
      </c>
      <c r="B1167" s="1">
        <f>IFERROR(__xludf.DUMMYFUNCTION("""COMPUTED_VALUE"""),3097.13622)</f>
        <v>3097.13622</v>
      </c>
    </row>
    <row r="1168">
      <c r="A1168" s="3">
        <f>IFERROR(__xludf.DUMMYFUNCTION("""COMPUTED_VALUE"""),41589.99861111111)</f>
        <v>41589.99861</v>
      </c>
      <c r="B1168" s="1">
        <f>IFERROR(__xludf.DUMMYFUNCTION("""COMPUTED_VALUE"""),3138.77976)</f>
        <v>3138.77976</v>
      </c>
    </row>
    <row r="1169">
      <c r="A1169" s="3">
        <f>IFERROR(__xludf.DUMMYFUNCTION("""COMPUTED_VALUE"""),41590.99861111111)</f>
        <v>41590.99861</v>
      </c>
      <c r="B1169" s="1">
        <f>IFERROR(__xludf.DUMMYFUNCTION("""COMPUTED_VALUE"""),3147.7617)</f>
        <v>3147.7617</v>
      </c>
    </row>
    <row r="1170">
      <c r="A1170" s="3">
        <f>IFERROR(__xludf.DUMMYFUNCTION("""COMPUTED_VALUE"""),41591.99861111111)</f>
        <v>41591.99861</v>
      </c>
      <c r="B1170" s="1">
        <f>IFERROR(__xludf.DUMMYFUNCTION("""COMPUTED_VALUE"""),3151.02786)</f>
        <v>3151.02786</v>
      </c>
    </row>
    <row r="1171">
      <c r="A1171" s="3">
        <f>IFERROR(__xludf.DUMMYFUNCTION("""COMPUTED_VALUE"""),41592.99861111111)</f>
        <v>41592.99861</v>
      </c>
      <c r="B1171" s="1">
        <f>IFERROR(__xludf.DUMMYFUNCTION("""COMPUTED_VALUE"""),3133.88052)</f>
        <v>3133.88052</v>
      </c>
    </row>
    <row r="1172">
      <c r="A1172" s="3">
        <f>IFERROR(__xludf.DUMMYFUNCTION("""COMPUTED_VALUE"""),41593.99861111111)</f>
        <v>41593.99861</v>
      </c>
      <c r="B1172" s="1">
        <f>IFERROR(__xludf.DUMMYFUNCTION("""COMPUTED_VALUE"""),3155.9271)</f>
        <v>3155.9271</v>
      </c>
    </row>
    <row r="1173">
      <c r="A1173" s="3">
        <f>IFERROR(__xludf.DUMMYFUNCTION("""COMPUTED_VALUE"""),41595.99861111111)</f>
        <v>41595.99861</v>
      </c>
      <c r="B1173" s="1">
        <f>IFERROR(__xludf.DUMMYFUNCTION("""COMPUTED_VALUE"""),3155.9271)</f>
        <v>3155.9271</v>
      </c>
    </row>
    <row r="1174">
      <c r="A1174" s="3">
        <f>IFERROR(__xludf.DUMMYFUNCTION("""COMPUTED_VALUE"""),41596.99861111111)</f>
        <v>41596.99861</v>
      </c>
      <c r="B1174" s="1">
        <f>IFERROR(__xludf.DUMMYFUNCTION("""COMPUTED_VALUE"""),3158.6489)</f>
        <v>3158.6489</v>
      </c>
    </row>
    <row r="1175">
      <c r="A1175" s="3">
        <f>IFERROR(__xludf.DUMMYFUNCTION("""COMPUTED_VALUE"""),41597.99861111111)</f>
        <v>41597.99861</v>
      </c>
      <c r="B1175" s="1">
        <f>IFERROR(__xludf.DUMMYFUNCTION("""COMPUTED_VALUE"""),3149.1226)</f>
        <v>3149.1226</v>
      </c>
    </row>
    <row r="1176">
      <c r="A1176" s="3">
        <f>IFERROR(__xludf.DUMMYFUNCTION("""COMPUTED_VALUE"""),41598.99861111111)</f>
        <v>41598.99861</v>
      </c>
      <c r="B1176" s="1">
        <f>IFERROR(__xludf.DUMMYFUNCTION("""COMPUTED_VALUE"""),3165.18122)</f>
        <v>3165.18122</v>
      </c>
    </row>
    <row r="1177">
      <c r="A1177" s="3">
        <f>IFERROR(__xludf.DUMMYFUNCTION("""COMPUTED_VALUE"""),41599.99861111111)</f>
        <v>41599.99861</v>
      </c>
      <c r="B1177" s="1">
        <f>IFERROR(__xludf.DUMMYFUNCTION("""COMPUTED_VALUE"""),3178.2465)</f>
        <v>3178.2465</v>
      </c>
    </row>
    <row r="1178">
      <c r="A1178" s="3">
        <f>IFERROR(__xludf.DUMMYFUNCTION("""COMPUTED_VALUE"""),41600.99861111111)</f>
        <v>41600.99861</v>
      </c>
      <c r="B1178" s="1">
        <f>IFERROR(__xludf.DUMMYFUNCTION("""COMPUTED_VALUE"""),3175.52406)</f>
        <v>3175.52406</v>
      </c>
    </row>
    <row r="1179">
      <c r="A1179" s="3">
        <f>IFERROR(__xludf.DUMMYFUNCTION("""COMPUTED_VALUE"""),41601.99861111111)</f>
        <v>41601.99861</v>
      </c>
      <c r="B1179" s="1">
        <f>IFERROR(__xludf.DUMMYFUNCTION("""COMPUTED_VALUE"""),3175.52406)</f>
        <v>3175.52406</v>
      </c>
    </row>
    <row r="1180">
      <c r="A1180" s="3">
        <f>IFERROR(__xludf.DUMMYFUNCTION("""COMPUTED_VALUE"""),41603.99861111111)</f>
        <v>41603.99861</v>
      </c>
      <c r="B1180" s="1">
        <f>IFERROR(__xludf.DUMMYFUNCTION("""COMPUTED_VALUE"""),3189.67742)</f>
        <v>3189.67742</v>
      </c>
    </row>
    <row r="1181">
      <c r="A1181" s="3">
        <f>IFERROR(__xludf.DUMMYFUNCTION("""COMPUTED_VALUE"""),41604.99861111111)</f>
        <v>41604.99861</v>
      </c>
      <c r="B1181" s="1">
        <f>IFERROR(__xludf.DUMMYFUNCTION("""COMPUTED_VALUE"""),3198.115)</f>
        <v>3198.115</v>
      </c>
    </row>
    <row r="1182">
      <c r="A1182" s="3">
        <f>IFERROR(__xludf.DUMMYFUNCTION("""COMPUTED_VALUE"""),41605.99861111111)</f>
        <v>41605.99861</v>
      </c>
      <c r="B1182" s="1">
        <f>IFERROR(__xludf.DUMMYFUNCTION("""COMPUTED_VALUE"""),3233.4984)</f>
        <v>3233.4984</v>
      </c>
    </row>
    <row r="1183">
      <c r="A1183" s="3">
        <f>IFERROR(__xludf.DUMMYFUNCTION("""COMPUTED_VALUE"""),41606.99861111111)</f>
        <v>41606.99861</v>
      </c>
      <c r="B1183" s="1">
        <f>IFERROR(__xludf.DUMMYFUNCTION("""COMPUTED_VALUE"""),3233.4984)</f>
        <v>3233.4984</v>
      </c>
    </row>
    <row r="1184">
      <c r="A1184" s="3">
        <f>IFERROR(__xludf.DUMMYFUNCTION("""COMPUTED_VALUE"""),41607.99861111111)</f>
        <v>41607.99861</v>
      </c>
      <c r="B1184" s="1">
        <f>IFERROR(__xludf.DUMMYFUNCTION("""COMPUTED_VALUE"""),3227.51044)</f>
        <v>3227.51044</v>
      </c>
    </row>
    <row r="1185">
      <c r="A1185" s="3">
        <f>IFERROR(__xludf.DUMMYFUNCTION("""COMPUTED_VALUE"""),41608.99861111111)</f>
        <v>41608.99861</v>
      </c>
      <c r="B1185" s="1">
        <f>IFERROR(__xludf.DUMMYFUNCTION("""COMPUTED_VALUE"""),3164.0925)</f>
        <v>3164.0925</v>
      </c>
    </row>
    <row r="1186">
      <c r="A1186" s="3">
        <f>IFERROR(__xludf.DUMMYFUNCTION("""COMPUTED_VALUE"""),41609.99861111111)</f>
        <v>41609.99861</v>
      </c>
      <c r="B1186" s="1">
        <f>IFERROR(__xludf.DUMMYFUNCTION("""COMPUTED_VALUE"""),3164.0925)</f>
        <v>3164.0925</v>
      </c>
    </row>
    <row r="1187">
      <c r="A1187" s="3">
        <f>IFERROR(__xludf.DUMMYFUNCTION("""COMPUTED_VALUE"""),41610.99861111111)</f>
        <v>41610.99861</v>
      </c>
      <c r="B1187" s="1">
        <f>IFERROR(__xludf.DUMMYFUNCTION("""COMPUTED_VALUE"""),3234.8593)</f>
        <v>3234.8593</v>
      </c>
    </row>
    <row r="1188">
      <c r="A1188" s="3">
        <f>IFERROR(__xludf.DUMMYFUNCTION("""COMPUTED_VALUE"""),41611.99861111111)</f>
        <v>41611.99861</v>
      </c>
      <c r="B1188" s="1">
        <f>IFERROR(__xludf.DUMMYFUNCTION("""COMPUTED_VALUE"""),3234.8593)</f>
        <v>3234.8593</v>
      </c>
    </row>
    <row r="1189">
      <c r="A1189" s="3">
        <f>IFERROR(__xludf.DUMMYFUNCTION("""COMPUTED_VALUE"""),41612.99861111111)</f>
        <v>41612.99861</v>
      </c>
      <c r="B1189" s="1">
        <f>IFERROR(__xludf.DUMMYFUNCTION("""COMPUTED_VALUE"""),3258.53896)</f>
        <v>3258.53896</v>
      </c>
    </row>
    <row r="1190">
      <c r="A1190" s="3">
        <f>IFERROR(__xludf.DUMMYFUNCTION("""COMPUTED_VALUE"""),41613.99861111111)</f>
        <v>41613.99861</v>
      </c>
      <c r="B1190" s="1">
        <f>IFERROR(__xludf.DUMMYFUNCTION("""COMPUTED_VALUE"""),3259.3555)</f>
        <v>3259.3555</v>
      </c>
    </row>
    <row r="1191">
      <c r="A1191" s="3">
        <f>IFERROR(__xludf.DUMMYFUNCTION("""COMPUTED_VALUE"""),41614.99861111111)</f>
        <v>41614.99861</v>
      </c>
      <c r="B1191" s="1">
        <f>IFERROR(__xludf.DUMMYFUNCTION("""COMPUTED_VALUE"""),3252.551)</f>
        <v>3252.551</v>
      </c>
    </row>
    <row r="1192">
      <c r="A1192" s="3">
        <f>IFERROR(__xludf.DUMMYFUNCTION("""COMPUTED_VALUE"""),41615.99861111111)</f>
        <v>41615.99861</v>
      </c>
      <c r="B1192" s="1">
        <f>IFERROR(__xludf.DUMMYFUNCTION("""COMPUTED_VALUE"""),3178.51804)</f>
        <v>3178.51804</v>
      </c>
    </row>
    <row r="1193">
      <c r="A1193" s="3">
        <f>IFERROR(__xludf.DUMMYFUNCTION("""COMPUTED_VALUE"""),41616.99861111111)</f>
        <v>41616.99861</v>
      </c>
      <c r="B1193" s="1">
        <f>IFERROR(__xludf.DUMMYFUNCTION("""COMPUTED_VALUE"""),3178.51804)</f>
        <v>3178.51804</v>
      </c>
    </row>
    <row r="1194">
      <c r="A1194" s="3">
        <f>IFERROR(__xludf.DUMMYFUNCTION("""COMPUTED_VALUE"""),41617.99861111111)</f>
        <v>41617.99861</v>
      </c>
      <c r="B1194" s="1">
        <f>IFERROR(__xludf.DUMMYFUNCTION("""COMPUTED_VALUE"""),3215.26234)</f>
        <v>3215.26234</v>
      </c>
    </row>
    <row r="1195">
      <c r="A1195" s="3">
        <f>IFERROR(__xludf.DUMMYFUNCTION("""COMPUTED_VALUE"""),41618.99861111111)</f>
        <v>41618.99861</v>
      </c>
      <c r="B1195" s="1">
        <f>IFERROR(__xludf.DUMMYFUNCTION("""COMPUTED_VALUE"""),3220.97812)</f>
        <v>3220.97812</v>
      </c>
    </row>
    <row r="1196">
      <c r="A1196" s="3">
        <f>IFERROR(__xludf.DUMMYFUNCTION("""COMPUTED_VALUE"""),41619.99861111111)</f>
        <v>41619.99861</v>
      </c>
      <c r="B1196" s="1">
        <f>IFERROR(__xludf.DUMMYFUNCTION("""COMPUTED_VALUE"""),3232.95404)</f>
        <v>3232.95404</v>
      </c>
    </row>
    <row r="1197">
      <c r="A1197" s="3">
        <f>IFERROR(__xludf.DUMMYFUNCTION("""COMPUTED_VALUE"""),41620.99861111111)</f>
        <v>41620.99861</v>
      </c>
      <c r="B1197" s="1">
        <f>IFERROR(__xludf.DUMMYFUNCTION("""COMPUTED_VALUE"""),3265.88782)</f>
        <v>3265.88782</v>
      </c>
    </row>
    <row r="1198">
      <c r="A1198" s="3">
        <f>IFERROR(__xludf.DUMMYFUNCTION("""COMPUTED_VALUE"""),41621.99861111111)</f>
        <v>41621.99861</v>
      </c>
      <c r="B1198" s="1">
        <f>IFERROR(__xludf.DUMMYFUNCTION("""COMPUTED_VALUE"""),3271.33142)</f>
        <v>3271.33142</v>
      </c>
    </row>
    <row r="1199">
      <c r="A1199" s="3">
        <f>IFERROR(__xludf.DUMMYFUNCTION("""COMPUTED_VALUE"""),41622.99861111111)</f>
        <v>41622.99861</v>
      </c>
      <c r="B1199" s="1">
        <f>IFERROR(__xludf.DUMMYFUNCTION("""COMPUTED_VALUE"""),3271.394021)</f>
        <v>3271.394021</v>
      </c>
    </row>
    <row r="1200">
      <c r="A1200" s="3">
        <f>IFERROR(__xludf.DUMMYFUNCTION("""COMPUTED_VALUE"""),41623.99861111111)</f>
        <v>41623.99861</v>
      </c>
      <c r="B1200" s="1">
        <f>IFERROR(__xludf.DUMMYFUNCTION("""COMPUTED_VALUE"""),3262.89384)</f>
        <v>3262.89384</v>
      </c>
    </row>
    <row r="1201">
      <c r="A1201" s="3">
        <f>IFERROR(__xludf.DUMMYFUNCTION("""COMPUTED_VALUE"""),41624.99861111111)</f>
        <v>41624.99861</v>
      </c>
      <c r="B1201" s="1">
        <f>IFERROR(__xludf.DUMMYFUNCTION("""COMPUTED_VALUE"""),3257.199)</f>
        <v>3257.199</v>
      </c>
    </row>
    <row r="1202">
      <c r="A1202" s="3">
        <f>IFERROR(__xludf.DUMMYFUNCTION("""COMPUTED_VALUE"""),41625.99861111111)</f>
        <v>41625.99861</v>
      </c>
      <c r="B1202" s="1">
        <f>IFERROR(__xludf.DUMMYFUNCTION("""COMPUTED_VALUE"""),3261.80512)</f>
        <v>3261.80512</v>
      </c>
    </row>
    <row r="1203">
      <c r="A1203" s="3">
        <f>IFERROR(__xludf.DUMMYFUNCTION("""COMPUTED_VALUE"""),41626.99861111111)</f>
        <v>41626.99861</v>
      </c>
      <c r="B1203" s="1">
        <f>IFERROR(__xludf.DUMMYFUNCTION("""COMPUTED_VALUE"""),3269.42616)</f>
        <v>3269.42616</v>
      </c>
    </row>
    <row r="1204">
      <c r="A1204" s="3">
        <f>IFERROR(__xludf.DUMMYFUNCTION("""COMPUTED_VALUE"""),41627.99861111111)</f>
        <v>41627.99861</v>
      </c>
      <c r="B1204" s="1">
        <f>IFERROR(__xludf.DUMMYFUNCTION("""COMPUTED_VALUE"""),3298.27724)</f>
        <v>3298.27724</v>
      </c>
    </row>
    <row r="1205">
      <c r="A1205" s="3">
        <f>IFERROR(__xludf.DUMMYFUNCTION("""COMPUTED_VALUE"""),41628.99861111111)</f>
        <v>41628.99861</v>
      </c>
      <c r="B1205" s="1">
        <f>IFERROR(__xludf.DUMMYFUNCTION("""COMPUTED_VALUE"""),3307.80354)</f>
        <v>3307.80354</v>
      </c>
    </row>
    <row r="1206">
      <c r="A1206" s="3">
        <f>IFERROR(__xludf.DUMMYFUNCTION("""COMPUTED_VALUE"""),41629.99861111111)</f>
        <v>41629.99861</v>
      </c>
      <c r="B1206" s="1">
        <f>IFERROR(__xludf.DUMMYFUNCTION("""COMPUTED_VALUE"""),3307.166638)</f>
        <v>3307.166638</v>
      </c>
    </row>
    <row r="1207">
      <c r="A1207" s="3">
        <f>IFERROR(__xludf.DUMMYFUNCTION("""COMPUTED_VALUE"""),41630.99861111111)</f>
        <v>41630.99861</v>
      </c>
      <c r="B1207" s="1">
        <f>IFERROR(__xludf.DUMMYFUNCTION("""COMPUTED_VALUE"""),3307.80354)</f>
        <v>3307.80354</v>
      </c>
    </row>
    <row r="1208">
      <c r="A1208" s="3">
        <f>IFERROR(__xludf.DUMMYFUNCTION("""COMPUTED_VALUE"""),41631.99861111111)</f>
        <v>41631.99861</v>
      </c>
      <c r="B1208" s="1">
        <f>IFERROR(__xludf.DUMMYFUNCTION("""COMPUTED_VALUE"""),3306.17046)</f>
        <v>3306.17046</v>
      </c>
    </row>
    <row r="1209">
      <c r="A1209" s="3">
        <f>IFERROR(__xludf.DUMMYFUNCTION("""COMPUTED_VALUE"""),41632.99861111111)</f>
        <v>41632.99861</v>
      </c>
      <c r="B1209" s="1">
        <f>IFERROR(__xludf.DUMMYFUNCTION("""COMPUTED_VALUE"""),3306.44264)</f>
        <v>3306.44264</v>
      </c>
    </row>
    <row r="1210">
      <c r="A1210" s="3">
        <f>IFERROR(__xludf.DUMMYFUNCTION("""COMPUTED_VALUE"""),41633.99861111111)</f>
        <v>41633.99861</v>
      </c>
      <c r="B1210" s="1">
        <f>IFERROR(__xludf.DUMMYFUNCTION("""COMPUTED_VALUE"""),3306.44264)</f>
        <v>3306.44264</v>
      </c>
    </row>
    <row r="1211">
      <c r="A1211" s="3">
        <f>IFERROR(__xludf.DUMMYFUNCTION("""COMPUTED_VALUE"""),41634.99861111111)</f>
        <v>41634.99861</v>
      </c>
      <c r="B1211" s="1">
        <f>IFERROR(__xludf.DUMMYFUNCTION("""COMPUTED_VALUE"""),3307.293)</f>
        <v>3307.293</v>
      </c>
    </row>
    <row r="1212">
      <c r="A1212" s="3">
        <f>IFERROR(__xludf.DUMMYFUNCTION("""COMPUTED_VALUE"""),41635.99861111111)</f>
        <v>41635.99861</v>
      </c>
      <c r="B1212" s="1">
        <f>IFERROR(__xludf.DUMMYFUNCTION("""COMPUTED_VALUE"""),3304.80956)</f>
        <v>3304.80956</v>
      </c>
    </row>
    <row r="1213">
      <c r="A1213" s="3">
        <f>IFERROR(__xludf.DUMMYFUNCTION("""COMPUTED_VALUE"""),41636.99861111111)</f>
        <v>41636.99861</v>
      </c>
      <c r="B1213" s="1">
        <f>IFERROR(__xludf.DUMMYFUNCTION("""COMPUTED_VALUE"""),3307.166638)</f>
        <v>3307.166638</v>
      </c>
    </row>
    <row r="1214">
      <c r="A1214" s="3">
        <f>IFERROR(__xludf.DUMMYFUNCTION("""COMPUTED_VALUE"""),41637.99861111111)</f>
        <v>41637.99861</v>
      </c>
      <c r="B1214" s="1">
        <f>IFERROR(__xludf.DUMMYFUNCTION("""COMPUTED_VALUE"""),3304.80956)</f>
        <v>3304.80956</v>
      </c>
    </row>
    <row r="1215">
      <c r="A1215" s="3">
        <f>IFERROR(__xludf.DUMMYFUNCTION("""COMPUTED_VALUE"""),41638.99861111111)</f>
        <v>41638.99861</v>
      </c>
      <c r="B1215" s="1">
        <f>IFERROR(__xludf.DUMMYFUNCTION("""COMPUTED_VALUE"""),3322.77344)</f>
        <v>3322.77344</v>
      </c>
    </row>
    <row r="1216">
      <c r="A1216" s="3">
        <f>IFERROR(__xludf.DUMMYFUNCTION("""COMPUTED_VALUE"""),41639.99861111111)</f>
        <v>41639.99861</v>
      </c>
      <c r="B1216" s="1">
        <f>IFERROR(__xludf.DUMMYFUNCTION("""COMPUTED_VALUE"""),3309.16444)</f>
        <v>3309.16444</v>
      </c>
    </row>
    <row r="1217">
      <c r="A1217" s="3">
        <f>IFERROR(__xludf.DUMMYFUNCTION("""COMPUTED_VALUE"""),41640.99861111111)</f>
        <v>41640.99861</v>
      </c>
      <c r="B1217" s="1">
        <f>IFERROR(__xludf.DUMMYFUNCTION("""COMPUTED_VALUE"""),3309.16444)</f>
        <v>3309.16444</v>
      </c>
    </row>
    <row r="1218">
      <c r="A1218" s="3">
        <f>IFERROR(__xludf.DUMMYFUNCTION("""COMPUTED_VALUE"""),41641.99861111111)</f>
        <v>41641.99861</v>
      </c>
      <c r="B1218" s="1">
        <f>IFERROR(__xludf.DUMMYFUNCTION("""COMPUTED_VALUE"""),3293.92236)</f>
        <v>3293.92236</v>
      </c>
    </row>
    <row r="1219">
      <c r="A1219" s="3">
        <f>IFERROR(__xludf.DUMMYFUNCTION("""COMPUTED_VALUE"""),41642.99861111111)</f>
        <v>41642.99861</v>
      </c>
      <c r="B1219" s="1">
        <f>IFERROR(__xludf.DUMMYFUNCTION("""COMPUTED_VALUE"""),3295.55544)</f>
        <v>3295.55544</v>
      </c>
    </row>
    <row r="1220">
      <c r="A1220" s="3">
        <f>IFERROR(__xludf.DUMMYFUNCTION("""COMPUTED_VALUE"""),41643.99861111111)</f>
        <v>41643.99861</v>
      </c>
      <c r="B1220" s="1">
        <f>IFERROR(__xludf.DUMMYFUNCTION("""COMPUTED_VALUE"""),3295.155335)</f>
        <v>3295.155335</v>
      </c>
    </row>
    <row r="1221">
      <c r="A1221" s="3">
        <f>IFERROR(__xludf.DUMMYFUNCTION("""COMPUTED_VALUE"""),41644.99861111111)</f>
        <v>41644.99861</v>
      </c>
      <c r="B1221" s="1">
        <f>IFERROR(__xludf.DUMMYFUNCTION("""COMPUTED_VALUE"""),3296.64416)</f>
        <v>3296.64416</v>
      </c>
    </row>
    <row r="1222">
      <c r="A1222" s="3">
        <f>IFERROR(__xludf.DUMMYFUNCTION("""COMPUTED_VALUE"""),41645.99861111111)</f>
        <v>41645.99861</v>
      </c>
      <c r="B1222" s="1">
        <f>IFERROR(__xludf.DUMMYFUNCTION("""COMPUTED_VALUE"""),3302.35994)</f>
        <v>3302.35994</v>
      </c>
    </row>
    <row r="1223">
      <c r="A1223" s="3">
        <f>IFERROR(__xludf.DUMMYFUNCTION("""COMPUTED_VALUE"""),41646.99861111111)</f>
        <v>41646.99861</v>
      </c>
      <c r="B1223" s="1">
        <f>IFERROR(__xludf.DUMMYFUNCTION("""COMPUTED_VALUE"""),3283.8517)</f>
        <v>3283.8517</v>
      </c>
    </row>
    <row r="1224">
      <c r="A1224" s="3">
        <f>IFERROR(__xludf.DUMMYFUNCTION("""COMPUTED_VALUE"""),41647.99861111111)</f>
        <v>41647.99861</v>
      </c>
      <c r="B1224" s="1">
        <f>IFERROR(__xludf.DUMMYFUNCTION("""COMPUTED_VALUE"""),3287.11786)</f>
        <v>3287.11786</v>
      </c>
    </row>
    <row r="1225">
      <c r="A1225" s="3">
        <f>IFERROR(__xludf.DUMMYFUNCTION("""COMPUTED_VALUE"""),41648.99861111111)</f>
        <v>41648.99861</v>
      </c>
      <c r="B1225" s="1">
        <f>IFERROR(__xludf.DUMMYFUNCTION("""COMPUTED_VALUE"""),3275.712)</f>
        <v>3275.712</v>
      </c>
    </row>
    <row r="1226">
      <c r="A1226" s="3">
        <f>IFERROR(__xludf.DUMMYFUNCTION("""COMPUTED_VALUE"""),41649.99861111111)</f>
        <v>41649.99861</v>
      </c>
      <c r="B1226" s="1">
        <f>IFERROR(__xludf.DUMMYFUNCTION("""COMPUTED_VALUE"""),3218.25632)</f>
        <v>3218.25632</v>
      </c>
    </row>
    <row r="1227">
      <c r="A1227" s="3">
        <f>IFERROR(__xludf.DUMMYFUNCTION("""COMPUTED_VALUE"""),41650.99861111111)</f>
        <v>41650.99861</v>
      </c>
      <c r="B1227" s="1">
        <f>IFERROR(__xludf.DUMMYFUNCTION("""COMPUTED_VALUE"""),3217.257419)</f>
        <v>3217.257419</v>
      </c>
    </row>
    <row r="1228">
      <c r="A1228" s="3">
        <f>IFERROR(__xludf.DUMMYFUNCTION("""COMPUTED_VALUE"""),41651.99861111111)</f>
        <v>41651.99861</v>
      </c>
      <c r="B1228" s="1">
        <f>IFERROR(__xludf.DUMMYFUNCTION("""COMPUTED_VALUE"""),3270.78706)</f>
        <v>3270.78706</v>
      </c>
    </row>
    <row r="1229">
      <c r="A1229" s="3">
        <f>IFERROR(__xludf.DUMMYFUNCTION("""COMPUTED_VALUE"""),41652.99861111111)</f>
        <v>41652.99861</v>
      </c>
      <c r="B1229" s="1">
        <f>IFERROR(__xludf.DUMMYFUNCTION("""COMPUTED_VALUE"""),3214.99016)</f>
        <v>3214.99016</v>
      </c>
    </row>
    <row r="1230">
      <c r="A1230" s="3">
        <f>IFERROR(__xludf.DUMMYFUNCTION("""COMPUTED_VALUE"""),41653.99861111111)</f>
        <v>41653.99861</v>
      </c>
      <c r="B1230" s="1">
        <f>IFERROR(__xludf.DUMMYFUNCTION("""COMPUTED_VALUE"""),3211.99618)</f>
        <v>3211.99618</v>
      </c>
    </row>
    <row r="1231">
      <c r="A1231" s="3">
        <f>IFERROR(__xludf.DUMMYFUNCTION("""COMPUTED_VALUE"""),41654.99861111111)</f>
        <v>41654.99861</v>
      </c>
      <c r="B1231" s="1">
        <f>IFERROR(__xludf.DUMMYFUNCTION("""COMPUTED_VALUE"""),3219.34504)</f>
        <v>3219.34504</v>
      </c>
    </row>
    <row r="1232">
      <c r="A1232" s="3">
        <f>IFERROR(__xludf.DUMMYFUNCTION("""COMPUTED_VALUE"""),41655.99861111111)</f>
        <v>41655.99861</v>
      </c>
      <c r="B1232" s="1">
        <f>IFERROR(__xludf.DUMMYFUNCTION("""COMPUTED_VALUE"""),3232.95404)</f>
        <v>3232.95404</v>
      </c>
    </row>
    <row r="1233">
      <c r="A1233" s="3">
        <f>IFERROR(__xludf.DUMMYFUNCTION("""COMPUTED_VALUE"""),41656.99861111111)</f>
        <v>41656.99861</v>
      </c>
      <c r="B1233" s="1">
        <f>IFERROR(__xludf.DUMMYFUNCTION("""COMPUTED_VALUE"""),3227.51044)</f>
        <v>3227.51044</v>
      </c>
    </row>
    <row r="1234">
      <c r="A1234" s="3">
        <f>IFERROR(__xludf.DUMMYFUNCTION("""COMPUTED_VALUE"""),41657.99861111111)</f>
        <v>41657.99861</v>
      </c>
      <c r="B1234" s="1">
        <f>IFERROR(__xludf.DUMMYFUNCTION("""COMPUTED_VALUE"""),3228.70531)</f>
        <v>3228.70531</v>
      </c>
    </row>
    <row r="1235">
      <c r="A1235" s="3">
        <f>IFERROR(__xludf.DUMMYFUNCTION("""COMPUTED_VALUE"""),41658.99861111111)</f>
        <v>41658.99861</v>
      </c>
      <c r="B1235" s="1">
        <f>IFERROR(__xludf.DUMMYFUNCTION("""COMPUTED_VALUE"""),3227.51044)</f>
        <v>3227.51044</v>
      </c>
    </row>
    <row r="1236">
      <c r="A1236" s="3">
        <f>IFERROR(__xludf.DUMMYFUNCTION("""COMPUTED_VALUE"""),41659.99861111111)</f>
        <v>41659.99861</v>
      </c>
      <c r="B1236" s="1">
        <f>IFERROR(__xludf.DUMMYFUNCTION("""COMPUTED_VALUE"""),3238.12546)</f>
        <v>3238.12546</v>
      </c>
    </row>
    <row r="1237">
      <c r="A1237" s="3">
        <f>IFERROR(__xludf.DUMMYFUNCTION("""COMPUTED_VALUE"""),41660.99861111111)</f>
        <v>41660.99861</v>
      </c>
      <c r="B1237" s="1">
        <f>IFERROR(__xludf.DUMMYFUNCTION("""COMPUTED_VALUE"""),3283.03516)</f>
        <v>3283.03516</v>
      </c>
    </row>
    <row r="1238">
      <c r="A1238" s="3">
        <f>IFERROR(__xludf.DUMMYFUNCTION("""COMPUTED_VALUE"""),41661.99861111111)</f>
        <v>41661.99861</v>
      </c>
      <c r="B1238" s="1">
        <f>IFERROR(__xludf.DUMMYFUNCTION("""COMPUTED_VALUE"""),3280.31336)</f>
        <v>3280.31336</v>
      </c>
    </row>
    <row r="1239">
      <c r="A1239" s="3">
        <f>IFERROR(__xludf.DUMMYFUNCTION("""COMPUTED_VALUE"""),41662.99861111111)</f>
        <v>41662.99861</v>
      </c>
      <c r="B1239" s="1">
        <f>IFERROR(__xludf.DUMMYFUNCTION("""COMPUTED_VALUE"""),3291.47274)</f>
        <v>3291.47274</v>
      </c>
    </row>
    <row r="1240">
      <c r="A1240" s="3">
        <f>IFERROR(__xludf.DUMMYFUNCTION("""COMPUTED_VALUE"""),41663.99861111111)</f>
        <v>41663.99861</v>
      </c>
      <c r="B1240" s="1">
        <f>IFERROR(__xludf.DUMMYFUNCTION("""COMPUTED_VALUE"""),3301.57575)</f>
        <v>3301.57575</v>
      </c>
    </row>
    <row r="1241">
      <c r="A1241" s="3">
        <f>IFERROR(__xludf.DUMMYFUNCTION("""COMPUTED_VALUE"""),41664.99861111111)</f>
        <v>41664.99861</v>
      </c>
      <c r="B1241" s="1">
        <f>IFERROR(__xludf.DUMMYFUNCTION("""COMPUTED_VALUE"""),3303.154705)</f>
        <v>3303.154705</v>
      </c>
    </row>
    <row r="1242">
      <c r="A1242" s="3">
        <f>IFERROR(__xludf.DUMMYFUNCTION("""COMPUTED_VALUE"""),41665.99861111111)</f>
        <v>41665.99861</v>
      </c>
      <c r="B1242" s="1">
        <f>IFERROR(__xludf.DUMMYFUNCTION("""COMPUTED_VALUE"""),3300.72686)</f>
        <v>3300.72686</v>
      </c>
    </row>
    <row r="1243">
      <c r="A1243" s="3">
        <f>IFERROR(__xludf.DUMMYFUNCTION("""COMPUTED_VALUE"""),41666.99861111111)</f>
        <v>41666.99861</v>
      </c>
      <c r="B1243" s="1">
        <f>IFERROR(__xludf.DUMMYFUNCTION("""COMPUTED_VALUE"""),3319.77946)</f>
        <v>3319.77946</v>
      </c>
    </row>
    <row r="1244">
      <c r="A1244" s="3">
        <f>IFERROR(__xludf.DUMMYFUNCTION("""COMPUTED_VALUE"""),41667.99861111111)</f>
        <v>41667.99861</v>
      </c>
      <c r="B1244" s="1">
        <f>IFERROR(__xludf.DUMMYFUNCTION("""COMPUTED_VALUE"""),3291.47274)</f>
        <v>3291.47274</v>
      </c>
    </row>
    <row r="1245">
      <c r="A1245" s="3">
        <f>IFERROR(__xludf.DUMMYFUNCTION("""COMPUTED_VALUE"""),41668.99861111111)</f>
        <v>41668.99861</v>
      </c>
      <c r="B1245" s="1">
        <f>IFERROR(__xludf.DUMMYFUNCTION("""COMPUTED_VALUE"""),3289.83966)</f>
        <v>3289.83966</v>
      </c>
    </row>
    <row r="1246">
      <c r="A1246" s="3">
        <f>IFERROR(__xludf.DUMMYFUNCTION("""COMPUTED_VALUE"""),41669.99861111111)</f>
        <v>41669.99861</v>
      </c>
      <c r="B1246" s="1">
        <f>IFERROR(__xludf.DUMMYFUNCTION("""COMPUTED_VALUE"""),3305.08174)</f>
        <v>3305.08174</v>
      </c>
    </row>
    <row r="1247">
      <c r="A1247" s="3">
        <f>IFERROR(__xludf.DUMMYFUNCTION("""COMPUTED_VALUE"""),41670.99861111111)</f>
        <v>41670.99861</v>
      </c>
      <c r="B1247" s="1">
        <f>IFERROR(__xludf.DUMMYFUNCTION("""COMPUTED_VALUE"""),3307.8375)</f>
        <v>3307.8375</v>
      </c>
    </row>
    <row r="1248">
      <c r="A1248" s="3">
        <f>IFERROR(__xludf.DUMMYFUNCTION("""COMPUTED_VALUE"""),41671.99861111111)</f>
        <v>41671.99861</v>
      </c>
      <c r="B1248" s="1">
        <f>IFERROR(__xludf.DUMMYFUNCTION("""COMPUTED_VALUE"""),3315.223166)</f>
        <v>3315.223166</v>
      </c>
    </row>
    <row r="1249">
      <c r="A1249" s="3">
        <f>IFERROR(__xludf.DUMMYFUNCTION("""COMPUTED_VALUE"""),41672.99861111111)</f>
        <v>41672.99861</v>
      </c>
      <c r="B1249" s="1">
        <f>IFERROR(__xludf.DUMMYFUNCTION("""COMPUTED_VALUE"""),3306.987)</f>
        <v>3306.987</v>
      </c>
    </row>
    <row r="1250">
      <c r="A1250" s="3">
        <f>IFERROR(__xludf.DUMMYFUNCTION("""COMPUTED_VALUE"""),41673.99861111111)</f>
        <v>41673.99861</v>
      </c>
      <c r="B1250" s="1">
        <f>IFERROR(__xludf.DUMMYFUNCTION("""COMPUTED_VALUE"""),3291.47274)</f>
        <v>3291.47274</v>
      </c>
    </row>
    <row r="1251">
      <c r="A1251" s="3">
        <f>IFERROR(__xludf.DUMMYFUNCTION("""COMPUTED_VALUE"""),41674.99861111111)</f>
        <v>41674.99861</v>
      </c>
      <c r="B1251" s="1">
        <f>IFERROR(__xludf.DUMMYFUNCTION("""COMPUTED_VALUE"""),3260.98858)</f>
        <v>3260.98858</v>
      </c>
    </row>
    <row r="1252">
      <c r="A1252" s="3">
        <f>IFERROR(__xludf.DUMMYFUNCTION("""COMPUTED_VALUE"""),41675.99861111111)</f>
        <v>41675.99861</v>
      </c>
      <c r="B1252" s="1">
        <f>IFERROR(__xludf.DUMMYFUNCTION("""COMPUTED_VALUE"""),3271.6036)</f>
        <v>3271.6036</v>
      </c>
    </row>
    <row r="1253">
      <c r="A1253" s="3">
        <f>IFERROR(__xludf.DUMMYFUNCTION("""COMPUTED_VALUE"""),41676.99861111111)</f>
        <v>41676.99861</v>
      </c>
      <c r="B1253" s="1">
        <f>IFERROR(__xludf.DUMMYFUNCTION("""COMPUTED_VALUE"""),3249.8292)</f>
        <v>3249.8292</v>
      </c>
    </row>
    <row r="1254">
      <c r="A1254" s="3">
        <f>IFERROR(__xludf.DUMMYFUNCTION("""COMPUTED_VALUE"""),41677.99861111111)</f>
        <v>41677.99861</v>
      </c>
      <c r="B1254" s="1">
        <f>IFERROR(__xludf.DUMMYFUNCTION("""COMPUTED_VALUE"""),3266.43218)</f>
        <v>3266.43218</v>
      </c>
    </row>
    <row r="1255">
      <c r="A1255" s="3">
        <f>IFERROR(__xludf.DUMMYFUNCTION("""COMPUTED_VALUE"""),41678.99861111111)</f>
        <v>41678.99861</v>
      </c>
      <c r="B1255" s="1">
        <f>IFERROR(__xludf.DUMMYFUNCTION("""COMPUTED_VALUE"""),3271.394021)</f>
        <v>3271.394021</v>
      </c>
    </row>
    <row r="1256">
      <c r="A1256" s="3">
        <f>IFERROR(__xludf.DUMMYFUNCTION("""COMPUTED_VALUE"""),41679.99861111111)</f>
        <v>41679.99861</v>
      </c>
      <c r="B1256" s="1">
        <f>IFERROR(__xludf.DUMMYFUNCTION("""COMPUTED_VALUE"""),3266.43218)</f>
        <v>3266.43218</v>
      </c>
    </row>
    <row r="1257">
      <c r="A1257" s="3">
        <f>IFERROR(__xludf.DUMMYFUNCTION("""COMPUTED_VALUE"""),41680.99861111111)</f>
        <v>41680.99861</v>
      </c>
      <c r="B1257" s="1">
        <f>IFERROR(__xludf.DUMMYFUNCTION("""COMPUTED_VALUE"""),3273.23668)</f>
        <v>3273.23668</v>
      </c>
    </row>
    <row r="1258">
      <c r="A1258" s="3">
        <f>IFERROR(__xludf.DUMMYFUNCTION("""COMPUTED_VALUE"""),41681.99861111111)</f>
        <v>41681.99861</v>
      </c>
      <c r="B1258" s="1">
        <f>IFERROR(__xludf.DUMMYFUNCTION("""COMPUTED_VALUE"""),3263.4382)</f>
        <v>3263.4382</v>
      </c>
    </row>
    <row r="1259">
      <c r="A1259" s="3">
        <f>IFERROR(__xludf.DUMMYFUNCTION("""COMPUTED_VALUE"""),41682.99861111111)</f>
        <v>41682.99861</v>
      </c>
      <c r="B1259" s="1">
        <f>IFERROR(__xludf.DUMMYFUNCTION("""COMPUTED_VALUE"""),3247.37958)</f>
        <v>3247.37958</v>
      </c>
    </row>
    <row r="1260">
      <c r="A1260" s="3">
        <f>IFERROR(__xludf.DUMMYFUNCTION("""COMPUTED_VALUE"""),41683.99861111111)</f>
        <v>41683.99861</v>
      </c>
      <c r="B1260" s="1">
        <f>IFERROR(__xludf.DUMMYFUNCTION("""COMPUTED_VALUE"""),3233.241)</f>
        <v>3233.241</v>
      </c>
    </row>
    <row r="1261">
      <c r="A1261" s="3">
        <f>IFERROR(__xludf.DUMMYFUNCTION("""COMPUTED_VALUE"""),41684.99861111111)</f>
        <v>41684.99861</v>
      </c>
      <c r="B1261" s="1">
        <f>IFERROR(__xludf.DUMMYFUNCTION("""COMPUTED_VALUE"""),3158.92108)</f>
        <v>3158.92108</v>
      </c>
    </row>
    <row r="1262">
      <c r="A1262" s="3">
        <f>IFERROR(__xludf.DUMMYFUNCTION("""COMPUTED_VALUE"""),41685.99861111111)</f>
        <v>41685.99861</v>
      </c>
      <c r="B1262" s="1">
        <f>IFERROR(__xludf.DUMMYFUNCTION("""COMPUTED_VALUE"""),3164.881822)</f>
        <v>3164.881822</v>
      </c>
    </row>
    <row r="1263">
      <c r="A1263" s="3">
        <f>IFERROR(__xludf.DUMMYFUNCTION("""COMPUTED_VALUE"""),41686.99861111111)</f>
        <v>41686.99861</v>
      </c>
      <c r="B1263" s="1">
        <f>IFERROR(__xludf.DUMMYFUNCTION("""COMPUTED_VALUE"""),3180.69548)</f>
        <v>3180.69548</v>
      </c>
    </row>
    <row r="1264">
      <c r="A1264" s="3">
        <f>IFERROR(__xludf.DUMMYFUNCTION("""COMPUTED_VALUE"""),41687.99861111111)</f>
        <v>41687.99861</v>
      </c>
      <c r="B1264" s="1">
        <f>IFERROR(__xludf.DUMMYFUNCTION("""COMPUTED_VALUE"""),3165.72558)</f>
        <v>3165.72558</v>
      </c>
    </row>
    <row r="1265">
      <c r="A1265" s="3">
        <f>IFERROR(__xludf.DUMMYFUNCTION("""COMPUTED_VALUE"""),41688.99861111111)</f>
        <v>41688.99861</v>
      </c>
      <c r="B1265" s="1">
        <f>IFERROR(__xludf.DUMMYFUNCTION("""COMPUTED_VALUE"""),3222.6112)</f>
        <v>3222.6112</v>
      </c>
    </row>
    <row r="1266">
      <c r="A1266" s="3">
        <f>IFERROR(__xludf.DUMMYFUNCTION("""COMPUTED_VALUE"""),41689.99861111111)</f>
        <v>41689.99861</v>
      </c>
      <c r="B1266" s="1">
        <f>IFERROR(__xludf.DUMMYFUNCTION("""COMPUTED_VALUE"""),3177.42975)</f>
        <v>3177.42975</v>
      </c>
    </row>
    <row r="1267">
      <c r="A1267" s="3">
        <f>IFERROR(__xludf.DUMMYFUNCTION("""COMPUTED_VALUE"""),41690.99861111111)</f>
        <v>41690.99861</v>
      </c>
      <c r="B1267" s="1">
        <f>IFERROR(__xludf.DUMMYFUNCTION("""COMPUTED_VALUE"""),3201.10898)</f>
        <v>3201.10898</v>
      </c>
    </row>
    <row r="1268">
      <c r="A1268" s="3">
        <f>IFERROR(__xludf.DUMMYFUNCTION("""COMPUTED_VALUE"""),41691.99861111111)</f>
        <v>41691.99861</v>
      </c>
      <c r="B1268" s="1">
        <f>IFERROR(__xludf.DUMMYFUNCTION("""COMPUTED_VALUE"""),3179.33458)</f>
        <v>3179.33458</v>
      </c>
    </row>
    <row r="1269">
      <c r="A1269" s="3">
        <f>IFERROR(__xludf.DUMMYFUNCTION("""COMPUTED_VALUE"""),41692.99861111111)</f>
        <v>41692.99861</v>
      </c>
      <c r="B1269" s="1">
        <f>IFERROR(__xludf.DUMMYFUNCTION("""COMPUTED_VALUE"""),3183.390062)</f>
        <v>3183.390062</v>
      </c>
    </row>
    <row r="1270">
      <c r="A1270" s="3">
        <f>IFERROR(__xludf.DUMMYFUNCTION("""COMPUTED_VALUE"""),41693.99861111111)</f>
        <v>41693.99861</v>
      </c>
      <c r="B1270" s="1">
        <f>IFERROR(__xludf.DUMMYFUNCTION("""COMPUTED_VALUE"""),3179.33458)</f>
        <v>3179.33458</v>
      </c>
    </row>
    <row r="1271">
      <c r="A1271" s="3">
        <f>IFERROR(__xludf.DUMMYFUNCTION("""COMPUTED_VALUE"""),41694.99861111111)</f>
        <v>41694.99861</v>
      </c>
      <c r="B1271" s="1">
        <f>IFERROR(__xludf.DUMMYFUNCTION("""COMPUTED_VALUE"""),3150.75568)</f>
        <v>3150.75568</v>
      </c>
    </row>
    <row r="1272">
      <c r="A1272" s="3">
        <f>IFERROR(__xludf.DUMMYFUNCTION("""COMPUTED_VALUE"""),41695.99861111111)</f>
        <v>41695.99861</v>
      </c>
      <c r="B1272" s="1">
        <f>IFERROR(__xludf.DUMMYFUNCTION("""COMPUTED_VALUE"""),3162.7316)</f>
        <v>3162.7316</v>
      </c>
    </row>
    <row r="1273">
      <c r="A1273" s="3">
        <f>IFERROR(__xludf.DUMMYFUNCTION("""COMPUTED_VALUE"""),41696.99861111111)</f>
        <v>41696.99861</v>
      </c>
      <c r="B1273" s="1">
        <f>IFERROR(__xludf.DUMMYFUNCTION("""COMPUTED_VALUE"""),3175.25188)</f>
        <v>3175.25188</v>
      </c>
    </row>
    <row r="1274">
      <c r="A1274" s="3">
        <f>IFERROR(__xludf.DUMMYFUNCTION("""COMPUTED_VALUE"""),41697.99861111111)</f>
        <v>41697.99861</v>
      </c>
      <c r="B1274" s="1">
        <f>IFERROR(__xludf.DUMMYFUNCTION("""COMPUTED_VALUE"""),3157.56018)</f>
        <v>3157.56018</v>
      </c>
    </row>
    <row r="1275">
      <c r="A1275" s="3">
        <f>IFERROR(__xludf.DUMMYFUNCTION("""COMPUTED_VALUE"""),41698.99861111111)</f>
        <v>41698.99861</v>
      </c>
      <c r="B1275" s="1">
        <f>IFERROR(__xludf.DUMMYFUNCTION("""COMPUTED_VALUE"""),3148.85042)</f>
        <v>3148.85042</v>
      </c>
    </row>
    <row r="1276">
      <c r="A1276" s="3">
        <f>IFERROR(__xludf.DUMMYFUNCTION("""COMPUTED_VALUE"""),41699.99861111111)</f>
        <v>41699.99861</v>
      </c>
      <c r="B1276" s="1">
        <f>IFERROR(__xludf.DUMMYFUNCTION("""COMPUTED_VALUE"""),3154.45968)</f>
        <v>3154.45968</v>
      </c>
    </row>
    <row r="1277">
      <c r="A1277" s="3">
        <f>IFERROR(__xludf.DUMMYFUNCTION("""COMPUTED_VALUE"""),41700.99861111111)</f>
        <v>41700.99861</v>
      </c>
      <c r="B1277" s="1">
        <f>IFERROR(__xludf.DUMMYFUNCTION("""COMPUTED_VALUE"""),3148.85042)</f>
        <v>3148.85042</v>
      </c>
    </row>
    <row r="1278">
      <c r="A1278" s="3">
        <f>IFERROR(__xludf.DUMMYFUNCTION("""COMPUTED_VALUE"""),41701.99861111111)</f>
        <v>41701.99861</v>
      </c>
      <c r="B1278" s="1">
        <f>IFERROR(__xludf.DUMMYFUNCTION("""COMPUTED_VALUE"""),3172.53008)</f>
        <v>3172.53008</v>
      </c>
    </row>
    <row r="1279">
      <c r="A1279" s="3">
        <f>IFERROR(__xludf.DUMMYFUNCTION("""COMPUTED_VALUE"""),41702.99861111111)</f>
        <v>41702.99861</v>
      </c>
      <c r="B1279" s="1">
        <f>IFERROR(__xludf.DUMMYFUNCTION("""COMPUTED_VALUE"""),3148.03388)</f>
        <v>3148.03388</v>
      </c>
    </row>
    <row r="1280">
      <c r="A1280" s="3">
        <f>IFERROR(__xludf.DUMMYFUNCTION("""COMPUTED_VALUE"""),41703.99861111111)</f>
        <v>41703.99861</v>
      </c>
      <c r="B1280" s="1">
        <f>IFERROR(__xludf.DUMMYFUNCTION("""COMPUTED_VALUE"""),3150.20475)</f>
        <v>3150.20475</v>
      </c>
    </row>
    <row r="1281">
      <c r="A1281" s="3">
        <f>IFERROR(__xludf.DUMMYFUNCTION("""COMPUTED_VALUE"""),41704.99861111111)</f>
        <v>41704.99861</v>
      </c>
      <c r="B1281" s="1">
        <f>IFERROR(__xludf.DUMMYFUNCTION("""COMPUTED_VALUE"""),3105.5738)</f>
        <v>3105.5738</v>
      </c>
    </row>
    <row r="1282">
      <c r="A1282" s="3">
        <f>IFERROR(__xludf.DUMMYFUNCTION("""COMPUTED_VALUE"""),41705.99861111111)</f>
        <v>41705.99861</v>
      </c>
      <c r="B1282" s="1">
        <f>IFERROR(__xludf.DUMMYFUNCTION("""COMPUTED_VALUE"""),3099.04148)</f>
        <v>3099.04148</v>
      </c>
    </row>
    <row r="1283">
      <c r="A1283" s="3">
        <f>IFERROR(__xludf.DUMMYFUNCTION("""COMPUTED_VALUE"""),41706.99861111111)</f>
        <v>41706.99861</v>
      </c>
      <c r="B1283" s="1">
        <f>IFERROR(__xludf.DUMMYFUNCTION("""COMPUTED_VALUE"""),3103.53245)</f>
        <v>3103.53245</v>
      </c>
    </row>
    <row r="1284">
      <c r="A1284" s="3">
        <f>IFERROR(__xludf.DUMMYFUNCTION("""COMPUTED_VALUE"""),41707.99861111111)</f>
        <v>41707.99861</v>
      </c>
      <c r="B1284" s="1">
        <f>IFERROR(__xludf.DUMMYFUNCTION("""COMPUTED_VALUE"""),3099.04148)</f>
        <v>3099.04148</v>
      </c>
    </row>
    <row r="1285">
      <c r="A1285" s="3">
        <f>IFERROR(__xludf.DUMMYFUNCTION("""COMPUTED_VALUE"""),41708.99861111111)</f>
        <v>41708.99861</v>
      </c>
      <c r="B1285" s="1">
        <f>IFERROR(__xludf.DUMMYFUNCTION("""COMPUTED_VALUE"""),3111.0174)</f>
        <v>3111.0174</v>
      </c>
    </row>
    <row r="1286">
      <c r="A1286" s="3">
        <f>IFERROR(__xludf.DUMMYFUNCTION("""COMPUTED_VALUE"""),41709.99861111111)</f>
        <v>41709.99861</v>
      </c>
      <c r="B1286" s="1">
        <f>IFERROR(__xludf.DUMMYFUNCTION("""COMPUTED_VALUE"""),3125.9873)</f>
        <v>3125.9873</v>
      </c>
    </row>
    <row r="1287">
      <c r="A1287" s="3">
        <f>IFERROR(__xludf.DUMMYFUNCTION("""COMPUTED_VALUE"""),41710.99861111111)</f>
        <v>41710.99861</v>
      </c>
      <c r="B1287" s="1">
        <f>IFERROR(__xludf.DUMMYFUNCTION("""COMPUTED_VALUE"""),3112.3783)</f>
        <v>3112.3783</v>
      </c>
    </row>
    <row r="1288">
      <c r="A1288" s="3">
        <f>IFERROR(__xludf.DUMMYFUNCTION("""COMPUTED_VALUE"""),41711.99861111111)</f>
        <v>41711.99861</v>
      </c>
      <c r="B1288" s="1">
        <f>IFERROR(__xludf.DUMMYFUNCTION("""COMPUTED_VALUE"""),3108.56778)</f>
        <v>3108.56778</v>
      </c>
    </row>
    <row r="1289">
      <c r="A1289" s="3">
        <f>IFERROR(__xludf.DUMMYFUNCTION("""COMPUTED_VALUE"""),41712.99861111111)</f>
        <v>41712.99861</v>
      </c>
      <c r="B1289" s="1">
        <f>IFERROR(__xludf.DUMMYFUNCTION("""COMPUTED_VALUE"""),3074.54528)</f>
        <v>3074.54528</v>
      </c>
    </row>
    <row r="1290">
      <c r="A1290" s="3">
        <f>IFERROR(__xludf.DUMMYFUNCTION("""COMPUTED_VALUE"""),41713.99861111111)</f>
        <v>41713.99861</v>
      </c>
      <c r="B1290" s="1">
        <f>IFERROR(__xludf.DUMMYFUNCTION("""COMPUTED_VALUE"""),3078.957317)</f>
        <v>3078.957317</v>
      </c>
    </row>
    <row r="1291">
      <c r="A1291" s="3">
        <f>IFERROR(__xludf.DUMMYFUNCTION("""COMPUTED_VALUE"""),41714.99861111111)</f>
        <v>41714.99861</v>
      </c>
      <c r="B1291" s="1">
        <f>IFERROR(__xludf.DUMMYFUNCTION("""COMPUTED_VALUE"""),3074.54528)</f>
        <v>3074.54528</v>
      </c>
    </row>
    <row r="1292">
      <c r="A1292" s="3">
        <f>IFERROR(__xludf.DUMMYFUNCTION("""COMPUTED_VALUE"""),41715.99861111111)</f>
        <v>41715.99861</v>
      </c>
      <c r="B1292" s="1">
        <f>IFERROR(__xludf.DUMMYFUNCTION("""COMPUTED_VALUE"""),3071.82348)</f>
        <v>3071.82348</v>
      </c>
    </row>
    <row r="1293">
      <c r="A1293" s="3">
        <f>IFERROR(__xludf.DUMMYFUNCTION("""COMPUTED_VALUE"""),41716.99861111111)</f>
        <v>41716.99861</v>
      </c>
      <c r="B1293" s="1">
        <f>IFERROR(__xludf.DUMMYFUNCTION("""COMPUTED_VALUE"""),3082.4385)</f>
        <v>3082.4385</v>
      </c>
    </row>
    <row r="1294">
      <c r="A1294" s="3">
        <f>IFERROR(__xludf.DUMMYFUNCTION("""COMPUTED_VALUE"""),41717.99861111111)</f>
        <v>41717.99861</v>
      </c>
      <c r="B1294" s="1">
        <f>IFERROR(__xludf.DUMMYFUNCTION("""COMPUTED_VALUE"""),3078.9213)</f>
        <v>3078.9213</v>
      </c>
    </row>
    <row r="1295">
      <c r="A1295" s="3">
        <f>IFERROR(__xludf.DUMMYFUNCTION("""COMPUTED_VALUE"""),41718.99861111111)</f>
        <v>41718.99861</v>
      </c>
      <c r="B1295" s="1">
        <f>IFERROR(__xludf.DUMMYFUNCTION("""COMPUTED_VALUE"""),3112.3783)</f>
        <v>3112.3783</v>
      </c>
    </row>
    <row r="1296">
      <c r="A1296" s="3">
        <f>IFERROR(__xludf.DUMMYFUNCTION("""COMPUTED_VALUE"""),41719.99861111111)</f>
        <v>41719.99861</v>
      </c>
      <c r="B1296" s="1">
        <f>IFERROR(__xludf.DUMMYFUNCTION("""COMPUTED_VALUE"""),3103.12418)</f>
        <v>3103.12418</v>
      </c>
    </row>
    <row r="1297">
      <c r="A1297" s="3">
        <f>IFERROR(__xludf.DUMMYFUNCTION("""COMPUTED_VALUE"""),41720.99861111111)</f>
        <v>41720.99861</v>
      </c>
      <c r="B1297" s="1">
        <f>IFERROR(__xludf.DUMMYFUNCTION("""COMPUTED_VALUE"""),3107.076233)</f>
        <v>3107.076233</v>
      </c>
    </row>
    <row r="1298">
      <c r="A1298" s="3">
        <f>IFERROR(__xludf.DUMMYFUNCTION("""COMPUTED_VALUE"""),41721.99861111111)</f>
        <v>41721.99861</v>
      </c>
      <c r="B1298" s="1">
        <f>IFERROR(__xludf.DUMMYFUNCTION("""COMPUTED_VALUE"""),3103.12418)</f>
        <v>3103.12418</v>
      </c>
    </row>
    <row r="1299">
      <c r="A1299" s="3">
        <f>IFERROR(__xludf.DUMMYFUNCTION("""COMPUTED_VALUE"""),41722.99861111111)</f>
        <v>41722.99861</v>
      </c>
      <c r="B1299" s="1">
        <f>IFERROR(__xludf.DUMMYFUNCTION("""COMPUTED_VALUE"""),3092.23698)</f>
        <v>3092.23698</v>
      </c>
    </row>
    <row r="1300">
      <c r="A1300" s="3">
        <f>IFERROR(__xludf.DUMMYFUNCTION("""COMPUTED_VALUE"""),41723.99861111111)</f>
        <v>41723.99861</v>
      </c>
      <c r="B1300" s="1">
        <f>IFERROR(__xludf.DUMMYFUNCTION("""COMPUTED_VALUE"""),3097.68058)</f>
        <v>3097.68058</v>
      </c>
    </row>
    <row r="1301">
      <c r="A1301" s="3">
        <f>IFERROR(__xludf.DUMMYFUNCTION("""COMPUTED_VALUE"""),41724.99861111111)</f>
        <v>41724.99861</v>
      </c>
      <c r="B1301" s="1">
        <f>IFERROR(__xludf.DUMMYFUNCTION("""COMPUTED_VALUE"""),3112.3783)</f>
        <v>3112.3783</v>
      </c>
    </row>
    <row r="1302">
      <c r="A1302" s="3">
        <f>IFERROR(__xludf.DUMMYFUNCTION("""COMPUTED_VALUE"""),41725.99861111111)</f>
        <v>41725.99861</v>
      </c>
      <c r="B1302" s="1">
        <f>IFERROR(__xludf.DUMMYFUNCTION("""COMPUTED_VALUE"""),3098.47725)</f>
        <v>3098.47725</v>
      </c>
    </row>
    <row r="1303">
      <c r="A1303" s="3">
        <f>IFERROR(__xludf.DUMMYFUNCTION("""COMPUTED_VALUE"""),41726.99861111111)</f>
        <v>41726.99861</v>
      </c>
      <c r="B1303" s="1">
        <f>IFERROR(__xludf.DUMMYFUNCTION("""COMPUTED_VALUE"""),3076.9949)</f>
        <v>3076.9949</v>
      </c>
    </row>
    <row r="1304">
      <c r="A1304" s="3">
        <f>IFERROR(__xludf.DUMMYFUNCTION("""COMPUTED_VALUE"""),41727.99861111111)</f>
        <v>41727.99861</v>
      </c>
      <c r="B1304" s="1">
        <f>IFERROR(__xludf.DUMMYFUNCTION("""COMPUTED_VALUE"""),3082.443943)</f>
        <v>3082.443943</v>
      </c>
    </row>
    <row r="1305">
      <c r="A1305" s="3">
        <f>IFERROR(__xludf.DUMMYFUNCTION("""COMPUTED_VALUE"""),41729.99861111111)</f>
        <v>41729.99861</v>
      </c>
      <c r="B1305" s="1">
        <f>IFERROR(__xludf.DUMMYFUNCTION("""COMPUTED_VALUE"""),3063.3859)</f>
        <v>3063.3859</v>
      </c>
    </row>
    <row r="1306">
      <c r="A1306" s="3">
        <f>IFERROR(__xludf.DUMMYFUNCTION("""COMPUTED_VALUE"""),41730.99861111111)</f>
        <v>41730.99861</v>
      </c>
      <c r="B1306" s="1">
        <f>IFERROR(__xludf.DUMMYFUNCTION("""COMPUTED_VALUE"""),3064.20244)</f>
        <v>3064.20244</v>
      </c>
    </row>
    <row r="1307">
      <c r="A1307" s="3">
        <f>IFERROR(__xludf.DUMMYFUNCTION("""COMPUTED_VALUE"""),41731.99861111111)</f>
        <v>41731.99861</v>
      </c>
      <c r="B1307" s="1">
        <f>IFERROR(__xludf.DUMMYFUNCTION("""COMPUTED_VALUE"""),3068.8295)</f>
        <v>3068.8295</v>
      </c>
    </row>
    <row r="1308">
      <c r="A1308" s="3">
        <f>IFERROR(__xludf.DUMMYFUNCTION("""COMPUTED_VALUE"""),41732.99861111111)</f>
        <v>41732.99861</v>
      </c>
      <c r="B1308" s="1">
        <f>IFERROR(__xludf.DUMMYFUNCTION("""COMPUTED_VALUE"""),3085.1603)</f>
        <v>3085.1603</v>
      </c>
    </row>
    <row r="1309">
      <c r="A1309" s="3">
        <f>IFERROR(__xludf.DUMMYFUNCTION("""COMPUTED_VALUE"""),41733.99861111111)</f>
        <v>41733.99861</v>
      </c>
      <c r="B1309" s="1">
        <f>IFERROR(__xludf.DUMMYFUNCTION("""COMPUTED_VALUE"""),3078.3558)</f>
        <v>3078.3558</v>
      </c>
    </row>
    <row r="1310">
      <c r="A1310" s="3">
        <f>IFERROR(__xludf.DUMMYFUNCTION("""COMPUTED_VALUE"""),41734.99861111111)</f>
        <v>41734.99861</v>
      </c>
      <c r="B1310" s="1">
        <f>IFERROR(__xludf.DUMMYFUNCTION("""COMPUTED_VALUE"""),3082.443943)</f>
        <v>3082.443943</v>
      </c>
    </row>
    <row r="1311">
      <c r="A1311" s="3">
        <f>IFERROR(__xludf.DUMMYFUNCTION("""COMPUTED_VALUE"""),41735.99861111111)</f>
        <v>41735.99861</v>
      </c>
      <c r="B1311" s="1">
        <f>IFERROR(__xludf.DUMMYFUNCTION("""COMPUTED_VALUE"""),3078.3558)</f>
        <v>3078.3558</v>
      </c>
    </row>
    <row r="1312">
      <c r="A1312" s="3">
        <f>IFERROR(__xludf.DUMMYFUNCTION("""COMPUTED_VALUE"""),41736.99861111111)</f>
        <v>41736.99861</v>
      </c>
      <c r="B1312" s="1">
        <f>IFERROR(__xludf.DUMMYFUNCTION("""COMPUTED_VALUE"""),3074.2731)</f>
        <v>3074.2731</v>
      </c>
    </row>
    <row r="1313">
      <c r="A1313" s="3">
        <f>IFERROR(__xludf.DUMMYFUNCTION("""COMPUTED_VALUE"""),41737.99861111111)</f>
        <v>41737.99861</v>
      </c>
      <c r="B1313" s="1">
        <f>IFERROR(__xludf.DUMMYFUNCTION("""COMPUTED_VALUE"""),3064.7468)</f>
        <v>3064.7468</v>
      </c>
    </row>
    <row r="1314">
      <c r="A1314" s="3">
        <f>IFERROR(__xludf.DUMMYFUNCTION("""COMPUTED_VALUE"""),41738.99861111111)</f>
        <v>41738.99861</v>
      </c>
      <c r="B1314" s="1">
        <f>IFERROR(__xludf.DUMMYFUNCTION("""COMPUTED_VALUE"""),3067.4686)</f>
        <v>3067.4686</v>
      </c>
    </row>
    <row r="1315">
      <c r="A1315" s="3">
        <f>IFERROR(__xludf.DUMMYFUNCTION("""COMPUTED_VALUE"""),41739.99861111111)</f>
        <v>41739.99861</v>
      </c>
      <c r="B1315" s="1">
        <f>IFERROR(__xludf.DUMMYFUNCTION("""COMPUTED_VALUE"""),3087.8821)</f>
        <v>3087.8821</v>
      </c>
    </row>
    <row r="1316">
      <c r="A1316" s="3">
        <f>IFERROR(__xludf.DUMMYFUNCTION("""COMPUTED_VALUE"""),41740.99861111111)</f>
        <v>41740.99861</v>
      </c>
      <c r="B1316" s="1">
        <f>IFERROR(__xludf.DUMMYFUNCTION("""COMPUTED_VALUE"""),3101.4911)</f>
        <v>3101.4911</v>
      </c>
    </row>
    <row r="1317">
      <c r="A1317" s="3">
        <f>IFERROR(__xludf.DUMMYFUNCTION("""COMPUTED_VALUE"""),41741.99861111111)</f>
        <v>41741.99861</v>
      </c>
      <c r="B1317" s="1">
        <f>IFERROR(__xludf.DUMMYFUNCTION("""COMPUTED_VALUE"""),3107.076233)</f>
        <v>3107.076233</v>
      </c>
    </row>
    <row r="1318">
      <c r="A1318" s="3">
        <f>IFERROR(__xludf.DUMMYFUNCTION("""COMPUTED_VALUE"""),41742.99861111111)</f>
        <v>41742.99861</v>
      </c>
      <c r="B1318" s="1">
        <f>IFERROR(__xludf.DUMMYFUNCTION("""COMPUTED_VALUE"""),3101.4911)</f>
        <v>3101.4911</v>
      </c>
    </row>
    <row r="1319">
      <c r="A1319" s="3">
        <f>IFERROR(__xludf.DUMMYFUNCTION("""COMPUTED_VALUE"""),41743.99861111111)</f>
        <v>41743.99861</v>
      </c>
      <c r="B1319" s="1">
        <f>IFERROR(__xludf.DUMMYFUNCTION("""COMPUTED_VALUE"""),3112.65048)</f>
        <v>3112.65048</v>
      </c>
    </row>
    <row r="1320">
      <c r="A1320" s="3">
        <f>IFERROR(__xludf.DUMMYFUNCTION("""COMPUTED_VALUE"""),41744.99861111111)</f>
        <v>41744.99861</v>
      </c>
      <c r="B1320" s="1">
        <f>IFERROR(__xludf.DUMMYFUNCTION("""COMPUTED_VALUE"""),3116.461)</f>
        <v>3116.461</v>
      </c>
    </row>
    <row r="1321">
      <c r="A1321" s="3">
        <f>IFERROR(__xludf.DUMMYFUNCTION("""COMPUTED_VALUE"""),41745.99861111111)</f>
        <v>41745.99861</v>
      </c>
      <c r="B1321" s="1">
        <f>IFERROR(__xludf.DUMMYFUNCTION("""COMPUTED_VALUE"""),3104.2129)</f>
        <v>3104.2129</v>
      </c>
    </row>
    <row r="1322">
      <c r="A1322" s="3">
        <f>IFERROR(__xludf.DUMMYFUNCTION("""COMPUTED_VALUE"""),41746.99861111111)</f>
        <v>41746.99861</v>
      </c>
      <c r="B1322" s="1">
        <f>IFERROR(__xludf.DUMMYFUNCTION("""COMPUTED_VALUE"""),3115.1001)</f>
        <v>3115.1001</v>
      </c>
    </row>
    <row r="1323">
      <c r="A1323" s="3">
        <f>IFERROR(__xludf.DUMMYFUNCTION("""COMPUTED_VALUE"""),41747.99861111111)</f>
        <v>41747.99861</v>
      </c>
      <c r="B1323" s="1">
        <f>IFERROR(__xludf.DUMMYFUNCTION("""COMPUTED_VALUE"""),3115.1001)</f>
        <v>3115.1001</v>
      </c>
    </row>
    <row r="1324">
      <c r="A1324" s="3">
        <f>IFERROR(__xludf.DUMMYFUNCTION("""COMPUTED_VALUE"""),41748.99861111111)</f>
        <v>41748.99861</v>
      </c>
      <c r="B1324" s="1">
        <f>IFERROR(__xludf.DUMMYFUNCTION("""COMPUTED_VALUE"""),3122.13033)</f>
        <v>3122.13033</v>
      </c>
    </row>
    <row r="1325">
      <c r="A1325" s="3">
        <f>IFERROR(__xludf.DUMMYFUNCTION("""COMPUTED_VALUE"""),41749.99861111111)</f>
        <v>41749.99861</v>
      </c>
      <c r="B1325" s="1">
        <f>IFERROR(__xludf.DUMMYFUNCTION("""COMPUTED_VALUE"""),3115.1001)</f>
        <v>3115.1001</v>
      </c>
    </row>
    <row r="1326">
      <c r="A1326" s="3">
        <f>IFERROR(__xludf.DUMMYFUNCTION("""COMPUTED_VALUE"""),41750.99861111111)</f>
        <v>41750.99861</v>
      </c>
      <c r="B1326" s="1">
        <f>IFERROR(__xludf.DUMMYFUNCTION("""COMPUTED_VALUE"""),3112.3783)</f>
        <v>3112.3783</v>
      </c>
    </row>
    <row r="1327">
      <c r="A1327" s="3">
        <f>IFERROR(__xludf.DUMMYFUNCTION("""COMPUTED_VALUE"""),41751.99861111111)</f>
        <v>41751.99861</v>
      </c>
      <c r="B1327" s="1">
        <f>IFERROR(__xludf.DUMMYFUNCTION("""COMPUTED_VALUE"""),3140.9572)</f>
        <v>3140.9572</v>
      </c>
    </row>
    <row r="1328">
      <c r="A1328" s="3">
        <f>IFERROR(__xludf.DUMMYFUNCTION("""COMPUTED_VALUE"""),41752.99861111111)</f>
        <v>41752.99861</v>
      </c>
      <c r="B1328" s="1">
        <f>IFERROR(__xludf.DUMMYFUNCTION("""COMPUTED_VALUE"""),3162.7316)</f>
        <v>3162.7316</v>
      </c>
    </row>
    <row r="1329">
      <c r="A1329" s="3">
        <f>IFERROR(__xludf.DUMMYFUNCTION("""COMPUTED_VALUE"""),41753.99861111111)</f>
        <v>41753.99861</v>
      </c>
      <c r="B1329" s="1">
        <f>IFERROR(__xludf.DUMMYFUNCTION("""COMPUTED_VALUE"""),3155.9271)</f>
        <v>3155.9271</v>
      </c>
    </row>
    <row r="1330">
      <c r="A1330" s="3">
        <f>IFERROR(__xludf.DUMMYFUNCTION("""COMPUTED_VALUE"""),41754.99861111111)</f>
        <v>41754.99861</v>
      </c>
      <c r="B1330" s="1">
        <f>IFERROR(__xludf.DUMMYFUNCTION("""COMPUTED_VALUE"""),3147.7617)</f>
        <v>3147.7617</v>
      </c>
    </row>
    <row r="1331">
      <c r="A1331" s="3">
        <f>IFERROR(__xludf.DUMMYFUNCTION("""COMPUTED_VALUE"""),41756.99861111111)</f>
        <v>41756.99861</v>
      </c>
      <c r="B1331" s="1">
        <f>IFERROR(__xludf.DUMMYFUNCTION("""COMPUTED_VALUE"""),3147.7617)</f>
        <v>3147.7617</v>
      </c>
    </row>
    <row r="1332">
      <c r="A1332" s="3">
        <f>IFERROR(__xludf.DUMMYFUNCTION("""COMPUTED_VALUE"""),41757.99861111111)</f>
        <v>41757.99861</v>
      </c>
      <c r="B1332" s="1">
        <f>IFERROR(__xludf.DUMMYFUNCTION("""COMPUTED_VALUE"""),3153.2053)</f>
        <v>3153.2053</v>
      </c>
    </row>
    <row r="1333">
      <c r="A1333" s="3">
        <f>IFERROR(__xludf.DUMMYFUNCTION("""COMPUTED_VALUE"""),41758.99861111111)</f>
        <v>41758.99861</v>
      </c>
      <c r="B1333" s="1">
        <f>IFERROR(__xludf.DUMMYFUNCTION("""COMPUTED_VALUE"""),3142.3181)</f>
        <v>3142.3181</v>
      </c>
    </row>
    <row r="1334">
      <c r="A1334" s="3">
        <f>IFERROR(__xludf.DUMMYFUNCTION("""COMPUTED_VALUE"""),41759.99861111111)</f>
        <v>41759.99861</v>
      </c>
      <c r="B1334" s="1">
        <f>IFERROR(__xludf.DUMMYFUNCTION("""COMPUTED_VALUE"""),3142.3181)</f>
        <v>3142.3181</v>
      </c>
    </row>
    <row r="1335">
      <c r="A1335" s="3">
        <f>IFERROR(__xludf.DUMMYFUNCTION("""COMPUTED_VALUE"""),41760.99861111111)</f>
        <v>41760.99861</v>
      </c>
      <c r="B1335" s="1">
        <f>IFERROR(__xludf.DUMMYFUNCTION("""COMPUTED_VALUE"""),3142.3181)</f>
        <v>3142.3181</v>
      </c>
    </row>
    <row r="1336">
      <c r="A1336" s="3">
        <f>IFERROR(__xludf.DUMMYFUNCTION("""COMPUTED_VALUE"""),41761.99861111111)</f>
        <v>41761.99861</v>
      </c>
      <c r="B1336" s="1">
        <f>IFERROR(__xludf.DUMMYFUNCTION("""COMPUTED_VALUE"""),3134.1527)</f>
        <v>3134.1527</v>
      </c>
    </row>
    <row r="1337">
      <c r="A1337" s="3">
        <f>IFERROR(__xludf.DUMMYFUNCTION("""COMPUTED_VALUE"""),41762.99861111111)</f>
        <v>41762.99861</v>
      </c>
      <c r="B1337" s="1">
        <f>IFERROR(__xludf.DUMMYFUNCTION("""COMPUTED_VALUE"""),3139.906264)</f>
        <v>3139.906264</v>
      </c>
    </row>
    <row r="1338">
      <c r="A1338" s="3">
        <f>IFERROR(__xludf.DUMMYFUNCTION("""COMPUTED_VALUE"""),41764.99861111111)</f>
        <v>41764.99861</v>
      </c>
      <c r="B1338" s="1">
        <f>IFERROR(__xludf.DUMMYFUNCTION("""COMPUTED_VALUE"""),3131.4309)</f>
        <v>3131.4309</v>
      </c>
    </row>
    <row r="1339">
      <c r="A1339" s="3">
        <f>IFERROR(__xludf.DUMMYFUNCTION("""COMPUTED_VALUE"""),41765.99861111111)</f>
        <v>41765.99861</v>
      </c>
      <c r="B1339" s="1">
        <f>IFERROR(__xludf.DUMMYFUNCTION("""COMPUTED_VALUE"""),3132.7918)</f>
        <v>3132.7918</v>
      </c>
    </row>
    <row r="1340">
      <c r="A1340" s="3">
        <f>IFERROR(__xludf.DUMMYFUNCTION("""COMPUTED_VALUE"""),41766.99861111111)</f>
        <v>41766.99861</v>
      </c>
      <c r="B1340" s="1">
        <f>IFERROR(__xludf.DUMMYFUNCTION("""COMPUTED_VALUE"""),3149.1226)</f>
        <v>3149.1226</v>
      </c>
    </row>
    <row r="1341">
      <c r="A1341" s="3">
        <f>IFERROR(__xludf.DUMMYFUNCTION("""COMPUTED_VALUE"""),41767.99861111111)</f>
        <v>41767.99861</v>
      </c>
      <c r="B1341" s="1">
        <f>IFERROR(__xludf.DUMMYFUNCTION("""COMPUTED_VALUE"""),3136.8745)</f>
        <v>3136.8745</v>
      </c>
    </row>
    <row r="1342">
      <c r="A1342" s="3">
        <f>IFERROR(__xludf.DUMMYFUNCTION("""COMPUTED_VALUE"""),41768.99861111111)</f>
        <v>41768.99861</v>
      </c>
      <c r="B1342" s="1">
        <f>IFERROR(__xludf.DUMMYFUNCTION("""COMPUTED_VALUE"""),3140.40375)</f>
        <v>3140.40375</v>
      </c>
    </row>
    <row r="1343">
      <c r="A1343" s="3">
        <f>IFERROR(__xludf.DUMMYFUNCTION("""COMPUTED_VALUE"""),41769.99861111111)</f>
        <v>41769.99861</v>
      </c>
      <c r="B1343" s="1">
        <f>IFERROR(__xludf.DUMMYFUNCTION("""COMPUTED_VALUE"""),3146.588604)</f>
        <v>3146.588604</v>
      </c>
    </row>
    <row r="1344">
      <c r="A1344" s="3">
        <f>IFERROR(__xludf.DUMMYFUNCTION("""COMPUTED_VALUE"""),41770.99861111111)</f>
        <v>41770.99861</v>
      </c>
      <c r="B1344" s="1">
        <f>IFERROR(__xludf.DUMMYFUNCTION("""COMPUTED_VALUE"""),3120.5437)</f>
        <v>3120.5437</v>
      </c>
    </row>
    <row r="1345">
      <c r="A1345" s="3">
        <f>IFERROR(__xludf.DUMMYFUNCTION("""COMPUTED_VALUE"""),41771.99861111111)</f>
        <v>41771.99861</v>
      </c>
      <c r="B1345" s="1">
        <f>IFERROR(__xludf.DUMMYFUNCTION("""COMPUTED_VALUE"""),3136.32)</f>
        <v>3136.32</v>
      </c>
    </row>
    <row r="1346">
      <c r="A1346" s="3">
        <f>IFERROR(__xludf.DUMMYFUNCTION("""COMPUTED_VALUE"""),41772.99861111111)</f>
        <v>41772.99861</v>
      </c>
      <c r="B1346" s="1">
        <f>IFERROR(__xludf.DUMMYFUNCTION("""COMPUTED_VALUE"""),3125.9873)</f>
        <v>3125.9873</v>
      </c>
    </row>
    <row r="1347">
      <c r="A1347" s="3">
        <f>IFERROR(__xludf.DUMMYFUNCTION("""COMPUTED_VALUE"""),41773.99861111111)</f>
        <v>41773.99861</v>
      </c>
      <c r="B1347" s="1">
        <f>IFERROR(__xludf.DUMMYFUNCTION("""COMPUTED_VALUE"""),3104.2129)</f>
        <v>3104.2129</v>
      </c>
    </row>
    <row r="1348">
      <c r="A1348" s="3">
        <f>IFERROR(__xludf.DUMMYFUNCTION("""COMPUTED_VALUE"""),41774.99861111111)</f>
        <v>41774.99861</v>
      </c>
      <c r="B1348" s="1">
        <f>IFERROR(__xludf.DUMMYFUNCTION("""COMPUTED_VALUE"""),3098.7693)</f>
        <v>3098.7693</v>
      </c>
    </row>
    <row r="1349">
      <c r="A1349" s="3">
        <f>IFERROR(__xludf.DUMMYFUNCTION("""COMPUTED_VALUE"""),41775.99861111111)</f>
        <v>41775.99861</v>
      </c>
      <c r="B1349" s="1">
        <f>IFERROR(__xludf.DUMMYFUNCTION("""COMPUTED_VALUE"""),3081.87)</f>
        <v>3081.87</v>
      </c>
    </row>
    <row r="1350">
      <c r="A1350" s="3">
        <f>IFERROR(__xludf.DUMMYFUNCTION("""COMPUTED_VALUE"""),41776.99861111111)</f>
        <v>41776.99861</v>
      </c>
      <c r="B1350" s="1">
        <f>IFERROR(__xludf.DUMMYFUNCTION("""COMPUTED_VALUE"""),3089.441691)</f>
        <v>3089.441691</v>
      </c>
    </row>
    <row r="1351">
      <c r="A1351" s="3">
        <f>IFERROR(__xludf.DUMMYFUNCTION("""COMPUTED_VALUE"""),41778.99861111111)</f>
        <v>41778.99861</v>
      </c>
      <c r="B1351" s="1">
        <f>IFERROR(__xludf.DUMMYFUNCTION("""COMPUTED_VALUE"""),3108.2956)</f>
        <v>3108.2956</v>
      </c>
    </row>
    <row r="1352">
      <c r="A1352" s="3">
        <f>IFERROR(__xludf.DUMMYFUNCTION("""COMPUTED_VALUE"""),41779.99861111111)</f>
        <v>41779.99861</v>
      </c>
      <c r="B1352" s="1">
        <f>IFERROR(__xludf.DUMMYFUNCTION("""COMPUTED_VALUE"""),3119.1828)</f>
        <v>3119.1828</v>
      </c>
    </row>
    <row r="1353">
      <c r="A1353" s="3">
        <f>IFERROR(__xludf.DUMMYFUNCTION("""COMPUTED_VALUE"""),41780.99861111111)</f>
        <v>41780.99861</v>
      </c>
      <c r="B1353" s="1">
        <f>IFERROR(__xludf.DUMMYFUNCTION("""COMPUTED_VALUE"""),3128.7091)</f>
        <v>3128.7091</v>
      </c>
    </row>
    <row r="1354">
      <c r="A1354" s="3">
        <f>IFERROR(__xludf.DUMMYFUNCTION("""COMPUTED_VALUE"""),41781.99861111111)</f>
        <v>41781.99861</v>
      </c>
      <c r="B1354" s="1">
        <f>IFERROR(__xludf.DUMMYFUNCTION("""COMPUTED_VALUE"""),3132.7918)</f>
        <v>3132.7918</v>
      </c>
    </row>
    <row r="1355">
      <c r="A1355" s="3">
        <f>IFERROR(__xludf.DUMMYFUNCTION("""COMPUTED_VALUE"""),41782.99861111111)</f>
        <v>41782.99861</v>
      </c>
      <c r="B1355" s="1">
        <f>IFERROR(__xludf.DUMMYFUNCTION("""COMPUTED_VALUE"""),3155.9271)</f>
        <v>3155.9271</v>
      </c>
    </row>
    <row r="1356">
      <c r="A1356" s="3">
        <f>IFERROR(__xludf.DUMMYFUNCTION("""COMPUTED_VALUE"""),41784.99861111111)</f>
        <v>41784.99861</v>
      </c>
      <c r="B1356" s="1">
        <f>IFERROR(__xludf.DUMMYFUNCTION("""COMPUTED_VALUE"""),3155.9271)</f>
        <v>3155.9271</v>
      </c>
    </row>
    <row r="1357">
      <c r="A1357" s="3">
        <f>IFERROR(__xludf.DUMMYFUNCTION("""COMPUTED_VALUE"""),41785.99861111111)</f>
        <v>41785.99861</v>
      </c>
      <c r="B1357" s="1">
        <f>IFERROR(__xludf.DUMMYFUNCTION("""COMPUTED_VALUE"""),3146.4008)</f>
        <v>3146.4008</v>
      </c>
    </row>
    <row r="1358">
      <c r="A1358" s="3">
        <f>IFERROR(__xludf.DUMMYFUNCTION("""COMPUTED_VALUE"""),41786.99861111111)</f>
        <v>41786.99861</v>
      </c>
      <c r="B1358" s="1">
        <f>IFERROR(__xludf.DUMMYFUNCTION("""COMPUTED_VALUE"""),3146.4008)</f>
        <v>3146.4008</v>
      </c>
    </row>
    <row r="1359">
      <c r="A1359" s="3">
        <f>IFERROR(__xludf.DUMMYFUNCTION("""COMPUTED_VALUE"""),41787.99861111111)</f>
        <v>41787.99861</v>
      </c>
      <c r="B1359" s="1">
        <f>IFERROR(__xludf.DUMMYFUNCTION("""COMPUTED_VALUE"""),3165.4534)</f>
        <v>3165.4534</v>
      </c>
    </row>
    <row r="1360">
      <c r="A1360" s="3">
        <f>IFERROR(__xludf.DUMMYFUNCTION("""COMPUTED_VALUE"""),41788.99861111111)</f>
        <v>41788.99861</v>
      </c>
      <c r="B1360" s="1">
        <f>IFERROR(__xludf.DUMMYFUNCTION("""COMPUTED_VALUE"""),3155.9271)</f>
        <v>3155.9271</v>
      </c>
    </row>
    <row r="1361">
      <c r="A1361" s="3">
        <f>IFERROR(__xludf.DUMMYFUNCTION("""COMPUTED_VALUE"""),41789.99861111111)</f>
        <v>41789.99861</v>
      </c>
      <c r="B1361" s="1">
        <f>IFERROR(__xludf.DUMMYFUNCTION("""COMPUTED_VALUE"""),3173.6188)</f>
        <v>3173.6188</v>
      </c>
    </row>
    <row r="1362">
      <c r="A1362" s="3">
        <f>IFERROR(__xludf.DUMMYFUNCTION("""COMPUTED_VALUE"""),41792.99861111111)</f>
        <v>41792.99861</v>
      </c>
      <c r="B1362" s="1">
        <f>IFERROR(__xludf.DUMMYFUNCTION("""COMPUTED_VALUE"""),3200.8368)</f>
        <v>3200.8368</v>
      </c>
    </row>
    <row r="1363">
      <c r="A1363" s="3">
        <f>IFERROR(__xludf.DUMMYFUNCTION("""COMPUTED_VALUE"""),41793.99861111111)</f>
        <v>41793.99861</v>
      </c>
      <c r="B1363" s="1">
        <f>IFERROR(__xludf.DUMMYFUNCTION("""COMPUTED_VALUE"""),3203.5586)</f>
        <v>3203.5586</v>
      </c>
    </row>
    <row r="1364">
      <c r="A1364" s="3">
        <f>IFERROR(__xludf.DUMMYFUNCTION("""COMPUTED_VALUE"""),41794.99861111111)</f>
        <v>41794.99861</v>
      </c>
      <c r="B1364" s="1">
        <f>IFERROR(__xludf.DUMMYFUNCTION("""COMPUTED_VALUE"""),3232.1375)</f>
        <v>3232.1375</v>
      </c>
    </row>
    <row r="1365">
      <c r="A1365" s="3">
        <f>IFERROR(__xludf.DUMMYFUNCTION("""COMPUTED_VALUE"""),41795.99861111111)</f>
        <v>41795.99861</v>
      </c>
      <c r="B1365" s="1">
        <f>IFERROR(__xludf.DUMMYFUNCTION("""COMPUTED_VALUE"""),3223.9721)</f>
        <v>3223.9721</v>
      </c>
    </row>
    <row r="1366">
      <c r="A1366" s="3">
        <f>IFERROR(__xludf.DUMMYFUNCTION("""COMPUTED_VALUE"""),41796.99861111111)</f>
        <v>41796.99861</v>
      </c>
      <c r="B1366" s="1">
        <f>IFERROR(__xludf.DUMMYFUNCTION("""COMPUTED_VALUE"""),3215.8067)</f>
        <v>3215.8067</v>
      </c>
    </row>
    <row r="1367">
      <c r="A1367" s="3">
        <f>IFERROR(__xludf.DUMMYFUNCTION("""COMPUTED_VALUE"""),41797.99861111111)</f>
        <v>41797.99861</v>
      </c>
      <c r="B1367" s="1">
        <f>IFERROR(__xludf.DUMMYFUNCTION("""COMPUTED_VALUE"""),3221.062495)</f>
        <v>3221.062495</v>
      </c>
    </row>
    <row r="1368">
      <c r="A1368" s="3">
        <f>IFERROR(__xludf.DUMMYFUNCTION("""COMPUTED_VALUE"""),41798.99861111111)</f>
        <v>41798.99861</v>
      </c>
      <c r="B1368" s="1">
        <f>IFERROR(__xludf.DUMMYFUNCTION("""COMPUTED_VALUE"""),3221.062495)</f>
        <v>3221.062495</v>
      </c>
    </row>
    <row r="1369">
      <c r="A1369" s="3">
        <f>IFERROR(__xludf.DUMMYFUNCTION("""COMPUTED_VALUE"""),41799.99861111111)</f>
        <v>41799.99861</v>
      </c>
      <c r="B1369" s="1">
        <f>IFERROR(__xludf.DUMMYFUNCTION("""COMPUTED_VALUE"""),3204.9195)</f>
        <v>3204.9195</v>
      </c>
    </row>
    <row r="1370">
      <c r="A1370" s="3">
        <f>IFERROR(__xludf.DUMMYFUNCTION("""COMPUTED_VALUE"""),41800.99861111111)</f>
        <v>41800.99861</v>
      </c>
      <c r="B1370" s="1">
        <f>IFERROR(__xludf.DUMMYFUNCTION("""COMPUTED_VALUE"""),3215.8067)</f>
        <v>3215.8067</v>
      </c>
    </row>
    <row r="1371">
      <c r="A1371" s="3">
        <f>IFERROR(__xludf.DUMMYFUNCTION("""COMPUTED_VALUE"""),41801.99861111111)</f>
        <v>41801.99861</v>
      </c>
      <c r="B1371" s="1">
        <f>IFERROR(__xludf.DUMMYFUNCTION("""COMPUTED_VALUE"""),3213.0849)</f>
        <v>3213.0849</v>
      </c>
    </row>
    <row r="1372">
      <c r="A1372" s="3">
        <f>IFERROR(__xludf.DUMMYFUNCTION("""COMPUTED_VALUE"""),41802.99861111111)</f>
        <v>41802.99861</v>
      </c>
      <c r="B1372" s="1">
        <f>IFERROR(__xludf.DUMMYFUNCTION("""COMPUTED_VALUE"""),3206.2804)</f>
        <v>3206.2804</v>
      </c>
    </row>
    <row r="1373">
      <c r="A1373" s="3">
        <f>IFERROR(__xludf.DUMMYFUNCTION("""COMPUTED_VALUE"""),41803.99861111111)</f>
        <v>41803.99861</v>
      </c>
      <c r="B1373" s="1">
        <f>IFERROR(__xludf.DUMMYFUNCTION("""COMPUTED_VALUE"""),3208.46625)</f>
        <v>3208.46625</v>
      </c>
    </row>
    <row r="1374">
      <c r="A1374" s="3">
        <f>IFERROR(__xludf.DUMMYFUNCTION("""COMPUTED_VALUE"""),41804.99861111111)</f>
        <v>41804.99861</v>
      </c>
      <c r="B1374" s="1">
        <f>IFERROR(__xludf.DUMMYFUNCTION("""COMPUTED_VALUE"""),3213.457786)</f>
        <v>3213.457786</v>
      </c>
    </row>
    <row r="1375">
      <c r="A1375" s="3">
        <f>IFERROR(__xludf.DUMMYFUNCTION("""COMPUTED_VALUE"""),41805.99861111111)</f>
        <v>41805.99861</v>
      </c>
      <c r="B1375" s="1">
        <f>IFERROR(__xludf.DUMMYFUNCTION("""COMPUTED_VALUE"""),3213.457786)</f>
        <v>3213.457786</v>
      </c>
    </row>
    <row r="1376">
      <c r="A1376" s="3">
        <f>IFERROR(__xludf.DUMMYFUNCTION("""COMPUTED_VALUE"""),41806.99861111111)</f>
        <v>41806.99861</v>
      </c>
      <c r="B1376" s="1">
        <f>IFERROR(__xludf.DUMMYFUNCTION("""COMPUTED_VALUE"""),3215.8067)</f>
        <v>3215.8067</v>
      </c>
    </row>
    <row r="1377">
      <c r="A1377" s="3">
        <f>IFERROR(__xludf.DUMMYFUNCTION("""COMPUTED_VALUE"""),41807.99861111111)</f>
        <v>41807.99861</v>
      </c>
      <c r="B1377" s="1">
        <f>IFERROR(__xludf.DUMMYFUNCTION("""COMPUTED_VALUE"""),3234.8593)</f>
        <v>3234.8593</v>
      </c>
    </row>
    <row r="1378">
      <c r="A1378" s="3">
        <f>IFERROR(__xludf.DUMMYFUNCTION("""COMPUTED_VALUE"""),41808.99861111111)</f>
        <v>41808.99861</v>
      </c>
      <c r="B1378" s="1">
        <f>IFERROR(__xludf.DUMMYFUNCTION("""COMPUTED_VALUE"""),3267.5209)</f>
        <v>3267.5209</v>
      </c>
    </row>
    <row r="1379">
      <c r="A1379" s="3">
        <f>IFERROR(__xludf.DUMMYFUNCTION("""COMPUTED_VALUE"""),41809.99861111111)</f>
        <v>41809.99861</v>
      </c>
      <c r="B1379" s="1">
        <f>IFERROR(__xludf.DUMMYFUNCTION("""COMPUTED_VALUE"""),3243.0247)</f>
        <v>3243.0247</v>
      </c>
    </row>
    <row r="1380">
      <c r="A1380" s="3">
        <f>IFERROR(__xludf.DUMMYFUNCTION("""COMPUTED_VALUE"""),41810.99861111111)</f>
        <v>41810.99861</v>
      </c>
      <c r="B1380" s="1">
        <f>IFERROR(__xludf.DUMMYFUNCTION("""COMPUTED_VALUE"""),3252.551)</f>
        <v>3252.551</v>
      </c>
    </row>
    <row r="1381">
      <c r="A1381" s="3">
        <f>IFERROR(__xludf.DUMMYFUNCTION("""COMPUTED_VALUE"""),41811.99861111111)</f>
        <v>41811.99861</v>
      </c>
      <c r="B1381" s="1">
        <f>IFERROR(__xludf.DUMMYFUNCTION("""COMPUTED_VALUE"""),3259.638567)</f>
        <v>3259.638567</v>
      </c>
    </row>
    <row r="1382">
      <c r="A1382" s="3">
        <f>IFERROR(__xludf.DUMMYFUNCTION("""COMPUTED_VALUE"""),41813.99861111111)</f>
        <v>41813.99861</v>
      </c>
      <c r="B1382" s="1">
        <f>IFERROR(__xludf.DUMMYFUNCTION("""COMPUTED_VALUE"""),3262.89384)</f>
        <v>3262.89384</v>
      </c>
    </row>
    <row r="1383">
      <c r="A1383" s="3">
        <f>IFERROR(__xludf.DUMMYFUNCTION("""COMPUTED_VALUE"""),41814.99861111111)</f>
        <v>41814.99861</v>
      </c>
      <c r="B1383" s="1">
        <f>IFERROR(__xludf.DUMMYFUNCTION("""COMPUTED_VALUE"""),3264.7991)</f>
        <v>3264.7991</v>
      </c>
    </row>
    <row r="1384">
      <c r="A1384" s="3">
        <f>IFERROR(__xludf.DUMMYFUNCTION("""COMPUTED_VALUE"""),41815.99861111111)</f>
        <v>41815.99861</v>
      </c>
      <c r="B1384" s="1">
        <f>IFERROR(__xludf.DUMMYFUNCTION("""COMPUTED_VALUE"""),3290.7771)</f>
        <v>3290.7771</v>
      </c>
    </row>
    <row r="1385">
      <c r="A1385" s="3">
        <f>IFERROR(__xludf.DUMMYFUNCTION("""COMPUTED_VALUE"""),41816.99861111111)</f>
        <v>41816.99861</v>
      </c>
      <c r="B1385" s="1">
        <f>IFERROR(__xludf.DUMMYFUNCTION("""COMPUTED_VALUE"""),3290.898)</f>
        <v>3290.898</v>
      </c>
    </row>
    <row r="1386">
      <c r="A1386" s="3">
        <f>IFERROR(__xludf.DUMMYFUNCTION("""COMPUTED_VALUE"""),41817.99861111111)</f>
        <v>41817.99861</v>
      </c>
      <c r="B1386" s="1">
        <f>IFERROR(__xludf.DUMMYFUNCTION("""COMPUTED_VALUE"""),3271.844)</f>
        <v>3271.844</v>
      </c>
    </row>
    <row r="1387">
      <c r="A1387" s="3">
        <f>IFERROR(__xludf.DUMMYFUNCTION("""COMPUTED_VALUE"""),41820.99861111111)</f>
        <v>41820.99861</v>
      </c>
      <c r="B1387" s="1">
        <f>IFERROR(__xludf.DUMMYFUNCTION("""COMPUTED_VALUE"""),3235.097)</f>
        <v>3235.097</v>
      </c>
    </row>
    <row r="1388">
      <c r="A1388" s="3">
        <f>IFERROR(__xludf.DUMMYFUNCTION("""COMPUTED_VALUE"""),41821.99861111111)</f>
        <v>41821.99861</v>
      </c>
      <c r="B1388" s="1">
        <f>IFERROR(__xludf.DUMMYFUNCTION("""COMPUTED_VALUE"""),3238.942)</f>
        <v>3238.942</v>
      </c>
    </row>
    <row r="1389">
      <c r="A1389" s="3">
        <f>IFERROR(__xludf.DUMMYFUNCTION("""COMPUTED_VALUE"""),41822.99861111111)</f>
        <v>41822.99861</v>
      </c>
      <c r="B1389" s="1">
        <f>IFERROR(__xludf.DUMMYFUNCTION("""COMPUTED_VALUE"""),3238.942)</f>
        <v>3238.942</v>
      </c>
    </row>
    <row r="1390">
      <c r="A1390" s="3">
        <f>IFERROR(__xludf.DUMMYFUNCTION("""COMPUTED_VALUE"""),41823.99861111111)</f>
        <v>41823.99861</v>
      </c>
      <c r="B1390" s="1">
        <f>IFERROR(__xludf.DUMMYFUNCTION("""COMPUTED_VALUE"""),3240.3029)</f>
        <v>3240.3029</v>
      </c>
    </row>
    <row r="1391">
      <c r="A1391" s="3">
        <f>IFERROR(__xludf.DUMMYFUNCTION("""COMPUTED_VALUE"""),41824.99861111111)</f>
        <v>41824.99861</v>
      </c>
      <c r="B1391" s="1">
        <f>IFERROR(__xludf.DUMMYFUNCTION("""COMPUTED_VALUE"""),3228.0548)</f>
        <v>3228.0548</v>
      </c>
    </row>
    <row r="1392">
      <c r="A1392" s="3">
        <f>IFERROR(__xludf.DUMMYFUNCTION("""COMPUTED_VALUE"""),41825.99861111111)</f>
        <v>41825.99861</v>
      </c>
      <c r="B1392" s="1">
        <f>IFERROR(__xludf.DUMMYFUNCTION("""COMPUTED_VALUE"""),3232.540326)</f>
        <v>3232.540326</v>
      </c>
    </row>
    <row r="1393">
      <c r="A1393" s="3">
        <f>IFERROR(__xludf.DUMMYFUNCTION("""COMPUTED_VALUE"""),41827.99861111111)</f>
        <v>41827.99861</v>
      </c>
      <c r="B1393" s="1">
        <f>IFERROR(__xludf.DUMMYFUNCTION("""COMPUTED_VALUE"""),3191.3105)</f>
        <v>3191.3105</v>
      </c>
    </row>
    <row r="1394">
      <c r="A1394" s="3">
        <f>IFERROR(__xludf.DUMMYFUNCTION("""COMPUTED_VALUE"""),41828.99861111111)</f>
        <v>41828.99861</v>
      </c>
      <c r="B1394" s="1">
        <f>IFERROR(__xludf.DUMMYFUNCTION("""COMPUTED_VALUE"""),3174.9797)</f>
        <v>3174.9797</v>
      </c>
    </row>
    <row r="1395">
      <c r="A1395" s="3">
        <f>IFERROR(__xludf.DUMMYFUNCTION("""COMPUTED_VALUE"""),41829.99861111111)</f>
        <v>41829.99861</v>
      </c>
      <c r="B1395" s="1">
        <f>IFERROR(__xludf.DUMMYFUNCTION("""COMPUTED_VALUE"""),3161.3707)</f>
        <v>3161.3707</v>
      </c>
    </row>
    <row r="1396">
      <c r="A1396" s="3">
        <f>IFERROR(__xludf.DUMMYFUNCTION("""COMPUTED_VALUE"""),41830.99861111111)</f>
        <v>41830.99861</v>
      </c>
      <c r="B1396" s="1">
        <f>IFERROR(__xludf.DUMMYFUNCTION("""COMPUTED_VALUE"""),3149.1226)</f>
        <v>3149.1226</v>
      </c>
    </row>
    <row r="1397">
      <c r="A1397" s="3">
        <f>IFERROR(__xludf.DUMMYFUNCTION("""COMPUTED_VALUE"""),41831.99861111111)</f>
        <v>41831.99861</v>
      </c>
      <c r="B1397" s="1">
        <f>IFERROR(__xludf.DUMMYFUNCTION("""COMPUTED_VALUE"""),3159.46125)</f>
        <v>3159.46125</v>
      </c>
    </row>
    <row r="1398">
      <c r="A1398" s="3">
        <f>IFERROR(__xludf.DUMMYFUNCTION("""COMPUTED_VALUE"""),41832.99861111111)</f>
        <v>41832.99861</v>
      </c>
      <c r="B1398" s="1">
        <f>IFERROR(__xludf.DUMMYFUNCTION("""COMPUTED_VALUE"""),3168.567139)</f>
        <v>3168.567139</v>
      </c>
    </row>
    <row r="1399">
      <c r="A1399" s="3">
        <f>IFERROR(__xludf.DUMMYFUNCTION("""COMPUTED_VALUE"""),41833.99861111111)</f>
        <v>41833.99861</v>
      </c>
      <c r="B1399" s="1">
        <f>IFERROR(__xludf.DUMMYFUNCTION("""COMPUTED_VALUE"""),3168.567139)</f>
        <v>3168.567139</v>
      </c>
    </row>
    <row r="1400">
      <c r="A1400" s="3">
        <f>IFERROR(__xludf.DUMMYFUNCTION("""COMPUTED_VALUE"""),41834.99861111111)</f>
        <v>41834.99861</v>
      </c>
      <c r="B1400" s="1">
        <f>IFERROR(__xludf.DUMMYFUNCTION("""COMPUTED_VALUE"""),3173.6188)</f>
        <v>3173.6188</v>
      </c>
    </row>
    <row r="1401">
      <c r="A1401" s="3">
        <f>IFERROR(__xludf.DUMMYFUNCTION("""COMPUTED_VALUE"""),41835.99861111111)</f>
        <v>41835.99861</v>
      </c>
      <c r="B1401" s="1">
        <f>IFERROR(__xludf.DUMMYFUNCTION("""COMPUTED_VALUE"""),3189.9496)</f>
        <v>3189.9496</v>
      </c>
    </row>
    <row r="1402">
      <c r="A1402" s="3">
        <f>IFERROR(__xludf.DUMMYFUNCTION("""COMPUTED_VALUE"""),41836.99861111111)</f>
        <v>41836.99861</v>
      </c>
      <c r="B1402" s="1">
        <f>IFERROR(__xludf.DUMMYFUNCTION("""COMPUTED_VALUE"""),3168.71956)</f>
        <v>3168.71956</v>
      </c>
    </row>
    <row r="1403">
      <c r="A1403" s="3">
        <f>IFERROR(__xludf.DUMMYFUNCTION("""COMPUTED_VALUE"""),41837.99861111111)</f>
        <v>41837.99861</v>
      </c>
      <c r="B1403" s="1">
        <f>IFERROR(__xludf.DUMMYFUNCTION("""COMPUTED_VALUE"""),3173.6188)</f>
        <v>3173.6188</v>
      </c>
    </row>
    <row r="1404">
      <c r="A1404" s="3">
        <f>IFERROR(__xludf.DUMMYFUNCTION("""COMPUTED_VALUE"""),41838.99861111111)</f>
        <v>41838.99861</v>
      </c>
      <c r="B1404" s="1">
        <f>IFERROR(__xludf.DUMMYFUNCTION("""COMPUTED_VALUE"""),3161.3707)</f>
        <v>3161.3707</v>
      </c>
    </row>
    <row r="1405">
      <c r="A1405" s="3">
        <f>IFERROR(__xludf.DUMMYFUNCTION("""COMPUTED_VALUE"""),41839.99861111111)</f>
        <v>41839.99861</v>
      </c>
      <c r="B1405" s="1">
        <f>IFERROR(__xludf.DUMMYFUNCTION("""COMPUTED_VALUE"""),3168.567139)</f>
        <v>3168.567139</v>
      </c>
    </row>
    <row r="1406">
      <c r="A1406" s="3">
        <f>IFERROR(__xludf.DUMMYFUNCTION("""COMPUTED_VALUE"""),41840.99861111111)</f>
        <v>41840.99861</v>
      </c>
      <c r="B1406" s="1">
        <f>IFERROR(__xludf.DUMMYFUNCTION("""COMPUTED_VALUE"""),3168.567139)</f>
        <v>3168.567139</v>
      </c>
    </row>
    <row r="1407">
      <c r="A1407" s="3">
        <f>IFERROR(__xludf.DUMMYFUNCTION("""COMPUTED_VALUE"""),41841.99861111111)</f>
        <v>41841.99861</v>
      </c>
      <c r="B1407" s="1">
        <f>IFERROR(__xludf.DUMMYFUNCTION("""COMPUTED_VALUE"""),3146.4008)</f>
        <v>3146.4008</v>
      </c>
    </row>
    <row r="1408">
      <c r="A1408" s="3">
        <f>IFERROR(__xludf.DUMMYFUNCTION("""COMPUTED_VALUE"""),41842.99861111111)</f>
        <v>41842.99861</v>
      </c>
      <c r="B1408" s="1">
        <f>IFERROR(__xludf.DUMMYFUNCTION("""COMPUTED_VALUE"""),3151.8444)</f>
        <v>3151.8444</v>
      </c>
    </row>
    <row r="1409">
      <c r="A1409" s="3">
        <f>IFERROR(__xludf.DUMMYFUNCTION("""COMPUTED_VALUE"""),41843.99861111111)</f>
        <v>41843.99861</v>
      </c>
      <c r="B1409" s="1">
        <f>IFERROR(__xludf.DUMMYFUNCTION("""COMPUTED_VALUE"""),3125.9873)</f>
        <v>3125.9873</v>
      </c>
    </row>
    <row r="1410">
      <c r="A1410" s="3">
        <f>IFERROR(__xludf.DUMMYFUNCTION("""COMPUTED_VALUE"""),41844.99861111111)</f>
        <v>41844.99861</v>
      </c>
      <c r="B1410" s="1">
        <f>IFERROR(__xludf.DUMMYFUNCTION("""COMPUTED_VALUE"""),3144.22336)</f>
        <v>3144.22336</v>
      </c>
    </row>
    <row r="1411">
      <c r="A1411" s="3">
        <f>IFERROR(__xludf.DUMMYFUNCTION("""COMPUTED_VALUE"""),41845.99861111111)</f>
        <v>41845.99861</v>
      </c>
      <c r="B1411" s="1">
        <f>IFERROR(__xludf.DUMMYFUNCTION("""COMPUTED_VALUE"""),3146.67298)</f>
        <v>3146.67298</v>
      </c>
    </row>
    <row r="1412">
      <c r="A1412" s="3">
        <f>IFERROR(__xludf.DUMMYFUNCTION("""COMPUTED_VALUE"""),41846.99861111111)</f>
        <v>41846.99861</v>
      </c>
      <c r="B1412" s="1">
        <f>IFERROR(__xludf.DUMMYFUNCTION("""COMPUTED_VALUE"""),3153.880306)</f>
        <v>3153.880306</v>
      </c>
    </row>
    <row r="1413">
      <c r="A1413" s="3">
        <f>IFERROR(__xludf.DUMMYFUNCTION("""COMPUTED_VALUE"""),41847.99861111111)</f>
        <v>41847.99861</v>
      </c>
      <c r="B1413" s="1">
        <f>IFERROR(__xludf.DUMMYFUNCTION("""COMPUTED_VALUE"""),3153.880306)</f>
        <v>3153.880306</v>
      </c>
    </row>
    <row r="1414">
      <c r="A1414" s="3">
        <f>IFERROR(__xludf.DUMMYFUNCTION("""COMPUTED_VALUE"""),41848.99861111111)</f>
        <v>41848.99861</v>
      </c>
      <c r="B1414" s="1">
        <f>IFERROR(__xludf.DUMMYFUNCTION("""COMPUTED_VALUE"""),3146.67298)</f>
        <v>3146.67298</v>
      </c>
    </row>
    <row r="1415">
      <c r="A1415" s="3">
        <f>IFERROR(__xludf.DUMMYFUNCTION("""COMPUTED_VALUE"""),41849.99861111111)</f>
        <v>41849.99861</v>
      </c>
      <c r="B1415" s="1">
        <f>IFERROR(__xludf.DUMMYFUNCTION("""COMPUTED_VALUE"""),3146.67298)</f>
        <v>3146.67298</v>
      </c>
    </row>
    <row r="1416">
      <c r="A1416" s="3">
        <f>IFERROR(__xludf.DUMMYFUNCTION("""COMPUTED_VALUE"""),41850.99861111111)</f>
        <v>41850.99861</v>
      </c>
      <c r="B1416" s="1">
        <f>IFERROR(__xludf.DUMMYFUNCTION("""COMPUTED_VALUE"""),3146.67298)</f>
        <v>3146.67298</v>
      </c>
    </row>
    <row r="1417">
      <c r="A1417" s="3">
        <f>IFERROR(__xludf.DUMMYFUNCTION("""COMPUTED_VALUE"""),41851.99861111111)</f>
        <v>41851.99861</v>
      </c>
      <c r="B1417" s="1">
        <f>IFERROR(__xludf.DUMMYFUNCTION("""COMPUTED_VALUE"""),3201.10898)</f>
        <v>3201.10898</v>
      </c>
    </row>
    <row r="1418">
      <c r="A1418" s="3">
        <f>IFERROR(__xludf.DUMMYFUNCTION("""COMPUTED_VALUE"""),41852.99861111111)</f>
        <v>41852.99861</v>
      </c>
      <c r="B1418" s="1">
        <f>IFERROR(__xludf.DUMMYFUNCTION("""COMPUTED_VALUE"""),3228.32698)</f>
        <v>3228.32698</v>
      </c>
    </row>
    <row r="1419">
      <c r="A1419" s="3">
        <f>IFERROR(__xludf.DUMMYFUNCTION("""COMPUTED_VALUE"""),41853.99861111111)</f>
        <v>41853.99861</v>
      </c>
      <c r="B1419" s="1">
        <f>IFERROR(__xludf.DUMMYFUNCTION("""COMPUTED_VALUE"""),3213.457786)</f>
        <v>3213.457786</v>
      </c>
    </row>
    <row r="1420">
      <c r="A1420" s="3">
        <f>IFERROR(__xludf.DUMMYFUNCTION("""COMPUTED_VALUE"""),41854.99861111111)</f>
        <v>41854.99861</v>
      </c>
      <c r="B1420" s="1">
        <f>IFERROR(__xludf.DUMMYFUNCTION("""COMPUTED_VALUE"""),3232.540326)</f>
        <v>3232.540326</v>
      </c>
    </row>
    <row r="1421">
      <c r="A1421" s="3">
        <f>IFERROR(__xludf.DUMMYFUNCTION("""COMPUTED_VALUE"""),41855.99861111111)</f>
        <v>41855.99861</v>
      </c>
      <c r="B1421" s="1">
        <f>IFERROR(__xludf.DUMMYFUNCTION("""COMPUTED_VALUE"""),3199.4759)</f>
        <v>3199.4759</v>
      </c>
    </row>
    <row r="1422">
      <c r="A1422" s="3">
        <f>IFERROR(__xludf.DUMMYFUNCTION("""COMPUTED_VALUE"""),41856.99861111111)</f>
        <v>41856.99861</v>
      </c>
      <c r="B1422" s="1">
        <f>IFERROR(__xludf.DUMMYFUNCTION("""COMPUTED_VALUE"""),3177.7015)</f>
        <v>3177.7015</v>
      </c>
    </row>
    <row r="1423">
      <c r="A1423" s="3">
        <f>IFERROR(__xludf.DUMMYFUNCTION("""COMPUTED_VALUE"""),41857.99861111111)</f>
        <v>41857.99861</v>
      </c>
      <c r="B1423" s="1">
        <f>IFERROR(__xludf.DUMMYFUNCTION("""COMPUTED_VALUE"""),3200.29244)</f>
        <v>3200.29244</v>
      </c>
    </row>
    <row r="1424">
      <c r="A1424" s="3">
        <f>IFERROR(__xludf.DUMMYFUNCTION("""COMPUTED_VALUE"""),41858.99861111111)</f>
        <v>41858.99861</v>
      </c>
      <c r="B1424" s="1">
        <f>IFERROR(__xludf.DUMMYFUNCTION("""COMPUTED_VALUE"""),3213.62926)</f>
        <v>3213.62926</v>
      </c>
    </row>
    <row r="1425">
      <c r="A1425" s="3">
        <f>IFERROR(__xludf.DUMMYFUNCTION("""COMPUTED_VALUE"""),41859.99861111111)</f>
        <v>41859.99861</v>
      </c>
      <c r="B1425" s="1">
        <f>IFERROR(__xludf.DUMMYFUNCTION("""COMPUTED_VALUE"""),3196.7541)</f>
        <v>3196.7541</v>
      </c>
    </row>
    <row r="1426">
      <c r="A1426" s="3">
        <f>IFERROR(__xludf.DUMMYFUNCTION("""COMPUTED_VALUE"""),41861.99861111111)</f>
        <v>41861.99861</v>
      </c>
      <c r="B1426" s="1">
        <f>IFERROR(__xludf.DUMMYFUNCTION("""COMPUTED_VALUE"""),3217.257419)</f>
        <v>3217.257419</v>
      </c>
    </row>
    <row r="1427">
      <c r="A1427" s="3">
        <f>IFERROR(__xludf.DUMMYFUNCTION("""COMPUTED_VALUE"""),41862.99861111111)</f>
        <v>41862.99861</v>
      </c>
      <c r="B1427" s="1">
        <f>IFERROR(__xludf.DUMMYFUNCTION("""COMPUTED_VALUE"""),3184.506)</f>
        <v>3184.506</v>
      </c>
    </row>
    <row r="1428">
      <c r="A1428" s="3">
        <f>IFERROR(__xludf.DUMMYFUNCTION("""COMPUTED_VALUE"""),41863.99861111111)</f>
        <v>41863.99861</v>
      </c>
      <c r="B1428" s="1">
        <f>IFERROR(__xludf.DUMMYFUNCTION("""COMPUTED_VALUE"""),3179.0624)</f>
        <v>3179.0624</v>
      </c>
    </row>
    <row r="1429">
      <c r="A1429" s="3">
        <f>IFERROR(__xludf.DUMMYFUNCTION("""COMPUTED_VALUE"""),41864.99861111111)</f>
        <v>41864.99861</v>
      </c>
      <c r="B1429" s="1">
        <f>IFERROR(__xludf.DUMMYFUNCTION("""COMPUTED_VALUE"""),3179.87894)</f>
        <v>3179.87894</v>
      </c>
    </row>
    <row r="1430">
      <c r="A1430" s="3">
        <f>IFERROR(__xludf.DUMMYFUNCTION("""COMPUTED_VALUE"""),41865.99861111111)</f>
        <v>41865.99861</v>
      </c>
      <c r="B1430" s="1">
        <f>IFERROR(__xludf.DUMMYFUNCTION("""COMPUTED_VALUE"""),3176.3406)</f>
        <v>3176.3406</v>
      </c>
    </row>
    <row r="1431">
      <c r="A1431" s="3">
        <f>IFERROR(__xludf.DUMMYFUNCTION("""COMPUTED_VALUE"""),41866.99861111111)</f>
        <v>41866.99861</v>
      </c>
      <c r="B1431" s="1">
        <f>IFERROR(__xludf.DUMMYFUNCTION("""COMPUTED_VALUE"""),3175.52406)</f>
        <v>3175.52406</v>
      </c>
    </row>
    <row r="1432">
      <c r="A1432" s="3">
        <f>IFERROR(__xludf.DUMMYFUNCTION("""COMPUTED_VALUE"""),41868.99861111111)</f>
        <v>41868.99861</v>
      </c>
      <c r="B1432" s="1">
        <f>IFERROR(__xludf.DUMMYFUNCTION("""COMPUTED_VALUE"""),3179.672083)</f>
        <v>3179.672083</v>
      </c>
    </row>
    <row r="1433">
      <c r="A1433" s="3">
        <f>IFERROR(__xludf.DUMMYFUNCTION("""COMPUTED_VALUE"""),41869.99861111111)</f>
        <v>41869.99861</v>
      </c>
      <c r="B1433" s="1">
        <f>IFERROR(__xludf.DUMMYFUNCTION("""COMPUTED_VALUE"""),3179.0624)</f>
        <v>3179.0624</v>
      </c>
    </row>
    <row r="1434">
      <c r="A1434" s="3">
        <f>IFERROR(__xludf.DUMMYFUNCTION("""COMPUTED_VALUE"""),41870.99861111111)</f>
        <v>41870.99861</v>
      </c>
      <c r="B1434" s="1">
        <f>IFERROR(__xludf.DUMMYFUNCTION("""COMPUTED_VALUE"""),3174.43534)</f>
        <v>3174.43534</v>
      </c>
    </row>
    <row r="1435">
      <c r="A1435" s="3">
        <f>IFERROR(__xludf.DUMMYFUNCTION("""COMPUTED_VALUE"""),41871.99861111111)</f>
        <v>41871.99861</v>
      </c>
      <c r="B1435" s="1">
        <f>IFERROR(__xludf.DUMMYFUNCTION("""COMPUTED_VALUE"""),3184.506)</f>
        <v>3184.506</v>
      </c>
    </row>
    <row r="1436">
      <c r="A1436" s="3">
        <f>IFERROR(__xludf.DUMMYFUNCTION("""COMPUTED_VALUE"""),41872.99861111111)</f>
        <v>41872.99861</v>
      </c>
      <c r="B1436" s="1">
        <f>IFERROR(__xludf.DUMMYFUNCTION("""COMPUTED_VALUE"""),3181.23984)</f>
        <v>3181.23984</v>
      </c>
    </row>
    <row r="1437">
      <c r="A1437" s="3">
        <f>IFERROR(__xludf.DUMMYFUNCTION("""COMPUTED_VALUE"""),41873.99861111111)</f>
        <v>41873.99861</v>
      </c>
      <c r="B1437" s="1">
        <f>IFERROR(__xludf.DUMMYFUNCTION("""COMPUTED_VALUE"""),3173.6188)</f>
        <v>3173.6188</v>
      </c>
    </row>
    <row r="1438">
      <c r="A1438" s="3">
        <f>IFERROR(__xludf.DUMMYFUNCTION("""COMPUTED_VALUE"""),41874.99861111111)</f>
        <v>41874.99861</v>
      </c>
      <c r="B1438" s="1">
        <f>IFERROR(__xludf.DUMMYFUNCTION("""COMPUTED_VALUE"""),3179.672083)</f>
        <v>3179.672083</v>
      </c>
    </row>
    <row r="1439">
      <c r="A1439" s="3">
        <f>IFERROR(__xludf.DUMMYFUNCTION("""COMPUTED_VALUE"""),41875.99861111111)</f>
        <v>41875.99861</v>
      </c>
      <c r="B1439" s="1">
        <f>IFERROR(__xludf.DUMMYFUNCTION("""COMPUTED_VALUE"""),3179.672083)</f>
        <v>3179.672083</v>
      </c>
    </row>
    <row r="1440">
      <c r="A1440" s="3">
        <f>IFERROR(__xludf.DUMMYFUNCTION("""COMPUTED_VALUE"""),41876.99861111111)</f>
        <v>41876.99861</v>
      </c>
      <c r="B1440" s="1">
        <f>IFERROR(__xludf.DUMMYFUNCTION("""COMPUTED_VALUE"""),3183.96164)</f>
        <v>3183.96164</v>
      </c>
    </row>
    <row r="1441">
      <c r="A1441" s="3">
        <f>IFERROR(__xludf.DUMMYFUNCTION("""COMPUTED_VALUE"""),41877.99861111111)</f>
        <v>41877.99861</v>
      </c>
      <c r="B1441" s="1">
        <f>IFERROR(__xludf.DUMMYFUNCTION("""COMPUTED_VALUE"""),3183.96164)</f>
        <v>3183.96164</v>
      </c>
    </row>
    <row r="1442">
      <c r="A1442" s="3">
        <f>IFERROR(__xludf.DUMMYFUNCTION("""COMPUTED_VALUE"""),41878.99861111111)</f>
        <v>41878.99861</v>
      </c>
      <c r="B1442" s="1">
        <f>IFERROR(__xludf.DUMMYFUNCTION("""COMPUTED_VALUE"""),3174.9797)</f>
        <v>3174.9797</v>
      </c>
    </row>
    <row r="1443">
      <c r="A1443" s="3">
        <f>IFERROR(__xludf.DUMMYFUNCTION("""COMPUTED_VALUE"""),41879.99861111111)</f>
        <v>41879.99861</v>
      </c>
      <c r="B1443" s="1">
        <f>IFERROR(__xludf.DUMMYFUNCTION("""COMPUTED_VALUE"""),3188.5887)</f>
        <v>3188.5887</v>
      </c>
    </row>
    <row r="1444">
      <c r="A1444" s="3">
        <f>IFERROR(__xludf.DUMMYFUNCTION("""COMPUTED_VALUE"""),41880.99861111111)</f>
        <v>41880.99861</v>
      </c>
      <c r="B1444" s="1">
        <f>IFERROR(__xludf.DUMMYFUNCTION("""COMPUTED_VALUE"""),3182.87292)</f>
        <v>3182.87292</v>
      </c>
    </row>
    <row r="1445">
      <c r="A1445" s="3">
        <f>IFERROR(__xludf.DUMMYFUNCTION("""COMPUTED_VALUE"""),41882.99861111111)</f>
        <v>41882.99861</v>
      </c>
      <c r="B1445" s="1">
        <f>IFERROR(__xludf.DUMMYFUNCTION("""COMPUTED_VALUE"""),3187.118928)</f>
        <v>3187.118928</v>
      </c>
    </row>
    <row r="1446">
      <c r="A1446" s="3">
        <f>IFERROR(__xludf.DUMMYFUNCTION("""COMPUTED_VALUE"""),41883.99861111111)</f>
        <v>41883.99861</v>
      </c>
      <c r="B1446" s="1">
        <f>IFERROR(__xludf.DUMMYFUNCTION("""COMPUTED_VALUE"""),3186.68344)</f>
        <v>3186.68344</v>
      </c>
    </row>
    <row r="1447">
      <c r="A1447" s="3">
        <f>IFERROR(__xludf.DUMMYFUNCTION("""COMPUTED_VALUE"""),41884.99861111111)</f>
        <v>41884.99861</v>
      </c>
      <c r="B1447" s="1">
        <f>IFERROR(__xludf.DUMMYFUNCTION("""COMPUTED_VALUE"""),3196.20974)</f>
        <v>3196.20974</v>
      </c>
    </row>
    <row r="1448">
      <c r="A1448" s="3">
        <f>IFERROR(__xludf.DUMMYFUNCTION("""COMPUTED_VALUE"""),41885.99861111111)</f>
        <v>41885.99861</v>
      </c>
      <c r="B1448" s="1">
        <f>IFERROR(__xludf.DUMMYFUNCTION("""COMPUTED_VALUE"""),3202.74206)</f>
        <v>3202.74206</v>
      </c>
    </row>
    <row r="1449">
      <c r="A1449" s="3">
        <f>IFERROR(__xludf.DUMMYFUNCTION("""COMPUTED_VALUE"""),41886.99861111111)</f>
        <v>41886.99861</v>
      </c>
      <c r="B1449" s="1">
        <f>IFERROR(__xludf.DUMMYFUNCTION("""COMPUTED_VALUE"""),3195.66538)</f>
        <v>3195.66538</v>
      </c>
    </row>
    <row r="1450">
      <c r="A1450" s="3">
        <f>IFERROR(__xludf.DUMMYFUNCTION("""COMPUTED_VALUE"""),41887.99861111111)</f>
        <v>41887.99861</v>
      </c>
      <c r="B1450" s="1">
        <f>IFERROR(__xludf.DUMMYFUNCTION("""COMPUTED_VALUE"""),3190.49396)</f>
        <v>3190.49396</v>
      </c>
    </row>
    <row r="1451">
      <c r="A1451" s="3">
        <f>IFERROR(__xludf.DUMMYFUNCTION("""COMPUTED_VALUE"""),41890.99861111111)</f>
        <v>41890.99861</v>
      </c>
      <c r="B1451" s="1">
        <f>IFERROR(__xludf.DUMMYFUNCTION("""COMPUTED_VALUE"""),3188.04434)</f>
        <v>3188.04434</v>
      </c>
    </row>
    <row r="1452">
      <c r="A1452" s="3">
        <f>IFERROR(__xludf.DUMMYFUNCTION("""COMPUTED_VALUE"""),41891.99861111111)</f>
        <v>41891.99861</v>
      </c>
      <c r="B1452" s="1">
        <f>IFERROR(__xludf.DUMMYFUNCTION("""COMPUTED_VALUE"""),3212.26836)</f>
        <v>3212.26836</v>
      </c>
    </row>
    <row r="1453">
      <c r="A1453" s="3">
        <f>IFERROR(__xludf.DUMMYFUNCTION("""COMPUTED_VALUE"""),41892.99861111111)</f>
        <v>41892.99861</v>
      </c>
      <c r="B1453" s="1">
        <f>IFERROR(__xludf.DUMMYFUNCTION("""COMPUTED_VALUE"""),3215.8067)</f>
        <v>3215.8067</v>
      </c>
    </row>
    <row r="1454">
      <c r="A1454" s="3">
        <f>IFERROR(__xludf.DUMMYFUNCTION("""COMPUTED_VALUE"""),41893.99861111111)</f>
        <v>41893.99861</v>
      </c>
      <c r="B1454" s="1">
        <f>IFERROR(__xludf.DUMMYFUNCTION("""COMPUTED_VALUE"""),3219.8894)</f>
        <v>3219.8894</v>
      </c>
    </row>
    <row r="1455">
      <c r="A1455" s="3">
        <f>IFERROR(__xludf.DUMMYFUNCTION("""COMPUTED_VALUE"""),41894.99861111111)</f>
        <v>41894.99861</v>
      </c>
      <c r="B1455" s="1">
        <f>IFERROR(__xludf.DUMMYFUNCTION("""COMPUTED_VALUE"""),3234.8593)</f>
        <v>3234.8593</v>
      </c>
    </row>
    <row r="1456">
      <c r="A1456" s="3">
        <f>IFERROR(__xludf.DUMMYFUNCTION("""COMPUTED_VALUE"""),41895.99861111111)</f>
        <v>41895.99861</v>
      </c>
      <c r="B1456" s="1">
        <f>IFERROR(__xludf.DUMMYFUNCTION("""COMPUTED_VALUE"""),3240.237576)</f>
        <v>3240.237576</v>
      </c>
    </row>
    <row r="1457">
      <c r="A1457" s="3">
        <f>IFERROR(__xludf.DUMMYFUNCTION("""COMPUTED_VALUE"""),41897.99861111111)</f>
        <v>41897.99861</v>
      </c>
      <c r="B1457" s="1">
        <f>IFERROR(__xludf.DUMMYFUNCTION("""COMPUTED_VALUE"""),3248.4683)</f>
        <v>3248.4683</v>
      </c>
    </row>
    <row r="1458">
      <c r="A1458" s="3">
        <f>IFERROR(__xludf.DUMMYFUNCTION("""COMPUTED_VALUE"""),41898.99861111111)</f>
        <v>41898.99861</v>
      </c>
      <c r="B1458" s="1">
        <f>IFERROR(__xludf.DUMMYFUNCTION("""COMPUTED_VALUE"""),3262.0773)</f>
        <v>3262.0773</v>
      </c>
    </row>
    <row r="1459">
      <c r="A1459" s="3">
        <f>IFERROR(__xludf.DUMMYFUNCTION("""COMPUTED_VALUE"""),41899.99861111111)</f>
        <v>41899.99861</v>
      </c>
      <c r="B1459" s="1">
        <f>IFERROR(__xludf.DUMMYFUNCTION("""COMPUTED_VALUE"""),3255.81716)</f>
        <v>3255.81716</v>
      </c>
    </row>
    <row r="1460">
      <c r="A1460" s="3">
        <f>IFERROR(__xludf.DUMMYFUNCTION("""COMPUTED_VALUE"""),41900.99861111111)</f>
        <v>41900.99861</v>
      </c>
      <c r="B1460" s="1">
        <f>IFERROR(__xludf.DUMMYFUNCTION("""COMPUTED_VALUE"""),3257.72242)</f>
        <v>3257.72242</v>
      </c>
    </row>
    <row r="1461">
      <c r="A1461" s="3">
        <f>IFERROR(__xludf.DUMMYFUNCTION("""COMPUTED_VALUE"""),41901.99861111111)</f>
        <v>41901.99861</v>
      </c>
      <c r="B1461" s="1">
        <f>IFERROR(__xludf.DUMMYFUNCTION("""COMPUTED_VALUE"""),3261.53294)</f>
        <v>3261.53294</v>
      </c>
    </row>
    <row r="1462">
      <c r="A1462" s="3">
        <f>IFERROR(__xludf.DUMMYFUNCTION("""COMPUTED_VALUE"""),41902.99861111111)</f>
        <v>41902.99861</v>
      </c>
      <c r="B1462" s="1">
        <f>IFERROR(__xludf.DUMMYFUNCTION("""COMPUTED_VALUE"""),3267.466464)</f>
        <v>3267.466464</v>
      </c>
    </row>
    <row r="1463">
      <c r="A1463" s="3">
        <f>IFERROR(__xludf.DUMMYFUNCTION("""COMPUTED_VALUE"""),41904.99861111111)</f>
        <v>41904.99861</v>
      </c>
      <c r="B1463" s="1">
        <f>IFERROR(__xludf.DUMMYFUNCTION("""COMPUTED_VALUE"""),3262.89384)</f>
        <v>3262.89384</v>
      </c>
    </row>
    <row r="1464">
      <c r="A1464" s="3">
        <f>IFERROR(__xludf.DUMMYFUNCTION("""COMPUTED_VALUE"""),41905.99861111111)</f>
        <v>41905.99861</v>
      </c>
      <c r="B1464" s="1">
        <f>IFERROR(__xludf.DUMMYFUNCTION("""COMPUTED_VALUE"""),3257.9946)</f>
        <v>3257.9946</v>
      </c>
    </row>
    <row r="1465">
      <c r="A1465" s="3">
        <f>IFERROR(__xludf.DUMMYFUNCTION("""COMPUTED_VALUE"""),41906.99861111111)</f>
        <v>41906.99861</v>
      </c>
      <c r="B1465" s="1">
        <f>IFERROR(__xludf.DUMMYFUNCTION("""COMPUTED_VALUE"""),3250.64574)</f>
        <v>3250.64574</v>
      </c>
    </row>
    <row r="1466">
      <c r="A1466" s="3">
        <f>IFERROR(__xludf.DUMMYFUNCTION("""COMPUTED_VALUE"""),41907.99861111111)</f>
        <v>41907.99861</v>
      </c>
      <c r="B1466" s="1">
        <f>IFERROR(__xludf.DUMMYFUNCTION("""COMPUTED_VALUE"""),3260.29182)</f>
        <v>3260.29182</v>
      </c>
    </row>
    <row r="1467">
      <c r="A1467" s="3">
        <f>IFERROR(__xludf.DUMMYFUNCTION("""COMPUTED_VALUE"""),41908.99861111111)</f>
        <v>41908.99861</v>
      </c>
      <c r="B1467" s="1">
        <f>IFERROR(__xludf.DUMMYFUNCTION("""COMPUTED_VALUE"""),3280.01)</f>
        <v>3280.01</v>
      </c>
    </row>
    <row r="1468">
      <c r="A1468" s="3">
        <f>IFERROR(__xludf.DUMMYFUNCTION("""COMPUTED_VALUE"""),41909.99861111111)</f>
        <v>41909.99861</v>
      </c>
      <c r="B1468" s="1">
        <f>IFERROR(__xludf.DUMMYFUNCTION("""COMPUTED_VALUE"""),3283.472384)</f>
        <v>3283.472384</v>
      </c>
    </row>
    <row r="1469">
      <c r="A1469" s="3">
        <f>IFERROR(__xludf.DUMMYFUNCTION("""COMPUTED_VALUE"""),41910.99861111111)</f>
        <v>41910.99861</v>
      </c>
      <c r="B1469" s="1">
        <f>IFERROR(__xludf.DUMMYFUNCTION("""COMPUTED_VALUE"""),3283.472384)</f>
        <v>3283.472384</v>
      </c>
    </row>
    <row r="1470">
      <c r="A1470" s="3">
        <f>IFERROR(__xludf.DUMMYFUNCTION("""COMPUTED_VALUE"""),41911.99861111111)</f>
        <v>41911.99861</v>
      </c>
      <c r="B1470" s="1">
        <f>IFERROR(__xludf.DUMMYFUNCTION("""COMPUTED_VALUE"""),3305.0524)</f>
        <v>3305.0524</v>
      </c>
    </row>
    <row r="1471">
      <c r="A1471" s="3">
        <f>IFERROR(__xludf.DUMMYFUNCTION("""COMPUTED_VALUE"""),41912.99861111111)</f>
        <v>41912.99861</v>
      </c>
      <c r="B1471" s="1">
        <f>IFERROR(__xludf.DUMMYFUNCTION("""COMPUTED_VALUE"""),3313.7915)</f>
        <v>3313.7915</v>
      </c>
    </row>
    <row r="1472">
      <c r="A1472" s="3">
        <f>IFERROR(__xludf.DUMMYFUNCTION("""COMPUTED_VALUE"""),41913.99861111111)</f>
        <v>41913.99861</v>
      </c>
      <c r="B1472" s="1">
        <f>IFERROR(__xludf.DUMMYFUNCTION("""COMPUTED_VALUE"""),3301.5434)</f>
        <v>3301.5434</v>
      </c>
    </row>
    <row r="1473">
      <c r="A1473" s="3">
        <f>IFERROR(__xludf.DUMMYFUNCTION("""COMPUTED_VALUE"""),41914.99861111111)</f>
        <v>41914.99861</v>
      </c>
      <c r="B1473" s="1">
        <f>IFERROR(__xludf.DUMMYFUNCTION("""COMPUTED_VALUE"""),3296.64416)</f>
        <v>3296.64416</v>
      </c>
    </row>
    <row r="1474">
      <c r="A1474" s="3">
        <f>IFERROR(__xludf.DUMMYFUNCTION("""COMPUTED_VALUE"""),41915.99861111111)</f>
        <v>41915.99861</v>
      </c>
      <c r="B1474" s="1">
        <f>IFERROR(__xludf.DUMMYFUNCTION("""COMPUTED_VALUE"""),3316.39906)</f>
        <v>3316.39906</v>
      </c>
    </row>
    <row r="1475">
      <c r="A1475" s="3">
        <f>IFERROR(__xludf.DUMMYFUNCTION("""COMPUTED_VALUE"""),41916.99861111111)</f>
        <v>41916.99861</v>
      </c>
      <c r="B1475" s="1">
        <f>IFERROR(__xludf.DUMMYFUNCTION("""COMPUTED_VALUE"""),3319.267761)</f>
        <v>3319.267761</v>
      </c>
    </row>
    <row r="1476">
      <c r="A1476" s="3">
        <f>IFERROR(__xludf.DUMMYFUNCTION("""COMPUTED_VALUE"""),41918.99861111111)</f>
        <v>41918.99861</v>
      </c>
      <c r="B1476" s="1">
        <f>IFERROR(__xludf.DUMMYFUNCTION("""COMPUTED_VALUE"""),3306.17046)</f>
        <v>3306.17046</v>
      </c>
    </row>
    <row r="1477">
      <c r="A1477" s="3">
        <f>IFERROR(__xludf.DUMMYFUNCTION("""COMPUTED_VALUE"""),41919.99861111111)</f>
        <v>41919.99861</v>
      </c>
      <c r="B1477" s="1">
        <f>IFERROR(__xludf.DUMMYFUNCTION("""COMPUTED_VALUE"""),3325.49524)</f>
        <v>3325.49524</v>
      </c>
    </row>
    <row r="1478">
      <c r="A1478" s="3">
        <f>IFERROR(__xludf.DUMMYFUNCTION("""COMPUTED_VALUE"""),41920.99861111111)</f>
        <v>41920.99861</v>
      </c>
      <c r="B1478" s="1">
        <f>IFERROR(__xludf.DUMMYFUNCTION("""COMPUTED_VALUE"""),3323.3178)</f>
        <v>3323.3178</v>
      </c>
    </row>
    <row r="1479">
      <c r="A1479" s="3">
        <f>IFERROR(__xludf.DUMMYFUNCTION("""COMPUTED_VALUE"""),41921.99861111111)</f>
        <v>41921.99861</v>
      </c>
      <c r="B1479" s="1">
        <f>IFERROR(__xludf.DUMMYFUNCTION("""COMPUTED_VALUE"""),3318.41856)</f>
        <v>3318.41856</v>
      </c>
    </row>
    <row r="1480">
      <c r="A1480" s="3">
        <f>IFERROR(__xludf.DUMMYFUNCTION("""COMPUTED_VALUE"""),41922.99861111111)</f>
        <v>41922.99861</v>
      </c>
      <c r="B1480" s="1">
        <f>IFERROR(__xludf.DUMMYFUNCTION("""COMPUTED_VALUE"""),3323.3178)</f>
        <v>3323.3178</v>
      </c>
    </row>
    <row r="1481">
      <c r="A1481" s="3">
        <f>IFERROR(__xludf.DUMMYFUNCTION("""COMPUTED_VALUE"""),41923.99861111111)</f>
        <v>41923.99861</v>
      </c>
      <c r="B1481" s="1">
        <f>IFERROR(__xludf.DUMMYFUNCTION("""COMPUTED_VALUE"""),3327.381447)</f>
        <v>3327.381447</v>
      </c>
    </row>
    <row r="1482">
      <c r="A1482" s="3">
        <f>IFERROR(__xludf.DUMMYFUNCTION("""COMPUTED_VALUE"""),41924.99861111111)</f>
        <v>41924.99861</v>
      </c>
      <c r="B1482" s="1">
        <f>IFERROR(__xludf.DUMMYFUNCTION("""COMPUTED_VALUE"""),3327.381447)</f>
        <v>3327.381447</v>
      </c>
    </row>
    <row r="1483">
      <c r="A1483" s="3">
        <f>IFERROR(__xludf.DUMMYFUNCTION("""COMPUTED_VALUE"""),41925.99861111111)</f>
        <v>41925.99861</v>
      </c>
      <c r="B1483" s="1">
        <f>IFERROR(__xludf.DUMMYFUNCTION("""COMPUTED_VALUE"""),3320.596)</f>
        <v>3320.596</v>
      </c>
    </row>
    <row r="1484">
      <c r="A1484" s="3">
        <f>IFERROR(__xludf.DUMMYFUNCTION("""COMPUTED_VALUE"""),41926.99861111111)</f>
        <v>41926.99861</v>
      </c>
      <c r="B1484" s="1">
        <f>IFERROR(__xludf.DUMMYFUNCTION("""COMPUTED_VALUE"""),3320.05164)</f>
        <v>3320.05164</v>
      </c>
    </row>
    <row r="1485">
      <c r="A1485" s="3">
        <f>IFERROR(__xludf.DUMMYFUNCTION("""COMPUTED_VALUE"""),41927.99861111111)</f>
        <v>41927.99861</v>
      </c>
      <c r="B1485" s="1">
        <f>IFERROR(__xludf.DUMMYFUNCTION("""COMPUTED_VALUE"""),3327.94486)</f>
        <v>3327.94486</v>
      </c>
    </row>
    <row r="1486">
      <c r="A1486" s="3">
        <f>IFERROR(__xludf.DUMMYFUNCTION("""COMPUTED_VALUE"""),41928.99861111111)</f>
        <v>41928.99861</v>
      </c>
      <c r="B1486" s="1">
        <f>IFERROR(__xludf.DUMMYFUNCTION("""COMPUTED_VALUE"""),3323.3178)</f>
        <v>3323.3178</v>
      </c>
    </row>
    <row r="1487">
      <c r="A1487" s="3">
        <f>IFERROR(__xludf.DUMMYFUNCTION("""COMPUTED_VALUE"""),41929.99861111111)</f>
        <v>41929.99861</v>
      </c>
      <c r="B1487" s="1">
        <f>IFERROR(__xludf.DUMMYFUNCTION("""COMPUTED_VALUE"""),3293.92236)</f>
        <v>3293.92236</v>
      </c>
    </row>
    <row r="1488">
      <c r="A1488" s="3">
        <f>IFERROR(__xludf.DUMMYFUNCTION("""COMPUTED_VALUE"""),41930.99861111111)</f>
        <v>41930.99861</v>
      </c>
      <c r="B1488" s="1">
        <f>IFERROR(__xludf.DUMMYFUNCTION("""COMPUTED_VALUE"""),3299.150937)</f>
        <v>3299.150937</v>
      </c>
    </row>
    <row r="1489">
      <c r="A1489" s="3">
        <f>IFERROR(__xludf.DUMMYFUNCTION("""COMPUTED_VALUE"""),41931.99861111111)</f>
        <v>41931.99861</v>
      </c>
      <c r="B1489" s="1">
        <f>IFERROR(__xludf.DUMMYFUNCTION("""COMPUTED_VALUE"""),3299.150937)</f>
        <v>3299.150937</v>
      </c>
    </row>
    <row r="1490">
      <c r="A1490" s="3">
        <f>IFERROR(__xludf.DUMMYFUNCTION("""COMPUTED_VALUE"""),41932.99861111111)</f>
        <v>41932.99861</v>
      </c>
      <c r="B1490" s="1">
        <f>IFERROR(__xludf.DUMMYFUNCTION("""COMPUTED_VALUE"""),3271.05924)</f>
        <v>3271.05924</v>
      </c>
    </row>
    <row r="1491">
      <c r="A1491" s="3">
        <f>IFERROR(__xludf.DUMMYFUNCTION("""COMPUTED_VALUE"""),41933.99861111111)</f>
        <v>41933.99861</v>
      </c>
      <c r="B1491" s="1">
        <f>IFERROR(__xludf.DUMMYFUNCTION("""COMPUTED_VALUE"""),3262.62166)</f>
        <v>3262.62166</v>
      </c>
    </row>
    <row r="1492">
      <c r="A1492" s="3">
        <f>IFERROR(__xludf.DUMMYFUNCTION("""COMPUTED_VALUE"""),41934.99861111111)</f>
        <v>41934.99861</v>
      </c>
      <c r="B1492" s="1">
        <f>IFERROR(__xludf.DUMMYFUNCTION("""COMPUTED_VALUE"""),3260.7164)</f>
        <v>3260.7164</v>
      </c>
    </row>
    <row r="1493">
      <c r="A1493" s="3">
        <f>IFERROR(__xludf.DUMMYFUNCTION("""COMPUTED_VALUE"""),41935.99861111111)</f>
        <v>41935.99861</v>
      </c>
      <c r="B1493" s="1">
        <f>IFERROR(__xludf.DUMMYFUNCTION("""COMPUTED_VALUE"""),3282.0943)</f>
        <v>3282.0943</v>
      </c>
    </row>
    <row r="1494">
      <c r="A1494" s="3">
        <f>IFERROR(__xludf.DUMMYFUNCTION("""COMPUTED_VALUE"""),41936.99861111111)</f>
        <v>41936.99861</v>
      </c>
      <c r="B1494" s="1">
        <f>IFERROR(__xludf.DUMMYFUNCTION("""COMPUTED_VALUE"""),3287.17725)</f>
        <v>3287.17725</v>
      </c>
    </row>
    <row r="1495">
      <c r="A1495" s="3">
        <f>IFERROR(__xludf.DUMMYFUNCTION("""COMPUTED_VALUE"""),41937.99861111111)</f>
        <v>41937.99861</v>
      </c>
      <c r="B1495" s="1">
        <f>IFERROR(__xludf.DUMMYFUNCTION("""COMPUTED_VALUE"""),3291.17062)</f>
        <v>3291.17062</v>
      </c>
    </row>
    <row r="1496">
      <c r="A1496" s="3">
        <f>IFERROR(__xludf.DUMMYFUNCTION("""COMPUTED_VALUE"""),41939.99861111111)</f>
        <v>41939.99861</v>
      </c>
      <c r="B1496" s="1">
        <f>IFERROR(__xludf.DUMMYFUNCTION("""COMPUTED_VALUE"""),3293.378)</f>
        <v>3293.378</v>
      </c>
    </row>
    <row r="1497">
      <c r="A1497" s="3">
        <f>IFERROR(__xludf.DUMMYFUNCTION("""COMPUTED_VALUE"""),41940.99861111111)</f>
        <v>41940.99861</v>
      </c>
      <c r="B1497" s="1">
        <f>IFERROR(__xludf.DUMMYFUNCTION("""COMPUTED_VALUE"""),3303.44866)</f>
        <v>3303.44866</v>
      </c>
    </row>
    <row r="1498">
      <c r="A1498" s="3">
        <f>IFERROR(__xludf.DUMMYFUNCTION("""COMPUTED_VALUE"""),41941.99861111111)</f>
        <v>41941.99861</v>
      </c>
      <c r="B1498" s="1">
        <f>IFERROR(__xludf.DUMMYFUNCTION("""COMPUTED_VALUE"""),3291.20056)</f>
        <v>3291.20056</v>
      </c>
    </row>
    <row r="1499">
      <c r="A1499" s="3">
        <f>IFERROR(__xludf.DUMMYFUNCTION("""COMPUTED_VALUE"""),41942.99861111111)</f>
        <v>41942.99861</v>
      </c>
      <c r="B1499" s="1">
        <f>IFERROR(__xludf.DUMMYFUNCTION("""COMPUTED_VALUE"""),3306.987)</f>
        <v>3306.987</v>
      </c>
    </row>
    <row r="1500">
      <c r="A1500" s="3">
        <f>IFERROR(__xludf.DUMMYFUNCTION("""COMPUTED_VALUE"""),41943.99861111111)</f>
        <v>41943.99861</v>
      </c>
      <c r="B1500" s="1">
        <f>IFERROR(__xludf.DUMMYFUNCTION("""COMPUTED_VALUE"""),3285.2126)</f>
        <v>3285.2126</v>
      </c>
    </row>
    <row r="1501">
      <c r="A1501" s="3">
        <f>IFERROR(__xludf.DUMMYFUNCTION("""COMPUTED_VALUE"""),41946.99861111111)</f>
        <v>41946.99861</v>
      </c>
      <c r="B1501" s="1">
        <f>IFERROR(__xludf.DUMMYFUNCTION("""COMPUTED_VALUE"""),3295.28326)</f>
        <v>3295.28326</v>
      </c>
    </row>
    <row r="1502">
      <c r="A1502" s="3">
        <f>IFERROR(__xludf.DUMMYFUNCTION("""COMPUTED_VALUE"""),41947.99861111111)</f>
        <v>41947.99861</v>
      </c>
      <c r="B1502" s="1">
        <f>IFERROR(__xludf.DUMMYFUNCTION("""COMPUTED_VALUE"""),3296.0998)</f>
        <v>3296.0998</v>
      </c>
    </row>
    <row r="1503">
      <c r="A1503" s="3">
        <f>IFERROR(__xludf.DUMMYFUNCTION("""COMPUTED_VALUE"""),41948.99861111111)</f>
        <v>41948.99861</v>
      </c>
      <c r="B1503" s="1">
        <f>IFERROR(__xludf.DUMMYFUNCTION("""COMPUTED_VALUE"""),3313.7915)</f>
        <v>3313.7915</v>
      </c>
    </row>
    <row r="1504">
      <c r="A1504" s="3">
        <f>IFERROR(__xludf.DUMMYFUNCTION("""COMPUTED_VALUE"""),41949.99861111111)</f>
        <v>41949.99861</v>
      </c>
      <c r="B1504" s="1">
        <f>IFERROR(__xludf.DUMMYFUNCTION("""COMPUTED_VALUE"""),3306.987)</f>
        <v>3306.987</v>
      </c>
    </row>
    <row r="1505">
      <c r="A1505" s="3">
        <f>IFERROR(__xludf.DUMMYFUNCTION("""COMPUTED_VALUE"""),41950.99861111111)</f>
        <v>41950.99861</v>
      </c>
      <c r="B1505" s="1">
        <f>IFERROR(__xludf.DUMMYFUNCTION("""COMPUTED_VALUE"""),3313.7915)</f>
        <v>3313.7915</v>
      </c>
    </row>
    <row r="1506">
      <c r="A1506" s="3">
        <f>IFERROR(__xludf.DUMMYFUNCTION("""COMPUTED_VALUE"""),41953.99861111111)</f>
        <v>41953.99861</v>
      </c>
      <c r="B1506" s="1">
        <f>IFERROR(__xludf.DUMMYFUNCTION("""COMPUTED_VALUE"""),3308.3479)</f>
        <v>3308.3479</v>
      </c>
    </row>
    <row r="1507">
      <c r="A1507" s="3">
        <f>IFERROR(__xludf.DUMMYFUNCTION("""COMPUTED_VALUE"""),41954.99861111111)</f>
        <v>41954.99861</v>
      </c>
      <c r="B1507" s="1">
        <f>IFERROR(__xludf.DUMMYFUNCTION("""COMPUTED_VALUE"""),3300.99904)</f>
        <v>3300.99904</v>
      </c>
    </row>
    <row r="1508">
      <c r="A1508" s="3">
        <f>IFERROR(__xludf.DUMMYFUNCTION("""COMPUTED_VALUE"""),41955.99861111111)</f>
        <v>41955.99861</v>
      </c>
      <c r="B1508" s="1">
        <f>IFERROR(__xludf.DUMMYFUNCTION("""COMPUTED_VALUE"""),3317.05766)</f>
        <v>3317.05766</v>
      </c>
    </row>
    <row r="1509">
      <c r="A1509" s="3">
        <f>IFERROR(__xludf.DUMMYFUNCTION("""COMPUTED_VALUE"""),41956.99861111111)</f>
        <v>41956.99861</v>
      </c>
      <c r="B1509" s="1">
        <f>IFERROR(__xludf.DUMMYFUNCTION("""COMPUTED_VALUE"""),3317.05766)</f>
        <v>3317.05766</v>
      </c>
    </row>
    <row r="1510">
      <c r="A1510" s="3">
        <f>IFERROR(__xludf.DUMMYFUNCTION("""COMPUTED_VALUE"""),41957.99861111111)</f>
        <v>41957.99861</v>
      </c>
      <c r="B1510" s="1">
        <f>IFERROR(__xludf.DUMMYFUNCTION("""COMPUTED_VALUE"""),3320.596)</f>
        <v>3320.596</v>
      </c>
    </row>
    <row r="1511">
      <c r="A1511" s="3">
        <f>IFERROR(__xludf.DUMMYFUNCTION("""COMPUTED_VALUE"""),41958.99861111111)</f>
        <v>41958.99861</v>
      </c>
      <c r="B1511" s="1">
        <f>IFERROR(__xludf.DUMMYFUNCTION("""COMPUTED_VALUE"""),3327.381447)</f>
        <v>3327.381447</v>
      </c>
    </row>
    <row r="1512">
      <c r="A1512" s="3">
        <f>IFERROR(__xludf.DUMMYFUNCTION("""COMPUTED_VALUE"""),41959.99861111111)</f>
        <v>41959.99861</v>
      </c>
      <c r="B1512" s="1">
        <f>IFERROR(__xludf.DUMMYFUNCTION("""COMPUTED_VALUE"""),3327.381447)</f>
        <v>3327.381447</v>
      </c>
    </row>
    <row r="1513">
      <c r="A1513" s="3">
        <f>IFERROR(__xludf.DUMMYFUNCTION("""COMPUTED_VALUE"""),41960.99861111111)</f>
        <v>41960.99861</v>
      </c>
      <c r="B1513" s="1">
        <f>IFERROR(__xludf.DUMMYFUNCTION("""COMPUTED_VALUE"""),3319.2351)</f>
        <v>3319.2351</v>
      </c>
    </row>
    <row r="1514">
      <c r="A1514" s="3">
        <f>IFERROR(__xludf.DUMMYFUNCTION("""COMPUTED_VALUE"""),41961.99861111111)</f>
        <v>41961.99861</v>
      </c>
      <c r="B1514" s="1">
        <f>IFERROR(__xludf.DUMMYFUNCTION("""COMPUTED_VALUE"""),3300.1825)</f>
        <v>3300.1825</v>
      </c>
    </row>
    <row r="1515">
      <c r="A1515" s="3">
        <f>IFERROR(__xludf.DUMMYFUNCTION("""COMPUTED_VALUE"""),41962.99861111111)</f>
        <v>41962.99861</v>
      </c>
      <c r="B1515" s="1">
        <f>IFERROR(__xludf.DUMMYFUNCTION("""COMPUTED_VALUE"""),3293.92236)</f>
        <v>3293.92236</v>
      </c>
    </row>
    <row r="1516">
      <c r="A1516" s="3">
        <f>IFERROR(__xludf.DUMMYFUNCTION("""COMPUTED_VALUE"""),41963.99861111111)</f>
        <v>41963.99861</v>
      </c>
      <c r="B1516" s="1">
        <f>IFERROR(__xludf.DUMMYFUNCTION("""COMPUTED_VALUE"""),3302.35994)</f>
        <v>3302.35994</v>
      </c>
    </row>
    <row r="1517">
      <c r="A1517" s="3">
        <f>IFERROR(__xludf.DUMMYFUNCTION("""COMPUTED_VALUE"""),41964.99861111111)</f>
        <v>41964.99861</v>
      </c>
      <c r="B1517" s="1">
        <f>IFERROR(__xludf.DUMMYFUNCTION("""COMPUTED_VALUE"""),3302.35994)</f>
        <v>3302.35994</v>
      </c>
    </row>
    <row r="1518">
      <c r="A1518" s="3">
        <f>IFERROR(__xludf.DUMMYFUNCTION("""COMPUTED_VALUE"""),41965.99861111111)</f>
        <v>41965.99861</v>
      </c>
      <c r="B1518" s="1">
        <f>IFERROR(__xludf.DUMMYFUNCTION("""COMPUTED_VALUE"""),3335.538682)</f>
        <v>3335.538682</v>
      </c>
    </row>
    <row r="1519">
      <c r="A1519" s="3">
        <f>IFERROR(__xludf.DUMMYFUNCTION("""COMPUTED_VALUE"""),41967.99861111111)</f>
        <v>41967.99861</v>
      </c>
      <c r="B1519" s="1">
        <f>IFERROR(__xludf.DUMMYFUNCTION("""COMPUTED_VALUE"""),3302.35994)</f>
        <v>3302.35994</v>
      </c>
    </row>
    <row r="1520">
      <c r="A1520" s="3">
        <f>IFERROR(__xludf.DUMMYFUNCTION("""COMPUTED_VALUE"""),41968.99861111111)</f>
        <v>41968.99861</v>
      </c>
      <c r="B1520" s="1">
        <f>IFERROR(__xludf.DUMMYFUNCTION("""COMPUTED_VALUE"""),3302.35994)</f>
        <v>3302.35994</v>
      </c>
    </row>
    <row r="1521">
      <c r="A1521" s="3">
        <f>IFERROR(__xludf.DUMMYFUNCTION("""COMPUTED_VALUE"""),41969.99861111111)</f>
        <v>41969.99861</v>
      </c>
      <c r="B1521" s="1">
        <f>IFERROR(__xludf.DUMMYFUNCTION("""COMPUTED_VALUE"""),3313.7915)</f>
        <v>3313.7915</v>
      </c>
    </row>
    <row r="1522">
      <c r="A1522" s="3">
        <f>IFERROR(__xludf.DUMMYFUNCTION("""COMPUTED_VALUE"""),41970.99861111111)</f>
        <v>41970.99861</v>
      </c>
      <c r="B1522" s="1">
        <f>IFERROR(__xludf.DUMMYFUNCTION("""COMPUTED_VALUE"""),3313.7915)</f>
        <v>3313.7915</v>
      </c>
    </row>
    <row r="1523">
      <c r="A1523" s="3">
        <f>IFERROR(__xludf.DUMMYFUNCTION("""COMPUTED_VALUE"""),41971.99861111111)</f>
        <v>41971.99861</v>
      </c>
      <c r="B1523" s="1">
        <f>IFERROR(__xludf.DUMMYFUNCTION("""COMPUTED_VALUE"""),3313.7915)</f>
        <v>3313.7915</v>
      </c>
    </row>
    <row r="1524">
      <c r="A1524" s="3">
        <f>IFERROR(__xludf.DUMMYFUNCTION("""COMPUTED_VALUE"""),41974.99861111111)</f>
        <v>41974.99861</v>
      </c>
      <c r="B1524" s="1">
        <f>IFERROR(__xludf.DUMMYFUNCTION("""COMPUTED_VALUE"""),3343.7313)</f>
        <v>3343.7313</v>
      </c>
    </row>
    <row r="1525">
      <c r="A1525" s="3">
        <f>IFERROR(__xludf.DUMMYFUNCTION("""COMPUTED_VALUE"""),41975.99861111111)</f>
        <v>41975.99861</v>
      </c>
      <c r="B1525" s="1">
        <f>IFERROR(__xludf.DUMMYFUNCTION("""COMPUTED_VALUE"""),3343.7313)</f>
        <v>3343.7313</v>
      </c>
    </row>
    <row r="1526">
      <c r="A1526" s="3">
        <f>IFERROR(__xludf.DUMMYFUNCTION("""COMPUTED_VALUE"""),41976.99861111111)</f>
        <v>41976.99861</v>
      </c>
      <c r="B1526" s="1">
        <f>IFERROR(__xludf.DUMMYFUNCTION("""COMPUTED_VALUE"""),3343.7313)</f>
        <v>3343.7313</v>
      </c>
    </row>
    <row r="1527">
      <c r="A1527" s="3">
        <f>IFERROR(__xludf.DUMMYFUNCTION("""COMPUTED_VALUE"""),41977.99861111111)</f>
        <v>41977.99861</v>
      </c>
      <c r="B1527" s="1">
        <f>IFERROR(__xludf.DUMMYFUNCTION("""COMPUTED_VALUE"""),3344.59125)</f>
        <v>3344.59125</v>
      </c>
    </row>
    <row r="1528">
      <c r="A1528" s="3">
        <f>IFERROR(__xludf.DUMMYFUNCTION("""COMPUTED_VALUE"""),41978.99861111111)</f>
        <v>41978.99861</v>
      </c>
      <c r="B1528" s="1">
        <f>IFERROR(__xludf.DUMMYFUNCTION("""COMPUTED_VALUE"""),3343.7313)</f>
        <v>3343.7313</v>
      </c>
    </row>
    <row r="1529">
      <c r="A1529" s="3">
        <f>IFERROR(__xludf.DUMMYFUNCTION("""COMPUTED_VALUE"""),41979.99861111111)</f>
        <v>41979.99861</v>
      </c>
      <c r="B1529" s="1">
        <f>IFERROR(__xludf.DUMMYFUNCTION("""COMPUTED_VALUE"""),3376.920929)</f>
        <v>3376.920929</v>
      </c>
    </row>
    <row r="1530">
      <c r="A1530" s="3">
        <f>IFERROR(__xludf.DUMMYFUNCTION("""COMPUTED_VALUE"""),41981.99861111111)</f>
        <v>41981.99861</v>
      </c>
      <c r="B1530" s="1">
        <f>IFERROR(__xludf.DUMMYFUNCTION("""COMPUTED_VALUE"""),3343.7313)</f>
        <v>3343.7313</v>
      </c>
    </row>
    <row r="1531">
      <c r="A1531" s="3">
        <f>IFERROR(__xludf.DUMMYFUNCTION("""COMPUTED_VALUE"""),41982.99861111111)</f>
        <v>41982.99861</v>
      </c>
      <c r="B1531" s="1">
        <f>IFERROR(__xludf.DUMMYFUNCTION("""COMPUTED_VALUE"""),3343.7313)</f>
        <v>3343.7313</v>
      </c>
    </row>
    <row r="1532">
      <c r="A1532" s="3">
        <f>IFERROR(__xludf.DUMMYFUNCTION("""COMPUTED_VALUE"""),41983.99861111111)</f>
        <v>41983.99861</v>
      </c>
      <c r="B1532" s="1">
        <f>IFERROR(__xludf.DUMMYFUNCTION("""COMPUTED_VALUE"""),3343.7313)</f>
        <v>3343.7313</v>
      </c>
    </row>
    <row r="1533">
      <c r="A1533" s="3">
        <f>IFERROR(__xludf.DUMMYFUNCTION("""COMPUTED_VALUE"""),41984.99861111111)</f>
        <v>41984.99861</v>
      </c>
      <c r="B1533" s="1">
        <f>IFERROR(__xludf.DUMMYFUNCTION("""COMPUTED_VALUE"""),3393.05175)</f>
        <v>3393.05175</v>
      </c>
    </row>
    <row r="1534">
      <c r="A1534" s="3">
        <f>IFERROR(__xludf.DUMMYFUNCTION("""COMPUTED_VALUE"""),41985.99861111111)</f>
        <v>41985.99861</v>
      </c>
      <c r="B1534" s="1">
        <f>IFERROR(__xludf.DUMMYFUNCTION("""COMPUTED_VALUE"""),3433.617)</f>
        <v>3433.617</v>
      </c>
    </row>
    <row r="1535">
      <c r="A1535" s="3">
        <f>IFERROR(__xludf.DUMMYFUNCTION("""COMPUTED_VALUE"""),41986.99861111111)</f>
        <v>41986.99861</v>
      </c>
      <c r="B1535" s="1">
        <f>IFERROR(__xludf.DUMMYFUNCTION("""COMPUTED_VALUE"""),3436.615446)</f>
        <v>3436.615446</v>
      </c>
    </row>
    <row r="1536">
      <c r="A1536" s="3">
        <f>IFERROR(__xludf.DUMMYFUNCTION("""COMPUTED_VALUE"""),41987.99861111111)</f>
        <v>41987.99861</v>
      </c>
      <c r="B1536" s="1">
        <f>IFERROR(__xludf.DUMMYFUNCTION("""COMPUTED_VALUE"""),3436.615446)</f>
        <v>3436.615446</v>
      </c>
    </row>
    <row r="1537">
      <c r="A1537" s="3">
        <f>IFERROR(__xludf.DUMMYFUNCTION("""COMPUTED_VALUE"""),41988.99861111111)</f>
        <v>41988.99861</v>
      </c>
      <c r="B1537" s="1">
        <f>IFERROR(__xludf.DUMMYFUNCTION("""COMPUTED_VALUE"""),3497.513)</f>
        <v>3497.513</v>
      </c>
    </row>
    <row r="1538">
      <c r="A1538" s="3">
        <f>IFERROR(__xludf.DUMMYFUNCTION("""COMPUTED_VALUE"""),41989.99861111111)</f>
        <v>41989.99861</v>
      </c>
      <c r="B1538" s="1">
        <f>IFERROR(__xludf.DUMMYFUNCTION("""COMPUTED_VALUE"""),3458.0469)</f>
        <v>3458.0469</v>
      </c>
    </row>
    <row r="1539">
      <c r="A1539" s="3">
        <f>IFERROR(__xludf.DUMMYFUNCTION("""COMPUTED_VALUE"""),41990.99861111111)</f>
        <v>41990.99861</v>
      </c>
      <c r="B1539" s="1">
        <f>IFERROR(__xludf.DUMMYFUNCTION("""COMPUTED_VALUE"""),3449.33714)</f>
        <v>3449.33714</v>
      </c>
    </row>
    <row r="1540">
      <c r="A1540" s="3">
        <f>IFERROR(__xludf.DUMMYFUNCTION("""COMPUTED_VALUE"""),41991.99861111111)</f>
        <v>41991.99861</v>
      </c>
      <c r="B1540" s="1">
        <f>IFERROR(__xludf.DUMMYFUNCTION("""COMPUTED_VALUE"""),3396.8064)</f>
        <v>3396.8064</v>
      </c>
    </row>
    <row r="1541">
      <c r="A1541" s="3">
        <f>IFERROR(__xludf.DUMMYFUNCTION("""COMPUTED_VALUE"""),41992.99861111111)</f>
        <v>41992.99861</v>
      </c>
      <c r="B1541" s="1">
        <f>IFERROR(__xludf.DUMMYFUNCTION("""COMPUTED_VALUE"""),3366.91575)</f>
        <v>3366.91575</v>
      </c>
    </row>
    <row r="1542">
      <c r="A1542" s="3">
        <f>IFERROR(__xludf.DUMMYFUNCTION("""COMPUTED_VALUE"""),41995.99861111111)</f>
        <v>41995.99861</v>
      </c>
      <c r="B1542" s="1">
        <f>IFERROR(__xludf.DUMMYFUNCTION("""COMPUTED_VALUE"""),3391.3628)</f>
        <v>3391.3628</v>
      </c>
    </row>
    <row r="1543">
      <c r="A1543" s="3">
        <f>IFERROR(__xludf.DUMMYFUNCTION("""COMPUTED_VALUE"""),41996.99861111111)</f>
        <v>41996.99861</v>
      </c>
      <c r="B1543" s="1">
        <f>IFERROR(__xludf.DUMMYFUNCTION("""COMPUTED_VALUE"""),3379.1147)</f>
        <v>3379.1147</v>
      </c>
    </row>
    <row r="1544">
      <c r="A1544" s="3">
        <f>IFERROR(__xludf.DUMMYFUNCTION("""COMPUTED_VALUE"""),41997.99861111111)</f>
        <v>41997.99861</v>
      </c>
      <c r="B1544" s="1">
        <f>IFERROR(__xludf.DUMMYFUNCTION("""COMPUTED_VALUE"""),3394.9575)</f>
        <v>3394.9575</v>
      </c>
    </row>
    <row r="1545">
      <c r="A1545" s="3">
        <f>IFERROR(__xludf.DUMMYFUNCTION("""COMPUTED_VALUE"""),41998.99861111111)</f>
        <v>41998.99861</v>
      </c>
      <c r="B1545" s="1">
        <f>IFERROR(__xludf.DUMMYFUNCTION("""COMPUTED_VALUE"""),3394.0846)</f>
        <v>3394.0846</v>
      </c>
    </row>
    <row r="1546">
      <c r="A1546" s="3">
        <f>IFERROR(__xludf.DUMMYFUNCTION("""COMPUTED_VALUE"""),41999.99861111111)</f>
        <v>41999.99861</v>
      </c>
      <c r="B1546" s="1">
        <f>IFERROR(__xludf.DUMMYFUNCTION("""COMPUTED_VALUE"""),3377.7538)</f>
        <v>3377.7538</v>
      </c>
    </row>
    <row r="1547">
      <c r="A1547" s="3">
        <f>IFERROR(__xludf.DUMMYFUNCTION("""COMPUTED_VALUE"""),42000.99861111111)</f>
        <v>42000.99861</v>
      </c>
      <c r="B1547" s="1">
        <f>IFERROR(__xludf.DUMMYFUNCTION("""COMPUTED_VALUE"""),3377.26125)</f>
        <v>3377.26125</v>
      </c>
    </row>
    <row r="1548">
      <c r="A1548" s="3">
        <f>IFERROR(__xludf.DUMMYFUNCTION("""COMPUTED_VALUE"""),42002.99861111111)</f>
        <v>42002.99861</v>
      </c>
      <c r="B1548" s="1">
        <f>IFERROR(__xludf.DUMMYFUNCTION("""COMPUTED_VALUE"""),3377.7538)</f>
        <v>3377.7538</v>
      </c>
    </row>
    <row r="1549">
      <c r="A1549" s="3">
        <f>IFERROR(__xludf.DUMMYFUNCTION("""COMPUTED_VALUE"""),42003.99861111111)</f>
        <v>42003.99861</v>
      </c>
      <c r="B1549" s="1">
        <f>IFERROR(__xludf.DUMMYFUNCTION("""COMPUTED_VALUE"""),3380.4756)</f>
        <v>3380.4756</v>
      </c>
    </row>
    <row r="1550">
      <c r="A1550" s="3">
        <f>IFERROR(__xludf.DUMMYFUNCTION("""COMPUTED_VALUE"""),42004.99861111111)</f>
        <v>42004.99861</v>
      </c>
      <c r="B1550" s="1">
        <f>IFERROR(__xludf.DUMMYFUNCTION("""COMPUTED_VALUE"""),3372.3102)</f>
        <v>3372.3102</v>
      </c>
    </row>
    <row r="1551">
      <c r="A1551" s="3">
        <f>IFERROR(__xludf.DUMMYFUNCTION("""COMPUTED_VALUE"""),42005.99861111111)</f>
        <v>42005.99861</v>
      </c>
      <c r="B1551" s="1">
        <f>IFERROR(__xludf.DUMMYFUNCTION("""COMPUTED_VALUE"""),3372.3102)</f>
        <v>3372.3102</v>
      </c>
    </row>
    <row r="1552">
      <c r="A1552" s="3">
        <f>IFERROR(__xludf.DUMMYFUNCTION("""COMPUTED_VALUE"""),42006.99861111111)</f>
        <v>42006.99861</v>
      </c>
      <c r="B1552" s="1">
        <f>IFERROR(__xludf.DUMMYFUNCTION("""COMPUTED_VALUE"""),3396.8064)</f>
        <v>3396.8064</v>
      </c>
    </row>
    <row r="1553">
      <c r="A1553" s="3">
        <f>IFERROR(__xludf.DUMMYFUNCTION("""COMPUTED_VALUE"""),42009.99861111111)</f>
        <v>42009.99861</v>
      </c>
      <c r="B1553" s="1">
        <f>IFERROR(__xludf.DUMMYFUNCTION("""COMPUTED_VALUE"""),3436.2725)</f>
        <v>3436.2725</v>
      </c>
    </row>
    <row r="1554">
      <c r="A1554" s="3">
        <f>IFERROR(__xludf.DUMMYFUNCTION("""COMPUTED_VALUE"""),42010.99861111111)</f>
        <v>42010.99861</v>
      </c>
      <c r="B1554" s="1">
        <f>IFERROR(__xludf.DUMMYFUNCTION("""COMPUTED_VALUE"""),3438.9943)</f>
        <v>3438.9943</v>
      </c>
    </row>
    <row r="1555">
      <c r="A1555" s="3">
        <f>IFERROR(__xludf.DUMMYFUNCTION("""COMPUTED_VALUE"""),42011.99861111111)</f>
        <v>42011.99861</v>
      </c>
      <c r="B1555" s="1">
        <f>IFERROR(__xludf.DUMMYFUNCTION("""COMPUTED_VALUE"""),3462.1296)</f>
        <v>3462.1296</v>
      </c>
    </row>
    <row r="1556">
      <c r="A1556" s="3">
        <f>IFERROR(__xludf.DUMMYFUNCTION("""COMPUTED_VALUE"""),42012.99861111111)</f>
        <v>42012.99861</v>
      </c>
      <c r="B1556" s="1">
        <f>IFERROR(__xludf.DUMMYFUNCTION("""COMPUTED_VALUE"""),3432.1898)</f>
        <v>3432.1898</v>
      </c>
    </row>
    <row r="1557">
      <c r="A1557" s="3">
        <f>IFERROR(__xludf.DUMMYFUNCTION("""COMPUTED_VALUE"""),42013.99861111111)</f>
        <v>42013.99861</v>
      </c>
      <c r="B1557" s="1">
        <f>IFERROR(__xludf.DUMMYFUNCTION("""COMPUTED_VALUE"""),3419.9417)</f>
        <v>3419.9417</v>
      </c>
    </row>
    <row r="1558">
      <c r="A1558" s="3">
        <f>IFERROR(__xludf.DUMMYFUNCTION("""COMPUTED_VALUE"""),42016.99861111111)</f>
        <v>42016.99861</v>
      </c>
      <c r="B1558" s="1">
        <f>IFERROR(__xludf.DUMMYFUNCTION("""COMPUTED_VALUE"""),3418.03644)</f>
        <v>3418.03644</v>
      </c>
    </row>
    <row r="1559">
      <c r="A1559" s="3">
        <f>IFERROR(__xludf.DUMMYFUNCTION("""COMPUTED_VALUE"""),42017.99861111111)</f>
        <v>42017.99861</v>
      </c>
      <c r="B1559" s="1">
        <f>IFERROR(__xludf.DUMMYFUNCTION("""COMPUTED_VALUE"""),3425.92966)</f>
        <v>3425.92966</v>
      </c>
    </row>
    <row r="1560">
      <c r="A1560" s="3">
        <f>IFERROR(__xludf.DUMMYFUNCTION("""COMPUTED_VALUE"""),42018.99861111111)</f>
        <v>42018.99861</v>
      </c>
      <c r="B1560" s="1">
        <f>IFERROR(__xludf.DUMMYFUNCTION("""COMPUTED_VALUE"""),3417.2199)</f>
        <v>3417.2199</v>
      </c>
    </row>
    <row r="1561">
      <c r="A1561" s="3">
        <f>IFERROR(__xludf.DUMMYFUNCTION("""COMPUTED_VALUE"""),42019.99861111111)</f>
        <v>42019.99861</v>
      </c>
      <c r="B1561" s="1">
        <f>IFERROR(__xludf.DUMMYFUNCTION("""COMPUTED_VALUE"""),3393.81242)</f>
        <v>3393.81242</v>
      </c>
    </row>
    <row r="1562">
      <c r="A1562" s="3">
        <f>IFERROR(__xludf.DUMMYFUNCTION("""COMPUTED_VALUE"""),42020.99861111111)</f>
        <v>42020.99861</v>
      </c>
      <c r="B1562" s="1">
        <f>IFERROR(__xludf.DUMMYFUNCTION("""COMPUTED_VALUE"""),3424.0244)</f>
        <v>3424.0244</v>
      </c>
    </row>
    <row r="1563">
      <c r="A1563" s="3">
        <f>IFERROR(__xludf.DUMMYFUNCTION("""COMPUTED_VALUE"""),42023.99861111111)</f>
        <v>42023.99861</v>
      </c>
      <c r="B1563" s="1">
        <f>IFERROR(__xludf.DUMMYFUNCTION("""COMPUTED_VALUE"""),3437.6334)</f>
        <v>3437.6334</v>
      </c>
    </row>
    <row r="1564">
      <c r="A1564" s="3">
        <f>IFERROR(__xludf.DUMMYFUNCTION("""COMPUTED_VALUE"""),42024.99861111111)</f>
        <v>42024.99861</v>
      </c>
      <c r="B1564" s="1">
        <f>IFERROR(__xludf.DUMMYFUNCTION("""COMPUTED_VALUE"""),3419.12516)</f>
        <v>3419.12516</v>
      </c>
    </row>
    <row r="1565">
      <c r="A1565" s="3">
        <f>IFERROR(__xludf.DUMMYFUNCTION("""COMPUTED_VALUE"""),42025.99861111111)</f>
        <v>42025.99861</v>
      </c>
      <c r="B1565" s="1">
        <f>IFERROR(__xludf.DUMMYFUNCTION("""COMPUTED_VALUE"""),3392.7237)</f>
        <v>3392.7237</v>
      </c>
    </row>
    <row r="1566">
      <c r="A1566" s="3">
        <f>IFERROR(__xludf.DUMMYFUNCTION("""COMPUTED_VALUE"""),42026.99861111111)</f>
        <v>42026.99861</v>
      </c>
      <c r="B1566" s="1">
        <f>IFERROR(__xludf.DUMMYFUNCTION("""COMPUTED_VALUE"""),3376.3929)</f>
        <v>3376.3929</v>
      </c>
    </row>
    <row r="1567">
      <c r="A1567" s="3">
        <f>IFERROR(__xludf.DUMMYFUNCTION("""COMPUTED_VALUE"""),42027.99861111111)</f>
        <v>42027.99861</v>
      </c>
      <c r="B1567" s="1">
        <f>IFERROR(__xludf.DUMMYFUNCTION("""COMPUTED_VALUE"""),3381.29214)</f>
        <v>3381.29214</v>
      </c>
    </row>
    <row r="1568">
      <c r="A1568" s="3">
        <f>IFERROR(__xludf.DUMMYFUNCTION("""COMPUTED_VALUE"""),42030.99861111111)</f>
        <v>42030.99861</v>
      </c>
      <c r="B1568" s="1">
        <f>IFERROR(__xludf.DUMMYFUNCTION("""COMPUTED_VALUE"""),3398.71166)</f>
        <v>3398.71166</v>
      </c>
    </row>
    <row r="1569">
      <c r="A1569" s="3">
        <f>IFERROR(__xludf.DUMMYFUNCTION("""COMPUTED_VALUE"""),42031.99861111111)</f>
        <v>42031.99861</v>
      </c>
      <c r="B1569" s="1">
        <f>IFERROR(__xludf.DUMMYFUNCTION("""COMPUTED_VALUE"""),3388.641)</f>
        <v>3388.641</v>
      </c>
    </row>
    <row r="1570">
      <c r="A1570" s="3">
        <f>IFERROR(__xludf.DUMMYFUNCTION("""COMPUTED_VALUE"""),42032.99861111111)</f>
        <v>42032.99861</v>
      </c>
      <c r="B1570" s="1">
        <f>IFERROR(__xludf.DUMMYFUNCTION("""COMPUTED_VALUE"""),3390.0019)</f>
        <v>3390.0019</v>
      </c>
    </row>
    <row r="1571">
      <c r="A1571" s="3">
        <f>IFERROR(__xludf.DUMMYFUNCTION("""COMPUTED_VALUE"""),42033.99861111111)</f>
        <v>42033.99861</v>
      </c>
      <c r="B1571" s="1">
        <f>IFERROR(__xludf.DUMMYFUNCTION("""COMPUTED_VALUE"""),3422.0568)</f>
        <v>3422.0568</v>
      </c>
    </row>
    <row r="1572">
      <c r="A1572" s="3">
        <f>IFERROR(__xludf.DUMMYFUNCTION("""COMPUTED_VALUE"""),42034.99861111111)</f>
        <v>42034.99861</v>
      </c>
      <c r="B1572" s="1">
        <f>IFERROR(__xludf.DUMMYFUNCTION("""COMPUTED_VALUE"""),3464.8514)</f>
        <v>3464.8514</v>
      </c>
    </row>
    <row r="1573">
      <c r="A1573" s="3">
        <f>IFERROR(__xludf.DUMMYFUNCTION("""COMPUTED_VALUE"""),42035.99861111111)</f>
        <v>42035.99861</v>
      </c>
      <c r="B1573" s="1">
        <f>IFERROR(__xludf.DUMMYFUNCTION("""COMPUTED_VALUE"""),3480.561629)</f>
        <v>3480.561629</v>
      </c>
    </row>
    <row r="1574">
      <c r="A1574" s="3">
        <f>IFERROR(__xludf.DUMMYFUNCTION("""COMPUTED_VALUE"""),42037.99861111111)</f>
        <v>42037.99861</v>
      </c>
      <c r="B1574" s="1">
        <f>IFERROR(__xludf.DUMMYFUNCTION("""COMPUTED_VALUE"""),3441.7161)</f>
        <v>3441.7161</v>
      </c>
    </row>
    <row r="1575">
      <c r="A1575" s="3">
        <f>IFERROR(__xludf.DUMMYFUNCTION("""COMPUTED_VALUE"""),42038.99861111111)</f>
        <v>42038.99861</v>
      </c>
      <c r="B1575" s="1">
        <f>IFERROR(__xludf.DUMMYFUNCTION("""COMPUTED_VALUE"""),3422.6635)</f>
        <v>3422.6635</v>
      </c>
    </row>
    <row r="1576">
      <c r="A1576" s="3">
        <f>IFERROR(__xludf.DUMMYFUNCTION("""COMPUTED_VALUE"""),42039.99861111111)</f>
        <v>42039.99861</v>
      </c>
      <c r="B1576" s="1">
        <f>IFERROR(__xludf.DUMMYFUNCTION("""COMPUTED_VALUE"""),3436.2725)</f>
        <v>3436.2725</v>
      </c>
    </row>
    <row r="1577">
      <c r="A1577" s="3">
        <f>IFERROR(__xludf.DUMMYFUNCTION("""COMPUTED_VALUE"""),42040.99861111111)</f>
        <v>42040.99861</v>
      </c>
      <c r="B1577" s="1">
        <f>IFERROR(__xludf.DUMMYFUNCTION("""COMPUTED_VALUE"""),3425.92966)</f>
        <v>3425.92966</v>
      </c>
    </row>
    <row r="1578">
      <c r="A1578" s="3">
        <f>IFERROR(__xludf.DUMMYFUNCTION("""COMPUTED_VALUE"""),42041.99861111111)</f>
        <v>42041.99861</v>
      </c>
      <c r="B1578" s="1">
        <f>IFERROR(__xludf.DUMMYFUNCTION("""COMPUTED_VALUE"""),3438.44994)</f>
        <v>3438.44994</v>
      </c>
    </row>
    <row r="1579">
      <c r="A1579" s="3">
        <f>IFERROR(__xludf.DUMMYFUNCTION("""COMPUTED_VALUE"""),42044.99861111111)</f>
        <v>42044.99861</v>
      </c>
      <c r="B1579" s="1">
        <f>IFERROR(__xludf.DUMMYFUNCTION("""COMPUTED_VALUE"""),3447.79295)</f>
        <v>3447.79295</v>
      </c>
    </row>
    <row r="1580">
      <c r="A1580" s="3">
        <f>IFERROR(__xludf.DUMMYFUNCTION("""COMPUTED_VALUE"""),42045.99861111111)</f>
        <v>42045.99861</v>
      </c>
      <c r="B1580" s="1">
        <f>IFERROR(__xludf.DUMMYFUNCTION("""COMPUTED_VALUE"""),3464.03486)</f>
        <v>3464.03486</v>
      </c>
    </row>
    <row r="1581">
      <c r="A1581" s="3">
        <f>IFERROR(__xludf.DUMMYFUNCTION("""COMPUTED_VALUE"""),42046.99861111111)</f>
        <v>42046.99861</v>
      </c>
      <c r="B1581" s="1">
        <f>IFERROR(__xludf.DUMMYFUNCTION("""COMPUTED_VALUE"""),3485.2649)</f>
        <v>3485.2649</v>
      </c>
    </row>
    <row r="1582">
      <c r="A1582" s="3">
        <f>IFERROR(__xludf.DUMMYFUNCTION("""COMPUTED_VALUE"""),42047.99861111111)</f>
        <v>42047.99861</v>
      </c>
      <c r="B1582" s="1">
        <f>IFERROR(__xludf.DUMMYFUNCTION("""COMPUTED_VALUE"""),3475.7386)</f>
        <v>3475.7386</v>
      </c>
    </row>
    <row r="1583">
      <c r="A1583" s="3">
        <f>IFERROR(__xludf.DUMMYFUNCTION("""COMPUTED_VALUE"""),42048.99861111111)</f>
        <v>42048.99861</v>
      </c>
      <c r="B1583" s="1">
        <f>IFERROR(__xludf.DUMMYFUNCTION("""COMPUTED_VALUE"""),3450.42586)</f>
        <v>3450.42586</v>
      </c>
    </row>
    <row r="1584">
      <c r="A1584" s="3">
        <f>IFERROR(__xludf.DUMMYFUNCTION("""COMPUTED_VALUE"""),42050.99861111111)</f>
        <v>42050.99861</v>
      </c>
      <c r="B1584" s="1">
        <f>IFERROR(__xludf.DUMMYFUNCTION("""COMPUTED_VALUE"""),3480.561629)</f>
        <v>3480.561629</v>
      </c>
    </row>
    <row r="1585">
      <c r="A1585" s="3">
        <f>IFERROR(__xludf.DUMMYFUNCTION("""COMPUTED_VALUE"""),42051.99861111111)</f>
        <v>42051.99861</v>
      </c>
      <c r="B1585" s="1">
        <f>IFERROR(__xludf.DUMMYFUNCTION("""COMPUTED_VALUE"""),3433.5507)</f>
        <v>3433.5507</v>
      </c>
    </row>
    <row r="1586">
      <c r="A1586" s="3">
        <f>IFERROR(__xludf.DUMMYFUNCTION("""COMPUTED_VALUE"""),42052.99861111111)</f>
        <v>42052.99861</v>
      </c>
      <c r="B1586" s="1">
        <f>IFERROR(__xludf.DUMMYFUNCTION("""COMPUTED_VALUE"""),3476.28296)</f>
        <v>3476.28296</v>
      </c>
    </row>
    <row r="1587">
      <c r="A1587" s="3">
        <f>IFERROR(__xludf.DUMMYFUNCTION("""COMPUTED_VALUE"""),42053.99861111111)</f>
        <v>42053.99861</v>
      </c>
      <c r="B1587" s="1">
        <f>IFERROR(__xludf.DUMMYFUNCTION("""COMPUTED_VALUE"""),3486.6258)</f>
        <v>3486.6258</v>
      </c>
    </row>
    <row r="1588">
      <c r="A1588" s="3">
        <f>IFERROR(__xludf.DUMMYFUNCTION("""COMPUTED_VALUE"""),42054.99861111111)</f>
        <v>42054.99861</v>
      </c>
      <c r="B1588" s="1">
        <f>IFERROR(__xludf.DUMMYFUNCTION("""COMPUTED_VALUE"""),3507.94125)</f>
        <v>3507.94125</v>
      </c>
    </row>
    <row r="1589">
      <c r="A1589" s="3">
        <f>IFERROR(__xludf.DUMMYFUNCTION("""COMPUTED_VALUE"""),42055.99861111111)</f>
        <v>42055.99861</v>
      </c>
      <c r="B1589" s="1">
        <f>IFERROR(__xludf.DUMMYFUNCTION("""COMPUTED_VALUE"""),3487.44234)</f>
        <v>3487.44234</v>
      </c>
    </row>
    <row r="1590">
      <c r="A1590" s="3">
        <f>IFERROR(__xludf.DUMMYFUNCTION("""COMPUTED_VALUE"""),42058.99861111111)</f>
        <v>42058.99861</v>
      </c>
      <c r="B1590" s="1">
        <f>IFERROR(__xludf.DUMMYFUNCTION("""COMPUTED_VALUE"""),3500.2348)</f>
        <v>3500.2348</v>
      </c>
    </row>
    <row r="1591">
      <c r="A1591" s="3">
        <f>IFERROR(__xludf.DUMMYFUNCTION("""COMPUTED_VALUE"""),42059.99861111111)</f>
        <v>42059.99861</v>
      </c>
      <c r="B1591" s="1">
        <f>IFERROR(__xludf.DUMMYFUNCTION("""COMPUTED_VALUE"""),3483.08746)</f>
        <v>3483.08746</v>
      </c>
    </row>
    <row r="1592">
      <c r="A1592" s="3">
        <f>IFERROR(__xludf.DUMMYFUNCTION("""COMPUTED_VALUE"""),42060.99861111111)</f>
        <v>42060.99861</v>
      </c>
      <c r="B1592" s="1">
        <f>IFERROR(__xludf.DUMMYFUNCTION("""COMPUTED_VALUE"""),3498.8739)</f>
        <v>3498.8739</v>
      </c>
    </row>
    <row r="1593">
      <c r="A1593" s="3">
        <f>IFERROR(__xludf.DUMMYFUNCTION("""COMPUTED_VALUE"""),42061.99861111111)</f>
        <v>42061.99861</v>
      </c>
      <c r="B1593" s="1">
        <f>IFERROR(__xludf.DUMMYFUNCTION("""COMPUTED_VALUE"""),3499.41826)</f>
        <v>3499.41826</v>
      </c>
    </row>
    <row r="1594">
      <c r="A1594" s="3">
        <f>IFERROR(__xludf.DUMMYFUNCTION("""COMPUTED_VALUE"""),42062.99861111111)</f>
        <v>42062.99861</v>
      </c>
      <c r="B1594" s="1">
        <f>IFERROR(__xludf.DUMMYFUNCTION("""COMPUTED_VALUE"""),3532.35204)</f>
        <v>3532.35204</v>
      </c>
    </row>
    <row r="1595">
      <c r="A1595" s="3">
        <f>IFERROR(__xludf.DUMMYFUNCTION("""COMPUTED_VALUE"""),42065.99861111111)</f>
        <v>42065.99861</v>
      </c>
      <c r="B1595" s="1">
        <f>IFERROR(__xludf.DUMMYFUNCTION("""COMPUTED_VALUE"""),3536.9791)</f>
        <v>3536.9791</v>
      </c>
    </row>
    <row r="1596">
      <c r="A1596" s="3">
        <f>IFERROR(__xludf.DUMMYFUNCTION("""COMPUTED_VALUE"""),42066.99861111111)</f>
        <v>42066.99861</v>
      </c>
      <c r="B1596" s="1">
        <f>IFERROR(__xludf.DUMMYFUNCTION("""COMPUTED_VALUE"""),3530.1746)</f>
        <v>3530.1746</v>
      </c>
    </row>
    <row r="1597">
      <c r="A1597" s="3">
        <f>IFERROR(__xludf.DUMMYFUNCTION("""COMPUTED_VALUE"""),42067.99861111111)</f>
        <v>42067.99861</v>
      </c>
      <c r="B1597" s="1">
        <f>IFERROR(__xludf.DUMMYFUNCTION("""COMPUTED_VALUE"""),3542.4227)</f>
        <v>3542.4227</v>
      </c>
    </row>
    <row r="1598">
      <c r="A1598" s="3">
        <f>IFERROR(__xludf.DUMMYFUNCTION("""COMPUTED_VALUE"""),42068.99861111111)</f>
        <v>42068.99861</v>
      </c>
      <c r="B1598" s="1">
        <f>IFERROR(__xludf.DUMMYFUNCTION("""COMPUTED_VALUE"""),3512.025)</f>
        <v>3512.025</v>
      </c>
    </row>
    <row r="1599">
      <c r="A1599" s="3">
        <f>IFERROR(__xludf.DUMMYFUNCTION("""COMPUTED_VALUE"""),42069.99861111111)</f>
        <v>42069.99861</v>
      </c>
      <c r="B1599" s="1">
        <f>IFERROR(__xludf.DUMMYFUNCTION("""COMPUTED_VALUE"""),3546.5054)</f>
        <v>3546.5054</v>
      </c>
    </row>
    <row r="1600">
      <c r="A1600" s="3">
        <f>IFERROR(__xludf.DUMMYFUNCTION("""COMPUTED_VALUE"""),42072.99861111111)</f>
        <v>42072.99861</v>
      </c>
      <c r="B1600" s="1">
        <f>IFERROR(__xludf.DUMMYFUNCTION("""COMPUTED_VALUE"""),3558.20914)</f>
        <v>3558.20914</v>
      </c>
    </row>
    <row r="1601">
      <c r="A1601" s="3">
        <f>IFERROR(__xludf.DUMMYFUNCTION("""COMPUTED_VALUE"""),42073.99861111111)</f>
        <v>42073.99861</v>
      </c>
      <c r="B1601" s="1">
        <f>IFERROR(__xludf.DUMMYFUNCTION("""COMPUTED_VALUE"""),3558.3075)</f>
        <v>3558.3075</v>
      </c>
    </row>
    <row r="1602">
      <c r="A1602" s="3">
        <f>IFERROR(__xludf.DUMMYFUNCTION("""COMPUTED_VALUE"""),42074.99861111111)</f>
        <v>42074.99861</v>
      </c>
      <c r="B1602" s="1">
        <f>IFERROR(__xludf.DUMMYFUNCTION("""COMPUTED_VALUE"""),3585.9715)</f>
        <v>3585.9715</v>
      </c>
    </row>
    <row r="1603">
      <c r="A1603" s="3">
        <f>IFERROR(__xludf.DUMMYFUNCTION("""COMPUTED_VALUE"""),42075.99861111111)</f>
        <v>42075.99861</v>
      </c>
      <c r="B1603" s="1">
        <f>IFERROR(__xludf.DUMMYFUNCTION("""COMPUTED_VALUE"""),3585.5325)</f>
        <v>3585.5325</v>
      </c>
    </row>
    <row r="1604">
      <c r="A1604" s="3">
        <f>IFERROR(__xludf.DUMMYFUNCTION("""COMPUTED_VALUE"""),42076.99861111111)</f>
        <v>42076.99861</v>
      </c>
      <c r="B1604" s="1">
        <f>IFERROR(__xludf.DUMMYFUNCTION("""COMPUTED_VALUE"""),3588.6933)</f>
        <v>3588.6933</v>
      </c>
    </row>
    <row r="1605">
      <c r="A1605" s="3">
        <f>IFERROR(__xludf.DUMMYFUNCTION("""COMPUTED_VALUE"""),42077.99861111111)</f>
        <v>42077.99861</v>
      </c>
      <c r="B1605" s="1">
        <f>IFERROR(__xludf.DUMMYFUNCTION("""COMPUTED_VALUE"""),3614.607557)</f>
        <v>3614.607557</v>
      </c>
    </row>
    <row r="1606">
      <c r="A1606" s="3">
        <f>IFERROR(__xludf.DUMMYFUNCTION("""COMPUTED_VALUE"""),42079.99861111111)</f>
        <v>42079.99861</v>
      </c>
      <c r="B1606" s="1">
        <f>IFERROR(__xludf.DUMMYFUNCTION("""COMPUTED_VALUE"""),3591.4151)</f>
        <v>3591.4151</v>
      </c>
    </row>
    <row r="1607">
      <c r="A1607" s="3">
        <f>IFERROR(__xludf.DUMMYFUNCTION("""COMPUTED_VALUE"""),42080.99861111111)</f>
        <v>42080.99861</v>
      </c>
      <c r="B1607" s="1">
        <f>IFERROR(__xludf.DUMMYFUNCTION("""COMPUTED_VALUE"""),3571.0016)</f>
        <v>3571.0016</v>
      </c>
    </row>
    <row r="1608">
      <c r="A1608" s="3">
        <f>IFERROR(__xludf.DUMMYFUNCTION("""COMPUTED_VALUE"""),42081.99861111111)</f>
        <v>42081.99861</v>
      </c>
      <c r="B1608" s="1">
        <f>IFERROR(__xludf.DUMMYFUNCTION("""COMPUTED_VALUE"""),3505.6784)</f>
        <v>3505.6784</v>
      </c>
    </row>
    <row r="1609">
      <c r="A1609" s="3">
        <f>IFERROR(__xludf.DUMMYFUNCTION("""COMPUTED_VALUE"""),42082.99861111111)</f>
        <v>42082.99861</v>
      </c>
      <c r="B1609" s="1">
        <f>IFERROR(__xludf.DUMMYFUNCTION("""COMPUTED_VALUE"""),3554.12644)</f>
        <v>3554.12644</v>
      </c>
    </row>
    <row r="1610">
      <c r="A1610" s="3">
        <f>IFERROR(__xludf.DUMMYFUNCTION("""COMPUTED_VALUE"""),42083.99861111111)</f>
        <v>42083.99861</v>
      </c>
      <c r="B1610" s="1">
        <f>IFERROR(__xludf.DUMMYFUNCTION("""COMPUTED_VALUE"""),3545.1445)</f>
        <v>3545.1445</v>
      </c>
    </row>
    <row r="1611">
      <c r="A1611" s="3">
        <f>IFERROR(__xludf.DUMMYFUNCTION("""COMPUTED_VALUE"""),42086.99861111111)</f>
        <v>42086.99861</v>
      </c>
      <c r="B1611" s="1">
        <f>IFERROR(__xludf.DUMMYFUNCTION("""COMPUTED_VALUE"""),3522.82574)</f>
        <v>3522.82574</v>
      </c>
    </row>
    <row r="1612">
      <c r="A1612" s="3">
        <f>IFERROR(__xludf.DUMMYFUNCTION("""COMPUTED_VALUE"""),42087.99861111111)</f>
        <v>42087.99861</v>
      </c>
      <c r="B1612" s="1">
        <f>IFERROR(__xludf.DUMMYFUNCTION("""COMPUTED_VALUE"""),3512.4829)</f>
        <v>3512.4829</v>
      </c>
    </row>
    <row r="1613">
      <c r="A1613" s="3">
        <f>IFERROR(__xludf.DUMMYFUNCTION("""COMPUTED_VALUE"""),42088.99861111111)</f>
        <v>42088.99861</v>
      </c>
      <c r="B1613" s="1">
        <f>IFERROR(__xludf.DUMMYFUNCTION("""COMPUTED_VALUE"""),3519.2874)</f>
        <v>3519.2874</v>
      </c>
    </row>
    <row r="1614">
      <c r="A1614" s="3">
        <f>IFERROR(__xludf.DUMMYFUNCTION("""COMPUTED_VALUE"""),42089.99861111111)</f>
        <v>42089.99861</v>
      </c>
      <c r="B1614" s="1">
        <f>IFERROR(__xludf.DUMMYFUNCTION("""COMPUTED_VALUE"""),3541.0618)</f>
        <v>3541.0618</v>
      </c>
    </row>
    <row r="1615">
      <c r="A1615" s="3">
        <f>IFERROR(__xludf.DUMMYFUNCTION("""COMPUTED_VALUE"""),42090.99861111111)</f>
        <v>42090.99861</v>
      </c>
      <c r="B1615" s="1">
        <f>IFERROR(__xludf.DUMMYFUNCTION("""COMPUTED_VALUE"""),3547.8663)</f>
        <v>3547.8663</v>
      </c>
    </row>
    <row r="1616">
      <c r="A1616" s="3">
        <f>IFERROR(__xludf.DUMMYFUNCTION("""COMPUTED_VALUE"""),42093.99861111111)</f>
        <v>42093.99861</v>
      </c>
      <c r="B1616" s="1">
        <f>IFERROR(__xludf.DUMMYFUNCTION("""COMPUTED_VALUE"""),3561.88879)</f>
        <v>3561.88879</v>
      </c>
    </row>
    <row r="1617">
      <c r="A1617" s="3">
        <f>IFERROR(__xludf.DUMMYFUNCTION("""COMPUTED_VALUE"""),42094.99861111111)</f>
        <v>42094.99861</v>
      </c>
      <c r="B1617" s="1">
        <f>IFERROR(__xludf.DUMMYFUNCTION("""COMPUTED_VALUE"""),3554.5402)</f>
        <v>3554.5402</v>
      </c>
    </row>
    <row r="1618">
      <c r="A1618" s="3">
        <f>IFERROR(__xludf.DUMMYFUNCTION("""COMPUTED_VALUE"""),42095.99861111111)</f>
        <v>42095.99861</v>
      </c>
      <c r="B1618" s="1">
        <f>IFERROR(__xludf.DUMMYFUNCTION("""COMPUTED_VALUE"""),3526.77886)</f>
        <v>3526.77886</v>
      </c>
    </row>
    <row r="1619">
      <c r="A1619" s="3">
        <f>IFERROR(__xludf.DUMMYFUNCTION("""COMPUTED_VALUE"""),42096.99861111111)</f>
        <v>42096.99861</v>
      </c>
      <c r="B1619" s="1">
        <f>IFERROR(__xludf.DUMMYFUNCTION("""COMPUTED_VALUE"""),3534.12745)</f>
        <v>3534.12745</v>
      </c>
    </row>
    <row r="1620">
      <c r="A1620" s="3">
        <f>IFERROR(__xludf.DUMMYFUNCTION("""COMPUTED_VALUE"""),42097.99861111111)</f>
        <v>42097.99861</v>
      </c>
      <c r="B1620" s="1">
        <f>IFERROR(__xludf.DUMMYFUNCTION("""COMPUTED_VALUE"""),3528.68405)</f>
        <v>3528.68405</v>
      </c>
    </row>
    <row r="1621">
      <c r="A1621" s="3">
        <f>IFERROR(__xludf.DUMMYFUNCTION("""COMPUTED_VALUE"""),42100.99861111111)</f>
        <v>42100.99861</v>
      </c>
      <c r="B1621" s="1">
        <f>IFERROR(__xludf.DUMMYFUNCTION("""COMPUTED_VALUE"""),3523.24065)</f>
        <v>3523.24065</v>
      </c>
    </row>
    <row r="1622">
      <c r="A1622" s="3">
        <f>IFERROR(__xludf.DUMMYFUNCTION("""COMPUTED_VALUE"""),42101.99861111111)</f>
        <v>42101.99861</v>
      </c>
      <c r="B1622" s="1">
        <f>IFERROR(__xludf.DUMMYFUNCTION("""COMPUTED_VALUE"""),3536.9791)</f>
        <v>3536.9791</v>
      </c>
    </row>
    <row r="1623">
      <c r="A1623" s="3">
        <f>IFERROR(__xludf.DUMMYFUNCTION("""COMPUTED_VALUE"""),42102.99861111111)</f>
        <v>42102.99861</v>
      </c>
      <c r="B1623" s="1">
        <f>IFERROR(__xludf.DUMMYFUNCTION("""COMPUTED_VALUE"""),3517.9265)</f>
        <v>3517.9265</v>
      </c>
    </row>
    <row r="1624">
      <c r="A1624" s="3">
        <f>IFERROR(__xludf.DUMMYFUNCTION("""COMPUTED_VALUE"""),42103.99861111111)</f>
        <v>42103.99861</v>
      </c>
      <c r="B1624" s="1">
        <f>IFERROR(__xludf.DUMMYFUNCTION("""COMPUTED_VALUE"""),3520.6483)</f>
        <v>3520.6483</v>
      </c>
    </row>
    <row r="1625">
      <c r="A1625" s="3">
        <f>IFERROR(__xludf.DUMMYFUNCTION("""COMPUTED_VALUE"""),42104.99861111111)</f>
        <v>42104.99861</v>
      </c>
      <c r="B1625" s="1">
        <f>IFERROR(__xludf.DUMMYFUNCTION("""COMPUTED_VALUE"""),3508.4002)</f>
        <v>3508.4002</v>
      </c>
    </row>
    <row r="1626">
      <c r="A1626" s="3">
        <f>IFERROR(__xludf.DUMMYFUNCTION("""COMPUTED_VALUE"""),42107.99861111111)</f>
        <v>42107.99861</v>
      </c>
      <c r="B1626" s="1">
        <f>IFERROR(__xludf.DUMMYFUNCTION("""COMPUTED_VALUE"""),3550.5881)</f>
        <v>3550.5881</v>
      </c>
    </row>
    <row r="1627">
      <c r="A1627" s="3">
        <f>IFERROR(__xludf.DUMMYFUNCTION("""COMPUTED_VALUE"""),42108.99861111111)</f>
        <v>42108.99861</v>
      </c>
      <c r="B1627" s="1">
        <f>IFERROR(__xludf.DUMMYFUNCTION("""COMPUTED_VALUE"""),3532.44375)</f>
        <v>3532.44375</v>
      </c>
    </row>
    <row r="1628">
      <c r="A1628" s="3">
        <f>IFERROR(__xludf.DUMMYFUNCTION("""COMPUTED_VALUE"""),42109.99861111111)</f>
        <v>42109.99861</v>
      </c>
      <c r="B1628" s="1">
        <f>IFERROR(__xludf.DUMMYFUNCTION("""COMPUTED_VALUE"""),3510.30546)</f>
        <v>3510.30546</v>
      </c>
    </row>
    <row r="1629">
      <c r="A1629" s="3">
        <f>IFERROR(__xludf.DUMMYFUNCTION("""COMPUTED_VALUE"""),42110.99861111111)</f>
        <v>42110.99861</v>
      </c>
      <c r="B1629" s="1">
        <f>IFERROR(__xludf.DUMMYFUNCTION("""COMPUTED_VALUE"""),3489.3476)</f>
        <v>3489.3476</v>
      </c>
    </row>
    <row r="1630">
      <c r="A1630" s="3">
        <f>IFERROR(__xludf.DUMMYFUNCTION("""COMPUTED_VALUE"""),42111.99861111111)</f>
        <v>42111.99861</v>
      </c>
      <c r="B1630" s="1">
        <f>IFERROR(__xludf.DUMMYFUNCTION("""COMPUTED_VALUE"""),3483.904)</f>
        <v>3483.904</v>
      </c>
    </row>
    <row r="1631">
      <c r="A1631" s="3">
        <f>IFERROR(__xludf.DUMMYFUNCTION("""COMPUTED_VALUE"""),42112.99861111111)</f>
        <v>42112.99861</v>
      </c>
      <c r="B1631" s="1">
        <f>IFERROR(__xludf.DUMMYFUNCTION("""COMPUTED_VALUE"""),3494.865082)</f>
        <v>3494.865082</v>
      </c>
    </row>
    <row r="1632">
      <c r="A1632" s="3">
        <f>IFERROR(__xludf.DUMMYFUNCTION("""COMPUTED_VALUE"""),42113.99861111111)</f>
        <v>42113.99861</v>
      </c>
      <c r="B1632" s="1">
        <f>IFERROR(__xludf.DUMMYFUNCTION("""COMPUTED_VALUE"""),3507.472066)</f>
        <v>3507.472066</v>
      </c>
    </row>
    <row r="1633">
      <c r="A1633" s="3">
        <f>IFERROR(__xludf.DUMMYFUNCTION("""COMPUTED_VALUE"""),42114.99861111111)</f>
        <v>42114.99861</v>
      </c>
      <c r="B1633" s="1">
        <f>IFERROR(__xludf.DUMMYFUNCTION("""COMPUTED_VALUE"""),3530.1746)</f>
        <v>3530.1746</v>
      </c>
    </row>
    <row r="1634">
      <c r="A1634" s="3">
        <f>IFERROR(__xludf.DUMMYFUNCTION("""COMPUTED_VALUE"""),42115.99861111111)</f>
        <v>42115.99861</v>
      </c>
      <c r="B1634" s="1">
        <f>IFERROR(__xludf.DUMMYFUNCTION("""COMPUTED_VALUE"""),3517.9265)</f>
        <v>3517.9265</v>
      </c>
    </row>
    <row r="1635">
      <c r="A1635" s="3">
        <f>IFERROR(__xludf.DUMMYFUNCTION("""COMPUTED_VALUE"""),42116.99861111111)</f>
        <v>42116.99861</v>
      </c>
      <c r="B1635" s="1">
        <f>IFERROR(__xludf.DUMMYFUNCTION("""COMPUTED_VALUE"""),3512.025)</f>
        <v>3512.025</v>
      </c>
    </row>
    <row r="1636">
      <c r="A1636" s="3">
        <f>IFERROR(__xludf.DUMMYFUNCTION("""COMPUTED_VALUE"""),42117.99861111111)</f>
        <v>42117.99861</v>
      </c>
      <c r="B1636" s="1">
        <f>IFERROR(__xludf.DUMMYFUNCTION("""COMPUTED_VALUE"""),3519.2874)</f>
        <v>3519.2874</v>
      </c>
    </row>
    <row r="1637">
      <c r="A1637" s="3">
        <f>IFERROR(__xludf.DUMMYFUNCTION("""COMPUTED_VALUE"""),42118.99861111111)</f>
        <v>42118.99861</v>
      </c>
      <c r="B1637" s="1">
        <f>IFERROR(__xludf.DUMMYFUNCTION("""COMPUTED_VALUE"""),3522.55356)</f>
        <v>3522.55356</v>
      </c>
    </row>
    <row r="1638">
      <c r="A1638" s="3">
        <f>IFERROR(__xludf.DUMMYFUNCTION("""COMPUTED_VALUE"""),42120.99861111111)</f>
        <v>42120.99861</v>
      </c>
      <c r="B1638" s="1">
        <f>IFERROR(__xludf.DUMMYFUNCTION("""COMPUTED_VALUE"""),3530.218148)</f>
        <v>3530.218148</v>
      </c>
    </row>
    <row r="1639">
      <c r="A1639" s="3">
        <f>IFERROR(__xludf.DUMMYFUNCTION("""COMPUTED_VALUE"""),42121.99861111111)</f>
        <v>42121.99861</v>
      </c>
      <c r="B1639" s="1">
        <f>IFERROR(__xludf.DUMMYFUNCTION("""COMPUTED_VALUE"""),3518.47086)</f>
        <v>3518.47086</v>
      </c>
    </row>
    <row r="1640">
      <c r="A1640" s="3">
        <f>IFERROR(__xludf.DUMMYFUNCTION("""COMPUTED_VALUE"""),42122.99861111111)</f>
        <v>42122.99861</v>
      </c>
      <c r="B1640" s="1">
        <f>IFERROR(__xludf.DUMMYFUNCTION("""COMPUTED_VALUE"""),3520.6483)</f>
        <v>3520.6483</v>
      </c>
    </row>
    <row r="1641">
      <c r="A1641" s="3">
        <f>IFERROR(__xludf.DUMMYFUNCTION("""COMPUTED_VALUE"""),42123.99861111111)</f>
        <v>42123.99861</v>
      </c>
      <c r="B1641" s="1">
        <f>IFERROR(__xludf.DUMMYFUNCTION("""COMPUTED_VALUE"""),3515.2047)</f>
        <v>3515.2047</v>
      </c>
    </row>
    <row r="1642">
      <c r="A1642" s="3">
        <f>IFERROR(__xludf.DUMMYFUNCTION("""COMPUTED_VALUE"""),42124.99861111111)</f>
        <v>42124.99861</v>
      </c>
      <c r="B1642" s="1">
        <f>IFERROR(__xludf.DUMMYFUNCTION("""COMPUTED_VALUE"""),3526.63626)</f>
        <v>3526.63626</v>
      </c>
    </row>
    <row r="1643">
      <c r="A1643" s="3">
        <f>IFERROR(__xludf.DUMMYFUNCTION("""COMPUTED_VALUE"""),42125.99861111111)</f>
        <v>42125.99861</v>
      </c>
      <c r="B1643" s="1">
        <f>IFERROR(__xludf.DUMMYFUNCTION("""COMPUTED_VALUE"""),3531.5355)</f>
        <v>3531.5355</v>
      </c>
    </row>
    <row r="1644">
      <c r="A1644" s="3">
        <f>IFERROR(__xludf.DUMMYFUNCTION("""COMPUTED_VALUE"""),42128.99861111111)</f>
        <v>42128.99861</v>
      </c>
      <c r="B1644" s="1">
        <f>IFERROR(__xludf.DUMMYFUNCTION("""COMPUTED_VALUE"""),3500.2348)</f>
        <v>3500.2348</v>
      </c>
    </row>
    <row r="1645">
      <c r="A1645" s="3">
        <f>IFERROR(__xludf.DUMMYFUNCTION("""COMPUTED_VALUE"""),42129.99861111111)</f>
        <v>42129.99861</v>
      </c>
      <c r="B1645" s="1">
        <f>IFERROR(__xludf.DUMMYFUNCTION("""COMPUTED_VALUE"""),3539.7009)</f>
        <v>3539.7009</v>
      </c>
    </row>
    <row r="1646">
      <c r="A1646" s="3">
        <f>IFERROR(__xludf.DUMMYFUNCTION("""COMPUTED_VALUE"""),42130.99861111111)</f>
        <v>42130.99861</v>
      </c>
      <c r="B1646" s="1">
        <f>IFERROR(__xludf.DUMMYFUNCTION("""COMPUTED_VALUE"""),3539.42872)</f>
        <v>3539.42872</v>
      </c>
    </row>
    <row r="1647">
      <c r="A1647" s="3">
        <f>IFERROR(__xludf.DUMMYFUNCTION("""COMPUTED_VALUE"""),42131.99861111111)</f>
        <v>42131.99861</v>
      </c>
      <c r="B1647" s="1">
        <f>IFERROR(__xludf.DUMMYFUNCTION("""COMPUTED_VALUE"""),3564.1971)</f>
        <v>3564.1971</v>
      </c>
    </row>
    <row r="1648">
      <c r="A1648" s="3">
        <f>IFERROR(__xludf.DUMMYFUNCTION("""COMPUTED_VALUE"""),42132.99861111111)</f>
        <v>42132.99861</v>
      </c>
      <c r="B1648" s="1">
        <f>IFERROR(__xludf.DUMMYFUNCTION("""COMPUTED_VALUE"""),3551.13246)</f>
        <v>3551.13246</v>
      </c>
    </row>
    <row r="1649">
      <c r="A1649" s="3">
        <f>IFERROR(__xludf.DUMMYFUNCTION("""COMPUTED_VALUE"""),42135.99861111111)</f>
        <v>42135.99861</v>
      </c>
      <c r="B1649" s="1">
        <f>IFERROR(__xludf.DUMMYFUNCTION("""COMPUTED_VALUE"""),3584.6106)</f>
        <v>3584.6106</v>
      </c>
    </row>
    <row r="1650">
      <c r="A1650" s="3">
        <f>IFERROR(__xludf.DUMMYFUNCTION("""COMPUTED_VALUE"""),42136.99861111111)</f>
        <v>42136.99861</v>
      </c>
      <c r="B1650" s="1">
        <f>IFERROR(__xludf.DUMMYFUNCTION("""COMPUTED_VALUE"""),3577.8061)</f>
        <v>3577.8061</v>
      </c>
    </row>
    <row r="1651">
      <c r="A1651" s="3">
        <f>IFERROR(__xludf.DUMMYFUNCTION("""COMPUTED_VALUE"""),42137.99861111111)</f>
        <v>42137.99861</v>
      </c>
      <c r="B1651" s="1">
        <f>IFERROR(__xludf.DUMMYFUNCTION("""COMPUTED_VALUE"""),3566.10236)</f>
        <v>3566.10236</v>
      </c>
    </row>
    <row r="1652">
      <c r="A1652" s="3">
        <f>IFERROR(__xludf.DUMMYFUNCTION("""COMPUTED_VALUE"""),42138.99861111111)</f>
        <v>42138.99861</v>
      </c>
      <c r="B1652" s="1">
        <f>IFERROR(__xludf.DUMMYFUNCTION("""COMPUTED_VALUE"""),3541.87834)</f>
        <v>3541.87834</v>
      </c>
    </row>
    <row r="1653">
      <c r="A1653" s="3">
        <f>IFERROR(__xludf.DUMMYFUNCTION("""COMPUTED_VALUE"""),42139.99861111111)</f>
        <v>42139.99861</v>
      </c>
      <c r="B1653" s="1">
        <f>IFERROR(__xludf.DUMMYFUNCTION("""COMPUTED_VALUE"""),3551.13246)</f>
        <v>3551.13246</v>
      </c>
    </row>
    <row r="1654">
      <c r="A1654" s="3">
        <f>IFERROR(__xludf.DUMMYFUNCTION("""COMPUTED_VALUE"""),42142.99861111111)</f>
        <v>42142.99861</v>
      </c>
      <c r="B1654" s="1">
        <f>IFERROR(__xludf.DUMMYFUNCTION("""COMPUTED_VALUE"""),3582.43316)</f>
        <v>3582.43316</v>
      </c>
    </row>
    <row r="1655">
      <c r="A1655" s="3">
        <f>IFERROR(__xludf.DUMMYFUNCTION("""COMPUTED_VALUE"""),42143.99861111111)</f>
        <v>42143.99861</v>
      </c>
      <c r="B1655" s="1">
        <f>IFERROR(__xludf.DUMMYFUNCTION("""COMPUTED_VALUE"""),3584.06624)</f>
        <v>3584.06624</v>
      </c>
    </row>
    <row r="1656">
      <c r="A1656" s="3">
        <f>IFERROR(__xludf.DUMMYFUNCTION("""COMPUTED_VALUE"""),42144.99861111111)</f>
        <v>42144.99861</v>
      </c>
      <c r="B1656" s="1">
        <f>IFERROR(__xludf.DUMMYFUNCTION("""COMPUTED_VALUE"""),3542.4227)</f>
        <v>3542.4227</v>
      </c>
    </row>
    <row r="1657">
      <c r="A1657" s="3">
        <f>IFERROR(__xludf.DUMMYFUNCTION("""COMPUTED_VALUE"""),42145.99861111111)</f>
        <v>42145.99861</v>
      </c>
      <c r="B1657" s="1">
        <f>IFERROR(__xludf.DUMMYFUNCTION("""COMPUTED_VALUE"""),3567.73544)</f>
        <v>3567.73544</v>
      </c>
    </row>
    <row r="1658">
      <c r="A1658" s="3">
        <f>IFERROR(__xludf.DUMMYFUNCTION("""COMPUTED_VALUE"""),42146.99861111111)</f>
        <v>42146.99861</v>
      </c>
      <c r="B1658" s="1">
        <f>IFERROR(__xludf.DUMMYFUNCTION("""COMPUTED_VALUE"""),3576.4452)</f>
        <v>3576.4452</v>
      </c>
    </row>
    <row r="1659">
      <c r="A1659" s="3">
        <f>IFERROR(__xludf.DUMMYFUNCTION("""COMPUTED_VALUE"""),42149.99861111111)</f>
        <v>42149.99861</v>
      </c>
      <c r="B1659" s="1">
        <f>IFERROR(__xludf.DUMMYFUNCTION("""COMPUTED_VALUE"""),3585.42714)</f>
        <v>3585.42714</v>
      </c>
    </row>
    <row r="1660">
      <c r="A1660" s="3">
        <f>IFERROR(__xludf.DUMMYFUNCTION("""COMPUTED_VALUE"""),42150.99861111111)</f>
        <v>42150.99861</v>
      </c>
      <c r="B1660" s="1">
        <f>IFERROR(__xludf.DUMMYFUNCTION("""COMPUTED_VALUE"""),3597.40306)</f>
        <v>3597.40306</v>
      </c>
    </row>
    <row r="1661">
      <c r="A1661" s="3">
        <f>IFERROR(__xludf.DUMMYFUNCTION("""COMPUTED_VALUE"""),42151.99861111111)</f>
        <v>42151.99861</v>
      </c>
      <c r="B1661" s="1">
        <f>IFERROR(__xludf.DUMMYFUNCTION("""COMPUTED_VALUE"""),3584.6106)</f>
        <v>3584.6106</v>
      </c>
    </row>
    <row r="1662">
      <c r="A1662" s="3">
        <f>IFERROR(__xludf.DUMMYFUNCTION("""COMPUTED_VALUE"""),42152.99861111111)</f>
        <v>42152.99861</v>
      </c>
      <c r="B1662" s="1">
        <f>IFERROR(__xludf.DUMMYFUNCTION("""COMPUTED_VALUE"""),3583.2497)</f>
        <v>3583.2497</v>
      </c>
    </row>
    <row r="1663">
      <c r="A1663" s="3">
        <f>IFERROR(__xludf.DUMMYFUNCTION("""COMPUTED_VALUE"""),42153.99861111111)</f>
        <v>42153.99861</v>
      </c>
      <c r="B1663" s="1">
        <f>IFERROR(__xludf.DUMMYFUNCTION("""COMPUTED_VALUE"""),3592.776)</f>
        <v>3592.776</v>
      </c>
    </row>
    <row r="1664">
      <c r="A1664" s="3">
        <f>IFERROR(__xludf.DUMMYFUNCTION("""COMPUTED_VALUE"""),42156.99861111111)</f>
        <v>42156.99861</v>
      </c>
      <c r="B1664" s="1">
        <f>IFERROR(__xludf.DUMMYFUNCTION("""COMPUTED_VALUE"""),3590.433)</f>
        <v>3590.433</v>
      </c>
    </row>
    <row r="1665">
      <c r="A1665" s="3">
        <f>IFERROR(__xludf.DUMMYFUNCTION("""COMPUTED_VALUE"""),42157.99861111111)</f>
        <v>42157.99861</v>
      </c>
      <c r="B1665" s="1">
        <f>IFERROR(__xludf.DUMMYFUNCTION("""COMPUTED_VALUE"""),3579.167)</f>
        <v>3579.167</v>
      </c>
    </row>
    <row r="1666">
      <c r="A1666" s="3">
        <f>IFERROR(__xludf.DUMMYFUNCTION("""COMPUTED_VALUE"""),42158.99861111111)</f>
        <v>42158.99861</v>
      </c>
      <c r="B1666" s="1">
        <f>IFERROR(__xludf.DUMMYFUNCTION("""COMPUTED_VALUE"""),3600.9414)</f>
        <v>3600.9414</v>
      </c>
    </row>
    <row r="1667">
      <c r="A1667" s="3">
        <f>IFERROR(__xludf.DUMMYFUNCTION("""COMPUTED_VALUE"""),42159.99861111111)</f>
        <v>42159.99861</v>
      </c>
      <c r="B1667" s="1">
        <f>IFERROR(__xludf.DUMMYFUNCTION("""COMPUTED_VALUE"""),3613.58775)</f>
        <v>3613.58775</v>
      </c>
    </row>
    <row r="1668">
      <c r="A1668" s="3">
        <f>IFERROR(__xludf.DUMMYFUNCTION("""COMPUTED_VALUE"""),42160.99861111111)</f>
        <v>42160.99861</v>
      </c>
      <c r="B1668" s="1">
        <f>IFERROR(__xludf.DUMMYFUNCTION("""COMPUTED_VALUE"""),3643.94584)</f>
        <v>3643.94584</v>
      </c>
    </row>
    <row r="1669">
      <c r="A1669" s="3">
        <f>IFERROR(__xludf.DUMMYFUNCTION("""COMPUTED_VALUE"""),42163.99861111111)</f>
        <v>42163.99861</v>
      </c>
      <c r="B1669" s="1">
        <f>IFERROR(__xludf.DUMMYFUNCTION("""COMPUTED_VALUE"""),3622.7158)</f>
        <v>3622.7158</v>
      </c>
    </row>
    <row r="1670">
      <c r="A1670" s="3">
        <f>IFERROR(__xludf.DUMMYFUNCTION("""COMPUTED_VALUE"""),42164.99861111111)</f>
        <v>42164.99861</v>
      </c>
      <c r="B1670" s="1">
        <f>IFERROR(__xludf.DUMMYFUNCTION("""COMPUTED_VALUE"""),3632.2421)</f>
        <v>3632.2421</v>
      </c>
    </row>
    <row r="1671">
      <c r="A1671" s="3">
        <f>IFERROR(__xludf.DUMMYFUNCTION("""COMPUTED_VALUE"""),42165.99861111111)</f>
        <v>42165.99861</v>
      </c>
      <c r="B1671" s="1">
        <f>IFERROR(__xludf.DUMMYFUNCTION("""COMPUTED_VALUE"""),3595.06125)</f>
        <v>3595.06125</v>
      </c>
    </row>
    <row r="1672">
      <c r="A1672" s="3">
        <f>IFERROR(__xludf.DUMMYFUNCTION("""COMPUTED_VALUE"""),42166.99861111111)</f>
        <v>42166.99861</v>
      </c>
      <c r="B1672" s="1">
        <f>IFERROR(__xludf.DUMMYFUNCTION("""COMPUTED_VALUE"""),3601.0737)</f>
        <v>3601.0737</v>
      </c>
    </row>
    <row r="1673">
      <c r="A1673" s="3">
        <f>IFERROR(__xludf.DUMMYFUNCTION("""COMPUTED_VALUE"""),42167.99861111111)</f>
        <v>42167.99861</v>
      </c>
      <c r="B1673" s="1">
        <f>IFERROR(__xludf.DUMMYFUNCTION("""COMPUTED_VALUE"""),3624.0767)</f>
        <v>3624.0767</v>
      </c>
    </row>
    <row r="1674">
      <c r="A1674" s="3">
        <f>IFERROR(__xludf.DUMMYFUNCTION("""COMPUTED_VALUE"""),42170.99861111111)</f>
        <v>42170.99861</v>
      </c>
      <c r="B1674" s="1">
        <f>IFERROR(__xludf.DUMMYFUNCTION("""COMPUTED_VALUE"""),3625.4376)</f>
        <v>3625.4376</v>
      </c>
    </row>
    <row r="1675">
      <c r="A1675" s="3">
        <f>IFERROR(__xludf.DUMMYFUNCTION("""COMPUTED_VALUE"""),42171.99861111111)</f>
        <v>42171.99861</v>
      </c>
      <c r="B1675" s="1">
        <f>IFERROR(__xludf.DUMMYFUNCTION("""COMPUTED_VALUE"""),3631.815)</f>
        <v>3631.815</v>
      </c>
    </row>
    <row r="1676">
      <c r="A1676" s="3">
        <f>IFERROR(__xludf.DUMMYFUNCTION("""COMPUTED_VALUE"""),42172.99861111111)</f>
        <v>42172.99861</v>
      </c>
      <c r="B1676" s="1">
        <f>IFERROR(__xludf.DUMMYFUNCTION("""COMPUTED_VALUE"""),3628.1594)</f>
        <v>3628.1594</v>
      </c>
    </row>
    <row r="1677">
      <c r="A1677" s="3">
        <f>IFERROR(__xludf.DUMMYFUNCTION("""COMPUTED_VALUE"""),42173.99861111111)</f>
        <v>42173.99861</v>
      </c>
      <c r="B1677" s="1">
        <f>IFERROR(__xludf.DUMMYFUNCTION("""COMPUTED_VALUE"""),3617.2722)</f>
        <v>3617.2722</v>
      </c>
    </row>
    <row r="1678">
      <c r="A1678" s="3">
        <f>IFERROR(__xludf.DUMMYFUNCTION("""COMPUTED_VALUE"""),42174.99861111111)</f>
        <v>42174.99861</v>
      </c>
      <c r="B1678" s="1">
        <f>IFERROR(__xludf.DUMMYFUNCTION("""COMPUTED_VALUE"""),3622.8489)</f>
        <v>3622.8489</v>
      </c>
    </row>
    <row r="1679">
      <c r="A1679" s="3">
        <f>IFERROR(__xludf.DUMMYFUNCTION("""COMPUTED_VALUE"""),42177.99861111111)</f>
        <v>42177.99861</v>
      </c>
      <c r="B1679" s="1">
        <f>IFERROR(__xludf.DUMMYFUNCTION("""COMPUTED_VALUE"""),3620.8044)</f>
        <v>3620.8044</v>
      </c>
    </row>
    <row r="1680">
      <c r="A1680" s="3">
        <f>IFERROR(__xludf.DUMMYFUNCTION("""COMPUTED_VALUE"""),42178.99861111111)</f>
        <v>42178.99861</v>
      </c>
      <c r="B1680" s="1">
        <f>IFERROR(__xludf.DUMMYFUNCTION("""COMPUTED_VALUE"""),3606.385)</f>
        <v>3606.385</v>
      </c>
    </row>
    <row r="1681">
      <c r="A1681" s="3">
        <f>IFERROR(__xludf.DUMMYFUNCTION("""COMPUTED_VALUE"""),42179.99861111111)</f>
        <v>42179.99861</v>
      </c>
      <c r="B1681" s="1">
        <f>IFERROR(__xludf.DUMMYFUNCTION("""COMPUTED_VALUE"""),3617.2722)</f>
        <v>3617.2722</v>
      </c>
    </row>
    <row r="1682">
      <c r="A1682" s="3">
        <f>IFERROR(__xludf.DUMMYFUNCTION("""COMPUTED_VALUE"""),42180.99861111111)</f>
        <v>42180.99861</v>
      </c>
      <c r="B1682" s="1">
        <f>IFERROR(__xludf.DUMMYFUNCTION("""COMPUTED_VALUE"""),3620.94357)</f>
        <v>3620.94357</v>
      </c>
    </row>
    <row r="1683">
      <c r="A1683" s="3">
        <f>IFERROR(__xludf.DUMMYFUNCTION("""COMPUTED_VALUE"""),42181.99861111111)</f>
        <v>42181.99861</v>
      </c>
      <c r="B1683" s="1">
        <f>IFERROR(__xludf.DUMMYFUNCTION("""COMPUTED_VALUE"""),3626.9145)</f>
        <v>3626.9145</v>
      </c>
    </row>
    <row r="1684">
      <c r="A1684" s="3">
        <f>IFERROR(__xludf.DUMMYFUNCTION("""COMPUTED_VALUE"""),42184.99861111111)</f>
        <v>42184.99861</v>
      </c>
      <c r="B1684" s="1">
        <f>IFERROR(__xludf.DUMMYFUNCTION("""COMPUTED_VALUE"""),3625.98196)</f>
        <v>3625.98196</v>
      </c>
    </row>
    <row r="1685">
      <c r="A1685" s="3">
        <f>IFERROR(__xludf.DUMMYFUNCTION("""COMPUTED_VALUE"""),42185.99861111111)</f>
        <v>42185.99861</v>
      </c>
      <c r="B1685" s="1">
        <f>IFERROR(__xludf.DUMMYFUNCTION("""COMPUTED_VALUE"""),3631.55898)</f>
        <v>3631.55898</v>
      </c>
    </row>
    <row r="1686">
      <c r="A1686" s="3">
        <f>IFERROR(__xludf.DUMMYFUNCTION("""COMPUTED_VALUE"""),42186.99861111111)</f>
        <v>42186.99861</v>
      </c>
      <c r="B1686" s="1">
        <f>IFERROR(__xludf.DUMMYFUNCTION("""COMPUTED_VALUE"""),3624.89324)</f>
        <v>3624.89324</v>
      </c>
    </row>
    <row r="1687">
      <c r="A1687" s="3">
        <f>IFERROR(__xludf.DUMMYFUNCTION("""COMPUTED_VALUE"""),42187.99861111111)</f>
        <v>42187.99861</v>
      </c>
      <c r="B1687" s="1">
        <f>IFERROR(__xludf.DUMMYFUNCTION("""COMPUTED_VALUE"""),3609.1068)</f>
        <v>3609.1068</v>
      </c>
    </row>
    <row r="1688">
      <c r="A1688" s="3">
        <f>IFERROR(__xludf.DUMMYFUNCTION("""COMPUTED_VALUE"""),42188.99861111111)</f>
        <v>42188.99861</v>
      </c>
      <c r="B1688" s="1">
        <f>IFERROR(__xludf.DUMMYFUNCTION("""COMPUTED_VALUE"""),3631.815)</f>
        <v>3631.815</v>
      </c>
    </row>
    <row r="1689">
      <c r="A1689" s="3">
        <f>IFERROR(__xludf.DUMMYFUNCTION("""COMPUTED_VALUE"""),42191.99861111111)</f>
        <v>42191.99861</v>
      </c>
      <c r="B1689" s="1">
        <f>IFERROR(__xludf.DUMMYFUNCTION("""COMPUTED_VALUE"""),3630.8812)</f>
        <v>3630.8812</v>
      </c>
    </row>
    <row r="1690">
      <c r="A1690" s="3">
        <f>IFERROR(__xludf.DUMMYFUNCTION("""COMPUTED_VALUE"""),42192.99861111111)</f>
        <v>42192.99861</v>
      </c>
      <c r="B1690" s="1">
        <f>IFERROR(__xludf.DUMMYFUNCTION("""COMPUTED_VALUE"""),3626.7985)</f>
        <v>3626.7985</v>
      </c>
    </row>
    <row r="1691">
      <c r="A1691" s="3">
        <f>IFERROR(__xludf.DUMMYFUNCTION("""COMPUTED_VALUE"""),42193.99861111111)</f>
        <v>42193.99861</v>
      </c>
      <c r="B1691" s="1">
        <f>IFERROR(__xludf.DUMMYFUNCTION("""COMPUTED_VALUE"""),3630.45375)</f>
        <v>3630.45375</v>
      </c>
    </row>
    <row r="1692">
      <c r="A1692" s="3">
        <f>IFERROR(__xludf.DUMMYFUNCTION("""COMPUTED_VALUE"""),42194.99861111111)</f>
        <v>42194.99861</v>
      </c>
      <c r="B1692" s="1">
        <f>IFERROR(__xludf.DUMMYFUNCTION("""COMPUTED_VALUE"""),3620.81054)</f>
        <v>3620.81054</v>
      </c>
    </row>
    <row r="1693">
      <c r="A1693" s="3">
        <f>IFERROR(__xludf.DUMMYFUNCTION("""COMPUTED_VALUE"""),42195.99861111111)</f>
        <v>42195.99861</v>
      </c>
      <c r="B1693" s="1">
        <f>IFERROR(__xludf.DUMMYFUNCTION("""COMPUTED_VALUE"""),3614.00604)</f>
        <v>3614.00604</v>
      </c>
    </row>
    <row r="1694">
      <c r="A1694" s="3">
        <f>IFERROR(__xludf.DUMMYFUNCTION("""COMPUTED_VALUE"""),42198.99861111111)</f>
        <v>42198.99861</v>
      </c>
      <c r="B1694" s="1">
        <f>IFERROR(__xludf.DUMMYFUNCTION("""COMPUTED_VALUE"""),3614.5504)</f>
        <v>3614.5504</v>
      </c>
    </row>
    <row r="1695">
      <c r="A1695" s="3">
        <f>IFERROR(__xludf.DUMMYFUNCTION("""COMPUTED_VALUE"""),42199.99861111111)</f>
        <v>42199.99861</v>
      </c>
      <c r="B1695" s="1">
        <f>IFERROR(__xludf.DUMMYFUNCTION("""COMPUTED_VALUE"""),3621.3549)</f>
        <v>3621.3549</v>
      </c>
    </row>
    <row r="1696">
      <c r="A1696" s="3">
        <f>IFERROR(__xludf.DUMMYFUNCTION("""COMPUTED_VALUE"""),42200.99861111111)</f>
        <v>42200.99861</v>
      </c>
      <c r="B1696" s="1">
        <f>IFERROR(__xludf.DUMMYFUNCTION("""COMPUTED_VALUE"""),3630.33684)</f>
        <v>3630.33684</v>
      </c>
    </row>
    <row r="1697">
      <c r="A1697" s="3">
        <f>IFERROR(__xludf.DUMMYFUNCTION("""COMPUTED_VALUE"""),42201.99861111111)</f>
        <v>42201.99861</v>
      </c>
      <c r="B1697" s="1">
        <f>IFERROR(__xludf.DUMMYFUNCTION("""COMPUTED_VALUE"""),3628.43158)</f>
        <v>3628.43158</v>
      </c>
    </row>
    <row r="1698">
      <c r="A1698" s="3">
        <f>IFERROR(__xludf.DUMMYFUNCTION("""COMPUTED_VALUE"""),42202.99861111111)</f>
        <v>42202.99861</v>
      </c>
      <c r="B1698" s="1">
        <f>IFERROR(__xludf.DUMMYFUNCTION("""COMPUTED_VALUE"""),3633.603)</f>
        <v>3633.603</v>
      </c>
    </row>
    <row r="1699">
      <c r="A1699" s="3">
        <f>IFERROR(__xludf.DUMMYFUNCTION("""COMPUTED_VALUE"""),42205.99861111111)</f>
        <v>42205.99861</v>
      </c>
      <c r="B1699" s="1">
        <f>IFERROR(__xludf.DUMMYFUNCTION("""COMPUTED_VALUE"""),3630.8812)</f>
        <v>3630.8812</v>
      </c>
    </row>
    <row r="1700">
      <c r="A1700" s="3">
        <f>IFERROR(__xludf.DUMMYFUNCTION("""COMPUTED_VALUE"""),42206.99861111111)</f>
        <v>42206.99861</v>
      </c>
      <c r="B1700" s="1">
        <f>IFERROR(__xludf.DUMMYFUNCTION("""COMPUTED_VALUE"""),3629.2536)</f>
        <v>3629.2536</v>
      </c>
    </row>
    <row r="1701">
      <c r="A1701" s="3">
        <f>IFERROR(__xludf.DUMMYFUNCTION("""COMPUTED_VALUE"""),42207.99861111111)</f>
        <v>42207.99861</v>
      </c>
      <c r="B1701" s="1">
        <f>IFERROR(__xludf.DUMMYFUNCTION("""COMPUTED_VALUE"""),3647.212)</f>
        <v>3647.212</v>
      </c>
    </row>
    <row r="1702">
      <c r="A1702" s="3">
        <f>IFERROR(__xludf.DUMMYFUNCTION("""COMPUTED_VALUE"""),42208.99861111111)</f>
        <v>42208.99861</v>
      </c>
      <c r="B1702" s="1">
        <f>IFERROR(__xludf.DUMMYFUNCTION("""COMPUTED_VALUE"""),3655.3774)</f>
        <v>3655.3774</v>
      </c>
    </row>
    <row r="1703">
      <c r="A1703" s="3">
        <f>IFERROR(__xludf.DUMMYFUNCTION("""COMPUTED_VALUE"""),42209.99861111111)</f>
        <v>42209.99861</v>
      </c>
      <c r="B1703" s="1">
        <f>IFERROR(__xludf.DUMMYFUNCTION("""COMPUTED_VALUE"""),3655.3774)</f>
        <v>3655.3774</v>
      </c>
    </row>
    <row r="1704">
      <c r="A1704" s="3">
        <f>IFERROR(__xludf.DUMMYFUNCTION("""COMPUTED_VALUE"""),42212.99861111111)</f>
        <v>42212.99861</v>
      </c>
      <c r="B1704" s="1">
        <f>IFERROR(__xludf.DUMMYFUNCTION("""COMPUTED_VALUE"""),3664.9037)</f>
        <v>3664.9037</v>
      </c>
    </row>
    <row r="1705">
      <c r="A1705" s="3">
        <f>IFERROR(__xludf.DUMMYFUNCTION("""COMPUTED_VALUE"""),42213.99861111111)</f>
        <v>42213.99861</v>
      </c>
      <c r="B1705" s="1">
        <f>IFERROR(__xludf.DUMMYFUNCTION("""COMPUTED_VALUE"""),3617.2722)</f>
        <v>3617.2722</v>
      </c>
    </row>
    <row r="1706">
      <c r="A1706" s="3">
        <f>IFERROR(__xludf.DUMMYFUNCTION("""COMPUTED_VALUE"""),42214.99861111111)</f>
        <v>42214.99861</v>
      </c>
      <c r="B1706" s="1">
        <f>IFERROR(__xludf.DUMMYFUNCTION("""COMPUTED_VALUE"""),3664.485)</f>
        <v>3664.485</v>
      </c>
    </row>
    <row r="1707">
      <c r="A1707" s="3">
        <f>IFERROR(__xludf.DUMMYFUNCTION("""COMPUTED_VALUE"""),42215.99861111111)</f>
        <v>42215.99861</v>
      </c>
      <c r="B1707" s="1">
        <f>IFERROR(__xludf.DUMMYFUNCTION("""COMPUTED_VALUE"""),3672.25256)</f>
        <v>3672.25256</v>
      </c>
    </row>
    <row r="1708">
      <c r="A1708" s="3">
        <f>IFERROR(__xludf.DUMMYFUNCTION("""COMPUTED_VALUE"""),42216.99861111111)</f>
        <v>42216.99861</v>
      </c>
      <c r="B1708" s="1">
        <f>IFERROR(__xludf.DUMMYFUNCTION("""COMPUTED_VALUE"""),3654.95625)</f>
        <v>3654.95625</v>
      </c>
    </row>
    <row r="1709">
      <c r="A1709" s="3">
        <f>IFERROR(__xludf.DUMMYFUNCTION("""COMPUTED_VALUE"""),42219.99861111111)</f>
        <v>42219.99861</v>
      </c>
      <c r="B1709" s="1">
        <f>IFERROR(__xludf.DUMMYFUNCTION("""COMPUTED_VALUE"""),3658.0992)</f>
        <v>3658.0992</v>
      </c>
    </row>
    <row r="1710">
      <c r="A1710" s="3">
        <f>IFERROR(__xludf.DUMMYFUNCTION("""COMPUTED_VALUE"""),42220.99861111111)</f>
        <v>42220.99861</v>
      </c>
      <c r="B1710" s="1">
        <f>IFERROR(__xludf.DUMMYFUNCTION("""COMPUTED_VALUE"""),3670.3473)</f>
        <v>3670.3473</v>
      </c>
    </row>
    <row r="1711">
      <c r="A1711" s="3">
        <f>IFERROR(__xludf.DUMMYFUNCTION("""COMPUTED_VALUE"""),42221.99861111111)</f>
        <v>42221.99861</v>
      </c>
      <c r="B1711" s="1">
        <f>IFERROR(__xludf.DUMMYFUNCTION("""COMPUTED_VALUE"""),3679.05706)</f>
        <v>3679.05706</v>
      </c>
    </row>
    <row r="1712">
      <c r="A1712" s="3">
        <f>IFERROR(__xludf.DUMMYFUNCTION("""COMPUTED_VALUE"""),42222.99861111111)</f>
        <v>42222.99861</v>
      </c>
      <c r="B1712" s="1">
        <f>IFERROR(__xludf.DUMMYFUNCTION("""COMPUTED_VALUE"""),3664.9037)</f>
        <v>3664.9037</v>
      </c>
    </row>
    <row r="1713">
      <c r="A1713" s="3">
        <f>IFERROR(__xludf.DUMMYFUNCTION("""COMPUTED_VALUE"""),42223.99861111111)</f>
        <v>42223.99861</v>
      </c>
      <c r="B1713" s="1">
        <f>IFERROR(__xludf.DUMMYFUNCTION("""COMPUTED_VALUE"""),3670.74675)</f>
        <v>3670.74675</v>
      </c>
    </row>
    <row r="1714">
      <c r="A1714" s="3">
        <f>IFERROR(__xludf.DUMMYFUNCTION("""COMPUTED_VALUE"""),42226.99861111111)</f>
        <v>42226.99861</v>
      </c>
      <c r="B1714" s="1">
        <f>IFERROR(__xludf.DUMMYFUNCTION("""COMPUTED_VALUE"""),3665.44806)</f>
        <v>3665.44806</v>
      </c>
    </row>
    <row r="1715">
      <c r="A1715" s="3">
        <f>IFERROR(__xludf.DUMMYFUNCTION("""COMPUTED_VALUE"""),42227.99861111111)</f>
        <v>42227.99861</v>
      </c>
      <c r="B1715" s="1">
        <f>IFERROR(__xludf.DUMMYFUNCTION("""COMPUTED_VALUE"""),3703.96125)</f>
        <v>3703.96125</v>
      </c>
    </row>
    <row r="1716">
      <c r="A1716" s="3">
        <f>IFERROR(__xludf.DUMMYFUNCTION("""COMPUTED_VALUE"""),42228.99861111111)</f>
        <v>42228.99861</v>
      </c>
      <c r="B1716" s="1">
        <f>IFERROR(__xludf.DUMMYFUNCTION("""COMPUTED_VALUE"""),3741.1141)</f>
        <v>3741.1141</v>
      </c>
    </row>
    <row r="1717">
      <c r="A1717" s="3">
        <f>IFERROR(__xludf.DUMMYFUNCTION("""COMPUTED_VALUE"""),42229.99861111111)</f>
        <v>42229.99861</v>
      </c>
      <c r="B1717" s="1">
        <f>IFERROR(__xludf.DUMMYFUNCTION("""COMPUTED_VALUE"""),3722.0615)</f>
        <v>3722.0615</v>
      </c>
    </row>
    <row r="1718">
      <c r="A1718" s="3">
        <f>IFERROR(__xludf.DUMMYFUNCTION("""COMPUTED_VALUE"""),42230.99861111111)</f>
        <v>42230.99861</v>
      </c>
      <c r="B1718" s="1">
        <f>IFERROR(__xludf.DUMMYFUNCTION("""COMPUTED_VALUE"""),3733.223)</f>
        <v>3733.223</v>
      </c>
    </row>
    <row r="1719">
      <c r="A1719" s="3">
        <f>IFERROR(__xludf.DUMMYFUNCTION("""COMPUTED_VALUE"""),42233.99861111111)</f>
        <v>42233.99861</v>
      </c>
      <c r="B1719" s="1">
        <f>IFERROR(__xludf.DUMMYFUNCTION("""COMPUTED_VALUE"""),3764.2494)</f>
        <v>3764.2494</v>
      </c>
    </row>
    <row r="1720">
      <c r="A1720" s="3">
        <f>IFERROR(__xludf.DUMMYFUNCTION("""COMPUTED_VALUE"""),42234.99861111111)</f>
        <v>42234.99861</v>
      </c>
      <c r="B1720" s="1">
        <f>IFERROR(__xludf.DUMMYFUNCTION("""COMPUTED_VALUE"""),3763.70504)</f>
        <v>3763.70504</v>
      </c>
    </row>
    <row r="1721">
      <c r="A1721" s="3">
        <f>IFERROR(__xludf.DUMMYFUNCTION("""COMPUTED_VALUE"""),42235.99861111111)</f>
        <v>42235.99861</v>
      </c>
      <c r="B1721" s="1">
        <f>IFERROR(__xludf.DUMMYFUNCTION("""COMPUTED_VALUE"""),3741.93064)</f>
        <v>3741.93064</v>
      </c>
    </row>
    <row r="1722">
      <c r="A1722" s="3">
        <f>IFERROR(__xludf.DUMMYFUNCTION("""COMPUTED_VALUE"""),42236.99861111111)</f>
        <v>42236.99861</v>
      </c>
      <c r="B1722" s="1">
        <f>IFERROR(__xludf.DUMMYFUNCTION("""COMPUTED_VALUE"""),3779.2193)</f>
        <v>3779.2193</v>
      </c>
    </row>
    <row r="1723">
      <c r="A1723" s="3">
        <f>IFERROR(__xludf.DUMMYFUNCTION("""COMPUTED_VALUE"""),42237.99861111111)</f>
        <v>42237.99861</v>
      </c>
      <c r="B1723" s="1">
        <f>IFERROR(__xludf.DUMMYFUNCTION("""COMPUTED_VALUE"""),3760.1667)</f>
        <v>3760.1667</v>
      </c>
    </row>
    <row r="1724">
      <c r="A1724" s="3">
        <f>IFERROR(__xludf.DUMMYFUNCTION("""COMPUTED_VALUE"""),42240.99861111111)</f>
        <v>42240.99861</v>
      </c>
      <c r="B1724" s="1">
        <f>IFERROR(__xludf.DUMMYFUNCTION("""COMPUTED_VALUE"""),3787.3847)</f>
        <v>3787.3847</v>
      </c>
    </row>
    <row r="1725">
      <c r="A1725" s="3">
        <f>IFERROR(__xludf.DUMMYFUNCTION("""COMPUTED_VALUE"""),42241.99861111111)</f>
        <v>42241.99861</v>
      </c>
      <c r="B1725" s="1">
        <f>IFERROR(__xludf.DUMMYFUNCTION("""COMPUTED_VALUE"""),3755.946)</f>
        <v>3755.946</v>
      </c>
    </row>
    <row r="1726">
      <c r="A1726" s="3">
        <f>IFERROR(__xludf.DUMMYFUNCTION("""COMPUTED_VALUE"""),42242.99861111111)</f>
        <v>42242.99861</v>
      </c>
      <c r="B1726" s="1">
        <f>IFERROR(__xludf.DUMMYFUNCTION("""COMPUTED_VALUE"""),3799.6328)</f>
        <v>3799.6328</v>
      </c>
    </row>
    <row r="1727">
      <c r="A1727" s="3">
        <f>IFERROR(__xludf.DUMMYFUNCTION("""COMPUTED_VALUE"""),42243.99861111111)</f>
        <v>42243.99861</v>
      </c>
      <c r="B1727" s="1">
        <f>IFERROR(__xludf.DUMMYFUNCTION("""COMPUTED_VALUE"""),3754.86105)</f>
        <v>3754.86105</v>
      </c>
    </row>
    <row r="1728">
      <c r="A1728" s="3">
        <f>IFERROR(__xludf.DUMMYFUNCTION("""COMPUTED_VALUE"""),42244.99861111111)</f>
        <v>42244.99861</v>
      </c>
      <c r="B1728" s="1">
        <f>IFERROR(__xludf.DUMMYFUNCTION("""COMPUTED_VALUE"""),3786.1629)</f>
        <v>3786.1629</v>
      </c>
    </row>
    <row r="1729">
      <c r="A1729" s="3">
        <f>IFERROR(__xludf.DUMMYFUNCTION("""COMPUTED_VALUE"""),42247.99861111111)</f>
        <v>42247.99861</v>
      </c>
      <c r="B1729" s="1">
        <f>IFERROR(__xludf.DUMMYFUNCTION("""COMPUTED_VALUE"""),3810.52)</f>
        <v>3810.52</v>
      </c>
    </row>
    <row r="1730">
      <c r="A1730" s="3">
        <f>IFERROR(__xludf.DUMMYFUNCTION("""COMPUTED_VALUE"""),42248.99861111111)</f>
        <v>42248.99861</v>
      </c>
      <c r="B1730" s="1">
        <f>IFERROR(__xludf.DUMMYFUNCTION("""COMPUTED_VALUE"""),3807.39372)</f>
        <v>3807.39372</v>
      </c>
    </row>
    <row r="1731">
      <c r="A1731" s="3">
        <f>IFERROR(__xludf.DUMMYFUNCTION("""COMPUTED_VALUE"""),42249.99861111111)</f>
        <v>42249.99861</v>
      </c>
      <c r="B1731" s="1">
        <f>IFERROR(__xludf.DUMMYFUNCTION("""COMPUTED_VALUE"""),3824.129)</f>
        <v>3824.129</v>
      </c>
    </row>
    <row r="1732">
      <c r="A1732" s="3">
        <f>IFERROR(__xludf.DUMMYFUNCTION("""COMPUTED_VALUE"""),42250.99861111111)</f>
        <v>42250.99861</v>
      </c>
      <c r="B1732" s="1">
        <f>IFERROR(__xludf.DUMMYFUNCTION("""COMPUTED_VALUE"""),3828.35235)</f>
        <v>3828.35235</v>
      </c>
    </row>
    <row r="1733">
      <c r="A1733" s="3">
        <f>IFERROR(__xludf.DUMMYFUNCTION("""COMPUTED_VALUE"""),42251.99861111111)</f>
        <v>42251.99861</v>
      </c>
      <c r="B1733" s="1">
        <f>IFERROR(__xludf.DUMMYFUNCTION("""COMPUTED_VALUE"""),3862.3761)</f>
        <v>3862.3761</v>
      </c>
    </row>
    <row r="1734">
      <c r="A1734" s="3">
        <f>IFERROR(__xludf.DUMMYFUNCTION("""COMPUTED_VALUE"""),42254.99861111111)</f>
        <v>42254.99861</v>
      </c>
      <c r="B1734" s="1">
        <f>IFERROR(__xludf.DUMMYFUNCTION("""COMPUTED_VALUE"""),3885.3695)</f>
        <v>3885.3695</v>
      </c>
    </row>
    <row r="1735">
      <c r="A1735" s="3">
        <f>IFERROR(__xludf.DUMMYFUNCTION("""COMPUTED_VALUE"""),42255.99861111111)</f>
        <v>42255.99861</v>
      </c>
      <c r="B1735" s="1">
        <f>IFERROR(__xludf.DUMMYFUNCTION("""COMPUTED_VALUE"""),3854.0688)</f>
        <v>3854.0688</v>
      </c>
    </row>
    <row r="1736">
      <c r="A1736" s="3">
        <f>IFERROR(__xludf.DUMMYFUNCTION("""COMPUTED_VALUE"""),42256.99861111111)</f>
        <v>42256.99861</v>
      </c>
      <c r="B1736" s="1">
        <f>IFERROR(__xludf.DUMMYFUNCTION("""COMPUTED_VALUE"""),3878.9925)</f>
        <v>3878.9925</v>
      </c>
    </row>
    <row r="1737">
      <c r="A1737" s="3">
        <f>IFERROR(__xludf.DUMMYFUNCTION("""COMPUTED_VALUE"""),42257.99861111111)</f>
        <v>42257.99861</v>
      </c>
      <c r="B1737" s="1">
        <f>IFERROR(__xludf.DUMMYFUNCTION("""COMPUTED_VALUE"""),3874.4823)</f>
        <v>3874.4823</v>
      </c>
    </row>
    <row r="1738">
      <c r="A1738" s="3">
        <f>IFERROR(__xludf.DUMMYFUNCTION("""COMPUTED_VALUE"""),42258.99861111111)</f>
        <v>42258.99861</v>
      </c>
      <c r="B1738" s="1">
        <f>IFERROR(__xludf.DUMMYFUNCTION("""COMPUTED_VALUE"""),3884.294)</f>
        <v>3884.294</v>
      </c>
    </row>
    <row r="1739">
      <c r="A1739" s="3">
        <f>IFERROR(__xludf.DUMMYFUNCTION("""COMPUTED_VALUE"""),42261.99861111111)</f>
        <v>42261.99861</v>
      </c>
      <c r="B1739" s="1">
        <f>IFERROR(__xludf.DUMMYFUNCTION("""COMPUTED_VALUE"""),3895.8975)</f>
        <v>3895.8975</v>
      </c>
    </row>
    <row r="1740">
      <c r="A1740" s="3">
        <f>IFERROR(__xludf.DUMMYFUNCTION("""COMPUTED_VALUE"""),42262.99861111111)</f>
        <v>42262.99861</v>
      </c>
      <c r="B1740" s="1">
        <f>IFERROR(__xludf.DUMMYFUNCTION("""COMPUTED_VALUE"""),3919.392)</f>
        <v>3919.392</v>
      </c>
    </row>
    <row r="1741">
      <c r="A1741" s="3">
        <f>IFERROR(__xludf.DUMMYFUNCTION("""COMPUTED_VALUE"""),42263.99861111111)</f>
        <v>42263.99861</v>
      </c>
      <c r="B1741" s="1">
        <f>IFERROR(__xludf.DUMMYFUNCTION("""COMPUTED_VALUE"""),3913.27563)</f>
        <v>3913.27563</v>
      </c>
    </row>
    <row r="1742">
      <c r="A1742" s="3">
        <f>IFERROR(__xludf.DUMMYFUNCTION("""COMPUTED_VALUE"""),42264.99861111111)</f>
        <v>42264.99861</v>
      </c>
      <c r="B1742" s="1">
        <f>IFERROR(__xludf.DUMMYFUNCTION("""COMPUTED_VALUE"""),3872.47175)</f>
        <v>3872.47175</v>
      </c>
    </row>
    <row r="1743">
      <c r="A1743" s="3">
        <f>IFERROR(__xludf.DUMMYFUNCTION("""COMPUTED_VALUE"""),42265.99861111111)</f>
        <v>42265.99861</v>
      </c>
      <c r="B1743" s="1">
        <f>IFERROR(__xludf.DUMMYFUNCTION("""COMPUTED_VALUE"""),3920.64063)</f>
        <v>3920.64063</v>
      </c>
    </row>
    <row r="1744">
      <c r="A1744" s="3">
        <f>IFERROR(__xludf.DUMMYFUNCTION("""COMPUTED_VALUE"""),42268.99861111111)</f>
        <v>42268.99861</v>
      </c>
      <c r="B1744" s="1">
        <f>IFERROR(__xludf.DUMMYFUNCTION("""COMPUTED_VALUE"""),3939.1681)</f>
        <v>3939.1681</v>
      </c>
    </row>
    <row r="1745">
      <c r="A1745" s="3">
        <f>IFERROR(__xludf.DUMMYFUNCTION("""COMPUTED_VALUE"""),42269.99861111111)</f>
        <v>42269.99861</v>
      </c>
      <c r="B1745" s="1">
        <f>IFERROR(__xludf.DUMMYFUNCTION("""COMPUTED_VALUE"""),3972.90495)</f>
        <v>3972.90495</v>
      </c>
    </row>
    <row r="1746">
      <c r="A1746" s="3">
        <f>IFERROR(__xludf.DUMMYFUNCTION("""COMPUTED_VALUE"""),42270.99861111111)</f>
        <v>42270.99861</v>
      </c>
      <c r="B1746" s="1">
        <f>IFERROR(__xludf.DUMMYFUNCTION("""COMPUTED_VALUE"""),3985.1544)</f>
        <v>3985.1544</v>
      </c>
    </row>
    <row r="1747">
      <c r="A1747" s="3">
        <f>IFERROR(__xludf.DUMMYFUNCTION("""COMPUTED_VALUE"""),42271.99861111111)</f>
        <v>42271.99861</v>
      </c>
      <c r="B1747" s="1">
        <f>IFERROR(__xludf.DUMMYFUNCTION("""COMPUTED_VALUE"""),3993.3207)</f>
        <v>3993.3207</v>
      </c>
    </row>
    <row r="1748">
      <c r="A1748" s="3">
        <f>IFERROR(__xludf.DUMMYFUNCTION("""COMPUTED_VALUE"""),42272.99861111111)</f>
        <v>42272.99861</v>
      </c>
      <c r="B1748" s="1">
        <f>IFERROR(__xludf.DUMMYFUNCTION("""COMPUTED_VALUE"""),3979.03974)</f>
        <v>3979.03974</v>
      </c>
    </row>
    <row r="1749">
      <c r="A1749" s="3">
        <f>IFERROR(__xludf.DUMMYFUNCTION("""COMPUTED_VALUE"""),42275.99861111111)</f>
        <v>42275.99861</v>
      </c>
      <c r="B1749" s="1">
        <f>IFERROR(__xludf.DUMMYFUNCTION("""COMPUTED_VALUE"""),4000.67037)</f>
        <v>4000.67037</v>
      </c>
    </row>
    <row r="1750">
      <c r="A1750" s="3">
        <f>IFERROR(__xludf.DUMMYFUNCTION("""COMPUTED_VALUE"""),42276.99861111111)</f>
        <v>42276.99861</v>
      </c>
      <c r="B1750" s="1">
        <f>IFERROR(__xludf.DUMMYFUNCTION("""COMPUTED_VALUE"""),3996.63)</f>
        <v>3996.63</v>
      </c>
    </row>
    <row r="1751">
      <c r="A1751" s="3">
        <f>IFERROR(__xludf.DUMMYFUNCTION("""COMPUTED_VALUE"""),42277.99861111111)</f>
        <v>42277.99861</v>
      </c>
      <c r="B1751" s="1">
        <f>IFERROR(__xludf.DUMMYFUNCTION("""COMPUTED_VALUE"""),3960.90888)</f>
        <v>3960.90888</v>
      </c>
    </row>
    <row r="1752">
      <c r="A1752" s="3">
        <f>IFERROR(__xludf.DUMMYFUNCTION("""COMPUTED_VALUE"""),42278.99861111111)</f>
        <v>42278.99861</v>
      </c>
      <c r="B1752" s="1">
        <f>IFERROR(__xludf.DUMMYFUNCTION("""COMPUTED_VALUE"""),3991.5197)</f>
        <v>3991.5197</v>
      </c>
    </row>
    <row r="1753">
      <c r="A1753" s="3">
        <f>IFERROR(__xludf.DUMMYFUNCTION("""COMPUTED_VALUE"""),42279.99861111111)</f>
        <v>42279.99861</v>
      </c>
      <c r="B1753" s="1">
        <f>IFERROR(__xludf.DUMMYFUNCTION("""COMPUTED_VALUE"""),3976.21125)</f>
        <v>3976.21125</v>
      </c>
    </row>
    <row r="1754">
      <c r="A1754" s="3">
        <f>IFERROR(__xludf.DUMMYFUNCTION("""COMPUTED_VALUE"""),42282.99861111111)</f>
        <v>42282.99861</v>
      </c>
      <c r="B1754" s="1">
        <f>IFERROR(__xludf.DUMMYFUNCTION("""COMPUTED_VALUE"""),3928.37394)</f>
        <v>3928.37394</v>
      </c>
    </row>
    <row r="1755">
      <c r="A1755" s="3">
        <f>IFERROR(__xludf.DUMMYFUNCTION("""COMPUTED_VALUE"""),42283.99861111111)</f>
        <v>42283.99861</v>
      </c>
      <c r="B1755" s="1">
        <f>IFERROR(__xludf.DUMMYFUNCTION("""COMPUTED_VALUE"""),3826.8508)</f>
        <v>3826.8508</v>
      </c>
    </row>
    <row r="1756">
      <c r="A1756" s="3">
        <f>IFERROR(__xludf.DUMMYFUNCTION("""COMPUTED_VALUE"""),42284.99861111111)</f>
        <v>42284.99861</v>
      </c>
      <c r="B1756" s="1">
        <f>IFERROR(__xludf.DUMMYFUNCTION("""COMPUTED_VALUE"""),3774.19165)</f>
        <v>3774.19165</v>
      </c>
    </row>
    <row r="1757">
      <c r="A1757" s="3">
        <f>IFERROR(__xludf.DUMMYFUNCTION("""COMPUTED_VALUE"""),42285.99861111111)</f>
        <v>42285.99861</v>
      </c>
      <c r="B1757" s="1">
        <f>IFERROR(__xludf.DUMMYFUNCTION("""COMPUTED_VALUE"""),3649.9338)</f>
        <v>3649.9338</v>
      </c>
    </row>
    <row r="1758">
      <c r="A1758" s="3">
        <f>IFERROR(__xludf.DUMMYFUNCTION("""COMPUTED_VALUE"""),42286.99861111111)</f>
        <v>42286.99861</v>
      </c>
      <c r="B1758" s="1">
        <f>IFERROR(__xludf.DUMMYFUNCTION("""COMPUTED_VALUE"""),3625.4376)</f>
        <v>3625.4376</v>
      </c>
    </row>
    <row r="1759">
      <c r="A1759" s="3">
        <f>IFERROR(__xludf.DUMMYFUNCTION("""COMPUTED_VALUE"""),42289.99861111111)</f>
        <v>42289.99861</v>
      </c>
      <c r="B1759" s="1">
        <f>IFERROR(__xludf.DUMMYFUNCTION("""COMPUTED_VALUE"""),3674.97436)</f>
        <v>3674.97436</v>
      </c>
    </row>
    <row r="1760">
      <c r="A1760" s="3">
        <f>IFERROR(__xludf.DUMMYFUNCTION("""COMPUTED_VALUE"""),42290.99861111111)</f>
        <v>42290.99861</v>
      </c>
      <c r="B1760" s="1">
        <f>IFERROR(__xludf.DUMMYFUNCTION("""COMPUTED_VALUE"""),3715.53)</f>
        <v>3715.53</v>
      </c>
    </row>
    <row r="1761">
      <c r="A1761" s="3">
        <f>IFERROR(__xludf.DUMMYFUNCTION("""COMPUTED_VALUE"""),42291.99861111111)</f>
        <v>42291.99861</v>
      </c>
      <c r="B1761" s="1">
        <f>IFERROR(__xludf.DUMMYFUNCTION("""COMPUTED_VALUE"""),3609.372)</f>
        <v>3609.372</v>
      </c>
    </row>
    <row r="1762">
      <c r="A1762" s="3">
        <f>IFERROR(__xludf.DUMMYFUNCTION("""COMPUTED_VALUE"""),42292.99861111111)</f>
        <v>42292.99861</v>
      </c>
      <c r="B1762" s="1">
        <f>IFERROR(__xludf.DUMMYFUNCTION("""COMPUTED_VALUE"""),3647.748)</f>
        <v>3647.748</v>
      </c>
    </row>
    <row r="1763">
      <c r="A1763" s="3">
        <f>IFERROR(__xludf.DUMMYFUNCTION("""COMPUTED_VALUE"""),42293.99861111111)</f>
        <v>42293.99861</v>
      </c>
      <c r="B1763" s="1">
        <f>IFERROR(__xludf.DUMMYFUNCTION("""COMPUTED_VALUE"""),3668.29925)</f>
        <v>3668.29925</v>
      </c>
    </row>
    <row r="1764">
      <c r="A1764" s="3">
        <f>IFERROR(__xludf.DUMMYFUNCTION("""COMPUTED_VALUE"""),42296.99861111111)</f>
        <v>42296.99861</v>
      </c>
      <c r="B1764" s="1">
        <f>IFERROR(__xludf.DUMMYFUNCTION("""COMPUTED_VALUE"""),3715.257)</f>
        <v>3715.257</v>
      </c>
    </row>
    <row r="1765">
      <c r="A1765" s="3">
        <f>IFERROR(__xludf.DUMMYFUNCTION("""COMPUTED_VALUE"""),42297.99861111111)</f>
        <v>42297.99861</v>
      </c>
      <c r="B1765" s="1">
        <f>IFERROR(__xludf.DUMMYFUNCTION("""COMPUTED_VALUE"""),3738.1226)</f>
        <v>3738.1226</v>
      </c>
    </row>
    <row r="1766">
      <c r="A1766" s="3">
        <f>IFERROR(__xludf.DUMMYFUNCTION("""COMPUTED_VALUE"""),42298.99861111111)</f>
        <v>42298.99861</v>
      </c>
      <c r="B1766" s="1">
        <f>IFERROR(__xludf.DUMMYFUNCTION("""COMPUTED_VALUE"""),3728.866)</f>
        <v>3728.866</v>
      </c>
    </row>
    <row r="1767">
      <c r="A1767" s="3">
        <f>IFERROR(__xludf.DUMMYFUNCTION("""COMPUTED_VALUE"""),42299.99861111111)</f>
        <v>42299.99861</v>
      </c>
      <c r="B1767" s="1">
        <f>IFERROR(__xludf.DUMMYFUNCTION("""COMPUTED_VALUE"""),3668.44204)</f>
        <v>3668.44204</v>
      </c>
    </row>
    <row r="1768">
      <c r="A1768" s="3">
        <f>IFERROR(__xludf.DUMMYFUNCTION("""COMPUTED_VALUE"""),42300.99861111111)</f>
        <v>42300.99861</v>
      </c>
      <c r="B1768" s="1">
        <f>IFERROR(__xludf.DUMMYFUNCTION("""COMPUTED_VALUE"""),3680.2792)</f>
        <v>3680.2792</v>
      </c>
    </row>
    <row r="1769">
      <c r="A1769" s="3">
        <f>IFERROR(__xludf.DUMMYFUNCTION("""COMPUTED_VALUE"""),42303.99861111111)</f>
        <v>42303.99861</v>
      </c>
      <c r="B1769" s="1">
        <f>IFERROR(__xludf.DUMMYFUNCTION("""COMPUTED_VALUE"""),3704.7781)</f>
        <v>3704.7781</v>
      </c>
    </row>
    <row r="1770">
      <c r="A1770" s="3">
        <f>IFERROR(__xludf.DUMMYFUNCTION("""COMPUTED_VALUE"""),42304.99861111111)</f>
        <v>42304.99861</v>
      </c>
      <c r="B1770" s="1">
        <f>IFERROR(__xludf.DUMMYFUNCTION("""COMPUTED_VALUE"""),3715.257)</f>
        <v>3715.257</v>
      </c>
    </row>
    <row r="1771">
      <c r="A1771" s="3">
        <f>IFERROR(__xludf.DUMMYFUNCTION("""COMPUTED_VALUE"""),42305.99861111111)</f>
        <v>42305.99861</v>
      </c>
      <c r="B1771" s="1">
        <f>IFERROR(__xludf.DUMMYFUNCTION("""COMPUTED_VALUE"""),3702.19236)</f>
        <v>3702.19236</v>
      </c>
    </row>
    <row r="1772">
      <c r="A1772" s="3">
        <f>IFERROR(__xludf.DUMMYFUNCTION("""COMPUTED_VALUE"""),42306.99861111111)</f>
        <v>42306.99861</v>
      </c>
      <c r="B1772" s="1">
        <f>IFERROR(__xludf.DUMMYFUNCTION("""COMPUTED_VALUE"""),3702.32838)</f>
        <v>3702.32838</v>
      </c>
    </row>
    <row r="1773">
      <c r="A1773" s="3">
        <f>IFERROR(__xludf.DUMMYFUNCTION("""COMPUTED_VALUE"""),42307.99861111111)</f>
        <v>42307.99861</v>
      </c>
      <c r="B1773" s="1">
        <f>IFERROR(__xludf.DUMMYFUNCTION("""COMPUTED_VALUE"""),3710.086)</f>
        <v>3710.086</v>
      </c>
    </row>
    <row r="1774">
      <c r="A1774" s="3">
        <f>IFERROR(__xludf.DUMMYFUNCTION("""COMPUTED_VALUE"""),42310.99861111111)</f>
        <v>42310.99861</v>
      </c>
      <c r="B1774" s="1">
        <f>IFERROR(__xludf.DUMMYFUNCTION("""COMPUTED_VALUE"""),3696.476)</f>
        <v>3696.476</v>
      </c>
    </row>
    <row r="1775">
      <c r="A1775" s="3">
        <f>IFERROR(__xludf.DUMMYFUNCTION("""COMPUTED_VALUE"""),42311.99861111111)</f>
        <v>42311.99861</v>
      </c>
      <c r="B1775" s="1">
        <f>IFERROR(__xludf.DUMMYFUNCTION("""COMPUTED_VALUE"""),3646.119)</f>
        <v>3646.119</v>
      </c>
    </row>
    <row r="1776">
      <c r="A1776" s="3">
        <f>IFERROR(__xludf.DUMMYFUNCTION("""COMPUTED_VALUE"""),42312.99861111111)</f>
        <v>42312.99861</v>
      </c>
      <c r="B1776" s="1">
        <f>IFERROR(__xludf.DUMMYFUNCTION("""COMPUTED_VALUE"""),3662.31645)</f>
        <v>3662.31645</v>
      </c>
    </row>
    <row r="1777">
      <c r="A1777" s="3">
        <f>IFERROR(__xludf.DUMMYFUNCTION("""COMPUTED_VALUE"""),42313.99861111111)</f>
        <v>42313.99861</v>
      </c>
      <c r="B1777" s="1">
        <f>IFERROR(__xludf.DUMMYFUNCTION("""COMPUTED_VALUE"""),3682.18125)</f>
        <v>3682.18125</v>
      </c>
    </row>
    <row r="1778">
      <c r="A1778" s="3">
        <f>IFERROR(__xludf.DUMMYFUNCTION("""COMPUTED_VALUE"""),42314.99861111111)</f>
        <v>42314.99861</v>
      </c>
      <c r="B1778" s="1">
        <f>IFERROR(__xludf.DUMMYFUNCTION("""COMPUTED_VALUE"""),3704.642)</f>
        <v>3704.642</v>
      </c>
    </row>
    <row r="1779">
      <c r="A1779" s="3">
        <f>IFERROR(__xludf.DUMMYFUNCTION("""COMPUTED_VALUE"""),42317.99861111111)</f>
        <v>42317.99861</v>
      </c>
      <c r="B1779" s="1">
        <f>IFERROR(__xludf.DUMMYFUNCTION("""COMPUTED_VALUE"""),3713.8961)</f>
        <v>3713.8961</v>
      </c>
    </row>
    <row r="1780">
      <c r="A1780" s="3">
        <f>IFERROR(__xludf.DUMMYFUNCTION("""COMPUTED_VALUE"""),42318.99861111111)</f>
        <v>42318.99861</v>
      </c>
      <c r="B1780" s="1">
        <f>IFERROR(__xludf.DUMMYFUNCTION("""COMPUTED_VALUE"""),3691.032)</f>
        <v>3691.032</v>
      </c>
    </row>
    <row r="1781">
      <c r="A1781" s="3">
        <f>IFERROR(__xludf.DUMMYFUNCTION("""COMPUTED_VALUE"""),42319.99861111111)</f>
        <v>42319.99861</v>
      </c>
      <c r="B1781" s="1">
        <f>IFERROR(__xludf.DUMMYFUNCTION("""COMPUTED_VALUE"""),3681.2345)</f>
        <v>3681.2345</v>
      </c>
    </row>
    <row r="1782">
      <c r="A1782" s="3">
        <f>IFERROR(__xludf.DUMMYFUNCTION("""COMPUTED_VALUE"""),42320.99861111111)</f>
        <v>42320.99861</v>
      </c>
      <c r="B1782" s="1">
        <f>IFERROR(__xludf.DUMMYFUNCTION("""COMPUTED_VALUE"""),3704.3698)</f>
        <v>3704.3698</v>
      </c>
    </row>
    <row r="1783">
      <c r="A1783" s="3">
        <f>IFERROR(__xludf.DUMMYFUNCTION("""COMPUTED_VALUE"""),42321.99861111111)</f>
        <v>42321.99861</v>
      </c>
      <c r="B1783" s="1">
        <f>IFERROR(__xludf.DUMMYFUNCTION("""COMPUTED_VALUE"""),3740.8446)</f>
        <v>3740.8446</v>
      </c>
    </row>
    <row r="1784">
      <c r="A1784" s="3">
        <f>IFERROR(__xludf.DUMMYFUNCTION("""COMPUTED_VALUE"""),42324.99861111111)</f>
        <v>42324.99861</v>
      </c>
      <c r="B1784" s="1">
        <f>IFERROR(__xludf.DUMMYFUNCTION("""COMPUTED_VALUE"""),3731.18052)</f>
        <v>3731.18052</v>
      </c>
    </row>
    <row r="1785">
      <c r="A1785" s="3">
        <f>IFERROR(__xludf.DUMMYFUNCTION("""COMPUTED_VALUE"""),42325.99861111111)</f>
        <v>42325.99861</v>
      </c>
      <c r="B1785" s="1">
        <f>IFERROR(__xludf.DUMMYFUNCTION("""COMPUTED_VALUE"""),3734.3096)</f>
        <v>3734.3096</v>
      </c>
    </row>
    <row r="1786">
      <c r="A1786" s="3">
        <f>IFERROR(__xludf.DUMMYFUNCTION("""COMPUTED_VALUE"""),42326.99861111111)</f>
        <v>42326.99861</v>
      </c>
      <c r="B1786" s="1">
        <f>IFERROR(__xludf.DUMMYFUNCTION("""COMPUTED_VALUE"""),3730.501)</f>
        <v>3730.501</v>
      </c>
    </row>
    <row r="1787">
      <c r="A1787" s="3">
        <f>IFERROR(__xludf.DUMMYFUNCTION("""COMPUTED_VALUE"""),42327.99861111111)</f>
        <v>42327.99861</v>
      </c>
      <c r="B1787" s="1">
        <f>IFERROR(__xludf.DUMMYFUNCTION("""COMPUTED_VALUE"""),3716.6179)</f>
        <v>3716.6179</v>
      </c>
    </row>
    <row r="1788">
      <c r="A1788" s="3">
        <f>IFERROR(__xludf.DUMMYFUNCTION("""COMPUTED_VALUE"""),42328.99861111111)</f>
        <v>42328.99861</v>
      </c>
      <c r="B1788" s="1">
        <f>IFERROR(__xludf.DUMMYFUNCTION("""COMPUTED_VALUE"""),3685.7234)</f>
        <v>3685.7234</v>
      </c>
    </row>
    <row r="1789">
      <c r="A1789" s="3">
        <f>IFERROR(__xludf.DUMMYFUNCTION("""COMPUTED_VALUE"""),42331.99861111111)</f>
        <v>42331.99861</v>
      </c>
      <c r="B1789" s="1">
        <f>IFERROR(__xludf.DUMMYFUNCTION("""COMPUTED_VALUE"""),3719.47635)</f>
        <v>3719.47635</v>
      </c>
    </row>
    <row r="1790">
      <c r="A1790" s="3">
        <f>IFERROR(__xludf.DUMMYFUNCTION("""COMPUTED_VALUE"""),42332.99861111111)</f>
        <v>42332.99861</v>
      </c>
      <c r="B1790" s="1">
        <f>IFERROR(__xludf.DUMMYFUNCTION("""COMPUTED_VALUE"""),3707.0916)</f>
        <v>3707.0916</v>
      </c>
    </row>
    <row r="1791">
      <c r="A1791" s="3">
        <f>IFERROR(__xludf.DUMMYFUNCTION("""COMPUTED_VALUE"""),42333.99861111111)</f>
        <v>42333.99861</v>
      </c>
      <c r="B1791" s="1">
        <f>IFERROR(__xludf.DUMMYFUNCTION("""COMPUTED_VALUE"""),3698.9262)</f>
        <v>3698.9262</v>
      </c>
    </row>
    <row r="1792">
      <c r="A1792" s="3">
        <f>IFERROR(__xludf.DUMMYFUNCTION("""COMPUTED_VALUE"""),42334.99861111111)</f>
        <v>42334.99861</v>
      </c>
      <c r="B1792" s="1">
        <f>IFERROR(__xludf.DUMMYFUNCTION("""COMPUTED_VALUE"""),3738.3923)</f>
        <v>3738.3923</v>
      </c>
    </row>
    <row r="1793">
      <c r="A1793" s="3">
        <f>IFERROR(__xludf.DUMMYFUNCTION("""COMPUTED_VALUE"""),42335.99861111111)</f>
        <v>42335.99861</v>
      </c>
      <c r="B1793" s="1">
        <f>IFERROR(__xludf.DUMMYFUNCTION("""COMPUTED_VALUE"""),3711.99084)</f>
        <v>3711.99084</v>
      </c>
    </row>
    <row r="1794">
      <c r="A1794" s="3">
        <f>IFERROR(__xludf.DUMMYFUNCTION("""COMPUTED_VALUE"""),42338.99861111111)</f>
        <v>42338.99861</v>
      </c>
      <c r="B1794" s="1">
        <f>IFERROR(__xludf.DUMMYFUNCTION("""COMPUTED_VALUE"""),3778.67494)</f>
        <v>3778.67494</v>
      </c>
    </row>
    <row r="1795">
      <c r="A1795" s="3">
        <f>IFERROR(__xludf.DUMMYFUNCTION("""COMPUTED_VALUE"""),42339.99861111111)</f>
        <v>42339.99861</v>
      </c>
      <c r="B1795" s="1">
        <f>IFERROR(__xludf.DUMMYFUNCTION("""COMPUTED_VALUE"""),3762.6332)</f>
        <v>3762.6332</v>
      </c>
    </row>
    <row r="1796">
      <c r="A1796" s="3">
        <f>IFERROR(__xludf.DUMMYFUNCTION("""COMPUTED_VALUE"""),42340.99861111111)</f>
        <v>42340.99861</v>
      </c>
      <c r="B1796" s="1">
        <f>IFERROR(__xludf.DUMMYFUNCTION("""COMPUTED_VALUE"""),3758.40347)</f>
        <v>3758.40347</v>
      </c>
    </row>
    <row r="1797">
      <c r="A1797" s="3">
        <f>IFERROR(__xludf.DUMMYFUNCTION("""COMPUTED_VALUE"""),42341.99861111111)</f>
        <v>42341.99861</v>
      </c>
      <c r="B1797" s="1">
        <f>IFERROR(__xludf.DUMMYFUNCTION("""COMPUTED_VALUE"""),3727.5051)</f>
        <v>3727.5051</v>
      </c>
    </row>
    <row r="1798">
      <c r="A1798" s="3">
        <f>IFERROR(__xludf.DUMMYFUNCTION("""COMPUTED_VALUE"""),42342.99861111111)</f>
        <v>42342.99861</v>
      </c>
      <c r="B1798" s="1">
        <f>IFERROR(__xludf.DUMMYFUNCTION("""COMPUTED_VALUE"""),3744.65244)</f>
        <v>3744.65244</v>
      </c>
    </row>
    <row r="1799">
      <c r="A1799" s="3">
        <f>IFERROR(__xludf.DUMMYFUNCTION("""COMPUTED_VALUE"""),42345.99861111111)</f>
        <v>42345.99861</v>
      </c>
      <c r="B1799" s="1">
        <f>IFERROR(__xludf.DUMMYFUNCTION("""COMPUTED_VALUE"""),3775.414)</f>
        <v>3775.414</v>
      </c>
    </row>
    <row r="1800">
      <c r="A1800" s="3">
        <f>IFERROR(__xludf.DUMMYFUNCTION("""COMPUTED_VALUE"""),42346.99861111111)</f>
        <v>42346.99861</v>
      </c>
      <c r="B1800" s="1">
        <f>IFERROR(__xludf.DUMMYFUNCTION("""COMPUTED_VALUE"""),3805.22359)</f>
        <v>3805.22359</v>
      </c>
    </row>
    <row r="1801">
      <c r="A1801" s="3">
        <f>IFERROR(__xludf.DUMMYFUNCTION("""COMPUTED_VALUE"""),42347.99861111111)</f>
        <v>42347.99861</v>
      </c>
      <c r="B1801" s="1">
        <f>IFERROR(__xludf.DUMMYFUNCTION("""COMPUTED_VALUE"""),3788.7456)</f>
        <v>3788.7456</v>
      </c>
    </row>
    <row r="1802">
      <c r="A1802" s="3">
        <f>IFERROR(__xludf.DUMMYFUNCTION("""COMPUTED_VALUE"""),42348.99861111111)</f>
        <v>42348.99861</v>
      </c>
      <c r="B1802" s="1">
        <f>IFERROR(__xludf.DUMMYFUNCTION("""COMPUTED_VALUE"""),3790.1065)</f>
        <v>3790.1065</v>
      </c>
    </row>
    <row r="1803">
      <c r="A1803" s="3">
        <f>IFERROR(__xludf.DUMMYFUNCTION("""COMPUTED_VALUE"""),42349.99861111111)</f>
        <v>42349.99861</v>
      </c>
      <c r="B1803" s="1">
        <f>IFERROR(__xludf.DUMMYFUNCTION("""COMPUTED_VALUE"""),3846.4686)</f>
        <v>3846.4686</v>
      </c>
    </row>
    <row r="1804">
      <c r="A1804" s="3">
        <f>IFERROR(__xludf.DUMMYFUNCTION("""COMPUTED_VALUE"""),42352.99861111111)</f>
        <v>42352.99861</v>
      </c>
      <c r="B1804" s="1">
        <f>IFERROR(__xludf.DUMMYFUNCTION("""COMPUTED_VALUE"""),3809.70346)</f>
        <v>3809.70346</v>
      </c>
    </row>
    <row r="1805">
      <c r="A1805" s="3">
        <f>IFERROR(__xludf.DUMMYFUNCTION("""COMPUTED_VALUE"""),42353.99861111111)</f>
        <v>42353.99861</v>
      </c>
      <c r="B1805" s="1">
        <f>IFERROR(__xludf.DUMMYFUNCTION("""COMPUTED_VALUE"""),3802.4943)</f>
        <v>3802.4943</v>
      </c>
    </row>
    <row r="1806">
      <c r="A1806" s="3">
        <f>IFERROR(__xludf.DUMMYFUNCTION("""COMPUTED_VALUE"""),42354.99861111111)</f>
        <v>42354.99861</v>
      </c>
      <c r="B1806" s="1">
        <f>IFERROR(__xludf.DUMMYFUNCTION("""COMPUTED_VALUE"""),3745.1968)</f>
        <v>3745.1968</v>
      </c>
    </row>
    <row r="1807">
      <c r="A1807" s="3">
        <f>IFERROR(__xludf.DUMMYFUNCTION("""COMPUTED_VALUE"""),42355.99861111111)</f>
        <v>42355.99861</v>
      </c>
      <c r="B1807" s="1">
        <f>IFERROR(__xludf.DUMMYFUNCTION("""COMPUTED_VALUE"""),3815.9636)</f>
        <v>3815.9636</v>
      </c>
    </row>
    <row r="1808">
      <c r="A1808" s="3">
        <f>IFERROR(__xludf.DUMMYFUNCTION("""COMPUTED_VALUE"""),42356.99861111111)</f>
        <v>42356.99861</v>
      </c>
      <c r="B1808" s="1">
        <f>IFERROR(__xludf.DUMMYFUNCTION("""COMPUTED_VALUE"""),3773.7757)</f>
        <v>3773.7757</v>
      </c>
    </row>
    <row r="1809">
      <c r="A1809" s="3">
        <f>IFERROR(__xludf.DUMMYFUNCTION("""COMPUTED_VALUE"""),42359.99861111111)</f>
        <v>42359.99861</v>
      </c>
      <c r="B1809" s="1">
        <f>IFERROR(__xludf.DUMMYFUNCTION("""COMPUTED_VALUE"""),3745.6096)</f>
        <v>3745.6096</v>
      </c>
    </row>
    <row r="1810">
      <c r="A1810" s="3">
        <f>IFERROR(__xludf.DUMMYFUNCTION("""COMPUTED_VALUE"""),42360.99861111111)</f>
        <v>42360.99861</v>
      </c>
      <c r="B1810" s="1">
        <f>IFERROR(__xludf.DUMMYFUNCTION("""COMPUTED_VALUE"""),3714.03255)</f>
        <v>3714.03255</v>
      </c>
    </row>
    <row r="1811">
      <c r="A1811" s="3">
        <f>IFERROR(__xludf.DUMMYFUNCTION("""COMPUTED_VALUE"""),42361.99861111111)</f>
        <v>42361.99861</v>
      </c>
      <c r="B1811" s="1">
        <f>IFERROR(__xludf.DUMMYFUNCTION("""COMPUTED_VALUE"""),3708.4525)</f>
        <v>3708.4525</v>
      </c>
    </row>
    <row r="1812">
      <c r="A1812" s="3">
        <f>IFERROR(__xludf.DUMMYFUNCTION("""COMPUTED_VALUE"""),42362.99861111111)</f>
        <v>42362.99861</v>
      </c>
      <c r="B1812" s="1">
        <f>IFERROR(__xludf.DUMMYFUNCTION("""COMPUTED_VALUE"""),3709.8134)</f>
        <v>3709.8134</v>
      </c>
    </row>
    <row r="1813">
      <c r="A1813" s="3">
        <f>IFERROR(__xludf.DUMMYFUNCTION("""COMPUTED_VALUE"""),42363.99861111111)</f>
        <v>42363.99861</v>
      </c>
      <c r="B1813" s="1">
        <f>IFERROR(__xludf.DUMMYFUNCTION("""COMPUTED_VALUE"""),3709.8134)</f>
        <v>3709.8134</v>
      </c>
    </row>
    <row r="1814">
      <c r="A1814" s="3">
        <f>IFERROR(__xludf.DUMMYFUNCTION("""COMPUTED_VALUE"""),42366.99861111111)</f>
        <v>42366.99861</v>
      </c>
      <c r="B1814" s="1">
        <f>IFERROR(__xludf.DUMMYFUNCTION("""COMPUTED_VALUE"""),3673.20405)</f>
        <v>3673.20405</v>
      </c>
    </row>
    <row r="1815">
      <c r="A1815" s="3">
        <f>IFERROR(__xludf.DUMMYFUNCTION("""COMPUTED_VALUE"""),42367.99861111111)</f>
        <v>42367.99861</v>
      </c>
      <c r="B1815" s="1">
        <f>IFERROR(__xludf.DUMMYFUNCTION("""COMPUTED_VALUE"""),3723.96676)</f>
        <v>3723.96676</v>
      </c>
    </row>
    <row r="1816">
      <c r="A1816" s="3">
        <f>IFERROR(__xludf.DUMMYFUNCTION("""COMPUTED_VALUE"""),42368.99861111111)</f>
        <v>42368.99861</v>
      </c>
      <c r="B1816" s="1">
        <f>IFERROR(__xludf.DUMMYFUNCTION("""COMPUTED_VALUE"""),3768.47055)</f>
        <v>3768.47055</v>
      </c>
    </row>
    <row r="1817">
      <c r="A1817" s="3">
        <f>IFERROR(__xludf.DUMMYFUNCTION("""COMPUTED_VALUE"""),42369.99861111111)</f>
        <v>42369.99861</v>
      </c>
      <c r="B1817" s="1">
        <f>IFERROR(__xludf.DUMMYFUNCTION("""COMPUTED_VALUE"""),3749.2795)</f>
        <v>3749.2795</v>
      </c>
    </row>
    <row r="1818">
      <c r="A1818" s="3">
        <f>IFERROR(__xludf.DUMMYFUNCTION("""COMPUTED_VALUE"""),42370.99861111111)</f>
        <v>42370.99861</v>
      </c>
      <c r="B1818" s="1">
        <f>IFERROR(__xludf.DUMMYFUNCTION("""COMPUTED_VALUE"""),3749.2795)</f>
        <v>3749.2795</v>
      </c>
    </row>
    <row r="1819">
      <c r="A1819" s="3">
        <f>IFERROR(__xludf.DUMMYFUNCTION("""COMPUTED_VALUE"""),42373.99861111111)</f>
        <v>42373.99861</v>
      </c>
      <c r="B1819" s="1">
        <f>IFERROR(__xludf.DUMMYFUNCTION("""COMPUTED_VALUE"""),3799.0954)</f>
        <v>3799.0954</v>
      </c>
    </row>
    <row r="1820">
      <c r="A1820" s="3">
        <f>IFERROR(__xludf.DUMMYFUNCTION("""COMPUTED_VALUE"""),42374.99861111111)</f>
        <v>42374.99861</v>
      </c>
      <c r="B1820" s="1">
        <f>IFERROR(__xludf.DUMMYFUNCTION("""COMPUTED_VALUE"""),3757.4449)</f>
        <v>3757.4449</v>
      </c>
    </row>
    <row r="1821">
      <c r="A1821" s="3">
        <f>IFERROR(__xludf.DUMMYFUNCTION("""COMPUTED_VALUE"""),42375.99861111111)</f>
        <v>42375.99861</v>
      </c>
      <c r="B1821" s="1">
        <f>IFERROR(__xludf.DUMMYFUNCTION("""COMPUTED_VALUE"""),3784.6629)</f>
        <v>3784.6629</v>
      </c>
    </row>
    <row r="1822">
      <c r="A1822" s="3">
        <f>IFERROR(__xludf.DUMMYFUNCTION("""COMPUTED_VALUE"""),42376.99861111111)</f>
        <v>42376.99861</v>
      </c>
      <c r="B1822" s="1">
        <f>IFERROR(__xludf.DUMMYFUNCTION("""COMPUTED_VALUE"""),3791.4674)</f>
        <v>3791.4674</v>
      </c>
    </row>
    <row r="1823">
      <c r="A1823" s="3">
        <f>IFERROR(__xludf.DUMMYFUNCTION("""COMPUTED_VALUE"""),42377.99861111111)</f>
        <v>42377.99861</v>
      </c>
      <c r="B1823" s="1">
        <f>IFERROR(__xludf.DUMMYFUNCTION("""COMPUTED_VALUE"""),3780.9969)</f>
        <v>3780.9969</v>
      </c>
    </row>
    <row r="1824">
      <c r="A1824" s="3">
        <f>IFERROR(__xludf.DUMMYFUNCTION("""COMPUTED_VALUE"""),42380.99861111111)</f>
        <v>42380.99861</v>
      </c>
      <c r="B1824" s="1">
        <f>IFERROR(__xludf.DUMMYFUNCTION("""COMPUTED_VALUE"""),3757.721)</f>
        <v>3757.721</v>
      </c>
    </row>
    <row r="1825">
      <c r="A1825" s="3">
        <f>IFERROR(__xludf.DUMMYFUNCTION("""COMPUTED_VALUE"""),42381.99861111111)</f>
        <v>42381.99861</v>
      </c>
      <c r="B1825" s="1">
        <f>IFERROR(__xludf.DUMMYFUNCTION("""COMPUTED_VALUE"""),3754.86105)</f>
        <v>3754.86105</v>
      </c>
    </row>
    <row r="1826">
      <c r="A1826" s="3">
        <f>IFERROR(__xludf.DUMMYFUNCTION("""COMPUTED_VALUE"""),42382.99861111111)</f>
        <v>42382.99861</v>
      </c>
      <c r="B1826" s="1">
        <f>IFERROR(__xludf.DUMMYFUNCTION("""COMPUTED_VALUE"""),3769.01493)</f>
        <v>3769.01493</v>
      </c>
    </row>
    <row r="1827">
      <c r="A1827" s="3">
        <f>IFERROR(__xludf.DUMMYFUNCTION("""COMPUTED_VALUE"""),42383.99861111111)</f>
        <v>42383.99861</v>
      </c>
      <c r="B1827" s="1">
        <f>IFERROR(__xludf.DUMMYFUNCTION("""COMPUTED_VALUE"""),3762.8885)</f>
        <v>3762.8885</v>
      </c>
    </row>
    <row r="1828">
      <c r="A1828" s="3">
        <f>IFERROR(__xludf.DUMMYFUNCTION("""COMPUTED_VALUE"""),42384.99861111111)</f>
        <v>42384.99861</v>
      </c>
      <c r="B1828" s="1">
        <f>IFERROR(__xludf.DUMMYFUNCTION("""COMPUTED_VALUE"""),3803.73006)</f>
        <v>3803.73006</v>
      </c>
    </row>
    <row r="1829">
      <c r="A1829" s="3">
        <f>IFERROR(__xludf.DUMMYFUNCTION("""COMPUTED_VALUE"""),42387.99861111111)</f>
        <v>42387.99861</v>
      </c>
      <c r="B1829" s="1">
        <f>IFERROR(__xludf.DUMMYFUNCTION("""COMPUTED_VALUE"""),3790.1065)</f>
        <v>3790.1065</v>
      </c>
    </row>
    <row r="1830">
      <c r="A1830" s="3">
        <f>IFERROR(__xludf.DUMMYFUNCTION("""COMPUTED_VALUE"""),42388.99861111111)</f>
        <v>42388.99861</v>
      </c>
      <c r="B1830" s="1">
        <f>IFERROR(__xludf.DUMMYFUNCTION("""COMPUTED_VALUE"""),3764.526)</f>
        <v>3764.526</v>
      </c>
    </row>
    <row r="1831">
      <c r="A1831" s="3">
        <f>IFERROR(__xludf.DUMMYFUNCTION("""COMPUTED_VALUE"""),42389.99861111111)</f>
        <v>42389.99861</v>
      </c>
      <c r="B1831" s="1">
        <f>IFERROR(__xludf.DUMMYFUNCTION("""COMPUTED_VALUE"""),3763.30325)</f>
        <v>3763.30325</v>
      </c>
    </row>
    <row r="1832">
      <c r="A1832" s="3">
        <f>IFERROR(__xludf.DUMMYFUNCTION("""COMPUTED_VALUE"""),42390.99861111111)</f>
        <v>42390.99861</v>
      </c>
      <c r="B1832" s="1">
        <f>IFERROR(__xludf.DUMMYFUNCTION("""COMPUTED_VALUE"""),3747.78411)</f>
        <v>3747.78411</v>
      </c>
    </row>
    <row r="1833">
      <c r="A1833" s="3">
        <f>IFERROR(__xludf.DUMMYFUNCTION("""COMPUTED_VALUE"""),42391.99861111111)</f>
        <v>42391.99861</v>
      </c>
      <c r="B1833" s="1">
        <f>IFERROR(__xludf.DUMMYFUNCTION("""COMPUTED_VALUE"""),3742.20834)</f>
        <v>3742.20834</v>
      </c>
    </row>
    <row r="1834">
      <c r="A1834" s="3">
        <f>IFERROR(__xludf.DUMMYFUNCTION("""COMPUTED_VALUE"""),42392.99861111111)</f>
        <v>42392.99861</v>
      </c>
      <c r="B1834" s="1">
        <f>IFERROR(__xludf.DUMMYFUNCTION("""COMPUTED_VALUE"""),3770.35861)</f>
        <v>3770.35861</v>
      </c>
    </row>
    <row r="1835">
      <c r="A1835" s="3">
        <f>IFERROR(__xludf.DUMMYFUNCTION("""COMPUTED_VALUE"""),42394.99861111111)</f>
        <v>42394.99861</v>
      </c>
      <c r="B1835" s="1">
        <f>IFERROR(__xludf.DUMMYFUNCTION("""COMPUTED_VALUE"""),3764.2494)</f>
        <v>3764.2494</v>
      </c>
    </row>
    <row r="1836">
      <c r="A1836" s="3">
        <f>IFERROR(__xludf.DUMMYFUNCTION("""COMPUTED_VALUE"""),42395.99861111111)</f>
        <v>42395.99861</v>
      </c>
      <c r="B1836" s="1">
        <f>IFERROR(__xludf.DUMMYFUNCTION("""COMPUTED_VALUE"""),3777.8584)</f>
        <v>3777.8584</v>
      </c>
    </row>
    <row r="1837">
      <c r="A1837" s="3">
        <f>IFERROR(__xludf.DUMMYFUNCTION("""COMPUTED_VALUE"""),42396.99861111111)</f>
        <v>42396.99861</v>
      </c>
      <c r="B1837" s="1">
        <f>IFERROR(__xludf.DUMMYFUNCTION("""COMPUTED_VALUE"""),3756.9044)</f>
        <v>3756.9044</v>
      </c>
    </row>
    <row r="1838">
      <c r="A1838" s="3">
        <f>IFERROR(__xludf.DUMMYFUNCTION("""COMPUTED_VALUE"""),42397.99861111111)</f>
        <v>42397.99861</v>
      </c>
      <c r="B1838" s="1">
        <f>IFERROR(__xludf.DUMMYFUNCTION("""COMPUTED_VALUE"""),3746.5577)</f>
        <v>3746.5577</v>
      </c>
    </row>
    <row r="1839">
      <c r="A1839" s="3">
        <f>IFERROR(__xludf.DUMMYFUNCTION("""COMPUTED_VALUE"""),42398.99861111111)</f>
        <v>42398.99861</v>
      </c>
      <c r="B1839" s="1">
        <f>IFERROR(__xludf.DUMMYFUNCTION("""COMPUTED_VALUE"""),3722.335)</f>
        <v>3722.335</v>
      </c>
    </row>
    <row r="1840">
      <c r="A1840" s="3">
        <f>IFERROR(__xludf.DUMMYFUNCTION("""COMPUTED_VALUE"""),42401.99861111111)</f>
        <v>42401.99861</v>
      </c>
      <c r="B1840" s="1">
        <f>IFERROR(__xludf.DUMMYFUNCTION("""COMPUTED_VALUE"""),3709.8134)</f>
        <v>3709.8134</v>
      </c>
    </row>
    <row r="1841">
      <c r="A1841" s="3">
        <f>IFERROR(__xludf.DUMMYFUNCTION("""COMPUTED_VALUE"""),42402.99861111111)</f>
        <v>42402.99861</v>
      </c>
      <c r="B1841" s="1">
        <f>IFERROR(__xludf.DUMMYFUNCTION("""COMPUTED_VALUE"""),3737.0314)</f>
        <v>3737.0314</v>
      </c>
    </row>
    <row r="1842">
      <c r="A1842" s="3">
        <f>IFERROR(__xludf.DUMMYFUNCTION("""COMPUTED_VALUE"""),42403.99861111111)</f>
        <v>42403.99861</v>
      </c>
      <c r="B1842" s="1">
        <f>IFERROR(__xludf.DUMMYFUNCTION("""COMPUTED_VALUE"""),3696.74876)</f>
        <v>3696.74876</v>
      </c>
    </row>
    <row r="1843">
      <c r="A1843" s="3">
        <f>IFERROR(__xludf.DUMMYFUNCTION("""COMPUTED_VALUE"""),42404.99861111111)</f>
        <v>42404.99861</v>
      </c>
      <c r="B1843" s="1">
        <f>IFERROR(__xludf.DUMMYFUNCTION("""COMPUTED_VALUE"""),3704.91416)</f>
        <v>3704.91416</v>
      </c>
    </row>
    <row r="1844">
      <c r="A1844" s="3">
        <f>IFERROR(__xludf.DUMMYFUNCTION("""COMPUTED_VALUE"""),42405.99861111111)</f>
        <v>42405.99861</v>
      </c>
      <c r="B1844" s="1">
        <f>IFERROR(__xludf.DUMMYFUNCTION("""COMPUTED_VALUE"""),3697.5653)</f>
        <v>3697.5653</v>
      </c>
    </row>
    <row r="1845">
      <c r="A1845" s="3">
        <f>IFERROR(__xludf.DUMMYFUNCTION("""COMPUTED_VALUE"""),42406.99861111111)</f>
        <v>42406.99861</v>
      </c>
      <c r="B1845" s="1">
        <f>IFERROR(__xludf.DUMMYFUNCTION("""COMPUTED_VALUE"""),3703.128659)</f>
        <v>3703.128659</v>
      </c>
    </row>
    <row r="1846">
      <c r="A1846" s="3">
        <f>IFERROR(__xludf.DUMMYFUNCTION("""COMPUTED_VALUE"""),42408.99861111111)</f>
        <v>42408.99861</v>
      </c>
      <c r="B1846" s="1">
        <f>IFERROR(__xludf.DUMMYFUNCTION("""COMPUTED_VALUE"""),3722.33368)</f>
        <v>3722.33368</v>
      </c>
    </row>
    <row r="1847">
      <c r="A1847" s="3">
        <f>IFERROR(__xludf.DUMMYFUNCTION("""COMPUTED_VALUE"""),42409.99861111111)</f>
        <v>42409.99861</v>
      </c>
      <c r="B1847" s="1">
        <f>IFERROR(__xludf.DUMMYFUNCTION("""COMPUTED_VALUE"""),3690.7608)</f>
        <v>3690.7608</v>
      </c>
    </row>
    <row r="1848">
      <c r="A1848" s="3">
        <f>IFERROR(__xludf.DUMMYFUNCTION("""COMPUTED_VALUE"""),42410.99861111111)</f>
        <v>42410.99861</v>
      </c>
      <c r="B1848" s="1">
        <f>IFERROR(__xludf.DUMMYFUNCTION("""COMPUTED_VALUE"""),3662.1819)</f>
        <v>3662.1819</v>
      </c>
    </row>
    <row r="1849">
      <c r="A1849" s="3">
        <f>IFERROR(__xludf.DUMMYFUNCTION("""COMPUTED_VALUE"""),42411.99861111111)</f>
        <v>42411.99861</v>
      </c>
      <c r="B1849" s="1">
        <f>IFERROR(__xludf.DUMMYFUNCTION("""COMPUTED_VALUE"""),3669.93)</f>
        <v>3669.93</v>
      </c>
    </row>
    <row r="1850">
      <c r="A1850" s="3">
        <f>IFERROR(__xludf.DUMMYFUNCTION("""COMPUTED_VALUE"""),42412.99861111111)</f>
        <v>42412.99861</v>
      </c>
      <c r="B1850" s="1">
        <f>IFERROR(__xludf.DUMMYFUNCTION("""COMPUTED_VALUE"""),3664.9037)</f>
        <v>3664.9037</v>
      </c>
    </row>
    <row r="1851">
      <c r="A1851" s="3">
        <f>IFERROR(__xludf.DUMMYFUNCTION("""COMPUTED_VALUE"""),42415.99861111111)</f>
        <v>42415.99861</v>
      </c>
      <c r="B1851" s="1">
        <f>IFERROR(__xludf.DUMMYFUNCTION("""COMPUTED_VALUE"""),3613.1895)</f>
        <v>3613.1895</v>
      </c>
    </row>
    <row r="1852">
      <c r="A1852" s="3">
        <f>IFERROR(__xludf.DUMMYFUNCTION("""COMPUTED_VALUE"""),42416.99861111111)</f>
        <v>42416.99861</v>
      </c>
      <c r="B1852" s="1">
        <f>IFERROR(__xludf.DUMMYFUNCTION("""COMPUTED_VALUE"""),3646.39546)</f>
        <v>3646.39546</v>
      </c>
    </row>
    <row r="1853">
      <c r="A1853" s="3">
        <f>IFERROR(__xludf.DUMMYFUNCTION("""COMPUTED_VALUE"""),42417.99861111111)</f>
        <v>42417.99861</v>
      </c>
      <c r="B1853" s="1">
        <f>IFERROR(__xludf.DUMMYFUNCTION("""COMPUTED_VALUE"""),3674.43)</f>
        <v>3674.43</v>
      </c>
    </row>
    <row r="1854">
      <c r="A1854" s="3">
        <f>IFERROR(__xludf.DUMMYFUNCTION("""COMPUTED_VALUE"""),42418.99861111111)</f>
        <v>42418.99861</v>
      </c>
      <c r="B1854" s="1">
        <f>IFERROR(__xludf.DUMMYFUNCTION("""COMPUTED_VALUE"""),3651.2947)</f>
        <v>3651.2947</v>
      </c>
    </row>
    <row r="1855">
      <c r="A1855" s="3">
        <f>IFERROR(__xludf.DUMMYFUNCTION("""COMPUTED_VALUE"""),42419.99861111111)</f>
        <v>42419.99861</v>
      </c>
      <c r="B1855" s="1">
        <f>IFERROR(__xludf.DUMMYFUNCTION("""COMPUTED_VALUE"""),3654.56086)</f>
        <v>3654.56086</v>
      </c>
    </row>
    <row r="1856">
      <c r="A1856" s="3">
        <f>IFERROR(__xludf.DUMMYFUNCTION("""COMPUTED_VALUE"""),42420.99861111111)</f>
        <v>42420.99861</v>
      </c>
      <c r="B1856" s="1">
        <f>IFERROR(__xludf.DUMMYFUNCTION("""COMPUTED_VALUE"""),3683.082602)</f>
        <v>3683.082602</v>
      </c>
    </row>
    <row r="1857">
      <c r="A1857" s="3">
        <f>IFERROR(__xludf.DUMMYFUNCTION("""COMPUTED_VALUE"""),42422.99861111111)</f>
        <v>42422.99861</v>
      </c>
      <c r="B1857" s="1">
        <f>IFERROR(__xludf.DUMMYFUNCTION("""COMPUTED_VALUE"""),3643.1293)</f>
        <v>3643.1293</v>
      </c>
    </row>
    <row r="1858">
      <c r="A1858" s="3">
        <f>IFERROR(__xludf.DUMMYFUNCTION("""COMPUTED_VALUE"""),42423.99861111111)</f>
        <v>42423.99861</v>
      </c>
      <c r="B1858" s="1">
        <f>IFERROR(__xludf.DUMMYFUNCTION("""COMPUTED_VALUE"""),3649.9338)</f>
        <v>3649.9338</v>
      </c>
    </row>
    <row r="1859">
      <c r="A1859" s="3">
        <f>IFERROR(__xludf.DUMMYFUNCTION("""COMPUTED_VALUE"""),42424.99861111111)</f>
        <v>42424.99861</v>
      </c>
      <c r="B1859" s="1">
        <f>IFERROR(__xludf.DUMMYFUNCTION("""COMPUTED_VALUE"""),3643.1293)</f>
        <v>3643.1293</v>
      </c>
    </row>
    <row r="1860">
      <c r="A1860" s="3">
        <f>IFERROR(__xludf.DUMMYFUNCTION("""COMPUTED_VALUE"""),42425.99861111111)</f>
        <v>42425.99861</v>
      </c>
      <c r="B1860" s="1">
        <f>IFERROR(__xludf.DUMMYFUNCTION("""COMPUTED_VALUE"""),3655.2431)</f>
        <v>3655.2431</v>
      </c>
    </row>
    <row r="1861">
      <c r="A1861" s="3">
        <f>IFERROR(__xludf.DUMMYFUNCTION("""COMPUTED_VALUE"""),42426.99861111111)</f>
        <v>42426.99861</v>
      </c>
      <c r="B1861" s="1">
        <f>IFERROR(__xludf.DUMMYFUNCTION("""COMPUTED_VALUE"""),3654.0165)</f>
        <v>3654.0165</v>
      </c>
    </row>
    <row r="1862">
      <c r="A1862" s="3">
        <f>IFERROR(__xludf.DUMMYFUNCTION("""COMPUTED_VALUE"""),42429.99861111111)</f>
        <v>42429.99861</v>
      </c>
      <c r="B1862" s="1">
        <f>IFERROR(__xludf.DUMMYFUNCTION("""COMPUTED_VALUE"""),3638.62125)</f>
        <v>3638.62125</v>
      </c>
    </row>
    <row r="1863">
      <c r="A1863" s="3">
        <f>IFERROR(__xludf.DUMMYFUNCTION("""COMPUTED_VALUE"""),42430.99861111111)</f>
        <v>42430.99861</v>
      </c>
      <c r="B1863" s="1">
        <f>IFERROR(__xludf.DUMMYFUNCTION("""COMPUTED_VALUE"""),3605.29628)</f>
        <v>3605.29628</v>
      </c>
    </row>
    <row r="1864">
      <c r="A1864" s="3">
        <f>IFERROR(__xludf.DUMMYFUNCTION("""COMPUTED_VALUE"""),42431.99861111111)</f>
        <v>42431.99861</v>
      </c>
      <c r="B1864" s="1">
        <f>IFERROR(__xludf.DUMMYFUNCTION("""COMPUTED_VALUE"""),3606.11282)</f>
        <v>3606.11282</v>
      </c>
    </row>
    <row r="1865">
      <c r="A1865" s="3">
        <f>IFERROR(__xludf.DUMMYFUNCTION("""COMPUTED_VALUE"""),42432.99861111111)</f>
        <v>42432.99861</v>
      </c>
      <c r="B1865" s="1">
        <f>IFERROR(__xludf.DUMMYFUNCTION("""COMPUTED_VALUE"""),3576.4452)</f>
        <v>3576.4452</v>
      </c>
    </row>
    <row r="1866">
      <c r="A1866" s="3">
        <f>IFERROR(__xludf.DUMMYFUNCTION("""COMPUTED_VALUE"""),42433.99861111111)</f>
        <v>42433.99861</v>
      </c>
      <c r="B1866" s="1">
        <f>IFERROR(__xludf.DUMMYFUNCTION("""COMPUTED_VALUE"""),3545.96104)</f>
        <v>3545.96104</v>
      </c>
    </row>
    <row r="1867">
      <c r="A1867" s="3">
        <f>IFERROR(__xludf.DUMMYFUNCTION("""COMPUTED_VALUE"""),42436.99861111111)</f>
        <v>42436.99861</v>
      </c>
      <c r="B1867" s="1">
        <f>IFERROR(__xludf.DUMMYFUNCTION("""COMPUTED_VALUE"""),3538.34)</f>
        <v>3538.34</v>
      </c>
    </row>
    <row r="1868">
      <c r="A1868" s="3">
        <f>IFERROR(__xludf.DUMMYFUNCTION("""COMPUTED_VALUE"""),42437.99861111111)</f>
        <v>42437.99861</v>
      </c>
      <c r="B1868" s="1">
        <f>IFERROR(__xludf.DUMMYFUNCTION("""COMPUTED_VALUE"""),3587.73639)</f>
        <v>3587.73639</v>
      </c>
    </row>
    <row r="1869">
      <c r="A1869" s="3">
        <f>IFERROR(__xludf.DUMMYFUNCTION("""COMPUTED_VALUE"""),42438.99861111111)</f>
        <v>42438.99861</v>
      </c>
      <c r="B1869" s="1">
        <f>IFERROR(__xludf.DUMMYFUNCTION("""COMPUTED_VALUE"""),3565.558)</f>
        <v>3565.558</v>
      </c>
    </row>
    <row r="1870">
      <c r="A1870" s="3">
        <f>IFERROR(__xludf.DUMMYFUNCTION("""COMPUTED_VALUE"""),42439.99861111111)</f>
        <v>42439.99861</v>
      </c>
      <c r="B1870" s="1">
        <f>IFERROR(__xludf.DUMMYFUNCTION("""COMPUTED_VALUE"""),3573.8547)</f>
        <v>3573.8547</v>
      </c>
    </row>
    <row r="1871">
      <c r="A1871" s="3">
        <f>IFERROR(__xludf.DUMMYFUNCTION("""COMPUTED_VALUE"""),42440.99861111111)</f>
        <v>42440.99861</v>
      </c>
      <c r="B1871" s="1">
        <f>IFERROR(__xludf.DUMMYFUNCTION("""COMPUTED_VALUE"""),3522.82574)</f>
        <v>3522.82574</v>
      </c>
    </row>
    <row r="1872">
      <c r="A1872" s="3">
        <f>IFERROR(__xludf.DUMMYFUNCTION("""COMPUTED_VALUE"""),42443.99861111111)</f>
        <v>42443.99861</v>
      </c>
      <c r="B1872" s="1">
        <f>IFERROR(__xludf.DUMMYFUNCTION("""COMPUTED_VALUE"""),3532.8964)</f>
        <v>3532.8964</v>
      </c>
    </row>
    <row r="1873">
      <c r="A1873" s="3">
        <f>IFERROR(__xludf.DUMMYFUNCTION("""COMPUTED_VALUE"""),42444.99861111111)</f>
        <v>42444.99861</v>
      </c>
      <c r="B1873" s="1">
        <f>IFERROR(__xludf.DUMMYFUNCTION("""COMPUTED_VALUE"""),3571.81814)</f>
        <v>3571.81814</v>
      </c>
    </row>
    <row r="1874">
      <c r="A1874" s="3">
        <f>IFERROR(__xludf.DUMMYFUNCTION("""COMPUTED_VALUE"""),42445.99861111111)</f>
        <v>42445.99861</v>
      </c>
      <c r="B1874" s="1">
        <f>IFERROR(__xludf.DUMMYFUNCTION("""COMPUTED_VALUE"""),3475.8663)</f>
        <v>3475.8663</v>
      </c>
    </row>
    <row r="1875">
      <c r="A1875" s="3">
        <f>IFERROR(__xludf.DUMMYFUNCTION("""COMPUTED_VALUE"""),42446.99861111111)</f>
        <v>42446.99861</v>
      </c>
      <c r="B1875" s="1">
        <f>IFERROR(__xludf.DUMMYFUNCTION("""COMPUTED_VALUE"""),3520.77765)</f>
        <v>3520.77765</v>
      </c>
    </row>
    <row r="1876">
      <c r="A1876" s="3">
        <f>IFERROR(__xludf.DUMMYFUNCTION("""COMPUTED_VALUE"""),42447.99861111111)</f>
        <v>42447.99861</v>
      </c>
      <c r="B1876" s="1">
        <f>IFERROR(__xludf.DUMMYFUNCTION("""COMPUTED_VALUE"""),3548.9436)</f>
        <v>3548.9436</v>
      </c>
    </row>
    <row r="1877">
      <c r="A1877" s="3">
        <f>IFERROR(__xludf.DUMMYFUNCTION("""COMPUTED_VALUE"""),42448.99861111111)</f>
        <v>42448.99861</v>
      </c>
      <c r="B1877" s="1">
        <f>IFERROR(__xludf.DUMMYFUNCTION("""COMPUTED_VALUE"""),3576.87132)</f>
        <v>3576.87132</v>
      </c>
    </row>
    <row r="1878">
      <c r="A1878" s="3">
        <f>IFERROR(__xludf.DUMMYFUNCTION("""COMPUTED_VALUE"""),42450.99861111111)</f>
        <v>42450.99861</v>
      </c>
      <c r="B1878" s="1">
        <f>IFERROR(__xludf.DUMMYFUNCTION("""COMPUTED_VALUE"""),3588.14894)</f>
        <v>3588.14894</v>
      </c>
    </row>
    <row r="1879">
      <c r="A1879" s="3">
        <f>IFERROR(__xludf.DUMMYFUNCTION("""COMPUTED_VALUE"""),42451.99861111111)</f>
        <v>42451.99861</v>
      </c>
      <c r="B1879" s="1">
        <f>IFERROR(__xludf.DUMMYFUNCTION("""COMPUTED_VALUE"""),3565.96119)</f>
        <v>3565.96119</v>
      </c>
    </row>
    <row r="1880">
      <c r="A1880" s="3">
        <f>IFERROR(__xludf.DUMMYFUNCTION("""COMPUTED_VALUE"""),42452.99861111111)</f>
        <v>42452.99861</v>
      </c>
      <c r="B1880" s="1">
        <f>IFERROR(__xludf.DUMMYFUNCTION("""COMPUTED_VALUE"""),3596.99085)</f>
        <v>3596.99085</v>
      </c>
    </row>
    <row r="1881">
      <c r="A1881" s="3">
        <f>IFERROR(__xludf.DUMMYFUNCTION("""COMPUTED_VALUE"""),42453.99861111111)</f>
        <v>42453.99861</v>
      </c>
      <c r="B1881" s="1">
        <f>IFERROR(__xludf.DUMMYFUNCTION("""COMPUTED_VALUE"""),3601.89027)</f>
        <v>3601.89027</v>
      </c>
    </row>
    <row r="1882">
      <c r="A1882" s="3">
        <f>IFERROR(__xludf.DUMMYFUNCTION("""COMPUTED_VALUE"""),42454.99861111111)</f>
        <v>42454.99861</v>
      </c>
      <c r="B1882" s="1">
        <f>IFERROR(__xludf.DUMMYFUNCTION("""COMPUTED_VALUE"""),3584.7423)</f>
        <v>3584.7423</v>
      </c>
    </row>
    <row r="1883">
      <c r="A1883" s="3">
        <f>IFERROR(__xludf.DUMMYFUNCTION("""COMPUTED_VALUE"""),42457.99861111111)</f>
        <v>42457.99861</v>
      </c>
      <c r="B1883" s="1">
        <f>IFERROR(__xludf.DUMMYFUNCTION("""COMPUTED_VALUE"""),3614.9355)</f>
        <v>3614.9355</v>
      </c>
    </row>
    <row r="1884">
      <c r="A1884" s="3">
        <f>IFERROR(__xludf.DUMMYFUNCTION("""COMPUTED_VALUE"""),42458.99861111111)</f>
        <v>42458.99861</v>
      </c>
      <c r="B1884" s="1">
        <f>IFERROR(__xludf.DUMMYFUNCTION("""COMPUTED_VALUE"""),3587.4642)</f>
        <v>3587.4642</v>
      </c>
    </row>
    <row r="1885">
      <c r="A1885" s="3">
        <f>IFERROR(__xludf.DUMMYFUNCTION("""COMPUTED_VALUE"""),42459.99861111111)</f>
        <v>42459.99861</v>
      </c>
      <c r="B1885" s="1">
        <f>IFERROR(__xludf.DUMMYFUNCTION("""COMPUTED_VALUE"""),3603.928)</f>
        <v>3603.928</v>
      </c>
    </row>
    <row r="1886">
      <c r="A1886" s="3">
        <f>IFERROR(__xludf.DUMMYFUNCTION("""COMPUTED_VALUE"""),42460.99861111111)</f>
        <v>42460.99861</v>
      </c>
      <c r="B1886" s="1">
        <f>IFERROR(__xludf.DUMMYFUNCTION("""COMPUTED_VALUE"""),3581.34444)</f>
        <v>3581.34444</v>
      </c>
    </row>
    <row r="1887">
      <c r="A1887" s="3">
        <f>IFERROR(__xludf.DUMMYFUNCTION("""COMPUTED_VALUE"""),42461.99861111111)</f>
        <v>42461.99861</v>
      </c>
      <c r="B1887" s="1">
        <f>IFERROR(__xludf.DUMMYFUNCTION("""COMPUTED_VALUE"""),3572.90686)</f>
        <v>3572.90686</v>
      </c>
    </row>
    <row r="1888">
      <c r="A1888" s="3">
        <f>IFERROR(__xludf.DUMMYFUNCTION("""COMPUTED_VALUE"""),42462.99861111111)</f>
        <v>42462.99861</v>
      </c>
      <c r="B1888" s="1">
        <f>IFERROR(__xludf.DUMMYFUNCTION("""COMPUTED_VALUE"""),3576.608508)</f>
        <v>3576.608508</v>
      </c>
    </row>
    <row r="1889">
      <c r="A1889" s="3">
        <f>IFERROR(__xludf.DUMMYFUNCTION("""COMPUTED_VALUE"""),42463.99861111111)</f>
        <v>42463.99861</v>
      </c>
      <c r="B1889" s="1">
        <f>IFERROR(__xludf.DUMMYFUNCTION("""COMPUTED_VALUE"""),3576.608508)</f>
        <v>3576.608508</v>
      </c>
    </row>
    <row r="1890">
      <c r="A1890" s="3">
        <f>IFERROR(__xludf.DUMMYFUNCTION("""COMPUTED_VALUE"""),42464.99861111111)</f>
        <v>42464.99861</v>
      </c>
      <c r="B1890" s="1">
        <f>IFERROR(__xludf.DUMMYFUNCTION("""COMPUTED_VALUE"""),3576.4452)</f>
        <v>3576.4452</v>
      </c>
    </row>
    <row r="1891">
      <c r="A1891" s="3">
        <f>IFERROR(__xludf.DUMMYFUNCTION("""COMPUTED_VALUE"""),42465.99861111111)</f>
        <v>42465.99861</v>
      </c>
      <c r="B1891" s="1">
        <f>IFERROR(__xludf.DUMMYFUNCTION("""COMPUTED_VALUE"""),3595.4978)</f>
        <v>3595.4978</v>
      </c>
    </row>
    <row r="1892">
      <c r="A1892" s="3">
        <f>IFERROR(__xludf.DUMMYFUNCTION("""COMPUTED_VALUE"""),42466.99861111111)</f>
        <v>42466.99861</v>
      </c>
      <c r="B1892" s="1">
        <f>IFERROR(__xludf.DUMMYFUNCTION("""COMPUTED_VALUE"""),3585.28668)</f>
        <v>3585.28668</v>
      </c>
    </row>
    <row r="1893">
      <c r="A1893" s="3">
        <f>IFERROR(__xludf.DUMMYFUNCTION("""COMPUTED_VALUE"""),42467.99861111111)</f>
        <v>42467.99861</v>
      </c>
      <c r="B1893" s="1">
        <f>IFERROR(__xludf.DUMMYFUNCTION("""COMPUTED_VALUE"""),3585.15496)</f>
        <v>3585.15496</v>
      </c>
    </row>
    <row r="1894">
      <c r="A1894" s="3">
        <f>IFERROR(__xludf.DUMMYFUNCTION("""COMPUTED_VALUE"""),42468.99861111111)</f>
        <v>42468.99861</v>
      </c>
      <c r="B1894" s="1">
        <f>IFERROR(__xludf.DUMMYFUNCTION("""COMPUTED_VALUE"""),3569.6407)</f>
        <v>3569.6407</v>
      </c>
    </row>
    <row r="1895">
      <c r="A1895" s="3">
        <f>IFERROR(__xludf.DUMMYFUNCTION("""COMPUTED_VALUE"""),42469.99861111111)</f>
        <v>42469.99861</v>
      </c>
      <c r="B1895" s="1">
        <f>IFERROR(__xludf.DUMMYFUNCTION("""COMPUTED_VALUE"""),3576.608508)</f>
        <v>3576.608508</v>
      </c>
    </row>
    <row r="1896">
      <c r="A1896" s="3">
        <f>IFERROR(__xludf.DUMMYFUNCTION("""COMPUTED_VALUE"""),42470.99861111111)</f>
        <v>42470.99861</v>
      </c>
      <c r="B1896" s="1">
        <f>IFERROR(__xludf.DUMMYFUNCTION("""COMPUTED_VALUE"""),3576.608508)</f>
        <v>3576.608508</v>
      </c>
    </row>
    <row r="1897">
      <c r="A1897" s="3">
        <f>IFERROR(__xludf.DUMMYFUNCTION("""COMPUTED_VALUE"""),42471.99861111111)</f>
        <v>42471.99861</v>
      </c>
      <c r="B1897" s="1">
        <f>IFERROR(__xludf.DUMMYFUNCTION("""COMPUTED_VALUE"""),3564.1971)</f>
        <v>3564.1971</v>
      </c>
    </row>
    <row r="1898">
      <c r="A1898" s="3">
        <f>IFERROR(__xludf.DUMMYFUNCTION("""COMPUTED_VALUE"""),42472.99861111111)</f>
        <v>42472.99861</v>
      </c>
      <c r="B1898" s="1">
        <f>IFERROR(__xludf.DUMMYFUNCTION("""COMPUTED_VALUE"""),3558.33987)</f>
        <v>3558.33987</v>
      </c>
    </row>
    <row r="1899">
      <c r="A1899" s="3">
        <f>IFERROR(__xludf.DUMMYFUNCTION("""COMPUTED_VALUE"""),42473.99861111111)</f>
        <v>42473.99861</v>
      </c>
      <c r="B1899" s="1">
        <f>IFERROR(__xludf.DUMMYFUNCTION("""COMPUTED_VALUE"""),3577.8061)</f>
        <v>3577.8061</v>
      </c>
    </row>
    <row r="1900">
      <c r="A1900" s="3">
        <f>IFERROR(__xludf.DUMMYFUNCTION("""COMPUTED_VALUE"""),42474.99861111111)</f>
        <v>42474.99861</v>
      </c>
      <c r="B1900" s="1">
        <f>IFERROR(__xludf.DUMMYFUNCTION("""COMPUTED_VALUE"""),3584.36464)</f>
        <v>3584.36464</v>
      </c>
    </row>
    <row r="1901">
      <c r="A1901" s="3">
        <f>IFERROR(__xludf.DUMMYFUNCTION("""COMPUTED_VALUE"""),42475.99861111111)</f>
        <v>42475.99861</v>
      </c>
      <c r="B1901" s="1">
        <f>IFERROR(__xludf.DUMMYFUNCTION("""COMPUTED_VALUE"""),3573.7234)</f>
        <v>3573.7234</v>
      </c>
    </row>
    <row r="1902">
      <c r="A1902" s="3">
        <f>IFERROR(__xludf.DUMMYFUNCTION("""COMPUTED_VALUE"""),42476.99861111111)</f>
        <v>42476.99861</v>
      </c>
      <c r="B1902" s="1">
        <f>IFERROR(__xludf.DUMMYFUNCTION("""COMPUTED_VALUE"""),3601.189597)</f>
        <v>3601.189597</v>
      </c>
    </row>
    <row r="1903">
      <c r="A1903" s="3">
        <f>IFERROR(__xludf.DUMMYFUNCTION("""COMPUTED_VALUE"""),42478.99861111111)</f>
        <v>42478.99861</v>
      </c>
      <c r="B1903" s="1">
        <f>IFERROR(__xludf.DUMMYFUNCTION("""COMPUTED_VALUE"""),3566.64672)</f>
        <v>3566.64672</v>
      </c>
    </row>
    <row r="1904">
      <c r="A1904" s="3">
        <f>IFERROR(__xludf.DUMMYFUNCTION("""COMPUTED_VALUE"""),42479.99861111111)</f>
        <v>42479.99861</v>
      </c>
      <c r="B1904" s="1">
        <f>IFERROR(__xludf.DUMMYFUNCTION("""COMPUTED_VALUE"""),3561.74748)</f>
        <v>3561.74748</v>
      </c>
    </row>
    <row r="1905">
      <c r="A1905" s="3">
        <f>IFERROR(__xludf.DUMMYFUNCTION("""COMPUTED_VALUE"""),42480.99861111111)</f>
        <v>42480.99861</v>
      </c>
      <c r="B1905" s="1">
        <f>IFERROR(__xludf.DUMMYFUNCTION("""COMPUTED_VALUE"""),3583.52188)</f>
        <v>3583.52188</v>
      </c>
    </row>
    <row r="1906">
      <c r="A1906" s="3">
        <f>IFERROR(__xludf.DUMMYFUNCTION("""COMPUTED_VALUE"""),42481.99861111111)</f>
        <v>42481.99861</v>
      </c>
      <c r="B1906" s="1">
        <f>IFERROR(__xludf.DUMMYFUNCTION("""COMPUTED_VALUE"""),3585.15496)</f>
        <v>3585.15496</v>
      </c>
    </row>
    <row r="1907">
      <c r="A1907" s="3">
        <f>IFERROR(__xludf.DUMMYFUNCTION("""COMPUTED_VALUE"""),42482.99861111111)</f>
        <v>42482.99861</v>
      </c>
      <c r="B1907" s="1">
        <f>IFERROR(__xludf.DUMMYFUNCTION("""COMPUTED_VALUE"""),3592.33875)</f>
        <v>3592.33875</v>
      </c>
    </row>
    <row r="1908">
      <c r="A1908" s="3">
        <f>IFERROR(__xludf.DUMMYFUNCTION("""COMPUTED_VALUE"""),42485.99861111111)</f>
        <v>42485.99861</v>
      </c>
      <c r="B1908" s="1">
        <f>IFERROR(__xludf.DUMMYFUNCTION("""COMPUTED_VALUE"""),3590.0542)</f>
        <v>3590.0542</v>
      </c>
    </row>
    <row r="1909">
      <c r="A1909" s="3">
        <f>IFERROR(__xludf.DUMMYFUNCTION("""COMPUTED_VALUE"""),42486.99861111111)</f>
        <v>42486.99861</v>
      </c>
      <c r="B1909" s="1">
        <f>IFERROR(__xludf.DUMMYFUNCTION("""COMPUTED_VALUE"""),3581.8888)</f>
        <v>3581.8888</v>
      </c>
    </row>
    <row r="1910">
      <c r="A1910" s="3">
        <f>IFERROR(__xludf.DUMMYFUNCTION("""COMPUTED_VALUE"""),42487.99861111111)</f>
        <v>42487.99861</v>
      </c>
      <c r="B1910" s="1">
        <f>IFERROR(__xludf.DUMMYFUNCTION("""COMPUTED_VALUE"""),3580.65945)</f>
        <v>3580.65945</v>
      </c>
    </row>
    <row r="1911">
      <c r="A1911" s="3">
        <f>IFERROR(__xludf.DUMMYFUNCTION("""COMPUTED_VALUE"""),42488.99861111111)</f>
        <v>42488.99861</v>
      </c>
      <c r="B1911" s="1">
        <f>IFERROR(__xludf.DUMMYFUNCTION("""COMPUTED_VALUE"""),3584.7423)</f>
        <v>3584.7423</v>
      </c>
    </row>
    <row r="1912">
      <c r="A1912" s="3">
        <f>IFERROR(__xludf.DUMMYFUNCTION("""COMPUTED_VALUE"""),42489.99861111111)</f>
        <v>42489.99861</v>
      </c>
      <c r="B1912" s="1">
        <f>IFERROR(__xludf.DUMMYFUNCTION("""COMPUTED_VALUE"""),3586.10325)</f>
        <v>3586.10325</v>
      </c>
    </row>
    <row r="1913">
      <c r="A1913" s="3">
        <f>IFERROR(__xludf.DUMMYFUNCTION("""COMPUTED_VALUE"""),42490.99861111111)</f>
        <v>42490.99861</v>
      </c>
      <c r="B1913" s="1">
        <f>IFERROR(__xludf.DUMMYFUNCTION("""COMPUTED_VALUE"""),3595.638065)</f>
        <v>3595.638065</v>
      </c>
    </row>
    <row r="1914">
      <c r="A1914" s="3">
        <f>IFERROR(__xludf.DUMMYFUNCTION("""COMPUTED_VALUE"""),42492.99861111111)</f>
        <v>42492.99861</v>
      </c>
      <c r="B1914" s="1">
        <f>IFERROR(__xludf.DUMMYFUNCTION("""COMPUTED_VALUE"""),3564.32805)</f>
        <v>3564.32805</v>
      </c>
    </row>
    <row r="1915">
      <c r="A1915" s="3">
        <f>IFERROR(__xludf.DUMMYFUNCTION("""COMPUTED_VALUE"""),42493.99861111111)</f>
        <v>42493.99861</v>
      </c>
      <c r="B1915" s="1">
        <f>IFERROR(__xludf.DUMMYFUNCTION("""COMPUTED_VALUE"""),3588.6933)</f>
        <v>3588.6933</v>
      </c>
    </row>
    <row r="1916">
      <c r="A1916" s="3">
        <f>IFERROR(__xludf.DUMMYFUNCTION("""COMPUTED_VALUE"""),42494.99861111111)</f>
        <v>42494.99861</v>
      </c>
      <c r="B1916" s="1">
        <f>IFERROR(__xludf.DUMMYFUNCTION("""COMPUTED_VALUE"""),3633.603)</f>
        <v>3633.603</v>
      </c>
    </row>
    <row r="1917">
      <c r="A1917" s="3">
        <f>IFERROR(__xludf.DUMMYFUNCTION("""COMPUTED_VALUE"""),42495.99861111111)</f>
        <v>42495.99861</v>
      </c>
      <c r="B1917" s="1">
        <f>IFERROR(__xludf.DUMMYFUNCTION("""COMPUTED_VALUE"""),3632.2421)</f>
        <v>3632.2421</v>
      </c>
    </row>
    <row r="1918">
      <c r="A1918" s="3">
        <f>IFERROR(__xludf.DUMMYFUNCTION("""COMPUTED_VALUE"""),42496.99861111111)</f>
        <v>42496.99861</v>
      </c>
      <c r="B1918" s="1">
        <f>IFERROR(__xludf.DUMMYFUNCTION("""COMPUTED_VALUE"""),3622.8489)</f>
        <v>3622.8489</v>
      </c>
    </row>
    <row r="1919">
      <c r="A1919" s="3">
        <f>IFERROR(__xludf.DUMMYFUNCTION("""COMPUTED_VALUE"""),42497.99861111111)</f>
        <v>42497.99861</v>
      </c>
      <c r="B1919" s="1">
        <f>IFERROR(__xludf.DUMMYFUNCTION("""COMPUTED_VALUE"""),3649.462245)</f>
        <v>3649.462245</v>
      </c>
    </row>
    <row r="1920">
      <c r="A1920" s="3">
        <f>IFERROR(__xludf.DUMMYFUNCTION("""COMPUTED_VALUE"""),42499.99861111111)</f>
        <v>42499.99861</v>
      </c>
      <c r="B1920" s="1">
        <f>IFERROR(__xludf.DUMMYFUNCTION("""COMPUTED_VALUE"""),3640.95186)</f>
        <v>3640.95186</v>
      </c>
    </row>
    <row r="1921">
      <c r="A1921" s="3">
        <f>IFERROR(__xludf.DUMMYFUNCTION("""COMPUTED_VALUE"""),42500.99861111111)</f>
        <v>42500.99861</v>
      </c>
      <c r="B1921" s="1">
        <f>IFERROR(__xludf.DUMMYFUNCTION("""COMPUTED_VALUE"""),3619.44964)</f>
        <v>3619.44964</v>
      </c>
    </row>
    <row r="1922">
      <c r="A1922" s="3">
        <f>IFERROR(__xludf.DUMMYFUNCTION("""COMPUTED_VALUE"""),42501.99861111111)</f>
        <v>42501.99861</v>
      </c>
      <c r="B1922" s="1">
        <f>IFERROR(__xludf.DUMMYFUNCTION("""COMPUTED_VALUE"""),3605.56846)</f>
        <v>3605.56846</v>
      </c>
    </row>
    <row r="1923">
      <c r="A1923" s="3">
        <f>IFERROR(__xludf.DUMMYFUNCTION("""COMPUTED_VALUE"""),42502.99861111111)</f>
        <v>42502.99861</v>
      </c>
      <c r="B1923" s="1">
        <f>IFERROR(__xludf.DUMMYFUNCTION("""COMPUTED_VALUE"""),3607.7459)</f>
        <v>3607.7459</v>
      </c>
    </row>
    <row r="1924">
      <c r="A1924" s="3">
        <f>IFERROR(__xludf.DUMMYFUNCTION("""COMPUTED_VALUE"""),42503.99861111111)</f>
        <v>42503.99861</v>
      </c>
      <c r="B1924" s="1">
        <f>IFERROR(__xludf.DUMMYFUNCTION("""COMPUTED_VALUE"""),3629.637)</f>
        <v>3629.637</v>
      </c>
    </row>
    <row r="1925">
      <c r="A1925" s="3">
        <f>IFERROR(__xludf.DUMMYFUNCTION("""COMPUTED_VALUE"""),42506.99861111111)</f>
        <v>42506.99861</v>
      </c>
      <c r="B1925" s="1">
        <f>IFERROR(__xludf.DUMMYFUNCTION("""COMPUTED_VALUE"""),3625.4376)</f>
        <v>3625.4376</v>
      </c>
    </row>
    <row r="1926">
      <c r="A1926" s="3">
        <f>IFERROR(__xludf.DUMMYFUNCTION("""COMPUTED_VALUE"""),42507.99861111111)</f>
        <v>42507.99861</v>
      </c>
      <c r="B1926" s="1">
        <f>IFERROR(__xludf.DUMMYFUNCTION("""COMPUTED_VALUE"""),3624.89324)</f>
        <v>3624.89324</v>
      </c>
    </row>
    <row r="1927">
      <c r="A1927" s="3">
        <f>IFERROR(__xludf.DUMMYFUNCTION("""COMPUTED_VALUE"""),42508.99861111111)</f>
        <v>42508.99861</v>
      </c>
      <c r="B1927" s="1">
        <f>IFERROR(__xludf.DUMMYFUNCTION("""COMPUTED_VALUE"""),3656.7383)</f>
        <v>3656.7383</v>
      </c>
    </row>
    <row r="1928">
      <c r="A1928" s="3">
        <f>IFERROR(__xludf.DUMMYFUNCTION("""COMPUTED_VALUE"""),42509.99861111111)</f>
        <v>42509.99861</v>
      </c>
      <c r="B1928" s="1">
        <f>IFERROR(__xludf.DUMMYFUNCTION("""COMPUTED_VALUE"""),3700.2871)</f>
        <v>3700.2871</v>
      </c>
    </row>
    <row r="1929">
      <c r="A1929" s="3">
        <f>IFERROR(__xludf.DUMMYFUNCTION("""COMPUTED_VALUE"""),42510.99861111111)</f>
        <v>42510.99861</v>
      </c>
      <c r="B1929" s="1">
        <f>IFERROR(__xludf.DUMMYFUNCTION("""COMPUTED_VALUE"""),3704.0973)</f>
        <v>3704.0973</v>
      </c>
    </row>
    <row r="1930">
      <c r="A1930" s="3">
        <f>IFERROR(__xludf.DUMMYFUNCTION("""COMPUTED_VALUE"""),42512.99861111111)</f>
        <v>42512.99861</v>
      </c>
      <c r="B1930" s="1">
        <f>IFERROR(__xludf.DUMMYFUNCTION("""COMPUTED_VALUE"""),3708.172154)</f>
        <v>3708.172154</v>
      </c>
    </row>
    <row r="1931">
      <c r="A1931" s="3">
        <f>IFERROR(__xludf.DUMMYFUNCTION("""COMPUTED_VALUE"""),42513.99861111111)</f>
        <v>42513.99861</v>
      </c>
      <c r="B1931" s="1">
        <f>IFERROR(__xludf.DUMMYFUNCTION("""COMPUTED_VALUE"""),3685.3172)</f>
        <v>3685.3172</v>
      </c>
    </row>
    <row r="1932">
      <c r="A1932" s="3">
        <f>IFERROR(__xludf.DUMMYFUNCTION("""COMPUTED_VALUE"""),42514.99861111111)</f>
        <v>42514.99861</v>
      </c>
      <c r="B1932" s="1">
        <f>IFERROR(__xludf.DUMMYFUNCTION("""COMPUTED_VALUE"""),3693.4826)</f>
        <v>3693.4826</v>
      </c>
    </row>
    <row r="1933">
      <c r="A1933" s="3">
        <f>IFERROR(__xludf.DUMMYFUNCTION("""COMPUTED_VALUE"""),42515.99861111111)</f>
        <v>42515.99861</v>
      </c>
      <c r="B1933" s="1">
        <f>IFERROR(__xludf.DUMMYFUNCTION("""COMPUTED_VALUE"""),3703.82544)</f>
        <v>3703.82544</v>
      </c>
    </row>
    <row r="1934">
      <c r="A1934" s="3">
        <f>IFERROR(__xludf.DUMMYFUNCTION("""COMPUTED_VALUE"""),42516.99861111111)</f>
        <v>42516.99861</v>
      </c>
      <c r="B1934" s="1">
        <f>IFERROR(__xludf.DUMMYFUNCTION("""COMPUTED_VALUE"""),3687.76682)</f>
        <v>3687.76682</v>
      </c>
    </row>
    <row r="1935">
      <c r="A1935" s="3">
        <f>IFERROR(__xludf.DUMMYFUNCTION("""COMPUTED_VALUE"""),42517.99861111111)</f>
        <v>42517.99861</v>
      </c>
      <c r="B1935" s="1">
        <f>IFERROR(__xludf.DUMMYFUNCTION("""COMPUTED_VALUE"""),3690.7608)</f>
        <v>3690.7608</v>
      </c>
    </row>
    <row r="1936">
      <c r="A1936" s="3">
        <f>IFERROR(__xludf.DUMMYFUNCTION("""COMPUTED_VALUE"""),42519.99861111111)</f>
        <v>42519.99861</v>
      </c>
      <c r="B1936" s="1">
        <f>IFERROR(__xludf.DUMMYFUNCTION("""COMPUTED_VALUE"""),3738.735246)</f>
        <v>3738.735246</v>
      </c>
    </row>
    <row r="1937">
      <c r="A1937" s="3">
        <f>IFERROR(__xludf.DUMMYFUNCTION("""COMPUTED_VALUE"""),42520.99861111111)</f>
        <v>42520.99861</v>
      </c>
      <c r="B1937" s="1">
        <f>IFERROR(__xludf.DUMMYFUNCTION("""COMPUTED_VALUE"""),3710.08558)</f>
        <v>3710.08558</v>
      </c>
    </row>
    <row r="1938">
      <c r="A1938" s="3">
        <f>IFERROR(__xludf.DUMMYFUNCTION("""COMPUTED_VALUE"""),42521.99861111111)</f>
        <v>42521.99861</v>
      </c>
      <c r="B1938" s="1">
        <f>IFERROR(__xludf.DUMMYFUNCTION("""COMPUTED_VALUE"""),3713.35174)</f>
        <v>3713.35174</v>
      </c>
    </row>
    <row r="1939">
      <c r="A1939" s="3">
        <f>IFERROR(__xludf.DUMMYFUNCTION("""COMPUTED_VALUE"""),42522.99861111111)</f>
        <v>42522.99861</v>
      </c>
      <c r="B1939" s="1">
        <f>IFERROR(__xludf.DUMMYFUNCTION("""COMPUTED_VALUE"""),3704.3698)</f>
        <v>3704.3698</v>
      </c>
    </row>
    <row r="1940">
      <c r="A1940" s="3">
        <f>IFERROR(__xludf.DUMMYFUNCTION("""COMPUTED_VALUE"""),42523.99861111111)</f>
        <v>42523.99861</v>
      </c>
      <c r="B1940" s="1">
        <f>IFERROR(__xludf.DUMMYFUNCTION("""COMPUTED_VALUE"""),3704.3698)</f>
        <v>3704.3698</v>
      </c>
    </row>
    <row r="1941">
      <c r="A1941" s="3">
        <f>IFERROR(__xludf.DUMMYFUNCTION("""COMPUTED_VALUE"""),42524.99861111111)</f>
        <v>42524.99861</v>
      </c>
      <c r="B1941" s="1">
        <f>IFERROR(__xludf.DUMMYFUNCTION("""COMPUTED_VALUE"""),3652.11124)</f>
        <v>3652.11124</v>
      </c>
    </row>
    <row r="1942">
      <c r="A1942" s="3">
        <f>IFERROR(__xludf.DUMMYFUNCTION("""COMPUTED_VALUE"""),42527.99861111111)</f>
        <v>42527.99861</v>
      </c>
      <c r="B1942" s="1">
        <f>IFERROR(__xludf.DUMMYFUNCTION("""COMPUTED_VALUE"""),3632.78646)</f>
        <v>3632.78646</v>
      </c>
    </row>
    <row r="1943">
      <c r="A1943" s="3">
        <f>IFERROR(__xludf.DUMMYFUNCTION("""COMPUTED_VALUE"""),42528.99861111111)</f>
        <v>42528.99861</v>
      </c>
      <c r="B1943" s="1">
        <f>IFERROR(__xludf.DUMMYFUNCTION("""COMPUTED_VALUE"""),3600.25713)</f>
        <v>3600.25713</v>
      </c>
    </row>
    <row r="1944">
      <c r="A1944" s="3">
        <f>IFERROR(__xludf.DUMMYFUNCTION("""COMPUTED_VALUE"""),42529.99861111111)</f>
        <v>42529.99861</v>
      </c>
      <c r="B1944" s="1">
        <f>IFERROR(__xludf.DUMMYFUNCTION("""COMPUTED_VALUE"""),3594.26895)</f>
        <v>3594.26895</v>
      </c>
    </row>
    <row r="1945">
      <c r="A1945" s="3">
        <f>IFERROR(__xludf.DUMMYFUNCTION("""COMPUTED_VALUE"""),42530.99861111111)</f>
        <v>42530.99861</v>
      </c>
      <c r="B1945" s="1">
        <f>IFERROR(__xludf.DUMMYFUNCTION("""COMPUTED_VALUE"""),3606.385)</f>
        <v>3606.385</v>
      </c>
    </row>
    <row r="1946">
      <c r="A1946" s="3">
        <f>IFERROR(__xludf.DUMMYFUNCTION("""COMPUTED_VALUE"""),42531.99861111111)</f>
        <v>42531.99861</v>
      </c>
      <c r="B1946" s="1">
        <f>IFERROR(__xludf.DUMMYFUNCTION("""COMPUTED_VALUE"""),3628.0035)</f>
        <v>3628.0035</v>
      </c>
    </row>
    <row r="1947">
      <c r="A1947" s="3">
        <f>IFERROR(__xludf.DUMMYFUNCTION("""COMPUTED_VALUE"""),42534.99861111111)</f>
        <v>42534.99861</v>
      </c>
      <c r="B1947" s="1">
        <f>IFERROR(__xludf.DUMMYFUNCTION("""COMPUTED_VALUE"""),3625.70978)</f>
        <v>3625.70978</v>
      </c>
    </row>
    <row r="1948">
      <c r="A1948" s="3">
        <f>IFERROR(__xludf.DUMMYFUNCTION("""COMPUTED_VALUE"""),42535.99861111111)</f>
        <v>42535.99861</v>
      </c>
      <c r="B1948" s="1">
        <f>IFERROR(__xludf.DUMMYFUNCTION("""COMPUTED_VALUE"""),3633.603)</f>
        <v>3633.603</v>
      </c>
    </row>
    <row r="1949">
      <c r="A1949" s="3">
        <f>IFERROR(__xludf.DUMMYFUNCTION("""COMPUTED_VALUE"""),42536.99861111111)</f>
        <v>42536.99861</v>
      </c>
      <c r="B1949" s="1">
        <f>IFERROR(__xludf.DUMMYFUNCTION("""COMPUTED_VALUE"""),3625.4376)</f>
        <v>3625.4376</v>
      </c>
    </row>
    <row r="1950">
      <c r="A1950" s="3">
        <f>IFERROR(__xludf.DUMMYFUNCTION("""COMPUTED_VALUE"""),42537.99861111111)</f>
        <v>42537.99861</v>
      </c>
      <c r="B1950" s="1">
        <f>IFERROR(__xludf.DUMMYFUNCTION("""COMPUTED_VALUE"""),3643.40148)</f>
        <v>3643.40148</v>
      </c>
    </row>
    <row r="1951">
      <c r="A1951" s="3">
        <f>IFERROR(__xludf.DUMMYFUNCTION("""COMPUTED_VALUE"""),42538.99861111111)</f>
        <v>42538.99861</v>
      </c>
      <c r="B1951" s="1">
        <f>IFERROR(__xludf.DUMMYFUNCTION("""COMPUTED_VALUE"""),3628.70376)</f>
        <v>3628.70376</v>
      </c>
    </row>
    <row r="1952">
      <c r="A1952" s="3">
        <f>IFERROR(__xludf.DUMMYFUNCTION("""COMPUTED_VALUE"""),42540.99861111111)</f>
        <v>42540.99861</v>
      </c>
      <c r="B1952" s="1">
        <f>IFERROR(__xludf.DUMMYFUNCTION("""COMPUTED_VALUE"""),3629.065759)</f>
        <v>3629.065759</v>
      </c>
    </row>
    <row r="1953">
      <c r="A1953" s="3">
        <f>IFERROR(__xludf.DUMMYFUNCTION("""COMPUTED_VALUE"""),42541.99861111111)</f>
        <v>42541.99861</v>
      </c>
      <c r="B1953" s="1">
        <f>IFERROR(__xludf.DUMMYFUNCTION("""COMPUTED_VALUE"""),3606.385)</f>
        <v>3606.385</v>
      </c>
    </row>
    <row r="1954">
      <c r="A1954" s="3">
        <f>IFERROR(__xludf.DUMMYFUNCTION("""COMPUTED_VALUE"""),42542.99861111111)</f>
        <v>42542.99861</v>
      </c>
      <c r="B1954" s="1">
        <f>IFERROR(__xludf.DUMMYFUNCTION("""COMPUTED_VALUE"""),3607.7459)</f>
        <v>3607.7459</v>
      </c>
    </row>
    <row r="1955">
      <c r="A1955" s="3">
        <f>IFERROR(__xludf.DUMMYFUNCTION("""COMPUTED_VALUE"""),42543.99861111111)</f>
        <v>42543.99861</v>
      </c>
      <c r="B1955" s="1">
        <f>IFERROR(__xludf.DUMMYFUNCTION("""COMPUTED_VALUE"""),3591.4151)</f>
        <v>3591.4151</v>
      </c>
    </row>
    <row r="1956">
      <c r="A1956" s="3">
        <f>IFERROR(__xludf.DUMMYFUNCTION("""COMPUTED_VALUE"""),42544.99861111111)</f>
        <v>42544.99861</v>
      </c>
      <c r="B1956" s="1">
        <f>IFERROR(__xludf.DUMMYFUNCTION("""COMPUTED_VALUE"""),3606.385)</f>
        <v>3606.385</v>
      </c>
    </row>
    <row r="1957">
      <c r="A1957" s="3">
        <f>IFERROR(__xludf.DUMMYFUNCTION("""COMPUTED_VALUE"""),42545.99861111111)</f>
        <v>42545.99861</v>
      </c>
      <c r="B1957" s="1">
        <f>IFERROR(__xludf.DUMMYFUNCTION("""COMPUTED_VALUE"""),3640.4075)</f>
        <v>3640.4075</v>
      </c>
    </row>
    <row r="1958">
      <c r="A1958" s="3">
        <f>IFERROR(__xludf.DUMMYFUNCTION("""COMPUTED_VALUE"""),42548.99861111111)</f>
        <v>42548.99861</v>
      </c>
      <c r="B1958" s="1">
        <f>IFERROR(__xludf.DUMMYFUNCTION("""COMPUTED_VALUE"""),3643.1293)</f>
        <v>3643.1293</v>
      </c>
    </row>
    <row r="1959">
      <c r="A1959" s="3">
        <f>IFERROR(__xludf.DUMMYFUNCTION("""COMPUTED_VALUE"""),42549.99861111111)</f>
        <v>42549.99861</v>
      </c>
      <c r="B1959" s="1">
        <f>IFERROR(__xludf.DUMMYFUNCTION("""COMPUTED_VALUE"""),3582.2836)</f>
        <v>3582.2836</v>
      </c>
    </row>
    <row r="1960">
      <c r="A1960" s="3">
        <f>IFERROR(__xludf.DUMMYFUNCTION("""COMPUTED_VALUE"""),42550.99861111111)</f>
        <v>42550.99861</v>
      </c>
      <c r="B1960" s="1">
        <f>IFERROR(__xludf.DUMMYFUNCTION("""COMPUTED_VALUE"""),3576.17302)</f>
        <v>3576.17302</v>
      </c>
    </row>
    <row r="1961">
      <c r="A1961" s="3">
        <f>IFERROR(__xludf.DUMMYFUNCTION("""COMPUTED_VALUE"""),42551.99861111111)</f>
        <v>42551.99861</v>
      </c>
      <c r="B1961" s="1">
        <f>IFERROR(__xludf.DUMMYFUNCTION("""COMPUTED_VALUE"""),3586.51586)</f>
        <v>3586.51586</v>
      </c>
    </row>
    <row r="1962">
      <c r="A1962" s="3">
        <f>IFERROR(__xludf.DUMMYFUNCTION("""COMPUTED_VALUE"""),42552.99861111111)</f>
        <v>42552.99861</v>
      </c>
      <c r="B1962" s="1">
        <f>IFERROR(__xludf.DUMMYFUNCTION("""COMPUTED_VALUE"""),3569.77185)</f>
        <v>3569.77185</v>
      </c>
    </row>
    <row r="1963">
      <c r="A1963" s="3">
        <f>IFERROR(__xludf.DUMMYFUNCTION("""COMPUTED_VALUE"""),42553.99861111111)</f>
        <v>42553.99861</v>
      </c>
      <c r="B1963" s="1">
        <f>IFERROR(__xludf.DUMMYFUNCTION("""COMPUTED_VALUE"""),3572.044636)</f>
        <v>3572.044636</v>
      </c>
    </row>
    <row r="1964">
      <c r="A1964" s="3">
        <f>IFERROR(__xludf.DUMMYFUNCTION("""COMPUTED_VALUE"""),42555.99861111111)</f>
        <v>42555.99861</v>
      </c>
      <c r="B1964" s="1">
        <f>IFERROR(__xludf.DUMMYFUNCTION("""COMPUTED_VALUE"""),3554.6708)</f>
        <v>3554.6708</v>
      </c>
    </row>
    <row r="1965">
      <c r="A1965" s="3">
        <f>IFERROR(__xludf.DUMMYFUNCTION("""COMPUTED_VALUE"""),42556.99861111111)</f>
        <v>42556.99861</v>
      </c>
      <c r="B1965" s="1">
        <f>IFERROR(__xludf.DUMMYFUNCTION("""COMPUTED_VALUE"""),3581.8888)</f>
        <v>3581.8888</v>
      </c>
    </row>
    <row r="1966">
      <c r="A1966" s="3">
        <f>IFERROR(__xludf.DUMMYFUNCTION("""COMPUTED_VALUE"""),42557.99861111111)</f>
        <v>42557.99861</v>
      </c>
      <c r="B1966" s="1">
        <f>IFERROR(__xludf.DUMMYFUNCTION("""COMPUTED_VALUE"""),3595.91004)</f>
        <v>3595.91004</v>
      </c>
    </row>
    <row r="1967">
      <c r="A1967" s="3">
        <f>IFERROR(__xludf.DUMMYFUNCTION("""COMPUTED_VALUE"""),42558.99861111111)</f>
        <v>42558.99861</v>
      </c>
      <c r="B1967" s="1">
        <f>IFERROR(__xludf.DUMMYFUNCTION("""COMPUTED_VALUE"""),3565.427)</f>
        <v>3565.427</v>
      </c>
    </row>
    <row r="1968">
      <c r="A1968" s="3">
        <f>IFERROR(__xludf.DUMMYFUNCTION("""COMPUTED_VALUE"""),42559.99861111111)</f>
        <v>42559.99861</v>
      </c>
      <c r="B1968" s="1">
        <f>IFERROR(__xludf.DUMMYFUNCTION("""COMPUTED_VALUE"""),3567.04995)</f>
        <v>3567.04995</v>
      </c>
    </row>
    <row r="1969">
      <c r="A1969" s="3">
        <f>IFERROR(__xludf.DUMMYFUNCTION("""COMPUTED_VALUE"""),42560.99861111111)</f>
        <v>42560.99861</v>
      </c>
      <c r="B1969" s="1">
        <f>IFERROR(__xludf.DUMMYFUNCTION("""COMPUTED_VALUE"""),3576.739914)</f>
        <v>3576.739914</v>
      </c>
    </row>
    <row r="1970">
      <c r="A1970" s="3">
        <f>IFERROR(__xludf.DUMMYFUNCTION("""COMPUTED_VALUE"""),42562.99861111111)</f>
        <v>42562.99861</v>
      </c>
      <c r="B1970" s="1">
        <f>IFERROR(__xludf.DUMMYFUNCTION("""COMPUTED_VALUE"""),3571.0016)</f>
        <v>3571.0016</v>
      </c>
    </row>
    <row r="1971">
      <c r="A1971" s="3">
        <f>IFERROR(__xludf.DUMMYFUNCTION("""COMPUTED_VALUE"""),42563.99861111111)</f>
        <v>42563.99861</v>
      </c>
      <c r="B1971" s="1">
        <f>IFERROR(__xludf.DUMMYFUNCTION("""COMPUTED_VALUE"""),3558.7535)</f>
        <v>3558.7535</v>
      </c>
    </row>
    <row r="1972">
      <c r="A1972" s="3">
        <f>IFERROR(__xludf.DUMMYFUNCTION("""COMPUTED_VALUE"""),42564.99861111111)</f>
        <v>42564.99861</v>
      </c>
      <c r="B1972" s="1">
        <f>IFERROR(__xludf.DUMMYFUNCTION("""COMPUTED_VALUE"""),3542.4227)</f>
        <v>3542.4227</v>
      </c>
    </row>
    <row r="1973">
      <c r="A1973" s="3">
        <f>IFERROR(__xludf.DUMMYFUNCTION("""COMPUTED_VALUE"""),42565.99861111111)</f>
        <v>42565.99861</v>
      </c>
      <c r="B1973" s="1">
        <f>IFERROR(__xludf.DUMMYFUNCTION("""COMPUTED_VALUE"""),3543.7836)</f>
        <v>3543.7836</v>
      </c>
    </row>
    <row r="1974">
      <c r="A1974" s="3">
        <f>IFERROR(__xludf.DUMMYFUNCTION("""COMPUTED_VALUE"""),42566.99861111111)</f>
        <v>42566.99861</v>
      </c>
      <c r="B1974" s="1">
        <f>IFERROR(__xludf.DUMMYFUNCTION("""COMPUTED_VALUE"""),3555.34578)</f>
        <v>3555.34578</v>
      </c>
    </row>
    <row r="1975">
      <c r="A1975" s="3">
        <f>IFERROR(__xludf.DUMMYFUNCTION("""COMPUTED_VALUE"""),42567.99861111111)</f>
        <v>42567.99861</v>
      </c>
      <c r="B1975" s="1">
        <f>IFERROR(__xludf.DUMMYFUNCTION("""COMPUTED_VALUE"""),3581.446079)</f>
        <v>3581.446079</v>
      </c>
    </row>
    <row r="1976">
      <c r="A1976" s="3">
        <f>IFERROR(__xludf.DUMMYFUNCTION("""COMPUTED_VALUE"""),42569.99861111111)</f>
        <v>42569.99861</v>
      </c>
      <c r="B1976" s="1">
        <f>IFERROR(__xludf.DUMMYFUNCTION("""COMPUTED_VALUE"""),3559.57004)</f>
        <v>3559.57004</v>
      </c>
    </row>
    <row r="1977">
      <c r="A1977" s="3">
        <f>IFERROR(__xludf.DUMMYFUNCTION("""COMPUTED_VALUE"""),42570.99861111111)</f>
        <v>42570.99861</v>
      </c>
      <c r="B1977" s="1">
        <f>IFERROR(__xludf.DUMMYFUNCTION("""COMPUTED_VALUE"""),3563.65274)</f>
        <v>3563.65274</v>
      </c>
    </row>
    <row r="1978">
      <c r="A1978" s="3">
        <f>IFERROR(__xludf.DUMMYFUNCTION("""COMPUTED_VALUE"""),42571.99861111111)</f>
        <v>42571.99861</v>
      </c>
      <c r="B1978" s="1">
        <f>IFERROR(__xludf.DUMMYFUNCTION("""COMPUTED_VALUE"""),3566.9189)</f>
        <v>3566.9189</v>
      </c>
    </row>
    <row r="1979">
      <c r="A1979" s="3">
        <f>IFERROR(__xludf.DUMMYFUNCTION("""COMPUTED_VALUE"""),42572.99861111111)</f>
        <v>42572.99861</v>
      </c>
      <c r="B1979" s="1">
        <f>IFERROR(__xludf.DUMMYFUNCTION("""COMPUTED_VALUE"""),3568.55198)</f>
        <v>3568.55198</v>
      </c>
    </row>
    <row r="1980">
      <c r="A1980" s="3">
        <f>IFERROR(__xludf.DUMMYFUNCTION("""COMPUTED_VALUE"""),42573.99861111111)</f>
        <v>42573.99861</v>
      </c>
      <c r="B1980" s="1">
        <f>IFERROR(__xludf.DUMMYFUNCTION("""COMPUTED_VALUE"""),3569.09634)</f>
        <v>3569.09634</v>
      </c>
    </row>
    <row r="1981">
      <c r="A1981" s="3">
        <f>IFERROR(__xludf.DUMMYFUNCTION("""COMPUTED_VALUE"""),42576.99861111111)</f>
        <v>42576.99861</v>
      </c>
      <c r="B1981" s="1">
        <f>IFERROR(__xludf.DUMMYFUNCTION("""COMPUTED_VALUE"""),3564.1971)</f>
        <v>3564.1971</v>
      </c>
    </row>
    <row r="1982">
      <c r="A1982" s="3">
        <f>IFERROR(__xludf.DUMMYFUNCTION("""COMPUTED_VALUE"""),42577.99861111111)</f>
        <v>42577.99861</v>
      </c>
      <c r="B1982" s="1">
        <f>IFERROR(__xludf.DUMMYFUNCTION("""COMPUTED_VALUE"""),3583.3545)</f>
        <v>3583.3545</v>
      </c>
    </row>
    <row r="1983">
      <c r="A1983" s="3">
        <f>IFERROR(__xludf.DUMMYFUNCTION("""COMPUTED_VALUE"""),42578.99861111111)</f>
        <v>42578.99861</v>
      </c>
      <c r="B1983" s="1">
        <f>IFERROR(__xludf.DUMMYFUNCTION("""COMPUTED_VALUE"""),3565.9305)</f>
        <v>3565.9305</v>
      </c>
    </row>
    <row r="1984">
      <c r="A1984" s="3">
        <f>IFERROR(__xludf.DUMMYFUNCTION("""COMPUTED_VALUE"""),42579.99861111111)</f>
        <v>42579.99861</v>
      </c>
      <c r="B1984" s="1">
        <f>IFERROR(__xludf.DUMMYFUNCTION("""COMPUTED_VALUE"""),3554.12644)</f>
        <v>3554.12644</v>
      </c>
    </row>
    <row r="1985">
      <c r="A1985" s="3">
        <f>IFERROR(__xludf.DUMMYFUNCTION("""COMPUTED_VALUE"""),42580.99861111111)</f>
        <v>42580.99861</v>
      </c>
      <c r="B1985" s="1">
        <f>IFERROR(__xludf.DUMMYFUNCTION("""COMPUTED_VALUE"""),3543.9138)</f>
        <v>3543.9138</v>
      </c>
    </row>
    <row r="1986">
      <c r="A1986" s="3">
        <f>IFERROR(__xludf.DUMMYFUNCTION("""COMPUTED_VALUE"""),42581.99861111111)</f>
        <v>42581.99861</v>
      </c>
      <c r="B1986" s="1">
        <f>IFERROR(__xludf.DUMMYFUNCTION("""COMPUTED_VALUE"""),3572.044636)</f>
        <v>3572.044636</v>
      </c>
    </row>
    <row r="1987">
      <c r="A1987" s="3">
        <f>IFERROR(__xludf.DUMMYFUNCTION("""COMPUTED_VALUE"""),42583.99861111111)</f>
        <v>42583.99861</v>
      </c>
      <c r="B1987" s="1">
        <f>IFERROR(__xludf.DUMMYFUNCTION("""COMPUTED_VALUE"""),3541.322)</f>
        <v>3541.322</v>
      </c>
    </row>
    <row r="1988">
      <c r="A1988" s="3">
        <f>IFERROR(__xludf.DUMMYFUNCTION("""COMPUTED_VALUE"""),42584.99861111111)</f>
        <v>42584.99861</v>
      </c>
      <c r="B1988" s="1">
        <f>IFERROR(__xludf.DUMMYFUNCTION("""COMPUTED_VALUE"""),3563.38056)</f>
        <v>3563.38056</v>
      </c>
    </row>
    <row r="1989">
      <c r="A1989" s="3">
        <f>IFERROR(__xludf.DUMMYFUNCTION("""COMPUTED_VALUE"""),42585.99861111111)</f>
        <v>42585.99861</v>
      </c>
      <c r="B1989" s="1">
        <f>IFERROR(__xludf.DUMMYFUNCTION("""COMPUTED_VALUE"""),3576.4452)</f>
        <v>3576.4452</v>
      </c>
    </row>
    <row r="1990">
      <c r="A1990" s="3">
        <f>IFERROR(__xludf.DUMMYFUNCTION("""COMPUTED_VALUE"""),42586.99861111111)</f>
        <v>42586.99861</v>
      </c>
      <c r="B1990" s="1">
        <f>IFERROR(__xludf.DUMMYFUNCTION("""COMPUTED_VALUE"""),3566.37454)</f>
        <v>3566.37454</v>
      </c>
    </row>
    <row r="1991">
      <c r="A1991" s="3">
        <f>IFERROR(__xludf.DUMMYFUNCTION("""COMPUTED_VALUE"""),42587.99861111111)</f>
        <v>42587.99861</v>
      </c>
      <c r="B1991" s="1">
        <f>IFERROR(__xludf.DUMMYFUNCTION("""COMPUTED_VALUE"""),3571.54596)</f>
        <v>3571.54596</v>
      </c>
    </row>
    <row r="1992">
      <c r="A1992" s="3">
        <f>IFERROR(__xludf.DUMMYFUNCTION("""COMPUTED_VALUE"""),42590.99861111111)</f>
        <v>42590.99861</v>
      </c>
      <c r="B1992" s="1">
        <f>IFERROR(__xludf.DUMMYFUNCTION("""COMPUTED_VALUE"""),3566.9189)</f>
        <v>3566.9189</v>
      </c>
    </row>
    <row r="1993">
      <c r="A1993" s="3">
        <f>IFERROR(__xludf.DUMMYFUNCTION("""COMPUTED_VALUE"""),42591.99861111111)</f>
        <v>42591.99861</v>
      </c>
      <c r="B1993" s="1">
        <f>IFERROR(__xludf.DUMMYFUNCTION("""COMPUTED_VALUE"""),3565.83018)</f>
        <v>3565.83018</v>
      </c>
    </row>
    <row r="1994">
      <c r="A1994" s="3">
        <f>IFERROR(__xludf.DUMMYFUNCTION("""COMPUTED_VALUE"""),42592.99861111111)</f>
        <v>42592.99861</v>
      </c>
      <c r="B1994" s="1">
        <f>IFERROR(__xludf.DUMMYFUNCTION("""COMPUTED_VALUE"""),3560.93094)</f>
        <v>3560.93094</v>
      </c>
    </row>
    <row r="1995">
      <c r="A1995" s="3">
        <f>IFERROR(__xludf.DUMMYFUNCTION("""COMPUTED_VALUE"""),42593.99861111111)</f>
        <v>42593.99861</v>
      </c>
      <c r="B1995" s="1">
        <f>IFERROR(__xludf.DUMMYFUNCTION("""COMPUTED_VALUE"""),3565.01364)</f>
        <v>3565.01364</v>
      </c>
    </row>
    <row r="1996">
      <c r="A1996" s="3">
        <f>IFERROR(__xludf.DUMMYFUNCTION("""COMPUTED_VALUE"""),42594.99861111111)</f>
        <v>42594.99861</v>
      </c>
      <c r="B1996" s="1">
        <f>IFERROR(__xludf.DUMMYFUNCTION("""COMPUTED_VALUE"""),3569.46975)</f>
        <v>3569.46975</v>
      </c>
    </row>
    <row r="1997">
      <c r="A1997" s="3">
        <f>IFERROR(__xludf.DUMMYFUNCTION("""COMPUTED_VALUE"""),42597.99861111111)</f>
        <v>42597.99861</v>
      </c>
      <c r="B1997" s="1">
        <f>IFERROR(__xludf.DUMMYFUNCTION("""COMPUTED_VALUE"""),3555.21516)</f>
        <v>3555.21516</v>
      </c>
    </row>
    <row r="1998">
      <c r="A1998" s="3">
        <f>IFERROR(__xludf.DUMMYFUNCTION("""COMPUTED_VALUE"""),42598.99861111111)</f>
        <v>42598.99861</v>
      </c>
      <c r="B1998" s="1">
        <f>IFERROR(__xludf.DUMMYFUNCTION("""COMPUTED_VALUE"""),3568.55198)</f>
        <v>3568.55198</v>
      </c>
    </row>
    <row r="1999">
      <c r="A1999" s="3">
        <f>IFERROR(__xludf.DUMMYFUNCTION("""COMPUTED_VALUE"""),42599.99861111111)</f>
        <v>42599.99861</v>
      </c>
      <c r="B1999" s="1">
        <f>IFERROR(__xludf.DUMMYFUNCTION("""COMPUTED_VALUE"""),3569.6407)</f>
        <v>3569.6407</v>
      </c>
    </row>
    <row r="2000">
      <c r="A2000" s="3">
        <f>IFERROR(__xludf.DUMMYFUNCTION("""COMPUTED_VALUE"""),42600.99861111111)</f>
        <v>42600.99861</v>
      </c>
      <c r="B2000" s="1">
        <f>IFERROR(__xludf.DUMMYFUNCTION("""COMPUTED_VALUE"""),3568.2698)</f>
        <v>3568.2698</v>
      </c>
    </row>
    <row r="2001">
      <c r="A2001" s="3">
        <f>IFERROR(__xludf.DUMMYFUNCTION("""COMPUTED_VALUE"""),42601.99861111111)</f>
        <v>42601.99861</v>
      </c>
      <c r="B2001" s="1">
        <f>IFERROR(__xludf.DUMMYFUNCTION("""COMPUTED_VALUE"""),3577.365)</f>
        <v>3577.365</v>
      </c>
    </row>
    <row r="2002">
      <c r="A2002" s="3">
        <f>IFERROR(__xludf.DUMMYFUNCTION("""COMPUTED_VALUE"""),42603.99861111111)</f>
        <v>42603.99861</v>
      </c>
      <c r="B2002" s="1">
        <f>IFERROR(__xludf.DUMMYFUNCTION("""COMPUTED_VALUE"""),3588.172791)</f>
        <v>3588.172791</v>
      </c>
    </row>
    <row r="2003">
      <c r="A2003" s="3">
        <f>IFERROR(__xludf.DUMMYFUNCTION("""COMPUTED_VALUE"""),42604.99861111111)</f>
        <v>42604.99861</v>
      </c>
      <c r="B2003" s="1">
        <f>IFERROR(__xludf.DUMMYFUNCTION("""COMPUTED_VALUE"""),3595.22562)</f>
        <v>3595.22562</v>
      </c>
    </row>
    <row r="2004">
      <c r="A2004" s="3">
        <f>IFERROR(__xludf.DUMMYFUNCTION("""COMPUTED_VALUE"""),42605.99861111111)</f>
        <v>42605.99861</v>
      </c>
      <c r="B2004" s="1">
        <f>IFERROR(__xludf.DUMMYFUNCTION("""COMPUTED_VALUE"""),3602.03012)</f>
        <v>3602.03012</v>
      </c>
    </row>
    <row r="2005">
      <c r="A2005" s="3">
        <f>IFERROR(__xludf.DUMMYFUNCTION("""COMPUTED_VALUE"""),42606.99861111111)</f>
        <v>42606.99861</v>
      </c>
      <c r="B2005" s="1">
        <f>IFERROR(__xludf.DUMMYFUNCTION("""COMPUTED_VALUE"""),3608.56244)</f>
        <v>3608.56244</v>
      </c>
    </row>
    <row r="2006">
      <c r="A2006" s="3">
        <f>IFERROR(__xludf.DUMMYFUNCTION("""COMPUTED_VALUE"""),42607.99861111111)</f>
        <v>42607.99861</v>
      </c>
      <c r="B2006" s="1">
        <f>IFERROR(__xludf.DUMMYFUNCTION("""COMPUTED_VALUE"""),3605.29628)</f>
        <v>3605.29628</v>
      </c>
    </row>
    <row r="2007">
      <c r="A2007" s="3">
        <f>IFERROR(__xludf.DUMMYFUNCTION("""COMPUTED_VALUE"""),42608.99861111111)</f>
        <v>42608.99861</v>
      </c>
      <c r="B2007" s="1">
        <f>IFERROR(__xludf.DUMMYFUNCTION("""COMPUTED_VALUE"""),3618.36092)</f>
        <v>3618.36092</v>
      </c>
    </row>
    <row r="2008">
      <c r="A2008" s="3">
        <f>IFERROR(__xludf.DUMMYFUNCTION("""COMPUTED_VALUE"""),42609.99861111111)</f>
        <v>42609.99861</v>
      </c>
      <c r="B2008" s="1">
        <f>IFERROR(__xludf.DUMMYFUNCTION("""COMPUTED_VALUE"""),3624.231842)</f>
        <v>3624.231842</v>
      </c>
    </row>
    <row r="2009">
      <c r="A2009" s="3">
        <f>IFERROR(__xludf.DUMMYFUNCTION("""COMPUTED_VALUE"""),42610.99861111111)</f>
        <v>42610.99861</v>
      </c>
      <c r="B2009" s="1">
        <f>IFERROR(__xludf.DUMMYFUNCTION("""COMPUTED_VALUE"""),3622.7158)</f>
        <v>3622.7158</v>
      </c>
    </row>
    <row r="2010">
      <c r="A2010" s="3">
        <f>IFERROR(__xludf.DUMMYFUNCTION("""COMPUTED_VALUE"""),42611.99861111111)</f>
        <v>42611.99861</v>
      </c>
      <c r="B2010" s="1">
        <f>IFERROR(__xludf.DUMMYFUNCTION("""COMPUTED_VALUE"""),3605.84064)</f>
        <v>3605.84064</v>
      </c>
    </row>
    <row r="2011">
      <c r="A2011" s="3">
        <f>IFERROR(__xludf.DUMMYFUNCTION("""COMPUTED_VALUE"""),42612.99861111111)</f>
        <v>42612.99861</v>
      </c>
      <c r="B2011" s="1">
        <f>IFERROR(__xludf.DUMMYFUNCTION("""COMPUTED_VALUE"""),3615.36694)</f>
        <v>3615.36694</v>
      </c>
    </row>
    <row r="2012">
      <c r="A2012" s="3">
        <f>IFERROR(__xludf.DUMMYFUNCTION("""COMPUTED_VALUE"""),42613.99861111111)</f>
        <v>42613.99861</v>
      </c>
      <c r="B2012" s="1">
        <f>IFERROR(__xludf.DUMMYFUNCTION("""COMPUTED_VALUE"""),3614.5504)</f>
        <v>3614.5504</v>
      </c>
    </row>
    <row r="2013">
      <c r="A2013" s="3">
        <f>IFERROR(__xludf.DUMMYFUNCTION("""COMPUTED_VALUE"""),42614.99861111111)</f>
        <v>42614.99861</v>
      </c>
      <c r="B2013" s="1">
        <f>IFERROR(__xludf.DUMMYFUNCTION("""COMPUTED_VALUE"""),3612.64514)</f>
        <v>3612.64514</v>
      </c>
    </row>
    <row r="2014">
      <c r="A2014" s="3">
        <f>IFERROR(__xludf.DUMMYFUNCTION("""COMPUTED_VALUE"""),42615.99861111111)</f>
        <v>42615.99861</v>
      </c>
      <c r="B2014" s="1">
        <f>IFERROR(__xludf.DUMMYFUNCTION("""COMPUTED_VALUE"""),3591.4151)</f>
        <v>3591.4151</v>
      </c>
    </row>
    <row r="2015">
      <c r="A2015" s="3">
        <f>IFERROR(__xludf.DUMMYFUNCTION("""COMPUTED_VALUE"""),42616.99861111111)</f>
        <v>42616.99861</v>
      </c>
      <c r="B2015" s="1">
        <f>IFERROR(__xludf.DUMMYFUNCTION("""COMPUTED_VALUE"""),3593.409524)</f>
        <v>3593.409524</v>
      </c>
    </row>
    <row r="2016">
      <c r="A2016" s="3">
        <f>IFERROR(__xludf.DUMMYFUNCTION("""COMPUTED_VALUE"""),42617.99861111111)</f>
        <v>42617.99861</v>
      </c>
      <c r="B2016" s="1">
        <f>IFERROR(__xludf.DUMMYFUNCTION("""COMPUTED_VALUE"""),3593.409524)</f>
        <v>3593.409524</v>
      </c>
    </row>
    <row r="2017">
      <c r="A2017" s="3">
        <f>IFERROR(__xludf.DUMMYFUNCTION("""COMPUTED_VALUE"""),42618.99861111111)</f>
        <v>42618.99861</v>
      </c>
      <c r="B2017" s="1">
        <f>IFERROR(__xludf.DUMMYFUNCTION("""COMPUTED_VALUE"""),3572.3625)</f>
        <v>3572.3625</v>
      </c>
    </row>
    <row r="2018">
      <c r="A2018" s="3">
        <f>IFERROR(__xludf.DUMMYFUNCTION("""COMPUTED_VALUE"""),42619.99861111111)</f>
        <v>42619.99861</v>
      </c>
      <c r="B2018" s="1">
        <f>IFERROR(__xludf.DUMMYFUNCTION("""COMPUTED_VALUE"""),3554.12644)</f>
        <v>3554.12644</v>
      </c>
    </row>
    <row r="2019">
      <c r="A2019" s="3">
        <f>IFERROR(__xludf.DUMMYFUNCTION("""COMPUTED_VALUE"""),42620.99861111111)</f>
        <v>42620.99861</v>
      </c>
      <c r="B2019" s="1">
        <f>IFERROR(__xludf.DUMMYFUNCTION("""COMPUTED_VALUE"""),3557.3926)</f>
        <v>3557.3926</v>
      </c>
    </row>
    <row r="2020">
      <c r="A2020" s="3">
        <f>IFERROR(__xludf.DUMMYFUNCTION("""COMPUTED_VALUE"""),42621.99861111111)</f>
        <v>42621.99861</v>
      </c>
      <c r="B2020" s="1">
        <f>IFERROR(__xludf.DUMMYFUNCTION("""COMPUTED_VALUE"""),3557.66478)</f>
        <v>3557.66478</v>
      </c>
    </row>
    <row r="2021">
      <c r="A2021" s="3">
        <f>IFERROR(__xludf.DUMMYFUNCTION("""COMPUTED_VALUE"""),42622.99861111111)</f>
        <v>42622.99861</v>
      </c>
      <c r="B2021" s="1">
        <f>IFERROR(__xludf.DUMMYFUNCTION("""COMPUTED_VALUE"""),3586.51586)</f>
        <v>3586.51586</v>
      </c>
    </row>
    <row r="2022">
      <c r="A2022" s="3">
        <f>IFERROR(__xludf.DUMMYFUNCTION("""COMPUTED_VALUE"""),42623.99861111111)</f>
        <v>42623.99861</v>
      </c>
      <c r="B2022" s="1">
        <f>IFERROR(__xludf.DUMMYFUNCTION("""COMPUTED_VALUE"""),3585.686552)</f>
        <v>3585.686552</v>
      </c>
    </row>
    <row r="2023">
      <c r="A2023" s="3">
        <f>IFERROR(__xludf.DUMMYFUNCTION("""COMPUTED_VALUE"""),42624.99861111111)</f>
        <v>42624.99861</v>
      </c>
      <c r="B2023" s="1">
        <f>IFERROR(__xludf.DUMMYFUNCTION("""COMPUTED_VALUE"""),3586.24368)</f>
        <v>3586.24368</v>
      </c>
    </row>
    <row r="2024">
      <c r="A2024" s="3">
        <f>IFERROR(__xludf.DUMMYFUNCTION("""COMPUTED_VALUE"""),42625.99861111111)</f>
        <v>42625.99861</v>
      </c>
      <c r="B2024" s="1">
        <f>IFERROR(__xludf.DUMMYFUNCTION("""COMPUTED_VALUE"""),3585.15496)</f>
        <v>3585.15496</v>
      </c>
    </row>
    <row r="2025">
      <c r="A2025" s="3">
        <f>IFERROR(__xludf.DUMMYFUNCTION("""COMPUTED_VALUE"""),42626.99861111111)</f>
        <v>42626.99861</v>
      </c>
      <c r="B2025" s="1">
        <f>IFERROR(__xludf.DUMMYFUNCTION("""COMPUTED_VALUE"""),3604.86225)</f>
        <v>3604.86225</v>
      </c>
    </row>
    <row r="2026">
      <c r="A2026" s="3">
        <f>IFERROR(__xludf.DUMMYFUNCTION("""COMPUTED_VALUE"""),42627.99861111111)</f>
        <v>42627.99861</v>
      </c>
      <c r="B2026" s="1">
        <f>IFERROR(__xludf.DUMMYFUNCTION("""COMPUTED_VALUE"""),3590.32638)</f>
        <v>3590.32638</v>
      </c>
    </row>
    <row r="2027">
      <c r="A2027" s="3">
        <f>IFERROR(__xludf.DUMMYFUNCTION("""COMPUTED_VALUE"""),42628.99861111111)</f>
        <v>42628.99861</v>
      </c>
      <c r="B2027" s="1">
        <f>IFERROR(__xludf.DUMMYFUNCTION("""COMPUTED_VALUE"""),3577.53392)</f>
        <v>3577.53392</v>
      </c>
    </row>
    <row r="2028">
      <c r="A2028" s="3">
        <f>IFERROR(__xludf.DUMMYFUNCTION("""COMPUTED_VALUE"""),42629.99861111111)</f>
        <v>42629.99861</v>
      </c>
      <c r="B2028" s="1">
        <f>IFERROR(__xludf.DUMMYFUNCTION("""COMPUTED_VALUE"""),3582.70534)</f>
        <v>3582.70534</v>
      </c>
    </row>
    <row r="2029">
      <c r="A2029" s="3">
        <f>IFERROR(__xludf.DUMMYFUNCTION("""COMPUTED_VALUE"""),42630.99861111111)</f>
        <v>42630.99861</v>
      </c>
      <c r="B2029" s="1">
        <f>IFERROR(__xludf.DUMMYFUNCTION("""COMPUTED_VALUE"""),3586.034101)</f>
        <v>3586.034101</v>
      </c>
    </row>
    <row r="2030">
      <c r="A2030" s="3">
        <f>IFERROR(__xludf.DUMMYFUNCTION("""COMPUTED_VALUE"""),42631.99861111111)</f>
        <v>42631.99861</v>
      </c>
      <c r="B2030" s="1">
        <f>IFERROR(__xludf.DUMMYFUNCTION("""COMPUTED_VALUE"""),3584.597257)</f>
        <v>3584.597257</v>
      </c>
    </row>
    <row r="2031">
      <c r="A2031" s="3">
        <f>IFERROR(__xludf.DUMMYFUNCTION("""COMPUTED_VALUE"""),42632.99861111111)</f>
        <v>42632.99861</v>
      </c>
      <c r="B2031" s="1">
        <f>IFERROR(__xludf.DUMMYFUNCTION("""COMPUTED_VALUE"""),3576.17302)</f>
        <v>3576.17302</v>
      </c>
    </row>
    <row r="2032">
      <c r="A2032" s="3">
        <f>IFERROR(__xludf.DUMMYFUNCTION("""COMPUTED_VALUE"""),42633.99861111111)</f>
        <v>42633.99861</v>
      </c>
      <c r="B2032" s="1">
        <f>IFERROR(__xludf.DUMMYFUNCTION("""COMPUTED_VALUE"""),3582.2655)</f>
        <v>3582.2655</v>
      </c>
    </row>
    <row r="2033">
      <c r="A2033" s="3">
        <f>IFERROR(__xludf.DUMMYFUNCTION("""COMPUTED_VALUE"""),42634.99861111111)</f>
        <v>42634.99861</v>
      </c>
      <c r="B2033" s="1">
        <f>IFERROR(__xludf.DUMMYFUNCTION("""COMPUTED_VALUE"""),3555.0405)</f>
        <v>3555.0405</v>
      </c>
    </row>
    <row r="2034">
      <c r="A2034" s="3">
        <f>IFERROR(__xludf.DUMMYFUNCTION("""COMPUTED_VALUE"""),42635.99861111111)</f>
        <v>42635.99861</v>
      </c>
      <c r="B2034" s="1">
        <f>IFERROR(__xludf.DUMMYFUNCTION("""COMPUTED_VALUE"""),3555.21516)</f>
        <v>3555.21516</v>
      </c>
    </row>
    <row r="2035">
      <c r="A2035" s="3">
        <f>IFERROR(__xludf.DUMMYFUNCTION("""COMPUTED_VALUE"""),42636.99861111111)</f>
        <v>42636.99861</v>
      </c>
      <c r="B2035" s="1">
        <f>IFERROR(__xludf.DUMMYFUNCTION("""COMPUTED_VALUE"""),3560.38658)</f>
        <v>3560.38658</v>
      </c>
    </row>
    <row r="2036">
      <c r="A2036" s="3">
        <f>IFERROR(__xludf.DUMMYFUNCTION("""COMPUTED_VALUE"""),42637.99861111111)</f>
        <v>42637.99861</v>
      </c>
      <c r="B2036" s="1">
        <f>IFERROR(__xludf.DUMMYFUNCTION("""COMPUTED_VALUE"""),3559.57004)</f>
        <v>3559.57004</v>
      </c>
    </row>
    <row r="2037">
      <c r="A2037" s="3">
        <f>IFERROR(__xludf.DUMMYFUNCTION("""COMPUTED_VALUE"""),42638.99861111111)</f>
        <v>42638.99861</v>
      </c>
      <c r="B2037" s="1">
        <f>IFERROR(__xludf.DUMMYFUNCTION("""COMPUTED_VALUE"""),3554.7385)</f>
        <v>3554.7385</v>
      </c>
    </row>
    <row r="2038">
      <c r="A2038" s="3">
        <f>IFERROR(__xludf.DUMMYFUNCTION("""COMPUTED_VALUE"""),42639.99861111111)</f>
        <v>42639.99861</v>
      </c>
      <c r="B2038" s="1">
        <f>IFERROR(__xludf.DUMMYFUNCTION("""COMPUTED_VALUE"""),3548.95502)</f>
        <v>3548.95502</v>
      </c>
    </row>
    <row r="2039">
      <c r="A2039" s="3">
        <f>IFERROR(__xludf.DUMMYFUNCTION("""COMPUTED_VALUE"""),42640.99861111111)</f>
        <v>42640.99861</v>
      </c>
      <c r="B2039" s="1">
        <f>IFERROR(__xludf.DUMMYFUNCTION("""COMPUTED_VALUE"""),3515.87823)</f>
        <v>3515.87823</v>
      </c>
    </row>
    <row r="2040">
      <c r="A2040" s="3">
        <f>IFERROR(__xludf.DUMMYFUNCTION("""COMPUTED_VALUE"""),42641.99861111111)</f>
        <v>42641.99861</v>
      </c>
      <c r="B2040" s="1">
        <f>IFERROR(__xludf.DUMMYFUNCTION("""COMPUTED_VALUE"""),3516.83778)</f>
        <v>3516.83778</v>
      </c>
    </row>
    <row r="2041">
      <c r="A2041" s="3">
        <f>IFERROR(__xludf.DUMMYFUNCTION("""COMPUTED_VALUE"""),42642.99861111111)</f>
        <v>42642.99861</v>
      </c>
      <c r="B2041" s="1">
        <f>IFERROR(__xludf.DUMMYFUNCTION("""COMPUTED_VALUE"""),3539.28657)</f>
        <v>3539.28657</v>
      </c>
    </row>
    <row r="2042">
      <c r="A2042" s="3">
        <f>IFERROR(__xludf.DUMMYFUNCTION("""COMPUTED_VALUE"""),42643.99861111111)</f>
        <v>42643.99861</v>
      </c>
      <c r="B2042" s="1">
        <f>IFERROR(__xludf.DUMMYFUNCTION("""COMPUTED_VALUE"""),3542.15052)</f>
        <v>3542.15052</v>
      </c>
    </row>
    <row r="2043">
      <c r="A2043" s="3">
        <f>IFERROR(__xludf.DUMMYFUNCTION("""COMPUTED_VALUE"""),42644.99861111111)</f>
        <v>42644.99861</v>
      </c>
      <c r="B2043" s="1">
        <f>IFERROR(__xludf.DUMMYFUNCTION("""COMPUTED_VALUE"""),3542.517)</f>
        <v>3542.517</v>
      </c>
    </row>
    <row r="2044">
      <c r="A2044" s="3">
        <f>IFERROR(__xludf.DUMMYFUNCTION("""COMPUTED_VALUE"""),42645.99861111111)</f>
        <v>42645.99861</v>
      </c>
      <c r="B2044" s="1">
        <f>IFERROR(__xludf.DUMMYFUNCTION("""COMPUTED_VALUE"""),3530.180469)</f>
        <v>3530.180469</v>
      </c>
    </row>
    <row r="2045">
      <c r="A2045" s="3">
        <f>IFERROR(__xludf.DUMMYFUNCTION("""COMPUTED_VALUE"""),42646.99861111111)</f>
        <v>42646.99861</v>
      </c>
      <c r="B2045" s="1">
        <f>IFERROR(__xludf.DUMMYFUNCTION("""COMPUTED_VALUE"""),3527.99716)</f>
        <v>3527.99716</v>
      </c>
    </row>
    <row r="2046">
      <c r="A2046" s="3">
        <f>IFERROR(__xludf.DUMMYFUNCTION("""COMPUTED_VALUE"""),42647.99861111111)</f>
        <v>42647.99861</v>
      </c>
      <c r="B2046" s="1">
        <f>IFERROR(__xludf.DUMMYFUNCTION("""COMPUTED_VALUE"""),3546.77758)</f>
        <v>3546.77758</v>
      </c>
    </row>
    <row r="2047">
      <c r="A2047" s="3">
        <f>IFERROR(__xludf.DUMMYFUNCTION("""COMPUTED_VALUE"""),42648.99861111111)</f>
        <v>42648.99861</v>
      </c>
      <c r="B2047" s="1">
        <f>IFERROR(__xludf.DUMMYFUNCTION("""COMPUTED_VALUE"""),3543.0615)</f>
        <v>3543.0615</v>
      </c>
    </row>
    <row r="2048">
      <c r="A2048" s="3">
        <f>IFERROR(__xludf.DUMMYFUNCTION("""COMPUTED_VALUE"""),42649.99861111111)</f>
        <v>42649.99861</v>
      </c>
      <c r="B2048" s="1">
        <f>IFERROR(__xludf.DUMMYFUNCTION("""COMPUTED_VALUE"""),3539.7009)</f>
        <v>3539.7009</v>
      </c>
    </row>
    <row r="2049">
      <c r="A2049" s="3">
        <f>IFERROR(__xludf.DUMMYFUNCTION("""COMPUTED_VALUE"""),42650.99861111111)</f>
        <v>42650.99861</v>
      </c>
      <c r="B2049" s="1">
        <f>IFERROR(__xludf.DUMMYFUNCTION("""COMPUTED_VALUE"""),3530.44678)</f>
        <v>3530.44678</v>
      </c>
    </row>
    <row r="2050">
      <c r="A2050" s="3">
        <f>IFERROR(__xludf.DUMMYFUNCTION("""COMPUTED_VALUE"""),42652.99861111111)</f>
        <v>42652.99861</v>
      </c>
      <c r="B2050" s="1">
        <f>IFERROR(__xludf.DUMMYFUNCTION("""COMPUTED_VALUE"""),3531.221806)</f>
        <v>3531.221806</v>
      </c>
    </row>
    <row r="2051">
      <c r="A2051" s="3">
        <f>IFERROR(__xludf.DUMMYFUNCTION("""COMPUTED_VALUE"""),42653.99861111111)</f>
        <v>42653.99861</v>
      </c>
      <c r="B2051" s="1">
        <f>IFERROR(__xludf.DUMMYFUNCTION("""COMPUTED_VALUE"""),3518.19868)</f>
        <v>3518.19868</v>
      </c>
    </row>
    <row r="2052">
      <c r="A2052" s="3">
        <f>IFERROR(__xludf.DUMMYFUNCTION("""COMPUTED_VALUE"""),42654.99861111111)</f>
        <v>42654.99861</v>
      </c>
      <c r="B2052" s="1">
        <f>IFERROR(__xludf.DUMMYFUNCTION("""COMPUTED_VALUE"""),3556.84824)</f>
        <v>3556.84824</v>
      </c>
    </row>
    <row r="2053">
      <c r="A2053" s="3">
        <f>IFERROR(__xludf.DUMMYFUNCTION("""COMPUTED_VALUE"""),42655.99861111111)</f>
        <v>42655.99861</v>
      </c>
      <c r="B2053" s="1">
        <f>IFERROR(__xludf.DUMMYFUNCTION("""COMPUTED_VALUE"""),3543.51142)</f>
        <v>3543.51142</v>
      </c>
    </row>
    <row r="2054">
      <c r="A2054" s="3">
        <f>IFERROR(__xludf.DUMMYFUNCTION("""COMPUTED_VALUE"""),42656.99861111111)</f>
        <v>42656.99861</v>
      </c>
      <c r="B2054" s="1">
        <f>IFERROR(__xludf.DUMMYFUNCTION("""COMPUTED_VALUE"""),3550.31592)</f>
        <v>3550.31592</v>
      </c>
    </row>
    <row r="2055">
      <c r="A2055" s="3">
        <f>IFERROR(__xludf.DUMMYFUNCTION("""COMPUTED_VALUE"""),42657.99861111111)</f>
        <v>42657.99861</v>
      </c>
      <c r="B2055" s="1">
        <f>IFERROR(__xludf.DUMMYFUNCTION("""COMPUTED_VALUE"""),3557.12042)</f>
        <v>3557.12042</v>
      </c>
    </row>
    <row r="2056">
      <c r="A2056" s="3">
        <f>IFERROR(__xludf.DUMMYFUNCTION("""COMPUTED_VALUE"""),42658.99861111111)</f>
        <v>42658.99861</v>
      </c>
      <c r="B2056" s="1">
        <f>IFERROR(__xludf.DUMMYFUNCTION("""COMPUTED_VALUE"""),3559.57004)</f>
        <v>3559.57004</v>
      </c>
    </row>
    <row r="2057">
      <c r="A2057" s="3">
        <f>IFERROR(__xludf.DUMMYFUNCTION("""COMPUTED_VALUE"""),42659.99861111111)</f>
        <v>42659.99861</v>
      </c>
      <c r="B2057" s="1">
        <f>IFERROR(__xludf.DUMMYFUNCTION("""COMPUTED_VALUE"""),3565.359415)</f>
        <v>3565.359415</v>
      </c>
    </row>
    <row r="2058">
      <c r="A2058" s="3">
        <f>IFERROR(__xludf.DUMMYFUNCTION("""COMPUTED_VALUE"""),42660.99861111111)</f>
        <v>42660.99861</v>
      </c>
      <c r="B2058" s="1">
        <f>IFERROR(__xludf.DUMMYFUNCTION("""COMPUTED_VALUE"""),3552.35169)</f>
        <v>3552.35169</v>
      </c>
    </row>
    <row r="2059">
      <c r="A2059" s="3">
        <f>IFERROR(__xludf.DUMMYFUNCTION("""COMPUTED_VALUE"""),42661.99861111111)</f>
        <v>42661.99861</v>
      </c>
      <c r="B2059" s="1">
        <f>IFERROR(__xludf.DUMMYFUNCTION("""COMPUTED_VALUE"""),3543.7836)</f>
        <v>3543.7836</v>
      </c>
    </row>
    <row r="2060">
      <c r="A2060" s="3">
        <f>IFERROR(__xludf.DUMMYFUNCTION("""COMPUTED_VALUE"""),42662.99861111111)</f>
        <v>42662.99861</v>
      </c>
      <c r="B2060" s="1">
        <f>IFERROR(__xludf.DUMMYFUNCTION("""COMPUTED_VALUE"""),3530.71896)</f>
        <v>3530.71896</v>
      </c>
    </row>
    <row r="2061">
      <c r="A2061" s="3">
        <f>IFERROR(__xludf.DUMMYFUNCTION("""COMPUTED_VALUE"""),42663.99861111111)</f>
        <v>42663.99861</v>
      </c>
      <c r="B2061" s="1">
        <f>IFERROR(__xludf.DUMMYFUNCTION("""COMPUTED_VALUE"""),3539.7009)</f>
        <v>3539.7009</v>
      </c>
    </row>
    <row r="2062">
      <c r="A2062" s="3">
        <f>IFERROR(__xludf.DUMMYFUNCTION("""COMPUTED_VALUE"""),42664.99861111111)</f>
        <v>42664.99861</v>
      </c>
      <c r="B2062" s="1">
        <f>IFERROR(__xludf.DUMMYFUNCTION("""COMPUTED_VALUE"""),3544.60014)</f>
        <v>3544.60014</v>
      </c>
    </row>
    <row r="2063">
      <c r="A2063" s="3">
        <f>IFERROR(__xludf.DUMMYFUNCTION("""COMPUTED_VALUE"""),42665.99861111111)</f>
        <v>42665.99861</v>
      </c>
      <c r="B2063" s="1">
        <f>IFERROR(__xludf.DUMMYFUNCTION("""COMPUTED_VALUE"""),3550.86028)</f>
        <v>3550.86028</v>
      </c>
    </row>
    <row r="2064">
      <c r="A2064" s="3">
        <f>IFERROR(__xludf.DUMMYFUNCTION("""COMPUTED_VALUE"""),42666.99861111111)</f>
        <v>42666.99861</v>
      </c>
      <c r="B2064" s="1">
        <f>IFERROR(__xludf.DUMMYFUNCTION("""COMPUTED_VALUE"""),3553.824676)</f>
        <v>3553.824676</v>
      </c>
    </row>
    <row r="2065">
      <c r="A2065" s="3">
        <f>IFERROR(__xludf.DUMMYFUNCTION("""COMPUTED_VALUE"""),42667.99861111111)</f>
        <v>42667.99861</v>
      </c>
      <c r="B2065" s="1">
        <f>IFERROR(__xludf.DUMMYFUNCTION("""COMPUTED_VALUE"""),3541.60616)</f>
        <v>3541.60616</v>
      </c>
    </row>
    <row r="2066">
      <c r="A2066" s="3">
        <f>IFERROR(__xludf.DUMMYFUNCTION("""COMPUTED_VALUE"""),42668.99861111111)</f>
        <v>42668.99861</v>
      </c>
      <c r="B2066" s="1">
        <f>IFERROR(__xludf.DUMMYFUNCTION("""COMPUTED_VALUE"""),3531.80768)</f>
        <v>3531.80768</v>
      </c>
    </row>
    <row r="2067">
      <c r="A2067" s="3">
        <f>IFERROR(__xludf.DUMMYFUNCTION("""COMPUTED_VALUE"""),42669.99861111111)</f>
        <v>42669.99861</v>
      </c>
      <c r="B2067" s="1">
        <f>IFERROR(__xludf.DUMMYFUNCTION("""COMPUTED_VALUE"""),3544.87232)</f>
        <v>3544.87232</v>
      </c>
    </row>
    <row r="2068">
      <c r="A2068" s="3">
        <f>IFERROR(__xludf.DUMMYFUNCTION("""COMPUTED_VALUE"""),42670.99861111111)</f>
        <v>42670.99861</v>
      </c>
      <c r="B2068" s="1">
        <f>IFERROR(__xludf.DUMMYFUNCTION("""COMPUTED_VALUE"""),3552.89607)</f>
        <v>3552.89607</v>
      </c>
    </row>
    <row r="2069">
      <c r="A2069" s="3">
        <f>IFERROR(__xludf.DUMMYFUNCTION("""COMPUTED_VALUE"""),42671.99861111111)</f>
        <v>42671.99861</v>
      </c>
      <c r="B2069" s="1">
        <f>IFERROR(__xludf.DUMMYFUNCTION("""COMPUTED_VALUE"""),3555.61797)</f>
        <v>3555.61797</v>
      </c>
    </row>
    <row r="2070">
      <c r="A2070" s="3">
        <f>IFERROR(__xludf.DUMMYFUNCTION("""COMPUTED_VALUE"""),42672.99861111111)</f>
        <v>42672.99861</v>
      </c>
      <c r="B2070" s="1">
        <f>IFERROR(__xludf.DUMMYFUNCTION("""COMPUTED_VALUE"""),3557.558739)</f>
        <v>3557.558739</v>
      </c>
    </row>
    <row r="2071">
      <c r="A2071" s="3">
        <f>IFERROR(__xludf.DUMMYFUNCTION("""COMPUTED_VALUE"""),42673.99861111111)</f>
        <v>42673.99861</v>
      </c>
      <c r="B2071" s="1">
        <f>IFERROR(__xludf.DUMMYFUNCTION("""COMPUTED_VALUE"""),3557.558739)</f>
        <v>3557.558739</v>
      </c>
    </row>
    <row r="2072">
      <c r="A2072" s="3">
        <f>IFERROR(__xludf.DUMMYFUNCTION("""COMPUTED_VALUE"""),42674.99861111111)</f>
        <v>42674.99861</v>
      </c>
      <c r="B2072" s="1">
        <f>IFERROR(__xludf.DUMMYFUNCTION("""COMPUTED_VALUE"""),3541.87834)</f>
        <v>3541.87834</v>
      </c>
    </row>
    <row r="2073">
      <c r="A2073" s="3">
        <f>IFERROR(__xludf.DUMMYFUNCTION("""COMPUTED_VALUE"""),42675.99861111111)</f>
        <v>42675.99861</v>
      </c>
      <c r="B2073" s="1">
        <f>IFERROR(__xludf.DUMMYFUNCTION("""COMPUTED_VALUE"""),3548.68284)</f>
        <v>3548.68284</v>
      </c>
    </row>
    <row r="2074">
      <c r="A2074" s="3">
        <f>IFERROR(__xludf.DUMMYFUNCTION("""COMPUTED_VALUE"""),42676.99861111111)</f>
        <v>42676.99861</v>
      </c>
      <c r="B2074" s="1">
        <f>IFERROR(__xludf.DUMMYFUNCTION("""COMPUTED_VALUE"""),3550.86028)</f>
        <v>3550.86028</v>
      </c>
    </row>
    <row r="2075">
      <c r="A2075" s="3">
        <f>IFERROR(__xludf.DUMMYFUNCTION("""COMPUTED_VALUE"""),42677.99861111111)</f>
        <v>42677.99861</v>
      </c>
      <c r="B2075" s="1">
        <f>IFERROR(__xludf.DUMMYFUNCTION("""COMPUTED_VALUE"""),3556.84824)</f>
        <v>3556.84824</v>
      </c>
    </row>
    <row r="2076">
      <c r="A2076" s="3">
        <f>IFERROR(__xludf.DUMMYFUNCTION("""COMPUTED_VALUE"""),42678.99861111111)</f>
        <v>42678.99861</v>
      </c>
      <c r="B2076" s="1">
        <f>IFERROR(__xludf.DUMMYFUNCTION("""COMPUTED_VALUE"""),3569.09634)</f>
        <v>3569.09634</v>
      </c>
    </row>
    <row r="2077">
      <c r="A2077" s="3">
        <f>IFERROR(__xludf.DUMMYFUNCTION("""COMPUTED_VALUE"""),42679.99861111111)</f>
        <v>42679.99861</v>
      </c>
      <c r="B2077" s="1">
        <f>IFERROR(__xludf.DUMMYFUNCTION("""COMPUTED_VALUE"""),3571.078369)</f>
        <v>3571.078369</v>
      </c>
    </row>
    <row r="2078">
      <c r="A2078" s="3">
        <f>IFERROR(__xludf.DUMMYFUNCTION("""COMPUTED_VALUE"""),42680.99861111111)</f>
        <v>42680.99861</v>
      </c>
      <c r="B2078" s="1">
        <f>IFERROR(__xludf.DUMMYFUNCTION("""COMPUTED_VALUE"""),3571.623032)</f>
        <v>3571.623032</v>
      </c>
    </row>
    <row r="2079">
      <c r="A2079" s="3">
        <f>IFERROR(__xludf.DUMMYFUNCTION("""COMPUTED_VALUE"""),42681.99861111111)</f>
        <v>42681.99861</v>
      </c>
      <c r="B2079" s="1">
        <f>IFERROR(__xludf.DUMMYFUNCTION("""COMPUTED_VALUE"""),3562.93575)</f>
        <v>3562.93575</v>
      </c>
    </row>
    <row r="2080">
      <c r="A2080" s="3">
        <f>IFERROR(__xludf.DUMMYFUNCTION("""COMPUTED_VALUE"""),42682.99861111111)</f>
        <v>42682.99861</v>
      </c>
      <c r="B2080" s="1">
        <f>IFERROR(__xludf.DUMMYFUNCTION("""COMPUTED_VALUE"""),3549.49938)</f>
        <v>3549.49938</v>
      </c>
    </row>
    <row r="2081">
      <c r="A2081" s="3">
        <f>IFERROR(__xludf.DUMMYFUNCTION("""COMPUTED_VALUE"""),42683.99861111111)</f>
        <v>42683.99861</v>
      </c>
      <c r="B2081" s="1">
        <f>IFERROR(__xludf.DUMMYFUNCTION("""COMPUTED_VALUE"""),3575.62866)</f>
        <v>3575.62866</v>
      </c>
    </row>
    <row r="2082">
      <c r="A2082" s="3">
        <f>IFERROR(__xludf.DUMMYFUNCTION("""COMPUTED_VALUE"""),42684.99861111111)</f>
        <v>42684.99861</v>
      </c>
      <c r="B2082" s="1">
        <f>IFERROR(__xludf.DUMMYFUNCTION("""COMPUTED_VALUE"""),3698.38184)</f>
        <v>3698.38184</v>
      </c>
    </row>
    <row r="2083">
      <c r="A2083" s="3">
        <f>IFERROR(__xludf.DUMMYFUNCTION("""COMPUTED_VALUE"""),42685.99861111111)</f>
        <v>42685.99861</v>
      </c>
      <c r="B2083" s="1">
        <f>IFERROR(__xludf.DUMMYFUNCTION("""COMPUTED_VALUE"""),3635.78044)</f>
        <v>3635.78044</v>
      </c>
    </row>
    <row r="2084">
      <c r="A2084" s="3">
        <f>IFERROR(__xludf.DUMMYFUNCTION("""COMPUTED_VALUE"""),42686.99861111111)</f>
        <v>42686.99861</v>
      </c>
      <c r="B2084" s="1">
        <f>IFERROR(__xludf.DUMMYFUNCTION("""COMPUTED_VALUE"""),3678.107151)</f>
        <v>3678.107151</v>
      </c>
    </row>
    <row r="2085">
      <c r="A2085" s="3">
        <f>IFERROR(__xludf.DUMMYFUNCTION("""COMPUTED_VALUE"""),42687.99861111111)</f>
        <v>42687.99861</v>
      </c>
      <c r="B2085" s="1">
        <f>IFERROR(__xludf.DUMMYFUNCTION("""COMPUTED_VALUE"""),3631.42556)</f>
        <v>3631.42556</v>
      </c>
    </row>
    <row r="2086">
      <c r="A2086" s="3">
        <f>IFERROR(__xludf.DUMMYFUNCTION("""COMPUTED_VALUE"""),42688.99861111111)</f>
        <v>42688.99861</v>
      </c>
      <c r="B2086" s="1">
        <f>IFERROR(__xludf.DUMMYFUNCTION("""COMPUTED_VALUE"""),3663.27062)</f>
        <v>3663.27062</v>
      </c>
    </row>
    <row r="2087">
      <c r="A2087" s="3">
        <f>IFERROR(__xludf.DUMMYFUNCTION("""COMPUTED_VALUE"""),42689.99861111111)</f>
        <v>42689.99861</v>
      </c>
      <c r="B2087" s="1">
        <f>IFERROR(__xludf.DUMMYFUNCTION("""COMPUTED_VALUE"""),3623.53234)</f>
        <v>3623.53234</v>
      </c>
    </row>
    <row r="2088">
      <c r="A2088" s="3">
        <f>IFERROR(__xludf.DUMMYFUNCTION("""COMPUTED_VALUE"""),42690.99861111111)</f>
        <v>42690.99861</v>
      </c>
      <c r="B2088" s="1">
        <f>IFERROR(__xludf.DUMMYFUNCTION("""COMPUTED_VALUE"""),3638.50224)</f>
        <v>3638.50224</v>
      </c>
    </row>
    <row r="2089">
      <c r="A2089" s="3">
        <f>IFERROR(__xludf.DUMMYFUNCTION("""COMPUTED_VALUE"""),42691.99861111111)</f>
        <v>42691.99861</v>
      </c>
      <c r="B2089" s="1">
        <f>IFERROR(__xludf.DUMMYFUNCTION("""COMPUTED_VALUE"""),3650.20598)</f>
        <v>3650.20598</v>
      </c>
    </row>
    <row r="2090">
      <c r="A2090" s="3">
        <f>IFERROR(__xludf.DUMMYFUNCTION("""COMPUTED_VALUE"""),42692.99861111111)</f>
        <v>42692.99861</v>
      </c>
      <c r="B2090" s="1">
        <f>IFERROR(__xludf.DUMMYFUNCTION("""COMPUTED_VALUE"""),3637.14134)</f>
        <v>3637.14134</v>
      </c>
    </row>
    <row r="2091">
      <c r="A2091" s="3">
        <f>IFERROR(__xludf.DUMMYFUNCTION("""COMPUTED_VALUE"""),42693.99861111111)</f>
        <v>42693.99861</v>
      </c>
      <c r="B2091" s="1">
        <f>IFERROR(__xludf.DUMMYFUNCTION("""COMPUTED_VALUE"""),3638.768976)</f>
        <v>3638.768976</v>
      </c>
    </row>
    <row r="2092">
      <c r="A2092" s="3">
        <f>IFERROR(__xludf.DUMMYFUNCTION("""COMPUTED_VALUE"""),42694.99861111111)</f>
        <v>42694.99861</v>
      </c>
      <c r="B2092" s="1">
        <f>IFERROR(__xludf.DUMMYFUNCTION("""COMPUTED_VALUE"""),3670.75157)</f>
        <v>3670.75157</v>
      </c>
    </row>
    <row r="2093">
      <c r="A2093" s="3">
        <f>IFERROR(__xludf.DUMMYFUNCTION("""COMPUTED_VALUE"""),42695.99861111111)</f>
        <v>42695.99861</v>
      </c>
      <c r="B2093" s="1">
        <f>IFERROR(__xludf.DUMMYFUNCTION("""COMPUTED_VALUE"""),3650.47816)</f>
        <v>3650.47816</v>
      </c>
    </row>
    <row r="2094">
      <c r="A2094" s="3">
        <f>IFERROR(__xludf.DUMMYFUNCTION("""COMPUTED_VALUE"""),42696.99861111111)</f>
        <v>42696.99861</v>
      </c>
      <c r="B2094" s="1">
        <f>IFERROR(__xludf.DUMMYFUNCTION("""COMPUTED_VALUE"""),3655.92176)</f>
        <v>3655.92176</v>
      </c>
    </row>
    <row r="2095">
      <c r="A2095" s="3">
        <f>IFERROR(__xludf.DUMMYFUNCTION("""COMPUTED_VALUE"""),42697.99861111111)</f>
        <v>42697.99861</v>
      </c>
      <c r="B2095" s="1">
        <f>IFERROR(__xludf.DUMMYFUNCTION("""COMPUTED_VALUE"""),3703.55326)</f>
        <v>3703.55326</v>
      </c>
    </row>
    <row r="2096">
      <c r="A2096" s="3">
        <f>IFERROR(__xludf.DUMMYFUNCTION("""COMPUTED_VALUE"""),42698.99861111111)</f>
        <v>42698.99861</v>
      </c>
      <c r="B2096" s="1">
        <f>IFERROR(__xludf.DUMMYFUNCTION("""COMPUTED_VALUE"""),3690.21644)</f>
        <v>3690.21644</v>
      </c>
    </row>
    <row r="2097">
      <c r="A2097" s="3">
        <f>IFERROR(__xludf.DUMMYFUNCTION("""COMPUTED_VALUE"""),42699.99861111111)</f>
        <v>42699.99861</v>
      </c>
      <c r="B2097" s="1">
        <f>IFERROR(__xludf.DUMMYFUNCTION("""COMPUTED_VALUE"""),3683.81475)</f>
        <v>3683.81475</v>
      </c>
    </row>
    <row r="2098">
      <c r="A2098" s="3">
        <f>IFERROR(__xludf.DUMMYFUNCTION("""COMPUTED_VALUE"""),42700.99861111111)</f>
        <v>42700.99861</v>
      </c>
      <c r="B2098" s="1">
        <f>IFERROR(__xludf.DUMMYFUNCTION("""COMPUTED_VALUE"""),3683.082602)</f>
        <v>3683.082602</v>
      </c>
    </row>
    <row r="2099">
      <c r="A2099" s="3">
        <f>IFERROR(__xludf.DUMMYFUNCTION("""COMPUTED_VALUE"""),42701.99861111111)</f>
        <v>42701.99861</v>
      </c>
      <c r="B2099" s="1">
        <f>IFERROR(__xludf.DUMMYFUNCTION("""COMPUTED_VALUE"""),3670.92388)</f>
        <v>3670.92388</v>
      </c>
    </row>
    <row r="2100">
      <c r="A2100" s="3">
        <f>IFERROR(__xludf.DUMMYFUNCTION("""COMPUTED_VALUE"""),42702.99861111111)</f>
        <v>42702.99861</v>
      </c>
      <c r="B2100" s="1">
        <f>IFERROR(__xludf.DUMMYFUNCTION("""COMPUTED_VALUE"""),3668.71422)</f>
        <v>3668.71422</v>
      </c>
    </row>
    <row r="2101">
      <c r="A2101" s="3">
        <f>IFERROR(__xludf.DUMMYFUNCTION("""COMPUTED_VALUE"""),42703.99861111111)</f>
        <v>42703.99861</v>
      </c>
      <c r="B2101" s="1">
        <f>IFERROR(__xludf.DUMMYFUNCTION("""COMPUTED_VALUE"""),3674.97436)</f>
        <v>3674.97436</v>
      </c>
    </row>
    <row r="2102">
      <c r="A2102" s="3">
        <f>IFERROR(__xludf.DUMMYFUNCTION("""COMPUTED_VALUE"""),42704.99861111111)</f>
        <v>42704.99861</v>
      </c>
      <c r="B2102" s="1">
        <f>IFERROR(__xludf.DUMMYFUNCTION("""COMPUTED_VALUE"""),3694.02696)</f>
        <v>3694.02696</v>
      </c>
    </row>
    <row r="2103">
      <c r="A2103" s="3">
        <f>IFERROR(__xludf.DUMMYFUNCTION("""COMPUTED_VALUE"""),42705.99861111111)</f>
        <v>42705.99861</v>
      </c>
      <c r="B2103" s="1">
        <f>IFERROR(__xludf.DUMMYFUNCTION("""COMPUTED_VALUE"""),3679.32924)</f>
        <v>3679.32924</v>
      </c>
    </row>
    <row r="2104">
      <c r="A2104" s="3">
        <f>IFERROR(__xludf.DUMMYFUNCTION("""COMPUTED_VALUE"""),42706.99861111111)</f>
        <v>42706.99861</v>
      </c>
      <c r="B2104" s="1">
        <f>IFERROR(__xludf.DUMMYFUNCTION("""COMPUTED_VALUE"""),3663.6774)</f>
        <v>3663.6774</v>
      </c>
    </row>
    <row r="2105">
      <c r="A2105" s="3">
        <f>IFERROR(__xludf.DUMMYFUNCTION("""COMPUTED_VALUE"""),42708.99861111111)</f>
        <v>42708.99861</v>
      </c>
      <c r="B2105" s="1">
        <f>IFERROR(__xludf.DUMMYFUNCTION("""COMPUTED_VALUE"""),3714.698094)</f>
        <v>3714.698094</v>
      </c>
    </row>
    <row r="2106">
      <c r="A2106" s="3">
        <f>IFERROR(__xludf.DUMMYFUNCTION("""COMPUTED_VALUE"""),42709.99861111111)</f>
        <v>42709.99861</v>
      </c>
      <c r="B2106" s="1">
        <f>IFERROR(__xludf.DUMMYFUNCTION("""COMPUTED_VALUE"""),3657.01048)</f>
        <v>3657.01048</v>
      </c>
    </row>
    <row r="2107">
      <c r="A2107" s="3">
        <f>IFERROR(__xludf.DUMMYFUNCTION("""COMPUTED_VALUE"""),42710.99861111111)</f>
        <v>42710.99861</v>
      </c>
      <c r="B2107" s="1">
        <f>IFERROR(__xludf.DUMMYFUNCTION("""COMPUTED_VALUE"""),3619.836)</f>
        <v>3619.836</v>
      </c>
    </row>
    <row r="2108">
      <c r="A2108" s="3">
        <f>IFERROR(__xludf.DUMMYFUNCTION("""COMPUTED_VALUE"""),42711.99861111111)</f>
        <v>42711.99861</v>
      </c>
      <c r="B2108" s="1">
        <f>IFERROR(__xludf.DUMMYFUNCTION("""COMPUTED_VALUE"""),3613.73386)</f>
        <v>3613.73386</v>
      </c>
    </row>
    <row r="2109">
      <c r="A2109" s="3">
        <f>IFERROR(__xludf.DUMMYFUNCTION("""COMPUTED_VALUE"""),42712.99861111111)</f>
        <v>42712.99861</v>
      </c>
      <c r="B2109" s="1">
        <f>IFERROR(__xludf.DUMMYFUNCTION("""COMPUTED_VALUE"""),3621.62708)</f>
        <v>3621.62708</v>
      </c>
    </row>
    <row r="2110">
      <c r="A2110" s="3">
        <f>IFERROR(__xludf.DUMMYFUNCTION("""COMPUTED_VALUE"""),42713.99861111111)</f>
        <v>42713.99861</v>
      </c>
      <c r="B2110" s="1">
        <f>IFERROR(__xludf.DUMMYFUNCTION("""COMPUTED_VALUE"""),3632.2421)</f>
        <v>3632.2421</v>
      </c>
    </row>
    <row r="2111">
      <c r="A2111" s="3">
        <f>IFERROR(__xludf.DUMMYFUNCTION("""COMPUTED_VALUE"""),42714.99861111111)</f>
        <v>42714.99861</v>
      </c>
      <c r="B2111" s="1">
        <f>IFERROR(__xludf.DUMMYFUNCTION("""COMPUTED_VALUE"""),3633.910563)</f>
        <v>3633.910563</v>
      </c>
    </row>
    <row r="2112">
      <c r="A2112" s="3">
        <f>IFERROR(__xludf.DUMMYFUNCTION("""COMPUTED_VALUE"""),42715.99861111111)</f>
        <v>42715.99861</v>
      </c>
      <c r="B2112" s="1">
        <f>IFERROR(__xludf.DUMMYFUNCTION("""COMPUTED_VALUE"""),3635.50826)</f>
        <v>3635.50826</v>
      </c>
    </row>
    <row r="2113">
      <c r="A2113" s="3">
        <f>IFERROR(__xludf.DUMMYFUNCTION("""COMPUTED_VALUE"""),42716.99861111111)</f>
        <v>42716.99861</v>
      </c>
      <c r="B2113" s="1">
        <f>IFERROR(__xludf.DUMMYFUNCTION("""COMPUTED_VALUE"""),3614.00604)</f>
        <v>3614.00604</v>
      </c>
    </row>
    <row r="2114">
      <c r="A2114" s="3">
        <f>IFERROR(__xludf.DUMMYFUNCTION("""COMPUTED_VALUE"""),42717.99861111111)</f>
        <v>42717.99861</v>
      </c>
      <c r="B2114" s="1">
        <f>IFERROR(__xludf.DUMMYFUNCTION("""COMPUTED_VALUE"""),3614.5504)</f>
        <v>3614.5504</v>
      </c>
    </row>
    <row r="2115">
      <c r="A2115" s="3">
        <f>IFERROR(__xludf.DUMMYFUNCTION("""COMPUTED_VALUE"""),42718.99861111111)</f>
        <v>42718.99861</v>
      </c>
      <c r="B2115" s="1">
        <f>IFERROR(__xludf.DUMMYFUNCTION("""COMPUTED_VALUE"""),3652.11124)</f>
        <v>3652.11124</v>
      </c>
    </row>
    <row r="2116">
      <c r="A2116" s="3">
        <f>IFERROR(__xludf.DUMMYFUNCTION("""COMPUTED_VALUE"""),42719.99861111111)</f>
        <v>42719.99861</v>
      </c>
      <c r="B2116" s="1">
        <f>IFERROR(__xludf.DUMMYFUNCTION("""COMPUTED_VALUE"""),3650.20598)</f>
        <v>3650.20598</v>
      </c>
    </row>
    <row r="2117">
      <c r="A2117" s="3">
        <f>IFERROR(__xludf.DUMMYFUNCTION("""COMPUTED_VALUE"""),42720.99861111111)</f>
        <v>42720.99861</v>
      </c>
      <c r="B2117" s="1">
        <f>IFERROR(__xludf.DUMMYFUNCTION("""COMPUTED_VALUE"""),3649.66162)</f>
        <v>3649.66162</v>
      </c>
    </row>
    <row r="2118">
      <c r="A2118" s="3">
        <f>IFERROR(__xludf.DUMMYFUNCTION("""COMPUTED_VALUE"""),42721.99861111111)</f>
        <v>42721.99861</v>
      </c>
      <c r="B2118" s="1">
        <f>IFERROR(__xludf.DUMMYFUNCTION("""COMPUTED_VALUE"""),3649.66162)</f>
        <v>3649.66162</v>
      </c>
    </row>
    <row r="2119">
      <c r="A2119" s="3">
        <f>IFERROR(__xludf.DUMMYFUNCTION("""COMPUTED_VALUE"""),42722.99861111111)</f>
        <v>42722.99861</v>
      </c>
      <c r="B2119" s="1">
        <f>IFERROR(__xludf.DUMMYFUNCTION("""COMPUTED_VALUE"""),3644.508478)</f>
        <v>3644.508478</v>
      </c>
    </row>
    <row r="2120">
      <c r="A2120" s="3">
        <f>IFERROR(__xludf.DUMMYFUNCTION("""COMPUTED_VALUE"""),42723.99861111111)</f>
        <v>42723.99861</v>
      </c>
      <c r="B2120" s="1">
        <f>IFERROR(__xludf.DUMMYFUNCTION("""COMPUTED_VALUE"""),3639.1803)</f>
        <v>3639.1803</v>
      </c>
    </row>
    <row r="2121">
      <c r="A2121" s="3">
        <f>IFERROR(__xludf.DUMMYFUNCTION("""COMPUTED_VALUE"""),42724.99861111111)</f>
        <v>42724.99861</v>
      </c>
      <c r="B2121" s="1">
        <f>IFERROR(__xludf.DUMMYFUNCTION("""COMPUTED_VALUE"""),3653.06199)</f>
        <v>3653.06199</v>
      </c>
    </row>
    <row r="2122">
      <c r="A2122" s="3">
        <f>IFERROR(__xludf.DUMMYFUNCTION("""COMPUTED_VALUE"""),42725.99861111111)</f>
        <v>42725.99861</v>
      </c>
      <c r="B2122" s="1">
        <f>IFERROR(__xludf.DUMMYFUNCTION("""COMPUTED_VALUE"""),3657.96141)</f>
        <v>3657.96141</v>
      </c>
    </row>
    <row r="2123">
      <c r="A2123" s="3">
        <f>IFERROR(__xludf.DUMMYFUNCTION("""COMPUTED_VALUE"""),42726.99861111111)</f>
        <v>42726.99861</v>
      </c>
      <c r="B2123" s="1">
        <f>IFERROR(__xludf.DUMMYFUNCTION("""COMPUTED_VALUE"""),3660.54882)</f>
        <v>3660.54882</v>
      </c>
    </row>
    <row r="2124">
      <c r="A2124" s="3">
        <f>IFERROR(__xludf.DUMMYFUNCTION("""COMPUTED_VALUE"""),42727.99861111111)</f>
        <v>42727.99861</v>
      </c>
      <c r="B2124" s="1">
        <f>IFERROR(__xludf.DUMMYFUNCTION("""COMPUTED_VALUE"""),3656.59693)</f>
        <v>3656.59693</v>
      </c>
    </row>
    <row r="2125">
      <c r="A2125" s="3">
        <f>IFERROR(__xludf.DUMMYFUNCTION("""COMPUTED_VALUE"""),42728.99861111111)</f>
        <v>42728.99861</v>
      </c>
      <c r="B2125" s="1">
        <f>IFERROR(__xludf.DUMMYFUNCTION("""COMPUTED_VALUE"""),3657.53724)</f>
        <v>3657.53724</v>
      </c>
    </row>
    <row r="2126">
      <c r="A2126" s="3">
        <f>IFERROR(__xludf.DUMMYFUNCTION("""COMPUTED_VALUE"""),42729.99861111111)</f>
        <v>42729.99861</v>
      </c>
      <c r="B2126" s="1">
        <f>IFERROR(__xludf.DUMMYFUNCTION("""COMPUTED_VALUE"""),3660.376233)</f>
        <v>3660.376233</v>
      </c>
    </row>
    <row r="2127">
      <c r="A2127" s="3">
        <f>IFERROR(__xludf.DUMMYFUNCTION("""COMPUTED_VALUE"""),42730.99861111111)</f>
        <v>42730.99861</v>
      </c>
      <c r="B2127" s="1">
        <f>IFERROR(__xludf.DUMMYFUNCTION("""COMPUTED_VALUE"""),3659.04682)</f>
        <v>3659.04682</v>
      </c>
    </row>
    <row r="2128">
      <c r="A2128" s="3">
        <f>IFERROR(__xludf.DUMMYFUNCTION("""COMPUTED_VALUE"""),42731.99861111111)</f>
        <v>42731.99861</v>
      </c>
      <c r="B2128" s="1">
        <f>IFERROR(__xludf.DUMMYFUNCTION("""COMPUTED_VALUE"""),3655.23951)</f>
        <v>3655.23951</v>
      </c>
    </row>
    <row r="2129">
      <c r="A2129" s="3">
        <f>IFERROR(__xludf.DUMMYFUNCTION("""COMPUTED_VALUE"""),42732.99861111111)</f>
        <v>42732.99861</v>
      </c>
      <c r="B2129" s="1">
        <f>IFERROR(__xludf.DUMMYFUNCTION("""COMPUTED_VALUE"""),3671.8431)</f>
        <v>3671.8431</v>
      </c>
    </row>
    <row r="2130">
      <c r="A2130" s="3">
        <f>IFERROR(__xludf.DUMMYFUNCTION("""COMPUTED_VALUE"""),42733.99861111111)</f>
        <v>42733.99861</v>
      </c>
      <c r="B2130" s="1">
        <f>IFERROR(__xludf.DUMMYFUNCTION("""COMPUTED_VALUE"""),3665.31054)</f>
        <v>3665.31054</v>
      </c>
    </row>
    <row r="2131">
      <c r="A2131" s="3">
        <f>IFERROR(__xludf.DUMMYFUNCTION("""COMPUTED_VALUE"""),42734.99861111111)</f>
        <v>42734.99861</v>
      </c>
      <c r="B2131" s="1">
        <f>IFERROR(__xludf.DUMMYFUNCTION("""COMPUTED_VALUE"""),3679.46442)</f>
        <v>3679.46442</v>
      </c>
    </row>
    <row r="2132">
      <c r="A2132" s="3">
        <f>IFERROR(__xludf.DUMMYFUNCTION("""COMPUTED_VALUE"""),42735.99861111111)</f>
        <v>42735.99861</v>
      </c>
      <c r="B2132" s="1">
        <f>IFERROR(__xludf.DUMMYFUNCTION("""COMPUTED_VALUE"""),3681.472789)</f>
        <v>3681.472789</v>
      </c>
    </row>
    <row r="2133">
      <c r="A2133" s="3">
        <f>IFERROR(__xludf.DUMMYFUNCTION("""COMPUTED_VALUE"""),42736.99861111111)</f>
        <v>42736.99861</v>
      </c>
      <c r="B2133" s="1">
        <f>IFERROR(__xludf.DUMMYFUNCTION("""COMPUTED_VALUE"""),3679.838757)</f>
        <v>3679.838757</v>
      </c>
    </row>
    <row r="2134">
      <c r="A2134" s="3">
        <f>IFERROR(__xludf.DUMMYFUNCTION("""COMPUTED_VALUE"""),42737.99861111111)</f>
        <v>42737.99861</v>
      </c>
      <c r="B2134" s="1">
        <f>IFERROR(__xludf.DUMMYFUNCTION("""COMPUTED_VALUE"""),3676.19814)</f>
        <v>3676.19814</v>
      </c>
    </row>
    <row r="2135">
      <c r="A2135" s="3">
        <f>IFERROR(__xludf.DUMMYFUNCTION("""COMPUTED_VALUE"""),42738.99861111111)</f>
        <v>42738.99861</v>
      </c>
      <c r="B2135" s="1">
        <f>IFERROR(__xludf.DUMMYFUNCTION("""COMPUTED_VALUE"""),3659.05017)</f>
        <v>3659.05017</v>
      </c>
    </row>
    <row r="2136">
      <c r="A2136" s="3">
        <f>IFERROR(__xludf.DUMMYFUNCTION("""COMPUTED_VALUE"""),42739.99861111111)</f>
        <v>42739.99861</v>
      </c>
      <c r="B2136" s="1">
        <f>IFERROR(__xludf.DUMMYFUNCTION("""COMPUTED_VALUE"""),3633.05864)</f>
        <v>3633.05864</v>
      </c>
    </row>
    <row r="2137">
      <c r="A2137" s="3">
        <f>IFERROR(__xludf.DUMMYFUNCTION("""COMPUTED_VALUE"""),42740.99861111111)</f>
        <v>42740.99861</v>
      </c>
      <c r="B2137" s="1">
        <f>IFERROR(__xludf.DUMMYFUNCTION("""COMPUTED_VALUE"""),3625.16542)</f>
        <v>3625.16542</v>
      </c>
    </row>
    <row r="2138">
      <c r="A2138" s="3">
        <f>IFERROR(__xludf.DUMMYFUNCTION("""COMPUTED_VALUE"""),42741.99861111111)</f>
        <v>42741.99861</v>
      </c>
      <c r="B2138" s="1">
        <f>IFERROR(__xludf.DUMMYFUNCTION("""COMPUTED_VALUE"""),3631.42556)</f>
        <v>3631.42556</v>
      </c>
    </row>
    <row r="2139">
      <c r="A2139" s="3">
        <f>IFERROR(__xludf.DUMMYFUNCTION("""COMPUTED_VALUE"""),42742.99861111111)</f>
        <v>42742.99861</v>
      </c>
      <c r="B2139" s="1">
        <f>IFERROR(__xludf.DUMMYFUNCTION("""COMPUTED_VALUE"""),3633.442203)</f>
        <v>3633.442203</v>
      </c>
    </row>
    <row r="2140">
      <c r="A2140" s="3">
        <f>IFERROR(__xludf.DUMMYFUNCTION("""COMPUTED_VALUE"""),42743.99861111111)</f>
        <v>42743.99861</v>
      </c>
      <c r="B2140" s="1">
        <f>IFERROR(__xludf.DUMMYFUNCTION("""COMPUTED_VALUE"""),3635.893183)</f>
        <v>3635.893183</v>
      </c>
    </row>
    <row r="2141">
      <c r="A2141" s="3">
        <f>IFERROR(__xludf.DUMMYFUNCTION("""COMPUTED_VALUE"""),42744.99861111111)</f>
        <v>42744.99861</v>
      </c>
      <c r="B2141" s="1">
        <f>IFERROR(__xludf.DUMMYFUNCTION("""COMPUTED_VALUE"""),3623.80452)</f>
        <v>3623.80452</v>
      </c>
    </row>
    <row r="2142">
      <c r="A2142" s="3">
        <f>IFERROR(__xludf.DUMMYFUNCTION("""COMPUTED_VALUE"""),42745.99861111111)</f>
        <v>42745.99861</v>
      </c>
      <c r="B2142" s="1">
        <f>IFERROR(__xludf.DUMMYFUNCTION("""COMPUTED_VALUE"""),3617.54438)</f>
        <v>3617.54438</v>
      </c>
    </row>
    <row r="2143">
      <c r="A2143" s="3">
        <f>IFERROR(__xludf.DUMMYFUNCTION("""COMPUTED_VALUE"""),42746.99861111111)</f>
        <v>42746.99861</v>
      </c>
      <c r="B2143" s="1">
        <f>IFERROR(__xludf.DUMMYFUNCTION("""COMPUTED_VALUE"""),3603.93538)</f>
        <v>3603.93538</v>
      </c>
    </row>
    <row r="2144">
      <c r="A2144" s="3">
        <f>IFERROR(__xludf.DUMMYFUNCTION("""COMPUTED_VALUE"""),42747.99861111111)</f>
        <v>42747.99861</v>
      </c>
      <c r="B2144" s="1">
        <f>IFERROR(__xludf.DUMMYFUNCTION("""COMPUTED_VALUE"""),3608.56244)</f>
        <v>3608.56244</v>
      </c>
    </row>
    <row r="2145">
      <c r="A2145" s="3">
        <f>IFERROR(__xludf.DUMMYFUNCTION("""COMPUTED_VALUE"""),42748.99861111111)</f>
        <v>42748.99861</v>
      </c>
      <c r="B2145" s="1">
        <f>IFERROR(__xludf.DUMMYFUNCTION("""COMPUTED_VALUE"""),3623.53234)</f>
        <v>3623.53234</v>
      </c>
    </row>
    <row r="2146">
      <c r="A2146" s="3">
        <f>IFERROR(__xludf.DUMMYFUNCTION("""COMPUTED_VALUE"""),42750.99861111111)</f>
        <v>42750.99861</v>
      </c>
      <c r="B2146" s="1">
        <f>IFERROR(__xludf.DUMMYFUNCTION("""COMPUTED_VALUE"""),3623.53234)</f>
        <v>3623.53234</v>
      </c>
    </row>
    <row r="2147">
      <c r="A2147" s="3">
        <f>IFERROR(__xludf.DUMMYFUNCTION("""COMPUTED_VALUE"""),42751.99861111111)</f>
        <v>42751.99861</v>
      </c>
      <c r="B2147" s="1">
        <f>IFERROR(__xludf.DUMMYFUNCTION("""COMPUTED_VALUE"""),3633.33082)</f>
        <v>3633.33082</v>
      </c>
    </row>
    <row r="2148">
      <c r="A2148" s="3">
        <f>IFERROR(__xludf.DUMMYFUNCTION("""COMPUTED_VALUE"""),42752.99861111111)</f>
        <v>42752.99861</v>
      </c>
      <c r="B2148" s="1">
        <f>IFERROR(__xludf.DUMMYFUNCTION("""COMPUTED_VALUE"""),3618.90528)</f>
        <v>3618.90528</v>
      </c>
    </row>
    <row r="2149">
      <c r="A2149" s="3">
        <f>IFERROR(__xludf.DUMMYFUNCTION("""COMPUTED_VALUE"""),42753.99861111111)</f>
        <v>42753.99861</v>
      </c>
      <c r="B2149" s="1">
        <f>IFERROR(__xludf.DUMMYFUNCTION("""COMPUTED_VALUE"""),3639.0466)</f>
        <v>3639.0466</v>
      </c>
    </row>
    <row r="2150">
      <c r="A2150" s="3">
        <f>IFERROR(__xludf.DUMMYFUNCTION("""COMPUTED_VALUE"""),42754.99861111111)</f>
        <v>42754.99861</v>
      </c>
      <c r="B2150" s="1">
        <f>IFERROR(__xludf.DUMMYFUNCTION("""COMPUTED_VALUE"""),3641.22404)</f>
        <v>3641.22404</v>
      </c>
    </row>
    <row r="2151">
      <c r="A2151" s="3">
        <f>IFERROR(__xludf.DUMMYFUNCTION("""COMPUTED_VALUE"""),42755.99861111111)</f>
        <v>42755.99861</v>
      </c>
      <c r="B2151" s="1">
        <f>IFERROR(__xludf.DUMMYFUNCTION("""COMPUTED_VALUE"""),3645.30674)</f>
        <v>3645.30674</v>
      </c>
    </row>
    <row r="2152">
      <c r="A2152" s="3">
        <f>IFERROR(__xludf.DUMMYFUNCTION("""COMPUTED_VALUE"""),42756.99861111111)</f>
        <v>42756.99861</v>
      </c>
      <c r="B2152" s="1">
        <f>IFERROR(__xludf.DUMMYFUNCTION("""COMPUTED_VALUE"""),3647.331091)</f>
        <v>3647.331091</v>
      </c>
    </row>
    <row r="2153">
      <c r="A2153" s="3">
        <f>IFERROR(__xludf.DUMMYFUNCTION("""COMPUTED_VALUE"""),42757.99861111111)</f>
        <v>42757.99861</v>
      </c>
      <c r="B2153" s="1">
        <f>IFERROR(__xludf.DUMMYFUNCTION("""COMPUTED_VALUE"""),3649.51538)</f>
        <v>3649.51538</v>
      </c>
    </row>
    <row r="2154">
      <c r="A2154" s="3">
        <f>IFERROR(__xludf.DUMMYFUNCTION("""COMPUTED_VALUE"""),42758.99861111111)</f>
        <v>42758.99861</v>
      </c>
      <c r="B2154" s="1">
        <f>IFERROR(__xludf.DUMMYFUNCTION("""COMPUTED_VALUE"""),3632.2421)</f>
        <v>3632.2421</v>
      </c>
    </row>
    <row r="2155">
      <c r="A2155" s="3">
        <f>IFERROR(__xludf.DUMMYFUNCTION("""COMPUTED_VALUE"""),42759.99861111111)</f>
        <v>42759.99861</v>
      </c>
      <c r="B2155" s="1">
        <f>IFERROR(__xludf.DUMMYFUNCTION("""COMPUTED_VALUE"""),3631.42556)</f>
        <v>3631.42556</v>
      </c>
    </row>
    <row r="2156">
      <c r="A2156" s="3">
        <f>IFERROR(__xludf.DUMMYFUNCTION("""COMPUTED_VALUE"""),42760.99861111111)</f>
        <v>42760.99861</v>
      </c>
      <c r="B2156" s="1">
        <f>IFERROR(__xludf.DUMMYFUNCTION("""COMPUTED_VALUE"""),3624.34888)</f>
        <v>3624.34888</v>
      </c>
    </row>
    <row r="2157">
      <c r="A2157" s="3">
        <f>IFERROR(__xludf.DUMMYFUNCTION("""COMPUTED_VALUE"""),42761.99861111111)</f>
        <v>42761.99861</v>
      </c>
      <c r="B2157" s="1">
        <f>IFERROR(__xludf.DUMMYFUNCTION("""COMPUTED_VALUE"""),3644.47688)</f>
        <v>3644.47688</v>
      </c>
    </row>
    <row r="2158">
      <c r="A2158" s="3">
        <f>IFERROR(__xludf.DUMMYFUNCTION("""COMPUTED_VALUE"""),42762.99861111111)</f>
        <v>42762.99861</v>
      </c>
      <c r="B2158" s="1">
        <f>IFERROR(__xludf.DUMMYFUNCTION("""COMPUTED_VALUE"""),3635.50826)</f>
        <v>3635.50826</v>
      </c>
    </row>
    <row r="2159">
      <c r="A2159" s="3">
        <f>IFERROR(__xludf.DUMMYFUNCTION("""COMPUTED_VALUE"""),42763.99861111111)</f>
        <v>42763.99861</v>
      </c>
      <c r="B2159" s="1">
        <f>IFERROR(__xludf.DUMMYFUNCTION("""COMPUTED_VALUE"""),3638.768976)</f>
        <v>3638.768976</v>
      </c>
    </row>
    <row r="2160">
      <c r="A2160" s="3">
        <f>IFERROR(__xludf.DUMMYFUNCTION("""COMPUTED_VALUE"""),42764.99861111111)</f>
        <v>42764.99861</v>
      </c>
      <c r="B2160" s="1">
        <f>IFERROR(__xludf.DUMMYFUNCTION("""COMPUTED_VALUE"""),3627.73698)</f>
        <v>3627.73698</v>
      </c>
    </row>
    <row r="2161">
      <c r="A2161" s="3">
        <f>IFERROR(__xludf.DUMMYFUNCTION("""COMPUTED_VALUE"""),42765.99861111111)</f>
        <v>42765.99861</v>
      </c>
      <c r="B2161" s="1">
        <f>IFERROR(__xludf.DUMMYFUNCTION("""COMPUTED_VALUE"""),3630.47022)</f>
        <v>3630.47022</v>
      </c>
    </row>
    <row r="2162">
      <c r="A2162" s="3">
        <f>IFERROR(__xludf.DUMMYFUNCTION("""COMPUTED_VALUE"""),42766.99861111111)</f>
        <v>42766.99861</v>
      </c>
      <c r="B2162" s="1">
        <f>IFERROR(__xludf.DUMMYFUNCTION("""COMPUTED_VALUE"""),3632.509)</f>
        <v>3632.509</v>
      </c>
    </row>
    <row r="2163">
      <c r="A2163" s="3">
        <f>IFERROR(__xludf.DUMMYFUNCTION("""COMPUTED_VALUE"""),42767.99861111111)</f>
        <v>42767.99861</v>
      </c>
      <c r="B2163" s="1">
        <f>IFERROR(__xludf.DUMMYFUNCTION("""COMPUTED_VALUE"""),3636.592)</f>
        <v>3636.592</v>
      </c>
    </row>
    <row r="2164">
      <c r="A2164" s="3">
        <f>IFERROR(__xludf.DUMMYFUNCTION("""COMPUTED_VALUE"""),42768.99861111111)</f>
        <v>42768.99861</v>
      </c>
      <c r="B2164" s="1">
        <f>IFERROR(__xludf.DUMMYFUNCTION("""COMPUTED_VALUE"""),3633.4485)</f>
        <v>3633.4485</v>
      </c>
    </row>
    <row r="2165">
      <c r="A2165" s="3">
        <f>IFERROR(__xludf.DUMMYFUNCTION("""COMPUTED_VALUE"""),42769.99861111111)</f>
        <v>42769.99861</v>
      </c>
      <c r="B2165" s="1">
        <f>IFERROR(__xludf.DUMMYFUNCTION("""COMPUTED_VALUE"""),3624.89324)</f>
        <v>3624.89324</v>
      </c>
    </row>
    <row r="2166">
      <c r="A2166" s="3">
        <f>IFERROR(__xludf.DUMMYFUNCTION("""COMPUTED_VALUE"""),42770.99861111111)</f>
        <v>42770.99861</v>
      </c>
      <c r="B2166" s="1">
        <f>IFERROR(__xludf.DUMMYFUNCTION("""COMPUTED_VALUE"""),3629.065759)</f>
        <v>3629.065759</v>
      </c>
    </row>
    <row r="2167">
      <c r="A2167" s="3">
        <f>IFERROR(__xludf.DUMMYFUNCTION("""COMPUTED_VALUE"""),42771.99861111111)</f>
        <v>42771.99861</v>
      </c>
      <c r="B2167" s="1">
        <f>IFERROR(__xludf.DUMMYFUNCTION("""COMPUTED_VALUE"""),3631.00374)</f>
        <v>3631.00374</v>
      </c>
    </row>
    <row r="2168">
      <c r="A2168" s="3">
        <f>IFERROR(__xludf.DUMMYFUNCTION("""COMPUTED_VALUE"""),42772.99861111111)</f>
        <v>42772.99861</v>
      </c>
      <c r="B2168" s="1">
        <f>IFERROR(__xludf.DUMMYFUNCTION("""COMPUTED_VALUE"""),3627.07068)</f>
        <v>3627.07068</v>
      </c>
    </row>
    <row r="2169">
      <c r="A2169" s="3">
        <f>IFERROR(__xludf.DUMMYFUNCTION("""COMPUTED_VALUE"""),42773.99861111111)</f>
        <v>42773.99861</v>
      </c>
      <c r="B2169" s="1">
        <f>IFERROR(__xludf.DUMMYFUNCTION("""COMPUTED_VALUE"""),3622.7158)</f>
        <v>3622.7158</v>
      </c>
    </row>
    <row r="2170">
      <c r="A2170" s="3">
        <f>IFERROR(__xludf.DUMMYFUNCTION("""COMPUTED_VALUE"""),42774.99861111111)</f>
        <v>42774.99861</v>
      </c>
      <c r="B2170" s="1">
        <f>IFERROR(__xludf.DUMMYFUNCTION("""COMPUTED_VALUE"""),3620.67138)</f>
        <v>3620.67138</v>
      </c>
    </row>
    <row r="2171">
      <c r="A2171" s="3">
        <f>IFERROR(__xludf.DUMMYFUNCTION("""COMPUTED_VALUE"""),42775.99861111111)</f>
        <v>42775.99861</v>
      </c>
      <c r="B2171" s="1">
        <f>IFERROR(__xludf.DUMMYFUNCTION("""COMPUTED_VALUE"""),3616.9936)</f>
        <v>3616.9936</v>
      </c>
    </row>
    <row r="2172">
      <c r="A2172" s="3">
        <f>IFERROR(__xludf.DUMMYFUNCTION("""COMPUTED_VALUE"""),42776.99861111111)</f>
        <v>42776.99861</v>
      </c>
      <c r="B2172" s="1">
        <f>IFERROR(__xludf.DUMMYFUNCTION("""COMPUTED_VALUE"""),3623.53234)</f>
        <v>3623.53234</v>
      </c>
    </row>
    <row r="2173">
      <c r="A2173" s="3">
        <f>IFERROR(__xludf.DUMMYFUNCTION("""COMPUTED_VALUE"""),42777.99861111111)</f>
        <v>42777.99861</v>
      </c>
      <c r="B2173" s="1">
        <f>IFERROR(__xludf.DUMMYFUNCTION("""COMPUTED_VALUE"""),3629.065759)</f>
        <v>3629.065759</v>
      </c>
    </row>
    <row r="2174">
      <c r="A2174" s="3">
        <f>IFERROR(__xludf.DUMMYFUNCTION("""COMPUTED_VALUE"""),42778.99861111111)</f>
        <v>42778.99861</v>
      </c>
      <c r="B2174" s="1">
        <f>IFERROR(__xludf.DUMMYFUNCTION("""COMPUTED_VALUE"""),3630.3204)</f>
        <v>3630.3204</v>
      </c>
    </row>
    <row r="2175">
      <c r="A2175" s="3">
        <f>IFERROR(__xludf.DUMMYFUNCTION("""COMPUTED_VALUE"""),42779.99861111111)</f>
        <v>42779.99861</v>
      </c>
      <c r="B2175" s="1">
        <f>IFERROR(__xludf.DUMMYFUNCTION("""COMPUTED_VALUE"""),3626.38737)</f>
        <v>3626.38737</v>
      </c>
    </row>
    <row r="2176">
      <c r="A2176" s="3">
        <f>IFERROR(__xludf.DUMMYFUNCTION("""COMPUTED_VALUE"""),42780.99861111111)</f>
        <v>42780.99861</v>
      </c>
      <c r="B2176" s="1">
        <f>IFERROR(__xludf.DUMMYFUNCTION("""COMPUTED_VALUE"""),3625.70978)</f>
        <v>3625.70978</v>
      </c>
    </row>
    <row r="2177">
      <c r="A2177" s="3">
        <f>IFERROR(__xludf.DUMMYFUNCTION("""COMPUTED_VALUE"""),42781.99861111111)</f>
        <v>42781.99861</v>
      </c>
      <c r="B2177" s="1">
        <f>IFERROR(__xludf.DUMMYFUNCTION("""COMPUTED_VALUE"""),3624.34888)</f>
        <v>3624.34888</v>
      </c>
    </row>
    <row r="2178">
      <c r="A2178" s="3">
        <f>IFERROR(__xludf.DUMMYFUNCTION("""COMPUTED_VALUE"""),42782.99861111111)</f>
        <v>42782.99861</v>
      </c>
      <c r="B2178" s="1">
        <f>IFERROR(__xludf.DUMMYFUNCTION("""COMPUTED_VALUE"""),3625.9762)</f>
        <v>3625.9762</v>
      </c>
    </row>
    <row r="2179">
      <c r="A2179" s="3">
        <f>IFERROR(__xludf.DUMMYFUNCTION("""COMPUTED_VALUE"""),42783.99861111111)</f>
        <v>42783.99861</v>
      </c>
      <c r="B2179" s="1">
        <f>IFERROR(__xludf.DUMMYFUNCTION("""COMPUTED_VALUE"""),3630.47022)</f>
        <v>3630.47022</v>
      </c>
    </row>
    <row r="2180">
      <c r="A2180" s="3">
        <f>IFERROR(__xludf.DUMMYFUNCTION("""COMPUTED_VALUE"""),42784.99861111111)</f>
        <v>42784.99861</v>
      </c>
      <c r="B2180" s="1">
        <f>IFERROR(__xludf.DUMMYFUNCTION("""COMPUTED_VALUE"""),3634.044074)</f>
        <v>3634.044074</v>
      </c>
    </row>
    <row r="2181">
      <c r="A2181" s="3">
        <f>IFERROR(__xludf.DUMMYFUNCTION("""COMPUTED_VALUE"""),42785.99861111111)</f>
        <v>42785.99861</v>
      </c>
      <c r="B2181" s="1">
        <f>IFERROR(__xludf.DUMMYFUNCTION("""COMPUTED_VALUE"""),3634.137)</f>
        <v>3634.137</v>
      </c>
    </row>
    <row r="2182">
      <c r="A2182" s="3">
        <f>IFERROR(__xludf.DUMMYFUNCTION("""COMPUTED_VALUE"""),42786.99861111111)</f>
        <v>42786.99861</v>
      </c>
      <c r="B2182" s="1">
        <f>IFERROR(__xludf.DUMMYFUNCTION("""COMPUTED_VALUE"""),3632.91993)</f>
        <v>3632.91993</v>
      </c>
    </row>
    <row r="2183">
      <c r="A2183" s="3">
        <f>IFERROR(__xludf.DUMMYFUNCTION("""COMPUTED_VALUE"""),42787.99861111111)</f>
        <v>42787.99861</v>
      </c>
      <c r="B2183" s="1">
        <f>IFERROR(__xludf.DUMMYFUNCTION("""COMPUTED_VALUE"""),3635.78044)</f>
        <v>3635.78044</v>
      </c>
    </row>
    <row r="2184">
      <c r="A2184" s="3">
        <f>IFERROR(__xludf.DUMMYFUNCTION("""COMPUTED_VALUE"""),42788.99861111111)</f>
        <v>42788.99861</v>
      </c>
      <c r="B2184" s="1">
        <f>IFERROR(__xludf.DUMMYFUNCTION("""COMPUTED_VALUE"""),3630.6036)</f>
        <v>3630.6036</v>
      </c>
    </row>
    <row r="2185">
      <c r="A2185" s="3">
        <f>IFERROR(__xludf.DUMMYFUNCTION("""COMPUTED_VALUE"""),42789.99861111111)</f>
        <v>42789.99861</v>
      </c>
      <c r="B2185" s="1">
        <f>IFERROR(__xludf.DUMMYFUNCTION("""COMPUTED_VALUE"""),3627.19825)</f>
        <v>3627.19825</v>
      </c>
    </row>
    <row r="2186">
      <c r="A2186" s="3">
        <f>IFERROR(__xludf.DUMMYFUNCTION("""COMPUTED_VALUE"""),42790.99861111111)</f>
        <v>42790.99861</v>
      </c>
      <c r="B2186" s="1">
        <f>IFERROR(__xludf.DUMMYFUNCTION("""COMPUTED_VALUE"""),3626.65383)</f>
        <v>3626.65383</v>
      </c>
    </row>
    <row r="2187">
      <c r="A2187" s="3">
        <f>IFERROR(__xludf.DUMMYFUNCTION("""COMPUTED_VALUE"""),42791.99861111111)</f>
        <v>42791.99861</v>
      </c>
      <c r="B2187" s="1">
        <f>IFERROR(__xludf.DUMMYFUNCTION("""COMPUTED_VALUE"""),3626.65383)</f>
        <v>3626.65383</v>
      </c>
    </row>
    <row r="2188">
      <c r="A2188" s="3">
        <f>IFERROR(__xludf.DUMMYFUNCTION("""COMPUTED_VALUE"""),42792.99861111111)</f>
        <v>42792.99861</v>
      </c>
      <c r="B2188" s="1">
        <f>IFERROR(__xludf.DUMMYFUNCTION("""COMPUTED_VALUE"""),3627.32576)</f>
        <v>3627.32576</v>
      </c>
    </row>
    <row r="2189">
      <c r="A2189" s="3">
        <f>IFERROR(__xludf.DUMMYFUNCTION("""COMPUTED_VALUE"""),42793.99861111111)</f>
        <v>42793.99861</v>
      </c>
      <c r="B2189" s="1">
        <f>IFERROR(__xludf.DUMMYFUNCTION("""COMPUTED_VALUE"""),3631.14258)</f>
        <v>3631.14258</v>
      </c>
    </row>
    <row r="2190">
      <c r="A2190" s="3">
        <f>IFERROR(__xludf.DUMMYFUNCTION("""COMPUTED_VALUE"""),42794.99861111111)</f>
        <v>42794.99861</v>
      </c>
      <c r="B2190" s="1">
        <f>IFERROR(__xludf.DUMMYFUNCTION("""COMPUTED_VALUE"""),3645.16411)</f>
        <v>3645.16411</v>
      </c>
    </row>
    <row r="2191">
      <c r="A2191" s="3">
        <f>IFERROR(__xludf.DUMMYFUNCTION("""COMPUTED_VALUE"""),42795.99861111111)</f>
        <v>42795.99861</v>
      </c>
      <c r="B2191" s="1">
        <f>IFERROR(__xludf.DUMMYFUNCTION("""COMPUTED_VALUE"""),3645.43632)</f>
        <v>3645.43632</v>
      </c>
    </row>
    <row r="2192">
      <c r="A2192" s="3">
        <f>IFERROR(__xludf.DUMMYFUNCTION("""COMPUTED_VALUE"""),42796.99861111111)</f>
        <v>42796.99861</v>
      </c>
      <c r="B2192" s="1">
        <f>IFERROR(__xludf.DUMMYFUNCTION("""COMPUTED_VALUE"""),3640.26433)</f>
        <v>3640.26433</v>
      </c>
    </row>
    <row r="2193">
      <c r="A2193" s="3">
        <f>IFERROR(__xludf.DUMMYFUNCTION("""COMPUTED_VALUE"""),42797.99861111111)</f>
        <v>42797.99861</v>
      </c>
      <c r="B2193" s="1">
        <f>IFERROR(__xludf.DUMMYFUNCTION("""COMPUTED_VALUE"""),3625.68048)</f>
        <v>3625.68048</v>
      </c>
    </row>
    <row r="2194">
      <c r="A2194" s="3">
        <f>IFERROR(__xludf.DUMMYFUNCTION("""COMPUTED_VALUE"""),42798.99861111111)</f>
        <v>42798.99861</v>
      </c>
      <c r="B2194" s="1">
        <f>IFERROR(__xludf.DUMMYFUNCTION("""COMPUTED_VALUE"""),3629.465759)</f>
        <v>3629.465759</v>
      </c>
    </row>
    <row r="2195">
      <c r="A2195" s="3">
        <f>IFERROR(__xludf.DUMMYFUNCTION("""COMPUTED_VALUE"""),42799.99861111111)</f>
        <v>42799.99861</v>
      </c>
      <c r="B2195" s="1">
        <f>IFERROR(__xludf.DUMMYFUNCTION("""COMPUTED_VALUE"""),3614.66994)</f>
        <v>3614.66994</v>
      </c>
    </row>
    <row r="2196">
      <c r="A2196" s="3">
        <f>IFERROR(__xludf.DUMMYFUNCTION("""COMPUTED_VALUE"""),42800.99861111111)</f>
        <v>42800.99861</v>
      </c>
      <c r="B2196" s="1">
        <f>IFERROR(__xludf.DUMMYFUNCTION("""COMPUTED_VALUE"""),3631.6924)</f>
        <v>3631.6924</v>
      </c>
    </row>
    <row r="2197">
      <c r="A2197" s="3">
        <f>IFERROR(__xludf.DUMMYFUNCTION("""COMPUTED_VALUE"""),42801.99861111111)</f>
        <v>42801.99861</v>
      </c>
      <c r="B2197" s="1">
        <f>IFERROR(__xludf.DUMMYFUNCTION("""COMPUTED_VALUE"""),3630.19256)</f>
        <v>3630.19256</v>
      </c>
    </row>
    <row r="2198">
      <c r="A2198" s="3">
        <f>IFERROR(__xludf.DUMMYFUNCTION("""COMPUTED_VALUE"""),42802.99861111111)</f>
        <v>42802.99861</v>
      </c>
      <c r="B2198" s="1">
        <f>IFERROR(__xludf.DUMMYFUNCTION("""COMPUTED_VALUE"""),3638.63592)</f>
        <v>3638.63592</v>
      </c>
    </row>
    <row r="2199">
      <c r="A2199" s="3">
        <f>IFERROR(__xludf.DUMMYFUNCTION("""COMPUTED_VALUE"""),42803.99861111111)</f>
        <v>42803.99861</v>
      </c>
      <c r="B2199" s="1">
        <f>IFERROR(__xludf.DUMMYFUNCTION("""COMPUTED_VALUE"""),3648.16257)</f>
        <v>3648.16257</v>
      </c>
    </row>
    <row r="2200">
      <c r="A2200" s="3">
        <f>IFERROR(__xludf.DUMMYFUNCTION("""COMPUTED_VALUE"""),42804.99861111111)</f>
        <v>42804.99861</v>
      </c>
      <c r="B2200" s="1">
        <f>IFERROR(__xludf.DUMMYFUNCTION("""COMPUTED_VALUE"""),3633.33082)</f>
        <v>3633.33082</v>
      </c>
    </row>
    <row r="2201">
      <c r="A2201" s="3">
        <f>IFERROR(__xludf.DUMMYFUNCTION("""COMPUTED_VALUE"""),42806.99861111111)</f>
        <v>42806.99861</v>
      </c>
      <c r="B2201" s="1">
        <f>IFERROR(__xludf.DUMMYFUNCTION("""COMPUTED_VALUE"""),3633.04812)</f>
        <v>3633.04812</v>
      </c>
    </row>
    <row r="2202">
      <c r="A2202" s="3">
        <f>IFERROR(__xludf.DUMMYFUNCTION("""COMPUTED_VALUE"""),42807.99861111111)</f>
        <v>42807.99861</v>
      </c>
      <c r="B2202" s="1">
        <f>IFERROR(__xludf.DUMMYFUNCTION("""COMPUTED_VALUE"""),3639.59096)</f>
        <v>3639.59096</v>
      </c>
    </row>
    <row r="2203">
      <c r="A2203" s="3">
        <f>IFERROR(__xludf.DUMMYFUNCTION("""COMPUTED_VALUE"""),42808.99861111111)</f>
        <v>42808.99861</v>
      </c>
      <c r="B2203" s="1">
        <f>IFERROR(__xludf.DUMMYFUNCTION("""COMPUTED_VALUE"""),3644.4902)</f>
        <v>3644.4902</v>
      </c>
    </row>
    <row r="2204">
      <c r="A2204" s="3">
        <f>IFERROR(__xludf.DUMMYFUNCTION("""COMPUTED_VALUE"""),42809.99861111111)</f>
        <v>42809.99861</v>
      </c>
      <c r="B2204" s="1">
        <f>IFERROR(__xludf.DUMMYFUNCTION("""COMPUTED_VALUE"""),3597.40306)</f>
        <v>3597.40306</v>
      </c>
    </row>
    <row r="2205">
      <c r="A2205" s="3">
        <f>IFERROR(__xludf.DUMMYFUNCTION("""COMPUTED_VALUE"""),42810.99861111111)</f>
        <v>42810.99861</v>
      </c>
      <c r="B2205" s="1">
        <f>IFERROR(__xludf.DUMMYFUNCTION("""COMPUTED_VALUE"""),3615.6326)</f>
        <v>3615.6326</v>
      </c>
    </row>
    <row r="2206">
      <c r="A2206" s="3">
        <f>IFERROR(__xludf.DUMMYFUNCTION("""COMPUTED_VALUE"""),42811.99861111111)</f>
        <v>42811.99861</v>
      </c>
      <c r="B2206" s="1">
        <f>IFERROR(__xludf.DUMMYFUNCTION("""COMPUTED_VALUE"""),3630.8812)</f>
        <v>3630.8812</v>
      </c>
    </row>
    <row r="2207">
      <c r="A2207" s="3">
        <f>IFERROR(__xludf.DUMMYFUNCTION("""COMPUTED_VALUE"""),42812.99861111111)</f>
        <v>42812.99861</v>
      </c>
      <c r="B2207" s="1">
        <f>IFERROR(__xludf.DUMMYFUNCTION("""COMPUTED_VALUE"""),3630.8812)</f>
        <v>3630.8812</v>
      </c>
    </row>
    <row r="2208">
      <c r="A2208" s="3">
        <f>IFERROR(__xludf.DUMMYFUNCTION("""COMPUTED_VALUE"""),42813.99861111111)</f>
        <v>42813.99861</v>
      </c>
      <c r="B2208" s="1">
        <f>IFERROR(__xludf.DUMMYFUNCTION("""COMPUTED_VALUE"""),3628.6926)</f>
        <v>3628.6926</v>
      </c>
    </row>
    <row r="2209">
      <c r="A2209" s="3">
        <f>IFERROR(__xludf.DUMMYFUNCTION("""COMPUTED_VALUE"""),42814.99861111111)</f>
        <v>42814.99861</v>
      </c>
      <c r="B2209" s="1">
        <f>IFERROR(__xludf.DUMMYFUNCTION("""COMPUTED_VALUE"""),3628.70376)</f>
        <v>3628.70376</v>
      </c>
    </row>
    <row r="2210">
      <c r="A2210" s="3">
        <f>IFERROR(__xludf.DUMMYFUNCTION("""COMPUTED_VALUE"""),42815.99861111111)</f>
        <v>42815.99861</v>
      </c>
      <c r="B2210" s="1">
        <f>IFERROR(__xludf.DUMMYFUNCTION("""COMPUTED_VALUE"""),3622.17144)</f>
        <v>3622.17144</v>
      </c>
    </row>
    <row r="2211">
      <c r="A2211" s="3">
        <f>IFERROR(__xludf.DUMMYFUNCTION("""COMPUTED_VALUE"""),42816.99861111111)</f>
        <v>42816.99861</v>
      </c>
      <c r="B2211" s="1">
        <f>IFERROR(__xludf.DUMMYFUNCTION("""COMPUTED_VALUE"""),3627.47613)</f>
        <v>3627.47613</v>
      </c>
    </row>
    <row r="2212">
      <c r="A2212" s="3">
        <f>IFERROR(__xludf.DUMMYFUNCTION("""COMPUTED_VALUE"""),42817.99861111111)</f>
        <v>42817.99861</v>
      </c>
      <c r="B2212" s="1">
        <f>IFERROR(__xludf.DUMMYFUNCTION("""COMPUTED_VALUE"""),3625.02642)</f>
        <v>3625.02642</v>
      </c>
    </row>
    <row r="2213">
      <c r="A2213" s="3">
        <f>IFERROR(__xludf.DUMMYFUNCTION("""COMPUTED_VALUE"""),42818.99861111111)</f>
        <v>42818.99861</v>
      </c>
      <c r="B2213" s="1">
        <f>IFERROR(__xludf.DUMMYFUNCTION("""COMPUTED_VALUE"""),3618.22167)</f>
        <v>3618.22167</v>
      </c>
    </row>
    <row r="2214">
      <c r="A2214" s="3">
        <f>IFERROR(__xludf.DUMMYFUNCTION("""COMPUTED_VALUE"""),42819.99861111111)</f>
        <v>42819.99861</v>
      </c>
      <c r="B2214" s="1">
        <f>IFERROR(__xludf.DUMMYFUNCTION("""COMPUTED_VALUE"""),3620.196611)</f>
        <v>3620.196611</v>
      </c>
    </row>
    <row r="2215">
      <c r="A2215" s="3">
        <f>IFERROR(__xludf.DUMMYFUNCTION("""COMPUTED_VALUE"""),42820.99861111111)</f>
        <v>42820.99861</v>
      </c>
      <c r="B2215" s="1">
        <f>IFERROR(__xludf.DUMMYFUNCTION("""COMPUTED_VALUE"""),3625.9704)</f>
        <v>3625.9704</v>
      </c>
    </row>
    <row r="2216">
      <c r="A2216" s="3">
        <f>IFERROR(__xludf.DUMMYFUNCTION("""COMPUTED_VALUE"""),42821.99861111111)</f>
        <v>42821.99861</v>
      </c>
      <c r="B2216" s="1">
        <f>IFERROR(__xludf.DUMMYFUNCTION("""COMPUTED_VALUE"""),3622.30452)</f>
        <v>3622.30452</v>
      </c>
    </row>
    <row r="2217">
      <c r="A2217" s="3">
        <f>IFERROR(__xludf.DUMMYFUNCTION("""COMPUTED_VALUE"""),42822.99861111111)</f>
        <v>42822.99861</v>
      </c>
      <c r="B2217" s="1">
        <f>IFERROR(__xludf.DUMMYFUNCTION("""COMPUTED_VALUE"""),3622.57671)</f>
        <v>3622.57671</v>
      </c>
    </row>
    <row r="2218">
      <c r="A2218" s="3">
        <f>IFERROR(__xludf.DUMMYFUNCTION("""COMPUTED_VALUE"""),42823.99861111111)</f>
        <v>42823.99861</v>
      </c>
      <c r="B2218" s="1">
        <f>IFERROR(__xludf.DUMMYFUNCTION("""COMPUTED_VALUE"""),3620.81054)</f>
        <v>3620.81054</v>
      </c>
    </row>
    <row r="2219">
      <c r="A2219" s="3">
        <f>IFERROR(__xludf.DUMMYFUNCTION("""COMPUTED_VALUE"""),42824.99861111111)</f>
        <v>42824.99861</v>
      </c>
      <c r="B2219" s="1">
        <f>IFERROR(__xludf.DUMMYFUNCTION("""COMPUTED_VALUE"""),3619.72182)</f>
        <v>3619.72182</v>
      </c>
    </row>
    <row r="2220">
      <c r="A2220" s="3">
        <f>IFERROR(__xludf.DUMMYFUNCTION("""COMPUTED_VALUE"""),42825.99861111111)</f>
        <v>42825.99861</v>
      </c>
      <c r="B2220" s="1">
        <f>IFERROR(__xludf.DUMMYFUNCTION("""COMPUTED_VALUE"""),3625.84299)</f>
        <v>3625.84299</v>
      </c>
    </row>
    <row r="2221">
      <c r="A2221" s="3">
        <f>IFERROR(__xludf.DUMMYFUNCTION("""COMPUTED_VALUE"""),42827.99861111111)</f>
        <v>42827.99861</v>
      </c>
      <c r="B2221" s="1">
        <f>IFERROR(__xludf.DUMMYFUNCTION("""COMPUTED_VALUE"""),3630.18705)</f>
        <v>3630.18705</v>
      </c>
    </row>
    <row r="2222">
      <c r="A2222" s="3">
        <f>IFERROR(__xludf.DUMMYFUNCTION("""COMPUTED_VALUE"""),42828.99861111111)</f>
        <v>42828.99861</v>
      </c>
      <c r="B2222" s="1">
        <f>IFERROR(__xludf.DUMMYFUNCTION("""COMPUTED_VALUE"""),3624.34888)</f>
        <v>3624.34888</v>
      </c>
    </row>
    <row r="2223">
      <c r="A2223" s="3">
        <f>IFERROR(__xludf.DUMMYFUNCTION("""COMPUTED_VALUE"""),42829.99861111111)</f>
        <v>42829.99861</v>
      </c>
      <c r="B2223" s="1">
        <f>IFERROR(__xludf.DUMMYFUNCTION("""COMPUTED_VALUE"""),3628.83708)</f>
        <v>3628.83708</v>
      </c>
    </row>
    <row r="2224">
      <c r="A2224" s="3">
        <f>IFERROR(__xludf.DUMMYFUNCTION("""COMPUTED_VALUE"""),42830.99861111111)</f>
        <v>42830.99861</v>
      </c>
      <c r="B2224" s="1">
        <f>IFERROR(__xludf.DUMMYFUNCTION("""COMPUTED_VALUE"""),3626.25414)</f>
        <v>3626.25414</v>
      </c>
    </row>
    <row r="2225">
      <c r="A2225" s="3">
        <f>IFERROR(__xludf.DUMMYFUNCTION("""COMPUTED_VALUE"""),42831.99861111111)</f>
        <v>42831.99861</v>
      </c>
      <c r="B2225" s="1">
        <f>IFERROR(__xludf.DUMMYFUNCTION("""COMPUTED_VALUE"""),3634.55307)</f>
        <v>3634.55307</v>
      </c>
    </row>
    <row r="2226">
      <c r="A2226" s="3">
        <f>IFERROR(__xludf.DUMMYFUNCTION("""COMPUTED_VALUE"""),42832.99861111111)</f>
        <v>42832.99861</v>
      </c>
      <c r="B2226" s="1">
        <f>IFERROR(__xludf.DUMMYFUNCTION("""COMPUTED_VALUE"""),3630.5871)</f>
        <v>3630.5871</v>
      </c>
    </row>
    <row r="2227">
      <c r="A2227" s="3">
        <f>IFERROR(__xludf.DUMMYFUNCTION("""COMPUTED_VALUE"""),42833.99861111111)</f>
        <v>42833.99861</v>
      </c>
      <c r="B2227" s="1">
        <f>IFERROR(__xludf.DUMMYFUNCTION("""COMPUTED_VALUE"""),3634.044074)</f>
        <v>3634.044074</v>
      </c>
    </row>
    <row r="2228">
      <c r="A2228" s="3">
        <f>IFERROR(__xludf.DUMMYFUNCTION("""COMPUTED_VALUE"""),42834.99861111111)</f>
        <v>42834.99861</v>
      </c>
      <c r="B2228" s="1">
        <f>IFERROR(__xludf.DUMMYFUNCTION("""COMPUTED_VALUE"""),3640.66552)</f>
        <v>3640.66552</v>
      </c>
    </row>
    <row r="2229">
      <c r="A2229" s="3">
        <f>IFERROR(__xludf.DUMMYFUNCTION("""COMPUTED_VALUE"""),42835.99861111111)</f>
        <v>42835.99861</v>
      </c>
      <c r="B2229" s="1">
        <f>IFERROR(__xludf.DUMMYFUNCTION("""COMPUTED_VALUE"""),3612.10078)</f>
        <v>3612.10078</v>
      </c>
    </row>
    <row r="2230">
      <c r="A2230" s="3">
        <f>IFERROR(__xludf.DUMMYFUNCTION("""COMPUTED_VALUE"""),42836.99861111111)</f>
        <v>42836.99861</v>
      </c>
      <c r="B2230" s="1">
        <f>IFERROR(__xludf.DUMMYFUNCTION("""COMPUTED_VALUE"""),3617.54438)</f>
        <v>3617.54438</v>
      </c>
    </row>
    <row r="2231">
      <c r="A2231" s="3">
        <f>IFERROR(__xludf.DUMMYFUNCTION("""COMPUTED_VALUE"""),42837.99861111111)</f>
        <v>42837.99861</v>
      </c>
      <c r="B2231" s="1">
        <f>IFERROR(__xludf.DUMMYFUNCTION("""COMPUTED_VALUE"""),3613.73386)</f>
        <v>3613.73386</v>
      </c>
    </row>
    <row r="2232">
      <c r="A2232" s="3">
        <f>IFERROR(__xludf.DUMMYFUNCTION("""COMPUTED_VALUE"""),42838.99861111111)</f>
        <v>42838.99861</v>
      </c>
      <c r="B2232" s="1">
        <f>IFERROR(__xludf.DUMMYFUNCTION("""COMPUTED_VALUE"""),3614.52376)</f>
        <v>3614.52376</v>
      </c>
    </row>
    <row r="2233">
      <c r="A2233" s="3">
        <f>IFERROR(__xludf.DUMMYFUNCTION("""COMPUTED_VALUE"""),42839.99861111111)</f>
        <v>42839.99861</v>
      </c>
      <c r="B2233" s="1">
        <f>IFERROR(__xludf.DUMMYFUNCTION("""COMPUTED_VALUE"""),3614.95539)</f>
        <v>3614.95539</v>
      </c>
    </row>
    <row r="2234">
      <c r="A2234" s="3">
        <f>IFERROR(__xludf.DUMMYFUNCTION("""COMPUTED_VALUE"""),42840.99861111111)</f>
        <v>42840.99861</v>
      </c>
      <c r="B2234" s="1">
        <f>IFERROR(__xludf.DUMMYFUNCTION("""COMPUTED_VALUE"""),3617.200886)</f>
        <v>3617.200886</v>
      </c>
    </row>
    <row r="2235">
      <c r="A2235" s="3">
        <f>IFERROR(__xludf.DUMMYFUNCTION("""COMPUTED_VALUE"""),42841.99861111111)</f>
        <v>42841.99861</v>
      </c>
      <c r="B2235" s="1">
        <f>IFERROR(__xludf.DUMMYFUNCTION("""COMPUTED_VALUE"""),3617.12001)</f>
        <v>3617.12001</v>
      </c>
    </row>
    <row r="2236">
      <c r="A2236" s="3">
        <f>IFERROR(__xludf.DUMMYFUNCTION("""COMPUTED_VALUE"""),42842.99861111111)</f>
        <v>42842.99861</v>
      </c>
      <c r="B2236" s="1">
        <f>IFERROR(__xludf.DUMMYFUNCTION("""COMPUTED_VALUE"""),3614.41101)</f>
        <v>3614.41101</v>
      </c>
    </row>
    <row r="2237">
      <c r="A2237" s="3">
        <f>IFERROR(__xludf.DUMMYFUNCTION("""COMPUTED_VALUE"""),42843.99861111111)</f>
        <v>42843.99861</v>
      </c>
      <c r="B2237" s="1">
        <f>IFERROR(__xludf.DUMMYFUNCTION("""COMPUTED_VALUE"""),3619.836)</f>
        <v>3619.836</v>
      </c>
    </row>
    <row r="2238">
      <c r="A2238" s="3">
        <f>IFERROR(__xludf.DUMMYFUNCTION("""COMPUTED_VALUE"""),42844.99861111111)</f>
        <v>42844.99861</v>
      </c>
      <c r="B2238" s="1">
        <f>IFERROR(__xludf.DUMMYFUNCTION("""COMPUTED_VALUE"""),3631.69774)</f>
        <v>3631.69774</v>
      </c>
    </row>
    <row r="2239">
      <c r="A2239" s="3">
        <f>IFERROR(__xludf.DUMMYFUNCTION("""COMPUTED_VALUE"""),42845.99861111111)</f>
        <v>42845.99861</v>
      </c>
      <c r="B2239" s="1">
        <f>IFERROR(__xludf.DUMMYFUNCTION("""COMPUTED_VALUE"""),3624.62106)</f>
        <v>3624.62106</v>
      </c>
    </row>
    <row r="2240">
      <c r="A2240" s="3">
        <f>IFERROR(__xludf.DUMMYFUNCTION("""COMPUTED_VALUE"""),42846.99861111111)</f>
        <v>42846.99861</v>
      </c>
      <c r="B2240" s="1">
        <f>IFERROR(__xludf.DUMMYFUNCTION("""COMPUTED_VALUE"""),3617.81656)</f>
        <v>3617.81656</v>
      </c>
    </row>
    <row r="2241">
      <c r="A2241" s="3">
        <f>IFERROR(__xludf.DUMMYFUNCTION("""COMPUTED_VALUE"""),42848.99861111111)</f>
        <v>42848.99861</v>
      </c>
      <c r="B2241" s="1">
        <f>IFERROR(__xludf.DUMMYFUNCTION("""COMPUTED_VALUE"""),3567.57415)</f>
        <v>3567.57415</v>
      </c>
    </row>
    <row r="2242">
      <c r="A2242" s="3">
        <f>IFERROR(__xludf.DUMMYFUNCTION("""COMPUTED_VALUE"""),42849.99861111111)</f>
        <v>42849.99861</v>
      </c>
      <c r="B2242" s="1">
        <f>IFERROR(__xludf.DUMMYFUNCTION("""COMPUTED_VALUE"""),3572.09032)</f>
        <v>3572.09032</v>
      </c>
    </row>
    <row r="2243">
      <c r="A2243" s="3">
        <f>IFERROR(__xludf.DUMMYFUNCTION("""COMPUTED_VALUE"""),42850.99861111111)</f>
        <v>42850.99861</v>
      </c>
      <c r="B2243" s="1">
        <f>IFERROR(__xludf.DUMMYFUNCTION("""COMPUTED_VALUE"""),3620.81054)</f>
        <v>3620.81054</v>
      </c>
    </row>
    <row r="2244">
      <c r="A2244" s="3">
        <f>IFERROR(__xludf.DUMMYFUNCTION("""COMPUTED_VALUE"""),42851.99861111111)</f>
        <v>42851.99861</v>
      </c>
      <c r="B2244" s="1">
        <f>IFERROR(__xludf.DUMMYFUNCTION("""COMPUTED_VALUE"""),3609.37898)</f>
        <v>3609.37898</v>
      </c>
    </row>
    <row r="2245">
      <c r="A2245" s="3">
        <f>IFERROR(__xludf.DUMMYFUNCTION("""COMPUTED_VALUE"""),42852.99861111111)</f>
        <v>42852.99861</v>
      </c>
      <c r="B2245" s="1">
        <f>IFERROR(__xludf.DUMMYFUNCTION("""COMPUTED_VALUE"""),3633.87518)</f>
        <v>3633.87518</v>
      </c>
    </row>
    <row r="2246">
      <c r="A2246" s="3">
        <f>IFERROR(__xludf.DUMMYFUNCTION("""COMPUTED_VALUE"""),42853.99861111111)</f>
        <v>42853.99861</v>
      </c>
      <c r="B2246" s="1">
        <f>IFERROR(__xludf.DUMMYFUNCTION("""COMPUTED_VALUE"""),3631.96992)</f>
        <v>3631.96992</v>
      </c>
    </row>
    <row r="2247">
      <c r="A2247" s="3">
        <f>IFERROR(__xludf.DUMMYFUNCTION("""COMPUTED_VALUE"""),42854.99861111111)</f>
        <v>42854.99861</v>
      </c>
      <c r="B2247" s="1">
        <f>IFERROR(__xludf.DUMMYFUNCTION("""COMPUTED_VALUE"""),3633.910563)</f>
        <v>3633.910563</v>
      </c>
    </row>
    <row r="2248">
      <c r="A2248" s="3">
        <f>IFERROR(__xludf.DUMMYFUNCTION("""COMPUTED_VALUE"""),42855.99861111111)</f>
        <v>42855.99861</v>
      </c>
      <c r="B2248" s="1">
        <f>IFERROR(__xludf.DUMMYFUNCTION("""COMPUTED_VALUE"""),3626.64806)</f>
        <v>3626.64806</v>
      </c>
    </row>
    <row r="2249">
      <c r="A2249" s="3">
        <f>IFERROR(__xludf.DUMMYFUNCTION("""COMPUTED_VALUE"""),42856.99861111111)</f>
        <v>42856.99861</v>
      </c>
      <c r="B2249" s="1">
        <f>IFERROR(__xludf.DUMMYFUNCTION("""COMPUTED_VALUE"""),3626.7985)</f>
        <v>3626.7985</v>
      </c>
    </row>
    <row r="2250">
      <c r="A2250" s="3">
        <f>IFERROR(__xludf.DUMMYFUNCTION("""COMPUTED_VALUE"""),42857.99861111111)</f>
        <v>42857.99861</v>
      </c>
      <c r="B2250" s="1">
        <f>IFERROR(__xludf.DUMMYFUNCTION("""COMPUTED_VALUE"""),3618.6331)</f>
        <v>3618.6331</v>
      </c>
    </row>
    <row r="2251">
      <c r="A2251" s="3">
        <f>IFERROR(__xludf.DUMMYFUNCTION("""COMPUTED_VALUE"""),42858.99861111111)</f>
        <v>42858.99861</v>
      </c>
      <c r="B2251" s="1">
        <f>IFERROR(__xludf.DUMMYFUNCTION("""COMPUTED_VALUE"""),3621.21576)</f>
        <v>3621.21576</v>
      </c>
    </row>
    <row r="2252">
      <c r="A2252" s="3">
        <f>IFERROR(__xludf.DUMMYFUNCTION("""COMPUTED_VALUE"""),42859.99861111111)</f>
        <v>42859.99861</v>
      </c>
      <c r="B2252" s="1">
        <f>IFERROR(__xludf.DUMMYFUNCTION("""COMPUTED_VALUE"""),3631.0146)</f>
        <v>3631.0146</v>
      </c>
    </row>
    <row r="2253">
      <c r="A2253" s="3">
        <f>IFERROR(__xludf.DUMMYFUNCTION("""COMPUTED_VALUE"""),42860.99861111111)</f>
        <v>42860.99861</v>
      </c>
      <c r="B2253" s="1">
        <f>IFERROR(__xludf.DUMMYFUNCTION("""COMPUTED_VALUE"""),3624.343)</f>
        <v>3624.343</v>
      </c>
    </row>
    <row r="2254">
      <c r="A2254" s="3">
        <f>IFERROR(__xludf.DUMMYFUNCTION("""COMPUTED_VALUE"""),42862.99861111111)</f>
        <v>42862.99861</v>
      </c>
      <c r="B2254" s="1">
        <f>IFERROR(__xludf.DUMMYFUNCTION("""COMPUTED_VALUE"""),3629.865759)</f>
        <v>3629.865759</v>
      </c>
    </row>
    <row r="2255">
      <c r="A2255" s="3">
        <f>IFERROR(__xludf.DUMMYFUNCTION("""COMPUTED_VALUE"""),42863.99861111111)</f>
        <v>42863.99861</v>
      </c>
      <c r="B2255" s="1">
        <f>IFERROR(__xludf.DUMMYFUNCTION("""COMPUTED_VALUE"""),3626.92604)</f>
        <v>3626.92604</v>
      </c>
    </row>
    <row r="2256">
      <c r="A2256" s="3">
        <f>IFERROR(__xludf.DUMMYFUNCTION("""COMPUTED_VALUE"""),42864.99861111111)</f>
        <v>42864.99861</v>
      </c>
      <c r="B2256" s="1">
        <f>IFERROR(__xludf.DUMMYFUNCTION("""COMPUTED_VALUE"""),3636.05262)</f>
        <v>3636.05262</v>
      </c>
    </row>
    <row r="2257">
      <c r="A2257" s="3">
        <f>IFERROR(__xludf.DUMMYFUNCTION("""COMPUTED_VALUE"""),42865.99861111111)</f>
        <v>42865.99861</v>
      </c>
      <c r="B2257" s="1">
        <f>IFERROR(__xludf.DUMMYFUNCTION("""COMPUTED_VALUE"""),3634.55307)</f>
        <v>3634.55307</v>
      </c>
    </row>
    <row r="2258">
      <c r="A2258" s="3">
        <f>IFERROR(__xludf.DUMMYFUNCTION("""COMPUTED_VALUE"""),42866.99861111111)</f>
        <v>42866.99861</v>
      </c>
      <c r="B2258" s="1">
        <f>IFERROR(__xludf.DUMMYFUNCTION("""COMPUTED_VALUE"""),3623.39328)</f>
        <v>3623.39328</v>
      </c>
    </row>
    <row r="2259">
      <c r="A2259" s="3">
        <f>IFERROR(__xludf.DUMMYFUNCTION("""COMPUTED_VALUE"""),42867.99861111111)</f>
        <v>42867.99861</v>
      </c>
      <c r="B2259" s="1">
        <f>IFERROR(__xludf.DUMMYFUNCTION("""COMPUTED_VALUE"""),3624.20985)</f>
        <v>3624.20985</v>
      </c>
    </row>
    <row r="2260">
      <c r="A2260" s="3">
        <f>IFERROR(__xludf.DUMMYFUNCTION("""COMPUTED_VALUE"""),42869.99861111111)</f>
        <v>42869.99861</v>
      </c>
      <c r="B2260" s="1">
        <f>IFERROR(__xludf.DUMMYFUNCTION("""COMPUTED_VALUE"""),3626.92029)</f>
        <v>3626.92029</v>
      </c>
    </row>
    <row r="2261">
      <c r="A2261" s="3">
        <f>IFERROR(__xludf.DUMMYFUNCTION("""COMPUTED_VALUE"""),42870.99861111111)</f>
        <v>42870.99861</v>
      </c>
      <c r="B2261" s="1">
        <f>IFERROR(__xludf.DUMMYFUNCTION("""COMPUTED_VALUE"""),3616.04415)</f>
        <v>3616.04415</v>
      </c>
    </row>
    <row r="2262">
      <c r="A2262" s="3">
        <f>IFERROR(__xludf.DUMMYFUNCTION("""COMPUTED_VALUE"""),42871.99861111111)</f>
        <v>42871.99861</v>
      </c>
      <c r="B2262" s="1">
        <f>IFERROR(__xludf.DUMMYFUNCTION("""COMPUTED_VALUE"""),3613.05006)</f>
        <v>3613.05006</v>
      </c>
    </row>
    <row r="2263">
      <c r="A2263" s="3">
        <f>IFERROR(__xludf.DUMMYFUNCTION("""COMPUTED_VALUE"""),42872.99861111111)</f>
        <v>42872.99861</v>
      </c>
      <c r="B2263" s="1">
        <f>IFERROR(__xludf.DUMMYFUNCTION("""COMPUTED_VALUE"""),3625.02642)</f>
        <v>3625.02642</v>
      </c>
    </row>
    <row r="2264">
      <c r="A2264" s="3">
        <f>IFERROR(__xludf.DUMMYFUNCTION("""COMPUTED_VALUE"""),42873.99861111111)</f>
        <v>42873.99861</v>
      </c>
      <c r="B2264" s="1">
        <f>IFERROR(__xludf.DUMMYFUNCTION("""COMPUTED_VALUE"""),3646.93982)</f>
        <v>3646.93982</v>
      </c>
    </row>
    <row r="2265">
      <c r="A2265" s="3">
        <f>IFERROR(__xludf.DUMMYFUNCTION("""COMPUTED_VALUE"""),42874.99861111111)</f>
        <v>42874.99861</v>
      </c>
      <c r="B2265" s="1">
        <f>IFERROR(__xludf.DUMMYFUNCTION("""COMPUTED_VALUE"""),3625.98196)</f>
        <v>3625.98196</v>
      </c>
    </row>
    <row r="2266">
      <c r="A2266" s="3">
        <f>IFERROR(__xludf.DUMMYFUNCTION("""COMPUTED_VALUE"""),42875.99861111111)</f>
        <v>42875.99861</v>
      </c>
      <c r="B2266" s="1">
        <f>IFERROR(__xludf.DUMMYFUNCTION("""COMPUTED_VALUE"""),3629.065759)</f>
        <v>3629.065759</v>
      </c>
    </row>
    <row r="2267">
      <c r="A2267" s="3">
        <f>IFERROR(__xludf.DUMMYFUNCTION("""COMPUTED_VALUE"""),42876.99861111111)</f>
        <v>42876.99861</v>
      </c>
      <c r="B2267" s="1">
        <f>IFERROR(__xludf.DUMMYFUNCTION("""COMPUTED_VALUE"""),3628.28144)</f>
        <v>3628.28144</v>
      </c>
    </row>
    <row r="2268">
      <c r="A2268" s="3">
        <f>IFERROR(__xludf.DUMMYFUNCTION("""COMPUTED_VALUE"""),42877.99861111111)</f>
        <v>42877.99861</v>
      </c>
      <c r="B2268" s="1">
        <f>IFERROR(__xludf.DUMMYFUNCTION("""COMPUTED_VALUE"""),3618.90528)</f>
        <v>3618.90528</v>
      </c>
    </row>
    <row r="2269">
      <c r="A2269" s="3">
        <f>IFERROR(__xludf.DUMMYFUNCTION("""COMPUTED_VALUE"""),42878.99861111111)</f>
        <v>42878.99861</v>
      </c>
      <c r="B2269" s="1">
        <f>IFERROR(__xludf.DUMMYFUNCTION("""COMPUTED_VALUE"""),3618.90528)</f>
        <v>3618.90528</v>
      </c>
    </row>
    <row r="2270">
      <c r="A2270" s="3">
        <f>IFERROR(__xludf.DUMMYFUNCTION("""COMPUTED_VALUE"""),42879.99861111111)</f>
        <v>42879.99861</v>
      </c>
      <c r="B2270" s="1">
        <f>IFERROR(__xludf.DUMMYFUNCTION("""COMPUTED_VALUE"""),3620.53836)</f>
        <v>3620.53836</v>
      </c>
    </row>
    <row r="2271">
      <c r="A2271" s="3">
        <f>IFERROR(__xludf.DUMMYFUNCTION("""COMPUTED_VALUE"""),42880.99861111111)</f>
        <v>42880.99861</v>
      </c>
      <c r="B2271" s="1">
        <f>IFERROR(__xludf.DUMMYFUNCTION("""COMPUTED_VALUE"""),3620.67138)</f>
        <v>3620.67138</v>
      </c>
    </row>
    <row r="2272">
      <c r="A2272" s="3">
        <f>IFERROR(__xludf.DUMMYFUNCTION("""COMPUTED_VALUE"""),42881.99861111111)</f>
        <v>42881.99861</v>
      </c>
      <c r="B2272" s="1">
        <f>IFERROR(__xludf.DUMMYFUNCTION("""COMPUTED_VALUE"""),3618.6331)</f>
        <v>3618.6331</v>
      </c>
    </row>
    <row r="2273">
      <c r="A2273" s="3">
        <f>IFERROR(__xludf.DUMMYFUNCTION("""COMPUTED_VALUE"""),42882.99861111111)</f>
        <v>42882.99861</v>
      </c>
      <c r="B2273" s="1">
        <f>IFERROR(__xludf.DUMMYFUNCTION("""COMPUTED_VALUE"""),3618.736321)</f>
        <v>3618.736321</v>
      </c>
    </row>
    <row r="2274">
      <c r="A2274" s="3">
        <f>IFERROR(__xludf.DUMMYFUNCTION("""COMPUTED_VALUE"""),42883.99861111111)</f>
        <v>42883.99861</v>
      </c>
      <c r="B2274" s="1">
        <f>IFERROR(__xludf.DUMMYFUNCTION("""COMPUTED_VALUE"""),3617.39224)</f>
        <v>3617.39224</v>
      </c>
    </row>
    <row r="2275">
      <c r="A2275" s="3">
        <f>IFERROR(__xludf.DUMMYFUNCTION("""COMPUTED_VALUE"""),42884.99861111111)</f>
        <v>42884.99861</v>
      </c>
      <c r="B2275" s="1">
        <f>IFERROR(__xludf.DUMMYFUNCTION("""COMPUTED_VALUE"""),3624.0767)</f>
        <v>3624.0767</v>
      </c>
    </row>
    <row r="2276">
      <c r="A2276" s="3">
        <f>IFERROR(__xludf.DUMMYFUNCTION("""COMPUTED_VALUE"""),42885.99861111111)</f>
        <v>42885.99861</v>
      </c>
      <c r="B2276" s="1">
        <f>IFERROR(__xludf.DUMMYFUNCTION("""COMPUTED_VALUE"""),3625.16542)</f>
        <v>3625.16542</v>
      </c>
    </row>
    <row r="2277">
      <c r="A2277" s="3">
        <f>IFERROR(__xludf.DUMMYFUNCTION("""COMPUTED_VALUE"""),42886.99861111111)</f>
        <v>42886.99861</v>
      </c>
      <c r="B2277" s="1">
        <f>IFERROR(__xludf.DUMMYFUNCTION("""COMPUTED_VALUE"""),3618.49386)</f>
        <v>3618.49386</v>
      </c>
    </row>
    <row r="2278">
      <c r="A2278" s="3">
        <f>IFERROR(__xludf.DUMMYFUNCTION("""COMPUTED_VALUE"""),42887.99861111111)</f>
        <v>42887.99861</v>
      </c>
      <c r="B2278" s="1">
        <f>IFERROR(__xludf.DUMMYFUNCTION("""COMPUTED_VALUE"""),3616.86072)</f>
        <v>3616.86072</v>
      </c>
    </row>
    <row r="2279">
      <c r="A2279" s="3">
        <f>IFERROR(__xludf.DUMMYFUNCTION("""COMPUTED_VALUE"""),42888.99861111111)</f>
        <v>42888.99861</v>
      </c>
      <c r="B2279" s="1">
        <f>IFERROR(__xludf.DUMMYFUNCTION("""COMPUTED_VALUE"""),3616.31634)</f>
        <v>3616.31634</v>
      </c>
    </row>
    <row r="2280">
      <c r="A2280" s="3">
        <f>IFERROR(__xludf.DUMMYFUNCTION("""COMPUTED_VALUE"""),42889.99861111111)</f>
        <v>42889.99861</v>
      </c>
      <c r="B2280" s="1">
        <f>IFERROR(__xludf.DUMMYFUNCTION("""COMPUTED_VALUE"""),3621.21576)</f>
        <v>3621.21576</v>
      </c>
    </row>
    <row r="2281">
      <c r="A2281" s="3">
        <f>IFERROR(__xludf.DUMMYFUNCTION("""COMPUTED_VALUE"""),42890.99861111111)</f>
        <v>42890.99861</v>
      </c>
      <c r="B2281" s="1">
        <f>IFERROR(__xludf.DUMMYFUNCTION("""COMPUTED_VALUE"""),3621.74792)</f>
        <v>3621.74792</v>
      </c>
    </row>
    <row r="2282">
      <c r="A2282" s="3">
        <f>IFERROR(__xludf.DUMMYFUNCTION("""COMPUTED_VALUE"""),42891.99861111111)</f>
        <v>42891.99861</v>
      </c>
      <c r="B2282" s="1">
        <f>IFERROR(__xludf.DUMMYFUNCTION("""COMPUTED_VALUE"""),3615.49977)</f>
        <v>3615.49977</v>
      </c>
    </row>
    <row r="2283">
      <c r="A2283" s="3">
        <f>IFERROR(__xludf.DUMMYFUNCTION("""COMPUTED_VALUE"""),42892.99861111111)</f>
        <v>42892.99861</v>
      </c>
      <c r="B2283" s="1">
        <f>IFERROR(__xludf.DUMMYFUNCTION("""COMPUTED_VALUE"""),3608.83462)</f>
        <v>3608.83462</v>
      </c>
    </row>
    <row r="2284">
      <c r="A2284" s="3">
        <f>IFERROR(__xludf.DUMMYFUNCTION("""COMPUTED_VALUE"""),42893.99861111111)</f>
        <v>42893.99861</v>
      </c>
      <c r="B2284" s="1">
        <f>IFERROR(__xludf.DUMMYFUNCTION("""COMPUTED_VALUE"""),3623.53234)</f>
        <v>3623.53234</v>
      </c>
    </row>
    <row r="2285">
      <c r="A2285" s="3">
        <f>IFERROR(__xludf.DUMMYFUNCTION("""COMPUTED_VALUE"""),42894.99861111111)</f>
        <v>42894.99861</v>
      </c>
      <c r="B2285" s="1">
        <f>IFERROR(__xludf.DUMMYFUNCTION("""COMPUTED_VALUE"""),3618.08874)</f>
        <v>3618.08874</v>
      </c>
    </row>
    <row r="2286">
      <c r="A2286" s="3">
        <f>IFERROR(__xludf.DUMMYFUNCTION("""COMPUTED_VALUE"""),42895.99861111111)</f>
        <v>42895.99861</v>
      </c>
      <c r="B2286" s="1">
        <f>IFERROR(__xludf.DUMMYFUNCTION("""COMPUTED_VALUE"""),3617.00002)</f>
        <v>3617.00002</v>
      </c>
    </row>
    <row r="2287">
      <c r="A2287" s="3">
        <f>IFERROR(__xludf.DUMMYFUNCTION("""COMPUTED_VALUE"""),42896.99861111111)</f>
        <v>42896.99861</v>
      </c>
      <c r="B2287" s="1">
        <f>IFERROR(__xludf.DUMMYFUNCTION("""COMPUTED_VALUE"""),3616.830003)</f>
        <v>3616.830003</v>
      </c>
    </row>
    <row r="2288">
      <c r="A2288" s="3">
        <f>IFERROR(__xludf.DUMMYFUNCTION("""COMPUTED_VALUE"""),42897.99861111111)</f>
        <v>42897.99861</v>
      </c>
      <c r="B2288" s="1">
        <f>IFERROR(__xludf.DUMMYFUNCTION("""COMPUTED_VALUE"""),3619.29785)</f>
        <v>3619.29785</v>
      </c>
    </row>
    <row r="2289">
      <c r="A2289" s="3">
        <f>IFERROR(__xludf.DUMMYFUNCTION("""COMPUTED_VALUE"""),42898.99861111111)</f>
        <v>42898.99861</v>
      </c>
      <c r="B2289" s="1">
        <f>IFERROR(__xludf.DUMMYFUNCTION("""COMPUTED_VALUE"""),3623.80452)</f>
        <v>3623.80452</v>
      </c>
    </row>
    <row r="2290">
      <c r="A2290" s="3">
        <f>IFERROR(__xludf.DUMMYFUNCTION("""COMPUTED_VALUE"""),42899.99861111111)</f>
        <v>42899.99861</v>
      </c>
      <c r="B2290" s="1">
        <f>IFERROR(__xludf.DUMMYFUNCTION("""COMPUTED_VALUE"""),3615.09476)</f>
        <v>3615.09476</v>
      </c>
    </row>
    <row r="2291">
      <c r="A2291" s="3">
        <f>IFERROR(__xludf.DUMMYFUNCTION("""COMPUTED_VALUE"""),42900.99861111111)</f>
        <v>42900.99861</v>
      </c>
      <c r="B2291" s="1">
        <f>IFERROR(__xludf.DUMMYFUNCTION("""COMPUTED_VALUE"""),3616.18348)</f>
        <v>3616.18348</v>
      </c>
    </row>
    <row r="2292">
      <c r="A2292" s="3">
        <f>IFERROR(__xludf.DUMMYFUNCTION("""COMPUTED_VALUE"""),42901.99861111111)</f>
        <v>42901.99861</v>
      </c>
      <c r="B2292" s="1">
        <f>IFERROR(__xludf.DUMMYFUNCTION("""COMPUTED_VALUE"""),3618.36092)</f>
        <v>3618.36092</v>
      </c>
    </row>
    <row r="2293">
      <c r="A2293" s="3">
        <f>IFERROR(__xludf.DUMMYFUNCTION("""COMPUTED_VALUE"""),42902.99861111111)</f>
        <v>42902.99861</v>
      </c>
      <c r="B2293" s="1">
        <f>IFERROR(__xludf.DUMMYFUNCTION("""COMPUTED_VALUE"""),3617.4051)</f>
        <v>3617.4051</v>
      </c>
    </row>
    <row r="2294">
      <c r="A2294" s="3">
        <f>IFERROR(__xludf.DUMMYFUNCTION("""COMPUTED_VALUE"""),42903.99861111111)</f>
        <v>42903.99861</v>
      </c>
      <c r="B2294" s="1">
        <f>IFERROR(__xludf.DUMMYFUNCTION("""COMPUTED_VALUE"""),3618.834918)</f>
        <v>3618.834918</v>
      </c>
    </row>
    <row r="2295">
      <c r="A2295" s="3">
        <f>IFERROR(__xludf.DUMMYFUNCTION("""COMPUTED_VALUE"""),42904.99861111111)</f>
        <v>42904.99861</v>
      </c>
      <c r="B2295" s="1">
        <f>IFERROR(__xludf.DUMMYFUNCTION("""COMPUTED_VALUE"""),3615.081077)</f>
        <v>3615.081077</v>
      </c>
    </row>
    <row r="2296">
      <c r="A2296" s="3">
        <f>IFERROR(__xludf.DUMMYFUNCTION("""COMPUTED_VALUE"""),42905.99861111111)</f>
        <v>42905.99861</v>
      </c>
      <c r="B2296" s="1">
        <f>IFERROR(__xludf.DUMMYFUNCTION("""COMPUTED_VALUE"""),3616.18348)</f>
        <v>3616.18348</v>
      </c>
    </row>
    <row r="2297">
      <c r="A2297" s="3">
        <f>IFERROR(__xludf.DUMMYFUNCTION("""COMPUTED_VALUE"""),42906.99861111111)</f>
        <v>42906.99861</v>
      </c>
      <c r="B2297" s="1">
        <f>IFERROR(__xludf.DUMMYFUNCTION("""COMPUTED_VALUE"""),3617.54438)</f>
        <v>3617.54438</v>
      </c>
    </row>
    <row r="2298">
      <c r="A2298" s="3">
        <f>IFERROR(__xludf.DUMMYFUNCTION("""COMPUTED_VALUE"""),42907.99861111111)</f>
        <v>42907.99861</v>
      </c>
      <c r="B2298" s="1">
        <f>IFERROR(__xludf.DUMMYFUNCTION("""COMPUTED_VALUE"""),3620.26618)</f>
        <v>3620.26618</v>
      </c>
    </row>
    <row r="2299">
      <c r="A2299" s="3">
        <f>IFERROR(__xludf.DUMMYFUNCTION("""COMPUTED_VALUE"""),42908.99861111111)</f>
        <v>42908.99861</v>
      </c>
      <c r="B2299" s="1">
        <f>IFERROR(__xludf.DUMMYFUNCTION("""COMPUTED_VALUE"""),3631.15338)</f>
        <v>3631.15338</v>
      </c>
    </row>
    <row r="2300">
      <c r="A2300" s="3">
        <f>IFERROR(__xludf.DUMMYFUNCTION("""COMPUTED_VALUE"""),42909.99861111111)</f>
        <v>42909.99861</v>
      </c>
      <c r="B2300" s="1">
        <f>IFERROR(__xludf.DUMMYFUNCTION("""COMPUTED_VALUE"""),3622.44362)</f>
        <v>3622.44362</v>
      </c>
    </row>
    <row r="2301">
      <c r="A2301" s="3">
        <f>IFERROR(__xludf.DUMMYFUNCTION("""COMPUTED_VALUE"""),42910.99861111111)</f>
        <v>42910.99861</v>
      </c>
      <c r="B2301" s="1">
        <f>IFERROR(__xludf.DUMMYFUNCTION("""COMPUTED_VALUE"""),3624.231842)</f>
        <v>3624.231842</v>
      </c>
    </row>
    <row r="2302">
      <c r="A2302" s="3">
        <f>IFERROR(__xludf.DUMMYFUNCTION("""COMPUTED_VALUE"""),42911.99861111111)</f>
        <v>42911.99861</v>
      </c>
      <c r="B2302" s="1">
        <f>IFERROR(__xludf.DUMMYFUNCTION("""COMPUTED_VALUE"""),3615.63912)</f>
        <v>3615.63912</v>
      </c>
    </row>
    <row r="2303">
      <c r="A2303" s="3">
        <f>IFERROR(__xludf.DUMMYFUNCTION("""COMPUTED_VALUE"""),42912.99861111111)</f>
        <v>42912.99861</v>
      </c>
      <c r="B2303" s="1">
        <f>IFERROR(__xludf.DUMMYFUNCTION("""COMPUTED_VALUE"""),3624.89324)</f>
        <v>3624.89324</v>
      </c>
    </row>
    <row r="2304">
      <c r="A2304" s="3">
        <f>IFERROR(__xludf.DUMMYFUNCTION("""COMPUTED_VALUE"""),42913.99861111111)</f>
        <v>42913.99861</v>
      </c>
      <c r="B2304" s="1">
        <f>IFERROR(__xludf.DUMMYFUNCTION("""COMPUTED_VALUE"""),3622.17144)</f>
        <v>3622.17144</v>
      </c>
    </row>
    <row r="2305">
      <c r="A2305" s="3">
        <f>IFERROR(__xludf.DUMMYFUNCTION("""COMPUTED_VALUE"""),42914.99861111111)</f>
        <v>42914.99861</v>
      </c>
      <c r="B2305" s="1">
        <f>IFERROR(__xludf.DUMMYFUNCTION("""COMPUTED_VALUE"""),3618.90528)</f>
        <v>3618.90528</v>
      </c>
    </row>
    <row r="2306">
      <c r="A2306" s="3">
        <f>IFERROR(__xludf.DUMMYFUNCTION("""COMPUTED_VALUE"""),42915.99861111111)</f>
        <v>42915.99861</v>
      </c>
      <c r="B2306" s="1">
        <f>IFERROR(__xludf.DUMMYFUNCTION("""COMPUTED_VALUE"""),3614.13882)</f>
        <v>3614.13882</v>
      </c>
    </row>
    <row r="2307">
      <c r="A2307" s="3">
        <f>IFERROR(__xludf.DUMMYFUNCTION("""COMPUTED_VALUE"""),42916.99861111111)</f>
        <v>42916.99861</v>
      </c>
      <c r="B2307" s="1">
        <f>IFERROR(__xludf.DUMMYFUNCTION("""COMPUTED_VALUE"""),3623.53234)</f>
        <v>3623.53234</v>
      </c>
    </row>
    <row r="2308">
      <c r="A2308" s="3">
        <f>IFERROR(__xludf.DUMMYFUNCTION("""COMPUTED_VALUE"""),42917.99861111111)</f>
        <v>42917.99861</v>
      </c>
      <c r="B2308" s="1">
        <f>IFERROR(__xludf.DUMMYFUNCTION("""COMPUTED_VALUE"""),3620.642639)</f>
        <v>3620.642639</v>
      </c>
    </row>
    <row r="2309">
      <c r="A2309" s="3">
        <f>IFERROR(__xludf.DUMMYFUNCTION("""COMPUTED_VALUE"""),42918.99861111111)</f>
        <v>42918.99861</v>
      </c>
      <c r="B2309" s="1">
        <f>IFERROR(__xludf.DUMMYFUNCTION("""COMPUTED_VALUE"""),3620.11454)</f>
        <v>3620.11454</v>
      </c>
    </row>
    <row r="2310">
      <c r="A2310" s="3">
        <f>IFERROR(__xludf.DUMMYFUNCTION("""COMPUTED_VALUE"""),42919.99861111111)</f>
        <v>42919.99861</v>
      </c>
      <c r="B2310" s="1">
        <f>IFERROR(__xludf.DUMMYFUNCTION("""COMPUTED_VALUE"""),3637.54716)</f>
        <v>3637.54716</v>
      </c>
    </row>
    <row r="2311">
      <c r="A2311" s="3">
        <f>IFERROR(__xludf.DUMMYFUNCTION("""COMPUTED_VALUE"""),42920.99861111111)</f>
        <v>42920.99861</v>
      </c>
      <c r="B2311" s="1">
        <f>IFERROR(__xludf.DUMMYFUNCTION("""COMPUTED_VALUE"""),3633.87518)</f>
        <v>3633.87518</v>
      </c>
    </row>
    <row r="2312">
      <c r="A2312" s="3">
        <f>IFERROR(__xludf.DUMMYFUNCTION("""COMPUTED_VALUE"""),42921.99861111111)</f>
        <v>42921.99861</v>
      </c>
      <c r="B2312" s="1">
        <f>IFERROR(__xludf.DUMMYFUNCTION("""COMPUTED_VALUE"""),3637.14134)</f>
        <v>3637.14134</v>
      </c>
    </row>
    <row r="2313">
      <c r="A2313" s="3">
        <f>IFERROR(__xludf.DUMMYFUNCTION("""COMPUTED_VALUE"""),42922.99861111111)</f>
        <v>42922.99861</v>
      </c>
      <c r="B2313" s="1">
        <f>IFERROR(__xludf.DUMMYFUNCTION("""COMPUTED_VALUE"""),3642.58494)</f>
        <v>3642.58494</v>
      </c>
    </row>
    <row r="2314">
      <c r="A2314" s="3">
        <f>IFERROR(__xludf.DUMMYFUNCTION("""COMPUTED_VALUE"""),42923.99861111111)</f>
        <v>42923.99861</v>
      </c>
      <c r="B2314" s="1">
        <f>IFERROR(__xludf.DUMMYFUNCTION("""COMPUTED_VALUE"""),3649.51125)</f>
        <v>3649.51125</v>
      </c>
    </row>
    <row r="2315">
      <c r="A2315" s="3">
        <f>IFERROR(__xludf.DUMMYFUNCTION("""COMPUTED_VALUE"""),42924.99861111111)</f>
        <v>42924.99861</v>
      </c>
      <c r="B2315" s="1">
        <f>IFERROR(__xludf.DUMMYFUNCTION("""COMPUTED_VALUE"""),3653.420425)</f>
        <v>3653.420425</v>
      </c>
    </row>
    <row r="2316">
      <c r="A2316" s="3">
        <f>IFERROR(__xludf.DUMMYFUNCTION("""COMPUTED_VALUE"""),42925.99861111111)</f>
        <v>42925.99861</v>
      </c>
      <c r="B2316" s="1">
        <f>IFERROR(__xludf.DUMMYFUNCTION("""COMPUTED_VALUE"""),3650.05984)</f>
        <v>3650.05984</v>
      </c>
    </row>
    <row r="2317">
      <c r="A2317" s="3">
        <f>IFERROR(__xludf.DUMMYFUNCTION("""COMPUTED_VALUE"""),42926.99861111111)</f>
        <v>42926.99861</v>
      </c>
      <c r="B2317" s="1">
        <f>IFERROR(__xludf.DUMMYFUNCTION("""COMPUTED_VALUE"""),3643.94584)</f>
        <v>3643.94584</v>
      </c>
    </row>
    <row r="2318">
      <c r="A2318" s="3">
        <f>IFERROR(__xludf.DUMMYFUNCTION("""COMPUTED_VALUE"""),42927.99861111111)</f>
        <v>42927.99861</v>
      </c>
      <c r="B2318" s="1">
        <f>IFERROR(__xludf.DUMMYFUNCTION("""COMPUTED_VALUE"""),3633.33082)</f>
        <v>3633.33082</v>
      </c>
    </row>
    <row r="2319">
      <c r="A2319" s="3">
        <f>IFERROR(__xludf.DUMMYFUNCTION("""COMPUTED_VALUE"""),42928.99861111111)</f>
        <v>42928.99861</v>
      </c>
      <c r="B2319" s="1">
        <f>IFERROR(__xludf.DUMMYFUNCTION("""COMPUTED_VALUE"""),3637.14134)</f>
        <v>3637.14134</v>
      </c>
    </row>
    <row r="2320">
      <c r="A2320" s="3">
        <f>IFERROR(__xludf.DUMMYFUNCTION("""COMPUTED_VALUE"""),42929.99861111111)</f>
        <v>42929.99861</v>
      </c>
      <c r="B2320" s="1">
        <f>IFERROR(__xludf.DUMMYFUNCTION("""COMPUTED_VALUE"""),3631.15338)</f>
        <v>3631.15338</v>
      </c>
    </row>
    <row r="2321">
      <c r="A2321" s="3">
        <f>IFERROR(__xludf.DUMMYFUNCTION("""COMPUTED_VALUE"""),42930.99861111111)</f>
        <v>42930.99861</v>
      </c>
      <c r="B2321" s="1">
        <f>IFERROR(__xludf.DUMMYFUNCTION("""COMPUTED_VALUE"""),3618.6331)</f>
        <v>3618.6331</v>
      </c>
    </row>
    <row r="2322">
      <c r="A2322" s="3">
        <f>IFERROR(__xludf.DUMMYFUNCTION("""COMPUTED_VALUE"""),42932.99861111111)</f>
        <v>42932.99861</v>
      </c>
      <c r="B2322" s="1">
        <f>IFERROR(__xludf.DUMMYFUNCTION("""COMPUTED_VALUE"""),3629.37036)</f>
        <v>3629.37036</v>
      </c>
    </row>
    <row r="2323">
      <c r="A2323" s="3">
        <f>IFERROR(__xludf.DUMMYFUNCTION("""COMPUTED_VALUE"""),42933.99861111111)</f>
        <v>42933.99861</v>
      </c>
      <c r="B2323" s="1">
        <f>IFERROR(__xludf.DUMMYFUNCTION("""COMPUTED_VALUE"""),3625.84299)</f>
        <v>3625.84299</v>
      </c>
    </row>
    <row r="2324">
      <c r="A2324" s="3">
        <f>IFERROR(__xludf.DUMMYFUNCTION("""COMPUTED_VALUE"""),42934.99861111111)</f>
        <v>42934.99861</v>
      </c>
      <c r="B2324" s="1">
        <f>IFERROR(__xludf.DUMMYFUNCTION("""COMPUTED_VALUE"""),3620.67138)</f>
        <v>3620.67138</v>
      </c>
    </row>
    <row r="2325">
      <c r="A2325" s="3">
        <f>IFERROR(__xludf.DUMMYFUNCTION("""COMPUTED_VALUE"""),42935.99861111111)</f>
        <v>42935.99861</v>
      </c>
      <c r="B2325" s="1">
        <f>IFERROR(__xludf.DUMMYFUNCTION("""COMPUTED_VALUE"""),3622.44362)</f>
        <v>3622.44362</v>
      </c>
    </row>
    <row r="2326">
      <c r="A2326" s="3">
        <f>IFERROR(__xludf.DUMMYFUNCTION("""COMPUTED_VALUE"""),42936.99861111111)</f>
        <v>42936.99861</v>
      </c>
      <c r="B2326" s="1">
        <f>IFERROR(__xludf.DUMMYFUNCTION("""COMPUTED_VALUE"""),3620.81054)</f>
        <v>3620.81054</v>
      </c>
    </row>
    <row r="2327">
      <c r="A2327" s="3">
        <f>IFERROR(__xludf.DUMMYFUNCTION("""COMPUTED_VALUE"""),42937.99861111111)</f>
        <v>42937.99861</v>
      </c>
      <c r="B2327" s="1">
        <f>IFERROR(__xludf.DUMMYFUNCTION("""COMPUTED_VALUE"""),3625.70978)</f>
        <v>3625.70978</v>
      </c>
    </row>
    <row r="2328">
      <c r="A2328" s="3">
        <f>IFERROR(__xludf.DUMMYFUNCTION("""COMPUTED_VALUE"""),42938.99861111111)</f>
        <v>42938.99861</v>
      </c>
      <c r="B2328" s="1">
        <f>IFERROR(__xludf.DUMMYFUNCTION("""COMPUTED_VALUE"""),3627.99558)</f>
        <v>3627.99558</v>
      </c>
    </row>
    <row r="2329">
      <c r="A2329" s="3">
        <f>IFERROR(__xludf.DUMMYFUNCTION("""COMPUTED_VALUE"""),42939.99861111111)</f>
        <v>42939.99861</v>
      </c>
      <c r="B2329" s="1">
        <f>IFERROR(__xludf.DUMMYFUNCTION("""COMPUTED_VALUE"""),3611.13095)</f>
        <v>3611.13095</v>
      </c>
    </row>
    <row r="2330">
      <c r="A2330" s="3">
        <f>IFERROR(__xludf.DUMMYFUNCTION("""COMPUTED_VALUE"""),42940.99861111111)</f>
        <v>42940.99861</v>
      </c>
      <c r="B2330" s="1">
        <f>IFERROR(__xludf.DUMMYFUNCTION("""COMPUTED_VALUE"""),3624.34888)</f>
        <v>3624.34888</v>
      </c>
    </row>
    <row r="2331">
      <c r="A2331" s="3">
        <f>IFERROR(__xludf.DUMMYFUNCTION("""COMPUTED_VALUE"""),42941.99861111111)</f>
        <v>42941.99861</v>
      </c>
      <c r="B2331" s="1">
        <f>IFERROR(__xludf.DUMMYFUNCTION("""COMPUTED_VALUE"""),3627.61504)</f>
        <v>3627.61504</v>
      </c>
    </row>
    <row r="2332">
      <c r="A2332" s="3">
        <f>IFERROR(__xludf.DUMMYFUNCTION("""COMPUTED_VALUE"""),42942.99861111111)</f>
        <v>42942.99861</v>
      </c>
      <c r="B2332" s="1">
        <f>IFERROR(__xludf.DUMMYFUNCTION("""COMPUTED_VALUE"""),3627.88722)</f>
        <v>3627.88722</v>
      </c>
    </row>
    <row r="2333">
      <c r="A2333" s="3">
        <f>IFERROR(__xludf.DUMMYFUNCTION("""COMPUTED_VALUE"""),42943.99861111111)</f>
        <v>42943.99861</v>
      </c>
      <c r="B2333" s="1">
        <f>IFERROR(__xludf.DUMMYFUNCTION("""COMPUTED_VALUE"""),3622.98798)</f>
        <v>3622.98798</v>
      </c>
    </row>
    <row r="2334">
      <c r="A2334" s="3">
        <f>IFERROR(__xludf.DUMMYFUNCTION("""COMPUTED_VALUE"""),42944.99861111111)</f>
        <v>42944.99861</v>
      </c>
      <c r="B2334" s="1">
        <f>IFERROR(__xludf.DUMMYFUNCTION("""COMPUTED_VALUE"""),3629.5203)</f>
        <v>3629.5203</v>
      </c>
    </row>
    <row r="2335">
      <c r="A2335" s="3">
        <f>IFERROR(__xludf.DUMMYFUNCTION("""COMPUTED_VALUE"""),42945.99861111111)</f>
        <v>42945.99861</v>
      </c>
      <c r="B2335" s="1">
        <f>IFERROR(__xludf.DUMMYFUNCTION("""COMPUTED_VALUE"""),3627.352083)</f>
        <v>3627.352083</v>
      </c>
    </row>
    <row r="2336">
      <c r="A2336" s="3">
        <f>IFERROR(__xludf.DUMMYFUNCTION("""COMPUTED_VALUE"""),42946.99861111111)</f>
        <v>42946.99861</v>
      </c>
      <c r="B2336" s="1">
        <f>IFERROR(__xludf.DUMMYFUNCTION("""COMPUTED_VALUE"""),3626.1036)</f>
        <v>3626.1036</v>
      </c>
    </row>
    <row r="2337">
      <c r="A2337" s="3">
        <f>IFERROR(__xludf.DUMMYFUNCTION("""COMPUTED_VALUE"""),42947.99861111111)</f>
        <v>42947.99861</v>
      </c>
      <c r="B2337" s="1">
        <f>IFERROR(__xludf.DUMMYFUNCTION("""COMPUTED_VALUE"""),3624.89324)</f>
        <v>3624.89324</v>
      </c>
    </row>
    <row r="2338">
      <c r="A2338" s="3">
        <f>IFERROR(__xludf.DUMMYFUNCTION("""COMPUTED_VALUE"""),42948.99861111111)</f>
        <v>42948.99861</v>
      </c>
      <c r="B2338" s="1">
        <f>IFERROR(__xludf.DUMMYFUNCTION("""COMPUTED_VALUE"""),3624.62106)</f>
        <v>3624.62106</v>
      </c>
    </row>
    <row r="2339">
      <c r="A2339" s="3">
        <f>IFERROR(__xludf.DUMMYFUNCTION("""COMPUTED_VALUE"""),42949.99861111111)</f>
        <v>42949.99861</v>
      </c>
      <c r="B2339" s="1">
        <f>IFERROR(__xludf.DUMMYFUNCTION("""COMPUTED_VALUE"""),3624.8874)</f>
        <v>3624.8874</v>
      </c>
    </row>
    <row r="2340">
      <c r="A2340" s="3">
        <f>IFERROR(__xludf.DUMMYFUNCTION("""COMPUTED_VALUE"""),42950.99861111111)</f>
        <v>42950.99861</v>
      </c>
      <c r="B2340" s="1">
        <f>IFERROR(__xludf.DUMMYFUNCTION("""COMPUTED_VALUE"""),3625.16542)</f>
        <v>3625.16542</v>
      </c>
    </row>
    <row r="2341">
      <c r="A2341" s="3">
        <f>IFERROR(__xludf.DUMMYFUNCTION("""COMPUTED_VALUE"""),42951.99861111111)</f>
        <v>42951.99861</v>
      </c>
      <c r="B2341" s="1">
        <f>IFERROR(__xludf.DUMMYFUNCTION("""COMPUTED_VALUE"""),3623.39328)</f>
        <v>3623.39328</v>
      </c>
    </row>
    <row r="2342">
      <c r="A2342" s="3">
        <f>IFERROR(__xludf.DUMMYFUNCTION("""COMPUTED_VALUE"""),42953.99861111111)</f>
        <v>42953.99861</v>
      </c>
      <c r="B2342" s="1">
        <f>IFERROR(__xludf.DUMMYFUNCTION("""COMPUTED_VALUE"""),3623.10907)</f>
        <v>3623.10907</v>
      </c>
    </row>
    <row r="2343">
      <c r="A2343" s="3">
        <f>IFERROR(__xludf.DUMMYFUNCTION("""COMPUTED_VALUE"""),42954.99861111111)</f>
        <v>42954.99861</v>
      </c>
      <c r="B2343" s="1">
        <f>IFERROR(__xludf.DUMMYFUNCTION("""COMPUTED_VALUE"""),3624.0767)</f>
        <v>3624.0767</v>
      </c>
    </row>
    <row r="2344">
      <c r="A2344" s="3">
        <f>IFERROR(__xludf.DUMMYFUNCTION("""COMPUTED_VALUE"""),42955.99861111111)</f>
        <v>42955.99861</v>
      </c>
      <c r="B2344" s="1">
        <f>IFERROR(__xludf.DUMMYFUNCTION("""COMPUTED_VALUE"""),3621.62708)</f>
        <v>3621.62708</v>
      </c>
    </row>
    <row r="2345">
      <c r="A2345" s="3">
        <f>IFERROR(__xludf.DUMMYFUNCTION("""COMPUTED_VALUE"""),42956.99861111111)</f>
        <v>42956.99861</v>
      </c>
      <c r="B2345" s="1">
        <f>IFERROR(__xludf.DUMMYFUNCTION("""COMPUTED_VALUE"""),3627.07068)</f>
        <v>3627.07068</v>
      </c>
    </row>
    <row r="2346">
      <c r="A2346" s="3">
        <f>IFERROR(__xludf.DUMMYFUNCTION("""COMPUTED_VALUE"""),42957.99861111111)</f>
        <v>42957.99861</v>
      </c>
      <c r="B2346" s="1">
        <f>IFERROR(__xludf.DUMMYFUNCTION("""COMPUTED_VALUE"""),3627.34286)</f>
        <v>3627.34286</v>
      </c>
    </row>
    <row r="2347">
      <c r="A2347" s="3">
        <f>IFERROR(__xludf.DUMMYFUNCTION("""COMPUTED_VALUE"""),42958.99861111111)</f>
        <v>42958.99861</v>
      </c>
      <c r="B2347" s="1">
        <f>IFERROR(__xludf.DUMMYFUNCTION("""COMPUTED_VALUE"""),3633.33082)</f>
        <v>3633.33082</v>
      </c>
    </row>
    <row r="2348">
      <c r="A2348" s="3">
        <f>IFERROR(__xludf.DUMMYFUNCTION("""COMPUTED_VALUE"""),42959.99861111111)</f>
        <v>42959.99861</v>
      </c>
      <c r="B2348" s="1">
        <f>IFERROR(__xludf.DUMMYFUNCTION("""COMPUTED_VALUE"""),3635.893183)</f>
        <v>3635.893183</v>
      </c>
    </row>
    <row r="2349">
      <c r="A2349" s="3">
        <f>IFERROR(__xludf.DUMMYFUNCTION("""COMPUTED_VALUE"""),42960.99861111111)</f>
        <v>42960.99861</v>
      </c>
      <c r="B2349" s="1">
        <f>IFERROR(__xludf.DUMMYFUNCTION("""COMPUTED_VALUE"""),3634.54273)</f>
        <v>3634.54273</v>
      </c>
    </row>
    <row r="2350">
      <c r="A2350" s="3">
        <f>IFERROR(__xludf.DUMMYFUNCTION("""COMPUTED_VALUE"""),42961.99861111111)</f>
        <v>42961.99861</v>
      </c>
      <c r="B2350" s="1">
        <f>IFERROR(__xludf.DUMMYFUNCTION("""COMPUTED_VALUE"""),3631.42556)</f>
        <v>3631.42556</v>
      </c>
    </row>
    <row r="2351">
      <c r="A2351" s="3">
        <f>IFERROR(__xludf.DUMMYFUNCTION("""COMPUTED_VALUE"""),42962.99861111111)</f>
        <v>42962.99861</v>
      </c>
      <c r="B2351" s="1">
        <f>IFERROR(__xludf.DUMMYFUNCTION("""COMPUTED_VALUE"""),3634.69172)</f>
        <v>3634.69172</v>
      </c>
    </row>
    <row r="2352">
      <c r="A2352" s="3">
        <f>IFERROR(__xludf.DUMMYFUNCTION("""COMPUTED_VALUE"""),42963.99861111111)</f>
        <v>42963.99861</v>
      </c>
      <c r="B2352" s="1">
        <f>IFERROR(__xludf.DUMMYFUNCTION("""COMPUTED_VALUE"""),3633.603)</f>
        <v>3633.603</v>
      </c>
    </row>
    <row r="2353">
      <c r="A2353" s="3">
        <f>IFERROR(__xludf.DUMMYFUNCTION("""COMPUTED_VALUE"""),42964.99861111111)</f>
        <v>42964.99861</v>
      </c>
      <c r="B2353" s="1">
        <f>IFERROR(__xludf.DUMMYFUNCTION("""COMPUTED_VALUE"""),3639.59096)</f>
        <v>3639.59096</v>
      </c>
    </row>
    <row r="2354">
      <c r="A2354" s="3">
        <f>IFERROR(__xludf.DUMMYFUNCTION("""COMPUTED_VALUE"""),42965.99861111111)</f>
        <v>42965.99861</v>
      </c>
      <c r="B2354" s="1">
        <f>IFERROR(__xludf.DUMMYFUNCTION("""COMPUTED_VALUE"""),3635.78044)</f>
        <v>3635.78044</v>
      </c>
    </row>
    <row r="2355">
      <c r="A2355" s="3">
        <f>IFERROR(__xludf.DUMMYFUNCTION("""COMPUTED_VALUE"""),42966.99861111111)</f>
        <v>42966.99861</v>
      </c>
      <c r="B2355" s="1">
        <f>IFERROR(__xludf.DUMMYFUNCTION("""COMPUTED_VALUE"""),3636.982508)</f>
        <v>3636.982508</v>
      </c>
    </row>
    <row r="2356">
      <c r="A2356" s="3">
        <f>IFERROR(__xludf.DUMMYFUNCTION("""COMPUTED_VALUE"""),42967.99861111111)</f>
        <v>42967.99861</v>
      </c>
      <c r="B2356" s="1">
        <f>IFERROR(__xludf.DUMMYFUNCTION("""COMPUTED_VALUE"""),3635.63165)</f>
        <v>3635.63165</v>
      </c>
    </row>
    <row r="2357">
      <c r="A2357" s="3">
        <f>IFERROR(__xludf.DUMMYFUNCTION("""COMPUTED_VALUE"""),42968.99861111111)</f>
        <v>42968.99861</v>
      </c>
      <c r="B2357" s="1">
        <f>IFERROR(__xludf.DUMMYFUNCTION("""COMPUTED_VALUE"""),3631.96992)</f>
        <v>3631.96992</v>
      </c>
    </row>
    <row r="2358">
      <c r="A2358" s="3">
        <f>IFERROR(__xludf.DUMMYFUNCTION("""COMPUTED_VALUE"""),42969.99861111111)</f>
        <v>42969.99861</v>
      </c>
      <c r="B2358" s="1">
        <f>IFERROR(__xludf.DUMMYFUNCTION("""COMPUTED_VALUE"""),3626.7985)</f>
        <v>3626.7985</v>
      </c>
    </row>
    <row r="2359">
      <c r="A2359" s="3">
        <f>IFERROR(__xludf.DUMMYFUNCTION("""COMPUTED_VALUE"""),42970.99861111111)</f>
        <v>42970.99861</v>
      </c>
      <c r="B2359" s="1">
        <f>IFERROR(__xludf.DUMMYFUNCTION("""COMPUTED_VALUE"""),3633.87518)</f>
        <v>3633.87518</v>
      </c>
    </row>
    <row r="2360">
      <c r="A2360" s="3">
        <f>IFERROR(__xludf.DUMMYFUNCTION("""COMPUTED_VALUE"""),42971.99861111111)</f>
        <v>42971.99861</v>
      </c>
      <c r="B2360" s="1">
        <f>IFERROR(__xludf.DUMMYFUNCTION("""COMPUTED_VALUE"""),3628.97594)</f>
        <v>3628.97594</v>
      </c>
    </row>
    <row r="2361">
      <c r="A2361" s="3">
        <f>IFERROR(__xludf.DUMMYFUNCTION("""COMPUTED_VALUE"""),42972.99861111111)</f>
        <v>42972.99861</v>
      </c>
      <c r="B2361" s="1">
        <f>IFERROR(__xludf.DUMMYFUNCTION("""COMPUTED_VALUE"""),3631.15338)</f>
        <v>3631.15338</v>
      </c>
    </row>
    <row r="2362">
      <c r="A2362" s="3">
        <f>IFERROR(__xludf.DUMMYFUNCTION("""COMPUTED_VALUE"""),42973.99861111111)</f>
        <v>42973.99861</v>
      </c>
      <c r="B2362" s="1">
        <f>IFERROR(__xludf.DUMMYFUNCTION("""COMPUTED_VALUE"""),3633.070881)</f>
        <v>3633.070881</v>
      </c>
    </row>
    <row r="2363">
      <c r="A2363" s="3">
        <f>IFERROR(__xludf.DUMMYFUNCTION("""COMPUTED_VALUE"""),42974.99861111111)</f>
        <v>42974.99861</v>
      </c>
      <c r="B2363" s="1">
        <f>IFERROR(__xludf.DUMMYFUNCTION("""COMPUTED_VALUE"""),3631.27597)</f>
        <v>3631.27597</v>
      </c>
    </row>
    <row r="2364">
      <c r="A2364" s="3">
        <f>IFERROR(__xludf.DUMMYFUNCTION("""COMPUTED_VALUE"""),42975.99861111111)</f>
        <v>42975.99861</v>
      </c>
      <c r="B2364" s="1">
        <f>IFERROR(__xludf.DUMMYFUNCTION("""COMPUTED_VALUE"""),3620.81054)</f>
        <v>3620.81054</v>
      </c>
    </row>
    <row r="2365">
      <c r="A2365" s="3">
        <f>IFERROR(__xludf.DUMMYFUNCTION("""COMPUTED_VALUE"""),42976.99861111111)</f>
        <v>42976.99861</v>
      </c>
      <c r="B2365" s="1">
        <f>IFERROR(__xludf.DUMMYFUNCTION("""COMPUTED_VALUE"""),3629.10927)</f>
        <v>3629.10927</v>
      </c>
    </row>
    <row r="2366">
      <c r="A2366" s="3">
        <f>IFERROR(__xludf.DUMMYFUNCTION("""COMPUTED_VALUE"""),42977.99861111111)</f>
        <v>42977.99861</v>
      </c>
      <c r="B2366" s="1">
        <f>IFERROR(__xludf.DUMMYFUNCTION("""COMPUTED_VALUE"""),3629.24812)</f>
        <v>3629.24812</v>
      </c>
    </row>
    <row r="2367">
      <c r="A2367" s="3">
        <f>IFERROR(__xludf.DUMMYFUNCTION("""COMPUTED_VALUE"""),42978.99861111111)</f>
        <v>42978.99861</v>
      </c>
      <c r="B2367" s="1">
        <f>IFERROR(__xludf.DUMMYFUNCTION("""COMPUTED_VALUE"""),3625.84299)</f>
        <v>3625.84299</v>
      </c>
    </row>
    <row r="2368">
      <c r="A2368" s="3">
        <f>IFERROR(__xludf.DUMMYFUNCTION("""COMPUTED_VALUE"""),42979.99861111111)</f>
        <v>42979.99861</v>
      </c>
      <c r="B2368" s="1">
        <f>IFERROR(__xludf.DUMMYFUNCTION("""COMPUTED_VALUE"""),3628.97594)</f>
        <v>3628.97594</v>
      </c>
    </row>
    <row r="2369">
      <c r="A2369" s="3">
        <f>IFERROR(__xludf.DUMMYFUNCTION("""COMPUTED_VALUE"""),42980.99861111111)</f>
        <v>42980.99861</v>
      </c>
      <c r="B2369" s="1">
        <f>IFERROR(__xludf.DUMMYFUNCTION("""COMPUTED_VALUE"""),3631.535885)</f>
        <v>3631.535885</v>
      </c>
    </row>
    <row r="2370">
      <c r="A2370" s="3">
        <f>IFERROR(__xludf.DUMMYFUNCTION("""COMPUTED_VALUE"""),42981.99861111111)</f>
        <v>42981.99861</v>
      </c>
      <c r="B2370" s="1">
        <f>IFERROR(__xludf.DUMMYFUNCTION("""COMPUTED_VALUE"""),3629.09813)</f>
        <v>3629.09813</v>
      </c>
    </row>
    <row r="2371">
      <c r="A2371" s="3">
        <f>IFERROR(__xludf.DUMMYFUNCTION("""COMPUTED_VALUE"""),42982.99861111111)</f>
        <v>42982.99861</v>
      </c>
      <c r="B2371" s="1">
        <f>IFERROR(__xludf.DUMMYFUNCTION("""COMPUTED_VALUE"""),3634.41954)</f>
        <v>3634.41954</v>
      </c>
    </row>
    <row r="2372">
      <c r="A2372" s="3">
        <f>IFERROR(__xludf.DUMMYFUNCTION("""COMPUTED_VALUE"""),42983.99861111111)</f>
        <v>42983.99861</v>
      </c>
      <c r="B2372" s="1">
        <f>IFERROR(__xludf.DUMMYFUNCTION("""COMPUTED_VALUE"""),3628.97594)</f>
        <v>3628.97594</v>
      </c>
    </row>
    <row r="2373">
      <c r="A2373" s="3">
        <f>IFERROR(__xludf.DUMMYFUNCTION("""COMPUTED_VALUE"""),42984.99861111111)</f>
        <v>42984.99861</v>
      </c>
      <c r="B2373" s="1">
        <f>IFERROR(__xludf.DUMMYFUNCTION("""COMPUTED_VALUE"""),3630.60902)</f>
        <v>3630.60902</v>
      </c>
    </row>
    <row r="2374">
      <c r="A2374" s="3">
        <f>IFERROR(__xludf.DUMMYFUNCTION("""COMPUTED_VALUE"""),42985.99861111111)</f>
        <v>42985.99861</v>
      </c>
      <c r="B2374" s="1">
        <f>IFERROR(__xludf.DUMMYFUNCTION("""COMPUTED_VALUE"""),3617.00002)</f>
        <v>3617.00002</v>
      </c>
    </row>
    <row r="2375">
      <c r="A2375" s="3">
        <f>IFERROR(__xludf.DUMMYFUNCTION("""COMPUTED_VALUE"""),42986.99861111111)</f>
        <v>42986.99861</v>
      </c>
      <c r="B2375" s="1">
        <f>IFERROR(__xludf.DUMMYFUNCTION("""COMPUTED_VALUE"""),3591.95946)</f>
        <v>3591.95946</v>
      </c>
    </row>
    <row r="2376">
      <c r="A2376" s="3">
        <f>IFERROR(__xludf.DUMMYFUNCTION("""COMPUTED_VALUE"""),42987.99861111111)</f>
        <v>42987.99861</v>
      </c>
      <c r="B2376" s="1">
        <f>IFERROR(__xludf.DUMMYFUNCTION("""COMPUTED_VALUE"""),3593.409524)</f>
        <v>3593.409524</v>
      </c>
    </row>
    <row r="2377">
      <c r="A2377" s="3">
        <f>IFERROR(__xludf.DUMMYFUNCTION("""COMPUTED_VALUE"""),42988.99861111111)</f>
        <v>42988.99861</v>
      </c>
      <c r="B2377" s="1">
        <f>IFERROR(__xludf.DUMMYFUNCTION("""COMPUTED_VALUE"""),3592.61931)</f>
        <v>3592.61931</v>
      </c>
    </row>
    <row r="2378">
      <c r="A2378" s="3">
        <f>IFERROR(__xludf.DUMMYFUNCTION("""COMPUTED_VALUE"""),42989.99861111111)</f>
        <v>42989.99861</v>
      </c>
      <c r="B2378" s="1">
        <f>IFERROR(__xludf.DUMMYFUNCTION("""COMPUTED_VALUE"""),3586.24368)</f>
        <v>3586.24368</v>
      </c>
    </row>
    <row r="2379">
      <c r="A2379" s="3">
        <f>IFERROR(__xludf.DUMMYFUNCTION("""COMPUTED_VALUE"""),42990.99861111111)</f>
        <v>42990.99861</v>
      </c>
      <c r="B2379" s="1">
        <f>IFERROR(__xludf.DUMMYFUNCTION("""COMPUTED_VALUE"""),3595.61384)</f>
        <v>3595.61384</v>
      </c>
    </row>
    <row r="2380">
      <c r="A2380" s="3">
        <f>IFERROR(__xludf.DUMMYFUNCTION("""COMPUTED_VALUE"""),42991.99861111111)</f>
        <v>42991.99861</v>
      </c>
      <c r="B2380" s="1">
        <f>IFERROR(__xludf.DUMMYFUNCTION("""COMPUTED_VALUE"""),3604.20756)</f>
        <v>3604.20756</v>
      </c>
    </row>
    <row r="2381">
      <c r="A2381" s="3">
        <f>IFERROR(__xludf.DUMMYFUNCTION("""COMPUTED_VALUE"""),42992.99861111111)</f>
        <v>42992.99861</v>
      </c>
      <c r="B2381" s="1">
        <f>IFERROR(__xludf.DUMMYFUNCTION("""COMPUTED_VALUE"""),3609.65116)</f>
        <v>3609.65116</v>
      </c>
    </row>
    <row r="2382">
      <c r="A2382" s="3">
        <f>IFERROR(__xludf.DUMMYFUNCTION("""COMPUTED_VALUE"""),42993.99861111111)</f>
        <v>42993.99861</v>
      </c>
      <c r="B2382" s="1">
        <f>IFERROR(__xludf.DUMMYFUNCTION("""COMPUTED_VALUE"""),3605.29628)</f>
        <v>3605.29628</v>
      </c>
    </row>
    <row r="2383">
      <c r="A2383" s="3">
        <f>IFERROR(__xludf.DUMMYFUNCTION("""COMPUTED_VALUE"""),42995.99861111111)</f>
        <v>42995.99861</v>
      </c>
      <c r="B2383" s="1">
        <f>IFERROR(__xludf.DUMMYFUNCTION("""COMPUTED_VALUE"""),3607.59196)</f>
        <v>3607.59196</v>
      </c>
    </row>
    <row r="2384">
      <c r="A2384" s="3">
        <f>IFERROR(__xludf.DUMMYFUNCTION("""COMPUTED_VALUE"""),42996.99861111111)</f>
        <v>42996.99861</v>
      </c>
      <c r="B2384" s="1">
        <f>IFERROR(__xludf.DUMMYFUNCTION("""COMPUTED_VALUE"""),3611.28424)</f>
        <v>3611.28424</v>
      </c>
    </row>
    <row r="2385">
      <c r="A2385" s="3">
        <f>IFERROR(__xludf.DUMMYFUNCTION("""COMPUTED_VALUE"""),42997.99861111111)</f>
        <v>42997.99861</v>
      </c>
      <c r="B2385" s="1">
        <f>IFERROR(__xludf.DUMMYFUNCTION("""COMPUTED_VALUE"""),3608.01808)</f>
        <v>3608.01808</v>
      </c>
    </row>
    <row r="2386">
      <c r="A2386" s="3">
        <f>IFERROR(__xludf.DUMMYFUNCTION("""COMPUTED_VALUE"""),42998.99861111111)</f>
        <v>42998.99861</v>
      </c>
      <c r="B2386" s="1">
        <f>IFERROR(__xludf.DUMMYFUNCTION("""COMPUTED_VALUE"""),3612.64514)</f>
        <v>3612.64514</v>
      </c>
    </row>
    <row r="2387">
      <c r="A2387" s="3">
        <f>IFERROR(__xludf.DUMMYFUNCTION("""COMPUTED_VALUE"""),42999.99861111111)</f>
        <v>42999.99861</v>
      </c>
      <c r="B2387" s="1">
        <f>IFERROR(__xludf.DUMMYFUNCTION("""COMPUTED_VALUE"""),3612.64514)</f>
        <v>3612.64514</v>
      </c>
    </row>
    <row r="2388">
      <c r="A2388" s="3">
        <f>IFERROR(__xludf.DUMMYFUNCTION("""COMPUTED_VALUE"""),43000.99861111111)</f>
        <v>43000.99861</v>
      </c>
      <c r="B2388" s="1">
        <f>IFERROR(__xludf.DUMMYFUNCTION("""COMPUTED_VALUE"""),3617.2722)</f>
        <v>3617.2722</v>
      </c>
    </row>
    <row r="2389">
      <c r="A2389" s="3">
        <f>IFERROR(__xludf.DUMMYFUNCTION("""COMPUTED_VALUE"""),43002.99861111111)</f>
        <v>43002.99861</v>
      </c>
      <c r="B2389" s="1">
        <f>IFERROR(__xludf.DUMMYFUNCTION("""COMPUTED_VALUE"""),3622.29238)</f>
        <v>3622.29238</v>
      </c>
    </row>
    <row r="2390">
      <c r="A2390" s="3">
        <f>IFERROR(__xludf.DUMMYFUNCTION("""COMPUTED_VALUE"""),43003.99861111111)</f>
        <v>43003.99861</v>
      </c>
      <c r="B2390" s="1">
        <f>IFERROR(__xludf.DUMMYFUNCTION("""COMPUTED_VALUE"""),3625.83137)</f>
        <v>3625.83137</v>
      </c>
    </row>
    <row r="2391">
      <c r="A2391" s="3">
        <f>IFERROR(__xludf.DUMMYFUNCTION("""COMPUTED_VALUE"""),43004.99861111111)</f>
        <v>43004.99861</v>
      </c>
      <c r="B2391" s="1">
        <f>IFERROR(__xludf.DUMMYFUNCTION("""COMPUTED_VALUE"""),3640.675)</f>
        <v>3640.675</v>
      </c>
    </row>
    <row r="2392">
      <c r="A2392" s="3">
        <f>IFERROR(__xludf.DUMMYFUNCTION("""COMPUTED_VALUE"""),43005.99861111111)</f>
        <v>43005.99861</v>
      </c>
      <c r="B2392" s="1">
        <f>IFERROR(__xludf.DUMMYFUNCTION("""COMPUTED_VALUE"""),3656.19394)</f>
        <v>3656.19394</v>
      </c>
    </row>
    <row r="2393">
      <c r="A2393" s="3">
        <f>IFERROR(__xludf.DUMMYFUNCTION("""COMPUTED_VALUE"""),43006.99861111111)</f>
        <v>43006.99861</v>
      </c>
      <c r="B2393" s="1">
        <f>IFERROR(__xludf.DUMMYFUNCTION("""COMPUTED_VALUE"""),3676.60744)</f>
        <v>3676.60744</v>
      </c>
    </row>
    <row r="2394">
      <c r="A2394" s="3">
        <f>IFERROR(__xludf.DUMMYFUNCTION("""COMPUTED_VALUE"""),43007.99861111111)</f>
        <v>43007.99861</v>
      </c>
      <c r="B2394" s="1">
        <f>IFERROR(__xludf.DUMMYFUNCTION("""COMPUTED_VALUE"""),3663.9466)</f>
        <v>3663.9466</v>
      </c>
    </row>
    <row r="2395">
      <c r="A2395" s="3">
        <f>IFERROR(__xludf.DUMMYFUNCTION("""COMPUTED_VALUE"""),43009.99861111111)</f>
        <v>43009.99861</v>
      </c>
      <c r="B2395" s="1">
        <f>IFERROR(__xludf.DUMMYFUNCTION("""COMPUTED_VALUE"""),3665.57695)</f>
        <v>3665.57695</v>
      </c>
    </row>
    <row r="2396">
      <c r="A2396" s="3">
        <f>IFERROR(__xludf.DUMMYFUNCTION("""COMPUTED_VALUE"""),43010.99861111111)</f>
        <v>43010.99861</v>
      </c>
      <c r="B2396" s="1">
        <f>IFERROR(__xludf.DUMMYFUNCTION("""COMPUTED_VALUE"""),3682.86758)</f>
        <v>3682.86758</v>
      </c>
    </row>
    <row r="2397">
      <c r="A2397" s="3">
        <f>IFERROR(__xludf.DUMMYFUNCTION("""COMPUTED_VALUE"""),43011.99861111111)</f>
        <v>43011.99861</v>
      </c>
      <c r="B2397" s="1">
        <f>IFERROR(__xludf.DUMMYFUNCTION("""COMPUTED_VALUE"""),3684.22848)</f>
        <v>3684.22848</v>
      </c>
    </row>
    <row r="2398">
      <c r="A2398" s="3">
        <f>IFERROR(__xludf.DUMMYFUNCTION("""COMPUTED_VALUE"""),43012.99861111111)</f>
        <v>43012.99861</v>
      </c>
      <c r="B2398" s="1">
        <f>IFERROR(__xludf.DUMMYFUNCTION("""COMPUTED_VALUE"""),3666.3993)</f>
        <v>3666.3993</v>
      </c>
    </row>
    <row r="2399">
      <c r="A2399" s="3">
        <f>IFERROR(__xludf.DUMMYFUNCTION("""COMPUTED_VALUE"""),43013.99861111111)</f>
        <v>43013.99861</v>
      </c>
      <c r="B2399" s="1">
        <f>IFERROR(__xludf.DUMMYFUNCTION("""COMPUTED_VALUE"""),3661.22769)</f>
        <v>3661.22769</v>
      </c>
    </row>
    <row r="2400">
      <c r="A2400" s="3">
        <f>IFERROR(__xludf.DUMMYFUNCTION("""COMPUTED_VALUE"""),43014.99861111111)</f>
        <v>43014.99861</v>
      </c>
      <c r="B2400" s="1">
        <f>IFERROR(__xludf.DUMMYFUNCTION("""COMPUTED_VALUE"""),3675.10938)</f>
        <v>3675.10938</v>
      </c>
    </row>
    <row r="2401">
      <c r="A2401" s="3">
        <f>IFERROR(__xludf.DUMMYFUNCTION("""COMPUTED_VALUE"""),43015.99861111111)</f>
        <v>43015.99861</v>
      </c>
      <c r="B2401" s="1">
        <f>IFERROR(__xludf.DUMMYFUNCTION("""COMPUTED_VALUE"""),3673.74843)</f>
        <v>3673.74843</v>
      </c>
    </row>
    <row r="2402">
      <c r="A2402" s="3">
        <f>IFERROR(__xludf.DUMMYFUNCTION("""COMPUTED_VALUE"""),43016.99861111111)</f>
        <v>43016.99861</v>
      </c>
      <c r="B2402" s="1">
        <f>IFERROR(__xludf.DUMMYFUNCTION("""COMPUTED_VALUE"""),3674.28831)</f>
        <v>3674.28831</v>
      </c>
    </row>
    <row r="2403">
      <c r="A2403" s="3">
        <f>IFERROR(__xludf.DUMMYFUNCTION("""COMPUTED_VALUE"""),43017.99861111111)</f>
        <v>43017.99861</v>
      </c>
      <c r="B2403" s="1">
        <f>IFERROR(__xludf.DUMMYFUNCTION("""COMPUTED_VALUE"""),3677.1518)</f>
        <v>3677.1518</v>
      </c>
    </row>
    <row r="2404">
      <c r="A2404" s="3">
        <f>IFERROR(__xludf.DUMMYFUNCTION("""COMPUTED_VALUE"""),43018.99861111111)</f>
        <v>43018.99861</v>
      </c>
      <c r="B2404" s="1">
        <f>IFERROR(__xludf.DUMMYFUNCTION("""COMPUTED_VALUE"""),3677.1518)</f>
        <v>3677.1518</v>
      </c>
    </row>
    <row r="2405">
      <c r="A2405" s="3">
        <f>IFERROR(__xludf.DUMMYFUNCTION("""COMPUTED_VALUE"""),43019.99861111111)</f>
        <v>43019.99861</v>
      </c>
      <c r="B2405" s="1">
        <f>IFERROR(__xludf.DUMMYFUNCTION("""COMPUTED_VALUE"""),3677.0167)</f>
        <v>3677.0167</v>
      </c>
    </row>
    <row r="2406">
      <c r="A2406" s="3">
        <f>IFERROR(__xludf.DUMMYFUNCTION("""COMPUTED_VALUE"""),43020.99861111111)</f>
        <v>43020.99861</v>
      </c>
      <c r="B2406" s="1">
        <f>IFERROR(__xludf.DUMMYFUNCTION("""COMPUTED_VALUE"""),3674.02062)</f>
        <v>3674.02062</v>
      </c>
    </row>
    <row r="2407">
      <c r="A2407" s="3">
        <f>IFERROR(__xludf.DUMMYFUNCTION("""COMPUTED_VALUE"""),43021.99861111111)</f>
        <v>43021.99861</v>
      </c>
      <c r="B2407" s="1">
        <f>IFERROR(__xludf.DUMMYFUNCTION("""COMPUTED_VALUE"""),3655.3774)</f>
        <v>3655.3774</v>
      </c>
    </row>
    <row r="2408">
      <c r="A2408" s="3">
        <f>IFERROR(__xludf.DUMMYFUNCTION("""COMPUTED_VALUE"""),43022.99861111111)</f>
        <v>43022.99861</v>
      </c>
      <c r="B2408" s="1">
        <f>IFERROR(__xludf.DUMMYFUNCTION("""COMPUTED_VALUE"""),3674.191765)</f>
        <v>3674.191765</v>
      </c>
    </row>
    <row r="2409">
      <c r="A2409" s="3">
        <f>IFERROR(__xludf.DUMMYFUNCTION("""COMPUTED_VALUE"""),43023.99861111111)</f>
        <v>43023.99861</v>
      </c>
      <c r="B2409" s="1">
        <f>IFERROR(__xludf.DUMMYFUNCTION("""COMPUTED_VALUE"""),3672.92716)</f>
        <v>3672.92716</v>
      </c>
    </row>
    <row r="2410">
      <c r="A2410" s="3">
        <f>IFERROR(__xludf.DUMMYFUNCTION("""COMPUTED_VALUE"""),43024.99861111111)</f>
        <v>43024.99861</v>
      </c>
      <c r="B2410" s="1">
        <f>IFERROR(__xludf.DUMMYFUNCTION("""COMPUTED_VALUE"""),3667.89768)</f>
        <v>3667.89768</v>
      </c>
    </row>
    <row r="2411">
      <c r="A2411" s="3">
        <f>IFERROR(__xludf.DUMMYFUNCTION("""COMPUTED_VALUE"""),43025.99861111111)</f>
        <v>43025.99861</v>
      </c>
      <c r="B2411" s="1">
        <f>IFERROR(__xludf.DUMMYFUNCTION("""COMPUTED_VALUE"""),3673.0691)</f>
        <v>3673.0691</v>
      </c>
    </row>
    <row r="2412">
      <c r="A2412" s="3">
        <f>IFERROR(__xludf.DUMMYFUNCTION("""COMPUTED_VALUE"""),43026.99861111111)</f>
        <v>43026.99861</v>
      </c>
      <c r="B2412" s="1">
        <f>IFERROR(__xludf.DUMMYFUNCTION("""COMPUTED_VALUE"""),3677.1518)</f>
        <v>3677.1518</v>
      </c>
    </row>
    <row r="2413">
      <c r="A2413" s="3">
        <f>IFERROR(__xludf.DUMMYFUNCTION("""COMPUTED_VALUE"""),43027.99861111111)</f>
        <v>43027.99861</v>
      </c>
      <c r="B2413" s="1">
        <f>IFERROR(__xludf.DUMMYFUNCTION("""COMPUTED_VALUE"""),3671.7082)</f>
        <v>3671.7082</v>
      </c>
    </row>
    <row r="2414">
      <c r="A2414" s="3">
        <f>IFERROR(__xludf.DUMMYFUNCTION("""COMPUTED_VALUE"""),43028.99861111111)</f>
        <v>43028.99861</v>
      </c>
      <c r="B2414" s="1">
        <f>IFERROR(__xludf.DUMMYFUNCTION("""COMPUTED_VALUE"""),3678.92004)</f>
        <v>3678.92004</v>
      </c>
    </row>
    <row r="2415">
      <c r="A2415" s="3">
        <f>IFERROR(__xludf.DUMMYFUNCTION("""COMPUTED_VALUE"""),43029.99861111111)</f>
        <v>43029.99861</v>
      </c>
      <c r="B2415" s="1">
        <f>IFERROR(__xludf.DUMMYFUNCTION("""COMPUTED_VALUE"""),3680.928112)</f>
        <v>3680.928112</v>
      </c>
    </row>
    <row r="2416">
      <c r="A2416" s="3">
        <f>IFERROR(__xludf.DUMMYFUNCTION("""COMPUTED_VALUE"""),43030.99861111111)</f>
        <v>43030.99861</v>
      </c>
      <c r="B2416" s="1">
        <f>IFERROR(__xludf.DUMMYFUNCTION("""COMPUTED_VALUE"""),3679.46068)</f>
        <v>3679.46068</v>
      </c>
    </row>
    <row r="2417">
      <c r="A2417" s="3">
        <f>IFERROR(__xludf.DUMMYFUNCTION("""COMPUTED_VALUE"""),43031.99861111111)</f>
        <v>43031.99861</v>
      </c>
      <c r="B2417" s="1">
        <f>IFERROR(__xludf.DUMMYFUNCTION("""COMPUTED_VALUE"""),3683.9563)</f>
        <v>3683.9563</v>
      </c>
    </row>
    <row r="2418">
      <c r="A2418" s="3">
        <f>IFERROR(__xludf.DUMMYFUNCTION("""COMPUTED_VALUE"""),43032.99861111111)</f>
        <v>43032.99861</v>
      </c>
      <c r="B2418" s="1">
        <f>IFERROR(__xludf.DUMMYFUNCTION("""COMPUTED_VALUE"""),3681.2345)</f>
        <v>3681.2345</v>
      </c>
    </row>
    <row r="2419">
      <c r="A2419" s="3">
        <f>IFERROR(__xludf.DUMMYFUNCTION("""COMPUTED_VALUE"""),43033.99861111111)</f>
        <v>43033.99861</v>
      </c>
      <c r="B2419" s="1">
        <f>IFERROR(__xludf.DUMMYFUNCTION("""COMPUTED_VALUE"""),3694.02696)</f>
        <v>3694.02696</v>
      </c>
    </row>
    <row r="2420">
      <c r="A2420" s="3">
        <f>IFERROR(__xludf.DUMMYFUNCTION("""COMPUTED_VALUE"""),43034.99861111111)</f>
        <v>43034.99861</v>
      </c>
      <c r="B2420" s="1">
        <f>IFERROR(__xludf.DUMMYFUNCTION("""COMPUTED_VALUE"""),3713.35174)</f>
        <v>3713.35174</v>
      </c>
    </row>
    <row r="2421">
      <c r="A2421" s="3">
        <f>IFERROR(__xludf.DUMMYFUNCTION("""COMPUTED_VALUE"""),43035.99861111111)</f>
        <v>43035.99861</v>
      </c>
      <c r="B2421" s="1">
        <f>IFERROR(__xludf.DUMMYFUNCTION("""COMPUTED_VALUE"""),3699.4702)</f>
        <v>3699.4702</v>
      </c>
    </row>
    <row r="2422">
      <c r="A2422" s="3">
        <f>IFERROR(__xludf.DUMMYFUNCTION("""COMPUTED_VALUE"""),43037.99861111111)</f>
        <v>43037.99861</v>
      </c>
      <c r="B2422" s="1">
        <f>IFERROR(__xludf.DUMMYFUNCTION("""COMPUTED_VALUE"""),3699.06124)</f>
        <v>3699.06124</v>
      </c>
    </row>
    <row r="2423">
      <c r="A2423" s="3">
        <f>IFERROR(__xludf.DUMMYFUNCTION("""COMPUTED_VALUE"""),43038.99861111111)</f>
        <v>43038.99861</v>
      </c>
      <c r="B2423" s="1">
        <f>IFERROR(__xludf.DUMMYFUNCTION("""COMPUTED_VALUE"""),3694.57132)</f>
        <v>3694.57132</v>
      </c>
    </row>
    <row r="2424">
      <c r="A2424" s="3">
        <f>IFERROR(__xludf.DUMMYFUNCTION("""COMPUTED_VALUE"""),43039.99861111111)</f>
        <v>43039.99861</v>
      </c>
      <c r="B2424" s="1">
        <f>IFERROR(__xludf.DUMMYFUNCTION("""COMPUTED_VALUE"""),3689.3988)</f>
        <v>3689.3988</v>
      </c>
    </row>
    <row r="2425">
      <c r="A2425" s="3">
        <f>IFERROR(__xludf.DUMMYFUNCTION("""COMPUTED_VALUE"""),43040.99861111111)</f>
        <v>43040.99861</v>
      </c>
      <c r="B2425" s="1">
        <f>IFERROR(__xludf.DUMMYFUNCTION("""COMPUTED_VALUE"""),3688.99107)</f>
        <v>3688.99107</v>
      </c>
    </row>
    <row r="2426">
      <c r="A2426" s="3">
        <f>IFERROR(__xludf.DUMMYFUNCTION("""COMPUTED_VALUE"""),43041.99861111111)</f>
        <v>43041.99861</v>
      </c>
      <c r="B2426" s="1">
        <f>IFERROR(__xludf.DUMMYFUNCTION("""COMPUTED_VALUE"""),3686.26917)</f>
        <v>3686.26917</v>
      </c>
    </row>
    <row r="2427">
      <c r="A2427" s="3">
        <f>IFERROR(__xludf.DUMMYFUNCTION("""COMPUTED_VALUE"""),43042.99861111111)</f>
        <v>43042.99861</v>
      </c>
      <c r="B2427" s="1">
        <f>IFERROR(__xludf.DUMMYFUNCTION("""COMPUTED_VALUE"""),3669.256)</f>
        <v>3669.256</v>
      </c>
    </row>
    <row r="2428">
      <c r="A2428" s="3">
        <f>IFERROR(__xludf.DUMMYFUNCTION("""COMPUTED_VALUE"""),43043.99861111111)</f>
        <v>43043.99861</v>
      </c>
      <c r="B2428" s="1">
        <f>IFERROR(__xludf.DUMMYFUNCTION("""COMPUTED_VALUE"""),3671.22381)</f>
        <v>3671.22381</v>
      </c>
    </row>
    <row r="2429">
      <c r="A2429" s="3">
        <f>IFERROR(__xludf.DUMMYFUNCTION("""COMPUTED_VALUE"""),43044.99861111111)</f>
        <v>43044.99861</v>
      </c>
      <c r="B2429" s="1">
        <f>IFERROR(__xludf.DUMMYFUNCTION("""COMPUTED_VALUE"""),3669.6604)</f>
        <v>3669.6604</v>
      </c>
    </row>
    <row r="2430">
      <c r="A2430" s="3">
        <f>IFERROR(__xludf.DUMMYFUNCTION("""COMPUTED_VALUE"""),43045.99861111111)</f>
        <v>43045.99861</v>
      </c>
      <c r="B2430" s="1">
        <f>IFERROR(__xludf.DUMMYFUNCTION("""COMPUTED_VALUE"""),3669.80294)</f>
        <v>3669.80294</v>
      </c>
    </row>
    <row r="2431">
      <c r="A2431" s="3">
        <f>IFERROR(__xludf.DUMMYFUNCTION("""COMPUTED_VALUE"""),43046.99861111111)</f>
        <v>43046.99861</v>
      </c>
      <c r="B2431" s="1">
        <f>IFERROR(__xludf.DUMMYFUNCTION("""COMPUTED_VALUE"""),3678.24052)</f>
        <v>3678.24052</v>
      </c>
    </row>
    <row r="2432">
      <c r="A2432" s="3">
        <f>IFERROR(__xludf.DUMMYFUNCTION("""COMPUTED_VALUE"""),43047.99861111111)</f>
        <v>43047.99861</v>
      </c>
      <c r="B2432" s="1">
        <f>IFERROR(__xludf.DUMMYFUNCTION("""COMPUTED_VALUE"""),3675.24654)</f>
        <v>3675.24654</v>
      </c>
    </row>
    <row r="2433">
      <c r="A2433" s="3">
        <f>IFERROR(__xludf.DUMMYFUNCTION("""COMPUTED_VALUE"""),43048.99861111111)</f>
        <v>43048.99861</v>
      </c>
      <c r="B2433" s="1">
        <f>IFERROR(__xludf.DUMMYFUNCTION("""COMPUTED_VALUE"""),3681.77886)</f>
        <v>3681.77886</v>
      </c>
    </row>
    <row r="2434">
      <c r="A2434" s="3">
        <f>IFERROR(__xludf.DUMMYFUNCTION("""COMPUTED_VALUE"""),43049.99861111111)</f>
        <v>43049.99861</v>
      </c>
      <c r="B2434" s="1">
        <f>IFERROR(__xludf.DUMMYFUNCTION("""COMPUTED_VALUE"""),3685.86156)</f>
        <v>3685.86156</v>
      </c>
    </row>
    <row r="2435">
      <c r="A2435" s="3">
        <f>IFERROR(__xludf.DUMMYFUNCTION("""COMPUTED_VALUE"""),43050.99861111111)</f>
        <v>43050.99861</v>
      </c>
      <c r="B2435" s="1">
        <f>IFERROR(__xludf.DUMMYFUNCTION("""COMPUTED_VALUE"""),3688.074383)</f>
        <v>3688.074383</v>
      </c>
    </row>
    <row r="2436">
      <c r="A2436" s="3">
        <f>IFERROR(__xludf.DUMMYFUNCTION("""COMPUTED_VALUE"""),43051.99861111111)</f>
        <v>43051.99861</v>
      </c>
      <c r="B2436" s="1">
        <f>IFERROR(__xludf.DUMMYFUNCTION("""COMPUTED_VALUE"""),3677.83128)</f>
        <v>3677.83128</v>
      </c>
    </row>
    <row r="2437">
      <c r="A2437" s="3">
        <f>IFERROR(__xludf.DUMMYFUNCTION("""COMPUTED_VALUE"""),43052.99861111111)</f>
        <v>43052.99861</v>
      </c>
      <c r="B2437" s="1">
        <f>IFERROR(__xludf.DUMMYFUNCTION("""COMPUTED_VALUE"""),3688.85554)</f>
        <v>3688.85554</v>
      </c>
    </row>
    <row r="2438">
      <c r="A2438" s="3">
        <f>IFERROR(__xludf.DUMMYFUNCTION("""COMPUTED_VALUE"""),43053.99861111111)</f>
        <v>43053.99861</v>
      </c>
      <c r="B2438" s="1">
        <f>IFERROR(__xludf.DUMMYFUNCTION("""COMPUTED_VALUE"""),3687.08445)</f>
        <v>3687.08445</v>
      </c>
    </row>
    <row r="2439">
      <c r="A2439" s="3">
        <f>IFERROR(__xludf.DUMMYFUNCTION("""COMPUTED_VALUE"""),43054.99861111111)</f>
        <v>43054.99861</v>
      </c>
      <c r="B2439" s="1">
        <f>IFERROR(__xludf.DUMMYFUNCTION("""COMPUTED_VALUE"""),3683.9563)</f>
        <v>3683.9563</v>
      </c>
    </row>
    <row r="2440">
      <c r="A2440" s="3">
        <f>IFERROR(__xludf.DUMMYFUNCTION("""COMPUTED_VALUE"""),43055.99861111111)</f>
        <v>43055.99861</v>
      </c>
      <c r="B2440" s="1">
        <f>IFERROR(__xludf.DUMMYFUNCTION("""COMPUTED_VALUE"""),3678.24052)</f>
        <v>3678.24052</v>
      </c>
    </row>
    <row r="2441">
      <c r="A2441" s="3">
        <f>IFERROR(__xludf.DUMMYFUNCTION("""COMPUTED_VALUE"""),43056.99861111111)</f>
        <v>43056.99861</v>
      </c>
      <c r="B2441" s="1">
        <f>IFERROR(__xludf.DUMMYFUNCTION("""COMPUTED_VALUE"""),3676.60744)</f>
        <v>3676.60744</v>
      </c>
    </row>
    <row r="2442">
      <c r="A2442" s="3">
        <f>IFERROR(__xludf.DUMMYFUNCTION("""COMPUTED_VALUE"""),43057.99861111111)</f>
        <v>43057.99861</v>
      </c>
      <c r="B2442" s="1">
        <f>IFERROR(__xludf.DUMMYFUNCTION("""COMPUTED_VALUE"""),3678.107151)</f>
        <v>3678.107151</v>
      </c>
    </row>
    <row r="2443">
      <c r="A2443" s="3">
        <f>IFERROR(__xludf.DUMMYFUNCTION("""COMPUTED_VALUE"""),43058.99861111111)</f>
        <v>43058.99861</v>
      </c>
      <c r="B2443" s="1">
        <f>IFERROR(__xludf.DUMMYFUNCTION("""COMPUTED_VALUE"""),3677.28284)</f>
        <v>3677.28284</v>
      </c>
    </row>
    <row r="2444">
      <c r="A2444" s="3">
        <f>IFERROR(__xludf.DUMMYFUNCTION("""COMPUTED_VALUE"""),43059.99861111111)</f>
        <v>43059.99861</v>
      </c>
      <c r="B2444" s="1">
        <f>IFERROR(__xludf.DUMMYFUNCTION("""COMPUTED_VALUE"""),3681.36975)</f>
        <v>3681.36975</v>
      </c>
    </row>
    <row r="2445">
      <c r="A2445" s="3">
        <f>IFERROR(__xludf.DUMMYFUNCTION("""COMPUTED_VALUE"""),43060.99861111111)</f>
        <v>43060.99861</v>
      </c>
      <c r="B2445" s="1">
        <f>IFERROR(__xludf.DUMMYFUNCTION("""COMPUTED_VALUE"""),3679.8718)</f>
        <v>3679.8718</v>
      </c>
    </row>
    <row r="2446">
      <c r="A2446" s="3">
        <f>IFERROR(__xludf.DUMMYFUNCTION("""COMPUTED_VALUE"""),43061.99861111111)</f>
        <v>43061.99861</v>
      </c>
      <c r="B2446" s="1">
        <f>IFERROR(__xludf.DUMMYFUNCTION("""COMPUTED_VALUE"""),3672.11529)</f>
        <v>3672.11529</v>
      </c>
    </row>
    <row r="2447">
      <c r="A2447" s="3">
        <f>IFERROR(__xludf.DUMMYFUNCTION("""COMPUTED_VALUE"""),43062.99861111111)</f>
        <v>43062.99861</v>
      </c>
      <c r="B2447" s="1">
        <f>IFERROR(__xludf.DUMMYFUNCTION("""COMPUTED_VALUE"""),3671.43602)</f>
        <v>3671.43602</v>
      </c>
    </row>
    <row r="2448">
      <c r="A2448" s="3">
        <f>IFERROR(__xludf.DUMMYFUNCTION("""COMPUTED_VALUE"""),43063.99861111111)</f>
        <v>43063.99861</v>
      </c>
      <c r="B2448" s="1">
        <f>IFERROR(__xludf.DUMMYFUNCTION("""COMPUTED_VALUE"""),3674.29058)</f>
        <v>3674.29058</v>
      </c>
    </row>
    <row r="2449">
      <c r="A2449" s="3">
        <f>IFERROR(__xludf.DUMMYFUNCTION("""COMPUTED_VALUE"""),43064.99861111111)</f>
        <v>43064.99861</v>
      </c>
      <c r="B2449" s="1">
        <f>IFERROR(__xludf.DUMMYFUNCTION("""COMPUTED_VALUE"""),3676.326348)</f>
        <v>3676.326348</v>
      </c>
    </row>
    <row r="2450">
      <c r="A2450" s="3">
        <f>IFERROR(__xludf.DUMMYFUNCTION("""COMPUTED_VALUE"""),43065.99861111111)</f>
        <v>43065.99861</v>
      </c>
      <c r="B2450" s="1">
        <f>IFERROR(__xludf.DUMMYFUNCTION("""COMPUTED_VALUE"""),3673.75066)</f>
        <v>3673.75066</v>
      </c>
    </row>
    <row r="2451">
      <c r="A2451" s="3">
        <f>IFERROR(__xludf.DUMMYFUNCTION("""COMPUTED_VALUE"""),43066.99861111111)</f>
        <v>43066.99861</v>
      </c>
      <c r="B2451" s="1">
        <f>IFERROR(__xludf.DUMMYFUNCTION("""COMPUTED_VALUE"""),3677.55909)</f>
        <v>3677.55909</v>
      </c>
    </row>
    <row r="2452">
      <c r="A2452" s="3">
        <f>IFERROR(__xludf.DUMMYFUNCTION("""COMPUTED_VALUE"""),43067.99861111111)</f>
        <v>43067.99861</v>
      </c>
      <c r="B2452" s="1">
        <f>IFERROR(__xludf.DUMMYFUNCTION("""COMPUTED_VALUE"""),3674.7)</f>
        <v>3674.7</v>
      </c>
    </row>
    <row r="2453">
      <c r="A2453" s="3">
        <f>IFERROR(__xludf.DUMMYFUNCTION("""COMPUTED_VALUE"""),43068.99861111111)</f>
        <v>43068.99861</v>
      </c>
      <c r="B2453" s="1">
        <f>IFERROR(__xludf.DUMMYFUNCTION("""COMPUTED_VALUE"""),3676.464)</f>
        <v>3676.464</v>
      </c>
    </row>
    <row r="2454">
      <c r="A2454" s="3">
        <f>IFERROR(__xludf.DUMMYFUNCTION("""COMPUTED_VALUE"""),43069.99861111111)</f>
        <v>43069.99861</v>
      </c>
      <c r="B2454" s="1">
        <f>IFERROR(__xludf.DUMMYFUNCTION("""COMPUTED_VALUE"""),3685.8602)</f>
        <v>3685.8602</v>
      </c>
    </row>
    <row r="2455">
      <c r="A2455" s="3">
        <f>IFERROR(__xludf.DUMMYFUNCTION("""COMPUTED_VALUE"""),43070.99861111111)</f>
        <v>43070.99861</v>
      </c>
      <c r="B2455" s="1">
        <f>IFERROR(__xludf.DUMMYFUNCTION("""COMPUTED_VALUE"""),3681.50668)</f>
        <v>3681.50668</v>
      </c>
    </row>
    <row r="2456">
      <c r="A2456" s="3">
        <f>IFERROR(__xludf.DUMMYFUNCTION("""COMPUTED_VALUE"""),43071.99861111111)</f>
        <v>43071.99861</v>
      </c>
      <c r="B2456" s="1">
        <f>IFERROR(__xludf.DUMMYFUNCTION("""COMPUTED_VALUE"""),3683.082602)</f>
        <v>3683.082602</v>
      </c>
    </row>
    <row r="2457">
      <c r="A2457" s="3">
        <f>IFERROR(__xludf.DUMMYFUNCTION("""COMPUTED_VALUE"""),43072.99861111111)</f>
        <v>43072.99861</v>
      </c>
      <c r="B2457" s="1">
        <f>IFERROR(__xludf.DUMMYFUNCTION("""COMPUTED_VALUE"""),3691.4388)</f>
        <v>3691.4388</v>
      </c>
    </row>
    <row r="2458">
      <c r="A2458" s="3">
        <f>IFERROR(__xludf.DUMMYFUNCTION("""COMPUTED_VALUE"""),43073.99861111111)</f>
        <v>43073.99861</v>
      </c>
      <c r="B2458" s="1">
        <f>IFERROR(__xludf.DUMMYFUNCTION("""COMPUTED_VALUE"""),3672.79692)</f>
        <v>3672.79692</v>
      </c>
    </row>
    <row r="2459">
      <c r="A2459" s="3">
        <f>IFERROR(__xludf.DUMMYFUNCTION("""COMPUTED_VALUE"""),43074.99861111111)</f>
        <v>43074.99861</v>
      </c>
      <c r="B2459" s="1">
        <f>IFERROR(__xludf.DUMMYFUNCTION("""COMPUTED_VALUE"""),3678.10347)</f>
        <v>3678.10347</v>
      </c>
    </row>
    <row r="2460">
      <c r="A2460" s="3">
        <f>IFERROR(__xludf.DUMMYFUNCTION("""COMPUTED_VALUE"""),43075.99861111111)</f>
        <v>43075.99861</v>
      </c>
      <c r="B2460" s="1">
        <f>IFERROR(__xludf.DUMMYFUNCTION("""COMPUTED_VALUE"""),3683.81946)</f>
        <v>3683.81946</v>
      </c>
    </row>
    <row r="2461">
      <c r="A2461" s="3">
        <f>IFERROR(__xludf.DUMMYFUNCTION("""COMPUTED_VALUE"""),43076.99861111111)</f>
        <v>43076.99861</v>
      </c>
      <c r="B2461" s="1">
        <f>IFERROR(__xludf.DUMMYFUNCTION("""COMPUTED_VALUE"""),3688.99107)</f>
        <v>3688.99107</v>
      </c>
    </row>
    <row r="2462">
      <c r="A2462" s="3">
        <f>IFERROR(__xludf.DUMMYFUNCTION("""COMPUTED_VALUE"""),43077.99861111111)</f>
        <v>43077.99861</v>
      </c>
      <c r="B2462" s="1">
        <f>IFERROR(__xludf.DUMMYFUNCTION("""COMPUTED_VALUE"""),3684.77284)</f>
        <v>3684.77284</v>
      </c>
    </row>
    <row r="2463">
      <c r="A2463" s="3">
        <f>IFERROR(__xludf.DUMMYFUNCTION("""COMPUTED_VALUE"""),43078.99861111111)</f>
        <v>43078.99861</v>
      </c>
      <c r="B2463" s="1">
        <f>IFERROR(__xludf.DUMMYFUNCTION("""COMPUTED_VALUE"""),3684.77284)</f>
        <v>3684.77284</v>
      </c>
    </row>
    <row r="2464">
      <c r="A2464" s="3">
        <f>IFERROR(__xludf.DUMMYFUNCTION("""COMPUTED_VALUE"""),43079.99861111111)</f>
        <v>43079.99861</v>
      </c>
      <c r="B2464" s="1">
        <f>IFERROR(__xludf.DUMMYFUNCTION("""COMPUTED_VALUE"""),3676.06512)</f>
        <v>3676.06512</v>
      </c>
    </row>
    <row r="2465">
      <c r="A2465" s="3">
        <f>IFERROR(__xludf.DUMMYFUNCTION("""COMPUTED_VALUE"""),43080.99861111111)</f>
        <v>43080.99861</v>
      </c>
      <c r="B2465" s="1">
        <f>IFERROR(__xludf.DUMMYFUNCTION("""COMPUTED_VALUE"""),3688.58336)</f>
        <v>3688.58336</v>
      </c>
    </row>
    <row r="2466">
      <c r="A2466" s="3">
        <f>IFERROR(__xludf.DUMMYFUNCTION("""COMPUTED_VALUE"""),43081.99861111111)</f>
        <v>43081.99861</v>
      </c>
      <c r="B2466" s="1">
        <f>IFERROR(__xludf.DUMMYFUNCTION("""COMPUTED_VALUE"""),3688.71771)</f>
        <v>3688.71771</v>
      </c>
    </row>
    <row r="2467">
      <c r="A2467" s="3">
        <f>IFERROR(__xludf.DUMMYFUNCTION("""COMPUTED_VALUE"""),43082.99861111111)</f>
        <v>43082.99861</v>
      </c>
      <c r="B2467" s="1">
        <f>IFERROR(__xludf.DUMMYFUNCTION("""COMPUTED_VALUE"""),3685.3172)</f>
        <v>3685.3172</v>
      </c>
    </row>
    <row r="2468">
      <c r="A2468" s="3">
        <f>IFERROR(__xludf.DUMMYFUNCTION("""COMPUTED_VALUE"""),43083.99861111111)</f>
        <v>43083.99861</v>
      </c>
      <c r="B2468" s="1">
        <f>IFERROR(__xludf.DUMMYFUNCTION("""COMPUTED_VALUE"""),3689.12772)</f>
        <v>3689.12772</v>
      </c>
    </row>
    <row r="2469">
      <c r="A2469" s="3">
        <f>IFERROR(__xludf.DUMMYFUNCTION("""COMPUTED_VALUE"""),43084.99861111111)</f>
        <v>43084.99861</v>
      </c>
      <c r="B2469" s="1">
        <f>IFERROR(__xludf.DUMMYFUNCTION("""COMPUTED_VALUE"""),3693.07392)</f>
        <v>3693.07392</v>
      </c>
    </row>
    <row r="2470">
      <c r="A2470" s="3">
        <f>IFERROR(__xludf.DUMMYFUNCTION("""COMPUTED_VALUE"""),43086.99861111111)</f>
        <v>43086.99861</v>
      </c>
      <c r="B2470" s="1">
        <f>IFERROR(__xludf.DUMMYFUNCTION("""COMPUTED_VALUE"""),3693.75232)</f>
        <v>3693.75232</v>
      </c>
    </row>
    <row r="2471">
      <c r="A2471" s="3">
        <f>IFERROR(__xludf.DUMMYFUNCTION("""COMPUTED_VALUE"""),43087.99861111111)</f>
        <v>43087.99861</v>
      </c>
      <c r="B2471" s="1">
        <f>IFERROR(__xludf.DUMMYFUNCTION("""COMPUTED_VALUE"""),3696.3402)</f>
        <v>3696.3402</v>
      </c>
    </row>
    <row r="2472">
      <c r="A2472" s="3">
        <f>IFERROR(__xludf.DUMMYFUNCTION("""COMPUTED_VALUE"""),43088.99861111111)</f>
        <v>43088.99861</v>
      </c>
      <c r="B2472" s="1">
        <f>IFERROR(__xludf.DUMMYFUNCTION("""COMPUTED_VALUE"""),3694.97925)</f>
        <v>3694.97925</v>
      </c>
    </row>
    <row r="2473">
      <c r="A2473" s="3">
        <f>IFERROR(__xludf.DUMMYFUNCTION("""COMPUTED_VALUE"""),43089.99861111111)</f>
        <v>43089.99861</v>
      </c>
      <c r="B2473" s="1">
        <f>IFERROR(__xludf.DUMMYFUNCTION("""COMPUTED_VALUE"""),3694.70633)</f>
        <v>3694.70633</v>
      </c>
    </row>
    <row r="2474">
      <c r="A2474" s="3">
        <f>IFERROR(__xludf.DUMMYFUNCTION("""COMPUTED_VALUE"""),43090.99861111111)</f>
        <v>43090.99861</v>
      </c>
      <c r="B2474" s="1">
        <f>IFERROR(__xludf.DUMMYFUNCTION("""COMPUTED_VALUE"""),3691.98326)</f>
        <v>3691.98326</v>
      </c>
    </row>
    <row r="2475">
      <c r="A2475" s="3">
        <f>IFERROR(__xludf.DUMMYFUNCTION("""COMPUTED_VALUE"""),43091.99861111111)</f>
        <v>43091.99861</v>
      </c>
      <c r="B2475" s="1">
        <f>IFERROR(__xludf.DUMMYFUNCTION("""COMPUTED_VALUE"""),3687.62887)</f>
        <v>3687.62887</v>
      </c>
    </row>
    <row r="2476">
      <c r="A2476" s="3">
        <f>IFERROR(__xludf.DUMMYFUNCTION("""COMPUTED_VALUE"""),43092.99861111111)</f>
        <v>43092.99861</v>
      </c>
      <c r="B2476" s="1">
        <f>IFERROR(__xludf.DUMMYFUNCTION("""COMPUTED_VALUE"""),3689.672028)</f>
        <v>3689.672028</v>
      </c>
    </row>
    <row r="2477">
      <c r="A2477" s="3">
        <f>IFERROR(__xludf.DUMMYFUNCTION("""COMPUTED_VALUE"""),43093.99861111111)</f>
        <v>43093.99861</v>
      </c>
      <c r="B2477" s="1">
        <f>IFERROR(__xludf.DUMMYFUNCTION("""COMPUTED_VALUE"""),3688.98873)</f>
        <v>3688.98873</v>
      </c>
    </row>
    <row r="2478">
      <c r="A2478" s="3">
        <f>IFERROR(__xludf.DUMMYFUNCTION("""COMPUTED_VALUE"""),43094.99861111111)</f>
        <v>43094.99861</v>
      </c>
      <c r="B2478" s="1">
        <f>IFERROR(__xludf.DUMMYFUNCTION("""COMPUTED_VALUE"""),3683.54572)</f>
        <v>3683.54572</v>
      </c>
    </row>
    <row r="2479">
      <c r="A2479" s="3">
        <f>IFERROR(__xludf.DUMMYFUNCTION("""COMPUTED_VALUE"""),43095.99861111111)</f>
        <v>43095.99861</v>
      </c>
      <c r="B2479" s="1">
        <f>IFERROR(__xludf.DUMMYFUNCTION("""COMPUTED_VALUE"""),3689.12544)</f>
        <v>3689.12544</v>
      </c>
    </row>
    <row r="2480">
      <c r="A2480" s="3">
        <f>IFERROR(__xludf.DUMMYFUNCTION("""COMPUTED_VALUE"""),43096.99861111111)</f>
        <v>43096.99861</v>
      </c>
      <c r="B2480" s="1">
        <f>IFERROR(__xludf.DUMMYFUNCTION("""COMPUTED_VALUE"""),3690.21644)</f>
        <v>3690.21644</v>
      </c>
    </row>
    <row r="2481">
      <c r="A2481" s="3">
        <f>IFERROR(__xludf.DUMMYFUNCTION("""COMPUTED_VALUE"""),43097.99861111111)</f>
        <v>43097.99861</v>
      </c>
      <c r="B2481" s="1">
        <f>IFERROR(__xludf.DUMMYFUNCTION("""COMPUTED_VALUE"""),3690.21644)</f>
        <v>3690.21644</v>
      </c>
    </row>
    <row r="2482">
      <c r="A2482" s="3">
        <f>IFERROR(__xludf.DUMMYFUNCTION("""COMPUTED_VALUE"""),43098.99861111111)</f>
        <v>43098.99861</v>
      </c>
      <c r="B2482" s="1">
        <f>IFERROR(__xludf.DUMMYFUNCTION("""COMPUTED_VALUE"""),3674.7)</f>
        <v>3674.7</v>
      </c>
    </row>
    <row r="2483">
      <c r="A2483" s="3">
        <f>IFERROR(__xludf.DUMMYFUNCTION("""COMPUTED_VALUE"""),43099.99861111111)</f>
        <v>43099.99861</v>
      </c>
      <c r="B2483" s="1">
        <f>IFERROR(__xludf.DUMMYFUNCTION("""COMPUTED_VALUE"""),3668.4394)</f>
        <v>3668.4394</v>
      </c>
    </row>
    <row r="2484">
      <c r="A2484" s="3">
        <f>IFERROR(__xludf.DUMMYFUNCTION("""COMPUTED_VALUE"""),43100.99861111111)</f>
        <v>43100.99861</v>
      </c>
      <c r="B2484" s="1">
        <f>IFERROR(__xludf.DUMMYFUNCTION("""COMPUTED_VALUE"""),3686.53866)</f>
        <v>3686.53866</v>
      </c>
    </row>
    <row r="2485">
      <c r="A2485" s="3">
        <f>IFERROR(__xludf.DUMMYFUNCTION("""COMPUTED_VALUE"""),43101.99861111111)</f>
        <v>43101.99861</v>
      </c>
      <c r="B2485" s="1">
        <f>IFERROR(__xludf.DUMMYFUNCTION("""COMPUTED_VALUE"""),3688.31)</f>
        <v>3688.31</v>
      </c>
    </row>
    <row r="2486">
      <c r="A2486" s="3">
        <f>IFERROR(__xludf.DUMMYFUNCTION("""COMPUTED_VALUE"""),43102.99861111111)</f>
        <v>43102.99861</v>
      </c>
      <c r="B2486" s="1">
        <f>IFERROR(__xludf.DUMMYFUNCTION("""COMPUTED_VALUE"""),3673.20632)</f>
        <v>3673.20632</v>
      </c>
    </row>
    <row r="2487">
      <c r="A2487" s="3">
        <f>IFERROR(__xludf.DUMMYFUNCTION("""COMPUTED_VALUE"""),43103.99861111111)</f>
        <v>43103.99861</v>
      </c>
      <c r="B2487" s="1">
        <f>IFERROR(__xludf.DUMMYFUNCTION("""COMPUTED_VALUE"""),3666.663)</f>
        <v>3666.663</v>
      </c>
    </row>
    <row r="2488">
      <c r="A2488" s="3">
        <f>IFERROR(__xludf.DUMMYFUNCTION("""COMPUTED_VALUE"""),43104.99861111111)</f>
        <v>43104.99861</v>
      </c>
      <c r="B2488" s="1">
        <f>IFERROR(__xludf.DUMMYFUNCTION("""COMPUTED_VALUE"""),3651.2947)</f>
        <v>3651.2947</v>
      </c>
    </row>
    <row r="2489">
      <c r="A2489" s="3">
        <f>IFERROR(__xludf.DUMMYFUNCTION("""COMPUTED_VALUE"""),43105.99861111111)</f>
        <v>43105.99861</v>
      </c>
      <c r="B2489" s="1">
        <f>IFERROR(__xludf.DUMMYFUNCTION("""COMPUTED_VALUE"""),3650.20598)</f>
        <v>3650.20598</v>
      </c>
    </row>
    <row r="2490">
      <c r="A2490" s="3">
        <f>IFERROR(__xludf.DUMMYFUNCTION("""COMPUTED_VALUE"""),43107.99861111111)</f>
        <v>43107.99861</v>
      </c>
      <c r="B2490" s="1">
        <f>IFERROR(__xludf.DUMMYFUNCTION("""COMPUTED_VALUE"""),3655.23221)</f>
        <v>3655.23221</v>
      </c>
    </row>
    <row r="2491">
      <c r="A2491" s="3">
        <f>IFERROR(__xludf.DUMMYFUNCTION("""COMPUTED_VALUE"""),43108.99861111111)</f>
        <v>43108.99861</v>
      </c>
      <c r="B2491" s="1">
        <f>IFERROR(__xludf.DUMMYFUNCTION("""COMPUTED_VALUE"""),3654.56086)</f>
        <v>3654.56086</v>
      </c>
    </row>
    <row r="2492">
      <c r="A2492" s="3">
        <f>IFERROR(__xludf.DUMMYFUNCTION("""COMPUTED_VALUE"""),43109.99861111111)</f>
        <v>43109.99861</v>
      </c>
      <c r="B2492" s="1">
        <f>IFERROR(__xludf.DUMMYFUNCTION("""COMPUTED_VALUE"""),3655.3774)</f>
        <v>3655.3774</v>
      </c>
    </row>
    <row r="2493">
      <c r="A2493" s="3">
        <f>IFERROR(__xludf.DUMMYFUNCTION("""COMPUTED_VALUE"""),43110.99861111111)</f>
        <v>43110.99861</v>
      </c>
      <c r="B2493" s="1">
        <f>IFERROR(__xludf.DUMMYFUNCTION("""COMPUTED_VALUE"""),3658.37138)</f>
        <v>3658.37138</v>
      </c>
    </row>
    <row r="2494">
      <c r="A2494" s="3">
        <f>IFERROR(__xludf.DUMMYFUNCTION("""COMPUTED_VALUE"""),43111.99861111111)</f>
        <v>43111.99861</v>
      </c>
      <c r="B2494" s="1">
        <f>IFERROR(__xludf.DUMMYFUNCTION("""COMPUTED_VALUE"""),3645.30674)</f>
        <v>3645.30674</v>
      </c>
    </row>
    <row r="2495">
      <c r="A2495" s="3">
        <f>IFERROR(__xludf.DUMMYFUNCTION("""COMPUTED_VALUE"""),43112.99861111111)</f>
        <v>43112.99861</v>
      </c>
      <c r="B2495" s="1">
        <f>IFERROR(__xludf.DUMMYFUNCTION("""COMPUTED_VALUE"""),3625.4376)</f>
        <v>3625.4376</v>
      </c>
    </row>
    <row r="2496">
      <c r="A2496" s="3">
        <f>IFERROR(__xludf.DUMMYFUNCTION("""COMPUTED_VALUE"""),43113.99861111111)</f>
        <v>43113.99861</v>
      </c>
      <c r="B2496" s="1">
        <f>IFERROR(__xludf.DUMMYFUNCTION("""COMPUTED_VALUE"""),3618.6331)</f>
        <v>3618.6331</v>
      </c>
    </row>
    <row r="2497">
      <c r="A2497" s="3">
        <f>IFERROR(__xludf.DUMMYFUNCTION("""COMPUTED_VALUE"""),43114.99861111111)</f>
        <v>43114.99861</v>
      </c>
      <c r="B2497" s="1">
        <f>IFERROR(__xludf.DUMMYFUNCTION("""COMPUTED_VALUE"""),3619.29785)</f>
        <v>3619.29785</v>
      </c>
    </row>
    <row r="2498">
      <c r="A2498" s="3">
        <f>IFERROR(__xludf.DUMMYFUNCTION("""COMPUTED_VALUE"""),43115.99861111111)</f>
        <v>43115.99861</v>
      </c>
      <c r="B2498" s="1">
        <f>IFERROR(__xludf.DUMMYFUNCTION("""COMPUTED_VALUE"""),3621.3549)</f>
        <v>3621.3549</v>
      </c>
    </row>
    <row r="2499">
      <c r="A2499" s="3">
        <f>IFERROR(__xludf.DUMMYFUNCTION("""COMPUTED_VALUE"""),43116.99861111111)</f>
        <v>43116.99861</v>
      </c>
      <c r="B2499" s="1">
        <f>IFERROR(__xludf.DUMMYFUNCTION("""COMPUTED_VALUE"""),3621.62708)</f>
        <v>3621.62708</v>
      </c>
    </row>
    <row r="2500">
      <c r="A2500" s="3">
        <f>IFERROR(__xludf.DUMMYFUNCTION("""COMPUTED_VALUE"""),43117.99861111111)</f>
        <v>43117.99861</v>
      </c>
      <c r="B2500" s="1">
        <f>IFERROR(__xludf.DUMMYFUNCTION("""COMPUTED_VALUE"""),3629.92584)</f>
        <v>3629.92584</v>
      </c>
    </row>
    <row r="2501">
      <c r="A2501" s="3">
        <f>IFERROR(__xludf.DUMMYFUNCTION("""COMPUTED_VALUE"""),43118.99861111111)</f>
        <v>43118.99861</v>
      </c>
      <c r="B2501" s="1">
        <f>IFERROR(__xludf.DUMMYFUNCTION("""COMPUTED_VALUE"""),3629.24812)</f>
        <v>3629.24812</v>
      </c>
    </row>
    <row r="2502">
      <c r="A2502" s="3">
        <f>IFERROR(__xludf.DUMMYFUNCTION("""COMPUTED_VALUE"""),43119.99861111111)</f>
        <v>43119.99861</v>
      </c>
      <c r="B2502" s="1">
        <f>IFERROR(__xludf.DUMMYFUNCTION("""COMPUTED_VALUE"""),3624.0767)</f>
        <v>3624.0767</v>
      </c>
    </row>
    <row r="2503">
      <c r="A2503" s="3">
        <f>IFERROR(__xludf.DUMMYFUNCTION("""COMPUTED_VALUE"""),43120.99861111111)</f>
        <v>43120.99861</v>
      </c>
      <c r="B2503" s="1">
        <f>IFERROR(__xludf.DUMMYFUNCTION("""COMPUTED_VALUE"""),3629.065759)</f>
        <v>3629.065759</v>
      </c>
    </row>
    <row r="2504">
      <c r="A2504" s="3">
        <f>IFERROR(__xludf.DUMMYFUNCTION("""COMPUTED_VALUE"""),43121.99861111111)</f>
        <v>43121.99861</v>
      </c>
      <c r="B2504" s="1">
        <f>IFERROR(__xludf.DUMMYFUNCTION("""COMPUTED_VALUE"""),3627.62465)</f>
        <v>3627.62465</v>
      </c>
    </row>
    <row r="2505">
      <c r="A2505" s="3">
        <f>IFERROR(__xludf.DUMMYFUNCTION("""COMPUTED_VALUE"""),43122.99861111111)</f>
        <v>43122.99861</v>
      </c>
      <c r="B2505" s="1">
        <f>IFERROR(__xludf.DUMMYFUNCTION("""COMPUTED_VALUE"""),3631.42556)</f>
        <v>3631.42556</v>
      </c>
    </row>
    <row r="2506">
      <c r="A2506" s="3">
        <f>IFERROR(__xludf.DUMMYFUNCTION("""COMPUTED_VALUE"""),43123.99861111111)</f>
        <v>43123.99861</v>
      </c>
      <c r="B2506" s="1">
        <f>IFERROR(__xludf.DUMMYFUNCTION("""COMPUTED_VALUE"""),3629.79248)</f>
        <v>3629.79248</v>
      </c>
    </row>
    <row r="2507">
      <c r="A2507" s="3">
        <f>IFERROR(__xludf.DUMMYFUNCTION("""COMPUTED_VALUE"""),43124.99861111111)</f>
        <v>43124.99861</v>
      </c>
      <c r="B2507" s="1">
        <f>IFERROR(__xludf.DUMMYFUNCTION("""COMPUTED_VALUE"""),3619.44964)</f>
        <v>3619.44964</v>
      </c>
    </row>
    <row r="2508">
      <c r="A2508" s="3">
        <f>IFERROR(__xludf.DUMMYFUNCTION("""COMPUTED_VALUE"""),43125.99861111111)</f>
        <v>43125.99861</v>
      </c>
      <c r="B2508" s="1">
        <f>IFERROR(__xludf.DUMMYFUNCTION("""COMPUTED_VALUE"""),3619.9878)</f>
        <v>3619.9878</v>
      </c>
    </row>
    <row r="2509">
      <c r="A2509" s="3">
        <f>IFERROR(__xludf.DUMMYFUNCTION("""COMPUTED_VALUE"""),43126.99861111111)</f>
        <v>43126.99861</v>
      </c>
      <c r="B2509" s="1">
        <f>IFERROR(__xludf.DUMMYFUNCTION("""COMPUTED_VALUE"""),3621.19725)</f>
        <v>3621.19725</v>
      </c>
    </row>
    <row r="2510">
      <c r="A2510" s="3">
        <f>IFERROR(__xludf.DUMMYFUNCTION("""COMPUTED_VALUE"""),43128.99861111111)</f>
        <v>43128.99861</v>
      </c>
      <c r="B2510" s="1">
        <f>IFERROR(__xludf.DUMMYFUNCTION("""COMPUTED_VALUE"""),3619.57008)</f>
        <v>3619.57008</v>
      </c>
    </row>
    <row r="2511">
      <c r="A2511" s="3">
        <f>IFERROR(__xludf.DUMMYFUNCTION("""COMPUTED_VALUE"""),43129.99861111111)</f>
        <v>43129.99861</v>
      </c>
      <c r="B2511" s="1">
        <f>IFERROR(__xludf.DUMMYFUNCTION("""COMPUTED_VALUE"""),3638.36373)</f>
        <v>3638.36373</v>
      </c>
    </row>
    <row r="2512">
      <c r="A2512" s="3">
        <f>IFERROR(__xludf.DUMMYFUNCTION("""COMPUTED_VALUE"""),43130.99861111111)</f>
        <v>43130.99861</v>
      </c>
      <c r="B2512" s="1">
        <f>IFERROR(__xludf.DUMMYFUNCTION("""COMPUTED_VALUE"""),3653.1962)</f>
        <v>3653.1962</v>
      </c>
    </row>
    <row r="2513">
      <c r="A2513" s="3">
        <f>IFERROR(__xludf.DUMMYFUNCTION("""COMPUTED_VALUE"""),43131.99861111111)</f>
        <v>43131.99861</v>
      </c>
      <c r="B2513" s="1">
        <f>IFERROR(__xludf.DUMMYFUNCTION("""COMPUTED_VALUE"""),3642.58494)</f>
        <v>3642.58494</v>
      </c>
    </row>
    <row r="2514">
      <c r="A2514" s="3">
        <f>IFERROR(__xludf.DUMMYFUNCTION("""COMPUTED_VALUE"""),43132.99861111111)</f>
        <v>43132.99861</v>
      </c>
      <c r="B2514" s="1">
        <f>IFERROR(__xludf.DUMMYFUNCTION("""COMPUTED_VALUE"""),3643.40148)</f>
        <v>3643.40148</v>
      </c>
    </row>
    <row r="2515">
      <c r="A2515" s="3">
        <f>IFERROR(__xludf.DUMMYFUNCTION("""COMPUTED_VALUE"""),43133.99861111111)</f>
        <v>43133.99861</v>
      </c>
      <c r="B2515" s="1">
        <f>IFERROR(__xludf.DUMMYFUNCTION("""COMPUTED_VALUE"""),3650.20598)</f>
        <v>3650.20598</v>
      </c>
    </row>
    <row r="2516">
      <c r="A2516" s="3">
        <f>IFERROR(__xludf.DUMMYFUNCTION("""COMPUTED_VALUE"""),43134.99861111111)</f>
        <v>43134.99861</v>
      </c>
      <c r="B2516" s="1">
        <f>IFERROR(__xludf.DUMMYFUNCTION("""COMPUTED_VALUE"""),3652.233052)</f>
        <v>3652.233052</v>
      </c>
    </row>
    <row r="2517">
      <c r="A2517" s="3">
        <f>IFERROR(__xludf.DUMMYFUNCTION("""COMPUTED_VALUE"""),43135.99861111111)</f>
        <v>43135.99861</v>
      </c>
      <c r="B2517" s="1">
        <f>IFERROR(__xludf.DUMMYFUNCTION("""COMPUTED_VALUE"""),3651.01064)</f>
        <v>3651.01064</v>
      </c>
    </row>
    <row r="2518">
      <c r="A2518" s="3">
        <f>IFERROR(__xludf.DUMMYFUNCTION("""COMPUTED_VALUE"""),43136.99861111111)</f>
        <v>43136.99861</v>
      </c>
      <c r="B2518" s="1">
        <f>IFERROR(__xludf.DUMMYFUNCTION("""COMPUTED_VALUE"""),3691.84952)</f>
        <v>3691.84952</v>
      </c>
    </row>
    <row r="2519">
      <c r="A2519" s="3">
        <f>IFERROR(__xludf.DUMMYFUNCTION("""COMPUTED_VALUE"""),43137.99861111111)</f>
        <v>43137.99861</v>
      </c>
      <c r="B2519" s="1">
        <f>IFERROR(__xludf.DUMMYFUNCTION("""COMPUTED_VALUE"""),3686.40592)</f>
        <v>3686.40592</v>
      </c>
    </row>
    <row r="2520">
      <c r="A2520" s="3">
        <f>IFERROR(__xludf.DUMMYFUNCTION("""COMPUTED_VALUE"""),43138.99861111111)</f>
        <v>43138.99861</v>
      </c>
      <c r="B2520" s="1">
        <f>IFERROR(__xludf.DUMMYFUNCTION("""COMPUTED_VALUE"""),3712.80738)</f>
        <v>3712.80738</v>
      </c>
    </row>
    <row r="2521">
      <c r="A2521" s="3">
        <f>IFERROR(__xludf.DUMMYFUNCTION("""COMPUTED_VALUE"""),43139.99861111111)</f>
        <v>43139.99861</v>
      </c>
      <c r="B2521" s="1">
        <f>IFERROR(__xludf.DUMMYFUNCTION("""COMPUTED_VALUE"""),3701.10364)</f>
        <v>3701.10364</v>
      </c>
    </row>
    <row r="2522">
      <c r="A2522" s="3">
        <f>IFERROR(__xludf.DUMMYFUNCTION("""COMPUTED_VALUE"""),43140.99861111111)</f>
        <v>43140.99861</v>
      </c>
      <c r="B2522" s="1">
        <f>IFERROR(__xludf.DUMMYFUNCTION("""COMPUTED_VALUE"""),3703.28108)</f>
        <v>3703.28108</v>
      </c>
    </row>
    <row r="2523">
      <c r="A2523" s="3">
        <f>IFERROR(__xludf.DUMMYFUNCTION("""COMPUTED_VALUE"""),43141.99861111111)</f>
        <v>43141.99861</v>
      </c>
      <c r="B2523" s="1">
        <f>IFERROR(__xludf.DUMMYFUNCTION("""COMPUTED_VALUE"""),3705.337626)</f>
        <v>3705.337626</v>
      </c>
    </row>
    <row r="2524">
      <c r="A2524" s="3">
        <f>IFERROR(__xludf.DUMMYFUNCTION("""COMPUTED_VALUE"""),43142.99861111111)</f>
        <v>43142.99861</v>
      </c>
      <c r="B2524" s="1">
        <f>IFERROR(__xludf.DUMMYFUNCTION("""COMPUTED_VALUE"""),3705.0503)</f>
        <v>3705.0503</v>
      </c>
    </row>
    <row r="2525">
      <c r="A2525" s="3">
        <f>IFERROR(__xludf.DUMMYFUNCTION("""COMPUTED_VALUE"""),43143.99861111111)</f>
        <v>43143.99861</v>
      </c>
      <c r="B2525" s="1">
        <f>IFERROR(__xludf.DUMMYFUNCTION("""COMPUTED_VALUE"""),3713.35174)</f>
        <v>3713.35174</v>
      </c>
    </row>
    <row r="2526">
      <c r="A2526" s="3">
        <f>IFERROR(__xludf.DUMMYFUNCTION("""COMPUTED_VALUE"""),43144.99861111111)</f>
        <v>43144.99861</v>
      </c>
      <c r="B2526" s="1">
        <f>IFERROR(__xludf.DUMMYFUNCTION("""COMPUTED_VALUE"""),3712.5352)</f>
        <v>3712.5352</v>
      </c>
    </row>
    <row r="2527">
      <c r="A2527" s="3">
        <f>IFERROR(__xludf.DUMMYFUNCTION("""COMPUTED_VALUE"""),43145.99861111111)</f>
        <v>43145.99861</v>
      </c>
      <c r="B2527" s="1">
        <f>IFERROR(__xludf.DUMMYFUNCTION("""COMPUTED_VALUE"""),3707.63596)</f>
        <v>3707.63596</v>
      </c>
    </row>
    <row r="2528">
      <c r="A2528" s="3">
        <f>IFERROR(__xludf.DUMMYFUNCTION("""COMPUTED_VALUE"""),43146.99861111111)</f>
        <v>43146.99861</v>
      </c>
      <c r="B2528" s="1">
        <f>IFERROR(__xludf.DUMMYFUNCTION("""COMPUTED_VALUE"""),3688.58336)</f>
        <v>3688.58336</v>
      </c>
    </row>
    <row r="2529">
      <c r="A2529" s="3">
        <f>IFERROR(__xludf.DUMMYFUNCTION("""COMPUTED_VALUE"""),43147.99861111111)</f>
        <v>43147.99861</v>
      </c>
      <c r="B2529" s="1">
        <f>IFERROR(__xludf.DUMMYFUNCTION("""COMPUTED_VALUE"""),3689.532)</f>
        <v>3689.532</v>
      </c>
    </row>
    <row r="2530">
      <c r="A2530" s="3">
        <f>IFERROR(__xludf.DUMMYFUNCTION("""COMPUTED_VALUE"""),43148.99861111111)</f>
        <v>43148.99861</v>
      </c>
      <c r="B2530" s="1">
        <f>IFERROR(__xludf.DUMMYFUNCTION("""COMPUTED_VALUE"""),3689.727419)</f>
        <v>3689.727419</v>
      </c>
    </row>
    <row r="2531">
      <c r="A2531" s="3">
        <f>IFERROR(__xludf.DUMMYFUNCTION("""COMPUTED_VALUE"""),43149.99861111111)</f>
        <v>43149.99861</v>
      </c>
      <c r="B2531" s="1">
        <f>IFERROR(__xludf.DUMMYFUNCTION("""COMPUTED_VALUE"""),3689.26096)</f>
        <v>3689.26096</v>
      </c>
    </row>
    <row r="2532">
      <c r="A2532" s="3">
        <f>IFERROR(__xludf.DUMMYFUNCTION("""COMPUTED_VALUE"""),43150.99861111111)</f>
        <v>43150.99861</v>
      </c>
      <c r="B2532" s="1">
        <f>IFERROR(__xludf.DUMMYFUNCTION("""COMPUTED_VALUE"""),3689.12772)</f>
        <v>3689.12772</v>
      </c>
    </row>
    <row r="2533">
      <c r="A2533" s="3">
        <f>IFERROR(__xludf.DUMMYFUNCTION("""COMPUTED_VALUE"""),43151.99861111111)</f>
        <v>43151.99861</v>
      </c>
      <c r="B2533" s="1">
        <f>IFERROR(__xludf.DUMMYFUNCTION("""COMPUTED_VALUE"""),3703.82544)</f>
        <v>3703.82544</v>
      </c>
    </row>
    <row r="2534">
      <c r="A2534" s="3">
        <f>IFERROR(__xludf.DUMMYFUNCTION("""COMPUTED_VALUE"""),43152.99861111111)</f>
        <v>43152.99861</v>
      </c>
      <c r="B2534" s="1">
        <f>IFERROR(__xludf.DUMMYFUNCTION("""COMPUTED_VALUE"""),3705.05028)</f>
        <v>3705.05028</v>
      </c>
    </row>
    <row r="2535">
      <c r="A2535" s="3">
        <f>IFERROR(__xludf.DUMMYFUNCTION("""COMPUTED_VALUE"""),43153.99861111111)</f>
        <v>43153.99861</v>
      </c>
      <c r="B2535" s="1">
        <f>IFERROR(__xludf.DUMMYFUNCTION("""COMPUTED_VALUE"""),3722.33368)</f>
        <v>3722.33368</v>
      </c>
    </row>
    <row r="2536">
      <c r="A2536" s="3">
        <f>IFERROR(__xludf.DUMMYFUNCTION("""COMPUTED_VALUE"""),43154.99861111111)</f>
        <v>43154.99861</v>
      </c>
      <c r="B2536" s="1">
        <f>IFERROR(__xludf.DUMMYFUNCTION("""COMPUTED_VALUE"""),3715.80136)</f>
        <v>3715.80136</v>
      </c>
    </row>
    <row r="2537">
      <c r="A2537" s="3">
        <f>IFERROR(__xludf.DUMMYFUNCTION("""COMPUTED_VALUE"""),43155.99861111111)</f>
        <v>43155.99861</v>
      </c>
      <c r="B2537" s="1">
        <f>IFERROR(__xludf.DUMMYFUNCTION("""COMPUTED_VALUE"""),3715.80136)</f>
        <v>3715.80136</v>
      </c>
    </row>
    <row r="2538">
      <c r="A2538" s="3">
        <f>IFERROR(__xludf.DUMMYFUNCTION("""COMPUTED_VALUE"""),43156.99861111111)</f>
        <v>43156.99861</v>
      </c>
      <c r="B2538" s="1">
        <f>IFERROR(__xludf.DUMMYFUNCTION("""COMPUTED_VALUE"""),3718.988476)</f>
        <v>3718.988476</v>
      </c>
    </row>
    <row r="2539">
      <c r="A2539" s="3">
        <f>IFERROR(__xludf.DUMMYFUNCTION("""COMPUTED_VALUE"""),43157.99861111111)</f>
        <v>43157.99861</v>
      </c>
      <c r="B2539" s="1">
        <f>IFERROR(__xludf.DUMMYFUNCTION("""COMPUTED_VALUE"""),3715.52918)</f>
        <v>3715.52918</v>
      </c>
    </row>
    <row r="2540">
      <c r="A2540" s="3">
        <f>IFERROR(__xludf.DUMMYFUNCTION("""COMPUTED_VALUE"""),43158.99861111111)</f>
        <v>43158.99861</v>
      </c>
      <c r="B2540" s="1">
        <f>IFERROR(__xludf.DUMMYFUNCTION("""COMPUTED_VALUE"""),3727.23292)</f>
        <v>3727.23292</v>
      </c>
    </row>
    <row r="2541">
      <c r="A2541" s="3">
        <f>IFERROR(__xludf.DUMMYFUNCTION("""COMPUTED_VALUE"""),43159.99861111111)</f>
        <v>43159.99861</v>
      </c>
      <c r="B2541" s="1">
        <f>IFERROR(__xludf.DUMMYFUNCTION("""COMPUTED_VALUE"""),3744.10808)</f>
        <v>3744.10808</v>
      </c>
    </row>
    <row r="2542">
      <c r="A2542" s="3">
        <f>IFERROR(__xludf.DUMMYFUNCTION("""COMPUTED_VALUE"""),43160.99861111111)</f>
        <v>43160.99861</v>
      </c>
      <c r="B2542" s="1">
        <f>IFERROR(__xludf.DUMMYFUNCTION("""COMPUTED_VALUE"""),3740.02538)</f>
        <v>3740.02538</v>
      </c>
    </row>
    <row r="2543">
      <c r="A2543" s="3">
        <f>IFERROR(__xludf.DUMMYFUNCTION("""COMPUTED_VALUE"""),43161.99861111111)</f>
        <v>43161.99861</v>
      </c>
      <c r="B2543" s="1">
        <f>IFERROR(__xludf.DUMMYFUNCTION("""COMPUTED_VALUE"""),3742.74718)</f>
        <v>3742.74718</v>
      </c>
    </row>
    <row r="2544">
      <c r="A2544" s="3">
        <f>IFERROR(__xludf.DUMMYFUNCTION("""COMPUTED_VALUE"""),43162.99861111111)</f>
        <v>43162.99861</v>
      </c>
      <c r="B2544" s="1">
        <f>IFERROR(__xludf.DUMMYFUNCTION("""COMPUTED_VALUE"""),3744.825643)</f>
        <v>3744.825643</v>
      </c>
    </row>
    <row r="2545">
      <c r="A2545" s="3">
        <f>IFERROR(__xludf.DUMMYFUNCTION("""COMPUTED_VALUE"""),43163.99861111111)</f>
        <v>43163.99861</v>
      </c>
      <c r="B2545" s="1">
        <f>IFERROR(__xludf.DUMMYFUNCTION("""COMPUTED_VALUE"""),3743.43473)</f>
        <v>3743.43473</v>
      </c>
    </row>
    <row r="2546">
      <c r="A2546" s="3">
        <f>IFERROR(__xludf.DUMMYFUNCTION("""COMPUTED_VALUE"""),43164.99861111111)</f>
        <v>43164.99861</v>
      </c>
      <c r="B2546" s="1">
        <f>IFERROR(__xludf.DUMMYFUNCTION("""COMPUTED_VALUE"""),3738.93666)</f>
        <v>3738.93666</v>
      </c>
    </row>
    <row r="2547">
      <c r="A2547" s="3">
        <f>IFERROR(__xludf.DUMMYFUNCTION("""COMPUTED_VALUE"""),43165.99861111111)</f>
        <v>43165.99861</v>
      </c>
      <c r="B2547" s="1">
        <f>IFERROR(__xludf.DUMMYFUNCTION("""COMPUTED_VALUE"""),3744.92462)</f>
        <v>3744.92462</v>
      </c>
    </row>
    <row r="2548">
      <c r="A2548" s="3">
        <f>IFERROR(__xludf.DUMMYFUNCTION("""COMPUTED_VALUE"""),43166.99861111111)</f>
        <v>43166.99861</v>
      </c>
      <c r="B2548" s="1">
        <f>IFERROR(__xludf.DUMMYFUNCTION("""COMPUTED_VALUE"""),3741.1141)</f>
        <v>3741.1141</v>
      </c>
    </row>
    <row r="2549">
      <c r="A2549" s="3">
        <f>IFERROR(__xludf.DUMMYFUNCTION("""COMPUTED_VALUE"""),43167.99861111111)</f>
        <v>43167.99861</v>
      </c>
      <c r="B2549" s="1">
        <f>IFERROR(__xludf.DUMMYFUNCTION("""COMPUTED_VALUE"""),3752.41134)</f>
        <v>3752.41134</v>
      </c>
    </row>
    <row r="2550">
      <c r="A2550" s="3">
        <f>IFERROR(__xludf.DUMMYFUNCTION("""COMPUTED_VALUE"""),43168.99861111111)</f>
        <v>43168.99861</v>
      </c>
      <c r="B2550" s="1">
        <f>IFERROR(__xludf.DUMMYFUNCTION("""COMPUTED_VALUE"""),3748.8825)</f>
        <v>3748.8825</v>
      </c>
    </row>
    <row r="2551">
      <c r="A2551" s="3">
        <f>IFERROR(__xludf.DUMMYFUNCTION("""COMPUTED_VALUE"""),43170.99861111111)</f>
        <v>43170.99861</v>
      </c>
      <c r="B2551" s="1">
        <f>IFERROR(__xludf.DUMMYFUNCTION("""COMPUTED_VALUE"""),3749.15156)</f>
        <v>3749.15156</v>
      </c>
    </row>
    <row r="2552">
      <c r="A2552" s="3">
        <f>IFERROR(__xludf.DUMMYFUNCTION("""COMPUTED_VALUE"""),43171.99861111111)</f>
        <v>43171.99861</v>
      </c>
      <c r="B2552" s="1">
        <f>IFERROR(__xludf.DUMMYFUNCTION("""COMPUTED_VALUE"""),3743.8359)</f>
        <v>3743.8359</v>
      </c>
    </row>
    <row r="2553">
      <c r="A2553" s="3">
        <f>IFERROR(__xludf.DUMMYFUNCTION("""COMPUTED_VALUE"""),43172.99861111111)</f>
        <v>43172.99861</v>
      </c>
      <c r="B2553" s="1">
        <f>IFERROR(__xludf.DUMMYFUNCTION("""COMPUTED_VALUE"""),3739.7532)</f>
        <v>3739.7532</v>
      </c>
    </row>
    <row r="2554">
      <c r="A2554" s="3">
        <f>IFERROR(__xludf.DUMMYFUNCTION("""COMPUTED_VALUE"""),43173.99861111111)</f>
        <v>43173.99861</v>
      </c>
      <c r="B2554" s="1">
        <f>IFERROR(__xludf.DUMMYFUNCTION("""COMPUTED_VALUE"""),3735.6705)</f>
        <v>3735.6705</v>
      </c>
    </row>
    <row r="2555">
      <c r="A2555" s="3">
        <f>IFERROR(__xludf.DUMMYFUNCTION("""COMPUTED_VALUE"""),43174.99861111111)</f>
        <v>43174.99861</v>
      </c>
      <c r="B2555" s="1">
        <f>IFERROR(__xludf.DUMMYFUNCTION("""COMPUTED_VALUE"""),3744.65244)</f>
        <v>3744.65244</v>
      </c>
    </row>
    <row r="2556">
      <c r="A2556" s="3">
        <f>IFERROR(__xludf.DUMMYFUNCTION("""COMPUTED_VALUE"""),43175.99861111111)</f>
        <v>43175.99861</v>
      </c>
      <c r="B2556" s="1">
        <f>IFERROR(__xludf.DUMMYFUNCTION("""COMPUTED_VALUE"""),3740.84192)</f>
        <v>3740.84192</v>
      </c>
    </row>
    <row r="2557">
      <c r="A2557" s="3">
        <f>IFERROR(__xludf.DUMMYFUNCTION("""COMPUTED_VALUE"""),43177.99861111111)</f>
        <v>43177.99861</v>
      </c>
      <c r="B2557" s="1">
        <f>IFERROR(__xludf.DUMMYFUNCTION("""COMPUTED_VALUE"""),3742.61804)</f>
        <v>3742.61804</v>
      </c>
    </row>
    <row r="2558">
      <c r="A2558" s="3">
        <f>IFERROR(__xludf.DUMMYFUNCTION("""COMPUTED_VALUE"""),43178.99861111111)</f>
        <v>43178.99861</v>
      </c>
      <c r="B2558" s="1">
        <f>IFERROR(__xludf.DUMMYFUNCTION("""COMPUTED_VALUE"""),3748.19078)</f>
        <v>3748.19078</v>
      </c>
    </row>
    <row r="2559">
      <c r="A2559" s="3">
        <f>IFERROR(__xludf.DUMMYFUNCTION("""COMPUTED_VALUE"""),43179.99861111111)</f>
        <v>43179.99861</v>
      </c>
      <c r="B2559" s="1">
        <f>IFERROR(__xludf.DUMMYFUNCTION("""COMPUTED_VALUE"""),3740.56974)</f>
        <v>3740.56974</v>
      </c>
    </row>
    <row r="2560">
      <c r="A2560" s="3">
        <f>IFERROR(__xludf.DUMMYFUNCTION("""COMPUTED_VALUE"""),43180.99861111111)</f>
        <v>43180.99861</v>
      </c>
      <c r="B2560" s="1">
        <f>IFERROR(__xludf.DUMMYFUNCTION("""COMPUTED_VALUE"""),3730.2269)</f>
        <v>3730.2269</v>
      </c>
    </row>
    <row r="2561">
      <c r="A2561" s="3">
        <f>IFERROR(__xludf.DUMMYFUNCTION("""COMPUTED_VALUE"""),43181.99861111111)</f>
        <v>43181.99861</v>
      </c>
      <c r="B2561" s="1">
        <f>IFERROR(__xludf.DUMMYFUNCTION("""COMPUTED_VALUE"""),3743.56372)</f>
        <v>3743.56372</v>
      </c>
    </row>
    <row r="2562">
      <c r="A2562" s="3">
        <f>IFERROR(__xludf.DUMMYFUNCTION("""COMPUTED_VALUE"""),43182.99861111111)</f>
        <v>43182.99861</v>
      </c>
      <c r="B2562" s="1">
        <f>IFERROR(__xludf.DUMMYFUNCTION("""COMPUTED_VALUE"""),3749.82386)</f>
        <v>3749.82386</v>
      </c>
    </row>
    <row r="2563">
      <c r="A2563" s="3">
        <f>IFERROR(__xludf.DUMMYFUNCTION("""COMPUTED_VALUE"""),43183.99861111111)</f>
        <v>43183.99861</v>
      </c>
      <c r="B2563" s="1">
        <f>IFERROR(__xludf.DUMMYFUNCTION("""COMPUTED_VALUE"""),3749.82386)</f>
        <v>3749.82386</v>
      </c>
    </row>
    <row r="2564">
      <c r="A2564" s="3">
        <f>IFERROR(__xludf.DUMMYFUNCTION("""COMPUTED_VALUE"""),43184.99861111111)</f>
        <v>43184.99861</v>
      </c>
      <c r="B2564" s="1">
        <f>IFERROR(__xludf.DUMMYFUNCTION("""COMPUTED_VALUE"""),3746.56688)</f>
        <v>3746.56688</v>
      </c>
    </row>
    <row r="2565">
      <c r="A2565" s="3">
        <f>IFERROR(__xludf.DUMMYFUNCTION("""COMPUTED_VALUE"""),43185.99861111111)</f>
        <v>43185.99861</v>
      </c>
      <c r="B2565" s="1">
        <f>IFERROR(__xludf.DUMMYFUNCTION("""COMPUTED_VALUE"""),3733.76524)</f>
        <v>3733.76524</v>
      </c>
    </row>
    <row r="2566">
      <c r="A2566" s="3">
        <f>IFERROR(__xludf.DUMMYFUNCTION("""COMPUTED_VALUE"""),43186.99861111111)</f>
        <v>43186.99861</v>
      </c>
      <c r="B2566" s="1">
        <f>IFERROR(__xludf.DUMMYFUNCTION("""COMPUTED_VALUE"""),3739.7532)</f>
        <v>3739.7532</v>
      </c>
    </row>
    <row r="2567">
      <c r="A2567" s="3">
        <f>IFERROR(__xludf.DUMMYFUNCTION("""COMPUTED_VALUE"""),43187.99861111111)</f>
        <v>43187.99861</v>
      </c>
      <c r="B2567" s="1">
        <f>IFERROR(__xludf.DUMMYFUNCTION("""COMPUTED_VALUE"""),3744.24564)</f>
        <v>3744.24564</v>
      </c>
    </row>
    <row r="2568">
      <c r="A2568" s="3">
        <f>IFERROR(__xludf.DUMMYFUNCTION("""COMPUTED_VALUE"""),43188.99861111111)</f>
        <v>43188.99861</v>
      </c>
      <c r="B2568" s="1">
        <f>IFERROR(__xludf.DUMMYFUNCTION("""COMPUTED_VALUE"""),3744.38026)</f>
        <v>3744.38026</v>
      </c>
    </row>
    <row r="2569">
      <c r="A2569" s="3">
        <f>IFERROR(__xludf.DUMMYFUNCTION("""COMPUTED_VALUE"""),43189.99861111111)</f>
        <v>43189.99861</v>
      </c>
      <c r="B2569" s="1">
        <f>IFERROR(__xludf.DUMMYFUNCTION("""COMPUTED_VALUE"""),3739.626)</f>
        <v>3739.626</v>
      </c>
    </row>
    <row r="2570">
      <c r="A2570" s="3">
        <f>IFERROR(__xludf.DUMMYFUNCTION("""COMPUTED_VALUE"""),43190.99861111111)</f>
        <v>43190.99861</v>
      </c>
      <c r="B2570" s="1">
        <f>IFERROR(__xludf.DUMMYFUNCTION("""COMPUTED_VALUE"""),3743.193118)</f>
        <v>3743.193118</v>
      </c>
    </row>
    <row r="2571">
      <c r="A2571" s="3">
        <f>IFERROR(__xludf.DUMMYFUNCTION("""COMPUTED_VALUE"""),43191.99861111111)</f>
        <v>43191.99861</v>
      </c>
      <c r="B2571" s="1">
        <f>IFERROR(__xludf.DUMMYFUNCTION("""COMPUTED_VALUE"""),3748.20032)</f>
        <v>3748.20032</v>
      </c>
    </row>
    <row r="2572">
      <c r="A2572" s="3">
        <f>IFERROR(__xludf.DUMMYFUNCTION("""COMPUTED_VALUE"""),43192.99861111111)</f>
        <v>43192.99861</v>
      </c>
      <c r="B2572" s="1">
        <f>IFERROR(__xludf.DUMMYFUNCTION("""COMPUTED_VALUE"""),3742.893)</f>
        <v>3742.893</v>
      </c>
    </row>
    <row r="2573">
      <c r="A2573" s="3">
        <f>IFERROR(__xludf.DUMMYFUNCTION("""COMPUTED_VALUE"""),43193.99861111111)</f>
        <v>43193.99861</v>
      </c>
      <c r="B2573" s="1">
        <f>IFERROR(__xludf.DUMMYFUNCTION("""COMPUTED_VALUE"""),3740.02538)</f>
        <v>3740.02538</v>
      </c>
    </row>
    <row r="2574">
      <c r="A2574" s="3">
        <f>IFERROR(__xludf.DUMMYFUNCTION("""COMPUTED_VALUE"""),43194.99861111111)</f>
        <v>43194.99861</v>
      </c>
      <c r="B2574" s="1">
        <f>IFERROR(__xludf.DUMMYFUNCTION("""COMPUTED_VALUE"""),3742.74718)</f>
        <v>3742.74718</v>
      </c>
    </row>
    <row r="2575">
      <c r="A2575" s="3">
        <f>IFERROR(__xludf.DUMMYFUNCTION("""COMPUTED_VALUE"""),43195.99861111111)</f>
        <v>43195.99861</v>
      </c>
      <c r="B2575" s="1">
        <f>IFERROR(__xludf.DUMMYFUNCTION("""COMPUTED_VALUE"""),3745.1968)</f>
        <v>3745.1968</v>
      </c>
    </row>
    <row r="2576">
      <c r="A2576" s="3">
        <f>IFERROR(__xludf.DUMMYFUNCTION("""COMPUTED_VALUE"""),43196.99861111111)</f>
        <v>43196.99861</v>
      </c>
      <c r="B2576" s="1">
        <f>IFERROR(__xludf.DUMMYFUNCTION("""COMPUTED_VALUE"""),3746.01334)</f>
        <v>3746.01334</v>
      </c>
    </row>
    <row r="2577">
      <c r="A2577" s="3">
        <f>IFERROR(__xludf.DUMMYFUNCTION("""COMPUTED_VALUE"""),43197.99861111111)</f>
        <v>43197.99861</v>
      </c>
      <c r="B2577" s="1">
        <f>IFERROR(__xludf.DUMMYFUNCTION("""COMPUTED_VALUE"""),3748.093617)</f>
        <v>3748.093617</v>
      </c>
    </row>
    <row r="2578">
      <c r="A2578" s="3">
        <f>IFERROR(__xludf.DUMMYFUNCTION("""COMPUTED_VALUE"""),43198.99861111111)</f>
        <v>43198.99861</v>
      </c>
      <c r="B2578" s="1">
        <f>IFERROR(__xludf.DUMMYFUNCTION("""COMPUTED_VALUE"""),3746.70149)</f>
        <v>3746.70149</v>
      </c>
    </row>
    <row r="2579">
      <c r="A2579" s="3">
        <f>IFERROR(__xludf.DUMMYFUNCTION("""COMPUTED_VALUE"""),43199.99861111111)</f>
        <v>43199.99861</v>
      </c>
      <c r="B2579" s="1">
        <f>IFERROR(__xludf.DUMMYFUNCTION("""COMPUTED_VALUE"""),3747.37424)</f>
        <v>3747.37424</v>
      </c>
    </row>
    <row r="2580">
      <c r="A2580" s="3">
        <f>IFERROR(__xludf.DUMMYFUNCTION("""COMPUTED_VALUE"""),43200.99861111111)</f>
        <v>43200.99861</v>
      </c>
      <c r="B2580" s="1">
        <f>IFERROR(__xludf.DUMMYFUNCTION("""COMPUTED_VALUE"""),3740.324778)</f>
        <v>3740.324778</v>
      </c>
    </row>
    <row r="2581">
      <c r="A2581" s="3">
        <f>IFERROR(__xludf.DUMMYFUNCTION("""COMPUTED_VALUE"""),43201.99861111111)</f>
        <v>43201.99861</v>
      </c>
      <c r="B2581" s="1">
        <f>IFERROR(__xludf.DUMMYFUNCTION("""COMPUTED_VALUE"""),3743.42763)</f>
        <v>3743.42763</v>
      </c>
    </row>
    <row r="2582">
      <c r="A2582" s="3">
        <f>IFERROR(__xludf.DUMMYFUNCTION("""COMPUTED_VALUE"""),43202.99861111111)</f>
        <v>43202.99861</v>
      </c>
      <c r="B2582" s="1">
        <f>IFERROR(__xludf.DUMMYFUNCTION("""COMPUTED_VALUE"""),3747.10206)</f>
        <v>3747.10206</v>
      </c>
    </row>
    <row r="2583">
      <c r="A2583" s="3">
        <f>IFERROR(__xludf.DUMMYFUNCTION("""COMPUTED_VALUE"""),43203.99861111111)</f>
        <v>43203.99861</v>
      </c>
      <c r="B2583" s="1">
        <f>IFERROR(__xludf.DUMMYFUNCTION("""COMPUTED_VALUE"""),3748.61025)</f>
        <v>3748.61025</v>
      </c>
    </row>
    <row r="2584">
      <c r="A2584" s="3">
        <f>IFERROR(__xludf.DUMMYFUNCTION("""COMPUTED_VALUE"""),43205.99861111111)</f>
        <v>43205.99861</v>
      </c>
      <c r="B2584" s="1">
        <f>IFERROR(__xludf.DUMMYFUNCTION("""COMPUTED_VALUE"""),3738.53459)</f>
        <v>3738.53459</v>
      </c>
    </row>
    <row r="2585">
      <c r="A2585" s="3">
        <f>IFERROR(__xludf.DUMMYFUNCTION("""COMPUTED_VALUE"""),43206.99861111111)</f>
        <v>43206.99861</v>
      </c>
      <c r="B2585" s="1">
        <f>IFERROR(__xludf.DUMMYFUNCTION("""COMPUTED_VALUE"""),3746.82988)</f>
        <v>3746.82988</v>
      </c>
    </row>
    <row r="2586">
      <c r="A2586" s="3">
        <f>IFERROR(__xludf.DUMMYFUNCTION("""COMPUTED_VALUE"""),43207.99861111111)</f>
        <v>43207.99861</v>
      </c>
      <c r="B2586" s="1">
        <f>IFERROR(__xludf.DUMMYFUNCTION("""COMPUTED_VALUE"""),3744.38026)</f>
        <v>3744.38026</v>
      </c>
    </row>
    <row r="2587">
      <c r="A2587" s="3">
        <f>IFERROR(__xludf.DUMMYFUNCTION("""COMPUTED_VALUE"""),43208.99861111111)</f>
        <v>43208.99861</v>
      </c>
      <c r="B2587" s="1">
        <f>IFERROR(__xludf.DUMMYFUNCTION("""COMPUTED_VALUE"""),3747.64642)</f>
        <v>3747.64642</v>
      </c>
    </row>
    <row r="2588">
      <c r="A2588" s="3">
        <f>IFERROR(__xludf.DUMMYFUNCTION("""COMPUTED_VALUE"""),43209.99861111111)</f>
        <v>43209.99861</v>
      </c>
      <c r="B2588" s="1">
        <f>IFERROR(__xludf.DUMMYFUNCTION("""COMPUTED_VALUE"""),3756.084)</f>
        <v>3756.084</v>
      </c>
    </row>
    <row r="2589">
      <c r="A2589" s="3">
        <f>IFERROR(__xludf.DUMMYFUNCTION("""COMPUTED_VALUE"""),43210.99861111111)</f>
        <v>43210.99861</v>
      </c>
      <c r="B2589" s="1">
        <f>IFERROR(__xludf.DUMMYFUNCTION("""COMPUTED_VALUE"""),3767.78774)</f>
        <v>3767.78774</v>
      </c>
    </row>
    <row r="2590">
      <c r="A2590" s="3">
        <f>IFERROR(__xludf.DUMMYFUNCTION("""COMPUTED_VALUE"""),43211.99861111111)</f>
        <v>43211.99861</v>
      </c>
      <c r="B2590" s="1">
        <f>IFERROR(__xludf.DUMMYFUNCTION("""COMPUTED_VALUE"""),3769.804593)</f>
        <v>3769.804593</v>
      </c>
    </row>
    <row r="2591">
      <c r="A2591" s="3">
        <f>IFERROR(__xludf.DUMMYFUNCTION("""COMPUTED_VALUE"""),43212.99861111111)</f>
        <v>43212.99861</v>
      </c>
      <c r="B2591" s="1">
        <f>IFERROR(__xludf.DUMMYFUNCTION("""COMPUTED_VALUE"""),3783.72477)</f>
        <v>3783.72477</v>
      </c>
    </row>
    <row r="2592">
      <c r="A2592" s="3">
        <f>IFERROR(__xludf.DUMMYFUNCTION("""COMPUTED_VALUE"""),43213.99861111111)</f>
        <v>43213.99861</v>
      </c>
      <c r="B2592" s="1">
        <f>IFERROR(__xludf.DUMMYFUNCTION("""COMPUTED_VALUE"""),3799.90498)</f>
        <v>3799.90498</v>
      </c>
    </row>
    <row r="2593">
      <c r="A2593" s="3">
        <f>IFERROR(__xludf.DUMMYFUNCTION("""COMPUTED_VALUE"""),43214.99861111111)</f>
        <v>43214.99861</v>
      </c>
      <c r="B2593" s="1">
        <f>IFERROR(__xludf.DUMMYFUNCTION("""COMPUTED_VALUE"""),3775.68096)</f>
        <v>3775.68096</v>
      </c>
    </row>
    <row r="2594">
      <c r="A2594" s="3">
        <f>IFERROR(__xludf.DUMMYFUNCTION("""COMPUTED_VALUE"""),43215.99861111111)</f>
        <v>43215.99861</v>
      </c>
      <c r="B2594" s="1">
        <f>IFERROR(__xludf.DUMMYFUNCTION("""COMPUTED_VALUE"""),3788.33423)</f>
        <v>3788.33423</v>
      </c>
    </row>
    <row r="2595">
      <c r="A2595" s="3">
        <f>IFERROR(__xludf.DUMMYFUNCTION("""COMPUTED_VALUE"""),43216.99861111111)</f>
        <v>43216.99861</v>
      </c>
      <c r="B2595" s="1">
        <f>IFERROR(__xludf.DUMMYFUNCTION("""COMPUTED_VALUE"""),3777.44743)</f>
        <v>3777.44743</v>
      </c>
    </row>
    <row r="2596">
      <c r="A2596" s="3">
        <f>IFERROR(__xludf.DUMMYFUNCTION("""COMPUTED_VALUE"""),43217.99861111111)</f>
        <v>43217.99861</v>
      </c>
      <c r="B2596" s="1">
        <f>IFERROR(__xludf.DUMMYFUNCTION("""COMPUTED_VALUE"""),3767.3955)</f>
        <v>3767.3955</v>
      </c>
    </row>
    <row r="2597">
      <c r="A2597" s="3">
        <f>IFERROR(__xludf.DUMMYFUNCTION("""COMPUTED_VALUE"""),43219.99861111111)</f>
        <v>43219.99861</v>
      </c>
      <c r="B2597" s="1">
        <f>IFERROR(__xludf.DUMMYFUNCTION("""COMPUTED_VALUE"""),3775.8301)</f>
        <v>3775.8301</v>
      </c>
    </row>
    <row r="2598">
      <c r="A2598" s="3">
        <f>IFERROR(__xludf.DUMMYFUNCTION("""COMPUTED_VALUE"""),43220.99861111111)</f>
        <v>43220.99861</v>
      </c>
      <c r="B2598" s="1">
        <f>IFERROR(__xludf.DUMMYFUNCTION("""COMPUTED_VALUE"""),3784.26923)</f>
        <v>3784.26923</v>
      </c>
    </row>
    <row r="2599">
      <c r="A2599" s="3">
        <f>IFERROR(__xludf.DUMMYFUNCTION("""COMPUTED_VALUE"""),43221.99861111111)</f>
        <v>43221.99861</v>
      </c>
      <c r="B2599" s="1">
        <f>IFERROR(__xludf.DUMMYFUNCTION("""COMPUTED_VALUE"""),3806.681175)</f>
        <v>3806.681175</v>
      </c>
    </row>
    <row r="2600">
      <c r="A2600" s="3">
        <f>IFERROR(__xludf.DUMMYFUNCTION("""COMPUTED_VALUE"""),43222.99861111111)</f>
        <v>43222.99861</v>
      </c>
      <c r="B2600" s="1">
        <f>IFERROR(__xludf.DUMMYFUNCTION("""COMPUTED_VALUE"""),3811.005991)</f>
        <v>3811.005991</v>
      </c>
    </row>
    <row r="2601">
      <c r="A2601" s="3">
        <f>IFERROR(__xludf.DUMMYFUNCTION("""COMPUTED_VALUE"""),43223.99861111111)</f>
        <v>43223.99861</v>
      </c>
      <c r="B2601" s="1">
        <f>IFERROR(__xludf.DUMMYFUNCTION("""COMPUTED_VALUE"""),3791.73958)</f>
        <v>3791.73958</v>
      </c>
    </row>
    <row r="2602">
      <c r="A2602" s="3">
        <f>IFERROR(__xludf.DUMMYFUNCTION("""COMPUTED_VALUE"""),43224.99861111111)</f>
        <v>43224.99861</v>
      </c>
      <c r="B2602" s="1">
        <f>IFERROR(__xludf.DUMMYFUNCTION("""COMPUTED_VALUE"""),3792.251925)</f>
        <v>3792.251925</v>
      </c>
    </row>
    <row r="2603">
      <c r="A2603" s="3">
        <f>IFERROR(__xludf.DUMMYFUNCTION("""COMPUTED_VALUE"""),43225.99861111111)</f>
        <v>43225.99861</v>
      </c>
      <c r="B2603" s="1">
        <f>IFERROR(__xludf.DUMMYFUNCTION("""COMPUTED_VALUE"""),3790.666726)</f>
        <v>3790.666726</v>
      </c>
    </row>
    <row r="2604">
      <c r="A2604" s="3">
        <f>IFERROR(__xludf.DUMMYFUNCTION("""COMPUTED_VALUE"""),43226.99861111111)</f>
        <v>43226.99861</v>
      </c>
      <c r="B2604" s="1">
        <f>IFERROR(__xludf.DUMMYFUNCTION("""COMPUTED_VALUE"""),3792.98059)</f>
        <v>3792.98059</v>
      </c>
    </row>
    <row r="2605">
      <c r="A2605" s="3">
        <f>IFERROR(__xludf.DUMMYFUNCTION("""COMPUTED_VALUE"""),43227.99861111111)</f>
        <v>43227.99861</v>
      </c>
      <c r="B2605" s="1">
        <f>IFERROR(__xludf.DUMMYFUNCTION("""COMPUTED_VALUE"""),3883.457645)</f>
        <v>3883.457645</v>
      </c>
    </row>
    <row r="2606">
      <c r="A2606" s="3">
        <f>IFERROR(__xludf.DUMMYFUNCTION("""COMPUTED_VALUE"""),43228.99861111111)</f>
        <v>43228.99861</v>
      </c>
      <c r="B2606" s="1">
        <f>IFERROR(__xludf.DUMMYFUNCTION("""COMPUTED_VALUE"""),3882.260097)</f>
        <v>3882.260097</v>
      </c>
    </row>
    <row r="2607">
      <c r="A2607" s="3">
        <f>IFERROR(__xludf.DUMMYFUNCTION("""COMPUTED_VALUE"""),43229.99861111111)</f>
        <v>43229.99861</v>
      </c>
      <c r="B2607" s="1">
        <f>IFERROR(__xludf.DUMMYFUNCTION("""COMPUTED_VALUE"""),3830.24841)</f>
        <v>3830.24841</v>
      </c>
    </row>
    <row r="2608">
      <c r="A2608" s="3">
        <f>IFERROR(__xludf.DUMMYFUNCTION("""COMPUTED_VALUE"""),43230.99861111111)</f>
        <v>43230.99861</v>
      </c>
      <c r="B2608" s="1">
        <f>IFERROR(__xludf.DUMMYFUNCTION("""COMPUTED_VALUE"""),3830.24841)</f>
        <v>3830.24841</v>
      </c>
    </row>
    <row r="2609">
      <c r="A2609" s="3">
        <f>IFERROR(__xludf.DUMMYFUNCTION("""COMPUTED_VALUE"""),43231.99861111111)</f>
        <v>43231.99861</v>
      </c>
      <c r="B2609" s="1">
        <f>IFERROR(__xludf.DUMMYFUNCTION("""COMPUTED_VALUE"""),3794.0498)</f>
        <v>3794.0498</v>
      </c>
    </row>
    <row r="2610">
      <c r="A2610" s="3">
        <f>IFERROR(__xludf.DUMMYFUNCTION("""COMPUTED_VALUE"""),43232.99861111111)</f>
        <v>43232.99861</v>
      </c>
      <c r="B2610" s="1">
        <f>IFERROR(__xludf.DUMMYFUNCTION("""COMPUTED_VALUE"""),3796.906449)</f>
        <v>3796.906449</v>
      </c>
    </row>
    <row r="2611">
      <c r="A2611" s="3">
        <f>IFERROR(__xludf.DUMMYFUNCTION("""COMPUTED_VALUE"""),43233.99861111111)</f>
        <v>43233.99861</v>
      </c>
      <c r="B2611" s="1">
        <f>IFERROR(__xludf.DUMMYFUNCTION("""COMPUTED_VALUE"""),3795.70289)</f>
        <v>3795.70289</v>
      </c>
    </row>
    <row r="2612">
      <c r="A2612" s="3">
        <f>IFERROR(__xludf.DUMMYFUNCTION("""COMPUTED_VALUE"""),43234.99861111111)</f>
        <v>43234.99861</v>
      </c>
      <c r="B2612" s="1">
        <f>IFERROR(__xludf.DUMMYFUNCTION("""COMPUTED_VALUE"""),3800.44934)</f>
        <v>3800.44934</v>
      </c>
    </row>
    <row r="2613">
      <c r="A2613" s="3">
        <f>IFERROR(__xludf.DUMMYFUNCTION("""COMPUTED_VALUE"""),43235.99861111111)</f>
        <v>43235.99861</v>
      </c>
      <c r="B2613" s="1">
        <f>IFERROR(__xludf.DUMMYFUNCTION("""COMPUTED_VALUE"""),3818.6854)</f>
        <v>3818.6854</v>
      </c>
    </row>
    <row r="2614">
      <c r="A2614" s="3">
        <f>IFERROR(__xludf.DUMMYFUNCTION("""COMPUTED_VALUE"""),43236.99861111111)</f>
        <v>43236.99861</v>
      </c>
      <c r="B2614" s="1">
        <f>IFERROR(__xludf.DUMMYFUNCTION("""COMPUTED_VALUE"""),3850.987764)</f>
        <v>3850.987764</v>
      </c>
    </row>
    <row r="2615">
      <c r="A2615" s="3">
        <f>IFERROR(__xludf.DUMMYFUNCTION("""COMPUTED_VALUE"""),43237.99861111111)</f>
        <v>43237.99861</v>
      </c>
      <c r="B2615" s="1">
        <f>IFERROR(__xludf.DUMMYFUNCTION("""COMPUTED_VALUE"""),3852.158095)</f>
        <v>3852.158095</v>
      </c>
    </row>
    <row r="2616">
      <c r="A2616" s="3">
        <f>IFERROR(__xludf.DUMMYFUNCTION("""COMPUTED_VALUE"""),43238.99861111111)</f>
        <v>43238.99861</v>
      </c>
      <c r="B2616" s="1">
        <f>IFERROR(__xludf.DUMMYFUNCTION("""COMPUTED_VALUE"""),3847.41614)</f>
        <v>3847.41614</v>
      </c>
    </row>
    <row r="2617">
      <c r="A2617" s="3">
        <f>IFERROR(__xludf.DUMMYFUNCTION("""COMPUTED_VALUE"""),43239.99861111111)</f>
        <v>43239.99861</v>
      </c>
      <c r="B2617" s="1">
        <f>IFERROR(__xludf.DUMMYFUNCTION("""COMPUTED_VALUE"""),3846.85078)</f>
        <v>3846.85078</v>
      </c>
    </row>
    <row r="2618">
      <c r="A2618" s="3">
        <f>IFERROR(__xludf.DUMMYFUNCTION("""COMPUTED_VALUE"""),43240.99861111111)</f>
        <v>43240.99861</v>
      </c>
      <c r="B2618" s="1">
        <f>IFERROR(__xludf.DUMMYFUNCTION("""COMPUTED_VALUE"""),3855.59349)</f>
        <v>3855.59349</v>
      </c>
    </row>
    <row r="2619">
      <c r="A2619" s="3">
        <f>IFERROR(__xludf.DUMMYFUNCTION("""COMPUTED_VALUE"""),43241.99861111111)</f>
        <v>43241.99861</v>
      </c>
      <c r="B2619" s="1">
        <f>IFERROR(__xludf.DUMMYFUNCTION("""COMPUTED_VALUE"""),3870.3996)</f>
        <v>3870.3996</v>
      </c>
    </row>
    <row r="2620">
      <c r="A2620" s="3">
        <f>IFERROR(__xludf.DUMMYFUNCTION("""COMPUTED_VALUE"""),43242.99861111111)</f>
        <v>43242.99861</v>
      </c>
      <c r="B2620" s="1">
        <f>IFERROR(__xludf.DUMMYFUNCTION("""COMPUTED_VALUE"""),3865.031736)</f>
        <v>3865.031736</v>
      </c>
    </row>
    <row r="2621">
      <c r="A2621" s="3">
        <f>IFERROR(__xludf.DUMMYFUNCTION("""COMPUTED_VALUE"""),43243.99861111111)</f>
        <v>43243.99861</v>
      </c>
      <c r="B2621" s="1">
        <f>IFERROR(__xludf.DUMMYFUNCTION("""COMPUTED_VALUE"""),3856.51842)</f>
        <v>3856.51842</v>
      </c>
    </row>
    <row r="2622">
      <c r="A2622" s="3">
        <f>IFERROR(__xludf.DUMMYFUNCTION("""COMPUTED_VALUE"""),43244.99861111111)</f>
        <v>43244.99861</v>
      </c>
      <c r="B2622" s="1">
        <f>IFERROR(__xludf.DUMMYFUNCTION("""COMPUTED_VALUE"""),3844.12908)</f>
        <v>3844.12908</v>
      </c>
    </row>
    <row r="2623">
      <c r="A2623" s="3">
        <f>IFERROR(__xludf.DUMMYFUNCTION("""COMPUTED_VALUE"""),43245.99861111111)</f>
        <v>43245.99861</v>
      </c>
      <c r="B2623" s="1">
        <f>IFERROR(__xludf.DUMMYFUNCTION("""COMPUTED_VALUE"""),3841.4475)</f>
        <v>3841.4475</v>
      </c>
    </row>
    <row r="2624">
      <c r="A2624" s="3">
        <f>IFERROR(__xludf.DUMMYFUNCTION("""COMPUTED_VALUE"""),43246.99861111111)</f>
        <v>43246.99861</v>
      </c>
      <c r="B2624" s="1">
        <f>IFERROR(__xludf.DUMMYFUNCTION("""COMPUTED_VALUE"""),3824.226043)</f>
        <v>3824.226043</v>
      </c>
    </row>
    <row r="2625">
      <c r="A2625" s="3">
        <f>IFERROR(__xludf.DUMMYFUNCTION("""COMPUTED_VALUE"""),43247.99861111111)</f>
        <v>43247.99861</v>
      </c>
      <c r="B2625" s="1">
        <f>IFERROR(__xludf.DUMMYFUNCTION("""COMPUTED_VALUE"""),3832.45394)</f>
        <v>3832.45394</v>
      </c>
    </row>
    <row r="2626">
      <c r="A2626" s="3">
        <f>IFERROR(__xludf.DUMMYFUNCTION("""COMPUTED_VALUE"""),43248.99861111111)</f>
        <v>43248.99861</v>
      </c>
      <c r="B2626" s="1">
        <f>IFERROR(__xludf.DUMMYFUNCTION("""COMPUTED_VALUE"""),3813.1017)</f>
        <v>3813.1017</v>
      </c>
    </row>
    <row r="2627">
      <c r="A2627" s="3">
        <f>IFERROR(__xludf.DUMMYFUNCTION("""COMPUTED_VALUE"""),43249.99861111111)</f>
        <v>43249.99861</v>
      </c>
      <c r="B2627" s="1">
        <f>IFERROR(__xludf.DUMMYFUNCTION("""COMPUTED_VALUE"""),3818.27293)</f>
        <v>3818.27293</v>
      </c>
    </row>
    <row r="2628">
      <c r="A2628" s="3">
        <f>IFERROR(__xludf.DUMMYFUNCTION("""COMPUTED_VALUE"""),43250.99861111111)</f>
        <v>43250.99861</v>
      </c>
      <c r="B2628" s="1">
        <f>IFERROR(__xludf.DUMMYFUNCTION("""COMPUTED_VALUE"""),3804.12009)</f>
        <v>3804.12009</v>
      </c>
    </row>
    <row r="2629">
      <c r="A2629" s="3">
        <f>IFERROR(__xludf.DUMMYFUNCTION("""COMPUTED_VALUE"""),43251.99861111111)</f>
        <v>43251.99861</v>
      </c>
      <c r="B2629" s="1">
        <f>IFERROR(__xludf.DUMMYFUNCTION("""COMPUTED_VALUE"""),3777.7196)</f>
        <v>3777.7196</v>
      </c>
    </row>
    <row r="2630">
      <c r="A2630" s="3">
        <f>IFERROR(__xludf.DUMMYFUNCTION("""COMPUTED_VALUE"""),43252.99861111111)</f>
        <v>43252.99861</v>
      </c>
      <c r="B2630" s="1">
        <f>IFERROR(__xludf.DUMMYFUNCTION("""COMPUTED_VALUE"""),3762.21018)</f>
        <v>3762.21018</v>
      </c>
    </row>
    <row r="2631">
      <c r="A2631" s="3">
        <f>IFERROR(__xludf.DUMMYFUNCTION("""COMPUTED_VALUE"""),43253.99861111111)</f>
        <v>43253.99861</v>
      </c>
      <c r="B2631" s="1">
        <f>IFERROR(__xludf.DUMMYFUNCTION("""COMPUTED_VALUE"""),3764.451312)</f>
        <v>3764.451312</v>
      </c>
    </row>
    <row r="2632">
      <c r="A2632" s="3">
        <f>IFERROR(__xludf.DUMMYFUNCTION("""COMPUTED_VALUE"""),43254.99861111111)</f>
        <v>43254.99861</v>
      </c>
      <c r="B2632" s="1">
        <f>IFERROR(__xludf.DUMMYFUNCTION("""COMPUTED_VALUE"""),3794.718066)</f>
        <v>3794.718066</v>
      </c>
    </row>
    <row r="2633">
      <c r="A2633" s="3">
        <f>IFERROR(__xludf.DUMMYFUNCTION("""COMPUTED_VALUE"""),43255.99861111111)</f>
        <v>43255.99861</v>
      </c>
      <c r="B2633" s="1">
        <f>IFERROR(__xludf.DUMMYFUNCTION("""COMPUTED_VALUE"""),3772.2762)</f>
        <v>3772.2762</v>
      </c>
    </row>
    <row r="2634">
      <c r="A2634" s="3">
        <f>IFERROR(__xludf.DUMMYFUNCTION("""COMPUTED_VALUE"""),43256.99861111111)</f>
        <v>43256.99861</v>
      </c>
      <c r="B2634" s="1">
        <f>IFERROR(__xludf.DUMMYFUNCTION("""COMPUTED_VALUE"""),3774.9979)</f>
        <v>3774.9979</v>
      </c>
    </row>
    <row r="2635">
      <c r="A2635" s="3">
        <f>IFERROR(__xludf.DUMMYFUNCTION("""COMPUTED_VALUE"""),43257.99861111111)</f>
        <v>43257.99861</v>
      </c>
      <c r="B2635" s="1">
        <f>IFERROR(__xludf.DUMMYFUNCTION("""COMPUTED_VALUE"""),3761.93374)</f>
        <v>3761.93374</v>
      </c>
    </row>
    <row r="2636">
      <c r="A2636" s="3">
        <f>IFERROR(__xludf.DUMMYFUNCTION("""COMPUTED_VALUE"""),43258.99861111111)</f>
        <v>43258.99861</v>
      </c>
      <c r="B2636" s="1">
        <f>IFERROR(__xludf.DUMMYFUNCTION("""COMPUTED_VALUE"""),3773.09271)</f>
        <v>3773.09271</v>
      </c>
    </row>
    <row r="2637">
      <c r="A2637" s="3">
        <f>IFERROR(__xludf.DUMMYFUNCTION("""COMPUTED_VALUE"""),43259.99861111111)</f>
        <v>43259.99861</v>
      </c>
      <c r="B2637" s="1">
        <f>IFERROR(__xludf.DUMMYFUNCTION("""COMPUTED_VALUE"""),3793.25925)</f>
        <v>3793.25925</v>
      </c>
    </row>
    <row r="2638">
      <c r="A2638" s="3">
        <f>IFERROR(__xludf.DUMMYFUNCTION("""COMPUTED_VALUE"""),43260.99861111111)</f>
        <v>43260.99861</v>
      </c>
      <c r="B2638" s="1">
        <f>IFERROR(__xludf.DUMMYFUNCTION("""COMPUTED_VALUE"""),3795.95499)</f>
        <v>3795.95499</v>
      </c>
    </row>
    <row r="2639">
      <c r="A2639" s="3">
        <f>IFERROR(__xludf.DUMMYFUNCTION("""COMPUTED_VALUE"""),43261.99861111111)</f>
        <v>43261.99861</v>
      </c>
      <c r="B2639" s="1">
        <f>IFERROR(__xludf.DUMMYFUNCTION("""COMPUTED_VALUE"""),3774.87984)</f>
        <v>3774.87984</v>
      </c>
    </row>
    <row r="2640">
      <c r="A2640" s="3">
        <f>IFERROR(__xludf.DUMMYFUNCTION("""COMPUTED_VALUE"""),43262.99861111111)</f>
        <v>43262.99861</v>
      </c>
      <c r="B2640" s="1">
        <f>IFERROR(__xludf.DUMMYFUNCTION("""COMPUTED_VALUE"""),3789.42291)</f>
        <v>3789.42291</v>
      </c>
    </row>
    <row r="2641">
      <c r="A2641" s="3">
        <f>IFERROR(__xludf.DUMMYFUNCTION("""COMPUTED_VALUE"""),43263.99861111111)</f>
        <v>43263.99861</v>
      </c>
      <c r="B2641" s="1">
        <f>IFERROR(__xludf.DUMMYFUNCTION("""COMPUTED_VALUE"""),3789.42291)</f>
        <v>3789.42291</v>
      </c>
    </row>
    <row r="2642">
      <c r="A2642" s="3">
        <f>IFERROR(__xludf.DUMMYFUNCTION("""COMPUTED_VALUE"""),43264.99861111111)</f>
        <v>43264.99861</v>
      </c>
      <c r="B2642" s="1">
        <f>IFERROR(__xludf.DUMMYFUNCTION("""COMPUTED_VALUE"""),3789.42291)</f>
        <v>3789.42291</v>
      </c>
    </row>
    <row r="2643">
      <c r="A2643" s="3">
        <f>IFERROR(__xludf.DUMMYFUNCTION("""COMPUTED_VALUE"""),43265.99861111111)</f>
        <v>43265.99861</v>
      </c>
      <c r="B2643" s="1">
        <f>IFERROR(__xludf.DUMMYFUNCTION("""COMPUTED_VALUE"""),3843.421438)</f>
        <v>3843.421438</v>
      </c>
    </row>
    <row r="2644">
      <c r="A2644" s="3">
        <f>IFERROR(__xludf.DUMMYFUNCTION("""COMPUTED_VALUE"""),43266.99861111111)</f>
        <v>43266.99861</v>
      </c>
      <c r="B2644" s="1">
        <f>IFERROR(__xludf.DUMMYFUNCTION("""COMPUTED_VALUE"""),3830.50305)</f>
        <v>3830.50305</v>
      </c>
    </row>
    <row r="2645">
      <c r="A2645" s="3">
        <f>IFERROR(__xludf.DUMMYFUNCTION("""COMPUTED_VALUE"""),43268.99861111111)</f>
        <v>43268.99861</v>
      </c>
      <c r="B2645" s="1">
        <f>IFERROR(__xludf.DUMMYFUNCTION("""COMPUTED_VALUE"""),3790.25829)</f>
        <v>3790.25829</v>
      </c>
    </row>
    <row r="2646">
      <c r="A2646" s="3">
        <f>IFERROR(__xludf.DUMMYFUNCTION("""COMPUTED_VALUE"""),43269.99861111111)</f>
        <v>43269.99861</v>
      </c>
      <c r="B2646" s="1">
        <f>IFERROR(__xludf.DUMMYFUNCTION("""COMPUTED_VALUE"""),3789.42291)</f>
        <v>3789.42291</v>
      </c>
    </row>
    <row r="2647">
      <c r="A2647" s="3">
        <f>IFERROR(__xludf.DUMMYFUNCTION("""COMPUTED_VALUE"""),43270.99861111111)</f>
        <v>43270.99861</v>
      </c>
      <c r="B2647" s="1">
        <f>IFERROR(__xludf.DUMMYFUNCTION("""COMPUTED_VALUE"""),3789.42291)</f>
        <v>3789.42291</v>
      </c>
    </row>
    <row r="2648">
      <c r="A2648" s="3">
        <f>IFERROR(__xludf.DUMMYFUNCTION("""COMPUTED_VALUE"""),43271.99861111111)</f>
        <v>43271.99861</v>
      </c>
      <c r="B2648" s="1">
        <f>IFERROR(__xludf.DUMMYFUNCTION("""COMPUTED_VALUE"""),3789.42291)</f>
        <v>3789.42291</v>
      </c>
    </row>
    <row r="2649">
      <c r="A2649" s="3">
        <f>IFERROR(__xludf.DUMMYFUNCTION("""COMPUTED_VALUE"""),43272.99861111111)</f>
        <v>43272.99861</v>
      </c>
      <c r="B2649" s="1">
        <f>IFERROR(__xludf.DUMMYFUNCTION("""COMPUTED_VALUE"""),3834.33096)</f>
        <v>3834.33096</v>
      </c>
    </row>
    <row r="2650">
      <c r="A2650" s="3">
        <f>IFERROR(__xludf.DUMMYFUNCTION("""COMPUTED_VALUE"""),43273.99861111111)</f>
        <v>43273.99861</v>
      </c>
      <c r="B2650" s="1">
        <f>IFERROR(__xludf.DUMMYFUNCTION("""COMPUTED_VALUE"""),3834.276526)</f>
        <v>3834.276526</v>
      </c>
    </row>
    <row r="2651">
      <c r="A2651" s="3">
        <f>IFERROR(__xludf.DUMMYFUNCTION("""COMPUTED_VALUE"""),43275.99861111111)</f>
        <v>43275.99861</v>
      </c>
      <c r="B2651" s="1">
        <f>IFERROR(__xludf.DUMMYFUNCTION("""COMPUTED_VALUE"""),3831.09279)</f>
        <v>3831.09279</v>
      </c>
    </row>
    <row r="2652">
      <c r="A2652" s="3">
        <f>IFERROR(__xludf.DUMMYFUNCTION("""COMPUTED_VALUE"""),43276.99861111111)</f>
        <v>43276.99861</v>
      </c>
      <c r="B2652" s="1">
        <f>IFERROR(__xludf.DUMMYFUNCTION("""COMPUTED_VALUE"""),3850.66116)</f>
        <v>3850.66116</v>
      </c>
    </row>
    <row r="2653">
      <c r="A2653" s="3">
        <f>IFERROR(__xludf.DUMMYFUNCTION("""COMPUTED_VALUE"""),43277.99861111111)</f>
        <v>43277.99861</v>
      </c>
      <c r="B2653" s="1">
        <f>IFERROR(__xludf.DUMMYFUNCTION("""COMPUTED_VALUE"""),3861.54796)</f>
        <v>3861.54796</v>
      </c>
    </row>
    <row r="2654">
      <c r="A2654" s="3">
        <f>IFERROR(__xludf.DUMMYFUNCTION("""COMPUTED_VALUE"""),43278.99861111111)</f>
        <v>43278.99861</v>
      </c>
      <c r="B2654" s="1">
        <f>IFERROR(__xludf.DUMMYFUNCTION("""COMPUTED_VALUE"""),3874.33995)</f>
        <v>3874.33995</v>
      </c>
    </row>
    <row r="2655">
      <c r="A2655" s="3">
        <f>IFERROR(__xludf.DUMMYFUNCTION("""COMPUTED_VALUE"""),43279.99861111111)</f>
        <v>43279.99861</v>
      </c>
      <c r="B2655" s="1">
        <f>IFERROR(__xludf.DUMMYFUNCTION("""COMPUTED_VALUE"""),3905.6395)</f>
        <v>3905.6395</v>
      </c>
    </row>
    <row r="2656">
      <c r="A2656" s="3">
        <f>IFERROR(__xludf.DUMMYFUNCTION("""COMPUTED_VALUE"""),43280.99861111111)</f>
        <v>43280.99861</v>
      </c>
      <c r="B2656" s="1">
        <f>IFERROR(__xludf.DUMMYFUNCTION("""COMPUTED_VALUE"""),3885.82425)</f>
        <v>3885.82425</v>
      </c>
    </row>
    <row r="2657">
      <c r="A2657" s="3">
        <f>IFERROR(__xludf.DUMMYFUNCTION("""COMPUTED_VALUE"""),43281.99861111111)</f>
        <v>43281.99861</v>
      </c>
      <c r="B2657" s="1">
        <f>IFERROR(__xludf.DUMMYFUNCTION("""COMPUTED_VALUE"""),3886.030066)</f>
        <v>3886.030066</v>
      </c>
    </row>
    <row r="2658">
      <c r="A2658" s="3">
        <f>IFERROR(__xludf.DUMMYFUNCTION("""COMPUTED_VALUE"""),43282.99861111111)</f>
        <v>43282.99861</v>
      </c>
      <c r="B2658" s="1">
        <f>IFERROR(__xludf.DUMMYFUNCTION("""COMPUTED_VALUE"""),3897.51691)</f>
        <v>3897.51691</v>
      </c>
    </row>
    <row r="2659">
      <c r="A2659" s="3">
        <f>IFERROR(__xludf.DUMMYFUNCTION("""COMPUTED_VALUE"""),43283.99861111111)</f>
        <v>43283.99861</v>
      </c>
      <c r="B2659" s="1">
        <f>IFERROR(__xludf.DUMMYFUNCTION("""COMPUTED_VALUE"""),3904.82299)</f>
        <v>3904.82299</v>
      </c>
    </row>
    <row r="2660">
      <c r="A2660" s="3">
        <f>IFERROR(__xludf.DUMMYFUNCTION("""COMPUTED_VALUE"""),43284.99861111111)</f>
        <v>43284.99861</v>
      </c>
      <c r="B2660" s="1">
        <f>IFERROR(__xludf.DUMMYFUNCTION("""COMPUTED_VALUE"""),3906.45601)</f>
        <v>3906.45601</v>
      </c>
    </row>
    <row r="2661">
      <c r="A2661" s="3">
        <f>IFERROR(__xludf.DUMMYFUNCTION("""COMPUTED_VALUE"""),43285.99861111111)</f>
        <v>43285.99861</v>
      </c>
      <c r="B2661" s="1">
        <f>IFERROR(__xludf.DUMMYFUNCTION("""COMPUTED_VALUE"""),3919.248)</f>
        <v>3919.248</v>
      </c>
    </row>
    <row r="2662">
      <c r="A2662" s="3">
        <f>IFERROR(__xludf.DUMMYFUNCTION("""COMPUTED_VALUE"""),43286.99861111111)</f>
        <v>43286.99861</v>
      </c>
      <c r="B2662" s="1">
        <f>IFERROR(__xludf.DUMMYFUNCTION("""COMPUTED_VALUE"""),3913.477996)</f>
        <v>3913.477996</v>
      </c>
    </row>
    <row r="2663">
      <c r="A2663" s="3">
        <f>IFERROR(__xludf.DUMMYFUNCTION("""COMPUTED_VALUE"""),43287.99861111111)</f>
        <v>43287.99861</v>
      </c>
      <c r="B2663" s="1">
        <f>IFERROR(__xludf.DUMMYFUNCTION("""COMPUTED_VALUE"""),3902.67477)</f>
        <v>3902.67477</v>
      </c>
    </row>
    <row r="2664">
      <c r="A2664" s="3">
        <f>IFERROR(__xludf.DUMMYFUNCTION("""COMPUTED_VALUE"""),43288.99861111111)</f>
        <v>43288.99861</v>
      </c>
      <c r="B2664" s="1">
        <f>IFERROR(__xludf.DUMMYFUNCTION("""COMPUTED_VALUE"""),3902.10129)</f>
        <v>3902.10129</v>
      </c>
    </row>
    <row r="2665">
      <c r="A2665" s="3">
        <f>IFERROR(__xludf.DUMMYFUNCTION("""COMPUTED_VALUE"""),43289.99861111111)</f>
        <v>43289.99861</v>
      </c>
      <c r="B2665" s="1">
        <f>IFERROR(__xludf.DUMMYFUNCTION("""COMPUTED_VALUE"""),3894.79461)</f>
        <v>3894.79461</v>
      </c>
    </row>
    <row r="2666">
      <c r="A2666" s="3">
        <f>IFERROR(__xludf.DUMMYFUNCTION("""COMPUTED_VALUE"""),43290.99861111111)</f>
        <v>43290.99861</v>
      </c>
      <c r="B2666" s="1">
        <f>IFERROR(__xludf.DUMMYFUNCTION("""COMPUTED_VALUE"""),3895.02487)</f>
        <v>3895.02487</v>
      </c>
    </row>
    <row r="2667">
      <c r="A2667" s="3">
        <f>IFERROR(__xludf.DUMMYFUNCTION("""COMPUTED_VALUE"""),43291.99861111111)</f>
        <v>43291.99861</v>
      </c>
      <c r="B2667" s="1">
        <f>IFERROR(__xludf.DUMMYFUNCTION("""COMPUTED_VALUE"""),3912.5875)</f>
        <v>3912.5875</v>
      </c>
    </row>
    <row r="2668">
      <c r="A2668" s="3">
        <f>IFERROR(__xludf.DUMMYFUNCTION("""COMPUTED_VALUE"""),43292.99861111111)</f>
        <v>43292.99861</v>
      </c>
      <c r="B2668" s="1">
        <f>IFERROR(__xludf.DUMMYFUNCTION("""COMPUTED_VALUE"""),3913.26026)</f>
        <v>3913.26026</v>
      </c>
    </row>
    <row r="2669">
      <c r="A2669" s="3">
        <f>IFERROR(__xludf.DUMMYFUNCTION("""COMPUTED_VALUE"""),43293.99861111111)</f>
        <v>43293.99861</v>
      </c>
      <c r="B2669" s="1">
        <f>IFERROR(__xludf.DUMMYFUNCTION("""COMPUTED_VALUE"""),3915.16545)</f>
        <v>3915.16545</v>
      </c>
    </row>
    <row r="2670">
      <c r="A2670" s="3">
        <f>IFERROR(__xludf.DUMMYFUNCTION("""COMPUTED_VALUE"""),43294.99861111111)</f>
        <v>43294.99861</v>
      </c>
      <c r="B2670" s="1">
        <f>IFERROR(__xludf.DUMMYFUNCTION("""COMPUTED_VALUE"""),3911.817759)</f>
        <v>3911.817759</v>
      </c>
    </row>
    <row r="2671">
      <c r="A2671" s="3">
        <f>IFERROR(__xludf.DUMMYFUNCTION("""COMPUTED_VALUE"""),43295.99861111111)</f>
        <v>43295.99861</v>
      </c>
      <c r="B2671" s="1">
        <f>IFERROR(__xludf.DUMMYFUNCTION("""COMPUTED_VALUE"""),3914.002467)</f>
        <v>3914.002467</v>
      </c>
    </row>
    <row r="2672">
      <c r="A2672" s="3">
        <f>IFERROR(__xludf.DUMMYFUNCTION("""COMPUTED_VALUE"""),43296.99861111111)</f>
        <v>43296.99861</v>
      </c>
      <c r="B2672" s="1">
        <f>IFERROR(__xludf.DUMMYFUNCTION("""COMPUTED_VALUE"""),3912.76179)</f>
        <v>3912.76179</v>
      </c>
    </row>
    <row r="2673">
      <c r="A2673" s="3">
        <f>IFERROR(__xludf.DUMMYFUNCTION("""COMPUTED_VALUE"""),43297.99861111111)</f>
        <v>43297.99861</v>
      </c>
      <c r="B2673" s="1">
        <f>IFERROR(__xludf.DUMMYFUNCTION("""COMPUTED_VALUE"""),3909.858135)</f>
        <v>3909.858135</v>
      </c>
    </row>
    <row r="2674">
      <c r="A2674" s="3">
        <f>IFERROR(__xludf.DUMMYFUNCTION("""COMPUTED_VALUE"""),43298.99861111111)</f>
        <v>43298.99861</v>
      </c>
      <c r="B2674" s="1">
        <f>IFERROR(__xludf.DUMMYFUNCTION("""COMPUTED_VALUE"""),3912.98809)</f>
        <v>3912.98809</v>
      </c>
    </row>
    <row r="2675">
      <c r="A2675" s="3">
        <f>IFERROR(__xludf.DUMMYFUNCTION("""COMPUTED_VALUE"""),43299.99861111111)</f>
        <v>43299.99861</v>
      </c>
      <c r="B2675" s="1">
        <f>IFERROR(__xludf.DUMMYFUNCTION("""COMPUTED_VALUE"""),3930.40697)</f>
        <v>3930.40697</v>
      </c>
    </row>
    <row r="2676">
      <c r="A2676" s="3">
        <f>IFERROR(__xludf.DUMMYFUNCTION("""COMPUTED_VALUE"""),43300.99861111111)</f>
        <v>43300.99861</v>
      </c>
      <c r="B2676" s="1">
        <f>IFERROR(__xludf.DUMMYFUNCTION("""COMPUTED_VALUE"""),3937.75556)</f>
        <v>3937.75556</v>
      </c>
    </row>
    <row r="2677">
      <c r="A2677" s="3">
        <f>IFERROR(__xludf.DUMMYFUNCTION("""COMPUTED_VALUE"""),43301.99861111111)</f>
        <v>43301.99861</v>
      </c>
      <c r="B2677" s="1">
        <f>IFERROR(__xludf.DUMMYFUNCTION("""COMPUTED_VALUE"""),3943.459575)</f>
        <v>3943.459575</v>
      </c>
    </row>
    <row r="2678">
      <c r="A2678" s="3">
        <f>IFERROR(__xludf.DUMMYFUNCTION("""COMPUTED_VALUE"""),43302.99861111111)</f>
        <v>43302.99861</v>
      </c>
      <c r="B2678" s="1">
        <f>IFERROR(__xludf.DUMMYFUNCTION("""COMPUTED_VALUE"""),3945.749192)</f>
        <v>3945.749192</v>
      </c>
    </row>
    <row r="2679">
      <c r="A2679" s="3">
        <f>IFERROR(__xludf.DUMMYFUNCTION("""COMPUTED_VALUE"""),43303.99861111111)</f>
        <v>43303.99861</v>
      </c>
      <c r="B2679" s="1">
        <f>IFERROR(__xludf.DUMMYFUNCTION("""COMPUTED_VALUE"""),3939.98479)</f>
        <v>3939.98479</v>
      </c>
    </row>
    <row r="2680">
      <c r="A2680" s="3">
        <f>IFERROR(__xludf.DUMMYFUNCTION("""COMPUTED_VALUE"""),43304.99861111111)</f>
        <v>43304.99861</v>
      </c>
      <c r="B2680" s="1">
        <f>IFERROR(__xludf.DUMMYFUNCTION("""COMPUTED_VALUE"""),3965.710525)</f>
        <v>3965.710525</v>
      </c>
    </row>
    <row r="2681">
      <c r="A2681" s="3">
        <f>IFERROR(__xludf.DUMMYFUNCTION("""COMPUTED_VALUE"""),43305.99861111111)</f>
        <v>43305.99861</v>
      </c>
      <c r="B2681" s="1">
        <f>IFERROR(__xludf.DUMMYFUNCTION("""COMPUTED_VALUE"""),3958.249961)</f>
        <v>3958.249961</v>
      </c>
    </row>
    <row r="2682">
      <c r="A2682" s="3">
        <f>IFERROR(__xludf.DUMMYFUNCTION("""COMPUTED_VALUE"""),43306.99861111111)</f>
        <v>43306.99861</v>
      </c>
      <c r="B2682" s="1">
        <f>IFERROR(__xludf.DUMMYFUNCTION("""COMPUTED_VALUE"""),3936.93905)</f>
        <v>3936.93905</v>
      </c>
    </row>
    <row r="2683">
      <c r="A2683" s="3">
        <f>IFERROR(__xludf.DUMMYFUNCTION("""COMPUTED_VALUE"""),43307.99861111111)</f>
        <v>43307.99861</v>
      </c>
      <c r="B2683" s="1">
        <f>IFERROR(__xludf.DUMMYFUNCTION("""COMPUTED_VALUE"""),3953.26925)</f>
        <v>3953.26925</v>
      </c>
    </row>
    <row r="2684">
      <c r="A2684" s="3">
        <f>IFERROR(__xludf.DUMMYFUNCTION("""COMPUTED_VALUE"""),43308.99861111111)</f>
        <v>43308.99861</v>
      </c>
      <c r="B2684" s="1">
        <f>IFERROR(__xludf.DUMMYFUNCTION("""COMPUTED_VALUE"""),3912.800982)</f>
        <v>3912.800982</v>
      </c>
    </row>
    <row r="2685">
      <c r="A2685" s="3">
        <f>IFERROR(__xludf.DUMMYFUNCTION("""COMPUTED_VALUE"""),43310.99861111111)</f>
        <v>43310.99861</v>
      </c>
      <c r="B2685" s="1">
        <f>IFERROR(__xludf.DUMMYFUNCTION("""COMPUTED_VALUE"""),3923.10653)</f>
        <v>3923.10653</v>
      </c>
    </row>
    <row r="2686">
      <c r="A2686" s="3">
        <f>IFERROR(__xludf.DUMMYFUNCTION("""COMPUTED_VALUE"""),43311.99861111111)</f>
        <v>43311.99861</v>
      </c>
      <c r="B2686" s="1">
        <f>IFERROR(__xludf.DUMMYFUNCTION("""COMPUTED_VALUE"""),3920.06451)</f>
        <v>3920.06451</v>
      </c>
    </row>
    <row r="2687">
      <c r="A2687" s="3">
        <f>IFERROR(__xludf.DUMMYFUNCTION("""COMPUTED_VALUE"""),43312.99861111111)</f>
        <v>43312.99861</v>
      </c>
      <c r="B2687" s="1">
        <f>IFERROR(__xludf.DUMMYFUNCTION("""COMPUTED_VALUE"""),3921.751964)</f>
        <v>3921.751964</v>
      </c>
    </row>
    <row r="2688">
      <c r="A2688" s="3">
        <f>IFERROR(__xludf.DUMMYFUNCTION("""COMPUTED_VALUE"""),43313.99861111111)</f>
        <v>43313.99861</v>
      </c>
      <c r="B2688" s="1">
        <f>IFERROR(__xludf.DUMMYFUNCTION("""COMPUTED_VALUE"""),3943.47113)</f>
        <v>3943.47113</v>
      </c>
    </row>
    <row r="2689">
      <c r="A2689" s="3">
        <f>IFERROR(__xludf.DUMMYFUNCTION("""COMPUTED_VALUE"""),43314.99861111111)</f>
        <v>43314.99861</v>
      </c>
      <c r="B2689" s="1">
        <f>IFERROR(__xludf.DUMMYFUNCTION("""COMPUTED_VALUE"""),3952.18057)</f>
        <v>3952.18057</v>
      </c>
    </row>
    <row r="2690">
      <c r="A2690" s="3">
        <f>IFERROR(__xludf.DUMMYFUNCTION("""COMPUTED_VALUE"""),43315.99861111111)</f>
        <v>43315.99861</v>
      </c>
      <c r="B2690" s="1">
        <f>IFERROR(__xludf.DUMMYFUNCTION("""COMPUTED_VALUE"""),3939.858656)</f>
        <v>3939.858656</v>
      </c>
    </row>
    <row r="2691">
      <c r="A2691" s="3">
        <f>IFERROR(__xludf.DUMMYFUNCTION("""COMPUTED_VALUE"""),43317.99861111111)</f>
        <v>43317.99861</v>
      </c>
      <c r="B2691" s="1">
        <f>IFERROR(__xludf.DUMMYFUNCTION("""COMPUTED_VALUE"""),3943.52378)</f>
        <v>3943.52378</v>
      </c>
    </row>
    <row r="2692">
      <c r="A2692" s="3">
        <f>IFERROR(__xludf.DUMMYFUNCTION("""COMPUTED_VALUE"""),43318.99861111111)</f>
        <v>43318.99861</v>
      </c>
      <c r="B2692" s="1">
        <f>IFERROR(__xludf.DUMMYFUNCTION("""COMPUTED_VALUE"""),3958.249961)</f>
        <v>3958.249961</v>
      </c>
    </row>
    <row r="2693">
      <c r="A2693" s="3">
        <f>IFERROR(__xludf.DUMMYFUNCTION("""COMPUTED_VALUE"""),43319.99861111111)</f>
        <v>43319.99861</v>
      </c>
      <c r="B2693" s="1">
        <f>IFERROR(__xludf.DUMMYFUNCTION("""COMPUTED_VALUE"""),3925.23574)</f>
        <v>3925.23574</v>
      </c>
    </row>
    <row r="2694">
      <c r="A2694" s="3">
        <f>IFERROR(__xludf.DUMMYFUNCTION("""COMPUTED_VALUE"""),43320.99861111111)</f>
        <v>43320.99861</v>
      </c>
      <c r="B2694" s="1">
        <f>IFERROR(__xludf.DUMMYFUNCTION("""COMPUTED_VALUE"""),3918.70366)</f>
        <v>3918.70366</v>
      </c>
    </row>
    <row r="2695">
      <c r="A2695" s="3">
        <f>IFERROR(__xludf.DUMMYFUNCTION("""COMPUTED_VALUE"""),43321.99861111111)</f>
        <v>43321.99861</v>
      </c>
      <c r="B2695" s="1">
        <f>IFERROR(__xludf.DUMMYFUNCTION("""COMPUTED_VALUE"""),3938.84424)</f>
        <v>3938.84424</v>
      </c>
    </row>
    <row r="2696">
      <c r="A2696" s="3">
        <f>IFERROR(__xludf.DUMMYFUNCTION("""COMPUTED_VALUE"""),43322.99861111111)</f>
        <v>43322.99861</v>
      </c>
      <c r="B2696" s="1">
        <f>IFERROR(__xludf.DUMMYFUNCTION("""COMPUTED_VALUE"""),3940.47726)</f>
        <v>3940.47726</v>
      </c>
    </row>
    <row r="2697">
      <c r="A2697" s="3">
        <f>IFERROR(__xludf.DUMMYFUNCTION("""COMPUTED_VALUE"""),43324.99861111111)</f>
        <v>43324.99861</v>
      </c>
      <c r="B2697" s="1">
        <f>IFERROR(__xludf.DUMMYFUNCTION("""COMPUTED_VALUE"""),3939.98479)</f>
        <v>3939.98479</v>
      </c>
    </row>
    <row r="2698">
      <c r="A2698" s="3">
        <f>IFERROR(__xludf.DUMMYFUNCTION("""COMPUTED_VALUE"""),43325.99861111111)</f>
        <v>43325.99861</v>
      </c>
      <c r="B2698" s="1">
        <f>IFERROR(__xludf.DUMMYFUNCTION("""COMPUTED_VALUE"""),3972.04898)</f>
        <v>3972.04898</v>
      </c>
    </row>
    <row r="2699">
      <c r="A2699" s="3">
        <f>IFERROR(__xludf.DUMMYFUNCTION("""COMPUTED_VALUE"""),43326.99861111111)</f>
        <v>43326.99861</v>
      </c>
      <c r="B2699" s="1">
        <f>IFERROR(__xludf.DUMMYFUNCTION("""COMPUTED_VALUE"""),3985.11314)</f>
        <v>3985.11314</v>
      </c>
    </row>
    <row r="2700">
      <c r="A2700" s="3">
        <f>IFERROR(__xludf.DUMMYFUNCTION("""COMPUTED_VALUE"""),43327.99861111111)</f>
        <v>43327.99861</v>
      </c>
      <c r="B2700" s="1">
        <f>IFERROR(__xludf.DUMMYFUNCTION("""COMPUTED_VALUE"""),3961.652086)</f>
        <v>3961.652086</v>
      </c>
    </row>
    <row r="2701">
      <c r="A2701" s="3">
        <f>IFERROR(__xludf.DUMMYFUNCTION("""COMPUTED_VALUE"""),43328.99861111111)</f>
        <v>43328.99861</v>
      </c>
      <c r="B2701" s="1">
        <f>IFERROR(__xludf.DUMMYFUNCTION("""COMPUTED_VALUE"""),3973.300962)</f>
        <v>3973.300962</v>
      </c>
    </row>
    <row r="2702">
      <c r="A2702" s="3">
        <f>IFERROR(__xludf.DUMMYFUNCTION("""COMPUTED_VALUE"""),43329.99861111111)</f>
        <v>43329.99861</v>
      </c>
      <c r="B2702" s="1">
        <f>IFERROR(__xludf.DUMMYFUNCTION("""COMPUTED_VALUE"""),3967.69426)</f>
        <v>3967.69426</v>
      </c>
    </row>
    <row r="2703">
      <c r="A2703" s="3">
        <f>IFERROR(__xludf.DUMMYFUNCTION("""COMPUTED_VALUE"""),43331.99861111111)</f>
        <v>43331.99861</v>
      </c>
      <c r="B2703" s="1">
        <f>IFERROR(__xludf.DUMMYFUNCTION("""COMPUTED_VALUE"""),3967.08128)</f>
        <v>3967.08128</v>
      </c>
    </row>
    <row r="2704">
      <c r="A2704" s="3">
        <f>IFERROR(__xludf.DUMMYFUNCTION("""COMPUTED_VALUE"""),43332.99861111111)</f>
        <v>43332.99861</v>
      </c>
      <c r="B2704" s="1">
        <f>IFERROR(__xludf.DUMMYFUNCTION("""COMPUTED_VALUE"""),3963.33954)</f>
        <v>3963.33954</v>
      </c>
    </row>
    <row r="2705">
      <c r="A2705" s="3">
        <f>IFERROR(__xludf.DUMMYFUNCTION("""COMPUTED_VALUE"""),43333.99861111111)</f>
        <v>43333.99861</v>
      </c>
      <c r="B2705" s="1">
        <f>IFERROR(__xludf.DUMMYFUNCTION("""COMPUTED_VALUE"""),3965.5169)</f>
        <v>3965.5169</v>
      </c>
    </row>
    <row r="2706">
      <c r="A2706" s="3">
        <f>IFERROR(__xludf.DUMMYFUNCTION("""COMPUTED_VALUE"""),43334.99861111111)</f>
        <v>43334.99861</v>
      </c>
      <c r="B2706" s="1">
        <f>IFERROR(__xludf.DUMMYFUNCTION("""COMPUTED_VALUE"""),3966.06124)</f>
        <v>3966.06124</v>
      </c>
    </row>
    <row r="2707">
      <c r="A2707" s="3">
        <f>IFERROR(__xludf.DUMMYFUNCTION("""COMPUTED_VALUE"""),43335.99861111111)</f>
        <v>43335.99861</v>
      </c>
      <c r="B2707" s="1">
        <f>IFERROR(__xludf.DUMMYFUNCTION("""COMPUTED_VALUE"""),3991.10088)</f>
        <v>3991.10088</v>
      </c>
    </row>
    <row r="2708">
      <c r="A2708" s="3">
        <f>IFERROR(__xludf.DUMMYFUNCTION("""COMPUTED_VALUE"""),43336.99861111111)</f>
        <v>43336.99861</v>
      </c>
      <c r="B2708" s="1">
        <f>IFERROR(__xludf.DUMMYFUNCTION("""COMPUTED_VALUE"""),3966.33341)</f>
        <v>3966.33341</v>
      </c>
    </row>
    <row r="2709">
      <c r="A2709" s="3">
        <f>IFERROR(__xludf.DUMMYFUNCTION("""COMPUTED_VALUE"""),43338.99861111111)</f>
        <v>43338.99861</v>
      </c>
      <c r="B2709" s="1">
        <f>IFERROR(__xludf.DUMMYFUNCTION("""COMPUTED_VALUE"""),3963.39657)</f>
        <v>3963.39657</v>
      </c>
    </row>
    <row r="2710">
      <c r="A2710" s="3">
        <f>IFERROR(__xludf.DUMMYFUNCTION("""COMPUTED_VALUE"""),43339.99861111111)</f>
        <v>43339.99861</v>
      </c>
      <c r="B2710" s="1">
        <f>IFERROR(__xludf.DUMMYFUNCTION("""COMPUTED_VALUE"""),3960.34567)</f>
        <v>3960.34567</v>
      </c>
    </row>
    <row r="2711">
      <c r="A2711" s="3">
        <f>IFERROR(__xludf.DUMMYFUNCTION("""COMPUTED_VALUE"""),43340.99861111111)</f>
        <v>43340.99861</v>
      </c>
      <c r="B2711" s="1">
        <f>IFERROR(__xludf.DUMMYFUNCTION("""COMPUTED_VALUE"""),3988.10701)</f>
        <v>3988.10701</v>
      </c>
    </row>
    <row r="2712">
      <c r="A2712" s="3">
        <f>IFERROR(__xludf.DUMMYFUNCTION("""COMPUTED_VALUE"""),43341.99861111111)</f>
        <v>43341.99861</v>
      </c>
      <c r="B2712" s="1">
        <f>IFERROR(__xludf.DUMMYFUNCTION("""COMPUTED_VALUE"""),3978.58106)</f>
        <v>3978.58106</v>
      </c>
    </row>
    <row r="2713">
      <c r="A2713" s="3">
        <f>IFERROR(__xludf.DUMMYFUNCTION("""COMPUTED_VALUE"""),43342.99861111111)</f>
        <v>43342.99861</v>
      </c>
      <c r="B2713" s="1">
        <f>IFERROR(__xludf.DUMMYFUNCTION("""COMPUTED_VALUE"""),4014.77967)</f>
        <v>4014.77967</v>
      </c>
    </row>
    <row r="2714">
      <c r="A2714" s="3">
        <f>IFERROR(__xludf.DUMMYFUNCTION("""COMPUTED_VALUE"""),43343.99861111111)</f>
        <v>43343.99861</v>
      </c>
      <c r="B2714" s="1">
        <f>IFERROR(__xludf.DUMMYFUNCTION("""COMPUTED_VALUE"""),4008.29225)</f>
        <v>4008.29225</v>
      </c>
    </row>
    <row r="2715">
      <c r="A2715" s="3">
        <f>IFERROR(__xludf.DUMMYFUNCTION("""COMPUTED_VALUE"""),43344.99861111111)</f>
        <v>43344.99861</v>
      </c>
      <c r="B2715" s="1">
        <f>IFERROR(__xludf.DUMMYFUNCTION("""COMPUTED_VALUE"""),4008.76725)</f>
        <v>4008.76725</v>
      </c>
    </row>
    <row r="2716">
      <c r="A2716" s="3">
        <f>IFERROR(__xludf.DUMMYFUNCTION("""COMPUTED_VALUE"""),43345.99861111111)</f>
        <v>43345.99861</v>
      </c>
      <c r="B2716" s="1">
        <f>IFERROR(__xludf.DUMMYFUNCTION("""COMPUTED_VALUE"""),4008.04229)</f>
        <v>4008.04229</v>
      </c>
    </row>
    <row r="2717">
      <c r="A2717" s="3">
        <f>IFERROR(__xludf.DUMMYFUNCTION("""COMPUTED_VALUE"""),43346.99861111111)</f>
        <v>43346.99861</v>
      </c>
      <c r="B2717" s="1">
        <f>IFERROR(__xludf.DUMMYFUNCTION("""COMPUTED_VALUE"""),4036.82544)</f>
        <v>4036.82544</v>
      </c>
    </row>
    <row r="2718">
      <c r="A2718" s="3">
        <f>IFERROR(__xludf.DUMMYFUNCTION("""COMPUTED_VALUE"""),43347.99861111111)</f>
        <v>43347.99861</v>
      </c>
      <c r="B2718" s="1">
        <f>IFERROR(__xludf.DUMMYFUNCTION("""COMPUTED_VALUE"""),4063.4981)</f>
        <v>4063.4981</v>
      </c>
    </row>
    <row r="2719">
      <c r="A2719" s="3">
        <f>IFERROR(__xludf.DUMMYFUNCTION("""COMPUTED_VALUE"""),43348.99861111111)</f>
        <v>43348.99861</v>
      </c>
      <c r="B2719" s="1">
        <f>IFERROR(__xludf.DUMMYFUNCTION("""COMPUTED_VALUE"""),4077.079383)</f>
        <v>4077.079383</v>
      </c>
    </row>
    <row r="2720">
      <c r="A2720" s="3">
        <f>IFERROR(__xludf.DUMMYFUNCTION("""COMPUTED_VALUE"""),43349.99861111111)</f>
        <v>43349.99861</v>
      </c>
      <c r="B2720" s="1">
        <f>IFERROR(__xludf.DUMMYFUNCTION("""COMPUTED_VALUE"""),4053.42781)</f>
        <v>4053.42781</v>
      </c>
    </row>
    <row r="2721">
      <c r="A2721" s="3">
        <f>IFERROR(__xludf.DUMMYFUNCTION("""COMPUTED_VALUE"""),43350.99861111111)</f>
        <v>43350.99861</v>
      </c>
      <c r="B2721" s="1">
        <f>IFERROR(__xludf.DUMMYFUNCTION("""COMPUTED_VALUE"""),4076.0589)</f>
        <v>4076.0589</v>
      </c>
    </row>
    <row r="2722">
      <c r="A2722" s="3">
        <f>IFERROR(__xludf.DUMMYFUNCTION("""COMPUTED_VALUE"""),43351.99861111111)</f>
        <v>43351.99861</v>
      </c>
      <c r="B2722" s="1">
        <f>IFERROR(__xludf.DUMMYFUNCTION("""COMPUTED_VALUE"""),4033.162617)</f>
        <v>4033.162617</v>
      </c>
    </row>
    <row r="2723">
      <c r="A2723" s="3">
        <f>IFERROR(__xludf.DUMMYFUNCTION("""COMPUTED_VALUE"""),43352.99861111111)</f>
        <v>43352.99861</v>
      </c>
      <c r="B2723" s="1">
        <f>IFERROR(__xludf.DUMMYFUNCTION("""COMPUTED_VALUE"""),4032.54299)</f>
        <v>4032.54299</v>
      </c>
    </row>
    <row r="2724">
      <c r="A2724" s="3">
        <f>IFERROR(__xludf.DUMMYFUNCTION("""COMPUTED_VALUE"""),43353.99861111111)</f>
        <v>43353.99861</v>
      </c>
      <c r="B2724" s="1">
        <f>IFERROR(__xludf.DUMMYFUNCTION("""COMPUTED_VALUE"""),4040.227565)</f>
        <v>4040.227565</v>
      </c>
    </row>
    <row r="2725">
      <c r="A2725" s="3">
        <f>IFERROR(__xludf.DUMMYFUNCTION("""COMPUTED_VALUE"""),43354.99861111111)</f>
        <v>43354.99861</v>
      </c>
      <c r="B2725" s="1">
        <f>IFERROR(__xludf.DUMMYFUNCTION("""COMPUTED_VALUE"""),4038.18629)</f>
        <v>4038.18629</v>
      </c>
    </row>
    <row r="2726">
      <c r="A2726" s="3">
        <f>IFERROR(__xludf.DUMMYFUNCTION("""COMPUTED_VALUE"""),43355.99861111111)</f>
        <v>43355.99861</v>
      </c>
      <c r="B2726" s="1">
        <f>IFERROR(__xludf.DUMMYFUNCTION("""COMPUTED_VALUE"""),4030.02119)</f>
        <v>4030.02119</v>
      </c>
    </row>
    <row r="2727">
      <c r="A2727" s="3">
        <f>IFERROR(__xludf.DUMMYFUNCTION("""COMPUTED_VALUE"""),43356.99861111111)</f>
        <v>43356.99861</v>
      </c>
      <c r="B2727" s="1">
        <f>IFERROR(__xludf.DUMMYFUNCTION("""COMPUTED_VALUE"""),4011.7858)</f>
        <v>4011.7858</v>
      </c>
    </row>
    <row r="2728">
      <c r="A2728" s="3">
        <f>IFERROR(__xludf.DUMMYFUNCTION("""COMPUTED_VALUE"""),43357.99861111111)</f>
        <v>43357.99861</v>
      </c>
      <c r="B2728" s="1">
        <f>IFERROR(__xludf.DUMMYFUNCTION("""COMPUTED_VALUE"""),4028.53618)</f>
        <v>4028.53618</v>
      </c>
    </row>
    <row r="2729">
      <c r="A2729" s="3">
        <f>IFERROR(__xludf.DUMMYFUNCTION("""COMPUTED_VALUE"""),43359.99861111111)</f>
        <v>43359.99861</v>
      </c>
      <c r="B2729" s="1">
        <f>IFERROR(__xludf.DUMMYFUNCTION("""COMPUTED_VALUE"""),4030.90961)</f>
        <v>4030.90961</v>
      </c>
    </row>
    <row r="2730">
      <c r="A2730" s="3">
        <f>IFERROR(__xludf.DUMMYFUNCTION("""COMPUTED_VALUE"""),43360.99861111111)</f>
        <v>43360.99861</v>
      </c>
      <c r="B2730" s="1">
        <f>IFERROR(__xludf.DUMMYFUNCTION("""COMPUTED_VALUE"""),4057.265407)</f>
        <v>4057.265407</v>
      </c>
    </row>
    <row r="2731">
      <c r="A2731" s="3">
        <f>IFERROR(__xludf.DUMMYFUNCTION("""COMPUTED_VALUE"""),43361.99861111111)</f>
        <v>43361.99861</v>
      </c>
      <c r="B2731" s="1">
        <f>IFERROR(__xludf.DUMMYFUNCTION("""COMPUTED_VALUE"""),4046.35139)</f>
        <v>4046.35139</v>
      </c>
    </row>
    <row r="2732">
      <c r="A2732" s="3">
        <f>IFERROR(__xludf.DUMMYFUNCTION("""COMPUTED_VALUE"""),43362.99861111111)</f>
        <v>43362.99861</v>
      </c>
      <c r="B2732" s="1">
        <f>IFERROR(__xludf.DUMMYFUNCTION("""COMPUTED_VALUE"""),4049.8896)</f>
        <v>4049.8896</v>
      </c>
    </row>
    <row r="2733">
      <c r="A2733" s="3">
        <f>IFERROR(__xludf.DUMMYFUNCTION("""COMPUTED_VALUE"""),43363.99861111111)</f>
        <v>43363.99861</v>
      </c>
      <c r="B2733" s="1">
        <f>IFERROR(__xludf.DUMMYFUNCTION("""COMPUTED_VALUE"""),4036.82544)</f>
        <v>4036.82544</v>
      </c>
    </row>
    <row r="2734">
      <c r="A2734" s="3">
        <f>IFERROR(__xludf.DUMMYFUNCTION("""COMPUTED_VALUE"""),43364.99861111111)</f>
        <v>43364.99861</v>
      </c>
      <c r="B2734" s="1">
        <f>IFERROR(__xludf.DUMMYFUNCTION("""COMPUTED_VALUE"""),4043.2339)</f>
        <v>4043.2339</v>
      </c>
    </row>
    <row r="2735">
      <c r="A2735" s="3">
        <f>IFERROR(__xludf.DUMMYFUNCTION("""COMPUTED_VALUE"""),43365.99861111111)</f>
        <v>43365.99861</v>
      </c>
      <c r="B2735" s="1">
        <f>IFERROR(__xludf.DUMMYFUNCTION("""COMPUTED_VALUE"""),4031.53016)</f>
        <v>4031.53016</v>
      </c>
    </row>
    <row r="2736">
      <c r="A2736" s="3">
        <f>IFERROR(__xludf.DUMMYFUNCTION("""COMPUTED_VALUE"""),43366.99861111111)</f>
        <v>43366.99861</v>
      </c>
      <c r="B2736" s="1">
        <f>IFERROR(__xludf.DUMMYFUNCTION("""COMPUTED_VALUE"""),4032.41888)</f>
        <v>4032.41888</v>
      </c>
    </row>
    <row r="2737">
      <c r="A2737" s="3">
        <f>IFERROR(__xludf.DUMMYFUNCTION("""COMPUTED_VALUE"""),43367.99861111111)</f>
        <v>43367.99861</v>
      </c>
      <c r="B2737" s="1">
        <f>IFERROR(__xludf.DUMMYFUNCTION("""COMPUTED_VALUE"""),4044.71837)</f>
        <v>4044.71837</v>
      </c>
    </row>
    <row r="2738">
      <c r="A2738" s="3">
        <f>IFERROR(__xludf.DUMMYFUNCTION("""COMPUTED_VALUE"""),43368.99861111111)</f>
        <v>43368.99861</v>
      </c>
      <c r="B2738" s="1">
        <f>IFERROR(__xludf.DUMMYFUNCTION("""COMPUTED_VALUE"""),4088.401655)</f>
        <v>4088.401655</v>
      </c>
    </row>
    <row r="2739">
      <c r="A2739" s="3">
        <f>IFERROR(__xludf.DUMMYFUNCTION("""COMPUTED_VALUE"""),43369.99861111111)</f>
        <v>43369.99861</v>
      </c>
      <c r="B2739" s="1">
        <f>IFERROR(__xludf.DUMMYFUNCTION("""COMPUTED_VALUE"""),4078.46745)</f>
        <v>4078.46745</v>
      </c>
    </row>
    <row r="2740">
      <c r="A2740" s="3">
        <f>IFERROR(__xludf.DUMMYFUNCTION("""COMPUTED_VALUE"""),43370.99861111111)</f>
        <v>43370.99861</v>
      </c>
      <c r="B2740" s="1">
        <f>IFERROR(__xludf.DUMMYFUNCTION("""COMPUTED_VALUE"""),4060.598984)</f>
        <v>4060.598984</v>
      </c>
    </row>
    <row r="2741">
      <c r="A2741" s="3">
        <f>IFERROR(__xludf.DUMMYFUNCTION("""COMPUTED_VALUE"""),43371.99861111111)</f>
        <v>43371.99861</v>
      </c>
      <c r="B2741" s="1">
        <f>IFERROR(__xludf.DUMMYFUNCTION("""COMPUTED_VALUE"""),4053.8025)</f>
        <v>4053.8025</v>
      </c>
    </row>
    <row r="2742">
      <c r="A2742" s="3">
        <f>IFERROR(__xludf.DUMMYFUNCTION("""COMPUTED_VALUE"""),43373.99861111111)</f>
        <v>43373.99861</v>
      </c>
      <c r="B2742" s="1">
        <f>IFERROR(__xludf.DUMMYFUNCTION("""COMPUTED_VALUE"""),4056.77146)</f>
        <v>4056.77146</v>
      </c>
    </row>
    <row r="2743">
      <c r="A2743" s="3">
        <f>IFERROR(__xludf.DUMMYFUNCTION("""COMPUTED_VALUE"""),43374.99861111111)</f>
        <v>43374.99861</v>
      </c>
      <c r="B2743" s="1">
        <f>IFERROR(__xludf.DUMMYFUNCTION("""COMPUTED_VALUE"""),4097.056661)</f>
        <v>4097.056661</v>
      </c>
    </row>
    <row r="2744">
      <c r="A2744" s="3">
        <f>IFERROR(__xludf.DUMMYFUNCTION("""COMPUTED_VALUE"""),43375.99861111111)</f>
        <v>43375.99861</v>
      </c>
      <c r="B2744" s="1">
        <f>IFERROR(__xludf.DUMMYFUNCTION("""COMPUTED_VALUE"""),4092.89246)</f>
        <v>4092.89246</v>
      </c>
    </row>
    <row r="2745">
      <c r="A2745" s="3">
        <f>IFERROR(__xludf.DUMMYFUNCTION("""COMPUTED_VALUE"""),43376.99861111111)</f>
        <v>43376.99861</v>
      </c>
      <c r="B2745" s="1">
        <f>IFERROR(__xludf.DUMMYFUNCTION("""COMPUTED_VALUE"""),4120.436064)</f>
        <v>4120.436064</v>
      </c>
    </row>
    <row r="2746">
      <c r="A2746" s="3">
        <f>IFERROR(__xludf.DUMMYFUNCTION("""COMPUTED_VALUE"""),43377.99861111111)</f>
        <v>43377.99861</v>
      </c>
      <c r="B2746" s="1">
        <f>IFERROR(__xludf.DUMMYFUNCTION("""COMPUTED_VALUE"""),4193.840313)</f>
        <v>4193.840313</v>
      </c>
    </row>
    <row r="2747">
      <c r="A2747" s="3">
        <f>IFERROR(__xludf.DUMMYFUNCTION("""COMPUTED_VALUE"""),43378.99861111111)</f>
        <v>43378.99861</v>
      </c>
      <c r="B2747" s="1">
        <f>IFERROR(__xludf.DUMMYFUNCTION("""COMPUTED_VALUE"""),4112.8658)</f>
        <v>4112.8658</v>
      </c>
    </row>
    <row r="2748">
      <c r="A2748" s="3">
        <f>IFERROR(__xludf.DUMMYFUNCTION("""COMPUTED_VALUE"""),43379.99861111111)</f>
        <v>43379.99861</v>
      </c>
      <c r="B2748" s="1">
        <f>IFERROR(__xludf.DUMMYFUNCTION("""COMPUTED_VALUE"""),4136.319905)</f>
        <v>4136.319905</v>
      </c>
    </row>
    <row r="2749">
      <c r="A2749" s="3">
        <f>IFERROR(__xludf.DUMMYFUNCTION("""COMPUTED_VALUE"""),43380.99861111111)</f>
        <v>43380.99861</v>
      </c>
      <c r="B2749" s="1">
        <f>IFERROR(__xludf.DUMMYFUNCTION("""COMPUTED_VALUE"""),4130.54579)</f>
        <v>4130.54579</v>
      </c>
    </row>
    <row r="2750">
      <c r="A2750" s="3">
        <f>IFERROR(__xludf.DUMMYFUNCTION("""COMPUTED_VALUE"""),43381.99861111111)</f>
        <v>43381.99861</v>
      </c>
      <c r="B2750" s="1">
        <f>IFERROR(__xludf.DUMMYFUNCTION("""COMPUTED_VALUE"""),4191.418)</f>
        <v>4191.418</v>
      </c>
    </row>
    <row r="2751">
      <c r="A2751" s="3">
        <f>IFERROR(__xludf.DUMMYFUNCTION("""COMPUTED_VALUE"""),43382.99861111111)</f>
        <v>43382.99861</v>
      </c>
      <c r="B2751" s="1">
        <f>IFERROR(__xludf.DUMMYFUNCTION("""COMPUTED_VALUE"""),4143.24391)</f>
        <v>4143.24391</v>
      </c>
    </row>
    <row r="2752">
      <c r="A2752" s="3">
        <f>IFERROR(__xludf.DUMMYFUNCTION("""COMPUTED_VALUE"""),43383.99861111111)</f>
        <v>43383.99861</v>
      </c>
      <c r="B2752" s="1">
        <f>IFERROR(__xludf.DUMMYFUNCTION("""COMPUTED_VALUE"""),4135.89532)</f>
        <v>4135.89532</v>
      </c>
    </row>
    <row r="2753">
      <c r="A2753" s="3">
        <f>IFERROR(__xludf.DUMMYFUNCTION("""COMPUTED_VALUE"""),43384.99861111111)</f>
        <v>43384.99861</v>
      </c>
      <c r="B2753" s="1">
        <f>IFERROR(__xludf.DUMMYFUNCTION("""COMPUTED_VALUE"""),4163.983264)</f>
        <v>4163.983264</v>
      </c>
    </row>
    <row r="2754">
      <c r="A2754" s="3">
        <f>IFERROR(__xludf.DUMMYFUNCTION("""COMPUTED_VALUE"""),43385.99861111111)</f>
        <v>43385.99861</v>
      </c>
      <c r="B2754" s="1">
        <f>IFERROR(__xludf.DUMMYFUNCTION("""COMPUTED_VALUE"""),4132.64503)</f>
        <v>4132.64503</v>
      </c>
    </row>
    <row r="2755">
      <c r="A2755" s="3">
        <f>IFERROR(__xludf.DUMMYFUNCTION("""COMPUTED_VALUE"""),43387.99861111111)</f>
        <v>43387.99861</v>
      </c>
      <c r="B2755" s="1">
        <f>IFERROR(__xludf.DUMMYFUNCTION("""COMPUTED_VALUE"""),4137.35154)</f>
        <v>4137.35154</v>
      </c>
    </row>
    <row r="2756">
      <c r="A2756" s="3">
        <f>IFERROR(__xludf.DUMMYFUNCTION("""COMPUTED_VALUE"""),43388.99861111111)</f>
        <v>43388.99861</v>
      </c>
      <c r="B2756" s="1">
        <f>IFERROR(__xludf.DUMMYFUNCTION("""COMPUTED_VALUE"""),4135.296546)</f>
        <v>4135.296546</v>
      </c>
    </row>
    <row r="2757">
      <c r="A2757" s="3">
        <f>IFERROR(__xludf.DUMMYFUNCTION("""COMPUTED_VALUE"""),43389.99861111111)</f>
        <v>43389.99861</v>
      </c>
      <c r="B2757" s="1">
        <f>IFERROR(__xludf.DUMMYFUNCTION("""COMPUTED_VALUE"""),4135.07881)</f>
        <v>4135.07881</v>
      </c>
    </row>
    <row r="2758">
      <c r="A2758" s="3">
        <f>IFERROR(__xludf.DUMMYFUNCTION("""COMPUTED_VALUE"""),43390.99861111111)</f>
        <v>43390.99861</v>
      </c>
      <c r="B2758" s="1">
        <f>IFERROR(__xludf.DUMMYFUNCTION("""COMPUTED_VALUE"""),4154.637174)</f>
        <v>4154.637174</v>
      </c>
    </row>
    <row r="2759">
      <c r="A2759" s="3">
        <f>IFERROR(__xludf.DUMMYFUNCTION("""COMPUTED_VALUE"""),43391.99861111111)</f>
        <v>43391.99861</v>
      </c>
      <c r="B2759" s="1">
        <f>IFERROR(__xludf.DUMMYFUNCTION("""COMPUTED_VALUE"""),4172.264415)</f>
        <v>4172.264415</v>
      </c>
    </row>
    <row r="2760">
      <c r="A2760" s="3">
        <f>IFERROR(__xludf.DUMMYFUNCTION("""COMPUTED_VALUE"""),43392.99861111111)</f>
        <v>43392.99861</v>
      </c>
      <c r="B2760" s="1">
        <f>IFERROR(__xludf.DUMMYFUNCTION("""COMPUTED_VALUE"""),4129.227155)</f>
        <v>4129.227155</v>
      </c>
    </row>
    <row r="2761">
      <c r="A2761" s="3">
        <f>IFERROR(__xludf.DUMMYFUNCTION("""COMPUTED_VALUE"""),43394.99861111111)</f>
        <v>43394.99861</v>
      </c>
      <c r="B2761" s="1">
        <f>IFERROR(__xludf.DUMMYFUNCTION("""COMPUTED_VALUE"""),4132.72363)</f>
        <v>4132.72363</v>
      </c>
    </row>
    <row r="2762">
      <c r="A2762" s="3">
        <f>IFERROR(__xludf.DUMMYFUNCTION("""COMPUTED_VALUE"""),43395.99861111111)</f>
        <v>43395.99861</v>
      </c>
      <c r="B2762" s="1">
        <f>IFERROR(__xludf.DUMMYFUNCTION("""COMPUTED_VALUE"""),4154.593399)</f>
        <v>4154.593399</v>
      </c>
    </row>
    <row r="2763">
      <c r="A2763" s="3">
        <f>IFERROR(__xludf.DUMMYFUNCTION("""COMPUTED_VALUE"""),43396.99861111111)</f>
        <v>43396.99861</v>
      </c>
      <c r="B2763" s="1">
        <f>IFERROR(__xludf.DUMMYFUNCTION("""COMPUTED_VALUE"""),4132.35711)</f>
        <v>4132.35711</v>
      </c>
    </row>
    <row r="2764">
      <c r="A2764" s="3">
        <f>IFERROR(__xludf.DUMMYFUNCTION("""COMPUTED_VALUE"""),43397.99861111111)</f>
        <v>43397.99861</v>
      </c>
      <c r="B2764" s="1">
        <f>IFERROR(__xludf.DUMMYFUNCTION("""COMPUTED_VALUE"""),4155.899815)</f>
        <v>4155.899815</v>
      </c>
    </row>
    <row r="2765">
      <c r="A2765" s="3">
        <f>IFERROR(__xludf.DUMMYFUNCTION("""COMPUTED_VALUE"""),43398.99861111111)</f>
        <v>43398.99861</v>
      </c>
      <c r="B2765" s="1">
        <f>IFERROR(__xludf.DUMMYFUNCTION("""COMPUTED_VALUE"""),4152.579341)</f>
        <v>4152.579341</v>
      </c>
    </row>
    <row r="2766">
      <c r="A2766" s="3">
        <f>IFERROR(__xludf.DUMMYFUNCTION("""COMPUTED_VALUE"""),43399.99861111111)</f>
        <v>43399.99861</v>
      </c>
      <c r="B2766" s="1">
        <f>IFERROR(__xludf.DUMMYFUNCTION("""COMPUTED_VALUE"""),4135.488944)</f>
        <v>4135.488944</v>
      </c>
    </row>
    <row r="2767">
      <c r="A2767" s="3">
        <f>IFERROR(__xludf.DUMMYFUNCTION("""COMPUTED_VALUE"""),43400.99861111111)</f>
        <v>43400.99861</v>
      </c>
      <c r="B2767" s="1">
        <f>IFERROR(__xludf.DUMMYFUNCTION("""COMPUTED_VALUE"""),4141.254534)</f>
        <v>4141.254534</v>
      </c>
    </row>
    <row r="2768">
      <c r="A2768" s="3">
        <f>IFERROR(__xludf.DUMMYFUNCTION("""COMPUTED_VALUE"""),43401.99861111111)</f>
        <v>43401.99861</v>
      </c>
      <c r="B2768" s="1">
        <f>IFERROR(__xludf.DUMMYFUNCTION("""COMPUTED_VALUE"""),4139.7057)</f>
        <v>4139.7057</v>
      </c>
    </row>
    <row r="2769">
      <c r="A2769" s="3">
        <f>IFERROR(__xludf.DUMMYFUNCTION("""COMPUTED_VALUE"""),43402.99861111111)</f>
        <v>43402.99861</v>
      </c>
      <c r="B2769" s="1">
        <f>IFERROR(__xludf.DUMMYFUNCTION("""COMPUTED_VALUE"""),4163.602226)</f>
        <v>4163.602226</v>
      </c>
    </row>
    <row r="2770">
      <c r="A2770" s="3">
        <f>IFERROR(__xludf.DUMMYFUNCTION("""COMPUTED_VALUE"""),43403.99861111111)</f>
        <v>43403.99861</v>
      </c>
      <c r="B2770" s="1">
        <f>IFERROR(__xludf.DUMMYFUNCTION("""COMPUTED_VALUE"""),4157.032358)</f>
        <v>4157.032358</v>
      </c>
    </row>
    <row r="2771">
      <c r="A2771" s="3">
        <f>IFERROR(__xludf.DUMMYFUNCTION("""COMPUTED_VALUE"""),43404.99861111111)</f>
        <v>43404.99861</v>
      </c>
      <c r="B2771" s="1">
        <f>IFERROR(__xludf.DUMMYFUNCTION("""COMPUTED_VALUE"""),4135.89532)</f>
        <v>4135.89532</v>
      </c>
    </row>
    <row r="2772">
      <c r="A2772" s="3">
        <f>IFERROR(__xludf.DUMMYFUNCTION("""COMPUTED_VALUE"""),43405.99861111111)</f>
        <v>43405.99861</v>
      </c>
      <c r="B2772" s="1">
        <f>IFERROR(__xludf.DUMMYFUNCTION("""COMPUTED_VALUE"""),4101.248079)</f>
        <v>4101.248079</v>
      </c>
    </row>
    <row r="2773">
      <c r="A2773" s="3">
        <f>IFERROR(__xludf.DUMMYFUNCTION("""COMPUTED_VALUE"""),43406.99861111111)</f>
        <v>43406.99861</v>
      </c>
      <c r="B2773" s="1">
        <f>IFERROR(__xludf.DUMMYFUNCTION("""COMPUTED_VALUE"""),4068.00228)</f>
        <v>4068.00228</v>
      </c>
    </row>
    <row r="2774">
      <c r="A2774" s="3">
        <f>IFERROR(__xludf.DUMMYFUNCTION("""COMPUTED_VALUE"""),43408.99861111111)</f>
        <v>43408.99861</v>
      </c>
      <c r="B2774" s="1">
        <f>IFERROR(__xludf.DUMMYFUNCTION("""COMPUTED_VALUE"""),4068.74958)</f>
        <v>4068.74958</v>
      </c>
    </row>
    <row r="2775">
      <c r="A2775" s="3">
        <f>IFERROR(__xludf.DUMMYFUNCTION("""COMPUTED_VALUE"""),43409.99861111111)</f>
        <v>43409.99861</v>
      </c>
      <c r="B2775" s="1">
        <f>IFERROR(__xludf.DUMMYFUNCTION("""COMPUTED_VALUE"""),4061.211872)</f>
        <v>4061.211872</v>
      </c>
    </row>
    <row r="2776">
      <c r="A2776" s="3">
        <f>IFERROR(__xludf.DUMMYFUNCTION("""COMPUTED_VALUE"""),43410.99861111111)</f>
        <v>43410.99861</v>
      </c>
      <c r="B2776" s="1">
        <f>IFERROR(__xludf.DUMMYFUNCTION("""COMPUTED_VALUE"""),4036.2811)</f>
        <v>4036.2811</v>
      </c>
    </row>
    <row r="2777">
      <c r="A2777" s="3">
        <f>IFERROR(__xludf.DUMMYFUNCTION("""COMPUTED_VALUE"""),43411.99861111111)</f>
        <v>43411.99861</v>
      </c>
      <c r="B2777" s="1">
        <f>IFERROR(__xludf.DUMMYFUNCTION("""COMPUTED_VALUE"""),3973.382613)</f>
        <v>3973.382613</v>
      </c>
    </row>
    <row r="2778">
      <c r="A2778" s="3">
        <f>IFERROR(__xludf.DUMMYFUNCTION("""COMPUTED_VALUE"""),43412.99861111111)</f>
        <v>43412.99861</v>
      </c>
      <c r="B2778" s="1">
        <f>IFERROR(__xludf.DUMMYFUNCTION("""COMPUTED_VALUE"""),4006.3424)</f>
        <v>4006.3424</v>
      </c>
    </row>
    <row r="2779">
      <c r="A2779" s="3">
        <f>IFERROR(__xludf.DUMMYFUNCTION("""COMPUTED_VALUE"""),43413.99861111111)</f>
        <v>43413.99861</v>
      </c>
      <c r="B2779" s="1">
        <f>IFERROR(__xludf.DUMMYFUNCTION("""COMPUTED_VALUE"""),3996.0855)</f>
        <v>3996.0855</v>
      </c>
    </row>
    <row r="2780">
      <c r="A2780" s="3">
        <f>IFERROR(__xludf.DUMMYFUNCTION("""COMPUTED_VALUE"""),43414.99861111111)</f>
        <v>43414.99861</v>
      </c>
      <c r="B2780" s="1">
        <f>IFERROR(__xludf.DUMMYFUNCTION("""COMPUTED_VALUE"""),3996.297156)</f>
        <v>3996.297156</v>
      </c>
    </row>
    <row r="2781">
      <c r="A2781" s="3">
        <f>IFERROR(__xludf.DUMMYFUNCTION("""COMPUTED_VALUE"""),43415.99861111111)</f>
        <v>43415.99861</v>
      </c>
      <c r="B2781" s="1">
        <f>IFERROR(__xludf.DUMMYFUNCTION("""COMPUTED_VALUE"""),3995.3516)</f>
        <v>3995.3516</v>
      </c>
    </row>
    <row r="2782">
      <c r="A2782" s="3">
        <f>IFERROR(__xludf.DUMMYFUNCTION("""COMPUTED_VALUE"""),43416.99861111111)</f>
        <v>43416.99861</v>
      </c>
      <c r="B2782" s="1">
        <f>IFERROR(__xludf.DUMMYFUNCTION("""COMPUTED_VALUE"""),4030.29336)</f>
        <v>4030.29336</v>
      </c>
    </row>
    <row r="2783">
      <c r="A2783" s="3">
        <f>IFERROR(__xludf.DUMMYFUNCTION("""COMPUTED_VALUE"""),43417.99861111111)</f>
        <v>43417.99861</v>
      </c>
      <c r="B2783" s="1">
        <f>IFERROR(__xludf.DUMMYFUNCTION("""COMPUTED_VALUE"""),4026.564631)</f>
        <v>4026.564631</v>
      </c>
    </row>
    <row r="2784">
      <c r="A2784" s="3">
        <f>IFERROR(__xludf.DUMMYFUNCTION("""COMPUTED_VALUE"""),43418.99861111111)</f>
        <v>43418.99861</v>
      </c>
      <c r="B2784" s="1">
        <f>IFERROR(__xludf.DUMMYFUNCTION("""COMPUTED_VALUE"""),4031.883994)</f>
        <v>4031.883994</v>
      </c>
    </row>
    <row r="2785">
      <c r="A2785" s="3">
        <f>IFERROR(__xludf.DUMMYFUNCTION("""COMPUTED_VALUE"""),43419.99861111111)</f>
        <v>43419.99861</v>
      </c>
      <c r="B2785" s="1">
        <f>IFERROR(__xludf.DUMMYFUNCTION("""COMPUTED_VALUE"""),3963.393974)</f>
        <v>3963.393974</v>
      </c>
    </row>
    <row r="2786">
      <c r="A2786" s="3">
        <f>IFERROR(__xludf.DUMMYFUNCTION("""COMPUTED_VALUE"""),43420.99861111111)</f>
        <v>43420.99861</v>
      </c>
      <c r="B2786" s="1">
        <f>IFERROR(__xludf.DUMMYFUNCTION("""COMPUTED_VALUE"""),3976.0652)</f>
        <v>3976.0652</v>
      </c>
    </row>
    <row r="2787">
      <c r="A2787" s="3">
        <f>IFERROR(__xludf.DUMMYFUNCTION("""COMPUTED_VALUE"""),43421.99861111111)</f>
        <v>43421.99861</v>
      </c>
      <c r="B2787" s="1">
        <f>IFERROR(__xludf.DUMMYFUNCTION("""COMPUTED_VALUE"""),3975.04285)</f>
        <v>3975.04285</v>
      </c>
    </row>
    <row r="2788">
      <c r="A2788" s="3">
        <f>IFERROR(__xludf.DUMMYFUNCTION("""COMPUTED_VALUE"""),43422.99861111111)</f>
        <v>43422.99861</v>
      </c>
      <c r="B2788" s="1">
        <f>IFERROR(__xludf.DUMMYFUNCTION("""COMPUTED_VALUE"""),3975.91915)</f>
        <v>3975.91915</v>
      </c>
    </row>
    <row r="2789">
      <c r="A2789" s="3">
        <f>IFERROR(__xludf.DUMMYFUNCTION("""COMPUTED_VALUE"""),43423.99861111111)</f>
        <v>43423.99861</v>
      </c>
      <c r="B2789" s="1">
        <f>IFERROR(__xludf.DUMMYFUNCTION("""COMPUTED_VALUE"""),3988.171886)</f>
        <v>3988.171886</v>
      </c>
    </row>
    <row r="2790">
      <c r="A2790" s="3">
        <f>IFERROR(__xludf.DUMMYFUNCTION("""COMPUTED_VALUE"""),43424.99861111111)</f>
        <v>43424.99861</v>
      </c>
      <c r="B2790" s="1">
        <f>IFERROR(__xludf.DUMMYFUNCTION("""COMPUTED_VALUE"""),3991.182531)</f>
        <v>3991.182531</v>
      </c>
    </row>
    <row r="2791">
      <c r="A2791" s="3">
        <f>IFERROR(__xludf.DUMMYFUNCTION("""COMPUTED_VALUE"""),43425.99861111111)</f>
        <v>43425.99861</v>
      </c>
      <c r="B2791" s="1">
        <f>IFERROR(__xludf.DUMMYFUNCTION("""COMPUTED_VALUE"""),3981.8471)</f>
        <v>3981.8471</v>
      </c>
    </row>
    <row r="2792">
      <c r="A2792" s="3">
        <f>IFERROR(__xludf.DUMMYFUNCTION("""COMPUTED_VALUE"""),43426.99861111111)</f>
        <v>43426.99861</v>
      </c>
      <c r="B2792" s="1">
        <f>IFERROR(__xludf.DUMMYFUNCTION("""COMPUTED_VALUE"""),3973.682)</f>
        <v>3973.682</v>
      </c>
    </row>
    <row r="2793">
      <c r="A2793" s="3">
        <f>IFERROR(__xludf.DUMMYFUNCTION("""COMPUTED_VALUE"""),43427.99861111111)</f>
        <v>43427.99861</v>
      </c>
      <c r="B2793" s="1">
        <f>IFERROR(__xludf.DUMMYFUNCTION("""COMPUTED_VALUE"""),3956.60925)</f>
        <v>3956.60925</v>
      </c>
    </row>
    <row r="2794">
      <c r="A2794" s="3">
        <f>IFERROR(__xludf.DUMMYFUNCTION("""COMPUTED_VALUE"""),43428.99861111111)</f>
        <v>43428.99861</v>
      </c>
      <c r="B2794" s="1">
        <f>IFERROR(__xludf.DUMMYFUNCTION("""COMPUTED_VALUE"""),3959.237938)</f>
        <v>3959.237938</v>
      </c>
    </row>
    <row r="2795">
      <c r="A2795" s="3">
        <f>IFERROR(__xludf.DUMMYFUNCTION("""COMPUTED_VALUE"""),43429.99861111111)</f>
        <v>43429.99861</v>
      </c>
      <c r="B2795" s="1">
        <f>IFERROR(__xludf.DUMMYFUNCTION("""COMPUTED_VALUE"""),3956.31859)</f>
        <v>3956.31859</v>
      </c>
    </row>
    <row r="2796">
      <c r="A2796" s="3">
        <f>IFERROR(__xludf.DUMMYFUNCTION("""COMPUTED_VALUE"""),43430.99861111111)</f>
        <v>43430.99861</v>
      </c>
      <c r="B2796" s="1">
        <f>IFERROR(__xludf.DUMMYFUNCTION("""COMPUTED_VALUE"""),3953.786373)</f>
        <v>3953.786373</v>
      </c>
    </row>
    <row r="2797">
      <c r="A2797" s="3">
        <f>IFERROR(__xludf.DUMMYFUNCTION("""COMPUTED_VALUE"""),43431.99861111111)</f>
        <v>43431.99861</v>
      </c>
      <c r="B2797" s="1">
        <f>IFERROR(__xludf.DUMMYFUNCTION("""COMPUTED_VALUE"""),3967.15959)</f>
        <v>3967.15959</v>
      </c>
    </row>
    <row r="2798">
      <c r="A2798" s="3">
        <f>IFERROR(__xludf.DUMMYFUNCTION("""COMPUTED_VALUE"""),43432.99861111111)</f>
        <v>43432.99861</v>
      </c>
      <c r="B2798" s="1">
        <f>IFERROR(__xludf.DUMMYFUNCTION("""COMPUTED_VALUE"""),3935.523766)</f>
        <v>3935.523766</v>
      </c>
    </row>
    <row r="2799">
      <c r="A2799" s="3">
        <f>IFERROR(__xludf.DUMMYFUNCTION("""COMPUTED_VALUE"""),43433.99861111111)</f>
        <v>43433.99861</v>
      </c>
      <c r="B2799" s="1">
        <f>IFERROR(__xludf.DUMMYFUNCTION("""COMPUTED_VALUE"""),3907.27252)</f>
        <v>3907.27252</v>
      </c>
    </row>
    <row r="2800">
      <c r="A2800" s="3">
        <f>IFERROR(__xludf.DUMMYFUNCTION("""COMPUTED_VALUE"""),43434.99861111111)</f>
        <v>43434.99861</v>
      </c>
      <c r="B2800" s="1">
        <f>IFERROR(__xludf.DUMMYFUNCTION("""COMPUTED_VALUE"""),3898.183305)</f>
        <v>3898.183305</v>
      </c>
    </row>
    <row r="2801">
      <c r="A2801" s="3">
        <f>IFERROR(__xludf.DUMMYFUNCTION("""COMPUTED_VALUE"""),43435.99861111111)</f>
        <v>43435.99861</v>
      </c>
      <c r="B2801" s="1">
        <f>IFERROR(__xludf.DUMMYFUNCTION("""COMPUTED_VALUE"""),3917.184951)</f>
        <v>3917.184951</v>
      </c>
    </row>
    <row r="2802">
      <c r="A2802" s="3">
        <f>IFERROR(__xludf.DUMMYFUNCTION("""COMPUTED_VALUE"""),43436.99861111111)</f>
        <v>43436.99861</v>
      </c>
      <c r="B2802" s="1">
        <f>IFERROR(__xludf.DUMMYFUNCTION("""COMPUTED_VALUE"""),3891.80008)</f>
        <v>3891.80008</v>
      </c>
    </row>
    <row r="2803">
      <c r="A2803" s="3">
        <f>IFERROR(__xludf.DUMMYFUNCTION("""COMPUTED_VALUE"""),43437.99861111111)</f>
        <v>43437.99861</v>
      </c>
      <c r="B2803" s="1">
        <f>IFERROR(__xludf.DUMMYFUNCTION("""COMPUTED_VALUE"""),3902.64563)</f>
        <v>3902.64563</v>
      </c>
    </row>
    <row r="2804">
      <c r="A2804" s="3">
        <f>IFERROR(__xludf.DUMMYFUNCTION("""COMPUTED_VALUE"""),43438.99861111111)</f>
        <v>43438.99861</v>
      </c>
      <c r="B2804" s="1">
        <f>IFERROR(__xludf.DUMMYFUNCTION("""COMPUTED_VALUE"""),3932.475462)</f>
        <v>3932.475462</v>
      </c>
    </row>
    <row r="2805">
      <c r="A2805" s="3">
        <f>IFERROR(__xludf.DUMMYFUNCTION("""COMPUTED_VALUE"""),43439.99861111111)</f>
        <v>43439.99861</v>
      </c>
      <c r="B2805" s="1">
        <f>IFERROR(__xludf.DUMMYFUNCTION("""COMPUTED_VALUE"""),3927.992888)</f>
        <v>3927.992888</v>
      </c>
    </row>
    <row r="2806">
      <c r="A2806" s="3">
        <f>IFERROR(__xludf.DUMMYFUNCTION("""COMPUTED_VALUE"""),43440.99861111111)</f>
        <v>43440.99861</v>
      </c>
      <c r="B2806" s="1">
        <f>IFERROR(__xludf.DUMMYFUNCTION("""COMPUTED_VALUE"""),3954.23104)</f>
        <v>3954.23104</v>
      </c>
    </row>
    <row r="2807">
      <c r="A2807" s="3">
        <f>IFERROR(__xludf.DUMMYFUNCTION("""COMPUTED_VALUE"""),43441.99861111111)</f>
        <v>43441.99861</v>
      </c>
      <c r="B2807" s="1">
        <f>IFERROR(__xludf.DUMMYFUNCTION("""COMPUTED_VALUE"""),3958.705575)</f>
        <v>3958.705575</v>
      </c>
    </row>
    <row r="2808">
      <c r="A2808" s="3">
        <f>IFERROR(__xludf.DUMMYFUNCTION("""COMPUTED_VALUE"""),43443.99861111111)</f>
        <v>43443.99861</v>
      </c>
      <c r="B2808" s="1">
        <f>IFERROR(__xludf.DUMMYFUNCTION("""COMPUTED_VALUE"""),3937.26249)</f>
        <v>3937.26249</v>
      </c>
    </row>
    <row r="2809">
      <c r="A2809" s="3">
        <f>IFERROR(__xludf.DUMMYFUNCTION("""COMPUTED_VALUE"""),43444.99861111111)</f>
        <v>43444.99861</v>
      </c>
      <c r="B2809" s="1">
        <f>IFERROR(__xludf.DUMMYFUNCTION("""COMPUTED_VALUE"""),3959.52916)</f>
        <v>3959.52916</v>
      </c>
    </row>
    <row r="2810">
      <c r="A2810" s="3">
        <f>IFERROR(__xludf.DUMMYFUNCTION("""COMPUTED_VALUE"""),43445.99861111111)</f>
        <v>43445.99861</v>
      </c>
      <c r="B2810" s="1">
        <f>IFERROR(__xludf.DUMMYFUNCTION("""COMPUTED_VALUE"""),3983.861158)</f>
        <v>3983.861158</v>
      </c>
    </row>
    <row r="2811">
      <c r="A2811" s="3">
        <f>IFERROR(__xludf.DUMMYFUNCTION("""COMPUTED_VALUE"""),43446.99861111111)</f>
        <v>43446.99861</v>
      </c>
      <c r="B2811" s="1">
        <f>IFERROR(__xludf.DUMMYFUNCTION("""COMPUTED_VALUE"""),3968.184166)</f>
        <v>3968.184166</v>
      </c>
    </row>
    <row r="2812">
      <c r="A2812" s="3">
        <f>IFERROR(__xludf.DUMMYFUNCTION("""COMPUTED_VALUE"""),43447.99861111111)</f>
        <v>43447.99861</v>
      </c>
      <c r="B2812" s="1">
        <f>IFERROR(__xludf.DUMMYFUNCTION("""COMPUTED_VALUE"""),3960.0735)</f>
        <v>3960.0735</v>
      </c>
    </row>
    <row r="2813">
      <c r="A2813" s="3">
        <f>IFERROR(__xludf.DUMMYFUNCTION("""COMPUTED_VALUE"""),43448.99861111111)</f>
        <v>43448.99861</v>
      </c>
      <c r="B2813" s="1">
        <f>IFERROR(__xludf.DUMMYFUNCTION("""COMPUTED_VALUE"""),3968.04375)</f>
        <v>3968.04375</v>
      </c>
    </row>
    <row r="2814">
      <c r="A2814" s="3">
        <f>IFERROR(__xludf.DUMMYFUNCTION("""COMPUTED_VALUE"""),43450.99861111111)</f>
        <v>43450.99861</v>
      </c>
      <c r="B2814" s="1">
        <f>IFERROR(__xludf.DUMMYFUNCTION("""COMPUTED_VALUE"""),3968.56894)</f>
        <v>3968.56894</v>
      </c>
    </row>
    <row r="2815">
      <c r="A2815" s="3">
        <f>IFERROR(__xludf.DUMMYFUNCTION("""COMPUTED_VALUE"""),43451.99861111111)</f>
        <v>43451.99861</v>
      </c>
      <c r="B2815" s="1">
        <f>IFERROR(__xludf.DUMMYFUNCTION("""COMPUTED_VALUE"""),3970.606479)</f>
        <v>3970.606479</v>
      </c>
    </row>
    <row r="2816">
      <c r="A2816" s="3">
        <f>IFERROR(__xludf.DUMMYFUNCTION("""COMPUTED_VALUE"""),43452.99861111111)</f>
        <v>43452.99861</v>
      </c>
      <c r="B2816" s="1">
        <f>IFERROR(__xludf.DUMMYFUNCTION("""COMPUTED_VALUE"""),3943.7433)</f>
        <v>3943.7433</v>
      </c>
    </row>
    <row r="2817">
      <c r="A2817" s="3">
        <f>IFERROR(__xludf.DUMMYFUNCTION("""COMPUTED_VALUE"""),43453.99861111111)</f>
        <v>43453.99861</v>
      </c>
      <c r="B2817" s="1">
        <f>IFERROR(__xludf.DUMMYFUNCTION("""COMPUTED_VALUE"""),3944.55981)</f>
        <v>3944.55981</v>
      </c>
    </row>
    <row r="2818">
      <c r="A2818" s="3">
        <f>IFERROR(__xludf.DUMMYFUNCTION("""COMPUTED_VALUE"""),43454.99861111111)</f>
        <v>43454.99861</v>
      </c>
      <c r="B2818" s="1">
        <f>IFERROR(__xludf.DUMMYFUNCTION("""COMPUTED_VALUE"""),3955.936516)</f>
        <v>3955.936516</v>
      </c>
    </row>
    <row r="2819">
      <c r="A2819" s="3">
        <f>IFERROR(__xludf.DUMMYFUNCTION("""COMPUTED_VALUE"""),43455.99861111111)</f>
        <v>43455.99861</v>
      </c>
      <c r="B2819" s="1">
        <f>IFERROR(__xludf.DUMMYFUNCTION("""COMPUTED_VALUE"""),3959.67464)</f>
        <v>3959.67464</v>
      </c>
    </row>
    <row r="2820">
      <c r="A2820" s="3">
        <f>IFERROR(__xludf.DUMMYFUNCTION("""COMPUTED_VALUE"""),43456.99861111111)</f>
        <v>43456.99861</v>
      </c>
      <c r="B2820" s="1">
        <f>IFERROR(__xludf.DUMMYFUNCTION("""COMPUTED_VALUE"""),3961.87357)</f>
        <v>3961.87357</v>
      </c>
    </row>
    <row r="2821">
      <c r="A2821" s="3">
        <f>IFERROR(__xludf.DUMMYFUNCTION("""COMPUTED_VALUE"""),43457.99861111111)</f>
        <v>43457.99861</v>
      </c>
      <c r="B2821" s="1">
        <f>IFERROR(__xludf.DUMMYFUNCTION("""COMPUTED_VALUE"""),3960.54752)</f>
        <v>3960.54752</v>
      </c>
    </row>
    <row r="2822">
      <c r="A2822" s="3">
        <f>IFERROR(__xludf.DUMMYFUNCTION("""COMPUTED_VALUE"""),43458.99861111111)</f>
        <v>43458.99861</v>
      </c>
      <c r="B2822" s="1">
        <f>IFERROR(__xludf.DUMMYFUNCTION("""COMPUTED_VALUE"""),3960.25656)</f>
        <v>3960.25656</v>
      </c>
    </row>
    <row r="2823">
      <c r="A2823" s="3">
        <f>IFERROR(__xludf.DUMMYFUNCTION("""COMPUTED_VALUE"""),43459.99861111111)</f>
        <v>43459.99861</v>
      </c>
      <c r="B2823" s="1">
        <f>IFERROR(__xludf.DUMMYFUNCTION("""COMPUTED_VALUE"""),4004.2091)</f>
        <v>4004.2091</v>
      </c>
    </row>
    <row r="2824">
      <c r="A2824" s="3">
        <f>IFERROR(__xludf.DUMMYFUNCTION("""COMPUTED_VALUE"""),43460.99861111111)</f>
        <v>43460.99861</v>
      </c>
      <c r="B2824" s="1">
        <f>IFERROR(__xludf.DUMMYFUNCTION("""COMPUTED_VALUE"""),3977.40915)</f>
        <v>3977.40915</v>
      </c>
    </row>
    <row r="2825">
      <c r="A2825" s="3">
        <f>IFERROR(__xludf.DUMMYFUNCTION("""COMPUTED_VALUE"""),43461.99861111111)</f>
        <v>43461.99861</v>
      </c>
      <c r="B2825" s="1">
        <f>IFERROR(__xludf.DUMMYFUNCTION("""COMPUTED_VALUE"""),3963.230672)</f>
        <v>3963.230672</v>
      </c>
    </row>
    <row r="2826">
      <c r="A2826" s="3">
        <f>IFERROR(__xludf.DUMMYFUNCTION("""COMPUTED_VALUE"""),43462.99861111111)</f>
        <v>43462.99861</v>
      </c>
      <c r="B2826" s="1">
        <f>IFERROR(__xludf.DUMMYFUNCTION("""COMPUTED_VALUE"""),3964.2512)</f>
        <v>3964.2512</v>
      </c>
    </row>
    <row r="2827">
      <c r="A2827" s="3">
        <f>IFERROR(__xludf.DUMMYFUNCTION("""COMPUTED_VALUE"""),43464.99861111111)</f>
        <v>43464.99861</v>
      </c>
      <c r="B2827" s="1">
        <f>IFERROR(__xludf.DUMMYFUNCTION("""COMPUTED_VALUE"""),3962.05425)</f>
        <v>3962.05425</v>
      </c>
    </row>
    <row r="2828">
      <c r="A2828" s="3">
        <f>IFERROR(__xludf.DUMMYFUNCTION("""COMPUTED_VALUE"""),43465.99861111111)</f>
        <v>43465.99861</v>
      </c>
      <c r="B2828" s="1">
        <f>IFERROR(__xludf.DUMMYFUNCTION("""COMPUTED_VALUE"""),3936.8796)</f>
        <v>3936.8796</v>
      </c>
    </row>
    <row r="2829">
      <c r="A2829" s="3">
        <f>IFERROR(__xludf.DUMMYFUNCTION("""COMPUTED_VALUE"""),43466.99861111111)</f>
        <v>43466.99861</v>
      </c>
      <c r="B2829" s="1">
        <f>IFERROR(__xludf.DUMMYFUNCTION("""COMPUTED_VALUE"""),3936.1566)</f>
        <v>3936.1566</v>
      </c>
    </row>
    <row r="2830">
      <c r="A2830" s="3">
        <f>IFERROR(__xludf.DUMMYFUNCTION("""COMPUTED_VALUE"""),43467.99861111111)</f>
        <v>43467.99861</v>
      </c>
      <c r="B2830" s="1">
        <f>IFERROR(__xludf.DUMMYFUNCTION("""COMPUTED_VALUE"""),3921.888049)</f>
        <v>3921.888049</v>
      </c>
    </row>
    <row r="2831">
      <c r="A2831" s="3">
        <f>IFERROR(__xludf.DUMMYFUNCTION("""COMPUTED_VALUE"""),43468.99861111111)</f>
        <v>43468.99861</v>
      </c>
      <c r="B2831" s="1">
        <f>IFERROR(__xludf.DUMMYFUNCTION("""COMPUTED_VALUE"""),3912.552618)</f>
        <v>3912.552618</v>
      </c>
    </row>
    <row r="2832">
      <c r="A2832" s="3">
        <f>IFERROR(__xludf.DUMMYFUNCTION("""COMPUTED_VALUE"""),43469.99861111111)</f>
        <v>43469.99861</v>
      </c>
      <c r="B2832" s="1">
        <f>IFERROR(__xludf.DUMMYFUNCTION("""COMPUTED_VALUE"""),3872.892375)</f>
        <v>3872.892375</v>
      </c>
    </row>
    <row r="2833">
      <c r="A2833" s="3">
        <f>IFERROR(__xludf.DUMMYFUNCTION("""COMPUTED_VALUE"""),43470.99861111111)</f>
        <v>43470.99861</v>
      </c>
      <c r="B2833" s="1">
        <f>IFERROR(__xludf.DUMMYFUNCTION("""COMPUTED_VALUE"""),3871.327787)</f>
        <v>3871.327787</v>
      </c>
    </row>
    <row r="2834">
      <c r="A2834" s="3">
        <f>IFERROR(__xludf.DUMMYFUNCTION("""COMPUTED_VALUE"""),43471.99861111111)</f>
        <v>43471.99861</v>
      </c>
      <c r="B2834" s="1">
        <f>IFERROR(__xludf.DUMMYFUNCTION("""COMPUTED_VALUE"""),3883.90541)</f>
        <v>3883.90541</v>
      </c>
    </row>
    <row r="2835">
      <c r="A2835" s="3">
        <f>IFERROR(__xludf.DUMMYFUNCTION("""COMPUTED_VALUE"""),43472.99861111111)</f>
        <v>43472.99861</v>
      </c>
      <c r="B2835" s="1">
        <f>IFERROR(__xludf.DUMMYFUNCTION("""COMPUTED_VALUE"""),3832.97011)</f>
        <v>3832.97011</v>
      </c>
    </row>
    <row r="2836">
      <c r="A2836" s="3">
        <f>IFERROR(__xludf.DUMMYFUNCTION("""COMPUTED_VALUE"""),43473.99861111111)</f>
        <v>43473.99861</v>
      </c>
      <c r="B2836" s="1">
        <f>IFERROR(__xludf.DUMMYFUNCTION("""COMPUTED_VALUE"""),3847.93946)</f>
        <v>3847.93946</v>
      </c>
    </row>
    <row r="2837">
      <c r="A2837" s="3">
        <f>IFERROR(__xludf.DUMMYFUNCTION("""COMPUTED_VALUE"""),43474.99861111111)</f>
        <v>43474.99861</v>
      </c>
      <c r="B2837" s="1">
        <f>IFERROR(__xludf.DUMMYFUNCTION("""COMPUTED_VALUE"""),3845.7621)</f>
        <v>3845.7621</v>
      </c>
    </row>
    <row r="2838">
      <c r="A2838" s="3">
        <f>IFERROR(__xludf.DUMMYFUNCTION("""COMPUTED_VALUE"""),43475.99861111111)</f>
        <v>43475.99861</v>
      </c>
      <c r="B2838" s="1">
        <f>IFERROR(__xludf.DUMMYFUNCTION("""COMPUTED_VALUE"""),3823.44416)</f>
        <v>3823.44416</v>
      </c>
    </row>
    <row r="2839">
      <c r="A2839" s="3">
        <f>IFERROR(__xludf.DUMMYFUNCTION("""COMPUTED_VALUE"""),43476.99861111111)</f>
        <v>43476.99861</v>
      </c>
      <c r="B2839" s="1">
        <f>IFERROR(__xludf.DUMMYFUNCTION("""COMPUTED_VALUE"""),3832.852905)</f>
        <v>3832.852905</v>
      </c>
    </row>
    <row r="2840">
      <c r="A2840" s="3">
        <f>IFERROR(__xludf.DUMMYFUNCTION("""COMPUTED_VALUE"""),43477.99861111111)</f>
        <v>43477.99861</v>
      </c>
      <c r="B2840" s="1">
        <f>IFERROR(__xludf.DUMMYFUNCTION("""COMPUTED_VALUE"""),3822.360133)</f>
        <v>3822.360133</v>
      </c>
    </row>
    <row r="2841">
      <c r="A2841" s="3">
        <f>IFERROR(__xludf.DUMMYFUNCTION("""COMPUTED_VALUE"""),43478.99861111111)</f>
        <v>43478.99861</v>
      </c>
      <c r="B2841" s="1">
        <f>IFERROR(__xludf.DUMMYFUNCTION("""COMPUTED_VALUE"""),3821.56474)</f>
        <v>3821.56474</v>
      </c>
    </row>
    <row r="2842">
      <c r="A2842" s="3">
        <f>IFERROR(__xludf.DUMMYFUNCTION("""COMPUTED_VALUE"""),43479.99861111111)</f>
        <v>43479.99861</v>
      </c>
      <c r="B2842" s="1">
        <f>IFERROR(__xludf.DUMMYFUNCTION("""COMPUTED_VALUE"""),3842.22389)</f>
        <v>3842.22389</v>
      </c>
    </row>
    <row r="2843">
      <c r="A2843" s="3">
        <f>IFERROR(__xludf.DUMMYFUNCTION("""COMPUTED_VALUE"""),43480.99861111111)</f>
        <v>43480.99861</v>
      </c>
      <c r="B2843" s="1">
        <f>IFERROR(__xludf.DUMMYFUNCTION("""COMPUTED_VALUE"""),3840.59087)</f>
        <v>3840.59087</v>
      </c>
    </row>
    <row r="2844">
      <c r="A2844" s="3">
        <f>IFERROR(__xludf.DUMMYFUNCTION("""COMPUTED_VALUE"""),43481.99861111111)</f>
        <v>43481.99861</v>
      </c>
      <c r="B2844" s="1">
        <f>IFERROR(__xludf.DUMMYFUNCTION("""COMPUTED_VALUE"""),3848.4838)</f>
        <v>3848.4838</v>
      </c>
    </row>
    <row r="2845">
      <c r="A2845" s="3">
        <f>IFERROR(__xludf.DUMMYFUNCTION("""COMPUTED_VALUE"""),43482.99861111111)</f>
        <v>43482.99861</v>
      </c>
      <c r="B2845" s="1">
        <f>IFERROR(__xludf.DUMMYFUNCTION("""COMPUTED_VALUE"""),3857.46541)</f>
        <v>3857.46541</v>
      </c>
    </row>
    <row r="2846">
      <c r="A2846" s="3">
        <f>IFERROR(__xludf.DUMMYFUNCTION("""COMPUTED_VALUE"""),43483.99861111111)</f>
        <v>43483.99861</v>
      </c>
      <c r="B2846" s="1">
        <f>IFERROR(__xludf.DUMMYFUNCTION("""COMPUTED_VALUE"""),3874.38975)</f>
        <v>3874.38975</v>
      </c>
    </row>
    <row r="2847">
      <c r="A2847" s="3">
        <f>IFERROR(__xludf.DUMMYFUNCTION("""COMPUTED_VALUE"""),43485.99861111111)</f>
        <v>43485.99861</v>
      </c>
      <c r="B2847" s="1">
        <f>IFERROR(__xludf.DUMMYFUNCTION("""COMPUTED_VALUE"""),3856.95464)</f>
        <v>3856.95464</v>
      </c>
    </row>
    <row r="2848">
      <c r="A2848" s="3">
        <f>IFERROR(__xludf.DUMMYFUNCTION("""COMPUTED_VALUE"""),43486.99861111111)</f>
        <v>43486.99861</v>
      </c>
      <c r="B2848" s="1">
        <f>IFERROR(__xludf.DUMMYFUNCTION("""COMPUTED_VALUE"""),3893.93619)</f>
        <v>3893.93619</v>
      </c>
    </row>
    <row r="2849">
      <c r="A2849" s="3">
        <f>IFERROR(__xludf.DUMMYFUNCTION("""COMPUTED_VALUE"""),43487.99861111111)</f>
        <v>43487.99861</v>
      </c>
      <c r="B2849" s="1">
        <f>IFERROR(__xludf.DUMMYFUNCTION("""COMPUTED_VALUE"""),3866.99136)</f>
        <v>3866.99136</v>
      </c>
    </row>
    <row r="2850">
      <c r="A2850" s="3">
        <f>IFERROR(__xludf.DUMMYFUNCTION("""COMPUTED_VALUE"""),43488.99861111111)</f>
        <v>43488.99861</v>
      </c>
      <c r="B2850" s="1">
        <f>IFERROR(__xludf.DUMMYFUNCTION("""COMPUTED_VALUE"""),3846.007053)</f>
        <v>3846.007053</v>
      </c>
    </row>
    <row r="2851">
      <c r="A2851" s="3">
        <f>IFERROR(__xludf.DUMMYFUNCTION("""COMPUTED_VALUE"""),43489.99861111111)</f>
        <v>43489.99861</v>
      </c>
      <c r="B2851" s="1">
        <f>IFERROR(__xludf.DUMMYFUNCTION("""COMPUTED_VALUE"""),3861.82013)</f>
        <v>3861.82013</v>
      </c>
    </row>
    <row r="2852">
      <c r="A2852" s="3">
        <f>IFERROR(__xludf.DUMMYFUNCTION("""COMPUTED_VALUE"""),43490.99861111111)</f>
        <v>43490.99861</v>
      </c>
      <c r="B2852" s="1">
        <f>IFERROR(__xludf.DUMMYFUNCTION("""COMPUTED_VALUE"""),3829.19172)</f>
        <v>3829.19172</v>
      </c>
    </row>
    <row r="2853">
      <c r="A2853" s="3">
        <f>IFERROR(__xludf.DUMMYFUNCTION("""COMPUTED_VALUE"""),43491.99861111111)</f>
        <v>43491.99861</v>
      </c>
      <c r="B2853" s="1">
        <f>IFERROR(__xludf.DUMMYFUNCTION("""COMPUTED_VALUE"""),3828.256125)</f>
        <v>3828.256125</v>
      </c>
    </row>
    <row r="2854">
      <c r="A2854" s="3">
        <f>IFERROR(__xludf.DUMMYFUNCTION("""COMPUTED_VALUE"""),43492.99861111111)</f>
        <v>43492.99861</v>
      </c>
      <c r="B2854" s="1">
        <f>IFERROR(__xludf.DUMMYFUNCTION("""COMPUTED_VALUE"""),3832.45394)</f>
        <v>3832.45394</v>
      </c>
    </row>
    <row r="2855">
      <c r="A2855" s="3">
        <f>IFERROR(__xludf.DUMMYFUNCTION("""COMPUTED_VALUE"""),43493.99861111111)</f>
        <v>43493.99861</v>
      </c>
      <c r="B2855" s="1">
        <f>IFERROR(__xludf.DUMMYFUNCTION("""COMPUTED_VALUE"""),3827.52671)</f>
        <v>3827.52671</v>
      </c>
    </row>
    <row r="2856">
      <c r="A2856" s="3">
        <f>IFERROR(__xludf.DUMMYFUNCTION("""COMPUTED_VALUE"""),43494.99861111111)</f>
        <v>43494.99861</v>
      </c>
      <c r="B2856" s="1">
        <f>IFERROR(__xludf.DUMMYFUNCTION("""COMPUTED_VALUE"""),3830.52058)</f>
        <v>3830.52058</v>
      </c>
    </row>
    <row r="2857">
      <c r="A2857" s="3">
        <f>IFERROR(__xludf.DUMMYFUNCTION("""COMPUTED_VALUE"""),43495.99861111111)</f>
        <v>43495.99861</v>
      </c>
      <c r="B2857" s="1">
        <f>IFERROR(__xludf.DUMMYFUNCTION("""COMPUTED_VALUE"""),3819.36161)</f>
        <v>3819.36161</v>
      </c>
    </row>
    <row r="2858">
      <c r="A2858" s="3">
        <f>IFERROR(__xludf.DUMMYFUNCTION("""COMPUTED_VALUE"""),43496.99861111111)</f>
        <v>43496.99861</v>
      </c>
      <c r="B2858" s="1">
        <f>IFERROR(__xludf.DUMMYFUNCTION("""COMPUTED_VALUE"""),3801.12622)</f>
        <v>3801.12622</v>
      </c>
    </row>
    <row r="2859">
      <c r="A2859" s="3">
        <f>IFERROR(__xludf.DUMMYFUNCTION("""COMPUTED_VALUE"""),43497.99861111111)</f>
        <v>43497.99861</v>
      </c>
      <c r="B2859" s="1">
        <f>IFERROR(__xludf.DUMMYFUNCTION("""COMPUTED_VALUE"""),3792.3032)</f>
        <v>3792.3032</v>
      </c>
    </row>
    <row r="2860">
      <c r="A2860" s="3">
        <f>IFERROR(__xludf.DUMMYFUNCTION("""COMPUTED_VALUE"""),43499.99861111111)</f>
        <v>43499.99861</v>
      </c>
      <c r="B2860" s="1">
        <f>IFERROR(__xludf.DUMMYFUNCTION("""COMPUTED_VALUE"""),3792.98059)</f>
        <v>3792.98059</v>
      </c>
    </row>
    <row r="2861">
      <c r="A2861" s="3">
        <f>IFERROR(__xludf.DUMMYFUNCTION("""COMPUTED_VALUE"""),43500.99861111111)</f>
        <v>43500.99861</v>
      </c>
      <c r="B2861" s="1">
        <f>IFERROR(__xludf.DUMMYFUNCTION("""COMPUTED_VALUE"""),3798.812775)</f>
        <v>3798.812775</v>
      </c>
    </row>
    <row r="2862">
      <c r="A2862" s="3">
        <f>IFERROR(__xludf.DUMMYFUNCTION("""COMPUTED_VALUE"""),43501.99861111111)</f>
        <v>43501.99861</v>
      </c>
      <c r="B2862" s="1">
        <f>IFERROR(__xludf.DUMMYFUNCTION("""COMPUTED_VALUE"""),3798.023625)</f>
        <v>3798.023625</v>
      </c>
    </row>
    <row r="2863">
      <c r="A2863" s="3">
        <f>IFERROR(__xludf.DUMMYFUNCTION("""COMPUTED_VALUE"""),43502.99861111111)</f>
        <v>43502.99861</v>
      </c>
      <c r="B2863" s="1">
        <f>IFERROR(__xludf.DUMMYFUNCTION("""COMPUTED_VALUE"""),3787.24555)</f>
        <v>3787.24555</v>
      </c>
    </row>
    <row r="2864">
      <c r="A2864" s="3">
        <f>IFERROR(__xludf.DUMMYFUNCTION("""COMPUTED_VALUE"""),43503.99861111111)</f>
        <v>43503.99861</v>
      </c>
      <c r="B2864" s="1">
        <f>IFERROR(__xludf.DUMMYFUNCTION("""COMPUTED_VALUE"""),3801.12622)</f>
        <v>3801.12622</v>
      </c>
    </row>
    <row r="2865">
      <c r="A2865" s="3">
        <f>IFERROR(__xludf.DUMMYFUNCTION("""COMPUTED_VALUE"""),43504.99861111111)</f>
        <v>43504.99861</v>
      </c>
      <c r="B2865" s="1">
        <f>IFERROR(__xludf.DUMMYFUNCTION("""COMPUTED_VALUE"""),3818.735619)</f>
        <v>3818.735619</v>
      </c>
    </row>
    <row r="2866">
      <c r="A2866" s="3">
        <f>IFERROR(__xludf.DUMMYFUNCTION("""COMPUTED_VALUE"""),43505.99861111111)</f>
        <v>43505.99861</v>
      </c>
      <c r="B2866" s="1">
        <f>IFERROR(__xludf.DUMMYFUNCTION("""COMPUTED_VALUE"""),3819.179256)</f>
        <v>3819.179256</v>
      </c>
    </row>
    <row r="2867">
      <c r="A2867" s="3">
        <f>IFERROR(__xludf.DUMMYFUNCTION("""COMPUTED_VALUE"""),43506.99861111111)</f>
        <v>43506.99861</v>
      </c>
      <c r="B2867" s="1">
        <f>IFERROR(__xludf.DUMMYFUNCTION("""COMPUTED_VALUE"""),3799.92592)</f>
        <v>3799.92592</v>
      </c>
    </row>
    <row r="2868">
      <c r="A2868" s="3">
        <f>IFERROR(__xludf.DUMMYFUNCTION("""COMPUTED_VALUE"""),43507.99861111111)</f>
        <v>43507.99861</v>
      </c>
      <c r="B2868" s="1">
        <f>IFERROR(__xludf.DUMMYFUNCTION("""COMPUTED_VALUE"""),3819.36161)</f>
        <v>3819.36161</v>
      </c>
    </row>
    <row r="2869">
      <c r="A2869" s="3">
        <f>IFERROR(__xludf.DUMMYFUNCTION("""COMPUTED_VALUE"""),43508.99861111111)</f>
        <v>43508.99861</v>
      </c>
      <c r="B2869" s="1">
        <f>IFERROR(__xludf.DUMMYFUNCTION("""COMPUTED_VALUE"""),3813.976686)</f>
        <v>3813.976686</v>
      </c>
    </row>
    <row r="2870">
      <c r="A2870" s="3">
        <f>IFERROR(__xludf.DUMMYFUNCTION("""COMPUTED_VALUE"""),43509.99861111111)</f>
        <v>43509.99861</v>
      </c>
      <c r="B2870" s="1">
        <f>IFERROR(__xludf.DUMMYFUNCTION("""COMPUTED_VALUE"""),3851.47767)</f>
        <v>3851.47767</v>
      </c>
    </row>
    <row r="2871">
      <c r="A2871" s="3">
        <f>IFERROR(__xludf.DUMMYFUNCTION("""COMPUTED_VALUE"""),43510.99861111111)</f>
        <v>43510.99861</v>
      </c>
      <c r="B2871" s="1">
        <f>IFERROR(__xludf.DUMMYFUNCTION("""COMPUTED_VALUE"""),3833.11094)</f>
        <v>3833.11094</v>
      </c>
    </row>
    <row r="2872">
      <c r="A2872" s="3">
        <f>IFERROR(__xludf.DUMMYFUNCTION("""COMPUTED_VALUE"""),43511.99861111111)</f>
        <v>43511.99861</v>
      </c>
      <c r="B2872" s="1">
        <f>IFERROR(__xludf.DUMMYFUNCTION("""COMPUTED_VALUE"""),3839.727408)</f>
        <v>3839.727408</v>
      </c>
    </row>
    <row r="2873">
      <c r="A2873" s="3">
        <f>IFERROR(__xludf.DUMMYFUNCTION("""COMPUTED_VALUE"""),43512.99861111111)</f>
        <v>43512.99861</v>
      </c>
      <c r="B2873" s="1">
        <f>IFERROR(__xludf.DUMMYFUNCTION("""COMPUTED_VALUE"""),3848.834588)</f>
        <v>3848.834588</v>
      </c>
    </row>
    <row r="2874">
      <c r="A2874" s="3">
        <f>IFERROR(__xludf.DUMMYFUNCTION("""COMPUTED_VALUE"""),43513.99861111111)</f>
        <v>43513.99861</v>
      </c>
      <c r="B2874" s="1">
        <f>IFERROR(__xludf.DUMMYFUNCTION("""COMPUTED_VALUE"""),3848.24328)</f>
        <v>3848.24328</v>
      </c>
    </row>
    <row r="2875">
      <c r="A2875" s="3">
        <f>IFERROR(__xludf.DUMMYFUNCTION("""COMPUTED_VALUE"""),43514.99861111111)</f>
        <v>43514.99861</v>
      </c>
      <c r="B2875" s="1">
        <f>IFERROR(__xludf.DUMMYFUNCTION("""COMPUTED_VALUE"""),3862.772725)</f>
        <v>3862.772725</v>
      </c>
    </row>
    <row r="2876">
      <c r="A2876" s="3">
        <f>IFERROR(__xludf.DUMMYFUNCTION("""COMPUTED_VALUE"""),43515.99861111111)</f>
        <v>43515.99861</v>
      </c>
      <c r="B2876" s="1">
        <f>IFERROR(__xludf.DUMMYFUNCTION("""COMPUTED_VALUE"""),3836.644405)</f>
        <v>3836.644405</v>
      </c>
    </row>
    <row r="2877">
      <c r="A2877" s="3">
        <f>IFERROR(__xludf.DUMMYFUNCTION("""COMPUTED_VALUE"""),43516.99861111111)</f>
        <v>43516.99861</v>
      </c>
      <c r="B2877" s="1">
        <f>IFERROR(__xludf.DUMMYFUNCTION("""COMPUTED_VALUE"""),3819.36161)</f>
        <v>3819.36161</v>
      </c>
    </row>
    <row r="2878">
      <c r="A2878" s="3">
        <f>IFERROR(__xludf.DUMMYFUNCTION("""COMPUTED_VALUE"""),43517.99861111111)</f>
        <v>43517.99861</v>
      </c>
      <c r="B2878" s="1">
        <f>IFERROR(__xludf.DUMMYFUNCTION("""COMPUTED_VALUE"""),3843.0404)</f>
        <v>3843.0404</v>
      </c>
    </row>
    <row r="2879">
      <c r="A2879" s="3">
        <f>IFERROR(__xludf.DUMMYFUNCTION("""COMPUTED_VALUE"""),43518.99861111111)</f>
        <v>43518.99861</v>
      </c>
      <c r="B2879" s="1">
        <f>IFERROR(__xludf.DUMMYFUNCTION("""COMPUTED_VALUE"""),3814.521046)</f>
        <v>3814.521046</v>
      </c>
    </row>
    <row r="2880">
      <c r="A2880" s="3">
        <f>IFERROR(__xludf.DUMMYFUNCTION("""COMPUTED_VALUE"""),43519.99861111111)</f>
        <v>43519.99861</v>
      </c>
      <c r="B2880" s="1">
        <f>IFERROR(__xludf.DUMMYFUNCTION("""COMPUTED_VALUE"""),3814.929316)</f>
        <v>3814.929316</v>
      </c>
    </row>
    <row r="2881">
      <c r="A2881" s="3">
        <f>IFERROR(__xludf.DUMMYFUNCTION("""COMPUTED_VALUE"""),43520.99861111111)</f>
        <v>43520.99861</v>
      </c>
      <c r="B2881" s="1">
        <f>IFERROR(__xludf.DUMMYFUNCTION("""COMPUTED_VALUE"""),3825.10373)</f>
        <v>3825.10373</v>
      </c>
    </row>
    <row r="2882">
      <c r="A2882" s="3">
        <f>IFERROR(__xludf.DUMMYFUNCTION("""COMPUTED_VALUE"""),43521.99861111111)</f>
        <v>43521.99861</v>
      </c>
      <c r="B2882" s="1">
        <f>IFERROR(__xludf.DUMMYFUNCTION("""COMPUTED_VALUE"""),3814.49475)</f>
        <v>3814.49475</v>
      </c>
    </row>
    <row r="2883">
      <c r="A2883" s="3">
        <f>IFERROR(__xludf.DUMMYFUNCTION("""COMPUTED_VALUE"""),43522.99861111111)</f>
        <v>43522.99861</v>
      </c>
      <c r="B2883" s="1">
        <f>IFERROR(__xludf.DUMMYFUNCTION("""COMPUTED_VALUE"""),3799.4932)</f>
        <v>3799.4932</v>
      </c>
    </row>
    <row r="2884">
      <c r="A2884" s="3">
        <f>IFERROR(__xludf.DUMMYFUNCTION("""COMPUTED_VALUE"""),43523.99861111111)</f>
        <v>43523.99861</v>
      </c>
      <c r="B2884" s="1">
        <f>IFERROR(__xludf.DUMMYFUNCTION("""COMPUTED_VALUE"""),3814.46255)</f>
        <v>3814.46255</v>
      </c>
    </row>
    <row r="2885">
      <c r="A2885" s="3">
        <f>IFERROR(__xludf.DUMMYFUNCTION("""COMPUTED_VALUE"""),43524.99861111111)</f>
        <v>43524.99861</v>
      </c>
      <c r="B2885" s="1">
        <f>IFERROR(__xludf.DUMMYFUNCTION("""COMPUTED_VALUE"""),3863.18098)</f>
        <v>3863.18098</v>
      </c>
    </row>
    <row r="2886">
      <c r="A2886" s="3">
        <f>IFERROR(__xludf.DUMMYFUNCTION("""COMPUTED_VALUE"""),43525.99861111111)</f>
        <v>43525.99861</v>
      </c>
      <c r="B2886" s="1">
        <f>IFERROR(__xludf.DUMMYFUNCTION("""COMPUTED_VALUE"""),3858.735375)</f>
        <v>3858.735375</v>
      </c>
    </row>
    <row r="2887">
      <c r="A2887" s="3">
        <f>IFERROR(__xludf.DUMMYFUNCTION("""COMPUTED_VALUE"""),43526.99861111111)</f>
        <v>43526.99861</v>
      </c>
      <c r="B2887" s="1">
        <f>IFERROR(__xludf.DUMMYFUNCTION("""COMPUTED_VALUE"""),3841.106437)</f>
        <v>3841.106437</v>
      </c>
    </row>
    <row r="2888">
      <c r="A2888" s="3">
        <f>IFERROR(__xludf.DUMMYFUNCTION("""COMPUTED_VALUE"""),43527.99861111111)</f>
        <v>43527.99861</v>
      </c>
      <c r="B2888" s="1">
        <f>IFERROR(__xludf.DUMMYFUNCTION("""COMPUTED_VALUE"""),3842.928586)</f>
        <v>3842.928586</v>
      </c>
    </row>
    <row r="2889">
      <c r="A2889" s="3">
        <f>IFERROR(__xludf.DUMMYFUNCTION("""COMPUTED_VALUE"""),43528.99861111111)</f>
        <v>43528.99861</v>
      </c>
      <c r="B2889" s="1">
        <f>IFERROR(__xludf.DUMMYFUNCTION("""COMPUTED_VALUE"""),3869.241983)</f>
        <v>3869.241983</v>
      </c>
    </row>
    <row r="2890">
      <c r="A2890" s="3">
        <f>IFERROR(__xludf.DUMMYFUNCTION("""COMPUTED_VALUE"""),43529.99861111111)</f>
        <v>43529.99861</v>
      </c>
      <c r="B2890" s="1">
        <f>IFERROR(__xludf.DUMMYFUNCTION("""COMPUTED_VALUE"""),3853.491852)</f>
        <v>3853.491852</v>
      </c>
    </row>
    <row r="2891">
      <c r="A2891" s="3">
        <f>IFERROR(__xludf.DUMMYFUNCTION("""COMPUTED_VALUE"""),43530.99861111111)</f>
        <v>43530.99861</v>
      </c>
      <c r="B2891" s="1">
        <f>IFERROR(__xludf.DUMMYFUNCTION("""COMPUTED_VALUE"""),3870.875436)</f>
        <v>3870.875436</v>
      </c>
    </row>
    <row r="2892">
      <c r="A2892" s="3">
        <f>IFERROR(__xludf.DUMMYFUNCTION("""COMPUTED_VALUE"""),43531.99861111111)</f>
        <v>43531.99861</v>
      </c>
      <c r="B2892" s="1">
        <f>IFERROR(__xludf.DUMMYFUNCTION("""COMPUTED_VALUE"""),3877.394963)</f>
        <v>3877.394963</v>
      </c>
    </row>
    <row r="2893">
      <c r="A2893" s="3">
        <f>IFERROR(__xludf.DUMMYFUNCTION("""COMPUTED_VALUE"""),43532.99861111111)</f>
        <v>43532.99861</v>
      </c>
      <c r="B2893" s="1">
        <f>IFERROR(__xludf.DUMMYFUNCTION("""COMPUTED_VALUE"""),3895.96905)</f>
        <v>3895.96905</v>
      </c>
    </row>
    <row r="2894">
      <c r="A2894" s="3">
        <f>IFERROR(__xludf.DUMMYFUNCTION("""COMPUTED_VALUE"""),43533.99861111111)</f>
        <v>43533.99861</v>
      </c>
      <c r="B2894" s="1">
        <f>IFERROR(__xludf.DUMMYFUNCTION("""COMPUTED_VALUE"""),3895.997813)</f>
        <v>3895.997813</v>
      </c>
    </row>
    <row r="2895">
      <c r="A2895" s="3">
        <f>IFERROR(__xludf.DUMMYFUNCTION("""COMPUTED_VALUE"""),43534.99861111111)</f>
        <v>43534.99861</v>
      </c>
      <c r="B2895" s="1">
        <f>IFERROR(__xludf.DUMMYFUNCTION("""COMPUTED_VALUE"""),3895.96905)</f>
        <v>3895.96905</v>
      </c>
    </row>
    <row r="2896">
      <c r="A2896" s="3">
        <f>IFERROR(__xludf.DUMMYFUNCTION("""COMPUTED_VALUE"""),43535.99861111111)</f>
        <v>43535.99861</v>
      </c>
      <c r="B2896" s="1">
        <f>IFERROR(__xludf.DUMMYFUNCTION("""COMPUTED_VALUE"""),3890.340752)</f>
        <v>3890.340752</v>
      </c>
    </row>
    <row r="2897">
      <c r="A2897" s="3">
        <f>IFERROR(__xludf.DUMMYFUNCTION("""COMPUTED_VALUE"""),43536.99861111111)</f>
        <v>43536.99861</v>
      </c>
      <c r="B2897" s="1">
        <f>IFERROR(__xludf.DUMMYFUNCTION("""COMPUTED_VALUE"""),3883.574925)</f>
        <v>3883.574925</v>
      </c>
    </row>
    <row r="2898">
      <c r="A2898" s="3">
        <f>IFERROR(__xludf.DUMMYFUNCTION("""COMPUTED_VALUE"""),43537.99861111111)</f>
        <v>43537.99861</v>
      </c>
      <c r="B2898" s="1">
        <f>IFERROR(__xludf.DUMMYFUNCTION("""COMPUTED_VALUE"""),3883.574925)</f>
        <v>3883.574925</v>
      </c>
    </row>
    <row r="2899">
      <c r="A2899" s="3">
        <f>IFERROR(__xludf.DUMMYFUNCTION("""COMPUTED_VALUE"""),43538.99861111111)</f>
        <v>43538.99861</v>
      </c>
      <c r="B2899" s="1">
        <f>IFERROR(__xludf.DUMMYFUNCTION("""COMPUTED_VALUE"""),3891.42972)</f>
        <v>3891.42972</v>
      </c>
    </row>
    <row r="2900">
      <c r="A2900" s="3">
        <f>IFERROR(__xludf.DUMMYFUNCTION("""COMPUTED_VALUE"""),43539.99861111111)</f>
        <v>43539.99861</v>
      </c>
      <c r="B2900" s="1">
        <f>IFERROR(__xludf.DUMMYFUNCTION("""COMPUTED_VALUE"""),3884.835275)</f>
        <v>3884.835275</v>
      </c>
    </row>
    <row r="2901">
      <c r="A2901" s="3">
        <f>IFERROR(__xludf.DUMMYFUNCTION("""COMPUTED_VALUE"""),43540.99861111111)</f>
        <v>43540.99861</v>
      </c>
      <c r="B2901" s="1">
        <f>IFERROR(__xludf.DUMMYFUNCTION("""COMPUTED_VALUE"""),3880.995025)</f>
        <v>3880.995025</v>
      </c>
    </row>
    <row r="2902">
      <c r="A2902" s="3">
        <f>IFERROR(__xludf.DUMMYFUNCTION("""COMPUTED_VALUE"""),43541.99861111111)</f>
        <v>43541.99861</v>
      </c>
      <c r="B2902" s="1">
        <f>IFERROR(__xludf.DUMMYFUNCTION("""COMPUTED_VALUE"""),3882.102011)</f>
        <v>3882.102011</v>
      </c>
    </row>
    <row r="2903">
      <c r="A2903" s="3">
        <f>IFERROR(__xludf.DUMMYFUNCTION("""COMPUTED_VALUE"""),43542.99861111111)</f>
        <v>43542.99861</v>
      </c>
      <c r="B2903" s="1">
        <f>IFERROR(__xludf.DUMMYFUNCTION("""COMPUTED_VALUE"""),3881.629002)</f>
        <v>3881.629002</v>
      </c>
    </row>
    <row r="2904">
      <c r="A2904" s="3">
        <f>IFERROR(__xludf.DUMMYFUNCTION("""COMPUTED_VALUE"""),43543.99861111111)</f>
        <v>43543.99861</v>
      </c>
      <c r="B2904" s="1">
        <f>IFERROR(__xludf.DUMMYFUNCTION("""COMPUTED_VALUE"""),3874.006221)</f>
        <v>3874.006221</v>
      </c>
    </row>
    <row r="2905">
      <c r="A2905" s="3">
        <f>IFERROR(__xludf.DUMMYFUNCTION("""COMPUTED_VALUE"""),43544.99861111111)</f>
        <v>43544.99861</v>
      </c>
      <c r="B2905" s="1">
        <f>IFERROR(__xludf.DUMMYFUNCTION("""COMPUTED_VALUE"""),3828.269535)</f>
        <v>3828.269535</v>
      </c>
    </row>
    <row r="2906">
      <c r="A2906" s="3">
        <f>IFERROR(__xludf.DUMMYFUNCTION("""COMPUTED_VALUE"""),43545.99861111111)</f>
        <v>43545.99861</v>
      </c>
      <c r="B2906" s="1">
        <f>IFERROR(__xludf.DUMMYFUNCTION("""COMPUTED_VALUE"""),3849.5443)</f>
        <v>3849.5443</v>
      </c>
    </row>
    <row r="2907">
      <c r="A2907" s="3">
        <f>IFERROR(__xludf.DUMMYFUNCTION("""COMPUTED_VALUE"""),43546.99861111111)</f>
        <v>43546.99861</v>
      </c>
      <c r="B2907" s="1">
        <f>IFERROR(__xludf.DUMMYFUNCTION("""COMPUTED_VALUE"""),3895.288412)</f>
        <v>3895.288412</v>
      </c>
    </row>
    <row r="2908">
      <c r="A2908" s="3">
        <f>IFERROR(__xludf.DUMMYFUNCTION("""COMPUTED_VALUE"""),43547.99861111111)</f>
        <v>43547.99861</v>
      </c>
      <c r="B2908" s="1">
        <f>IFERROR(__xludf.DUMMYFUNCTION("""COMPUTED_VALUE"""),3895.288412)</f>
        <v>3895.288412</v>
      </c>
    </row>
    <row r="2909">
      <c r="A2909" s="3">
        <f>IFERROR(__xludf.DUMMYFUNCTION("""COMPUTED_VALUE"""),43548.99861111111)</f>
        <v>43548.99861</v>
      </c>
      <c r="B2909" s="1">
        <f>IFERROR(__xludf.DUMMYFUNCTION("""COMPUTED_VALUE"""),3856.531028)</f>
        <v>3856.531028</v>
      </c>
    </row>
    <row r="2910">
      <c r="A2910" s="3">
        <f>IFERROR(__xludf.DUMMYFUNCTION("""COMPUTED_VALUE"""),43549.99861111111)</f>
        <v>43549.99861</v>
      </c>
      <c r="B2910" s="1">
        <f>IFERROR(__xludf.DUMMYFUNCTION("""COMPUTED_VALUE"""),3860.4341)</f>
        <v>3860.4341</v>
      </c>
    </row>
    <row r="2911">
      <c r="A2911" s="3">
        <f>IFERROR(__xludf.DUMMYFUNCTION("""COMPUTED_VALUE"""),43550.99861111111)</f>
        <v>43550.99861</v>
      </c>
      <c r="B2911" s="1">
        <f>IFERROR(__xludf.DUMMYFUNCTION("""COMPUTED_VALUE"""),3857.881831)</f>
        <v>3857.881831</v>
      </c>
    </row>
    <row r="2912">
      <c r="A2912" s="3">
        <f>IFERROR(__xludf.DUMMYFUNCTION("""COMPUTED_VALUE"""),43551.99861111111)</f>
        <v>43551.99861</v>
      </c>
      <c r="B2912" s="1">
        <f>IFERROR(__xludf.DUMMYFUNCTION("""COMPUTED_VALUE"""),3906.7875)</f>
        <v>3906.7875</v>
      </c>
    </row>
    <row r="2913">
      <c r="A2913" s="3">
        <f>IFERROR(__xludf.DUMMYFUNCTION("""COMPUTED_VALUE"""),43552.99861111111)</f>
        <v>43552.99861</v>
      </c>
      <c r="B2913" s="1">
        <f>IFERROR(__xludf.DUMMYFUNCTION("""COMPUTED_VALUE"""),3877.31329)</f>
        <v>3877.31329</v>
      </c>
    </row>
    <row r="2914">
      <c r="A2914" s="3">
        <f>IFERROR(__xludf.DUMMYFUNCTION("""COMPUTED_VALUE"""),43553.99861111111)</f>
        <v>43553.99861</v>
      </c>
      <c r="B2914" s="1">
        <f>IFERROR(__xludf.DUMMYFUNCTION("""COMPUTED_VALUE"""),3896.642685)</f>
        <v>3896.642685</v>
      </c>
    </row>
    <row r="2915">
      <c r="A2915" s="3">
        <f>IFERROR(__xludf.DUMMYFUNCTION("""COMPUTED_VALUE"""),43554.99861111111)</f>
        <v>43554.99861</v>
      </c>
      <c r="B2915" s="1">
        <f>IFERROR(__xludf.DUMMYFUNCTION("""COMPUTED_VALUE"""),3876.7688)</f>
        <v>3876.7688</v>
      </c>
    </row>
    <row r="2916">
      <c r="A2916" s="3">
        <f>IFERROR(__xludf.DUMMYFUNCTION("""COMPUTED_VALUE"""),43555.99861111111)</f>
        <v>43555.99861</v>
      </c>
      <c r="B2916" s="1">
        <f>IFERROR(__xludf.DUMMYFUNCTION("""COMPUTED_VALUE"""),3877.196)</f>
        <v>3877.196</v>
      </c>
    </row>
    <row r="2917">
      <c r="A2917" s="3">
        <f>IFERROR(__xludf.DUMMYFUNCTION("""COMPUTED_VALUE"""),43556.99861111111)</f>
        <v>43556.99861</v>
      </c>
      <c r="B2917" s="1">
        <f>IFERROR(__xludf.DUMMYFUNCTION("""COMPUTED_VALUE"""),3878.40227)</f>
        <v>3878.40227</v>
      </c>
    </row>
    <row r="2918">
      <c r="A2918" s="3">
        <f>IFERROR(__xludf.DUMMYFUNCTION("""COMPUTED_VALUE"""),43557.99861111111)</f>
        <v>43557.99861</v>
      </c>
      <c r="B2918" s="1">
        <f>IFERROR(__xludf.DUMMYFUNCTION("""COMPUTED_VALUE"""),3871.3239)</f>
        <v>3871.3239</v>
      </c>
    </row>
    <row r="2919">
      <c r="A2919" s="3">
        <f>IFERROR(__xludf.DUMMYFUNCTION("""COMPUTED_VALUE"""),43558.99861111111)</f>
        <v>43558.99861</v>
      </c>
      <c r="B2919" s="1">
        <f>IFERROR(__xludf.DUMMYFUNCTION("""COMPUTED_VALUE"""),3871.283799)</f>
        <v>3871.283799</v>
      </c>
    </row>
    <row r="2920">
      <c r="A2920" s="3">
        <f>IFERROR(__xludf.DUMMYFUNCTION("""COMPUTED_VALUE"""),43559.99861111111)</f>
        <v>43559.99861</v>
      </c>
      <c r="B2920" s="1">
        <f>IFERROR(__xludf.DUMMYFUNCTION("""COMPUTED_VALUE"""),3854.58629)</f>
        <v>3854.58629</v>
      </c>
    </row>
    <row r="2921">
      <c r="A2921" s="3">
        <f>IFERROR(__xludf.DUMMYFUNCTION("""COMPUTED_VALUE"""),43560.99861111111)</f>
        <v>43560.99861</v>
      </c>
      <c r="B2921" s="1">
        <f>IFERROR(__xludf.DUMMYFUNCTION("""COMPUTED_VALUE"""),3843.347462)</f>
        <v>3843.347462</v>
      </c>
    </row>
    <row r="2922">
      <c r="A2922" s="3">
        <f>IFERROR(__xludf.DUMMYFUNCTION("""COMPUTED_VALUE"""),43561.99861111111)</f>
        <v>43561.99861</v>
      </c>
      <c r="B2922" s="1">
        <f>IFERROR(__xludf.DUMMYFUNCTION("""COMPUTED_VALUE"""),3843.35325)</f>
        <v>3843.35325</v>
      </c>
    </row>
    <row r="2923">
      <c r="A2923" s="3">
        <f>IFERROR(__xludf.DUMMYFUNCTION("""COMPUTED_VALUE"""),43562.99861111111)</f>
        <v>43562.99861</v>
      </c>
      <c r="B2923" s="1">
        <f>IFERROR(__xludf.DUMMYFUNCTION("""COMPUTED_VALUE"""),3843.682536)</f>
        <v>3843.682536</v>
      </c>
    </row>
    <row r="2924">
      <c r="A2924" s="3">
        <f>IFERROR(__xludf.DUMMYFUNCTION("""COMPUTED_VALUE"""),43563.99861111111)</f>
        <v>43563.99861</v>
      </c>
      <c r="B2924" s="1">
        <f>IFERROR(__xludf.DUMMYFUNCTION("""COMPUTED_VALUE"""),3865.294471)</f>
        <v>3865.294471</v>
      </c>
    </row>
    <row r="2925">
      <c r="A2925" s="3">
        <f>IFERROR(__xludf.DUMMYFUNCTION("""COMPUTED_VALUE"""),43564.99861111111)</f>
        <v>43564.99861</v>
      </c>
      <c r="B2925" s="1">
        <f>IFERROR(__xludf.DUMMYFUNCTION("""COMPUTED_VALUE"""),3850.361035)</f>
        <v>3850.361035</v>
      </c>
    </row>
    <row r="2926">
      <c r="A2926" s="3">
        <f>IFERROR(__xludf.DUMMYFUNCTION("""COMPUTED_VALUE"""),43565.99861111111)</f>
        <v>43565.99861</v>
      </c>
      <c r="B2926" s="1">
        <f>IFERROR(__xludf.DUMMYFUNCTION("""COMPUTED_VALUE"""),3861.250835)</f>
        <v>3861.250835</v>
      </c>
    </row>
    <row r="2927">
      <c r="A2927" s="3">
        <f>IFERROR(__xludf.DUMMYFUNCTION("""COMPUTED_VALUE"""),43566.99861111111)</f>
        <v>43566.99861</v>
      </c>
      <c r="B2927" s="1">
        <f>IFERROR(__xludf.DUMMYFUNCTION("""COMPUTED_VALUE"""),3850.905525)</f>
        <v>3850.905525</v>
      </c>
    </row>
    <row r="2928">
      <c r="A2928" s="3">
        <f>IFERROR(__xludf.DUMMYFUNCTION("""COMPUTED_VALUE"""),43567.99861111111)</f>
        <v>43567.99861</v>
      </c>
      <c r="B2928" s="1">
        <f>IFERROR(__xludf.DUMMYFUNCTION("""COMPUTED_VALUE"""),3842.879325)</f>
        <v>3842.879325</v>
      </c>
    </row>
    <row r="2929">
      <c r="A2929" s="3">
        <f>IFERROR(__xludf.DUMMYFUNCTION("""COMPUTED_VALUE"""),43568.99861111111)</f>
        <v>43568.99861</v>
      </c>
      <c r="B2929" s="1">
        <f>IFERROR(__xludf.DUMMYFUNCTION("""COMPUTED_VALUE"""),3836.81925)</f>
        <v>3836.81925</v>
      </c>
    </row>
    <row r="2930">
      <c r="A2930" s="3">
        <f>IFERROR(__xludf.DUMMYFUNCTION("""COMPUTED_VALUE"""),43569.99861111111)</f>
        <v>43569.99861</v>
      </c>
      <c r="B2930" s="1">
        <f>IFERROR(__xludf.DUMMYFUNCTION("""COMPUTED_VALUE"""),3836.889715)</f>
        <v>3836.889715</v>
      </c>
    </row>
    <row r="2931">
      <c r="A2931" s="3">
        <f>IFERROR(__xludf.DUMMYFUNCTION("""COMPUTED_VALUE"""),43570.99861111111)</f>
        <v>43570.99861</v>
      </c>
      <c r="B2931" s="1">
        <f>IFERROR(__xludf.DUMMYFUNCTION("""COMPUTED_VALUE"""),3854.580832)</f>
        <v>3854.580832</v>
      </c>
    </row>
    <row r="2932">
      <c r="A2932" s="3">
        <f>IFERROR(__xludf.DUMMYFUNCTION("""COMPUTED_VALUE"""),43571.99861111111)</f>
        <v>43571.99861</v>
      </c>
      <c r="B2932" s="1">
        <f>IFERROR(__xludf.DUMMYFUNCTION("""COMPUTED_VALUE"""),3834.570825)</f>
        <v>3834.570825</v>
      </c>
    </row>
    <row r="2933">
      <c r="A2933" s="3">
        <f>IFERROR(__xludf.DUMMYFUNCTION("""COMPUTED_VALUE"""),43572.99861111111)</f>
        <v>43572.99861</v>
      </c>
      <c r="B2933" s="1">
        <f>IFERROR(__xludf.DUMMYFUNCTION("""COMPUTED_VALUE"""),3834.711675)</f>
        <v>3834.711675</v>
      </c>
    </row>
    <row r="2934">
      <c r="A2934" s="3">
        <f>IFERROR(__xludf.DUMMYFUNCTION("""COMPUTED_VALUE"""),43573.99861111111)</f>
        <v>43573.99861</v>
      </c>
      <c r="B2934" s="1">
        <f>IFERROR(__xludf.DUMMYFUNCTION("""COMPUTED_VALUE"""),3823.136535)</f>
        <v>3823.136535</v>
      </c>
    </row>
    <row r="2935">
      <c r="A2935" s="3">
        <f>IFERROR(__xludf.DUMMYFUNCTION("""COMPUTED_VALUE"""),43574.99861111111)</f>
        <v>43574.99861</v>
      </c>
      <c r="B2935" s="1">
        <f>IFERROR(__xludf.DUMMYFUNCTION("""COMPUTED_VALUE"""),3821.911432)</f>
        <v>3821.911432</v>
      </c>
    </row>
    <row r="2936">
      <c r="A2936" s="3">
        <f>IFERROR(__xludf.DUMMYFUNCTION("""COMPUTED_VALUE"""),43575.99861111111)</f>
        <v>43575.99861</v>
      </c>
      <c r="B2936" s="1">
        <f>IFERROR(__xludf.DUMMYFUNCTION("""COMPUTED_VALUE"""),3821.911432)</f>
        <v>3821.911432</v>
      </c>
    </row>
    <row r="2937">
      <c r="A2937" s="3">
        <f>IFERROR(__xludf.DUMMYFUNCTION("""COMPUTED_VALUE"""),43576.99861111111)</f>
        <v>43576.99861</v>
      </c>
      <c r="B2937" s="1">
        <f>IFERROR(__xludf.DUMMYFUNCTION("""COMPUTED_VALUE"""),3823.273875)</f>
        <v>3823.273875</v>
      </c>
    </row>
    <row r="2938">
      <c r="A2938" s="3">
        <f>IFERROR(__xludf.DUMMYFUNCTION("""COMPUTED_VALUE"""),43577.99861111111)</f>
        <v>43577.99861</v>
      </c>
      <c r="B2938" s="1">
        <f>IFERROR(__xludf.DUMMYFUNCTION("""COMPUTED_VALUE"""),3830.15368)</f>
        <v>3830.15368</v>
      </c>
    </row>
    <row r="2939">
      <c r="A2939" s="3">
        <f>IFERROR(__xludf.DUMMYFUNCTION("""COMPUTED_VALUE"""),43578.99861111111)</f>
        <v>43578.99861</v>
      </c>
      <c r="B2939" s="1">
        <f>IFERROR(__xludf.DUMMYFUNCTION("""COMPUTED_VALUE"""),3829.94266)</f>
        <v>3829.94266</v>
      </c>
    </row>
    <row r="2940">
      <c r="A2940" s="3">
        <f>IFERROR(__xludf.DUMMYFUNCTION("""COMPUTED_VALUE"""),43579.99861111111)</f>
        <v>43579.99861</v>
      </c>
      <c r="B2940" s="1">
        <f>IFERROR(__xludf.DUMMYFUNCTION("""COMPUTED_VALUE"""),3855.261445)</f>
        <v>3855.261445</v>
      </c>
    </row>
    <row r="2941">
      <c r="A2941" s="3">
        <f>IFERROR(__xludf.DUMMYFUNCTION("""COMPUTED_VALUE"""),43580.99861111111)</f>
        <v>43580.99861</v>
      </c>
      <c r="B2941" s="1">
        <f>IFERROR(__xludf.DUMMYFUNCTION("""COMPUTED_VALUE"""),3895.761375)</f>
        <v>3895.761375</v>
      </c>
    </row>
    <row r="2942">
      <c r="A2942" s="3">
        <f>IFERROR(__xludf.DUMMYFUNCTION("""COMPUTED_VALUE"""),43581.99861111111)</f>
        <v>43581.99861</v>
      </c>
      <c r="B2942" s="1">
        <f>IFERROR(__xludf.DUMMYFUNCTION("""COMPUTED_VALUE"""),3862.374072)</f>
        <v>3862.374072</v>
      </c>
    </row>
    <row r="2943">
      <c r="A2943" s="3">
        <f>IFERROR(__xludf.DUMMYFUNCTION("""COMPUTED_VALUE"""),43582.99861111111)</f>
        <v>43582.99861</v>
      </c>
      <c r="B2943" s="1">
        <f>IFERROR(__xludf.DUMMYFUNCTION("""COMPUTED_VALUE"""),3862.345557)</f>
        <v>3862.345557</v>
      </c>
    </row>
    <row r="2944">
      <c r="A2944" s="3">
        <f>IFERROR(__xludf.DUMMYFUNCTION("""COMPUTED_VALUE"""),43583.99861111111)</f>
        <v>43583.99861</v>
      </c>
      <c r="B2944" s="1">
        <f>IFERROR(__xludf.DUMMYFUNCTION("""COMPUTED_VALUE"""),3858.426345)</f>
        <v>3858.426345</v>
      </c>
    </row>
    <row r="2945">
      <c r="A2945" s="3">
        <f>IFERROR(__xludf.DUMMYFUNCTION("""COMPUTED_VALUE"""),43584.99861111111)</f>
        <v>43584.99861</v>
      </c>
      <c r="B2945" s="1">
        <f>IFERROR(__xludf.DUMMYFUNCTION("""COMPUTED_VALUE"""),3865.47649)</f>
        <v>3865.47649</v>
      </c>
    </row>
    <row r="2946">
      <c r="A2946" s="3">
        <f>IFERROR(__xludf.DUMMYFUNCTION("""COMPUTED_VALUE"""),43585.99861111111)</f>
        <v>43585.99861</v>
      </c>
      <c r="B2946" s="1">
        <f>IFERROR(__xludf.DUMMYFUNCTION("""COMPUTED_VALUE"""),3879.451065)</f>
        <v>3879.451065</v>
      </c>
    </row>
    <row r="2947">
      <c r="A2947" s="3">
        <f>IFERROR(__xludf.DUMMYFUNCTION("""COMPUTED_VALUE"""),43586.99861111111)</f>
        <v>43586.99861</v>
      </c>
      <c r="B2947" s="1">
        <f>IFERROR(__xludf.DUMMYFUNCTION("""COMPUTED_VALUE"""),3878.286087)</f>
        <v>3878.286087</v>
      </c>
    </row>
    <row r="2948">
      <c r="A2948" s="3">
        <f>IFERROR(__xludf.DUMMYFUNCTION("""COMPUTED_VALUE"""),43587.99861111111)</f>
        <v>43587.99861</v>
      </c>
      <c r="B2948" s="1">
        <f>IFERROR(__xludf.DUMMYFUNCTION("""COMPUTED_VALUE"""),3879.49125)</f>
        <v>3879.49125</v>
      </c>
    </row>
    <row r="2949">
      <c r="A2949" s="3">
        <f>IFERROR(__xludf.DUMMYFUNCTION("""COMPUTED_VALUE"""),43588.99861111111)</f>
        <v>43588.99861</v>
      </c>
      <c r="B2949" s="1">
        <f>IFERROR(__xludf.DUMMYFUNCTION("""COMPUTED_VALUE"""),3866.56551)</f>
        <v>3866.56551</v>
      </c>
    </row>
    <row r="2950">
      <c r="A2950" s="3">
        <f>IFERROR(__xludf.DUMMYFUNCTION("""COMPUTED_VALUE"""),43589.99861111111)</f>
        <v>43589.99861</v>
      </c>
      <c r="B2950" s="1">
        <f>IFERROR(__xludf.DUMMYFUNCTION("""COMPUTED_VALUE"""),3866.56551)</f>
        <v>3866.56551</v>
      </c>
    </row>
    <row r="2951">
      <c r="A2951" s="3">
        <f>IFERROR(__xludf.DUMMYFUNCTION("""COMPUTED_VALUE"""),43590.99861111111)</f>
        <v>43590.99861</v>
      </c>
      <c r="B2951" s="1">
        <f>IFERROR(__xludf.DUMMYFUNCTION("""COMPUTED_VALUE"""),3876.123051)</f>
        <v>3876.123051</v>
      </c>
    </row>
    <row r="2952">
      <c r="A2952" s="3">
        <f>IFERROR(__xludf.DUMMYFUNCTION("""COMPUTED_VALUE"""),43591.99861111111)</f>
        <v>43591.99861</v>
      </c>
      <c r="B2952" s="1">
        <f>IFERROR(__xludf.DUMMYFUNCTION("""COMPUTED_VALUE"""),3891.197785)</f>
        <v>3891.197785</v>
      </c>
    </row>
    <row r="2953">
      <c r="A2953" s="3">
        <f>IFERROR(__xludf.DUMMYFUNCTION("""COMPUTED_VALUE"""),43592.99861111111)</f>
        <v>43592.99861</v>
      </c>
      <c r="B2953" s="1">
        <f>IFERROR(__xludf.DUMMYFUNCTION("""COMPUTED_VALUE"""),3907.396362)</f>
        <v>3907.396362</v>
      </c>
    </row>
    <row r="2954">
      <c r="A2954" s="3">
        <f>IFERROR(__xludf.DUMMYFUNCTION("""COMPUTED_VALUE"""),43593.99861111111)</f>
        <v>43593.99861</v>
      </c>
      <c r="B2954" s="1">
        <f>IFERROR(__xludf.DUMMYFUNCTION("""COMPUTED_VALUE"""),3891.742275)</f>
        <v>3891.742275</v>
      </c>
    </row>
    <row r="2955">
      <c r="A2955" s="3">
        <f>IFERROR(__xludf.DUMMYFUNCTION("""COMPUTED_VALUE"""),43594.99861111111)</f>
        <v>43594.99861</v>
      </c>
      <c r="B2955" s="1">
        <f>IFERROR(__xludf.DUMMYFUNCTION("""COMPUTED_VALUE"""),3906.71575)</f>
        <v>3906.71575</v>
      </c>
    </row>
    <row r="2956">
      <c r="A2956" s="3">
        <f>IFERROR(__xludf.DUMMYFUNCTION("""COMPUTED_VALUE"""),43595.99861111111)</f>
        <v>43595.99861</v>
      </c>
      <c r="B2956" s="1">
        <f>IFERROR(__xludf.DUMMYFUNCTION("""COMPUTED_VALUE"""),3898.412277)</f>
        <v>3898.412277</v>
      </c>
    </row>
    <row r="2957">
      <c r="A2957" s="3">
        <f>IFERROR(__xludf.DUMMYFUNCTION("""COMPUTED_VALUE"""),43596.99861111111)</f>
        <v>43596.99861</v>
      </c>
      <c r="B2957" s="1">
        <f>IFERROR(__xludf.DUMMYFUNCTION("""COMPUTED_VALUE"""),3898.412277)</f>
        <v>3898.412277</v>
      </c>
    </row>
    <row r="2958">
      <c r="A2958" s="3">
        <f>IFERROR(__xludf.DUMMYFUNCTION("""COMPUTED_VALUE"""),43597.99861111111)</f>
        <v>43597.99861</v>
      </c>
      <c r="B2958" s="1">
        <f>IFERROR(__xludf.DUMMYFUNCTION("""COMPUTED_VALUE"""),3900.049723)</f>
        <v>3900.049723</v>
      </c>
    </row>
    <row r="2959">
      <c r="A2959" s="3">
        <f>IFERROR(__xludf.DUMMYFUNCTION("""COMPUTED_VALUE"""),43598.99861111111)</f>
        <v>43598.99861</v>
      </c>
      <c r="B2959" s="1">
        <f>IFERROR(__xludf.DUMMYFUNCTION("""COMPUTED_VALUE"""),3948.069765)</f>
        <v>3948.069765</v>
      </c>
    </row>
    <row r="2960">
      <c r="A2960" s="3">
        <f>IFERROR(__xludf.DUMMYFUNCTION("""COMPUTED_VALUE"""),43599.99861111111)</f>
        <v>43599.99861</v>
      </c>
      <c r="B2960" s="1">
        <f>IFERROR(__xludf.DUMMYFUNCTION("""COMPUTED_VALUE"""),3928.49535)</f>
        <v>3928.49535</v>
      </c>
    </row>
    <row r="2961">
      <c r="A2961" s="3">
        <f>IFERROR(__xludf.DUMMYFUNCTION("""COMPUTED_VALUE"""),43600.99861111111)</f>
        <v>43600.99861</v>
      </c>
      <c r="B2961" s="1">
        <f>IFERROR(__xludf.DUMMYFUNCTION("""COMPUTED_VALUE"""),3959.259035)</f>
        <v>3959.259035</v>
      </c>
    </row>
    <row r="2962">
      <c r="A2962" s="3">
        <f>IFERROR(__xludf.DUMMYFUNCTION("""COMPUTED_VALUE"""),43601.99861111111)</f>
        <v>43601.99861</v>
      </c>
      <c r="B2962" s="1">
        <f>IFERROR(__xludf.DUMMYFUNCTION("""COMPUTED_VALUE"""),3967.363125)</f>
        <v>3967.363125</v>
      </c>
    </row>
    <row r="2963">
      <c r="A2963" s="3">
        <f>IFERROR(__xludf.DUMMYFUNCTION("""COMPUTED_VALUE"""),43602.99861111111)</f>
        <v>43602.99861</v>
      </c>
      <c r="B2963" s="1">
        <f>IFERROR(__xludf.DUMMYFUNCTION("""COMPUTED_VALUE"""),3950.42005)</f>
        <v>3950.42005</v>
      </c>
    </row>
    <row r="2964">
      <c r="A2964" s="3">
        <f>IFERROR(__xludf.DUMMYFUNCTION("""COMPUTED_VALUE"""),43603.99861111111)</f>
        <v>43603.99861</v>
      </c>
      <c r="B2964" s="1">
        <f>IFERROR(__xludf.DUMMYFUNCTION("""COMPUTED_VALUE"""),3950.42005)</f>
        <v>3950.42005</v>
      </c>
    </row>
    <row r="2965">
      <c r="A2965" s="3">
        <f>IFERROR(__xludf.DUMMYFUNCTION("""COMPUTED_VALUE"""),43604.99861111111)</f>
        <v>43604.99861</v>
      </c>
      <c r="B2965" s="1">
        <f>IFERROR(__xludf.DUMMYFUNCTION("""COMPUTED_VALUE"""),3934.113794)</f>
        <v>3934.113794</v>
      </c>
    </row>
    <row r="2966">
      <c r="A2966" s="3">
        <f>IFERROR(__xludf.DUMMYFUNCTION("""COMPUTED_VALUE"""),43605.99861111111)</f>
        <v>43605.99861</v>
      </c>
      <c r="B2966" s="1">
        <f>IFERROR(__xludf.DUMMYFUNCTION("""COMPUTED_VALUE"""),3935.37375)</f>
        <v>3935.37375</v>
      </c>
    </row>
    <row r="2967">
      <c r="A2967" s="3">
        <f>IFERROR(__xludf.DUMMYFUNCTION("""COMPUTED_VALUE"""),43606.99861111111)</f>
        <v>43606.99861</v>
      </c>
      <c r="B2967" s="1">
        <f>IFERROR(__xludf.DUMMYFUNCTION("""COMPUTED_VALUE"""),3935.57372)</f>
        <v>3935.57372</v>
      </c>
    </row>
    <row r="2968">
      <c r="A2968" s="3">
        <f>IFERROR(__xludf.DUMMYFUNCTION("""COMPUTED_VALUE"""),43607.99861111111)</f>
        <v>43607.99861</v>
      </c>
      <c r="B2968" s="1">
        <f>IFERROR(__xludf.DUMMYFUNCTION("""COMPUTED_VALUE"""),3954.358625)</f>
        <v>3954.358625</v>
      </c>
    </row>
    <row r="2969">
      <c r="A2969" s="3">
        <f>IFERROR(__xludf.DUMMYFUNCTION("""COMPUTED_VALUE"""),43608.99861111111)</f>
        <v>43608.99861</v>
      </c>
      <c r="B2969" s="1">
        <f>IFERROR(__xludf.DUMMYFUNCTION("""COMPUTED_VALUE"""),3936.6627)</f>
        <v>3936.6627</v>
      </c>
    </row>
    <row r="2970">
      <c r="A2970" s="3">
        <f>IFERROR(__xludf.DUMMYFUNCTION("""COMPUTED_VALUE"""),43609.99861111111)</f>
        <v>43609.99861</v>
      </c>
      <c r="B2970" s="1">
        <f>IFERROR(__xludf.DUMMYFUNCTION("""COMPUTED_VALUE"""),3918.966775)</f>
        <v>3918.966775</v>
      </c>
    </row>
    <row r="2971">
      <c r="A2971" s="3">
        <f>IFERROR(__xludf.DUMMYFUNCTION("""COMPUTED_VALUE"""),43610.99861111111)</f>
        <v>43610.99861</v>
      </c>
      <c r="B2971" s="1">
        <f>IFERROR(__xludf.DUMMYFUNCTION("""COMPUTED_VALUE"""),3918.966775)</f>
        <v>3918.966775</v>
      </c>
    </row>
    <row r="2972">
      <c r="A2972" s="3">
        <f>IFERROR(__xludf.DUMMYFUNCTION("""COMPUTED_VALUE"""),43611.99861111111)</f>
        <v>43611.99861</v>
      </c>
      <c r="B2972" s="1">
        <f>IFERROR(__xludf.DUMMYFUNCTION("""COMPUTED_VALUE"""),3918.854075)</f>
        <v>3918.854075</v>
      </c>
    </row>
    <row r="2973">
      <c r="A2973" s="3">
        <f>IFERROR(__xludf.DUMMYFUNCTION("""COMPUTED_VALUE"""),43612.99861111111)</f>
        <v>43612.99861</v>
      </c>
      <c r="B2973" s="1">
        <f>IFERROR(__xludf.DUMMYFUNCTION("""COMPUTED_VALUE"""),3935.301475)</f>
        <v>3935.301475</v>
      </c>
    </row>
    <row r="2974">
      <c r="A2974" s="3">
        <f>IFERROR(__xludf.DUMMYFUNCTION("""COMPUTED_VALUE"""),43613.99861111111)</f>
        <v>43613.99861</v>
      </c>
      <c r="B2974" s="1">
        <f>IFERROR(__xludf.DUMMYFUNCTION("""COMPUTED_VALUE"""),3939.657395)</f>
        <v>3939.657395</v>
      </c>
    </row>
    <row r="2975">
      <c r="A2975" s="3">
        <f>IFERROR(__xludf.DUMMYFUNCTION("""COMPUTED_VALUE"""),43614.99861111111)</f>
        <v>43614.99861</v>
      </c>
      <c r="B2975" s="1">
        <f>IFERROR(__xludf.DUMMYFUNCTION("""COMPUTED_VALUE"""),3920.328)</f>
        <v>3920.328</v>
      </c>
    </row>
    <row r="2976">
      <c r="A2976" s="3">
        <f>IFERROR(__xludf.DUMMYFUNCTION("""COMPUTED_VALUE"""),43615.99861111111)</f>
        <v>43615.99861</v>
      </c>
      <c r="B2976" s="1">
        <f>IFERROR(__xludf.DUMMYFUNCTION("""COMPUTED_VALUE"""),3922.50596)</f>
        <v>3922.50596</v>
      </c>
    </row>
    <row r="2977">
      <c r="A2977" s="3">
        <f>IFERROR(__xludf.DUMMYFUNCTION("""COMPUTED_VALUE"""),43616.99861111111)</f>
        <v>43616.99861</v>
      </c>
      <c r="B2977" s="1">
        <f>IFERROR(__xludf.DUMMYFUNCTION("""COMPUTED_VALUE"""),3889.155947)</f>
        <v>3889.155947</v>
      </c>
    </row>
    <row r="2978">
      <c r="A2978" s="3">
        <f>IFERROR(__xludf.DUMMYFUNCTION("""COMPUTED_VALUE"""),43617.99861111111)</f>
        <v>43617.99861</v>
      </c>
      <c r="B2978" s="1">
        <f>IFERROR(__xludf.DUMMYFUNCTION("""COMPUTED_VALUE"""),3889.155947)</f>
        <v>3889.155947</v>
      </c>
    </row>
    <row r="2979">
      <c r="A2979" s="3">
        <f>IFERROR(__xludf.DUMMYFUNCTION("""COMPUTED_VALUE"""),43618.99861111111)</f>
        <v>43618.99861</v>
      </c>
      <c r="B2979" s="1">
        <f>IFERROR(__xludf.DUMMYFUNCTION("""COMPUTED_VALUE"""),3886.532198)</f>
        <v>3886.532198</v>
      </c>
    </row>
    <row r="2980">
      <c r="A2980" s="3">
        <f>IFERROR(__xludf.DUMMYFUNCTION("""COMPUTED_VALUE"""),43619.99861111111)</f>
        <v>43619.99861</v>
      </c>
      <c r="B2980" s="1">
        <f>IFERROR(__xludf.DUMMYFUNCTION("""COMPUTED_VALUE"""),3876.7688)</f>
        <v>3876.7688</v>
      </c>
    </row>
    <row r="2981">
      <c r="A2981" s="3">
        <f>IFERROR(__xludf.DUMMYFUNCTION("""COMPUTED_VALUE"""),43620.99861111111)</f>
        <v>43620.99861</v>
      </c>
      <c r="B2981" s="1">
        <f>IFERROR(__xludf.DUMMYFUNCTION("""COMPUTED_VALUE"""),3884.93615)</f>
        <v>3884.93615</v>
      </c>
    </row>
    <row r="2982">
      <c r="A2982" s="3">
        <f>IFERROR(__xludf.DUMMYFUNCTION("""COMPUTED_VALUE"""),43621.99861111111)</f>
        <v>43621.99861</v>
      </c>
      <c r="B2982" s="1">
        <f>IFERROR(__xludf.DUMMYFUNCTION("""COMPUTED_VALUE"""),3889.428192)</f>
        <v>3889.428192</v>
      </c>
    </row>
    <row r="2983">
      <c r="A2983" s="3">
        <f>IFERROR(__xludf.DUMMYFUNCTION("""COMPUTED_VALUE"""),43622.99861111111)</f>
        <v>43622.99861</v>
      </c>
      <c r="B2983" s="1">
        <f>IFERROR(__xludf.DUMMYFUNCTION("""COMPUTED_VALUE"""),3882.894312)</f>
        <v>3882.894312</v>
      </c>
    </row>
    <row r="2984">
      <c r="A2984" s="3">
        <f>IFERROR(__xludf.DUMMYFUNCTION("""COMPUTED_VALUE"""),43623.99861111111)</f>
        <v>43623.99861</v>
      </c>
      <c r="B2984" s="1">
        <f>IFERROR(__xludf.DUMMYFUNCTION("""COMPUTED_VALUE"""),3872.01061)</f>
        <v>3872.01061</v>
      </c>
    </row>
    <row r="2985">
      <c r="A2985" s="3">
        <f>IFERROR(__xludf.DUMMYFUNCTION("""COMPUTED_VALUE"""),43624.99861111111)</f>
        <v>43624.99861</v>
      </c>
      <c r="B2985" s="1">
        <f>IFERROR(__xludf.DUMMYFUNCTION("""COMPUTED_VALUE"""),3872.039196)</f>
        <v>3872.039196</v>
      </c>
    </row>
    <row r="2986">
      <c r="A2986" s="3">
        <f>IFERROR(__xludf.DUMMYFUNCTION("""COMPUTED_VALUE"""),43625.99861111111)</f>
        <v>43625.99861</v>
      </c>
      <c r="B2986" s="1">
        <f>IFERROR(__xludf.DUMMYFUNCTION("""COMPUTED_VALUE"""),3886.489944)</f>
        <v>3886.489944</v>
      </c>
    </row>
    <row r="2987">
      <c r="A2987" s="3">
        <f>IFERROR(__xludf.DUMMYFUNCTION("""COMPUTED_VALUE"""),43626.99861111111)</f>
        <v>43626.99861</v>
      </c>
      <c r="B2987" s="1">
        <f>IFERROR(__xludf.DUMMYFUNCTION("""COMPUTED_VALUE"""),3896.642685)</f>
        <v>3896.642685</v>
      </c>
    </row>
    <row r="2988">
      <c r="A2988" s="3">
        <f>IFERROR(__xludf.DUMMYFUNCTION("""COMPUTED_VALUE"""),43627.99861111111)</f>
        <v>43627.99861</v>
      </c>
      <c r="B2988" s="1">
        <f>IFERROR(__xludf.DUMMYFUNCTION("""COMPUTED_VALUE"""),3892.382568)</f>
        <v>3892.382568</v>
      </c>
    </row>
    <row r="2989">
      <c r="A2989" s="3">
        <f>IFERROR(__xludf.DUMMYFUNCTION("""COMPUTED_VALUE"""),43628.99861111111)</f>
        <v>43628.99861</v>
      </c>
      <c r="B2989" s="1">
        <f>IFERROR(__xludf.DUMMYFUNCTION("""COMPUTED_VALUE"""),3883.030435)</f>
        <v>3883.030435</v>
      </c>
    </row>
    <row r="2990">
      <c r="A2990" s="3">
        <f>IFERROR(__xludf.DUMMYFUNCTION("""COMPUTED_VALUE"""),43629.99861111111)</f>
        <v>43629.99861</v>
      </c>
      <c r="B2990" s="1">
        <f>IFERROR(__xludf.DUMMYFUNCTION("""COMPUTED_VALUE"""),3887.6586)</f>
        <v>3887.6586</v>
      </c>
    </row>
    <row r="2991">
      <c r="A2991" s="3">
        <f>IFERROR(__xludf.DUMMYFUNCTION("""COMPUTED_VALUE"""),43630.99861111111)</f>
        <v>43630.99861</v>
      </c>
      <c r="B2991" s="1">
        <f>IFERROR(__xludf.DUMMYFUNCTION("""COMPUTED_VALUE"""),3908.444857)</f>
        <v>3908.444857</v>
      </c>
    </row>
    <row r="2992">
      <c r="A2992" s="3">
        <f>IFERROR(__xludf.DUMMYFUNCTION("""COMPUTED_VALUE"""),43631.99861111111)</f>
        <v>43631.99861</v>
      </c>
      <c r="B2992" s="1">
        <f>IFERROR(__xludf.DUMMYFUNCTION("""COMPUTED_VALUE"""),3908.485342)</f>
        <v>3908.485342</v>
      </c>
    </row>
    <row r="2993">
      <c r="A2993" s="3">
        <f>IFERROR(__xludf.DUMMYFUNCTION("""COMPUTED_VALUE"""),43632.99861111111)</f>
        <v>43632.99861</v>
      </c>
      <c r="B2993" s="1">
        <f>IFERROR(__xludf.DUMMYFUNCTION("""COMPUTED_VALUE"""),3900.028522)</f>
        <v>3900.028522</v>
      </c>
    </row>
    <row r="2994">
      <c r="A2994" s="3">
        <f>IFERROR(__xludf.DUMMYFUNCTION("""COMPUTED_VALUE"""),43633.99861111111)</f>
        <v>43633.99861</v>
      </c>
      <c r="B2994" s="1">
        <f>IFERROR(__xludf.DUMMYFUNCTION("""COMPUTED_VALUE"""),3924.820042)</f>
        <v>3924.820042</v>
      </c>
    </row>
    <row r="2995">
      <c r="A2995" s="3">
        <f>IFERROR(__xludf.DUMMYFUNCTION("""COMPUTED_VALUE"""),43634.99861111111)</f>
        <v>43634.99861</v>
      </c>
      <c r="B2995" s="1">
        <f>IFERROR(__xludf.DUMMYFUNCTION("""COMPUTED_VALUE"""),3891.061662)</f>
        <v>3891.061662</v>
      </c>
    </row>
    <row r="2996">
      <c r="A2996" s="3">
        <f>IFERROR(__xludf.DUMMYFUNCTION("""COMPUTED_VALUE"""),43635.99861111111)</f>
        <v>43635.99861</v>
      </c>
      <c r="B2996" s="1">
        <f>IFERROR(__xludf.DUMMYFUNCTION("""COMPUTED_VALUE"""),3890.517172)</f>
        <v>3890.517172</v>
      </c>
    </row>
    <row r="2997">
      <c r="A2997" s="3">
        <f>IFERROR(__xludf.DUMMYFUNCTION("""COMPUTED_VALUE"""),43636.99861111111)</f>
        <v>43636.99861</v>
      </c>
      <c r="B2997" s="1">
        <f>IFERROR(__xludf.DUMMYFUNCTION("""COMPUTED_VALUE"""),3850.905525)</f>
        <v>3850.905525</v>
      </c>
    </row>
    <row r="2998">
      <c r="A2998" s="3">
        <f>IFERROR(__xludf.DUMMYFUNCTION("""COMPUTED_VALUE"""),43637.99861111111)</f>
        <v>43637.99861</v>
      </c>
      <c r="B2998" s="1">
        <f>IFERROR(__xludf.DUMMYFUNCTION("""COMPUTED_VALUE"""),3845.420792)</f>
        <v>3845.420792</v>
      </c>
    </row>
    <row r="2999">
      <c r="A2999" s="3">
        <f>IFERROR(__xludf.DUMMYFUNCTION("""COMPUTED_VALUE"""),43638.99861111111)</f>
        <v>43638.99861</v>
      </c>
      <c r="B2999" s="1">
        <f>IFERROR(__xludf.DUMMYFUNCTION("""COMPUTED_VALUE"""),3845.460625)</f>
        <v>3845.460625</v>
      </c>
    </row>
    <row r="3000">
      <c r="A3000" s="3">
        <f>IFERROR(__xludf.DUMMYFUNCTION("""COMPUTED_VALUE"""),43639.99861111111)</f>
        <v>43639.99861</v>
      </c>
      <c r="B3000" s="1">
        <f>IFERROR(__xludf.DUMMYFUNCTION("""COMPUTED_VALUE"""),3853.797976)</f>
        <v>3853.797976</v>
      </c>
    </row>
    <row r="3001">
      <c r="A3001" s="3">
        <f>IFERROR(__xludf.DUMMYFUNCTION("""COMPUTED_VALUE"""),43640.99861111111)</f>
        <v>43640.99861</v>
      </c>
      <c r="B3001" s="1">
        <f>IFERROR(__xludf.DUMMYFUNCTION("""COMPUTED_VALUE"""),3862.06757)</f>
        <v>3862.06757</v>
      </c>
    </row>
    <row r="3002">
      <c r="A3002" s="3">
        <f>IFERROR(__xludf.DUMMYFUNCTION("""COMPUTED_VALUE"""),43641.99861111111)</f>
        <v>43641.99861</v>
      </c>
      <c r="B3002" s="1">
        <f>IFERROR(__xludf.DUMMYFUNCTION("""COMPUTED_VALUE"""),3845.420792)</f>
        <v>3845.420792</v>
      </c>
    </row>
    <row r="3003">
      <c r="A3003" s="3">
        <f>IFERROR(__xludf.DUMMYFUNCTION("""COMPUTED_VALUE"""),43642.99861111111)</f>
        <v>43642.99861</v>
      </c>
      <c r="B3003" s="1">
        <f>IFERROR(__xludf.DUMMYFUNCTION("""COMPUTED_VALUE"""),3870.915532)</f>
        <v>3870.915532</v>
      </c>
    </row>
    <row r="3004">
      <c r="A3004" s="3">
        <f>IFERROR(__xludf.DUMMYFUNCTION("""COMPUTED_VALUE"""),43643.99861111111)</f>
        <v>43643.99861</v>
      </c>
      <c r="B3004" s="1">
        <f>IFERROR(__xludf.DUMMYFUNCTION("""COMPUTED_VALUE"""),3862.475937)</f>
        <v>3862.475937</v>
      </c>
    </row>
    <row r="3005">
      <c r="A3005" s="3">
        <f>IFERROR(__xludf.DUMMYFUNCTION("""COMPUTED_VALUE"""),43644.99861111111)</f>
        <v>43644.99861</v>
      </c>
      <c r="B3005" s="1">
        <f>IFERROR(__xludf.DUMMYFUNCTION("""COMPUTED_VALUE"""),3845.47936)</f>
        <v>3845.47936</v>
      </c>
    </row>
    <row r="3006">
      <c r="A3006" s="3">
        <f>IFERROR(__xludf.DUMMYFUNCTION("""COMPUTED_VALUE"""),43645.99861111111)</f>
        <v>43645.99861</v>
      </c>
      <c r="B3006" s="1">
        <f>IFERROR(__xludf.DUMMYFUNCTION("""COMPUTED_VALUE"""),3845.47936)</f>
        <v>3845.47936</v>
      </c>
    </row>
    <row r="3007">
      <c r="A3007" s="3">
        <f>IFERROR(__xludf.DUMMYFUNCTION("""COMPUTED_VALUE"""),43646.99861111111)</f>
        <v>43646.99861</v>
      </c>
      <c r="B3007" s="1">
        <f>IFERROR(__xludf.DUMMYFUNCTION("""COMPUTED_VALUE"""),3846.425986)</f>
        <v>3846.425986</v>
      </c>
    </row>
    <row r="3008">
      <c r="A3008" s="3">
        <f>IFERROR(__xludf.DUMMYFUNCTION("""COMPUTED_VALUE"""),43647.99861111111)</f>
        <v>43647.99861</v>
      </c>
      <c r="B3008" s="1">
        <f>IFERROR(__xludf.DUMMYFUNCTION("""COMPUTED_VALUE"""),3853.083485)</f>
        <v>3853.083485</v>
      </c>
    </row>
    <row r="3009">
      <c r="A3009" s="3">
        <f>IFERROR(__xludf.DUMMYFUNCTION("""COMPUTED_VALUE"""),43648.99861111111)</f>
        <v>43648.99861</v>
      </c>
      <c r="B3009" s="1">
        <f>IFERROR(__xludf.DUMMYFUNCTION("""COMPUTED_VALUE"""),3865.606755)</f>
        <v>3865.606755</v>
      </c>
    </row>
    <row r="3010">
      <c r="A3010" s="3">
        <f>IFERROR(__xludf.DUMMYFUNCTION("""COMPUTED_VALUE"""),43649.99861111111)</f>
        <v>43649.99861</v>
      </c>
      <c r="B3010" s="1">
        <f>IFERROR(__xludf.DUMMYFUNCTION("""COMPUTED_VALUE"""),3861.114712)</f>
        <v>3861.114712</v>
      </c>
    </row>
    <row r="3011">
      <c r="A3011" s="3">
        <f>IFERROR(__xludf.DUMMYFUNCTION("""COMPUTED_VALUE"""),43650.99861111111)</f>
        <v>43650.99861</v>
      </c>
      <c r="B3011" s="1">
        <f>IFERROR(__xludf.DUMMYFUNCTION("""COMPUTED_VALUE"""),3858.664507)</f>
        <v>3858.664507</v>
      </c>
    </row>
    <row r="3012">
      <c r="A3012" s="3">
        <f>IFERROR(__xludf.DUMMYFUNCTION("""COMPUTED_VALUE"""),43651.99861111111)</f>
        <v>43651.99861</v>
      </c>
      <c r="B3012" s="1">
        <f>IFERROR(__xludf.DUMMYFUNCTION("""COMPUTED_VALUE"""),3834.09675)</f>
        <v>3834.09675</v>
      </c>
    </row>
    <row r="3013">
      <c r="A3013" s="3">
        <f>IFERROR(__xludf.DUMMYFUNCTION("""COMPUTED_VALUE"""),43652.99861111111)</f>
        <v>43652.99861</v>
      </c>
      <c r="B3013" s="1">
        <f>IFERROR(__xludf.DUMMYFUNCTION("""COMPUTED_VALUE"""),3834.09675)</f>
        <v>3834.09675</v>
      </c>
    </row>
    <row r="3014">
      <c r="A3014" s="3">
        <f>IFERROR(__xludf.DUMMYFUNCTION("""COMPUTED_VALUE"""),43653.99861111111)</f>
        <v>43653.99861</v>
      </c>
      <c r="B3014" s="1">
        <f>IFERROR(__xludf.DUMMYFUNCTION("""COMPUTED_VALUE"""),3834.167165)</f>
        <v>3834.167165</v>
      </c>
    </row>
    <row r="3015">
      <c r="A3015" s="3">
        <f>IFERROR(__xludf.DUMMYFUNCTION("""COMPUTED_VALUE"""),43654.99861111111)</f>
        <v>43654.99861</v>
      </c>
      <c r="B3015" s="1">
        <f>IFERROR(__xludf.DUMMYFUNCTION("""COMPUTED_VALUE"""),3863.428795)</f>
        <v>3863.428795</v>
      </c>
    </row>
    <row r="3016">
      <c r="A3016" s="3">
        <f>IFERROR(__xludf.DUMMYFUNCTION("""COMPUTED_VALUE"""),43655.99861111111)</f>
        <v>43655.99861</v>
      </c>
      <c r="B3016" s="1">
        <f>IFERROR(__xludf.DUMMYFUNCTION("""COMPUTED_VALUE"""),3876.7688)</f>
        <v>3876.7688</v>
      </c>
    </row>
    <row r="3017">
      <c r="A3017" s="3">
        <f>IFERROR(__xludf.DUMMYFUNCTION("""COMPUTED_VALUE"""),43656.99861111111)</f>
        <v>43656.99861</v>
      </c>
      <c r="B3017" s="1">
        <f>IFERROR(__xludf.DUMMYFUNCTION("""COMPUTED_VALUE"""),3856.486547)</f>
        <v>3856.486547</v>
      </c>
    </row>
    <row r="3018">
      <c r="A3018" s="3">
        <f>IFERROR(__xludf.DUMMYFUNCTION("""COMPUTED_VALUE"""),43657.99861111111)</f>
        <v>43657.99861</v>
      </c>
      <c r="B3018" s="1">
        <f>IFERROR(__xludf.DUMMYFUNCTION("""COMPUTED_VALUE"""),3846.27736)</f>
        <v>3846.27736</v>
      </c>
    </row>
    <row r="3019">
      <c r="A3019" s="3">
        <f>IFERROR(__xludf.DUMMYFUNCTION("""COMPUTED_VALUE"""),43658.99861111111)</f>
        <v>43658.99861</v>
      </c>
      <c r="B3019" s="1">
        <f>IFERROR(__xludf.DUMMYFUNCTION("""COMPUTED_VALUE"""),3806.199005)</f>
        <v>3806.199005</v>
      </c>
    </row>
    <row r="3020">
      <c r="A3020" s="3">
        <f>IFERROR(__xludf.DUMMYFUNCTION("""COMPUTED_VALUE"""),43659.99861111111)</f>
        <v>43659.99861</v>
      </c>
      <c r="B3020" s="1">
        <f>IFERROR(__xludf.DUMMYFUNCTION("""COMPUTED_VALUE"""),3806.204737)</f>
        <v>3806.204737</v>
      </c>
    </row>
    <row r="3021">
      <c r="A3021" s="3">
        <f>IFERROR(__xludf.DUMMYFUNCTION("""COMPUTED_VALUE"""),43660.99861111111)</f>
        <v>43660.99861</v>
      </c>
      <c r="B3021" s="1">
        <f>IFERROR(__xludf.DUMMYFUNCTION("""COMPUTED_VALUE"""),3813.615855)</f>
        <v>3813.615855</v>
      </c>
    </row>
    <row r="3022">
      <c r="A3022" s="3">
        <f>IFERROR(__xludf.DUMMYFUNCTION("""COMPUTED_VALUE"""),43661.99861111111)</f>
        <v>43661.99861</v>
      </c>
      <c r="B3022" s="1">
        <f>IFERROR(__xludf.DUMMYFUNCTION("""COMPUTED_VALUE"""),3808.026937)</f>
        <v>3808.026937</v>
      </c>
    </row>
    <row r="3023">
      <c r="A3023" s="3">
        <f>IFERROR(__xludf.DUMMYFUNCTION("""COMPUTED_VALUE"""),43662.99861111111)</f>
        <v>43662.99861</v>
      </c>
      <c r="B3023" s="1">
        <f>IFERROR(__xludf.DUMMYFUNCTION("""COMPUTED_VALUE"""),3814.833062)</f>
        <v>3814.833062</v>
      </c>
    </row>
    <row r="3024">
      <c r="A3024" s="3">
        <f>IFERROR(__xludf.DUMMYFUNCTION("""COMPUTED_VALUE"""),43663.99861111111)</f>
        <v>43663.99861</v>
      </c>
      <c r="B3024" s="1">
        <f>IFERROR(__xludf.DUMMYFUNCTION("""COMPUTED_VALUE"""),3818.780615)</f>
        <v>3818.780615</v>
      </c>
    </row>
    <row r="3025">
      <c r="A3025" s="3">
        <f>IFERROR(__xludf.DUMMYFUNCTION("""COMPUTED_VALUE"""),43664.99861111111)</f>
        <v>43664.99861</v>
      </c>
      <c r="B3025" s="1">
        <f>IFERROR(__xludf.DUMMYFUNCTION("""COMPUTED_VALUE"""),3804.35163)</f>
        <v>3804.35163</v>
      </c>
    </row>
    <row r="3026">
      <c r="A3026" s="3">
        <f>IFERROR(__xludf.DUMMYFUNCTION("""COMPUTED_VALUE"""),43665.99861111111)</f>
        <v>43665.99861</v>
      </c>
      <c r="B3026" s="1">
        <f>IFERROR(__xludf.DUMMYFUNCTION("""COMPUTED_VALUE"""),3789.7896)</f>
        <v>3789.7896</v>
      </c>
    </row>
    <row r="3027">
      <c r="A3027" s="3">
        <f>IFERROR(__xludf.DUMMYFUNCTION("""COMPUTED_VALUE"""),43666.99861111111)</f>
        <v>43666.99861</v>
      </c>
      <c r="B3027" s="1">
        <f>IFERROR(__xludf.DUMMYFUNCTION("""COMPUTED_VALUE"""),3789.6504)</f>
        <v>3789.6504</v>
      </c>
    </row>
    <row r="3028">
      <c r="A3028" s="3">
        <f>IFERROR(__xludf.DUMMYFUNCTION("""COMPUTED_VALUE"""),43667.99861111111)</f>
        <v>43667.99861</v>
      </c>
      <c r="B3028" s="1">
        <f>IFERROR(__xludf.DUMMYFUNCTION("""COMPUTED_VALUE"""),3797.533808)</f>
        <v>3797.533808</v>
      </c>
    </row>
    <row r="3029">
      <c r="A3029" s="3">
        <f>IFERROR(__xludf.DUMMYFUNCTION("""COMPUTED_VALUE"""),43668.99861111111)</f>
        <v>43668.99861</v>
      </c>
      <c r="B3029" s="1">
        <f>IFERROR(__xludf.DUMMYFUNCTION("""COMPUTED_VALUE"""),3811.77225)</f>
        <v>3811.77225</v>
      </c>
    </row>
    <row r="3030">
      <c r="A3030" s="3">
        <f>IFERROR(__xludf.DUMMYFUNCTION("""COMPUTED_VALUE"""),43669.99861111111)</f>
        <v>43669.99861</v>
      </c>
      <c r="B3030" s="1">
        <f>IFERROR(__xludf.DUMMYFUNCTION("""COMPUTED_VALUE"""),3824.0235)</f>
        <v>3824.0235</v>
      </c>
    </row>
    <row r="3031">
      <c r="A3031" s="3">
        <f>IFERROR(__xludf.DUMMYFUNCTION("""COMPUTED_VALUE"""),43670.99861111111)</f>
        <v>43670.99861</v>
      </c>
      <c r="B3031" s="1">
        <f>IFERROR(__xludf.DUMMYFUNCTION("""COMPUTED_VALUE"""),3820.005717)</f>
        <v>3820.005717</v>
      </c>
    </row>
    <row r="3032">
      <c r="A3032" s="3">
        <f>IFERROR(__xludf.DUMMYFUNCTION("""COMPUTED_VALUE"""),43671.99861111111)</f>
        <v>43671.99861</v>
      </c>
      <c r="B3032" s="1">
        <f>IFERROR(__xludf.DUMMYFUNCTION("""COMPUTED_VALUE"""),3826.866291)</f>
        <v>3826.866291</v>
      </c>
    </row>
    <row r="3033">
      <c r="A3033" s="3">
        <f>IFERROR(__xludf.DUMMYFUNCTION("""COMPUTED_VALUE"""),43672.99861111111)</f>
        <v>43672.99861</v>
      </c>
      <c r="B3033" s="1">
        <f>IFERROR(__xludf.DUMMYFUNCTION("""COMPUTED_VALUE"""),3811.760578)</f>
        <v>3811.760578</v>
      </c>
    </row>
    <row r="3034">
      <c r="A3034" s="3">
        <f>IFERROR(__xludf.DUMMYFUNCTION("""COMPUTED_VALUE"""),43673.99861111111)</f>
        <v>43673.99861</v>
      </c>
      <c r="B3034" s="1">
        <f>IFERROR(__xludf.DUMMYFUNCTION("""COMPUTED_VALUE"""),3811.760578)</f>
        <v>3811.760578</v>
      </c>
    </row>
    <row r="3035">
      <c r="A3035" s="3">
        <f>IFERROR(__xludf.DUMMYFUNCTION("""COMPUTED_VALUE"""),43674.99861111111)</f>
        <v>43674.99861</v>
      </c>
      <c r="B3035" s="1">
        <f>IFERROR(__xludf.DUMMYFUNCTION("""COMPUTED_VALUE"""),3812.884344)</f>
        <v>3812.884344</v>
      </c>
    </row>
    <row r="3036">
      <c r="A3036" s="3">
        <f>IFERROR(__xludf.DUMMYFUNCTION("""COMPUTED_VALUE"""),43675.99861111111)</f>
        <v>43675.99861</v>
      </c>
      <c r="B3036" s="1">
        <f>IFERROR(__xludf.DUMMYFUNCTION("""COMPUTED_VALUE"""),3830.48715)</f>
        <v>3830.48715</v>
      </c>
    </row>
    <row r="3037">
      <c r="A3037" s="3">
        <f>IFERROR(__xludf.DUMMYFUNCTION("""COMPUTED_VALUE"""),43676.99861111111)</f>
        <v>43676.99861</v>
      </c>
      <c r="B3037" s="1">
        <f>IFERROR(__xludf.DUMMYFUNCTION("""COMPUTED_VALUE"""),3830.596048)</f>
        <v>3830.596048</v>
      </c>
    </row>
    <row r="3038">
      <c r="A3038" s="3">
        <f>IFERROR(__xludf.DUMMYFUNCTION("""COMPUTED_VALUE"""),43677.99861111111)</f>
        <v>43677.99861</v>
      </c>
      <c r="B3038" s="1">
        <f>IFERROR(__xludf.DUMMYFUNCTION("""COMPUTED_VALUE"""),3860.4341)</f>
        <v>3860.4341</v>
      </c>
    </row>
    <row r="3039">
      <c r="A3039" s="3">
        <f>IFERROR(__xludf.DUMMYFUNCTION("""COMPUTED_VALUE"""),43678.99861111111)</f>
        <v>43678.99861</v>
      </c>
      <c r="B3039" s="1">
        <f>IFERROR(__xludf.DUMMYFUNCTION("""COMPUTED_VALUE"""),3904.53779)</f>
        <v>3904.53779</v>
      </c>
    </row>
    <row r="3040">
      <c r="A3040" s="3">
        <f>IFERROR(__xludf.DUMMYFUNCTION("""COMPUTED_VALUE"""),43679.99861111111)</f>
        <v>43679.99861</v>
      </c>
      <c r="B3040" s="1">
        <f>IFERROR(__xludf.DUMMYFUNCTION("""COMPUTED_VALUE"""),3874.799159)</f>
        <v>3874.799159</v>
      </c>
    </row>
    <row r="3041">
      <c r="A3041" s="3">
        <f>IFERROR(__xludf.DUMMYFUNCTION("""COMPUTED_VALUE"""),43680.99861111111)</f>
        <v>43680.99861</v>
      </c>
      <c r="B3041" s="1">
        <f>IFERROR(__xludf.DUMMYFUNCTION("""COMPUTED_VALUE"""),3874.807413)</f>
        <v>3874.807413</v>
      </c>
    </row>
    <row r="3042">
      <c r="A3042" s="3">
        <f>IFERROR(__xludf.DUMMYFUNCTION("""COMPUTED_VALUE"""),43681.99861111111)</f>
        <v>43681.99861</v>
      </c>
      <c r="B3042" s="1">
        <f>IFERROR(__xludf.DUMMYFUNCTION("""COMPUTED_VALUE"""),3860.793563)</f>
        <v>3860.793563</v>
      </c>
    </row>
    <row r="3043">
      <c r="A3043" s="3">
        <f>IFERROR(__xludf.DUMMYFUNCTION("""COMPUTED_VALUE"""),43682.99861111111)</f>
        <v>43682.99861</v>
      </c>
      <c r="B3043" s="1">
        <f>IFERROR(__xludf.DUMMYFUNCTION("""COMPUTED_VALUE"""),3880.852475)</f>
        <v>3880.852475</v>
      </c>
    </row>
    <row r="3044">
      <c r="A3044" s="3">
        <f>IFERROR(__xludf.DUMMYFUNCTION("""COMPUTED_VALUE"""),43683.99861111111)</f>
        <v>43683.99861</v>
      </c>
      <c r="B3044" s="1">
        <f>IFERROR(__xludf.DUMMYFUNCTION("""COMPUTED_VALUE"""),3883.534697)</f>
        <v>3883.534697</v>
      </c>
    </row>
    <row r="3045">
      <c r="A3045" s="3">
        <f>IFERROR(__xludf.DUMMYFUNCTION("""COMPUTED_VALUE"""),43684.99861111111)</f>
        <v>43684.99861</v>
      </c>
      <c r="B3045" s="1">
        <f>IFERROR(__xludf.DUMMYFUNCTION("""COMPUTED_VALUE"""),3887.250232)</f>
        <v>3887.250232</v>
      </c>
    </row>
    <row r="3046">
      <c r="A3046" s="3">
        <f>IFERROR(__xludf.DUMMYFUNCTION("""COMPUTED_VALUE"""),43685.99861111111)</f>
        <v>43685.99861</v>
      </c>
      <c r="B3046" s="1">
        <f>IFERROR(__xludf.DUMMYFUNCTION("""COMPUTED_VALUE"""),3877.449412)</f>
        <v>3877.449412</v>
      </c>
    </row>
    <row r="3047">
      <c r="A3047" s="3">
        <f>IFERROR(__xludf.DUMMYFUNCTION("""COMPUTED_VALUE"""),43686.99861111111)</f>
        <v>43686.99861</v>
      </c>
      <c r="B3047" s="1">
        <f>IFERROR(__xludf.DUMMYFUNCTION("""COMPUTED_VALUE"""),3863.3694)</f>
        <v>3863.3694</v>
      </c>
    </row>
    <row r="3048">
      <c r="A3048" s="3">
        <f>IFERROR(__xludf.DUMMYFUNCTION("""COMPUTED_VALUE"""),43687.99861111111)</f>
        <v>43687.99861</v>
      </c>
      <c r="B3048" s="1">
        <f>IFERROR(__xludf.DUMMYFUNCTION("""COMPUTED_VALUE"""),3863.3694)</f>
        <v>3863.3694</v>
      </c>
    </row>
    <row r="3049">
      <c r="A3049" s="3">
        <f>IFERROR(__xludf.DUMMYFUNCTION("""COMPUTED_VALUE"""),43688.99861111111)</f>
        <v>43688.99861</v>
      </c>
      <c r="B3049" s="1">
        <f>IFERROR(__xludf.DUMMYFUNCTION("""COMPUTED_VALUE"""),3863.347973)</f>
        <v>3863.347973</v>
      </c>
    </row>
    <row r="3050">
      <c r="A3050" s="3">
        <f>IFERROR(__xludf.DUMMYFUNCTION("""COMPUTED_VALUE"""),43689.99861111111)</f>
        <v>43689.99861</v>
      </c>
      <c r="B3050" s="1">
        <f>IFERROR(__xludf.DUMMYFUNCTION("""COMPUTED_VALUE"""),3878.94676)</f>
        <v>3878.94676</v>
      </c>
    </row>
    <row r="3051">
      <c r="A3051" s="3">
        <f>IFERROR(__xludf.DUMMYFUNCTION("""COMPUTED_VALUE"""),43690.99861111111)</f>
        <v>43690.99861</v>
      </c>
      <c r="B3051" s="1">
        <f>IFERROR(__xludf.DUMMYFUNCTION("""COMPUTED_VALUE"""),3875.897616)</f>
        <v>3875.897616</v>
      </c>
    </row>
    <row r="3052">
      <c r="A3052" s="3">
        <f>IFERROR(__xludf.DUMMYFUNCTION("""COMPUTED_VALUE"""),43691.99861111111)</f>
        <v>43691.99861</v>
      </c>
      <c r="B3052" s="1">
        <f>IFERROR(__xludf.DUMMYFUNCTION("""COMPUTED_VALUE"""),3878.130025)</f>
        <v>3878.130025</v>
      </c>
    </row>
    <row r="3053">
      <c r="A3053" s="3">
        <f>IFERROR(__xludf.DUMMYFUNCTION("""COMPUTED_VALUE"""),43692.99861111111)</f>
        <v>43692.99861</v>
      </c>
      <c r="B3053" s="1">
        <f>IFERROR(__xludf.DUMMYFUNCTION("""COMPUTED_VALUE"""),3907.94827)</f>
        <v>3907.94827</v>
      </c>
    </row>
    <row r="3054">
      <c r="A3054" s="3">
        <f>IFERROR(__xludf.DUMMYFUNCTION("""COMPUTED_VALUE"""),43693.99861111111)</f>
        <v>43693.99861</v>
      </c>
      <c r="B3054" s="1">
        <f>IFERROR(__xludf.DUMMYFUNCTION("""COMPUTED_VALUE"""),3872.225362)</f>
        <v>3872.225362</v>
      </c>
    </row>
    <row r="3055">
      <c r="A3055" s="3">
        <f>IFERROR(__xludf.DUMMYFUNCTION("""COMPUTED_VALUE"""),43694.99861111111)</f>
        <v>43694.99861</v>
      </c>
      <c r="B3055" s="1">
        <f>IFERROR(__xludf.DUMMYFUNCTION("""COMPUTED_VALUE"""),3872.225362)</f>
        <v>3872.225362</v>
      </c>
    </row>
    <row r="3056">
      <c r="A3056" s="3">
        <f>IFERROR(__xludf.DUMMYFUNCTION("""COMPUTED_VALUE"""),43695.99861111111)</f>
        <v>43695.99861</v>
      </c>
      <c r="B3056" s="1">
        <f>IFERROR(__xludf.DUMMYFUNCTION("""COMPUTED_VALUE"""),3875.599605)</f>
        <v>3875.599605</v>
      </c>
    </row>
    <row r="3057">
      <c r="A3057" s="3">
        <f>IFERROR(__xludf.DUMMYFUNCTION("""COMPUTED_VALUE"""),43696.99861111111)</f>
        <v>43696.99861</v>
      </c>
      <c r="B3057" s="1">
        <f>IFERROR(__xludf.DUMMYFUNCTION("""COMPUTED_VALUE"""),3884.715787)</f>
        <v>3884.715787</v>
      </c>
    </row>
    <row r="3058">
      <c r="A3058" s="3">
        <f>IFERROR(__xludf.DUMMYFUNCTION("""COMPUTED_VALUE"""),43697.99861111111)</f>
        <v>43697.99861</v>
      </c>
      <c r="B3058" s="1">
        <f>IFERROR(__xludf.DUMMYFUNCTION("""COMPUTED_VALUE"""),3901.298074)</f>
        <v>3901.298074</v>
      </c>
    </row>
    <row r="3059">
      <c r="A3059" s="3">
        <f>IFERROR(__xludf.DUMMYFUNCTION("""COMPUTED_VALUE"""),43698.99861111111)</f>
        <v>43698.99861</v>
      </c>
      <c r="B3059" s="1">
        <f>IFERROR(__xludf.DUMMYFUNCTION("""COMPUTED_VALUE"""),3889.700437)</f>
        <v>3889.700437</v>
      </c>
    </row>
    <row r="3060">
      <c r="A3060" s="3">
        <f>IFERROR(__xludf.DUMMYFUNCTION("""COMPUTED_VALUE"""),43699.99861111111)</f>
        <v>43699.99861</v>
      </c>
      <c r="B3060" s="1">
        <f>IFERROR(__xludf.DUMMYFUNCTION("""COMPUTED_VALUE"""),3875.407575)</f>
        <v>3875.407575</v>
      </c>
    </row>
    <row r="3061">
      <c r="A3061" s="3">
        <f>IFERROR(__xludf.DUMMYFUNCTION("""COMPUTED_VALUE"""),43700.99861111111)</f>
        <v>43700.99861</v>
      </c>
      <c r="B3061" s="1">
        <f>IFERROR(__xludf.DUMMYFUNCTION("""COMPUTED_VALUE"""),3888.761192)</f>
        <v>3888.761192</v>
      </c>
    </row>
    <row r="3062">
      <c r="A3062" s="3">
        <f>IFERROR(__xludf.DUMMYFUNCTION("""COMPUTED_VALUE"""),43701.99861111111)</f>
        <v>43701.99861</v>
      </c>
      <c r="B3062" s="1">
        <f>IFERROR(__xludf.DUMMYFUNCTION("""COMPUTED_VALUE"""),3888.761192)</f>
        <v>3888.761192</v>
      </c>
    </row>
    <row r="3063">
      <c r="A3063" s="3">
        <f>IFERROR(__xludf.DUMMYFUNCTION("""COMPUTED_VALUE"""),43702.99861111111)</f>
        <v>43702.99861</v>
      </c>
      <c r="B3063" s="1">
        <f>IFERROR(__xludf.DUMMYFUNCTION("""COMPUTED_VALUE"""),3869.630953)</f>
        <v>3869.630953</v>
      </c>
    </row>
    <row r="3064">
      <c r="A3064" s="3">
        <f>IFERROR(__xludf.DUMMYFUNCTION("""COMPUTED_VALUE"""),43703.99861111111)</f>
        <v>43703.99861</v>
      </c>
      <c r="B3064" s="1">
        <f>IFERROR(__xludf.DUMMYFUNCTION("""COMPUTED_VALUE"""),3881.832557)</f>
        <v>3881.832557</v>
      </c>
    </row>
    <row r="3065">
      <c r="A3065" s="3">
        <f>IFERROR(__xludf.DUMMYFUNCTION("""COMPUTED_VALUE"""),43704.99861111111)</f>
        <v>43704.99861</v>
      </c>
      <c r="B3065" s="1">
        <f>IFERROR(__xludf.DUMMYFUNCTION("""COMPUTED_VALUE"""),3906.116811)</f>
        <v>3906.116811</v>
      </c>
    </row>
    <row r="3066">
      <c r="A3066" s="3">
        <f>IFERROR(__xludf.DUMMYFUNCTION("""COMPUTED_VALUE"""),43705.99861111111)</f>
        <v>43705.99861</v>
      </c>
      <c r="B3066" s="1">
        <f>IFERROR(__xludf.DUMMYFUNCTION("""COMPUTED_VALUE"""),3897.268848)</f>
        <v>3897.268848</v>
      </c>
    </row>
    <row r="3067">
      <c r="A3067" s="3">
        <f>IFERROR(__xludf.DUMMYFUNCTION("""COMPUTED_VALUE"""),43706.99861111111)</f>
        <v>43706.99861</v>
      </c>
      <c r="B3067" s="1">
        <f>IFERROR(__xludf.DUMMYFUNCTION("""COMPUTED_VALUE"""),3876.22431)</f>
        <v>3876.22431</v>
      </c>
    </row>
    <row r="3068">
      <c r="A3068" s="3">
        <f>IFERROR(__xludf.DUMMYFUNCTION("""COMPUTED_VALUE"""),43707.99861111111)</f>
        <v>43707.99861</v>
      </c>
      <c r="B3068" s="1">
        <f>IFERROR(__xludf.DUMMYFUNCTION("""COMPUTED_VALUE"""),3862.481685)</f>
        <v>3862.481685</v>
      </c>
    </row>
    <row r="3069">
      <c r="A3069" s="3">
        <f>IFERROR(__xludf.DUMMYFUNCTION("""COMPUTED_VALUE"""),43708.99861111111)</f>
        <v>43708.99861</v>
      </c>
      <c r="B3069" s="1">
        <f>IFERROR(__xludf.DUMMYFUNCTION("""COMPUTED_VALUE"""),3862.481685)</f>
        <v>3862.481685</v>
      </c>
    </row>
    <row r="3070">
      <c r="A3070" s="3">
        <f>IFERROR(__xludf.DUMMYFUNCTION("""COMPUTED_VALUE"""),43709.99861111111)</f>
        <v>43709.99861</v>
      </c>
      <c r="B3070" s="1">
        <f>IFERROR(__xludf.DUMMYFUNCTION("""COMPUTED_VALUE"""),3861.976183)</f>
        <v>3861.976183</v>
      </c>
    </row>
    <row r="3071">
      <c r="A3071" s="3">
        <f>IFERROR(__xludf.DUMMYFUNCTION("""COMPUTED_VALUE"""),43710.99861111111)</f>
        <v>43710.99861</v>
      </c>
      <c r="B3071" s="1">
        <f>IFERROR(__xludf.DUMMYFUNCTION("""COMPUTED_VALUE"""),3886.705742)</f>
        <v>3886.705742</v>
      </c>
    </row>
    <row r="3072">
      <c r="A3072" s="3">
        <f>IFERROR(__xludf.DUMMYFUNCTION("""COMPUTED_VALUE"""),43711.99861111111)</f>
        <v>43711.99861</v>
      </c>
      <c r="B3072" s="1">
        <f>IFERROR(__xludf.DUMMYFUNCTION("""COMPUTED_VALUE"""),3883.493251)</f>
        <v>3883.493251</v>
      </c>
    </row>
    <row r="3073">
      <c r="A3073" s="3">
        <f>IFERROR(__xludf.DUMMYFUNCTION("""COMPUTED_VALUE"""),43712.99861111111)</f>
        <v>43712.99861</v>
      </c>
      <c r="B3073" s="1">
        <f>IFERROR(__xludf.DUMMYFUNCTION("""COMPUTED_VALUE"""),3863.837162)</f>
        <v>3863.837162</v>
      </c>
    </row>
    <row r="3074">
      <c r="A3074" s="3">
        <f>IFERROR(__xludf.DUMMYFUNCTION("""COMPUTED_VALUE"""),43713.99861111111)</f>
        <v>43713.99861</v>
      </c>
      <c r="B3074" s="1">
        <f>IFERROR(__xludf.DUMMYFUNCTION("""COMPUTED_VALUE"""),3859.568556)</f>
        <v>3859.568556</v>
      </c>
    </row>
    <row r="3075">
      <c r="A3075" s="3">
        <f>IFERROR(__xludf.DUMMYFUNCTION("""COMPUTED_VALUE"""),43714.99861111111)</f>
        <v>43714.99861</v>
      </c>
      <c r="B3075" s="1">
        <f>IFERROR(__xludf.DUMMYFUNCTION("""COMPUTED_VALUE"""),3829.880198)</f>
        <v>3829.880198</v>
      </c>
    </row>
    <row r="3076">
      <c r="A3076" s="3">
        <f>IFERROR(__xludf.DUMMYFUNCTION("""COMPUTED_VALUE"""),43715.99861111111)</f>
        <v>43715.99861</v>
      </c>
      <c r="B3076" s="1">
        <f>IFERROR(__xludf.DUMMYFUNCTION("""COMPUTED_VALUE"""),3829.851923)</f>
        <v>3829.851923</v>
      </c>
    </row>
    <row r="3077">
      <c r="A3077" s="3">
        <f>IFERROR(__xludf.DUMMYFUNCTION("""COMPUTED_VALUE"""),43716.99861111111)</f>
        <v>43716.99861</v>
      </c>
      <c r="B3077" s="1">
        <f>IFERROR(__xludf.DUMMYFUNCTION("""COMPUTED_VALUE"""),3837.462555)</f>
        <v>3837.462555</v>
      </c>
    </row>
    <row r="3078">
      <c r="A3078" s="3">
        <f>IFERROR(__xludf.DUMMYFUNCTION("""COMPUTED_VALUE"""),43717.99861111111)</f>
        <v>43717.99861</v>
      </c>
      <c r="B3078" s="1">
        <f>IFERROR(__xludf.DUMMYFUNCTION("""COMPUTED_VALUE"""),3819.869595)</f>
        <v>3819.869595</v>
      </c>
    </row>
    <row r="3079">
      <c r="A3079" s="3">
        <f>IFERROR(__xludf.DUMMYFUNCTION("""COMPUTED_VALUE"""),43718.99861111111)</f>
        <v>43718.99861</v>
      </c>
      <c r="B3079" s="1">
        <f>IFERROR(__xludf.DUMMYFUNCTION("""COMPUTED_VALUE"""),3823.781641)</f>
        <v>3823.781641</v>
      </c>
    </row>
    <row r="3080">
      <c r="A3080" s="3">
        <f>IFERROR(__xludf.DUMMYFUNCTION("""COMPUTED_VALUE"""),43719.99861111111)</f>
        <v>43719.99861</v>
      </c>
      <c r="B3080" s="1">
        <f>IFERROR(__xludf.DUMMYFUNCTION("""COMPUTED_VALUE"""),3842.252043)</f>
        <v>3842.252043</v>
      </c>
    </row>
    <row r="3081">
      <c r="A3081" s="3">
        <f>IFERROR(__xludf.DUMMYFUNCTION("""COMPUTED_VALUE"""),43720.99861111111)</f>
        <v>43720.99861</v>
      </c>
      <c r="B3081" s="1">
        <f>IFERROR(__xludf.DUMMYFUNCTION("""COMPUTED_VALUE"""),3808.70755)</f>
        <v>3808.70755</v>
      </c>
    </row>
    <row r="3082">
      <c r="A3082" s="3">
        <f>IFERROR(__xludf.DUMMYFUNCTION("""COMPUTED_VALUE"""),43721.99861111111)</f>
        <v>43721.99861</v>
      </c>
      <c r="B3082" s="1">
        <f>IFERROR(__xludf.DUMMYFUNCTION("""COMPUTED_VALUE"""),3802.069144)</f>
        <v>3802.069144</v>
      </c>
    </row>
    <row r="3083">
      <c r="A3083" s="3">
        <f>IFERROR(__xludf.DUMMYFUNCTION("""COMPUTED_VALUE"""),43722.99861111111)</f>
        <v>43722.99861</v>
      </c>
      <c r="B3083" s="1">
        <f>IFERROR(__xludf.DUMMYFUNCTION("""COMPUTED_VALUE"""),3802.041075)</f>
        <v>3802.041075</v>
      </c>
    </row>
    <row r="3084">
      <c r="A3084" s="3">
        <f>IFERROR(__xludf.DUMMYFUNCTION("""COMPUTED_VALUE"""),43723.99861111111)</f>
        <v>43723.99861</v>
      </c>
      <c r="B3084" s="1">
        <f>IFERROR(__xludf.DUMMYFUNCTION("""COMPUTED_VALUE"""),3802.041075)</f>
        <v>3802.041075</v>
      </c>
    </row>
    <row r="3085">
      <c r="A3085" s="3">
        <f>IFERROR(__xludf.DUMMYFUNCTION("""COMPUTED_VALUE"""),43724.99861111111)</f>
        <v>43724.99861</v>
      </c>
      <c r="B3085" s="1">
        <f>IFERROR(__xludf.DUMMYFUNCTION("""COMPUTED_VALUE"""),3858.882303)</f>
        <v>3858.882303</v>
      </c>
    </row>
    <row r="3086">
      <c r="A3086" s="3">
        <f>IFERROR(__xludf.DUMMYFUNCTION("""COMPUTED_VALUE"""),43725.99861111111)</f>
        <v>43725.99861</v>
      </c>
      <c r="B3086" s="1">
        <f>IFERROR(__xludf.DUMMYFUNCTION("""COMPUTED_VALUE"""),3847.039646)</f>
        <v>3847.039646</v>
      </c>
    </row>
    <row r="3087">
      <c r="A3087" s="3">
        <f>IFERROR(__xludf.DUMMYFUNCTION("""COMPUTED_VALUE"""),43726.99861111111)</f>
        <v>43726.99861</v>
      </c>
      <c r="B3087" s="1">
        <f>IFERROR(__xludf.DUMMYFUNCTION("""COMPUTED_VALUE"""),3846.82185)</f>
        <v>3846.82185</v>
      </c>
    </row>
    <row r="3088">
      <c r="A3088" s="3">
        <f>IFERROR(__xludf.DUMMYFUNCTION("""COMPUTED_VALUE"""),43727.99861111111)</f>
        <v>43727.99861</v>
      </c>
      <c r="B3088" s="1">
        <f>IFERROR(__xludf.DUMMYFUNCTION("""COMPUTED_VALUE"""),3855.53369)</f>
        <v>3855.53369</v>
      </c>
    </row>
    <row r="3089">
      <c r="A3089" s="3">
        <f>IFERROR(__xludf.DUMMYFUNCTION("""COMPUTED_VALUE"""),43728.99861111111)</f>
        <v>43728.99861</v>
      </c>
      <c r="B3089" s="1">
        <f>IFERROR(__xludf.DUMMYFUNCTION("""COMPUTED_VALUE"""),3840.238451)</f>
        <v>3840.238451</v>
      </c>
    </row>
    <row r="3090">
      <c r="A3090" s="3">
        <f>IFERROR(__xludf.DUMMYFUNCTION("""COMPUTED_VALUE"""),43729.99861111111)</f>
        <v>43729.99861</v>
      </c>
      <c r="B3090" s="1">
        <f>IFERROR(__xludf.DUMMYFUNCTION("""COMPUTED_VALUE"""),3840.238451)</f>
        <v>3840.238451</v>
      </c>
    </row>
    <row r="3091">
      <c r="A3091" s="3">
        <f>IFERROR(__xludf.DUMMYFUNCTION("""COMPUTED_VALUE"""),43730.99861111111)</f>
        <v>43730.99861</v>
      </c>
      <c r="B3091" s="1">
        <f>IFERROR(__xludf.DUMMYFUNCTION("""COMPUTED_VALUE"""),3826.572275)</f>
        <v>3826.572275</v>
      </c>
    </row>
    <row r="3092">
      <c r="A3092" s="3">
        <f>IFERROR(__xludf.DUMMYFUNCTION("""COMPUTED_VALUE"""),43731.99861111111)</f>
        <v>43731.99861</v>
      </c>
      <c r="B3092" s="1">
        <f>IFERROR(__xludf.DUMMYFUNCTION("""COMPUTED_VALUE"""),3834.570825)</f>
        <v>3834.570825</v>
      </c>
    </row>
    <row r="3093">
      <c r="A3093" s="3">
        <f>IFERROR(__xludf.DUMMYFUNCTION("""COMPUTED_VALUE"""),43732.99861111111)</f>
        <v>43732.99861</v>
      </c>
      <c r="B3093" s="1">
        <f>IFERROR(__xludf.DUMMYFUNCTION("""COMPUTED_VALUE"""),3860.929831)</f>
        <v>3860.929831</v>
      </c>
    </row>
    <row r="3094">
      <c r="A3094" s="3">
        <f>IFERROR(__xludf.DUMMYFUNCTION("""COMPUTED_VALUE"""),43733.99861111111)</f>
        <v>43733.99861</v>
      </c>
      <c r="B3094" s="1">
        <f>IFERROR(__xludf.DUMMYFUNCTION("""COMPUTED_VALUE"""),3852.26675)</f>
        <v>3852.26675</v>
      </c>
    </row>
    <row r="3095">
      <c r="A3095" s="3">
        <f>IFERROR(__xludf.DUMMYFUNCTION("""COMPUTED_VALUE"""),43734.99861111111)</f>
        <v>43734.99861</v>
      </c>
      <c r="B3095" s="1">
        <f>IFERROR(__xludf.DUMMYFUNCTION("""COMPUTED_VALUE"""),3876.946436)</f>
        <v>3876.946436</v>
      </c>
    </row>
    <row r="3096">
      <c r="A3096" s="3">
        <f>IFERROR(__xludf.DUMMYFUNCTION("""COMPUTED_VALUE"""),43735.99861111111)</f>
        <v>43735.99861</v>
      </c>
      <c r="B3096" s="1">
        <f>IFERROR(__xludf.DUMMYFUNCTION("""COMPUTED_VALUE"""),3864.676248)</f>
        <v>3864.676248</v>
      </c>
    </row>
    <row r="3097">
      <c r="A3097" s="3">
        <f>IFERROR(__xludf.DUMMYFUNCTION("""COMPUTED_VALUE"""),43736.99861111111)</f>
        <v>43736.99861</v>
      </c>
      <c r="B3097" s="1">
        <f>IFERROR(__xludf.DUMMYFUNCTION("""COMPUTED_VALUE"""),3864.463326)</f>
        <v>3864.463326</v>
      </c>
    </row>
    <row r="3098">
      <c r="A3098" s="3">
        <f>IFERROR(__xludf.DUMMYFUNCTION("""COMPUTED_VALUE"""),43737.99861111111)</f>
        <v>43737.99861</v>
      </c>
      <c r="B3098" s="1">
        <f>IFERROR(__xludf.DUMMYFUNCTION("""COMPUTED_VALUE"""),3856.520546)</f>
        <v>3856.520546</v>
      </c>
    </row>
    <row r="3099">
      <c r="A3099" s="3">
        <f>IFERROR(__xludf.DUMMYFUNCTION("""COMPUTED_VALUE"""),43738.99861111111)</f>
        <v>43738.99861</v>
      </c>
      <c r="B3099" s="1">
        <f>IFERROR(__xludf.DUMMYFUNCTION("""COMPUTED_VALUE"""),3872.391767)</f>
        <v>3872.391767</v>
      </c>
    </row>
    <row r="3100">
      <c r="A3100" s="3">
        <f>IFERROR(__xludf.DUMMYFUNCTION("""COMPUTED_VALUE"""),43739.99861111111)</f>
        <v>43739.99861</v>
      </c>
      <c r="B3100" s="1">
        <f>IFERROR(__xludf.DUMMYFUNCTION("""COMPUTED_VALUE"""),3869.418185)</f>
        <v>3869.418185</v>
      </c>
    </row>
    <row r="3101">
      <c r="A3101" s="3">
        <f>IFERROR(__xludf.DUMMYFUNCTION("""COMPUTED_VALUE"""),43740.99861111111)</f>
        <v>43740.99861</v>
      </c>
      <c r="B3101" s="1">
        <f>IFERROR(__xludf.DUMMYFUNCTION("""COMPUTED_VALUE"""),3864.517775)</f>
        <v>3864.517775</v>
      </c>
    </row>
    <row r="3102">
      <c r="A3102" s="3">
        <f>IFERROR(__xludf.DUMMYFUNCTION("""COMPUTED_VALUE"""),43741.99861111111)</f>
        <v>43741.99861</v>
      </c>
      <c r="B3102" s="1">
        <f>IFERROR(__xludf.DUMMYFUNCTION("""COMPUTED_VALUE"""),3864.926142)</f>
        <v>3864.926142</v>
      </c>
    </row>
    <row r="3103">
      <c r="A3103" s="3">
        <f>IFERROR(__xludf.DUMMYFUNCTION("""COMPUTED_VALUE"""),43742.99861111111)</f>
        <v>43742.99861</v>
      </c>
      <c r="B3103" s="1">
        <f>IFERROR(__xludf.DUMMYFUNCTION("""COMPUTED_VALUE"""),3847.91083)</f>
        <v>3847.91083</v>
      </c>
    </row>
    <row r="3104">
      <c r="A3104" s="3">
        <f>IFERROR(__xludf.DUMMYFUNCTION("""COMPUTED_VALUE"""),43743.99861111111)</f>
        <v>43743.99861</v>
      </c>
      <c r="B3104" s="1">
        <f>IFERROR(__xludf.DUMMYFUNCTION("""COMPUTED_VALUE"""),3847.91083)</f>
        <v>3847.91083</v>
      </c>
    </row>
    <row r="3105">
      <c r="A3105" s="3">
        <f>IFERROR(__xludf.DUMMYFUNCTION("""COMPUTED_VALUE"""),43744.99861111111)</f>
        <v>43744.99861</v>
      </c>
      <c r="B3105" s="1">
        <f>IFERROR(__xludf.DUMMYFUNCTION("""COMPUTED_VALUE"""),3848.373756)</f>
        <v>3848.373756</v>
      </c>
    </row>
    <row r="3106">
      <c r="A3106" s="3">
        <f>IFERROR(__xludf.DUMMYFUNCTION("""COMPUTED_VALUE"""),43745.99861111111)</f>
        <v>43745.99861</v>
      </c>
      <c r="B3106" s="1">
        <f>IFERROR(__xludf.DUMMYFUNCTION("""COMPUTED_VALUE"""),3877.721657)</f>
        <v>3877.721657</v>
      </c>
    </row>
    <row r="3107">
      <c r="A3107" s="3">
        <f>IFERROR(__xludf.DUMMYFUNCTION("""COMPUTED_VALUE"""),43746.99861111111)</f>
        <v>43746.99861</v>
      </c>
      <c r="B3107" s="1">
        <f>IFERROR(__xludf.DUMMYFUNCTION("""COMPUTED_VALUE"""),3869.418185)</f>
        <v>3869.418185</v>
      </c>
    </row>
    <row r="3108">
      <c r="A3108" s="3">
        <f>IFERROR(__xludf.DUMMYFUNCTION("""COMPUTED_VALUE"""),43747.99861111111)</f>
        <v>43747.99861</v>
      </c>
      <c r="B3108" s="1">
        <f>IFERROR(__xludf.DUMMYFUNCTION("""COMPUTED_VALUE"""),3857.71165)</f>
        <v>3857.71165</v>
      </c>
    </row>
    <row r="3109">
      <c r="A3109" s="3">
        <f>IFERROR(__xludf.DUMMYFUNCTION("""COMPUTED_VALUE"""),43748.99861111111)</f>
        <v>43748.99861</v>
      </c>
      <c r="B3109" s="1">
        <f>IFERROR(__xludf.DUMMYFUNCTION("""COMPUTED_VALUE"""),3852.81124)</f>
        <v>3852.81124</v>
      </c>
    </row>
    <row r="3110">
      <c r="A3110" s="3">
        <f>IFERROR(__xludf.DUMMYFUNCTION("""COMPUTED_VALUE"""),43749.99861111111)</f>
        <v>43749.99861</v>
      </c>
      <c r="B3110" s="1">
        <f>IFERROR(__xludf.DUMMYFUNCTION("""COMPUTED_VALUE"""),3847.793527)</f>
        <v>3847.793527</v>
      </c>
    </row>
    <row r="3111">
      <c r="A3111" s="3">
        <f>IFERROR(__xludf.DUMMYFUNCTION("""COMPUTED_VALUE"""),43750.99861111111)</f>
        <v>43750.99861</v>
      </c>
      <c r="B3111" s="1">
        <f>IFERROR(__xludf.DUMMYFUNCTION("""COMPUTED_VALUE"""),3847.821935)</f>
        <v>3847.821935</v>
      </c>
    </row>
    <row r="3112">
      <c r="A3112" s="3">
        <f>IFERROR(__xludf.DUMMYFUNCTION("""COMPUTED_VALUE"""),43751.99861111111)</f>
        <v>43751.99861</v>
      </c>
      <c r="B3112" s="1">
        <f>IFERROR(__xludf.DUMMYFUNCTION("""COMPUTED_VALUE"""),3846.49931)</f>
        <v>3846.49931</v>
      </c>
    </row>
    <row r="3113">
      <c r="A3113" s="3">
        <f>IFERROR(__xludf.DUMMYFUNCTION("""COMPUTED_VALUE"""),43752.99861111111)</f>
        <v>43752.99861</v>
      </c>
      <c r="B3113" s="1">
        <f>IFERROR(__xludf.DUMMYFUNCTION("""COMPUTED_VALUE"""),3842.154168)</f>
        <v>3842.154168</v>
      </c>
    </row>
    <row r="3114">
      <c r="A3114" s="3">
        <f>IFERROR(__xludf.DUMMYFUNCTION("""COMPUTED_VALUE"""),43753.99861111111)</f>
        <v>43753.99861</v>
      </c>
      <c r="B3114" s="1">
        <f>IFERROR(__xludf.DUMMYFUNCTION("""COMPUTED_VALUE"""),3871.284084)</f>
        <v>3871.284084</v>
      </c>
    </row>
    <row r="3115">
      <c r="A3115" s="3">
        <f>IFERROR(__xludf.DUMMYFUNCTION("""COMPUTED_VALUE"""),43754.99861111111)</f>
        <v>43754.99861</v>
      </c>
      <c r="B3115" s="1">
        <f>IFERROR(__xludf.DUMMYFUNCTION("""COMPUTED_VALUE"""),3873.462021)</f>
        <v>3873.462021</v>
      </c>
    </row>
    <row r="3116">
      <c r="A3116" s="3">
        <f>IFERROR(__xludf.DUMMYFUNCTION("""COMPUTED_VALUE"""),43755.99861111111)</f>
        <v>43755.99861</v>
      </c>
      <c r="B3116" s="1">
        <f>IFERROR(__xludf.DUMMYFUNCTION("""COMPUTED_VALUE"""),3862.708454)</f>
        <v>3862.708454</v>
      </c>
    </row>
    <row r="3117">
      <c r="A3117" s="3">
        <f>IFERROR(__xludf.DUMMYFUNCTION("""COMPUTED_VALUE"""),43756.99861111111)</f>
        <v>43756.99861</v>
      </c>
      <c r="B3117" s="1">
        <f>IFERROR(__xludf.DUMMYFUNCTION("""COMPUTED_VALUE"""),3846.101397)</f>
        <v>3846.101397</v>
      </c>
    </row>
    <row r="3118">
      <c r="A3118" s="3">
        <f>IFERROR(__xludf.DUMMYFUNCTION("""COMPUTED_VALUE"""),43757.99861111111)</f>
        <v>43757.99861</v>
      </c>
      <c r="B3118" s="1">
        <f>IFERROR(__xludf.DUMMYFUNCTION("""COMPUTED_VALUE"""),3846.10168)</f>
        <v>3846.10168</v>
      </c>
    </row>
    <row r="3119">
      <c r="A3119" s="3">
        <f>IFERROR(__xludf.DUMMYFUNCTION("""COMPUTED_VALUE"""),43758.99861111111)</f>
        <v>43758.99861</v>
      </c>
      <c r="B3119" s="1">
        <f>IFERROR(__xludf.DUMMYFUNCTION("""COMPUTED_VALUE"""),3851.085873)</f>
        <v>3851.085873</v>
      </c>
    </row>
    <row r="3120">
      <c r="A3120" s="3">
        <f>IFERROR(__xludf.DUMMYFUNCTION("""COMPUTED_VALUE"""),43759.99861111111)</f>
        <v>43759.99861</v>
      </c>
      <c r="B3120" s="1">
        <f>IFERROR(__xludf.DUMMYFUNCTION("""COMPUTED_VALUE"""),3840.384594)</f>
        <v>3840.384594</v>
      </c>
    </row>
    <row r="3121">
      <c r="A3121" s="3">
        <f>IFERROR(__xludf.DUMMYFUNCTION("""COMPUTED_VALUE"""),43760.99861111111)</f>
        <v>43760.99861</v>
      </c>
      <c r="B3121" s="1">
        <f>IFERROR(__xludf.DUMMYFUNCTION("""COMPUTED_VALUE"""),3824.594546)</f>
        <v>3824.594546</v>
      </c>
    </row>
    <row r="3122">
      <c r="A3122" s="3">
        <f>IFERROR(__xludf.DUMMYFUNCTION("""COMPUTED_VALUE"""),43761.99861111111)</f>
        <v>43761.99861</v>
      </c>
      <c r="B3122" s="1">
        <f>IFERROR(__xludf.DUMMYFUNCTION("""COMPUTED_VALUE"""),3814.865084)</f>
        <v>3814.865084</v>
      </c>
    </row>
    <row r="3123">
      <c r="A3123" s="3">
        <f>IFERROR(__xludf.DUMMYFUNCTION("""COMPUTED_VALUE"""),43762.99861111111)</f>
        <v>43762.99861</v>
      </c>
      <c r="B3123" s="1">
        <f>IFERROR(__xludf.DUMMYFUNCTION("""COMPUTED_VALUE"""),3837.158603)</f>
        <v>3837.158603</v>
      </c>
    </row>
    <row r="3124">
      <c r="A3124" s="3">
        <f>IFERROR(__xludf.DUMMYFUNCTION("""COMPUTED_VALUE"""),43763.99861111111)</f>
        <v>43763.99861</v>
      </c>
      <c r="B3124" s="1">
        <f>IFERROR(__xludf.DUMMYFUNCTION("""COMPUTED_VALUE"""),3821.231134)</f>
        <v>3821.231134</v>
      </c>
    </row>
    <row r="3125">
      <c r="A3125" s="3">
        <f>IFERROR(__xludf.DUMMYFUNCTION("""COMPUTED_VALUE"""),43764.99861111111)</f>
        <v>43764.99861</v>
      </c>
      <c r="B3125" s="1">
        <f>IFERROR(__xludf.DUMMYFUNCTION("""COMPUTED_VALUE"""),3821.230854)</f>
        <v>3821.230854</v>
      </c>
    </row>
    <row r="3126">
      <c r="A3126" s="3">
        <f>IFERROR(__xludf.DUMMYFUNCTION("""COMPUTED_VALUE"""),43765.99861111111)</f>
        <v>43765.99861</v>
      </c>
      <c r="B3126" s="1">
        <f>IFERROR(__xludf.DUMMYFUNCTION("""COMPUTED_VALUE"""),3821.303836)</f>
        <v>3821.303836</v>
      </c>
    </row>
    <row r="3127">
      <c r="A3127" s="3">
        <f>IFERROR(__xludf.DUMMYFUNCTION("""COMPUTED_VALUE"""),43766.99861111111)</f>
        <v>43766.99861</v>
      </c>
      <c r="B3127" s="1">
        <f>IFERROR(__xludf.DUMMYFUNCTION("""COMPUTED_VALUE"""),3818.50821)</f>
        <v>3818.50821</v>
      </c>
    </row>
    <row r="3128">
      <c r="A3128" s="3">
        <f>IFERROR(__xludf.DUMMYFUNCTION("""COMPUTED_VALUE"""),43767.99861111111)</f>
        <v>43767.99861</v>
      </c>
      <c r="B3128" s="1">
        <f>IFERROR(__xludf.DUMMYFUNCTION("""COMPUTED_VALUE"""),3831.849165)</f>
        <v>3831.849165</v>
      </c>
    </row>
    <row r="3129">
      <c r="A3129" s="3">
        <f>IFERROR(__xludf.DUMMYFUNCTION("""COMPUTED_VALUE"""),43768.99861111111)</f>
        <v>43768.99861</v>
      </c>
      <c r="B3129" s="1">
        <f>IFERROR(__xludf.DUMMYFUNCTION("""COMPUTED_VALUE"""),3829.126521)</f>
        <v>3829.126521</v>
      </c>
    </row>
    <row r="3130">
      <c r="A3130" s="3">
        <f>IFERROR(__xludf.DUMMYFUNCTION("""COMPUTED_VALUE"""),43769.99861111111)</f>
        <v>43769.99861</v>
      </c>
      <c r="B3130" s="1">
        <f>IFERROR(__xludf.DUMMYFUNCTION("""COMPUTED_VALUE"""),3846.415311)</f>
        <v>3846.415311</v>
      </c>
    </row>
    <row r="3131">
      <c r="A3131" s="3">
        <f>IFERROR(__xludf.DUMMYFUNCTION("""COMPUTED_VALUE"""),43770.99861111111)</f>
        <v>43770.99861</v>
      </c>
      <c r="B3131" s="1">
        <f>IFERROR(__xludf.DUMMYFUNCTION("""COMPUTED_VALUE"""),3808.748658)</f>
        <v>3808.748658</v>
      </c>
    </row>
    <row r="3132">
      <c r="A3132" s="3">
        <f>IFERROR(__xludf.DUMMYFUNCTION("""COMPUTED_VALUE"""),43771.99861111111)</f>
        <v>43771.99861</v>
      </c>
      <c r="B3132" s="1">
        <f>IFERROR(__xludf.DUMMYFUNCTION("""COMPUTED_VALUE"""),3808.748378)</f>
        <v>3808.748378</v>
      </c>
    </row>
    <row r="3133">
      <c r="A3133" s="3">
        <f>IFERROR(__xludf.DUMMYFUNCTION("""COMPUTED_VALUE"""),43772.99861111111)</f>
        <v>43772.99861</v>
      </c>
      <c r="B3133" s="1">
        <f>IFERROR(__xludf.DUMMYFUNCTION("""COMPUTED_VALUE"""),3817.461215)</f>
        <v>3817.461215</v>
      </c>
    </row>
    <row r="3134">
      <c r="A3134" s="3">
        <f>IFERROR(__xludf.DUMMYFUNCTION("""COMPUTED_VALUE"""),43773.99861111111)</f>
        <v>43773.99861</v>
      </c>
      <c r="B3134" s="1">
        <f>IFERROR(__xludf.DUMMYFUNCTION("""COMPUTED_VALUE"""),3828.477934)</f>
        <v>3828.477934</v>
      </c>
    </row>
    <row r="3135">
      <c r="A3135" s="3">
        <f>IFERROR(__xludf.DUMMYFUNCTION("""COMPUTED_VALUE"""),43774.99861111111)</f>
        <v>43774.99861</v>
      </c>
      <c r="B3135" s="1">
        <f>IFERROR(__xludf.DUMMYFUNCTION("""COMPUTED_VALUE"""),3820.238671)</f>
        <v>3820.238671</v>
      </c>
    </row>
    <row r="3136">
      <c r="A3136" s="3">
        <f>IFERROR(__xludf.DUMMYFUNCTION("""COMPUTED_VALUE"""),43775.99861111111)</f>
        <v>43775.99861</v>
      </c>
      <c r="B3136" s="1">
        <f>IFERROR(__xludf.DUMMYFUNCTION("""COMPUTED_VALUE"""),3815.474433)</f>
        <v>3815.474433</v>
      </c>
    </row>
    <row r="3137">
      <c r="A3137" s="3">
        <f>IFERROR(__xludf.DUMMYFUNCTION("""COMPUTED_VALUE"""),43776.99861111111)</f>
        <v>43776.99861</v>
      </c>
      <c r="B3137" s="1">
        <f>IFERROR(__xludf.DUMMYFUNCTION("""COMPUTED_VALUE"""),3830.311632)</f>
        <v>3830.311632</v>
      </c>
    </row>
    <row r="3138">
      <c r="A3138" s="3">
        <f>IFERROR(__xludf.DUMMYFUNCTION("""COMPUTED_VALUE"""),43777.99861111111)</f>
        <v>43777.99861</v>
      </c>
      <c r="B3138" s="1">
        <f>IFERROR(__xludf.DUMMYFUNCTION("""COMPUTED_VALUE"""),3815.753141)</f>
        <v>3815.753141</v>
      </c>
    </row>
    <row r="3139">
      <c r="A3139" s="3">
        <f>IFERROR(__xludf.DUMMYFUNCTION("""COMPUTED_VALUE"""),43778.99861111111)</f>
        <v>43778.99861</v>
      </c>
      <c r="B3139" s="1">
        <f>IFERROR(__xludf.DUMMYFUNCTION("""COMPUTED_VALUE"""),3815.753561)</f>
        <v>3815.753561</v>
      </c>
    </row>
    <row r="3140">
      <c r="A3140" s="3">
        <f>IFERROR(__xludf.DUMMYFUNCTION("""COMPUTED_VALUE"""),43779.99861111111)</f>
        <v>43779.99861</v>
      </c>
      <c r="B3140" s="1">
        <f>IFERROR(__xludf.DUMMYFUNCTION("""COMPUTED_VALUE"""),3816.885037)</f>
        <v>3816.885037</v>
      </c>
    </row>
    <row r="3141">
      <c r="A3141" s="3">
        <f>IFERROR(__xludf.DUMMYFUNCTION("""COMPUTED_VALUE"""),43780.99861111111)</f>
        <v>43780.99861</v>
      </c>
      <c r="B3141" s="1">
        <f>IFERROR(__xludf.DUMMYFUNCTION("""COMPUTED_VALUE"""),3811.861779)</f>
        <v>3811.861779</v>
      </c>
    </row>
    <row r="3142">
      <c r="A3142" s="3">
        <f>IFERROR(__xludf.DUMMYFUNCTION("""COMPUTED_VALUE"""),43781.99861111111)</f>
        <v>43781.99861</v>
      </c>
      <c r="B3142" s="1">
        <f>IFERROR(__xludf.DUMMYFUNCTION("""COMPUTED_VALUE"""),3827.793392)</f>
        <v>3827.793392</v>
      </c>
    </row>
    <row r="3143">
      <c r="A3143" s="3">
        <f>IFERROR(__xludf.DUMMYFUNCTION("""COMPUTED_VALUE"""),43782.99861111111)</f>
        <v>43782.99861</v>
      </c>
      <c r="B3143" s="1">
        <f>IFERROR(__xludf.DUMMYFUNCTION("""COMPUTED_VALUE"""),3833.651555)</f>
        <v>3833.651555</v>
      </c>
    </row>
    <row r="3144">
      <c r="A3144" s="3">
        <f>IFERROR(__xludf.DUMMYFUNCTION("""COMPUTED_VALUE"""),43783.99861111111)</f>
        <v>43783.99861</v>
      </c>
      <c r="B3144" s="1">
        <f>IFERROR(__xludf.DUMMYFUNCTION("""COMPUTED_VALUE"""),3834.531387)</f>
        <v>3834.531387</v>
      </c>
    </row>
    <row r="3145">
      <c r="A3145" s="3">
        <f>IFERROR(__xludf.DUMMYFUNCTION("""COMPUTED_VALUE"""),43784.99861111111)</f>
        <v>43784.99861</v>
      </c>
      <c r="B3145" s="1">
        <f>IFERROR(__xludf.DUMMYFUNCTION("""COMPUTED_VALUE"""),3831.567586)</f>
        <v>3831.567586</v>
      </c>
    </row>
    <row r="3146">
      <c r="A3146" s="3">
        <f>IFERROR(__xludf.DUMMYFUNCTION("""COMPUTED_VALUE"""),43785.99861111111)</f>
        <v>43785.99861</v>
      </c>
      <c r="B3146" s="1">
        <f>IFERROR(__xludf.DUMMYFUNCTION("""COMPUTED_VALUE"""),3831.389712)</f>
        <v>3831.389712</v>
      </c>
    </row>
    <row r="3147">
      <c r="A3147" s="3">
        <f>IFERROR(__xludf.DUMMYFUNCTION("""COMPUTED_VALUE"""),43786.99861111111)</f>
        <v>43786.99861</v>
      </c>
      <c r="B3147" s="1">
        <f>IFERROR(__xludf.DUMMYFUNCTION("""COMPUTED_VALUE"""),3825.040579)</f>
        <v>3825.040579</v>
      </c>
    </row>
    <row r="3148">
      <c r="A3148" s="3">
        <f>IFERROR(__xludf.DUMMYFUNCTION("""COMPUTED_VALUE"""),43787.99861111111)</f>
        <v>43787.99861</v>
      </c>
      <c r="B3148" s="1">
        <f>IFERROR(__xludf.DUMMYFUNCTION("""COMPUTED_VALUE"""),3828.065634)</f>
        <v>3828.065634</v>
      </c>
    </row>
    <row r="3149">
      <c r="A3149" s="3">
        <f>IFERROR(__xludf.DUMMYFUNCTION("""COMPUTED_VALUE"""),43788.99861111111)</f>
        <v>43788.99861</v>
      </c>
      <c r="B3149" s="1">
        <f>IFERROR(__xludf.DUMMYFUNCTION("""COMPUTED_VALUE"""),3835.892598)</f>
        <v>3835.892598</v>
      </c>
    </row>
    <row r="3150">
      <c r="A3150" s="3">
        <f>IFERROR(__xludf.DUMMYFUNCTION("""COMPUTED_VALUE"""),43789.99861111111)</f>
        <v>43789.99861</v>
      </c>
      <c r="B3150" s="1">
        <f>IFERROR(__xludf.DUMMYFUNCTION("""COMPUTED_VALUE"""),3822.223317)</f>
        <v>3822.223317</v>
      </c>
    </row>
    <row r="3151">
      <c r="A3151" s="3">
        <f>IFERROR(__xludf.DUMMYFUNCTION("""COMPUTED_VALUE"""),43790.99861111111)</f>
        <v>43790.99861</v>
      </c>
      <c r="B3151" s="1">
        <f>IFERROR(__xludf.DUMMYFUNCTION("""COMPUTED_VALUE"""),3832.353449)</f>
        <v>3832.353449</v>
      </c>
    </row>
    <row r="3152">
      <c r="A3152" s="3">
        <f>IFERROR(__xludf.DUMMYFUNCTION("""COMPUTED_VALUE"""),43791.99861111111)</f>
        <v>43791.99861</v>
      </c>
      <c r="B3152" s="1">
        <f>IFERROR(__xludf.DUMMYFUNCTION("""COMPUTED_VALUE"""),3836.668959)</f>
        <v>3836.668959</v>
      </c>
    </row>
    <row r="3153">
      <c r="A3153" s="3">
        <f>IFERROR(__xludf.DUMMYFUNCTION("""COMPUTED_VALUE"""),43792.99861111111)</f>
        <v>43792.99861</v>
      </c>
      <c r="B3153" s="1">
        <f>IFERROR(__xludf.DUMMYFUNCTION("""COMPUTED_VALUE"""),3836.668254)</f>
        <v>3836.668254</v>
      </c>
    </row>
    <row r="3154">
      <c r="A3154" s="3">
        <f>IFERROR(__xludf.DUMMYFUNCTION("""COMPUTED_VALUE"""),43793.99861111111)</f>
        <v>43793.99861</v>
      </c>
      <c r="B3154" s="1">
        <f>IFERROR(__xludf.DUMMYFUNCTION("""COMPUTED_VALUE"""),3835.653866)</f>
        <v>3835.653866</v>
      </c>
    </row>
    <row r="3155">
      <c r="A3155" s="3">
        <f>IFERROR(__xludf.DUMMYFUNCTION("""COMPUTED_VALUE"""),43794.99861111111)</f>
        <v>43794.99861</v>
      </c>
      <c r="B3155" s="1">
        <f>IFERROR(__xludf.DUMMYFUNCTION("""COMPUTED_VALUE"""),3829.982219)</f>
        <v>3829.982219</v>
      </c>
    </row>
    <row r="3156">
      <c r="A3156" s="3">
        <f>IFERROR(__xludf.DUMMYFUNCTION("""COMPUTED_VALUE"""),43795.99861111111)</f>
        <v>43795.99861</v>
      </c>
      <c r="B3156" s="1">
        <f>IFERROR(__xludf.DUMMYFUNCTION("""COMPUTED_VALUE"""),3834.531387)</f>
        <v>3834.531387</v>
      </c>
    </row>
    <row r="3157">
      <c r="A3157" s="3">
        <f>IFERROR(__xludf.DUMMYFUNCTION("""COMPUTED_VALUE"""),43796.99861111111)</f>
        <v>43796.99861</v>
      </c>
      <c r="B3157" s="1">
        <f>IFERROR(__xludf.DUMMYFUNCTION("""COMPUTED_VALUE"""),3836.545979)</f>
        <v>3836.545979</v>
      </c>
    </row>
    <row r="3158">
      <c r="A3158" s="3">
        <f>IFERROR(__xludf.DUMMYFUNCTION("""COMPUTED_VALUE"""),43797.99861111111)</f>
        <v>43797.99861</v>
      </c>
      <c r="B3158" s="1">
        <f>IFERROR(__xludf.DUMMYFUNCTION("""COMPUTED_VALUE"""),3832.620246)</f>
        <v>3832.620246</v>
      </c>
    </row>
    <row r="3159">
      <c r="A3159" s="3">
        <f>IFERROR(__xludf.DUMMYFUNCTION("""COMPUTED_VALUE"""),43798.99861111111)</f>
        <v>43798.99861</v>
      </c>
      <c r="B3159" s="1">
        <f>IFERROR(__xludf.DUMMYFUNCTION("""COMPUTED_VALUE"""),3835.066553)</f>
        <v>3835.066553</v>
      </c>
    </row>
    <row r="3160">
      <c r="A3160" s="3">
        <f>IFERROR(__xludf.DUMMYFUNCTION("""COMPUTED_VALUE"""),43799.99861111111)</f>
        <v>43799.99861</v>
      </c>
      <c r="B3160" s="1">
        <f>IFERROR(__xludf.DUMMYFUNCTION("""COMPUTED_VALUE"""),3834.971263)</f>
        <v>3834.971263</v>
      </c>
    </row>
    <row r="3161">
      <c r="A3161" s="3">
        <f>IFERROR(__xludf.DUMMYFUNCTION("""COMPUTED_VALUE"""),43800.99861111111)</f>
        <v>43800.99861</v>
      </c>
      <c r="B3161" s="1">
        <f>IFERROR(__xludf.DUMMYFUNCTION("""COMPUTED_VALUE"""),3832.649639)</f>
        <v>3832.649639</v>
      </c>
    </row>
    <row r="3162">
      <c r="A3162" s="3">
        <f>IFERROR(__xludf.DUMMYFUNCTION("""COMPUTED_VALUE"""),43801.99861111111)</f>
        <v>43801.99861</v>
      </c>
      <c r="B3162" s="1">
        <f>IFERROR(__xludf.DUMMYFUNCTION("""COMPUTED_VALUE"""),3846.18063)</f>
        <v>3846.18063</v>
      </c>
    </row>
    <row r="3163">
      <c r="A3163" s="3">
        <f>IFERROR(__xludf.DUMMYFUNCTION("""COMPUTED_VALUE"""),43802.99861111111)</f>
        <v>43802.99861</v>
      </c>
      <c r="B3163" s="1">
        <f>IFERROR(__xludf.DUMMYFUNCTION("""COMPUTED_VALUE"""),3839.976231)</f>
        <v>3839.976231</v>
      </c>
    </row>
    <row r="3164">
      <c r="A3164" s="3">
        <f>IFERROR(__xludf.DUMMYFUNCTION("""COMPUTED_VALUE"""),43803.99861111111)</f>
        <v>43803.99861</v>
      </c>
      <c r="B3164" s="1">
        <f>IFERROR(__xludf.DUMMYFUNCTION("""COMPUTED_VALUE"""),3811.431636)</f>
        <v>3811.431636</v>
      </c>
    </row>
    <row r="3165">
      <c r="A3165" s="3">
        <f>IFERROR(__xludf.DUMMYFUNCTION("""COMPUTED_VALUE"""),43804.99861111111)</f>
        <v>43804.99861</v>
      </c>
      <c r="B3165" s="1">
        <f>IFERROR(__xludf.DUMMYFUNCTION("""COMPUTED_VALUE"""),3803.482164)</f>
        <v>3803.482164</v>
      </c>
    </row>
    <row r="3166">
      <c r="A3166" s="3">
        <f>IFERROR(__xludf.DUMMYFUNCTION("""COMPUTED_VALUE"""),43805.99861111111)</f>
        <v>43805.99861</v>
      </c>
      <c r="B3166" s="1">
        <f>IFERROR(__xludf.DUMMYFUNCTION("""COMPUTED_VALUE"""),3818.105082)</f>
        <v>3818.105082</v>
      </c>
    </row>
    <row r="3167">
      <c r="A3167" s="3">
        <f>IFERROR(__xludf.DUMMYFUNCTION("""COMPUTED_VALUE"""),43806.99861111111)</f>
        <v>43806.99861</v>
      </c>
      <c r="B3167" s="1">
        <f>IFERROR(__xludf.DUMMYFUNCTION("""COMPUTED_VALUE"""),3818.104942)</f>
        <v>3818.104942</v>
      </c>
    </row>
    <row r="3168">
      <c r="A3168" s="3">
        <f>IFERROR(__xludf.DUMMYFUNCTION("""COMPUTED_VALUE"""),43807.99861111111)</f>
        <v>43807.99861</v>
      </c>
      <c r="B3168" s="1">
        <f>IFERROR(__xludf.DUMMYFUNCTION("""COMPUTED_VALUE"""),3818.848773)</f>
        <v>3818.848773</v>
      </c>
    </row>
    <row r="3169">
      <c r="A3169" s="3">
        <f>IFERROR(__xludf.DUMMYFUNCTION("""COMPUTED_VALUE"""),43808.99861111111)</f>
        <v>43808.99861</v>
      </c>
      <c r="B3169" s="1">
        <f>IFERROR(__xludf.DUMMYFUNCTION("""COMPUTED_VALUE"""),3813.873648)</f>
        <v>3813.873648</v>
      </c>
    </row>
    <row r="3170">
      <c r="A3170" s="3">
        <f>IFERROR(__xludf.DUMMYFUNCTION("""COMPUTED_VALUE"""),43809.99861111111)</f>
        <v>43809.99861</v>
      </c>
      <c r="B3170" s="1">
        <f>IFERROR(__xludf.DUMMYFUNCTION("""COMPUTED_VALUE"""),3818.196855)</f>
        <v>3818.196855</v>
      </c>
    </row>
    <row r="3171">
      <c r="A3171" s="3">
        <f>IFERROR(__xludf.DUMMYFUNCTION("""COMPUTED_VALUE"""),43810.99861111111)</f>
        <v>43810.99861</v>
      </c>
      <c r="B3171" s="1">
        <f>IFERROR(__xludf.DUMMYFUNCTION("""COMPUTED_VALUE"""),3806.245422)</f>
        <v>3806.245422</v>
      </c>
    </row>
    <row r="3172">
      <c r="A3172" s="3">
        <f>IFERROR(__xludf.DUMMYFUNCTION("""COMPUTED_VALUE"""),43811.99861111111)</f>
        <v>43811.99861</v>
      </c>
      <c r="B3172" s="1">
        <f>IFERROR(__xludf.DUMMYFUNCTION("""COMPUTED_VALUE"""),3818.196855)</f>
        <v>3818.196855</v>
      </c>
    </row>
    <row r="3173">
      <c r="A3173" s="3">
        <f>IFERROR(__xludf.DUMMYFUNCTION("""COMPUTED_VALUE"""),43812.99861111111)</f>
        <v>43812.99861</v>
      </c>
      <c r="B3173" s="1">
        <f>IFERROR(__xludf.DUMMYFUNCTION("""COMPUTED_VALUE"""),3804.410415)</f>
        <v>3804.410415</v>
      </c>
    </row>
    <row r="3174">
      <c r="A3174" s="3">
        <f>IFERROR(__xludf.DUMMYFUNCTION("""COMPUTED_VALUE"""),43813.99861111111)</f>
        <v>43813.99861</v>
      </c>
      <c r="B3174" s="1">
        <f>IFERROR(__xludf.DUMMYFUNCTION("""COMPUTED_VALUE"""),3804.410415)</f>
        <v>3804.410415</v>
      </c>
    </row>
    <row r="3175">
      <c r="A3175" s="3">
        <f>IFERROR(__xludf.DUMMYFUNCTION("""COMPUTED_VALUE"""),43814.99861111111)</f>
        <v>43814.99861</v>
      </c>
      <c r="B3175" s="1">
        <f>IFERROR(__xludf.DUMMYFUNCTION("""COMPUTED_VALUE"""),3804.139324)</f>
        <v>3804.139324</v>
      </c>
    </row>
    <row r="3176">
      <c r="A3176" s="3">
        <f>IFERROR(__xludf.DUMMYFUNCTION("""COMPUTED_VALUE"""),43815.99861111111)</f>
        <v>43815.99861</v>
      </c>
      <c r="B3176" s="1">
        <f>IFERROR(__xludf.DUMMYFUNCTION("""COMPUTED_VALUE"""),3815.174966)</f>
        <v>3815.174966</v>
      </c>
    </row>
    <row r="3177">
      <c r="A3177" s="3">
        <f>IFERROR(__xludf.DUMMYFUNCTION("""COMPUTED_VALUE"""),43816.99861111111)</f>
        <v>43816.99861</v>
      </c>
      <c r="B3177" s="1">
        <f>IFERROR(__xludf.DUMMYFUNCTION("""COMPUTED_VALUE"""),3819.013581)</f>
        <v>3819.013581</v>
      </c>
    </row>
    <row r="3178">
      <c r="A3178" s="3">
        <f>IFERROR(__xludf.DUMMYFUNCTION("""COMPUTED_VALUE"""),43817.99861111111)</f>
        <v>43817.99861</v>
      </c>
      <c r="B3178" s="1">
        <f>IFERROR(__xludf.DUMMYFUNCTION("""COMPUTED_VALUE"""),3803.610117)</f>
        <v>3803.610117</v>
      </c>
    </row>
    <row r="3179">
      <c r="A3179" s="3">
        <f>IFERROR(__xludf.DUMMYFUNCTION("""COMPUTED_VALUE"""),43818.99861111111)</f>
        <v>43818.99861</v>
      </c>
      <c r="B3179" s="1">
        <f>IFERROR(__xludf.DUMMYFUNCTION("""COMPUTED_VALUE"""),3806.691899)</f>
        <v>3806.691899</v>
      </c>
    </row>
    <row r="3180">
      <c r="A3180" s="3">
        <f>IFERROR(__xludf.DUMMYFUNCTION("""COMPUTED_VALUE"""),43819.99861111111)</f>
        <v>43819.99861</v>
      </c>
      <c r="B3180" s="1">
        <f>IFERROR(__xludf.DUMMYFUNCTION("""COMPUTED_VALUE"""),3802.346634)</f>
        <v>3802.346634</v>
      </c>
    </row>
    <row r="3181">
      <c r="A3181" s="3">
        <f>IFERROR(__xludf.DUMMYFUNCTION("""COMPUTED_VALUE"""),43820.99861111111)</f>
        <v>43820.99861</v>
      </c>
      <c r="B3181" s="1">
        <f>IFERROR(__xludf.DUMMYFUNCTION("""COMPUTED_VALUE"""),3802.346914)</f>
        <v>3802.346914</v>
      </c>
    </row>
    <row r="3182">
      <c r="A3182" s="3">
        <f>IFERROR(__xludf.DUMMYFUNCTION("""COMPUTED_VALUE"""),43821.99861111111)</f>
        <v>43821.99861</v>
      </c>
      <c r="B3182" s="1">
        <f>IFERROR(__xludf.DUMMYFUNCTION("""COMPUTED_VALUE"""),3801.29768)</f>
        <v>3801.29768</v>
      </c>
    </row>
    <row r="3183">
      <c r="A3183" s="3">
        <f>IFERROR(__xludf.DUMMYFUNCTION("""COMPUTED_VALUE"""),43822.99861111111)</f>
        <v>43822.99861</v>
      </c>
      <c r="B3183" s="1">
        <f>IFERROR(__xludf.DUMMYFUNCTION("""COMPUTED_VALUE"""),3800.536503)</f>
        <v>3800.536503</v>
      </c>
    </row>
    <row r="3184">
      <c r="A3184" s="3">
        <f>IFERROR(__xludf.DUMMYFUNCTION("""COMPUTED_VALUE"""),43823.99861111111)</f>
        <v>43823.99861</v>
      </c>
      <c r="B3184" s="1">
        <f>IFERROR(__xludf.DUMMYFUNCTION("""COMPUTED_VALUE"""),3800.528089)</f>
        <v>3800.528089</v>
      </c>
    </row>
    <row r="3185">
      <c r="A3185" s="3">
        <f>IFERROR(__xludf.DUMMYFUNCTION("""COMPUTED_VALUE"""),43824.99861111111)</f>
        <v>43824.99861</v>
      </c>
      <c r="B3185" s="1">
        <f>IFERROR(__xludf.DUMMYFUNCTION("""COMPUTED_VALUE"""),3803.520334)</f>
        <v>3803.520334</v>
      </c>
    </row>
    <row r="3186">
      <c r="A3186" s="3">
        <f>IFERROR(__xludf.DUMMYFUNCTION("""COMPUTED_VALUE"""),43825.99861111111)</f>
        <v>43825.99861</v>
      </c>
      <c r="B3186" s="1">
        <f>IFERROR(__xludf.DUMMYFUNCTION("""COMPUTED_VALUE"""),3799.398208)</f>
        <v>3799.398208</v>
      </c>
    </row>
    <row r="3187">
      <c r="A3187" s="3">
        <f>IFERROR(__xludf.DUMMYFUNCTION("""COMPUTED_VALUE"""),43826.99861111111)</f>
        <v>43826.99861</v>
      </c>
      <c r="B3187" s="1">
        <f>IFERROR(__xludf.DUMMYFUNCTION("""COMPUTED_VALUE"""),3799.76853)</f>
        <v>3799.76853</v>
      </c>
    </row>
    <row r="3188">
      <c r="A3188" s="3">
        <f>IFERROR(__xludf.DUMMYFUNCTION("""COMPUTED_VALUE"""),43827.99861111111)</f>
        <v>43827.99861</v>
      </c>
      <c r="B3188" s="1">
        <f>IFERROR(__xludf.DUMMYFUNCTION("""COMPUTED_VALUE"""),3799.768251)</f>
        <v>3799.768251</v>
      </c>
    </row>
    <row r="3189">
      <c r="A3189" s="3">
        <f>IFERROR(__xludf.DUMMYFUNCTION("""COMPUTED_VALUE"""),43828.99861111111)</f>
        <v>43828.99861</v>
      </c>
      <c r="B3189" s="1">
        <f>IFERROR(__xludf.DUMMYFUNCTION("""COMPUTED_VALUE"""),3800.355015)</f>
        <v>3800.355015</v>
      </c>
    </row>
    <row r="3190">
      <c r="A3190" s="3">
        <f>IFERROR(__xludf.DUMMYFUNCTION("""COMPUTED_VALUE"""),43829.99861111111)</f>
        <v>43829.99861</v>
      </c>
      <c r="B3190" s="1">
        <f>IFERROR(__xludf.DUMMYFUNCTION("""COMPUTED_VALUE"""),3791.244877)</f>
        <v>3791.244877</v>
      </c>
    </row>
    <row r="3191">
      <c r="A3191" s="3">
        <f>IFERROR(__xludf.DUMMYFUNCTION("""COMPUTED_VALUE"""),43830.99861111111)</f>
        <v>43830.99861</v>
      </c>
      <c r="B3191" s="1">
        <f>IFERROR(__xludf.DUMMYFUNCTION("""COMPUTED_VALUE"""),3779.538184)</f>
        <v>3779.538184</v>
      </c>
    </row>
    <row r="3192">
      <c r="A3192" s="3">
        <f>IFERROR(__xludf.DUMMYFUNCTION("""COMPUTED_VALUE"""),43831.99861111111)</f>
        <v>43831.99861</v>
      </c>
      <c r="B3192" s="1">
        <f>IFERROR(__xludf.DUMMYFUNCTION("""COMPUTED_VALUE"""),3779.538184)</f>
        <v>3779.538184</v>
      </c>
    </row>
    <row r="3193">
      <c r="A3193" s="3">
        <f>IFERROR(__xludf.DUMMYFUNCTION("""COMPUTED_VALUE"""),43832.99861111111)</f>
        <v>43832.99861</v>
      </c>
      <c r="B3193" s="1">
        <f>IFERROR(__xludf.DUMMYFUNCTION("""COMPUTED_VALUE"""),3781.242698)</f>
        <v>3781.242698</v>
      </c>
    </row>
    <row r="3194">
      <c r="A3194" s="3">
        <f>IFERROR(__xludf.DUMMYFUNCTION("""COMPUTED_VALUE"""),43833.99861111111)</f>
        <v>43833.99861</v>
      </c>
      <c r="B3194" s="1">
        <f>IFERROR(__xludf.DUMMYFUNCTION("""COMPUTED_VALUE"""),3795.105271)</f>
        <v>3795.105271</v>
      </c>
    </row>
    <row r="3195">
      <c r="A3195" s="3">
        <f>IFERROR(__xludf.DUMMYFUNCTION("""COMPUTED_VALUE"""),43834.99861111111)</f>
        <v>43834.99861</v>
      </c>
      <c r="B3195" s="1">
        <f>IFERROR(__xludf.DUMMYFUNCTION("""COMPUTED_VALUE"""),3795.105271)</f>
        <v>3795.105271</v>
      </c>
    </row>
    <row r="3196">
      <c r="A3196" s="3">
        <f>IFERROR(__xludf.DUMMYFUNCTION("""COMPUTED_VALUE"""),43835.99861111111)</f>
        <v>43835.99861</v>
      </c>
      <c r="B3196" s="1">
        <f>IFERROR(__xludf.DUMMYFUNCTION("""COMPUTED_VALUE"""),3794.926114)</f>
        <v>3794.926114</v>
      </c>
    </row>
    <row r="3197">
      <c r="A3197" s="3">
        <f>IFERROR(__xludf.DUMMYFUNCTION("""COMPUTED_VALUE"""),43836.99861111111)</f>
        <v>43836.99861</v>
      </c>
      <c r="B3197" s="1">
        <f>IFERROR(__xludf.DUMMYFUNCTION("""COMPUTED_VALUE"""),3790.836513)</f>
        <v>3790.836513</v>
      </c>
    </row>
    <row r="3198">
      <c r="A3198" s="3">
        <f>IFERROR(__xludf.DUMMYFUNCTION("""COMPUTED_VALUE"""),43837.99861111111)</f>
        <v>43837.99861</v>
      </c>
      <c r="B3198" s="1">
        <f>IFERROR(__xludf.DUMMYFUNCTION("""COMPUTED_VALUE"""),3776.296057)</f>
        <v>3776.296057</v>
      </c>
    </row>
    <row r="3199">
      <c r="A3199" s="3">
        <f>IFERROR(__xludf.DUMMYFUNCTION("""COMPUTED_VALUE"""),43838.99861111111)</f>
        <v>43838.99861</v>
      </c>
      <c r="B3199" s="1">
        <f>IFERROR(__xludf.DUMMYFUNCTION("""COMPUTED_VALUE"""),3785.266438)</f>
        <v>3785.266438</v>
      </c>
    </row>
    <row r="3200">
      <c r="A3200" s="3">
        <f>IFERROR(__xludf.DUMMYFUNCTION("""COMPUTED_VALUE"""),43839.99861111111)</f>
        <v>43839.99861</v>
      </c>
      <c r="B3200" s="1">
        <f>IFERROR(__xludf.DUMMYFUNCTION("""COMPUTED_VALUE"""),3765.670444)</f>
        <v>3765.670444</v>
      </c>
    </row>
    <row r="3201">
      <c r="A3201" s="3">
        <f>IFERROR(__xludf.DUMMYFUNCTION("""COMPUTED_VALUE"""),43840.99861111111)</f>
        <v>43840.99861</v>
      </c>
      <c r="B3201" s="1">
        <f>IFERROR(__xludf.DUMMYFUNCTION("""COMPUTED_VALUE"""),3745.502305)</f>
        <v>3745.502305</v>
      </c>
    </row>
    <row r="3202">
      <c r="A3202" s="3">
        <f>IFERROR(__xludf.DUMMYFUNCTION("""COMPUTED_VALUE"""),43841.99861111111)</f>
        <v>43841.99861</v>
      </c>
      <c r="B3202" s="1">
        <f>IFERROR(__xludf.DUMMYFUNCTION("""COMPUTED_VALUE"""),3745.298561)</f>
        <v>3745.298561</v>
      </c>
    </row>
    <row r="3203">
      <c r="A3203" s="3">
        <f>IFERROR(__xludf.DUMMYFUNCTION("""COMPUTED_VALUE"""),43842.99861111111)</f>
        <v>43842.99861</v>
      </c>
      <c r="B3203" s="1">
        <f>IFERROR(__xludf.DUMMYFUNCTION("""COMPUTED_VALUE"""),3738.083445)</f>
        <v>3738.083445</v>
      </c>
    </row>
    <row r="3204">
      <c r="A3204" s="3">
        <f>IFERROR(__xludf.DUMMYFUNCTION("""COMPUTED_VALUE"""),43843.99861111111)</f>
        <v>43843.99861</v>
      </c>
      <c r="B3204" s="1">
        <f>IFERROR(__xludf.DUMMYFUNCTION("""COMPUTED_VALUE"""),3721.006389)</f>
        <v>3721.006389</v>
      </c>
    </row>
    <row r="3205">
      <c r="A3205" s="3">
        <f>IFERROR(__xludf.DUMMYFUNCTION("""COMPUTED_VALUE"""),43844.99861111111)</f>
        <v>43844.99861</v>
      </c>
      <c r="B3205" s="1">
        <f>IFERROR(__xludf.DUMMYFUNCTION("""COMPUTED_VALUE"""),3722.239646)</f>
        <v>3722.239646</v>
      </c>
    </row>
    <row r="3206">
      <c r="A3206" s="3">
        <f>IFERROR(__xludf.DUMMYFUNCTION("""COMPUTED_VALUE"""),43845.99861111111)</f>
        <v>43845.99861</v>
      </c>
      <c r="B3206" s="1">
        <f>IFERROR(__xludf.DUMMYFUNCTION("""COMPUTED_VALUE"""),3721.436532)</f>
        <v>3721.436532</v>
      </c>
    </row>
    <row r="3207">
      <c r="A3207" s="3">
        <f>IFERROR(__xludf.DUMMYFUNCTION("""COMPUTED_VALUE"""),43846.99861111111)</f>
        <v>43846.99861</v>
      </c>
      <c r="B3207" s="1">
        <f>IFERROR(__xludf.DUMMYFUNCTION("""COMPUTED_VALUE"""),3710.661186)</f>
        <v>3710.661186</v>
      </c>
    </row>
    <row r="3208">
      <c r="A3208" s="3">
        <f>IFERROR(__xludf.DUMMYFUNCTION("""COMPUTED_VALUE"""),43847.99861111111)</f>
        <v>43847.99861</v>
      </c>
      <c r="B3208" s="1">
        <f>IFERROR(__xludf.DUMMYFUNCTION("""COMPUTED_VALUE"""),3715.561545)</f>
        <v>3715.561545</v>
      </c>
    </row>
    <row r="3209">
      <c r="A3209" s="3">
        <f>IFERROR(__xludf.DUMMYFUNCTION("""COMPUTED_VALUE"""),43848.99861111111)</f>
        <v>43848.99861</v>
      </c>
      <c r="B3209" s="1">
        <f>IFERROR(__xludf.DUMMYFUNCTION("""COMPUTED_VALUE"""),3715.561545)</f>
        <v>3715.561545</v>
      </c>
    </row>
    <row r="3210">
      <c r="A3210" s="3">
        <f>IFERROR(__xludf.DUMMYFUNCTION("""COMPUTED_VALUE"""),43849.99861111111)</f>
        <v>43849.99861</v>
      </c>
      <c r="B3210" s="1">
        <f>IFERROR(__xludf.DUMMYFUNCTION("""COMPUTED_VALUE"""),3720.250444)</f>
        <v>3720.250444</v>
      </c>
    </row>
    <row r="3211">
      <c r="A3211" s="3">
        <f>IFERROR(__xludf.DUMMYFUNCTION("""COMPUTED_VALUE"""),43850.99861111111)</f>
        <v>43850.99861</v>
      </c>
      <c r="B3211" s="1">
        <f>IFERROR(__xludf.DUMMYFUNCTION("""COMPUTED_VALUE"""),3708.483248)</f>
        <v>3708.483248</v>
      </c>
    </row>
    <row r="3212">
      <c r="A3212" s="3">
        <f>IFERROR(__xludf.DUMMYFUNCTION("""COMPUTED_VALUE"""),43851.99861111111)</f>
        <v>43851.99861</v>
      </c>
      <c r="B3212" s="1">
        <f>IFERROR(__xludf.DUMMYFUNCTION("""COMPUTED_VALUE"""),3725.906475)</f>
        <v>3725.906475</v>
      </c>
    </row>
    <row r="3213">
      <c r="A3213" s="3">
        <f>IFERROR(__xludf.DUMMYFUNCTION("""COMPUTED_VALUE"""),43852.99861111111)</f>
        <v>43852.99861</v>
      </c>
      <c r="B3213" s="1">
        <f>IFERROR(__xludf.DUMMYFUNCTION("""COMPUTED_VALUE"""),3710.903481)</f>
        <v>3710.903481</v>
      </c>
    </row>
    <row r="3214">
      <c r="A3214" s="3">
        <f>IFERROR(__xludf.DUMMYFUNCTION("""COMPUTED_VALUE"""),43853.99861111111)</f>
        <v>43853.99861</v>
      </c>
      <c r="B3214" s="1">
        <f>IFERROR(__xludf.DUMMYFUNCTION("""COMPUTED_VALUE"""),3706.528584)</f>
        <v>3706.528584</v>
      </c>
    </row>
    <row r="3215">
      <c r="A3215" s="3">
        <f>IFERROR(__xludf.DUMMYFUNCTION("""COMPUTED_VALUE"""),43854.99861111111)</f>
        <v>43854.99861</v>
      </c>
      <c r="B3215" s="1">
        <f>IFERROR(__xludf.DUMMYFUNCTION("""COMPUTED_VALUE"""),3705.295254)</f>
        <v>3705.295254</v>
      </c>
    </row>
    <row r="3216">
      <c r="A3216" s="3">
        <f>IFERROR(__xludf.DUMMYFUNCTION("""COMPUTED_VALUE"""),43855.99861111111)</f>
        <v>43855.99861</v>
      </c>
      <c r="B3216" s="1">
        <f>IFERROR(__xludf.DUMMYFUNCTION("""COMPUTED_VALUE"""),3705.295254)</f>
        <v>3705.295254</v>
      </c>
    </row>
    <row r="3217">
      <c r="A3217" s="3">
        <f>IFERROR(__xludf.DUMMYFUNCTION("""COMPUTED_VALUE"""),43856.99861111111)</f>
        <v>43856.99861</v>
      </c>
      <c r="B3217" s="1">
        <f>IFERROR(__xludf.DUMMYFUNCTION("""COMPUTED_VALUE"""),3734.415863)</f>
        <v>3734.415863</v>
      </c>
    </row>
    <row r="3218">
      <c r="A3218" s="3">
        <f>IFERROR(__xludf.DUMMYFUNCTION("""COMPUTED_VALUE"""),43857.99861111111)</f>
        <v>43857.99861</v>
      </c>
      <c r="B3218" s="1">
        <f>IFERROR(__xludf.DUMMYFUNCTION("""COMPUTED_VALUE"""),3598.437506)</f>
        <v>3598.437506</v>
      </c>
    </row>
    <row r="3219">
      <c r="A3219" s="3">
        <f>IFERROR(__xludf.DUMMYFUNCTION("""COMPUTED_VALUE"""),43858.99861111111)</f>
        <v>43858.99861</v>
      </c>
      <c r="B3219" s="1">
        <f>IFERROR(__xludf.DUMMYFUNCTION("""COMPUTED_VALUE"""),3712.566881)</f>
        <v>3712.566881</v>
      </c>
    </row>
    <row r="3220">
      <c r="A3220" s="3">
        <f>IFERROR(__xludf.DUMMYFUNCTION("""COMPUTED_VALUE"""),43859.99861111111)</f>
        <v>43859.99861</v>
      </c>
      <c r="B3220" s="1">
        <f>IFERROR(__xludf.DUMMYFUNCTION("""COMPUTED_VALUE"""),3718.147846)</f>
        <v>3718.147846</v>
      </c>
    </row>
    <row r="3221">
      <c r="A3221" s="3">
        <f>IFERROR(__xludf.DUMMYFUNCTION("""COMPUTED_VALUE"""),43860.99861111111)</f>
        <v>43860.99861</v>
      </c>
      <c r="B3221" s="1">
        <f>IFERROR(__xludf.DUMMYFUNCTION("""COMPUTED_VALUE"""),3715.482595)</f>
        <v>3715.482595</v>
      </c>
    </row>
    <row r="3222">
      <c r="A3222" s="3">
        <f>IFERROR(__xludf.DUMMYFUNCTION("""COMPUTED_VALUE"""),43861.99861111111)</f>
        <v>43861.99861</v>
      </c>
      <c r="B3222" s="1">
        <f>IFERROR(__xludf.DUMMYFUNCTION("""COMPUTED_VALUE"""),3749.475803)</f>
        <v>3749.475803</v>
      </c>
    </row>
    <row r="3223">
      <c r="A3223" s="3">
        <f>IFERROR(__xludf.DUMMYFUNCTION("""COMPUTED_VALUE"""),43862.99861111111)</f>
        <v>43862.99861</v>
      </c>
      <c r="B3223" s="1">
        <f>IFERROR(__xludf.DUMMYFUNCTION("""COMPUTED_VALUE"""),3749.475941)</f>
        <v>3749.475941</v>
      </c>
    </row>
    <row r="3224">
      <c r="A3224" s="3">
        <f>IFERROR(__xludf.DUMMYFUNCTION("""COMPUTED_VALUE"""),43863.99861111111)</f>
        <v>43863.99861</v>
      </c>
      <c r="B3224" s="1">
        <f>IFERROR(__xludf.DUMMYFUNCTION("""COMPUTED_VALUE"""),3712.960687)</f>
        <v>3712.960687</v>
      </c>
    </row>
    <row r="3225">
      <c r="A3225" s="3">
        <f>IFERROR(__xludf.DUMMYFUNCTION("""COMPUTED_VALUE"""),43864.99861111111)</f>
        <v>43864.99861</v>
      </c>
      <c r="B3225" s="1">
        <f>IFERROR(__xludf.DUMMYFUNCTION("""COMPUTED_VALUE"""),3740.063343)</f>
        <v>3740.063343</v>
      </c>
    </row>
    <row r="3226">
      <c r="A3226" s="3">
        <f>IFERROR(__xludf.DUMMYFUNCTION("""COMPUTED_VALUE"""),43865.99861111111)</f>
        <v>43865.99861</v>
      </c>
      <c r="B3226" s="1">
        <f>IFERROR(__xludf.DUMMYFUNCTION("""COMPUTED_VALUE"""),3731.604778)</f>
        <v>3731.604778</v>
      </c>
    </row>
    <row r="3227">
      <c r="A3227" s="3">
        <f>IFERROR(__xludf.DUMMYFUNCTION("""COMPUTED_VALUE"""),43866.99861111111)</f>
        <v>43866.99861</v>
      </c>
      <c r="B3227" s="1">
        <f>IFERROR(__xludf.DUMMYFUNCTION("""COMPUTED_VALUE"""),3722.315874)</f>
        <v>3722.315874</v>
      </c>
    </row>
    <row r="3228">
      <c r="A3228" s="3">
        <f>IFERROR(__xludf.DUMMYFUNCTION("""COMPUTED_VALUE"""),43867.99861111111)</f>
        <v>43867.99861</v>
      </c>
      <c r="B3228" s="1">
        <f>IFERROR(__xludf.DUMMYFUNCTION("""COMPUTED_VALUE"""),3730.262624)</f>
        <v>3730.262624</v>
      </c>
    </row>
    <row r="3229">
      <c r="A3229" s="3">
        <f>IFERROR(__xludf.DUMMYFUNCTION("""COMPUTED_VALUE"""),43868.99861111111)</f>
        <v>43868.99861</v>
      </c>
      <c r="B3229" s="1">
        <f>IFERROR(__xludf.DUMMYFUNCTION("""COMPUTED_VALUE"""),3724.994664)</f>
        <v>3724.994664</v>
      </c>
    </row>
    <row r="3230">
      <c r="A3230" s="3">
        <f>IFERROR(__xludf.DUMMYFUNCTION("""COMPUTED_VALUE"""),43869.99861111111)</f>
        <v>43869.99861</v>
      </c>
      <c r="B3230" s="1">
        <f>IFERROR(__xludf.DUMMYFUNCTION("""COMPUTED_VALUE"""),3724.994664)</f>
        <v>3724.994664</v>
      </c>
    </row>
    <row r="3231">
      <c r="A3231" s="3">
        <f>IFERROR(__xludf.DUMMYFUNCTION("""COMPUTED_VALUE"""),43870.99861111111)</f>
        <v>43870.99861</v>
      </c>
      <c r="B3231" s="1">
        <f>IFERROR(__xludf.DUMMYFUNCTION("""COMPUTED_VALUE"""),3724.550434)</f>
        <v>3724.550434</v>
      </c>
    </row>
    <row r="3232">
      <c r="A3232" s="3">
        <f>IFERROR(__xludf.DUMMYFUNCTION("""COMPUTED_VALUE"""),43871.99861111111)</f>
        <v>43871.99861</v>
      </c>
      <c r="B3232" s="1">
        <f>IFERROR(__xludf.DUMMYFUNCTION("""COMPUTED_VALUE"""),3731.237251)</f>
        <v>3731.237251</v>
      </c>
    </row>
    <row r="3233">
      <c r="A3233" s="3">
        <f>IFERROR(__xludf.DUMMYFUNCTION("""COMPUTED_VALUE"""),43872.99861111111)</f>
        <v>43872.99861</v>
      </c>
      <c r="B3233" s="1">
        <f>IFERROR(__xludf.DUMMYFUNCTION("""COMPUTED_VALUE"""),3725.498112)</f>
        <v>3725.498112</v>
      </c>
    </row>
    <row r="3234">
      <c r="A3234" s="3">
        <f>IFERROR(__xludf.DUMMYFUNCTION("""COMPUTED_VALUE"""),43873.99861111111)</f>
        <v>43873.99861</v>
      </c>
      <c r="B3234" s="1">
        <f>IFERROR(__xludf.DUMMYFUNCTION("""COMPUTED_VALUE"""),3733.066719)</f>
        <v>3733.066719</v>
      </c>
    </row>
    <row r="3235">
      <c r="A3235" s="3">
        <f>IFERROR(__xludf.DUMMYFUNCTION("""COMPUTED_VALUE"""),43874.99861111111)</f>
        <v>43874.99861</v>
      </c>
      <c r="B3235" s="1">
        <f>IFERROR(__xludf.DUMMYFUNCTION("""COMPUTED_VALUE"""),3742.513523)</f>
        <v>3742.513523</v>
      </c>
    </row>
    <row r="3236">
      <c r="A3236" s="3">
        <f>IFERROR(__xludf.DUMMYFUNCTION("""COMPUTED_VALUE"""),43875.99861111111)</f>
        <v>43875.99861</v>
      </c>
      <c r="B3236" s="1">
        <f>IFERROR(__xludf.DUMMYFUNCTION("""COMPUTED_VALUE"""),3728.219293)</f>
        <v>3728.219293</v>
      </c>
    </row>
    <row r="3237">
      <c r="A3237" s="3">
        <f>IFERROR(__xludf.DUMMYFUNCTION("""COMPUTED_VALUE"""),43876.99861111111)</f>
        <v>43876.99861</v>
      </c>
      <c r="B3237" s="1">
        <f>IFERROR(__xludf.DUMMYFUNCTION("""COMPUTED_VALUE"""),3728.219293)</f>
        <v>3728.219293</v>
      </c>
    </row>
    <row r="3238">
      <c r="A3238" s="3">
        <f>IFERROR(__xludf.DUMMYFUNCTION("""COMPUTED_VALUE"""),43877.99861111111)</f>
        <v>43877.99861</v>
      </c>
      <c r="B3238" s="1">
        <f>IFERROR(__xludf.DUMMYFUNCTION("""COMPUTED_VALUE"""),3726.105327)</f>
        <v>3726.105327</v>
      </c>
    </row>
    <row r="3239">
      <c r="A3239" s="3">
        <f>IFERROR(__xludf.DUMMYFUNCTION("""COMPUTED_VALUE"""),43878.99861111111)</f>
        <v>43878.99861</v>
      </c>
      <c r="B3239" s="1">
        <f>IFERROR(__xludf.DUMMYFUNCTION("""COMPUTED_VALUE"""),3737.2048)</f>
        <v>3737.2048</v>
      </c>
    </row>
    <row r="3240">
      <c r="A3240" s="3">
        <f>IFERROR(__xludf.DUMMYFUNCTION("""COMPUTED_VALUE"""),43879.99861111111)</f>
        <v>43879.99861</v>
      </c>
      <c r="B3240" s="1">
        <f>IFERROR(__xludf.DUMMYFUNCTION("""COMPUTED_VALUE"""),3749.319578)</f>
        <v>3749.319578</v>
      </c>
    </row>
    <row r="3241">
      <c r="A3241" s="3">
        <f>IFERROR(__xludf.DUMMYFUNCTION("""COMPUTED_VALUE"""),43880.99861111111)</f>
        <v>43880.99861</v>
      </c>
      <c r="B3241" s="1">
        <f>IFERROR(__xludf.DUMMYFUNCTION("""COMPUTED_VALUE"""),3720.739592)</f>
        <v>3720.739592</v>
      </c>
    </row>
    <row r="3242">
      <c r="A3242" s="3">
        <f>IFERROR(__xludf.DUMMYFUNCTION("""COMPUTED_VALUE"""),43881.99861111111)</f>
        <v>43881.99861</v>
      </c>
      <c r="B3242" s="1">
        <f>IFERROR(__xludf.DUMMYFUNCTION("""COMPUTED_VALUE"""),3731.901522)</f>
        <v>3731.901522</v>
      </c>
    </row>
    <row r="3243">
      <c r="A3243" s="3">
        <f>IFERROR(__xludf.DUMMYFUNCTION("""COMPUTED_VALUE"""),43882.99861111111)</f>
        <v>43882.99861</v>
      </c>
      <c r="B3243" s="1">
        <f>IFERROR(__xludf.DUMMYFUNCTION("""COMPUTED_VALUE"""),3750.20981)</f>
        <v>3750.20981</v>
      </c>
    </row>
    <row r="3244">
      <c r="A3244" s="3">
        <f>IFERROR(__xludf.DUMMYFUNCTION("""COMPUTED_VALUE"""),43883.99861111111)</f>
        <v>43883.99861</v>
      </c>
      <c r="B3244" s="1">
        <f>IFERROR(__xludf.DUMMYFUNCTION("""COMPUTED_VALUE"""),3750.20981)</f>
        <v>3750.20981</v>
      </c>
    </row>
    <row r="3245">
      <c r="A3245" s="3">
        <f>IFERROR(__xludf.DUMMYFUNCTION("""COMPUTED_VALUE"""),43884.99861111111)</f>
        <v>43884.99861</v>
      </c>
      <c r="B3245" s="1">
        <f>IFERROR(__xludf.DUMMYFUNCTION("""COMPUTED_VALUE"""),3750.680986)</f>
        <v>3750.680986</v>
      </c>
    </row>
    <row r="3246">
      <c r="A3246" s="3">
        <f>IFERROR(__xludf.DUMMYFUNCTION("""COMPUTED_VALUE"""),43885.99861111111)</f>
        <v>43885.99861</v>
      </c>
      <c r="B3246" s="1">
        <f>IFERROR(__xludf.DUMMYFUNCTION("""COMPUTED_VALUE"""),3779.903267)</f>
        <v>3779.903267</v>
      </c>
    </row>
    <row r="3247">
      <c r="A3247" s="3">
        <f>IFERROR(__xludf.DUMMYFUNCTION("""COMPUTED_VALUE"""),43886.99861111111)</f>
        <v>43886.99861</v>
      </c>
      <c r="B3247" s="1">
        <f>IFERROR(__xludf.DUMMYFUNCTION("""COMPUTED_VALUE"""),3827.861453)</f>
        <v>3827.861453</v>
      </c>
    </row>
    <row r="3248">
      <c r="A3248" s="3">
        <f>IFERROR(__xludf.DUMMYFUNCTION("""COMPUTED_VALUE"""),43887.99861111111)</f>
        <v>43887.99861</v>
      </c>
      <c r="B3248" s="1">
        <f>IFERROR(__xludf.DUMMYFUNCTION("""COMPUTED_VALUE"""),3794.748729)</f>
        <v>3794.748729</v>
      </c>
    </row>
    <row r="3249">
      <c r="A3249" s="3">
        <f>IFERROR(__xludf.DUMMYFUNCTION("""COMPUTED_VALUE"""),43888.99861111111)</f>
        <v>43888.99861</v>
      </c>
      <c r="B3249" s="1">
        <f>IFERROR(__xludf.DUMMYFUNCTION("""COMPUTED_VALUE"""),3898.508304)</f>
        <v>3898.508304</v>
      </c>
    </row>
    <row r="3250">
      <c r="A3250" s="3">
        <f>IFERROR(__xludf.DUMMYFUNCTION("""COMPUTED_VALUE"""),43889.99861111111)</f>
        <v>43889.99861</v>
      </c>
      <c r="B3250" s="1">
        <f>IFERROR(__xludf.DUMMYFUNCTION("""COMPUTED_VALUE"""),3897.086698)</f>
        <v>3897.086698</v>
      </c>
    </row>
    <row r="3251">
      <c r="A3251" s="3">
        <f>IFERROR(__xludf.DUMMYFUNCTION("""COMPUTED_VALUE"""),43890.99861111111)</f>
        <v>43890.99861</v>
      </c>
      <c r="B3251" s="1">
        <f>IFERROR(__xludf.DUMMYFUNCTION("""COMPUTED_VALUE"""),3897.086698)</f>
        <v>3897.086698</v>
      </c>
    </row>
    <row r="3252">
      <c r="A3252" s="3">
        <f>IFERROR(__xludf.DUMMYFUNCTION("""COMPUTED_VALUE"""),43891.99861111111)</f>
        <v>43891.99861</v>
      </c>
      <c r="B3252" s="1">
        <f>IFERROR(__xludf.DUMMYFUNCTION("""COMPUTED_VALUE"""),3805.169212)</f>
        <v>3805.169212</v>
      </c>
    </row>
    <row r="3253">
      <c r="A3253" s="3">
        <f>IFERROR(__xludf.DUMMYFUNCTION("""COMPUTED_VALUE"""),43892.99861111111)</f>
        <v>43892.99861</v>
      </c>
      <c r="B3253" s="1">
        <f>IFERROR(__xludf.DUMMYFUNCTION("""COMPUTED_VALUE"""),3874.006506)</f>
        <v>3874.006506</v>
      </c>
    </row>
    <row r="3254">
      <c r="A3254" s="3">
        <f>IFERROR(__xludf.DUMMYFUNCTION("""COMPUTED_VALUE"""),43893.99861111111)</f>
        <v>43893.99861</v>
      </c>
      <c r="B3254" s="1">
        <f>IFERROR(__xludf.DUMMYFUNCTION("""COMPUTED_VALUE"""),3865.716731)</f>
        <v>3865.716731</v>
      </c>
    </row>
    <row r="3255">
      <c r="A3255" s="3">
        <f>IFERROR(__xludf.DUMMYFUNCTION("""COMPUTED_VALUE"""),43894.99861111111)</f>
        <v>43894.99861</v>
      </c>
      <c r="B3255" s="1">
        <f>IFERROR(__xludf.DUMMYFUNCTION("""COMPUTED_VALUE"""),3854.990388)</f>
        <v>3854.990388</v>
      </c>
    </row>
    <row r="3256">
      <c r="A3256" s="3">
        <f>IFERROR(__xludf.DUMMYFUNCTION("""COMPUTED_VALUE"""),43895.99861111111)</f>
        <v>43895.99861</v>
      </c>
      <c r="B3256" s="1">
        <f>IFERROR(__xludf.DUMMYFUNCTION("""COMPUTED_VALUE"""),3943.019903)</f>
        <v>3943.019903</v>
      </c>
    </row>
    <row r="3257">
      <c r="A3257" s="3">
        <f>IFERROR(__xludf.DUMMYFUNCTION("""COMPUTED_VALUE"""),43896.99861111111)</f>
        <v>43896.99861</v>
      </c>
      <c r="B3257" s="1">
        <f>IFERROR(__xludf.DUMMYFUNCTION("""COMPUTED_VALUE"""),3880.738675)</f>
        <v>3880.738675</v>
      </c>
    </row>
    <row r="3258">
      <c r="A3258" s="3">
        <f>IFERROR(__xludf.DUMMYFUNCTION("""COMPUTED_VALUE"""),43897.99861111111)</f>
        <v>43897.99861</v>
      </c>
      <c r="B3258" s="1">
        <f>IFERROR(__xludf.DUMMYFUNCTION("""COMPUTED_VALUE"""),3881.391224)</f>
        <v>3881.391224</v>
      </c>
    </row>
    <row r="3259">
      <c r="A3259" s="3">
        <f>IFERROR(__xludf.DUMMYFUNCTION("""COMPUTED_VALUE"""),43898.99861111111)</f>
        <v>43898.99861</v>
      </c>
      <c r="B3259" s="1">
        <f>IFERROR(__xludf.DUMMYFUNCTION("""COMPUTED_VALUE"""),3881.26624)</f>
        <v>3881.26624</v>
      </c>
    </row>
    <row r="3260">
      <c r="A3260" s="3">
        <f>IFERROR(__xludf.DUMMYFUNCTION("""COMPUTED_VALUE"""),43899.99861111111)</f>
        <v>43899.99861</v>
      </c>
      <c r="B3260" s="1">
        <f>IFERROR(__xludf.DUMMYFUNCTION("""COMPUTED_VALUE"""),3837.261976)</f>
        <v>3837.261976</v>
      </c>
    </row>
    <row r="3261">
      <c r="A3261" s="3">
        <f>IFERROR(__xludf.DUMMYFUNCTION("""COMPUTED_VALUE"""),43900.99861111111)</f>
        <v>43900.99861</v>
      </c>
      <c r="B3261" s="1">
        <f>IFERROR(__xludf.DUMMYFUNCTION("""COMPUTED_VALUE"""),3885.857738)</f>
        <v>3885.857738</v>
      </c>
    </row>
    <row r="3262">
      <c r="A3262" s="3">
        <f>IFERROR(__xludf.DUMMYFUNCTION("""COMPUTED_VALUE"""),43901.99861111111)</f>
        <v>43901.99861</v>
      </c>
      <c r="B3262" s="1">
        <f>IFERROR(__xludf.DUMMYFUNCTION("""COMPUTED_VALUE"""),3956.22365)</f>
        <v>3956.22365</v>
      </c>
    </row>
    <row r="3263">
      <c r="A3263" s="3">
        <f>IFERROR(__xludf.DUMMYFUNCTION("""COMPUTED_VALUE"""),43902.99861111111)</f>
        <v>43902.99861</v>
      </c>
      <c r="B3263" s="1">
        <f>IFERROR(__xludf.DUMMYFUNCTION("""COMPUTED_VALUE"""),4046.199697)</f>
        <v>4046.199697</v>
      </c>
    </row>
    <row r="3264">
      <c r="A3264" s="3">
        <f>IFERROR(__xludf.DUMMYFUNCTION("""COMPUTED_VALUE"""),43903.99861111111)</f>
        <v>43903.99861</v>
      </c>
      <c r="B3264" s="1">
        <f>IFERROR(__xludf.DUMMYFUNCTION("""COMPUTED_VALUE"""),3987.775504)</f>
        <v>3987.775504</v>
      </c>
    </row>
    <row r="3265">
      <c r="A3265" s="3">
        <f>IFERROR(__xludf.DUMMYFUNCTION("""COMPUTED_VALUE"""),43904.99861111111)</f>
        <v>43904.99861</v>
      </c>
      <c r="B3265" s="1">
        <f>IFERROR(__xludf.DUMMYFUNCTION("""COMPUTED_VALUE"""),3987.775504)</f>
        <v>3987.775504</v>
      </c>
    </row>
    <row r="3266">
      <c r="A3266" s="3">
        <f>IFERROR(__xludf.DUMMYFUNCTION("""COMPUTED_VALUE"""),43905.99861111111)</f>
        <v>43905.99861</v>
      </c>
      <c r="B3266" s="1">
        <f>IFERROR(__xludf.DUMMYFUNCTION("""COMPUTED_VALUE"""),3985.731033)</f>
        <v>3985.731033</v>
      </c>
    </row>
    <row r="3267">
      <c r="A3267" s="3">
        <f>IFERROR(__xludf.DUMMYFUNCTION("""COMPUTED_VALUE"""),43906.99861111111)</f>
        <v>43906.99861</v>
      </c>
      <c r="B3267" s="1">
        <f>IFERROR(__xludf.DUMMYFUNCTION("""COMPUTED_VALUE"""),4050.205905)</f>
        <v>4050.205905</v>
      </c>
    </row>
    <row r="3268">
      <c r="A3268" s="3">
        <f>IFERROR(__xludf.DUMMYFUNCTION("""COMPUTED_VALUE"""),43907.99861111111)</f>
        <v>43907.99861</v>
      </c>
      <c r="B3268" s="1">
        <f>IFERROR(__xludf.DUMMYFUNCTION("""COMPUTED_VALUE"""),4139.442346)</f>
        <v>4139.442346</v>
      </c>
    </row>
    <row r="3269">
      <c r="A3269" s="3">
        <f>IFERROR(__xludf.DUMMYFUNCTION("""COMPUTED_VALUE"""),43908.99861111111)</f>
        <v>43908.99861</v>
      </c>
      <c r="B3269" s="1">
        <f>IFERROR(__xludf.DUMMYFUNCTION("""COMPUTED_VALUE"""),4214.309256)</f>
        <v>4214.309256</v>
      </c>
    </row>
    <row r="3270">
      <c r="A3270" s="3">
        <f>IFERROR(__xludf.DUMMYFUNCTION("""COMPUTED_VALUE"""),43909.99861111111)</f>
        <v>43909.99861</v>
      </c>
      <c r="B3270" s="1">
        <f>IFERROR(__xludf.DUMMYFUNCTION("""COMPUTED_VALUE"""),4332.734613)</f>
        <v>4332.734613</v>
      </c>
    </row>
    <row r="3271">
      <c r="A3271" s="3">
        <f>IFERROR(__xludf.DUMMYFUNCTION("""COMPUTED_VALUE"""),43910.99861111111)</f>
        <v>43910.99861</v>
      </c>
      <c r="B3271" s="1">
        <f>IFERROR(__xludf.DUMMYFUNCTION("""COMPUTED_VALUE"""),4293.735356)</f>
        <v>4293.735356</v>
      </c>
    </row>
    <row r="3272">
      <c r="A3272" s="3">
        <f>IFERROR(__xludf.DUMMYFUNCTION("""COMPUTED_VALUE"""),43911.99861111111)</f>
        <v>43911.99861</v>
      </c>
      <c r="B3272" s="1">
        <f>IFERROR(__xludf.DUMMYFUNCTION("""COMPUTED_VALUE"""),4293.735198)</f>
        <v>4293.735198</v>
      </c>
    </row>
    <row r="3273">
      <c r="A3273" s="3">
        <f>IFERROR(__xludf.DUMMYFUNCTION("""COMPUTED_VALUE"""),43912.99861111111)</f>
        <v>43912.99861</v>
      </c>
      <c r="B3273" s="1">
        <f>IFERROR(__xludf.DUMMYFUNCTION("""COMPUTED_VALUE"""),4293.810899)</f>
        <v>4293.810899</v>
      </c>
    </row>
    <row r="3274">
      <c r="A3274" s="3">
        <f>IFERROR(__xludf.DUMMYFUNCTION("""COMPUTED_VALUE"""),43913.99861111111)</f>
        <v>43913.99861</v>
      </c>
      <c r="B3274" s="1">
        <f>IFERROR(__xludf.DUMMYFUNCTION("""COMPUTED_VALUE"""),4494.803117)</f>
        <v>4494.803117</v>
      </c>
    </row>
    <row r="3275">
      <c r="A3275" s="3">
        <f>IFERROR(__xludf.DUMMYFUNCTION("""COMPUTED_VALUE"""),43914.99861111111)</f>
        <v>43914.99861</v>
      </c>
      <c r="B3275" s="1">
        <f>IFERROR(__xludf.DUMMYFUNCTION("""COMPUTED_VALUE"""),4419.171511)</f>
        <v>4419.171511</v>
      </c>
    </row>
    <row r="3276">
      <c r="A3276" s="3">
        <f>IFERROR(__xludf.DUMMYFUNCTION("""COMPUTED_VALUE"""),43915.99861111111)</f>
        <v>43915.99861</v>
      </c>
      <c r="B3276" s="1">
        <f>IFERROR(__xludf.DUMMYFUNCTION("""COMPUTED_VALUE"""),4480.577739)</f>
        <v>4480.577739</v>
      </c>
    </row>
    <row r="3277">
      <c r="A3277" s="3">
        <f>IFERROR(__xludf.DUMMYFUNCTION("""COMPUTED_VALUE"""),43916.99861111111)</f>
        <v>43916.99861</v>
      </c>
      <c r="B3277" s="1">
        <f>IFERROR(__xludf.DUMMYFUNCTION("""COMPUTED_VALUE"""),4419.43081)</f>
        <v>4419.43081</v>
      </c>
    </row>
    <row r="3278">
      <c r="A3278" s="3">
        <f>IFERROR(__xludf.DUMMYFUNCTION("""COMPUTED_VALUE"""),43917.99861111111)</f>
        <v>43917.99861</v>
      </c>
      <c r="B3278" s="1">
        <f>IFERROR(__xludf.DUMMYFUNCTION("""COMPUTED_VALUE"""),4361.546249)</f>
        <v>4361.546249</v>
      </c>
    </row>
    <row r="3279">
      <c r="A3279" s="3">
        <f>IFERROR(__xludf.DUMMYFUNCTION("""COMPUTED_VALUE"""),43918.99861111111)</f>
        <v>43918.99861</v>
      </c>
      <c r="B3279" s="1">
        <f>IFERROR(__xludf.DUMMYFUNCTION("""COMPUTED_VALUE"""),4361.546249)</f>
        <v>4361.546249</v>
      </c>
    </row>
    <row r="3280">
      <c r="A3280" s="3">
        <f>IFERROR(__xludf.DUMMYFUNCTION("""COMPUTED_VALUE"""),43919.99861111111)</f>
        <v>43919.99861</v>
      </c>
      <c r="B3280" s="1">
        <f>IFERROR(__xludf.DUMMYFUNCTION("""COMPUTED_VALUE"""),4358.782841)</f>
        <v>4358.782841</v>
      </c>
    </row>
    <row r="3281">
      <c r="A3281" s="3">
        <f>IFERROR(__xludf.DUMMYFUNCTION("""COMPUTED_VALUE"""),43920.99861111111)</f>
        <v>43920.99861</v>
      </c>
      <c r="B3281" s="1">
        <f>IFERROR(__xludf.DUMMYFUNCTION("""COMPUTED_VALUE"""),4451.639116)</f>
        <v>4451.639116</v>
      </c>
    </row>
    <row r="3282">
      <c r="A3282" s="3">
        <f>IFERROR(__xludf.DUMMYFUNCTION("""COMPUTED_VALUE"""),43921.99861111111)</f>
        <v>43921.99861</v>
      </c>
      <c r="B3282" s="1">
        <f>IFERROR(__xludf.DUMMYFUNCTION("""COMPUTED_VALUE"""),4432.369813)</f>
        <v>4432.369813</v>
      </c>
    </row>
    <row r="3283">
      <c r="A3283" s="3">
        <f>IFERROR(__xludf.DUMMYFUNCTION("""COMPUTED_VALUE"""),43922.99861111111)</f>
        <v>43922.99861</v>
      </c>
      <c r="B3283" s="1">
        <f>IFERROR(__xludf.DUMMYFUNCTION("""COMPUTED_VALUE"""),4469.748667)</f>
        <v>4469.748667</v>
      </c>
    </row>
    <row r="3284">
      <c r="A3284" s="3">
        <f>IFERROR(__xludf.DUMMYFUNCTION("""COMPUTED_VALUE"""),43923.99861111111)</f>
        <v>43923.99861</v>
      </c>
      <c r="B3284" s="1">
        <f>IFERROR(__xludf.DUMMYFUNCTION("""COMPUTED_VALUE"""),4478.535816)</f>
        <v>4478.535816</v>
      </c>
    </row>
    <row r="3285">
      <c r="A3285" s="3">
        <f>IFERROR(__xludf.DUMMYFUNCTION("""COMPUTED_VALUE"""),43924.99861111111)</f>
        <v>43924.99861</v>
      </c>
      <c r="B3285" s="1">
        <f>IFERROR(__xludf.DUMMYFUNCTION("""COMPUTED_VALUE"""),4461.184307)</f>
        <v>4461.184307</v>
      </c>
    </row>
    <row r="3286">
      <c r="A3286" s="3">
        <f>IFERROR(__xludf.DUMMYFUNCTION("""COMPUTED_VALUE"""),43925.99861111111)</f>
        <v>43925.99861</v>
      </c>
      <c r="B3286" s="1">
        <f>IFERROR(__xludf.DUMMYFUNCTION("""COMPUTED_VALUE"""),4461.184144)</f>
        <v>4461.184144</v>
      </c>
    </row>
    <row r="3287">
      <c r="A3287" s="3">
        <f>IFERROR(__xludf.DUMMYFUNCTION("""COMPUTED_VALUE"""),43926.99861111111)</f>
        <v>43926.99861</v>
      </c>
      <c r="B3287" s="1">
        <f>IFERROR(__xludf.DUMMYFUNCTION("""COMPUTED_VALUE"""),4463.402897)</f>
        <v>4463.402897</v>
      </c>
    </row>
    <row r="3288">
      <c r="A3288" s="3">
        <f>IFERROR(__xludf.DUMMYFUNCTION("""COMPUTED_VALUE"""),43927.99861111111)</f>
        <v>43927.99861</v>
      </c>
      <c r="B3288" s="1">
        <f>IFERROR(__xludf.DUMMYFUNCTION("""COMPUTED_VALUE"""),4456.408799)</f>
        <v>4456.408799</v>
      </c>
    </row>
    <row r="3289">
      <c r="A3289" s="3">
        <f>IFERROR(__xludf.DUMMYFUNCTION("""COMPUTED_VALUE"""),43928.99861111111)</f>
        <v>43928.99861</v>
      </c>
      <c r="B3289" s="1">
        <f>IFERROR(__xludf.DUMMYFUNCTION("""COMPUTED_VALUE"""),4426.658172)</f>
        <v>4426.658172</v>
      </c>
    </row>
    <row r="3290">
      <c r="A3290" s="3">
        <f>IFERROR(__xludf.DUMMYFUNCTION("""COMPUTED_VALUE"""),43929.99861111111)</f>
        <v>43929.99861</v>
      </c>
      <c r="B3290" s="1">
        <f>IFERROR(__xludf.DUMMYFUNCTION("""COMPUTED_VALUE"""),4411.799192)</f>
        <v>4411.799192</v>
      </c>
    </row>
    <row r="3291">
      <c r="A3291" s="3">
        <f>IFERROR(__xludf.DUMMYFUNCTION("""COMPUTED_VALUE"""),43930.99861111111)</f>
        <v>43930.99861</v>
      </c>
      <c r="B3291" s="1">
        <f>IFERROR(__xludf.DUMMYFUNCTION("""COMPUTED_VALUE"""),4314.665214)</f>
        <v>4314.665214</v>
      </c>
    </row>
    <row r="3292">
      <c r="A3292" s="3">
        <f>IFERROR(__xludf.DUMMYFUNCTION("""COMPUTED_VALUE"""),43931.99861111111)</f>
        <v>43931.99861</v>
      </c>
      <c r="B3292" s="1">
        <f>IFERROR(__xludf.DUMMYFUNCTION("""COMPUTED_VALUE"""),4302.205272)</f>
        <v>4302.205272</v>
      </c>
    </row>
    <row r="3293">
      <c r="A3293" s="3">
        <f>IFERROR(__xludf.DUMMYFUNCTION("""COMPUTED_VALUE"""),43932.99861111111)</f>
        <v>43932.99861</v>
      </c>
      <c r="B3293" s="1">
        <f>IFERROR(__xludf.DUMMYFUNCTION("""COMPUTED_VALUE"""),4302.205114)</f>
        <v>4302.205114</v>
      </c>
    </row>
    <row r="3294">
      <c r="A3294" s="3">
        <f>IFERROR(__xludf.DUMMYFUNCTION("""COMPUTED_VALUE"""),43933.99861111111)</f>
        <v>43933.99861</v>
      </c>
      <c r="B3294" s="1">
        <f>IFERROR(__xludf.DUMMYFUNCTION("""COMPUTED_VALUE"""),4302.697)</f>
        <v>4302.697</v>
      </c>
    </row>
    <row r="3295">
      <c r="A3295" s="3">
        <f>IFERROR(__xludf.DUMMYFUNCTION("""COMPUTED_VALUE"""),43934.99861111111)</f>
        <v>43934.99861</v>
      </c>
      <c r="B3295" s="1">
        <f>IFERROR(__xludf.DUMMYFUNCTION("""COMPUTED_VALUE"""),4317.315377)</f>
        <v>4317.315377</v>
      </c>
    </row>
    <row r="3296">
      <c r="A3296" s="3">
        <f>IFERROR(__xludf.DUMMYFUNCTION("""COMPUTED_VALUE"""),43935.99861111111)</f>
        <v>43935.99861</v>
      </c>
      <c r="B3296" s="1">
        <f>IFERROR(__xludf.DUMMYFUNCTION("""COMPUTED_VALUE"""),4242.322978)</f>
        <v>4242.322978</v>
      </c>
    </row>
    <row r="3297">
      <c r="A3297" s="3">
        <f>IFERROR(__xludf.DUMMYFUNCTION("""COMPUTED_VALUE"""),43936.99861111111)</f>
        <v>43936.99861</v>
      </c>
      <c r="B3297" s="1">
        <f>IFERROR(__xludf.DUMMYFUNCTION("""COMPUTED_VALUE"""),4330.692796)</f>
        <v>4330.692796</v>
      </c>
    </row>
    <row r="3298">
      <c r="A3298" s="3">
        <f>IFERROR(__xludf.DUMMYFUNCTION("""COMPUTED_VALUE"""),43937.99861111111)</f>
        <v>43937.99861</v>
      </c>
      <c r="B3298" s="1">
        <f>IFERROR(__xludf.DUMMYFUNCTION("""COMPUTED_VALUE"""),4241.993565)</f>
        <v>4241.993565</v>
      </c>
    </row>
    <row r="3299">
      <c r="A3299" s="3">
        <f>IFERROR(__xludf.DUMMYFUNCTION("""COMPUTED_VALUE"""),43938.99861111111)</f>
        <v>43938.99861</v>
      </c>
      <c r="B3299" s="1">
        <f>IFERROR(__xludf.DUMMYFUNCTION("""COMPUTED_VALUE"""),4205.423327)</f>
        <v>4205.423327</v>
      </c>
    </row>
    <row r="3300">
      <c r="A3300" s="3">
        <f>IFERROR(__xludf.DUMMYFUNCTION("""COMPUTED_VALUE"""),43939.99861111111)</f>
        <v>43939.99861</v>
      </c>
      <c r="B3300" s="1">
        <f>IFERROR(__xludf.DUMMYFUNCTION("""COMPUTED_VALUE"""),4204.671882)</f>
        <v>4204.671882</v>
      </c>
    </row>
    <row r="3301">
      <c r="A3301" s="3">
        <f>IFERROR(__xludf.DUMMYFUNCTION("""COMPUTED_VALUE"""),43940.99861111111)</f>
        <v>43940.99861</v>
      </c>
      <c r="B3301" s="1">
        <f>IFERROR(__xludf.DUMMYFUNCTION("""COMPUTED_VALUE"""),4200.759791)</f>
        <v>4200.759791</v>
      </c>
    </row>
    <row r="3302">
      <c r="A3302" s="3">
        <f>IFERROR(__xludf.DUMMYFUNCTION("""COMPUTED_VALUE"""),43941.99861111111)</f>
        <v>43941.99861</v>
      </c>
      <c r="B3302" s="1">
        <f>IFERROR(__xludf.DUMMYFUNCTION("""COMPUTED_VALUE"""),4187.650782)</f>
        <v>4187.650782</v>
      </c>
    </row>
    <row r="3303">
      <c r="A3303" s="3">
        <f>IFERROR(__xludf.DUMMYFUNCTION("""COMPUTED_VALUE"""),43942.99861111111)</f>
        <v>43942.99861</v>
      </c>
      <c r="B3303" s="1">
        <f>IFERROR(__xludf.DUMMYFUNCTION("""COMPUTED_VALUE"""),4193.48545)</f>
        <v>4193.48545</v>
      </c>
    </row>
    <row r="3304">
      <c r="A3304" s="3">
        <f>IFERROR(__xludf.DUMMYFUNCTION("""COMPUTED_VALUE"""),43943.99861111111)</f>
        <v>43943.99861</v>
      </c>
      <c r="B3304" s="1">
        <f>IFERROR(__xludf.DUMMYFUNCTION("""COMPUTED_VALUE"""),4196.134366)</f>
        <v>4196.134366</v>
      </c>
    </row>
    <row r="3305">
      <c r="A3305" s="3">
        <f>IFERROR(__xludf.DUMMYFUNCTION("""COMPUTED_VALUE"""),43944.99861111111)</f>
        <v>43944.99861</v>
      </c>
      <c r="B3305" s="1">
        <f>IFERROR(__xludf.DUMMYFUNCTION("""COMPUTED_VALUE"""),4192.864737)</f>
        <v>4192.864737</v>
      </c>
    </row>
    <row r="3306">
      <c r="A3306" s="3">
        <f>IFERROR(__xludf.DUMMYFUNCTION("""COMPUTED_VALUE"""),43945.99861111111)</f>
        <v>43945.99861</v>
      </c>
      <c r="B3306" s="1">
        <f>IFERROR(__xludf.DUMMYFUNCTION("""COMPUTED_VALUE"""),4243.741708)</f>
        <v>4243.741708</v>
      </c>
    </row>
    <row r="3307">
      <c r="A3307" s="3">
        <f>IFERROR(__xludf.DUMMYFUNCTION("""COMPUTED_VALUE"""),43946.99861111111)</f>
        <v>43946.99861</v>
      </c>
      <c r="B3307" s="1">
        <f>IFERROR(__xludf.DUMMYFUNCTION("""COMPUTED_VALUE"""),4236.990166)</f>
        <v>4236.990166</v>
      </c>
    </row>
    <row r="3308">
      <c r="A3308" s="3">
        <f>IFERROR(__xludf.DUMMYFUNCTION("""COMPUTED_VALUE"""),43947.99861111111)</f>
        <v>43947.99861</v>
      </c>
      <c r="B3308" s="1">
        <f>IFERROR(__xludf.DUMMYFUNCTION("""COMPUTED_VALUE"""),4180.032097)</f>
        <v>4180.032097</v>
      </c>
    </row>
    <row r="3309">
      <c r="A3309" s="3">
        <f>IFERROR(__xludf.DUMMYFUNCTION("""COMPUTED_VALUE"""),43948.99861111111)</f>
        <v>43948.99861</v>
      </c>
      <c r="B3309" s="1">
        <f>IFERROR(__xludf.DUMMYFUNCTION("""COMPUTED_VALUE"""),4170.047123)</f>
        <v>4170.047123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tr">
        <f>IFERROR(__xludf.DUMMYFUNCTION("googlefinance(""Currency:KWDIDR"",""price"",""01/01/2010"",""28/04/2020"", ""DAILY"")"),"Date")</f>
        <v>Date</v>
      </c>
      <c r="B1" s="1" t="str">
        <f>IFERROR(__xludf.DUMMYFUNCTION("""COMPUTED_VALUE"""),"Close")</f>
        <v>Close</v>
      </c>
    </row>
    <row r="2">
      <c r="A2" s="3">
        <f>IFERROR(__xludf.DUMMYFUNCTION("""COMPUTED_VALUE"""),40182.99861111111)</f>
        <v>40182.99861</v>
      </c>
      <c r="B2" s="1">
        <f>IFERROR(__xludf.DUMMYFUNCTION("""COMPUTED_VALUE"""),32794.70193)</f>
        <v>32794.70193</v>
      </c>
    </row>
    <row r="3">
      <c r="A3" s="3">
        <f>IFERROR(__xludf.DUMMYFUNCTION("""COMPUTED_VALUE"""),40183.99861111111)</f>
        <v>40183.99861</v>
      </c>
      <c r="B3" s="1">
        <f>IFERROR(__xludf.DUMMYFUNCTION("""COMPUTED_VALUE"""),32632.64781)</f>
        <v>32632.64781</v>
      </c>
    </row>
    <row r="4">
      <c r="A4" s="3">
        <f>IFERROR(__xludf.DUMMYFUNCTION("""COMPUTED_VALUE"""),40184.99861111111)</f>
        <v>40184.99861</v>
      </c>
      <c r="B4" s="1">
        <f>IFERROR(__xludf.DUMMYFUNCTION("""COMPUTED_VALUE"""),32130.01018)</f>
        <v>32130.01018</v>
      </c>
    </row>
    <row r="5">
      <c r="A5" s="3">
        <f>IFERROR(__xludf.DUMMYFUNCTION("""COMPUTED_VALUE"""),40185.99861111111)</f>
        <v>40185.99861</v>
      </c>
      <c r="B5" s="1">
        <f>IFERROR(__xludf.DUMMYFUNCTION("""COMPUTED_VALUE"""),32506.56616)</f>
        <v>32506.56616</v>
      </c>
    </row>
    <row r="6">
      <c r="A6" s="3">
        <f>IFERROR(__xludf.DUMMYFUNCTION("""COMPUTED_VALUE"""),40186.99861111111)</f>
        <v>40186.99861</v>
      </c>
      <c r="B6" s="1">
        <f>IFERROR(__xludf.DUMMYFUNCTION("""COMPUTED_VALUE"""),32319.58878)</f>
        <v>32319.58878</v>
      </c>
    </row>
    <row r="7">
      <c r="A7" s="3">
        <f>IFERROR(__xludf.DUMMYFUNCTION("""COMPUTED_VALUE"""),40189.99861111111)</f>
        <v>40189.99861</v>
      </c>
      <c r="B7" s="1">
        <f>IFERROR(__xludf.DUMMYFUNCTION("""COMPUTED_VALUE"""),32139.18725)</f>
        <v>32139.18725</v>
      </c>
    </row>
    <row r="8">
      <c r="A8" s="3">
        <f>IFERROR(__xludf.DUMMYFUNCTION("""COMPUTED_VALUE"""),40190.99861111111)</f>
        <v>40190.99861</v>
      </c>
      <c r="B8" s="1">
        <f>IFERROR(__xludf.DUMMYFUNCTION("""COMPUTED_VALUE"""),32224.17021)</f>
        <v>32224.17021</v>
      </c>
    </row>
    <row r="9">
      <c r="A9" s="3">
        <f>IFERROR(__xludf.DUMMYFUNCTION("""COMPUTED_VALUE"""),40191.99861111111)</f>
        <v>40191.99861</v>
      </c>
      <c r="B9" s="1">
        <f>IFERROR(__xludf.DUMMYFUNCTION("""COMPUTED_VALUE"""),32084.93742)</f>
        <v>32084.93742</v>
      </c>
    </row>
    <row r="10">
      <c r="A10" s="3">
        <f>IFERROR(__xludf.DUMMYFUNCTION("""COMPUTED_VALUE"""),40192.99861111111)</f>
        <v>40192.99861</v>
      </c>
      <c r="B10" s="1">
        <f>IFERROR(__xludf.DUMMYFUNCTION("""COMPUTED_VALUE"""),32160.58983)</f>
        <v>32160.58983</v>
      </c>
    </row>
    <row r="11">
      <c r="A11" s="3">
        <f>IFERROR(__xludf.DUMMYFUNCTION("""COMPUTED_VALUE"""),40193.99861111111)</f>
        <v>40193.99861</v>
      </c>
      <c r="B11" s="1">
        <f>IFERROR(__xludf.DUMMYFUNCTION("""COMPUTED_VALUE"""),32384.77348)</f>
        <v>32384.77348</v>
      </c>
    </row>
    <row r="12">
      <c r="A12" s="3">
        <f>IFERROR(__xludf.DUMMYFUNCTION("""COMPUTED_VALUE"""),40196.99861111111)</f>
        <v>40196.99861</v>
      </c>
      <c r="B12" s="1">
        <f>IFERROR(__xludf.DUMMYFUNCTION("""COMPUTED_VALUE"""),32029.46428)</f>
        <v>32029.46428</v>
      </c>
    </row>
    <row r="13">
      <c r="A13" s="3">
        <f>IFERROR(__xludf.DUMMYFUNCTION("""COMPUTED_VALUE"""),40197.99861111111)</f>
        <v>40197.99861</v>
      </c>
      <c r="B13" s="1">
        <f>IFERROR(__xludf.DUMMYFUNCTION("""COMPUTED_VALUE"""),32363.07521)</f>
        <v>32363.07521</v>
      </c>
    </row>
    <row r="14">
      <c r="A14" s="3">
        <f>IFERROR(__xludf.DUMMYFUNCTION("""COMPUTED_VALUE"""),40198.99861111111)</f>
        <v>40198.99861</v>
      </c>
      <c r="B14" s="1">
        <f>IFERROR(__xludf.DUMMYFUNCTION("""COMPUTED_VALUE"""),32555.59955)</f>
        <v>32555.59955</v>
      </c>
    </row>
    <row r="15">
      <c r="A15" s="3">
        <f>IFERROR(__xludf.DUMMYFUNCTION("""COMPUTED_VALUE"""),40199.99861111111)</f>
        <v>40199.99861</v>
      </c>
      <c r="B15" s="1">
        <f>IFERROR(__xludf.DUMMYFUNCTION("""COMPUTED_VALUE"""),32172.50275)</f>
        <v>32172.50275</v>
      </c>
    </row>
    <row r="16">
      <c r="A16" s="3">
        <f>IFERROR(__xludf.DUMMYFUNCTION("""COMPUTED_VALUE"""),40200.99861111111)</f>
        <v>40200.99861</v>
      </c>
      <c r="B16" s="1">
        <f>IFERROR(__xludf.DUMMYFUNCTION("""COMPUTED_VALUE"""),32342.74428)</f>
        <v>32342.74428</v>
      </c>
    </row>
    <row r="17">
      <c r="A17" s="3">
        <f>IFERROR(__xludf.DUMMYFUNCTION("""COMPUTED_VALUE"""),40203.99861111111)</f>
        <v>40203.99861</v>
      </c>
      <c r="B17" s="1">
        <f>IFERROR(__xludf.DUMMYFUNCTION("""COMPUTED_VALUE"""),32670.61872)</f>
        <v>32670.61872</v>
      </c>
    </row>
    <row r="18">
      <c r="A18" s="3">
        <f>IFERROR(__xludf.DUMMYFUNCTION("""COMPUTED_VALUE"""),40204.99861111111)</f>
        <v>40204.99861</v>
      </c>
      <c r="B18" s="1">
        <f>IFERROR(__xludf.DUMMYFUNCTION("""COMPUTED_VALUE"""),32875.18643)</f>
        <v>32875.18643</v>
      </c>
    </row>
    <row r="19">
      <c r="A19" s="3">
        <f>IFERROR(__xludf.DUMMYFUNCTION("""COMPUTED_VALUE"""),40205.99861111111)</f>
        <v>40205.99861</v>
      </c>
      <c r="B19" s="1">
        <f>IFERROR(__xludf.DUMMYFUNCTION("""COMPUTED_VALUE"""),32884.20228)</f>
        <v>32884.20228</v>
      </c>
    </row>
    <row r="20">
      <c r="A20" s="3">
        <f>IFERROR(__xludf.DUMMYFUNCTION("""COMPUTED_VALUE"""),40206.99861111111)</f>
        <v>40206.99861</v>
      </c>
      <c r="B20" s="1">
        <f>IFERROR(__xludf.DUMMYFUNCTION("""COMPUTED_VALUE"""),32648.09531)</f>
        <v>32648.09531</v>
      </c>
    </row>
    <row r="21">
      <c r="A21" s="3">
        <f>IFERROR(__xludf.DUMMYFUNCTION("""COMPUTED_VALUE"""),40207.99861111111)</f>
        <v>40207.99861</v>
      </c>
      <c r="B21" s="1">
        <f>IFERROR(__xludf.DUMMYFUNCTION("""COMPUTED_VALUE"""),32267.06175)</f>
        <v>32267.06175</v>
      </c>
    </row>
    <row r="22">
      <c r="A22" s="3">
        <f>IFERROR(__xludf.DUMMYFUNCTION("""COMPUTED_VALUE"""),40210.99861111111)</f>
        <v>40210.99861</v>
      </c>
      <c r="B22" s="1">
        <f>IFERROR(__xludf.DUMMYFUNCTION("""COMPUTED_VALUE"""),32284.8792)</f>
        <v>32284.8792</v>
      </c>
    </row>
    <row r="23">
      <c r="A23" s="3">
        <f>IFERROR(__xludf.DUMMYFUNCTION("""COMPUTED_VALUE"""),40211.99861111111)</f>
        <v>40211.99861</v>
      </c>
      <c r="B23" s="1">
        <f>IFERROR(__xludf.DUMMYFUNCTION("""COMPUTED_VALUE"""),32406.74905)</f>
        <v>32406.74905</v>
      </c>
    </row>
    <row r="24">
      <c r="A24" s="3">
        <f>IFERROR(__xludf.DUMMYFUNCTION("""COMPUTED_VALUE"""),40212.99861111111)</f>
        <v>40212.99861</v>
      </c>
      <c r="B24" s="1">
        <f>IFERROR(__xludf.DUMMYFUNCTION("""COMPUTED_VALUE"""),32606.54455)</f>
        <v>32606.54455</v>
      </c>
    </row>
    <row r="25">
      <c r="A25" s="3">
        <f>IFERROR(__xludf.DUMMYFUNCTION("""COMPUTED_VALUE"""),40213.99861111111)</f>
        <v>40213.99861</v>
      </c>
      <c r="B25" s="1">
        <f>IFERROR(__xludf.DUMMYFUNCTION("""COMPUTED_VALUE"""),32616.05128)</f>
        <v>32616.05128</v>
      </c>
    </row>
    <row r="26">
      <c r="A26" s="3">
        <f>IFERROR(__xludf.DUMMYFUNCTION("""COMPUTED_VALUE"""),40214.99861111111)</f>
        <v>40214.99861</v>
      </c>
      <c r="B26" s="1">
        <f>IFERROR(__xludf.DUMMYFUNCTION("""COMPUTED_VALUE"""),32917.62965)</f>
        <v>32917.62965</v>
      </c>
    </row>
    <row r="27">
      <c r="A27" s="3">
        <f>IFERROR(__xludf.DUMMYFUNCTION("""COMPUTED_VALUE"""),40217.99861111111)</f>
        <v>40217.99861</v>
      </c>
      <c r="B27" s="1">
        <f>IFERROR(__xludf.DUMMYFUNCTION("""COMPUTED_VALUE"""),33078.15168)</f>
        <v>33078.15168</v>
      </c>
    </row>
    <row r="28">
      <c r="A28" s="3">
        <f>IFERROR(__xludf.DUMMYFUNCTION("""COMPUTED_VALUE"""),40218.99861111111)</f>
        <v>40218.99861</v>
      </c>
      <c r="B28" s="1">
        <f>IFERROR(__xludf.DUMMYFUNCTION("""COMPUTED_VALUE"""),32405.61521)</f>
        <v>32405.61521</v>
      </c>
    </row>
    <row r="29">
      <c r="A29" s="3">
        <f>IFERROR(__xludf.DUMMYFUNCTION("""COMPUTED_VALUE"""),40219.99861111111)</f>
        <v>40219.99861</v>
      </c>
      <c r="B29" s="1">
        <f>IFERROR(__xludf.DUMMYFUNCTION("""COMPUTED_VALUE"""),32352.89776)</f>
        <v>32352.89776</v>
      </c>
    </row>
    <row r="30">
      <c r="A30" s="3">
        <f>IFERROR(__xludf.DUMMYFUNCTION("""COMPUTED_VALUE"""),40220.99861111111)</f>
        <v>40220.99861</v>
      </c>
      <c r="B30" s="1">
        <f>IFERROR(__xludf.DUMMYFUNCTION("""COMPUTED_VALUE"""),32429.95344)</f>
        <v>32429.95344</v>
      </c>
    </row>
    <row r="31">
      <c r="A31" s="3">
        <f>IFERROR(__xludf.DUMMYFUNCTION("""COMPUTED_VALUE"""),40221.99861111111)</f>
        <v>40221.99861</v>
      </c>
      <c r="B31" s="1">
        <f>IFERROR(__xludf.DUMMYFUNCTION("""COMPUTED_VALUE"""),32362.7212)</f>
        <v>32362.7212</v>
      </c>
    </row>
    <row r="32">
      <c r="A32" s="3">
        <f>IFERROR(__xludf.DUMMYFUNCTION("""COMPUTED_VALUE"""),40224.99861111111)</f>
        <v>40224.99861</v>
      </c>
      <c r="B32" s="1">
        <f>IFERROR(__xludf.DUMMYFUNCTION("""COMPUTED_VALUE"""),32563.67504)</f>
        <v>32563.67504</v>
      </c>
    </row>
    <row r="33">
      <c r="A33" s="3">
        <f>IFERROR(__xludf.DUMMYFUNCTION("""COMPUTED_VALUE"""),40225.99861111111)</f>
        <v>40225.99861</v>
      </c>
      <c r="B33" s="1">
        <f>IFERROR(__xludf.DUMMYFUNCTION("""COMPUTED_VALUE"""),32255.81387)</f>
        <v>32255.81387</v>
      </c>
    </row>
    <row r="34">
      <c r="A34" s="3">
        <f>IFERROR(__xludf.DUMMYFUNCTION("""COMPUTED_VALUE"""),40226.99861111111)</f>
        <v>40226.99861</v>
      </c>
      <c r="B34" s="1">
        <f>IFERROR(__xludf.DUMMYFUNCTION("""COMPUTED_VALUE"""),32759.26728)</f>
        <v>32759.26728</v>
      </c>
    </row>
    <row r="35">
      <c r="A35" s="3">
        <f>IFERROR(__xludf.DUMMYFUNCTION("""COMPUTED_VALUE"""),40227.99861111111)</f>
        <v>40227.99861</v>
      </c>
      <c r="B35" s="1">
        <f>IFERROR(__xludf.DUMMYFUNCTION("""COMPUTED_VALUE"""),32985.41455)</f>
        <v>32985.41455</v>
      </c>
    </row>
    <row r="36">
      <c r="A36" s="3">
        <f>IFERROR(__xludf.DUMMYFUNCTION("""COMPUTED_VALUE"""),40228.99861111111)</f>
        <v>40228.99861</v>
      </c>
      <c r="B36" s="1">
        <f>IFERROR(__xludf.DUMMYFUNCTION("""COMPUTED_VALUE"""),32219.83003)</f>
        <v>32219.83003</v>
      </c>
    </row>
    <row r="37">
      <c r="A37" s="3">
        <f>IFERROR(__xludf.DUMMYFUNCTION("""COMPUTED_VALUE"""),40231.99861111111)</f>
        <v>40231.99861</v>
      </c>
      <c r="B37" s="1">
        <f>IFERROR(__xludf.DUMMYFUNCTION("""COMPUTED_VALUE"""),32205.75404)</f>
        <v>32205.75404</v>
      </c>
    </row>
    <row r="38">
      <c r="A38" s="3">
        <f>IFERROR(__xludf.DUMMYFUNCTION("""COMPUTED_VALUE"""),40232.99861111111)</f>
        <v>40232.99861</v>
      </c>
      <c r="B38" s="1">
        <f>IFERROR(__xludf.DUMMYFUNCTION("""COMPUTED_VALUE"""),32419.9135)</f>
        <v>32419.9135</v>
      </c>
    </row>
    <row r="39">
      <c r="A39" s="3">
        <f>IFERROR(__xludf.DUMMYFUNCTION("""COMPUTED_VALUE"""),40233.99861111111)</f>
        <v>40233.99861</v>
      </c>
      <c r="B39" s="1">
        <f>IFERROR(__xludf.DUMMYFUNCTION("""COMPUTED_VALUE"""),32474.38408)</f>
        <v>32474.38408</v>
      </c>
    </row>
    <row r="40">
      <c r="A40" s="3">
        <f>IFERROR(__xludf.DUMMYFUNCTION("""COMPUTED_VALUE"""),40234.99861111111)</f>
        <v>40234.99861</v>
      </c>
      <c r="B40" s="1">
        <f>IFERROR(__xludf.DUMMYFUNCTION("""COMPUTED_VALUE"""),32352.09712)</f>
        <v>32352.09712</v>
      </c>
    </row>
    <row r="41">
      <c r="A41" s="3">
        <f>IFERROR(__xludf.DUMMYFUNCTION("""COMPUTED_VALUE"""),40235.99861111111)</f>
        <v>40235.99861</v>
      </c>
      <c r="B41" s="1">
        <f>IFERROR(__xludf.DUMMYFUNCTION("""COMPUTED_VALUE"""),32396.80806)</f>
        <v>32396.80806</v>
      </c>
    </row>
    <row r="42">
      <c r="A42" s="3">
        <f>IFERROR(__xludf.DUMMYFUNCTION("""COMPUTED_VALUE"""),40238.99861111111)</f>
        <v>40238.99861</v>
      </c>
      <c r="B42" s="1">
        <f>IFERROR(__xludf.DUMMYFUNCTION("""COMPUTED_VALUE"""),32536.3116)</f>
        <v>32536.3116</v>
      </c>
    </row>
    <row r="43">
      <c r="A43" s="3">
        <f>IFERROR(__xludf.DUMMYFUNCTION("""COMPUTED_VALUE"""),40239.99861111111)</f>
        <v>40239.99861</v>
      </c>
      <c r="B43" s="1">
        <f>IFERROR(__xludf.DUMMYFUNCTION("""COMPUTED_VALUE"""),31812.95227)</f>
        <v>31812.95227</v>
      </c>
    </row>
    <row r="44">
      <c r="A44" s="3">
        <f>IFERROR(__xludf.DUMMYFUNCTION("""COMPUTED_VALUE"""),40240.99861111111)</f>
        <v>40240.99861</v>
      </c>
      <c r="B44" s="1">
        <f>IFERROR(__xludf.DUMMYFUNCTION("""COMPUTED_VALUE"""),31735.34432)</f>
        <v>31735.34432</v>
      </c>
    </row>
    <row r="45">
      <c r="A45" s="3">
        <f>IFERROR(__xludf.DUMMYFUNCTION("""COMPUTED_VALUE"""),40241.99861111111)</f>
        <v>40241.99861</v>
      </c>
      <c r="B45" s="1">
        <f>IFERROR(__xludf.DUMMYFUNCTION("""COMPUTED_VALUE"""),32403.26246)</f>
        <v>32403.26246</v>
      </c>
    </row>
    <row r="46">
      <c r="A46" s="3">
        <f>IFERROR(__xludf.DUMMYFUNCTION("""COMPUTED_VALUE"""),40242.99861111111)</f>
        <v>40242.99861</v>
      </c>
      <c r="B46" s="1">
        <f>IFERROR(__xludf.DUMMYFUNCTION("""COMPUTED_VALUE"""),32050.16908)</f>
        <v>32050.16908</v>
      </c>
    </row>
    <row r="47">
      <c r="A47" s="3">
        <f>IFERROR(__xludf.DUMMYFUNCTION("""COMPUTED_VALUE"""),40245.99861111111)</f>
        <v>40245.99861</v>
      </c>
      <c r="B47" s="1">
        <f>IFERROR(__xludf.DUMMYFUNCTION("""COMPUTED_VALUE"""),31880.5335)</f>
        <v>31880.5335</v>
      </c>
    </row>
    <row r="48">
      <c r="A48" s="3">
        <f>IFERROR(__xludf.DUMMYFUNCTION("""COMPUTED_VALUE"""),40246.99861111111)</f>
        <v>40246.99861</v>
      </c>
      <c r="B48" s="1">
        <f>IFERROR(__xludf.DUMMYFUNCTION("""COMPUTED_VALUE"""),31806.86197)</f>
        <v>31806.86197</v>
      </c>
    </row>
    <row r="49">
      <c r="A49" s="3">
        <f>IFERROR(__xludf.DUMMYFUNCTION("""COMPUTED_VALUE"""),40247.99861111111)</f>
        <v>40247.99861</v>
      </c>
      <c r="B49" s="1">
        <f>IFERROR(__xludf.DUMMYFUNCTION("""COMPUTED_VALUE"""),31795.76627)</f>
        <v>31795.76627</v>
      </c>
    </row>
    <row r="50">
      <c r="A50" s="3">
        <f>IFERROR(__xludf.DUMMYFUNCTION("""COMPUTED_VALUE"""),40248.99861111111)</f>
        <v>40248.99861</v>
      </c>
      <c r="B50" s="1">
        <f>IFERROR(__xludf.DUMMYFUNCTION("""COMPUTED_VALUE"""),31753.3322)</f>
        <v>31753.3322</v>
      </c>
    </row>
    <row r="51">
      <c r="A51" s="3">
        <f>IFERROR(__xludf.DUMMYFUNCTION("""COMPUTED_VALUE"""),40249.99861111111)</f>
        <v>40249.99861</v>
      </c>
      <c r="B51" s="1">
        <f>IFERROR(__xludf.DUMMYFUNCTION("""COMPUTED_VALUE"""),31908.64743)</f>
        <v>31908.64743</v>
      </c>
    </row>
    <row r="52">
      <c r="A52" s="3">
        <f>IFERROR(__xludf.DUMMYFUNCTION("""COMPUTED_VALUE"""),40252.99861111111)</f>
        <v>40252.99861</v>
      </c>
      <c r="B52" s="1">
        <f>IFERROR(__xludf.DUMMYFUNCTION("""COMPUTED_VALUE"""),32109.86619)</f>
        <v>32109.86619</v>
      </c>
    </row>
    <row r="53">
      <c r="A53" s="3">
        <f>IFERROR(__xludf.DUMMYFUNCTION("""COMPUTED_VALUE"""),40253.99861111111)</f>
        <v>40253.99861</v>
      </c>
      <c r="B53" s="1">
        <f>IFERROR(__xludf.DUMMYFUNCTION("""COMPUTED_VALUE"""),31949.02531)</f>
        <v>31949.02531</v>
      </c>
    </row>
    <row r="54">
      <c r="A54" s="3">
        <f>IFERROR(__xludf.DUMMYFUNCTION("""COMPUTED_VALUE"""),40254.99861111111)</f>
        <v>40254.99861</v>
      </c>
      <c r="B54" s="1">
        <f>IFERROR(__xludf.DUMMYFUNCTION("""COMPUTED_VALUE"""),31639.42557)</f>
        <v>31639.42557</v>
      </c>
    </row>
    <row r="55">
      <c r="A55" s="3">
        <f>IFERROR(__xludf.DUMMYFUNCTION("""COMPUTED_VALUE"""),40255.99861111111)</f>
        <v>40255.99861</v>
      </c>
      <c r="B55" s="1">
        <f>IFERROR(__xludf.DUMMYFUNCTION("""COMPUTED_VALUE"""),31695.21313)</f>
        <v>31695.21313</v>
      </c>
    </row>
    <row r="56">
      <c r="A56" s="3">
        <f>IFERROR(__xludf.DUMMYFUNCTION("""COMPUTED_VALUE"""),40256.99861111111)</f>
        <v>40256.99861</v>
      </c>
      <c r="B56" s="1">
        <f>IFERROR(__xludf.DUMMYFUNCTION("""COMPUTED_VALUE"""),31743.54892)</f>
        <v>31743.54892</v>
      </c>
    </row>
    <row r="57">
      <c r="A57" s="3">
        <f>IFERROR(__xludf.DUMMYFUNCTION("""COMPUTED_VALUE"""),40259.99861111111)</f>
        <v>40259.99861</v>
      </c>
      <c r="B57" s="1">
        <f>IFERROR(__xludf.DUMMYFUNCTION("""COMPUTED_VALUE"""),31606.79265)</f>
        <v>31606.79265</v>
      </c>
    </row>
    <row r="58">
      <c r="A58" s="3">
        <f>IFERROR(__xludf.DUMMYFUNCTION("""COMPUTED_VALUE"""),40260.99861111111)</f>
        <v>40260.99861</v>
      </c>
      <c r="B58" s="1">
        <f>IFERROR(__xludf.DUMMYFUNCTION("""COMPUTED_VALUE"""),31719.04186)</f>
        <v>31719.04186</v>
      </c>
    </row>
    <row r="59">
      <c r="A59" s="3">
        <f>IFERROR(__xludf.DUMMYFUNCTION("""COMPUTED_VALUE"""),40261.99861111111)</f>
        <v>40261.99861</v>
      </c>
      <c r="B59" s="1">
        <f>IFERROR(__xludf.DUMMYFUNCTION("""COMPUTED_VALUE"""),31538.74874)</f>
        <v>31538.74874</v>
      </c>
    </row>
    <row r="60">
      <c r="A60" s="3">
        <f>IFERROR(__xludf.DUMMYFUNCTION("""COMPUTED_VALUE"""),40262.99861111111)</f>
        <v>40262.99861</v>
      </c>
      <c r="B60" s="1">
        <f>IFERROR(__xludf.DUMMYFUNCTION("""COMPUTED_VALUE"""),31765.55727)</f>
        <v>31765.55727</v>
      </c>
    </row>
    <row r="61">
      <c r="A61" s="3">
        <f>IFERROR(__xludf.DUMMYFUNCTION("""COMPUTED_VALUE"""),40263.99861111111)</f>
        <v>40263.99861</v>
      </c>
      <c r="B61" s="1">
        <f>IFERROR(__xludf.DUMMYFUNCTION("""COMPUTED_VALUE"""),31559.82261)</f>
        <v>31559.82261</v>
      </c>
    </row>
    <row r="62">
      <c r="A62" s="3">
        <f>IFERROR(__xludf.DUMMYFUNCTION("""COMPUTED_VALUE"""),40266.99861111111)</f>
        <v>40266.99861</v>
      </c>
      <c r="B62" s="1">
        <f>IFERROR(__xludf.DUMMYFUNCTION("""COMPUTED_VALUE"""),31427.08461)</f>
        <v>31427.08461</v>
      </c>
    </row>
    <row r="63">
      <c r="A63" s="3">
        <f>IFERROR(__xludf.DUMMYFUNCTION("""COMPUTED_VALUE"""),40267.99861111111)</f>
        <v>40267.99861</v>
      </c>
      <c r="B63" s="1">
        <f>IFERROR(__xludf.DUMMYFUNCTION("""COMPUTED_VALUE"""),31479.01411)</f>
        <v>31479.01411</v>
      </c>
    </row>
    <row r="64">
      <c r="A64" s="3">
        <f>IFERROR(__xludf.DUMMYFUNCTION("""COMPUTED_VALUE"""),40268.99861111111)</f>
        <v>40268.99861</v>
      </c>
      <c r="B64" s="1">
        <f>IFERROR(__xludf.DUMMYFUNCTION("""COMPUTED_VALUE"""),31541.9223)</f>
        <v>31541.9223</v>
      </c>
    </row>
    <row r="65">
      <c r="A65" s="3">
        <f>IFERROR(__xludf.DUMMYFUNCTION("""COMPUTED_VALUE"""),40269.99861111111)</f>
        <v>40269.99861</v>
      </c>
      <c r="B65" s="1">
        <f>IFERROR(__xludf.DUMMYFUNCTION("""COMPUTED_VALUE"""),31312.2036)</f>
        <v>31312.2036</v>
      </c>
    </row>
    <row r="66">
      <c r="A66" s="3">
        <f>IFERROR(__xludf.DUMMYFUNCTION("""COMPUTED_VALUE"""),40270.99861111111)</f>
        <v>40270.99861</v>
      </c>
      <c r="B66" s="1">
        <f>IFERROR(__xludf.DUMMYFUNCTION("""COMPUTED_VALUE"""),31497.48496)</f>
        <v>31497.48496</v>
      </c>
    </row>
    <row r="67">
      <c r="A67" s="3">
        <f>IFERROR(__xludf.DUMMYFUNCTION("""COMPUTED_VALUE"""),40273.99861111111)</f>
        <v>40273.99861</v>
      </c>
      <c r="B67" s="1">
        <f>IFERROR(__xludf.DUMMYFUNCTION("""COMPUTED_VALUE"""),31406.06428)</f>
        <v>31406.06428</v>
      </c>
    </row>
    <row r="68">
      <c r="A68" s="3">
        <f>IFERROR(__xludf.DUMMYFUNCTION("""COMPUTED_VALUE"""),40274.99861111111)</f>
        <v>40274.99861</v>
      </c>
      <c r="B68" s="1">
        <f>IFERROR(__xludf.DUMMYFUNCTION("""COMPUTED_VALUE"""),31325.1254)</f>
        <v>31325.1254</v>
      </c>
    </row>
    <row r="69">
      <c r="A69" s="3">
        <f>IFERROR(__xludf.DUMMYFUNCTION("""COMPUTED_VALUE"""),40275.99861111111)</f>
        <v>40275.99861</v>
      </c>
      <c r="B69" s="1">
        <f>IFERROR(__xludf.DUMMYFUNCTION("""COMPUTED_VALUE"""),31406.52019)</f>
        <v>31406.52019</v>
      </c>
    </row>
    <row r="70">
      <c r="A70" s="3">
        <f>IFERROR(__xludf.DUMMYFUNCTION("""COMPUTED_VALUE"""),40276.99861111111)</f>
        <v>40276.99861</v>
      </c>
      <c r="B70" s="1">
        <f>IFERROR(__xludf.DUMMYFUNCTION("""COMPUTED_VALUE"""),31384.95767)</f>
        <v>31384.95767</v>
      </c>
    </row>
    <row r="71">
      <c r="A71" s="3">
        <f>IFERROR(__xludf.DUMMYFUNCTION("""COMPUTED_VALUE"""),40277.99861111111)</f>
        <v>40277.99861</v>
      </c>
      <c r="B71" s="1">
        <f>IFERROR(__xludf.DUMMYFUNCTION("""COMPUTED_VALUE"""),31182.03541)</f>
        <v>31182.03541</v>
      </c>
    </row>
    <row r="72">
      <c r="A72" s="3">
        <f>IFERROR(__xludf.DUMMYFUNCTION("""COMPUTED_VALUE"""),40280.99861111111)</f>
        <v>40280.99861</v>
      </c>
      <c r="B72" s="1">
        <f>IFERROR(__xludf.DUMMYFUNCTION("""COMPUTED_VALUE"""),31326.26391)</f>
        <v>31326.26391</v>
      </c>
    </row>
    <row r="73">
      <c r="A73" s="3">
        <f>IFERROR(__xludf.DUMMYFUNCTION("""COMPUTED_VALUE"""),40281.99861111111)</f>
        <v>40281.99861</v>
      </c>
      <c r="B73" s="1">
        <f>IFERROR(__xludf.DUMMYFUNCTION("""COMPUTED_VALUE"""),31331.94173)</f>
        <v>31331.94173</v>
      </c>
    </row>
    <row r="74">
      <c r="A74" s="3">
        <f>IFERROR(__xludf.DUMMYFUNCTION("""COMPUTED_VALUE"""),40282.99861111111)</f>
        <v>40282.99861</v>
      </c>
      <c r="B74" s="1">
        <f>IFERROR(__xludf.DUMMYFUNCTION("""COMPUTED_VALUE"""),33375.54921)</f>
        <v>33375.54921</v>
      </c>
    </row>
    <row r="75">
      <c r="A75" s="3">
        <f>IFERROR(__xludf.DUMMYFUNCTION("""COMPUTED_VALUE"""),40283.99861111111)</f>
        <v>40283.99861</v>
      </c>
      <c r="B75" s="1">
        <f>IFERROR(__xludf.DUMMYFUNCTION("""COMPUTED_VALUE"""),31362.71275)</f>
        <v>31362.71275</v>
      </c>
    </row>
    <row r="76">
      <c r="A76" s="3">
        <f>IFERROR(__xludf.DUMMYFUNCTION("""COMPUTED_VALUE"""),40284.99861111111)</f>
        <v>40284.99861</v>
      </c>
      <c r="B76" s="1">
        <f>IFERROR(__xludf.DUMMYFUNCTION("""COMPUTED_VALUE"""),31492.06216)</f>
        <v>31492.06216</v>
      </c>
    </row>
    <row r="77">
      <c r="A77" s="3">
        <f>IFERROR(__xludf.DUMMYFUNCTION("""COMPUTED_VALUE"""),40287.99861111111)</f>
        <v>40287.99861</v>
      </c>
      <c r="B77" s="1">
        <f>IFERROR(__xludf.DUMMYFUNCTION("""COMPUTED_VALUE"""),31479.64256)</f>
        <v>31479.64256</v>
      </c>
    </row>
    <row r="78">
      <c r="A78" s="3">
        <f>IFERROR(__xludf.DUMMYFUNCTION("""COMPUTED_VALUE"""),40288.99861111111)</f>
        <v>40288.99861</v>
      </c>
      <c r="B78" s="1">
        <f>IFERROR(__xludf.DUMMYFUNCTION("""COMPUTED_VALUE"""),31349.90375)</f>
        <v>31349.90375</v>
      </c>
    </row>
    <row r="79">
      <c r="A79" s="3">
        <f>IFERROR(__xludf.DUMMYFUNCTION("""COMPUTED_VALUE"""),40289.99861111111)</f>
        <v>40289.99861</v>
      </c>
      <c r="B79" s="1">
        <f>IFERROR(__xludf.DUMMYFUNCTION("""COMPUTED_VALUE"""),31341.78287)</f>
        <v>31341.78287</v>
      </c>
    </row>
    <row r="80">
      <c r="A80" s="3">
        <f>IFERROR(__xludf.DUMMYFUNCTION("""COMPUTED_VALUE"""),40290.99861111111)</f>
        <v>40290.99861</v>
      </c>
      <c r="B80" s="1">
        <f>IFERROR(__xludf.DUMMYFUNCTION("""COMPUTED_VALUE"""),31623.13054)</f>
        <v>31623.13054</v>
      </c>
    </row>
    <row r="81">
      <c r="A81" s="3">
        <f>IFERROR(__xludf.DUMMYFUNCTION("""COMPUTED_VALUE"""),40291.99861111111)</f>
        <v>40291.99861</v>
      </c>
      <c r="B81" s="1">
        <f>IFERROR(__xludf.DUMMYFUNCTION("""COMPUTED_VALUE"""),31391.41054)</f>
        <v>31391.41054</v>
      </c>
    </row>
    <row r="82">
      <c r="A82" s="3">
        <f>IFERROR(__xludf.DUMMYFUNCTION("""COMPUTED_VALUE"""),40294.99861111111)</f>
        <v>40294.99861</v>
      </c>
      <c r="B82" s="1">
        <f>IFERROR(__xludf.DUMMYFUNCTION("""COMPUTED_VALUE"""),31229.38953)</f>
        <v>31229.38953</v>
      </c>
    </row>
    <row r="83">
      <c r="A83" s="3">
        <f>IFERROR(__xludf.DUMMYFUNCTION("""COMPUTED_VALUE"""),40295.99861111111)</f>
        <v>40295.99861</v>
      </c>
      <c r="B83" s="1">
        <f>IFERROR(__xludf.DUMMYFUNCTION("""COMPUTED_VALUE"""),31698.14385)</f>
        <v>31698.14385</v>
      </c>
    </row>
    <row r="84">
      <c r="A84" s="3">
        <f>IFERROR(__xludf.DUMMYFUNCTION("""COMPUTED_VALUE"""),40296.99861111111)</f>
        <v>40296.99861</v>
      </c>
      <c r="B84" s="1">
        <f>IFERROR(__xludf.DUMMYFUNCTION("""COMPUTED_VALUE"""),31273.47896)</f>
        <v>31273.47896</v>
      </c>
    </row>
    <row r="85">
      <c r="A85" s="3">
        <f>IFERROR(__xludf.DUMMYFUNCTION("""COMPUTED_VALUE"""),40297.99861111111)</f>
        <v>40297.99861</v>
      </c>
      <c r="B85" s="1">
        <f>IFERROR(__xludf.DUMMYFUNCTION("""COMPUTED_VALUE"""),31188.288)</f>
        <v>31188.288</v>
      </c>
    </row>
    <row r="86">
      <c r="A86" s="3">
        <f>IFERROR(__xludf.DUMMYFUNCTION("""COMPUTED_VALUE"""),40298.99861111111)</f>
        <v>40298.99861</v>
      </c>
      <c r="B86" s="1">
        <f>IFERROR(__xludf.DUMMYFUNCTION("""COMPUTED_VALUE"""),31300.7423)</f>
        <v>31300.7423</v>
      </c>
    </row>
    <row r="87">
      <c r="A87" s="3">
        <f>IFERROR(__xludf.DUMMYFUNCTION("""COMPUTED_VALUE"""),40301.99861111111)</f>
        <v>40301.99861</v>
      </c>
      <c r="B87" s="1">
        <f>IFERROR(__xludf.DUMMYFUNCTION("""COMPUTED_VALUE"""),31258.13856)</f>
        <v>31258.13856</v>
      </c>
    </row>
    <row r="88">
      <c r="A88" s="3">
        <f>IFERROR(__xludf.DUMMYFUNCTION("""COMPUTED_VALUE"""),40302.99861111111)</f>
        <v>40302.99861</v>
      </c>
      <c r="B88" s="1">
        <f>IFERROR(__xludf.DUMMYFUNCTION("""COMPUTED_VALUE"""),31339.66812)</f>
        <v>31339.66812</v>
      </c>
    </row>
    <row r="89">
      <c r="A89" s="3">
        <f>IFERROR(__xludf.DUMMYFUNCTION("""COMPUTED_VALUE"""),40303.99861111111)</f>
        <v>40303.99861</v>
      </c>
      <c r="B89" s="1">
        <f>IFERROR(__xludf.DUMMYFUNCTION("""COMPUTED_VALUE"""),31474.18749)</f>
        <v>31474.18749</v>
      </c>
    </row>
    <row r="90">
      <c r="A90" s="3">
        <f>IFERROR(__xludf.DUMMYFUNCTION("""COMPUTED_VALUE"""),40304.99861111111)</f>
        <v>40304.99861</v>
      </c>
      <c r="B90" s="1">
        <f>IFERROR(__xludf.DUMMYFUNCTION("""COMPUTED_VALUE"""),32004.83102)</f>
        <v>32004.83102</v>
      </c>
    </row>
    <row r="91">
      <c r="A91" s="3">
        <f>IFERROR(__xludf.DUMMYFUNCTION("""COMPUTED_VALUE"""),40305.99861111111)</f>
        <v>40305.99861</v>
      </c>
      <c r="B91" s="1">
        <f>IFERROR(__xludf.DUMMYFUNCTION("""COMPUTED_VALUE"""),31827.05567)</f>
        <v>31827.05567</v>
      </c>
    </row>
    <row r="92">
      <c r="A92" s="3">
        <f>IFERROR(__xludf.DUMMYFUNCTION("""COMPUTED_VALUE"""),40308.99861111111)</f>
        <v>40308.99861</v>
      </c>
      <c r="B92" s="1">
        <f>IFERROR(__xludf.DUMMYFUNCTION("""COMPUTED_VALUE"""),32005.56369)</f>
        <v>32005.56369</v>
      </c>
    </row>
    <row r="93">
      <c r="A93" s="3">
        <f>IFERROR(__xludf.DUMMYFUNCTION("""COMPUTED_VALUE"""),40309.99861111111)</f>
        <v>40309.99861</v>
      </c>
      <c r="B93" s="1">
        <f>IFERROR(__xludf.DUMMYFUNCTION("""COMPUTED_VALUE"""),31771.39352)</f>
        <v>31771.39352</v>
      </c>
    </row>
    <row r="94">
      <c r="A94" s="3">
        <f>IFERROR(__xludf.DUMMYFUNCTION("""COMPUTED_VALUE"""),40310.99861111111)</f>
        <v>40310.99861</v>
      </c>
      <c r="B94" s="1">
        <f>IFERROR(__xludf.DUMMYFUNCTION("""COMPUTED_VALUE"""),31733.78566)</f>
        <v>31733.78566</v>
      </c>
    </row>
    <row r="95">
      <c r="A95" s="3">
        <f>IFERROR(__xludf.DUMMYFUNCTION("""COMPUTED_VALUE"""),40311.99861111111)</f>
        <v>40311.99861</v>
      </c>
      <c r="B95" s="1">
        <f>IFERROR(__xludf.DUMMYFUNCTION("""COMPUTED_VALUE"""),31446.28275)</f>
        <v>31446.28275</v>
      </c>
    </row>
    <row r="96">
      <c r="A96" s="3">
        <f>IFERROR(__xludf.DUMMYFUNCTION("""COMPUTED_VALUE"""),40312.99861111111)</f>
        <v>40312.99861</v>
      </c>
      <c r="B96" s="1">
        <f>IFERROR(__xludf.DUMMYFUNCTION("""COMPUTED_VALUE"""),31431.72245)</f>
        <v>31431.72245</v>
      </c>
    </row>
    <row r="97">
      <c r="A97" s="3">
        <f>IFERROR(__xludf.DUMMYFUNCTION("""COMPUTED_VALUE"""),40315.99861111111)</f>
        <v>40315.99861</v>
      </c>
      <c r="B97" s="1">
        <f>IFERROR(__xludf.DUMMYFUNCTION("""COMPUTED_VALUE"""),31322.40472)</f>
        <v>31322.40472</v>
      </c>
    </row>
    <row r="98">
      <c r="A98" s="3">
        <f>IFERROR(__xludf.DUMMYFUNCTION("""COMPUTED_VALUE"""),40316.99861111111)</f>
        <v>40316.99861</v>
      </c>
      <c r="B98" s="1">
        <f>IFERROR(__xludf.DUMMYFUNCTION("""COMPUTED_VALUE"""),31902.06077)</f>
        <v>31902.06077</v>
      </c>
    </row>
    <row r="99">
      <c r="A99" s="3">
        <f>IFERROR(__xludf.DUMMYFUNCTION("""COMPUTED_VALUE"""),40317.99861111111)</f>
        <v>40317.99861</v>
      </c>
      <c r="B99" s="1">
        <f>IFERROR(__xludf.DUMMYFUNCTION("""COMPUTED_VALUE"""),31510.61125)</f>
        <v>31510.61125</v>
      </c>
    </row>
    <row r="100">
      <c r="A100" s="3">
        <f>IFERROR(__xludf.DUMMYFUNCTION("""COMPUTED_VALUE"""),40318.99861111111)</f>
        <v>40318.99861</v>
      </c>
      <c r="B100" s="1">
        <f>IFERROR(__xludf.DUMMYFUNCTION("""COMPUTED_VALUE"""),31500.94107)</f>
        <v>31500.94107</v>
      </c>
    </row>
    <row r="101">
      <c r="A101" s="3">
        <f>IFERROR(__xludf.DUMMYFUNCTION("""COMPUTED_VALUE"""),40319.99861111111)</f>
        <v>40319.99861</v>
      </c>
      <c r="B101" s="1">
        <f>IFERROR(__xludf.DUMMYFUNCTION("""COMPUTED_VALUE"""),31856.2047)</f>
        <v>31856.2047</v>
      </c>
    </row>
    <row r="102">
      <c r="A102" s="3">
        <f>IFERROR(__xludf.DUMMYFUNCTION("""COMPUTED_VALUE"""),40322.99861111111)</f>
        <v>40322.99861</v>
      </c>
      <c r="B102" s="1">
        <f>IFERROR(__xludf.DUMMYFUNCTION("""COMPUTED_VALUE"""),31936.69127)</f>
        <v>31936.69127</v>
      </c>
    </row>
    <row r="103">
      <c r="A103" s="3">
        <f>IFERROR(__xludf.DUMMYFUNCTION("""COMPUTED_VALUE"""),40323.99861111111)</f>
        <v>40323.99861</v>
      </c>
      <c r="B103" s="1">
        <f>IFERROR(__xludf.DUMMYFUNCTION("""COMPUTED_VALUE"""),31903.43534)</f>
        <v>31903.43534</v>
      </c>
    </row>
    <row r="104">
      <c r="A104" s="3">
        <f>IFERROR(__xludf.DUMMYFUNCTION("""COMPUTED_VALUE"""),40324.99861111111)</f>
        <v>40324.99861</v>
      </c>
      <c r="B104" s="1">
        <f>IFERROR(__xludf.DUMMYFUNCTION("""COMPUTED_VALUE"""),32381.96311)</f>
        <v>32381.96311</v>
      </c>
    </row>
    <row r="105">
      <c r="A105" s="3">
        <f>IFERROR(__xludf.DUMMYFUNCTION("""COMPUTED_VALUE"""),40325.99861111111)</f>
        <v>40325.99861</v>
      </c>
      <c r="B105" s="1">
        <f>IFERROR(__xludf.DUMMYFUNCTION("""COMPUTED_VALUE"""),31825.23731)</f>
        <v>31825.23731</v>
      </c>
    </row>
    <row r="106">
      <c r="A106" s="3">
        <f>IFERROR(__xludf.DUMMYFUNCTION("""COMPUTED_VALUE"""),40326.99861111111)</f>
        <v>40326.99861</v>
      </c>
      <c r="B106" s="1">
        <f>IFERROR(__xludf.DUMMYFUNCTION("""COMPUTED_VALUE"""),31943.64152)</f>
        <v>31943.64152</v>
      </c>
    </row>
    <row r="107">
      <c r="A107" s="3">
        <f>IFERROR(__xludf.DUMMYFUNCTION("""COMPUTED_VALUE"""),40329.99861111111)</f>
        <v>40329.99861</v>
      </c>
      <c r="B107" s="1">
        <f>IFERROR(__xludf.DUMMYFUNCTION("""COMPUTED_VALUE"""),30214.44668)</f>
        <v>30214.44668</v>
      </c>
    </row>
    <row r="108">
      <c r="A108" s="3">
        <f>IFERROR(__xludf.DUMMYFUNCTION("""COMPUTED_VALUE"""),40330.99861111111)</f>
        <v>40330.99861</v>
      </c>
      <c r="B108" s="1">
        <f>IFERROR(__xludf.DUMMYFUNCTION("""COMPUTED_VALUE"""),31764.63815)</f>
        <v>31764.63815</v>
      </c>
    </row>
    <row r="109">
      <c r="A109" s="3">
        <f>IFERROR(__xludf.DUMMYFUNCTION("""COMPUTED_VALUE"""),40331.99861111111)</f>
        <v>40331.99861</v>
      </c>
      <c r="B109" s="1">
        <f>IFERROR(__xludf.DUMMYFUNCTION("""COMPUTED_VALUE"""),31716.1885)</f>
        <v>31716.1885</v>
      </c>
    </row>
    <row r="110">
      <c r="A110" s="3">
        <f>IFERROR(__xludf.DUMMYFUNCTION("""COMPUTED_VALUE"""),40332.99861111111)</f>
        <v>40332.99861</v>
      </c>
      <c r="B110" s="1">
        <f>IFERROR(__xludf.DUMMYFUNCTION("""COMPUTED_VALUE"""),31722.17543)</f>
        <v>31722.17543</v>
      </c>
    </row>
    <row r="111">
      <c r="A111" s="3">
        <f>IFERROR(__xludf.DUMMYFUNCTION("""COMPUTED_VALUE"""),40333.99861111111)</f>
        <v>40333.99861</v>
      </c>
      <c r="B111" s="1">
        <f>IFERROR(__xludf.DUMMYFUNCTION("""COMPUTED_VALUE"""),31844.59011)</f>
        <v>31844.59011</v>
      </c>
    </row>
    <row r="112">
      <c r="A112" s="3">
        <f>IFERROR(__xludf.DUMMYFUNCTION("""COMPUTED_VALUE"""),40336.99861111111)</f>
        <v>40336.99861</v>
      </c>
      <c r="B112" s="1">
        <f>IFERROR(__xludf.DUMMYFUNCTION("""COMPUTED_VALUE"""),31780.6939)</f>
        <v>31780.6939</v>
      </c>
    </row>
    <row r="113">
      <c r="A113" s="3">
        <f>IFERROR(__xludf.DUMMYFUNCTION("""COMPUTED_VALUE"""),40337.99861111111)</f>
        <v>40337.99861</v>
      </c>
      <c r="B113" s="1">
        <f>IFERROR(__xludf.DUMMYFUNCTION("""COMPUTED_VALUE"""),31489.92353)</f>
        <v>31489.92353</v>
      </c>
    </row>
    <row r="114">
      <c r="A114" s="3">
        <f>IFERROR(__xludf.DUMMYFUNCTION("""COMPUTED_VALUE"""),40338.99861111111)</f>
        <v>40338.99861</v>
      </c>
      <c r="B114" s="1">
        <f>IFERROR(__xludf.DUMMYFUNCTION("""COMPUTED_VALUE"""),31730.5944)</f>
        <v>31730.5944</v>
      </c>
    </row>
    <row r="115">
      <c r="A115" s="3">
        <f>IFERROR(__xludf.DUMMYFUNCTION("""COMPUTED_VALUE"""),40339.99861111111)</f>
        <v>40339.99861</v>
      </c>
      <c r="B115" s="1">
        <f>IFERROR(__xludf.DUMMYFUNCTION("""COMPUTED_VALUE"""),31860.67462)</f>
        <v>31860.67462</v>
      </c>
    </row>
    <row r="116">
      <c r="A116" s="3">
        <f>IFERROR(__xludf.DUMMYFUNCTION("""COMPUTED_VALUE"""),40340.99861111111)</f>
        <v>40340.99861</v>
      </c>
      <c r="B116" s="1">
        <f>IFERROR(__xludf.DUMMYFUNCTION("""COMPUTED_VALUE"""),31570.88858)</f>
        <v>31570.88858</v>
      </c>
    </row>
    <row r="117">
      <c r="A117" s="3">
        <f>IFERROR(__xludf.DUMMYFUNCTION("""COMPUTED_VALUE"""),40343.99861111111)</f>
        <v>40343.99861</v>
      </c>
      <c r="B117" s="1">
        <f>IFERROR(__xludf.DUMMYFUNCTION("""COMPUTED_VALUE"""),31519.25836)</f>
        <v>31519.25836</v>
      </c>
    </row>
    <row r="118">
      <c r="A118" s="3">
        <f>IFERROR(__xludf.DUMMYFUNCTION("""COMPUTED_VALUE"""),40344.99861111111)</f>
        <v>40344.99861</v>
      </c>
      <c r="B118" s="1">
        <f>IFERROR(__xludf.DUMMYFUNCTION("""COMPUTED_VALUE"""),31331.61847)</f>
        <v>31331.61847</v>
      </c>
    </row>
    <row r="119">
      <c r="A119" s="3">
        <f>IFERROR(__xludf.DUMMYFUNCTION("""COMPUTED_VALUE"""),40345.99861111111)</f>
        <v>40345.99861</v>
      </c>
      <c r="B119" s="1">
        <f>IFERROR(__xludf.DUMMYFUNCTION("""COMPUTED_VALUE"""),31445.76991)</f>
        <v>31445.76991</v>
      </c>
    </row>
    <row r="120">
      <c r="A120" s="3">
        <f>IFERROR(__xludf.DUMMYFUNCTION("""COMPUTED_VALUE"""),40346.99861111111)</f>
        <v>40346.99861</v>
      </c>
      <c r="B120" s="1">
        <f>IFERROR(__xludf.DUMMYFUNCTION("""COMPUTED_VALUE"""),31354.24982)</f>
        <v>31354.24982</v>
      </c>
    </row>
    <row r="121">
      <c r="A121" s="3">
        <f>IFERROR(__xludf.DUMMYFUNCTION("""COMPUTED_VALUE"""),40347.99861111111)</f>
        <v>40347.99861</v>
      </c>
      <c r="B121" s="1">
        <f>IFERROR(__xludf.DUMMYFUNCTION("""COMPUTED_VALUE"""),31438.21761)</f>
        <v>31438.21761</v>
      </c>
    </row>
    <row r="122">
      <c r="A122" s="3">
        <f>IFERROR(__xludf.DUMMYFUNCTION("""COMPUTED_VALUE"""),40350.99861111111)</f>
        <v>40350.99861</v>
      </c>
      <c r="B122" s="1">
        <f>IFERROR(__xludf.DUMMYFUNCTION("""COMPUTED_VALUE"""),30894.0737)</f>
        <v>30894.0737</v>
      </c>
    </row>
    <row r="123">
      <c r="A123" s="3">
        <f>IFERROR(__xludf.DUMMYFUNCTION("""COMPUTED_VALUE"""),40351.99861111111)</f>
        <v>40351.99861</v>
      </c>
      <c r="B123" s="1">
        <f>IFERROR(__xludf.DUMMYFUNCTION("""COMPUTED_VALUE"""),31232.01423)</f>
        <v>31232.01423</v>
      </c>
    </row>
    <row r="124">
      <c r="A124" s="3">
        <f>IFERROR(__xludf.DUMMYFUNCTION("""COMPUTED_VALUE"""),40352.99861111111)</f>
        <v>40352.99861</v>
      </c>
      <c r="B124" s="1">
        <f>IFERROR(__xludf.DUMMYFUNCTION("""COMPUTED_VALUE"""),30953.11771)</f>
        <v>30953.11771</v>
      </c>
    </row>
    <row r="125">
      <c r="A125" s="3">
        <f>IFERROR(__xludf.DUMMYFUNCTION("""COMPUTED_VALUE"""),40353.99861111111)</f>
        <v>40353.99861</v>
      </c>
      <c r="B125" s="1">
        <f>IFERROR(__xludf.DUMMYFUNCTION("""COMPUTED_VALUE"""),31110.14887)</f>
        <v>31110.14887</v>
      </c>
    </row>
    <row r="126">
      <c r="A126" s="3">
        <f>IFERROR(__xludf.DUMMYFUNCTION("""COMPUTED_VALUE"""),40354.99861111111)</f>
        <v>40354.99861</v>
      </c>
      <c r="B126" s="1">
        <f>IFERROR(__xludf.DUMMYFUNCTION("""COMPUTED_VALUE"""),31131.85966)</f>
        <v>31131.85966</v>
      </c>
    </row>
    <row r="127">
      <c r="A127" s="3">
        <f>IFERROR(__xludf.DUMMYFUNCTION("""COMPUTED_VALUE"""),40357.99861111111)</f>
        <v>40357.99861</v>
      </c>
      <c r="B127" s="1">
        <f>IFERROR(__xludf.DUMMYFUNCTION("""COMPUTED_VALUE"""),31157.68735)</f>
        <v>31157.68735</v>
      </c>
    </row>
    <row r="128">
      <c r="A128" s="3">
        <f>IFERROR(__xludf.DUMMYFUNCTION("""COMPUTED_VALUE"""),40358.99861111111)</f>
        <v>40358.99861</v>
      </c>
      <c r="B128" s="1">
        <f>IFERROR(__xludf.DUMMYFUNCTION("""COMPUTED_VALUE"""),31171.35141)</f>
        <v>31171.35141</v>
      </c>
    </row>
    <row r="129">
      <c r="A129" s="3">
        <f>IFERROR(__xludf.DUMMYFUNCTION("""COMPUTED_VALUE"""),40359.99861111111)</f>
        <v>40359.99861</v>
      </c>
      <c r="B129" s="1">
        <f>IFERROR(__xludf.DUMMYFUNCTION("""COMPUTED_VALUE"""),31060.43111)</f>
        <v>31060.43111</v>
      </c>
    </row>
    <row r="130">
      <c r="A130" s="3">
        <f>IFERROR(__xludf.DUMMYFUNCTION("""COMPUTED_VALUE"""),40360.99861111111)</f>
        <v>40360.99861</v>
      </c>
      <c r="B130" s="1">
        <f>IFERROR(__xludf.DUMMYFUNCTION("""COMPUTED_VALUE"""),31077.20586)</f>
        <v>31077.20586</v>
      </c>
    </row>
    <row r="131">
      <c r="A131" s="3">
        <f>IFERROR(__xludf.DUMMYFUNCTION("""COMPUTED_VALUE"""),40361.99861111111)</f>
        <v>40361.99861</v>
      </c>
      <c r="B131" s="1">
        <f>IFERROR(__xludf.DUMMYFUNCTION("""COMPUTED_VALUE"""),31326.30101)</f>
        <v>31326.30101</v>
      </c>
    </row>
    <row r="132">
      <c r="A132" s="3">
        <f>IFERROR(__xludf.DUMMYFUNCTION("""COMPUTED_VALUE"""),40364.99861111111)</f>
        <v>40364.99861</v>
      </c>
      <c r="B132" s="1">
        <f>IFERROR(__xludf.DUMMYFUNCTION("""COMPUTED_VALUE"""),31540.00577)</f>
        <v>31540.00577</v>
      </c>
    </row>
    <row r="133">
      <c r="A133" s="3">
        <f>IFERROR(__xludf.DUMMYFUNCTION("""COMPUTED_VALUE"""),40365.99861111111)</f>
        <v>40365.99861</v>
      </c>
      <c r="B133" s="1">
        <f>IFERROR(__xludf.DUMMYFUNCTION("""COMPUTED_VALUE"""),31115.85429)</f>
        <v>31115.85429</v>
      </c>
    </row>
    <row r="134">
      <c r="A134" s="3">
        <f>IFERROR(__xludf.DUMMYFUNCTION("""COMPUTED_VALUE"""),40366.99861111111)</f>
        <v>40366.99861</v>
      </c>
      <c r="B134" s="1">
        <f>IFERROR(__xludf.DUMMYFUNCTION("""COMPUTED_VALUE"""),31242.40598)</f>
        <v>31242.40598</v>
      </c>
    </row>
    <row r="135">
      <c r="A135" s="3">
        <f>IFERROR(__xludf.DUMMYFUNCTION("""COMPUTED_VALUE"""),40367.99861111111)</f>
        <v>40367.99861</v>
      </c>
      <c r="B135" s="1">
        <f>IFERROR(__xludf.DUMMYFUNCTION("""COMPUTED_VALUE"""),31253.97358)</f>
        <v>31253.97358</v>
      </c>
    </row>
    <row r="136">
      <c r="A136" s="3">
        <f>IFERROR(__xludf.DUMMYFUNCTION("""COMPUTED_VALUE"""),40368.99861111111)</f>
        <v>40368.99861</v>
      </c>
      <c r="B136" s="1">
        <f>IFERROR(__xludf.DUMMYFUNCTION("""COMPUTED_VALUE"""),31216.65499)</f>
        <v>31216.65499</v>
      </c>
    </row>
    <row r="137">
      <c r="A137" s="3">
        <f>IFERROR(__xludf.DUMMYFUNCTION("""COMPUTED_VALUE"""),40371.99861111111)</f>
        <v>40371.99861</v>
      </c>
      <c r="B137" s="1">
        <f>IFERROR(__xludf.DUMMYFUNCTION("""COMPUTED_VALUE"""),31494.87472)</f>
        <v>31494.87472</v>
      </c>
    </row>
    <row r="138">
      <c r="A138" s="3">
        <f>IFERROR(__xludf.DUMMYFUNCTION("""COMPUTED_VALUE"""),40372.99861111111)</f>
        <v>40372.99861</v>
      </c>
      <c r="B138" s="1">
        <f>IFERROR(__xludf.DUMMYFUNCTION("""COMPUTED_VALUE"""),30990.3282)</f>
        <v>30990.3282</v>
      </c>
    </row>
    <row r="139">
      <c r="A139" s="3">
        <f>IFERROR(__xludf.DUMMYFUNCTION("""COMPUTED_VALUE"""),40373.99861111111)</f>
        <v>40373.99861</v>
      </c>
      <c r="B139" s="1">
        <f>IFERROR(__xludf.DUMMYFUNCTION("""COMPUTED_VALUE"""),31179.93966)</f>
        <v>31179.93966</v>
      </c>
    </row>
    <row r="140">
      <c r="A140" s="3">
        <f>IFERROR(__xludf.DUMMYFUNCTION("""COMPUTED_VALUE"""),40374.99861111111)</f>
        <v>40374.99861</v>
      </c>
      <c r="B140" s="1">
        <f>IFERROR(__xludf.DUMMYFUNCTION("""COMPUTED_VALUE"""),31298.35079)</f>
        <v>31298.35079</v>
      </c>
    </row>
    <row r="141">
      <c r="A141" s="3">
        <f>IFERROR(__xludf.DUMMYFUNCTION("""COMPUTED_VALUE"""),40375.99861111111)</f>
        <v>40375.99861</v>
      </c>
      <c r="B141" s="1">
        <f>IFERROR(__xludf.DUMMYFUNCTION("""COMPUTED_VALUE"""),31200.12955)</f>
        <v>31200.12955</v>
      </c>
    </row>
    <row r="142">
      <c r="A142" s="3">
        <f>IFERROR(__xludf.DUMMYFUNCTION("""COMPUTED_VALUE"""),40378.99861111111)</f>
        <v>40378.99861</v>
      </c>
      <c r="B142" s="1">
        <f>IFERROR(__xludf.DUMMYFUNCTION("""COMPUTED_VALUE"""),31498.69219)</f>
        <v>31498.69219</v>
      </c>
    </row>
    <row r="143">
      <c r="A143" s="3">
        <f>IFERROR(__xludf.DUMMYFUNCTION("""COMPUTED_VALUE"""),40379.99861111111)</f>
        <v>40379.99861</v>
      </c>
      <c r="B143" s="1">
        <f>IFERROR(__xludf.DUMMYFUNCTION("""COMPUTED_VALUE"""),31380.90076)</f>
        <v>31380.90076</v>
      </c>
    </row>
    <row r="144">
      <c r="A144" s="3">
        <f>IFERROR(__xludf.DUMMYFUNCTION("""COMPUTED_VALUE"""),40380.99861111111)</f>
        <v>40380.99861</v>
      </c>
      <c r="B144" s="1">
        <f>IFERROR(__xludf.DUMMYFUNCTION("""COMPUTED_VALUE"""),31664.63245)</f>
        <v>31664.63245</v>
      </c>
    </row>
    <row r="145">
      <c r="A145" s="3">
        <f>IFERROR(__xludf.DUMMYFUNCTION("""COMPUTED_VALUE"""),40381.99861111111)</f>
        <v>40381.99861</v>
      </c>
      <c r="B145" s="1">
        <f>IFERROR(__xludf.DUMMYFUNCTION("""COMPUTED_VALUE"""),31180.23808)</f>
        <v>31180.23808</v>
      </c>
    </row>
    <row r="146">
      <c r="A146" s="3">
        <f>IFERROR(__xludf.DUMMYFUNCTION("""COMPUTED_VALUE"""),40382.99861111111)</f>
        <v>40382.99861</v>
      </c>
      <c r="B146" s="1">
        <f>IFERROR(__xludf.DUMMYFUNCTION("""COMPUTED_VALUE"""),31439.3217)</f>
        <v>31439.3217</v>
      </c>
    </row>
    <row r="147">
      <c r="A147" s="3">
        <f>IFERROR(__xludf.DUMMYFUNCTION("""COMPUTED_VALUE"""),40385.99861111111)</f>
        <v>40385.99861</v>
      </c>
      <c r="B147" s="1">
        <f>IFERROR(__xludf.DUMMYFUNCTION("""COMPUTED_VALUE"""),31120.99109)</f>
        <v>31120.99109</v>
      </c>
    </row>
    <row r="148">
      <c r="A148" s="3">
        <f>IFERROR(__xludf.DUMMYFUNCTION("""COMPUTED_VALUE"""),40386.99861111111)</f>
        <v>40386.99861</v>
      </c>
      <c r="B148" s="1">
        <f>IFERROR(__xludf.DUMMYFUNCTION("""COMPUTED_VALUE"""),31160.58333)</f>
        <v>31160.58333</v>
      </c>
    </row>
    <row r="149">
      <c r="A149" s="3">
        <f>IFERROR(__xludf.DUMMYFUNCTION("""COMPUTED_VALUE"""),40387.99861111111)</f>
        <v>40387.99861</v>
      </c>
      <c r="B149" s="1">
        <f>IFERROR(__xludf.DUMMYFUNCTION("""COMPUTED_VALUE"""),31385.8454)</f>
        <v>31385.8454</v>
      </c>
    </row>
    <row r="150">
      <c r="A150" s="3">
        <f>IFERROR(__xludf.DUMMYFUNCTION("""COMPUTED_VALUE"""),40388.99861111111)</f>
        <v>40388.99861</v>
      </c>
      <c r="B150" s="1">
        <f>IFERROR(__xludf.DUMMYFUNCTION("""COMPUTED_VALUE"""),31360.24877)</f>
        <v>31360.24877</v>
      </c>
    </row>
    <row r="151">
      <c r="A151" s="3">
        <f>IFERROR(__xludf.DUMMYFUNCTION("""COMPUTED_VALUE"""),40389.99861111111)</f>
        <v>40389.99861</v>
      </c>
      <c r="B151" s="1">
        <f>IFERROR(__xludf.DUMMYFUNCTION("""COMPUTED_VALUE"""),31049.40741)</f>
        <v>31049.40741</v>
      </c>
    </row>
    <row r="152">
      <c r="A152" s="3">
        <f>IFERROR(__xludf.DUMMYFUNCTION("""COMPUTED_VALUE"""),40392.99861111111)</f>
        <v>40392.99861</v>
      </c>
      <c r="B152" s="1">
        <f>IFERROR(__xludf.DUMMYFUNCTION("""COMPUTED_VALUE"""),30967.03748)</f>
        <v>30967.03748</v>
      </c>
    </row>
    <row r="153">
      <c r="A153" s="3">
        <f>IFERROR(__xludf.DUMMYFUNCTION("""COMPUTED_VALUE"""),40393.99861111111)</f>
        <v>40393.99861</v>
      </c>
      <c r="B153" s="1">
        <f>IFERROR(__xludf.DUMMYFUNCTION("""COMPUTED_VALUE"""),30872.31087)</f>
        <v>30872.31087</v>
      </c>
    </row>
    <row r="154">
      <c r="A154" s="3">
        <f>IFERROR(__xludf.DUMMYFUNCTION("""COMPUTED_VALUE"""),40394.99861111111)</f>
        <v>40394.99861</v>
      </c>
      <c r="B154" s="1">
        <f>IFERROR(__xludf.DUMMYFUNCTION("""COMPUTED_VALUE"""),31241.9144)</f>
        <v>31241.9144</v>
      </c>
    </row>
    <row r="155">
      <c r="A155" s="3">
        <f>IFERROR(__xludf.DUMMYFUNCTION("""COMPUTED_VALUE"""),40395.99861111111)</f>
        <v>40395.99861</v>
      </c>
      <c r="B155" s="1">
        <f>IFERROR(__xludf.DUMMYFUNCTION("""COMPUTED_VALUE"""),31300.04468)</f>
        <v>31300.04468</v>
      </c>
    </row>
    <row r="156">
      <c r="A156" s="3">
        <f>IFERROR(__xludf.DUMMYFUNCTION("""COMPUTED_VALUE"""),40396.99861111111)</f>
        <v>40396.99861</v>
      </c>
      <c r="B156" s="1">
        <f>IFERROR(__xludf.DUMMYFUNCTION("""COMPUTED_VALUE"""),30996.49909)</f>
        <v>30996.49909</v>
      </c>
    </row>
    <row r="157">
      <c r="A157" s="3">
        <f>IFERROR(__xludf.DUMMYFUNCTION("""COMPUTED_VALUE"""),40399.99861111111)</f>
        <v>40399.99861</v>
      </c>
      <c r="B157" s="1">
        <f>IFERROR(__xludf.DUMMYFUNCTION("""COMPUTED_VALUE"""),31409.43234)</f>
        <v>31409.43234</v>
      </c>
    </row>
    <row r="158">
      <c r="A158" s="3">
        <f>IFERROR(__xludf.DUMMYFUNCTION("""COMPUTED_VALUE"""),40400.99861111111)</f>
        <v>40400.99861</v>
      </c>
      <c r="B158" s="1">
        <f>IFERROR(__xludf.DUMMYFUNCTION("""COMPUTED_VALUE"""),30993.88968)</f>
        <v>30993.88968</v>
      </c>
    </row>
    <row r="159">
      <c r="A159" s="3">
        <f>IFERROR(__xludf.DUMMYFUNCTION("""COMPUTED_VALUE"""),40401.99861111111)</f>
        <v>40401.99861</v>
      </c>
      <c r="B159" s="1">
        <f>IFERROR(__xludf.DUMMYFUNCTION("""COMPUTED_VALUE"""),31375.71276)</f>
        <v>31375.71276</v>
      </c>
    </row>
    <row r="160">
      <c r="A160" s="3">
        <f>IFERROR(__xludf.DUMMYFUNCTION("""COMPUTED_VALUE"""),40402.99861111111)</f>
        <v>40402.99861</v>
      </c>
      <c r="B160" s="1">
        <f>IFERROR(__xludf.DUMMYFUNCTION("""COMPUTED_VALUE"""),31421.40923)</f>
        <v>31421.40923</v>
      </c>
    </row>
    <row r="161">
      <c r="A161" s="3">
        <f>IFERROR(__xludf.DUMMYFUNCTION("""COMPUTED_VALUE"""),40403.99861111111)</f>
        <v>40403.99861</v>
      </c>
      <c r="B161" s="1">
        <f>IFERROR(__xludf.DUMMYFUNCTION("""COMPUTED_VALUE"""),31321.2427)</f>
        <v>31321.2427</v>
      </c>
    </row>
    <row r="162">
      <c r="A162" s="3">
        <f>IFERROR(__xludf.DUMMYFUNCTION("""COMPUTED_VALUE"""),40406.99861111111)</f>
        <v>40406.99861</v>
      </c>
      <c r="B162" s="1">
        <f>IFERROR(__xludf.DUMMYFUNCTION("""COMPUTED_VALUE"""),31158.16939)</f>
        <v>31158.16939</v>
      </c>
    </row>
    <row r="163">
      <c r="A163" s="3">
        <f>IFERROR(__xludf.DUMMYFUNCTION("""COMPUTED_VALUE"""),40407.99861111111)</f>
        <v>40407.99861</v>
      </c>
      <c r="B163" s="1">
        <f>IFERROR(__xludf.DUMMYFUNCTION("""COMPUTED_VALUE"""),31239.9644)</f>
        <v>31239.9644</v>
      </c>
    </row>
    <row r="164">
      <c r="A164" s="3">
        <f>IFERROR(__xludf.DUMMYFUNCTION("""COMPUTED_VALUE"""),40408.99861111111)</f>
        <v>40408.99861</v>
      </c>
      <c r="B164" s="1">
        <f>IFERROR(__xludf.DUMMYFUNCTION("""COMPUTED_VALUE"""),31080.44216)</f>
        <v>31080.44216</v>
      </c>
    </row>
    <row r="165">
      <c r="A165" s="3">
        <f>IFERROR(__xludf.DUMMYFUNCTION("""COMPUTED_VALUE"""),40409.99861111111)</f>
        <v>40409.99861</v>
      </c>
      <c r="B165" s="1">
        <f>IFERROR(__xludf.DUMMYFUNCTION("""COMPUTED_VALUE"""),31172.01046)</f>
        <v>31172.01046</v>
      </c>
    </row>
    <row r="166">
      <c r="A166" s="3">
        <f>IFERROR(__xludf.DUMMYFUNCTION("""COMPUTED_VALUE"""),40410.99861111111)</f>
        <v>40410.99861</v>
      </c>
      <c r="B166" s="1">
        <f>IFERROR(__xludf.DUMMYFUNCTION("""COMPUTED_VALUE"""),31359.51641)</f>
        <v>31359.51641</v>
      </c>
    </row>
    <row r="167">
      <c r="A167" s="3">
        <f>IFERROR(__xludf.DUMMYFUNCTION("""COMPUTED_VALUE"""),40413.99861111111)</f>
        <v>40413.99861</v>
      </c>
      <c r="B167" s="1">
        <f>IFERROR(__xludf.DUMMYFUNCTION("""COMPUTED_VALUE"""),30943.98566)</f>
        <v>30943.98566</v>
      </c>
    </row>
    <row r="168">
      <c r="A168" s="3">
        <f>IFERROR(__xludf.DUMMYFUNCTION("""COMPUTED_VALUE"""),40414.99861111111)</f>
        <v>40414.99861</v>
      </c>
      <c r="B168" s="1">
        <f>IFERROR(__xludf.DUMMYFUNCTION("""COMPUTED_VALUE"""),31280.30858)</f>
        <v>31280.30858</v>
      </c>
    </row>
    <row r="169">
      <c r="A169" s="3">
        <f>IFERROR(__xludf.DUMMYFUNCTION("""COMPUTED_VALUE"""),40415.99861111111)</f>
        <v>40415.99861</v>
      </c>
      <c r="B169" s="1">
        <f>IFERROR(__xludf.DUMMYFUNCTION("""COMPUTED_VALUE"""),30928.40401)</f>
        <v>30928.40401</v>
      </c>
    </row>
    <row r="170">
      <c r="A170" s="3">
        <f>IFERROR(__xludf.DUMMYFUNCTION("""COMPUTED_VALUE"""),40416.99861111111)</f>
        <v>40416.99861</v>
      </c>
      <c r="B170" s="1">
        <f>IFERROR(__xludf.DUMMYFUNCTION("""COMPUTED_VALUE"""),31364.33111)</f>
        <v>31364.33111</v>
      </c>
    </row>
    <row r="171">
      <c r="A171" s="3">
        <f>IFERROR(__xludf.DUMMYFUNCTION("""COMPUTED_VALUE"""),40417.99861111111)</f>
        <v>40417.99861</v>
      </c>
      <c r="B171" s="1">
        <f>IFERROR(__xludf.DUMMYFUNCTION("""COMPUTED_VALUE"""),31515.29158)</f>
        <v>31515.29158</v>
      </c>
    </row>
    <row r="172">
      <c r="A172" s="3">
        <f>IFERROR(__xludf.DUMMYFUNCTION("""COMPUTED_VALUE"""),40420.99861111111)</f>
        <v>40420.99861</v>
      </c>
      <c r="B172" s="1">
        <f>IFERROR(__xludf.DUMMYFUNCTION("""COMPUTED_VALUE"""),31121.96505)</f>
        <v>31121.96505</v>
      </c>
    </row>
    <row r="173">
      <c r="A173" s="3">
        <f>IFERROR(__xludf.DUMMYFUNCTION("""COMPUTED_VALUE"""),40421.99861111111)</f>
        <v>40421.99861</v>
      </c>
      <c r="B173" s="1">
        <f>IFERROR(__xludf.DUMMYFUNCTION("""COMPUTED_VALUE"""),31418.20986)</f>
        <v>31418.20986</v>
      </c>
    </row>
    <row r="174">
      <c r="A174" s="3">
        <f>IFERROR(__xludf.DUMMYFUNCTION("""COMPUTED_VALUE"""),40422.99861111111)</f>
        <v>40422.99861</v>
      </c>
      <c r="B174" s="1">
        <f>IFERROR(__xludf.DUMMYFUNCTION("""COMPUTED_VALUE"""),31300.77361)</f>
        <v>31300.77361</v>
      </c>
    </row>
    <row r="175">
      <c r="A175" s="3">
        <f>IFERROR(__xludf.DUMMYFUNCTION("""COMPUTED_VALUE"""),40423.99861111111)</f>
        <v>40423.99861</v>
      </c>
      <c r="B175" s="1">
        <f>IFERROR(__xludf.DUMMYFUNCTION("""COMPUTED_VALUE"""),31243.77971)</f>
        <v>31243.77971</v>
      </c>
    </row>
    <row r="176">
      <c r="A176" s="3">
        <f>IFERROR(__xludf.DUMMYFUNCTION("""COMPUTED_VALUE"""),40424.99861111111)</f>
        <v>40424.99861</v>
      </c>
      <c r="B176" s="1">
        <f>IFERROR(__xludf.DUMMYFUNCTION("""COMPUTED_VALUE"""),31194.50952)</f>
        <v>31194.50952</v>
      </c>
    </row>
    <row r="177">
      <c r="A177" s="3">
        <f>IFERROR(__xludf.DUMMYFUNCTION("""COMPUTED_VALUE"""),40427.99861111111)</f>
        <v>40427.99861</v>
      </c>
      <c r="B177" s="1">
        <f>IFERROR(__xludf.DUMMYFUNCTION("""COMPUTED_VALUE"""),31512.16357)</f>
        <v>31512.16357</v>
      </c>
    </row>
    <row r="178">
      <c r="A178" s="3">
        <f>IFERROR(__xludf.DUMMYFUNCTION("""COMPUTED_VALUE"""),40428.99861111111)</f>
        <v>40428.99861</v>
      </c>
      <c r="B178" s="1">
        <f>IFERROR(__xludf.DUMMYFUNCTION("""COMPUTED_VALUE"""),31387.30704)</f>
        <v>31387.30704</v>
      </c>
    </row>
    <row r="179">
      <c r="A179" s="3">
        <f>IFERROR(__xludf.DUMMYFUNCTION("""COMPUTED_VALUE"""),40429.99861111111)</f>
        <v>40429.99861</v>
      </c>
      <c r="B179" s="1">
        <f>IFERROR(__xludf.DUMMYFUNCTION("""COMPUTED_VALUE"""),31287.35085)</f>
        <v>31287.35085</v>
      </c>
    </row>
    <row r="180">
      <c r="A180" s="3">
        <f>IFERROR(__xludf.DUMMYFUNCTION("""COMPUTED_VALUE"""),40430.99861111111)</f>
        <v>40430.99861</v>
      </c>
      <c r="B180" s="1">
        <f>IFERROR(__xludf.DUMMYFUNCTION("""COMPUTED_VALUE"""),31567.90476)</f>
        <v>31567.90476</v>
      </c>
    </row>
    <row r="181">
      <c r="A181" s="3">
        <f>IFERROR(__xludf.DUMMYFUNCTION("""COMPUTED_VALUE"""),40431.99861111111)</f>
        <v>40431.99861</v>
      </c>
      <c r="B181" s="1">
        <f>IFERROR(__xludf.DUMMYFUNCTION("""COMPUTED_VALUE"""),31345.37726)</f>
        <v>31345.37726</v>
      </c>
    </row>
    <row r="182">
      <c r="A182" s="3">
        <f>IFERROR(__xludf.DUMMYFUNCTION("""COMPUTED_VALUE"""),40434.99861111111)</f>
        <v>40434.99861</v>
      </c>
      <c r="B182" s="1">
        <f>IFERROR(__xludf.DUMMYFUNCTION("""COMPUTED_VALUE"""),31285.80948)</f>
        <v>31285.80948</v>
      </c>
    </row>
    <row r="183">
      <c r="A183" s="3">
        <f>IFERROR(__xludf.DUMMYFUNCTION("""COMPUTED_VALUE"""),40435.99861111111)</f>
        <v>40435.99861</v>
      </c>
      <c r="B183" s="1">
        <f>IFERROR(__xludf.DUMMYFUNCTION("""COMPUTED_VALUE"""),31281.93333)</f>
        <v>31281.93333</v>
      </c>
    </row>
    <row r="184">
      <c r="A184" s="3">
        <f>IFERROR(__xludf.DUMMYFUNCTION("""COMPUTED_VALUE"""),40436.99861111111)</f>
        <v>40436.99861</v>
      </c>
      <c r="B184" s="1">
        <f>IFERROR(__xludf.DUMMYFUNCTION("""COMPUTED_VALUE"""),31273.86259)</f>
        <v>31273.86259</v>
      </c>
    </row>
    <row r="185">
      <c r="A185" s="3">
        <f>IFERROR(__xludf.DUMMYFUNCTION("""COMPUTED_VALUE"""),40437.99861111111)</f>
        <v>40437.99861</v>
      </c>
      <c r="B185" s="1">
        <f>IFERROR(__xludf.DUMMYFUNCTION("""COMPUTED_VALUE"""),31114.9776)</f>
        <v>31114.9776</v>
      </c>
    </row>
    <row r="186">
      <c r="A186" s="3">
        <f>IFERROR(__xludf.DUMMYFUNCTION("""COMPUTED_VALUE"""),40438.99861111111)</f>
        <v>40438.99861</v>
      </c>
      <c r="B186" s="1">
        <f>IFERROR(__xludf.DUMMYFUNCTION("""COMPUTED_VALUE"""),31307.28522)</f>
        <v>31307.28522</v>
      </c>
    </row>
    <row r="187">
      <c r="A187" s="3">
        <f>IFERROR(__xludf.DUMMYFUNCTION("""COMPUTED_VALUE"""),40441.99861111111)</f>
        <v>40441.99861</v>
      </c>
      <c r="B187" s="1">
        <f>IFERROR(__xludf.DUMMYFUNCTION("""COMPUTED_VALUE"""),31307.77247)</f>
        <v>31307.77247</v>
      </c>
    </row>
    <row r="188">
      <c r="A188" s="3">
        <f>IFERROR(__xludf.DUMMYFUNCTION("""COMPUTED_VALUE"""),40442.99861111111)</f>
        <v>40442.99861</v>
      </c>
      <c r="B188" s="1">
        <f>IFERROR(__xludf.DUMMYFUNCTION("""COMPUTED_VALUE"""),30937.41856)</f>
        <v>30937.41856</v>
      </c>
    </row>
    <row r="189">
      <c r="A189" s="3">
        <f>IFERROR(__xludf.DUMMYFUNCTION("""COMPUTED_VALUE"""),40443.99861111111)</f>
        <v>40443.99861</v>
      </c>
      <c r="B189" s="1">
        <f>IFERROR(__xludf.DUMMYFUNCTION("""COMPUTED_VALUE"""),31183.21235)</f>
        <v>31183.21235</v>
      </c>
    </row>
    <row r="190">
      <c r="A190" s="3">
        <f>IFERROR(__xludf.DUMMYFUNCTION("""COMPUTED_VALUE"""),40444.99861111111)</f>
        <v>40444.99861</v>
      </c>
      <c r="B190" s="1">
        <f>IFERROR(__xludf.DUMMYFUNCTION("""COMPUTED_VALUE"""),31398.10422)</f>
        <v>31398.10422</v>
      </c>
    </row>
    <row r="191">
      <c r="A191" s="3">
        <f>IFERROR(__xludf.DUMMYFUNCTION("""COMPUTED_VALUE"""),40445.99861111111)</f>
        <v>40445.99861</v>
      </c>
      <c r="B191" s="1">
        <f>IFERROR(__xludf.DUMMYFUNCTION("""COMPUTED_VALUE"""),31034.35866)</f>
        <v>31034.35866</v>
      </c>
    </row>
    <row r="192">
      <c r="A192" s="3">
        <f>IFERROR(__xludf.DUMMYFUNCTION("""COMPUTED_VALUE"""),40448.99861111111)</f>
        <v>40448.99861</v>
      </c>
      <c r="B192" s="1">
        <f>IFERROR(__xludf.DUMMYFUNCTION("""COMPUTED_VALUE"""),31411.3056)</f>
        <v>31411.3056</v>
      </c>
    </row>
    <row r="193">
      <c r="A193" s="3">
        <f>IFERROR(__xludf.DUMMYFUNCTION("""COMPUTED_VALUE"""),40449.99861111111)</f>
        <v>40449.99861</v>
      </c>
      <c r="B193" s="1">
        <f>IFERROR(__xludf.DUMMYFUNCTION("""COMPUTED_VALUE"""),31416.63285)</f>
        <v>31416.63285</v>
      </c>
    </row>
    <row r="194">
      <c r="A194" s="3">
        <f>IFERROR(__xludf.DUMMYFUNCTION("""COMPUTED_VALUE"""),40450.99861111111)</f>
        <v>40450.99861</v>
      </c>
      <c r="B194" s="1">
        <f>IFERROR(__xludf.DUMMYFUNCTION("""COMPUTED_VALUE"""),31405.76293)</f>
        <v>31405.76293</v>
      </c>
    </row>
    <row r="195">
      <c r="A195" s="3">
        <f>IFERROR(__xludf.DUMMYFUNCTION("""COMPUTED_VALUE"""),40451.99861111111)</f>
        <v>40451.99861</v>
      </c>
      <c r="B195" s="1">
        <f>IFERROR(__xludf.DUMMYFUNCTION("""COMPUTED_VALUE"""),31537.0162)</f>
        <v>31537.0162</v>
      </c>
    </row>
    <row r="196">
      <c r="A196" s="3">
        <f>IFERROR(__xludf.DUMMYFUNCTION("""COMPUTED_VALUE"""),40452.99861111111)</f>
        <v>40452.99861</v>
      </c>
      <c r="B196" s="1">
        <f>IFERROR(__xludf.DUMMYFUNCTION("""COMPUTED_VALUE"""),31530.82075)</f>
        <v>31530.82075</v>
      </c>
    </row>
    <row r="197">
      <c r="A197" s="3">
        <f>IFERROR(__xludf.DUMMYFUNCTION("""COMPUTED_VALUE"""),40455.99861111111)</f>
        <v>40455.99861</v>
      </c>
      <c r="B197" s="1">
        <f>IFERROR(__xludf.DUMMYFUNCTION("""COMPUTED_VALUE"""),31409.98234)</f>
        <v>31409.98234</v>
      </c>
    </row>
    <row r="198">
      <c r="A198" s="3">
        <f>IFERROR(__xludf.DUMMYFUNCTION("""COMPUTED_VALUE"""),40456.99861111111)</f>
        <v>40456.99861</v>
      </c>
      <c r="B198" s="1">
        <f>IFERROR(__xludf.DUMMYFUNCTION("""COMPUTED_VALUE"""),31121.25313)</f>
        <v>31121.25313</v>
      </c>
    </row>
    <row r="199">
      <c r="A199" s="3">
        <f>IFERROR(__xludf.DUMMYFUNCTION("""COMPUTED_VALUE"""),40457.99861111111)</f>
        <v>40457.99861</v>
      </c>
      <c r="B199" s="1">
        <f>IFERROR(__xludf.DUMMYFUNCTION("""COMPUTED_VALUE"""),31374.81527)</f>
        <v>31374.81527</v>
      </c>
    </row>
    <row r="200">
      <c r="A200" s="3">
        <f>IFERROR(__xludf.DUMMYFUNCTION("""COMPUTED_VALUE"""),40458.99861111111)</f>
        <v>40458.99861</v>
      </c>
      <c r="B200" s="1">
        <f>IFERROR(__xludf.DUMMYFUNCTION("""COMPUTED_VALUE"""),31510.68745)</f>
        <v>31510.68745</v>
      </c>
    </row>
    <row r="201">
      <c r="A201" s="3">
        <f>IFERROR(__xludf.DUMMYFUNCTION("""COMPUTED_VALUE"""),40459.99861111111)</f>
        <v>40459.99861</v>
      </c>
      <c r="B201" s="1">
        <f>IFERROR(__xludf.DUMMYFUNCTION("""COMPUTED_VALUE"""),31623.75627)</f>
        <v>31623.75627</v>
      </c>
    </row>
    <row r="202">
      <c r="A202" s="3">
        <f>IFERROR(__xludf.DUMMYFUNCTION("""COMPUTED_VALUE"""),40462.99861111111)</f>
        <v>40462.99861</v>
      </c>
      <c r="B202" s="1">
        <f>IFERROR(__xludf.DUMMYFUNCTION("""COMPUTED_VALUE"""),32028.83609)</f>
        <v>32028.83609</v>
      </c>
    </row>
    <row r="203">
      <c r="A203" s="3">
        <f>IFERROR(__xludf.DUMMYFUNCTION("""COMPUTED_VALUE"""),40463.99861111111)</f>
        <v>40463.99861</v>
      </c>
      <c r="B203" s="1">
        <f>IFERROR(__xludf.DUMMYFUNCTION("""COMPUTED_VALUE"""),31563.22299)</f>
        <v>31563.22299</v>
      </c>
    </row>
    <row r="204">
      <c r="A204" s="3">
        <f>IFERROR(__xludf.DUMMYFUNCTION("""COMPUTED_VALUE"""),40464.99861111111)</f>
        <v>40464.99861</v>
      </c>
      <c r="B204" s="1">
        <f>IFERROR(__xludf.DUMMYFUNCTION("""COMPUTED_VALUE"""),31451.28537)</f>
        <v>31451.28537</v>
      </c>
    </row>
    <row r="205">
      <c r="A205" s="3">
        <f>IFERROR(__xludf.DUMMYFUNCTION("""COMPUTED_VALUE"""),40465.99861111111)</f>
        <v>40465.99861</v>
      </c>
      <c r="B205" s="1">
        <f>IFERROR(__xludf.DUMMYFUNCTION("""COMPUTED_VALUE"""),31795.02831)</f>
        <v>31795.02831</v>
      </c>
    </row>
    <row r="206">
      <c r="A206" s="3">
        <f>IFERROR(__xludf.DUMMYFUNCTION("""COMPUTED_VALUE"""),40466.99861111111)</f>
        <v>40466.99861</v>
      </c>
      <c r="B206" s="1">
        <f>IFERROR(__xludf.DUMMYFUNCTION("""COMPUTED_VALUE"""),31780.02601)</f>
        <v>31780.02601</v>
      </c>
    </row>
    <row r="207">
      <c r="A207" s="3">
        <f>IFERROR(__xludf.DUMMYFUNCTION("""COMPUTED_VALUE"""),40469.99861111111)</f>
        <v>40469.99861</v>
      </c>
      <c r="B207" s="1">
        <f>IFERROR(__xludf.DUMMYFUNCTION("""COMPUTED_VALUE"""),31759.66666)</f>
        <v>31759.66666</v>
      </c>
    </row>
    <row r="208">
      <c r="A208" s="3">
        <f>IFERROR(__xludf.DUMMYFUNCTION("""COMPUTED_VALUE"""),40470.99861111111)</f>
        <v>40470.99861</v>
      </c>
      <c r="B208" s="1">
        <f>IFERROR(__xludf.DUMMYFUNCTION("""COMPUTED_VALUE"""),31921.75465)</f>
        <v>31921.75465</v>
      </c>
    </row>
    <row r="209">
      <c r="A209" s="3">
        <f>IFERROR(__xludf.DUMMYFUNCTION("""COMPUTED_VALUE"""),40471.99861111111)</f>
        <v>40471.99861</v>
      </c>
      <c r="B209" s="1">
        <f>IFERROR(__xludf.DUMMYFUNCTION("""COMPUTED_VALUE"""),31313.56213)</f>
        <v>31313.56213</v>
      </c>
    </row>
    <row r="210">
      <c r="A210" s="3">
        <f>IFERROR(__xludf.DUMMYFUNCTION("""COMPUTED_VALUE"""),40472.99861111111)</f>
        <v>40472.99861</v>
      </c>
      <c r="B210" s="1">
        <f>IFERROR(__xludf.DUMMYFUNCTION("""COMPUTED_VALUE"""),31442.52128)</f>
        <v>31442.52128</v>
      </c>
    </row>
    <row r="211">
      <c r="A211" s="3">
        <f>IFERROR(__xludf.DUMMYFUNCTION("""COMPUTED_VALUE"""),40473.99861111111)</f>
        <v>40473.99861</v>
      </c>
      <c r="B211" s="1">
        <f>IFERROR(__xludf.DUMMYFUNCTION("""COMPUTED_VALUE"""),31784.02641)</f>
        <v>31784.02641</v>
      </c>
    </row>
    <row r="212">
      <c r="A212" s="3">
        <f>IFERROR(__xludf.DUMMYFUNCTION("""COMPUTED_VALUE"""),40476.99861111111)</f>
        <v>40476.99861</v>
      </c>
      <c r="B212" s="1">
        <f>IFERROR(__xludf.DUMMYFUNCTION("""COMPUTED_VALUE"""),31763.02479)</f>
        <v>31763.02479</v>
      </c>
    </row>
    <row r="213">
      <c r="A213" s="3">
        <f>IFERROR(__xludf.DUMMYFUNCTION("""COMPUTED_VALUE"""),40477.99861111111)</f>
        <v>40477.99861</v>
      </c>
      <c r="B213" s="1">
        <f>IFERROR(__xludf.DUMMYFUNCTION("""COMPUTED_VALUE"""),31702.34024)</f>
        <v>31702.34024</v>
      </c>
    </row>
    <row r="214">
      <c r="A214" s="3">
        <f>IFERROR(__xludf.DUMMYFUNCTION("""COMPUTED_VALUE"""),40478.99861111111)</f>
        <v>40478.99861</v>
      </c>
      <c r="B214" s="1">
        <f>IFERROR(__xludf.DUMMYFUNCTION("""COMPUTED_VALUE"""),31675.59192)</f>
        <v>31675.59192</v>
      </c>
    </row>
    <row r="215">
      <c r="A215" s="3">
        <f>IFERROR(__xludf.DUMMYFUNCTION("""COMPUTED_VALUE"""),40479.99861111111)</f>
        <v>40479.99861</v>
      </c>
      <c r="B215" s="1">
        <f>IFERROR(__xludf.DUMMYFUNCTION("""COMPUTED_VALUE"""),31392.59636)</f>
        <v>31392.59636</v>
      </c>
    </row>
    <row r="216">
      <c r="A216" s="3">
        <f>IFERROR(__xludf.DUMMYFUNCTION("""COMPUTED_VALUE"""),40480.99861111111)</f>
        <v>40480.99861</v>
      </c>
      <c r="B216" s="1">
        <f>IFERROR(__xludf.DUMMYFUNCTION("""COMPUTED_VALUE"""),31933.07009)</f>
        <v>31933.07009</v>
      </c>
    </row>
    <row r="217">
      <c r="A217" s="3">
        <f>IFERROR(__xludf.DUMMYFUNCTION("""COMPUTED_VALUE"""),40483.99861111111)</f>
        <v>40483.99861</v>
      </c>
      <c r="B217" s="1">
        <f>IFERROR(__xludf.DUMMYFUNCTION("""COMPUTED_VALUE"""),31745.89384)</f>
        <v>31745.89384</v>
      </c>
    </row>
    <row r="218">
      <c r="A218" s="3">
        <f>IFERROR(__xludf.DUMMYFUNCTION("""COMPUTED_VALUE"""),40484.99861111111)</f>
        <v>40484.99861</v>
      </c>
      <c r="B218" s="1">
        <f>IFERROR(__xludf.DUMMYFUNCTION("""COMPUTED_VALUE"""),31461.41491)</f>
        <v>31461.41491</v>
      </c>
    </row>
    <row r="219">
      <c r="A219" s="3">
        <f>IFERROR(__xludf.DUMMYFUNCTION("""COMPUTED_VALUE"""),40485.99861111111)</f>
        <v>40485.99861</v>
      </c>
      <c r="B219" s="1">
        <f>IFERROR(__xludf.DUMMYFUNCTION("""COMPUTED_VALUE"""),31455.5618)</f>
        <v>31455.5618</v>
      </c>
    </row>
    <row r="220">
      <c r="A220" s="3">
        <f>IFERROR(__xludf.DUMMYFUNCTION("""COMPUTED_VALUE"""),40486.99861111111)</f>
        <v>40486.99861</v>
      </c>
      <c r="B220" s="1">
        <f>IFERROR(__xludf.DUMMYFUNCTION("""COMPUTED_VALUE"""),32013.32561)</f>
        <v>32013.32561</v>
      </c>
    </row>
    <row r="221">
      <c r="A221" s="3">
        <f>IFERROR(__xludf.DUMMYFUNCTION("""COMPUTED_VALUE"""),40487.99861111111)</f>
        <v>40487.99861</v>
      </c>
      <c r="B221" s="1">
        <f>IFERROR(__xludf.DUMMYFUNCTION("""COMPUTED_VALUE"""),31928.2427)</f>
        <v>31928.2427</v>
      </c>
    </row>
    <row r="222">
      <c r="A222" s="3">
        <f>IFERROR(__xludf.DUMMYFUNCTION("""COMPUTED_VALUE"""),40490.99861111111)</f>
        <v>40490.99861</v>
      </c>
      <c r="B222" s="1">
        <f>IFERROR(__xludf.DUMMYFUNCTION("""COMPUTED_VALUE"""),31767.56924)</f>
        <v>31767.56924</v>
      </c>
    </row>
    <row r="223">
      <c r="A223" s="3">
        <f>IFERROR(__xludf.DUMMYFUNCTION("""COMPUTED_VALUE"""),40491.99861111111)</f>
        <v>40491.99861</v>
      </c>
      <c r="B223" s="1">
        <f>IFERROR(__xludf.DUMMYFUNCTION("""COMPUTED_VALUE"""),31418.37081)</f>
        <v>31418.37081</v>
      </c>
    </row>
    <row r="224">
      <c r="A224" s="3">
        <f>IFERROR(__xludf.DUMMYFUNCTION("""COMPUTED_VALUE"""),40492.99861111111)</f>
        <v>40492.99861</v>
      </c>
      <c r="B224" s="1">
        <f>IFERROR(__xludf.DUMMYFUNCTION("""COMPUTED_VALUE"""),31244.12055)</f>
        <v>31244.12055</v>
      </c>
    </row>
    <row r="225">
      <c r="A225" s="3">
        <f>IFERROR(__xludf.DUMMYFUNCTION("""COMPUTED_VALUE"""),40493.99861111111)</f>
        <v>40493.99861</v>
      </c>
      <c r="B225" s="1">
        <f>IFERROR(__xludf.DUMMYFUNCTION("""COMPUTED_VALUE"""),31500.17444)</f>
        <v>31500.17444</v>
      </c>
    </row>
    <row r="226">
      <c r="A226" s="3">
        <f>IFERROR(__xludf.DUMMYFUNCTION("""COMPUTED_VALUE"""),40494.99861111111)</f>
        <v>40494.99861</v>
      </c>
      <c r="B226" s="1">
        <f>IFERROR(__xludf.DUMMYFUNCTION("""COMPUTED_VALUE"""),31973.51992)</f>
        <v>31973.51992</v>
      </c>
    </row>
    <row r="227">
      <c r="A227" s="3">
        <f>IFERROR(__xludf.DUMMYFUNCTION("""COMPUTED_VALUE"""),40497.99861111111)</f>
        <v>40497.99861</v>
      </c>
      <c r="B227" s="1">
        <f>IFERROR(__xludf.DUMMYFUNCTION("""COMPUTED_VALUE"""),31912.62572)</f>
        <v>31912.62572</v>
      </c>
    </row>
    <row r="228">
      <c r="A228" s="3">
        <f>IFERROR(__xludf.DUMMYFUNCTION("""COMPUTED_VALUE"""),40498.99861111111)</f>
        <v>40498.99861</v>
      </c>
      <c r="B228" s="1">
        <f>IFERROR(__xludf.DUMMYFUNCTION("""COMPUTED_VALUE"""),31487.99508)</f>
        <v>31487.99508</v>
      </c>
    </row>
    <row r="229">
      <c r="A229" s="3">
        <f>IFERROR(__xludf.DUMMYFUNCTION("""COMPUTED_VALUE"""),40499.99861111111)</f>
        <v>40499.99861</v>
      </c>
      <c r="B229" s="1">
        <f>IFERROR(__xludf.DUMMYFUNCTION("""COMPUTED_VALUE"""),31458.0302)</f>
        <v>31458.0302</v>
      </c>
    </row>
    <row r="230">
      <c r="A230" s="3">
        <f>IFERROR(__xludf.DUMMYFUNCTION("""COMPUTED_VALUE"""),40500.99861111111)</f>
        <v>40500.99861</v>
      </c>
      <c r="B230" s="1">
        <f>IFERROR(__xludf.DUMMYFUNCTION("""COMPUTED_VALUE"""),31441.77286)</f>
        <v>31441.77286</v>
      </c>
    </row>
    <row r="231">
      <c r="A231" s="3">
        <f>IFERROR(__xludf.DUMMYFUNCTION("""COMPUTED_VALUE"""),40501.99861111111)</f>
        <v>40501.99861</v>
      </c>
      <c r="B231" s="1">
        <f>IFERROR(__xludf.DUMMYFUNCTION("""COMPUTED_VALUE"""),31756.2617)</f>
        <v>31756.2617</v>
      </c>
    </row>
    <row r="232">
      <c r="A232" s="3">
        <f>IFERROR(__xludf.DUMMYFUNCTION("""COMPUTED_VALUE"""),40504.99861111111)</f>
        <v>40504.99861</v>
      </c>
      <c r="B232" s="1">
        <f>IFERROR(__xludf.DUMMYFUNCTION("""COMPUTED_VALUE"""),31978.8339)</f>
        <v>31978.8339</v>
      </c>
    </row>
    <row r="233">
      <c r="A233" s="3">
        <f>IFERROR(__xludf.DUMMYFUNCTION("""COMPUTED_VALUE"""),40505.99861111111)</f>
        <v>40505.99861</v>
      </c>
      <c r="B233" s="1">
        <f>IFERROR(__xludf.DUMMYFUNCTION("""COMPUTED_VALUE"""),31897.18186)</f>
        <v>31897.18186</v>
      </c>
    </row>
    <row r="234">
      <c r="A234" s="3">
        <f>IFERROR(__xludf.DUMMYFUNCTION("""COMPUTED_VALUE"""),40506.99861111111)</f>
        <v>40506.99861</v>
      </c>
      <c r="B234" s="1">
        <f>IFERROR(__xludf.DUMMYFUNCTION("""COMPUTED_VALUE"""),31843.83579)</f>
        <v>31843.83579</v>
      </c>
    </row>
    <row r="235">
      <c r="A235" s="3">
        <f>IFERROR(__xludf.DUMMYFUNCTION("""COMPUTED_VALUE"""),40507.99861111111)</f>
        <v>40507.99861</v>
      </c>
      <c r="B235" s="1">
        <f>IFERROR(__xludf.DUMMYFUNCTION("""COMPUTED_VALUE"""),32024.31531)</f>
        <v>32024.31531</v>
      </c>
    </row>
    <row r="236">
      <c r="A236" s="3">
        <f>IFERROR(__xludf.DUMMYFUNCTION("""COMPUTED_VALUE"""),40508.99861111111)</f>
        <v>40508.99861</v>
      </c>
      <c r="B236" s="1">
        <f>IFERROR(__xludf.DUMMYFUNCTION("""COMPUTED_VALUE"""),31586.78775)</f>
        <v>31586.78775</v>
      </c>
    </row>
    <row r="237">
      <c r="A237" s="3">
        <f>IFERROR(__xludf.DUMMYFUNCTION("""COMPUTED_VALUE"""),40511.99861111111)</f>
        <v>40511.99861</v>
      </c>
      <c r="B237" s="1">
        <f>IFERROR(__xludf.DUMMYFUNCTION("""COMPUTED_VALUE"""),31969.67822)</f>
        <v>31969.67822</v>
      </c>
    </row>
    <row r="238">
      <c r="A238" s="3">
        <f>IFERROR(__xludf.DUMMYFUNCTION("""COMPUTED_VALUE"""),40512.99861111111)</f>
        <v>40512.99861</v>
      </c>
      <c r="B238" s="1">
        <f>IFERROR(__xludf.DUMMYFUNCTION("""COMPUTED_VALUE"""),31967.26445)</f>
        <v>31967.26445</v>
      </c>
    </row>
    <row r="239">
      <c r="A239" s="3">
        <f>IFERROR(__xludf.DUMMYFUNCTION("""COMPUTED_VALUE"""),40513.99861111111)</f>
        <v>40513.99861</v>
      </c>
      <c r="B239" s="1">
        <f>IFERROR(__xludf.DUMMYFUNCTION("""COMPUTED_VALUE"""),31912.41661)</f>
        <v>31912.41661</v>
      </c>
    </row>
    <row r="240">
      <c r="A240" s="3">
        <f>IFERROR(__xludf.DUMMYFUNCTION("""COMPUTED_VALUE"""),40514.99861111111)</f>
        <v>40514.99861</v>
      </c>
      <c r="B240" s="1">
        <f>IFERROR(__xludf.DUMMYFUNCTION("""COMPUTED_VALUE"""),31572.23361)</f>
        <v>31572.23361</v>
      </c>
    </row>
    <row r="241">
      <c r="A241" s="3">
        <f>IFERROR(__xludf.DUMMYFUNCTION("""COMPUTED_VALUE"""),40515.99861111111)</f>
        <v>40515.99861</v>
      </c>
      <c r="B241" s="1">
        <f>IFERROR(__xludf.DUMMYFUNCTION("""COMPUTED_VALUE"""),31850.40537)</f>
        <v>31850.40537</v>
      </c>
    </row>
    <row r="242">
      <c r="A242" s="3">
        <f>IFERROR(__xludf.DUMMYFUNCTION("""COMPUTED_VALUE"""),40518.99861111111)</f>
        <v>40518.99861</v>
      </c>
      <c r="B242" s="1">
        <f>IFERROR(__xludf.DUMMYFUNCTION("""COMPUTED_VALUE"""),32035.37277)</f>
        <v>32035.37277</v>
      </c>
    </row>
    <row r="243">
      <c r="A243" s="3">
        <f>IFERROR(__xludf.DUMMYFUNCTION("""COMPUTED_VALUE"""),40519.99861111111)</f>
        <v>40519.99861</v>
      </c>
      <c r="B243" s="1">
        <f>IFERROR(__xludf.DUMMYFUNCTION("""COMPUTED_VALUE"""),31970.12113)</f>
        <v>31970.12113</v>
      </c>
    </row>
    <row r="244">
      <c r="A244" s="3">
        <f>IFERROR(__xludf.DUMMYFUNCTION("""COMPUTED_VALUE"""),40520.99861111111)</f>
        <v>40520.99861</v>
      </c>
      <c r="B244" s="1">
        <f>IFERROR(__xludf.DUMMYFUNCTION("""COMPUTED_VALUE"""),31974.47484)</f>
        <v>31974.47484</v>
      </c>
    </row>
    <row r="245">
      <c r="A245" s="3">
        <f>IFERROR(__xludf.DUMMYFUNCTION("""COMPUTED_VALUE"""),40521.99861111111)</f>
        <v>40521.99861</v>
      </c>
      <c r="B245" s="1">
        <f>IFERROR(__xludf.DUMMYFUNCTION("""COMPUTED_VALUE"""),31967.38515)</f>
        <v>31967.38515</v>
      </c>
    </row>
    <row r="246">
      <c r="A246" s="3">
        <f>IFERROR(__xludf.DUMMYFUNCTION("""COMPUTED_VALUE"""),40522.99861111111)</f>
        <v>40522.99861</v>
      </c>
      <c r="B246" s="1">
        <f>IFERROR(__xludf.DUMMYFUNCTION("""COMPUTED_VALUE"""),31968.08248)</f>
        <v>31968.08248</v>
      </c>
    </row>
    <row r="247">
      <c r="A247" s="3">
        <f>IFERROR(__xludf.DUMMYFUNCTION("""COMPUTED_VALUE"""),40525.99861111111)</f>
        <v>40525.99861</v>
      </c>
      <c r="B247" s="1">
        <f>IFERROR(__xludf.DUMMYFUNCTION("""COMPUTED_VALUE"""),31979.42335)</f>
        <v>31979.42335</v>
      </c>
    </row>
    <row r="248">
      <c r="A248" s="3">
        <f>IFERROR(__xludf.DUMMYFUNCTION("""COMPUTED_VALUE"""),40526.99861111111)</f>
        <v>40526.99861</v>
      </c>
      <c r="B248" s="1">
        <f>IFERROR(__xludf.DUMMYFUNCTION("""COMPUTED_VALUE"""),31976.74536)</f>
        <v>31976.74536</v>
      </c>
    </row>
    <row r="249">
      <c r="A249" s="3">
        <f>IFERROR(__xludf.DUMMYFUNCTION("""COMPUTED_VALUE"""),40527.99861111111)</f>
        <v>40527.99861</v>
      </c>
      <c r="B249" s="1">
        <f>IFERROR(__xludf.DUMMYFUNCTION("""COMPUTED_VALUE"""),32186.24602)</f>
        <v>32186.24602</v>
      </c>
    </row>
    <row r="250">
      <c r="A250" s="3">
        <f>IFERROR(__xludf.DUMMYFUNCTION("""COMPUTED_VALUE"""),40528.99861111111)</f>
        <v>40528.99861</v>
      </c>
      <c r="B250" s="1">
        <f>IFERROR(__xludf.DUMMYFUNCTION("""COMPUTED_VALUE"""),31723.15181)</f>
        <v>31723.15181</v>
      </c>
    </row>
    <row r="251">
      <c r="A251" s="3">
        <f>IFERROR(__xludf.DUMMYFUNCTION("""COMPUTED_VALUE"""),40529.99861111111)</f>
        <v>40529.99861</v>
      </c>
      <c r="B251" s="1">
        <f>IFERROR(__xludf.DUMMYFUNCTION("""COMPUTED_VALUE"""),32008.6769)</f>
        <v>32008.6769</v>
      </c>
    </row>
    <row r="252">
      <c r="A252" s="3">
        <f>IFERROR(__xludf.DUMMYFUNCTION("""COMPUTED_VALUE"""),40532.99861111111)</f>
        <v>40532.99861</v>
      </c>
      <c r="B252" s="1">
        <f>IFERROR(__xludf.DUMMYFUNCTION("""COMPUTED_VALUE"""),31656.63708)</f>
        <v>31656.63708</v>
      </c>
    </row>
    <row r="253">
      <c r="A253" s="3">
        <f>IFERROR(__xludf.DUMMYFUNCTION("""COMPUTED_VALUE"""),40533.99861111111)</f>
        <v>40533.99861</v>
      </c>
      <c r="B253" s="1">
        <f>IFERROR(__xludf.DUMMYFUNCTION("""COMPUTED_VALUE"""),32029.57074)</f>
        <v>32029.57074</v>
      </c>
    </row>
    <row r="254">
      <c r="A254" s="3">
        <f>IFERROR(__xludf.DUMMYFUNCTION("""COMPUTED_VALUE"""),40534.99861111111)</f>
        <v>40534.99861</v>
      </c>
      <c r="B254" s="1">
        <f>IFERROR(__xludf.DUMMYFUNCTION("""COMPUTED_VALUE"""),31983.01442)</f>
        <v>31983.01442</v>
      </c>
    </row>
    <row r="255">
      <c r="A255" s="3">
        <f>IFERROR(__xludf.DUMMYFUNCTION("""COMPUTED_VALUE"""),40535.99861111111)</f>
        <v>40535.99861</v>
      </c>
      <c r="B255" s="1">
        <f>IFERROR(__xludf.DUMMYFUNCTION("""COMPUTED_VALUE"""),32041.47235)</f>
        <v>32041.47235</v>
      </c>
    </row>
    <row r="256">
      <c r="A256" s="3">
        <f>IFERROR(__xludf.DUMMYFUNCTION("""COMPUTED_VALUE"""),40536.99861111111)</f>
        <v>40536.99861</v>
      </c>
      <c r="B256" s="1">
        <f>IFERROR(__xludf.DUMMYFUNCTION("""COMPUTED_VALUE"""),31988.66149)</f>
        <v>31988.66149</v>
      </c>
    </row>
    <row r="257">
      <c r="A257" s="3">
        <f>IFERROR(__xludf.DUMMYFUNCTION("""COMPUTED_VALUE"""),40539.99861111111)</f>
        <v>40539.99861</v>
      </c>
      <c r="B257" s="1">
        <f>IFERROR(__xludf.DUMMYFUNCTION("""COMPUTED_VALUE"""),31829.50849)</f>
        <v>31829.50849</v>
      </c>
    </row>
    <row r="258">
      <c r="A258" s="3">
        <f>IFERROR(__xludf.DUMMYFUNCTION("""COMPUTED_VALUE"""),40540.99861111111)</f>
        <v>40540.99861</v>
      </c>
      <c r="B258" s="1">
        <f>IFERROR(__xludf.DUMMYFUNCTION("""COMPUTED_VALUE"""),32135.16193)</f>
        <v>32135.16193</v>
      </c>
    </row>
    <row r="259">
      <c r="A259" s="3">
        <f>IFERROR(__xludf.DUMMYFUNCTION("""COMPUTED_VALUE"""),40541.99861111111)</f>
        <v>40541.99861</v>
      </c>
      <c r="B259" s="1">
        <f>IFERROR(__xludf.DUMMYFUNCTION("""COMPUTED_VALUE"""),31931.35666)</f>
        <v>31931.35666</v>
      </c>
    </row>
    <row r="260">
      <c r="A260" s="3">
        <f>IFERROR(__xludf.DUMMYFUNCTION("""COMPUTED_VALUE"""),40542.99861111111)</f>
        <v>40542.99861</v>
      </c>
      <c r="B260" s="1">
        <f>IFERROR(__xludf.DUMMYFUNCTION("""COMPUTED_VALUE"""),31555.39449)</f>
        <v>31555.39449</v>
      </c>
    </row>
    <row r="261">
      <c r="A261" s="3">
        <f>IFERROR(__xludf.DUMMYFUNCTION("""COMPUTED_VALUE"""),40543.99861111111)</f>
        <v>40543.99861</v>
      </c>
      <c r="B261" s="1">
        <f>IFERROR(__xludf.DUMMYFUNCTION("""COMPUTED_VALUE"""),32041.06706)</f>
        <v>32041.06706</v>
      </c>
    </row>
    <row r="262">
      <c r="A262" s="3">
        <f>IFERROR(__xludf.DUMMYFUNCTION("""COMPUTED_VALUE"""),40546.99861111111)</f>
        <v>40546.99861</v>
      </c>
      <c r="B262" s="1">
        <f>IFERROR(__xludf.DUMMYFUNCTION("""COMPUTED_VALUE"""),31992.69688)</f>
        <v>31992.69688</v>
      </c>
    </row>
    <row r="263">
      <c r="A263" s="3">
        <f>IFERROR(__xludf.DUMMYFUNCTION("""COMPUTED_VALUE"""),40547.99861111111)</f>
        <v>40547.99861</v>
      </c>
      <c r="B263" s="1">
        <f>IFERROR(__xludf.DUMMYFUNCTION("""COMPUTED_VALUE"""),31776.56703)</f>
        <v>31776.56703</v>
      </c>
    </row>
    <row r="264">
      <c r="A264" s="3">
        <f>IFERROR(__xludf.DUMMYFUNCTION("""COMPUTED_VALUE"""),40548.99861111111)</f>
        <v>40548.99861</v>
      </c>
      <c r="B264" s="1">
        <f>IFERROR(__xludf.DUMMYFUNCTION("""COMPUTED_VALUE"""),31959.97089)</f>
        <v>31959.97089</v>
      </c>
    </row>
    <row r="265">
      <c r="A265" s="3">
        <f>IFERROR(__xludf.DUMMYFUNCTION("""COMPUTED_VALUE"""),40549.99861111111)</f>
        <v>40549.99861</v>
      </c>
      <c r="B265" s="1">
        <f>IFERROR(__xludf.DUMMYFUNCTION("""COMPUTED_VALUE"""),32056.17276)</f>
        <v>32056.17276</v>
      </c>
    </row>
    <row r="266">
      <c r="A266" s="3">
        <f>IFERROR(__xludf.DUMMYFUNCTION("""COMPUTED_VALUE"""),40550.99861111111)</f>
        <v>40550.99861</v>
      </c>
      <c r="B266" s="1">
        <f>IFERROR(__xludf.DUMMYFUNCTION("""COMPUTED_VALUE"""),31579.50129)</f>
        <v>31579.50129</v>
      </c>
    </row>
    <row r="267">
      <c r="A267" s="3">
        <f>IFERROR(__xludf.DUMMYFUNCTION("""COMPUTED_VALUE"""),40553.99861111111)</f>
        <v>40553.99861</v>
      </c>
      <c r="B267" s="1">
        <f>IFERROR(__xludf.DUMMYFUNCTION("""COMPUTED_VALUE"""),32072.8197)</f>
        <v>32072.8197</v>
      </c>
    </row>
    <row r="268">
      <c r="A268" s="3">
        <f>IFERROR(__xludf.DUMMYFUNCTION("""COMPUTED_VALUE"""),40554.99861111111)</f>
        <v>40554.99861</v>
      </c>
      <c r="B268" s="1">
        <f>IFERROR(__xludf.DUMMYFUNCTION("""COMPUTED_VALUE"""),31813.22763)</f>
        <v>31813.22763</v>
      </c>
    </row>
    <row r="269">
      <c r="A269" s="3">
        <f>IFERROR(__xludf.DUMMYFUNCTION("""COMPUTED_VALUE"""),40555.99861111111)</f>
        <v>40555.99861</v>
      </c>
      <c r="B269" s="1">
        <f>IFERROR(__xludf.DUMMYFUNCTION("""COMPUTED_VALUE"""),32215.52256)</f>
        <v>32215.52256</v>
      </c>
    </row>
    <row r="270">
      <c r="A270" s="3">
        <f>IFERROR(__xludf.DUMMYFUNCTION("""COMPUTED_VALUE"""),40556.99861111111)</f>
        <v>40556.99861</v>
      </c>
      <c r="B270" s="1">
        <f>IFERROR(__xludf.DUMMYFUNCTION("""COMPUTED_VALUE"""),32149.01523)</f>
        <v>32149.01523</v>
      </c>
    </row>
    <row r="271">
      <c r="A271" s="3">
        <f>IFERROR(__xludf.DUMMYFUNCTION("""COMPUTED_VALUE"""),40557.99861111111)</f>
        <v>40557.99861</v>
      </c>
      <c r="B271" s="1">
        <f>IFERROR(__xludf.DUMMYFUNCTION("""COMPUTED_VALUE"""),32207.60751)</f>
        <v>32207.60751</v>
      </c>
    </row>
    <row r="272">
      <c r="A272" s="3">
        <f>IFERROR(__xludf.DUMMYFUNCTION("""COMPUTED_VALUE"""),40560.99861111111)</f>
        <v>40560.99861</v>
      </c>
      <c r="B272" s="1">
        <f>IFERROR(__xludf.DUMMYFUNCTION("""COMPUTED_VALUE"""),32270.69622)</f>
        <v>32270.69622</v>
      </c>
    </row>
    <row r="273">
      <c r="A273" s="3">
        <f>IFERROR(__xludf.DUMMYFUNCTION("""COMPUTED_VALUE"""),40561.99861111111)</f>
        <v>40561.99861</v>
      </c>
      <c r="B273" s="1">
        <f>IFERROR(__xludf.DUMMYFUNCTION("""COMPUTED_VALUE"""),32289.40066)</f>
        <v>32289.40066</v>
      </c>
    </row>
    <row r="274">
      <c r="A274" s="3">
        <f>IFERROR(__xludf.DUMMYFUNCTION("""COMPUTED_VALUE"""),40562.99861111111)</f>
        <v>40562.99861</v>
      </c>
      <c r="B274" s="1">
        <f>IFERROR(__xludf.DUMMYFUNCTION("""COMPUTED_VALUE"""),31957.13774)</f>
        <v>31957.13774</v>
      </c>
    </row>
    <row r="275">
      <c r="A275" s="3">
        <f>IFERROR(__xludf.DUMMYFUNCTION("""COMPUTED_VALUE"""),40563.99861111111)</f>
        <v>40563.99861</v>
      </c>
      <c r="B275" s="1">
        <f>IFERROR(__xludf.DUMMYFUNCTION("""COMPUTED_VALUE"""),31930.62075)</f>
        <v>31930.62075</v>
      </c>
    </row>
    <row r="276">
      <c r="A276" s="3">
        <f>IFERROR(__xludf.DUMMYFUNCTION("""COMPUTED_VALUE"""),40564.99861111111)</f>
        <v>40564.99861</v>
      </c>
      <c r="B276" s="1">
        <f>IFERROR(__xludf.DUMMYFUNCTION("""COMPUTED_VALUE"""),31554.95805)</f>
        <v>31554.95805</v>
      </c>
    </row>
    <row r="277">
      <c r="A277" s="3">
        <f>IFERROR(__xludf.DUMMYFUNCTION("""COMPUTED_VALUE"""),40567.99861111111)</f>
        <v>40567.99861</v>
      </c>
      <c r="B277" s="1">
        <f>IFERROR(__xludf.DUMMYFUNCTION("""COMPUTED_VALUE"""),32361.8769)</f>
        <v>32361.8769</v>
      </c>
    </row>
    <row r="278">
      <c r="A278" s="3">
        <f>IFERROR(__xludf.DUMMYFUNCTION("""COMPUTED_VALUE"""),40568.99861111111)</f>
        <v>40568.99861</v>
      </c>
      <c r="B278" s="1">
        <f>IFERROR(__xludf.DUMMYFUNCTION("""COMPUTED_VALUE"""),32319.19777)</f>
        <v>32319.19777</v>
      </c>
    </row>
    <row r="279">
      <c r="A279" s="3">
        <f>IFERROR(__xludf.DUMMYFUNCTION("""COMPUTED_VALUE"""),40569.99861111111)</f>
        <v>40569.99861</v>
      </c>
      <c r="B279" s="1">
        <f>IFERROR(__xludf.DUMMYFUNCTION("""COMPUTED_VALUE"""),31916.27433)</f>
        <v>31916.27433</v>
      </c>
    </row>
    <row r="280">
      <c r="A280" s="3">
        <f>IFERROR(__xludf.DUMMYFUNCTION("""COMPUTED_VALUE"""),40570.99861111111)</f>
        <v>40570.99861</v>
      </c>
      <c r="B280" s="1">
        <f>IFERROR(__xludf.DUMMYFUNCTION("""COMPUTED_VALUE"""),32455.8571)</f>
        <v>32455.8571</v>
      </c>
    </row>
    <row r="281">
      <c r="A281" s="3">
        <f>IFERROR(__xludf.DUMMYFUNCTION("""COMPUTED_VALUE"""),40571.99861111111)</f>
        <v>40571.99861</v>
      </c>
      <c r="B281" s="1">
        <f>IFERROR(__xludf.DUMMYFUNCTION("""COMPUTED_VALUE"""),32418.66426)</f>
        <v>32418.66426</v>
      </c>
    </row>
    <row r="282">
      <c r="A282" s="3">
        <f>IFERROR(__xludf.DUMMYFUNCTION("""COMPUTED_VALUE"""),40574.99861111111)</f>
        <v>40574.99861</v>
      </c>
      <c r="B282" s="1">
        <f>IFERROR(__xludf.DUMMYFUNCTION("""COMPUTED_VALUE"""),32015.72179)</f>
        <v>32015.72179</v>
      </c>
    </row>
    <row r="283">
      <c r="A283" s="3">
        <f>IFERROR(__xludf.DUMMYFUNCTION("""COMPUTED_VALUE"""),40575.99861111111)</f>
        <v>40575.99861</v>
      </c>
      <c r="B283" s="1">
        <f>IFERROR(__xludf.DUMMYFUNCTION("""COMPUTED_VALUE"""),32229.18)</f>
        <v>32229.18</v>
      </c>
    </row>
    <row r="284">
      <c r="A284" s="3">
        <f>IFERROR(__xludf.DUMMYFUNCTION("""COMPUTED_VALUE"""),40576.99861111111)</f>
        <v>40576.99861</v>
      </c>
      <c r="B284" s="1">
        <f>IFERROR(__xludf.DUMMYFUNCTION("""COMPUTED_VALUE"""),32304.20236)</f>
        <v>32304.20236</v>
      </c>
    </row>
    <row r="285">
      <c r="A285" s="3">
        <f>IFERROR(__xludf.DUMMYFUNCTION("""COMPUTED_VALUE"""),40577.99861111111)</f>
        <v>40577.99861</v>
      </c>
      <c r="B285" s="1">
        <f>IFERROR(__xludf.DUMMYFUNCTION("""COMPUTED_VALUE"""),31917.70545)</f>
        <v>31917.70545</v>
      </c>
    </row>
    <row r="286">
      <c r="A286" s="3">
        <f>IFERROR(__xludf.DUMMYFUNCTION("""COMPUTED_VALUE"""),40578.99861111111)</f>
        <v>40578.99861</v>
      </c>
      <c r="B286" s="1">
        <f>IFERROR(__xludf.DUMMYFUNCTION("""COMPUTED_VALUE"""),32115.88771)</f>
        <v>32115.88771</v>
      </c>
    </row>
    <row r="287">
      <c r="A287" s="3">
        <f>IFERROR(__xludf.DUMMYFUNCTION("""COMPUTED_VALUE"""),40581.99861111111)</f>
        <v>40581.99861</v>
      </c>
      <c r="B287" s="1">
        <f>IFERROR(__xludf.DUMMYFUNCTION("""COMPUTED_VALUE"""),31552.29359)</f>
        <v>31552.29359</v>
      </c>
    </row>
    <row r="288">
      <c r="A288" s="3">
        <f>IFERROR(__xludf.DUMMYFUNCTION("""COMPUTED_VALUE"""),40582.99861111111)</f>
        <v>40582.99861</v>
      </c>
      <c r="B288" s="1">
        <f>IFERROR(__xludf.DUMMYFUNCTION("""COMPUTED_VALUE"""),31819.8051)</f>
        <v>31819.8051</v>
      </c>
    </row>
    <row r="289">
      <c r="A289" s="3">
        <f>IFERROR(__xludf.DUMMYFUNCTION("""COMPUTED_VALUE"""),40583.99861111111)</f>
        <v>40583.99861</v>
      </c>
      <c r="B289" s="1">
        <f>IFERROR(__xludf.DUMMYFUNCTION("""COMPUTED_VALUE"""),31904.06808)</f>
        <v>31904.06808</v>
      </c>
    </row>
    <row r="290">
      <c r="A290" s="3">
        <f>IFERROR(__xludf.DUMMYFUNCTION("""COMPUTED_VALUE"""),40584.99861111111)</f>
        <v>40584.99861</v>
      </c>
      <c r="B290" s="1">
        <f>IFERROR(__xludf.DUMMYFUNCTION("""COMPUTED_VALUE"""),31909.18657)</f>
        <v>31909.18657</v>
      </c>
    </row>
    <row r="291">
      <c r="A291" s="3">
        <f>IFERROR(__xludf.DUMMYFUNCTION("""COMPUTED_VALUE"""),40585.99861111111)</f>
        <v>40585.99861</v>
      </c>
      <c r="B291" s="1">
        <f>IFERROR(__xludf.DUMMYFUNCTION("""COMPUTED_VALUE"""),31901.38855)</f>
        <v>31901.38855</v>
      </c>
    </row>
    <row r="292">
      <c r="A292" s="3">
        <f>IFERROR(__xludf.DUMMYFUNCTION("""COMPUTED_VALUE"""),40588.99861111111)</f>
        <v>40588.99861</v>
      </c>
      <c r="B292" s="1">
        <f>IFERROR(__xludf.DUMMYFUNCTION("""COMPUTED_VALUE"""),31837.31633)</f>
        <v>31837.31633</v>
      </c>
    </row>
    <row r="293">
      <c r="A293" s="3">
        <f>IFERROR(__xludf.DUMMYFUNCTION("""COMPUTED_VALUE"""),40589.99861111111)</f>
        <v>40589.99861</v>
      </c>
      <c r="B293" s="1">
        <f>IFERROR(__xludf.DUMMYFUNCTION("""COMPUTED_VALUE"""),31538.45685)</f>
        <v>31538.45685</v>
      </c>
    </row>
    <row r="294">
      <c r="A294" s="3">
        <f>IFERROR(__xludf.DUMMYFUNCTION("""COMPUTED_VALUE"""),40590.99861111111)</f>
        <v>40590.99861</v>
      </c>
      <c r="B294" s="1">
        <f>IFERROR(__xludf.DUMMYFUNCTION("""COMPUTED_VALUE"""),31790.38229)</f>
        <v>31790.38229</v>
      </c>
    </row>
    <row r="295">
      <c r="A295" s="3">
        <f>IFERROR(__xludf.DUMMYFUNCTION("""COMPUTED_VALUE"""),40591.99861111111)</f>
        <v>40591.99861</v>
      </c>
      <c r="B295" s="1">
        <f>IFERROR(__xludf.DUMMYFUNCTION("""COMPUTED_VALUE"""),31379.55318)</f>
        <v>31379.55318</v>
      </c>
    </row>
    <row r="296">
      <c r="A296" s="3">
        <f>IFERROR(__xludf.DUMMYFUNCTION("""COMPUTED_VALUE"""),40592.99861111111)</f>
        <v>40592.99861</v>
      </c>
      <c r="B296" s="1">
        <f>IFERROR(__xludf.DUMMYFUNCTION("""COMPUTED_VALUE"""),31611.16729)</f>
        <v>31611.16729</v>
      </c>
    </row>
    <row r="297">
      <c r="A297" s="3">
        <f>IFERROR(__xludf.DUMMYFUNCTION("""COMPUTED_VALUE"""),40595.99861111111)</f>
        <v>40595.99861</v>
      </c>
      <c r="B297" s="1">
        <f>IFERROR(__xludf.DUMMYFUNCTION("""COMPUTED_VALUE"""),31333.925)</f>
        <v>31333.925</v>
      </c>
    </row>
    <row r="298">
      <c r="A298" s="3">
        <f>IFERROR(__xludf.DUMMYFUNCTION("""COMPUTED_VALUE"""),40596.99861111111)</f>
        <v>40596.99861</v>
      </c>
      <c r="B298" s="1">
        <f>IFERROR(__xludf.DUMMYFUNCTION("""COMPUTED_VALUE"""),31792.43478)</f>
        <v>31792.43478</v>
      </c>
    </row>
    <row r="299">
      <c r="A299" s="3">
        <f>IFERROR(__xludf.DUMMYFUNCTION("""COMPUTED_VALUE"""),40597.99861111111)</f>
        <v>40597.99861</v>
      </c>
      <c r="B299" s="1">
        <f>IFERROR(__xludf.DUMMYFUNCTION("""COMPUTED_VALUE"""),31787.88804)</f>
        <v>31787.88804</v>
      </c>
    </row>
    <row r="300">
      <c r="A300" s="3">
        <f>IFERROR(__xludf.DUMMYFUNCTION("""COMPUTED_VALUE"""),40598.99861111111)</f>
        <v>40598.99861</v>
      </c>
      <c r="B300" s="1">
        <f>IFERROR(__xludf.DUMMYFUNCTION("""COMPUTED_VALUE"""),31855.25164)</f>
        <v>31855.25164</v>
      </c>
    </row>
    <row r="301">
      <c r="A301" s="3">
        <f>IFERROR(__xludf.DUMMYFUNCTION("""COMPUTED_VALUE"""),40599.99861111111)</f>
        <v>40599.99861</v>
      </c>
      <c r="B301" s="1">
        <f>IFERROR(__xludf.DUMMYFUNCTION("""COMPUTED_VALUE"""),31735.27959)</f>
        <v>31735.27959</v>
      </c>
    </row>
    <row r="302">
      <c r="A302" s="3">
        <f>IFERROR(__xludf.DUMMYFUNCTION("""COMPUTED_VALUE"""),40602.99861111111)</f>
        <v>40602.99861</v>
      </c>
      <c r="B302" s="1">
        <f>IFERROR(__xludf.DUMMYFUNCTION("""COMPUTED_VALUE"""),31726.12438)</f>
        <v>31726.12438</v>
      </c>
    </row>
    <row r="303">
      <c r="A303" s="3">
        <f>IFERROR(__xludf.DUMMYFUNCTION("""COMPUTED_VALUE"""),40603.99861111111)</f>
        <v>40603.99861</v>
      </c>
      <c r="B303" s="1">
        <f>IFERROR(__xludf.DUMMYFUNCTION("""COMPUTED_VALUE"""),31647.47935)</f>
        <v>31647.47935</v>
      </c>
    </row>
    <row r="304">
      <c r="A304" s="3">
        <f>IFERROR(__xludf.DUMMYFUNCTION("""COMPUTED_VALUE"""),40604.99861111111)</f>
        <v>40604.99861</v>
      </c>
      <c r="B304" s="1">
        <f>IFERROR(__xludf.DUMMYFUNCTION("""COMPUTED_VALUE"""),31688.05445)</f>
        <v>31688.05445</v>
      </c>
    </row>
    <row r="305">
      <c r="A305" s="3">
        <f>IFERROR(__xludf.DUMMYFUNCTION("""COMPUTED_VALUE"""),40605.99861111111)</f>
        <v>40605.99861</v>
      </c>
      <c r="B305" s="1">
        <f>IFERROR(__xludf.DUMMYFUNCTION("""COMPUTED_VALUE"""),31685.67216)</f>
        <v>31685.67216</v>
      </c>
    </row>
    <row r="306">
      <c r="A306" s="3">
        <f>IFERROR(__xludf.DUMMYFUNCTION("""COMPUTED_VALUE"""),40606.99861111111)</f>
        <v>40606.99861</v>
      </c>
      <c r="B306" s="1">
        <f>IFERROR(__xludf.DUMMYFUNCTION("""COMPUTED_VALUE"""),31538.23792)</f>
        <v>31538.23792</v>
      </c>
    </row>
    <row r="307">
      <c r="A307" s="3">
        <f>IFERROR(__xludf.DUMMYFUNCTION("""COMPUTED_VALUE"""),40609.99861111111)</f>
        <v>40609.99861</v>
      </c>
      <c r="B307" s="1">
        <f>IFERROR(__xludf.DUMMYFUNCTION("""COMPUTED_VALUE"""),31649.67161)</f>
        <v>31649.67161</v>
      </c>
    </row>
    <row r="308">
      <c r="A308" s="3">
        <f>IFERROR(__xludf.DUMMYFUNCTION("""COMPUTED_VALUE"""),40610.99861111111)</f>
        <v>40610.99861</v>
      </c>
      <c r="B308" s="1">
        <f>IFERROR(__xludf.DUMMYFUNCTION("""COMPUTED_VALUE"""),31604.31389)</f>
        <v>31604.31389</v>
      </c>
    </row>
    <row r="309">
      <c r="A309" s="3">
        <f>IFERROR(__xludf.DUMMYFUNCTION("""COMPUTED_VALUE"""),40611.99861111111)</f>
        <v>40611.99861</v>
      </c>
      <c r="B309" s="1">
        <f>IFERROR(__xludf.DUMMYFUNCTION("""COMPUTED_VALUE"""),31556.1918)</f>
        <v>31556.1918</v>
      </c>
    </row>
    <row r="310">
      <c r="A310" s="3">
        <f>IFERROR(__xludf.DUMMYFUNCTION("""COMPUTED_VALUE"""),40612.99861111111)</f>
        <v>40612.99861</v>
      </c>
      <c r="B310" s="1">
        <f>IFERROR(__xludf.DUMMYFUNCTION("""COMPUTED_VALUE"""),31607.64886)</f>
        <v>31607.64886</v>
      </c>
    </row>
    <row r="311">
      <c r="A311" s="3">
        <f>IFERROR(__xludf.DUMMYFUNCTION("""COMPUTED_VALUE"""),40613.99861111111)</f>
        <v>40613.99861</v>
      </c>
      <c r="B311" s="1">
        <f>IFERROR(__xludf.DUMMYFUNCTION("""COMPUTED_VALUE"""),31605.86716)</f>
        <v>31605.86716</v>
      </c>
    </row>
    <row r="312">
      <c r="A312" s="3">
        <f>IFERROR(__xludf.DUMMYFUNCTION("""COMPUTED_VALUE"""),40616.99861111111)</f>
        <v>40616.99861</v>
      </c>
      <c r="B312" s="1">
        <f>IFERROR(__xludf.DUMMYFUNCTION("""COMPUTED_VALUE"""),31513.93236)</f>
        <v>31513.93236</v>
      </c>
    </row>
    <row r="313">
      <c r="A313" s="3">
        <f>IFERROR(__xludf.DUMMYFUNCTION("""COMPUTED_VALUE"""),40617.99861111111)</f>
        <v>40617.99861</v>
      </c>
      <c r="B313" s="1">
        <f>IFERROR(__xludf.DUMMYFUNCTION("""COMPUTED_VALUE"""),31564.74555)</f>
        <v>31564.74555</v>
      </c>
    </row>
    <row r="314">
      <c r="A314" s="3">
        <f>IFERROR(__xludf.DUMMYFUNCTION("""COMPUTED_VALUE"""),40618.99861111111)</f>
        <v>40618.99861</v>
      </c>
      <c r="B314" s="1">
        <f>IFERROR(__xludf.DUMMYFUNCTION("""COMPUTED_VALUE"""),31569.36408)</f>
        <v>31569.36408</v>
      </c>
    </row>
    <row r="315">
      <c r="A315" s="3">
        <f>IFERROR(__xludf.DUMMYFUNCTION("""COMPUTED_VALUE"""),40619.99861111111)</f>
        <v>40619.99861</v>
      </c>
      <c r="B315" s="1">
        <f>IFERROR(__xludf.DUMMYFUNCTION("""COMPUTED_VALUE"""),31637.80131)</f>
        <v>31637.80131</v>
      </c>
    </row>
    <row r="316">
      <c r="A316" s="3">
        <f>IFERROR(__xludf.DUMMYFUNCTION("""COMPUTED_VALUE"""),40620.99861111111)</f>
        <v>40620.99861</v>
      </c>
      <c r="B316" s="1">
        <f>IFERROR(__xludf.DUMMYFUNCTION("""COMPUTED_VALUE"""),31524.86799)</f>
        <v>31524.86799</v>
      </c>
    </row>
    <row r="317">
      <c r="A317" s="3">
        <f>IFERROR(__xludf.DUMMYFUNCTION("""COMPUTED_VALUE"""),40623.99861111111)</f>
        <v>40623.99861</v>
      </c>
      <c r="B317" s="1">
        <f>IFERROR(__xludf.DUMMYFUNCTION("""COMPUTED_VALUE"""),31468.7796)</f>
        <v>31468.7796</v>
      </c>
    </row>
    <row r="318">
      <c r="A318" s="3">
        <f>IFERROR(__xludf.DUMMYFUNCTION("""COMPUTED_VALUE"""),40624.99861111111)</f>
        <v>40624.99861</v>
      </c>
      <c r="B318" s="1">
        <f>IFERROR(__xludf.DUMMYFUNCTION("""COMPUTED_VALUE"""),31549.81344)</f>
        <v>31549.81344</v>
      </c>
    </row>
    <row r="319">
      <c r="A319" s="3">
        <f>IFERROR(__xludf.DUMMYFUNCTION("""COMPUTED_VALUE"""),40625.99861111111)</f>
        <v>40625.99861</v>
      </c>
      <c r="B319" s="1">
        <f>IFERROR(__xludf.DUMMYFUNCTION("""COMPUTED_VALUE"""),31513.81706)</f>
        <v>31513.81706</v>
      </c>
    </row>
    <row r="320">
      <c r="A320" s="3">
        <f>IFERROR(__xludf.DUMMYFUNCTION("""COMPUTED_VALUE"""),40626.99861111111)</f>
        <v>40626.99861</v>
      </c>
      <c r="B320" s="1">
        <f>IFERROR(__xludf.DUMMYFUNCTION("""COMPUTED_VALUE"""),31432.69155)</f>
        <v>31432.69155</v>
      </c>
    </row>
    <row r="321">
      <c r="A321" s="3">
        <f>IFERROR(__xludf.DUMMYFUNCTION("""COMPUTED_VALUE"""),40627.99861111111)</f>
        <v>40627.99861</v>
      </c>
      <c r="B321" s="1">
        <f>IFERROR(__xludf.DUMMYFUNCTION("""COMPUTED_VALUE"""),31449.41532)</f>
        <v>31449.41532</v>
      </c>
    </row>
    <row r="322">
      <c r="A322" s="3">
        <f>IFERROR(__xludf.DUMMYFUNCTION("""COMPUTED_VALUE"""),40630.99861111111)</f>
        <v>40630.99861</v>
      </c>
      <c r="B322" s="1">
        <f>IFERROR(__xludf.DUMMYFUNCTION("""COMPUTED_VALUE"""),31445.26582)</f>
        <v>31445.26582</v>
      </c>
    </row>
    <row r="323">
      <c r="A323" s="3">
        <f>IFERROR(__xludf.DUMMYFUNCTION("""COMPUTED_VALUE"""),40631.99861111111)</f>
        <v>40631.99861</v>
      </c>
      <c r="B323" s="1">
        <f>IFERROR(__xludf.DUMMYFUNCTION("""COMPUTED_VALUE"""),31328.28077)</f>
        <v>31328.28077</v>
      </c>
    </row>
    <row r="324">
      <c r="A324" s="3">
        <f>IFERROR(__xludf.DUMMYFUNCTION("""COMPUTED_VALUE"""),40632.99861111111)</f>
        <v>40632.99861</v>
      </c>
      <c r="B324" s="1">
        <f>IFERROR(__xludf.DUMMYFUNCTION("""COMPUTED_VALUE"""),31361.56592)</f>
        <v>31361.56592</v>
      </c>
    </row>
    <row r="325">
      <c r="A325" s="3">
        <f>IFERROR(__xludf.DUMMYFUNCTION("""COMPUTED_VALUE"""),40633.99861111111)</f>
        <v>40633.99861</v>
      </c>
      <c r="B325" s="1">
        <f>IFERROR(__xludf.DUMMYFUNCTION("""COMPUTED_VALUE"""),31421.25599)</f>
        <v>31421.25599</v>
      </c>
    </row>
    <row r="326">
      <c r="A326" s="3">
        <f>IFERROR(__xludf.DUMMYFUNCTION("""COMPUTED_VALUE"""),40634.99861111111)</f>
        <v>40634.99861</v>
      </c>
      <c r="B326" s="1">
        <f>IFERROR(__xludf.DUMMYFUNCTION("""COMPUTED_VALUE"""),31212.89213)</f>
        <v>31212.89213</v>
      </c>
    </row>
    <row r="327">
      <c r="A327" s="3">
        <f>IFERROR(__xludf.DUMMYFUNCTION("""COMPUTED_VALUE"""),40636.99861111111)</f>
        <v>40636.99861</v>
      </c>
      <c r="B327" s="1">
        <f>IFERROR(__xludf.DUMMYFUNCTION("""COMPUTED_VALUE"""),31321.13802)</f>
        <v>31321.13802</v>
      </c>
    </row>
    <row r="328">
      <c r="A328" s="3">
        <f>IFERROR(__xludf.DUMMYFUNCTION("""COMPUTED_VALUE"""),40637.99861111111)</f>
        <v>40637.99861</v>
      </c>
      <c r="B328" s="1">
        <f>IFERROR(__xludf.DUMMYFUNCTION("""COMPUTED_VALUE"""),31231.80071)</f>
        <v>31231.80071</v>
      </c>
    </row>
    <row r="329">
      <c r="A329" s="3">
        <f>IFERROR(__xludf.DUMMYFUNCTION("""COMPUTED_VALUE"""),40638.99861111111)</f>
        <v>40638.99861</v>
      </c>
      <c r="B329" s="1">
        <f>IFERROR(__xludf.DUMMYFUNCTION("""COMPUTED_VALUE"""),31239.34755)</f>
        <v>31239.34755</v>
      </c>
    </row>
    <row r="330">
      <c r="A330" s="3">
        <f>IFERROR(__xludf.DUMMYFUNCTION("""COMPUTED_VALUE"""),40639.99861111111)</f>
        <v>40639.99861</v>
      </c>
      <c r="B330" s="1">
        <f>IFERROR(__xludf.DUMMYFUNCTION("""COMPUTED_VALUE"""),31203.38936)</f>
        <v>31203.38936</v>
      </c>
    </row>
    <row r="331">
      <c r="A331" s="3">
        <f>IFERROR(__xludf.DUMMYFUNCTION("""COMPUTED_VALUE"""),40640.99861111111)</f>
        <v>40640.99861</v>
      </c>
      <c r="B331" s="1">
        <f>IFERROR(__xludf.DUMMYFUNCTION("""COMPUTED_VALUE"""),31230.7096)</f>
        <v>31230.7096</v>
      </c>
    </row>
    <row r="332">
      <c r="A332" s="3">
        <f>IFERROR(__xludf.DUMMYFUNCTION("""COMPUTED_VALUE"""),40641.99861111111)</f>
        <v>40641.99861</v>
      </c>
      <c r="B332" s="1">
        <f>IFERROR(__xludf.DUMMYFUNCTION("""COMPUTED_VALUE"""),31125.08181)</f>
        <v>31125.08181</v>
      </c>
    </row>
    <row r="333">
      <c r="A333" s="3">
        <f>IFERROR(__xludf.DUMMYFUNCTION("""COMPUTED_VALUE"""),40642.99861111111)</f>
        <v>40642.99861</v>
      </c>
      <c r="B333" s="1">
        <f>IFERROR(__xludf.DUMMYFUNCTION("""COMPUTED_VALUE"""),31253.47717)</f>
        <v>31253.47717</v>
      </c>
    </row>
    <row r="334">
      <c r="A334" s="3">
        <f>IFERROR(__xludf.DUMMYFUNCTION("""COMPUTED_VALUE"""),40644.99861111111)</f>
        <v>40644.99861</v>
      </c>
      <c r="B334" s="1">
        <f>IFERROR(__xludf.DUMMYFUNCTION("""COMPUTED_VALUE"""),31292.4715)</f>
        <v>31292.4715</v>
      </c>
    </row>
    <row r="335">
      <c r="A335" s="3">
        <f>IFERROR(__xludf.DUMMYFUNCTION("""COMPUTED_VALUE"""),40645.99861111111)</f>
        <v>40645.99861</v>
      </c>
      <c r="B335" s="1">
        <f>IFERROR(__xludf.DUMMYFUNCTION("""COMPUTED_VALUE"""),31199.9846)</f>
        <v>31199.9846</v>
      </c>
    </row>
    <row r="336">
      <c r="A336" s="3">
        <f>IFERROR(__xludf.DUMMYFUNCTION("""COMPUTED_VALUE"""),40646.99861111111)</f>
        <v>40646.99861</v>
      </c>
      <c r="B336" s="1">
        <f>IFERROR(__xludf.DUMMYFUNCTION("""COMPUTED_VALUE"""),31396.2321)</f>
        <v>31396.2321</v>
      </c>
    </row>
    <row r="337">
      <c r="A337" s="3">
        <f>IFERROR(__xludf.DUMMYFUNCTION("""COMPUTED_VALUE"""),40647.99861111111)</f>
        <v>40647.99861</v>
      </c>
      <c r="B337" s="1">
        <f>IFERROR(__xludf.DUMMYFUNCTION("""COMPUTED_VALUE"""),31293.15586)</f>
        <v>31293.15586</v>
      </c>
    </row>
    <row r="338">
      <c r="A338" s="3">
        <f>IFERROR(__xludf.DUMMYFUNCTION("""COMPUTED_VALUE"""),40648.99861111111)</f>
        <v>40648.99861</v>
      </c>
      <c r="B338" s="1">
        <f>IFERROR(__xludf.DUMMYFUNCTION("""COMPUTED_VALUE"""),31382.43908)</f>
        <v>31382.43908</v>
      </c>
    </row>
    <row r="339">
      <c r="A339" s="3">
        <f>IFERROR(__xludf.DUMMYFUNCTION("""COMPUTED_VALUE"""),40650.99861111111)</f>
        <v>40650.99861</v>
      </c>
      <c r="B339" s="1">
        <f>IFERROR(__xludf.DUMMYFUNCTION("""COMPUTED_VALUE"""),31285.66606)</f>
        <v>31285.66606</v>
      </c>
    </row>
    <row r="340">
      <c r="A340" s="3">
        <f>IFERROR(__xludf.DUMMYFUNCTION("""COMPUTED_VALUE"""),40651.99861111111)</f>
        <v>40651.99861</v>
      </c>
      <c r="B340" s="1">
        <f>IFERROR(__xludf.DUMMYFUNCTION("""COMPUTED_VALUE"""),31319.46448)</f>
        <v>31319.46448</v>
      </c>
    </row>
    <row r="341">
      <c r="A341" s="3">
        <f>IFERROR(__xludf.DUMMYFUNCTION("""COMPUTED_VALUE"""),40652.99861111111)</f>
        <v>40652.99861</v>
      </c>
      <c r="B341" s="1">
        <f>IFERROR(__xludf.DUMMYFUNCTION("""COMPUTED_VALUE"""),31358.17649)</f>
        <v>31358.17649</v>
      </c>
    </row>
    <row r="342">
      <c r="A342" s="3">
        <f>IFERROR(__xludf.DUMMYFUNCTION("""COMPUTED_VALUE"""),40653.99861111111)</f>
        <v>40653.99861</v>
      </c>
      <c r="B342" s="1">
        <f>IFERROR(__xludf.DUMMYFUNCTION("""COMPUTED_VALUE"""),31317.46883)</f>
        <v>31317.46883</v>
      </c>
    </row>
    <row r="343">
      <c r="A343" s="3">
        <f>IFERROR(__xludf.DUMMYFUNCTION("""COMPUTED_VALUE"""),40654.99861111111)</f>
        <v>40654.99861</v>
      </c>
      <c r="B343" s="1">
        <f>IFERROR(__xludf.DUMMYFUNCTION("""COMPUTED_VALUE"""),31356.55593)</f>
        <v>31356.55593</v>
      </c>
    </row>
    <row r="344">
      <c r="A344" s="3">
        <f>IFERROR(__xludf.DUMMYFUNCTION("""COMPUTED_VALUE"""),40657.99861111111)</f>
        <v>40657.99861</v>
      </c>
      <c r="B344" s="1">
        <f>IFERROR(__xludf.DUMMYFUNCTION("""COMPUTED_VALUE"""),31293.4095)</f>
        <v>31293.4095</v>
      </c>
    </row>
    <row r="345">
      <c r="A345" s="3">
        <f>IFERROR(__xludf.DUMMYFUNCTION("""COMPUTED_VALUE"""),40659.99861111111)</f>
        <v>40659.99861</v>
      </c>
      <c r="B345" s="1">
        <f>IFERROR(__xludf.DUMMYFUNCTION("""COMPUTED_VALUE"""),31276.95043)</f>
        <v>31276.95043</v>
      </c>
    </row>
    <row r="346">
      <c r="A346" s="3">
        <f>IFERROR(__xludf.DUMMYFUNCTION("""COMPUTED_VALUE"""),40660.99861111111)</f>
        <v>40660.99861</v>
      </c>
      <c r="B346" s="1">
        <f>IFERROR(__xludf.DUMMYFUNCTION("""COMPUTED_VALUE"""),31132.98621)</f>
        <v>31132.98621</v>
      </c>
    </row>
    <row r="347">
      <c r="A347" s="3">
        <f>IFERROR(__xludf.DUMMYFUNCTION("""COMPUTED_VALUE"""),40661.99861111111)</f>
        <v>40661.99861</v>
      </c>
      <c r="B347" s="1">
        <f>IFERROR(__xludf.DUMMYFUNCTION("""COMPUTED_VALUE"""),31192.92476)</f>
        <v>31192.92476</v>
      </c>
    </row>
    <row r="348">
      <c r="A348" s="3">
        <f>IFERROR(__xludf.DUMMYFUNCTION("""COMPUTED_VALUE"""),40662.99861111111)</f>
        <v>40662.99861</v>
      </c>
      <c r="B348" s="1">
        <f>IFERROR(__xludf.DUMMYFUNCTION("""COMPUTED_VALUE"""),31276.27705)</f>
        <v>31276.27705</v>
      </c>
    </row>
    <row r="349">
      <c r="A349" s="3">
        <f>IFERROR(__xludf.DUMMYFUNCTION("""COMPUTED_VALUE"""),40663.99861111111)</f>
        <v>40663.99861</v>
      </c>
      <c r="B349" s="1">
        <f>IFERROR(__xludf.DUMMYFUNCTION("""COMPUTED_VALUE"""),31213.50333)</f>
        <v>31213.50333</v>
      </c>
    </row>
    <row r="350">
      <c r="A350" s="3">
        <f>IFERROR(__xludf.DUMMYFUNCTION("""COMPUTED_VALUE"""),40665.99861111111)</f>
        <v>40665.99861</v>
      </c>
      <c r="B350" s="1">
        <f>IFERROR(__xludf.DUMMYFUNCTION("""COMPUTED_VALUE"""),31285.94114)</f>
        <v>31285.94114</v>
      </c>
    </row>
    <row r="351">
      <c r="A351" s="3">
        <f>IFERROR(__xludf.DUMMYFUNCTION("""COMPUTED_VALUE"""),40666.99861111111)</f>
        <v>40666.99861</v>
      </c>
      <c r="B351" s="1">
        <f>IFERROR(__xludf.DUMMYFUNCTION("""COMPUTED_VALUE"""),31204.88125)</f>
        <v>31204.88125</v>
      </c>
    </row>
    <row r="352">
      <c r="A352" s="3">
        <f>IFERROR(__xludf.DUMMYFUNCTION("""COMPUTED_VALUE"""),40667.99861111111)</f>
        <v>40667.99861</v>
      </c>
      <c r="B352" s="1">
        <f>IFERROR(__xludf.DUMMYFUNCTION("""COMPUTED_VALUE"""),31138.99576)</f>
        <v>31138.99576</v>
      </c>
    </row>
    <row r="353">
      <c r="A353" s="3">
        <f>IFERROR(__xludf.DUMMYFUNCTION("""COMPUTED_VALUE"""),40668.99861111111)</f>
        <v>40668.99861</v>
      </c>
      <c r="B353" s="1">
        <f>IFERROR(__xludf.DUMMYFUNCTION("""COMPUTED_VALUE"""),31284.35627)</f>
        <v>31284.35627</v>
      </c>
    </row>
    <row r="354">
      <c r="A354" s="3">
        <f>IFERROR(__xludf.DUMMYFUNCTION("""COMPUTED_VALUE"""),40669.99861111111)</f>
        <v>40669.99861</v>
      </c>
      <c r="B354" s="1">
        <f>IFERROR(__xludf.DUMMYFUNCTION("""COMPUTED_VALUE"""),31657.31454)</f>
        <v>31657.31454</v>
      </c>
    </row>
    <row r="355">
      <c r="A355" s="3">
        <f>IFERROR(__xludf.DUMMYFUNCTION("""COMPUTED_VALUE"""),40670.99861111111)</f>
        <v>40670.99861</v>
      </c>
      <c r="B355" s="1">
        <f>IFERROR(__xludf.DUMMYFUNCTION("""COMPUTED_VALUE"""),31074.45299)</f>
        <v>31074.45299</v>
      </c>
    </row>
    <row r="356">
      <c r="A356" s="3">
        <f>IFERROR(__xludf.DUMMYFUNCTION("""COMPUTED_VALUE"""),40672.99861111111)</f>
        <v>40672.99861</v>
      </c>
      <c r="B356" s="1">
        <f>IFERROR(__xludf.DUMMYFUNCTION("""COMPUTED_VALUE"""),30989.08548)</f>
        <v>30989.08548</v>
      </c>
    </row>
    <row r="357">
      <c r="A357" s="3">
        <f>IFERROR(__xludf.DUMMYFUNCTION("""COMPUTED_VALUE"""),40673.99861111111)</f>
        <v>40673.99861</v>
      </c>
      <c r="B357" s="1">
        <f>IFERROR(__xludf.DUMMYFUNCTION("""COMPUTED_VALUE"""),31011.63093)</f>
        <v>31011.63093</v>
      </c>
    </row>
    <row r="358">
      <c r="A358" s="3">
        <f>IFERROR(__xludf.DUMMYFUNCTION("""COMPUTED_VALUE"""),40674.99861111111)</f>
        <v>40674.99861</v>
      </c>
      <c r="B358" s="1">
        <f>IFERROR(__xludf.DUMMYFUNCTION("""COMPUTED_VALUE"""),31212.64305)</f>
        <v>31212.64305</v>
      </c>
    </row>
    <row r="359">
      <c r="A359" s="3">
        <f>IFERROR(__xludf.DUMMYFUNCTION("""COMPUTED_VALUE"""),40675.99861111111)</f>
        <v>40675.99861</v>
      </c>
      <c r="B359" s="1">
        <f>IFERROR(__xludf.DUMMYFUNCTION("""COMPUTED_VALUE"""),31045.7511)</f>
        <v>31045.7511</v>
      </c>
    </row>
    <row r="360">
      <c r="A360" s="3">
        <f>IFERROR(__xludf.DUMMYFUNCTION("""COMPUTED_VALUE"""),40676.99861111111)</f>
        <v>40676.99861</v>
      </c>
      <c r="B360" s="1">
        <f>IFERROR(__xludf.DUMMYFUNCTION("""COMPUTED_VALUE"""),31250.18101)</f>
        <v>31250.18101</v>
      </c>
    </row>
    <row r="361">
      <c r="A361" s="3">
        <f>IFERROR(__xludf.DUMMYFUNCTION("""COMPUTED_VALUE"""),40678.99861111111)</f>
        <v>40678.99861</v>
      </c>
      <c r="B361" s="1">
        <f>IFERROR(__xludf.DUMMYFUNCTION("""COMPUTED_VALUE"""),31045.37149)</f>
        <v>31045.37149</v>
      </c>
    </row>
    <row r="362">
      <c r="A362" s="3">
        <f>IFERROR(__xludf.DUMMYFUNCTION("""COMPUTED_VALUE"""),40679.99861111111)</f>
        <v>40679.99861</v>
      </c>
      <c r="B362" s="1">
        <f>IFERROR(__xludf.DUMMYFUNCTION("""COMPUTED_VALUE"""),31131.88057)</f>
        <v>31131.88057</v>
      </c>
    </row>
    <row r="363">
      <c r="A363" s="3">
        <f>IFERROR(__xludf.DUMMYFUNCTION("""COMPUTED_VALUE"""),40680.99861111111)</f>
        <v>40680.99861</v>
      </c>
      <c r="B363" s="1">
        <f>IFERROR(__xludf.DUMMYFUNCTION("""COMPUTED_VALUE"""),30365.70692)</f>
        <v>30365.70692</v>
      </c>
    </row>
    <row r="364">
      <c r="A364" s="3">
        <f>IFERROR(__xludf.DUMMYFUNCTION("""COMPUTED_VALUE"""),40681.99861111111)</f>
        <v>40681.99861</v>
      </c>
      <c r="B364" s="1">
        <f>IFERROR(__xludf.DUMMYFUNCTION("""COMPUTED_VALUE"""),30976.42528)</f>
        <v>30976.42528</v>
      </c>
    </row>
    <row r="365">
      <c r="A365" s="3">
        <f>IFERROR(__xludf.DUMMYFUNCTION("""COMPUTED_VALUE"""),40682.99861111111)</f>
        <v>40682.99861</v>
      </c>
      <c r="B365" s="1">
        <f>IFERROR(__xludf.DUMMYFUNCTION("""COMPUTED_VALUE"""),31013.59709)</f>
        <v>31013.59709</v>
      </c>
    </row>
    <row r="366">
      <c r="A366" s="3">
        <f>IFERROR(__xludf.DUMMYFUNCTION("""COMPUTED_VALUE"""),40683.99861111111)</f>
        <v>40683.99861</v>
      </c>
      <c r="B366" s="1">
        <f>IFERROR(__xludf.DUMMYFUNCTION("""COMPUTED_VALUE"""),31063.52031)</f>
        <v>31063.52031</v>
      </c>
    </row>
    <row r="367">
      <c r="A367" s="3">
        <f>IFERROR(__xludf.DUMMYFUNCTION("""COMPUTED_VALUE"""),40684.99861111111)</f>
        <v>40684.99861</v>
      </c>
      <c r="B367" s="1">
        <f>IFERROR(__xludf.DUMMYFUNCTION("""COMPUTED_VALUE"""),30560.79799)</f>
        <v>30560.79799</v>
      </c>
    </row>
    <row r="368">
      <c r="A368" s="3">
        <f>IFERROR(__xludf.DUMMYFUNCTION("""COMPUTED_VALUE"""),40686.99861111111)</f>
        <v>40686.99861</v>
      </c>
      <c r="B368" s="1">
        <f>IFERROR(__xludf.DUMMYFUNCTION("""COMPUTED_VALUE"""),31131.2174)</f>
        <v>31131.2174</v>
      </c>
    </row>
    <row r="369">
      <c r="A369" s="3">
        <f>IFERROR(__xludf.DUMMYFUNCTION("""COMPUTED_VALUE"""),40687.99861111111)</f>
        <v>40687.99861</v>
      </c>
      <c r="B369" s="1">
        <f>IFERROR(__xludf.DUMMYFUNCTION("""COMPUTED_VALUE"""),30444.76528)</f>
        <v>30444.76528</v>
      </c>
    </row>
    <row r="370">
      <c r="A370" s="3">
        <f>IFERROR(__xludf.DUMMYFUNCTION("""COMPUTED_VALUE"""),40688.99861111111)</f>
        <v>40688.99861</v>
      </c>
      <c r="B370" s="1">
        <f>IFERROR(__xludf.DUMMYFUNCTION("""COMPUTED_VALUE"""),31096.4494)</f>
        <v>31096.4494</v>
      </c>
    </row>
    <row r="371">
      <c r="A371" s="3">
        <f>IFERROR(__xludf.DUMMYFUNCTION("""COMPUTED_VALUE"""),40689.99861111111)</f>
        <v>40689.99861</v>
      </c>
      <c r="B371" s="1">
        <f>IFERROR(__xludf.DUMMYFUNCTION("""COMPUTED_VALUE"""),31097.00597)</f>
        <v>31097.00597</v>
      </c>
    </row>
    <row r="372">
      <c r="A372" s="3">
        <f>IFERROR(__xludf.DUMMYFUNCTION("""COMPUTED_VALUE"""),40690.99861111111)</f>
        <v>40690.99861</v>
      </c>
      <c r="B372" s="1">
        <f>IFERROR(__xludf.DUMMYFUNCTION("""COMPUTED_VALUE"""),31070.59835)</f>
        <v>31070.59835</v>
      </c>
    </row>
    <row r="373">
      <c r="A373" s="3">
        <f>IFERROR(__xludf.DUMMYFUNCTION("""COMPUTED_VALUE"""),40691.99861111111)</f>
        <v>40691.99861</v>
      </c>
      <c r="B373" s="1">
        <f>IFERROR(__xludf.DUMMYFUNCTION("""COMPUTED_VALUE"""),30373.83482)</f>
        <v>30373.83482</v>
      </c>
    </row>
    <row r="374">
      <c r="A374" s="3">
        <f>IFERROR(__xludf.DUMMYFUNCTION("""COMPUTED_VALUE"""),40693.99861111111)</f>
        <v>40693.99861</v>
      </c>
      <c r="B374" s="1">
        <f>IFERROR(__xludf.DUMMYFUNCTION("""COMPUTED_VALUE"""),31155.69639)</f>
        <v>31155.69639</v>
      </c>
    </row>
    <row r="375">
      <c r="A375" s="3">
        <f>IFERROR(__xludf.DUMMYFUNCTION("""COMPUTED_VALUE"""),40694.99861111111)</f>
        <v>40694.99861</v>
      </c>
      <c r="B375" s="1">
        <f>IFERROR(__xludf.DUMMYFUNCTION("""COMPUTED_VALUE"""),31103.4587)</f>
        <v>31103.4587</v>
      </c>
    </row>
    <row r="376">
      <c r="A376" s="3">
        <f>IFERROR(__xludf.DUMMYFUNCTION("""COMPUTED_VALUE"""),40695.99861111111)</f>
        <v>40695.99861</v>
      </c>
      <c r="B376" s="1">
        <f>IFERROR(__xludf.DUMMYFUNCTION("""COMPUTED_VALUE"""),31077.1454)</f>
        <v>31077.1454</v>
      </c>
    </row>
    <row r="377">
      <c r="A377" s="3">
        <f>IFERROR(__xludf.DUMMYFUNCTION("""COMPUTED_VALUE"""),40696.99861111111)</f>
        <v>40696.99861</v>
      </c>
      <c r="B377" s="1">
        <f>IFERROR(__xludf.DUMMYFUNCTION("""COMPUTED_VALUE"""),31054.90365)</f>
        <v>31054.90365</v>
      </c>
    </row>
    <row r="378">
      <c r="A378" s="3">
        <f>IFERROR(__xludf.DUMMYFUNCTION("""COMPUTED_VALUE"""),40697.99861111111)</f>
        <v>40697.99861</v>
      </c>
      <c r="B378" s="1">
        <f>IFERROR(__xludf.DUMMYFUNCTION("""COMPUTED_VALUE"""),30966.56159)</f>
        <v>30966.56159</v>
      </c>
    </row>
    <row r="379">
      <c r="A379" s="3">
        <f>IFERROR(__xludf.DUMMYFUNCTION("""COMPUTED_VALUE"""),40699.99861111111)</f>
        <v>40699.99861</v>
      </c>
      <c r="B379" s="1">
        <f>IFERROR(__xludf.DUMMYFUNCTION("""COMPUTED_VALUE"""),30983.44912)</f>
        <v>30983.44912</v>
      </c>
    </row>
    <row r="380">
      <c r="A380" s="3">
        <f>IFERROR(__xludf.DUMMYFUNCTION("""COMPUTED_VALUE"""),40700.99861111111)</f>
        <v>40700.99861</v>
      </c>
      <c r="B380" s="1">
        <f>IFERROR(__xludf.DUMMYFUNCTION("""COMPUTED_VALUE"""),31016.2365)</f>
        <v>31016.2365</v>
      </c>
    </row>
    <row r="381">
      <c r="A381" s="3">
        <f>IFERROR(__xludf.DUMMYFUNCTION("""COMPUTED_VALUE"""),40701.99861111111)</f>
        <v>40701.99861</v>
      </c>
      <c r="B381" s="1">
        <f>IFERROR(__xludf.DUMMYFUNCTION("""COMPUTED_VALUE"""),31078.28436)</f>
        <v>31078.28436</v>
      </c>
    </row>
    <row r="382">
      <c r="A382" s="3">
        <f>IFERROR(__xludf.DUMMYFUNCTION("""COMPUTED_VALUE"""),40702.99861111111)</f>
        <v>40702.99861</v>
      </c>
      <c r="B382" s="1">
        <f>IFERROR(__xludf.DUMMYFUNCTION("""COMPUTED_VALUE"""),30987.59093)</f>
        <v>30987.59093</v>
      </c>
    </row>
    <row r="383">
      <c r="A383" s="3">
        <f>IFERROR(__xludf.DUMMYFUNCTION("""COMPUTED_VALUE"""),40703.99861111111)</f>
        <v>40703.99861</v>
      </c>
      <c r="B383" s="1">
        <f>IFERROR(__xludf.DUMMYFUNCTION("""COMPUTED_VALUE"""),31094.8902)</f>
        <v>31094.8902</v>
      </c>
    </row>
    <row r="384">
      <c r="A384" s="3">
        <f>IFERROR(__xludf.DUMMYFUNCTION("""COMPUTED_VALUE"""),40704.99861111111)</f>
        <v>40704.99861</v>
      </c>
      <c r="B384" s="1">
        <f>IFERROR(__xludf.DUMMYFUNCTION("""COMPUTED_VALUE"""),31104.66801)</f>
        <v>31104.66801</v>
      </c>
    </row>
    <row r="385">
      <c r="A385" s="3">
        <f>IFERROR(__xludf.DUMMYFUNCTION("""COMPUTED_VALUE"""),40705.99861111111)</f>
        <v>40705.99861</v>
      </c>
      <c r="B385" s="1">
        <f>IFERROR(__xludf.DUMMYFUNCTION("""COMPUTED_VALUE"""),30995.98228)</f>
        <v>30995.98228</v>
      </c>
    </row>
    <row r="386">
      <c r="A386" s="3">
        <f>IFERROR(__xludf.DUMMYFUNCTION("""COMPUTED_VALUE"""),40707.99861111111)</f>
        <v>40707.99861</v>
      </c>
      <c r="B386" s="1">
        <f>IFERROR(__xludf.DUMMYFUNCTION("""COMPUTED_VALUE"""),31109.10533)</f>
        <v>31109.10533</v>
      </c>
    </row>
    <row r="387">
      <c r="A387" s="3">
        <f>IFERROR(__xludf.DUMMYFUNCTION("""COMPUTED_VALUE"""),40708.99861111111)</f>
        <v>40708.99861</v>
      </c>
      <c r="B387" s="1">
        <f>IFERROR(__xludf.DUMMYFUNCTION("""COMPUTED_VALUE"""),31145.8026)</f>
        <v>31145.8026</v>
      </c>
    </row>
    <row r="388">
      <c r="A388" s="3">
        <f>IFERROR(__xludf.DUMMYFUNCTION("""COMPUTED_VALUE"""),40709.99861111111)</f>
        <v>40709.99861</v>
      </c>
      <c r="B388" s="1">
        <f>IFERROR(__xludf.DUMMYFUNCTION("""COMPUTED_VALUE"""),31032.76985)</f>
        <v>31032.76985</v>
      </c>
    </row>
    <row r="389">
      <c r="A389" s="3">
        <f>IFERROR(__xludf.DUMMYFUNCTION("""COMPUTED_VALUE"""),40710.99861111111)</f>
        <v>40710.99861</v>
      </c>
      <c r="B389" s="1">
        <f>IFERROR(__xludf.DUMMYFUNCTION("""COMPUTED_VALUE"""),31280.6466)</f>
        <v>31280.6466</v>
      </c>
    </row>
    <row r="390">
      <c r="A390" s="3">
        <f>IFERROR(__xludf.DUMMYFUNCTION("""COMPUTED_VALUE"""),40711.99861111111)</f>
        <v>40711.99861</v>
      </c>
      <c r="B390" s="1">
        <f>IFERROR(__xludf.DUMMYFUNCTION("""COMPUTED_VALUE"""),31211.34588)</f>
        <v>31211.34588</v>
      </c>
    </row>
    <row r="391">
      <c r="A391" s="3">
        <f>IFERROR(__xludf.DUMMYFUNCTION("""COMPUTED_VALUE"""),40712.99861111111)</f>
        <v>40712.99861</v>
      </c>
      <c r="B391" s="1">
        <f>IFERROR(__xludf.DUMMYFUNCTION("""COMPUTED_VALUE"""),30530.75319)</f>
        <v>30530.75319</v>
      </c>
    </row>
    <row r="392">
      <c r="A392" s="3">
        <f>IFERROR(__xludf.DUMMYFUNCTION("""COMPUTED_VALUE"""),40714.99861111111)</f>
        <v>40714.99861</v>
      </c>
      <c r="B392" s="1">
        <f>IFERROR(__xludf.DUMMYFUNCTION("""COMPUTED_VALUE"""),31371.21825)</f>
        <v>31371.21825</v>
      </c>
    </row>
    <row r="393">
      <c r="A393" s="3">
        <f>IFERROR(__xludf.DUMMYFUNCTION("""COMPUTED_VALUE"""),40715.99861111111)</f>
        <v>40715.99861</v>
      </c>
      <c r="B393" s="1">
        <f>IFERROR(__xludf.DUMMYFUNCTION("""COMPUTED_VALUE"""),31363.9678)</f>
        <v>31363.9678</v>
      </c>
    </row>
    <row r="394">
      <c r="A394" s="3">
        <f>IFERROR(__xludf.DUMMYFUNCTION("""COMPUTED_VALUE"""),40716.99861111111)</f>
        <v>40716.99861</v>
      </c>
      <c r="B394" s="1">
        <f>IFERROR(__xludf.DUMMYFUNCTION("""COMPUTED_VALUE"""),31296.73404)</f>
        <v>31296.73404</v>
      </c>
    </row>
    <row r="395">
      <c r="A395" s="3">
        <f>IFERROR(__xludf.DUMMYFUNCTION("""COMPUTED_VALUE"""),40717.99861111111)</f>
        <v>40717.99861</v>
      </c>
      <c r="B395" s="1">
        <f>IFERROR(__xludf.DUMMYFUNCTION("""COMPUTED_VALUE"""),31283.91771)</f>
        <v>31283.91771</v>
      </c>
    </row>
    <row r="396">
      <c r="A396" s="3">
        <f>IFERROR(__xludf.DUMMYFUNCTION("""COMPUTED_VALUE"""),40718.99861111111)</f>
        <v>40718.99861</v>
      </c>
      <c r="B396" s="1">
        <f>IFERROR(__xludf.DUMMYFUNCTION("""COMPUTED_VALUE"""),31210.1874)</f>
        <v>31210.1874</v>
      </c>
    </row>
    <row r="397">
      <c r="A397" s="3">
        <f>IFERROR(__xludf.DUMMYFUNCTION("""COMPUTED_VALUE"""),40719.99861111111)</f>
        <v>40719.99861</v>
      </c>
      <c r="B397" s="1">
        <f>IFERROR(__xludf.DUMMYFUNCTION("""COMPUTED_VALUE"""),30746.49318)</f>
        <v>30746.49318</v>
      </c>
    </row>
    <row r="398">
      <c r="A398" s="3">
        <f>IFERROR(__xludf.DUMMYFUNCTION("""COMPUTED_VALUE"""),40721.99861111111)</f>
        <v>40721.99861</v>
      </c>
      <c r="B398" s="1">
        <f>IFERROR(__xludf.DUMMYFUNCTION("""COMPUTED_VALUE"""),31397.88075)</f>
        <v>31397.88075</v>
      </c>
    </row>
    <row r="399">
      <c r="A399" s="3">
        <f>IFERROR(__xludf.DUMMYFUNCTION("""COMPUTED_VALUE"""),40722.99861111111)</f>
        <v>40722.99861</v>
      </c>
      <c r="B399" s="1">
        <f>IFERROR(__xludf.DUMMYFUNCTION("""COMPUTED_VALUE"""),31402.54794)</f>
        <v>31402.54794</v>
      </c>
    </row>
    <row r="400">
      <c r="A400" s="3">
        <f>IFERROR(__xludf.DUMMYFUNCTION("""COMPUTED_VALUE"""),40723.99861111111)</f>
        <v>40723.99861</v>
      </c>
      <c r="B400" s="1">
        <f>IFERROR(__xludf.DUMMYFUNCTION("""COMPUTED_VALUE"""),31374.28909)</f>
        <v>31374.28909</v>
      </c>
    </row>
    <row r="401">
      <c r="A401" s="3">
        <f>IFERROR(__xludf.DUMMYFUNCTION("""COMPUTED_VALUE"""),40724.99861111111)</f>
        <v>40724.99861</v>
      </c>
      <c r="B401" s="1">
        <f>IFERROR(__xludf.DUMMYFUNCTION("""COMPUTED_VALUE"""),31258.6601)</f>
        <v>31258.6601</v>
      </c>
    </row>
    <row r="402">
      <c r="A402" s="3">
        <f>IFERROR(__xludf.DUMMYFUNCTION("""COMPUTED_VALUE"""),40725.99861111111)</f>
        <v>40725.99861</v>
      </c>
      <c r="B402" s="1">
        <f>IFERROR(__xludf.DUMMYFUNCTION("""COMPUTED_VALUE"""),31160.15592)</f>
        <v>31160.15592</v>
      </c>
    </row>
    <row r="403">
      <c r="A403" s="3">
        <f>IFERROR(__xludf.DUMMYFUNCTION("""COMPUTED_VALUE"""),40726.99861111111)</f>
        <v>40726.99861</v>
      </c>
      <c r="B403" s="1">
        <f>IFERROR(__xludf.DUMMYFUNCTION("""COMPUTED_VALUE"""),30565.32816)</f>
        <v>30565.32816</v>
      </c>
    </row>
    <row r="404">
      <c r="A404" s="3">
        <f>IFERROR(__xludf.DUMMYFUNCTION("""COMPUTED_VALUE"""),40728.99861111111)</f>
        <v>40728.99861</v>
      </c>
      <c r="B404" s="1">
        <f>IFERROR(__xludf.DUMMYFUNCTION("""COMPUTED_VALUE"""),31137.9216)</f>
        <v>31137.9216</v>
      </c>
    </row>
    <row r="405">
      <c r="A405" s="3">
        <f>IFERROR(__xludf.DUMMYFUNCTION("""COMPUTED_VALUE"""),40729.99861111111)</f>
        <v>40729.99861</v>
      </c>
      <c r="B405" s="1">
        <f>IFERROR(__xludf.DUMMYFUNCTION("""COMPUTED_VALUE"""),31147.20444)</f>
        <v>31147.20444</v>
      </c>
    </row>
    <row r="406">
      <c r="A406" s="3">
        <f>IFERROR(__xludf.DUMMYFUNCTION("""COMPUTED_VALUE"""),40730.99861111111)</f>
        <v>40730.99861</v>
      </c>
      <c r="B406" s="1">
        <f>IFERROR(__xludf.DUMMYFUNCTION("""COMPUTED_VALUE"""),31122.33267)</f>
        <v>31122.33267</v>
      </c>
    </row>
    <row r="407">
      <c r="A407" s="3">
        <f>IFERROR(__xludf.DUMMYFUNCTION("""COMPUTED_VALUE"""),40731.99861111111)</f>
        <v>40731.99861</v>
      </c>
      <c r="B407" s="1">
        <f>IFERROR(__xludf.DUMMYFUNCTION("""COMPUTED_VALUE"""),31098.5713)</f>
        <v>31098.5713</v>
      </c>
    </row>
    <row r="408">
      <c r="A408" s="3">
        <f>IFERROR(__xludf.DUMMYFUNCTION("""COMPUTED_VALUE"""),40732.99861111111)</f>
        <v>40732.99861</v>
      </c>
      <c r="B408" s="1">
        <f>IFERROR(__xludf.DUMMYFUNCTION("""COMPUTED_VALUE"""),31039.01453)</f>
        <v>31039.01453</v>
      </c>
    </row>
    <row r="409">
      <c r="A409" s="3">
        <f>IFERROR(__xludf.DUMMYFUNCTION("""COMPUTED_VALUE"""),40734.99861111111)</f>
        <v>40734.99861</v>
      </c>
      <c r="B409" s="1">
        <f>IFERROR(__xludf.DUMMYFUNCTION("""COMPUTED_VALUE"""),31095.70745)</f>
        <v>31095.70745</v>
      </c>
    </row>
    <row r="410">
      <c r="A410" s="3">
        <f>IFERROR(__xludf.DUMMYFUNCTION("""COMPUTED_VALUE"""),40735.99861111111)</f>
        <v>40735.99861</v>
      </c>
      <c r="B410" s="1">
        <f>IFERROR(__xludf.DUMMYFUNCTION("""COMPUTED_VALUE"""),31071.23894)</f>
        <v>31071.23894</v>
      </c>
    </row>
    <row r="411">
      <c r="A411" s="3">
        <f>IFERROR(__xludf.DUMMYFUNCTION("""COMPUTED_VALUE"""),40736.99861111111)</f>
        <v>40736.99861</v>
      </c>
      <c r="B411" s="1">
        <f>IFERROR(__xludf.DUMMYFUNCTION("""COMPUTED_VALUE"""),31118.59774)</f>
        <v>31118.59774</v>
      </c>
    </row>
    <row r="412">
      <c r="A412" s="3">
        <f>IFERROR(__xludf.DUMMYFUNCTION("""COMPUTED_VALUE"""),40737.99861111111)</f>
        <v>40737.99861</v>
      </c>
      <c r="B412" s="1">
        <f>IFERROR(__xludf.DUMMYFUNCTION("""COMPUTED_VALUE"""),31102.2153)</f>
        <v>31102.2153</v>
      </c>
    </row>
    <row r="413">
      <c r="A413" s="3">
        <f>IFERROR(__xludf.DUMMYFUNCTION("""COMPUTED_VALUE"""),40738.99861111111)</f>
        <v>40738.99861</v>
      </c>
      <c r="B413" s="1">
        <f>IFERROR(__xludf.DUMMYFUNCTION("""COMPUTED_VALUE"""),31161.24098)</f>
        <v>31161.24098</v>
      </c>
    </row>
    <row r="414">
      <c r="A414" s="3">
        <f>IFERROR(__xludf.DUMMYFUNCTION("""COMPUTED_VALUE"""),40739.99861111111)</f>
        <v>40739.99861</v>
      </c>
      <c r="B414" s="1">
        <f>IFERROR(__xludf.DUMMYFUNCTION("""COMPUTED_VALUE"""),31174.24626)</f>
        <v>31174.24626</v>
      </c>
    </row>
    <row r="415">
      <c r="A415" s="3">
        <f>IFERROR(__xludf.DUMMYFUNCTION("""COMPUTED_VALUE"""),40740.99861111111)</f>
        <v>40740.99861</v>
      </c>
      <c r="B415" s="1">
        <f>IFERROR(__xludf.DUMMYFUNCTION("""COMPUTED_VALUE"""),30589.02999)</f>
        <v>30589.02999</v>
      </c>
    </row>
    <row r="416">
      <c r="A416" s="3">
        <f>IFERROR(__xludf.DUMMYFUNCTION("""COMPUTED_VALUE"""),40742.99861111111)</f>
        <v>40742.99861</v>
      </c>
      <c r="B416" s="1">
        <f>IFERROR(__xludf.DUMMYFUNCTION("""COMPUTED_VALUE"""),31214.14216)</f>
        <v>31214.14216</v>
      </c>
    </row>
    <row r="417">
      <c r="A417" s="3">
        <f>IFERROR(__xludf.DUMMYFUNCTION("""COMPUTED_VALUE"""),40743.99861111111)</f>
        <v>40743.99861</v>
      </c>
      <c r="B417" s="1">
        <f>IFERROR(__xludf.DUMMYFUNCTION("""COMPUTED_VALUE"""),31133.79122)</f>
        <v>31133.79122</v>
      </c>
    </row>
    <row r="418">
      <c r="A418" s="3">
        <f>IFERROR(__xludf.DUMMYFUNCTION("""COMPUTED_VALUE"""),40744.99861111111)</f>
        <v>40744.99861</v>
      </c>
      <c r="B418" s="1">
        <f>IFERROR(__xludf.DUMMYFUNCTION("""COMPUTED_VALUE"""),31120.02459)</f>
        <v>31120.02459</v>
      </c>
    </row>
    <row r="419">
      <c r="A419" s="3">
        <f>IFERROR(__xludf.DUMMYFUNCTION("""COMPUTED_VALUE"""),40745.99861111111)</f>
        <v>40745.99861</v>
      </c>
      <c r="B419" s="1">
        <f>IFERROR(__xludf.DUMMYFUNCTION("""COMPUTED_VALUE"""),31242.44912)</f>
        <v>31242.44912</v>
      </c>
    </row>
    <row r="420">
      <c r="A420" s="3">
        <f>IFERROR(__xludf.DUMMYFUNCTION("""COMPUTED_VALUE"""),40746.99861111111)</f>
        <v>40746.99861</v>
      </c>
      <c r="B420" s="1">
        <f>IFERROR(__xludf.DUMMYFUNCTION("""COMPUTED_VALUE"""),31147.23837)</f>
        <v>31147.23837</v>
      </c>
    </row>
    <row r="421">
      <c r="A421" s="3">
        <f>IFERROR(__xludf.DUMMYFUNCTION("""COMPUTED_VALUE"""),40748.99861111111)</f>
        <v>40748.99861</v>
      </c>
      <c r="B421" s="1">
        <f>IFERROR(__xludf.DUMMYFUNCTION("""COMPUTED_VALUE"""),31217.09573)</f>
        <v>31217.09573</v>
      </c>
    </row>
    <row r="422">
      <c r="A422" s="3">
        <f>IFERROR(__xludf.DUMMYFUNCTION("""COMPUTED_VALUE"""),40749.99861111111)</f>
        <v>40749.99861</v>
      </c>
      <c r="B422" s="1">
        <f>IFERROR(__xludf.DUMMYFUNCTION("""COMPUTED_VALUE"""),31191.03101)</f>
        <v>31191.03101</v>
      </c>
    </row>
    <row r="423">
      <c r="A423" s="3">
        <f>IFERROR(__xludf.DUMMYFUNCTION("""COMPUTED_VALUE"""),40750.99861111111)</f>
        <v>40750.99861</v>
      </c>
      <c r="B423" s="1">
        <f>IFERROR(__xludf.DUMMYFUNCTION("""COMPUTED_VALUE"""),31221.299)</f>
        <v>31221.299</v>
      </c>
    </row>
    <row r="424">
      <c r="A424" s="3">
        <f>IFERROR(__xludf.DUMMYFUNCTION("""COMPUTED_VALUE"""),40751.99861111111)</f>
        <v>40751.99861</v>
      </c>
      <c r="B424" s="1">
        <f>IFERROR(__xludf.DUMMYFUNCTION("""COMPUTED_VALUE"""),31138.02422)</f>
        <v>31138.02422</v>
      </c>
    </row>
    <row r="425">
      <c r="A425" s="3">
        <f>IFERROR(__xludf.DUMMYFUNCTION("""COMPUTED_VALUE"""),40752.99861111111)</f>
        <v>40752.99861</v>
      </c>
      <c r="B425" s="1">
        <f>IFERROR(__xludf.DUMMYFUNCTION("""COMPUTED_VALUE"""),31088.74374)</f>
        <v>31088.74374</v>
      </c>
    </row>
    <row r="426">
      <c r="A426" s="3">
        <f>IFERROR(__xludf.DUMMYFUNCTION("""COMPUTED_VALUE"""),40753.99861111111)</f>
        <v>40753.99861</v>
      </c>
      <c r="B426" s="1">
        <f>IFERROR(__xludf.DUMMYFUNCTION("""COMPUTED_VALUE"""),31169.7805)</f>
        <v>31169.7805</v>
      </c>
    </row>
    <row r="427">
      <c r="A427" s="3">
        <f>IFERROR(__xludf.DUMMYFUNCTION("""COMPUTED_VALUE"""),40754.99861111111)</f>
        <v>40754.99861</v>
      </c>
      <c r="B427" s="1">
        <f>IFERROR(__xludf.DUMMYFUNCTION("""COMPUTED_VALUE"""),30280.18533)</f>
        <v>30280.18533</v>
      </c>
    </row>
    <row r="428">
      <c r="A428" s="3">
        <f>IFERROR(__xludf.DUMMYFUNCTION("""COMPUTED_VALUE"""),40756.99861111111)</f>
        <v>40756.99861</v>
      </c>
      <c r="B428" s="1">
        <f>IFERROR(__xludf.DUMMYFUNCTION("""COMPUTED_VALUE"""),30893.4322)</f>
        <v>30893.4322</v>
      </c>
    </row>
    <row r="429">
      <c r="A429" s="3">
        <f>IFERROR(__xludf.DUMMYFUNCTION("""COMPUTED_VALUE"""),40757.99861111111)</f>
        <v>40757.99861</v>
      </c>
      <c r="B429" s="1">
        <f>IFERROR(__xludf.DUMMYFUNCTION("""COMPUTED_VALUE"""),31073.20448)</f>
        <v>31073.20448</v>
      </c>
    </row>
    <row r="430">
      <c r="A430" s="3">
        <f>IFERROR(__xludf.DUMMYFUNCTION("""COMPUTED_VALUE"""),40758.99861111111)</f>
        <v>40758.99861</v>
      </c>
      <c r="B430" s="1">
        <f>IFERROR(__xludf.DUMMYFUNCTION("""COMPUTED_VALUE"""),30573.63098)</f>
        <v>30573.63098</v>
      </c>
    </row>
    <row r="431">
      <c r="A431" s="3">
        <f>IFERROR(__xludf.DUMMYFUNCTION("""COMPUTED_VALUE"""),40759.99861111111)</f>
        <v>40759.99861</v>
      </c>
      <c r="B431" s="1">
        <f>IFERROR(__xludf.DUMMYFUNCTION("""COMPUTED_VALUE"""),31034.42661)</f>
        <v>31034.42661</v>
      </c>
    </row>
    <row r="432">
      <c r="A432" s="3">
        <f>IFERROR(__xludf.DUMMYFUNCTION("""COMPUTED_VALUE"""),40760.99861111111)</f>
        <v>40760.99861</v>
      </c>
      <c r="B432" s="1">
        <f>IFERROR(__xludf.DUMMYFUNCTION("""COMPUTED_VALUE"""),31204.00497)</f>
        <v>31204.00497</v>
      </c>
    </row>
    <row r="433">
      <c r="A433" s="3">
        <f>IFERROR(__xludf.DUMMYFUNCTION("""COMPUTED_VALUE"""),40761.99861111111)</f>
        <v>40761.99861</v>
      </c>
      <c r="B433" s="1">
        <f>IFERROR(__xludf.DUMMYFUNCTION("""COMPUTED_VALUE"""),30624.07981)</f>
        <v>30624.07981</v>
      </c>
    </row>
    <row r="434">
      <c r="A434" s="3">
        <f>IFERROR(__xludf.DUMMYFUNCTION("""COMPUTED_VALUE"""),40763.99861111111)</f>
        <v>40763.99861</v>
      </c>
      <c r="B434" s="1">
        <f>IFERROR(__xludf.DUMMYFUNCTION("""COMPUTED_VALUE"""),31056.03833)</f>
        <v>31056.03833</v>
      </c>
    </row>
    <row r="435">
      <c r="A435" s="3">
        <f>IFERROR(__xludf.DUMMYFUNCTION("""COMPUTED_VALUE"""),40764.99861111111)</f>
        <v>40764.99861</v>
      </c>
      <c r="B435" s="1">
        <f>IFERROR(__xludf.DUMMYFUNCTION("""COMPUTED_VALUE"""),31268.71434)</f>
        <v>31268.71434</v>
      </c>
    </row>
    <row r="436">
      <c r="A436" s="3">
        <f>IFERROR(__xludf.DUMMYFUNCTION("""COMPUTED_VALUE"""),40765.99861111111)</f>
        <v>40765.99861</v>
      </c>
      <c r="B436" s="1">
        <f>IFERROR(__xludf.DUMMYFUNCTION("""COMPUTED_VALUE"""),31228.13863)</f>
        <v>31228.13863</v>
      </c>
    </row>
    <row r="437">
      <c r="A437" s="3">
        <f>IFERROR(__xludf.DUMMYFUNCTION("""COMPUTED_VALUE"""),40766.99861111111)</f>
        <v>40766.99861</v>
      </c>
      <c r="B437" s="1">
        <f>IFERROR(__xludf.DUMMYFUNCTION("""COMPUTED_VALUE"""),31232.5177)</f>
        <v>31232.5177</v>
      </c>
    </row>
    <row r="438">
      <c r="A438" s="3">
        <f>IFERROR(__xludf.DUMMYFUNCTION("""COMPUTED_VALUE"""),40770.99861111111)</f>
        <v>40770.99861</v>
      </c>
      <c r="B438" s="1">
        <f>IFERROR(__xludf.DUMMYFUNCTION("""COMPUTED_VALUE"""),30417.40798)</f>
        <v>30417.40798</v>
      </c>
    </row>
    <row r="439">
      <c r="A439" s="3">
        <f>IFERROR(__xludf.DUMMYFUNCTION("""COMPUTED_VALUE"""),40771.99861111111)</f>
        <v>40771.99861</v>
      </c>
      <c r="B439" s="1">
        <f>IFERROR(__xludf.DUMMYFUNCTION("""COMPUTED_VALUE"""),30702.29081)</f>
        <v>30702.29081</v>
      </c>
    </row>
    <row r="440">
      <c r="A440" s="3">
        <f>IFERROR(__xludf.DUMMYFUNCTION("""COMPUTED_VALUE"""),40772.99861111111)</f>
        <v>40772.99861</v>
      </c>
      <c r="B440" s="1">
        <f>IFERROR(__xludf.DUMMYFUNCTION("""COMPUTED_VALUE"""),30787.49507)</f>
        <v>30787.49507</v>
      </c>
    </row>
    <row r="441">
      <c r="A441" s="3">
        <f>IFERROR(__xludf.DUMMYFUNCTION("""COMPUTED_VALUE"""),40773.99861111111)</f>
        <v>40773.99861</v>
      </c>
      <c r="B441" s="1">
        <f>IFERROR(__xludf.DUMMYFUNCTION("""COMPUTED_VALUE"""),31424.36776)</f>
        <v>31424.36776</v>
      </c>
    </row>
    <row r="442">
      <c r="A442" s="3">
        <f>IFERROR(__xludf.DUMMYFUNCTION("""COMPUTED_VALUE"""),40774.99861111111)</f>
        <v>40774.99861</v>
      </c>
      <c r="B442" s="1">
        <f>IFERROR(__xludf.DUMMYFUNCTION("""COMPUTED_VALUE"""),31337.97507)</f>
        <v>31337.97507</v>
      </c>
    </row>
    <row r="443">
      <c r="A443" s="3">
        <f>IFERROR(__xludf.DUMMYFUNCTION("""COMPUTED_VALUE"""),40775.99861111111)</f>
        <v>40775.99861</v>
      </c>
      <c r="B443" s="1">
        <f>IFERROR(__xludf.DUMMYFUNCTION("""COMPUTED_VALUE"""),30631.03279)</f>
        <v>30631.03279</v>
      </c>
    </row>
    <row r="444">
      <c r="A444" s="3">
        <f>IFERROR(__xludf.DUMMYFUNCTION("""COMPUTED_VALUE"""),40777.99861111111)</f>
        <v>40777.99861</v>
      </c>
      <c r="B444" s="1">
        <f>IFERROR(__xludf.DUMMYFUNCTION("""COMPUTED_VALUE"""),31351.44954)</f>
        <v>31351.44954</v>
      </c>
    </row>
    <row r="445">
      <c r="A445" s="3">
        <f>IFERROR(__xludf.DUMMYFUNCTION("""COMPUTED_VALUE"""),40778.99861111111)</f>
        <v>40778.99861</v>
      </c>
      <c r="B445" s="1">
        <f>IFERROR(__xludf.DUMMYFUNCTION("""COMPUTED_VALUE"""),31385.00856)</f>
        <v>31385.00856</v>
      </c>
    </row>
    <row r="446">
      <c r="A446" s="3">
        <f>IFERROR(__xludf.DUMMYFUNCTION("""COMPUTED_VALUE"""),40779.99861111111)</f>
        <v>40779.99861</v>
      </c>
      <c r="B446" s="1">
        <f>IFERROR(__xludf.DUMMYFUNCTION("""COMPUTED_VALUE"""),31404.9537)</f>
        <v>31404.9537</v>
      </c>
    </row>
    <row r="447">
      <c r="A447" s="3">
        <f>IFERROR(__xludf.DUMMYFUNCTION("""COMPUTED_VALUE"""),40780.99861111111)</f>
        <v>40780.99861</v>
      </c>
      <c r="B447" s="1">
        <f>IFERROR(__xludf.DUMMYFUNCTION("""COMPUTED_VALUE"""),31594.4134)</f>
        <v>31594.4134</v>
      </c>
    </row>
    <row r="448">
      <c r="A448" s="3">
        <f>IFERROR(__xludf.DUMMYFUNCTION("""COMPUTED_VALUE"""),40781.99861111111)</f>
        <v>40781.99861</v>
      </c>
      <c r="B448" s="1">
        <f>IFERROR(__xludf.DUMMYFUNCTION("""COMPUTED_VALUE"""),31382.91513)</f>
        <v>31382.91513</v>
      </c>
    </row>
    <row r="449">
      <c r="A449" s="3">
        <f>IFERROR(__xludf.DUMMYFUNCTION("""COMPUTED_VALUE"""),40782.99861111111)</f>
        <v>40782.99861</v>
      </c>
      <c r="B449" s="1">
        <f>IFERROR(__xludf.DUMMYFUNCTION("""COMPUTED_VALUE"""),30734.605)</f>
        <v>30734.605</v>
      </c>
    </row>
    <row r="450">
      <c r="A450" s="3">
        <f>IFERROR(__xludf.DUMMYFUNCTION("""COMPUTED_VALUE"""),40784.99861111111)</f>
        <v>40784.99861</v>
      </c>
      <c r="B450" s="1">
        <f>IFERROR(__xludf.DUMMYFUNCTION("""COMPUTED_VALUE"""),31363.88364)</f>
        <v>31363.88364</v>
      </c>
    </row>
    <row r="451">
      <c r="A451" s="3">
        <f>IFERROR(__xludf.DUMMYFUNCTION("""COMPUTED_VALUE"""),40785.99861111111)</f>
        <v>40785.99861</v>
      </c>
      <c r="B451" s="1">
        <f>IFERROR(__xludf.DUMMYFUNCTION("""COMPUTED_VALUE"""),31371.13468)</f>
        <v>31371.13468</v>
      </c>
    </row>
    <row r="452">
      <c r="A452" s="3">
        <f>IFERROR(__xludf.DUMMYFUNCTION("""COMPUTED_VALUE"""),40786.99861111111)</f>
        <v>40786.99861</v>
      </c>
      <c r="B452" s="1">
        <f>IFERROR(__xludf.DUMMYFUNCTION("""COMPUTED_VALUE"""),31405.76993)</f>
        <v>31405.76993</v>
      </c>
    </row>
    <row r="453">
      <c r="A453" s="3">
        <f>IFERROR(__xludf.DUMMYFUNCTION("""COMPUTED_VALUE"""),40787.99861111111)</f>
        <v>40787.99861</v>
      </c>
      <c r="B453" s="1">
        <f>IFERROR(__xludf.DUMMYFUNCTION("""COMPUTED_VALUE"""),31184.56806)</f>
        <v>31184.56806</v>
      </c>
    </row>
    <row r="454">
      <c r="A454" s="3">
        <f>IFERROR(__xludf.DUMMYFUNCTION("""COMPUTED_VALUE"""),40788.99861111111)</f>
        <v>40788.99861</v>
      </c>
      <c r="B454" s="1">
        <f>IFERROR(__xludf.DUMMYFUNCTION("""COMPUTED_VALUE"""),31221.299)</f>
        <v>31221.299</v>
      </c>
    </row>
    <row r="455">
      <c r="A455" s="3">
        <f>IFERROR(__xludf.DUMMYFUNCTION("""COMPUTED_VALUE"""),40789.99861111111)</f>
        <v>40789.99861</v>
      </c>
      <c r="B455" s="1">
        <f>IFERROR(__xludf.DUMMYFUNCTION("""COMPUTED_VALUE"""),30878.34983)</f>
        <v>30878.34983</v>
      </c>
    </row>
    <row r="456">
      <c r="A456" s="3">
        <f>IFERROR(__xludf.DUMMYFUNCTION("""COMPUTED_VALUE"""),40791.99861111111)</f>
        <v>40791.99861</v>
      </c>
      <c r="B456" s="1">
        <f>IFERROR(__xludf.DUMMYFUNCTION("""COMPUTED_VALUE"""),30699.75628)</f>
        <v>30699.75628</v>
      </c>
    </row>
    <row r="457">
      <c r="A457" s="3">
        <f>IFERROR(__xludf.DUMMYFUNCTION("""COMPUTED_VALUE"""),40792.99861111111)</f>
        <v>40792.99861</v>
      </c>
      <c r="B457" s="1">
        <f>IFERROR(__xludf.DUMMYFUNCTION("""COMPUTED_VALUE"""),31272.21095)</f>
        <v>31272.21095</v>
      </c>
    </row>
    <row r="458">
      <c r="A458" s="3">
        <f>IFERROR(__xludf.DUMMYFUNCTION("""COMPUTED_VALUE"""),40793.99861111111)</f>
        <v>40793.99861</v>
      </c>
      <c r="B458" s="1">
        <f>IFERROR(__xludf.DUMMYFUNCTION("""COMPUTED_VALUE"""),31206.58024)</f>
        <v>31206.58024</v>
      </c>
    </row>
    <row r="459">
      <c r="A459" s="3">
        <f>IFERROR(__xludf.DUMMYFUNCTION("""COMPUTED_VALUE"""),40794.99861111111)</f>
        <v>40794.99861</v>
      </c>
      <c r="B459" s="1">
        <f>IFERROR(__xludf.DUMMYFUNCTION("""COMPUTED_VALUE"""),31298.44717)</f>
        <v>31298.44717</v>
      </c>
    </row>
    <row r="460">
      <c r="A460" s="3">
        <f>IFERROR(__xludf.DUMMYFUNCTION("""COMPUTED_VALUE"""),40795.99861111111)</f>
        <v>40795.99861</v>
      </c>
      <c r="B460" s="1">
        <f>IFERROR(__xludf.DUMMYFUNCTION("""COMPUTED_VALUE"""),31211.11515)</f>
        <v>31211.11515</v>
      </c>
    </row>
    <row r="461">
      <c r="A461" s="3">
        <f>IFERROR(__xludf.DUMMYFUNCTION("""COMPUTED_VALUE"""),40797.99861111111)</f>
        <v>40797.99861</v>
      </c>
      <c r="B461" s="1">
        <f>IFERROR(__xludf.DUMMYFUNCTION("""COMPUTED_VALUE"""),30926.13452)</f>
        <v>30926.13452</v>
      </c>
    </row>
    <row r="462">
      <c r="A462" s="3">
        <f>IFERROR(__xludf.DUMMYFUNCTION("""COMPUTED_VALUE"""),40798.99861111111)</f>
        <v>40798.99861</v>
      </c>
      <c r="B462" s="1">
        <f>IFERROR(__xludf.DUMMYFUNCTION("""COMPUTED_VALUE"""),31136.89954)</f>
        <v>31136.89954</v>
      </c>
    </row>
    <row r="463">
      <c r="A463" s="3">
        <f>IFERROR(__xludf.DUMMYFUNCTION("""COMPUTED_VALUE"""),40799.99861111111)</f>
        <v>40799.99861</v>
      </c>
      <c r="B463" s="1">
        <f>IFERROR(__xludf.DUMMYFUNCTION("""COMPUTED_VALUE"""),31374.03887)</f>
        <v>31374.03887</v>
      </c>
    </row>
    <row r="464">
      <c r="A464" s="3">
        <f>IFERROR(__xludf.DUMMYFUNCTION("""COMPUTED_VALUE"""),40800.99861111111)</f>
        <v>40800.99861</v>
      </c>
      <c r="B464" s="1">
        <f>IFERROR(__xludf.DUMMYFUNCTION("""COMPUTED_VALUE"""),31680.10154)</f>
        <v>31680.10154</v>
      </c>
    </row>
    <row r="465">
      <c r="A465" s="3">
        <f>IFERROR(__xludf.DUMMYFUNCTION("""COMPUTED_VALUE"""),40801.99861111111)</f>
        <v>40801.99861</v>
      </c>
      <c r="B465" s="1">
        <f>IFERROR(__xludf.DUMMYFUNCTION("""COMPUTED_VALUE"""),32044.37597)</f>
        <v>32044.37597</v>
      </c>
    </row>
    <row r="466">
      <c r="A466" s="3">
        <f>IFERROR(__xludf.DUMMYFUNCTION("""COMPUTED_VALUE"""),40802.99861111111)</f>
        <v>40802.99861</v>
      </c>
      <c r="B466" s="1">
        <f>IFERROR(__xludf.DUMMYFUNCTION("""COMPUTED_VALUE"""),31884.1359)</f>
        <v>31884.1359</v>
      </c>
    </row>
    <row r="467">
      <c r="A467" s="3">
        <f>IFERROR(__xludf.DUMMYFUNCTION("""COMPUTED_VALUE"""),40805.99861111111)</f>
        <v>40805.99861</v>
      </c>
      <c r="B467" s="1">
        <f>IFERROR(__xludf.DUMMYFUNCTION("""COMPUTED_VALUE"""),32061.63382)</f>
        <v>32061.63382</v>
      </c>
    </row>
    <row r="468">
      <c r="A468" s="3">
        <f>IFERROR(__xludf.DUMMYFUNCTION("""COMPUTED_VALUE"""),40806.99861111111)</f>
        <v>40806.99861</v>
      </c>
      <c r="B468" s="1">
        <f>IFERROR(__xludf.DUMMYFUNCTION("""COMPUTED_VALUE"""),31953.21985)</f>
        <v>31953.21985</v>
      </c>
    </row>
    <row r="469">
      <c r="A469" s="3">
        <f>IFERROR(__xludf.DUMMYFUNCTION("""COMPUTED_VALUE"""),40807.99861111111)</f>
        <v>40807.99861</v>
      </c>
      <c r="B469" s="1">
        <f>IFERROR(__xludf.DUMMYFUNCTION("""COMPUTED_VALUE"""),32131.19898)</f>
        <v>32131.19898</v>
      </c>
    </row>
    <row r="470">
      <c r="A470" s="3">
        <f>IFERROR(__xludf.DUMMYFUNCTION("""COMPUTED_VALUE"""),40808.99861111111)</f>
        <v>40808.99861</v>
      </c>
      <c r="B470" s="1">
        <f>IFERROR(__xludf.DUMMYFUNCTION("""COMPUTED_VALUE"""),31678.65136)</f>
        <v>31678.65136</v>
      </c>
    </row>
    <row r="471">
      <c r="A471" s="3">
        <f>IFERROR(__xludf.DUMMYFUNCTION("""COMPUTED_VALUE"""),40809.99861111111)</f>
        <v>40809.99861</v>
      </c>
      <c r="B471" s="1">
        <f>IFERROR(__xludf.DUMMYFUNCTION("""COMPUTED_VALUE"""),31665.27881)</f>
        <v>31665.27881</v>
      </c>
    </row>
    <row r="472">
      <c r="A472" s="3">
        <f>IFERROR(__xludf.DUMMYFUNCTION("""COMPUTED_VALUE"""),40810.99861111111)</f>
        <v>40810.99861</v>
      </c>
      <c r="B472" s="1">
        <f>IFERROR(__xludf.DUMMYFUNCTION("""COMPUTED_VALUE"""),31012.26338)</f>
        <v>31012.26338</v>
      </c>
    </row>
    <row r="473">
      <c r="A473" s="3">
        <f>IFERROR(__xludf.DUMMYFUNCTION("""COMPUTED_VALUE"""),40812.99861111111)</f>
        <v>40812.99861</v>
      </c>
      <c r="B473" s="1">
        <f>IFERROR(__xludf.DUMMYFUNCTION("""COMPUTED_VALUE"""),32720.71524)</f>
        <v>32720.71524</v>
      </c>
    </row>
    <row r="474">
      <c r="A474" s="3">
        <f>IFERROR(__xludf.DUMMYFUNCTION("""COMPUTED_VALUE"""),40813.99861111111)</f>
        <v>40813.99861</v>
      </c>
      <c r="B474" s="1">
        <f>IFERROR(__xludf.DUMMYFUNCTION("""COMPUTED_VALUE"""),32205.96274)</f>
        <v>32205.96274</v>
      </c>
    </row>
    <row r="475">
      <c r="A475" s="3">
        <f>IFERROR(__xludf.DUMMYFUNCTION("""COMPUTED_VALUE"""),40814.99861111111)</f>
        <v>40814.99861</v>
      </c>
      <c r="B475" s="1">
        <f>IFERROR(__xludf.DUMMYFUNCTION("""COMPUTED_VALUE"""),32151.7132)</f>
        <v>32151.7132</v>
      </c>
    </row>
    <row r="476">
      <c r="A476" s="3">
        <f>IFERROR(__xludf.DUMMYFUNCTION("""COMPUTED_VALUE"""),40815.99861111111)</f>
        <v>40815.99861</v>
      </c>
      <c r="B476" s="1">
        <f>IFERROR(__xludf.DUMMYFUNCTION("""COMPUTED_VALUE"""),32436.95288)</f>
        <v>32436.95288</v>
      </c>
    </row>
    <row r="477">
      <c r="A477" s="3">
        <f>IFERROR(__xludf.DUMMYFUNCTION("""COMPUTED_VALUE"""),40816.99861111111)</f>
        <v>40816.99861</v>
      </c>
      <c r="B477" s="1">
        <f>IFERROR(__xludf.DUMMYFUNCTION("""COMPUTED_VALUE"""),31767.07267)</f>
        <v>31767.07267</v>
      </c>
    </row>
    <row r="478">
      <c r="A478" s="3">
        <f>IFERROR(__xludf.DUMMYFUNCTION("""COMPUTED_VALUE"""),40819.99861111111)</f>
        <v>40819.99861</v>
      </c>
      <c r="B478" s="1">
        <f>IFERROR(__xludf.DUMMYFUNCTION("""COMPUTED_VALUE"""),32120.75542)</f>
        <v>32120.75542</v>
      </c>
    </row>
    <row r="479">
      <c r="A479" s="3">
        <f>IFERROR(__xludf.DUMMYFUNCTION("""COMPUTED_VALUE"""),40820.99861111111)</f>
        <v>40820.99861</v>
      </c>
      <c r="B479" s="1">
        <f>IFERROR(__xludf.DUMMYFUNCTION("""COMPUTED_VALUE"""),31112.87499)</f>
        <v>31112.87499</v>
      </c>
    </row>
    <row r="480">
      <c r="A480" s="3">
        <f>IFERROR(__xludf.DUMMYFUNCTION("""COMPUTED_VALUE"""),40821.99861111111)</f>
        <v>40821.99861</v>
      </c>
      <c r="B480" s="1">
        <f>IFERROR(__xludf.DUMMYFUNCTION("""COMPUTED_VALUE"""),32315.70967)</f>
        <v>32315.70967</v>
      </c>
    </row>
    <row r="481">
      <c r="A481" s="3">
        <f>IFERROR(__xludf.DUMMYFUNCTION("""COMPUTED_VALUE"""),40822.99861111111)</f>
        <v>40822.99861</v>
      </c>
      <c r="B481" s="1">
        <f>IFERROR(__xludf.DUMMYFUNCTION("""COMPUTED_VALUE"""),32024.49145)</f>
        <v>32024.49145</v>
      </c>
    </row>
    <row r="482">
      <c r="A482" s="3">
        <f>IFERROR(__xludf.DUMMYFUNCTION("""COMPUTED_VALUE"""),40823.99861111111)</f>
        <v>40823.99861</v>
      </c>
      <c r="B482" s="1">
        <f>IFERROR(__xludf.DUMMYFUNCTION("""COMPUTED_VALUE"""),32237.13407)</f>
        <v>32237.13407</v>
      </c>
    </row>
    <row r="483">
      <c r="A483" s="3">
        <f>IFERROR(__xludf.DUMMYFUNCTION("""COMPUTED_VALUE"""),40825.99861111111)</f>
        <v>40825.99861</v>
      </c>
      <c r="B483" s="1">
        <f>IFERROR(__xludf.DUMMYFUNCTION("""COMPUTED_VALUE"""),32205.6282)</f>
        <v>32205.6282</v>
      </c>
    </row>
    <row r="484">
      <c r="A484" s="3">
        <f>IFERROR(__xludf.DUMMYFUNCTION("""COMPUTED_VALUE"""),40826.99861111111)</f>
        <v>40826.99861</v>
      </c>
      <c r="B484" s="1">
        <f>IFERROR(__xludf.DUMMYFUNCTION("""COMPUTED_VALUE"""),32247.05602)</f>
        <v>32247.05602</v>
      </c>
    </row>
    <row r="485">
      <c r="A485" s="3">
        <f>IFERROR(__xludf.DUMMYFUNCTION("""COMPUTED_VALUE"""),40827.99861111111)</f>
        <v>40827.99861</v>
      </c>
      <c r="B485" s="1">
        <f>IFERROR(__xludf.DUMMYFUNCTION("""COMPUTED_VALUE"""),31622.28606)</f>
        <v>31622.28606</v>
      </c>
    </row>
    <row r="486">
      <c r="A486" s="3">
        <f>IFERROR(__xludf.DUMMYFUNCTION("""COMPUTED_VALUE"""),40828.99861111111)</f>
        <v>40828.99861</v>
      </c>
      <c r="B486" s="1">
        <f>IFERROR(__xludf.DUMMYFUNCTION("""COMPUTED_VALUE"""),32145.16044)</f>
        <v>32145.16044</v>
      </c>
    </row>
    <row r="487">
      <c r="A487" s="3">
        <f>IFERROR(__xludf.DUMMYFUNCTION("""COMPUTED_VALUE"""),40829.99861111111)</f>
        <v>40829.99861</v>
      </c>
      <c r="B487" s="1">
        <f>IFERROR(__xludf.DUMMYFUNCTION("""COMPUTED_VALUE"""),32137.4964)</f>
        <v>32137.4964</v>
      </c>
    </row>
    <row r="488">
      <c r="A488" s="3">
        <f>IFERROR(__xludf.DUMMYFUNCTION("""COMPUTED_VALUE"""),40830.99861111111)</f>
        <v>40830.99861</v>
      </c>
      <c r="B488" s="1">
        <f>IFERROR(__xludf.DUMMYFUNCTION("""COMPUTED_VALUE"""),32097.19879)</f>
        <v>32097.19879</v>
      </c>
    </row>
    <row r="489">
      <c r="A489" s="3">
        <f>IFERROR(__xludf.DUMMYFUNCTION("""COMPUTED_VALUE"""),40831.99861111111)</f>
        <v>40831.99861</v>
      </c>
      <c r="B489" s="1">
        <f>IFERROR(__xludf.DUMMYFUNCTION("""COMPUTED_VALUE"""),31415.1585)</f>
        <v>31415.1585</v>
      </c>
    </row>
    <row r="490">
      <c r="A490" s="3">
        <f>IFERROR(__xludf.DUMMYFUNCTION("""COMPUTED_VALUE"""),40833.99861111111)</f>
        <v>40833.99861</v>
      </c>
      <c r="B490" s="1">
        <f>IFERROR(__xludf.DUMMYFUNCTION("""COMPUTED_VALUE"""),32262.29941)</f>
        <v>32262.29941</v>
      </c>
    </row>
    <row r="491">
      <c r="A491" s="3">
        <f>IFERROR(__xludf.DUMMYFUNCTION("""COMPUTED_VALUE"""),40834.99861111111)</f>
        <v>40834.99861</v>
      </c>
      <c r="B491" s="1">
        <f>IFERROR(__xludf.DUMMYFUNCTION("""COMPUTED_VALUE"""),32229.96)</f>
        <v>32229.96</v>
      </c>
    </row>
    <row r="492">
      <c r="A492" s="3">
        <f>IFERROR(__xludf.DUMMYFUNCTION("""COMPUTED_VALUE"""),40835.99861111111)</f>
        <v>40835.99861</v>
      </c>
      <c r="B492" s="1">
        <f>IFERROR(__xludf.DUMMYFUNCTION("""COMPUTED_VALUE"""),32107.49583)</f>
        <v>32107.49583</v>
      </c>
    </row>
    <row r="493">
      <c r="A493" s="3">
        <f>IFERROR(__xludf.DUMMYFUNCTION("""COMPUTED_VALUE"""),40836.99861111111)</f>
        <v>40836.99861</v>
      </c>
      <c r="B493" s="1">
        <f>IFERROR(__xludf.DUMMYFUNCTION("""COMPUTED_VALUE"""),32061.57284)</f>
        <v>32061.57284</v>
      </c>
    </row>
    <row r="494">
      <c r="A494" s="3">
        <f>IFERROR(__xludf.DUMMYFUNCTION("""COMPUTED_VALUE"""),40837.99861111111)</f>
        <v>40837.99861</v>
      </c>
      <c r="B494" s="1">
        <f>IFERROR(__xludf.DUMMYFUNCTION("""COMPUTED_VALUE"""),32152.581)</f>
        <v>32152.581</v>
      </c>
    </row>
    <row r="495">
      <c r="A495" s="3">
        <f>IFERROR(__xludf.DUMMYFUNCTION("""COMPUTED_VALUE"""),40838.99861111111)</f>
        <v>40838.99861</v>
      </c>
      <c r="B495" s="1">
        <f>IFERROR(__xludf.DUMMYFUNCTION("""COMPUTED_VALUE"""),31083.00813)</f>
        <v>31083.00813</v>
      </c>
    </row>
    <row r="496">
      <c r="A496" s="3">
        <f>IFERROR(__xludf.DUMMYFUNCTION("""COMPUTED_VALUE"""),40840.99861111111)</f>
        <v>40840.99861</v>
      </c>
      <c r="B496" s="1">
        <f>IFERROR(__xludf.DUMMYFUNCTION("""COMPUTED_VALUE"""),32130.08006)</f>
        <v>32130.08006</v>
      </c>
    </row>
    <row r="497">
      <c r="A497" s="3">
        <f>IFERROR(__xludf.DUMMYFUNCTION("""COMPUTED_VALUE"""),40841.99861111111)</f>
        <v>40841.99861</v>
      </c>
      <c r="B497" s="1">
        <f>IFERROR(__xludf.DUMMYFUNCTION("""COMPUTED_VALUE"""),32240.2528)</f>
        <v>32240.2528</v>
      </c>
    </row>
    <row r="498">
      <c r="A498" s="3">
        <f>IFERROR(__xludf.DUMMYFUNCTION("""COMPUTED_VALUE"""),40842.99861111111)</f>
        <v>40842.99861</v>
      </c>
      <c r="B498" s="1">
        <f>IFERROR(__xludf.DUMMYFUNCTION("""COMPUTED_VALUE"""),32305.2131)</f>
        <v>32305.2131</v>
      </c>
    </row>
    <row r="499">
      <c r="A499" s="3">
        <f>IFERROR(__xludf.DUMMYFUNCTION("""COMPUTED_VALUE"""),40843.99861111111)</f>
        <v>40843.99861</v>
      </c>
      <c r="B499" s="1">
        <f>IFERROR(__xludf.DUMMYFUNCTION("""COMPUTED_VALUE"""),32345.57045)</f>
        <v>32345.57045</v>
      </c>
    </row>
    <row r="500">
      <c r="A500" s="3">
        <f>IFERROR(__xludf.DUMMYFUNCTION("""COMPUTED_VALUE"""),40844.99861111111)</f>
        <v>40844.99861</v>
      </c>
      <c r="B500" s="1">
        <f>IFERROR(__xludf.DUMMYFUNCTION("""COMPUTED_VALUE"""),32220.50899)</f>
        <v>32220.50899</v>
      </c>
    </row>
    <row r="501">
      <c r="A501" s="3">
        <f>IFERROR(__xludf.DUMMYFUNCTION("""COMPUTED_VALUE"""),40847.99861111111)</f>
        <v>40847.99861</v>
      </c>
      <c r="B501" s="1">
        <f>IFERROR(__xludf.DUMMYFUNCTION("""COMPUTED_VALUE"""),32151.54606)</f>
        <v>32151.54606</v>
      </c>
    </row>
    <row r="502">
      <c r="A502" s="3">
        <f>IFERROR(__xludf.DUMMYFUNCTION("""COMPUTED_VALUE"""),40848.99861111111)</f>
        <v>40848.99861</v>
      </c>
      <c r="B502" s="1">
        <f>IFERROR(__xludf.DUMMYFUNCTION("""COMPUTED_VALUE"""),32237.12216)</f>
        <v>32237.12216</v>
      </c>
    </row>
    <row r="503">
      <c r="A503" s="3">
        <f>IFERROR(__xludf.DUMMYFUNCTION("""COMPUTED_VALUE"""),40849.99861111111)</f>
        <v>40849.99861</v>
      </c>
      <c r="B503" s="1">
        <f>IFERROR(__xludf.DUMMYFUNCTION("""COMPUTED_VALUE"""),32219.72403)</f>
        <v>32219.72403</v>
      </c>
    </row>
    <row r="504">
      <c r="A504" s="3">
        <f>IFERROR(__xludf.DUMMYFUNCTION("""COMPUTED_VALUE"""),40850.99861111111)</f>
        <v>40850.99861</v>
      </c>
      <c r="B504" s="1">
        <f>IFERROR(__xludf.DUMMYFUNCTION("""COMPUTED_VALUE"""),32522.17612)</f>
        <v>32522.17612</v>
      </c>
    </row>
    <row r="505">
      <c r="A505" s="3">
        <f>IFERROR(__xludf.DUMMYFUNCTION("""COMPUTED_VALUE"""),40851.99861111111)</f>
        <v>40851.99861</v>
      </c>
      <c r="B505" s="1">
        <f>IFERROR(__xludf.DUMMYFUNCTION("""COMPUTED_VALUE"""),32497.7217)</f>
        <v>32497.7217</v>
      </c>
    </row>
    <row r="506">
      <c r="A506" s="3">
        <f>IFERROR(__xludf.DUMMYFUNCTION("""COMPUTED_VALUE"""),40852.99861111111)</f>
        <v>40852.99861</v>
      </c>
      <c r="B506" s="1">
        <f>IFERROR(__xludf.DUMMYFUNCTION("""COMPUTED_VALUE"""),32103.17138)</f>
        <v>32103.17138</v>
      </c>
    </row>
    <row r="507">
      <c r="A507" s="3">
        <f>IFERROR(__xludf.DUMMYFUNCTION("""COMPUTED_VALUE"""),40854.99861111111)</f>
        <v>40854.99861</v>
      </c>
      <c r="B507" s="1">
        <f>IFERROR(__xludf.DUMMYFUNCTION("""COMPUTED_VALUE"""),32551.6104)</f>
        <v>32551.6104</v>
      </c>
    </row>
    <row r="508">
      <c r="A508" s="3">
        <f>IFERROR(__xludf.DUMMYFUNCTION("""COMPUTED_VALUE"""),40855.99861111111)</f>
        <v>40855.99861</v>
      </c>
      <c r="B508" s="1">
        <f>IFERROR(__xludf.DUMMYFUNCTION("""COMPUTED_VALUE"""),32429.97069)</f>
        <v>32429.97069</v>
      </c>
    </row>
    <row r="509">
      <c r="A509" s="3">
        <f>IFERROR(__xludf.DUMMYFUNCTION("""COMPUTED_VALUE"""),40856.99861111111)</f>
        <v>40856.99861</v>
      </c>
      <c r="B509" s="1">
        <f>IFERROR(__xludf.DUMMYFUNCTION("""COMPUTED_VALUE"""),32309.46537)</f>
        <v>32309.46537</v>
      </c>
    </row>
    <row r="510">
      <c r="A510" s="3">
        <f>IFERROR(__xludf.DUMMYFUNCTION("""COMPUTED_VALUE"""),40857.99861111111)</f>
        <v>40857.99861</v>
      </c>
      <c r="B510" s="1">
        <f>IFERROR(__xludf.DUMMYFUNCTION("""COMPUTED_VALUE"""),32529.28148)</f>
        <v>32529.28148</v>
      </c>
    </row>
    <row r="511">
      <c r="A511" s="3">
        <f>IFERROR(__xludf.DUMMYFUNCTION("""COMPUTED_VALUE"""),40858.99861111111)</f>
        <v>40858.99861</v>
      </c>
      <c r="B511" s="1">
        <f>IFERROR(__xludf.DUMMYFUNCTION("""COMPUTED_VALUE"""),32539.23585)</f>
        <v>32539.23585</v>
      </c>
    </row>
    <row r="512">
      <c r="A512" s="3">
        <f>IFERROR(__xludf.DUMMYFUNCTION("""COMPUTED_VALUE"""),40860.99861111111)</f>
        <v>40860.99861</v>
      </c>
      <c r="B512" s="1">
        <f>IFERROR(__xludf.DUMMYFUNCTION("""COMPUTED_VALUE"""),32610.72156)</f>
        <v>32610.72156</v>
      </c>
    </row>
    <row r="513">
      <c r="A513" s="3">
        <f>IFERROR(__xludf.DUMMYFUNCTION("""COMPUTED_VALUE"""),40861.99861111111)</f>
        <v>40861.99861</v>
      </c>
      <c r="B513" s="1">
        <f>IFERROR(__xludf.DUMMYFUNCTION("""COMPUTED_VALUE"""),32576.11811)</f>
        <v>32576.11811</v>
      </c>
    </row>
    <row r="514">
      <c r="A514" s="3">
        <f>IFERROR(__xludf.DUMMYFUNCTION("""COMPUTED_VALUE"""),40862.99861111111)</f>
        <v>40862.99861</v>
      </c>
      <c r="B514" s="1">
        <f>IFERROR(__xludf.DUMMYFUNCTION("""COMPUTED_VALUE"""),32655.46436)</f>
        <v>32655.46436</v>
      </c>
    </row>
    <row r="515">
      <c r="A515" s="3">
        <f>IFERROR(__xludf.DUMMYFUNCTION("""COMPUTED_VALUE"""),40863.99861111111)</f>
        <v>40863.99861</v>
      </c>
      <c r="B515" s="1">
        <f>IFERROR(__xludf.DUMMYFUNCTION("""COMPUTED_VALUE"""),32608.58591)</f>
        <v>32608.58591</v>
      </c>
    </row>
    <row r="516">
      <c r="A516" s="3">
        <f>IFERROR(__xludf.DUMMYFUNCTION("""COMPUTED_VALUE"""),40864.99861111111)</f>
        <v>40864.99861</v>
      </c>
      <c r="B516" s="1">
        <f>IFERROR(__xludf.DUMMYFUNCTION("""COMPUTED_VALUE"""),32509.77896)</f>
        <v>32509.77896</v>
      </c>
    </row>
    <row r="517">
      <c r="A517" s="3">
        <f>IFERROR(__xludf.DUMMYFUNCTION("""COMPUTED_VALUE"""),40865.99861111111)</f>
        <v>40865.99861</v>
      </c>
      <c r="B517" s="1">
        <f>IFERROR(__xludf.DUMMYFUNCTION("""COMPUTED_VALUE"""),32637.023)</f>
        <v>32637.023</v>
      </c>
    </row>
    <row r="518">
      <c r="A518" s="3">
        <f>IFERROR(__xludf.DUMMYFUNCTION("""COMPUTED_VALUE"""),40866.99861111111)</f>
        <v>40866.99861</v>
      </c>
      <c r="B518" s="1">
        <f>IFERROR(__xludf.DUMMYFUNCTION("""COMPUTED_VALUE"""),32305.98852)</f>
        <v>32305.98852</v>
      </c>
    </row>
    <row r="519">
      <c r="A519" s="3">
        <f>IFERROR(__xludf.DUMMYFUNCTION("""COMPUTED_VALUE"""),40868.99861111111)</f>
        <v>40868.99861</v>
      </c>
      <c r="B519" s="1">
        <f>IFERROR(__xludf.DUMMYFUNCTION("""COMPUTED_VALUE"""),32699.09054)</f>
        <v>32699.09054</v>
      </c>
    </row>
    <row r="520">
      <c r="A520" s="3">
        <f>IFERROR(__xludf.DUMMYFUNCTION("""COMPUTED_VALUE"""),40869.99861111111)</f>
        <v>40869.99861</v>
      </c>
      <c r="B520" s="1">
        <f>IFERROR(__xludf.DUMMYFUNCTION("""COMPUTED_VALUE"""),32796.50931)</f>
        <v>32796.50931</v>
      </c>
    </row>
    <row r="521">
      <c r="A521" s="3">
        <f>IFERROR(__xludf.DUMMYFUNCTION("""COMPUTED_VALUE"""),40870.99861111111)</f>
        <v>40870.99861</v>
      </c>
      <c r="B521" s="1">
        <f>IFERROR(__xludf.DUMMYFUNCTION("""COMPUTED_VALUE"""),32699.54439)</f>
        <v>32699.54439</v>
      </c>
    </row>
    <row r="522">
      <c r="A522" s="3">
        <f>IFERROR(__xludf.DUMMYFUNCTION("""COMPUTED_VALUE"""),40871.99861111111)</f>
        <v>40871.99861</v>
      </c>
      <c r="B522" s="1">
        <f>IFERROR(__xludf.DUMMYFUNCTION("""COMPUTED_VALUE"""),32437.20204)</f>
        <v>32437.20204</v>
      </c>
    </row>
    <row r="523">
      <c r="A523" s="3">
        <f>IFERROR(__xludf.DUMMYFUNCTION("""COMPUTED_VALUE"""),40872.99861111111)</f>
        <v>40872.99861</v>
      </c>
      <c r="B523" s="1">
        <f>IFERROR(__xludf.DUMMYFUNCTION("""COMPUTED_VALUE"""),32587.00087)</f>
        <v>32587.00087</v>
      </c>
    </row>
    <row r="524">
      <c r="A524" s="3">
        <f>IFERROR(__xludf.DUMMYFUNCTION("""COMPUTED_VALUE"""),40873.99861111111)</f>
        <v>40873.99861</v>
      </c>
      <c r="B524" s="1">
        <f>IFERROR(__xludf.DUMMYFUNCTION("""COMPUTED_VALUE"""),32661.43226)</f>
        <v>32661.43226</v>
      </c>
    </row>
    <row r="525">
      <c r="A525" s="3">
        <f>IFERROR(__xludf.DUMMYFUNCTION("""COMPUTED_VALUE"""),40874.99861111111)</f>
        <v>40874.99861</v>
      </c>
      <c r="B525" s="1">
        <f>IFERROR(__xludf.DUMMYFUNCTION("""COMPUTED_VALUE"""),32738.98667)</f>
        <v>32738.98667</v>
      </c>
    </row>
    <row r="526">
      <c r="A526" s="3">
        <f>IFERROR(__xludf.DUMMYFUNCTION("""COMPUTED_VALUE"""),40875.99861111111)</f>
        <v>40875.99861</v>
      </c>
      <c r="B526" s="1">
        <f>IFERROR(__xludf.DUMMYFUNCTION("""COMPUTED_VALUE"""),32947.58189)</f>
        <v>32947.58189</v>
      </c>
    </row>
    <row r="527">
      <c r="A527" s="3">
        <f>IFERROR(__xludf.DUMMYFUNCTION("""COMPUTED_VALUE"""),40876.99861111111)</f>
        <v>40876.99861</v>
      </c>
      <c r="B527" s="1">
        <f>IFERROR(__xludf.DUMMYFUNCTION("""COMPUTED_VALUE"""),32967.64333)</f>
        <v>32967.64333</v>
      </c>
    </row>
    <row r="528">
      <c r="A528" s="3">
        <f>IFERROR(__xludf.DUMMYFUNCTION("""COMPUTED_VALUE"""),40877.99861111111)</f>
        <v>40877.99861</v>
      </c>
      <c r="B528" s="1">
        <f>IFERROR(__xludf.DUMMYFUNCTION("""COMPUTED_VALUE"""),32856.82802)</f>
        <v>32856.82802</v>
      </c>
    </row>
    <row r="529">
      <c r="A529" s="3">
        <f>IFERROR(__xludf.DUMMYFUNCTION("""COMPUTED_VALUE"""),40878.99861111111)</f>
        <v>40878.99861</v>
      </c>
      <c r="B529" s="1">
        <f>IFERROR(__xludf.DUMMYFUNCTION("""COMPUTED_VALUE"""),32560.90045)</f>
        <v>32560.90045</v>
      </c>
    </row>
    <row r="530">
      <c r="A530" s="3">
        <f>IFERROR(__xludf.DUMMYFUNCTION("""COMPUTED_VALUE"""),40879.99861111111)</f>
        <v>40879.99861</v>
      </c>
      <c r="B530" s="1">
        <f>IFERROR(__xludf.DUMMYFUNCTION("""COMPUTED_VALUE"""),32598.07773)</f>
        <v>32598.07773</v>
      </c>
    </row>
    <row r="531">
      <c r="A531" s="3">
        <f>IFERROR(__xludf.DUMMYFUNCTION("""COMPUTED_VALUE"""),40881.99861111111)</f>
        <v>40881.99861</v>
      </c>
      <c r="B531" s="1">
        <f>IFERROR(__xludf.DUMMYFUNCTION("""COMPUTED_VALUE"""),32610.86944)</f>
        <v>32610.86944</v>
      </c>
    </row>
    <row r="532">
      <c r="A532" s="3">
        <f>IFERROR(__xludf.DUMMYFUNCTION("""COMPUTED_VALUE"""),40882.99861111111)</f>
        <v>40882.99861</v>
      </c>
      <c r="B532" s="1">
        <f>IFERROR(__xludf.DUMMYFUNCTION("""COMPUTED_VALUE"""),32609.76015)</f>
        <v>32609.76015</v>
      </c>
    </row>
    <row r="533">
      <c r="A533" s="3">
        <f>IFERROR(__xludf.DUMMYFUNCTION("""COMPUTED_VALUE"""),40883.99861111111)</f>
        <v>40883.99861</v>
      </c>
      <c r="B533" s="1">
        <f>IFERROR(__xludf.DUMMYFUNCTION("""COMPUTED_VALUE"""),32676.12542)</f>
        <v>32676.12542</v>
      </c>
    </row>
    <row r="534">
      <c r="A534" s="3">
        <f>IFERROR(__xludf.DUMMYFUNCTION("""COMPUTED_VALUE"""),40884.99861111111)</f>
        <v>40884.99861</v>
      </c>
      <c r="B534" s="1">
        <f>IFERROR(__xludf.DUMMYFUNCTION("""COMPUTED_VALUE"""),32654.72374)</f>
        <v>32654.72374</v>
      </c>
    </row>
    <row r="535">
      <c r="A535" s="3">
        <f>IFERROR(__xludf.DUMMYFUNCTION("""COMPUTED_VALUE"""),40885.99861111111)</f>
        <v>40885.99861</v>
      </c>
      <c r="B535" s="1">
        <f>IFERROR(__xludf.DUMMYFUNCTION("""COMPUTED_VALUE"""),32513.82089)</f>
        <v>32513.82089</v>
      </c>
    </row>
    <row r="536">
      <c r="A536" s="3">
        <f>IFERROR(__xludf.DUMMYFUNCTION("""COMPUTED_VALUE"""),40886.99861111111)</f>
        <v>40886.99861</v>
      </c>
      <c r="B536" s="1">
        <f>IFERROR(__xludf.DUMMYFUNCTION("""COMPUTED_VALUE"""),32730.5558)</f>
        <v>32730.5558</v>
      </c>
    </row>
    <row r="537">
      <c r="A537" s="3">
        <f>IFERROR(__xludf.DUMMYFUNCTION("""COMPUTED_VALUE"""),40887.99861111111)</f>
        <v>40887.99861</v>
      </c>
      <c r="B537" s="1">
        <f>IFERROR(__xludf.DUMMYFUNCTION("""COMPUTED_VALUE"""),32197.46365)</f>
        <v>32197.46365</v>
      </c>
    </row>
    <row r="538">
      <c r="A538" s="3">
        <f>IFERROR(__xludf.DUMMYFUNCTION("""COMPUTED_VALUE"""),40889.99861111111)</f>
        <v>40889.99861</v>
      </c>
      <c r="B538" s="1">
        <f>IFERROR(__xludf.DUMMYFUNCTION("""COMPUTED_VALUE"""),32694.89916)</f>
        <v>32694.89916</v>
      </c>
    </row>
    <row r="539">
      <c r="A539" s="3">
        <f>IFERROR(__xludf.DUMMYFUNCTION("""COMPUTED_VALUE"""),40890.99861111111)</f>
        <v>40890.99861</v>
      </c>
      <c r="B539" s="1">
        <f>IFERROR(__xludf.DUMMYFUNCTION("""COMPUTED_VALUE"""),32866.00522)</f>
        <v>32866.00522</v>
      </c>
    </row>
    <row r="540">
      <c r="A540" s="3">
        <f>IFERROR(__xludf.DUMMYFUNCTION("""COMPUTED_VALUE"""),40891.99861111111)</f>
        <v>40891.99861</v>
      </c>
      <c r="B540" s="1">
        <f>IFERROR(__xludf.DUMMYFUNCTION("""COMPUTED_VALUE"""),32763.276)</f>
        <v>32763.276</v>
      </c>
    </row>
    <row r="541">
      <c r="A541" s="3">
        <f>IFERROR(__xludf.DUMMYFUNCTION("""COMPUTED_VALUE"""),40892.99861111111)</f>
        <v>40892.99861</v>
      </c>
      <c r="B541" s="1">
        <f>IFERROR(__xludf.DUMMYFUNCTION("""COMPUTED_VALUE"""),32709.42151)</f>
        <v>32709.42151</v>
      </c>
    </row>
    <row r="542">
      <c r="A542" s="3">
        <f>IFERROR(__xludf.DUMMYFUNCTION("""COMPUTED_VALUE"""),40893.99861111111)</f>
        <v>40893.99861</v>
      </c>
      <c r="B542" s="1">
        <f>IFERROR(__xludf.DUMMYFUNCTION("""COMPUTED_VALUE"""),32634.52963)</f>
        <v>32634.52963</v>
      </c>
    </row>
    <row r="543">
      <c r="A543" s="3">
        <f>IFERROR(__xludf.DUMMYFUNCTION("""COMPUTED_VALUE"""),40895.99861111111)</f>
        <v>40895.99861</v>
      </c>
      <c r="B543" s="1">
        <f>IFERROR(__xludf.DUMMYFUNCTION("""COMPUTED_VALUE"""),32433.45051)</f>
        <v>32433.45051</v>
      </c>
    </row>
    <row r="544">
      <c r="A544" s="3">
        <f>IFERROR(__xludf.DUMMYFUNCTION("""COMPUTED_VALUE"""),40896.99861111111)</f>
        <v>40896.99861</v>
      </c>
      <c r="B544" s="1">
        <f>IFERROR(__xludf.DUMMYFUNCTION("""COMPUTED_VALUE"""),32820.66721)</f>
        <v>32820.66721</v>
      </c>
    </row>
    <row r="545">
      <c r="A545" s="3">
        <f>IFERROR(__xludf.DUMMYFUNCTION("""COMPUTED_VALUE"""),40897.99861111111)</f>
        <v>40897.99861</v>
      </c>
      <c r="B545" s="1">
        <f>IFERROR(__xludf.DUMMYFUNCTION("""COMPUTED_VALUE"""),32554.68527)</f>
        <v>32554.68527</v>
      </c>
    </row>
    <row r="546">
      <c r="A546" s="3">
        <f>IFERROR(__xludf.DUMMYFUNCTION("""COMPUTED_VALUE"""),40898.99861111111)</f>
        <v>40898.99861</v>
      </c>
      <c r="B546" s="1">
        <f>IFERROR(__xludf.DUMMYFUNCTION("""COMPUTED_VALUE"""),32553.99547)</f>
        <v>32553.99547</v>
      </c>
    </row>
    <row r="547">
      <c r="A547" s="3">
        <f>IFERROR(__xludf.DUMMYFUNCTION("""COMPUTED_VALUE"""),40899.99861111111)</f>
        <v>40899.99861</v>
      </c>
      <c r="B547" s="1">
        <f>IFERROR(__xludf.DUMMYFUNCTION("""COMPUTED_VALUE"""),32876.92778)</f>
        <v>32876.92778</v>
      </c>
    </row>
    <row r="548">
      <c r="A548" s="3">
        <f>IFERROR(__xludf.DUMMYFUNCTION("""COMPUTED_VALUE"""),40900.99861111111)</f>
        <v>40900.99861</v>
      </c>
      <c r="B548" s="1">
        <f>IFERROR(__xludf.DUMMYFUNCTION("""COMPUTED_VALUE"""),32541.39648)</f>
        <v>32541.39648</v>
      </c>
    </row>
    <row r="549">
      <c r="A549" s="3">
        <f>IFERROR(__xludf.DUMMYFUNCTION("""COMPUTED_VALUE"""),40901.99861111111)</f>
        <v>40901.99861</v>
      </c>
      <c r="B549" s="1">
        <f>IFERROR(__xludf.DUMMYFUNCTION("""COMPUTED_VALUE"""),32543.83476)</f>
        <v>32543.83476</v>
      </c>
    </row>
    <row r="550">
      <c r="A550" s="3">
        <f>IFERROR(__xludf.DUMMYFUNCTION("""COMPUTED_VALUE"""),40903.99861111111)</f>
        <v>40903.99861</v>
      </c>
      <c r="B550" s="1">
        <f>IFERROR(__xludf.DUMMYFUNCTION("""COMPUTED_VALUE"""),32732.89967)</f>
        <v>32732.89967</v>
      </c>
    </row>
    <row r="551">
      <c r="A551" s="3">
        <f>IFERROR(__xludf.DUMMYFUNCTION("""COMPUTED_VALUE"""),40904.99861111111)</f>
        <v>40904.99861</v>
      </c>
      <c r="B551" s="1">
        <f>IFERROR(__xludf.DUMMYFUNCTION("""COMPUTED_VALUE"""),32591.25645)</f>
        <v>32591.25645</v>
      </c>
    </row>
    <row r="552">
      <c r="A552" s="3">
        <f>IFERROR(__xludf.DUMMYFUNCTION("""COMPUTED_VALUE"""),40905.99861111111)</f>
        <v>40905.99861</v>
      </c>
      <c r="B552" s="1">
        <f>IFERROR(__xludf.DUMMYFUNCTION("""COMPUTED_VALUE"""),32586.55715)</f>
        <v>32586.55715</v>
      </c>
    </row>
    <row r="553">
      <c r="A553" s="3">
        <f>IFERROR(__xludf.DUMMYFUNCTION("""COMPUTED_VALUE"""),40906.99861111111)</f>
        <v>40906.99861</v>
      </c>
      <c r="B553" s="1">
        <f>IFERROR(__xludf.DUMMYFUNCTION("""COMPUTED_VALUE"""),31857.52494)</f>
        <v>31857.52494</v>
      </c>
    </row>
    <row r="554">
      <c r="A554" s="3">
        <f>IFERROR(__xludf.DUMMYFUNCTION("""COMPUTED_VALUE"""),40907.99861111111)</f>
        <v>40907.99861</v>
      </c>
      <c r="B554" s="1">
        <f>IFERROR(__xludf.DUMMYFUNCTION("""COMPUTED_VALUE"""),32572.34892)</f>
        <v>32572.34892</v>
      </c>
    </row>
    <row r="555">
      <c r="A555" s="3">
        <f>IFERROR(__xludf.DUMMYFUNCTION("""COMPUTED_VALUE"""),40908.99861111111)</f>
        <v>40908.99861</v>
      </c>
      <c r="B555" s="1">
        <f>IFERROR(__xludf.DUMMYFUNCTION("""COMPUTED_VALUE"""),32576.62114)</f>
        <v>32576.62114</v>
      </c>
    </row>
    <row r="556">
      <c r="A556" s="3">
        <f>IFERROR(__xludf.DUMMYFUNCTION("""COMPUTED_VALUE"""),40910.99861111111)</f>
        <v>40910.99861</v>
      </c>
      <c r="B556" s="1">
        <f>IFERROR(__xludf.DUMMYFUNCTION("""COMPUTED_VALUE"""),32019.98802)</f>
        <v>32019.98802</v>
      </c>
    </row>
    <row r="557">
      <c r="A557" s="3">
        <f>IFERROR(__xludf.DUMMYFUNCTION("""COMPUTED_VALUE"""),40911.99861111111)</f>
        <v>40911.99861</v>
      </c>
      <c r="B557" s="1">
        <f>IFERROR(__xludf.DUMMYFUNCTION("""COMPUTED_VALUE"""),32823.18792)</f>
        <v>32823.18792</v>
      </c>
    </row>
    <row r="558">
      <c r="A558" s="3">
        <f>IFERROR(__xludf.DUMMYFUNCTION("""COMPUTED_VALUE"""),40912.99861111111)</f>
        <v>40912.99861</v>
      </c>
      <c r="B558" s="1">
        <f>IFERROR(__xludf.DUMMYFUNCTION("""COMPUTED_VALUE"""),32789.45967)</f>
        <v>32789.45967</v>
      </c>
    </row>
    <row r="559">
      <c r="A559" s="3">
        <f>IFERROR(__xludf.DUMMYFUNCTION("""COMPUTED_VALUE"""),40913.99861111111)</f>
        <v>40913.99861</v>
      </c>
      <c r="B559" s="1">
        <f>IFERROR(__xludf.DUMMYFUNCTION("""COMPUTED_VALUE"""),32710.94904)</f>
        <v>32710.94904</v>
      </c>
    </row>
    <row r="560">
      <c r="A560" s="3">
        <f>IFERROR(__xludf.DUMMYFUNCTION("""COMPUTED_VALUE"""),40914.99861111111)</f>
        <v>40914.99861</v>
      </c>
      <c r="B560" s="1">
        <f>IFERROR(__xludf.DUMMYFUNCTION("""COMPUTED_VALUE"""),32627.41875)</f>
        <v>32627.41875</v>
      </c>
    </row>
    <row r="561">
      <c r="A561" s="3">
        <f>IFERROR(__xludf.DUMMYFUNCTION("""COMPUTED_VALUE"""),40915.99861111111)</f>
        <v>40915.99861</v>
      </c>
      <c r="B561" s="1">
        <f>IFERROR(__xludf.DUMMYFUNCTION("""COMPUTED_VALUE"""),32517.49104)</f>
        <v>32517.49104</v>
      </c>
    </row>
    <row r="562">
      <c r="A562" s="3">
        <f>IFERROR(__xludf.DUMMYFUNCTION("""COMPUTED_VALUE"""),40917.99861111111)</f>
        <v>40917.99861</v>
      </c>
      <c r="B562" s="1">
        <f>IFERROR(__xludf.DUMMYFUNCTION("""COMPUTED_VALUE"""),32769.61497)</f>
        <v>32769.61497</v>
      </c>
    </row>
    <row r="563">
      <c r="A563" s="3">
        <f>IFERROR(__xludf.DUMMYFUNCTION("""COMPUTED_VALUE"""),40918.99861111111)</f>
        <v>40918.99861</v>
      </c>
      <c r="B563" s="1">
        <f>IFERROR(__xludf.DUMMYFUNCTION("""COMPUTED_VALUE"""),32789.52553)</f>
        <v>32789.52553</v>
      </c>
    </row>
    <row r="564">
      <c r="A564" s="3">
        <f>IFERROR(__xludf.DUMMYFUNCTION("""COMPUTED_VALUE"""),40919.99861111111)</f>
        <v>40919.99861</v>
      </c>
      <c r="B564" s="1">
        <f>IFERROR(__xludf.DUMMYFUNCTION("""COMPUTED_VALUE"""),32909.5738)</f>
        <v>32909.5738</v>
      </c>
    </row>
    <row r="565">
      <c r="A565" s="3">
        <f>IFERROR(__xludf.DUMMYFUNCTION("""COMPUTED_VALUE"""),40920.99861111111)</f>
        <v>40920.99861</v>
      </c>
      <c r="B565" s="1">
        <f>IFERROR(__xludf.DUMMYFUNCTION("""COMPUTED_VALUE"""),32835.7083)</f>
        <v>32835.7083</v>
      </c>
    </row>
    <row r="566">
      <c r="A566" s="3">
        <f>IFERROR(__xludf.DUMMYFUNCTION("""COMPUTED_VALUE"""),40921.99861111111)</f>
        <v>40921.99861</v>
      </c>
      <c r="B566" s="1">
        <f>IFERROR(__xludf.DUMMYFUNCTION("""COMPUTED_VALUE"""),32566.80755)</f>
        <v>32566.80755</v>
      </c>
    </row>
    <row r="567">
      <c r="A567" s="3">
        <f>IFERROR(__xludf.DUMMYFUNCTION("""COMPUTED_VALUE"""),40922.99861111111)</f>
        <v>40922.99861</v>
      </c>
      <c r="B567" s="1">
        <f>IFERROR(__xludf.DUMMYFUNCTION("""COMPUTED_VALUE"""),32436.04279)</f>
        <v>32436.04279</v>
      </c>
    </row>
    <row r="568">
      <c r="A568" s="3">
        <f>IFERROR(__xludf.DUMMYFUNCTION("""COMPUTED_VALUE"""),40924.99861111111)</f>
        <v>40924.99861</v>
      </c>
      <c r="B568" s="1">
        <f>IFERROR(__xludf.DUMMYFUNCTION("""COMPUTED_VALUE"""),32589.26257)</f>
        <v>32589.26257</v>
      </c>
    </row>
    <row r="569">
      <c r="A569" s="3">
        <f>IFERROR(__xludf.DUMMYFUNCTION("""COMPUTED_VALUE"""),40925.99861111111)</f>
        <v>40925.99861</v>
      </c>
      <c r="B569" s="1">
        <f>IFERROR(__xludf.DUMMYFUNCTION("""COMPUTED_VALUE"""),32508.95703)</f>
        <v>32508.95703</v>
      </c>
    </row>
    <row r="570">
      <c r="A570" s="3">
        <f>IFERROR(__xludf.DUMMYFUNCTION("""COMPUTED_VALUE"""),40926.99861111111)</f>
        <v>40926.99861</v>
      </c>
      <c r="B570" s="1">
        <f>IFERROR(__xludf.DUMMYFUNCTION("""COMPUTED_VALUE"""),32281.31005)</f>
        <v>32281.31005</v>
      </c>
    </row>
    <row r="571">
      <c r="A571" s="3">
        <f>IFERROR(__xludf.DUMMYFUNCTION("""COMPUTED_VALUE"""),40927.99861111111)</f>
        <v>40927.99861</v>
      </c>
      <c r="B571" s="1">
        <f>IFERROR(__xludf.DUMMYFUNCTION("""COMPUTED_VALUE"""),32156.58623)</f>
        <v>32156.58623</v>
      </c>
    </row>
    <row r="572">
      <c r="A572" s="3">
        <f>IFERROR(__xludf.DUMMYFUNCTION("""COMPUTED_VALUE"""),40928.99861111111)</f>
        <v>40928.99861</v>
      </c>
      <c r="B572" s="1">
        <f>IFERROR(__xludf.DUMMYFUNCTION("""COMPUTED_VALUE"""),32130.78784)</f>
        <v>32130.78784</v>
      </c>
    </row>
    <row r="573">
      <c r="A573" s="3">
        <f>IFERROR(__xludf.DUMMYFUNCTION("""COMPUTED_VALUE"""),40929.99861111111)</f>
        <v>40929.99861</v>
      </c>
      <c r="B573" s="1">
        <f>IFERROR(__xludf.DUMMYFUNCTION("""COMPUTED_VALUE"""),32062.11044)</f>
        <v>32062.11044</v>
      </c>
    </row>
    <row r="574">
      <c r="A574" s="3">
        <f>IFERROR(__xludf.DUMMYFUNCTION("""COMPUTED_VALUE"""),40931.99861111111)</f>
        <v>40931.99861</v>
      </c>
      <c r="B574" s="1">
        <f>IFERROR(__xludf.DUMMYFUNCTION("""COMPUTED_VALUE"""),32051.73648)</f>
        <v>32051.73648</v>
      </c>
    </row>
    <row r="575">
      <c r="A575" s="3">
        <f>IFERROR(__xludf.DUMMYFUNCTION("""COMPUTED_VALUE"""),40932.99861111111)</f>
        <v>40932.99861</v>
      </c>
      <c r="B575" s="1">
        <f>IFERROR(__xludf.DUMMYFUNCTION("""COMPUTED_VALUE"""),32194.06662)</f>
        <v>32194.06662</v>
      </c>
    </row>
    <row r="576">
      <c r="A576" s="3">
        <f>IFERROR(__xludf.DUMMYFUNCTION("""COMPUTED_VALUE"""),40933.99861111111)</f>
        <v>40933.99861</v>
      </c>
      <c r="B576" s="1">
        <f>IFERROR(__xludf.DUMMYFUNCTION("""COMPUTED_VALUE"""),32567.82384)</f>
        <v>32567.82384</v>
      </c>
    </row>
    <row r="577">
      <c r="A577" s="3">
        <f>IFERROR(__xludf.DUMMYFUNCTION("""COMPUTED_VALUE"""),40934.99861111111)</f>
        <v>40934.99861</v>
      </c>
      <c r="B577" s="1">
        <f>IFERROR(__xludf.DUMMYFUNCTION("""COMPUTED_VALUE"""),32309.2706)</f>
        <v>32309.2706</v>
      </c>
    </row>
    <row r="578">
      <c r="A578" s="3">
        <f>IFERROR(__xludf.DUMMYFUNCTION("""COMPUTED_VALUE"""),40935.99861111111)</f>
        <v>40935.99861</v>
      </c>
      <c r="B578" s="1">
        <f>IFERROR(__xludf.DUMMYFUNCTION("""COMPUTED_VALUE"""),32350.62521)</f>
        <v>32350.62521</v>
      </c>
    </row>
    <row r="579">
      <c r="A579" s="3">
        <f>IFERROR(__xludf.DUMMYFUNCTION("""COMPUTED_VALUE"""),40936.99861111111)</f>
        <v>40936.99861</v>
      </c>
      <c r="B579" s="1">
        <f>IFERROR(__xludf.DUMMYFUNCTION("""COMPUTED_VALUE"""),32265.27285)</f>
        <v>32265.27285</v>
      </c>
    </row>
    <row r="580">
      <c r="A580" s="3">
        <f>IFERROR(__xludf.DUMMYFUNCTION("""COMPUTED_VALUE"""),40938.99861111111)</f>
        <v>40938.99861</v>
      </c>
      <c r="B580" s="1">
        <f>IFERROR(__xludf.DUMMYFUNCTION("""COMPUTED_VALUE"""),32384.03923)</f>
        <v>32384.03923</v>
      </c>
    </row>
    <row r="581">
      <c r="A581" s="3">
        <f>IFERROR(__xludf.DUMMYFUNCTION("""COMPUTED_VALUE"""),40939.99861111111)</f>
        <v>40939.99861</v>
      </c>
      <c r="B581" s="1">
        <f>IFERROR(__xludf.DUMMYFUNCTION("""COMPUTED_VALUE"""),32402.23119)</f>
        <v>32402.23119</v>
      </c>
    </row>
    <row r="582">
      <c r="A582" s="3">
        <f>IFERROR(__xludf.DUMMYFUNCTION("""COMPUTED_VALUE"""),40940.99861111111)</f>
        <v>40940.99861</v>
      </c>
      <c r="B582" s="1">
        <f>IFERROR(__xludf.DUMMYFUNCTION("""COMPUTED_VALUE"""),32418.76984)</f>
        <v>32418.76984</v>
      </c>
    </row>
    <row r="583">
      <c r="A583" s="3">
        <f>IFERROR(__xludf.DUMMYFUNCTION("""COMPUTED_VALUE"""),40941.99861111111)</f>
        <v>40941.99861</v>
      </c>
      <c r="B583" s="1">
        <f>IFERROR(__xludf.DUMMYFUNCTION("""COMPUTED_VALUE"""),32318.89787)</f>
        <v>32318.89787</v>
      </c>
    </row>
    <row r="584">
      <c r="A584" s="3">
        <f>IFERROR(__xludf.DUMMYFUNCTION("""COMPUTED_VALUE"""),40942.99861111111)</f>
        <v>40942.99861</v>
      </c>
      <c r="B584" s="1">
        <f>IFERROR(__xludf.DUMMYFUNCTION("""COMPUTED_VALUE"""),32341.21624)</f>
        <v>32341.21624</v>
      </c>
    </row>
    <row r="585">
      <c r="A585" s="3">
        <f>IFERROR(__xludf.DUMMYFUNCTION("""COMPUTED_VALUE"""),40943.99861111111)</f>
        <v>40943.99861</v>
      </c>
      <c r="B585" s="1">
        <f>IFERROR(__xludf.DUMMYFUNCTION("""COMPUTED_VALUE"""),32237.22635)</f>
        <v>32237.22635</v>
      </c>
    </row>
    <row r="586">
      <c r="A586" s="3">
        <f>IFERROR(__xludf.DUMMYFUNCTION("""COMPUTED_VALUE"""),40945.99861111111)</f>
        <v>40945.99861</v>
      </c>
      <c r="B586" s="1">
        <f>IFERROR(__xludf.DUMMYFUNCTION("""COMPUTED_VALUE"""),32422.67204)</f>
        <v>32422.67204</v>
      </c>
    </row>
    <row r="587">
      <c r="A587" s="3">
        <f>IFERROR(__xludf.DUMMYFUNCTION("""COMPUTED_VALUE"""),40946.99861111111)</f>
        <v>40946.99861</v>
      </c>
      <c r="B587" s="1">
        <f>IFERROR(__xludf.DUMMYFUNCTION("""COMPUTED_VALUE"""),32249.90916)</f>
        <v>32249.90916</v>
      </c>
    </row>
    <row r="588">
      <c r="A588" s="3">
        <f>IFERROR(__xludf.DUMMYFUNCTION("""COMPUTED_VALUE"""),40947.99861111111)</f>
        <v>40947.99861</v>
      </c>
      <c r="B588" s="1">
        <f>IFERROR(__xludf.DUMMYFUNCTION("""COMPUTED_VALUE"""),31972.18449)</f>
        <v>31972.18449</v>
      </c>
    </row>
    <row r="589">
      <c r="A589" s="3">
        <f>IFERROR(__xludf.DUMMYFUNCTION("""COMPUTED_VALUE"""),40948.99861111111)</f>
        <v>40948.99861</v>
      </c>
      <c r="B589" s="1">
        <f>IFERROR(__xludf.DUMMYFUNCTION("""COMPUTED_VALUE"""),32191.7002)</f>
        <v>32191.7002</v>
      </c>
    </row>
    <row r="590">
      <c r="A590" s="3">
        <f>IFERROR(__xludf.DUMMYFUNCTION("""COMPUTED_VALUE"""),40949.99861111111)</f>
        <v>40949.99861</v>
      </c>
      <c r="B590" s="1">
        <f>IFERROR(__xludf.DUMMYFUNCTION("""COMPUTED_VALUE"""),32393.85308)</f>
        <v>32393.85308</v>
      </c>
    </row>
    <row r="591">
      <c r="A591" s="3">
        <f>IFERROR(__xludf.DUMMYFUNCTION("""COMPUTED_VALUE"""),40950.99861111111)</f>
        <v>40950.99861</v>
      </c>
      <c r="B591" s="1">
        <f>IFERROR(__xludf.DUMMYFUNCTION("""COMPUTED_VALUE"""),32393.85308)</f>
        <v>32393.85308</v>
      </c>
    </row>
    <row r="592">
      <c r="A592" s="3">
        <f>IFERROR(__xludf.DUMMYFUNCTION("""COMPUTED_VALUE"""),40951.99861111111)</f>
        <v>40951.99861</v>
      </c>
      <c r="B592" s="1">
        <f>IFERROR(__xludf.DUMMYFUNCTION("""COMPUTED_VALUE"""),32393.85308)</f>
        <v>32393.85308</v>
      </c>
    </row>
    <row r="593">
      <c r="A593" s="3">
        <f>IFERROR(__xludf.DUMMYFUNCTION("""COMPUTED_VALUE"""),40952.99861111111)</f>
        <v>40952.99861</v>
      </c>
      <c r="B593" s="1">
        <f>IFERROR(__xludf.DUMMYFUNCTION("""COMPUTED_VALUE"""),32390.41651)</f>
        <v>32390.41651</v>
      </c>
    </row>
    <row r="594">
      <c r="A594" s="3">
        <f>IFERROR(__xludf.DUMMYFUNCTION("""COMPUTED_VALUE"""),40953.99861111111)</f>
        <v>40953.99861</v>
      </c>
      <c r="B594" s="1">
        <f>IFERROR(__xludf.DUMMYFUNCTION("""COMPUTED_VALUE"""),32442.75689)</f>
        <v>32442.75689</v>
      </c>
    </row>
    <row r="595">
      <c r="A595" s="3">
        <f>IFERROR(__xludf.DUMMYFUNCTION("""COMPUTED_VALUE"""),40954.99861111111)</f>
        <v>40954.99861</v>
      </c>
      <c r="B595" s="1">
        <f>IFERROR(__xludf.DUMMYFUNCTION("""COMPUTED_VALUE"""),32169.74455)</f>
        <v>32169.74455</v>
      </c>
    </row>
    <row r="596">
      <c r="A596" s="3">
        <f>IFERROR(__xludf.DUMMYFUNCTION("""COMPUTED_VALUE"""),40955.99861111111)</f>
        <v>40955.99861</v>
      </c>
      <c r="B596" s="1">
        <f>IFERROR(__xludf.DUMMYFUNCTION("""COMPUTED_VALUE"""),32379.02436)</f>
        <v>32379.02436</v>
      </c>
    </row>
    <row r="597">
      <c r="A597" s="3">
        <f>IFERROR(__xludf.DUMMYFUNCTION("""COMPUTED_VALUE"""),40956.99861111111)</f>
        <v>40956.99861</v>
      </c>
      <c r="B597" s="1">
        <f>IFERROR(__xludf.DUMMYFUNCTION("""COMPUTED_VALUE"""),32476.00872)</f>
        <v>32476.00872</v>
      </c>
    </row>
    <row r="598">
      <c r="A598" s="3">
        <f>IFERROR(__xludf.DUMMYFUNCTION("""COMPUTED_VALUE"""),40957.99861111111)</f>
        <v>40957.99861</v>
      </c>
      <c r="B598" s="1">
        <f>IFERROR(__xludf.DUMMYFUNCTION("""COMPUTED_VALUE"""),32404.58531)</f>
        <v>32404.58531</v>
      </c>
    </row>
    <row r="599">
      <c r="A599" s="3">
        <f>IFERROR(__xludf.DUMMYFUNCTION("""COMPUTED_VALUE"""),40958.99861111111)</f>
        <v>40958.99861</v>
      </c>
      <c r="B599" s="1">
        <f>IFERROR(__xludf.DUMMYFUNCTION("""COMPUTED_VALUE"""),32404.58531)</f>
        <v>32404.58531</v>
      </c>
    </row>
    <row r="600">
      <c r="A600" s="3">
        <f>IFERROR(__xludf.DUMMYFUNCTION("""COMPUTED_VALUE"""),40959.99861111111)</f>
        <v>40959.99861</v>
      </c>
      <c r="B600" s="1">
        <f>IFERROR(__xludf.DUMMYFUNCTION("""COMPUTED_VALUE"""),32354.56817)</f>
        <v>32354.56817</v>
      </c>
    </row>
    <row r="601">
      <c r="A601" s="3">
        <f>IFERROR(__xludf.DUMMYFUNCTION("""COMPUTED_VALUE"""),40960.99861111111)</f>
        <v>40960.99861</v>
      </c>
      <c r="B601" s="1">
        <f>IFERROR(__xludf.DUMMYFUNCTION("""COMPUTED_VALUE"""),32564.00406)</f>
        <v>32564.00406</v>
      </c>
    </row>
    <row r="602">
      <c r="A602" s="3">
        <f>IFERROR(__xludf.DUMMYFUNCTION("""COMPUTED_VALUE"""),40961.99861111111)</f>
        <v>40961.99861</v>
      </c>
      <c r="B602" s="1">
        <f>IFERROR(__xludf.DUMMYFUNCTION("""COMPUTED_VALUE"""),32607.12632)</f>
        <v>32607.12632</v>
      </c>
    </row>
    <row r="603">
      <c r="A603" s="3">
        <f>IFERROR(__xludf.DUMMYFUNCTION("""COMPUTED_VALUE"""),40962.99861111111)</f>
        <v>40962.99861</v>
      </c>
      <c r="B603" s="1">
        <f>IFERROR(__xludf.DUMMYFUNCTION("""COMPUTED_VALUE"""),32673.11832)</f>
        <v>32673.11832</v>
      </c>
    </row>
    <row r="604">
      <c r="A604" s="3">
        <f>IFERROR(__xludf.DUMMYFUNCTION("""COMPUTED_VALUE"""),40963.99861111111)</f>
        <v>40963.99861</v>
      </c>
      <c r="B604" s="1">
        <f>IFERROR(__xludf.DUMMYFUNCTION("""COMPUTED_VALUE"""),32710.95072)</f>
        <v>32710.95072</v>
      </c>
    </row>
    <row r="605">
      <c r="A605" s="3">
        <f>IFERROR(__xludf.DUMMYFUNCTION("""COMPUTED_VALUE"""),40964.99861111111)</f>
        <v>40964.99861</v>
      </c>
      <c r="B605" s="1">
        <f>IFERROR(__xludf.DUMMYFUNCTION("""COMPUTED_VALUE"""),32641.83798)</f>
        <v>32641.83798</v>
      </c>
    </row>
    <row r="606">
      <c r="A606" s="3">
        <f>IFERROR(__xludf.DUMMYFUNCTION("""COMPUTED_VALUE"""),40966.99861111111)</f>
        <v>40966.99861</v>
      </c>
      <c r="B606" s="1">
        <f>IFERROR(__xludf.DUMMYFUNCTION("""COMPUTED_VALUE"""),32890.21912)</f>
        <v>32890.21912</v>
      </c>
    </row>
    <row r="607">
      <c r="A607" s="3">
        <f>IFERROR(__xludf.DUMMYFUNCTION("""COMPUTED_VALUE"""),40967.99861111111)</f>
        <v>40967.99861</v>
      </c>
      <c r="B607" s="1">
        <f>IFERROR(__xludf.DUMMYFUNCTION("""COMPUTED_VALUE"""),32546.61841)</f>
        <v>32546.61841</v>
      </c>
    </row>
    <row r="608">
      <c r="A608" s="3">
        <f>IFERROR(__xludf.DUMMYFUNCTION("""COMPUTED_VALUE"""),40968.99861111111)</f>
        <v>40968.99861</v>
      </c>
      <c r="B608" s="1">
        <f>IFERROR(__xludf.DUMMYFUNCTION("""COMPUTED_VALUE"""),32478.99572)</f>
        <v>32478.99572</v>
      </c>
    </row>
    <row r="609">
      <c r="A609" s="3">
        <f>IFERROR(__xludf.DUMMYFUNCTION("""COMPUTED_VALUE"""),40969.99861111111)</f>
        <v>40969.99861</v>
      </c>
      <c r="B609" s="1">
        <f>IFERROR(__xludf.DUMMYFUNCTION("""COMPUTED_VALUE"""),32697.7861)</f>
        <v>32697.7861</v>
      </c>
    </row>
    <row r="610">
      <c r="A610" s="3">
        <f>IFERROR(__xludf.DUMMYFUNCTION("""COMPUTED_VALUE"""),40970.99861111111)</f>
        <v>40970.99861</v>
      </c>
      <c r="B610" s="1">
        <f>IFERROR(__xludf.DUMMYFUNCTION("""COMPUTED_VALUE"""),32587.17927)</f>
        <v>32587.17927</v>
      </c>
    </row>
    <row r="611">
      <c r="A611" s="3">
        <f>IFERROR(__xludf.DUMMYFUNCTION("""COMPUTED_VALUE"""),40971.99861111111)</f>
        <v>40971.99861</v>
      </c>
      <c r="B611" s="1">
        <f>IFERROR(__xludf.DUMMYFUNCTION("""COMPUTED_VALUE"""),32587.17927)</f>
        <v>32587.17927</v>
      </c>
    </row>
    <row r="612">
      <c r="A612" s="3">
        <f>IFERROR(__xludf.DUMMYFUNCTION("""COMPUTED_VALUE"""),40972.99861111111)</f>
        <v>40972.99861</v>
      </c>
      <c r="B612" s="1">
        <f>IFERROR(__xludf.DUMMYFUNCTION("""COMPUTED_VALUE"""),32587.17927)</f>
        <v>32587.17927</v>
      </c>
    </row>
    <row r="613">
      <c r="A613" s="3">
        <f>IFERROR(__xludf.DUMMYFUNCTION("""COMPUTED_VALUE"""),40973.99861111111)</f>
        <v>40973.99861</v>
      </c>
      <c r="B613" s="1">
        <f>IFERROR(__xludf.DUMMYFUNCTION("""COMPUTED_VALUE"""),32827.80546)</f>
        <v>32827.80546</v>
      </c>
    </row>
    <row r="614">
      <c r="A614" s="3">
        <f>IFERROR(__xludf.DUMMYFUNCTION("""COMPUTED_VALUE"""),40974.99861111111)</f>
        <v>40974.99861</v>
      </c>
      <c r="B614" s="1">
        <f>IFERROR(__xludf.DUMMYFUNCTION("""COMPUTED_VALUE"""),32786.58208)</f>
        <v>32786.58208</v>
      </c>
    </row>
    <row r="615">
      <c r="A615" s="3">
        <f>IFERROR(__xludf.DUMMYFUNCTION("""COMPUTED_VALUE"""),40975.99861111111)</f>
        <v>40975.99861</v>
      </c>
      <c r="B615" s="1">
        <f>IFERROR(__xludf.DUMMYFUNCTION("""COMPUTED_VALUE"""),32709.2706)</f>
        <v>32709.2706</v>
      </c>
    </row>
    <row r="616">
      <c r="A616" s="3">
        <f>IFERROR(__xludf.DUMMYFUNCTION("""COMPUTED_VALUE"""),40976.99861111111)</f>
        <v>40976.99861</v>
      </c>
      <c r="B616" s="1">
        <f>IFERROR(__xludf.DUMMYFUNCTION("""COMPUTED_VALUE"""),32820.26541)</f>
        <v>32820.26541</v>
      </c>
    </row>
    <row r="617">
      <c r="A617" s="3">
        <f>IFERROR(__xludf.DUMMYFUNCTION("""COMPUTED_VALUE"""),40977.99861111111)</f>
        <v>40977.99861</v>
      </c>
      <c r="B617" s="1">
        <f>IFERROR(__xludf.DUMMYFUNCTION("""COMPUTED_VALUE"""),32714.13753)</f>
        <v>32714.13753</v>
      </c>
    </row>
    <row r="618">
      <c r="A618" s="3">
        <f>IFERROR(__xludf.DUMMYFUNCTION("""COMPUTED_VALUE"""),40980.99861111111)</f>
        <v>40980.99861</v>
      </c>
      <c r="B618" s="1">
        <f>IFERROR(__xludf.DUMMYFUNCTION("""COMPUTED_VALUE"""),32844.24072)</f>
        <v>32844.24072</v>
      </c>
    </row>
    <row r="619">
      <c r="A619" s="3">
        <f>IFERROR(__xludf.DUMMYFUNCTION("""COMPUTED_VALUE"""),40981.99861111111)</f>
        <v>40981.99861</v>
      </c>
      <c r="B619" s="1">
        <f>IFERROR(__xludf.DUMMYFUNCTION("""COMPUTED_VALUE"""),32785.28721)</f>
        <v>32785.28721</v>
      </c>
    </row>
    <row r="620">
      <c r="A620" s="3">
        <f>IFERROR(__xludf.DUMMYFUNCTION("""COMPUTED_VALUE"""),40982.99861111111)</f>
        <v>40982.99861</v>
      </c>
      <c r="B620" s="1">
        <f>IFERROR(__xludf.DUMMYFUNCTION("""COMPUTED_VALUE"""),32850.52786)</f>
        <v>32850.52786</v>
      </c>
    </row>
    <row r="621">
      <c r="A621" s="3">
        <f>IFERROR(__xludf.DUMMYFUNCTION("""COMPUTED_VALUE"""),40983.99861111111)</f>
        <v>40983.99861</v>
      </c>
      <c r="B621" s="1">
        <f>IFERROR(__xludf.DUMMYFUNCTION("""COMPUTED_VALUE"""),32878.8232)</f>
        <v>32878.8232</v>
      </c>
    </row>
    <row r="622">
      <c r="A622" s="3">
        <f>IFERROR(__xludf.DUMMYFUNCTION("""COMPUTED_VALUE"""),40984.99861111111)</f>
        <v>40984.99861</v>
      </c>
      <c r="B622" s="1">
        <f>IFERROR(__xludf.DUMMYFUNCTION("""COMPUTED_VALUE"""),32628.1774)</f>
        <v>32628.1774</v>
      </c>
    </row>
    <row r="623">
      <c r="A623" s="3">
        <f>IFERROR(__xludf.DUMMYFUNCTION("""COMPUTED_VALUE"""),40985.99861111111)</f>
        <v>40985.99861</v>
      </c>
      <c r="B623" s="1">
        <f>IFERROR(__xludf.DUMMYFUNCTION("""COMPUTED_VALUE"""),32578.33875)</f>
        <v>32578.33875</v>
      </c>
    </row>
    <row r="624">
      <c r="A624" s="3">
        <f>IFERROR(__xludf.DUMMYFUNCTION("""COMPUTED_VALUE"""),40987.99861111111)</f>
        <v>40987.99861</v>
      </c>
      <c r="B624" s="1">
        <f>IFERROR(__xludf.DUMMYFUNCTION("""COMPUTED_VALUE"""),32722.70094)</f>
        <v>32722.70094</v>
      </c>
    </row>
    <row r="625">
      <c r="A625" s="3">
        <f>IFERROR(__xludf.DUMMYFUNCTION("""COMPUTED_VALUE"""),40988.99861111111)</f>
        <v>40988.99861</v>
      </c>
      <c r="B625" s="1">
        <f>IFERROR(__xludf.DUMMYFUNCTION("""COMPUTED_VALUE"""),32889.76387)</f>
        <v>32889.76387</v>
      </c>
    </row>
    <row r="626">
      <c r="A626" s="3">
        <f>IFERROR(__xludf.DUMMYFUNCTION("""COMPUTED_VALUE"""),40989.99861111111)</f>
        <v>40989.99861</v>
      </c>
      <c r="B626" s="1">
        <f>IFERROR(__xludf.DUMMYFUNCTION("""COMPUTED_VALUE"""),32913.44028)</f>
        <v>32913.44028</v>
      </c>
    </row>
    <row r="627">
      <c r="A627" s="3">
        <f>IFERROR(__xludf.DUMMYFUNCTION("""COMPUTED_VALUE"""),40990.99861111111)</f>
        <v>40990.99861</v>
      </c>
      <c r="B627" s="1">
        <f>IFERROR(__xludf.DUMMYFUNCTION("""COMPUTED_VALUE"""),33177.39552)</f>
        <v>33177.39552</v>
      </c>
    </row>
    <row r="628">
      <c r="A628" s="3">
        <f>IFERROR(__xludf.DUMMYFUNCTION("""COMPUTED_VALUE"""),40991.99861111111)</f>
        <v>40991.99861</v>
      </c>
      <c r="B628" s="1">
        <f>IFERROR(__xludf.DUMMYFUNCTION("""COMPUTED_VALUE"""),32960.89368)</f>
        <v>32960.89368</v>
      </c>
    </row>
    <row r="629">
      <c r="A629" s="3">
        <f>IFERROR(__xludf.DUMMYFUNCTION("""COMPUTED_VALUE"""),40992.99861111111)</f>
        <v>40992.99861</v>
      </c>
      <c r="B629" s="1">
        <f>IFERROR(__xludf.DUMMYFUNCTION("""COMPUTED_VALUE"""),32277.88774)</f>
        <v>32277.88774</v>
      </c>
    </row>
    <row r="630">
      <c r="A630" s="3">
        <f>IFERROR(__xludf.DUMMYFUNCTION("""COMPUTED_VALUE"""),40994.99861111111)</f>
        <v>40994.99861</v>
      </c>
      <c r="B630" s="1">
        <f>IFERROR(__xludf.DUMMYFUNCTION("""COMPUTED_VALUE"""),33005.08395)</f>
        <v>33005.08395</v>
      </c>
    </row>
    <row r="631">
      <c r="A631" s="3">
        <f>IFERROR(__xludf.DUMMYFUNCTION("""COMPUTED_VALUE"""),40995.99861111111)</f>
        <v>40995.99861</v>
      </c>
      <c r="B631" s="1">
        <f>IFERROR(__xludf.DUMMYFUNCTION("""COMPUTED_VALUE"""),32990.8008)</f>
        <v>32990.8008</v>
      </c>
    </row>
    <row r="632">
      <c r="A632" s="3">
        <f>IFERROR(__xludf.DUMMYFUNCTION("""COMPUTED_VALUE"""),40996.99861111111)</f>
        <v>40996.99861</v>
      </c>
      <c r="B632" s="1">
        <f>IFERROR(__xludf.DUMMYFUNCTION("""COMPUTED_VALUE"""),32977.72545)</f>
        <v>32977.72545</v>
      </c>
    </row>
    <row r="633">
      <c r="A633" s="3">
        <f>IFERROR(__xludf.DUMMYFUNCTION("""COMPUTED_VALUE"""),40997.99861111111)</f>
        <v>40997.99861</v>
      </c>
      <c r="B633" s="1">
        <f>IFERROR(__xludf.DUMMYFUNCTION("""COMPUTED_VALUE"""),32980.0953)</f>
        <v>32980.0953</v>
      </c>
    </row>
    <row r="634">
      <c r="A634" s="3">
        <f>IFERROR(__xludf.DUMMYFUNCTION("""COMPUTED_VALUE"""),40998.99861111111)</f>
        <v>40998.99861</v>
      </c>
      <c r="B634" s="1">
        <f>IFERROR(__xludf.DUMMYFUNCTION("""COMPUTED_VALUE"""),32899.24176)</f>
        <v>32899.24176</v>
      </c>
    </row>
    <row r="635">
      <c r="A635" s="3">
        <f>IFERROR(__xludf.DUMMYFUNCTION("""COMPUTED_VALUE"""),40999.99861111111)</f>
        <v>40999.99861</v>
      </c>
      <c r="B635" s="1">
        <f>IFERROR(__xludf.DUMMYFUNCTION("""COMPUTED_VALUE"""),32870.38277)</f>
        <v>32870.38277</v>
      </c>
    </row>
    <row r="636">
      <c r="A636" s="3">
        <f>IFERROR(__xludf.DUMMYFUNCTION("""COMPUTED_VALUE"""),41001.99861111111)</f>
        <v>41001.99861</v>
      </c>
      <c r="B636" s="1">
        <f>IFERROR(__xludf.DUMMYFUNCTION("""COMPUTED_VALUE"""),32908.64912)</f>
        <v>32908.64912</v>
      </c>
    </row>
    <row r="637">
      <c r="A637" s="3">
        <f>IFERROR(__xludf.DUMMYFUNCTION("""COMPUTED_VALUE"""),41002.99861111111)</f>
        <v>41002.99861</v>
      </c>
      <c r="B637" s="1">
        <f>IFERROR(__xludf.DUMMYFUNCTION("""COMPUTED_VALUE"""),32889.33505)</f>
        <v>32889.33505</v>
      </c>
    </row>
    <row r="638">
      <c r="A638" s="3">
        <f>IFERROR(__xludf.DUMMYFUNCTION("""COMPUTED_VALUE"""),41003.99861111111)</f>
        <v>41003.99861</v>
      </c>
      <c r="B638" s="1">
        <f>IFERROR(__xludf.DUMMYFUNCTION("""COMPUTED_VALUE"""),32853.69338)</f>
        <v>32853.69338</v>
      </c>
    </row>
    <row r="639">
      <c r="A639" s="3">
        <f>IFERROR(__xludf.DUMMYFUNCTION("""COMPUTED_VALUE"""),41004.99861111111)</f>
        <v>41004.99861</v>
      </c>
      <c r="B639" s="1">
        <f>IFERROR(__xludf.DUMMYFUNCTION("""COMPUTED_VALUE"""),32643.44977)</f>
        <v>32643.44977</v>
      </c>
    </row>
    <row r="640">
      <c r="A640" s="3">
        <f>IFERROR(__xludf.DUMMYFUNCTION("""COMPUTED_VALUE"""),41005.99861111111)</f>
        <v>41005.99861</v>
      </c>
      <c r="B640" s="1">
        <f>IFERROR(__xludf.DUMMYFUNCTION("""COMPUTED_VALUE"""),33093.88211)</f>
        <v>33093.88211</v>
      </c>
    </row>
    <row r="641">
      <c r="A641" s="3">
        <f>IFERROR(__xludf.DUMMYFUNCTION("""COMPUTED_VALUE"""),41006.99861111111)</f>
        <v>41006.99861</v>
      </c>
      <c r="B641" s="1">
        <f>IFERROR(__xludf.DUMMYFUNCTION("""COMPUTED_VALUE"""),32642.73115)</f>
        <v>32642.73115</v>
      </c>
    </row>
    <row r="642">
      <c r="A642" s="3">
        <f>IFERROR(__xludf.DUMMYFUNCTION("""COMPUTED_VALUE"""),41007.99861111111)</f>
        <v>41007.99861</v>
      </c>
      <c r="B642" s="1">
        <f>IFERROR(__xludf.DUMMYFUNCTION("""COMPUTED_VALUE"""),32643.44977)</f>
        <v>32643.44977</v>
      </c>
    </row>
    <row r="643">
      <c r="A643" s="3">
        <f>IFERROR(__xludf.DUMMYFUNCTION("""COMPUTED_VALUE"""),41008.99861111111)</f>
        <v>41008.99861</v>
      </c>
      <c r="B643" s="1">
        <f>IFERROR(__xludf.DUMMYFUNCTION("""COMPUTED_VALUE"""),32919.06198)</f>
        <v>32919.06198</v>
      </c>
    </row>
    <row r="644">
      <c r="A644" s="3">
        <f>IFERROR(__xludf.DUMMYFUNCTION("""COMPUTED_VALUE"""),41009.99861111111)</f>
        <v>41009.99861</v>
      </c>
      <c r="B644" s="1">
        <f>IFERROR(__xludf.DUMMYFUNCTION("""COMPUTED_VALUE"""),32925.46694)</f>
        <v>32925.46694</v>
      </c>
    </row>
    <row r="645">
      <c r="A645" s="3">
        <f>IFERROR(__xludf.DUMMYFUNCTION("""COMPUTED_VALUE"""),41010.99861111111)</f>
        <v>41010.99861</v>
      </c>
      <c r="B645" s="1">
        <f>IFERROR(__xludf.DUMMYFUNCTION("""COMPUTED_VALUE"""),32952.74011)</f>
        <v>32952.74011</v>
      </c>
    </row>
    <row r="646">
      <c r="A646" s="3">
        <f>IFERROR(__xludf.DUMMYFUNCTION("""COMPUTED_VALUE"""),41011.99861111111)</f>
        <v>41011.99861</v>
      </c>
      <c r="B646" s="1">
        <f>IFERROR(__xludf.DUMMYFUNCTION("""COMPUTED_VALUE"""),32981.24839)</f>
        <v>32981.24839</v>
      </c>
    </row>
    <row r="647">
      <c r="A647" s="3">
        <f>IFERROR(__xludf.DUMMYFUNCTION("""COMPUTED_VALUE"""),41012.99861111111)</f>
        <v>41012.99861</v>
      </c>
      <c r="B647" s="1">
        <f>IFERROR(__xludf.DUMMYFUNCTION("""COMPUTED_VALUE"""),32787.76703)</f>
        <v>32787.76703</v>
      </c>
    </row>
    <row r="648">
      <c r="A648" s="3">
        <f>IFERROR(__xludf.DUMMYFUNCTION("""COMPUTED_VALUE"""),41013.99861111111)</f>
        <v>41013.99861</v>
      </c>
      <c r="B648" s="1">
        <f>IFERROR(__xludf.DUMMYFUNCTION("""COMPUTED_VALUE"""),32468.7023)</f>
        <v>32468.7023</v>
      </c>
    </row>
    <row r="649">
      <c r="A649" s="3">
        <f>IFERROR(__xludf.DUMMYFUNCTION("""COMPUTED_VALUE"""),41015.99861111111)</f>
        <v>41015.99861</v>
      </c>
      <c r="B649" s="1">
        <f>IFERROR(__xludf.DUMMYFUNCTION("""COMPUTED_VALUE"""),32994.55591)</f>
        <v>32994.55591</v>
      </c>
    </row>
    <row r="650">
      <c r="A650" s="3">
        <f>IFERROR(__xludf.DUMMYFUNCTION("""COMPUTED_VALUE"""),41016.99861111111)</f>
        <v>41016.99861</v>
      </c>
      <c r="B650" s="1">
        <f>IFERROR(__xludf.DUMMYFUNCTION("""COMPUTED_VALUE"""),32974.35083)</f>
        <v>32974.35083</v>
      </c>
    </row>
    <row r="651">
      <c r="A651" s="3">
        <f>IFERROR(__xludf.DUMMYFUNCTION("""COMPUTED_VALUE"""),41017.99861111111)</f>
        <v>41017.99861</v>
      </c>
      <c r="B651" s="1">
        <f>IFERROR(__xludf.DUMMYFUNCTION("""COMPUTED_VALUE"""),32943.49848)</f>
        <v>32943.49848</v>
      </c>
    </row>
    <row r="652">
      <c r="A652" s="3">
        <f>IFERROR(__xludf.DUMMYFUNCTION("""COMPUTED_VALUE"""),41018.99861111111)</f>
        <v>41018.99861</v>
      </c>
      <c r="B652" s="1">
        <f>IFERROR(__xludf.DUMMYFUNCTION("""COMPUTED_VALUE"""),32938.71919)</f>
        <v>32938.71919</v>
      </c>
    </row>
    <row r="653">
      <c r="A653" s="3">
        <f>IFERROR(__xludf.DUMMYFUNCTION("""COMPUTED_VALUE"""),41019.99861111111)</f>
        <v>41019.99861</v>
      </c>
      <c r="B653" s="1">
        <f>IFERROR(__xludf.DUMMYFUNCTION("""COMPUTED_VALUE"""),32979.06087)</f>
        <v>32979.06087</v>
      </c>
    </row>
    <row r="654">
      <c r="A654" s="3">
        <f>IFERROR(__xludf.DUMMYFUNCTION("""COMPUTED_VALUE"""),41021.99861111111)</f>
        <v>41021.99861</v>
      </c>
      <c r="B654" s="1">
        <f>IFERROR(__xludf.DUMMYFUNCTION("""COMPUTED_VALUE"""),32941.95312)</f>
        <v>32941.95312</v>
      </c>
    </row>
    <row r="655">
      <c r="A655" s="3">
        <f>IFERROR(__xludf.DUMMYFUNCTION("""COMPUTED_VALUE"""),41022.99861111111)</f>
        <v>41022.99861</v>
      </c>
      <c r="B655" s="1">
        <f>IFERROR(__xludf.DUMMYFUNCTION("""COMPUTED_VALUE"""),33011.48512)</f>
        <v>33011.48512</v>
      </c>
    </row>
    <row r="656">
      <c r="A656" s="3">
        <f>IFERROR(__xludf.DUMMYFUNCTION("""COMPUTED_VALUE"""),41023.99861111111)</f>
        <v>41023.99861</v>
      </c>
      <c r="B656" s="1">
        <f>IFERROR(__xludf.DUMMYFUNCTION("""COMPUTED_VALUE"""),33025.77023)</f>
        <v>33025.77023</v>
      </c>
    </row>
    <row r="657">
      <c r="A657" s="3">
        <f>IFERROR(__xludf.DUMMYFUNCTION("""COMPUTED_VALUE"""),41024.99861111111)</f>
        <v>41024.99861</v>
      </c>
      <c r="B657" s="1">
        <f>IFERROR(__xludf.DUMMYFUNCTION("""COMPUTED_VALUE"""),33032.90821)</f>
        <v>33032.90821</v>
      </c>
    </row>
    <row r="658">
      <c r="A658" s="3">
        <f>IFERROR(__xludf.DUMMYFUNCTION("""COMPUTED_VALUE"""),41025.99861111111)</f>
        <v>41025.99861</v>
      </c>
      <c r="B658" s="1">
        <f>IFERROR(__xludf.DUMMYFUNCTION("""COMPUTED_VALUE"""),33000.6827)</f>
        <v>33000.6827</v>
      </c>
    </row>
    <row r="659">
      <c r="A659" s="3">
        <f>IFERROR(__xludf.DUMMYFUNCTION("""COMPUTED_VALUE"""),41026.99861111111)</f>
        <v>41026.99861</v>
      </c>
      <c r="B659" s="1">
        <f>IFERROR(__xludf.DUMMYFUNCTION("""COMPUTED_VALUE"""),33177.88934)</f>
        <v>33177.88934</v>
      </c>
    </row>
    <row r="660">
      <c r="A660" s="3">
        <f>IFERROR(__xludf.DUMMYFUNCTION("""COMPUTED_VALUE"""),41029.99861111111)</f>
        <v>41029.99861</v>
      </c>
      <c r="B660" s="1">
        <f>IFERROR(__xludf.DUMMYFUNCTION("""COMPUTED_VALUE"""),33143.19187)</f>
        <v>33143.19187</v>
      </c>
    </row>
    <row r="661">
      <c r="A661" s="3">
        <f>IFERROR(__xludf.DUMMYFUNCTION("""COMPUTED_VALUE"""),41030.99861111111)</f>
        <v>41030.99861</v>
      </c>
      <c r="B661" s="1">
        <f>IFERROR(__xludf.DUMMYFUNCTION("""COMPUTED_VALUE"""),33085.76022)</f>
        <v>33085.76022</v>
      </c>
    </row>
    <row r="662">
      <c r="A662" s="3">
        <f>IFERROR(__xludf.DUMMYFUNCTION("""COMPUTED_VALUE"""),41031.99861111111)</f>
        <v>41031.99861</v>
      </c>
      <c r="B662" s="1">
        <f>IFERROR(__xludf.DUMMYFUNCTION("""COMPUTED_VALUE"""),33050.84133)</f>
        <v>33050.84133</v>
      </c>
    </row>
    <row r="663">
      <c r="A663" s="3">
        <f>IFERROR(__xludf.DUMMYFUNCTION("""COMPUTED_VALUE"""),41032.99861111111)</f>
        <v>41032.99861</v>
      </c>
      <c r="B663" s="1">
        <f>IFERROR(__xludf.DUMMYFUNCTION("""COMPUTED_VALUE"""),33003.23832)</f>
        <v>33003.23832</v>
      </c>
    </row>
    <row r="664">
      <c r="A664" s="3">
        <f>IFERROR(__xludf.DUMMYFUNCTION("""COMPUTED_VALUE"""),41033.99861111111)</f>
        <v>41033.99861</v>
      </c>
      <c r="B664" s="1">
        <f>IFERROR(__xludf.DUMMYFUNCTION("""COMPUTED_VALUE"""),33152.77219)</f>
        <v>33152.77219</v>
      </c>
    </row>
    <row r="665">
      <c r="A665" s="3">
        <f>IFERROR(__xludf.DUMMYFUNCTION("""COMPUTED_VALUE"""),41035.99861111111)</f>
        <v>41035.99861</v>
      </c>
      <c r="B665" s="1">
        <f>IFERROR(__xludf.DUMMYFUNCTION("""COMPUTED_VALUE"""),32639.24414)</f>
        <v>32639.24414</v>
      </c>
    </row>
    <row r="666">
      <c r="A666" s="3">
        <f>IFERROR(__xludf.DUMMYFUNCTION("""COMPUTED_VALUE"""),41036.99861111111)</f>
        <v>41036.99861</v>
      </c>
      <c r="B666" s="1">
        <f>IFERROR(__xludf.DUMMYFUNCTION("""COMPUTED_VALUE"""),33021.24336)</f>
        <v>33021.24336</v>
      </c>
    </row>
    <row r="667">
      <c r="A667" s="3">
        <f>IFERROR(__xludf.DUMMYFUNCTION("""COMPUTED_VALUE"""),41037.99861111111)</f>
        <v>41037.99861</v>
      </c>
      <c r="B667" s="1">
        <f>IFERROR(__xludf.DUMMYFUNCTION("""COMPUTED_VALUE"""),32999.70818)</f>
        <v>32999.70818</v>
      </c>
    </row>
    <row r="668">
      <c r="A668" s="3">
        <f>IFERROR(__xludf.DUMMYFUNCTION("""COMPUTED_VALUE"""),41038.99861111111)</f>
        <v>41038.99861</v>
      </c>
      <c r="B668" s="1">
        <f>IFERROR(__xludf.DUMMYFUNCTION("""COMPUTED_VALUE"""),33162.94896)</f>
        <v>33162.94896</v>
      </c>
    </row>
    <row r="669">
      <c r="A669" s="3">
        <f>IFERROR(__xludf.DUMMYFUNCTION("""COMPUTED_VALUE"""),41039.99861111111)</f>
        <v>41039.99861</v>
      </c>
      <c r="B669" s="1">
        <f>IFERROR(__xludf.DUMMYFUNCTION("""COMPUTED_VALUE"""),33021.24336)</f>
        <v>33021.24336</v>
      </c>
    </row>
    <row r="670">
      <c r="A670" s="3">
        <f>IFERROR(__xludf.DUMMYFUNCTION("""COMPUTED_VALUE"""),41040.99861111111)</f>
        <v>41040.99861</v>
      </c>
      <c r="B670" s="1">
        <f>IFERROR(__xludf.DUMMYFUNCTION("""COMPUTED_VALUE"""),33022.86692)</f>
        <v>33022.86692</v>
      </c>
    </row>
    <row r="671">
      <c r="A671" s="3">
        <f>IFERROR(__xludf.DUMMYFUNCTION("""COMPUTED_VALUE"""),41041.99861111111)</f>
        <v>41041.99861</v>
      </c>
      <c r="B671" s="1">
        <f>IFERROR(__xludf.DUMMYFUNCTION("""COMPUTED_VALUE"""),33010.28061)</f>
        <v>33010.28061</v>
      </c>
    </row>
    <row r="672">
      <c r="A672" s="3">
        <f>IFERROR(__xludf.DUMMYFUNCTION("""COMPUTED_VALUE"""),41042.99861111111)</f>
        <v>41042.99861</v>
      </c>
      <c r="B672" s="1">
        <f>IFERROR(__xludf.DUMMYFUNCTION("""COMPUTED_VALUE"""),33003.23832)</f>
        <v>33003.23832</v>
      </c>
    </row>
    <row r="673">
      <c r="A673" s="3">
        <f>IFERROR(__xludf.DUMMYFUNCTION("""COMPUTED_VALUE"""),41043.99861111111)</f>
        <v>41043.99861</v>
      </c>
      <c r="B673" s="1">
        <f>IFERROR(__xludf.DUMMYFUNCTION("""COMPUTED_VALUE"""),33266.1119)</f>
        <v>33266.1119</v>
      </c>
    </row>
    <row r="674">
      <c r="A674" s="3">
        <f>IFERROR(__xludf.DUMMYFUNCTION("""COMPUTED_VALUE"""),41044.99861111111)</f>
        <v>41044.99861</v>
      </c>
      <c r="B674" s="1">
        <f>IFERROR(__xludf.DUMMYFUNCTION("""COMPUTED_VALUE"""),33152.69697)</f>
        <v>33152.69697</v>
      </c>
    </row>
    <row r="675">
      <c r="A675" s="3">
        <f>IFERROR(__xludf.DUMMYFUNCTION("""COMPUTED_VALUE"""),41045.99861111111)</f>
        <v>41045.99861</v>
      </c>
      <c r="B675" s="1">
        <f>IFERROR(__xludf.DUMMYFUNCTION("""COMPUTED_VALUE"""),33134.8584)</f>
        <v>33134.8584</v>
      </c>
    </row>
    <row r="676">
      <c r="A676" s="3">
        <f>IFERROR(__xludf.DUMMYFUNCTION("""COMPUTED_VALUE"""),41046.99861111111)</f>
        <v>41046.99861</v>
      </c>
      <c r="B676" s="1">
        <f>IFERROR(__xludf.DUMMYFUNCTION("""COMPUTED_VALUE"""),33035.83869)</f>
        <v>33035.83869</v>
      </c>
    </row>
    <row r="677">
      <c r="A677" s="3">
        <f>IFERROR(__xludf.DUMMYFUNCTION("""COMPUTED_VALUE"""),41047.99861111111)</f>
        <v>41047.99861</v>
      </c>
      <c r="B677" s="1">
        <f>IFERROR(__xludf.DUMMYFUNCTION("""COMPUTED_VALUE"""),33045.1859)</f>
        <v>33045.1859</v>
      </c>
    </row>
    <row r="678">
      <c r="A678" s="3">
        <f>IFERROR(__xludf.DUMMYFUNCTION("""COMPUTED_VALUE"""),41048.99861111111)</f>
        <v>41048.99861</v>
      </c>
      <c r="B678" s="1">
        <f>IFERROR(__xludf.DUMMYFUNCTION("""COMPUTED_VALUE"""),32290.61814)</f>
        <v>32290.61814</v>
      </c>
    </row>
    <row r="679">
      <c r="A679" s="3">
        <f>IFERROR(__xludf.DUMMYFUNCTION("""COMPUTED_VALUE"""),41050.99861111111)</f>
        <v>41050.99861</v>
      </c>
      <c r="B679" s="1">
        <f>IFERROR(__xludf.DUMMYFUNCTION("""COMPUTED_VALUE"""),33134.96265)</f>
        <v>33134.96265</v>
      </c>
    </row>
    <row r="680">
      <c r="A680" s="3">
        <f>IFERROR(__xludf.DUMMYFUNCTION("""COMPUTED_VALUE"""),41051.99861111111)</f>
        <v>41051.99861</v>
      </c>
      <c r="B680" s="1">
        <f>IFERROR(__xludf.DUMMYFUNCTION("""COMPUTED_VALUE"""),33019.02888)</f>
        <v>33019.02888</v>
      </c>
    </row>
    <row r="681">
      <c r="A681" s="3">
        <f>IFERROR(__xludf.DUMMYFUNCTION("""COMPUTED_VALUE"""),41052.99861111111)</f>
        <v>41052.99861</v>
      </c>
      <c r="B681" s="1">
        <f>IFERROR(__xludf.DUMMYFUNCTION("""COMPUTED_VALUE"""),33130.47519)</f>
        <v>33130.47519</v>
      </c>
    </row>
    <row r="682">
      <c r="A682" s="3">
        <f>IFERROR(__xludf.DUMMYFUNCTION("""COMPUTED_VALUE"""),41053.99861111111)</f>
        <v>41053.99861</v>
      </c>
      <c r="B682" s="1">
        <f>IFERROR(__xludf.DUMMYFUNCTION("""COMPUTED_VALUE"""),33077.19415)</f>
        <v>33077.19415</v>
      </c>
    </row>
    <row r="683">
      <c r="A683" s="3">
        <f>IFERROR(__xludf.DUMMYFUNCTION("""COMPUTED_VALUE"""),41054.99861111111)</f>
        <v>41054.99861</v>
      </c>
      <c r="B683" s="1">
        <f>IFERROR(__xludf.DUMMYFUNCTION("""COMPUTED_VALUE"""),33120.03095)</f>
        <v>33120.03095</v>
      </c>
    </row>
    <row r="684">
      <c r="A684" s="3">
        <f>IFERROR(__xludf.DUMMYFUNCTION("""COMPUTED_VALUE"""),41056.99861111111)</f>
        <v>41056.99861</v>
      </c>
      <c r="B684" s="1">
        <f>IFERROR(__xludf.DUMMYFUNCTION("""COMPUTED_VALUE"""),33200.28402)</f>
        <v>33200.28402</v>
      </c>
    </row>
    <row r="685">
      <c r="A685" s="3">
        <f>IFERROR(__xludf.DUMMYFUNCTION("""COMPUTED_VALUE"""),41057.99861111111)</f>
        <v>41057.99861</v>
      </c>
      <c r="B685" s="1">
        <f>IFERROR(__xludf.DUMMYFUNCTION("""COMPUTED_VALUE"""),33120.03095)</f>
        <v>33120.03095</v>
      </c>
    </row>
    <row r="686">
      <c r="A686" s="3">
        <f>IFERROR(__xludf.DUMMYFUNCTION("""COMPUTED_VALUE"""),41058.99861111111)</f>
        <v>41058.99861</v>
      </c>
      <c r="B686" s="1">
        <f>IFERROR(__xludf.DUMMYFUNCTION("""COMPUTED_VALUE"""),33477.43584)</f>
        <v>33477.43584</v>
      </c>
    </row>
    <row r="687">
      <c r="A687" s="3">
        <f>IFERROR(__xludf.DUMMYFUNCTION("""COMPUTED_VALUE"""),41059.99861111111)</f>
        <v>41059.99861</v>
      </c>
      <c r="B687" s="1">
        <f>IFERROR(__xludf.DUMMYFUNCTION("""COMPUTED_VALUE"""),33535.27331)</f>
        <v>33535.27331</v>
      </c>
    </row>
    <row r="688">
      <c r="A688" s="3">
        <f>IFERROR(__xludf.DUMMYFUNCTION("""COMPUTED_VALUE"""),41060.99861111111)</f>
        <v>41060.99861</v>
      </c>
      <c r="B688" s="1">
        <f>IFERROR(__xludf.DUMMYFUNCTION("""COMPUTED_VALUE"""),33430.8)</f>
        <v>33430.8</v>
      </c>
    </row>
    <row r="689">
      <c r="A689" s="3">
        <f>IFERROR(__xludf.DUMMYFUNCTION("""COMPUTED_VALUE"""),41061.99861111111)</f>
        <v>41061.99861</v>
      </c>
      <c r="B689" s="1">
        <f>IFERROR(__xludf.DUMMYFUNCTION("""COMPUTED_VALUE"""),33377.24062)</f>
        <v>33377.24062</v>
      </c>
    </row>
    <row r="690">
      <c r="A690" s="3">
        <f>IFERROR(__xludf.DUMMYFUNCTION("""COMPUTED_VALUE"""),41063.99861111111)</f>
        <v>41063.99861</v>
      </c>
      <c r="B690" s="1">
        <f>IFERROR(__xludf.DUMMYFUNCTION("""COMPUTED_VALUE"""),33421.5656)</f>
        <v>33421.5656</v>
      </c>
    </row>
    <row r="691">
      <c r="A691" s="3">
        <f>IFERROR(__xludf.DUMMYFUNCTION("""COMPUTED_VALUE"""),41064.99861111111)</f>
        <v>41064.99861</v>
      </c>
      <c r="B691" s="1">
        <f>IFERROR(__xludf.DUMMYFUNCTION("""COMPUTED_VALUE"""),33479.74687)</f>
        <v>33479.74687</v>
      </c>
    </row>
    <row r="692">
      <c r="A692" s="3">
        <f>IFERROR(__xludf.DUMMYFUNCTION("""COMPUTED_VALUE"""),41065.99861111111)</f>
        <v>41065.99861</v>
      </c>
      <c r="B692" s="1">
        <f>IFERROR(__xludf.DUMMYFUNCTION("""COMPUTED_VALUE"""),33498.83494)</f>
        <v>33498.83494</v>
      </c>
    </row>
    <row r="693">
      <c r="A693" s="3">
        <f>IFERROR(__xludf.DUMMYFUNCTION("""COMPUTED_VALUE"""),41066.99861111111)</f>
        <v>41066.99861</v>
      </c>
      <c r="B693" s="1">
        <f>IFERROR(__xludf.DUMMYFUNCTION("""COMPUTED_VALUE"""),33162.89235)</f>
        <v>33162.89235</v>
      </c>
    </row>
    <row r="694">
      <c r="A694" s="3">
        <f>IFERROR(__xludf.DUMMYFUNCTION("""COMPUTED_VALUE"""),41067.99861111111)</f>
        <v>41067.99861</v>
      </c>
      <c r="B694" s="1">
        <f>IFERROR(__xludf.DUMMYFUNCTION("""COMPUTED_VALUE"""),33428.61441)</f>
        <v>33428.61441</v>
      </c>
    </row>
    <row r="695">
      <c r="A695" s="3">
        <f>IFERROR(__xludf.DUMMYFUNCTION("""COMPUTED_VALUE"""),41068.99861111111)</f>
        <v>41068.99861</v>
      </c>
      <c r="B695" s="1">
        <f>IFERROR(__xludf.DUMMYFUNCTION("""COMPUTED_VALUE"""),33422.5944)</f>
        <v>33422.5944</v>
      </c>
    </row>
    <row r="696">
      <c r="A696" s="3">
        <f>IFERROR(__xludf.DUMMYFUNCTION("""COMPUTED_VALUE"""),41070.99861111111)</f>
        <v>41070.99861</v>
      </c>
      <c r="B696" s="1">
        <f>IFERROR(__xludf.DUMMYFUNCTION("""COMPUTED_VALUE"""),33511.68561)</f>
        <v>33511.68561</v>
      </c>
    </row>
    <row r="697">
      <c r="A697" s="3">
        <f>IFERROR(__xludf.DUMMYFUNCTION("""COMPUTED_VALUE"""),41071.99861111111)</f>
        <v>41071.99861</v>
      </c>
      <c r="B697" s="1">
        <f>IFERROR(__xludf.DUMMYFUNCTION("""COMPUTED_VALUE"""),33467.72744)</f>
        <v>33467.72744</v>
      </c>
    </row>
    <row r="698">
      <c r="A698" s="3">
        <f>IFERROR(__xludf.DUMMYFUNCTION("""COMPUTED_VALUE"""),41072.99861111111)</f>
        <v>41072.99861</v>
      </c>
      <c r="B698" s="1">
        <f>IFERROR(__xludf.DUMMYFUNCTION("""COMPUTED_VALUE"""),33607.28151)</f>
        <v>33607.28151</v>
      </c>
    </row>
    <row r="699">
      <c r="A699" s="3">
        <f>IFERROR(__xludf.DUMMYFUNCTION("""COMPUTED_VALUE"""),41073.99861111111)</f>
        <v>41073.99861</v>
      </c>
      <c r="B699" s="1">
        <f>IFERROR(__xludf.DUMMYFUNCTION("""COMPUTED_VALUE"""),33577.55149)</f>
        <v>33577.55149</v>
      </c>
    </row>
    <row r="700">
      <c r="A700" s="3">
        <f>IFERROR(__xludf.DUMMYFUNCTION("""COMPUTED_VALUE"""),41074.99861111111)</f>
        <v>41074.99861</v>
      </c>
      <c r="B700" s="1">
        <f>IFERROR(__xludf.DUMMYFUNCTION("""COMPUTED_VALUE"""),33628.03083)</f>
        <v>33628.03083</v>
      </c>
    </row>
    <row r="701">
      <c r="A701" s="3">
        <f>IFERROR(__xludf.DUMMYFUNCTION("""COMPUTED_VALUE"""),41075.99861111111)</f>
        <v>41075.99861</v>
      </c>
      <c r="B701" s="1">
        <f>IFERROR(__xludf.DUMMYFUNCTION("""COMPUTED_VALUE"""),33537.45102)</f>
        <v>33537.45102</v>
      </c>
    </row>
    <row r="702">
      <c r="A702" s="3">
        <f>IFERROR(__xludf.DUMMYFUNCTION("""COMPUTED_VALUE"""),41076.99861111111)</f>
        <v>41076.99861</v>
      </c>
      <c r="B702" s="1">
        <f>IFERROR(__xludf.DUMMYFUNCTION("""COMPUTED_VALUE"""),33279.60836)</f>
        <v>33279.60836</v>
      </c>
    </row>
    <row r="703">
      <c r="A703" s="3">
        <f>IFERROR(__xludf.DUMMYFUNCTION("""COMPUTED_VALUE"""),41078.99861111111)</f>
        <v>41078.99861</v>
      </c>
      <c r="B703" s="1">
        <f>IFERROR(__xludf.DUMMYFUNCTION("""COMPUTED_VALUE"""),33481.10248)</f>
        <v>33481.10248</v>
      </c>
    </row>
    <row r="704">
      <c r="A704" s="3">
        <f>IFERROR(__xludf.DUMMYFUNCTION("""COMPUTED_VALUE"""),41079.99861111111)</f>
        <v>41079.99861</v>
      </c>
      <c r="B704" s="1">
        <f>IFERROR(__xludf.DUMMYFUNCTION("""COMPUTED_VALUE"""),33612.243)</f>
        <v>33612.243</v>
      </c>
    </row>
    <row r="705">
      <c r="A705" s="3">
        <f>IFERROR(__xludf.DUMMYFUNCTION("""COMPUTED_VALUE"""),41080.99861111111)</f>
        <v>41080.99861</v>
      </c>
      <c r="B705" s="1">
        <f>IFERROR(__xludf.DUMMYFUNCTION("""COMPUTED_VALUE"""),33635.28459)</f>
        <v>33635.28459</v>
      </c>
    </row>
    <row r="706">
      <c r="A706" s="3">
        <f>IFERROR(__xludf.DUMMYFUNCTION("""COMPUTED_VALUE"""),41081.99861111111)</f>
        <v>41081.99861</v>
      </c>
      <c r="B706" s="1">
        <f>IFERROR(__xludf.DUMMYFUNCTION("""COMPUTED_VALUE"""),33676.90893)</f>
        <v>33676.90893</v>
      </c>
    </row>
    <row r="707">
      <c r="A707" s="3">
        <f>IFERROR(__xludf.DUMMYFUNCTION("""COMPUTED_VALUE"""),41082.99861111111)</f>
        <v>41082.99861</v>
      </c>
      <c r="B707" s="1">
        <f>IFERROR(__xludf.DUMMYFUNCTION("""COMPUTED_VALUE"""),33617.85176)</f>
        <v>33617.85176</v>
      </c>
    </row>
    <row r="708">
      <c r="A708" s="3">
        <f>IFERROR(__xludf.DUMMYFUNCTION("""COMPUTED_VALUE"""),41083.99861111111)</f>
        <v>41083.99861</v>
      </c>
      <c r="B708" s="1">
        <f>IFERROR(__xludf.DUMMYFUNCTION("""COMPUTED_VALUE"""),33296.42324)</f>
        <v>33296.42324</v>
      </c>
    </row>
    <row r="709">
      <c r="A709" s="3">
        <f>IFERROR(__xludf.DUMMYFUNCTION("""COMPUTED_VALUE"""),41084.99861111111)</f>
        <v>41084.99861</v>
      </c>
      <c r="B709" s="1">
        <f>IFERROR(__xludf.DUMMYFUNCTION("""COMPUTED_VALUE"""),33705.17317)</f>
        <v>33705.17317</v>
      </c>
    </row>
    <row r="710">
      <c r="A710" s="3">
        <f>IFERROR(__xludf.DUMMYFUNCTION("""COMPUTED_VALUE"""),41085.99861111111)</f>
        <v>41085.99861</v>
      </c>
      <c r="B710" s="1">
        <f>IFERROR(__xludf.DUMMYFUNCTION("""COMPUTED_VALUE"""),33611.32287)</f>
        <v>33611.32287</v>
      </c>
    </row>
    <row r="711">
      <c r="A711" s="3">
        <f>IFERROR(__xludf.DUMMYFUNCTION("""COMPUTED_VALUE"""),41086.99861111111)</f>
        <v>41086.99861</v>
      </c>
      <c r="B711" s="1">
        <f>IFERROR(__xludf.DUMMYFUNCTION("""COMPUTED_VALUE"""),33631.876)</f>
        <v>33631.876</v>
      </c>
    </row>
    <row r="712">
      <c r="A712" s="3">
        <f>IFERROR(__xludf.DUMMYFUNCTION("""COMPUTED_VALUE"""),41087.99861111111)</f>
        <v>41087.99861</v>
      </c>
      <c r="B712" s="1">
        <f>IFERROR(__xludf.DUMMYFUNCTION("""COMPUTED_VALUE"""),33618.63077)</f>
        <v>33618.63077</v>
      </c>
    </row>
    <row r="713">
      <c r="A713" s="3">
        <f>IFERROR(__xludf.DUMMYFUNCTION("""COMPUTED_VALUE"""),41088.99861111111)</f>
        <v>41088.99861</v>
      </c>
      <c r="B713" s="1">
        <f>IFERROR(__xludf.DUMMYFUNCTION("""COMPUTED_VALUE"""),33585.18272)</f>
        <v>33585.18272</v>
      </c>
    </row>
    <row r="714">
      <c r="A714" s="3">
        <f>IFERROR(__xludf.DUMMYFUNCTION("""COMPUTED_VALUE"""),41089.99861111111)</f>
        <v>41089.99861</v>
      </c>
      <c r="B714" s="1">
        <f>IFERROR(__xludf.DUMMYFUNCTION("""COMPUTED_VALUE"""),33522.98517)</f>
        <v>33522.98517</v>
      </c>
    </row>
    <row r="715">
      <c r="A715" s="3">
        <f>IFERROR(__xludf.DUMMYFUNCTION("""COMPUTED_VALUE"""),41090.99861111111)</f>
        <v>41090.99861</v>
      </c>
      <c r="B715" s="1">
        <f>IFERROR(__xludf.DUMMYFUNCTION("""COMPUTED_VALUE"""),33522.98517)</f>
        <v>33522.98517</v>
      </c>
    </row>
    <row r="716">
      <c r="A716" s="3">
        <f>IFERROR(__xludf.DUMMYFUNCTION("""COMPUTED_VALUE"""),41092.99861111111)</f>
        <v>41092.99861</v>
      </c>
      <c r="B716" s="1">
        <f>IFERROR(__xludf.DUMMYFUNCTION("""COMPUTED_VALUE"""),33535.09055)</f>
        <v>33535.09055</v>
      </c>
    </row>
    <row r="717">
      <c r="A717" s="3">
        <f>IFERROR(__xludf.DUMMYFUNCTION("""COMPUTED_VALUE"""),41093.99861111111)</f>
        <v>41093.99861</v>
      </c>
      <c r="B717" s="1">
        <f>IFERROR(__xludf.DUMMYFUNCTION("""COMPUTED_VALUE"""),33326.88573)</f>
        <v>33326.88573</v>
      </c>
    </row>
    <row r="718">
      <c r="A718" s="3">
        <f>IFERROR(__xludf.DUMMYFUNCTION("""COMPUTED_VALUE"""),41094.99861111111)</f>
        <v>41094.99861</v>
      </c>
      <c r="B718" s="1">
        <f>IFERROR(__xludf.DUMMYFUNCTION("""COMPUTED_VALUE"""),33342.0255)</f>
        <v>33342.0255</v>
      </c>
    </row>
    <row r="719">
      <c r="A719" s="3">
        <f>IFERROR(__xludf.DUMMYFUNCTION("""COMPUTED_VALUE"""),41095.99861111111)</f>
        <v>41095.99861</v>
      </c>
      <c r="B719" s="1">
        <f>IFERROR(__xludf.DUMMYFUNCTION("""COMPUTED_VALUE"""),33397.06453)</f>
        <v>33397.06453</v>
      </c>
    </row>
    <row r="720">
      <c r="A720" s="3">
        <f>IFERROR(__xludf.DUMMYFUNCTION("""COMPUTED_VALUE"""),41096.99861111111)</f>
        <v>41096.99861</v>
      </c>
      <c r="B720" s="1">
        <f>IFERROR(__xludf.DUMMYFUNCTION("""COMPUTED_VALUE"""),33524.37874)</f>
        <v>33524.37874</v>
      </c>
    </row>
    <row r="721">
      <c r="A721" s="3">
        <f>IFERROR(__xludf.DUMMYFUNCTION("""COMPUTED_VALUE"""),41097.99861111111)</f>
        <v>41097.99861</v>
      </c>
      <c r="B721" s="1">
        <f>IFERROR(__xludf.DUMMYFUNCTION("""COMPUTED_VALUE"""),33092.19656)</f>
        <v>33092.19656</v>
      </c>
    </row>
    <row r="722">
      <c r="A722" s="3">
        <f>IFERROR(__xludf.DUMMYFUNCTION("""COMPUTED_VALUE"""),41099.99861111111)</f>
        <v>41099.99861</v>
      </c>
      <c r="B722" s="1">
        <f>IFERROR(__xludf.DUMMYFUNCTION("""COMPUTED_VALUE"""),33419.55275)</f>
        <v>33419.55275</v>
      </c>
    </row>
    <row r="723">
      <c r="A723" s="3">
        <f>IFERROR(__xludf.DUMMYFUNCTION("""COMPUTED_VALUE"""),41100.99861111111)</f>
        <v>41100.99861</v>
      </c>
      <c r="B723" s="1">
        <f>IFERROR(__xludf.DUMMYFUNCTION("""COMPUTED_VALUE"""),33413.67715)</f>
        <v>33413.67715</v>
      </c>
    </row>
    <row r="724">
      <c r="A724" s="3">
        <f>IFERROR(__xludf.DUMMYFUNCTION("""COMPUTED_VALUE"""),41101.99861111111)</f>
        <v>41101.99861</v>
      </c>
      <c r="B724" s="1">
        <f>IFERROR(__xludf.DUMMYFUNCTION("""COMPUTED_VALUE"""),33378.73695)</f>
        <v>33378.73695</v>
      </c>
    </row>
    <row r="725">
      <c r="A725" s="3">
        <f>IFERROR(__xludf.DUMMYFUNCTION("""COMPUTED_VALUE"""),41102.99861111111)</f>
        <v>41102.99861</v>
      </c>
      <c r="B725" s="1">
        <f>IFERROR(__xludf.DUMMYFUNCTION("""COMPUTED_VALUE"""),33459.14476)</f>
        <v>33459.14476</v>
      </c>
    </row>
    <row r="726">
      <c r="A726" s="3">
        <f>IFERROR(__xludf.DUMMYFUNCTION("""COMPUTED_VALUE"""),41103.99861111111)</f>
        <v>41103.99861</v>
      </c>
      <c r="B726" s="1">
        <f>IFERROR(__xludf.DUMMYFUNCTION("""COMPUTED_VALUE"""),33521.87019)</f>
        <v>33521.87019</v>
      </c>
    </row>
    <row r="727">
      <c r="A727" s="3">
        <f>IFERROR(__xludf.DUMMYFUNCTION("""COMPUTED_VALUE"""),41104.99861111111)</f>
        <v>41104.99861</v>
      </c>
      <c r="B727" s="1">
        <f>IFERROR(__xludf.DUMMYFUNCTION("""COMPUTED_VALUE"""),33521.87019)</f>
        <v>33521.87019</v>
      </c>
    </row>
    <row r="728">
      <c r="A728" s="3">
        <f>IFERROR(__xludf.DUMMYFUNCTION("""COMPUTED_VALUE"""),41106.99861111111)</f>
        <v>41106.99861</v>
      </c>
      <c r="B728" s="1">
        <f>IFERROR(__xludf.DUMMYFUNCTION("""COMPUTED_VALUE"""),33530.16364)</f>
        <v>33530.16364</v>
      </c>
    </row>
    <row r="729">
      <c r="A729" s="3">
        <f>IFERROR(__xludf.DUMMYFUNCTION("""COMPUTED_VALUE"""),41107.99861111111)</f>
        <v>41107.99861</v>
      </c>
      <c r="B729" s="1">
        <f>IFERROR(__xludf.DUMMYFUNCTION("""COMPUTED_VALUE"""),33454.68075)</f>
        <v>33454.68075</v>
      </c>
    </row>
    <row r="730">
      <c r="A730" s="3">
        <f>IFERROR(__xludf.DUMMYFUNCTION("""COMPUTED_VALUE"""),41108.99861111111)</f>
        <v>41108.99861</v>
      </c>
      <c r="B730" s="1">
        <f>IFERROR(__xludf.DUMMYFUNCTION("""COMPUTED_VALUE"""),33505.25738)</f>
        <v>33505.25738</v>
      </c>
    </row>
    <row r="731">
      <c r="A731" s="3">
        <f>IFERROR(__xludf.DUMMYFUNCTION("""COMPUTED_VALUE"""),41109.99861111111)</f>
        <v>41109.99861</v>
      </c>
      <c r="B731" s="1">
        <f>IFERROR(__xludf.DUMMYFUNCTION("""COMPUTED_VALUE"""),33490.28419)</f>
        <v>33490.28419</v>
      </c>
    </row>
    <row r="732">
      <c r="A732" s="3">
        <f>IFERROR(__xludf.DUMMYFUNCTION("""COMPUTED_VALUE"""),41110.99861111111)</f>
        <v>41110.99861</v>
      </c>
      <c r="B732" s="1">
        <f>IFERROR(__xludf.DUMMYFUNCTION("""COMPUTED_VALUE"""),33528.9851)</f>
        <v>33528.9851</v>
      </c>
    </row>
    <row r="733">
      <c r="A733" s="3">
        <f>IFERROR(__xludf.DUMMYFUNCTION("""COMPUTED_VALUE"""),41111.99861111111)</f>
        <v>41111.99861</v>
      </c>
      <c r="B733" s="1">
        <f>IFERROR(__xludf.DUMMYFUNCTION("""COMPUTED_VALUE"""),33528.9851)</f>
        <v>33528.9851</v>
      </c>
    </row>
    <row r="734">
      <c r="A734" s="3">
        <f>IFERROR(__xludf.DUMMYFUNCTION("""COMPUTED_VALUE"""),41113.99861111111)</f>
        <v>41113.99861</v>
      </c>
      <c r="B734" s="1">
        <f>IFERROR(__xludf.DUMMYFUNCTION("""COMPUTED_VALUE"""),33449.2723)</f>
        <v>33449.2723</v>
      </c>
    </row>
    <row r="735">
      <c r="A735" s="3">
        <f>IFERROR(__xludf.DUMMYFUNCTION("""COMPUTED_VALUE"""),41114.99861111111)</f>
        <v>41114.99861</v>
      </c>
      <c r="B735" s="1">
        <f>IFERROR(__xludf.DUMMYFUNCTION("""COMPUTED_VALUE"""),33479.52401)</f>
        <v>33479.52401</v>
      </c>
    </row>
    <row r="736">
      <c r="A736" s="3">
        <f>IFERROR(__xludf.DUMMYFUNCTION("""COMPUTED_VALUE"""),41115.99861111111)</f>
        <v>41115.99861</v>
      </c>
      <c r="B736" s="1">
        <f>IFERROR(__xludf.DUMMYFUNCTION("""COMPUTED_VALUE"""),33565.89961)</f>
        <v>33565.89961</v>
      </c>
    </row>
    <row r="737">
      <c r="A737" s="3">
        <f>IFERROR(__xludf.DUMMYFUNCTION("""COMPUTED_VALUE"""),41116.99861111111)</f>
        <v>41116.99861</v>
      </c>
      <c r="B737" s="1">
        <f>IFERROR(__xludf.DUMMYFUNCTION("""COMPUTED_VALUE"""),33570.00455)</f>
        <v>33570.00455</v>
      </c>
    </row>
    <row r="738">
      <c r="A738" s="3">
        <f>IFERROR(__xludf.DUMMYFUNCTION("""COMPUTED_VALUE"""),41117.99861111111)</f>
        <v>41117.99861</v>
      </c>
      <c r="B738" s="1">
        <f>IFERROR(__xludf.DUMMYFUNCTION("""COMPUTED_VALUE"""),33522.92389)</f>
        <v>33522.92389</v>
      </c>
    </row>
    <row r="739">
      <c r="A739" s="3">
        <f>IFERROR(__xludf.DUMMYFUNCTION("""COMPUTED_VALUE"""),41119.99861111111)</f>
        <v>41119.99861</v>
      </c>
      <c r="B739" s="1">
        <f>IFERROR(__xludf.DUMMYFUNCTION("""COMPUTED_VALUE"""),33522.92389)</f>
        <v>33522.92389</v>
      </c>
    </row>
    <row r="740">
      <c r="A740" s="3">
        <f>IFERROR(__xludf.DUMMYFUNCTION("""COMPUTED_VALUE"""),41120.99861111111)</f>
        <v>41120.99861</v>
      </c>
      <c r="B740" s="1">
        <f>IFERROR(__xludf.DUMMYFUNCTION("""COMPUTED_VALUE"""),33468.28051)</f>
        <v>33468.28051</v>
      </c>
    </row>
    <row r="741">
      <c r="A741" s="3">
        <f>IFERROR(__xludf.DUMMYFUNCTION("""COMPUTED_VALUE"""),41121.99861111111)</f>
        <v>41121.99861</v>
      </c>
      <c r="B741" s="1">
        <f>IFERROR(__xludf.DUMMYFUNCTION("""COMPUTED_VALUE"""),33454.38107)</f>
        <v>33454.38107</v>
      </c>
    </row>
    <row r="742">
      <c r="A742" s="3">
        <f>IFERROR(__xludf.DUMMYFUNCTION("""COMPUTED_VALUE"""),41122.99861111111)</f>
        <v>41122.99861</v>
      </c>
      <c r="B742" s="1">
        <f>IFERROR(__xludf.DUMMYFUNCTION("""COMPUTED_VALUE"""),33449.18011)</f>
        <v>33449.18011</v>
      </c>
    </row>
    <row r="743">
      <c r="A743" s="3">
        <f>IFERROR(__xludf.DUMMYFUNCTION("""COMPUTED_VALUE"""),41123.99861111111)</f>
        <v>41123.99861</v>
      </c>
      <c r="B743" s="1">
        <f>IFERROR(__xludf.DUMMYFUNCTION("""COMPUTED_VALUE"""),33530.91429)</f>
        <v>33530.91429</v>
      </c>
    </row>
    <row r="744">
      <c r="A744" s="3">
        <f>IFERROR(__xludf.DUMMYFUNCTION("""COMPUTED_VALUE"""),41124.99861111111)</f>
        <v>41124.99861</v>
      </c>
      <c r="B744" s="1">
        <f>IFERROR(__xludf.DUMMYFUNCTION("""COMPUTED_VALUE"""),33533.37724)</f>
        <v>33533.37724</v>
      </c>
    </row>
    <row r="745">
      <c r="A745" s="3">
        <f>IFERROR(__xludf.DUMMYFUNCTION("""COMPUTED_VALUE"""),41125.99861111111)</f>
        <v>41125.99861</v>
      </c>
      <c r="B745" s="1">
        <f>IFERROR(__xludf.DUMMYFUNCTION("""COMPUTED_VALUE"""),33490.4085)</f>
        <v>33490.4085</v>
      </c>
    </row>
    <row r="746">
      <c r="A746" s="3">
        <f>IFERROR(__xludf.DUMMYFUNCTION("""COMPUTED_VALUE"""),41127.99861111111)</f>
        <v>41127.99861</v>
      </c>
      <c r="B746" s="1">
        <f>IFERROR(__xludf.DUMMYFUNCTION("""COMPUTED_VALUE"""),33523.42959)</f>
        <v>33523.42959</v>
      </c>
    </row>
    <row r="747">
      <c r="A747" s="3">
        <f>IFERROR(__xludf.DUMMYFUNCTION("""COMPUTED_VALUE"""),41128.99861111111)</f>
        <v>41128.99861</v>
      </c>
      <c r="B747" s="1">
        <f>IFERROR(__xludf.DUMMYFUNCTION("""COMPUTED_VALUE"""),33640.00637)</f>
        <v>33640.00637</v>
      </c>
    </row>
    <row r="748">
      <c r="A748" s="3">
        <f>IFERROR(__xludf.DUMMYFUNCTION("""COMPUTED_VALUE"""),41129.99861111111)</f>
        <v>41129.99861</v>
      </c>
      <c r="B748" s="1">
        <f>IFERROR(__xludf.DUMMYFUNCTION("""COMPUTED_VALUE"""),33504.51787)</f>
        <v>33504.51787</v>
      </c>
    </row>
    <row r="749">
      <c r="A749" s="3">
        <f>IFERROR(__xludf.DUMMYFUNCTION("""COMPUTED_VALUE"""),41130.99861111111)</f>
        <v>41130.99861</v>
      </c>
      <c r="B749" s="1">
        <f>IFERROR(__xludf.DUMMYFUNCTION("""COMPUTED_VALUE"""),33477.17649)</f>
        <v>33477.17649</v>
      </c>
    </row>
    <row r="750">
      <c r="A750" s="3">
        <f>IFERROR(__xludf.DUMMYFUNCTION("""COMPUTED_VALUE"""),41131.99861111111)</f>
        <v>41131.99861</v>
      </c>
      <c r="B750" s="1">
        <f>IFERROR(__xludf.DUMMYFUNCTION("""COMPUTED_VALUE"""),33499.85468)</f>
        <v>33499.85468</v>
      </c>
    </row>
    <row r="751">
      <c r="A751" s="3">
        <f>IFERROR(__xludf.DUMMYFUNCTION("""COMPUTED_VALUE"""),41132.99861111111)</f>
        <v>41132.99861</v>
      </c>
      <c r="B751" s="1">
        <f>IFERROR(__xludf.DUMMYFUNCTION("""COMPUTED_VALUE"""),33516.51898)</f>
        <v>33516.51898</v>
      </c>
    </row>
    <row r="752">
      <c r="A752" s="3">
        <f>IFERROR(__xludf.DUMMYFUNCTION("""COMPUTED_VALUE"""),41134.99861111111)</f>
        <v>41134.99861</v>
      </c>
      <c r="B752" s="1">
        <f>IFERROR(__xludf.DUMMYFUNCTION("""COMPUTED_VALUE"""),33551.21691)</f>
        <v>33551.21691</v>
      </c>
    </row>
    <row r="753">
      <c r="A753" s="3">
        <f>IFERROR(__xludf.DUMMYFUNCTION("""COMPUTED_VALUE"""),41135.99861111111)</f>
        <v>41135.99861</v>
      </c>
      <c r="B753" s="1">
        <f>IFERROR(__xludf.DUMMYFUNCTION("""COMPUTED_VALUE"""),33483.64835)</f>
        <v>33483.64835</v>
      </c>
    </row>
    <row r="754">
      <c r="A754" s="3">
        <f>IFERROR(__xludf.DUMMYFUNCTION("""COMPUTED_VALUE"""),41136.99861111111)</f>
        <v>41136.99861</v>
      </c>
      <c r="B754" s="1">
        <f>IFERROR(__xludf.DUMMYFUNCTION("""COMPUTED_VALUE"""),33537.3635)</f>
        <v>33537.3635</v>
      </c>
    </row>
    <row r="755">
      <c r="A755" s="3">
        <f>IFERROR(__xludf.DUMMYFUNCTION("""COMPUTED_VALUE"""),41137.99861111111)</f>
        <v>41137.99861</v>
      </c>
      <c r="B755" s="1">
        <f>IFERROR(__xludf.DUMMYFUNCTION("""COMPUTED_VALUE"""),33539.33897)</f>
        <v>33539.33897</v>
      </c>
    </row>
    <row r="756">
      <c r="A756" s="3">
        <f>IFERROR(__xludf.DUMMYFUNCTION("""COMPUTED_VALUE"""),41138.99861111111)</f>
        <v>41138.99861</v>
      </c>
      <c r="B756" s="1">
        <f>IFERROR(__xludf.DUMMYFUNCTION("""COMPUTED_VALUE"""),33572.15623)</f>
        <v>33572.15623</v>
      </c>
    </row>
    <row r="757">
      <c r="A757" s="3">
        <f>IFERROR(__xludf.DUMMYFUNCTION("""COMPUTED_VALUE"""),41139.99861111111)</f>
        <v>41139.99861</v>
      </c>
      <c r="B757" s="1">
        <f>IFERROR(__xludf.DUMMYFUNCTION("""COMPUTED_VALUE"""),33572.15623)</f>
        <v>33572.15623</v>
      </c>
    </row>
    <row r="758">
      <c r="A758" s="3">
        <f>IFERROR(__xludf.DUMMYFUNCTION("""COMPUTED_VALUE"""),41140.99861111111)</f>
        <v>41140.99861</v>
      </c>
      <c r="B758" s="1">
        <f>IFERROR(__xludf.DUMMYFUNCTION("""COMPUTED_VALUE"""),33660.65336)</f>
        <v>33660.65336</v>
      </c>
    </row>
    <row r="759">
      <c r="A759" s="3">
        <f>IFERROR(__xludf.DUMMYFUNCTION("""COMPUTED_VALUE"""),41141.99861111111)</f>
        <v>41141.99861</v>
      </c>
      <c r="B759" s="1">
        <f>IFERROR(__xludf.DUMMYFUNCTION("""COMPUTED_VALUE"""),33554.67692)</f>
        <v>33554.67692</v>
      </c>
    </row>
    <row r="760">
      <c r="A760" s="3">
        <f>IFERROR(__xludf.DUMMYFUNCTION("""COMPUTED_VALUE"""),41143.99861111111)</f>
        <v>41143.99861</v>
      </c>
      <c r="B760" s="1">
        <f>IFERROR(__xludf.DUMMYFUNCTION("""COMPUTED_VALUE"""),33592.41133)</f>
        <v>33592.41133</v>
      </c>
    </row>
    <row r="761">
      <c r="A761" s="3">
        <f>IFERROR(__xludf.DUMMYFUNCTION("""COMPUTED_VALUE"""),41144.99861111111)</f>
        <v>41144.99861</v>
      </c>
      <c r="B761" s="1">
        <f>IFERROR(__xludf.DUMMYFUNCTION("""COMPUTED_VALUE"""),33619.52996)</f>
        <v>33619.52996</v>
      </c>
    </row>
    <row r="762">
      <c r="A762" s="3">
        <f>IFERROR(__xludf.DUMMYFUNCTION("""COMPUTED_VALUE"""),41145.99861111111)</f>
        <v>41145.99861</v>
      </c>
      <c r="B762" s="1">
        <f>IFERROR(__xludf.DUMMYFUNCTION("""COMPUTED_VALUE"""),33673.14012)</f>
        <v>33673.14012</v>
      </c>
    </row>
    <row r="763">
      <c r="A763" s="3">
        <f>IFERROR(__xludf.DUMMYFUNCTION("""COMPUTED_VALUE"""),41146.99861111111)</f>
        <v>41146.99861</v>
      </c>
      <c r="B763" s="1">
        <f>IFERROR(__xludf.DUMMYFUNCTION("""COMPUTED_VALUE"""),33673.14012)</f>
        <v>33673.14012</v>
      </c>
    </row>
    <row r="764">
      <c r="A764" s="3">
        <f>IFERROR(__xludf.DUMMYFUNCTION("""COMPUTED_VALUE"""),41148.99861111111)</f>
        <v>41148.99861</v>
      </c>
      <c r="B764" s="1">
        <f>IFERROR(__xludf.DUMMYFUNCTION("""COMPUTED_VALUE"""),33696.88525)</f>
        <v>33696.88525</v>
      </c>
    </row>
    <row r="765">
      <c r="A765" s="3">
        <f>IFERROR(__xludf.DUMMYFUNCTION("""COMPUTED_VALUE"""),41149.99861111111)</f>
        <v>41149.99861</v>
      </c>
      <c r="B765" s="1">
        <f>IFERROR(__xludf.DUMMYFUNCTION("""COMPUTED_VALUE"""),33753.19256)</f>
        <v>33753.19256</v>
      </c>
    </row>
    <row r="766">
      <c r="A766" s="3">
        <f>IFERROR(__xludf.DUMMYFUNCTION("""COMPUTED_VALUE"""),41150.99861111111)</f>
        <v>41150.99861</v>
      </c>
      <c r="B766" s="1">
        <f>IFERROR(__xludf.DUMMYFUNCTION("""COMPUTED_VALUE"""),33775.05658)</f>
        <v>33775.05658</v>
      </c>
    </row>
    <row r="767">
      <c r="A767" s="3">
        <f>IFERROR(__xludf.DUMMYFUNCTION("""COMPUTED_VALUE"""),41151.99861111111)</f>
        <v>41151.99861</v>
      </c>
      <c r="B767" s="1">
        <f>IFERROR(__xludf.DUMMYFUNCTION("""COMPUTED_VALUE"""),33793.64229)</f>
        <v>33793.64229</v>
      </c>
    </row>
    <row r="768">
      <c r="A768" s="3">
        <f>IFERROR(__xludf.DUMMYFUNCTION("""COMPUTED_VALUE"""),41152.99861111111)</f>
        <v>41152.99861</v>
      </c>
      <c r="B768" s="1">
        <f>IFERROR(__xludf.DUMMYFUNCTION("""COMPUTED_VALUE"""),33792.90057)</f>
        <v>33792.90057</v>
      </c>
    </row>
    <row r="769">
      <c r="A769" s="3">
        <f>IFERROR(__xludf.DUMMYFUNCTION("""COMPUTED_VALUE"""),41153.99861111111)</f>
        <v>41153.99861</v>
      </c>
      <c r="B769" s="1">
        <f>IFERROR(__xludf.DUMMYFUNCTION("""COMPUTED_VALUE"""),33792.90057)</f>
        <v>33792.90057</v>
      </c>
    </row>
    <row r="770">
      <c r="A770" s="3">
        <f>IFERROR(__xludf.DUMMYFUNCTION("""COMPUTED_VALUE"""),41154.99861111111)</f>
        <v>41154.99861</v>
      </c>
      <c r="B770" s="1">
        <f>IFERROR(__xludf.DUMMYFUNCTION("""COMPUTED_VALUE"""),33881.55807)</f>
        <v>33881.55807</v>
      </c>
    </row>
    <row r="771">
      <c r="A771" s="3">
        <f>IFERROR(__xludf.DUMMYFUNCTION("""COMPUTED_VALUE"""),41155.99861111111)</f>
        <v>41155.99861</v>
      </c>
      <c r="B771" s="1">
        <f>IFERROR(__xludf.DUMMYFUNCTION("""COMPUTED_VALUE"""),33761.32121)</f>
        <v>33761.32121</v>
      </c>
    </row>
    <row r="772">
      <c r="A772" s="3">
        <f>IFERROR(__xludf.DUMMYFUNCTION("""COMPUTED_VALUE"""),41156.99861111111)</f>
        <v>41156.99861</v>
      </c>
      <c r="B772" s="1">
        <f>IFERROR(__xludf.DUMMYFUNCTION("""COMPUTED_VALUE"""),33867.80023)</f>
        <v>33867.80023</v>
      </c>
    </row>
    <row r="773">
      <c r="A773" s="3">
        <f>IFERROR(__xludf.DUMMYFUNCTION("""COMPUTED_VALUE"""),41157.99861111111)</f>
        <v>41157.99861</v>
      </c>
      <c r="B773" s="1">
        <f>IFERROR(__xludf.DUMMYFUNCTION("""COMPUTED_VALUE"""),33907.66448)</f>
        <v>33907.66448</v>
      </c>
    </row>
    <row r="774">
      <c r="A774" s="3">
        <f>IFERROR(__xludf.DUMMYFUNCTION("""COMPUTED_VALUE"""),41158.99861111111)</f>
        <v>41158.99861</v>
      </c>
      <c r="B774" s="1">
        <f>IFERROR(__xludf.DUMMYFUNCTION("""COMPUTED_VALUE"""),33863.33083)</f>
        <v>33863.33083</v>
      </c>
    </row>
    <row r="775">
      <c r="A775" s="3">
        <f>IFERROR(__xludf.DUMMYFUNCTION("""COMPUTED_VALUE"""),41159.99861111111)</f>
        <v>41159.99861</v>
      </c>
      <c r="B775" s="1">
        <f>IFERROR(__xludf.DUMMYFUNCTION("""COMPUTED_VALUE"""),33993.3721)</f>
        <v>33993.3721</v>
      </c>
    </row>
    <row r="776">
      <c r="A776" s="3">
        <f>IFERROR(__xludf.DUMMYFUNCTION("""COMPUTED_VALUE"""),41160.99861111111)</f>
        <v>41160.99861</v>
      </c>
      <c r="B776" s="1">
        <f>IFERROR(__xludf.DUMMYFUNCTION("""COMPUTED_VALUE"""),33982.33182)</f>
        <v>33982.33182</v>
      </c>
    </row>
    <row r="777">
      <c r="A777" s="3">
        <f>IFERROR(__xludf.DUMMYFUNCTION("""COMPUTED_VALUE"""),41162.99861111111)</f>
        <v>41162.99861</v>
      </c>
      <c r="B777" s="1">
        <f>IFERROR(__xludf.DUMMYFUNCTION("""COMPUTED_VALUE"""),33967.61893)</f>
        <v>33967.61893</v>
      </c>
    </row>
    <row r="778">
      <c r="A778" s="3">
        <f>IFERROR(__xludf.DUMMYFUNCTION("""COMPUTED_VALUE"""),41163.99861111111)</f>
        <v>41163.99861</v>
      </c>
      <c r="B778" s="1">
        <f>IFERROR(__xludf.DUMMYFUNCTION("""COMPUTED_VALUE"""),34015.81638)</f>
        <v>34015.81638</v>
      </c>
    </row>
    <row r="779">
      <c r="A779" s="3">
        <f>IFERROR(__xludf.DUMMYFUNCTION("""COMPUTED_VALUE"""),41164.99861111111)</f>
        <v>41164.99861</v>
      </c>
      <c r="B779" s="1">
        <f>IFERROR(__xludf.DUMMYFUNCTION("""COMPUTED_VALUE"""),33988.16092)</f>
        <v>33988.16092</v>
      </c>
    </row>
    <row r="780">
      <c r="A780" s="3">
        <f>IFERROR(__xludf.DUMMYFUNCTION("""COMPUTED_VALUE"""),41165.99861111111)</f>
        <v>41165.99861</v>
      </c>
      <c r="B780" s="1">
        <f>IFERROR(__xludf.DUMMYFUNCTION("""COMPUTED_VALUE"""),34042.42053)</f>
        <v>34042.42053</v>
      </c>
    </row>
    <row r="781">
      <c r="A781" s="3">
        <f>IFERROR(__xludf.DUMMYFUNCTION("""COMPUTED_VALUE"""),41166.99861111111)</f>
        <v>41166.99861</v>
      </c>
      <c r="B781" s="1">
        <f>IFERROR(__xludf.DUMMYFUNCTION("""COMPUTED_VALUE"""),33876.4956)</f>
        <v>33876.4956</v>
      </c>
    </row>
    <row r="782">
      <c r="A782" s="3">
        <f>IFERROR(__xludf.DUMMYFUNCTION("""COMPUTED_VALUE"""),41167.99861111111)</f>
        <v>41167.99861</v>
      </c>
      <c r="B782" s="1">
        <f>IFERROR(__xludf.DUMMYFUNCTION("""COMPUTED_VALUE"""),33259.35733)</f>
        <v>33259.35733</v>
      </c>
    </row>
    <row r="783">
      <c r="A783" s="3">
        <f>IFERROR(__xludf.DUMMYFUNCTION("""COMPUTED_VALUE"""),41169.99861111111)</f>
        <v>41169.99861</v>
      </c>
      <c r="B783" s="1">
        <f>IFERROR(__xludf.DUMMYFUNCTION("""COMPUTED_VALUE"""),33709.12175)</f>
        <v>33709.12175</v>
      </c>
    </row>
    <row r="784">
      <c r="A784" s="3">
        <f>IFERROR(__xludf.DUMMYFUNCTION("""COMPUTED_VALUE"""),41170.99861111111)</f>
        <v>41170.99861</v>
      </c>
      <c r="B784" s="1">
        <f>IFERROR(__xludf.DUMMYFUNCTION("""COMPUTED_VALUE"""),33821.48743)</f>
        <v>33821.48743</v>
      </c>
    </row>
    <row r="785">
      <c r="A785" s="3">
        <f>IFERROR(__xludf.DUMMYFUNCTION("""COMPUTED_VALUE"""),41171.99861111111)</f>
        <v>41171.99861</v>
      </c>
      <c r="B785" s="1">
        <f>IFERROR(__xludf.DUMMYFUNCTION("""COMPUTED_VALUE"""),33955.99559)</f>
        <v>33955.99559</v>
      </c>
    </row>
    <row r="786">
      <c r="A786" s="3">
        <f>IFERROR(__xludf.DUMMYFUNCTION("""COMPUTED_VALUE"""),41172.99861111111)</f>
        <v>41172.99861</v>
      </c>
      <c r="B786" s="1">
        <f>IFERROR(__xludf.DUMMYFUNCTION("""COMPUTED_VALUE"""),33947.10421)</f>
        <v>33947.10421</v>
      </c>
    </row>
    <row r="787">
      <c r="A787" s="3">
        <f>IFERROR(__xludf.DUMMYFUNCTION("""COMPUTED_VALUE"""),41173.99861111111)</f>
        <v>41173.99861</v>
      </c>
      <c r="B787" s="1">
        <f>IFERROR(__xludf.DUMMYFUNCTION("""COMPUTED_VALUE"""),33989.0656)</f>
        <v>33989.0656</v>
      </c>
    </row>
    <row r="788">
      <c r="A788" s="3">
        <f>IFERROR(__xludf.DUMMYFUNCTION("""COMPUTED_VALUE"""),41174.99861111111)</f>
        <v>41174.99861</v>
      </c>
      <c r="B788" s="1">
        <f>IFERROR(__xludf.DUMMYFUNCTION("""COMPUTED_VALUE"""),33989.0656)</f>
        <v>33989.0656</v>
      </c>
    </row>
    <row r="789">
      <c r="A789" s="3">
        <f>IFERROR(__xludf.DUMMYFUNCTION("""COMPUTED_VALUE"""),41176.99861111111)</f>
        <v>41176.99861</v>
      </c>
      <c r="B789" s="1">
        <f>IFERROR(__xludf.DUMMYFUNCTION("""COMPUTED_VALUE"""),34011.41504)</f>
        <v>34011.41504</v>
      </c>
    </row>
    <row r="790">
      <c r="A790" s="3">
        <f>IFERROR(__xludf.DUMMYFUNCTION("""COMPUTED_VALUE"""),41177.99861111111)</f>
        <v>41177.99861</v>
      </c>
      <c r="B790" s="1">
        <f>IFERROR(__xludf.DUMMYFUNCTION("""COMPUTED_VALUE"""),34044.92808)</f>
        <v>34044.92808</v>
      </c>
    </row>
    <row r="791">
      <c r="A791" s="3">
        <f>IFERROR(__xludf.DUMMYFUNCTION("""COMPUTED_VALUE"""),41178.99861111111)</f>
        <v>41178.99861</v>
      </c>
      <c r="B791" s="1">
        <f>IFERROR(__xludf.DUMMYFUNCTION("""COMPUTED_VALUE"""),34066.30644)</f>
        <v>34066.30644</v>
      </c>
    </row>
    <row r="792">
      <c r="A792" s="3">
        <f>IFERROR(__xludf.DUMMYFUNCTION("""COMPUTED_VALUE"""),41179.99861111111)</f>
        <v>41179.99861</v>
      </c>
      <c r="B792" s="1">
        <f>IFERROR(__xludf.DUMMYFUNCTION("""COMPUTED_VALUE"""),34034.22088)</f>
        <v>34034.22088</v>
      </c>
    </row>
    <row r="793">
      <c r="A793" s="3">
        <f>IFERROR(__xludf.DUMMYFUNCTION("""COMPUTED_VALUE"""),41180.99861111111)</f>
        <v>41180.99861</v>
      </c>
      <c r="B793" s="1">
        <f>IFERROR(__xludf.DUMMYFUNCTION("""COMPUTED_VALUE"""),34028.51679)</f>
        <v>34028.51679</v>
      </c>
    </row>
    <row r="794">
      <c r="A794" s="3">
        <f>IFERROR(__xludf.DUMMYFUNCTION("""COMPUTED_VALUE"""),41181.99861111111)</f>
        <v>41181.99861</v>
      </c>
      <c r="B794" s="1">
        <f>IFERROR(__xludf.DUMMYFUNCTION("""COMPUTED_VALUE"""),34028.51679)</f>
        <v>34028.51679</v>
      </c>
    </row>
    <row r="795">
      <c r="A795" s="3">
        <f>IFERROR(__xludf.DUMMYFUNCTION("""COMPUTED_VALUE"""),41183.99861111111)</f>
        <v>41183.99861</v>
      </c>
      <c r="B795" s="1">
        <f>IFERROR(__xludf.DUMMYFUNCTION("""COMPUTED_VALUE"""),34005.69175)</f>
        <v>34005.69175</v>
      </c>
    </row>
    <row r="796">
      <c r="A796" s="3">
        <f>IFERROR(__xludf.DUMMYFUNCTION("""COMPUTED_VALUE"""),41184.99861111111)</f>
        <v>41184.99861</v>
      </c>
      <c r="B796" s="1">
        <f>IFERROR(__xludf.DUMMYFUNCTION("""COMPUTED_VALUE"""),34007.47206)</f>
        <v>34007.47206</v>
      </c>
    </row>
    <row r="797">
      <c r="A797" s="3">
        <f>IFERROR(__xludf.DUMMYFUNCTION("""COMPUTED_VALUE"""),41185.99861111111)</f>
        <v>41185.99861</v>
      </c>
      <c r="B797" s="1">
        <f>IFERROR(__xludf.DUMMYFUNCTION("""COMPUTED_VALUE"""),34047.95837)</f>
        <v>34047.95837</v>
      </c>
    </row>
    <row r="798">
      <c r="A798" s="3">
        <f>IFERROR(__xludf.DUMMYFUNCTION("""COMPUTED_VALUE"""),41186.99861111111)</f>
        <v>41186.99861</v>
      </c>
      <c r="B798" s="1">
        <f>IFERROR(__xludf.DUMMYFUNCTION("""COMPUTED_VALUE"""),34147.49453)</f>
        <v>34147.49453</v>
      </c>
    </row>
    <row r="799">
      <c r="A799" s="3">
        <f>IFERROR(__xludf.DUMMYFUNCTION("""COMPUTED_VALUE"""),41187.99861111111)</f>
        <v>41187.99861</v>
      </c>
      <c r="B799" s="1">
        <f>IFERROR(__xludf.DUMMYFUNCTION("""COMPUTED_VALUE"""),34096.25296)</f>
        <v>34096.25296</v>
      </c>
    </row>
    <row r="800">
      <c r="A800" s="3">
        <f>IFERROR(__xludf.DUMMYFUNCTION("""COMPUTED_VALUE"""),41189.99861111111)</f>
        <v>41189.99861</v>
      </c>
      <c r="B800" s="1">
        <f>IFERROR(__xludf.DUMMYFUNCTION("""COMPUTED_VALUE"""),33537.25124)</f>
        <v>33537.25124</v>
      </c>
    </row>
    <row r="801">
      <c r="A801" s="3">
        <f>IFERROR(__xludf.DUMMYFUNCTION("""COMPUTED_VALUE"""),41190.99861111111)</f>
        <v>41190.99861</v>
      </c>
      <c r="B801" s="1">
        <f>IFERROR(__xludf.DUMMYFUNCTION("""COMPUTED_VALUE"""),34086.27079)</f>
        <v>34086.27079</v>
      </c>
    </row>
    <row r="802">
      <c r="A802" s="3">
        <f>IFERROR(__xludf.DUMMYFUNCTION("""COMPUTED_VALUE"""),41191.99861111111)</f>
        <v>41191.99861</v>
      </c>
      <c r="B802" s="1">
        <f>IFERROR(__xludf.DUMMYFUNCTION("""COMPUTED_VALUE"""),34107.33891)</f>
        <v>34107.33891</v>
      </c>
    </row>
    <row r="803">
      <c r="A803" s="3">
        <f>IFERROR(__xludf.DUMMYFUNCTION("""COMPUTED_VALUE"""),41192.99861111111)</f>
        <v>41192.99861</v>
      </c>
      <c r="B803" s="1">
        <f>IFERROR(__xludf.DUMMYFUNCTION("""COMPUTED_VALUE"""),34051.20414)</f>
        <v>34051.20414</v>
      </c>
    </row>
    <row r="804">
      <c r="A804" s="3">
        <f>IFERROR(__xludf.DUMMYFUNCTION("""COMPUTED_VALUE"""),41193.99861111111)</f>
        <v>41193.99861</v>
      </c>
      <c r="B804" s="1">
        <f>IFERROR(__xludf.DUMMYFUNCTION("""COMPUTED_VALUE"""),34026.99402)</f>
        <v>34026.99402</v>
      </c>
    </row>
    <row r="805">
      <c r="A805" s="3">
        <f>IFERROR(__xludf.DUMMYFUNCTION("""COMPUTED_VALUE"""),41194.99861111111)</f>
        <v>41194.99861</v>
      </c>
      <c r="B805" s="1">
        <f>IFERROR(__xludf.DUMMYFUNCTION("""COMPUTED_VALUE"""),34023.07637)</f>
        <v>34023.07637</v>
      </c>
    </row>
    <row r="806">
      <c r="A806" s="3">
        <f>IFERROR(__xludf.DUMMYFUNCTION("""COMPUTED_VALUE"""),41195.99861111111)</f>
        <v>41195.99861</v>
      </c>
      <c r="B806" s="1">
        <f>IFERROR(__xludf.DUMMYFUNCTION("""COMPUTED_VALUE"""),34023.07637)</f>
        <v>34023.07637</v>
      </c>
    </row>
    <row r="807">
      <c r="A807" s="3">
        <f>IFERROR(__xludf.DUMMYFUNCTION("""COMPUTED_VALUE"""),41196.99861111111)</f>
        <v>41196.99861</v>
      </c>
      <c r="B807" s="1">
        <f>IFERROR(__xludf.DUMMYFUNCTION("""COMPUTED_VALUE"""),34110.15521)</f>
        <v>34110.15521</v>
      </c>
    </row>
    <row r="808">
      <c r="A808" s="3">
        <f>IFERROR(__xludf.DUMMYFUNCTION("""COMPUTED_VALUE"""),41197.99861111111)</f>
        <v>41197.99861</v>
      </c>
      <c r="B808" s="1">
        <f>IFERROR(__xludf.DUMMYFUNCTION("""COMPUTED_VALUE"""),34068.33764)</f>
        <v>34068.33764</v>
      </c>
    </row>
    <row r="809">
      <c r="A809" s="3">
        <f>IFERROR(__xludf.DUMMYFUNCTION("""COMPUTED_VALUE"""),41198.99861111111)</f>
        <v>41198.99861</v>
      </c>
      <c r="B809" s="1">
        <f>IFERROR(__xludf.DUMMYFUNCTION("""COMPUTED_VALUE"""),34062.66576)</f>
        <v>34062.66576</v>
      </c>
    </row>
    <row r="810">
      <c r="A810" s="3">
        <f>IFERROR(__xludf.DUMMYFUNCTION("""COMPUTED_VALUE"""),41199.99861111111)</f>
        <v>41199.99861</v>
      </c>
      <c r="B810" s="1">
        <f>IFERROR(__xludf.DUMMYFUNCTION("""COMPUTED_VALUE"""),34090.17827)</f>
        <v>34090.17827</v>
      </c>
    </row>
    <row r="811">
      <c r="A811" s="3">
        <f>IFERROR(__xludf.DUMMYFUNCTION("""COMPUTED_VALUE"""),41200.99861111111)</f>
        <v>41200.99861</v>
      </c>
      <c r="B811" s="1">
        <f>IFERROR(__xludf.DUMMYFUNCTION("""COMPUTED_VALUE"""),34118.77955)</f>
        <v>34118.77955</v>
      </c>
    </row>
    <row r="812">
      <c r="A812" s="3">
        <f>IFERROR(__xludf.DUMMYFUNCTION("""COMPUTED_VALUE"""),41201.99861111111)</f>
        <v>41201.99861</v>
      </c>
      <c r="B812" s="1">
        <f>IFERROR(__xludf.DUMMYFUNCTION("""COMPUTED_VALUE"""),34123.89884)</f>
        <v>34123.89884</v>
      </c>
    </row>
    <row r="813">
      <c r="A813" s="3">
        <f>IFERROR(__xludf.DUMMYFUNCTION("""COMPUTED_VALUE"""),41202.99861111111)</f>
        <v>41202.99861</v>
      </c>
      <c r="B813" s="1">
        <f>IFERROR(__xludf.DUMMYFUNCTION("""COMPUTED_VALUE"""),34108.91971)</f>
        <v>34108.91971</v>
      </c>
    </row>
    <row r="814">
      <c r="A814" s="3">
        <f>IFERROR(__xludf.DUMMYFUNCTION("""COMPUTED_VALUE"""),41203.99861111111)</f>
        <v>41203.99861</v>
      </c>
      <c r="B814" s="1">
        <f>IFERROR(__xludf.DUMMYFUNCTION("""COMPUTED_VALUE"""),34211.09881)</f>
        <v>34211.09881</v>
      </c>
    </row>
    <row r="815">
      <c r="A815" s="3">
        <f>IFERROR(__xludf.DUMMYFUNCTION("""COMPUTED_VALUE"""),41204.99861111111)</f>
        <v>41204.99861</v>
      </c>
      <c r="B815" s="1">
        <f>IFERROR(__xludf.DUMMYFUNCTION("""COMPUTED_VALUE"""),34120.78185)</f>
        <v>34120.78185</v>
      </c>
    </row>
    <row r="816">
      <c r="A816" s="3">
        <f>IFERROR(__xludf.DUMMYFUNCTION("""COMPUTED_VALUE"""),41205.99861111111)</f>
        <v>41205.99861</v>
      </c>
      <c r="B816" s="1">
        <f>IFERROR(__xludf.DUMMYFUNCTION("""COMPUTED_VALUE"""),34140.0818)</f>
        <v>34140.0818</v>
      </c>
    </row>
    <row r="817">
      <c r="A817" s="3">
        <f>IFERROR(__xludf.DUMMYFUNCTION("""COMPUTED_VALUE"""),41206.99861111111)</f>
        <v>41206.99861</v>
      </c>
      <c r="B817" s="1">
        <f>IFERROR(__xludf.DUMMYFUNCTION("""COMPUTED_VALUE"""),34148.63643)</f>
        <v>34148.63643</v>
      </c>
    </row>
    <row r="818">
      <c r="A818" s="3">
        <f>IFERROR(__xludf.DUMMYFUNCTION("""COMPUTED_VALUE"""),41207.99861111111)</f>
        <v>41207.99861</v>
      </c>
      <c r="B818" s="1">
        <f>IFERROR(__xludf.DUMMYFUNCTION("""COMPUTED_VALUE"""),34132.24006)</f>
        <v>34132.24006</v>
      </c>
    </row>
    <row r="819">
      <c r="A819" s="3">
        <f>IFERROR(__xludf.DUMMYFUNCTION("""COMPUTED_VALUE"""),41208.99861111111)</f>
        <v>41208.99861</v>
      </c>
      <c r="B819" s="1">
        <f>IFERROR(__xludf.DUMMYFUNCTION("""COMPUTED_VALUE"""),34131.39408)</f>
        <v>34131.39408</v>
      </c>
    </row>
    <row r="820">
      <c r="A820" s="3">
        <f>IFERROR(__xludf.DUMMYFUNCTION("""COMPUTED_VALUE"""),41209.99861111111)</f>
        <v>41209.99861</v>
      </c>
      <c r="B820" s="1">
        <f>IFERROR(__xludf.DUMMYFUNCTION("""COMPUTED_VALUE"""),34131.39408)</f>
        <v>34131.39408</v>
      </c>
    </row>
    <row r="821">
      <c r="A821" s="3">
        <f>IFERROR(__xludf.DUMMYFUNCTION("""COMPUTED_VALUE"""),41211.99861111111)</f>
        <v>41211.99861</v>
      </c>
      <c r="B821" s="1">
        <f>IFERROR(__xludf.DUMMYFUNCTION("""COMPUTED_VALUE"""),34109.63735)</f>
        <v>34109.63735</v>
      </c>
    </row>
    <row r="822">
      <c r="A822" s="3">
        <f>IFERROR(__xludf.DUMMYFUNCTION("""COMPUTED_VALUE"""),41212.99861111111)</f>
        <v>41212.99861</v>
      </c>
      <c r="B822" s="1">
        <f>IFERROR(__xludf.DUMMYFUNCTION("""COMPUTED_VALUE"""),34148.76223)</f>
        <v>34148.76223</v>
      </c>
    </row>
    <row r="823">
      <c r="A823" s="3">
        <f>IFERROR(__xludf.DUMMYFUNCTION("""COMPUTED_VALUE"""),41213.99861111111)</f>
        <v>41213.99861</v>
      </c>
      <c r="B823" s="1">
        <f>IFERROR(__xludf.DUMMYFUNCTION("""COMPUTED_VALUE"""),34104.99103)</f>
        <v>34104.99103</v>
      </c>
    </row>
    <row r="824">
      <c r="A824" s="3">
        <f>IFERROR(__xludf.DUMMYFUNCTION("""COMPUTED_VALUE"""),41214.99861111111)</f>
        <v>41214.99861</v>
      </c>
      <c r="B824" s="1">
        <f>IFERROR(__xludf.DUMMYFUNCTION("""COMPUTED_VALUE"""),34148.03236)</f>
        <v>34148.03236</v>
      </c>
    </row>
    <row r="825">
      <c r="A825" s="3">
        <f>IFERROR(__xludf.DUMMYFUNCTION("""COMPUTED_VALUE"""),41215.99861111111)</f>
        <v>41215.99861</v>
      </c>
      <c r="B825" s="1">
        <f>IFERROR(__xludf.DUMMYFUNCTION("""COMPUTED_VALUE"""),34071.01514)</f>
        <v>34071.01514</v>
      </c>
    </row>
    <row r="826">
      <c r="A826" s="3">
        <f>IFERROR(__xludf.DUMMYFUNCTION("""COMPUTED_VALUE"""),41216.99861111111)</f>
        <v>41216.99861</v>
      </c>
      <c r="B826" s="1">
        <f>IFERROR(__xludf.DUMMYFUNCTION("""COMPUTED_VALUE"""),34088.07696)</f>
        <v>34088.07696</v>
      </c>
    </row>
    <row r="827">
      <c r="A827" s="3">
        <f>IFERROR(__xludf.DUMMYFUNCTION("""COMPUTED_VALUE"""),41217.99861111111)</f>
        <v>41217.99861</v>
      </c>
      <c r="B827" s="1">
        <f>IFERROR(__xludf.DUMMYFUNCTION("""COMPUTED_VALUE"""),34014.14244)</f>
        <v>34014.14244</v>
      </c>
    </row>
    <row r="828">
      <c r="A828" s="3">
        <f>IFERROR(__xludf.DUMMYFUNCTION("""COMPUTED_VALUE"""),41218.99861111111)</f>
        <v>41218.99861</v>
      </c>
      <c r="B828" s="1">
        <f>IFERROR(__xludf.DUMMYFUNCTION("""COMPUTED_VALUE"""),34095.47994)</f>
        <v>34095.47994</v>
      </c>
    </row>
    <row r="829">
      <c r="A829" s="3">
        <f>IFERROR(__xludf.DUMMYFUNCTION("""COMPUTED_VALUE"""),41219.99861111111)</f>
        <v>41219.99861</v>
      </c>
      <c r="B829" s="1">
        <f>IFERROR(__xludf.DUMMYFUNCTION("""COMPUTED_VALUE"""),34110.81988)</f>
        <v>34110.81988</v>
      </c>
    </row>
    <row r="830">
      <c r="A830" s="3">
        <f>IFERROR(__xludf.DUMMYFUNCTION("""COMPUTED_VALUE"""),41220.99861111111)</f>
        <v>41220.99861</v>
      </c>
      <c r="B830" s="1">
        <f>IFERROR(__xludf.DUMMYFUNCTION("""COMPUTED_VALUE"""),34007.02607)</f>
        <v>34007.02607</v>
      </c>
    </row>
    <row r="831">
      <c r="A831" s="3">
        <f>IFERROR(__xludf.DUMMYFUNCTION("""COMPUTED_VALUE"""),41221.99861111111)</f>
        <v>41221.99861</v>
      </c>
      <c r="B831" s="1">
        <f>IFERROR(__xludf.DUMMYFUNCTION("""COMPUTED_VALUE"""),34114.25442)</f>
        <v>34114.25442</v>
      </c>
    </row>
    <row r="832">
      <c r="A832" s="3">
        <f>IFERROR(__xludf.DUMMYFUNCTION("""COMPUTED_VALUE"""),41222.99861111111)</f>
        <v>41222.99861</v>
      </c>
      <c r="B832" s="1">
        <f>IFERROR(__xludf.DUMMYFUNCTION("""COMPUTED_VALUE"""),34037.53828)</f>
        <v>34037.53828</v>
      </c>
    </row>
    <row r="833">
      <c r="A833" s="3">
        <f>IFERROR(__xludf.DUMMYFUNCTION("""COMPUTED_VALUE"""),41223.99861111111)</f>
        <v>41223.99861</v>
      </c>
      <c r="B833" s="1">
        <f>IFERROR(__xludf.DUMMYFUNCTION("""COMPUTED_VALUE"""),34051.37886)</f>
        <v>34051.37886</v>
      </c>
    </row>
    <row r="834">
      <c r="A834" s="3">
        <f>IFERROR(__xludf.DUMMYFUNCTION("""COMPUTED_VALUE"""),41225.99861111111)</f>
        <v>41225.99861</v>
      </c>
      <c r="B834" s="1">
        <f>IFERROR(__xludf.DUMMYFUNCTION("""COMPUTED_VALUE"""),34013.47619)</f>
        <v>34013.47619</v>
      </c>
    </row>
    <row r="835">
      <c r="A835" s="3">
        <f>IFERROR(__xludf.DUMMYFUNCTION("""COMPUTED_VALUE"""),41226.99861111111)</f>
        <v>41226.99861</v>
      </c>
      <c r="B835" s="1">
        <f>IFERROR(__xludf.DUMMYFUNCTION("""COMPUTED_VALUE"""),34051.58939)</f>
        <v>34051.58939</v>
      </c>
    </row>
    <row r="836">
      <c r="A836" s="3">
        <f>IFERROR(__xludf.DUMMYFUNCTION("""COMPUTED_VALUE"""),41227.99861111111)</f>
        <v>41227.99861</v>
      </c>
      <c r="B836" s="1">
        <f>IFERROR(__xludf.DUMMYFUNCTION("""COMPUTED_VALUE"""),34051.23451)</f>
        <v>34051.23451</v>
      </c>
    </row>
    <row r="837">
      <c r="A837" s="3">
        <f>IFERROR(__xludf.DUMMYFUNCTION("""COMPUTED_VALUE"""),41228.99861111111)</f>
        <v>41228.99861</v>
      </c>
      <c r="B837" s="1">
        <f>IFERROR(__xludf.DUMMYFUNCTION("""COMPUTED_VALUE"""),34062.82556)</f>
        <v>34062.82556</v>
      </c>
    </row>
    <row r="838">
      <c r="A838" s="3">
        <f>IFERROR(__xludf.DUMMYFUNCTION("""COMPUTED_VALUE"""),41229.99861111111)</f>
        <v>41229.99861</v>
      </c>
      <c r="B838" s="1">
        <f>IFERROR(__xludf.DUMMYFUNCTION("""COMPUTED_VALUE"""),34069.21533)</f>
        <v>34069.21533</v>
      </c>
    </row>
    <row r="839">
      <c r="A839" s="3">
        <f>IFERROR(__xludf.DUMMYFUNCTION("""COMPUTED_VALUE"""),41230.99861111111)</f>
        <v>41230.99861</v>
      </c>
      <c r="B839" s="1">
        <f>IFERROR(__xludf.DUMMYFUNCTION("""COMPUTED_VALUE"""),34078.8)</f>
        <v>34078.8</v>
      </c>
    </row>
    <row r="840">
      <c r="A840" s="3">
        <f>IFERROR(__xludf.DUMMYFUNCTION("""COMPUTED_VALUE"""),41232.99861111111)</f>
        <v>41232.99861</v>
      </c>
      <c r="B840" s="1">
        <f>IFERROR(__xludf.DUMMYFUNCTION("""COMPUTED_VALUE"""),34075.02641)</f>
        <v>34075.02641</v>
      </c>
    </row>
    <row r="841">
      <c r="A841" s="3">
        <f>IFERROR(__xludf.DUMMYFUNCTION("""COMPUTED_VALUE"""),41233.99861111111)</f>
        <v>41233.99861</v>
      </c>
      <c r="B841" s="1">
        <f>IFERROR(__xludf.DUMMYFUNCTION("""COMPUTED_VALUE"""),34086.59405)</f>
        <v>34086.59405</v>
      </c>
    </row>
    <row r="842">
      <c r="A842" s="3">
        <f>IFERROR(__xludf.DUMMYFUNCTION("""COMPUTED_VALUE"""),41234.99861111111)</f>
        <v>41234.99861</v>
      </c>
      <c r="B842" s="1">
        <f>IFERROR(__xludf.DUMMYFUNCTION("""COMPUTED_VALUE"""),34104.37577)</f>
        <v>34104.37577</v>
      </c>
    </row>
    <row r="843">
      <c r="A843" s="3">
        <f>IFERROR(__xludf.DUMMYFUNCTION("""COMPUTED_VALUE"""),41235.99861111111)</f>
        <v>41235.99861</v>
      </c>
      <c r="B843" s="1">
        <f>IFERROR(__xludf.DUMMYFUNCTION("""COMPUTED_VALUE"""),34066.86285)</f>
        <v>34066.86285</v>
      </c>
    </row>
    <row r="844">
      <c r="A844" s="3">
        <f>IFERROR(__xludf.DUMMYFUNCTION("""COMPUTED_VALUE"""),41236.99861111111)</f>
        <v>41236.99861</v>
      </c>
      <c r="B844" s="1">
        <f>IFERROR(__xludf.DUMMYFUNCTION("""COMPUTED_VALUE"""),33984.03479)</f>
        <v>33984.03479</v>
      </c>
    </row>
    <row r="845">
      <c r="A845" s="3">
        <f>IFERROR(__xludf.DUMMYFUNCTION("""COMPUTED_VALUE"""),41237.99861111111)</f>
        <v>41237.99861</v>
      </c>
      <c r="B845" s="1">
        <f>IFERROR(__xludf.DUMMYFUNCTION("""COMPUTED_VALUE"""),33980.1327)</f>
        <v>33980.1327</v>
      </c>
    </row>
    <row r="846">
      <c r="A846" s="3">
        <f>IFERROR(__xludf.DUMMYFUNCTION("""COMPUTED_VALUE"""),41239.99861111111)</f>
        <v>41239.99861</v>
      </c>
      <c r="B846" s="1">
        <f>IFERROR(__xludf.DUMMYFUNCTION("""COMPUTED_VALUE"""),34059.63989)</f>
        <v>34059.63989</v>
      </c>
    </row>
    <row r="847">
      <c r="A847" s="3">
        <f>IFERROR(__xludf.DUMMYFUNCTION("""COMPUTED_VALUE"""),41240.99861111111)</f>
        <v>41240.99861</v>
      </c>
      <c r="B847" s="1">
        <f>IFERROR(__xludf.DUMMYFUNCTION("""COMPUTED_VALUE"""),34025.45044)</f>
        <v>34025.45044</v>
      </c>
    </row>
    <row r="848">
      <c r="A848" s="3">
        <f>IFERROR(__xludf.DUMMYFUNCTION("""COMPUTED_VALUE"""),41241.99861111111)</f>
        <v>41241.99861</v>
      </c>
      <c r="B848" s="1">
        <f>IFERROR(__xludf.DUMMYFUNCTION("""COMPUTED_VALUE"""),34027.1515)</f>
        <v>34027.1515</v>
      </c>
    </row>
    <row r="849">
      <c r="A849" s="3">
        <f>IFERROR(__xludf.DUMMYFUNCTION("""COMPUTED_VALUE"""),41242.99861111111)</f>
        <v>41242.99861</v>
      </c>
      <c r="B849" s="1">
        <f>IFERROR(__xludf.DUMMYFUNCTION("""COMPUTED_VALUE"""),34034.06069)</f>
        <v>34034.06069</v>
      </c>
    </row>
    <row r="850">
      <c r="A850" s="3">
        <f>IFERROR(__xludf.DUMMYFUNCTION("""COMPUTED_VALUE"""),41243.99861111111)</f>
        <v>41243.99861</v>
      </c>
      <c r="B850" s="1">
        <f>IFERROR(__xludf.DUMMYFUNCTION("""COMPUTED_VALUE"""),34066.49336)</f>
        <v>34066.49336</v>
      </c>
    </row>
    <row r="851">
      <c r="A851" s="3">
        <f>IFERROR(__xludf.DUMMYFUNCTION("""COMPUTED_VALUE"""),41244.99861111111)</f>
        <v>41244.99861</v>
      </c>
      <c r="B851" s="1">
        <f>IFERROR(__xludf.DUMMYFUNCTION("""COMPUTED_VALUE"""),34029.1534)</f>
        <v>34029.1534</v>
      </c>
    </row>
    <row r="852">
      <c r="A852" s="3">
        <f>IFERROR(__xludf.DUMMYFUNCTION("""COMPUTED_VALUE"""),41246.99861111111)</f>
        <v>41246.99861</v>
      </c>
      <c r="B852" s="1">
        <f>IFERROR(__xludf.DUMMYFUNCTION("""COMPUTED_VALUE"""),34035.21787)</f>
        <v>34035.21787</v>
      </c>
    </row>
    <row r="853">
      <c r="A853" s="3">
        <f>IFERROR(__xludf.DUMMYFUNCTION("""COMPUTED_VALUE"""),41247.99861111111)</f>
        <v>41247.99861</v>
      </c>
      <c r="B853" s="1">
        <f>IFERROR(__xludf.DUMMYFUNCTION("""COMPUTED_VALUE"""),34092.79587)</f>
        <v>34092.79587</v>
      </c>
    </row>
    <row r="854">
      <c r="A854" s="3">
        <f>IFERROR(__xludf.DUMMYFUNCTION("""COMPUTED_VALUE"""),41248.99861111111)</f>
        <v>41248.99861</v>
      </c>
      <c r="B854" s="1">
        <f>IFERROR(__xludf.DUMMYFUNCTION("""COMPUTED_VALUE"""),34086.47119)</f>
        <v>34086.47119</v>
      </c>
    </row>
    <row r="855">
      <c r="A855" s="3">
        <f>IFERROR(__xludf.DUMMYFUNCTION("""COMPUTED_VALUE"""),41249.99861111111)</f>
        <v>41249.99861</v>
      </c>
      <c r="B855" s="1">
        <f>IFERROR(__xludf.DUMMYFUNCTION("""COMPUTED_VALUE"""),34123.65919)</f>
        <v>34123.65919</v>
      </c>
    </row>
    <row r="856">
      <c r="A856" s="3">
        <f>IFERROR(__xludf.DUMMYFUNCTION("""COMPUTED_VALUE"""),41250.99861111111)</f>
        <v>41250.99861</v>
      </c>
      <c r="B856" s="1">
        <f>IFERROR(__xludf.DUMMYFUNCTION("""COMPUTED_VALUE"""),34142.37218)</f>
        <v>34142.37218</v>
      </c>
    </row>
    <row r="857">
      <c r="A857" s="3">
        <f>IFERROR(__xludf.DUMMYFUNCTION("""COMPUTED_VALUE"""),41251.99861111111)</f>
        <v>41251.99861</v>
      </c>
      <c r="B857" s="1">
        <f>IFERROR(__xludf.DUMMYFUNCTION("""COMPUTED_VALUE"""),34151.98244)</f>
        <v>34151.98244</v>
      </c>
    </row>
    <row r="858">
      <c r="A858" s="3">
        <f>IFERROR(__xludf.DUMMYFUNCTION("""COMPUTED_VALUE"""),41253.99861111111)</f>
        <v>41253.99861</v>
      </c>
      <c r="B858" s="1">
        <f>IFERROR(__xludf.DUMMYFUNCTION("""COMPUTED_VALUE"""),34172.62668)</f>
        <v>34172.62668</v>
      </c>
    </row>
    <row r="859">
      <c r="A859" s="3">
        <f>IFERROR(__xludf.DUMMYFUNCTION("""COMPUTED_VALUE"""),41254.99861111111)</f>
        <v>41254.99861</v>
      </c>
      <c r="B859" s="1">
        <f>IFERROR(__xludf.DUMMYFUNCTION("""COMPUTED_VALUE"""),34165.39019)</f>
        <v>34165.39019</v>
      </c>
    </row>
    <row r="860">
      <c r="A860" s="3">
        <f>IFERROR(__xludf.DUMMYFUNCTION("""COMPUTED_VALUE"""),41255.99861111111)</f>
        <v>41255.99861</v>
      </c>
      <c r="B860" s="1">
        <f>IFERROR(__xludf.DUMMYFUNCTION("""COMPUTED_VALUE"""),34183.4834)</f>
        <v>34183.4834</v>
      </c>
    </row>
    <row r="861">
      <c r="A861" s="3">
        <f>IFERROR(__xludf.DUMMYFUNCTION("""COMPUTED_VALUE"""),41256.99861111111)</f>
        <v>41256.99861</v>
      </c>
      <c r="B861" s="1">
        <f>IFERROR(__xludf.DUMMYFUNCTION("""COMPUTED_VALUE"""),34167.1686)</f>
        <v>34167.1686</v>
      </c>
    </row>
    <row r="862">
      <c r="A862" s="3">
        <f>IFERROR(__xludf.DUMMYFUNCTION("""COMPUTED_VALUE"""),41257.99861111111)</f>
        <v>41257.99861</v>
      </c>
      <c r="B862" s="1">
        <f>IFERROR(__xludf.DUMMYFUNCTION("""COMPUTED_VALUE"""),34210.33655)</f>
        <v>34210.33655</v>
      </c>
    </row>
    <row r="863">
      <c r="A863" s="3">
        <f>IFERROR(__xludf.DUMMYFUNCTION("""COMPUTED_VALUE"""),41258.99861111111)</f>
        <v>41258.99861</v>
      </c>
      <c r="B863" s="1">
        <f>IFERROR(__xludf.DUMMYFUNCTION("""COMPUTED_VALUE"""),34209.6245)</f>
        <v>34209.6245</v>
      </c>
    </row>
    <row r="864">
      <c r="A864" s="3">
        <f>IFERROR(__xludf.DUMMYFUNCTION("""COMPUTED_VALUE"""),41260.99861111111)</f>
        <v>41260.99861</v>
      </c>
      <c r="B864" s="1">
        <f>IFERROR(__xludf.DUMMYFUNCTION("""COMPUTED_VALUE"""),34223.9577)</f>
        <v>34223.9577</v>
      </c>
    </row>
    <row r="865">
      <c r="A865" s="3">
        <f>IFERROR(__xludf.DUMMYFUNCTION("""COMPUTED_VALUE"""),41261.99861111111)</f>
        <v>41261.99861</v>
      </c>
      <c r="B865" s="1">
        <f>IFERROR(__xludf.DUMMYFUNCTION("""COMPUTED_VALUE"""),34237.84411)</f>
        <v>34237.84411</v>
      </c>
    </row>
    <row r="866">
      <c r="A866" s="3">
        <f>IFERROR(__xludf.DUMMYFUNCTION("""COMPUTED_VALUE"""),41262.99861111111)</f>
        <v>41262.99861</v>
      </c>
      <c r="B866" s="1">
        <f>IFERROR(__xludf.DUMMYFUNCTION("""COMPUTED_VALUE"""),34266.2227)</f>
        <v>34266.2227</v>
      </c>
    </row>
    <row r="867">
      <c r="A867" s="3">
        <f>IFERROR(__xludf.DUMMYFUNCTION("""COMPUTED_VALUE"""),41263.99861111111)</f>
        <v>41263.99861</v>
      </c>
      <c r="B867" s="1">
        <f>IFERROR(__xludf.DUMMYFUNCTION("""COMPUTED_VALUE"""),34282.04498)</f>
        <v>34282.04498</v>
      </c>
    </row>
    <row r="868">
      <c r="A868" s="3">
        <f>IFERROR(__xludf.DUMMYFUNCTION("""COMPUTED_VALUE"""),41264.99861111111)</f>
        <v>41264.99861</v>
      </c>
      <c r="B868" s="1">
        <f>IFERROR(__xludf.DUMMYFUNCTION("""COMPUTED_VALUE"""),34294.61803)</f>
        <v>34294.61803</v>
      </c>
    </row>
    <row r="869">
      <c r="A869" s="3">
        <f>IFERROR(__xludf.DUMMYFUNCTION("""COMPUTED_VALUE"""),41267.99861111111)</f>
        <v>41267.99861</v>
      </c>
      <c r="B869" s="1">
        <f>IFERROR(__xludf.DUMMYFUNCTION("""COMPUTED_VALUE"""),34276.75828)</f>
        <v>34276.75828</v>
      </c>
    </row>
    <row r="870">
      <c r="A870" s="3">
        <f>IFERROR(__xludf.DUMMYFUNCTION("""COMPUTED_VALUE"""),41268.99861111111)</f>
        <v>41268.99861</v>
      </c>
      <c r="B870" s="1">
        <f>IFERROR(__xludf.DUMMYFUNCTION("""COMPUTED_VALUE"""),34261.26455)</f>
        <v>34261.26455</v>
      </c>
    </row>
    <row r="871">
      <c r="A871" s="3">
        <f>IFERROR(__xludf.DUMMYFUNCTION("""COMPUTED_VALUE"""),41269.99861111111)</f>
        <v>41269.99861</v>
      </c>
      <c r="B871" s="1">
        <f>IFERROR(__xludf.DUMMYFUNCTION("""COMPUTED_VALUE"""),34285.20035)</f>
        <v>34285.20035</v>
      </c>
    </row>
    <row r="872">
      <c r="A872" s="3">
        <f>IFERROR(__xludf.DUMMYFUNCTION("""COMPUTED_VALUE"""),41270.99861111111)</f>
        <v>41270.99861</v>
      </c>
      <c r="B872" s="1">
        <f>IFERROR(__xludf.DUMMYFUNCTION("""COMPUTED_VALUE"""),34329.53559)</f>
        <v>34329.53559</v>
      </c>
    </row>
    <row r="873">
      <c r="A873" s="3">
        <f>IFERROR(__xludf.DUMMYFUNCTION("""COMPUTED_VALUE"""),41271.99861111111)</f>
        <v>41271.99861</v>
      </c>
      <c r="B873" s="1">
        <f>IFERROR(__xludf.DUMMYFUNCTION("""COMPUTED_VALUE"""),34264.35855)</f>
        <v>34264.35855</v>
      </c>
    </row>
    <row r="874">
      <c r="A874" s="3">
        <f>IFERROR(__xludf.DUMMYFUNCTION("""COMPUTED_VALUE"""),41272.99861111111)</f>
        <v>41272.99861</v>
      </c>
      <c r="B874" s="1">
        <f>IFERROR(__xludf.DUMMYFUNCTION("""COMPUTED_VALUE"""),34220.71181)</f>
        <v>34220.71181</v>
      </c>
    </row>
    <row r="875">
      <c r="A875" s="3">
        <f>IFERROR(__xludf.DUMMYFUNCTION("""COMPUTED_VALUE"""),41274.99861111111)</f>
        <v>41274.99861</v>
      </c>
      <c r="B875" s="1">
        <f>IFERROR(__xludf.DUMMYFUNCTION("""COMPUTED_VALUE"""),34235.93492)</f>
        <v>34235.93492</v>
      </c>
    </row>
    <row r="876">
      <c r="A876" s="3">
        <f>IFERROR(__xludf.DUMMYFUNCTION("""COMPUTED_VALUE"""),41275.99861111111)</f>
        <v>41275.99861</v>
      </c>
      <c r="B876" s="1">
        <f>IFERROR(__xludf.DUMMYFUNCTION("""COMPUTED_VALUE"""),34233.49424)</f>
        <v>34233.49424</v>
      </c>
    </row>
    <row r="877">
      <c r="A877" s="3">
        <f>IFERROR(__xludf.DUMMYFUNCTION("""COMPUTED_VALUE"""),41276.99861111111)</f>
        <v>41276.99861</v>
      </c>
      <c r="B877" s="1">
        <f>IFERROR(__xludf.DUMMYFUNCTION("""COMPUTED_VALUE"""),34280.36794)</f>
        <v>34280.36794</v>
      </c>
    </row>
    <row r="878">
      <c r="A878" s="3">
        <f>IFERROR(__xludf.DUMMYFUNCTION("""COMPUTED_VALUE"""),41277.99861111111)</f>
        <v>41277.99861</v>
      </c>
      <c r="B878" s="1">
        <f>IFERROR(__xludf.DUMMYFUNCTION("""COMPUTED_VALUE"""),34263.39015)</f>
        <v>34263.39015</v>
      </c>
    </row>
    <row r="879">
      <c r="A879" s="3">
        <f>IFERROR(__xludf.DUMMYFUNCTION("""COMPUTED_VALUE"""),41278.99861111111)</f>
        <v>41278.99861</v>
      </c>
      <c r="B879" s="1">
        <f>IFERROR(__xludf.DUMMYFUNCTION("""COMPUTED_VALUE"""),34332.38632)</f>
        <v>34332.38632</v>
      </c>
    </row>
    <row r="880">
      <c r="A880" s="3">
        <f>IFERROR(__xludf.DUMMYFUNCTION("""COMPUTED_VALUE"""),41279.99861111111)</f>
        <v>41279.99861</v>
      </c>
      <c r="B880" s="1">
        <f>IFERROR(__xludf.DUMMYFUNCTION("""COMPUTED_VALUE"""),34799.63599)</f>
        <v>34799.63599</v>
      </c>
    </row>
    <row r="881">
      <c r="A881" s="3">
        <f>IFERROR(__xludf.DUMMYFUNCTION("""COMPUTED_VALUE"""),41281.99861111111)</f>
        <v>41281.99861</v>
      </c>
      <c r="B881" s="1">
        <f>IFERROR(__xludf.DUMMYFUNCTION("""COMPUTED_VALUE"""),34244.34861)</f>
        <v>34244.34861</v>
      </c>
    </row>
    <row r="882">
      <c r="A882" s="3">
        <f>IFERROR(__xludf.DUMMYFUNCTION("""COMPUTED_VALUE"""),41282.99861111111)</f>
        <v>41282.99861</v>
      </c>
      <c r="B882" s="1">
        <f>IFERROR(__xludf.DUMMYFUNCTION("""COMPUTED_VALUE"""),34248.15516)</f>
        <v>34248.15516</v>
      </c>
    </row>
    <row r="883">
      <c r="A883" s="3">
        <f>IFERROR(__xludf.DUMMYFUNCTION("""COMPUTED_VALUE"""),41283.99861111111)</f>
        <v>41283.99861</v>
      </c>
      <c r="B883" s="1">
        <f>IFERROR(__xludf.DUMMYFUNCTION("""COMPUTED_VALUE"""),34229.20848)</f>
        <v>34229.20848</v>
      </c>
    </row>
    <row r="884">
      <c r="A884" s="3">
        <f>IFERROR(__xludf.DUMMYFUNCTION("""COMPUTED_VALUE"""),41284.99861111111)</f>
        <v>41284.99861</v>
      </c>
      <c r="B884" s="1">
        <f>IFERROR(__xludf.DUMMYFUNCTION("""COMPUTED_VALUE"""),34262.94076)</f>
        <v>34262.94076</v>
      </c>
    </row>
    <row r="885">
      <c r="A885" s="3">
        <f>IFERROR(__xludf.DUMMYFUNCTION("""COMPUTED_VALUE"""),41285.99861111111)</f>
        <v>41285.99861</v>
      </c>
      <c r="B885" s="1">
        <f>IFERROR(__xludf.DUMMYFUNCTION("""COMPUTED_VALUE"""),34188.9997)</f>
        <v>34188.9997</v>
      </c>
    </row>
    <row r="886">
      <c r="A886" s="3">
        <f>IFERROR(__xludf.DUMMYFUNCTION("""COMPUTED_VALUE"""),41286.99861111111)</f>
        <v>41286.99861</v>
      </c>
      <c r="B886" s="1">
        <f>IFERROR(__xludf.DUMMYFUNCTION("""COMPUTED_VALUE"""),34185.08441)</f>
        <v>34185.08441</v>
      </c>
    </row>
    <row r="887">
      <c r="A887" s="3">
        <f>IFERROR(__xludf.DUMMYFUNCTION("""COMPUTED_VALUE"""),41288.99861111111)</f>
        <v>41288.99861</v>
      </c>
      <c r="B887" s="1">
        <f>IFERROR(__xludf.DUMMYFUNCTION("""COMPUTED_VALUE"""),34181.81097)</f>
        <v>34181.81097</v>
      </c>
    </row>
    <row r="888">
      <c r="A888" s="3">
        <f>IFERROR(__xludf.DUMMYFUNCTION("""COMPUTED_VALUE"""),41289.99861111111)</f>
        <v>41289.99861</v>
      </c>
      <c r="B888" s="1">
        <f>IFERROR(__xludf.DUMMYFUNCTION("""COMPUTED_VALUE"""),34211.3403)</f>
        <v>34211.3403</v>
      </c>
    </row>
    <row r="889">
      <c r="A889" s="3">
        <f>IFERROR(__xludf.DUMMYFUNCTION("""COMPUTED_VALUE"""),41290.99861111111)</f>
        <v>41290.99861</v>
      </c>
      <c r="B889" s="1">
        <f>IFERROR(__xludf.DUMMYFUNCTION("""COMPUTED_VALUE"""),34219.18688)</f>
        <v>34219.18688</v>
      </c>
    </row>
    <row r="890">
      <c r="A890" s="3">
        <f>IFERROR(__xludf.DUMMYFUNCTION("""COMPUTED_VALUE"""),41291.99861111111)</f>
        <v>41291.99861</v>
      </c>
      <c r="B890" s="1">
        <f>IFERROR(__xludf.DUMMYFUNCTION("""COMPUTED_VALUE"""),34259.56389)</f>
        <v>34259.56389</v>
      </c>
    </row>
    <row r="891">
      <c r="A891" s="3">
        <f>IFERROR(__xludf.DUMMYFUNCTION("""COMPUTED_VALUE"""),41292.99861111111)</f>
        <v>41292.99861</v>
      </c>
      <c r="B891" s="1">
        <f>IFERROR(__xludf.DUMMYFUNCTION("""COMPUTED_VALUE"""),34124.73088)</f>
        <v>34124.73088</v>
      </c>
    </row>
    <row r="892">
      <c r="A892" s="3">
        <f>IFERROR(__xludf.DUMMYFUNCTION("""COMPUTED_VALUE"""),41293.99861111111)</f>
        <v>41293.99861</v>
      </c>
      <c r="B892" s="1">
        <f>IFERROR(__xludf.DUMMYFUNCTION("""COMPUTED_VALUE"""),34114.42526)</f>
        <v>34114.42526</v>
      </c>
    </row>
    <row r="893">
      <c r="A893" s="3">
        <f>IFERROR(__xludf.DUMMYFUNCTION("""COMPUTED_VALUE"""),41295.99861111111)</f>
        <v>41295.99861</v>
      </c>
      <c r="B893" s="1">
        <f>IFERROR(__xludf.DUMMYFUNCTION("""COMPUTED_VALUE"""),34093.21299)</f>
        <v>34093.21299</v>
      </c>
    </row>
    <row r="894">
      <c r="A894" s="3">
        <f>IFERROR(__xludf.DUMMYFUNCTION("""COMPUTED_VALUE"""),41296.99861111111)</f>
        <v>41296.99861</v>
      </c>
      <c r="B894" s="1">
        <f>IFERROR(__xludf.DUMMYFUNCTION("""COMPUTED_VALUE"""),34113.16803)</f>
        <v>34113.16803</v>
      </c>
    </row>
    <row r="895">
      <c r="A895" s="3">
        <f>IFERROR(__xludf.DUMMYFUNCTION("""COMPUTED_VALUE"""),41297.99861111111)</f>
        <v>41297.99861</v>
      </c>
      <c r="B895" s="1">
        <f>IFERROR(__xludf.DUMMYFUNCTION("""COMPUTED_VALUE"""),34128.37102)</f>
        <v>34128.37102</v>
      </c>
    </row>
    <row r="896">
      <c r="A896" s="3">
        <f>IFERROR(__xludf.DUMMYFUNCTION("""COMPUTED_VALUE"""),41298.99861111111)</f>
        <v>41298.99861</v>
      </c>
      <c r="B896" s="1">
        <f>IFERROR(__xludf.DUMMYFUNCTION("""COMPUTED_VALUE"""),34130.50473)</f>
        <v>34130.50473</v>
      </c>
    </row>
    <row r="897">
      <c r="A897" s="3">
        <f>IFERROR(__xludf.DUMMYFUNCTION("""COMPUTED_VALUE"""),41299.99861111111)</f>
        <v>41299.99861</v>
      </c>
      <c r="B897" s="1">
        <f>IFERROR(__xludf.DUMMYFUNCTION("""COMPUTED_VALUE"""),34219.05378)</f>
        <v>34219.05378</v>
      </c>
    </row>
    <row r="898">
      <c r="A898" s="3">
        <f>IFERROR(__xludf.DUMMYFUNCTION("""COMPUTED_VALUE"""),41300.99861111111)</f>
        <v>41300.99861</v>
      </c>
      <c r="B898" s="1">
        <f>IFERROR(__xludf.DUMMYFUNCTION("""COMPUTED_VALUE"""),34076.8063)</f>
        <v>34076.8063</v>
      </c>
    </row>
    <row r="899">
      <c r="A899" s="3">
        <f>IFERROR(__xludf.DUMMYFUNCTION("""COMPUTED_VALUE"""),41302.99861111111)</f>
        <v>41302.99861</v>
      </c>
      <c r="B899" s="1">
        <f>IFERROR(__xludf.DUMMYFUNCTION("""COMPUTED_VALUE"""),34328.7003)</f>
        <v>34328.7003</v>
      </c>
    </row>
    <row r="900">
      <c r="A900" s="3">
        <f>IFERROR(__xludf.DUMMYFUNCTION("""COMPUTED_VALUE"""),41303.99861111111)</f>
        <v>41303.99861</v>
      </c>
      <c r="B900" s="1">
        <f>IFERROR(__xludf.DUMMYFUNCTION("""COMPUTED_VALUE"""),34353.85525)</f>
        <v>34353.85525</v>
      </c>
    </row>
    <row r="901">
      <c r="A901" s="3">
        <f>IFERROR(__xludf.DUMMYFUNCTION("""COMPUTED_VALUE"""),41304.99861111111)</f>
        <v>41304.99861</v>
      </c>
      <c r="B901" s="1">
        <f>IFERROR(__xludf.DUMMYFUNCTION("""COMPUTED_VALUE"""),34430.05905)</f>
        <v>34430.05905</v>
      </c>
    </row>
    <row r="902">
      <c r="A902" s="3">
        <f>IFERROR(__xludf.DUMMYFUNCTION("""COMPUTED_VALUE"""),41305.99861111111)</f>
        <v>41305.99861</v>
      </c>
      <c r="B902" s="1">
        <f>IFERROR(__xludf.DUMMYFUNCTION("""COMPUTED_VALUE"""),34461.50259)</f>
        <v>34461.50259</v>
      </c>
    </row>
    <row r="903">
      <c r="A903" s="3">
        <f>IFERROR(__xludf.DUMMYFUNCTION("""COMPUTED_VALUE"""),41306.99861111111)</f>
        <v>41306.99861</v>
      </c>
      <c r="B903" s="1">
        <f>IFERROR(__xludf.DUMMYFUNCTION("""COMPUTED_VALUE"""),34508.71459)</f>
        <v>34508.71459</v>
      </c>
    </row>
    <row r="904">
      <c r="A904" s="3">
        <f>IFERROR(__xludf.DUMMYFUNCTION("""COMPUTED_VALUE"""),41308.99861111111)</f>
        <v>41308.99861</v>
      </c>
      <c r="B904" s="1">
        <f>IFERROR(__xludf.DUMMYFUNCTION("""COMPUTED_VALUE"""),34220.17781)</f>
        <v>34220.17781</v>
      </c>
    </row>
    <row r="905">
      <c r="A905" s="3">
        <f>IFERROR(__xludf.DUMMYFUNCTION("""COMPUTED_VALUE"""),41309.99861111111)</f>
        <v>41309.99861</v>
      </c>
      <c r="B905" s="1">
        <f>IFERROR(__xludf.DUMMYFUNCTION("""COMPUTED_VALUE"""),34327.86735)</f>
        <v>34327.86735</v>
      </c>
    </row>
    <row r="906">
      <c r="A906" s="3">
        <f>IFERROR(__xludf.DUMMYFUNCTION("""COMPUTED_VALUE"""),41310.99861111111)</f>
        <v>41310.99861</v>
      </c>
      <c r="B906" s="1">
        <f>IFERROR(__xludf.DUMMYFUNCTION("""COMPUTED_VALUE"""),34340.27216)</f>
        <v>34340.27216</v>
      </c>
    </row>
    <row r="907">
      <c r="A907" s="3">
        <f>IFERROR(__xludf.DUMMYFUNCTION("""COMPUTED_VALUE"""),41311.99861111111)</f>
        <v>41311.99861</v>
      </c>
      <c r="B907" s="1">
        <f>IFERROR(__xludf.DUMMYFUNCTION("""COMPUTED_VALUE"""),34455.86354)</f>
        <v>34455.86354</v>
      </c>
    </row>
    <row r="908">
      <c r="A908" s="3">
        <f>IFERROR(__xludf.DUMMYFUNCTION("""COMPUTED_VALUE"""),41312.99861111111)</f>
        <v>41312.99861</v>
      </c>
      <c r="B908" s="1">
        <f>IFERROR(__xludf.DUMMYFUNCTION("""COMPUTED_VALUE"""),34380.22212)</f>
        <v>34380.22212</v>
      </c>
    </row>
    <row r="909">
      <c r="A909" s="3">
        <f>IFERROR(__xludf.DUMMYFUNCTION("""COMPUTED_VALUE"""),41313.99861111111)</f>
        <v>41313.99861</v>
      </c>
      <c r="B909" s="1">
        <f>IFERROR(__xludf.DUMMYFUNCTION("""COMPUTED_VALUE"""),34324.01109)</f>
        <v>34324.01109</v>
      </c>
    </row>
    <row r="910">
      <c r="A910" s="3">
        <f>IFERROR(__xludf.DUMMYFUNCTION("""COMPUTED_VALUE"""),41314.99861111111)</f>
        <v>41314.99861</v>
      </c>
      <c r="B910" s="1">
        <f>IFERROR(__xludf.DUMMYFUNCTION("""COMPUTED_VALUE"""),34316.88986)</f>
        <v>34316.88986</v>
      </c>
    </row>
    <row r="911">
      <c r="A911" s="3">
        <f>IFERROR(__xludf.DUMMYFUNCTION("""COMPUTED_VALUE"""),41316.99861111111)</f>
        <v>41316.99861</v>
      </c>
      <c r="B911" s="1">
        <f>IFERROR(__xludf.DUMMYFUNCTION("""COMPUTED_VALUE"""),34066.40276)</f>
        <v>34066.40276</v>
      </c>
    </row>
    <row r="912">
      <c r="A912" s="3">
        <f>IFERROR(__xludf.DUMMYFUNCTION("""COMPUTED_VALUE"""),41317.99861111111)</f>
        <v>41317.99861</v>
      </c>
      <c r="B912" s="1">
        <f>IFERROR(__xludf.DUMMYFUNCTION("""COMPUTED_VALUE"""),34139.20912)</f>
        <v>34139.20912</v>
      </c>
    </row>
    <row r="913">
      <c r="A913" s="3">
        <f>IFERROR(__xludf.DUMMYFUNCTION("""COMPUTED_VALUE"""),41318.99861111111)</f>
        <v>41318.99861</v>
      </c>
      <c r="B913" s="1">
        <f>IFERROR(__xludf.DUMMYFUNCTION("""COMPUTED_VALUE"""),34183.30257)</f>
        <v>34183.30257</v>
      </c>
    </row>
    <row r="914">
      <c r="A914" s="3">
        <f>IFERROR(__xludf.DUMMYFUNCTION("""COMPUTED_VALUE"""),41319.99861111111)</f>
        <v>41319.99861</v>
      </c>
      <c r="B914" s="1">
        <f>IFERROR(__xludf.DUMMYFUNCTION("""COMPUTED_VALUE"""),34209.19903)</f>
        <v>34209.19903</v>
      </c>
    </row>
    <row r="915">
      <c r="A915" s="3">
        <f>IFERROR(__xludf.DUMMYFUNCTION("""COMPUTED_VALUE"""),41320.99861111111)</f>
        <v>41320.99861</v>
      </c>
      <c r="B915" s="1">
        <f>IFERROR(__xludf.DUMMYFUNCTION("""COMPUTED_VALUE"""),34197.41307)</f>
        <v>34197.41307</v>
      </c>
    </row>
    <row r="916">
      <c r="A916" s="3">
        <f>IFERROR(__xludf.DUMMYFUNCTION("""COMPUTED_VALUE"""),41321.99861111111)</f>
        <v>41321.99861</v>
      </c>
      <c r="B916" s="1">
        <f>IFERROR(__xludf.DUMMYFUNCTION("""COMPUTED_VALUE"""),34221.54024)</f>
        <v>34221.54024</v>
      </c>
    </row>
    <row r="917">
      <c r="A917" s="3">
        <f>IFERROR(__xludf.DUMMYFUNCTION("""COMPUTED_VALUE"""),41323.99861111111)</f>
        <v>41323.99861</v>
      </c>
      <c r="B917" s="1">
        <f>IFERROR(__xludf.DUMMYFUNCTION("""COMPUTED_VALUE"""),34239.90012)</f>
        <v>34239.90012</v>
      </c>
    </row>
    <row r="918">
      <c r="A918" s="3">
        <f>IFERROR(__xludf.DUMMYFUNCTION("""COMPUTED_VALUE"""),41324.99861111111)</f>
        <v>41324.99861</v>
      </c>
      <c r="B918" s="1">
        <f>IFERROR(__xludf.DUMMYFUNCTION("""COMPUTED_VALUE"""),34332.50493)</f>
        <v>34332.50493</v>
      </c>
    </row>
    <row r="919">
      <c r="A919" s="3">
        <f>IFERROR(__xludf.DUMMYFUNCTION("""COMPUTED_VALUE"""),41325.99861111111)</f>
        <v>41325.99861</v>
      </c>
      <c r="B919" s="1">
        <f>IFERROR(__xludf.DUMMYFUNCTION("""COMPUTED_VALUE"""),34205.39084)</f>
        <v>34205.39084</v>
      </c>
    </row>
    <row r="920">
      <c r="A920" s="3">
        <f>IFERROR(__xludf.DUMMYFUNCTION("""COMPUTED_VALUE"""),41326.99861111111)</f>
        <v>41326.99861</v>
      </c>
      <c r="B920" s="1">
        <f>IFERROR(__xludf.DUMMYFUNCTION("""COMPUTED_VALUE"""),34249.64555)</f>
        <v>34249.64555</v>
      </c>
    </row>
    <row r="921">
      <c r="A921" s="3">
        <f>IFERROR(__xludf.DUMMYFUNCTION("""COMPUTED_VALUE"""),41327.99861111111)</f>
        <v>41327.99861</v>
      </c>
      <c r="B921" s="1">
        <f>IFERROR(__xludf.DUMMYFUNCTION("""COMPUTED_VALUE"""),34273.81391)</f>
        <v>34273.81391</v>
      </c>
    </row>
    <row r="922">
      <c r="A922" s="3">
        <f>IFERROR(__xludf.DUMMYFUNCTION("""COMPUTED_VALUE"""),41328.99861111111)</f>
        <v>41328.99861</v>
      </c>
      <c r="B922" s="1">
        <f>IFERROR(__xludf.DUMMYFUNCTION("""COMPUTED_VALUE"""),34303.92372)</f>
        <v>34303.92372</v>
      </c>
    </row>
    <row r="923">
      <c r="A923" s="3">
        <f>IFERROR(__xludf.DUMMYFUNCTION("""COMPUTED_VALUE"""),41330.99861111111)</f>
        <v>41330.99861</v>
      </c>
      <c r="B923" s="1">
        <f>IFERROR(__xludf.DUMMYFUNCTION("""COMPUTED_VALUE"""),34258.8007)</f>
        <v>34258.8007</v>
      </c>
    </row>
    <row r="924">
      <c r="A924" s="3">
        <f>IFERROR(__xludf.DUMMYFUNCTION("""COMPUTED_VALUE"""),41331.99861111111)</f>
        <v>41331.99861</v>
      </c>
      <c r="B924" s="1">
        <f>IFERROR(__xludf.DUMMYFUNCTION("""COMPUTED_VALUE"""),34266.23564)</f>
        <v>34266.23564</v>
      </c>
    </row>
    <row r="925">
      <c r="A925" s="3">
        <f>IFERROR(__xludf.DUMMYFUNCTION("""COMPUTED_VALUE"""),41332.99861111111)</f>
        <v>41332.99861</v>
      </c>
      <c r="B925" s="1">
        <f>IFERROR(__xludf.DUMMYFUNCTION("""COMPUTED_VALUE"""),34163.35544)</f>
        <v>34163.35544</v>
      </c>
    </row>
    <row r="926">
      <c r="A926" s="3">
        <f>IFERROR(__xludf.DUMMYFUNCTION("""COMPUTED_VALUE"""),41333.99861111111)</f>
        <v>41333.99861</v>
      </c>
      <c r="B926" s="1">
        <f>IFERROR(__xludf.DUMMYFUNCTION("""COMPUTED_VALUE"""),34034.47168)</f>
        <v>34034.47168</v>
      </c>
    </row>
    <row r="927">
      <c r="A927" s="3">
        <f>IFERROR(__xludf.DUMMYFUNCTION("""COMPUTED_VALUE"""),41334.99861111111)</f>
        <v>41334.99861</v>
      </c>
      <c r="B927" s="1">
        <f>IFERROR(__xludf.DUMMYFUNCTION("""COMPUTED_VALUE"""),34126.98286)</f>
        <v>34126.98286</v>
      </c>
    </row>
    <row r="928">
      <c r="A928" s="3">
        <f>IFERROR(__xludf.DUMMYFUNCTION("""COMPUTED_VALUE"""),41335.99861111111)</f>
        <v>41335.99861</v>
      </c>
      <c r="B928" s="1">
        <f>IFERROR(__xludf.DUMMYFUNCTION("""COMPUTED_VALUE"""),34145.73065)</f>
        <v>34145.73065</v>
      </c>
    </row>
    <row r="929">
      <c r="A929" s="3">
        <f>IFERROR(__xludf.DUMMYFUNCTION("""COMPUTED_VALUE"""),41337.99861111111)</f>
        <v>41337.99861</v>
      </c>
      <c r="B929" s="1">
        <f>IFERROR(__xludf.DUMMYFUNCTION("""COMPUTED_VALUE"""),34157.48141)</f>
        <v>34157.48141</v>
      </c>
    </row>
    <row r="930">
      <c r="A930" s="3">
        <f>IFERROR(__xludf.DUMMYFUNCTION("""COMPUTED_VALUE"""),41338.99861111111)</f>
        <v>41338.99861</v>
      </c>
      <c r="B930" s="1">
        <f>IFERROR(__xludf.DUMMYFUNCTION("""COMPUTED_VALUE"""),34087.46963)</f>
        <v>34087.46963</v>
      </c>
    </row>
    <row r="931">
      <c r="A931" s="3">
        <f>IFERROR(__xludf.DUMMYFUNCTION("""COMPUTED_VALUE"""),41339.99861111111)</f>
        <v>41339.99861</v>
      </c>
      <c r="B931" s="1">
        <f>IFERROR(__xludf.DUMMYFUNCTION("""COMPUTED_VALUE"""),34087.87559)</f>
        <v>34087.87559</v>
      </c>
    </row>
    <row r="932">
      <c r="A932" s="3">
        <f>IFERROR(__xludf.DUMMYFUNCTION("""COMPUTED_VALUE"""),41340.99861111111)</f>
        <v>41340.99861</v>
      </c>
      <c r="B932" s="1">
        <f>IFERROR(__xludf.DUMMYFUNCTION("""COMPUTED_VALUE"""),34103.46822)</f>
        <v>34103.46822</v>
      </c>
    </row>
    <row r="933">
      <c r="A933" s="3">
        <f>IFERROR(__xludf.DUMMYFUNCTION("""COMPUTED_VALUE"""),41341.99861111111)</f>
        <v>41341.99861</v>
      </c>
      <c r="B933" s="1">
        <f>IFERROR(__xludf.DUMMYFUNCTION("""COMPUTED_VALUE"""),34014.37507)</f>
        <v>34014.37507</v>
      </c>
    </row>
    <row r="934">
      <c r="A934" s="3">
        <f>IFERROR(__xludf.DUMMYFUNCTION("""COMPUTED_VALUE"""),41342.99861111111)</f>
        <v>41342.99861</v>
      </c>
      <c r="B934" s="1">
        <f>IFERROR(__xludf.DUMMYFUNCTION("""COMPUTED_VALUE"""),34011.55549)</f>
        <v>34011.55549</v>
      </c>
    </row>
    <row r="935">
      <c r="A935" s="3">
        <f>IFERROR(__xludf.DUMMYFUNCTION("""COMPUTED_VALUE"""),41344.99861111111)</f>
        <v>41344.99861</v>
      </c>
      <c r="B935" s="1">
        <f>IFERROR(__xludf.DUMMYFUNCTION("""COMPUTED_VALUE"""),34056.35757)</f>
        <v>34056.35757</v>
      </c>
    </row>
    <row r="936">
      <c r="A936" s="3">
        <f>IFERROR(__xludf.DUMMYFUNCTION("""COMPUTED_VALUE"""),41345.99861111111)</f>
        <v>41345.99861</v>
      </c>
      <c r="B936" s="1">
        <f>IFERROR(__xludf.DUMMYFUNCTION("""COMPUTED_VALUE"""),34051.83682)</f>
        <v>34051.83682</v>
      </c>
    </row>
    <row r="937">
      <c r="A937" s="3">
        <f>IFERROR(__xludf.DUMMYFUNCTION("""COMPUTED_VALUE"""),41346.99861111111)</f>
        <v>41346.99861</v>
      </c>
      <c r="B937" s="1">
        <f>IFERROR(__xludf.DUMMYFUNCTION("""COMPUTED_VALUE"""),34013.23646)</f>
        <v>34013.23646</v>
      </c>
    </row>
    <row r="938">
      <c r="A938" s="3">
        <f>IFERROR(__xludf.DUMMYFUNCTION("""COMPUTED_VALUE"""),41347.99861111111)</f>
        <v>41347.99861</v>
      </c>
      <c r="B938" s="1">
        <f>IFERROR(__xludf.DUMMYFUNCTION("""COMPUTED_VALUE"""),34068.45725)</f>
        <v>34068.45725</v>
      </c>
    </row>
    <row r="939">
      <c r="A939" s="3">
        <f>IFERROR(__xludf.DUMMYFUNCTION("""COMPUTED_VALUE"""),41348.99861111111)</f>
        <v>41348.99861</v>
      </c>
      <c r="B939" s="1">
        <f>IFERROR(__xludf.DUMMYFUNCTION("""COMPUTED_VALUE"""),34124.17598)</f>
        <v>34124.17598</v>
      </c>
    </row>
    <row r="940">
      <c r="A940" s="3">
        <f>IFERROR(__xludf.DUMMYFUNCTION("""COMPUTED_VALUE"""),41349.99861111111)</f>
        <v>41349.99861</v>
      </c>
      <c r="B940" s="1">
        <f>IFERROR(__xludf.DUMMYFUNCTION("""COMPUTED_VALUE"""),34115.36137)</f>
        <v>34115.36137</v>
      </c>
    </row>
    <row r="941">
      <c r="A941" s="3">
        <f>IFERROR(__xludf.DUMMYFUNCTION("""COMPUTED_VALUE"""),41351.99861111111)</f>
        <v>41351.99861</v>
      </c>
      <c r="B941" s="1">
        <f>IFERROR(__xludf.DUMMYFUNCTION("""COMPUTED_VALUE"""),34087.94022)</f>
        <v>34087.94022</v>
      </c>
    </row>
    <row r="942">
      <c r="A942" s="3">
        <f>IFERROR(__xludf.DUMMYFUNCTION("""COMPUTED_VALUE"""),41352.99861111111)</f>
        <v>41352.99861</v>
      </c>
      <c r="B942" s="1">
        <f>IFERROR(__xludf.DUMMYFUNCTION("""COMPUTED_VALUE"""),34040.07408)</f>
        <v>34040.07408</v>
      </c>
    </row>
    <row r="943">
      <c r="A943" s="3">
        <f>IFERROR(__xludf.DUMMYFUNCTION("""COMPUTED_VALUE"""),41353.99861111111)</f>
        <v>41353.99861</v>
      </c>
      <c r="B943" s="1">
        <f>IFERROR(__xludf.DUMMYFUNCTION("""COMPUTED_VALUE"""),34067.24583)</f>
        <v>34067.24583</v>
      </c>
    </row>
    <row r="944">
      <c r="A944" s="3">
        <f>IFERROR(__xludf.DUMMYFUNCTION("""COMPUTED_VALUE"""),41354.99861111111)</f>
        <v>41354.99861</v>
      </c>
      <c r="B944" s="1">
        <f>IFERROR(__xludf.DUMMYFUNCTION("""COMPUTED_VALUE"""),34136.13899)</f>
        <v>34136.13899</v>
      </c>
    </row>
    <row r="945">
      <c r="A945" s="3">
        <f>IFERROR(__xludf.DUMMYFUNCTION("""COMPUTED_VALUE"""),41355.99861111111)</f>
        <v>41355.99861</v>
      </c>
      <c r="B945" s="1">
        <f>IFERROR(__xludf.DUMMYFUNCTION("""COMPUTED_VALUE"""),34214.86409)</f>
        <v>34214.86409</v>
      </c>
    </row>
    <row r="946">
      <c r="A946" s="3">
        <f>IFERROR(__xludf.DUMMYFUNCTION("""COMPUTED_VALUE"""),41356.99861111111)</f>
        <v>41356.99861</v>
      </c>
      <c r="B946" s="1">
        <f>IFERROR(__xludf.DUMMYFUNCTION("""COMPUTED_VALUE"""),34230.3625)</f>
        <v>34230.3625</v>
      </c>
    </row>
    <row r="947">
      <c r="A947" s="3">
        <f>IFERROR(__xludf.DUMMYFUNCTION("""COMPUTED_VALUE"""),41358.99861111111)</f>
        <v>41358.99861</v>
      </c>
      <c r="B947" s="1">
        <f>IFERROR(__xludf.DUMMYFUNCTION("""COMPUTED_VALUE"""),34184.57173)</f>
        <v>34184.57173</v>
      </c>
    </row>
    <row r="948">
      <c r="A948" s="3">
        <f>IFERROR(__xludf.DUMMYFUNCTION("""COMPUTED_VALUE"""),41359.99861111111)</f>
        <v>41359.99861</v>
      </c>
      <c r="B948" s="1">
        <f>IFERROR(__xludf.DUMMYFUNCTION("""COMPUTED_VALUE"""),34108.34016)</f>
        <v>34108.34016</v>
      </c>
    </row>
    <row r="949">
      <c r="A949" s="3">
        <f>IFERROR(__xludf.DUMMYFUNCTION("""COMPUTED_VALUE"""),41360.99861111111)</f>
        <v>41360.99861</v>
      </c>
      <c r="B949" s="1">
        <f>IFERROR(__xludf.DUMMYFUNCTION("""COMPUTED_VALUE"""),34070.62953)</f>
        <v>34070.62953</v>
      </c>
    </row>
    <row r="950">
      <c r="A950" s="3">
        <f>IFERROR(__xludf.DUMMYFUNCTION("""COMPUTED_VALUE"""),41361.99861111111)</f>
        <v>41361.99861</v>
      </c>
      <c r="B950" s="1">
        <f>IFERROR(__xludf.DUMMYFUNCTION("""COMPUTED_VALUE"""),33929.60315)</f>
        <v>33929.60315</v>
      </c>
    </row>
    <row r="951">
      <c r="A951" s="3">
        <f>IFERROR(__xludf.DUMMYFUNCTION("""COMPUTED_VALUE"""),41362.99861111111)</f>
        <v>41362.99861</v>
      </c>
      <c r="B951" s="1">
        <f>IFERROR(__xludf.DUMMYFUNCTION("""COMPUTED_VALUE"""),33909.99187)</f>
        <v>33909.99187</v>
      </c>
    </row>
    <row r="952">
      <c r="A952" s="3">
        <f>IFERROR(__xludf.DUMMYFUNCTION("""COMPUTED_VALUE"""),41363.99861111111)</f>
        <v>41363.99861</v>
      </c>
      <c r="B952" s="1">
        <f>IFERROR(__xludf.DUMMYFUNCTION("""COMPUTED_VALUE"""),33945.012)</f>
        <v>33945.012</v>
      </c>
    </row>
    <row r="953">
      <c r="A953" s="3">
        <f>IFERROR(__xludf.DUMMYFUNCTION("""COMPUTED_VALUE"""),41365.99861111111)</f>
        <v>41365.99861</v>
      </c>
      <c r="B953" s="1">
        <f>IFERROR(__xludf.DUMMYFUNCTION("""COMPUTED_VALUE"""),34087.71026)</f>
        <v>34087.71026</v>
      </c>
    </row>
    <row r="954">
      <c r="A954" s="3">
        <f>IFERROR(__xludf.DUMMYFUNCTION("""COMPUTED_VALUE"""),41366.99861111111)</f>
        <v>41366.99861</v>
      </c>
      <c r="B954" s="1">
        <f>IFERROR(__xludf.DUMMYFUNCTION("""COMPUTED_VALUE"""),33980.25484)</f>
        <v>33980.25484</v>
      </c>
    </row>
    <row r="955">
      <c r="A955" s="3">
        <f>IFERROR(__xludf.DUMMYFUNCTION("""COMPUTED_VALUE"""),41367.99861111111)</f>
        <v>41367.99861</v>
      </c>
      <c r="B955" s="1">
        <f>IFERROR(__xludf.DUMMYFUNCTION("""COMPUTED_VALUE"""),34121.12835)</f>
        <v>34121.12835</v>
      </c>
    </row>
    <row r="956">
      <c r="A956" s="3">
        <f>IFERROR(__xludf.DUMMYFUNCTION("""COMPUTED_VALUE"""),41368.99861111111)</f>
        <v>41368.99861</v>
      </c>
      <c r="B956" s="1">
        <f>IFERROR(__xludf.DUMMYFUNCTION("""COMPUTED_VALUE"""),34127.44858)</f>
        <v>34127.44858</v>
      </c>
    </row>
    <row r="957">
      <c r="A957" s="3">
        <f>IFERROR(__xludf.DUMMYFUNCTION("""COMPUTED_VALUE"""),41369.99861111111)</f>
        <v>41369.99861</v>
      </c>
      <c r="B957" s="1">
        <f>IFERROR(__xludf.DUMMYFUNCTION("""COMPUTED_VALUE"""),34340.93167)</f>
        <v>34340.93167</v>
      </c>
    </row>
    <row r="958">
      <c r="A958" s="3">
        <f>IFERROR(__xludf.DUMMYFUNCTION("""COMPUTED_VALUE"""),41371.99861111111)</f>
        <v>41371.99861</v>
      </c>
      <c r="B958" s="1">
        <f>IFERROR(__xludf.DUMMYFUNCTION("""COMPUTED_VALUE"""),34158.34745)</f>
        <v>34158.34745</v>
      </c>
    </row>
    <row r="959">
      <c r="A959" s="3">
        <f>IFERROR(__xludf.DUMMYFUNCTION("""COMPUTED_VALUE"""),41372.99861111111)</f>
        <v>41372.99861</v>
      </c>
      <c r="B959" s="1">
        <f>IFERROR(__xludf.DUMMYFUNCTION("""COMPUTED_VALUE"""),34075.01455)</f>
        <v>34075.01455</v>
      </c>
    </row>
    <row r="960">
      <c r="A960" s="3">
        <f>IFERROR(__xludf.DUMMYFUNCTION("""COMPUTED_VALUE"""),41373.99861111111)</f>
        <v>41373.99861</v>
      </c>
      <c r="B960" s="1">
        <f>IFERROR(__xludf.DUMMYFUNCTION("""COMPUTED_VALUE"""),34026.74989)</f>
        <v>34026.74989</v>
      </c>
    </row>
    <row r="961">
      <c r="A961" s="3">
        <f>IFERROR(__xludf.DUMMYFUNCTION("""COMPUTED_VALUE"""),41374.99861111111)</f>
        <v>41374.99861</v>
      </c>
      <c r="B961" s="1">
        <f>IFERROR(__xludf.DUMMYFUNCTION("""COMPUTED_VALUE"""),33922.12242)</f>
        <v>33922.12242</v>
      </c>
    </row>
    <row r="962">
      <c r="A962" s="3">
        <f>IFERROR(__xludf.DUMMYFUNCTION("""COMPUTED_VALUE"""),41375.99861111111)</f>
        <v>41375.99861</v>
      </c>
      <c r="B962" s="1">
        <f>IFERROR(__xludf.DUMMYFUNCTION("""COMPUTED_VALUE"""),34004.28395)</f>
        <v>34004.28395</v>
      </c>
    </row>
    <row r="963">
      <c r="A963" s="3">
        <f>IFERROR(__xludf.DUMMYFUNCTION("""COMPUTED_VALUE"""),41376.99861111111)</f>
        <v>41376.99861</v>
      </c>
      <c r="B963" s="1">
        <f>IFERROR(__xludf.DUMMYFUNCTION("""COMPUTED_VALUE"""),34042.17453)</f>
        <v>34042.17453</v>
      </c>
    </row>
    <row r="964">
      <c r="A964" s="3">
        <f>IFERROR(__xludf.DUMMYFUNCTION("""COMPUTED_VALUE"""),41377.99861111111)</f>
        <v>41377.99861</v>
      </c>
      <c r="B964" s="1">
        <f>IFERROR(__xludf.DUMMYFUNCTION("""COMPUTED_VALUE"""),34052.71934)</f>
        <v>34052.71934</v>
      </c>
    </row>
    <row r="965">
      <c r="A965" s="3">
        <f>IFERROR(__xludf.DUMMYFUNCTION("""COMPUTED_VALUE"""),41378.99861111111)</f>
        <v>41378.99861</v>
      </c>
      <c r="B965" s="1">
        <f>IFERROR(__xludf.DUMMYFUNCTION("""COMPUTED_VALUE"""),34036.90212)</f>
        <v>34036.90212</v>
      </c>
    </row>
    <row r="966">
      <c r="A966" s="3">
        <f>IFERROR(__xludf.DUMMYFUNCTION("""COMPUTED_VALUE"""),41379.99861111111)</f>
        <v>41379.99861</v>
      </c>
      <c r="B966" s="1">
        <f>IFERROR(__xludf.DUMMYFUNCTION("""COMPUTED_VALUE"""),34046.4096)</f>
        <v>34046.4096</v>
      </c>
    </row>
    <row r="967">
      <c r="A967" s="3">
        <f>IFERROR(__xludf.DUMMYFUNCTION("""COMPUTED_VALUE"""),41380.99861111111)</f>
        <v>41380.99861</v>
      </c>
      <c r="B967" s="1">
        <f>IFERROR(__xludf.DUMMYFUNCTION("""COMPUTED_VALUE"""),34115.96088)</f>
        <v>34115.96088</v>
      </c>
    </row>
    <row r="968">
      <c r="A968" s="3">
        <f>IFERROR(__xludf.DUMMYFUNCTION("""COMPUTED_VALUE"""),41381.99861111111)</f>
        <v>41381.99861</v>
      </c>
      <c r="B968" s="1">
        <f>IFERROR(__xludf.DUMMYFUNCTION("""COMPUTED_VALUE"""),34033.24099)</f>
        <v>34033.24099</v>
      </c>
    </row>
    <row r="969">
      <c r="A969" s="3">
        <f>IFERROR(__xludf.DUMMYFUNCTION("""COMPUTED_VALUE"""),41382.99861111111)</f>
        <v>41382.99861</v>
      </c>
      <c r="B969" s="1">
        <f>IFERROR(__xludf.DUMMYFUNCTION("""COMPUTED_VALUE"""),34051.4014)</f>
        <v>34051.4014</v>
      </c>
    </row>
    <row r="970">
      <c r="A970" s="3">
        <f>IFERROR(__xludf.DUMMYFUNCTION("""COMPUTED_VALUE"""),41383.99861111111)</f>
        <v>41383.99861</v>
      </c>
      <c r="B970" s="1">
        <f>IFERROR(__xludf.DUMMYFUNCTION("""COMPUTED_VALUE"""),34054.9762)</f>
        <v>34054.9762</v>
      </c>
    </row>
    <row r="971">
      <c r="A971" s="3">
        <f>IFERROR(__xludf.DUMMYFUNCTION("""COMPUTED_VALUE"""),41385.99861111111)</f>
        <v>41385.99861</v>
      </c>
      <c r="B971" s="1">
        <f>IFERROR(__xludf.DUMMYFUNCTION("""COMPUTED_VALUE"""),34059.89815)</f>
        <v>34059.89815</v>
      </c>
    </row>
    <row r="972">
      <c r="A972" s="3">
        <f>IFERROR(__xludf.DUMMYFUNCTION("""COMPUTED_VALUE"""),41386.99861111111)</f>
        <v>41386.99861</v>
      </c>
      <c r="B972" s="1">
        <f>IFERROR(__xludf.DUMMYFUNCTION("""COMPUTED_VALUE"""),34040.04679)</f>
        <v>34040.04679</v>
      </c>
    </row>
    <row r="973">
      <c r="A973" s="3">
        <f>IFERROR(__xludf.DUMMYFUNCTION("""COMPUTED_VALUE"""),41387.99861111111)</f>
        <v>41387.99861</v>
      </c>
      <c r="B973" s="1">
        <f>IFERROR(__xludf.DUMMYFUNCTION("""COMPUTED_VALUE"""),34041.57209)</f>
        <v>34041.57209</v>
      </c>
    </row>
    <row r="974">
      <c r="A974" s="3">
        <f>IFERROR(__xludf.DUMMYFUNCTION("""COMPUTED_VALUE"""),41388.99861111111)</f>
        <v>41388.99861</v>
      </c>
      <c r="B974" s="1">
        <f>IFERROR(__xludf.DUMMYFUNCTION("""COMPUTED_VALUE"""),34028.02479)</f>
        <v>34028.02479</v>
      </c>
    </row>
    <row r="975">
      <c r="A975" s="3">
        <f>IFERROR(__xludf.DUMMYFUNCTION("""COMPUTED_VALUE"""),41389.99861111111)</f>
        <v>41389.99861</v>
      </c>
      <c r="B975" s="1">
        <f>IFERROR(__xludf.DUMMYFUNCTION("""COMPUTED_VALUE"""),34058.69473)</f>
        <v>34058.69473</v>
      </c>
    </row>
    <row r="976">
      <c r="A976" s="3">
        <f>IFERROR(__xludf.DUMMYFUNCTION("""COMPUTED_VALUE"""),41390.99861111111)</f>
        <v>41390.99861</v>
      </c>
      <c r="B976" s="1">
        <f>IFERROR(__xludf.DUMMYFUNCTION("""COMPUTED_VALUE"""),34095.21801)</f>
        <v>34095.21801</v>
      </c>
    </row>
    <row r="977">
      <c r="A977" s="3">
        <f>IFERROR(__xludf.DUMMYFUNCTION("""COMPUTED_VALUE"""),41391.99861111111)</f>
        <v>41391.99861</v>
      </c>
      <c r="B977" s="1">
        <f>IFERROR(__xludf.DUMMYFUNCTION("""COMPUTED_VALUE"""),34081.85561)</f>
        <v>34081.85561</v>
      </c>
    </row>
    <row r="978">
      <c r="A978" s="3">
        <f>IFERROR(__xludf.DUMMYFUNCTION("""COMPUTED_VALUE"""),41392.99861111111)</f>
        <v>41392.99861</v>
      </c>
      <c r="B978" s="1">
        <f>IFERROR(__xludf.DUMMYFUNCTION("""COMPUTED_VALUE"""),33801.42104)</f>
        <v>33801.42104</v>
      </c>
    </row>
    <row r="979">
      <c r="A979" s="3">
        <f>IFERROR(__xludf.DUMMYFUNCTION("""COMPUTED_VALUE"""),41393.99861111111)</f>
        <v>41393.99861</v>
      </c>
      <c r="B979" s="1">
        <f>IFERROR(__xludf.DUMMYFUNCTION("""COMPUTED_VALUE"""),34117.4398)</f>
        <v>34117.4398</v>
      </c>
    </row>
    <row r="980">
      <c r="A980" s="3">
        <f>IFERROR(__xludf.DUMMYFUNCTION("""COMPUTED_VALUE"""),41394.99861111111)</f>
        <v>41394.99861</v>
      </c>
      <c r="B980" s="1">
        <f>IFERROR(__xludf.DUMMYFUNCTION("""COMPUTED_VALUE"""),34067.46664)</f>
        <v>34067.46664</v>
      </c>
    </row>
    <row r="981">
      <c r="A981" s="3">
        <f>IFERROR(__xludf.DUMMYFUNCTION("""COMPUTED_VALUE"""),41395.99861111111)</f>
        <v>41395.99861</v>
      </c>
      <c r="B981" s="1">
        <f>IFERROR(__xludf.DUMMYFUNCTION("""COMPUTED_VALUE"""),34180.88771)</f>
        <v>34180.88771</v>
      </c>
    </row>
    <row r="982">
      <c r="A982" s="3">
        <f>IFERROR(__xludf.DUMMYFUNCTION("""COMPUTED_VALUE"""),41396.99861111111)</f>
        <v>41396.99861</v>
      </c>
      <c r="B982" s="1">
        <f>IFERROR(__xludf.DUMMYFUNCTION("""COMPUTED_VALUE"""),34162.76663)</f>
        <v>34162.76663</v>
      </c>
    </row>
    <row r="983">
      <c r="A983" s="3">
        <f>IFERROR(__xludf.DUMMYFUNCTION("""COMPUTED_VALUE"""),41397.99861111111)</f>
        <v>41397.99861</v>
      </c>
      <c r="B983" s="1">
        <f>IFERROR(__xludf.DUMMYFUNCTION("""COMPUTED_VALUE"""),34199.82306)</f>
        <v>34199.82306</v>
      </c>
    </row>
    <row r="984">
      <c r="A984" s="3">
        <f>IFERROR(__xludf.DUMMYFUNCTION("""COMPUTED_VALUE"""),41398.99861111111)</f>
        <v>41398.99861</v>
      </c>
      <c r="B984" s="1">
        <f>IFERROR(__xludf.DUMMYFUNCTION("""COMPUTED_VALUE"""),34220.26359)</f>
        <v>34220.26359</v>
      </c>
    </row>
    <row r="985">
      <c r="A985" s="3">
        <f>IFERROR(__xludf.DUMMYFUNCTION("""COMPUTED_VALUE"""),41399.99861111111)</f>
        <v>41399.99861</v>
      </c>
      <c r="B985" s="1">
        <f>IFERROR(__xludf.DUMMYFUNCTION("""COMPUTED_VALUE"""),33876.47505)</f>
        <v>33876.47505</v>
      </c>
    </row>
    <row r="986">
      <c r="A986" s="3">
        <f>IFERROR(__xludf.DUMMYFUNCTION("""COMPUTED_VALUE"""),41400.99861111111)</f>
        <v>41400.99861</v>
      </c>
      <c r="B986" s="1">
        <f>IFERROR(__xludf.DUMMYFUNCTION("""COMPUTED_VALUE"""),34168.27098)</f>
        <v>34168.27098</v>
      </c>
    </row>
    <row r="987">
      <c r="A987" s="3">
        <f>IFERROR(__xludf.DUMMYFUNCTION("""COMPUTED_VALUE"""),41401.99861111111)</f>
        <v>41401.99861</v>
      </c>
      <c r="B987" s="1">
        <f>IFERROR(__xludf.DUMMYFUNCTION("""COMPUTED_VALUE"""),34160.46898)</f>
        <v>34160.46898</v>
      </c>
    </row>
    <row r="988">
      <c r="A988" s="3">
        <f>IFERROR(__xludf.DUMMYFUNCTION("""COMPUTED_VALUE"""),41402.99861111111)</f>
        <v>41402.99861</v>
      </c>
      <c r="B988" s="1">
        <f>IFERROR(__xludf.DUMMYFUNCTION("""COMPUTED_VALUE"""),34142.47144)</f>
        <v>34142.47144</v>
      </c>
    </row>
    <row r="989">
      <c r="A989" s="3">
        <f>IFERROR(__xludf.DUMMYFUNCTION("""COMPUTED_VALUE"""),41403.99861111111)</f>
        <v>41403.99861</v>
      </c>
      <c r="B989" s="1">
        <f>IFERROR(__xludf.DUMMYFUNCTION("""COMPUTED_VALUE"""),34128.04752)</f>
        <v>34128.04752</v>
      </c>
    </row>
    <row r="990">
      <c r="A990" s="3">
        <f>IFERROR(__xludf.DUMMYFUNCTION("""COMPUTED_VALUE"""),41404.99861111111)</f>
        <v>41404.99861</v>
      </c>
      <c r="B990" s="1">
        <f>IFERROR(__xludf.DUMMYFUNCTION("""COMPUTED_VALUE"""),34198.6612)</f>
        <v>34198.6612</v>
      </c>
    </row>
    <row r="991">
      <c r="A991" s="3">
        <f>IFERROR(__xludf.DUMMYFUNCTION("""COMPUTED_VALUE"""),41405.99861111111)</f>
        <v>41405.99861</v>
      </c>
      <c r="B991" s="1">
        <f>IFERROR(__xludf.DUMMYFUNCTION("""COMPUTED_VALUE"""),34198.6612)</f>
        <v>34198.6612</v>
      </c>
    </row>
    <row r="992">
      <c r="A992" s="3">
        <f>IFERROR(__xludf.DUMMYFUNCTION("""COMPUTED_VALUE"""),41407.99861111111)</f>
        <v>41407.99861</v>
      </c>
      <c r="B992" s="1">
        <f>IFERROR(__xludf.DUMMYFUNCTION("""COMPUTED_VALUE"""),34051.62569)</f>
        <v>34051.62569</v>
      </c>
    </row>
    <row r="993">
      <c r="A993" s="3">
        <f>IFERROR(__xludf.DUMMYFUNCTION("""COMPUTED_VALUE"""),41408.99861111111)</f>
        <v>41408.99861</v>
      </c>
      <c r="B993" s="1">
        <f>IFERROR(__xludf.DUMMYFUNCTION("""COMPUTED_VALUE"""),34055.77518)</f>
        <v>34055.77518</v>
      </c>
    </row>
    <row r="994">
      <c r="A994" s="3">
        <f>IFERROR(__xludf.DUMMYFUNCTION("""COMPUTED_VALUE"""),41409.99861111111)</f>
        <v>41409.99861</v>
      </c>
      <c r="B994" s="1">
        <f>IFERROR(__xludf.DUMMYFUNCTION("""COMPUTED_VALUE"""),34028.50081)</f>
        <v>34028.50081</v>
      </c>
    </row>
    <row r="995">
      <c r="A995" s="3">
        <f>IFERROR(__xludf.DUMMYFUNCTION("""COMPUTED_VALUE"""),41410.99861111111)</f>
        <v>41410.99861</v>
      </c>
      <c r="B995" s="1">
        <f>IFERROR(__xludf.DUMMYFUNCTION("""COMPUTED_VALUE"""),34031.5005)</f>
        <v>34031.5005</v>
      </c>
    </row>
    <row r="996">
      <c r="A996" s="3">
        <f>IFERROR(__xludf.DUMMYFUNCTION("""COMPUTED_VALUE"""),41411.99861111111)</f>
        <v>41411.99861</v>
      </c>
      <c r="B996" s="1">
        <f>IFERROR(__xludf.DUMMYFUNCTION("""COMPUTED_VALUE"""),34066.15829)</f>
        <v>34066.15829</v>
      </c>
    </row>
    <row r="997">
      <c r="A997" s="3">
        <f>IFERROR(__xludf.DUMMYFUNCTION("""COMPUTED_VALUE"""),41412.99861111111)</f>
        <v>41412.99861</v>
      </c>
      <c r="B997" s="1">
        <f>IFERROR(__xludf.DUMMYFUNCTION("""COMPUTED_VALUE"""),34066.15829)</f>
        <v>34066.15829</v>
      </c>
    </row>
    <row r="998">
      <c r="A998" s="3">
        <f>IFERROR(__xludf.DUMMYFUNCTION("""COMPUTED_VALUE"""),41413.99861111111)</f>
        <v>41413.99861</v>
      </c>
      <c r="B998" s="1">
        <f>IFERROR(__xludf.DUMMYFUNCTION("""COMPUTED_VALUE"""),34066.15829)</f>
        <v>34066.15829</v>
      </c>
    </row>
    <row r="999">
      <c r="A999" s="3">
        <f>IFERROR(__xludf.DUMMYFUNCTION("""COMPUTED_VALUE"""),41414.99861111111)</f>
        <v>41414.99861</v>
      </c>
      <c r="B999" s="1">
        <f>IFERROR(__xludf.DUMMYFUNCTION("""COMPUTED_VALUE"""),34029.72602)</f>
        <v>34029.72602</v>
      </c>
    </row>
    <row r="1000">
      <c r="A1000" s="3">
        <f>IFERROR(__xludf.DUMMYFUNCTION("""COMPUTED_VALUE"""),41415.99861111111)</f>
        <v>41415.99861</v>
      </c>
      <c r="B1000" s="1">
        <f>IFERROR(__xludf.DUMMYFUNCTION("""COMPUTED_VALUE"""),34043.64224)</f>
        <v>34043.64224</v>
      </c>
    </row>
    <row r="1001">
      <c r="A1001" s="3">
        <f>IFERROR(__xludf.DUMMYFUNCTION("""COMPUTED_VALUE"""),41416.99861111111)</f>
        <v>41416.99861</v>
      </c>
      <c r="B1001" s="1">
        <f>IFERROR(__xludf.DUMMYFUNCTION("""COMPUTED_VALUE"""),34031.1044)</f>
        <v>34031.1044</v>
      </c>
    </row>
    <row r="1002">
      <c r="A1002" s="3">
        <f>IFERROR(__xludf.DUMMYFUNCTION("""COMPUTED_VALUE"""),41417.99861111111)</f>
        <v>41417.99861</v>
      </c>
      <c r="B1002" s="1">
        <f>IFERROR(__xludf.DUMMYFUNCTION("""COMPUTED_VALUE"""),34047.17194)</f>
        <v>34047.17194</v>
      </c>
    </row>
    <row r="1003">
      <c r="A1003" s="3">
        <f>IFERROR(__xludf.DUMMYFUNCTION("""COMPUTED_VALUE"""),41418.99861111111)</f>
        <v>41418.99861</v>
      </c>
      <c r="B1003" s="1">
        <f>IFERROR(__xludf.DUMMYFUNCTION("""COMPUTED_VALUE"""),34089.86727)</f>
        <v>34089.86727</v>
      </c>
    </row>
    <row r="1004">
      <c r="A1004" s="3">
        <f>IFERROR(__xludf.DUMMYFUNCTION("""COMPUTED_VALUE"""),41419.99861111111)</f>
        <v>41419.99861</v>
      </c>
      <c r="B1004" s="1">
        <f>IFERROR(__xludf.DUMMYFUNCTION("""COMPUTED_VALUE"""),34075.87881)</f>
        <v>34075.87881</v>
      </c>
    </row>
    <row r="1005">
      <c r="A1005" s="3">
        <f>IFERROR(__xludf.DUMMYFUNCTION("""COMPUTED_VALUE"""),41421.99861111111)</f>
        <v>41421.99861</v>
      </c>
      <c r="B1005" s="1">
        <f>IFERROR(__xludf.DUMMYFUNCTION("""COMPUTED_VALUE"""),34110.42546)</f>
        <v>34110.42546</v>
      </c>
    </row>
    <row r="1006">
      <c r="A1006" s="3">
        <f>IFERROR(__xludf.DUMMYFUNCTION("""COMPUTED_VALUE"""),41422.99861111111)</f>
        <v>41422.99861</v>
      </c>
      <c r="B1006" s="1">
        <f>IFERROR(__xludf.DUMMYFUNCTION("""COMPUTED_VALUE"""),34158.76497)</f>
        <v>34158.76497</v>
      </c>
    </row>
    <row r="1007">
      <c r="A1007" s="3">
        <f>IFERROR(__xludf.DUMMYFUNCTION("""COMPUTED_VALUE"""),41423.99861111111)</f>
        <v>41423.99861</v>
      </c>
      <c r="B1007" s="1">
        <f>IFERROR(__xludf.DUMMYFUNCTION("""COMPUTED_VALUE"""),34300.1532)</f>
        <v>34300.1532</v>
      </c>
    </row>
    <row r="1008">
      <c r="A1008" s="3">
        <f>IFERROR(__xludf.DUMMYFUNCTION("""COMPUTED_VALUE"""),41424.99861111111)</f>
        <v>41424.99861</v>
      </c>
      <c r="B1008" s="1">
        <f>IFERROR(__xludf.DUMMYFUNCTION("""COMPUTED_VALUE"""),34252.32289)</f>
        <v>34252.32289</v>
      </c>
    </row>
    <row r="1009">
      <c r="A1009" s="3">
        <f>IFERROR(__xludf.DUMMYFUNCTION("""COMPUTED_VALUE"""),41425.99861111111)</f>
        <v>41425.99861</v>
      </c>
      <c r="B1009" s="1">
        <f>IFERROR(__xludf.DUMMYFUNCTION("""COMPUTED_VALUE"""),34230.25016)</f>
        <v>34230.25016</v>
      </c>
    </row>
    <row r="1010">
      <c r="A1010" s="3">
        <f>IFERROR(__xludf.DUMMYFUNCTION("""COMPUTED_VALUE"""),41426.99861111111)</f>
        <v>41426.99861</v>
      </c>
      <c r="B1010" s="1">
        <f>IFERROR(__xludf.DUMMYFUNCTION("""COMPUTED_VALUE"""),34394.88945)</f>
        <v>34394.88945</v>
      </c>
    </row>
    <row r="1011">
      <c r="A1011" s="3">
        <f>IFERROR(__xludf.DUMMYFUNCTION("""COMPUTED_VALUE"""),41427.99861111111)</f>
        <v>41427.99861</v>
      </c>
      <c r="B1011" s="1">
        <f>IFERROR(__xludf.DUMMYFUNCTION("""COMPUTED_VALUE"""),33678.25671)</f>
        <v>33678.25671</v>
      </c>
    </row>
    <row r="1012">
      <c r="A1012" s="3">
        <f>IFERROR(__xludf.DUMMYFUNCTION("""COMPUTED_VALUE"""),41428.99861111111)</f>
        <v>41428.99861</v>
      </c>
      <c r="B1012" s="1">
        <f>IFERROR(__xludf.DUMMYFUNCTION("""COMPUTED_VALUE"""),34325.33313)</f>
        <v>34325.33313</v>
      </c>
    </row>
    <row r="1013">
      <c r="A1013" s="3">
        <f>IFERROR(__xludf.DUMMYFUNCTION("""COMPUTED_VALUE"""),41429.99861111111)</f>
        <v>41429.99861</v>
      </c>
      <c r="B1013" s="1">
        <f>IFERROR(__xludf.DUMMYFUNCTION("""COMPUTED_VALUE"""),34283.1488)</f>
        <v>34283.1488</v>
      </c>
    </row>
    <row r="1014">
      <c r="A1014" s="3">
        <f>IFERROR(__xludf.DUMMYFUNCTION("""COMPUTED_VALUE"""),41430.99861111111)</f>
        <v>41430.99861</v>
      </c>
      <c r="B1014" s="1">
        <f>IFERROR(__xludf.DUMMYFUNCTION("""COMPUTED_VALUE"""),34289.37174)</f>
        <v>34289.37174</v>
      </c>
    </row>
    <row r="1015">
      <c r="A1015" s="3">
        <f>IFERROR(__xludf.DUMMYFUNCTION("""COMPUTED_VALUE"""),41431.99861111111)</f>
        <v>41431.99861</v>
      </c>
      <c r="B1015" s="1">
        <f>IFERROR(__xludf.DUMMYFUNCTION("""COMPUTED_VALUE"""),34319.50313)</f>
        <v>34319.50313</v>
      </c>
    </row>
    <row r="1016">
      <c r="A1016" s="3">
        <f>IFERROR(__xludf.DUMMYFUNCTION("""COMPUTED_VALUE"""),41432.99861111111)</f>
        <v>41432.99861</v>
      </c>
      <c r="B1016" s="1">
        <f>IFERROR(__xludf.DUMMYFUNCTION("""COMPUTED_VALUE"""),34409.96178)</f>
        <v>34409.96178</v>
      </c>
    </row>
    <row r="1017">
      <c r="A1017" s="3">
        <f>IFERROR(__xludf.DUMMYFUNCTION("""COMPUTED_VALUE"""),41433.99861111111)</f>
        <v>41433.99861</v>
      </c>
      <c r="B1017" s="1">
        <f>IFERROR(__xludf.DUMMYFUNCTION("""COMPUTED_VALUE"""),34553.1607)</f>
        <v>34553.1607</v>
      </c>
    </row>
    <row r="1018">
      <c r="A1018" s="3">
        <f>IFERROR(__xludf.DUMMYFUNCTION("""COMPUTED_VALUE"""),41434.99861111111)</f>
        <v>41434.99861</v>
      </c>
      <c r="B1018" s="1">
        <f>IFERROR(__xludf.DUMMYFUNCTION("""COMPUTED_VALUE"""),34409.96178)</f>
        <v>34409.96178</v>
      </c>
    </row>
    <row r="1019">
      <c r="A1019" s="3">
        <f>IFERROR(__xludf.DUMMYFUNCTION("""COMPUTED_VALUE"""),41435.99861111111)</f>
        <v>41435.99861</v>
      </c>
      <c r="B1019" s="1">
        <f>IFERROR(__xludf.DUMMYFUNCTION("""COMPUTED_VALUE"""),34399.31971)</f>
        <v>34399.31971</v>
      </c>
    </row>
    <row r="1020">
      <c r="A1020" s="3">
        <f>IFERROR(__xludf.DUMMYFUNCTION("""COMPUTED_VALUE"""),41436.99861111111)</f>
        <v>41436.99861</v>
      </c>
      <c r="B1020" s="1">
        <f>IFERROR(__xludf.DUMMYFUNCTION("""COMPUTED_VALUE"""),34445.37673)</f>
        <v>34445.37673</v>
      </c>
    </row>
    <row r="1021">
      <c r="A1021" s="3">
        <f>IFERROR(__xludf.DUMMYFUNCTION("""COMPUTED_VALUE"""),41437.99861111111)</f>
        <v>41437.99861</v>
      </c>
      <c r="B1021" s="1">
        <f>IFERROR(__xludf.DUMMYFUNCTION("""COMPUTED_VALUE"""),34690.53838)</f>
        <v>34690.53838</v>
      </c>
    </row>
    <row r="1022">
      <c r="A1022" s="3">
        <f>IFERROR(__xludf.DUMMYFUNCTION("""COMPUTED_VALUE"""),41438.99861111111)</f>
        <v>41438.99861</v>
      </c>
      <c r="B1022" s="1">
        <f>IFERROR(__xludf.DUMMYFUNCTION("""COMPUTED_VALUE"""),34856.0366)</f>
        <v>34856.0366</v>
      </c>
    </row>
    <row r="1023">
      <c r="A1023" s="3">
        <f>IFERROR(__xludf.DUMMYFUNCTION("""COMPUTED_VALUE"""),41439.99861111111)</f>
        <v>41439.99861</v>
      </c>
      <c r="B1023" s="1">
        <f>IFERROR(__xludf.DUMMYFUNCTION("""COMPUTED_VALUE"""),34831.81466)</f>
        <v>34831.81466</v>
      </c>
    </row>
    <row r="1024">
      <c r="A1024" s="3">
        <f>IFERROR(__xludf.DUMMYFUNCTION("""COMPUTED_VALUE"""),41440.99861111111)</f>
        <v>41440.99861</v>
      </c>
      <c r="B1024" s="1">
        <f>IFERROR(__xludf.DUMMYFUNCTION("""COMPUTED_VALUE"""),34489.08488)</f>
        <v>34489.08488</v>
      </c>
    </row>
    <row r="1025">
      <c r="A1025" s="3">
        <f>IFERROR(__xludf.DUMMYFUNCTION("""COMPUTED_VALUE"""),41441.99861111111)</f>
        <v>41441.99861</v>
      </c>
      <c r="B1025" s="1">
        <f>IFERROR(__xludf.DUMMYFUNCTION("""COMPUTED_VALUE"""),33998.68774)</f>
        <v>33998.68774</v>
      </c>
    </row>
    <row r="1026">
      <c r="A1026" s="3">
        <f>IFERROR(__xludf.DUMMYFUNCTION("""COMPUTED_VALUE"""),41442.99861111111)</f>
        <v>41442.99861</v>
      </c>
      <c r="B1026" s="1">
        <f>IFERROR(__xludf.DUMMYFUNCTION("""COMPUTED_VALUE"""),34875.84418)</f>
        <v>34875.84418</v>
      </c>
    </row>
    <row r="1027">
      <c r="A1027" s="3">
        <f>IFERROR(__xludf.DUMMYFUNCTION("""COMPUTED_VALUE"""),41443.99861111111)</f>
        <v>41443.99861</v>
      </c>
      <c r="B1027" s="1">
        <f>IFERROR(__xludf.DUMMYFUNCTION("""COMPUTED_VALUE"""),34933.85874)</f>
        <v>34933.85874</v>
      </c>
    </row>
    <row r="1028">
      <c r="A1028" s="3">
        <f>IFERROR(__xludf.DUMMYFUNCTION("""COMPUTED_VALUE"""),41444.99861111111)</f>
        <v>41444.99861</v>
      </c>
      <c r="B1028" s="1">
        <f>IFERROR(__xludf.DUMMYFUNCTION("""COMPUTED_VALUE"""),34949.4093)</f>
        <v>34949.4093</v>
      </c>
    </row>
    <row r="1029">
      <c r="A1029" s="3">
        <f>IFERROR(__xludf.DUMMYFUNCTION("""COMPUTED_VALUE"""),41445.99861111111)</f>
        <v>41445.99861</v>
      </c>
      <c r="B1029" s="1">
        <f>IFERROR(__xludf.DUMMYFUNCTION("""COMPUTED_VALUE"""),35010.25117)</f>
        <v>35010.25117</v>
      </c>
    </row>
    <row r="1030">
      <c r="A1030" s="3">
        <f>IFERROR(__xludf.DUMMYFUNCTION("""COMPUTED_VALUE"""),41446.99861111111)</f>
        <v>41446.99861</v>
      </c>
      <c r="B1030" s="1">
        <f>IFERROR(__xludf.DUMMYFUNCTION("""COMPUTED_VALUE"""),35090.19456)</f>
        <v>35090.19456</v>
      </c>
    </row>
    <row r="1031">
      <c r="A1031" s="3">
        <f>IFERROR(__xludf.DUMMYFUNCTION("""COMPUTED_VALUE"""),41447.99861111111)</f>
        <v>41447.99861</v>
      </c>
      <c r="B1031" s="1">
        <f>IFERROR(__xludf.DUMMYFUNCTION("""COMPUTED_VALUE"""),35014.84968)</f>
        <v>35014.84968</v>
      </c>
    </row>
    <row r="1032">
      <c r="A1032" s="3">
        <f>IFERROR(__xludf.DUMMYFUNCTION("""COMPUTED_VALUE"""),41448.99861111111)</f>
        <v>41448.99861</v>
      </c>
      <c r="B1032" s="1">
        <f>IFERROR(__xludf.DUMMYFUNCTION("""COMPUTED_VALUE"""),34002.2924)</f>
        <v>34002.2924</v>
      </c>
    </row>
    <row r="1033">
      <c r="A1033" s="3">
        <f>IFERROR(__xludf.DUMMYFUNCTION("""COMPUTED_VALUE"""),41449.99861111111)</f>
        <v>41449.99861</v>
      </c>
      <c r="B1033" s="1">
        <f>IFERROR(__xludf.DUMMYFUNCTION("""COMPUTED_VALUE"""),35015.90367)</f>
        <v>35015.90367</v>
      </c>
    </row>
    <row r="1034">
      <c r="A1034" s="3">
        <f>IFERROR(__xludf.DUMMYFUNCTION("""COMPUTED_VALUE"""),41450.99861111111)</f>
        <v>41450.99861</v>
      </c>
      <c r="B1034" s="1">
        <f>IFERROR(__xludf.DUMMYFUNCTION("""COMPUTED_VALUE"""),34800.34286)</f>
        <v>34800.34286</v>
      </c>
    </row>
    <row r="1035">
      <c r="A1035" s="3">
        <f>IFERROR(__xludf.DUMMYFUNCTION("""COMPUTED_VALUE"""),41451.99861111111)</f>
        <v>41451.99861</v>
      </c>
      <c r="B1035" s="1">
        <f>IFERROR(__xludf.DUMMYFUNCTION("""COMPUTED_VALUE"""),34789.23906)</f>
        <v>34789.23906</v>
      </c>
    </row>
    <row r="1036">
      <c r="A1036" s="3">
        <f>IFERROR(__xludf.DUMMYFUNCTION("""COMPUTED_VALUE"""),41452.99861111111)</f>
        <v>41452.99861</v>
      </c>
      <c r="B1036" s="1">
        <f>IFERROR(__xludf.DUMMYFUNCTION("""COMPUTED_VALUE"""),34757.50161)</f>
        <v>34757.50161</v>
      </c>
    </row>
    <row r="1037">
      <c r="A1037" s="3">
        <f>IFERROR(__xludf.DUMMYFUNCTION("""COMPUTED_VALUE"""),41453.99861111111)</f>
        <v>41453.99861</v>
      </c>
      <c r="B1037" s="1">
        <f>IFERROR(__xludf.DUMMYFUNCTION("""COMPUTED_VALUE"""),34769.7801)</f>
        <v>34769.7801</v>
      </c>
    </row>
    <row r="1038">
      <c r="A1038" s="3">
        <f>IFERROR(__xludf.DUMMYFUNCTION("""COMPUTED_VALUE"""),41454.99861111111)</f>
        <v>41454.99861</v>
      </c>
      <c r="B1038" s="1">
        <f>IFERROR(__xludf.DUMMYFUNCTION("""COMPUTED_VALUE"""),34769.7801)</f>
        <v>34769.7801</v>
      </c>
    </row>
    <row r="1039">
      <c r="A1039" s="3">
        <f>IFERROR(__xludf.DUMMYFUNCTION("""COMPUTED_VALUE"""),41455.99861111111)</f>
        <v>41455.99861</v>
      </c>
      <c r="B1039" s="1">
        <f>IFERROR(__xludf.DUMMYFUNCTION("""COMPUTED_VALUE"""),33759.87603)</f>
        <v>33759.87603</v>
      </c>
    </row>
    <row r="1040">
      <c r="A1040" s="3">
        <f>IFERROR(__xludf.DUMMYFUNCTION("""COMPUTED_VALUE"""),41456.99861111111)</f>
        <v>41456.99861</v>
      </c>
      <c r="B1040" s="1">
        <f>IFERROR(__xludf.DUMMYFUNCTION("""COMPUTED_VALUE"""),34740.27673)</f>
        <v>34740.27673</v>
      </c>
    </row>
    <row r="1041">
      <c r="A1041" s="3">
        <f>IFERROR(__xludf.DUMMYFUNCTION("""COMPUTED_VALUE"""),41457.99861111111)</f>
        <v>41457.99861</v>
      </c>
      <c r="B1041" s="1">
        <f>IFERROR(__xludf.DUMMYFUNCTION("""COMPUTED_VALUE"""),34799.01177)</f>
        <v>34799.01177</v>
      </c>
    </row>
    <row r="1042">
      <c r="A1042" s="3">
        <f>IFERROR(__xludf.DUMMYFUNCTION("""COMPUTED_VALUE"""),41458.99861111111)</f>
        <v>41458.99861</v>
      </c>
      <c r="B1042" s="1">
        <f>IFERROR(__xludf.DUMMYFUNCTION("""COMPUTED_VALUE"""),34745.12036)</f>
        <v>34745.12036</v>
      </c>
    </row>
    <row r="1043">
      <c r="A1043" s="3">
        <f>IFERROR(__xludf.DUMMYFUNCTION("""COMPUTED_VALUE"""),41459.99861111111)</f>
        <v>41459.99861</v>
      </c>
      <c r="B1043" s="1">
        <f>IFERROR(__xludf.DUMMYFUNCTION("""COMPUTED_VALUE"""),34692.66262)</f>
        <v>34692.66262</v>
      </c>
    </row>
    <row r="1044">
      <c r="A1044" s="3">
        <f>IFERROR(__xludf.DUMMYFUNCTION("""COMPUTED_VALUE"""),41460.99861111111)</f>
        <v>41460.99861</v>
      </c>
      <c r="B1044" s="1">
        <f>IFERROR(__xludf.DUMMYFUNCTION("""COMPUTED_VALUE"""),34739.04466)</f>
        <v>34739.04466</v>
      </c>
    </row>
    <row r="1045">
      <c r="A1045" s="3">
        <f>IFERROR(__xludf.DUMMYFUNCTION("""COMPUTED_VALUE"""),41461.99861111111)</f>
        <v>41461.99861</v>
      </c>
      <c r="B1045" s="1">
        <f>IFERROR(__xludf.DUMMYFUNCTION("""COMPUTED_VALUE"""),34739.04466)</f>
        <v>34739.04466</v>
      </c>
    </row>
    <row r="1046">
      <c r="A1046" s="3">
        <f>IFERROR(__xludf.DUMMYFUNCTION("""COMPUTED_VALUE"""),41462.99861111111)</f>
        <v>41462.99861</v>
      </c>
      <c r="B1046" s="1">
        <f>IFERROR(__xludf.DUMMYFUNCTION("""COMPUTED_VALUE"""),34739.04466)</f>
        <v>34739.04466</v>
      </c>
    </row>
    <row r="1047">
      <c r="A1047" s="3">
        <f>IFERROR(__xludf.DUMMYFUNCTION("""COMPUTED_VALUE"""),41463.99861111111)</f>
        <v>41463.99861</v>
      </c>
      <c r="B1047" s="1">
        <f>IFERROR(__xludf.DUMMYFUNCTION("""COMPUTED_VALUE"""),34666.65883)</f>
        <v>34666.65883</v>
      </c>
    </row>
    <row r="1048">
      <c r="A1048" s="3">
        <f>IFERROR(__xludf.DUMMYFUNCTION("""COMPUTED_VALUE"""),41464.99861111111)</f>
        <v>41464.99861</v>
      </c>
      <c r="B1048" s="1">
        <f>IFERROR(__xludf.DUMMYFUNCTION("""COMPUTED_VALUE"""),34655.49344)</f>
        <v>34655.49344</v>
      </c>
    </row>
    <row r="1049">
      <c r="A1049" s="3">
        <f>IFERROR(__xludf.DUMMYFUNCTION("""COMPUTED_VALUE"""),41465.99861111111)</f>
        <v>41465.99861</v>
      </c>
      <c r="B1049" s="1">
        <f>IFERROR(__xludf.DUMMYFUNCTION("""COMPUTED_VALUE"""),34673.66505)</f>
        <v>34673.66505</v>
      </c>
    </row>
    <row r="1050">
      <c r="A1050" s="3">
        <f>IFERROR(__xludf.DUMMYFUNCTION("""COMPUTED_VALUE"""),41466.99861111111)</f>
        <v>41466.99861</v>
      </c>
      <c r="B1050" s="1">
        <f>IFERROR(__xludf.DUMMYFUNCTION("""COMPUTED_VALUE"""),34714.52128)</f>
        <v>34714.52128</v>
      </c>
    </row>
    <row r="1051">
      <c r="A1051" s="3">
        <f>IFERROR(__xludf.DUMMYFUNCTION("""COMPUTED_VALUE"""),41467.99861111111)</f>
        <v>41467.99861</v>
      </c>
      <c r="B1051" s="1">
        <f>IFERROR(__xludf.DUMMYFUNCTION("""COMPUTED_VALUE"""),34947.22985)</f>
        <v>34947.22985</v>
      </c>
    </row>
    <row r="1052">
      <c r="A1052" s="3">
        <f>IFERROR(__xludf.DUMMYFUNCTION("""COMPUTED_VALUE"""),41468.99861111111)</f>
        <v>41468.99861</v>
      </c>
      <c r="B1052" s="1">
        <f>IFERROR(__xludf.DUMMYFUNCTION("""COMPUTED_VALUE"""),34799.2791)</f>
        <v>34799.2791</v>
      </c>
    </row>
    <row r="1053">
      <c r="A1053" s="3">
        <f>IFERROR(__xludf.DUMMYFUNCTION("""COMPUTED_VALUE"""),41469.99861111111)</f>
        <v>41469.99861</v>
      </c>
      <c r="B1053" s="1">
        <f>IFERROR(__xludf.DUMMYFUNCTION("""COMPUTED_VALUE"""),33700.69217)</f>
        <v>33700.69217</v>
      </c>
    </row>
    <row r="1054">
      <c r="A1054" s="3">
        <f>IFERROR(__xludf.DUMMYFUNCTION("""COMPUTED_VALUE"""),41470.99861111111)</f>
        <v>41470.99861</v>
      </c>
      <c r="B1054" s="1">
        <f>IFERROR(__xludf.DUMMYFUNCTION("""COMPUTED_VALUE"""),35027.69918)</f>
        <v>35027.69918</v>
      </c>
    </row>
    <row r="1055">
      <c r="A1055" s="3">
        <f>IFERROR(__xludf.DUMMYFUNCTION("""COMPUTED_VALUE"""),41471.99861111111)</f>
        <v>41471.99861</v>
      </c>
      <c r="B1055" s="1">
        <f>IFERROR(__xludf.DUMMYFUNCTION("""COMPUTED_VALUE"""),35139.40037)</f>
        <v>35139.40037</v>
      </c>
    </row>
    <row r="1056">
      <c r="A1056" s="3">
        <f>IFERROR(__xludf.DUMMYFUNCTION("""COMPUTED_VALUE"""),41472.99861111111)</f>
        <v>41472.99861</v>
      </c>
      <c r="B1056" s="1">
        <f>IFERROR(__xludf.DUMMYFUNCTION("""COMPUTED_VALUE"""),35172.04099)</f>
        <v>35172.04099</v>
      </c>
    </row>
    <row r="1057">
      <c r="A1057" s="3">
        <f>IFERROR(__xludf.DUMMYFUNCTION("""COMPUTED_VALUE"""),41473.99861111111)</f>
        <v>41473.99861</v>
      </c>
      <c r="B1057" s="1">
        <f>IFERROR(__xludf.DUMMYFUNCTION("""COMPUTED_VALUE"""),35224.70952)</f>
        <v>35224.70952</v>
      </c>
    </row>
    <row r="1058">
      <c r="A1058" s="3">
        <f>IFERROR(__xludf.DUMMYFUNCTION("""COMPUTED_VALUE"""),41474.99861111111)</f>
        <v>41474.99861</v>
      </c>
      <c r="B1058" s="1">
        <f>IFERROR(__xludf.DUMMYFUNCTION("""COMPUTED_VALUE"""),35362.21248)</f>
        <v>35362.21248</v>
      </c>
    </row>
    <row r="1059">
      <c r="A1059" s="3">
        <f>IFERROR(__xludf.DUMMYFUNCTION("""COMPUTED_VALUE"""),41475.99861111111)</f>
        <v>41475.99861</v>
      </c>
      <c r="B1059" s="1">
        <f>IFERROR(__xludf.DUMMYFUNCTION("""COMPUTED_VALUE"""),35298.44545)</f>
        <v>35298.44545</v>
      </c>
    </row>
    <row r="1060">
      <c r="A1060" s="3">
        <f>IFERROR(__xludf.DUMMYFUNCTION("""COMPUTED_VALUE"""),41477.99861111111)</f>
        <v>41477.99861</v>
      </c>
      <c r="B1060" s="1">
        <f>IFERROR(__xludf.DUMMYFUNCTION("""COMPUTED_VALUE"""),35284.39098)</f>
        <v>35284.39098</v>
      </c>
    </row>
    <row r="1061">
      <c r="A1061" s="3">
        <f>IFERROR(__xludf.DUMMYFUNCTION("""COMPUTED_VALUE"""),41478.99861111111)</f>
        <v>41478.99861</v>
      </c>
      <c r="B1061" s="1">
        <f>IFERROR(__xludf.DUMMYFUNCTION("""COMPUTED_VALUE"""),35757.72314)</f>
        <v>35757.72314</v>
      </c>
    </row>
    <row r="1062">
      <c r="A1062" s="3">
        <f>IFERROR(__xludf.DUMMYFUNCTION("""COMPUTED_VALUE"""),41479.99861111111)</f>
        <v>41479.99861</v>
      </c>
      <c r="B1062" s="1">
        <f>IFERROR(__xludf.DUMMYFUNCTION("""COMPUTED_VALUE"""),35947.42674)</f>
        <v>35947.42674</v>
      </c>
    </row>
    <row r="1063">
      <c r="A1063" s="3">
        <f>IFERROR(__xludf.DUMMYFUNCTION("""COMPUTED_VALUE"""),41480.99861111111)</f>
        <v>41480.99861</v>
      </c>
      <c r="B1063" s="1">
        <f>IFERROR(__xludf.DUMMYFUNCTION("""COMPUTED_VALUE"""),36004.63461)</f>
        <v>36004.63461</v>
      </c>
    </row>
    <row r="1064">
      <c r="A1064" s="3">
        <f>IFERROR(__xludf.DUMMYFUNCTION("""COMPUTED_VALUE"""),41481.99861111111)</f>
        <v>41481.99861</v>
      </c>
      <c r="B1064" s="1">
        <f>IFERROR(__xludf.DUMMYFUNCTION("""COMPUTED_VALUE"""),35981.00854)</f>
        <v>35981.00854</v>
      </c>
    </row>
    <row r="1065">
      <c r="A1065" s="3">
        <f>IFERROR(__xludf.DUMMYFUNCTION("""COMPUTED_VALUE"""),41482.99861111111)</f>
        <v>41482.99861</v>
      </c>
      <c r="B1065" s="1">
        <f>IFERROR(__xludf.DUMMYFUNCTION("""COMPUTED_VALUE"""),36005.62176)</f>
        <v>36005.62176</v>
      </c>
    </row>
    <row r="1066">
      <c r="A1066" s="3">
        <f>IFERROR(__xludf.DUMMYFUNCTION("""COMPUTED_VALUE"""),41483.99861111111)</f>
        <v>41483.99861</v>
      </c>
      <c r="B1066" s="1">
        <f>IFERROR(__xludf.DUMMYFUNCTION("""COMPUTED_VALUE"""),36107.5908)</f>
        <v>36107.5908</v>
      </c>
    </row>
    <row r="1067">
      <c r="A1067" s="3">
        <f>IFERROR(__xludf.DUMMYFUNCTION("""COMPUTED_VALUE"""),41484.99861111111)</f>
        <v>41484.99861</v>
      </c>
      <c r="B1067" s="1">
        <f>IFERROR(__xludf.DUMMYFUNCTION("""COMPUTED_VALUE"""),36085.66806)</f>
        <v>36085.66806</v>
      </c>
    </row>
    <row r="1068">
      <c r="A1068" s="3">
        <f>IFERROR(__xludf.DUMMYFUNCTION("""COMPUTED_VALUE"""),41485.99861111111)</f>
        <v>41485.99861</v>
      </c>
      <c r="B1068" s="1">
        <f>IFERROR(__xludf.DUMMYFUNCTION("""COMPUTED_VALUE"""),36064.06346)</f>
        <v>36064.06346</v>
      </c>
    </row>
    <row r="1069">
      <c r="A1069" s="3">
        <f>IFERROR(__xludf.DUMMYFUNCTION("""COMPUTED_VALUE"""),41486.99861111111)</f>
        <v>41486.99861</v>
      </c>
      <c r="B1069" s="1">
        <f>IFERROR(__xludf.DUMMYFUNCTION("""COMPUTED_VALUE"""),36110.61675)</f>
        <v>36110.61675</v>
      </c>
    </row>
    <row r="1070">
      <c r="A1070" s="3">
        <f>IFERROR(__xludf.DUMMYFUNCTION("""COMPUTED_VALUE"""),41487.99861111111)</f>
        <v>41487.99861</v>
      </c>
      <c r="B1070" s="1">
        <f>IFERROR(__xludf.DUMMYFUNCTION("""COMPUTED_VALUE"""),36124.02921)</f>
        <v>36124.02921</v>
      </c>
    </row>
    <row r="1071">
      <c r="A1071" s="3">
        <f>IFERROR(__xludf.DUMMYFUNCTION("""COMPUTED_VALUE"""),41488.99861111111)</f>
        <v>41488.99861</v>
      </c>
      <c r="B1071" s="1">
        <f>IFERROR(__xludf.DUMMYFUNCTION("""COMPUTED_VALUE"""),36130.15783)</f>
        <v>36130.15783</v>
      </c>
    </row>
    <row r="1072">
      <c r="A1072" s="3">
        <f>IFERROR(__xludf.DUMMYFUNCTION("""COMPUTED_VALUE"""),41489.99861111111)</f>
        <v>41489.99861</v>
      </c>
      <c r="B1072" s="1">
        <f>IFERROR(__xludf.DUMMYFUNCTION("""COMPUTED_VALUE"""),36145.84662)</f>
        <v>36145.84662</v>
      </c>
    </row>
    <row r="1073">
      <c r="A1073" s="3">
        <f>IFERROR(__xludf.DUMMYFUNCTION("""COMPUTED_VALUE"""),41490.99861111111)</f>
        <v>41490.99861</v>
      </c>
      <c r="B1073" s="1">
        <f>IFERROR(__xludf.DUMMYFUNCTION("""COMPUTED_VALUE"""),36036.63402)</f>
        <v>36036.63402</v>
      </c>
    </row>
    <row r="1074">
      <c r="A1074" s="3">
        <f>IFERROR(__xludf.DUMMYFUNCTION("""COMPUTED_VALUE"""),41491.99861111111)</f>
        <v>41491.99861</v>
      </c>
      <c r="B1074" s="1">
        <f>IFERROR(__xludf.DUMMYFUNCTION("""COMPUTED_VALUE"""),36138.12364)</f>
        <v>36138.12364</v>
      </c>
    </row>
    <row r="1075">
      <c r="A1075" s="3">
        <f>IFERROR(__xludf.DUMMYFUNCTION("""COMPUTED_VALUE"""),41492.99861111111)</f>
        <v>41492.99861</v>
      </c>
      <c r="B1075" s="1">
        <f>IFERROR(__xludf.DUMMYFUNCTION("""COMPUTED_VALUE"""),36067.93019)</f>
        <v>36067.93019</v>
      </c>
    </row>
    <row r="1076">
      <c r="A1076" s="3">
        <f>IFERROR(__xludf.DUMMYFUNCTION("""COMPUTED_VALUE"""),41493.99861111111)</f>
        <v>41493.99861</v>
      </c>
      <c r="B1076" s="1">
        <f>IFERROR(__xludf.DUMMYFUNCTION("""COMPUTED_VALUE"""),36100.64088)</f>
        <v>36100.64088</v>
      </c>
    </row>
    <row r="1077">
      <c r="A1077" s="3">
        <f>IFERROR(__xludf.DUMMYFUNCTION("""COMPUTED_VALUE"""),41494.99861111111)</f>
        <v>41494.99861</v>
      </c>
      <c r="B1077" s="1">
        <f>IFERROR(__xludf.DUMMYFUNCTION("""COMPUTED_VALUE"""),36097.12161)</f>
        <v>36097.12161</v>
      </c>
    </row>
    <row r="1078">
      <c r="A1078" s="3">
        <f>IFERROR(__xludf.DUMMYFUNCTION("""COMPUTED_VALUE"""),41495.99861111111)</f>
        <v>41495.99861</v>
      </c>
      <c r="B1078" s="1">
        <f>IFERROR(__xludf.DUMMYFUNCTION("""COMPUTED_VALUE"""),36107.67942)</f>
        <v>36107.67942</v>
      </c>
    </row>
    <row r="1079">
      <c r="A1079" s="3">
        <f>IFERROR(__xludf.DUMMYFUNCTION("""COMPUTED_VALUE"""),41496.99861111111)</f>
        <v>41496.99861</v>
      </c>
      <c r="B1079" s="1">
        <f>IFERROR(__xludf.DUMMYFUNCTION("""COMPUTED_VALUE"""),36174.70909)</f>
        <v>36174.70909</v>
      </c>
    </row>
    <row r="1080">
      <c r="A1080" s="3">
        <f>IFERROR(__xludf.DUMMYFUNCTION("""COMPUTED_VALUE"""),41498.99861111111)</f>
        <v>41498.99861</v>
      </c>
      <c r="B1080" s="1">
        <f>IFERROR(__xludf.DUMMYFUNCTION("""COMPUTED_VALUE"""),36115.99044)</f>
        <v>36115.99044</v>
      </c>
    </row>
    <row r="1081">
      <c r="A1081" s="3">
        <f>IFERROR(__xludf.DUMMYFUNCTION("""COMPUTED_VALUE"""),41499.99861111111)</f>
        <v>41499.99861</v>
      </c>
      <c r="B1081" s="1">
        <f>IFERROR(__xludf.DUMMYFUNCTION("""COMPUTED_VALUE"""),36263.80486)</f>
        <v>36263.80486</v>
      </c>
    </row>
    <row r="1082">
      <c r="A1082" s="3">
        <f>IFERROR(__xludf.DUMMYFUNCTION("""COMPUTED_VALUE"""),41500.99861111111)</f>
        <v>41500.99861</v>
      </c>
      <c r="B1082" s="1">
        <f>IFERROR(__xludf.DUMMYFUNCTION("""COMPUTED_VALUE"""),36246.2079)</f>
        <v>36246.2079</v>
      </c>
    </row>
    <row r="1083">
      <c r="A1083" s="3">
        <f>IFERROR(__xludf.DUMMYFUNCTION("""COMPUTED_VALUE"""),41501.99861111111)</f>
        <v>41501.99861</v>
      </c>
      <c r="B1083" s="1">
        <f>IFERROR(__xludf.DUMMYFUNCTION("""COMPUTED_VALUE"""),36330.67329)</f>
        <v>36330.67329</v>
      </c>
    </row>
    <row r="1084">
      <c r="A1084" s="3">
        <f>IFERROR(__xludf.DUMMYFUNCTION("""COMPUTED_VALUE"""),41502.99861111111)</f>
        <v>41502.99861</v>
      </c>
      <c r="B1084" s="1">
        <f>IFERROR(__xludf.DUMMYFUNCTION("""COMPUTED_VALUE"""),36468.5986)</f>
        <v>36468.5986</v>
      </c>
    </row>
    <row r="1085">
      <c r="A1085" s="3">
        <f>IFERROR(__xludf.DUMMYFUNCTION("""COMPUTED_VALUE"""),41503.99861111111)</f>
        <v>41503.99861</v>
      </c>
      <c r="B1085" s="1">
        <f>IFERROR(__xludf.DUMMYFUNCTION("""COMPUTED_VALUE"""),36454.51806)</f>
        <v>36454.51806</v>
      </c>
    </row>
    <row r="1086">
      <c r="A1086" s="3">
        <f>IFERROR(__xludf.DUMMYFUNCTION("""COMPUTED_VALUE"""),41504.99861111111)</f>
        <v>41504.99861</v>
      </c>
      <c r="B1086" s="1">
        <f>IFERROR(__xludf.DUMMYFUNCTION("""COMPUTED_VALUE"""),36496.75968)</f>
        <v>36496.75968</v>
      </c>
    </row>
    <row r="1087">
      <c r="A1087" s="3">
        <f>IFERROR(__xludf.DUMMYFUNCTION("""COMPUTED_VALUE"""),41505.99861111111)</f>
        <v>41505.99861</v>
      </c>
      <c r="B1087" s="1">
        <f>IFERROR(__xludf.DUMMYFUNCTION("""COMPUTED_VALUE"""),36816.34925)</f>
        <v>36816.34925</v>
      </c>
    </row>
    <row r="1088">
      <c r="A1088" s="3">
        <f>IFERROR(__xludf.DUMMYFUNCTION("""COMPUTED_VALUE"""),41506.99861111111)</f>
        <v>41506.99861</v>
      </c>
      <c r="B1088" s="1">
        <f>IFERROR(__xludf.DUMMYFUNCTION("""COMPUTED_VALUE"""),37540.50805)</f>
        <v>37540.50805</v>
      </c>
    </row>
    <row r="1089">
      <c r="A1089" s="3">
        <f>IFERROR(__xludf.DUMMYFUNCTION("""COMPUTED_VALUE"""),41507.99861111111)</f>
        <v>41507.99861</v>
      </c>
      <c r="B1089" s="1">
        <f>IFERROR(__xludf.DUMMYFUNCTION("""COMPUTED_VALUE"""),37865.06427)</f>
        <v>37865.06427</v>
      </c>
    </row>
    <row r="1090">
      <c r="A1090" s="3">
        <f>IFERROR(__xludf.DUMMYFUNCTION("""COMPUTED_VALUE"""),41508.99861111111)</f>
        <v>41508.99861</v>
      </c>
      <c r="B1090" s="1">
        <f>IFERROR(__xludf.DUMMYFUNCTION("""COMPUTED_VALUE"""),38793.15647)</f>
        <v>38793.15647</v>
      </c>
    </row>
    <row r="1091">
      <c r="A1091" s="3">
        <f>IFERROR(__xludf.DUMMYFUNCTION("""COMPUTED_VALUE"""),41509.99861111111)</f>
        <v>41509.99861</v>
      </c>
      <c r="B1091" s="1">
        <f>IFERROR(__xludf.DUMMYFUNCTION("""COMPUTED_VALUE"""),37872.11025)</f>
        <v>37872.11025</v>
      </c>
    </row>
    <row r="1092">
      <c r="A1092" s="3">
        <f>IFERROR(__xludf.DUMMYFUNCTION("""COMPUTED_VALUE"""),41510.99861111111)</f>
        <v>41510.99861</v>
      </c>
      <c r="B1092" s="1">
        <f>IFERROR(__xludf.DUMMYFUNCTION("""COMPUTED_VALUE"""),37872.11025)</f>
        <v>37872.11025</v>
      </c>
    </row>
    <row r="1093">
      <c r="A1093" s="3">
        <f>IFERROR(__xludf.DUMMYFUNCTION("""COMPUTED_VALUE"""),41511.99861111111)</f>
        <v>41511.99861</v>
      </c>
      <c r="B1093" s="1">
        <f>IFERROR(__xludf.DUMMYFUNCTION("""COMPUTED_VALUE"""),38770.47193)</f>
        <v>38770.47193</v>
      </c>
    </row>
    <row r="1094">
      <c r="A1094" s="3">
        <f>IFERROR(__xludf.DUMMYFUNCTION("""COMPUTED_VALUE"""),41512.99861111111)</f>
        <v>41512.99861</v>
      </c>
      <c r="B1094" s="1">
        <f>IFERROR(__xludf.DUMMYFUNCTION("""COMPUTED_VALUE"""),39119.24764)</f>
        <v>39119.24764</v>
      </c>
    </row>
    <row r="1095">
      <c r="A1095" s="3">
        <f>IFERROR(__xludf.DUMMYFUNCTION("""COMPUTED_VALUE"""),41513.99861111111)</f>
        <v>41513.99861</v>
      </c>
      <c r="B1095" s="1">
        <f>IFERROR(__xludf.DUMMYFUNCTION("""COMPUTED_VALUE"""),38373.7637)</f>
        <v>38373.7637</v>
      </c>
    </row>
    <row r="1096">
      <c r="A1096" s="3">
        <f>IFERROR(__xludf.DUMMYFUNCTION("""COMPUTED_VALUE"""),41514.99861111111)</f>
        <v>41514.99861</v>
      </c>
      <c r="B1096" s="1">
        <f>IFERROR(__xludf.DUMMYFUNCTION("""COMPUTED_VALUE"""),38453.68053)</f>
        <v>38453.68053</v>
      </c>
    </row>
    <row r="1097">
      <c r="A1097" s="3">
        <f>IFERROR(__xludf.DUMMYFUNCTION("""COMPUTED_VALUE"""),41515.99861111111)</f>
        <v>41515.99861</v>
      </c>
      <c r="B1097" s="1">
        <f>IFERROR(__xludf.DUMMYFUNCTION("""COMPUTED_VALUE"""),38418.45686)</f>
        <v>38418.45686</v>
      </c>
    </row>
    <row r="1098">
      <c r="A1098" s="3">
        <f>IFERROR(__xludf.DUMMYFUNCTION("""COMPUTED_VALUE"""),41516.99861111111)</f>
        <v>41516.99861</v>
      </c>
      <c r="B1098" s="1">
        <f>IFERROR(__xludf.DUMMYFUNCTION("""COMPUTED_VALUE"""),38208.03537)</f>
        <v>38208.03537</v>
      </c>
    </row>
    <row r="1099">
      <c r="A1099" s="3">
        <f>IFERROR(__xludf.DUMMYFUNCTION("""COMPUTED_VALUE"""),41517.99861111111)</f>
        <v>41517.99861</v>
      </c>
      <c r="B1099" s="1">
        <f>IFERROR(__xludf.DUMMYFUNCTION("""COMPUTED_VALUE"""),38236.11145)</f>
        <v>38236.11145</v>
      </c>
    </row>
    <row r="1100">
      <c r="A1100" s="3">
        <f>IFERROR(__xludf.DUMMYFUNCTION("""COMPUTED_VALUE"""),41519.99861111111)</f>
        <v>41519.99861</v>
      </c>
      <c r="B1100" s="1">
        <f>IFERROR(__xludf.DUMMYFUNCTION("""COMPUTED_VALUE"""),38383.05301)</f>
        <v>38383.05301</v>
      </c>
    </row>
    <row r="1101">
      <c r="A1101" s="3">
        <f>IFERROR(__xludf.DUMMYFUNCTION("""COMPUTED_VALUE"""),41520.99861111111)</f>
        <v>41520.99861</v>
      </c>
      <c r="B1101" s="1">
        <f>IFERROR(__xludf.DUMMYFUNCTION("""COMPUTED_VALUE"""),38654.42154)</f>
        <v>38654.42154</v>
      </c>
    </row>
    <row r="1102">
      <c r="A1102" s="3">
        <f>IFERROR(__xludf.DUMMYFUNCTION("""COMPUTED_VALUE"""),41521.99861111111)</f>
        <v>41521.99861</v>
      </c>
      <c r="B1102" s="1">
        <f>IFERROR(__xludf.DUMMYFUNCTION("""COMPUTED_VALUE"""),38884.9866)</f>
        <v>38884.9866</v>
      </c>
    </row>
    <row r="1103">
      <c r="A1103" s="3">
        <f>IFERROR(__xludf.DUMMYFUNCTION("""COMPUTED_VALUE"""),41522.99861111111)</f>
        <v>41522.99861</v>
      </c>
      <c r="B1103" s="1">
        <f>IFERROR(__xludf.DUMMYFUNCTION("""COMPUTED_VALUE"""),38875.45428)</f>
        <v>38875.45428</v>
      </c>
    </row>
    <row r="1104">
      <c r="A1104" s="3">
        <f>IFERROR(__xludf.DUMMYFUNCTION("""COMPUTED_VALUE"""),41523.99861111111)</f>
        <v>41523.99861</v>
      </c>
      <c r="B1104" s="1">
        <f>IFERROR(__xludf.DUMMYFUNCTION("""COMPUTED_VALUE"""),39082.10655)</f>
        <v>39082.10655</v>
      </c>
    </row>
    <row r="1105">
      <c r="A1105" s="3">
        <f>IFERROR(__xludf.DUMMYFUNCTION("""COMPUTED_VALUE"""),41524.99861111111)</f>
        <v>41524.99861</v>
      </c>
      <c r="B1105" s="1">
        <f>IFERROR(__xludf.DUMMYFUNCTION("""COMPUTED_VALUE"""),39092.62475)</f>
        <v>39092.62475</v>
      </c>
    </row>
    <row r="1106">
      <c r="A1106" s="3">
        <f>IFERROR(__xludf.DUMMYFUNCTION("""COMPUTED_VALUE"""),41525.99861111111)</f>
        <v>41525.99861</v>
      </c>
      <c r="B1106" s="1">
        <f>IFERROR(__xludf.DUMMYFUNCTION("""COMPUTED_VALUE"""),39092.62475)</f>
        <v>39092.62475</v>
      </c>
    </row>
    <row r="1107">
      <c r="A1107" s="3">
        <f>IFERROR(__xludf.DUMMYFUNCTION("""COMPUTED_VALUE"""),41526.99861111111)</f>
        <v>41526.99861</v>
      </c>
      <c r="B1107" s="1">
        <f>IFERROR(__xludf.DUMMYFUNCTION("""COMPUTED_VALUE"""),39102.17414)</f>
        <v>39102.17414</v>
      </c>
    </row>
    <row r="1108">
      <c r="A1108" s="3">
        <f>IFERROR(__xludf.DUMMYFUNCTION("""COMPUTED_VALUE"""),41527.99861111111)</f>
        <v>41527.99861</v>
      </c>
      <c r="B1108" s="1">
        <f>IFERROR(__xludf.DUMMYFUNCTION("""COMPUTED_VALUE"""),39409.38276)</f>
        <v>39409.38276</v>
      </c>
    </row>
    <row r="1109">
      <c r="A1109" s="3">
        <f>IFERROR(__xludf.DUMMYFUNCTION("""COMPUTED_VALUE"""),41528.99861111111)</f>
        <v>41528.99861</v>
      </c>
      <c r="B1109" s="1">
        <f>IFERROR(__xludf.DUMMYFUNCTION("""COMPUTED_VALUE"""),39817.02076)</f>
        <v>39817.02076</v>
      </c>
    </row>
    <row r="1110">
      <c r="A1110" s="3">
        <f>IFERROR(__xludf.DUMMYFUNCTION("""COMPUTED_VALUE"""),41529.99861111111)</f>
        <v>41529.99861</v>
      </c>
      <c r="B1110" s="1">
        <f>IFERROR(__xludf.DUMMYFUNCTION("""COMPUTED_VALUE"""),39852.16061)</f>
        <v>39852.16061</v>
      </c>
    </row>
    <row r="1111">
      <c r="A1111" s="3">
        <f>IFERROR(__xludf.DUMMYFUNCTION("""COMPUTED_VALUE"""),41530.99861111111)</f>
        <v>41530.99861</v>
      </c>
      <c r="B1111" s="1">
        <f>IFERROR(__xludf.DUMMYFUNCTION("""COMPUTED_VALUE"""),40079.57998)</f>
        <v>40079.57998</v>
      </c>
    </row>
    <row r="1112">
      <c r="A1112" s="3">
        <f>IFERROR(__xludf.DUMMYFUNCTION("""COMPUTED_VALUE"""),41531.99861111111)</f>
        <v>41531.99861</v>
      </c>
      <c r="B1112" s="1">
        <f>IFERROR(__xludf.DUMMYFUNCTION("""COMPUTED_VALUE"""),40079.57998)</f>
        <v>40079.57998</v>
      </c>
    </row>
    <row r="1113">
      <c r="A1113" s="3">
        <f>IFERROR(__xludf.DUMMYFUNCTION("""COMPUTED_VALUE"""),41532.99861111111)</f>
        <v>41532.99861</v>
      </c>
      <c r="B1113" s="1">
        <f>IFERROR(__xludf.DUMMYFUNCTION("""COMPUTED_VALUE"""),40079.57998)</f>
        <v>40079.57998</v>
      </c>
    </row>
    <row r="1114">
      <c r="A1114" s="3">
        <f>IFERROR(__xludf.DUMMYFUNCTION("""COMPUTED_VALUE"""),41533.99861111111)</f>
        <v>41533.99861</v>
      </c>
      <c r="B1114" s="1">
        <f>IFERROR(__xludf.DUMMYFUNCTION("""COMPUTED_VALUE"""),40027.50308)</f>
        <v>40027.50308</v>
      </c>
    </row>
    <row r="1115">
      <c r="A1115" s="3">
        <f>IFERROR(__xludf.DUMMYFUNCTION("""COMPUTED_VALUE"""),41534.99861111111)</f>
        <v>41534.99861</v>
      </c>
      <c r="B1115" s="1">
        <f>IFERROR(__xludf.DUMMYFUNCTION("""COMPUTED_VALUE"""),40267.33657)</f>
        <v>40267.33657</v>
      </c>
    </row>
    <row r="1116">
      <c r="A1116" s="3">
        <f>IFERROR(__xludf.DUMMYFUNCTION("""COMPUTED_VALUE"""),41535.99861111111)</f>
        <v>41535.99861</v>
      </c>
      <c r="B1116" s="1">
        <f>IFERROR(__xludf.DUMMYFUNCTION("""COMPUTED_VALUE"""),40479.46401)</f>
        <v>40479.46401</v>
      </c>
    </row>
    <row r="1117">
      <c r="A1117" s="3">
        <f>IFERROR(__xludf.DUMMYFUNCTION("""COMPUTED_VALUE"""),41536.99861111111)</f>
        <v>41536.99861</v>
      </c>
      <c r="B1117" s="1">
        <f>IFERROR(__xludf.DUMMYFUNCTION("""COMPUTED_VALUE"""),39799.84096)</f>
        <v>39799.84096</v>
      </c>
    </row>
    <row r="1118">
      <c r="A1118" s="3">
        <f>IFERROR(__xludf.DUMMYFUNCTION("""COMPUTED_VALUE"""),41537.99861111111)</f>
        <v>41537.99861</v>
      </c>
      <c r="B1118" s="1">
        <f>IFERROR(__xludf.DUMMYFUNCTION("""COMPUTED_VALUE"""),40032.52007)</f>
        <v>40032.52007</v>
      </c>
    </row>
    <row r="1119">
      <c r="A1119" s="3">
        <f>IFERROR(__xludf.DUMMYFUNCTION("""COMPUTED_VALUE"""),41538.99861111111)</f>
        <v>41538.99861</v>
      </c>
      <c r="B1119" s="1">
        <f>IFERROR(__xludf.DUMMYFUNCTION("""COMPUTED_VALUE"""),40043.12752)</f>
        <v>40043.12752</v>
      </c>
    </row>
    <row r="1120">
      <c r="A1120" s="3">
        <f>IFERROR(__xludf.DUMMYFUNCTION("""COMPUTED_VALUE"""),41539.99861111111)</f>
        <v>41539.99861</v>
      </c>
      <c r="B1120" s="1">
        <f>IFERROR(__xludf.DUMMYFUNCTION("""COMPUTED_VALUE"""),40131.52295)</f>
        <v>40131.52295</v>
      </c>
    </row>
    <row r="1121">
      <c r="A1121" s="3">
        <f>IFERROR(__xludf.DUMMYFUNCTION("""COMPUTED_VALUE"""),41540.99861111111)</f>
        <v>41540.99861</v>
      </c>
      <c r="B1121" s="1">
        <f>IFERROR(__xludf.DUMMYFUNCTION("""COMPUTED_VALUE"""),40385.5596)</f>
        <v>40385.5596</v>
      </c>
    </row>
    <row r="1122">
      <c r="A1122" s="3">
        <f>IFERROR(__xludf.DUMMYFUNCTION("""COMPUTED_VALUE"""),41541.99861111111)</f>
        <v>41541.99861</v>
      </c>
      <c r="B1122" s="1">
        <f>IFERROR(__xludf.DUMMYFUNCTION("""COMPUTED_VALUE"""),40470.28681)</f>
        <v>40470.28681</v>
      </c>
    </row>
    <row r="1123">
      <c r="A1123" s="3">
        <f>IFERROR(__xludf.DUMMYFUNCTION("""COMPUTED_VALUE"""),41542.99861111111)</f>
        <v>41542.99861</v>
      </c>
      <c r="B1123" s="1">
        <f>IFERROR(__xludf.DUMMYFUNCTION("""COMPUTED_VALUE"""),40532.02189)</f>
        <v>40532.02189</v>
      </c>
    </row>
    <row r="1124">
      <c r="A1124" s="3">
        <f>IFERROR(__xludf.DUMMYFUNCTION("""COMPUTED_VALUE"""),41543.99861111111)</f>
        <v>41543.99861</v>
      </c>
      <c r="B1124" s="1">
        <f>IFERROR(__xludf.DUMMYFUNCTION("""COMPUTED_VALUE"""),40417.24581)</f>
        <v>40417.24581</v>
      </c>
    </row>
    <row r="1125">
      <c r="A1125" s="3">
        <f>IFERROR(__xludf.DUMMYFUNCTION("""COMPUTED_VALUE"""),41544.99861111111)</f>
        <v>41544.99861</v>
      </c>
      <c r="B1125" s="1">
        <f>IFERROR(__xludf.DUMMYFUNCTION("""COMPUTED_VALUE"""),40696.5951)</f>
        <v>40696.5951</v>
      </c>
    </row>
    <row r="1126">
      <c r="A1126" s="3">
        <f>IFERROR(__xludf.DUMMYFUNCTION("""COMPUTED_VALUE"""),41546.99861111111)</f>
        <v>41546.99861</v>
      </c>
      <c r="B1126" s="1">
        <f>IFERROR(__xludf.DUMMYFUNCTION("""COMPUTED_VALUE"""),40696.5951)</f>
        <v>40696.5951</v>
      </c>
    </row>
    <row r="1127">
      <c r="A1127" s="3">
        <f>IFERROR(__xludf.DUMMYFUNCTION("""COMPUTED_VALUE"""),41547.99861111111)</f>
        <v>41547.99861</v>
      </c>
      <c r="B1127" s="1">
        <f>IFERROR(__xludf.DUMMYFUNCTION("""COMPUTED_VALUE"""),40900.71084)</f>
        <v>40900.71084</v>
      </c>
    </row>
    <row r="1128">
      <c r="A1128" s="3">
        <f>IFERROR(__xludf.DUMMYFUNCTION("""COMPUTED_VALUE"""),41548.99861111111)</f>
        <v>41548.99861</v>
      </c>
      <c r="B1128" s="1">
        <f>IFERROR(__xludf.DUMMYFUNCTION("""COMPUTED_VALUE"""),40612.16789)</f>
        <v>40612.16789</v>
      </c>
    </row>
    <row r="1129">
      <c r="A1129" s="3">
        <f>IFERROR(__xludf.DUMMYFUNCTION("""COMPUTED_VALUE"""),41549.99861111111)</f>
        <v>41549.99861</v>
      </c>
      <c r="B1129" s="1">
        <f>IFERROR(__xludf.DUMMYFUNCTION("""COMPUTED_VALUE"""),40781.44519)</f>
        <v>40781.44519</v>
      </c>
    </row>
    <row r="1130">
      <c r="A1130" s="3">
        <f>IFERROR(__xludf.DUMMYFUNCTION("""COMPUTED_VALUE"""),41550.99861111111)</f>
        <v>41550.99861</v>
      </c>
      <c r="B1130" s="1">
        <f>IFERROR(__xludf.DUMMYFUNCTION("""COMPUTED_VALUE"""),40783.54141)</f>
        <v>40783.54141</v>
      </c>
    </row>
    <row r="1131">
      <c r="A1131" s="3">
        <f>IFERROR(__xludf.DUMMYFUNCTION("""COMPUTED_VALUE"""),41551.99861111111)</f>
        <v>41551.99861</v>
      </c>
      <c r="B1131" s="1">
        <f>IFERROR(__xludf.DUMMYFUNCTION("""COMPUTED_VALUE"""),40740.99577)</f>
        <v>40740.99577</v>
      </c>
    </row>
    <row r="1132">
      <c r="A1132" s="3">
        <f>IFERROR(__xludf.DUMMYFUNCTION("""COMPUTED_VALUE"""),41552.99861111111)</f>
        <v>41552.99861</v>
      </c>
      <c r="B1132" s="1">
        <f>IFERROR(__xludf.DUMMYFUNCTION("""COMPUTED_VALUE"""),40765.81406)</f>
        <v>40765.81406</v>
      </c>
    </row>
    <row r="1133">
      <c r="A1133" s="3">
        <f>IFERROR(__xludf.DUMMYFUNCTION("""COMPUTED_VALUE"""),41553.99861111111)</f>
        <v>41553.99861</v>
      </c>
      <c r="B1133" s="1">
        <f>IFERROR(__xludf.DUMMYFUNCTION("""COMPUTED_VALUE"""),40737.4503)</f>
        <v>40737.4503</v>
      </c>
    </row>
    <row r="1134">
      <c r="A1134" s="3">
        <f>IFERROR(__xludf.DUMMYFUNCTION("""COMPUTED_VALUE"""),41554.99861111111)</f>
        <v>41554.99861</v>
      </c>
      <c r="B1134" s="1">
        <f>IFERROR(__xludf.DUMMYFUNCTION("""COMPUTED_VALUE"""),40739.15962)</f>
        <v>40739.15962</v>
      </c>
    </row>
    <row r="1135">
      <c r="A1135" s="3">
        <f>IFERROR(__xludf.DUMMYFUNCTION("""COMPUTED_VALUE"""),41555.99861111111)</f>
        <v>41555.99861</v>
      </c>
      <c r="B1135" s="1">
        <f>IFERROR(__xludf.DUMMYFUNCTION("""COMPUTED_VALUE"""),40708.71596)</f>
        <v>40708.71596</v>
      </c>
    </row>
    <row r="1136">
      <c r="A1136" s="3">
        <f>IFERROR(__xludf.DUMMYFUNCTION("""COMPUTED_VALUE"""),41556.99861111111)</f>
        <v>41556.99861</v>
      </c>
      <c r="B1136" s="1">
        <f>IFERROR(__xludf.DUMMYFUNCTION("""COMPUTED_VALUE"""),40725.66361)</f>
        <v>40725.66361</v>
      </c>
    </row>
    <row r="1137">
      <c r="A1137" s="3">
        <f>IFERROR(__xludf.DUMMYFUNCTION("""COMPUTED_VALUE"""),41557.99861111111)</f>
        <v>41557.99861</v>
      </c>
      <c r="B1137" s="1">
        <f>IFERROR(__xludf.DUMMYFUNCTION("""COMPUTED_VALUE"""),40648.93283)</f>
        <v>40648.93283</v>
      </c>
    </row>
    <row r="1138">
      <c r="A1138" s="3">
        <f>IFERROR(__xludf.DUMMYFUNCTION("""COMPUTED_VALUE"""),41558.99861111111)</f>
        <v>41558.99861</v>
      </c>
      <c r="B1138" s="1">
        <f>IFERROR(__xludf.DUMMYFUNCTION("""COMPUTED_VALUE"""),40212.76266)</f>
        <v>40212.76266</v>
      </c>
    </row>
    <row r="1139">
      <c r="A1139" s="3">
        <f>IFERROR(__xludf.DUMMYFUNCTION("""COMPUTED_VALUE"""),41559.99861111111)</f>
        <v>41559.99861</v>
      </c>
      <c r="B1139" s="1">
        <f>IFERROR(__xludf.DUMMYFUNCTION("""COMPUTED_VALUE"""),40212.76266)</f>
        <v>40212.76266</v>
      </c>
    </row>
    <row r="1140">
      <c r="A1140" s="3">
        <f>IFERROR(__xludf.DUMMYFUNCTION("""COMPUTED_VALUE"""),41561.99861111111)</f>
        <v>41561.99861</v>
      </c>
      <c r="B1140" s="1">
        <f>IFERROR(__xludf.DUMMYFUNCTION("""COMPUTED_VALUE"""),40118.18521)</f>
        <v>40118.18521</v>
      </c>
    </row>
    <row r="1141">
      <c r="A1141" s="3">
        <f>IFERROR(__xludf.DUMMYFUNCTION("""COMPUTED_VALUE"""),41562.99861111111)</f>
        <v>41562.99861</v>
      </c>
      <c r="B1141" s="1">
        <f>IFERROR(__xludf.DUMMYFUNCTION("""COMPUTED_VALUE"""),40202.12436)</f>
        <v>40202.12436</v>
      </c>
    </row>
    <row r="1142">
      <c r="A1142" s="3">
        <f>IFERROR(__xludf.DUMMYFUNCTION("""COMPUTED_VALUE"""),41563.99861111111)</f>
        <v>41563.99861</v>
      </c>
      <c r="B1142" s="1">
        <f>IFERROR(__xludf.DUMMYFUNCTION("""COMPUTED_VALUE"""),40198.57826)</f>
        <v>40198.57826</v>
      </c>
    </row>
    <row r="1143">
      <c r="A1143" s="3">
        <f>IFERROR(__xludf.DUMMYFUNCTION("""COMPUTED_VALUE"""),41564.99861111111)</f>
        <v>41564.99861</v>
      </c>
      <c r="B1143" s="1">
        <f>IFERROR(__xludf.DUMMYFUNCTION("""COMPUTED_VALUE"""),40078.01089)</f>
        <v>40078.01089</v>
      </c>
    </row>
    <row r="1144">
      <c r="A1144" s="3">
        <f>IFERROR(__xludf.DUMMYFUNCTION("""COMPUTED_VALUE"""),41565.99861111111)</f>
        <v>41565.99861</v>
      </c>
      <c r="B1144" s="1">
        <f>IFERROR(__xludf.DUMMYFUNCTION("""COMPUTED_VALUE"""),40063.8265)</f>
        <v>40063.8265</v>
      </c>
    </row>
    <row r="1145">
      <c r="A1145" s="3">
        <f>IFERROR(__xludf.DUMMYFUNCTION("""COMPUTED_VALUE"""),41566.99861111111)</f>
        <v>41566.99861</v>
      </c>
      <c r="B1145" s="1">
        <f>IFERROR(__xludf.DUMMYFUNCTION("""COMPUTED_VALUE"""),40063.8265)</f>
        <v>40063.8265</v>
      </c>
    </row>
    <row r="1146">
      <c r="A1146" s="3">
        <f>IFERROR(__xludf.DUMMYFUNCTION("""COMPUTED_VALUE"""),41567.99861111111)</f>
        <v>41567.99861</v>
      </c>
      <c r="B1146" s="1">
        <f>IFERROR(__xludf.DUMMYFUNCTION("""COMPUTED_VALUE"""),40063.8265)</f>
        <v>40063.8265</v>
      </c>
    </row>
    <row r="1147">
      <c r="A1147" s="3">
        <f>IFERROR(__xludf.DUMMYFUNCTION("""COMPUTED_VALUE"""),41568.99861111111)</f>
        <v>41568.99861</v>
      </c>
      <c r="B1147" s="1">
        <f>IFERROR(__xludf.DUMMYFUNCTION("""COMPUTED_VALUE"""),40134.86246)</f>
        <v>40134.86246</v>
      </c>
    </row>
    <row r="1148">
      <c r="A1148" s="3">
        <f>IFERROR(__xludf.DUMMYFUNCTION("""COMPUTED_VALUE"""),41569.99861111111)</f>
        <v>41569.99861</v>
      </c>
      <c r="B1148" s="1">
        <f>IFERROR(__xludf.DUMMYFUNCTION("""COMPUTED_VALUE"""),40039.80288)</f>
        <v>40039.80288</v>
      </c>
    </row>
    <row r="1149">
      <c r="A1149" s="3">
        <f>IFERROR(__xludf.DUMMYFUNCTION("""COMPUTED_VALUE"""),41570.99861111111)</f>
        <v>41570.99861</v>
      </c>
      <c r="B1149" s="1">
        <f>IFERROR(__xludf.DUMMYFUNCTION("""COMPUTED_VALUE"""),39964.448)</f>
        <v>39964.448</v>
      </c>
    </row>
    <row r="1150">
      <c r="A1150" s="3">
        <f>IFERROR(__xludf.DUMMYFUNCTION("""COMPUTED_VALUE"""),41571.99861111111)</f>
        <v>41571.99861</v>
      </c>
      <c r="B1150" s="1">
        <f>IFERROR(__xludf.DUMMYFUNCTION("""COMPUTED_VALUE"""),39531.07381)</f>
        <v>39531.07381</v>
      </c>
    </row>
    <row r="1151">
      <c r="A1151" s="3">
        <f>IFERROR(__xludf.DUMMYFUNCTION("""COMPUTED_VALUE"""),41572.99861111111)</f>
        <v>41572.99861</v>
      </c>
      <c r="B1151" s="1">
        <f>IFERROR(__xludf.DUMMYFUNCTION("""COMPUTED_VALUE"""),39075.54945)</f>
        <v>39075.54945</v>
      </c>
    </row>
    <row r="1152">
      <c r="A1152" s="3">
        <f>IFERROR(__xludf.DUMMYFUNCTION("""COMPUTED_VALUE"""),41573.99861111111)</f>
        <v>41573.99861</v>
      </c>
      <c r="B1152" s="1">
        <f>IFERROR(__xludf.DUMMYFUNCTION("""COMPUTED_VALUE"""),39075.54945)</f>
        <v>39075.54945</v>
      </c>
    </row>
    <row r="1153">
      <c r="A1153" s="3">
        <f>IFERROR(__xludf.DUMMYFUNCTION("""COMPUTED_VALUE"""),41574.99861111111)</f>
        <v>41574.99861</v>
      </c>
      <c r="B1153" s="1">
        <f>IFERROR(__xludf.DUMMYFUNCTION("""COMPUTED_VALUE"""),39075.54945)</f>
        <v>39075.54945</v>
      </c>
    </row>
    <row r="1154">
      <c r="A1154" s="3">
        <f>IFERROR(__xludf.DUMMYFUNCTION("""COMPUTED_VALUE"""),41575.99861111111)</f>
        <v>41575.99861</v>
      </c>
      <c r="B1154" s="1">
        <f>IFERROR(__xludf.DUMMYFUNCTION("""COMPUTED_VALUE"""),39199.99387)</f>
        <v>39199.99387</v>
      </c>
    </row>
    <row r="1155">
      <c r="A1155" s="3">
        <f>IFERROR(__xludf.DUMMYFUNCTION("""COMPUTED_VALUE"""),41576.99861111111)</f>
        <v>41576.99861</v>
      </c>
      <c r="B1155" s="1">
        <f>IFERROR(__xludf.DUMMYFUNCTION("""COMPUTED_VALUE"""),39377.77162)</f>
        <v>39377.77162</v>
      </c>
    </row>
    <row r="1156">
      <c r="A1156" s="3">
        <f>IFERROR(__xludf.DUMMYFUNCTION("""COMPUTED_VALUE"""),41577.99861111111)</f>
        <v>41577.99861</v>
      </c>
      <c r="B1156" s="1">
        <f>IFERROR(__xludf.DUMMYFUNCTION("""COMPUTED_VALUE"""),39583.10847)</f>
        <v>39583.10847</v>
      </c>
    </row>
    <row r="1157">
      <c r="A1157" s="3">
        <f>IFERROR(__xludf.DUMMYFUNCTION("""COMPUTED_VALUE"""),41578.99861111111)</f>
        <v>41578.99861</v>
      </c>
      <c r="B1157" s="1">
        <f>IFERROR(__xludf.DUMMYFUNCTION("""COMPUTED_VALUE"""),39925.42872)</f>
        <v>39925.42872</v>
      </c>
    </row>
    <row r="1158">
      <c r="A1158" s="3">
        <f>IFERROR(__xludf.DUMMYFUNCTION("""COMPUTED_VALUE"""),41579.99861111111)</f>
        <v>41579.99861</v>
      </c>
      <c r="B1158" s="1">
        <f>IFERROR(__xludf.DUMMYFUNCTION("""COMPUTED_VALUE"""),40149.11054)</f>
        <v>40149.11054</v>
      </c>
    </row>
    <row r="1159">
      <c r="A1159" s="3">
        <f>IFERROR(__xludf.DUMMYFUNCTION("""COMPUTED_VALUE"""),41580.99861111111)</f>
        <v>41580.99861</v>
      </c>
      <c r="B1159" s="1">
        <f>IFERROR(__xludf.DUMMYFUNCTION("""COMPUTED_VALUE"""),40149.11054)</f>
        <v>40149.11054</v>
      </c>
    </row>
    <row r="1160">
      <c r="A1160" s="3">
        <f>IFERROR(__xludf.DUMMYFUNCTION("""COMPUTED_VALUE"""),41582.99861111111)</f>
        <v>41582.99861</v>
      </c>
      <c r="B1160" s="1">
        <f>IFERROR(__xludf.DUMMYFUNCTION("""COMPUTED_VALUE"""),40216.57013)</f>
        <v>40216.57013</v>
      </c>
    </row>
    <row r="1161">
      <c r="A1161" s="3">
        <f>IFERROR(__xludf.DUMMYFUNCTION("""COMPUTED_VALUE"""),41583.99861111111)</f>
        <v>41583.99861</v>
      </c>
      <c r="B1161" s="1">
        <f>IFERROR(__xludf.DUMMYFUNCTION("""COMPUTED_VALUE"""),40084.90552)</f>
        <v>40084.90552</v>
      </c>
    </row>
    <row r="1162">
      <c r="A1162" s="3">
        <f>IFERROR(__xludf.DUMMYFUNCTION("""COMPUTED_VALUE"""),41584.99861111111)</f>
        <v>41584.99861</v>
      </c>
      <c r="B1162" s="1">
        <f>IFERROR(__xludf.DUMMYFUNCTION("""COMPUTED_VALUE"""),40254.67884)</f>
        <v>40254.67884</v>
      </c>
    </row>
    <row r="1163">
      <c r="A1163" s="3">
        <f>IFERROR(__xludf.DUMMYFUNCTION("""COMPUTED_VALUE"""),41585.99861111111)</f>
        <v>41585.99861</v>
      </c>
      <c r="B1163" s="1">
        <f>IFERROR(__xludf.DUMMYFUNCTION("""COMPUTED_VALUE"""),40205.23234)</f>
        <v>40205.23234</v>
      </c>
    </row>
    <row r="1164">
      <c r="A1164" s="3">
        <f>IFERROR(__xludf.DUMMYFUNCTION("""COMPUTED_VALUE"""),41586.99861111111)</f>
        <v>41586.99861</v>
      </c>
      <c r="B1164" s="1">
        <f>IFERROR(__xludf.DUMMYFUNCTION("""COMPUTED_VALUE"""),40268.8786)</f>
        <v>40268.8786</v>
      </c>
    </row>
    <row r="1165">
      <c r="A1165" s="3">
        <f>IFERROR(__xludf.DUMMYFUNCTION("""COMPUTED_VALUE"""),41588.99861111111)</f>
        <v>41588.99861</v>
      </c>
      <c r="B1165" s="1">
        <f>IFERROR(__xludf.DUMMYFUNCTION("""COMPUTED_VALUE"""),40258.26477)</f>
        <v>40258.26477</v>
      </c>
    </row>
    <row r="1166">
      <c r="A1166" s="3">
        <f>IFERROR(__xludf.DUMMYFUNCTION("""COMPUTED_VALUE"""),41589.99861111111)</f>
        <v>41589.99861</v>
      </c>
      <c r="B1166" s="1">
        <f>IFERROR(__xludf.DUMMYFUNCTION("""COMPUTED_VALUE"""),40677.23875)</f>
        <v>40677.23875</v>
      </c>
    </row>
    <row r="1167">
      <c r="A1167" s="3">
        <f>IFERROR(__xludf.DUMMYFUNCTION("""COMPUTED_VALUE"""),41590.99861111111)</f>
        <v>41590.99861</v>
      </c>
      <c r="B1167" s="1">
        <f>IFERROR(__xludf.DUMMYFUNCTION("""COMPUTED_VALUE"""),40909.08267)</f>
        <v>40909.08267</v>
      </c>
    </row>
    <row r="1168">
      <c r="A1168" s="3">
        <f>IFERROR(__xludf.DUMMYFUNCTION("""COMPUTED_VALUE"""),41591.99861111111)</f>
        <v>41591.99861</v>
      </c>
      <c r="B1168" s="1">
        <f>IFERROR(__xludf.DUMMYFUNCTION("""COMPUTED_VALUE"""),40908.11673)</f>
        <v>40908.11673</v>
      </c>
    </row>
    <row r="1169">
      <c r="A1169" s="3">
        <f>IFERROR(__xludf.DUMMYFUNCTION("""COMPUTED_VALUE"""),41592.99861111111)</f>
        <v>41592.99861</v>
      </c>
      <c r="B1169" s="1">
        <f>IFERROR(__xludf.DUMMYFUNCTION("""COMPUTED_VALUE"""),40685.50195)</f>
        <v>40685.50195</v>
      </c>
    </row>
    <row r="1170">
      <c r="A1170" s="3">
        <f>IFERROR(__xludf.DUMMYFUNCTION("""COMPUTED_VALUE"""),41593.99861111111)</f>
        <v>41593.99861</v>
      </c>
      <c r="B1170" s="1">
        <f>IFERROR(__xludf.DUMMYFUNCTION("""COMPUTED_VALUE"""),41060.22559)</f>
        <v>41060.22559</v>
      </c>
    </row>
    <row r="1171">
      <c r="A1171" s="3">
        <f>IFERROR(__xludf.DUMMYFUNCTION("""COMPUTED_VALUE"""),41595.99861111111)</f>
        <v>41595.99861</v>
      </c>
      <c r="B1171" s="1">
        <f>IFERROR(__xludf.DUMMYFUNCTION("""COMPUTED_VALUE"""),41060.22559)</f>
        <v>41060.22559</v>
      </c>
    </row>
    <row r="1172">
      <c r="A1172" s="3">
        <f>IFERROR(__xludf.DUMMYFUNCTION("""COMPUTED_VALUE"""),41596.99861111111)</f>
        <v>41596.99861</v>
      </c>
      <c r="B1172" s="1">
        <f>IFERROR(__xludf.DUMMYFUNCTION("""COMPUTED_VALUE"""),41007.05664)</f>
        <v>41007.05664</v>
      </c>
    </row>
    <row r="1173">
      <c r="A1173" s="3">
        <f>IFERROR(__xludf.DUMMYFUNCTION("""COMPUTED_VALUE"""),41597.99861111111)</f>
        <v>41597.99861</v>
      </c>
      <c r="B1173" s="1">
        <f>IFERROR(__xludf.DUMMYFUNCTION("""COMPUTED_VALUE"""),40883.38176)</f>
        <v>40883.38176</v>
      </c>
    </row>
    <row r="1174">
      <c r="A1174" s="3">
        <f>IFERROR(__xludf.DUMMYFUNCTION("""COMPUTED_VALUE"""),41598.99861111111)</f>
        <v>41598.99861</v>
      </c>
      <c r="B1174" s="1">
        <f>IFERROR(__xludf.DUMMYFUNCTION("""COMPUTED_VALUE"""),41091.86227)</f>
        <v>41091.86227</v>
      </c>
    </row>
    <row r="1175">
      <c r="A1175" s="3">
        <f>IFERROR(__xludf.DUMMYFUNCTION("""COMPUTED_VALUE"""),41599.99861111111)</f>
        <v>41599.99861</v>
      </c>
      <c r="B1175" s="1">
        <f>IFERROR(__xludf.DUMMYFUNCTION("""COMPUTED_VALUE"""),41299.03975)</f>
        <v>41299.03975</v>
      </c>
    </row>
    <row r="1176">
      <c r="A1176" s="3">
        <f>IFERROR(__xludf.DUMMYFUNCTION("""COMPUTED_VALUE"""),41600.99861111111)</f>
        <v>41600.99861</v>
      </c>
      <c r="B1176" s="1">
        <f>IFERROR(__xludf.DUMMYFUNCTION("""COMPUTED_VALUE"""),41322.51894)</f>
        <v>41322.51894</v>
      </c>
    </row>
    <row r="1177">
      <c r="A1177" s="3">
        <f>IFERROR(__xludf.DUMMYFUNCTION("""COMPUTED_VALUE"""),41601.99861111111)</f>
        <v>41601.99861</v>
      </c>
      <c r="B1177" s="1">
        <f>IFERROR(__xludf.DUMMYFUNCTION("""COMPUTED_VALUE"""),41322.51894)</f>
        <v>41322.51894</v>
      </c>
    </row>
    <row r="1178">
      <c r="A1178" s="3">
        <f>IFERROR(__xludf.DUMMYFUNCTION("""COMPUTED_VALUE"""),41603.99861111111)</f>
        <v>41603.99861</v>
      </c>
      <c r="B1178" s="1">
        <f>IFERROR(__xludf.DUMMYFUNCTION("""COMPUTED_VALUE"""),41483.18573)</f>
        <v>41483.18573</v>
      </c>
    </row>
    <row r="1179">
      <c r="A1179" s="3">
        <f>IFERROR(__xludf.DUMMYFUNCTION("""COMPUTED_VALUE"""),41604.99861111111)</f>
        <v>41604.99861</v>
      </c>
      <c r="B1179" s="1">
        <f>IFERROR(__xludf.DUMMYFUNCTION("""COMPUTED_VALUE"""),41592.92025)</f>
        <v>41592.92025</v>
      </c>
    </row>
    <row r="1180">
      <c r="A1180" s="3">
        <f>IFERROR(__xludf.DUMMYFUNCTION("""COMPUTED_VALUE"""),41605.99861111111)</f>
        <v>41605.99861</v>
      </c>
      <c r="B1180" s="1">
        <f>IFERROR(__xludf.DUMMYFUNCTION("""COMPUTED_VALUE"""),42079.89852)</f>
        <v>42079.89852</v>
      </c>
    </row>
    <row r="1181">
      <c r="A1181" s="3">
        <f>IFERROR(__xludf.DUMMYFUNCTION("""COMPUTED_VALUE"""),41606.99861111111)</f>
        <v>41606.99861</v>
      </c>
      <c r="B1181" s="1">
        <f>IFERROR(__xludf.DUMMYFUNCTION("""COMPUTED_VALUE"""),42100.78356)</f>
        <v>42100.78356</v>
      </c>
    </row>
    <row r="1182">
      <c r="A1182" s="3">
        <f>IFERROR(__xludf.DUMMYFUNCTION("""COMPUTED_VALUE"""),41607.99861111111)</f>
        <v>41607.99861</v>
      </c>
      <c r="B1182" s="1">
        <f>IFERROR(__xludf.DUMMYFUNCTION("""COMPUTED_VALUE"""),42018.34868)</f>
        <v>42018.34868</v>
      </c>
    </row>
    <row r="1183">
      <c r="A1183" s="3">
        <f>IFERROR(__xludf.DUMMYFUNCTION("""COMPUTED_VALUE"""),41608.99861111111)</f>
        <v>41608.99861</v>
      </c>
      <c r="B1183" s="1">
        <f>IFERROR(__xludf.DUMMYFUNCTION("""COMPUTED_VALUE"""),41192.7225)</f>
        <v>41192.7225</v>
      </c>
    </row>
    <row r="1184">
      <c r="A1184" s="3">
        <f>IFERROR(__xludf.DUMMYFUNCTION("""COMPUTED_VALUE"""),41609.99861111111)</f>
        <v>41609.99861</v>
      </c>
      <c r="B1184" s="1">
        <f>IFERROR(__xludf.DUMMYFUNCTION("""COMPUTED_VALUE"""),41192.7225)</f>
        <v>41192.7225</v>
      </c>
    </row>
    <row r="1185">
      <c r="A1185" s="3">
        <f>IFERROR(__xludf.DUMMYFUNCTION("""COMPUTED_VALUE"""),41610.99861111111)</f>
        <v>41610.99861</v>
      </c>
      <c r="B1185" s="1">
        <f>IFERROR(__xludf.DUMMYFUNCTION("""COMPUTED_VALUE"""),42070.79635)</f>
        <v>42070.79635</v>
      </c>
    </row>
    <row r="1186">
      <c r="A1186" s="3">
        <f>IFERROR(__xludf.DUMMYFUNCTION("""COMPUTED_VALUE"""),41611.99861111111)</f>
        <v>41611.99861</v>
      </c>
      <c r="B1186" s="1">
        <f>IFERROR(__xludf.DUMMYFUNCTION("""COMPUTED_VALUE"""),42048.46444)</f>
        <v>42048.46444</v>
      </c>
    </row>
    <row r="1187">
      <c r="A1187" s="3">
        <f>IFERROR(__xludf.DUMMYFUNCTION("""COMPUTED_VALUE"""),41612.99861111111)</f>
        <v>41612.99861</v>
      </c>
      <c r="B1187" s="1">
        <f>IFERROR(__xludf.DUMMYFUNCTION("""COMPUTED_VALUE"""),42356.26556)</f>
        <v>42356.26556</v>
      </c>
    </row>
    <row r="1188">
      <c r="A1188" s="3">
        <f>IFERROR(__xludf.DUMMYFUNCTION("""COMPUTED_VALUE"""),41613.99861111111)</f>
        <v>41613.99861</v>
      </c>
      <c r="B1188" s="1">
        <f>IFERROR(__xludf.DUMMYFUNCTION("""COMPUTED_VALUE"""),42458.5121)</f>
        <v>42458.5121</v>
      </c>
    </row>
    <row r="1189">
      <c r="A1189" s="3">
        <f>IFERROR(__xludf.DUMMYFUNCTION("""COMPUTED_VALUE"""),41614.99861111111)</f>
        <v>41614.99861</v>
      </c>
      <c r="B1189" s="1">
        <f>IFERROR(__xludf.DUMMYFUNCTION("""COMPUTED_VALUE"""),42338.3481)</f>
        <v>42338.3481</v>
      </c>
    </row>
    <row r="1190">
      <c r="A1190" s="3">
        <f>IFERROR(__xludf.DUMMYFUNCTION("""COMPUTED_VALUE"""),41615.99861111111)</f>
        <v>41615.99861</v>
      </c>
      <c r="B1190" s="1">
        <f>IFERROR(__xludf.DUMMYFUNCTION("""COMPUTED_VALUE"""),41374.66352)</f>
        <v>41374.66352</v>
      </c>
    </row>
    <row r="1191">
      <c r="A1191" s="3">
        <f>IFERROR(__xludf.DUMMYFUNCTION("""COMPUTED_VALUE"""),41616.99861111111)</f>
        <v>41616.99861</v>
      </c>
      <c r="B1191" s="1">
        <f>IFERROR(__xludf.DUMMYFUNCTION("""COMPUTED_VALUE"""),41374.66352)</f>
        <v>41374.66352</v>
      </c>
    </row>
    <row r="1192">
      <c r="A1192" s="3">
        <f>IFERROR(__xludf.DUMMYFUNCTION("""COMPUTED_VALUE"""),41617.99861111111)</f>
        <v>41617.99861</v>
      </c>
      <c r="B1192" s="1">
        <f>IFERROR(__xludf.DUMMYFUNCTION("""COMPUTED_VALUE"""),41896.00942)</f>
        <v>41896.00942</v>
      </c>
    </row>
    <row r="1193">
      <c r="A1193" s="3">
        <f>IFERROR(__xludf.DUMMYFUNCTION("""COMPUTED_VALUE"""),41618.99861111111)</f>
        <v>41618.99861</v>
      </c>
      <c r="B1193" s="1">
        <f>IFERROR(__xludf.DUMMYFUNCTION("""COMPUTED_VALUE"""),41964.53556)</f>
        <v>41964.53556</v>
      </c>
    </row>
    <row r="1194">
      <c r="A1194" s="3">
        <f>IFERROR(__xludf.DUMMYFUNCTION("""COMPUTED_VALUE"""),41619.99861111111)</f>
        <v>41619.99861</v>
      </c>
      <c r="B1194" s="1">
        <f>IFERROR(__xludf.DUMMYFUNCTION("""COMPUTED_VALUE"""),42120.56392)</f>
        <v>42120.56392</v>
      </c>
    </row>
    <row r="1195">
      <c r="A1195" s="3">
        <f>IFERROR(__xludf.DUMMYFUNCTION("""COMPUTED_VALUE"""),41620.99861111111)</f>
        <v>41620.99861</v>
      </c>
      <c r="B1195" s="1">
        <f>IFERROR(__xludf.DUMMYFUNCTION("""COMPUTED_VALUE"""),42549.6419)</f>
        <v>42549.6419</v>
      </c>
    </row>
    <row r="1196">
      <c r="A1196" s="3">
        <f>IFERROR(__xludf.DUMMYFUNCTION("""COMPUTED_VALUE"""),41621.99861111111)</f>
        <v>41621.99861</v>
      </c>
      <c r="B1196" s="1">
        <f>IFERROR(__xludf.DUMMYFUNCTION("""COMPUTED_VALUE"""),42620.56388)</f>
        <v>42620.56388</v>
      </c>
    </row>
    <row r="1197">
      <c r="A1197" s="3">
        <f>IFERROR(__xludf.DUMMYFUNCTION("""COMPUTED_VALUE"""),41622.99861111111)</f>
        <v>41622.99861</v>
      </c>
      <c r="B1197" s="1">
        <f>IFERROR(__xludf.DUMMYFUNCTION("""COMPUTED_VALUE"""),42621.37948)</f>
        <v>42621.37948</v>
      </c>
    </row>
    <row r="1198">
      <c r="A1198" s="3">
        <f>IFERROR(__xludf.DUMMYFUNCTION("""COMPUTED_VALUE"""),41623.99861111111)</f>
        <v>41623.99861</v>
      </c>
      <c r="B1198" s="1">
        <f>IFERROR(__xludf.DUMMYFUNCTION("""COMPUTED_VALUE"""),42510.63481)</f>
        <v>42510.63481</v>
      </c>
    </row>
    <row r="1199">
      <c r="A1199" s="3">
        <f>IFERROR(__xludf.DUMMYFUNCTION("""COMPUTED_VALUE"""),41624.99861111111)</f>
        <v>41624.99861</v>
      </c>
      <c r="B1199" s="1">
        <f>IFERROR(__xludf.DUMMYFUNCTION("""COMPUTED_VALUE"""),42455.64182)</f>
        <v>42455.64182</v>
      </c>
    </row>
    <row r="1200">
      <c r="A1200" s="3">
        <f>IFERROR(__xludf.DUMMYFUNCTION("""COMPUTED_VALUE"""),41625.99861111111)</f>
        <v>41625.99861</v>
      </c>
      <c r="B1200" s="1">
        <f>IFERROR(__xludf.DUMMYFUNCTION("""COMPUTED_VALUE"""),42526.61414)</f>
        <v>42526.61414</v>
      </c>
    </row>
    <row r="1201">
      <c r="A1201" s="3">
        <f>IFERROR(__xludf.DUMMYFUNCTION("""COMPUTED_VALUE"""),41626.99861111111)</f>
        <v>41626.99861</v>
      </c>
      <c r="B1201" s="1">
        <f>IFERROR(__xludf.DUMMYFUNCTION("""COMPUTED_VALUE"""),42583.65711)</f>
        <v>42583.65711</v>
      </c>
    </row>
    <row r="1202">
      <c r="A1202" s="3">
        <f>IFERROR(__xludf.DUMMYFUNCTION("""COMPUTED_VALUE"""),41627.99861111111)</f>
        <v>41627.99861</v>
      </c>
      <c r="B1202" s="1">
        <f>IFERROR(__xludf.DUMMYFUNCTION("""COMPUTED_VALUE"""),42918.35695)</f>
        <v>42918.35695</v>
      </c>
    </row>
    <row r="1203">
      <c r="A1203" s="3">
        <f>IFERROR(__xludf.DUMMYFUNCTION("""COMPUTED_VALUE"""),41628.99861111111)</f>
        <v>41628.99861</v>
      </c>
      <c r="B1203" s="1">
        <f>IFERROR(__xludf.DUMMYFUNCTION("""COMPUTED_VALUE"""),43101.8541)</f>
        <v>43101.8541</v>
      </c>
    </row>
    <row r="1204">
      <c r="A1204" s="3">
        <f>IFERROR(__xludf.DUMMYFUNCTION("""COMPUTED_VALUE"""),41629.99861111111)</f>
        <v>41629.99861</v>
      </c>
      <c r="B1204" s="1">
        <f>IFERROR(__xludf.DUMMYFUNCTION("""COMPUTED_VALUE"""),43093.55505)</f>
        <v>43093.55505</v>
      </c>
    </row>
    <row r="1205">
      <c r="A1205" s="3">
        <f>IFERROR(__xludf.DUMMYFUNCTION("""COMPUTED_VALUE"""),41630.99861111111)</f>
        <v>41630.99861</v>
      </c>
      <c r="B1205" s="1">
        <f>IFERROR(__xludf.DUMMYFUNCTION("""COMPUTED_VALUE"""),43101.8541)</f>
        <v>43101.8541</v>
      </c>
    </row>
    <row r="1206">
      <c r="A1206" s="3">
        <f>IFERROR(__xludf.DUMMYFUNCTION("""COMPUTED_VALUE"""),41631.99861111111)</f>
        <v>41631.99861</v>
      </c>
      <c r="B1206" s="1">
        <f>IFERROR(__xludf.DUMMYFUNCTION("""COMPUTED_VALUE"""),43120.33162)</f>
        <v>43120.33162</v>
      </c>
    </row>
    <row r="1207">
      <c r="A1207" s="3">
        <f>IFERROR(__xludf.DUMMYFUNCTION("""COMPUTED_VALUE"""),41632.99861111111)</f>
        <v>41632.99861</v>
      </c>
      <c r="B1207" s="1">
        <f>IFERROR(__xludf.DUMMYFUNCTION("""COMPUTED_VALUE"""),43059.67932)</f>
        <v>43059.67932</v>
      </c>
    </row>
    <row r="1208">
      <c r="A1208" s="3">
        <f>IFERROR(__xludf.DUMMYFUNCTION("""COMPUTED_VALUE"""),41633.99861111111)</f>
        <v>41633.99861</v>
      </c>
      <c r="B1208" s="1">
        <f>IFERROR(__xludf.DUMMYFUNCTION("""COMPUTED_VALUE"""),43059.67932)</f>
        <v>43059.67932</v>
      </c>
    </row>
    <row r="1209">
      <c r="A1209" s="3">
        <f>IFERROR(__xludf.DUMMYFUNCTION("""COMPUTED_VALUE"""),41634.99861111111)</f>
        <v>41634.99861</v>
      </c>
      <c r="B1209" s="1">
        <f>IFERROR(__xludf.DUMMYFUNCTION("""COMPUTED_VALUE"""),43024.60804)</f>
        <v>43024.60804</v>
      </c>
    </row>
    <row r="1210">
      <c r="A1210" s="3">
        <f>IFERROR(__xludf.DUMMYFUNCTION("""COMPUTED_VALUE"""),41635.99861111111)</f>
        <v>41635.99861</v>
      </c>
      <c r="B1210" s="1">
        <f>IFERROR(__xludf.DUMMYFUNCTION("""COMPUTED_VALUE"""),43049.09674)</f>
        <v>43049.09674</v>
      </c>
    </row>
    <row r="1211">
      <c r="A1211" s="3">
        <f>IFERROR(__xludf.DUMMYFUNCTION("""COMPUTED_VALUE"""),41636.99861111111)</f>
        <v>41636.99861</v>
      </c>
      <c r="B1211" s="1">
        <f>IFERROR(__xludf.DUMMYFUNCTION("""COMPUTED_VALUE"""),43079.80051)</f>
        <v>43079.80051</v>
      </c>
    </row>
    <row r="1212">
      <c r="A1212" s="3">
        <f>IFERROR(__xludf.DUMMYFUNCTION("""COMPUTED_VALUE"""),41637.99861111111)</f>
        <v>41637.99861</v>
      </c>
      <c r="B1212" s="1">
        <f>IFERROR(__xludf.DUMMYFUNCTION("""COMPUTED_VALUE"""),43049.09674)</f>
        <v>43049.09674</v>
      </c>
    </row>
    <row r="1213">
      <c r="A1213" s="3">
        <f>IFERROR(__xludf.DUMMYFUNCTION("""COMPUTED_VALUE"""),41638.99861111111)</f>
        <v>41638.99861</v>
      </c>
      <c r="B1213" s="1">
        <f>IFERROR(__xludf.DUMMYFUNCTION("""COMPUTED_VALUE"""),43306.13425)</f>
        <v>43306.13425</v>
      </c>
    </row>
    <row r="1214">
      <c r="A1214" s="3">
        <f>IFERROR(__xludf.DUMMYFUNCTION("""COMPUTED_VALUE"""),41639.99861111111)</f>
        <v>41639.99861</v>
      </c>
      <c r="B1214" s="1">
        <f>IFERROR(__xludf.DUMMYFUNCTION("""COMPUTED_VALUE"""),43128.7664)</f>
        <v>43128.7664</v>
      </c>
    </row>
    <row r="1215">
      <c r="A1215" s="3">
        <f>IFERROR(__xludf.DUMMYFUNCTION("""COMPUTED_VALUE"""),41640.99861111111)</f>
        <v>41640.99861</v>
      </c>
      <c r="B1215" s="1">
        <f>IFERROR(__xludf.DUMMYFUNCTION("""COMPUTED_VALUE"""),43128.7664)</f>
        <v>43128.7664</v>
      </c>
    </row>
    <row r="1216">
      <c r="A1216" s="3">
        <f>IFERROR(__xludf.DUMMYFUNCTION("""COMPUTED_VALUE"""),41641.99861111111)</f>
        <v>41641.99861</v>
      </c>
      <c r="B1216" s="1">
        <f>IFERROR(__xludf.DUMMYFUNCTION("""COMPUTED_VALUE"""),42930.11441)</f>
        <v>42930.11441</v>
      </c>
    </row>
    <row r="1217">
      <c r="A1217" s="3">
        <f>IFERROR(__xludf.DUMMYFUNCTION("""COMPUTED_VALUE"""),41642.99861111111)</f>
        <v>41642.99861</v>
      </c>
      <c r="B1217" s="1">
        <f>IFERROR(__xludf.DUMMYFUNCTION("""COMPUTED_VALUE"""),42965.11692)</f>
        <v>42965.11692</v>
      </c>
    </row>
    <row r="1218">
      <c r="A1218" s="3">
        <f>IFERROR(__xludf.DUMMYFUNCTION("""COMPUTED_VALUE"""),41643.99861111111)</f>
        <v>41643.99861</v>
      </c>
      <c r="B1218" s="1">
        <f>IFERROR(__xludf.DUMMYFUNCTION("""COMPUTED_VALUE"""),42959.90063)</f>
        <v>42959.90063</v>
      </c>
    </row>
    <row r="1219">
      <c r="A1219" s="3">
        <f>IFERROR(__xludf.DUMMYFUNCTION("""COMPUTED_VALUE"""),41644.99861111111)</f>
        <v>41644.99861</v>
      </c>
      <c r="B1219" s="1">
        <f>IFERROR(__xludf.DUMMYFUNCTION("""COMPUTED_VALUE"""),42979.31088)</f>
        <v>42979.31088</v>
      </c>
    </row>
    <row r="1220">
      <c r="A1220" s="3">
        <f>IFERROR(__xludf.DUMMYFUNCTION("""COMPUTED_VALUE"""),41645.99861111111)</f>
        <v>41645.99861</v>
      </c>
      <c r="B1220" s="1">
        <f>IFERROR(__xludf.DUMMYFUNCTION("""COMPUTED_VALUE"""),43040.08248)</f>
        <v>43040.08248</v>
      </c>
    </row>
    <row r="1221">
      <c r="A1221" s="3">
        <f>IFERROR(__xludf.DUMMYFUNCTION("""COMPUTED_VALUE"""),41646.99861111111)</f>
        <v>41646.99861</v>
      </c>
      <c r="B1221" s="1">
        <f>IFERROR(__xludf.DUMMYFUNCTION("""COMPUTED_VALUE"""),42798.8622)</f>
        <v>42798.8622</v>
      </c>
    </row>
    <row r="1222">
      <c r="A1222" s="3">
        <f>IFERROR(__xludf.DUMMYFUNCTION("""COMPUTED_VALUE"""),41647.99861111111)</f>
        <v>41647.99861</v>
      </c>
      <c r="B1222" s="1">
        <f>IFERROR(__xludf.DUMMYFUNCTION("""COMPUTED_VALUE"""),42744.37971)</f>
        <v>42744.37971</v>
      </c>
    </row>
    <row r="1223">
      <c r="A1223" s="3">
        <f>IFERROR(__xludf.DUMMYFUNCTION("""COMPUTED_VALUE"""),41648.99861111111)</f>
        <v>41648.99861</v>
      </c>
      <c r="B1223" s="1">
        <f>IFERROR(__xludf.DUMMYFUNCTION("""COMPUTED_VALUE"""),42600.18636)</f>
        <v>42600.18636</v>
      </c>
    </row>
    <row r="1224">
      <c r="A1224" s="3">
        <f>IFERROR(__xludf.DUMMYFUNCTION("""COMPUTED_VALUE"""),41649.99861111111)</f>
        <v>41649.99861</v>
      </c>
      <c r="B1224" s="1">
        <f>IFERROR(__xludf.DUMMYFUNCTION("""COMPUTED_VALUE"""),41943.94916)</f>
        <v>41943.94916</v>
      </c>
    </row>
    <row r="1225">
      <c r="A1225" s="3">
        <f>IFERROR(__xludf.DUMMYFUNCTION("""COMPUTED_VALUE"""),41650.99861111111)</f>
        <v>41650.99861</v>
      </c>
      <c r="B1225" s="1">
        <f>IFERROR(__xludf.DUMMYFUNCTION("""COMPUTED_VALUE"""),41930.93036)</f>
        <v>41930.93036</v>
      </c>
    </row>
    <row r="1226">
      <c r="A1226" s="3">
        <f>IFERROR(__xludf.DUMMYFUNCTION("""COMPUTED_VALUE"""),41651.99861111111)</f>
        <v>41651.99861</v>
      </c>
      <c r="B1226" s="1">
        <f>IFERROR(__xludf.DUMMYFUNCTION("""COMPUTED_VALUE"""),42628.58906)</f>
        <v>42628.58906</v>
      </c>
    </row>
    <row r="1227">
      <c r="A1227" s="3">
        <f>IFERROR(__xludf.DUMMYFUNCTION("""COMPUTED_VALUE"""),41652.99861111111)</f>
        <v>41652.99861</v>
      </c>
      <c r="B1227" s="1">
        <f>IFERROR(__xludf.DUMMYFUNCTION("""COMPUTED_VALUE"""),41901.38088)</f>
        <v>41901.38088</v>
      </c>
    </row>
    <row r="1228">
      <c r="A1228" s="3">
        <f>IFERROR(__xludf.DUMMYFUNCTION("""COMPUTED_VALUE"""),41653.99861111111)</f>
        <v>41653.99861</v>
      </c>
      <c r="B1228" s="1">
        <f>IFERROR(__xludf.DUMMYFUNCTION("""COMPUTED_VALUE"""),41825.26941)</f>
        <v>41825.26941</v>
      </c>
    </row>
    <row r="1229">
      <c r="A1229" s="3">
        <f>IFERROR(__xludf.DUMMYFUNCTION("""COMPUTED_VALUE"""),41654.99861111111)</f>
        <v>41654.99861</v>
      </c>
      <c r="B1229" s="1">
        <f>IFERROR(__xludf.DUMMYFUNCTION("""COMPUTED_VALUE"""),41873.46194)</f>
        <v>41873.46194</v>
      </c>
    </row>
    <row r="1230">
      <c r="A1230" s="3">
        <f>IFERROR(__xludf.DUMMYFUNCTION("""COMPUTED_VALUE"""),41655.99861111111)</f>
        <v>41655.99861</v>
      </c>
      <c r="B1230" s="1">
        <f>IFERROR(__xludf.DUMMYFUNCTION("""COMPUTED_VALUE"""),42113.09266)</f>
        <v>42113.09266</v>
      </c>
    </row>
    <row r="1231">
      <c r="A1231" s="3">
        <f>IFERROR(__xludf.DUMMYFUNCTION("""COMPUTED_VALUE"""),41656.99861111111)</f>
        <v>41656.99861</v>
      </c>
      <c r="B1231" s="1">
        <f>IFERROR(__xludf.DUMMYFUNCTION("""COMPUTED_VALUE"""),42042.18326)</f>
        <v>42042.18326</v>
      </c>
    </row>
    <row r="1232">
      <c r="A1232" s="3">
        <f>IFERROR(__xludf.DUMMYFUNCTION("""COMPUTED_VALUE"""),41657.99861111111)</f>
        <v>41657.99861</v>
      </c>
      <c r="B1232" s="1">
        <f>IFERROR(__xludf.DUMMYFUNCTION("""COMPUTED_VALUE"""),42057.74787)</f>
        <v>42057.74787</v>
      </c>
    </row>
    <row r="1233">
      <c r="A1233" s="3">
        <f>IFERROR(__xludf.DUMMYFUNCTION("""COMPUTED_VALUE"""),41658.99861111111)</f>
        <v>41658.99861</v>
      </c>
      <c r="B1233" s="1">
        <f>IFERROR(__xludf.DUMMYFUNCTION("""COMPUTED_VALUE"""),42042.18326)</f>
        <v>42042.18326</v>
      </c>
    </row>
    <row r="1234">
      <c r="A1234" s="3">
        <f>IFERROR(__xludf.DUMMYFUNCTION("""COMPUTED_VALUE"""),41659.99861111111)</f>
        <v>41659.99861</v>
      </c>
      <c r="B1234" s="1">
        <f>IFERROR(__xludf.DUMMYFUNCTION("""COMPUTED_VALUE"""),42098.36729)</f>
        <v>42098.36729</v>
      </c>
    </row>
    <row r="1235">
      <c r="A1235" s="3">
        <f>IFERROR(__xludf.DUMMYFUNCTION("""COMPUTED_VALUE"""),41660.99861111111)</f>
        <v>41660.99861</v>
      </c>
      <c r="B1235" s="1">
        <f>IFERROR(__xludf.DUMMYFUNCTION("""COMPUTED_VALUE"""),42636.96265)</f>
        <v>42636.96265</v>
      </c>
    </row>
    <row r="1236">
      <c r="A1236" s="3">
        <f>IFERROR(__xludf.DUMMYFUNCTION("""COMPUTED_VALUE"""),41661.99861111111)</f>
        <v>41661.99861</v>
      </c>
      <c r="B1236" s="1">
        <f>IFERROR(__xludf.DUMMYFUNCTION("""COMPUTED_VALUE"""),42680.073)</f>
        <v>42680.073</v>
      </c>
    </row>
    <row r="1237">
      <c r="A1237" s="3">
        <f>IFERROR(__xludf.DUMMYFUNCTION("""COMPUTED_VALUE"""),41662.99861111111)</f>
        <v>41662.99861</v>
      </c>
      <c r="B1237" s="1">
        <f>IFERROR(__xludf.DUMMYFUNCTION("""COMPUTED_VALUE"""),42826.77903)</f>
        <v>42826.77903</v>
      </c>
    </row>
    <row r="1238">
      <c r="A1238" s="3">
        <f>IFERROR(__xludf.DUMMYFUNCTION("""COMPUTED_VALUE"""),41663.99861111111)</f>
        <v>41663.99861</v>
      </c>
      <c r="B1238" s="1">
        <f>IFERROR(__xludf.DUMMYFUNCTION("""COMPUTED_VALUE"""),43018.79833)</f>
        <v>43018.79833</v>
      </c>
    </row>
    <row r="1239">
      <c r="A1239" s="3">
        <f>IFERROR(__xludf.DUMMYFUNCTION("""COMPUTED_VALUE"""),41664.99861111111)</f>
        <v>41664.99861</v>
      </c>
      <c r="B1239" s="1">
        <f>IFERROR(__xludf.DUMMYFUNCTION("""COMPUTED_VALUE"""),43073.35338)</f>
        <v>43073.35338</v>
      </c>
    </row>
    <row r="1240">
      <c r="A1240" s="3">
        <f>IFERROR(__xludf.DUMMYFUNCTION("""COMPUTED_VALUE"""),41665.99861111111)</f>
        <v>41665.99861</v>
      </c>
      <c r="B1240" s="1">
        <f>IFERROR(__xludf.DUMMYFUNCTION("""COMPUTED_VALUE"""),43041.69411)</f>
        <v>43041.69411</v>
      </c>
    </row>
    <row r="1241">
      <c r="A1241" s="3">
        <f>IFERROR(__xludf.DUMMYFUNCTION("""COMPUTED_VALUE"""),41666.99861111111)</f>
        <v>41666.99861</v>
      </c>
      <c r="B1241" s="1">
        <f>IFERROR(__xludf.DUMMYFUNCTION("""COMPUTED_VALUE"""),43271.71159)</f>
        <v>43271.71159</v>
      </c>
    </row>
    <row r="1242">
      <c r="A1242" s="3">
        <f>IFERROR(__xludf.DUMMYFUNCTION("""COMPUTED_VALUE"""),41667.99861111111)</f>
        <v>41667.99861</v>
      </c>
      <c r="B1242" s="1">
        <f>IFERROR(__xludf.DUMMYFUNCTION("""COMPUTED_VALUE"""),42882.9752)</f>
        <v>42882.9752</v>
      </c>
    </row>
    <row r="1243">
      <c r="A1243" s="3">
        <f>IFERROR(__xludf.DUMMYFUNCTION("""COMPUTED_VALUE"""),41668.99861111111)</f>
        <v>41668.99861</v>
      </c>
      <c r="B1243" s="1">
        <f>IFERROR(__xludf.DUMMYFUNCTION("""COMPUTED_VALUE"""),42898.20135)</f>
        <v>42898.20135</v>
      </c>
    </row>
    <row r="1244">
      <c r="A1244" s="3">
        <f>IFERROR(__xludf.DUMMYFUNCTION("""COMPUTED_VALUE"""),41669.99861111111)</f>
        <v>41669.99861</v>
      </c>
      <c r="B1244" s="1">
        <f>IFERROR(__xludf.DUMMYFUNCTION("""COMPUTED_VALUE"""),43023.65686)</f>
        <v>43023.65686</v>
      </c>
    </row>
    <row r="1245">
      <c r="A1245" s="3">
        <f>IFERROR(__xludf.DUMMYFUNCTION("""COMPUTED_VALUE"""),41670.99861111111)</f>
        <v>41670.99861</v>
      </c>
      <c r="B1245" s="1">
        <f>IFERROR(__xludf.DUMMYFUNCTION("""COMPUTED_VALUE"""),43046.9397)</f>
        <v>43046.9397</v>
      </c>
    </row>
    <row r="1246">
      <c r="A1246" s="3">
        <f>IFERROR(__xludf.DUMMYFUNCTION("""COMPUTED_VALUE"""),41671.99861111111)</f>
        <v>41671.99861</v>
      </c>
      <c r="B1246" s="1">
        <f>IFERROR(__xludf.DUMMYFUNCTION("""COMPUTED_VALUE"""),43184.74642)</f>
        <v>43184.74642</v>
      </c>
    </row>
    <row r="1247">
      <c r="A1247" s="3">
        <f>IFERROR(__xludf.DUMMYFUNCTION("""COMPUTED_VALUE"""),41672.99861111111)</f>
        <v>41672.99861</v>
      </c>
      <c r="B1247" s="1">
        <f>IFERROR(__xludf.DUMMYFUNCTION("""COMPUTED_VALUE"""),43077.4605)</f>
        <v>43077.4605</v>
      </c>
    </row>
    <row r="1248">
      <c r="A1248" s="3">
        <f>IFERROR(__xludf.DUMMYFUNCTION("""COMPUTED_VALUE"""),41673.99861111111)</f>
        <v>41673.99861</v>
      </c>
      <c r="B1248" s="1">
        <f>IFERROR(__xludf.DUMMYFUNCTION("""COMPUTED_VALUE"""),42908.84213)</f>
        <v>42908.84213</v>
      </c>
    </row>
    <row r="1249">
      <c r="A1249" s="3">
        <f>IFERROR(__xludf.DUMMYFUNCTION("""COMPUTED_VALUE"""),41674.99861111111)</f>
        <v>41674.99861</v>
      </c>
      <c r="B1249" s="1">
        <f>IFERROR(__xludf.DUMMYFUNCTION("""COMPUTED_VALUE"""),42431.64601)</f>
        <v>42431.64601</v>
      </c>
    </row>
    <row r="1250">
      <c r="A1250" s="3">
        <f>IFERROR(__xludf.DUMMYFUNCTION("""COMPUTED_VALUE"""),41675.99861111111)</f>
        <v>41675.99861</v>
      </c>
      <c r="B1250" s="1">
        <f>IFERROR(__xludf.DUMMYFUNCTION("""COMPUTED_VALUE"""),42649.82076)</f>
        <v>42649.82076</v>
      </c>
    </row>
    <row r="1251">
      <c r="A1251" s="3">
        <f>IFERROR(__xludf.DUMMYFUNCTION("""COMPUTED_VALUE"""),41676.99861111111)</f>
        <v>41676.99861</v>
      </c>
      <c r="B1251" s="1">
        <f>IFERROR(__xludf.DUMMYFUNCTION("""COMPUTED_VALUE"""),42296.92464)</f>
        <v>42296.92464</v>
      </c>
    </row>
    <row r="1252">
      <c r="A1252" s="3">
        <f>IFERROR(__xludf.DUMMYFUNCTION("""COMPUTED_VALUE"""),41677.99861111111)</f>
        <v>41677.99861</v>
      </c>
      <c r="B1252" s="1">
        <f>IFERROR(__xludf.DUMMYFUNCTION("""COMPUTED_VALUE"""),42481.41582)</f>
        <v>42481.41582</v>
      </c>
    </row>
    <row r="1253">
      <c r="A1253" s="3">
        <f>IFERROR(__xludf.DUMMYFUNCTION("""COMPUTED_VALUE"""),41678.99861111111)</f>
        <v>41678.99861</v>
      </c>
      <c r="B1253" s="1">
        <f>IFERROR(__xludf.DUMMYFUNCTION("""COMPUTED_VALUE"""),42545.94679)</f>
        <v>42545.94679</v>
      </c>
    </row>
    <row r="1254">
      <c r="A1254" s="3">
        <f>IFERROR(__xludf.DUMMYFUNCTION("""COMPUTED_VALUE"""),41679.99861111111)</f>
        <v>41679.99861</v>
      </c>
      <c r="B1254" s="1">
        <f>IFERROR(__xludf.DUMMYFUNCTION("""COMPUTED_VALUE"""),42481.41582)</f>
        <v>42481.41582</v>
      </c>
    </row>
    <row r="1255">
      <c r="A1255" s="3">
        <f>IFERROR(__xludf.DUMMYFUNCTION("""COMPUTED_VALUE"""),41680.99861111111)</f>
        <v>41680.99861</v>
      </c>
      <c r="B1255" s="1">
        <f>IFERROR(__xludf.DUMMYFUNCTION("""COMPUTED_VALUE"""),42665.04908)</f>
        <v>42665.04908</v>
      </c>
    </row>
    <row r="1256">
      <c r="A1256" s="3">
        <f>IFERROR(__xludf.DUMMYFUNCTION("""COMPUTED_VALUE"""),41681.99861111111)</f>
        <v>41681.99861</v>
      </c>
      <c r="B1256" s="1">
        <f>IFERROR(__xludf.DUMMYFUNCTION("""COMPUTED_VALUE"""),42525.26872)</f>
        <v>42525.26872</v>
      </c>
    </row>
    <row r="1257">
      <c r="A1257" s="3">
        <f>IFERROR(__xludf.DUMMYFUNCTION("""COMPUTED_VALUE"""),41682.99861111111)</f>
        <v>41682.99861</v>
      </c>
      <c r="B1257" s="1">
        <f>IFERROR(__xludf.DUMMYFUNCTION("""COMPUTED_VALUE"""),42331.02096)</f>
        <v>42331.02096</v>
      </c>
    </row>
    <row r="1258">
      <c r="A1258" s="3">
        <f>IFERROR(__xludf.DUMMYFUNCTION("""COMPUTED_VALUE"""),41683.99861111111)</f>
        <v>41683.99861</v>
      </c>
      <c r="B1258" s="1">
        <f>IFERROR(__xludf.DUMMYFUNCTION("""COMPUTED_VALUE"""),42176.28388)</f>
        <v>42176.28388</v>
      </c>
    </row>
    <row r="1259">
      <c r="A1259" s="3">
        <f>IFERROR(__xludf.DUMMYFUNCTION("""COMPUTED_VALUE"""),41684.99861111111)</f>
        <v>41684.99861</v>
      </c>
      <c r="B1259" s="1">
        <f>IFERROR(__xludf.DUMMYFUNCTION("""COMPUTED_VALUE"""),41254.03766)</f>
        <v>41254.03766</v>
      </c>
    </row>
    <row r="1260">
      <c r="A1260" s="3">
        <f>IFERROR(__xludf.DUMMYFUNCTION("""COMPUTED_VALUE"""),41685.99861111111)</f>
        <v>41685.99861</v>
      </c>
      <c r="B1260" s="1">
        <f>IFERROR(__xludf.DUMMYFUNCTION("""COMPUTED_VALUE"""),41331.88217)</f>
        <v>41331.88217</v>
      </c>
    </row>
    <row r="1261">
      <c r="A1261" s="3">
        <f>IFERROR(__xludf.DUMMYFUNCTION("""COMPUTED_VALUE"""),41686.99861111111)</f>
        <v>41686.99861</v>
      </c>
      <c r="B1261" s="1">
        <f>IFERROR(__xludf.DUMMYFUNCTION("""COMPUTED_VALUE"""),41538.40118)</f>
        <v>41538.40118</v>
      </c>
    </row>
    <row r="1262">
      <c r="A1262" s="3">
        <f>IFERROR(__xludf.DUMMYFUNCTION("""COMPUTED_VALUE"""),41687.99861111111)</f>
        <v>41687.99861</v>
      </c>
      <c r="B1262" s="1">
        <f>IFERROR(__xludf.DUMMYFUNCTION("""COMPUTED_VALUE"""),41331.14232)</f>
        <v>41331.14232</v>
      </c>
    </row>
    <row r="1263">
      <c r="A1263" s="3">
        <f>IFERROR(__xludf.DUMMYFUNCTION("""COMPUTED_VALUE"""),41688.99861111111)</f>
        <v>41688.99861</v>
      </c>
      <c r="B1263" s="1">
        <f>IFERROR(__xludf.DUMMYFUNCTION("""COMPUTED_VALUE"""),42099.26304)</f>
        <v>42099.26304</v>
      </c>
    </row>
    <row r="1264">
      <c r="A1264" s="3">
        <f>IFERROR(__xludf.DUMMYFUNCTION("""COMPUTED_VALUE"""),41689.99861111111)</f>
        <v>41689.99861</v>
      </c>
      <c r="B1264" s="1">
        <f>IFERROR(__xludf.DUMMYFUNCTION("""COMPUTED_VALUE"""),41499.83516)</f>
        <v>41499.83516</v>
      </c>
    </row>
    <row r="1265">
      <c r="A1265" s="3">
        <f>IFERROR(__xludf.DUMMYFUNCTION("""COMPUTED_VALUE"""),41690.99861111111)</f>
        <v>41690.99861</v>
      </c>
      <c r="B1265" s="1">
        <f>IFERROR(__xludf.DUMMYFUNCTION("""COMPUTED_VALUE"""),41807.96751)</f>
        <v>41807.96751</v>
      </c>
    </row>
    <row r="1266">
      <c r="A1266" s="3">
        <f>IFERROR(__xludf.DUMMYFUNCTION("""COMPUTED_VALUE"""),41691.99861111111)</f>
        <v>41691.99861</v>
      </c>
      <c r="B1266" s="1">
        <f>IFERROR(__xludf.DUMMYFUNCTION("""COMPUTED_VALUE"""),41495.54935)</f>
        <v>41495.54935</v>
      </c>
    </row>
    <row r="1267">
      <c r="A1267" s="3">
        <f>IFERROR(__xludf.DUMMYFUNCTION("""COMPUTED_VALUE"""),41692.99861111111)</f>
        <v>41692.99861</v>
      </c>
      <c r="B1267" s="1">
        <f>IFERROR(__xludf.DUMMYFUNCTION("""COMPUTED_VALUE"""),41548.48007)</f>
        <v>41548.48007</v>
      </c>
    </row>
    <row r="1268">
      <c r="A1268" s="3">
        <f>IFERROR(__xludf.DUMMYFUNCTION("""COMPUTED_VALUE"""),41693.99861111111)</f>
        <v>41693.99861</v>
      </c>
      <c r="B1268" s="1">
        <f>IFERROR(__xludf.DUMMYFUNCTION("""COMPUTED_VALUE"""),41495.54935)</f>
        <v>41495.54935</v>
      </c>
    </row>
    <row r="1269">
      <c r="A1269" s="3">
        <f>IFERROR(__xludf.DUMMYFUNCTION("""COMPUTED_VALUE"""),41694.99861111111)</f>
        <v>41694.99861</v>
      </c>
      <c r="B1269" s="1">
        <f>IFERROR(__xludf.DUMMYFUNCTION("""COMPUTED_VALUE"""),41159.10468)</f>
        <v>41159.10468</v>
      </c>
    </row>
    <row r="1270">
      <c r="A1270" s="3">
        <f>IFERROR(__xludf.DUMMYFUNCTION("""COMPUTED_VALUE"""),41695.99861111111)</f>
        <v>41695.99861</v>
      </c>
      <c r="B1270" s="1">
        <f>IFERROR(__xludf.DUMMYFUNCTION("""COMPUTED_VALUE"""),41331.71252)</f>
        <v>41331.71252</v>
      </c>
    </row>
    <row r="1271">
      <c r="A1271" s="3">
        <f>IFERROR(__xludf.DUMMYFUNCTION("""COMPUTED_VALUE"""),41696.99861111111)</f>
        <v>41696.99861</v>
      </c>
      <c r="B1271" s="1">
        <f>IFERROR(__xludf.DUMMYFUNCTION("""COMPUTED_VALUE"""),41467.3103)</f>
        <v>41467.3103</v>
      </c>
    </row>
    <row r="1272">
      <c r="A1272" s="3">
        <f>IFERROR(__xludf.DUMMYFUNCTION("""COMPUTED_VALUE"""),41697.99861111111)</f>
        <v>41697.99861</v>
      </c>
      <c r="B1272" s="1">
        <f>IFERROR(__xludf.DUMMYFUNCTION("""COMPUTED_VALUE"""),41262.66882)</f>
        <v>41262.66882</v>
      </c>
    </row>
    <row r="1273">
      <c r="A1273" s="3">
        <f>IFERROR(__xludf.DUMMYFUNCTION("""COMPUTED_VALUE"""),41698.99861111111)</f>
        <v>41698.99861</v>
      </c>
      <c r="B1273" s="1">
        <f>IFERROR(__xludf.DUMMYFUNCTION("""COMPUTED_VALUE"""),41186.93572)</f>
        <v>41186.93572</v>
      </c>
    </row>
    <row r="1274">
      <c r="A1274" s="3">
        <f>IFERROR(__xludf.DUMMYFUNCTION("""COMPUTED_VALUE"""),41699.99861111111)</f>
        <v>41699.99861</v>
      </c>
      <c r="B1274" s="1">
        <f>IFERROR(__xludf.DUMMYFUNCTION("""COMPUTED_VALUE"""),41252.72659)</f>
        <v>41252.72659</v>
      </c>
    </row>
    <row r="1275">
      <c r="A1275" s="3">
        <f>IFERROR(__xludf.DUMMYFUNCTION("""COMPUTED_VALUE"""),41700.99861111111)</f>
        <v>41700.99861</v>
      </c>
      <c r="B1275" s="1">
        <f>IFERROR(__xludf.DUMMYFUNCTION("""COMPUTED_VALUE"""),41186.93572)</f>
        <v>41186.93572</v>
      </c>
    </row>
    <row r="1276">
      <c r="A1276" s="3">
        <f>IFERROR(__xludf.DUMMYFUNCTION("""COMPUTED_VALUE"""),41701.99861111111)</f>
        <v>41701.99861</v>
      </c>
      <c r="B1276" s="1">
        <f>IFERROR(__xludf.DUMMYFUNCTION("""COMPUTED_VALUE"""),41475.98772)</f>
        <v>41475.98772</v>
      </c>
    </row>
    <row r="1277">
      <c r="A1277" s="3">
        <f>IFERROR(__xludf.DUMMYFUNCTION("""COMPUTED_VALUE"""),41702.99861111111)</f>
        <v>41702.99861</v>
      </c>
      <c r="B1277" s="1">
        <f>IFERROR(__xludf.DUMMYFUNCTION("""COMPUTED_VALUE"""),41132.32772)</f>
        <v>41132.32772</v>
      </c>
    </row>
    <row r="1278">
      <c r="A1278" s="3">
        <f>IFERROR(__xludf.DUMMYFUNCTION("""COMPUTED_VALUE"""),41703.99861111111)</f>
        <v>41703.99861</v>
      </c>
      <c r="B1278" s="1">
        <f>IFERROR(__xludf.DUMMYFUNCTION("""COMPUTED_VALUE"""),41163.27709)</f>
        <v>41163.27709</v>
      </c>
    </row>
    <row r="1279">
      <c r="A1279" s="3">
        <f>IFERROR(__xludf.DUMMYFUNCTION("""COMPUTED_VALUE"""),41704.99861111111)</f>
        <v>41704.99861</v>
      </c>
      <c r="B1279" s="1">
        <f>IFERROR(__xludf.DUMMYFUNCTION("""COMPUTED_VALUE"""),40590.52732)</f>
        <v>40590.52732</v>
      </c>
    </row>
    <row r="1280">
      <c r="A1280" s="3">
        <f>IFERROR(__xludf.DUMMYFUNCTION("""COMPUTED_VALUE"""),41705.99861111111)</f>
        <v>41705.99861</v>
      </c>
      <c r="B1280" s="1">
        <f>IFERROR(__xludf.DUMMYFUNCTION("""COMPUTED_VALUE"""),40483.54923)</f>
        <v>40483.54923</v>
      </c>
    </row>
    <row r="1281">
      <c r="A1281" s="3">
        <f>IFERROR(__xludf.DUMMYFUNCTION("""COMPUTED_VALUE"""),41706.99861111111)</f>
        <v>41706.99861</v>
      </c>
      <c r="B1281" s="1">
        <f>IFERROR(__xludf.DUMMYFUNCTION("""COMPUTED_VALUE"""),40542.21588)</f>
        <v>40542.21588</v>
      </c>
    </row>
    <row r="1282">
      <c r="A1282" s="3">
        <f>IFERROR(__xludf.DUMMYFUNCTION("""COMPUTED_VALUE"""),41707.99861111111)</f>
        <v>41707.99861</v>
      </c>
      <c r="B1282" s="1">
        <f>IFERROR(__xludf.DUMMYFUNCTION("""COMPUTED_VALUE"""),40483.54923)</f>
        <v>40483.54923</v>
      </c>
    </row>
    <row r="1283">
      <c r="A1283" s="3">
        <f>IFERROR(__xludf.DUMMYFUNCTION("""COMPUTED_VALUE"""),41708.99861111111)</f>
        <v>41708.99861</v>
      </c>
      <c r="B1283" s="1">
        <f>IFERROR(__xludf.DUMMYFUNCTION("""COMPUTED_VALUE"""),40661.67636)</f>
        <v>40661.67636</v>
      </c>
    </row>
    <row r="1284">
      <c r="A1284" s="3">
        <f>IFERROR(__xludf.DUMMYFUNCTION("""COMPUTED_VALUE"""),41709.99861111111)</f>
        <v>41709.99861</v>
      </c>
      <c r="B1284" s="1">
        <f>IFERROR(__xludf.DUMMYFUNCTION("""COMPUTED_VALUE"""),40857.33622)</f>
        <v>40857.33622</v>
      </c>
    </row>
    <row r="1285">
      <c r="A1285" s="3">
        <f>IFERROR(__xludf.DUMMYFUNCTION("""COMPUTED_VALUE"""),41710.99861111111)</f>
        <v>41710.99861</v>
      </c>
      <c r="B1285" s="1">
        <f>IFERROR(__xludf.DUMMYFUNCTION("""COMPUTED_VALUE"""),40679.46362)</f>
        <v>40679.46362</v>
      </c>
    </row>
    <row r="1286">
      <c r="A1286" s="3">
        <f>IFERROR(__xludf.DUMMYFUNCTION("""COMPUTED_VALUE"""),41711.99861111111)</f>
        <v>41711.99861</v>
      </c>
      <c r="B1286" s="1">
        <f>IFERROR(__xludf.DUMMYFUNCTION("""COMPUTED_VALUE"""),40629.65929)</f>
        <v>40629.65929</v>
      </c>
    </row>
    <row r="1287">
      <c r="A1287" s="3">
        <f>IFERROR(__xludf.DUMMYFUNCTION("""COMPUTED_VALUE"""),41712.99861111111)</f>
        <v>41712.99861</v>
      </c>
      <c r="B1287" s="1">
        <f>IFERROR(__xludf.DUMMYFUNCTION("""COMPUTED_VALUE"""),40184.97779)</f>
        <v>40184.97779</v>
      </c>
    </row>
    <row r="1288">
      <c r="A1288" s="3">
        <f>IFERROR(__xludf.DUMMYFUNCTION("""COMPUTED_VALUE"""),41713.99861111111)</f>
        <v>41713.99861</v>
      </c>
      <c r="B1288" s="1">
        <f>IFERROR(__xludf.DUMMYFUNCTION("""COMPUTED_VALUE"""),40242.64408)</f>
        <v>40242.64408</v>
      </c>
    </row>
    <row r="1289">
      <c r="A1289" s="3">
        <f>IFERROR(__xludf.DUMMYFUNCTION("""COMPUTED_VALUE"""),41714.99861111111)</f>
        <v>41714.99861</v>
      </c>
      <c r="B1289" s="1">
        <f>IFERROR(__xludf.DUMMYFUNCTION("""COMPUTED_VALUE"""),40184.97779)</f>
        <v>40184.97779</v>
      </c>
    </row>
    <row r="1290">
      <c r="A1290" s="3">
        <f>IFERROR(__xludf.DUMMYFUNCTION("""COMPUTED_VALUE"""),41715.99861111111)</f>
        <v>41715.99861</v>
      </c>
      <c r="B1290" s="1">
        <f>IFERROR(__xludf.DUMMYFUNCTION("""COMPUTED_VALUE"""),40149.40327)</f>
        <v>40149.40327</v>
      </c>
    </row>
    <row r="1291">
      <c r="A1291" s="3">
        <f>IFERROR(__xludf.DUMMYFUNCTION("""COMPUTED_VALUE"""),41716.99861111111)</f>
        <v>41716.99861</v>
      </c>
      <c r="B1291" s="1">
        <f>IFERROR(__xludf.DUMMYFUNCTION("""COMPUTED_VALUE"""),40288.1439)</f>
        <v>40288.1439</v>
      </c>
    </row>
    <row r="1292">
      <c r="A1292" s="3">
        <f>IFERROR(__xludf.DUMMYFUNCTION("""COMPUTED_VALUE"""),41717.99861111111)</f>
        <v>41717.99861</v>
      </c>
      <c r="B1292" s="1">
        <f>IFERROR(__xludf.DUMMYFUNCTION("""COMPUTED_VALUE"""),40234.78212)</f>
        <v>40234.78212</v>
      </c>
    </row>
    <row r="1293">
      <c r="A1293" s="3">
        <f>IFERROR(__xludf.DUMMYFUNCTION("""COMPUTED_VALUE"""),41718.99861111111)</f>
        <v>41718.99861</v>
      </c>
      <c r="B1293" s="1">
        <f>IFERROR(__xludf.DUMMYFUNCTION("""COMPUTED_VALUE"""),40686.70197)</f>
        <v>40686.70197</v>
      </c>
    </row>
    <row r="1294">
      <c r="A1294" s="3">
        <f>IFERROR(__xludf.DUMMYFUNCTION("""COMPUTED_VALUE"""),41719.99861111111)</f>
        <v>41719.99861</v>
      </c>
      <c r="B1294" s="1">
        <f>IFERROR(__xludf.DUMMYFUNCTION("""COMPUTED_VALUE"""),40565.72708)</f>
        <v>40565.72708</v>
      </c>
    </row>
    <row r="1295">
      <c r="A1295" s="3">
        <f>IFERROR(__xludf.DUMMYFUNCTION("""COMPUTED_VALUE"""),41720.99861111111)</f>
        <v>41720.99861</v>
      </c>
      <c r="B1295" s="1">
        <f>IFERROR(__xludf.DUMMYFUNCTION("""COMPUTED_VALUE"""),40617.39047)</f>
        <v>40617.39047</v>
      </c>
    </row>
    <row r="1296">
      <c r="A1296" s="3">
        <f>IFERROR(__xludf.DUMMYFUNCTION("""COMPUTED_VALUE"""),41721.99861111111)</f>
        <v>41721.99861</v>
      </c>
      <c r="B1296" s="1">
        <f>IFERROR(__xludf.DUMMYFUNCTION("""COMPUTED_VALUE"""),40565.72708)</f>
        <v>40565.72708</v>
      </c>
    </row>
    <row r="1297">
      <c r="A1297" s="3">
        <f>IFERROR(__xludf.DUMMYFUNCTION("""COMPUTED_VALUE"""),41722.99861111111)</f>
        <v>41722.99861</v>
      </c>
      <c r="B1297" s="1">
        <f>IFERROR(__xludf.DUMMYFUNCTION("""COMPUTED_VALUE"""),40394.66035)</f>
        <v>40394.66035</v>
      </c>
    </row>
    <row r="1298">
      <c r="A1298" s="3">
        <f>IFERROR(__xludf.DUMMYFUNCTION("""COMPUTED_VALUE"""),41723.99861111111)</f>
        <v>41723.99861</v>
      </c>
      <c r="B1298" s="1">
        <f>IFERROR(__xludf.DUMMYFUNCTION("""COMPUTED_VALUE"""),40487.36121)</f>
        <v>40487.36121</v>
      </c>
    </row>
    <row r="1299">
      <c r="A1299" s="3">
        <f>IFERROR(__xludf.DUMMYFUNCTION("""COMPUTED_VALUE"""),41724.99861111111)</f>
        <v>41724.99861</v>
      </c>
      <c r="B1299" s="1">
        <f>IFERROR(__xludf.DUMMYFUNCTION("""COMPUTED_VALUE"""),40679.46362)</f>
        <v>40679.46362</v>
      </c>
    </row>
    <row r="1300">
      <c r="A1300" s="3">
        <f>IFERROR(__xludf.DUMMYFUNCTION("""COMPUTED_VALUE"""),41725.99861111111)</f>
        <v>41725.99861</v>
      </c>
      <c r="B1300" s="1">
        <f>IFERROR(__xludf.DUMMYFUNCTION("""COMPUTED_VALUE"""),40487.36121)</f>
        <v>40487.36121</v>
      </c>
    </row>
    <row r="1301">
      <c r="A1301" s="3">
        <f>IFERROR(__xludf.DUMMYFUNCTION("""COMPUTED_VALUE"""),41726.99861111111)</f>
        <v>41726.99861</v>
      </c>
      <c r="B1301" s="1">
        <f>IFERROR(__xludf.DUMMYFUNCTION("""COMPUTED_VALUE"""),40216.99486)</f>
        <v>40216.99486</v>
      </c>
    </row>
    <row r="1302">
      <c r="A1302" s="3">
        <f>IFERROR(__xludf.DUMMYFUNCTION("""COMPUTED_VALUE"""),41727.99861111111)</f>
        <v>41727.99861</v>
      </c>
      <c r="B1302" s="1">
        <f>IFERROR(__xludf.DUMMYFUNCTION("""COMPUTED_VALUE"""),40288.21504)</f>
        <v>40288.21504</v>
      </c>
    </row>
    <row r="1303">
      <c r="A1303" s="3">
        <f>IFERROR(__xludf.DUMMYFUNCTION("""COMPUTED_VALUE"""),41729.99861111111)</f>
        <v>41729.99861</v>
      </c>
      <c r="B1303" s="1">
        <f>IFERROR(__xludf.DUMMYFUNCTION("""COMPUTED_VALUE"""),40032.0091)</f>
        <v>40032.0091</v>
      </c>
    </row>
    <row r="1304">
      <c r="A1304" s="3">
        <f>IFERROR(__xludf.DUMMYFUNCTION("""COMPUTED_VALUE"""),41730.99861111111)</f>
        <v>41730.99861</v>
      </c>
      <c r="B1304" s="1">
        <f>IFERROR(__xludf.DUMMYFUNCTION("""COMPUTED_VALUE"""),40041.24979)</f>
        <v>40041.24979</v>
      </c>
    </row>
    <row r="1305">
      <c r="A1305" s="3">
        <f>IFERROR(__xludf.DUMMYFUNCTION("""COMPUTED_VALUE"""),41731.99861111111)</f>
        <v>41731.99861</v>
      </c>
      <c r="B1305" s="1">
        <f>IFERROR(__xludf.DUMMYFUNCTION("""COMPUTED_VALUE"""),40086.03005)</f>
        <v>40086.03005</v>
      </c>
    </row>
    <row r="1306">
      <c r="A1306" s="3">
        <f>IFERROR(__xludf.DUMMYFUNCTION("""COMPUTED_VALUE"""),41732.99861111111)</f>
        <v>41732.99861</v>
      </c>
      <c r="B1306" s="1">
        <f>IFERROR(__xludf.DUMMYFUNCTION("""COMPUTED_VALUE"""),40262.13536)</f>
        <v>40262.13536</v>
      </c>
    </row>
    <row r="1307">
      <c r="A1307" s="3">
        <f>IFERROR(__xludf.DUMMYFUNCTION("""COMPUTED_VALUE"""),41733.99861111111)</f>
        <v>41733.99861</v>
      </c>
      <c r="B1307" s="1">
        <f>IFERROR(__xludf.DUMMYFUNCTION("""COMPUTED_VALUE"""),40166.19828)</f>
        <v>40166.19828</v>
      </c>
    </row>
    <row r="1308">
      <c r="A1308" s="3">
        <f>IFERROR(__xludf.DUMMYFUNCTION("""COMPUTED_VALUE"""),41734.99861111111)</f>
        <v>41734.99861</v>
      </c>
      <c r="B1308" s="1">
        <f>IFERROR(__xludf.DUMMYFUNCTION("""COMPUTED_VALUE"""),40219.54012)</f>
        <v>40219.54012</v>
      </c>
    </row>
    <row r="1309">
      <c r="A1309" s="3">
        <f>IFERROR(__xludf.DUMMYFUNCTION("""COMPUTED_VALUE"""),41735.99861111111)</f>
        <v>41735.99861</v>
      </c>
      <c r="B1309" s="1">
        <f>IFERROR(__xludf.DUMMYFUNCTION("""COMPUTED_VALUE"""),40166.19828)</f>
        <v>40166.19828</v>
      </c>
    </row>
    <row r="1310">
      <c r="A1310" s="3">
        <f>IFERROR(__xludf.DUMMYFUNCTION("""COMPUTED_VALUE"""),41736.99861111111)</f>
        <v>41736.99861</v>
      </c>
      <c r="B1310" s="1">
        <f>IFERROR(__xludf.DUMMYFUNCTION("""COMPUTED_VALUE"""),40175.70507)</f>
        <v>40175.70507</v>
      </c>
    </row>
    <row r="1311">
      <c r="A1311" s="3">
        <f>IFERROR(__xludf.DUMMYFUNCTION("""COMPUTED_VALUE"""),41737.99861111111)</f>
        <v>41737.99861</v>
      </c>
      <c r="B1311" s="1">
        <f>IFERROR(__xludf.DUMMYFUNCTION("""COMPUTED_VALUE"""),40092.56994)</f>
        <v>40092.56994</v>
      </c>
    </row>
    <row r="1312">
      <c r="A1312" s="3">
        <f>IFERROR(__xludf.DUMMYFUNCTION("""COMPUTED_VALUE"""),41738.99861111111)</f>
        <v>41738.99861</v>
      </c>
      <c r="B1312" s="1">
        <f>IFERROR(__xludf.DUMMYFUNCTION("""COMPUTED_VALUE"""),40131.03871)</f>
        <v>40131.03871</v>
      </c>
    </row>
    <row r="1313">
      <c r="A1313" s="3">
        <f>IFERROR(__xludf.DUMMYFUNCTION("""COMPUTED_VALUE"""),41739.99861111111)</f>
        <v>41739.99861</v>
      </c>
      <c r="B1313" s="1">
        <f>IFERROR(__xludf.DUMMYFUNCTION("""COMPUTED_VALUE"""),40455.72544)</f>
        <v>40455.72544</v>
      </c>
    </row>
    <row r="1314">
      <c r="A1314" s="3">
        <f>IFERROR(__xludf.DUMMYFUNCTION("""COMPUTED_VALUE"""),41740.99861111111)</f>
        <v>41740.99861</v>
      </c>
      <c r="B1314" s="1">
        <f>IFERROR(__xludf.DUMMYFUNCTION("""COMPUTED_VALUE"""),40623.88149)</f>
        <v>40623.88149</v>
      </c>
    </row>
    <row r="1315">
      <c r="A1315" s="3">
        <f>IFERROR(__xludf.DUMMYFUNCTION("""COMPUTED_VALUE"""),41741.99861111111)</f>
        <v>41741.99861</v>
      </c>
      <c r="B1315" s="1">
        <f>IFERROR(__xludf.DUMMYFUNCTION("""COMPUTED_VALUE"""),40697.03656)</f>
        <v>40697.03656</v>
      </c>
    </row>
    <row r="1316">
      <c r="A1316" s="3">
        <f>IFERROR(__xludf.DUMMYFUNCTION("""COMPUTED_VALUE"""),41742.99861111111)</f>
        <v>41742.99861</v>
      </c>
      <c r="B1316" s="1">
        <f>IFERROR(__xludf.DUMMYFUNCTION("""COMPUTED_VALUE"""),40623.88149)</f>
        <v>40623.88149</v>
      </c>
    </row>
    <row r="1317">
      <c r="A1317" s="3">
        <f>IFERROR(__xludf.DUMMYFUNCTION("""COMPUTED_VALUE"""),41743.99861111111)</f>
        <v>41743.99861</v>
      </c>
      <c r="B1317" s="1">
        <f>IFERROR(__xludf.DUMMYFUNCTION("""COMPUTED_VALUE"""),40727.94168)</f>
        <v>40727.94168</v>
      </c>
    </row>
    <row r="1318">
      <c r="A1318" s="3">
        <f>IFERROR(__xludf.DUMMYFUNCTION("""COMPUTED_VALUE"""),41744.99861111111)</f>
        <v>41744.99861</v>
      </c>
      <c r="B1318" s="1">
        <f>IFERROR(__xludf.DUMMYFUNCTION("""COMPUTED_VALUE"""),40779.25515)</f>
        <v>40779.25515</v>
      </c>
    </row>
    <row r="1319">
      <c r="A1319" s="3">
        <f>IFERROR(__xludf.DUMMYFUNCTION("""COMPUTED_VALUE"""),41745.99861111111)</f>
        <v>41745.99861</v>
      </c>
      <c r="B1319" s="1">
        <f>IFERROR(__xludf.DUMMYFUNCTION("""COMPUTED_VALUE"""),40621.8728)</f>
        <v>40621.8728</v>
      </c>
    </row>
    <row r="1320">
      <c r="A1320" s="3">
        <f>IFERROR(__xludf.DUMMYFUNCTION("""COMPUTED_VALUE"""),41746.99861111111)</f>
        <v>41746.99861</v>
      </c>
      <c r="B1320" s="1">
        <f>IFERROR(__xludf.DUMMYFUNCTION("""COMPUTED_VALUE"""),40715.03814)</f>
        <v>40715.03814</v>
      </c>
    </row>
    <row r="1321">
      <c r="A1321" s="3">
        <f>IFERROR(__xludf.DUMMYFUNCTION("""COMPUTED_VALUE"""),41747.99861111111)</f>
        <v>41747.99861</v>
      </c>
      <c r="B1321" s="1">
        <f>IFERROR(__xludf.DUMMYFUNCTION("""COMPUTED_VALUE"""),40715.03814)</f>
        <v>40715.03814</v>
      </c>
    </row>
    <row r="1322">
      <c r="A1322" s="3">
        <f>IFERROR(__xludf.DUMMYFUNCTION("""COMPUTED_VALUE"""),41748.99861111111)</f>
        <v>41748.99861</v>
      </c>
      <c r="B1322" s="1">
        <f>IFERROR(__xludf.DUMMYFUNCTION("""COMPUTED_VALUE"""),40803.6918)</f>
        <v>40803.6918</v>
      </c>
    </row>
    <row r="1323">
      <c r="A1323" s="3">
        <f>IFERROR(__xludf.DUMMYFUNCTION("""COMPUTED_VALUE"""),41749.99861111111)</f>
        <v>41749.99861</v>
      </c>
      <c r="B1323" s="1">
        <f>IFERROR(__xludf.DUMMYFUNCTION("""COMPUTED_VALUE"""),40715.03814)</f>
        <v>40715.03814</v>
      </c>
    </row>
    <row r="1324">
      <c r="A1324" s="3">
        <f>IFERROR(__xludf.DUMMYFUNCTION("""COMPUTED_VALUE"""),41750.99861111111)</f>
        <v>41750.99861</v>
      </c>
      <c r="B1324" s="1">
        <f>IFERROR(__xludf.DUMMYFUNCTION("""COMPUTED_VALUE"""),40679.46362)</f>
        <v>40679.46362</v>
      </c>
    </row>
    <row r="1325">
      <c r="A1325" s="3">
        <f>IFERROR(__xludf.DUMMYFUNCTION("""COMPUTED_VALUE"""),41751.99861111111)</f>
        <v>41751.99861</v>
      </c>
      <c r="B1325" s="1">
        <f>IFERROR(__xludf.DUMMYFUNCTION("""COMPUTED_VALUE"""),41093.92846)</f>
        <v>41093.92846</v>
      </c>
    </row>
    <row r="1326">
      <c r="A1326" s="3">
        <f>IFERROR(__xludf.DUMMYFUNCTION("""COMPUTED_VALUE"""),41752.99861111111)</f>
        <v>41752.99861</v>
      </c>
      <c r="B1326" s="1">
        <f>IFERROR(__xludf.DUMMYFUNCTION("""COMPUTED_VALUE"""),41377.34426)</f>
        <v>41377.34426</v>
      </c>
    </row>
    <row r="1327">
      <c r="A1327" s="3">
        <f>IFERROR(__xludf.DUMMYFUNCTION("""COMPUTED_VALUE"""),41753.99861111111)</f>
        <v>41753.99861</v>
      </c>
      <c r="B1327" s="1">
        <f>IFERROR(__xludf.DUMMYFUNCTION("""COMPUTED_VALUE"""),41307.44259)</f>
        <v>41307.44259</v>
      </c>
    </row>
    <row r="1328">
      <c r="A1328" s="3">
        <f>IFERROR(__xludf.DUMMYFUNCTION("""COMPUTED_VALUE"""),41754.99861111111)</f>
        <v>41754.99861</v>
      </c>
      <c r="B1328" s="1">
        <f>IFERROR(__xludf.DUMMYFUNCTION("""COMPUTED_VALUE"""),41204.97319)</f>
        <v>41204.97319</v>
      </c>
    </row>
    <row r="1329">
      <c r="A1329" s="3">
        <f>IFERROR(__xludf.DUMMYFUNCTION("""COMPUTED_VALUE"""),41756.99861111111)</f>
        <v>41756.99861</v>
      </c>
      <c r="B1329" s="1">
        <f>IFERROR(__xludf.DUMMYFUNCTION("""COMPUTED_VALUE"""),41204.97319)</f>
        <v>41204.97319</v>
      </c>
    </row>
    <row r="1330">
      <c r="A1330" s="3">
        <f>IFERROR(__xludf.DUMMYFUNCTION("""COMPUTED_VALUE"""),41757.99861111111)</f>
        <v>41757.99861</v>
      </c>
      <c r="B1330" s="1">
        <f>IFERROR(__xludf.DUMMYFUNCTION("""COMPUTED_VALUE"""),41274.75996)</f>
        <v>41274.75996</v>
      </c>
    </row>
    <row r="1331">
      <c r="A1331" s="3">
        <f>IFERROR(__xludf.DUMMYFUNCTION("""COMPUTED_VALUE"""),41758.99861111111)</f>
        <v>41758.99861</v>
      </c>
      <c r="B1331" s="1">
        <f>IFERROR(__xludf.DUMMYFUNCTION("""COMPUTED_VALUE"""),41098.57215)</f>
        <v>41098.57215</v>
      </c>
    </row>
    <row r="1332">
      <c r="A1332" s="3">
        <f>IFERROR(__xludf.DUMMYFUNCTION("""COMPUTED_VALUE"""),41759.99861111111)</f>
        <v>41759.99861</v>
      </c>
      <c r="B1332" s="1">
        <f>IFERROR(__xludf.DUMMYFUNCTION("""COMPUTED_VALUE"""),41164.50565)</f>
        <v>41164.50565</v>
      </c>
    </row>
    <row r="1333">
      <c r="A1333" s="3">
        <f>IFERROR(__xludf.DUMMYFUNCTION("""COMPUTED_VALUE"""),41760.99861111111)</f>
        <v>41760.99861</v>
      </c>
      <c r="B1333" s="1">
        <f>IFERROR(__xludf.DUMMYFUNCTION("""COMPUTED_VALUE"""),41174.79224)</f>
        <v>41174.79224</v>
      </c>
    </row>
    <row r="1334">
      <c r="A1334" s="3">
        <f>IFERROR(__xludf.DUMMYFUNCTION("""COMPUTED_VALUE"""),41761.99861111111)</f>
        <v>41761.99861</v>
      </c>
      <c r="B1334" s="1">
        <f>IFERROR(__xludf.DUMMYFUNCTION("""COMPUTED_VALUE"""),41038.51577)</f>
        <v>41038.51577</v>
      </c>
    </row>
    <row r="1335">
      <c r="A1335" s="3">
        <f>IFERROR(__xludf.DUMMYFUNCTION("""COMPUTED_VALUE"""),41762.99861111111)</f>
        <v>41762.99861</v>
      </c>
      <c r="B1335" s="1">
        <f>IFERROR(__xludf.DUMMYFUNCTION("""COMPUTED_VALUE"""),41090.19999)</f>
        <v>41090.19999</v>
      </c>
    </row>
    <row r="1336">
      <c r="A1336" s="3">
        <f>IFERROR(__xludf.DUMMYFUNCTION("""COMPUTED_VALUE"""),41764.99861111111)</f>
        <v>41764.99861</v>
      </c>
      <c r="B1336" s="1">
        <f>IFERROR(__xludf.DUMMYFUNCTION("""COMPUTED_VALUE"""),41008.73263)</f>
        <v>41008.73263</v>
      </c>
    </row>
    <row r="1337">
      <c r="A1337" s="3">
        <f>IFERROR(__xludf.DUMMYFUNCTION("""COMPUTED_VALUE"""),41765.99861111111)</f>
        <v>41765.99861</v>
      </c>
      <c r="B1337" s="1">
        <f>IFERROR(__xludf.DUMMYFUNCTION("""COMPUTED_VALUE"""),41077.79729)</f>
        <v>41077.79729</v>
      </c>
    </row>
    <row r="1338">
      <c r="A1338" s="3">
        <f>IFERROR(__xludf.DUMMYFUNCTION("""COMPUTED_VALUE"""),41766.99861111111)</f>
        <v>41766.99861</v>
      </c>
      <c r="B1338" s="1">
        <f>IFERROR(__xludf.DUMMYFUNCTION("""COMPUTED_VALUE"""),41288.97968)</f>
        <v>41288.97968</v>
      </c>
    </row>
    <row r="1339">
      <c r="A1339" s="3">
        <f>IFERROR(__xludf.DUMMYFUNCTION("""COMPUTED_VALUE"""),41767.99861111111)</f>
        <v>41767.99861</v>
      </c>
      <c r="B1339" s="1">
        <f>IFERROR(__xludf.DUMMYFUNCTION("""COMPUTED_VALUE"""),41080.02117)</f>
        <v>41080.02117</v>
      </c>
    </row>
    <row r="1340">
      <c r="A1340" s="3">
        <f>IFERROR(__xludf.DUMMYFUNCTION("""COMPUTED_VALUE"""),41768.99861111111)</f>
        <v>41768.99861</v>
      </c>
      <c r="B1340" s="1">
        <f>IFERROR(__xludf.DUMMYFUNCTION("""COMPUTED_VALUE"""),41086.36654)</f>
        <v>41086.36654</v>
      </c>
    </row>
    <row r="1341">
      <c r="A1341" s="3">
        <f>IFERROR(__xludf.DUMMYFUNCTION("""COMPUTED_VALUE"""),41769.99861111111)</f>
        <v>41769.99861</v>
      </c>
      <c r="B1341" s="1">
        <f>IFERROR(__xludf.DUMMYFUNCTION("""COMPUTED_VALUE"""),41176.40321)</f>
        <v>41176.40321</v>
      </c>
    </row>
    <row r="1342">
      <c r="A1342" s="3">
        <f>IFERROR(__xludf.DUMMYFUNCTION("""COMPUTED_VALUE"""),41770.99861111111)</f>
        <v>41770.99861</v>
      </c>
      <c r="B1342" s="1">
        <f>IFERROR(__xludf.DUMMYFUNCTION("""COMPUTED_VALUE"""),40835.5784)</f>
        <v>40835.5784</v>
      </c>
    </row>
    <row r="1343">
      <c r="A1343" s="3">
        <f>IFERROR(__xludf.DUMMYFUNCTION("""COMPUTED_VALUE"""),41771.99861111111)</f>
        <v>41771.99861</v>
      </c>
      <c r="B1343" s="1">
        <f>IFERROR(__xludf.DUMMYFUNCTION("""COMPUTED_VALUE"""),41011.0272)</f>
        <v>41011.0272</v>
      </c>
    </row>
    <row r="1344">
      <c r="A1344" s="3">
        <f>IFERROR(__xludf.DUMMYFUNCTION("""COMPUTED_VALUE"""),41772.99861111111)</f>
        <v>41772.99861</v>
      </c>
      <c r="B1344" s="1">
        <f>IFERROR(__xludf.DUMMYFUNCTION("""COMPUTED_VALUE"""),40838.45488)</f>
        <v>40838.45488</v>
      </c>
    </row>
    <row r="1345">
      <c r="A1345" s="3">
        <f>IFERROR(__xludf.DUMMYFUNCTION("""COMPUTED_VALUE"""),41773.99861111111)</f>
        <v>41773.99861</v>
      </c>
      <c r="B1345" s="1">
        <f>IFERROR(__xludf.DUMMYFUNCTION("""COMPUTED_VALUE"""),40543.89681)</f>
        <v>40543.89681</v>
      </c>
    </row>
    <row r="1346">
      <c r="A1346" s="3">
        <f>IFERROR(__xludf.DUMMYFUNCTION("""COMPUTED_VALUE"""),41774.99861111111)</f>
        <v>41774.99861</v>
      </c>
      <c r="B1346" s="1">
        <f>IFERROR(__xludf.DUMMYFUNCTION("""COMPUTED_VALUE"""),40552.08349)</f>
        <v>40552.08349</v>
      </c>
    </row>
    <row r="1347">
      <c r="A1347" s="3">
        <f>IFERROR(__xludf.DUMMYFUNCTION("""COMPUTED_VALUE"""),41775.99861111111)</f>
        <v>41775.99861</v>
      </c>
      <c r="B1347" s="1">
        <f>IFERROR(__xludf.DUMMYFUNCTION("""COMPUTED_VALUE"""),40198.85952)</f>
        <v>40198.85952</v>
      </c>
    </row>
    <row r="1348">
      <c r="A1348" s="3">
        <f>IFERROR(__xludf.DUMMYFUNCTION("""COMPUTED_VALUE"""),41776.99861111111)</f>
        <v>41776.99861</v>
      </c>
      <c r="B1348" s="1">
        <f>IFERROR(__xludf.DUMMYFUNCTION("""COMPUTED_VALUE"""),40329.46151)</f>
        <v>40329.46151</v>
      </c>
    </row>
    <row r="1349">
      <c r="A1349" s="3">
        <f>IFERROR(__xludf.DUMMYFUNCTION("""COMPUTED_VALUE"""),41778.99861111111)</f>
        <v>41778.99861</v>
      </c>
      <c r="B1349" s="1">
        <f>IFERROR(__xludf.DUMMYFUNCTION("""COMPUTED_VALUE"""),40577.0301)</f>
        <v>40577.0301</v>
      </c>
    </row>
    <row r="1350">
      <c r="A1350" s="3">
        <f>IFERROR(__xludf.DUMMYFUNCTION("""COMPUTED_VALUE"""),41779.99861111111)</f>
        <v>41779.99861</v>
      </c>
      <c r="B1350" s="1">
        <f>IFERROR(__xludf.DUMMYFUNCTION("""COMPUTED_VALUE"""),40735.07424)</f>
        <v>40735.07424</v>
      </c>
    </row>
    <row r="1351">
      <c r="A1351" s="3">
        <f>IFERROR(__xludf.DUMMYFUNCTION("""COMPUTED_VALUE"""),41780.99861111111)</f>
        <v>41780.99861</v>
      </c>
      <c r="B1351" s="1">
        <f>IFERROR(__xludf.DUMMYFUNCTION("""COMPUTED_VALUE"""),40869.65635)</f>
        <v>40869.65635</v>
      </c>
    </row>
    <row r="1352">
      <c r="A1352" s="3">
        <f>IFERROR(__xludf.DUMMYFUNCTION("""COMPUTED_VALUE"""),41781.99861111111)</f>
        <v>41781.99861</v>
      </c>
      <c r="B1352" s="1">
        <f>IFERROR(__xludf.DUMMYFUNCTION("""COMPUTED_VALUE"""),40912.80144)</f>
        <v>40912.80144</v>
      </c>
    </row>
    <row r="1353">
      <c r="A1353" s="3">
        <f>IFERROR(__xludf.DUMMYFUNCTION("""COMPUTED_VALUE"""),41782.99861111111)</f>
        <v>41782.99861</v>
      </c>
      <c r="B1353" s="1">
        <f>IFERROR(__xludf.DUMMYFUNCTION("""COMPUTED_VALUE"""),41175.42192)</f>
        <v>41175.42192</v>
      </c>
    </row>
    <row r="1354">
      <c r="A1354" s="3">
        <f>IFERROR(__xludf.DUMMYFUNCTION("""COMPUTED_VALUE"""),41784.99861111111)</f>
        <v>41784.99861</v>
      </c>
      <c r="B1354" s="1">
        <f>IFERROR(__xludf.DUMMYFUNCTION("""COMPUTED_VALUE"""),41175.42192)</f>
        <v>41175.42192</v>
      </c>
    </row>
    <row r="1355">
      <c r="A1355" s="3">
        <f>IFERROR(__xludf.DUMMYFUNCTION("""COMPUTED_VALUE"""),41785.99861111111)</f>
        <v>41785.99861</v>
      </c>
      <c r="B1355" s="1">
        <f>IFERROR(__xludf.DUMMYFUNCTION("""COMPUTED_VALUE"""),41065.70932)</f>
        <v>41065.70932</v>
      </c>
    </row>
    <row r="1356">
      <c r="A1356" s="3">
        <f>IFERROR(__xludf.DUMMYFUNCTION("""COMPUTED_VALUE"""),41786.99861111111)</f>
        <v>41786.99861</v>
      </c>
      <c r="B1356" s="1">
        <f>IFERROR(__xludf.DUMMYFUNCTION("""COMPUTED_VALUE"""),41061.33964)</f>
        <v>41061.33964</v>
      </c>
    </row>
    <row r="1357">
      <c r="A1357" s="3">
        <f>IFERROR(__xludf.DUMMYFUNCTION("""COMPUTED_VALUE"""),41787.99861111111)</f>
        <v>41787.99861</v>
      </c>
      <c r="B1357" s="1">
        <f>IFERROR(__xludf.DUMMYFUNCTION("""COMPUTED_VALUE"""),41304.10782)</f>
        <v>41304.10782</v>
      </c>
    </row>
    <row r="1358">
      <c r="A1358" s="3">
        <f>IFERROR(__xludf.DUMMYFUNCTION("""COMPUTED_VALUE"""),41788.99861111111)</f>
        <v>41788.99861</v>
      </c>
      <c r="B1358" s="1">
        <f>IFERROR(__xludf.DUMMYFUNCTION("""COMPUTED_VALUE"""),41175.42192)</f>
        <v>41175.42192</v>
      </c>
    </row>
    <row r="1359">
      <c r="A1359" s="3">
        <f>IFERROR(__xludf.DUMMYFUNCTION("""COMPUTED_VALUE"""),41789.99861111111)</f>
        <v>41789.99861</v>
      </c>
      <c r="B1359" s="1">
        <f>IFERROR(__xludf.DUMMYFUNCTION("""COMPUTED_VALUE"""),41435.6756)</f>
        <v>41435.6756</v>
      </c>
    </row>
    <row r="1360">
      <c r="A1360" s="3">
        <f>IFERROR(__xludf.DUMMYFUNCTION("""COMPUTED_VALUE"""),41792.99861111111)</f>
        <v>41792.99861</v>
      </c>
      <c r="B1360" s="1">
        <f>IFERROR(__xludf.DUMMYFUNCTION("""COMPUTED_VALUE"""),41887.79112)</f>
        <v>41887.79112</v>
      </c>
    </row>
    <row r="1361">
      <c r="A1361" s="3">
        <f>IFERROR(__xludf.DUMMYFUNCTION("""COMPUTED_VALUE"""),41793.99861111111)</f>
        <v>41793.99861</v>
      </c>
      <c r="B1361" s="1">
        <f>IFERROR(__xludf.DUMMYFUNCTION("""COMPUTED_VALUE"""),41799.83676)</f>
        <v>41799.83676</v>
      </c>
    </row>
    <row r="1362">
      <c r="A1362" s="3">
        <f>IFERROR(__xludf.DUMMYFUNCTION("""COMPUTED_VALUE"""),41794.99861111111)</f>
        <v>41794.99861</v>
      </c>
      <c r="B1362" s="1">
        <f>IFERROR(__xludf.DUMMYFUNCTION("""COMPUTED_VALUE"""),42153.26937)</f>
        <v>42153.26937</v>
      </c>
    </row>
    <row r="1363">
      <c r="A1363" s="3">
        <f>IFERROR(__xludf.DUMMYFUNCTION("""COMPUTED_VALUE"""),41795.99861111111)</f>
        <v>41795.99861</v>
      </c>
      <c r="B1363" s="1">
        <f>IFERROR(__xludf.DUMMYFUNCTION("""COMPUTED_VALUE"""),42099.08442)</f>
        <v>42099.08442</v>
      </c>
    </row>
    <row r="1364">
      <c r="A1364" s="3">
        <f>IFERROR(__xludf.DUMMYFUNCTION("""COMPUTED_VALUE"""),41796.99861111111)</f>
        <v>41796.99861</v>
      </c>
      <c r="B1364" s="1">
        <f>IFERROR(__xludf.DUMMYFUNCTION("""COMPUTED_VALUE"""),41973.07106)</f>
        <v>41973.07106</v>
      </c>
    </row>
    <row r="1365">
      <c r="A1365" s="3">
        <f>IFERROR(__xludf.DUMMYFUNCTION("""COMPUTED_VALUE"""),41797.99861111111)</f>
        <v>41797.99861</v>
      </c>
      <c r="B1365" s="1">
        <f>IFERROR(__xludf.DUMMYFUNCTION("""COMPUTED_VALUE"""),42041.67029)</f>
        <v>42041.67029</v>
      </c>
    </row>
    <row r="1366">
      <c r="A1366" s="3">
        <f>IFERROR(__xludf.DUMMYFUNCTION("""COMPUTED_VALUE"""),41798.99861111111)</f>
        <v>41798.99861</v>
      </c>
      <c r="B1366" s="1">
        <f>IFERROR(__xludf.DUMMYFUNCTION("""COMPUTED_VALUE"""),42041.67029)</f>
        <v>42041.67029</v>
      </c>
    </row>
    <row r="1367">
      <c r="A1367" s="3">
        <f>IFERROR(__xludf.DUMMYFUNCTION("""COMPUTED_VALUE"""),41799.99861111111)</f>
        <v>41799.99861</v>
      </c>
      <c r="B1367" s="1">
        <f>IFERROR(__xludf.DUMMYFUNCTION("""COMPUTED_VALUE"""),41813.14275)</f>
        <v>41813.14275</v>
      </c>
    </row>
    <row r="1368">
      <c r="A1368" s="3">
        <f>IFERROR(__xludf.DUMMYFUNCTION("""COMPUTED_VALUE"""),41800.99861111111)</f>
        <v>41800.99861</v>
      </c>
      <c r="B1368" s="1">
        <f>IFERROR(__xludf.DUMMYFUNCTION("""COMPUTED_VALUE"""),41928.37491)</f>
        <v>41928.37491</v>
      </c>
    </row>
    <row r="1369">
      <c r="A1369" s="3">
        <f>IFERROR(__xludf.DUMMYFUNCTION("""COMPUTED_VALUE"""),41801.99861111111)</f>
        <v>41801.99861</v>
      </c>
      <c r="B1369" s="1">
        <f>IFERROR(__xludf.DUMMYFUNCTION("""COMPUTED_VALUE"""),41901.81208)</f>
        <v>41901.81208</v>
      </c>
    </row>
    <row r="1370">
      <c r="A1370" s="3">
        <f>IFERROR(__xludf.DUMMYFUNCTION("""COMPUTED_VALUE"""),41802.99861111111)</f>
        <v>41802.99861</v>
      </c>
      <c r="B1370" s="1">
        <f>IFERROR(__xludf.DUMMYFUNCTION("""COMPUTED_VALUE"""),41845.75238)</f>
        <v>41845.75238</v>
      </c>
    </row>
    <row r="1371">
      <c r="A1371" s="3">
        <f>IFERROR(__xludf.DUMMYFUNCTION("""COMPUTED_VALUE"""),41803.99861111111)</f>
        <v>41803.99861</v>
      </c>
      <c r="B1371" s="1">
        <f>IFERROR(__xludf.DUMMYFUNCTION("""COMPUTED_VALUE"""),41839.7316)</f>
        <v>41839.7316</v>
      </c>
    </row>
    <row r="1372">
      <c r="A1372" s="3">
        <f>IFERROR(__xludf.DUMMYFUNCTION("""COMPUTED_VALUE"""),41804.99861111111)</f>
        <v>41804.99861</v>
      </c>
      <c r="B1372" s="1">
        <f>IFERROR(__xludf.DUMMYFUNCTION("""COMPUTED_VALUE"""),41915.60051)</f>
        <v>41915.60051</v>
      </c>
    </row>
    <row r="1373">
      <c r="A1373" s="3">
        <f>IFERROR(__xludf.DUMMYFUNCTION("""COMPUTED_VALUE"""),41805.99861111111)</f>
        <v>41805.99861</v>
      </c>
      <c r="B1373" s="1">
        <f>IFERROR(__xludf.DUMMYFUNCTION("""COMPUTED_VALUE"""),41915.60051)</f>
        <v>41915.60051</v>
      </c>
    </row>
    <row r="1374">
      <c r="A1374" s="3">
        <f>IFERROR(__xludf.DUMMYFUNCTION("""COMPUTED_VALUE"""),41806.99861111111)</f>
        <v>41806.99861</v>
      </c>
      <c r="B1374" s="1">
        <f>IFERROR(__xludf.DUMMYFUNCTION("""COMPUTED_VALUE"""),41912.02295)</f>
        <v>41912.02295</v>
      </c>
    </row>
    <row r="1375">
      <c r="A1375" s="3">
        <f>IFERROR(__xludf.DUMMYFUNCTION("""COMPUTED_VALUE"""),41807.99861111111)</f>
        <v>41807.99861</v>
      </c>
      <c r="B1375" s="1">
        <f>IFERROR(__xludf.DUMMYFUNCTION("""COMPUTED_VALUE"""),42200.75883)</f>
        <v>42200.75883</v>
      </c>
    </row>
    <row r="1376">
      <c r="A1376" s="3">
        <f>IFERROR(__xludf.DUMMYFUNCTION("""COMPUTED_VALUE"""),41808.99861111111)</f>
        <v>41808.99861</v>
      </c>
      <c r="B1376" s="1">
        <f>IFERROR(__xludf.DUMMYFUNCTION("""COMPUTED_VALUE"""),42661.6883)</f>
        <v>42661.6883</v>
      </c>
    </row>
    <row r="1377">
      <c r="A1377" s="3">
        <f>IFERROR(__xludf.DUMMYFUNCTION("""COMPUTED_VALUE"""),41809.99861111111)</f>
        <v>41809.99861</v>
      </c>
      <c r="B1377" s="1">
        <f>IFERROR(__xludf.DUMMYFUNCTION("""COMPUTED_VALUE"""),42332.82733)</f>
        <v>42332.82733</v>
      </c>
    </row>
    <row r="1378">
      <c r="A1378" s="3">
        <f>IFERROR(__xludf.DUMMYFUNCTION("""COMPUTED_VALUE"""),41810.99861111111)</f>
        <v>41810.99861</v>
      </c>
      <c r="B1378" s="1">
        <f>IFERROR(__xludf.DUMMYFUNCTION("""COMPUTED_VALUE"""),42437.5809)</f>
        <v>42437.5809</v>
      </c>
    </row>
    <row r="1379">
      <c r="A1379" s="3">
        <f>IFERROR(__xludf.DUMMYFUNCTION("""COMPUTED_VALUE"""),41811.99861111111)</f>
        <v>41811.99861</v>
      </c>
      <c r="B1379" s="1">
        <f>IFERROR(__xludf.DUMMYFUNCTION("""COMPUTED_VALUE"""),42530.05576)</f>
        <v>42530.05576</v>
      </c>
    </row>
    <row r="1380">
      <c r="A1380" s="3">
        <f>IFERROR(__xludf.DUMMYFUNCTION("""COMPUTED_VALUE"""),41813.99861111111)</f>
        <v>41813.99861</v>
      </c>
      <c r="B1380" s="1">
        <f>IFERROR(__xludf.DUMMYFUNCTION("""COMPUTED_VALUE"""),42586.13523)</f>
        <v>42586.13523</v>
      </c>
    </row>
    <row r="1381">
      <c r="A1381" s="3">
        <f>IFERROR(__xludf.DUMMYFUNCTION("""COMPUTED_VALUE"""),41814.99861111111)</f>
        <v>41814.99861</v>
      </c>
      <c r="B1381" s="1">
        <f>IFERROR(__xludf.DUMMYFUNCTION("""COMPUTED_VALUE"""),42604.95653)</f>
        <v>42604.95653</v>
      </c>
    </row>
    <row r="1382">
      <c r="A1382" s="3">
        <f>IFERROR(__xludf.DUMMYFUNCTION("""COMPUTED_VALUE"""),41815.99861111111)</f>
        <v>41815.99861</v>
      </c>
      <c r="B1382" s="1">
        <f>IFERROR(__xludf.DUMMYFUNCTION("""COMPUTED_VALUE"""),42956.10852)</f>
        <v>42956.10852</v>
      </c>
    </row>
    <row r="1383">
      <c r="A1383" s="3">
        <f>IFERROR(__xludf.DUMMYFUNCTION("""COMPUTED_VALUE"""),41816.99861111111)</f>
        <v>41816.99861</v>
      </c>
      <c r="B1383" s="1">
        <f>IFERROR(__xludf.DUMMYFUNCTION("""COMPUTED_VALUE"""),42959.16729)</f>
        <v>42959.16729</v>
      </c>
    </row>
    <row r="1384">
      <c r="A1384" s="3">
        <f>IFERROR(__xludf.DUMMYFUNCTION("""COMPUTED_VALUE"""),41817.99861111111)</f>
        <v>41817.99861</v>
      </c>
      <c r="B1384" s="1">
        <f>IFERROR(__xludf.DUMMYFUNCTION("""COMPUTED_VALUE"""),42736.25658)</f>
        <v>42736.25658</v>
      </c>
    </row>
    <row r="1385">
      <c r="A1385" s="3">
        <f>IFERROR(__xludf.DUMMYFUNCTION("""COMPUTED_VALUE"""),41820.99861111111)</f>
        <v>41820.99861</v>
      </c>
      <c r="B1385" s="1">
        <f>IFERROR(__xludf.DUMMYFUNCTION("""COMPUTED_VALUE"""),42292.35652)</f>
        <v>42292.35652</v>
      </c>
    </row>
    <row r="1386">
      <c r="A1386" s="3">
        <f>IFERROR(__xludf.DUMMYFUNCTION("""COMPUTED_VALUE"""),41821.99861111111)</f>
        <v>41821.99861</v>
      </c>
      <c r="B1386" s="1">
        <f>IFERROR(__xludf.DUMMYFUNCTION("""COMPUTED_VALUE"""),42294.5635)</f>
        <v>42294.5635</v>
      </c>
    </row>
    <row r="1387">
      <c r="A1387" s="3">
        <f>IFERROR(__xludf.DUMMYFUNCTION("""COMPUTED_VALUE"""),41822.99861111111)</f>
        <v>41822.99861</v>
      </c>
      <c r="B1387" s="1">
        <f>IFERROR(__xludf.DUMMYFUNCTION("""COMPUTED_VALUE"""),42287.0427)</f>
        <v>42287.0427</v>
      </c>
    </row>
    <row r="1388">
      <c r="A1388" s="3">
        <f>IFERROR(__xludf.DUMMYFUNCTION("""COMPUTED_VALUE"""),41823.99861111111)</f>
        <v>41823.99861</v>
      </c>
      <c r="B1388" s="1">
        <f>IFERROR(__xludf.DUMMYFUNCTION("""COMPUTED_VALUE"""),42279.27414)</f>
        <v>42279.27414</v>
      </c>
    </row>
    <row r="1389">
      <c r="A1389" s="3">
        <f>IFERROR(__xludf.DUMMYFUNCTION("""COMPUTED_VALUE"""),41824.99861111111)</f>
        <v>41824.99861</v>
      </c>
      <c r="B1389" s="1">
        <f>IFERROR(__xludf.DUMMYFUNCTION("""COMPUTED_VALUE"""),42129.93406)</f>
        <v>42129.93406</v>
      </c>
    </row>
    <row r="1390">
      <c r="A1390" s="3">
        <f>IFERROR(__xludf.DUMMYFUNCTION("""COMPUTED_VALUE"""),41825.99861111111)</f>
        <v>41825.99861</v>
      </c>
      <c r="B1390" s="1">
        <f>IFERROR(__xludf.DUMMYFUNCTION("""COMPUTED_VALUE"""),42188.47548)</f>
        <v>42188.47548</v>
      </c>
    </row>
    <row r="1391">
      <c r="A1391" s="3">
        <f>IFERROR(__xludf.DUMMYFUNCTION("""COMPUTED_VALUE"""),41827.99861111111)</f>
        <v>41827.99861</v>
      </c>
      <c r="B1391" s="1">
        <f>IFERROR(__xludf.DUMMYFUNCTION("""COMPUTED_VALUE"""),41653.3439)</f>
        <v>41653.3439</v>
      </c>
    </row>
    <row r="1392">
      <c r="A1392" s="3">
        <f>IFERROR(__xludf.DUMMYFUNCTION("""COMPUTED_VALUE"""),41828.99861111111)</f>
        <v>41828.99861</v>
      </c>
      <c r="B1392" s="1">
        <f>IFERROR(__xludf.DUMMYFUNCTION("""COMPUTED_VALUE"""),41438.711)</f>
        <v>41438.711</v>
      </c>
    </row>
    <row r="1393">
      <c r="A1393" s="3">
        <f>IFERROR(__xludf.DUMMYFUNCTION("""COMPUTED_VALUE"""),41829.99861111111)</f>
        <v>41829.99861</v>
      </c>
      <c r="B1393" s="1">
        <f>IFERROR(__xludf.DUMMYFUNCTION("""COMPUTED_VALUE"""),41269.89532)</f>
        <v>41269.89532</v>
      </c>
    </row>
    <row r="1394">
      <c r="A1394" s="3">
        <f>IFERROR(__xludf.DUMMYFUNCTION("""COMPUTED_VALUE"""),41830.99861111111)</f>
        <v>41830.99861</v>
      </c>
      <c r="B1394" s="1">
        <f>IFERROR(__xludf.DUMMYFUNCTION("""COMPUTED_VALUE"""),41101.23329)</f>
        <v>41101.23329</v>
      </c>
    </row>
    <row r="1395">
      <c r="A1395" s="3">
        <f>IFERROR(__xludf.DUMMYFUNCTION("""COMPUTED_VALUE"""),41831.99861111111)</f>
        <v>41831.99861</v>
      </c>
      <c r="B1395" s="1">
        <f>IFERROR(__xludf.DUMMYFUNCTION("""COMPUTED_VALUE"""),41167.07798)</f>
        <v>41167.07798</v>
      </c>
    </row>
    <row r="1396">
      <c r="A1396" s="3">
        <f>IFERROR(__xludf.DUMMYFUNCTION("""COMPUTED_VALUE"""),41832.99861111111)</f>
        <v>41832.99861</v>
      </c>
      <c r="B1396" s="1">
        <f>IFERROR(__xludf.DUMMYFUNCTION("""COMPUTED_VALUE"""),41356.49499)</f>
        <v>41356.49499</v>
      </c>
    </row>
    <row r="1397">
      <c r="A1397" s="3">
        <f>IFERROR(__xludf.DUMMYFUNCTION("""COMPUTED_VALUE"""),41833.99861111111)</f>
        <v>41833.99861</v>
      </c>
      <c r="B1397" s="1">
        <f>IFERROR(__xludf.DUMMYFUNCTION("""COMPUTED_VALUE"""),41356.49499)</f>
        <v>41356.49499</v>
      </c>
    </row>
    <row r="1398">
      <c r="A1398" s="3">
        <f>IFERROR(__xludf.DUMMYFUNCTION("""COMPUTED_VALUE"""),41834.99861111111)</f>
        <v>41834.99861</v>
      </c>
      <c r="B1398" s="1">
        <f>IFERROR(__xludf.DUMMYFUNCTION("""COMPUTED_VALUE"""),41409.18408)</f>
        <v>41409.18408</v>
      </c>
    </row>
    <row r="1399">
      <c r="A1399" s="3">
        <f>IFERROR(__xludf.DUMMYFUNCTION("""COMPUTED_VALUE"""),41835.99861111111)</f>
        <v>41835.99861</v>
      </c>
      <c r="B1399" s="1">
        <f>IFERROR(__xludf.DUMMYFUNCTION("""COMPUTED_VALUE"""),41613.40704)</f>
        <v>41613.40704</v>
      </c>
    </row>
    <row r="1400">
      <c r="A1400" s="3">
        <f>IFERROR(__xludf.DUMMYFUNCTION("""COMPUTED_VALUE"""),41836.99861111111)</f>
        <v>41836.99861</v>
      </c>
      <c r="B1400" s="1">
        <f>IFERROR(__xludf.DUMMYFUNCTION("""COMPUTED_VALUE"""),41323.24407)</f>
        <v>41323.24407</v>
      </c>
    </row>
    <row r="1401">
      <c r="A1401" s="3">
        <f>IFERROR(__xludf.DUMMYFUNCTION("""COMPUTED_VALUE"""),41837.99861111111)</f>
        <v>41837.99861</v>
      </c>
      <c r="B1401" s="1">
        <f>IFERROR(__xludf.DUMMYFUNCTION("""COMPUTED_VALUE"""),41365.10928)</f>
        <v>41365.10928</v>
      </c>
    </row>
    <row r="1402">
      <c r="A1402" s="3">
        <f>IFERROR(__xludf.DUMMYFUNCTION("""COMPUTED_VALUE"""),41838.99861111111)</f>
        <v>41838.99861</v>
      </c>
      <c r="B1402" s="1">
        <f>IFERROR(__xludf.DUMMYFUNCTION("""COMPUTED_VALUE"""),41202.55155)</f>
        <v>41202.55155</v>
      </c>
    </row>
    <row r="1403">
      <c r="A1403" s="3">
        <f>IFERROR(__xludf.DUMMYFUNCTION("""COMPUTED_VALUE"""),41839.99861111111)</f>
        <v>41839.99861</v>
      </c>
      <c r="B1403" s="1">
        <f>IFERROR(__xludf.DUMMYFUNCTION("""COMPUTED_VALUE"""),41296.34367)</f>
        <v>41296.34367</v>
      </c>
    </row>
    <row r="1404">
      <c r="A1404" s="3">
        <f>IFERROR(__xludf.DUMMYFUNCTION("""COMPUTED_VALUE"""),41840.99861111111)</f>
        <v>41840.99861</v>
      </c>
      <c r="B1404" s="1">
        <f>IFERROR(__xludf.DUMMYFUNCTION("""COMPUTED_VALUE"""),41296.34367)</f>
        <v>41296.34367</v>
      </c>
    </row>
    <row r="1405">
      <c r="A1405" s="3">
        <f>IFERROR(__xludf.DUMMYFUNCTION("""COMPUTED_VALUE"""),41841.99861111111)</f>
        <v>41841.99861</v>
      </c>
      <c r="B1405" s="1">
        <f>IFERROR(__xludf.DUMMYFUNCTION("""COMPUTED_VALUE"""),41008.90348)</f>
        <v>41008.90348</v>
      </c>
    </row>
    <row r="1406">
      <c r="A1406" s="3">
        <f>IFERROR(__xludf.DUMMYFUNCTION("""COMPUTED_VALUE"""),41842.99861111111)</f>
        <v>41842.99861</v>
      </c>
      <c r="B1406" s="1">
        <f>IFERROR(__xludf.DUMMYFUNCTION("""COMPUTED_VALUE"""),41053.63602)</f>
        <v>41053.63602</v>
      </c>
    </row>
    <row r="1407">
      <c r="A1407" s="3">
        <f>IFERROR(__xludf.DUMMYFUNCTION("""COMPUTED_VALUE"""),41843.99861111111)</f>
        <v>41843.99861</v>
      </c>
      <c r="B1407" s="1">
        <f>IFERROR(__xludf.DUMMYFUNCTION("""COMPUTED_VALUE"""),40703.85068)</f>
        <v>40703.85068</v>
      </c>
    </row>
    <row r="1408">
      <c r="A1408" s="3">
        <f>IFERROR(__xludf.DUMMYFUNCTION("""COMPUTED_VALUE"""),41844.99861111111)</f>
        <v>41844.99861</v>
      </c>
      <c r="B1408" s="1">
        <f>IFERROR(__xludf.DUMMYFUNCTION("""COMPUTED_VALUE"""),40920.99616)</f>
        <v>40920.99616</v>
      </c>
    </row>
    <row r="1409">
      <c r="A1409" s="3">
        <f>IFERROR(__xludf.DUMMYFUNCTION("""COMPUTED_VALUE"""),41845.99861111111)</f>
        <v>41845.99861</v>
      </c>
      <c r="B1409" s="1">
        <f>IFERROR(__xludf.DUMMYFUNCTION("""COMPUTED_VALUE"""),40932.57601)</f>
        <v>40932.57601</v>
      </c>
    </row>
    <row r="1410">
      <c r="A1410" s="3">
        <f>IFERROR(__xludf.DUMMYFUNCTION("""COMPUTED_VALUE"""),41846.99861111111)</f>
        <v>41846.99861</v>
      </c>
      <c r="B1410" s="1">
        <f>IFERROR(__xludf.DUMMYFUNCTION("""COMPUTED_VALUE"""),41026.33041)</f>
        <v>41026.33041</v>
      </c>
    </row>
    <row r="1411">
      <c r="A1411" s="3">
        <f>IFERROR(__xludf.DUMMYFUNCTION("""COMPUTED_VALUE"""),41847.99861111111)</f>
        <v>41847.99861</v>
      </c>
      <c r="B1411" s="1">
        <f>IFERROR(__xludf.DUMMYFUNCTION("""COMPUTED_VALUE"""),41026.33041)</f>
        <v>41026.33041</v>
      </c>
    </row>
    <row r="1412">
      <c r="A1412" s="3">
        <f>IFERROR(__xludf.DUMMYFUNCTION("""COMPUTED_VALUE"""),41848.99861111111)</f>
        <v>41848.99861</v>
      </c>
      <c r="B1412" s="1">
        <f>IFERROR(__xludf.DUMMYFUNCTION("""COMPUTED_VALUE"""),40938.37963)</f>
        <v>40938.37963</v>
      </c>
    </row>
    <row r="1413">
      <c r="A1413" s="3">
        <f>IFERROR(__xludf.DUMMYFUNCTION("""COMPUTED_VALUE"""),41849.99861111111)</f>
        <v>41849.99861</v>
      </c>
      <c r="B1413" s="1">
        <f>IFERROR(__xludf.DUMMYFUNCTION("""COMPUTED_VALUE"""),40912.29802)</f>
        <v>40912.29802</v>
      </c>
    </row>
    <row r="1414">
      <c r="A1414" s="3">
        <f>IFERROR(__xludf.DUMMYFUNCTION("""COMPUTED_VALUE"""),41850.99861111111)</f>
        <v>41850.99861</v>
      </c>
      <c r="B1414" s="1">
        <f>IFERROR(__xludf.DUMMYFUNCTION("""COMPUTED_VALUE"""),40879.02546)</f>
        <v>40879.02546</v>
      </c>
    </row>
    <row r="1415">
      <c r="A1415" s="3">
        <f>IFERROR(__xludf.DUMMYFUNCTION("""COMPUTED_VALUE"""),41851.99861111111)</f>
        <v>41851.99861</v>
      </c>
      <c r="B1415" s="1">
        <f>IFERROR(__xludf.DUMMYFUNCTION("""COMPUTED_VALUE"""),41593.57624)</f>
        <v>41593.57624</v>
      </c>
    </row>
    <row r="1416">
      <c r="A1416" s="3">
        <f>IFERROR(__xludf.DUMMYFUNCTION("""COMPUTED_VALUE"""),41852.99861111111)</f>
        <v>41852.99861</v>
      </c>
      <c r="B1416" s="1">
        <f>IFERROR(__xludf.DUMMYFUNCTION("""COMPUTED_VALUE"""),41962.07115)</f>
        <v>41962.07115</v>
      </c>
    </row>
    <row r="1417">
      <c r="A1417" s="3">
        <f>IFERROR(__xludf.DUMMYFUNCTION("""COMPUTED_VALUE"""),41853.99861111111)</f>
        <v>41853.99861</v>
      </c>
      <c r="B1417" s="1">
        <f>IFERROR(__xludf.DUMMYFUNCTION("""COMPUTED_VALUE"""),41768.8001)</f>
        <v>41768.8001</v>
      </c>
    </row>
    <row r="1418">
      <c r="A1418" s="3">
        <f>IFERROR(__xludf.DUMMYFUNCTION("""COMPUTED_VALUE"""),41854.99861111111)</f>
        <v>41854.99861</v>
      </c>
      <c r="B1418" s="1">
        <f>IFERROR(__xludf.DUMMYFUNCTION("""COMPUTED_VALUE"""),42016.83659)</f>
        <v>42016.83659</v>
      </c>
    </row>
    <row r="1419">
      <c r="A1419" s="3">
        <f>IFERROR(__xludf.DUMMYFUNCTION("""COMPUTED_VALUE"""),41855.99861111111)</f>
        <v>41855.99861</v>
      </c>
      <c r="B1419" s="1">
        <f>IFERROR(__xludf.DUMMYFUNCTION("""COMPUTED_VALUE"""),41595.89035)</f>
        <v>41595.89035</v>
      </c>
    </row>
    <row r="1420">
      <c r="A1420" s="3">
        <f>IFERROR(__xludf.DUMMYFUNCTION("""COMPUTED_VALUE"""),41856.99861111111)</f>
        <v>41856.99861</v>
      </c>
      <c r="B1420" s="1">
        <f>IFERROR(__xludf.DUMMYFUNCTION("""COMPUTED_VALUE"""),41277.74472)</f>
        <v>41277.74472</v>
      </c>
    </row>
    <row r="1421">
      <c r="A1421" s="3">
        <f>IFERROR(__xludf.DUMMYFUNCTION("""COMPUTED_VALUE"""),41857.99861111111)</f>
        <v>41857.99861</v>
      </c>
      <c r="B1421" s="1">
        <f>IFERROR(__xludf.DUMMYFUNCTION("""COMPUTED_VALUE"""),41593.25479)</f>
        <v>41593.25479</v>
      </c>
    </row>
    <row r="1422">
      <c r="A1422" s="3">
        <f>IFERROR(__xludf.DUMMYFUNCTION("""COMPUTED_VALUE"""),41858.99861111111)</f>
        <v>41858.99861</v>
      </c>
      <c r="B1422" s="1">
        <f>IFERROR(__xludf.DUMMYFUNCTION("""COMPUTED_VALUE"""),41737.06019)</f>
        <v>41737.06019</v>
      </c>
    </row>
    <row r="1423">
      <c r="A1423" s="3">
        <f>IFERROR(__xludf.DUMMYFUNCTION("""COMPUTED_VALUE"""),41859.99861111111)</f>
        <v>41859.99861</v>
      </c>
      <c r="B1423" s="1">
        <f>IFERROR(__xludf.DUMMYFUNCTION("""COMPUTED_VALUE"""),41538.45928)</f>
        <v>41538.45928</v>
      </c>
    </row>
    <row r="1424">
      <c r="A1424" s="3">
        <f>IFERROR(__xludf.DUMMYFUNCTION("""COMPUTED_VALUE"""),41861.99861111111)</f>
        <v>41861.99861</v>
      </c>
      <c r="B1424" s="1">
        <f>IFERROR(__xludf.DUMMYFUNCTION("""COMPUTED_VALUE"""),41804.87836)</f>
        <v>41804.87836</v>
      </c>
    </row>
    <row r="1425">
      <c r="A1425" s="3">
        <f>IFERROR(__xludf.DUMMYFUNCTION("""COMPUTED_VALUE"""),41862.99861111111)</f>
        <v>41862.99861</v>
      </c>
      <c r="B1425" s="1">
        <f>IFERROR(__xludf.DUMMYFUNCTION("""COMPUTED_VALUE"""),41370.5214)</f>
        <v>41370.5214</v>
      </c>
    </row>
    <row r="1426">
      <c r="A1426" s="3">
        <f>IFERROR(__xludf.DUMMYFUNCTION("""COMPUTED_VALUE"""),41863.99861111111)</f>
        <v>41863.99861</v>
      </c>
      <c r="B1426" s="1">
        <f>IFERROR(__xludf.DUMMYFUNCTION("""COMPUTED_VALUE"""),41304.18256)</f>
        <v>41304.18256</v>
      </c>
    </row>
    <row r="1427">
      <c r="A1427" s="3">
        <f>IFERROR(__xludf.DUMMYFUNCTION("""COMPUTED_VALUE"""),41864.99861111111)</f>
        <v>41864.99861</v>
      </c>
      <c r="B1427" s="1">
        <f>IFERROR(__xludf.DUMMYFUNCTION("""COMPUTED_VALUE"""),41288.51644)</f>
        <v>41288.51644</v>
      </c>
    </row>
    <row r="1428">
      <c r="A1428" s="3">
        <f>IFERROR(__xludf.DUMMYFUNCTION("""COMPUTED_VALUE"""),41865.99861111111)</f>
        <v>41865.99861</v>
      </c>
      <c r="B1428" s="1">
        <f>IFERROR(__xludf.DUMMYFUNCTION("""COMPUTED_VALUE"""),41244.03231)</f>
        <v>41244.03231</v>
      </c>
    </row>
    <row r="1429">
      <c r="A1429" s="3">
        <f>IFERROR(__xludf.DUMMYFUNCTION("""COMPUTED_VALUE"""),41866.99861111111)</f>
        <v>41866.99861</v>
      </c>
      <c r="B1429" s="1">
        <f>IFERROR(__xludf.DUMMYFUNCTION("""COMPUTED_VALUE"""),41255.29368)</f>
        <v>41255.29368</v>
      </c>
    </row>
    <row r="1430">
      <c r="A1430" s="3">
        <f>IFERROR(__xludf.DUMMYFUNCTION("""COMPUTED_VALUE"""),41868.99861111111)</f>
        <v>41868.99861</v>
      </c>
      <c r="B1430" s="1">
        <f>IFERROR(__xludf.DUMMYFUNCTION("""COMPUTED_VALUE"""),41309.18335)</f>
        <v>41309.18335</v>
      </c>
    </row>
    <row r="1431">
      <c r="A1431" s="3">
        <f>IFERROR(__xludf.DUMMYFUNCTION("""COMPUTED_VALUE"""),41869.99861111111)</f>
        <v>41869.99861</v>
      </c>
      <c r="B1431" s="1">
        <f>IFERROR(__xludf.DUMMYFUNCTION("""COMPUTED_VALUE"""),41251.66928)</f>
        <v>41251.66928</v>
      </c>
    </row>
    <row r="1432">
      <c r="A1432" s="3">
        <f>IFERROR(__xludf.DUMMYFUNCTION("""COMPUTED_VALUE"""),41870.99861111111)</f>
        <v>41870.99861</v>
      </c>
      <c r="B1432" s="1">
        <f>IFERROR(__xludf.DUMMYFUNCTION("""COMPUTED_VALUE"""),41171.27638)</f>
        <v>41171.27638</v>
      </c>
    </row>
    <row r="1433">
      <c r="A1433" s="3">
        <f>IFERROR(__xludf.DUMMYFUNCTION("""COMPUTED_VALUE"""),41871.99861111111)</f>
        <v>41871.99861</v>
      </c>
      <c r="B1433" s="1">
        <f>IFERROR(__xludf.DUMMYFUNCTION("""COMPUTED_VALUE"""),41255.2881)</f>
        <v>41255.2881</v>
      </c>
    </row>
    <row r="1434">
      <c r="A1434" s="3">
        <f>IFERROR(__xludf.DUMMYFUNCTION("""COMPUTED_VALUE"""),41872.99861111111)</f>
        <v>41872.99861</v>
      </c>
      <c r="B1434" s="1">
        <f>IFERROR(__xludf.DUMMYFUNCTION("""COMPUTED_VALUE"""),41249.33635)</f>
        <v>41249.33635</v>
      </c>
    </row>
    <row r="1435">
      <c r="A1435" s="3">
        <f>IFERROR(__xludf.DUMMYFUNCTION("""COMPUTED_VALUE"""),41873.99861111111)</f>
        <v>41873.99861</v>
      </c>
      <c r="B1435" s="1">
        <f>IFERROR(__xludf.DUMMYFUNCTION("""COMPUTED_VALUE"""),41144.71196)</f>
        <v>41144.71196</v>
      </c>
    </row>
    <row r="1436">
      <c r="A1436" s="3">
        <f>IFERROR(__xludf.DUMMYFUNCTION("""COMPUTED_VALUE"""),41874.99861111111)</f>
        <v>41874.99861</v>
      </c>
      <c r="B1436" s="1">
        <f>IFERROR(__xludf.DUMMYFUNCTION("""COMPUTED_VALUE"""),41223.19038)</f>
        <v>41223.19038</v>
      </c>
    </row>
    <row r="1437">
      <c r="A1437" s="3">
        <f>IFERROR(__xludf.DUMMYFUNCTION("""COMPUTED_VALUE"""),41875.99861111111)</f>
        <v>41875.99861</v>
      </c>
      <c r="B1437" s="1">
        <f>IFERROR(__xludf.DUMMYFUNCTION("""COMPUTED_VALUE"""),41223.19038)</f>
        <v>41223.19038</v>
      </c>
    </row>
    <row r="1438">
      <c r="A1438" s="3">
        <f>IFERROR(__xludf.DUMMYFUNCTION("""COMPUTED_VALUE"""),41876.99861111111)</f>
        <v>41876.99861</v>
      </c>
      <c r="B1438" s="1">
        <f>IFERROR(__xludf.DUMMYFUNCTION("""COMPUTED_VALUE"""),41198.83526)</f>
        <v>41198.83526</v>
      </c>
    </row>
    <row r="1439">
      <c r="A1439" s="3">
        <f>IFERROR(__xludf.DUMMYFUNCTION("""COMPUTED_VALUE"""),41877.99861111111)</f>
        <v>41877.99861</v>
      </c>
      <c r="B1439" s="1">
        <f>IFERROR(__xludf.DUMMYFUNCTION("""COMPUTED_VALUE"""),41166.94651)</f>
        <v>41166.94651</v>
      </c>
    </row>
    <row r="1440">
      <c r="A1440" s="3">
        <f>IFERROR(__xludf.DUMMYFUNCTION("""COMPUTED_VALUE"""),41878.99861111111)</f>
        <v>41878.99861</v>
      </c>
      <c r="B1440" s="1">
        <f>IFERROR(__xludf.DUMMYFUNCTION("""COMPUTED_VALUE"""),41097.08981)</f>
        <v>41097.08981</v>
      </c>
    </row>
    <row r="1441">
      <c r="A1441" s="3">
        <f>IFERROR(__xludf.DUMMYFUNCTION("""COMPUTED_VALUE"""),41879.99861111111)</f>
        <v>41879.99861</v>
      </c>
      <c r="B1441" s="1">
        <f>IFERROR(__xludf.DUMMYFUNCTION("""COMPUTED_VALUE"""),41247.08577)</f>
        <v>41247.08577</v>
      </c>
    </row>
    <row r="1442">
      <c r="A1442" s="3">
        <f>IFERROR(__xludf.DUMMYFUNCTION("""COMPUTED_VALUE"""),41880.99861111111)</f>
        <v>41880.99861</v>
      </c>
      <c r="B1442" s="1">
        <f>IFERROR(__xludf.DUMMYFUNCTION("""COMPUTED_VALUE"""),41145.63135)</f>
        <v>41145.63135</v>
      </c>
    </row>
    <row r="1443">
      <c r="A1443" s="3">
        <f>IFERROR(__xludf.DUMMYFUNCTION("""COMPUTED_VALUE"""),41882.99861111111)</f>
        <v>41882.99861</v>
      </c>
      <c r="B1443" s="1">
        <f>IFERROR(__xludf.DUMMYFUNCTION("""COMPUTED_VALUE"""),41200.52034)</f>
        <v>41200.52034</v>
      </c>
    </row>
    <row r="1444">
      <c r="A1444" s="3">
        <f>IFERROR(__xludf.DUMMYFUNCTION("""COMPUTED_VALUE"""),41883.99861111111)</f>
        <v>41883.99861</v>
      </c>
      <c r="B1444" s="1">
        <f>IFERROR(__xludf.DUMMYFUNCTION("""COMPUTED_VALUE"""),41189.08353)</f>
        <v>41189.08353</v>
      </c>
    </row>
    <row r="1445">
      <c r="A1445" s="3">
        <f>IFERROR(__xludf.DUMMYFUNCTION("""COMPUTED_VALUE"""),41884.99861111111)</f>
        <v>41884.99861</v>
      </c>
      <c r="B1445" s="1">
        <f>IFERROR(__xludf.DUMMYFUNCTION("""COMPUTED_VALUE"""),41271.56028)</f>
        <v>41271.56028</v>
      </c>
    </row>
    <row r="1446">
      <c r="A1446" s="3">
        <f>IFERROR(__xludf.DUMMYFUNCTION("""COMPUTED_VALUE"""),41885.99861111111)</f>
        <v>41885.99861</v>
      </c>
      <c r="B1446" s="1">
        <f>IFERROR(__xludf.DUMMYFUNCTION("""COMPUTED_VALUE"""),41368.99479)</f>
        <v>41368.99479</v>
      </c>
    </row>
    <row r="1447">
      <c r="A1447" s="3">
        <f>IFERROR(__xludf.DUMMYFUNCTION("""COMPUTED_VALUE"""),41886.99861111111)</f>
        <v>41886.99861</v>
      </c>
      <c r="B1447" s="1">
        <f>IFERROR(__xludf.DUMMYFUNCTION("""COMPUTED_VALUE"""),41115.70223)</f>
        <v>41115.70223</v>
      </c>
    </row>
    <row r="1448">
      <c r="A1448" s="3">
        <f>IFERROR(__xludf.DUMMYFUNCTION("""COMPUTED_VALUE"""),41887.99861111111)</f>
        <v>41887.99861</v>
      </c>
      <c r="B1448" s="1">
        <f>IFERROR(__xludf.DUMMYFUNCTION("""COMPUTED_VALUE"""),41077.93209)</f>
        <v>41077.93209</v>
      </c>
    </row>
    <row r="1449">
      <c r="A1449" s="3">
        <f>IFERROR(__xludf.DUMMYFUNCTION("""COMPUTED_VALUE"""),41890.99861111111)</f>
        <v>41890.99861</v>
      </c>
      <c r="B1449" s="1">
        <f>IFERROR(__xludf.DUMMYFUNCTION("""COMPUTED_VALUE"""),40954.53963)</f>
        <v>40954.53963</v>
      </c>
    </row>
    <row r="1450">
      <c r="A1450" s="3">
        <f>IFERROR(__xludf.DUMMYFUNCTION("""COMPUTED_VALUE"""),41891.99861111111)</f>
        <v>41891.99861</v>
      </c>
      <c r="B1450" s="1">
        <f>IFERROR(__xludf.DUMMYFUNCTION("""COMPUTED_VALUE"""),41271.49958)</f>
        <v>41271.49958</v>
      </c>
    </row>
    <row r="1451">
      <c r="A1451" s="3">
        <f>IFERROR(__xludf.DUMMYFUNCTION("""COMPUTED_VALUE"""),41892.99861111111)</f>
        <v>41892.99861</v>
      </c>
      <c r="B1451" s="1">
        <f>IFERROR(__xludf.DUMMYFUNCTION("""COMPUTED_VALUE"""),41296.74501)</f>
        <v>41296.74501</v>
      </c>
    </row>
    <row r="1452">
      <c r="A1452" s="3">
        <f>IFERROR(__xludf.DUMMYFUNCTION("""COMPUTED_VALUE"""),41893.99861111111)</f>
        <v>41893.99861</v>
      </c>
      <c r="B1452" s="1">
        <f>IFERROR(__xludf.DUMMYFUNCTION("""COMPUTED_VALUE"""),41365.07375)</f>
        <v>41365.07375</v>
      </c>
    </row>
    <row r="1453">
      <c r="A1453" s="3">
        <f>IFERROR(__xludf.DUMMYFUNCTION("""COMPUTED_VALUE"""),41894.99861111111)</f>
        <v>41894.99861</v>
      </c>
      <c r="B1453" s="1">
        <f>IFERROR(__xludf.DUMMYFUNCTION("""COMPUTED_VALUE"""),41570.47351)</f>
        <v>41570.47351</v>
      </c>
    </row>
    <row r="1454">
      <c r="A1454" s="3">
        <f>IFERROR(__xludf.DUMMYFUNCTION("""COMPUTED_VALUE"""),41895.99861111111)</f>
        <v>41895.99861</v>
      </c>
      <c r="B1454" s="1">
        <f>IFERROR(__xludf.DUMMYFUNCTION("""COMPUTED_VALUE"""),41639.58857)</f>
        <v>41639.58857</v>
      </c>
    </row>
    <row r="1455">
      <c r="A1455" s="3">
        <f>IFERROR(__xludf.DUMMYFUNCTION("""COMPUTED_VALUE"""),41897.99861111111)</f>
        <v>41897.99861</v>
      </c>
      <c r="B1455" s="1">
        <f>IFERROR(__xludf.DUMMYFUNCTION("""COMPUTED_VALUE"""),41720.54694)</f>
        <v>41720.54694</v>
      </c>
    </row>
    <row r="1456">
      <c r="A1456" s="3">
        <f>IFERROR(__xludf.DUMMYFUNCTION("""COMPUTED_VALUE"""),41898.99861111111)</f>
        <v>41898.99861</v>
      </c>
      <c r="B1456" s="1">
        <f>IFERROR(__xludf.DUMMYFUNCTION("""COMPUTED_VALUE"""),41883.61995)</f>
        <v>41883.61995</v>
      </c>
    </row>
    <row r="1457">
      <c r="A1457" s="3">
        <f>IFERROR(__xludf.DUMMYFUNCTION("""COMPUTED_VALUE"""),41899.99861111111)</f>
        <v>41899.99861</v>
      </c>
      <c r="B1457" s="1">
        <f>IFERROR(__xludf.DUMMYFUNCTION("""COMPUTED_VALUE"""),41728.87478)</f>
        <v>41728.87478</v>
      </c>
    </row>
    <row r="1458">
      <c r="A1458" s="3">
        <f>IFERROR(__xludf.DUMMYFUNCTION("""COMPUTED_VALUE"""),41900.99861111111)</f>
        <v>41900.99861</v>
      </c>
      <c r="B1458" s="1">
        <f>IFERROR(__xludf.DUMMYFUNCTION("""COMPUTED_VALUE"""),41769.32044)</f>
        <v>41769.32044</v>
      </c>
    </row>
    <row r="1459">
      <c r="A1459" s="3">
        <f>IFERROR(__xludf.DUMMYFUNCTION("""COMPUTED_VALUE"""),41901.99861111111)</f>
        <v>41901.99861</v>
      </c>
      <c r="B1459" s="1">
        <f>IFERROR(__xludf.DUMMYFUNCTION("""COMPUTED_VALUE"""),41746.7948)</f>
        <v>41746.7948</v>
      </c>
    </row>
    <row r="1460">
      <c r="A1460" s="3">
        <f>IFERROR(__xludf.DUMMYFUNCTION("""COMPUTED_VALUE"""),41902.99861111111)</f>
        <v>41902.99861</v>
      </c>
      <c r="B1460" s="1">
        <f>IFERROR(__xludf.DUMMYFUNCTION("""COMPUTED_VALUE"""),41822.7424)</f>
        <v>41822.7424</v>
      </c>
    </row>
    <row r="1461">
      <c r="A1461" s="3">
        <f>IFERROR(__xludf.DUMMYFUNCTION("""COMPUTED_VALUE"""),41904.99861111111)</f>
        <v>41904.99861</v>
      </c>
      <c r="B1461" s="1">
        <f>IFERROR(__xludf.DUMMYFUNCTION("""COMPUTED_VALUE"""),41813.7364)</f>
        <v>41813.7364</v>
      </c>
    </row>
    <row r="1462">
      <c r="A1462" s="3">
        <f>IFERROR(__xludf.DUMMYFUNCTION("""COMPUTED_VALUE"""),41905.99861111111)</f>
        <v>41905.99861</v>
      </c>
      <c r="B1462" s="1">
        <f>IFERROR(__xludf.DUMMYFUNCTION("""COMPUTED_VALUE"""),41723.30232)</f>
        <v>41723.30232</v>
      </c>
    </row>
    <row r="1463">
      <c r="A1463" s="3">
        <f>IFERROR(__xludf.DUMMYFUNCTION("""COMPUTED_VALUE"""),41906.99861111111)</f>
        <v>41906.99861</v>
      </c>
      <c r="B1463" s="1">
        <f>IFERROR(__xludf.DUMMYFUNCTION("""COMPUTED_VALUE"""),41584.26004)</f>
        <v>41584.26004</v>
      </c>
    </row>
    <row r="1464">
      <c r="A1464" s="3">
        <f>IFERROR(__xludf.DUMMYFUNCTION("""COMPUTED_VALUE"""),41907.99861111111)</f>
        <v>41907.99861</v>
      </c>
      <c r="B1464" s="1">
        <f>IFERROR(__xludf.DUMMYFUNCTION("""COMPUTED_VALUE"""),41707.57567)</f>
        <v>41707.57567</v>
      </c>
    </row>
    <row r="1465">
      <c r="A1465" s="3">
        <f>IFERROR(__xludf.DUMMYFUNCTION("""COMPUTED_VALUE"""),41908.99861111111)</f>
        <v>41908.99861</v>
      </c>
      <c r="B1465" s="1">
        <f>IFERROR(__xludf.DUMMYFUNCTION("""COMPUTED_VALUE"""),41905.7548)</f>
        <v>41905.7548</v>
      </c>
    </row>
    <row r="1466">
      <c r="A1466" s="3">
        <f>IFERROR(__xludf.DUMMYFUNCTION("""COMPUTED_VALUE"""),41909.99861111111)</f>
        <v>41909.99861</v>
      </c>
      <c r="B1466" s="1">
        <f>IFERROR(__xludf.DUMMYFUNCTION("""COMPUTED_VALUE"""),41949.99058)</f>
        <v>41949.99058</v>
      </c>
    </row>
    <row r="1467">
      <c r="A1467" s="3">
        <f>IFERROR(__xludf.DUMMYFUNCTION("""COMPUTED_VALUE"""),41910.99861111111)</f>
        <v>41910.99861</v>
      </c>
      <c r="B1467" s="1">
        <f>IFERROR(__xludf.DUMMYFUNCTION("""COMPUTED_VALUE"""),41949.99058)</f>
        <v>41949.99058</v>
      </c>
    </row>
    <row r="1468">
      <c r="A1468" s="3">
        <f>IFERROR(__xludf.DUMMYFUNCTION("""COMPUTED_VALUE"""),41911.99861111111)</f>
        <v>41911.99861</v>
      </c>
      <c r="B1468" s="1">
        <f>IFERROR(__xludf.DUMMYFUNCTION("""COMPUTED_VALUE"""),42218.35324)</f>
        <v>42218.35324</v>
      </c>
    </row>
    <row r="1469">
      <c r="A1469" s="3">
        <f>IFERROR(__xludf.DUMMYFUNCTION("""COMPUTED_VALUE"""),41912.99861111111)</f>
        <v>41912.99861</v>
      </c>
      <c r="B1469" s="1">
        <f>IFERROR(__xludf.DUMMYFUNCTION("""COMPUTED_VALUE"""),42290.4469)</f>
        <v>42290.4469</v>
      </c>
    </row>
    <row r="1470">
      <c r="A1470" s="3">
        <f>IFERROR(__xludf.DUMMYFUNCTION("""COMPUTED_VALUE"""),41913.99861111111)</f>
        <v>41913.99861</v>
      </c>
      <c r="B1470" s="1">
        <f>IFERROR(__xludf.DUMMYFUNCTION("""COMPUTED_VALUE"""),42144.38709)</f>
        <v>42144.38709</v>
      </c>
    </row>
    <row r="1471">
      <c r="A1471" s="3">
        <f>IFERROR(__xludf.DUMMYFUNCTION("""COMPUTED_VALUE"""),41914.99861111111)</f>
        <v>41914.99861</v>
      </c>
      <c r="B1471" s="1">
        <f>IFERROR(__xludf.DUMMYFUNCTION("""COMPUTED_VALUE"""),42081.84801)</f>
        <v>42081.84801</v>
      </c>
    </row>
    <row r="1472">
      <c r="A1472" s="3">
        <f>IFERROR(__xludf.DUMMYFUNCTION("""COMPUTED_VALUE"""),41915.99861111111)</f>
        <v>41915.99861</v>
      </c>
      <c r="B1472" s="1">
        <f>IFERROR(__xludf.DUMMYFUNCTION("""COMPUTED_VALUE"""),42192.58434)</f>
        <v>42192.58434</v>
      </c>
    </row>
    <row r="1473">
      <c r="A1473" s="3">
        <f>IFERROR(__xludf.DUMMYFUNCTION("""COMPUTED_VALUE"""),41916.99861111111)</f>
        <v>41916.99861</v>
      </c>
      <c r="B1473" s="1">
        <f>IFERROR(__xludf.DUMMYFUNCTION("""COMPUTED_VALUE"""),42218.0908)</f>
        <v>42218.0908</v>
      </c>
    </row>
    <row r="1474">
      <c r="A1474" s="3">
        <f>IFERROR(__xludf.DUMMYFUNCTION("""COMPUTED_VALUE"""),41918.99861111111)</f>
        <v>41918.99861</v>
      </c>
      <c r="B1474" s="1">
        <f>IFERROR(__xludf.DUMMYFUNCTION("""COMPUTED_VALUE"""),42168.2862)</f>
        <v>42168.2862</v>
      </c>
    </row>
    <row r="1475">
      <c r="A1475" s="3">
        <f>IFERROR(__xludf.DUMMYFUNCTION("""COMPUTED_VALUE"""),41919.99861111111)</f>
        <v>41919.99861</v>
      </c>
      <c r="B1475" s="1">
        <f>IFERROR(__xludf.DUMMYFUNCTION("""COMPUTED_VALUE"""),42441.28784)</f>
        <v>42441.28784</v>
      </c>
    </row>
    <row r="1476">
      <c r="A1476" s="3">
        <f>IFERROR(__xludf.DUMMYFUNCTION("""COMPUTED_VALUE"""),41920.99861111111)</f>
        <v>41920.99861</v>
      </c>
      <c r="B1476" s="1">
        <f>IFERROR(__xludf.DUMMYFUNCTION("""COMPUTED_VALUE"""),42457.74753)</f>
        <v>42457.74753</v>
      </c>
    </row>
    <row r="1477">
      <c r="A1477" s="3">
        <f>IFERROR(__xludf.DUMMYFUNCTION("""COMPUTED_VALUE"""),41921.99861111111)</f>
        <v>41921.99861</v>
      </c>
      <c r="B1477" s="1">
        <f>IFERROR(__xludf.DUMMYFUNCTION("""COMPUTED_VALUE"""),42318.63926)</f>
        <v>42318.63926</v>
      </c>
    </row>
    <row r="1478">
      <c r="A1478" s="3">
        <f>IFERROR(__xludf.DUMMYFUNCTION("""COMPUTED_VALUE"""),41922.99861111111)</f>
        <v>41922.99861</v>
      </c>
      <c r="B1478" s="1">
        <f>IFERROR(__xludf.DUMMYFUNCTION("""COMPUTED_VALUE"""),42345.83067)</f>
        <v>42345.83067</v>
      </c>
    </row>
    <row r="1479">
      <c r="A1479" s="3">
        <f>IFERROR(__xludf.DUMMYFUNCTION("""COMPUTED_VALUE"""),41923.99861111111)</f>
        <v>41923.99861</v>
      </c>
      <c r="B1479" s="1">
        <f>IFERROR(__xludf.DUMMYFUNCTION("""COMPUTED_VALUE"""),42397.6098)</f>
        <v>42397.6098</v>
      </c>
    </row>
    <row r="1480">
      <c r="A1480" s="3">
        <f>IFERROR(__xludf.DUMMYFUNCTION("""COMPUTED_VALUE"""),41924.99861111111)</f>
        <v>41924.99861</v>
      </c>
      <c r="B1480" s="1">
        <f>IFERROR(__xludf.DUMMYFUNCTION("""COMPUTED_VALUE"""),42397.6098)</f>
        <v>42397.6098</v>
      </c>
    </row>
    <row r="1481">
      <c r="A1481" s="3">
        <f>IFERROR(__xludf.DUMMYFUNCTION("""COMPUTED_VALUE"""),41925.99861111111)</f>
        <v>41925.99861</v>
      </c>
      <c r="B1481" s="1">
        <f>IFERROR(__xludf.DUMMYFUNCTION("""COMPUTED_VALUE"""),42343.4672)</f>
        <v>42343.4672</v>
      </c>
    </row>
    <row r="1482">
      <c r="A1482" s="3">
        <f>IFERROR(__xludf.DUMMYFUNCTION("""COMPUTED_VALUE"""),41926.99861111111)</f>
        <v>41926.99861</v>
      </c>
      <c r="B1482" s="1">
        <f>IFERROR(__xludf.DUMMYFUNCTION("""COMPUTED_VALUE"""),42280.75639)</f>
        <v>42280.75639</v>
      </c>
    </row>
    <row r="1483">
      <c r="A1483" s="3">
        <f>IFERROR(__xludf.DUMMYFUNCTION("""COMPUTED_VALUE"""),41927.99861111111)</f>
        <v>41927.99861</v>
      </c>
      <c r="B1483" s="1">
        <f>IFERROR(__xludf.DUMMYFUNCTION("""COMPUTED_VALUE"""),42518.34097)</f>
        <v>42518.34097</v>
      </c>
    </row>
    <row r="1484">
      <c r="A1484" s="3">
        <f>IFERROR(__xludf.DUMMYFUNCTION("""COMPUTED_VALUE"""),41928.99861111111)</f>
        <v>41928.99861</v>
      </c>
      <c r="B1484" s="1">
        <f>IFERROR(__xludf.DUMMYFUNCTION("""COMPUTED_VALUE"""),42384.04797)</f>
        <v>42384.04797</v>
      </c>
    </row>
    <row r="1485">
      <c r="A1485" s="3">
        <f>IFERROR(__xludf.DUMMYFUNCTION("""COMPUTED_VALUE"""),41929.99861111111)</f>
        <v>41929.99861</v>
      </c>
      <c r="B1485" s="1">
        <f>IFERROR(__xludf.DUMMYFUNCTION("""COMPUTED_VALUE"""),41948.0008)</f>
        <v>41948.0008</v>
      </c>
    </row>
    <row r="1486">
      <c r="A1486" s="3">
        <f>IFERROR(__xludf.DUMMYFUNCTION("""COMPUTED_VALUE"""),41930.99861111111)</f>
        <v>41930.99861</v>
      </c>
      <c r="B1486" s="1">
        <f>IFERROR(__xludf.DUMMYFUNCTION("""COMPUTED_VALUE"""),42051.02294)</f>
        <v>42051.02294</v>
      </c>
    </row>
    <row r="1487">
      <c r="A1487" s="3">
        <f>IFERROR(__xludf.DUMMYFUNCTION("""COMPUTED_VALUE"""),41931.99861111111)</f>
        <v>41931.99861</v>
      </c>
      <c r="B1487" s="1">
        <f>IFERROR(__xludf.DUMMYFUNCTION("""COMPUTED_VALUE"""),42051.02294)</f>
        <v>42051.02294</v>
      </c>
    </row>
    <row r="1488">
      <c r="A1488" s="3">
        <f>IFERROR(__xludf.DUMMYFUNCTION("""COMPUTED_VALUE"""),41932.99861111111)</f>
        <v>41932.99861</v>
      </c>
      <c r="B1488" s="1">
        <f>IFERROR(__xludf.DUMMYFUNCTION("""COMPUTED_VALUE"""),41737.85301)</f>
        <v>41737.85301</v>
      </c>
    </row>
    <row r="1489">
      <c r="A1489" s="3">
        <f>IFERROR(__xludf.DUMMYFUNCTION("""COMPUTED_VALUE"""),41933.99861111111)</f>
        <v>41933.99861</v>
      </c>
      <c r="B1489" s="1">
        <f>IFERROR(__xludf.DUMMYFUNCTION("""COMPUTED_VALUE"""),41514.8528)</f>
        <v>41514.8528</v>
      </c>
    </row>
    <row r="1490">
      <c r="A1490" s="3">
        <f>IFERROR(__xludf.DUMMYFUNCTION("""COMPUTED_VALUE"""),41934.99861111111)</f>
        <v>41934.99861</v>
      </c>
      <c r="B1490" s="1">
        <f>IFERROR(__xludf.DUMMYFUNCTION("""COMPUTED_VALUE"""),41471.93272)</f>
        <v>41471.93272</v>
      </c>
    </row>
    <row r="1491">
      <c r="A1491" s="3">
        <f>IFERROR(__xludf.DUMMYFUNCTION("""COMPUTED_VALUE"""),41935.99861111111)</f>
        <v>41935.99861</v>
      </c>
      <c r="B1491" s="1">
        <f>IFERROR(__xludf.DUMMYFUNCTION("""COMPUTED_VALUE"""),41738.79802)</f>
        <v>41738.79802</v>
      </c>
    </row>
    <row r="1492">
      <c r="A1492" s="3">
        <f>IFERROR(__xludf.DUMMYFUNCTION("""COMPUTED_VALUE"""),41936.99861111111)</f>
        <v>41936.99861</v>
      </c>
      <c r="B1492" s="1">
        <f>IFERROR(__xludf.DUMMYFUNCTION("""COMPUTED_VALUE"""),41810.93122)</f>
        <v>41810.93122</v>
      </c>
    </row>
    <row r="1493">
      <c r="A1493" s="3">
        <f>IFERROR(__xludf.DUMMYFUNCTION("""COMPUTED_VALUE"""),41937.99861111111)</f>
        <v>41937.99861</v>
      </c>
      <c r="B1493" s="1">
        <f>IFERROR(__xludf.DUMMYFUNCTION("""COMPUTED_VALUE"""),41875.21869)</f>
        <v>41875.21869</v>
      </c>
    </row>
    <row r="1494">
      <c r="A1494" s="3">
        <f>IFERROR(__xludf.DUMMYFUNCTION("""COMPUTED_VALUE"""),41939.99861111111)</f>
        <v>41939.99861</v>
      </c>
      <c r="B1494" s="1">
        <f>IFERROR(__xludf.DUMMYFUNCTION("""COMPUTED_VALUE"""),41910.5643)</f>
        <v>41910.5643</v>
      </c>
    </row>
    <row r="1495">
      <c r="A1495" s="3">
        <f>IFERROR(__xludf.DUMMYFUNCTION("""COMPUTED_VALUE"""),41940.99861111111)</f>
        <v>41940.99861</v>
      </c>
      <c r="B1495" s="1">
        <f>IFERROR(__xludf.DUMMYFUNCTION("""COMPUTED_VALUE"""),42054.74141)</f>
        <v>42054.74141</v>
      </c>
    </row>
    <row r="1496">
      <c r="A1496" s="3">
        <f>IFERROR(__xludf.DUMMYFUNCTION("""COMPUTED_VALUE"""),41941.99861111111)</f>
        <v>41941.99861</v>
      </c>
      <c r="B1496" s="1">
        <f>IFERROR(__xludf.DUMMYFUNCTION("""COMPUTED_VALUE"""),41803.21692)</f>
        <v>41803.21692</v>
      </c>
    </row>
    <row r="1497">
      <c r="A1497" s="3">
        <f>IFERROR(__xludf.DUMMYFUNCTION("""COMPUTED_VALUE"""),41942.99861111111)</f>
        <v>41942.99861</v>
      </c>
      <c r="B1497" s="1">
        <f>IFERROR(__xludf.DUMMYFUNCTION("""COMPUTED_VALUE"""),42035.6952)</f>
        <v>42035.6952</v>
      </c>
    </row>
    <row r="1498">
      <c r="A1498" s="3">
        <f>IFERROR(__xludf.DUMMYFUNCTION("""COMPUTED_VALUE"""),41943.99861111111)</f>
        <v>41943.99861</v>
      </c>
      <c r="B1498" s="1">
        <f>IFERROR(__xludf.DUMMYFUNCTION("""COMPUTED_VALUE"""),41655.15117)</f>
        <v>41655.15117</v>
      </c>
    </row>
    <row r="1499">
      <c r="A1499" s="3">
        <f>IFERROR(__xludf.DUMMYFUNCTION("""COMPUTED_VALUE"""),41946.99861111111)</f>
        <v>41946.99861</v>
      </c>
      <c r="B1499" s="1">
        <f>IFERROR(__xludf.DUMMYFUNCTION("""COMPUTED_VALUE"""),41764.11348)</f>
        <v>41764.11348</v>
      </c>
    </row>
    <row r="1500">
      <c r="A1500" s="3">
        <f>IFERROR(__xludf.DUMMYFUNCTION("""COMPUTED_VALUE"""),41947.99861111111)</f>
        <v>41947.99861</v>
      </c>
      <c r="B1500" s="1">
        <f>IFERROR(__xludf.DUMMYFUNCTION("""COMPUTED_VALUE"""),41817.73127)</f>
        <v>41817.73127</v>
      </c>
    </row>
    <row r="1501">
      <c r="A1501" s="3">
        <f>IFERROR(__xludf.DUMMYFUNCTION("""COMPUTED_VALUE"""),41948.99861111111)</f>
        <v>41948.99861</v>
      </c>
      <c r="B1501" s="1">
        <f>IFERROR(__xludf.DUMMYFUNCTION("""COMPUTED_VALUE"""),41920.59475)</f>
        <v>41920.59475</v>
      </c>
    </row>
    <row r="1502">
      <c r="A1502" s="3">
        <f>IFERROR(__xludf.DUMMYFUNCTION("""COMPUTED_VALUE"""),41949.99861111111)</f>
        <v>41949.99861</v>
      </c>
      <c r="B1502" s="1">
        <f>IFERROR(__xludf.DUMMYFUNCTION("""COMPUTED_VALUE"""),41725.32345)</f>
        <v>41725.32345</v>
      </c>
    </row>
    <row r="1503">
      <c r="A1503" s="3">
        <f>IFERROR(__xludf.DUMMYFUNCTION("""COMPUTED_VALUE"""),41950.99861111111)</f>
        <v>41950.99861</v>
      </c>
      <c r="B1503" s="1">
        <f>IFERROR(__xludf.DUMMYFUNCTION("""COMPUTED_VALUE"""),41855.73852)</f>
        <v>41855.73852</v>
      </c>
    </row>
    <row r="1504">
      <c r="A1504" s="3">
        <f>IFERROR(__xludf.DUMMYFUNCTION("""COMPUTED_VALUE"""),41953.99861111111)</f>
        <v>41953.99861</v>
      </c>
      <c r="B1504" s="1">
        <f>IFERROR(__xludf.DUMMYFUNCTION("""COMPUTED_VALUE"""),41786.98166)</f>
        <v>41786.98166</v>
      </c>
    </row>
    <row r="1505">
      <c r="A1505" s="3">
        <f>IFERROR(__xludf.DUMMYFUNCTION("""COMPUTED_VALUE"""),41954.99861111111)</f>
        <v>41954.99861</v>
      </c>
      <c r="B1505" s="1">
        <f>IFERROR(__xludf.DUMMYFUNCTION("""COMPUTED_VALUE"""),41760.20899)</f>
        <v>41760.20899</v>
      </c>
    </row>
    <row r="1506">
      <c r="A1506" s="3">
        <f>IFERROR(__xludf.DUMMYFUNCTION("""COMPUTED_VALUE"""),41955.99861111111)</f>
        <v>41955.99861</v>
      </c>
      <c r="B1506" s="1">
        <f>IFERROR(__xludf.DUMMYFUNCTION("""COMPUTED_VALUE"""),41895.55457)</f>
        <v>41895.55457</v>
      </c>
    </row>
    <row r="1507">
      <c r="A1507" s="3">
        <f>IFERROR(__xludf.DUMMYFUNCTION("""COMPUTED_VALUE"""),41956.99861111111)</f>
        <v>41956.99861</v>
      </c>
      <c r="B1507" s="1">
        <f>IFERROR(__xludf.DUMMYFUNCTION("""COMPUTED_VALUE"""),41924.37683)</f>
        <v>41924.37683</v>
      </c>
    </row>
    <row r="1508">
      <c r="A1508" s="3">
        <f>IFERROR(__xludf.DUMMYFUNCTION("""COMPUTED_VALUE"""),41957.99861111111)</f>
        <v>41957.99861</v>
      </c>
      <c r="B1508" s="1">
        <f>IFERROR(__xludf.DUMMYFUNCTION("""COMPUTED_VALUE"""),41989.3256)</f>
        <v>41989.3256</v>
      </c>
    </row>
    <row r="1509">
      <c r="A1509" s="3">
        <f>IFERROR(__xludf.DUMMYFUNCTION("""COMPUTED_VALUE"""),41958.99861111111)</f>
        <v>41958.99861</v>
      </c>
      <c r="B1509" s="1">
        <f>IFERROR(__xludf.DUMMYFUNCTION("""COMPUTED_VALUE"""),42075.12837)</f>
        <v>42075.12837</v>
      </c>
    </row>
    <row r="1510">
      <c r="A1510" s="3">
        <f>IFERROR(__xludf.DUMMYFUNCTION("""COMPUTED_VALUE"""),41959.99861111111)</f>
        <v>41959.99861</v>
      </c>
      <c r="B1510" s="1">
        <f>IFERROR(__xludf.DUMMYFUNCTION("""COMPUTED_VALUE"""),42075.12837)</f>
        <v>42075.12837</v>
      </c>
    </row>
    <row r="1511">
      <c r="A1511" s="3">
        <f>IFERROR(__xludf.DUMMYFUNCTION("""COMPUTED_VALUE"""),41960.99861111111)</f>
        <v>41960.99861</v>
      </c>
      <c r="B1511" s="1">
        <f>IFERROR(__xludf.DUMMYFUNCTION("""COMPUTED_VALUE"""),41904.32485)</f>
        <v>41904.32485</v>
      </c>
    </row>
    <row r="1512">
      <c r="A1512" s="3">
        <f>IFERROR(__xludf.DUMMYFUNCTION("""COMPUTED_VALUE"""),41961.99861111111)</f>
        <v>41961.99861</v>
      </c>
      <c r="B1512" s="1">
        <f>IFERROR(__xludf.DUMMYFUNCTION("""COMPUTED_VALUE"""),41739.81537)</f>
        <v>41739.81537</v>
      </c>
    </row>
    <row r="1513">
      <c r="A1513" s="3">
        <f>IFERROR(__xludf.DUMMYFUNCTION("""COMPUTED_VALUE"""),41962.99861111111)</f>
        <v>41962.99861</v>
      </c>
      <c r="B1513" s="1">
        <f>IFERROR(__xludf.DUMMYFUNCTION("""COMPUTED_VALUE"""),41646.29794)</f>
        <v>41646.29794</v>
      </c>
    </row>
    <row r="1514">
      <c r="A1514" s="3">
        <f>IFERROR(__xludf.DUMMYFUNCTION("""COMPUTED_VALUE"""),41963.99861111111)</f>
        <v>41963.99861</v>
      </c>
      <c r="B1514" s="1">
        <f>IFERROR(__xludf.DUMMYFUNCTION("""COMPUTED_VALUE"""),41750.10192)</f>
        <v>41750.10192</v>
      </c>
    </row>
    <row r="1515">
      <c r="A1515" s="3">
        <f>IFERROR(__xludf.DUMMYFUNCTION("""COMPUTED_VALUE"""),41964.99861111111)</f>
        <v>41964.99861</v>
      </c>
      <c r="B1515" s="1">
        <f>IFERROR(__xludf.DUMMYFUNCTION("""COMPUTED_VALUE"""),41765.91122)</f>
        <v>41765.91122</v>
      </c>
    </row>
    <row r="1516">
      <c r="A1516" s="3">
        <f>IFERROR(__xludf.DUMMYFUNCTION("""COMPUTED_VALUE"""),41965.99861111111)</f>
        <v>41965.99861</v>
      </c>
      <c r="B1516" s="1">
        <f>IFERROR(__xludf.DUMMYFUNCTION("""COMPUTED_VALUE"""),42185.53246)</f>
        <v>42185.53246</v>
      </c>
    </row>
    <row r="1517">
      <c r="A1517" s="3">
        <f>IFERROR(__xludf.DUMMYFUNCTION("""COMPUTED_VALUE"""),41967.99861111111)</f>
        <v>41967.99861</v>
      </c>
      <c r="B1517" s="1">
        <f>IFERROR(__xludf.DUMMYFUNCTION("""COMPUTED_VALUE"""),41751.54574)</f>
        <v>41751.54574</v>
      </c>
    </row>
    <row r="1518">
      <c r="A1518" s="3">
        <f>IFERROR(__xludf.DUMMYFUNCTION("""COMPUTED_VALUE"""),41968.99861111111)</f>
        <v>41968.99861</v>
      </c>
      <c r="B1518" s="1">
        <f>IFERROR(__xludf.DUMMYFUNCTION("""COMPUTED_VALUE"""),41770.23056)</f>
        <v>41770.23056</v>
      </c>
    </row>
    <row r="1519">
      <c r="A1519" s="3">
        <f>IFERROR(__xludf.DUMMYFUNCTION("""COMPUTED_VALUE"""),41969.99861111111)</f>
        <v>41969.99861</v>
      </c>
      <c r="B1519" s="1">
        <f>IFERROR(__xludf.DUMMYFUNCTION("""COMPUTED_VALUE"""),41917.70927)</f>
        <v>41917.70927</v>
      </c>
    </row>
    <row r="1520">
      <c r="A1520" s="3">
        <f>IFERROR(__xludf.DUMMYFUNCTION("""COMPUTED_VALUE"""),41970.99861111111)</f>
        <v>41970.99861</v>
      </c>
      <c r="B1520" s="1">
        <f>IFERROR(__xludf.DUMMYFUNCTION("""COMPUTED_VALUE"""),41903.2819)</f>
        <v>41903.2819</v>
      </c>
    </row>
    <row r="1521">
      <c r="A1521" s="3">
        <f>IFERROR(__xludf.DUMMYFUNCTION("""COMPUTED_VALUE"""),41971.99861111111)</f>
        <v>41971.99861</v>
      </c>
      <c r="B1521" s="1">
        <f>IFERROR(__xludf.DUMMYFUNCTION("""COMPUTED_VALUE"""),41826.98117)</f>
        <v>41826.98117</v>
      </c>
    </row>
    <row r="1522">
      <c r="A1522" s="3">
        <f>IFERROR(__xludf.DUMMYFUNCTION("""COMPUTED_VALUE"""),41974.99861111111)</f>
        <v>41974.99861</v>
      </c>
      <c r="B1522" s="1">
        <f>IFERROR(__xludf.DUMMYFUNCTION("""COMPUTED_VALUE"""),42280.41226)</f>
        <v>42280.41226</v>
      </c>
    </row>
    <row r="1523">
      <c r="A1523" s="3">
        <f>IFERROR(__xludf.DUMMYFUNCTION("""COMPUTED_VALUE"""),41975.99861111111)</f>
        <v>41975.99861</v>
      </c>
      <c r="B1523" s="1">
        <f>IFERROR(__xludf.DUMMYFUNCTION("""COMPUTED_VALUE"""),42154.19617)</f>
        <v>42154.19617</v>
      </c>
    </row>
    <row r="1524">
      <c r="A1524" s="3">
        <f>IFERROR(__xludf.DUMMYFUNCTION("""COMPUTED_VALUE"""),41976.99861111111)</f>
        <v>41976.99861</v>
      </c>
      <c r="B1524" s="1">
        <f>IFERROR(__xludf.DUMMYFUNCTION("""COMPUTED_VALUE"""),42161.43204)</f>
        <v>42161.43204</v>
      </c>
    </row>
    <row r="1525">
      <c r="A1525" s="3">
        <f>IFERROR(__xludf.DUMMYFUNCTION("""COMPUTED_VALUE"""),41977.99861111111)</f>
        <v>41977.99861</v>
      </c>
      <c r="B1525" s="1">
        <f>IFERROR(__xludf.DUMMYFUNCTION("""COMPUTED_VALUE"""),42207.78334)</f>
        <v>42207.78334</v>
      </c>
    </row>
    <row r="1526">
      <c r="A1526" s="3">
        <f>IFERROR(__xludf.DUMMYFUNCTION("""COMPUTED_VALUE"""),41978.99861111111)</f>
        <v>41978.99861</v>
      </c>
      <c r="B1526" s="1">
        <f>IFERROR(__xludf.DUMMYFUNCTION("""COMPUTED_VALUE"""),42129.62617)</f>
        <v>42129.62617</v>
      </c>
    </row>
    <row r="1527">
      <c r="A1527" s="3">
        <f>IFERROR(__xludf.DUMMYFUNCTION("""COMPUTED_VALUE"""),41979.99861111111)</f>
        <v>41979.99861</v>
      </c>
      <c r="B1527" s="1">
        <f>IFERROR(__xludf.DUMMYFUNCTION("""COMPUTED_VALUE"""),42547.80172)</f>
        <v>42547.80172</v>
      </c>
    </row>
    <row r="1528">
      <c r="A1528" s="3">
        <f>IFERROR(__xludf.DUMMYFUNCTION("""COMPUTED_VALUE"""),41981.99861111111)</f>
        <v>41981.99861</v>
      </c>
      <c r="B1528" s="1">
        <f>IFERROR(__xludf.DUMMYFUNCTION("""COMPUTED_VALUE"""),42187.48852)</f>
        <v>42187.48852</v>
      </c>
    </row>
    <row r="1529">
      <c r="A1529" s="3">
        <f>IFERROR(__xludf.DUMMYFUNCTION("""COMPUTED_VALUE"""),41982.99861111111)</f>
        <v>41982.99861</v>
      </c>
      <c r="B1529" s="1">
        <f>IFERROR(__xludf.DUMMYFUNCTION("""COMPUTED_VALUE"""),42196.1863)</f>
        <v>42196.1863</v>
      </c>
    </row>
    <row r="1530">
      <c r="A1530" s="3">
        <f>IFERROR(__xludf.DUMMYFUNCTION("""COMPUTED_VALUE"""),41983.99861111111)</f>
        <v>41983.99861</v>
      </c>
      <c r="B1530" s="1">
        <f>IFERROR(__xludf.DUMMYFUNCTION("""COMPUTED_VALUE"""),42246.97249)</f>
        <v>42246.97249</v>
      </c>
    </row>
    <row r="1531">
      <c r="A1531" s="3">
        <f>IFERROR(__xludf.DUMMYFUNCTION("""COMPUTED_VALUE"""),41984.99861111111)</f>
        <v>41984.99861</v>
      </c>
      <c r="B1531" s="1">
        <f>IFERROR(__xludf.DUMMYFUNCTION("""COMPUTED_VALUE"""),42769.3768)</f>
        <v>42769.3768</v>
      </c>
    </row>
    <row r="1532">
      <c r="A1532" s="3">
        <f>IFERROR(__xludf.DUMMYFUNCTION("""COMPUTED_VALUE"""),41985.99861111111)</f>
        <v>41985.99861</v>
      </c>
      <c r="B1532" s="1">
        <f>IFERROR(__xludf.DUMMYFUNCTION("""COMPUTED_VALUE"""),43280.70129)</f>
        <v>43280.70129</v>
      </c>
    </row>
    <row r="1533">
      <c r="A1533" s="3">
        <f>IFERROR(__xludf.DUMMYFUNCTION("""COMPUTED_VALUE"""),41986.99861111111)</f>
        <v>41986.99861</v>
      </c>
      <c r="B1533" s="1">
        <f>IFERROR(__xludf.DUMMYFUNCTION("""COMPUTED_VALUE"""),43375.78643)</f>
        <v>43375.78643</v>
      </c>
    </row>
    <row r="1534">
      <c r="A1534" s="3">
        <f>IFERROR(__xludf.DUMMYFUNCTION("""COMPUTED_VALUE"""),41987.99861111111)</f>
        <v>41987.99861</v>
      </c>
      <c r="B1534" s="1">
        <f>IFERROR(__xludf.DUMMYFUNCTION("""COMPUTED_VALUE"""),43375.78643)</f>
        <v>43375.78643</v>
      </c>
    </row>
    <row r="1535">
      <c r="A1535" s="3">
        <f>IFERROR(__xludf.DUMMYFUNCTION("""COMPUTED_VALUE"""),41988.99861111111)</f>
        <v>41988.99861</v>
      </c>
      <c r="B1535" s="1">
        <f>IFERROR(__xludf.DUMMYFUNCTION("""COMPUTED_VALUE"""),44139.86565)</f>
        <v>44139.86565</v>
      </c>
    </row>
    <row r="1536">
      <c r="A1536" s="3">
        <f>IFERROR(__xludf.DUMMYFUNCTION("""COMPUTED_VALUE"""),41989.99861111111)</f>
        <v>41989.99861</v>
      </c>
      <c r="B1536" s="1">
        <f>IFERROR(__xludf.DUMMYFUNCTION("""COMPUTED_VALUE"""),43620.81339)</f>
        <v>43620.81339</v>
      </c>
    </row>
    <row r="1537">
      <c r="A1537" s="3">
        <f>IFERROR(__xludf.DUMMYFUNCTION("""COMPUTED_VALUE"""),41990.99861111111)</f>
        <v>41990.99861</v>
      </c>
      <c r="B1537" s="1">
        <f>IFERROR(__xludf.DUMMYFUNCTION("""COMPUTED_VALUE"""),43360.58078)</f>
        <v>43360.58078</v>
      </c>
    </row>
    <row r="1538">
      <c r="A1538" s="3">
        <f>IFERROR(__xludf.DUMMYFUNCTION("""COMPUTED_VALUE"""),41991.99861111111)</f>
        <v>41991.99861</v>
      </c>
      <c r="B1538" s="1">
        <f>IFERROR(__xludf.DUMMYFUNCTION("""COMPUTED_VALUE"""),42741.17952)</f>
        <v>42741.17952</v>
      </c>
    </row>
    <row r="1539">
      <c r="A1539" s="3">
        <f>IFERROR(__xludf.DUMMYFUNCTION("""COMPUTED_VALUE"""),41992.99861111111)</f>
        <v>41992.99861</v>
      </c>
      <c r="B1539" s="1">
        <f>IFERROR(__xludf.DUMMYFUNCTION("""COMPUTED_VALUE"""),42323.74487)</f>
        <v>42323.74487</v>
      </c>
    </row>
    <row r="1540">
      <c r="A1540" s="3">
        <f>IFERROR(__xludf.DUMMYFUNCTION("""COMPUTED_VALUE"""),41995.99861111111)</f>
        <v>41995.99861</v>
      </c>
      <c r="B1540" s="1">
        <f>IFERROR(__xludf.DUMMYFUNCTION("""COMPUTED_VALUE"""),42624.51368)</f>
        <v>42624.51368</v>
      </c>
    </row>
    <row r="1541">
      <c r="A1541" s="3">
        <f>IFERROR(__xludf.DUMMYFUNCTION("""COMPUTED_VALUE"""),41996.99861111111)</f>
        <v>41996.99861</v>
      </c>
      <c r="B1541" s="1">
        <f>IFERROR(__xludf.DUMMYFUNCTION("""COMPUTED_VALUE"""),42438.62902)</f>
        <v>42438.62902</v>
      </c>
    </row>
    <row r="1542">
      <c r="A1542" s="3">
        <f>IFERROR(__xludf.DUMMYFUNCTION("""COMPUTED_VALUE"""),41997.99861111111)</f>
        <v>41997.99861</v>
      </c>
      <c r="B1542" s="1">
        <f>IFERROR(__xludf.DUMMYFUNCTION("""COMPUTED_VALUE"""),42625.19093)</f>
        <v>42625.19093</v>
      </c>
    </row>
    <row r="1543">
      <c r="A1543" s="3">
        <f>IFERROR(__xludf.DUMMYFUNCTION("""COMPUTED_VALUE"""),41998.99861111111)</f>
        <v>41998.99861</v>
      </c>
      <c r="B1543" s="1">
        <f>IFERROR(__xludf.DUMMYFUNCTION("""COMPUTED_VALUE"""),42677.7021)</f>
        <v>42677.7021</v>
      </c>
    </row>
    <row r="1544">
      <c r="A1544" s="3">
        <f>IFERROR(__xludf.DUMMYFUNCTION("""COMPUTED_VALUE"""),41999.99861111111)</f>
        <v>41999.99861</v>
      </c>
      <c r="B1544" s="1">
        <f>IFERROR(__xludf.DUMMYFUNCTION("""COMPUTED_VALUE"""),42472.3563)</f>
        <v>42472.3563</v>
      </c>
    </row>
    <row r="1545">
      <c r="A1545" s="3">
        <f>IFERROR(__xludf.DUMMYFUNCTION("""COMPUTED_VALUE"""),42000.99861111111)</f>
        <v>42000.99861</v>
      </c>
      <c r="B1545" s="1">
        <f>IFERROR(__xludf.DUMMYFUNCTION("""COMPUTED_VALUE"""),42388.51765)</f>
        <v>42388.51765</v>
      </c>
    </row>
    <row r="1546">
      <c r="A1546" s="3">
        <f>IFERROR(__xludf.DUMMYFUNCTION("""COMPUTED_VALUE"""),42002.99861111111)</f>
        <v>42002.99861</v>
      </c>
      <c r="B1546" s="1">
        <f>IFERROR(__xludf.DUMMYFUNCTION("""COMPUTED_VALUE"""),42411.39838)</f>
        <v>42411.39838</v>
      </c>
    </row>
    <row r="1547">
      <c r="A1547" s="3">
        <f>IFERROR(__xludf.DUMMYFUNCTION("""COMPUTED_VALUE"""),42003.99861111111)</f>
        <v>42003.99861</v>
      </c>
      <c r="B1547" s="1">
        <f>IFERROR(__xludf.DUMMYFUNCTION("""COMPUTED_VALUE"""),42515.31186)</f>
        <v>42515.31186</v>
      </c>
    </row>
    <row r="1548">
      <c r="A1548" s="3">
        <f>IFERROR(__xludf.DUMMYFUNCTION("""COMPUTED_VALUE"""),42004.99861111111)</f>
        <v>42004.99861</v>
      </c>
      <c r="B1548" s="1">
        <f>IFERROR(__xludf.DUMMYFUNCTION("""COMPUTED_VALUE"""),42373.45308)</f>
        <v>42373.45308</v>
      </c>
    </row>
    <row r="1549">
      <c r="A1549" s="3">
        <f>IFERROR(__xludf.DUMMYFUNCTION("""COMPUTED_VALUE"""),42005.99861111111)</f>
        <v>42005.99861</v>
      </c>
      <c r="B1549" s="1">
        <f>IFERROR(__xludf.DUMMYFUNCTION("""COMPUTED_VALUE"""),42373.45308)</f>
        <v>42373.45308</v>
      </c>
    </row>
    <row r="1550">
      <c r="A1550" s="3">
        <f>IFERROR(__xludf.DUMMYFUNCTION("""COMPUTED_VALUE"""),42006.99861111111)</f>
        <v>42006.99861</v>
      </c>
      <c r="B1550" s="1">
        <f>IFERROR(__xludf.DUMMYFUNCTION("""COMPUTED_VALUE"""),42558.984)</f>
        <v>42558.984</v>
      </c>
    </row>
    <row r="1551">
      <c r="A1551" s="3">
        <f>IFERROR(__xludf.DUMMYFUNCTION("""COMPUTED_VALUE"""),42009.99861111111)</f>
        <v>42009.99861</v>
      </c>
      <c r="B1551" s="1">
        <f>IFERROR(__xludf.DUMMYFUNCTION("""COMPUTED_VALUE"""),43066.67775)</f>
        <v>43066.67775</v>
      </c>
    </row>
    <row r="1552">
      <c r="A1552" s="3">
        <f>IFERROR(__xludf.DUMMYFUNCTION("""COMPUTED_VALUE"""),42010.99861111111)</f>
        <v>42010.99861</v>
      </c>
      <c r="B1552" s="1">
        <f>IFERROR(__xludf.DUMMYFUNCTION("""COMPUTED_VALUE"""),43053.8004)</f>
        <v>43053.8004</v>
      </c>
    </row>
    <row r="1553">
      <c r="A1553" s="3">
        <f>IFERROR(__xludf.DUMMYFUNCTION("""COMPUTED_VALUE"""),42011.99861111111)</f>
        <v>42011.99861</v>
      </c>
      <c r="B1553" s="1">
        <f>IFERROR(__xludf.DUMMYFUNCTION("""COMPUTED_VALUE"""),43334.57232)</f>
        <v>43334.57232</v>
      </c>
    </row>
    <row r="1554">
      <c r="A1554" s="3">
        <f>IFERROR(__xludf.DUMMYFUNCTION("""COMPUTED_VALUE"""),42012.99861111111)</f>
        <v>42012.99861</v>
      </c>
      <c r="B1554" s="1">
        <f>IFERROR(__xludf.DUMMYFUNCTION("""COMPUTED_VALUE"""),42934.95674)</f>
        <v>42934.95674</v>
      </c>
    </row>
    <row r="1555">
      <c r="A1555" s="3">
        <f>IFERROR(__xludf.DUMMYFUNCTION("""COMPUTED_VALUE"""),42013.99861111111)</f>
        <v>42013.99861</v>
      </c>
      <c r="B1555" s="1">
        <f>IFERROR(__xludf.DUMMYFUNCTION("""COMPUTED_VALUE"""),42863.47453)</f>
        <v>42863.47453</v>
      </c>
    </row>
    <row r="1556">
      <c r="A1556" s="3">
        <f>IFERROR(__xludf.DUMMYFUNCTION("""COMPUTED_VALUE"""),42016.99861111111)</f>
        <v>42016.99861</v>
      </c>
      <c r="B1556" s="1">
        <f>IFERROR(__xludf.DUMMYFUNCTION("""COMPUTED_VALUE"""),42800.1756)</f>
        <v>42800.1756</v>
      </c>
    </row>
    <row r="1557">
      <c r="A1557" s="3">
        <f>IFERROR(__xludf.DUMMYFUNCTION("""COMPUTED_VALUE"""),42017.99861111111)</f>
        <v>42017.99861</v>
      </c>
      <c r="B1557" s="1">
        <f>IFERROR(__xludf.DUMMYFUNCTION("""COMPUTED_VALUE"""),42868.32629)</f>
        <v>42868.32629</v>
      </c>
    </row>
    <row r="1558">
      <c r="A1558" s="3">
        <f>IFERROR(__xludf.DUMMYFUNCTION("""COMPUTED_VALUE"""),42018.99861111111)</f>
        <v>42018.99861</v>
      </c>
      <c r="B1558" s="1">
        <f>IFERROR(__xludf.DUMMYFUNCTION("""COMPUTED_VALUE"""),42781.20016)</f>
        <v>42781.20016</v>
      </c>
    </row>
    <row r="1559">
      <c r="A1559" s="3">
        <f>IFERROR(__xludf.DUMMYFUNCTION("""COMPUTED_VALUE"""),42019.99861111111)</f>
        <v>42019.99861</v>
      </c>
      <c r="B1559" s="1">
        <f>IFERROR(__xludf.DUMMYFUNCTION("""COMPUTED_VALUE"""),42537.43239)</f>
        <v>42537.43239</v>
      </c>
    </row>
    <row r="1560">
      <c r="A1560" s="3">
        <f>IFERROR(__xludf.DUMMYFUNCTION("""COMPUTED_VALUE"""),42020.99861111111)</f>
        <v>42020.99861</v>
      </c>
      <c r="B1560" s="1">
        <f>IFERROR(__xludf.DUMMYFUNCTION("""COMPUTED_VALUE"""),42825.5279)</f>
        <v>42825.5279</v>
      </c>
    </row>
    <row r="1561">
      <c r="A1561" s="3">
        <f>IFERROR(__xludf.DUMMYFUNCTION("""COMPUTED_VALUE"""),42023.99861111111)</f>
        <v>42023.99861</v>
      </c>
      <c r="B1561" s="1">
        <f>IFERROR(__xludf.DUMMYFUNCTION("""COMPUTED_VALUE"""),43026.4947)</f>
        <v>43026.4947</v>
      </c>
    </row>
    <row r="1562">
      <c r="A1562" s="3">
        <f>IFERROR(__xludf.DUMMYFUNCTION("""COMPUTED_VALUE"""),42024.99861111111)</f>
        <v>42024.99861</v>
      </c>
      <c r="B1562" s="1">
        <f>IFERROR(__xludf.DUMMYFUNCTION("""COMPUTED_VALUE"""),42777.35347)</f>
        <v>42777.35347</v>
      </c>
    </row>
    <row r="1563">
      <c r="A1563" s="3">
        <f>IFERROR(__xludf.DUMMYFUNCTION("""COMPUTED_VALUE"""),42025.99861111111)</f>
        <v>42025.99861</v>
      </c>
      <c r="B1563" s="1">
        <f>IFERROR(__xludf.DUMMYFUNCTION("""COMPUTED_VALUE"""),42486.10488)</f>
        <v>42486.10488</v>
      </c>
    </row>
    <row r="1564">
      <c r="A1564" s="3">
        <f>IFERROR(__xludf.DUMMYFUNCTION("""COMPUTED_VALUE"""),42026.99861111111)</f>
        <v>42026.99861</v>
      </c>
      <c r="B1564" s="1">
        <f>IFERROR(__xludf.DUMMYFUNCTION("""COMPUTED_VALUE"""),42060.82717)</f>
        <v>42060.82717</v>
      </c>
    </row>
    <row r="1565">
      <c r="A1565" s="3">
        <f>IFERROR(__xludf.DUMMYFUNCTION("""COMPUTED_VALUE"""),42027.99861111111)</f>
        <v>42027.99861</v>
      </c>
      <c r="B1565" s="1">
        <f>IFERROR(__xludf.DUMMYFUNCTION("""COMPUTED_VALUE"""),42096.15541)</f>
        <v>42096.15541</v>
      </c>
    </row>
    <row r="1566">
      <c r="A1566" s="3">
        <f>IFERROR(__xludf.DUMMYFUNCTION("""COMPUTED_VALUE"""),42030.99861111111)</f>
        <v>42030.99861</v>
      </c>
      <c r="B1566" s="1">
        <f>IFERROR(__xludf.DUMMYFUNCTION("""COMPUTED_VALUE"""),42379.09235)</f>
        <v>42379.09235</v>
      </c>
    </row>
    <row r="1567">
      <c r="A1567" s="3">
        <f>IFERROR(__xludf.DUMMYFUNCTION("""COMPUTED_VALUE"""),42031.99861111111)</f>
        <v>42031.99861</v>
      </c>
      <c r="B1567" s="1">
        <f>IFERROR(__xludf.DUMMYFUNCTION("""COMPUTED_VALUE"""),42316.7034)</f>
        <v>42316.7034</v>
      </c>
    </row>
    <row r="1568">
      <c r="A1568" s="3">
        <f>IFERROR(__xludf.DUMMYFUNCTION("""COMPUTED_VALUE"""),42032.99861111111)</f>
        <v>42032.99861</v>
      </c>
      <c r="B1568" s="1">
        <f>IFERROR(__xludf.DUMMYFUNCTION("""COMPUTED_VALUE"""),42240.3852)</f>
        <v>42240.3852</v>
      </c>
    </row>
    <row r="1569">
      <c r="A1569" s="3">
        <f>IFERROR(__xludf.DUMMYFUNCTION("""COMPUTED_VALUE"""),42033.99861111111)</f>
        <v>42033.99861</v>
      </c>
      <c r="B1569" s="1">
        <f>IFERROR(__xludf.DUMMYFUNCTION("""COMPUTED_VALUE"""),42602.94792)</f>
        <v>42602.94792</v>
      </c>
    </row>
    <row r="1570">
      <c r="A1570" s="3">
        <f>IFERROR(__xludf.DUMMYFUNCTION("""COMPUTED_VALUE"""),42034.99861111111)</f>
        <v>42034.99861</v>
      </c>
      <c r="B1570" s="1">
        <f>IFERROR(__xludf.DUMMYFUNCTION("""COMPUTED_VALUE"""),43202.32293)</f>
        <v>43202.32293</v>
      </c>
    </row>
    <row r="1571">
      <c r="A1571" s="3">
        <f>IFERROR(__xludf.DUMMYFUNCTION("""COMPUTED_VALUE"""),42035.99861111111)</f>
        <v>42035.99861</v>
      </c>
      <c r="B1571" s="1">
        <f>IFERROR(__xludf.DUMMYFUNCTION("""COMPUTED_VALUE"""),43398.20966)</f>
        <v>43398.20966</v>
      </c>
    </row>
    <row r="1572">
      <c r="A1572" s="3">
        <f>IFERROR(__xludf.DUMMYFUNCTION("""COMPUTED_VALUE"""),42037.99861111111)</f>
        <v>42037.99861</v>
      </c>
      <c r="B1572" s="1">
        <f>IFERROR(__xludf.DUMMYFUNCTION("""COMPUTED_VALUE"""),42937.17232)</f>
        <v>42937.17232</v>
      </c>
    </row>
    <row r="1573">
      <c r="A1573" s="3">
        <f>IFERROR(__xludf.DUMMYFUNCTION("""COMPUTED_VALUE"""),42038.99861111111)</f>
        <v>42038.99861</v>
      </c>
      <c r="B1573" s="1">
        <f>IFERROR(__xludf.DUMMYFUNCTION("""COMPUTED_VALUE"""),42818.70495)</f>
        <v>42818.70495</v>
      </c>
    </row>
    <row r="1574">
      <c r="A1574" s="3">
        <f>IFERROR(__xludf.DUMMYFUNCTION("""COMPUTED_VALUE"""),42039.99861111111)</f>
        <v>42039.99861</v>
      </c>
      <c r="B1574" s="1">
        <f>IFERROR(__xludf.DUMMYFUNCTION("""COMPUTED_VALUE"""),42821.28562)</f>
        <v>42821.28562</v>
      </c>
    </row>
    <row r="1575">
      <c r="A1575" s="3">
        <f>IFERROR(__xludf.DUMMYFUNCTION("""COMPUTED_VALUE"""),42040.99861111111)</f>
        <v>42040.99861</v>
      </c>
      <c r="B1575" s="1">
        <f>IFERROR(__xludf.DUMMYFUNCTION("""COMPUTED_VALUE"""),42805.64303)</f>
        <v>42805.64303</v>
      </c>
    </row>
    <row r="1576">
      <c r="A1576" s="3">
        <f>IFERROR(__xludf.DUMMYFUNCTION("""COMPUTED_VALUE"""),42041.99861111111)</f>
        <v>42041.99861</v>
      </c>
      <c r="B1576" s="1">
        <f>IFERROR(__xludf.DUMMYFUNCTION("""COMPUTED_VALUE"""),42836.79754)</f>
        <v>42836.79754</v>
      </c>
    </row>
    <row r="1577">
      <c r="A1577" s="3">
        <f>IFERROR(__xludf.DUMMYFUNCTION("""COMPUTED_VALUE"""),42044.99861111111)</f>
        <v>42044.99861</v>
      </c>
      <c r="B1577" s="1">
        <f>IFERROR(__xludf.DUMMYFUNCTION("""COMPUTED_VALUE"""),42935.1099)</f>
        <v>42935.1099</v>
      </c>
    </row>
    <row r="1578">
      <c r="A1578" s="3">
        <f>IFERROR(__xludf.DUMMYFUNCTION("""COMPUTED_VALUE"""),42045.99861111111)</f>
        <v>42045.99861</v>
      </c>
      <c r="B1578" s="1">
        <f>IFERROR(__xludf.DUMMYFUNCTION("""COMPUTED_VALUE"""),43135.06111)</f>
        <v>43135.06111</v>
      </c>
    </row>
    <row r="1579">
      <c r="A1579" s="3">
        <f>IFERROR(__xludf.DUMMYFUNCTION("""COMPUTED_VALUE"""),42046.99861111111)</f>
        <v>42046.99861</v>
      </c>
      <c r="B1579" s="1">
        <f>IFERROR(__xludf.DUMMYFUNCTION("""COMPUTED_VALUE"""),43405.30057)</f>
        <v>43405.30057</v>
      </c>
    </row>
    <row r="1580">
      <c r="A1580" s="3">
        <f>IFERROR(__xludf.DUMMYFUNCTION("""COMPUTED_VALUE"""),42047.99861111111)</f>
        <v>42047.99861</v>
      </c>
      <c r="B1580" s="1">
        <f>IFERROR(__xludf.DUMMYFUNCTION("""COMPUTED_VALUE"""),43330.72982)</f>
        <v>43330.72982</v>
      </c>
    </row>
    <row r="1581">
      <c r="A1581" s="3">
        <f>IFERROR(__xludf.DUMMYFUNCTION("""COMPUTED_VALUE"""),42048.99861111111)</f>
        <v>42048.99861</v>
      </c>
      <c r="B1581" s="1">
        <f>IFERROR(__xludf.DUMMYFUNCTION("""COMPUTED_VALUE"""),42936.49192)</f>
        <v>42936.49192</v>
      </c>
    </row>
    <row r="1582">
      <c r="A1582" s="3">
        <f>IFERROR(__xludf.DUMMYFUNCTION("""COMPUTED_VALUE"""),42050.99861111111)</f>
        <v>42050.99861</v>
      </c>
      <c r="B1582" s="1">
        <f>IFERROR(__xludf.DUMMYFUNCTION("""COMPUTED_VALUE"""),43393.79789)</f>
        <v>43393.79789</v>
      </c>
    </row>
    <row r="1583">
      <c r="A1583" s="3">
        <f>IFERROR(__xludf.DUMMYFUNCTION("""COMPUTED_VALUE"""),42051.99861111111)</f>
        <v>42051.99861</v>
      </c>
      <c r="B1583" s="1">
        <f>IFERROR(__xludf.DUMMYFUNCTION("""COMPUTED_VALUE"""),42703.35187)</f>
        <v>42703.35187</v>
      </c>
    </row>
    <row r="1584">
      <c r="A1584" s="3">
        <f>IFERROR(__xludf.DUMMYFUNCTION("""COMPUTED_VALUE"""),42052.99861111111)</f>
        <v>42052.99861</v>
      </c>
      <c r="B1584" s="1">
        <f>IFERROR(__xludf.DUMMYFUNCTION("""COMPUTED_VALUE"""),43267.04025)</f>
        <v>43267.04025</v>
      </c>
    </row>
    <row r="1585">
      <c r="A1585" s="3">
        <f>IFERROR(__xludf.DUMMYFUNCTION("""COMPUTED_VALUE"""),42053.99861111111)</f>
        <v>42053.99861</v>
      </c>
      <c r="B1585" s="1">
        <f>IFERROR(__xludf.DUMMYFUNCTION("""COMPUTED_VALUE"""),43419.30285)</f>
        <v>43419.30285</v>
      </c>
    </row>
    <row r="1586">
      <c r="A1586" s="3">
        <f>IFERROR(__xludf.DUMMYFUNCTION("""COMPUTED_VALUE"""),42054.99861111111)</f>
        <v>42054.99861</v>
      </c>
      <c r="B1586" s="1">
        <f>IFERROR(__xludf.DUMMYFUNCTION("""COMPUTED_VALUE"""),43611.43429)</f>
        <v>43611.43429</v>
      </c>
    </row>
    <row r="1587">
      <c r="A1587" s="3">
        <f>IFERROR(__xludf.DUMMYFUNCTION("""COMPUTED_VALUE"""),42055.99861111111)</f>
        <v>42055.99861</v>
      </c>
      <c r="B1587" s="1">
        <f>IFERROR(__xludf.DUMMYFUNCTION("""COMPUTED_VALUE"""),43420.64314)</f>
        <v>43420.64314</v>
      </c>
    </row>
    <row r="1588">
      <c r="A1588" s="3">
        <f>IFERROR(__xludf.DUMMYFUNCTION("""COMPUTED_VALUE"""),42058.99861111111)</f>
        <v>42058.99861</v>
      </c>
      <c r="B1588" s="1">
        <f>IFERROR(__xludf.DUMMYFUNCTION("""COMPUTED_VALUE"""),43538.61024)</f>
        <v>43538.61024</v>
      </c>
    </row>
    <row r="1589">
      <c r="A1589" s="3">
        <f>IFERROR(__xludf.DUMMYFUNCTION("""COMPUTED_VALUE"""),42059.99861111111)</f>
        <v>42059.99861</v>
      </c>
      <c r="B1589" s="1">
        <f>IFERROR(__xludf.DUMMYFUNCTION("""COMPUTED_VALUE"""),43329.72061)</f>
        <v>43329.72061</v>
      </c>
    </row>
    <row r="1590">
      <c r="A1590" s="3">
        <f>IFERROR(__xludf.DUMMYFUNCTION("""COMPUTED_VALUE"""),42060.99861111111)</f>
        <v>42060.99861</v>
      </c>
      <c r="B1590" s="1">
        <f>IFERROR(__xludf.DUMMYFUNCTION("""COMPUTED_VALUE"""),43562.97258)</f>
        <v>43562.97258</v>
      </c>
    </row>
    <row r="1591">
      <c r="A1591" s="3">
        <f>IFERROR(__xludf.DUMMYFUNCTION("""COMPUTED_VALUE"""),42061.99861111111)</f>
        <v>42061.99861</v>
      </c>
      <c r="B1591" s="1">
        <f>IFERROR(__xludf.DUMMYFUNCTION("""COMPUTED_VALUE"""),43447.54438)</f>
        <v>43447.54438</v>
      </c>
    </row>
    <row r="1592">
      <c r="A1592" s="3">
        <f>IFERROR(__xludf.DUMMYFUNCTION("""COMPUTED_VALUE"""),42062.99861111111)</f>
        <v>42062.99861</v>
      </c>
      <c r="B1592" s="1">
        <f>IFERROR(__xludf.DUMMYFUNCTION("""COMPUTED_VALUE"""),43911.34851)</f>
        <v>43911.34851</v>
      </c>
    </row>
    <row r="1593">
      <c r="A1593" s="3">
        <f>IFERROR(__xludf.DUMMYFUNCTION("""COMPUTED_VALUE"""),42065.99861111111)</f>
        <v>42065.99861</v>
      </c>
      <c r="B1593" s="1">
        <f>IFERROR(__xludf.DUMMYFUNCTION("""COMPUTED_VALUE"""),43896.08339)</f>
        <v>43896.08339</v>
      </c>
    </row>
    <row r="1594">
      <c r="A1594" s="3">
        <f>IFERROR(__xludf.DUMMYFUNCTION("""COMPUTED_VALUE"""),42066.99861111111)</f>
        <v>42066.99861</v>
      </c>
      <c r="B1594" s="1">
        <f>IFERROR(__xludf.DUMMYFUNCTION("""COMPUTED_VALUE"""),43802.76389)</f>
        <v>43802.76389</v>
      </c>
    </row>
    <row r="1595">
      <c r="A1595" s="3">
        <f>IFERROR(__xludf.DUMMYFUNCTION("""COMPUTED_VALUE"""),42067.99861111111)</f>
        <v>42067.99861</v>
      </c>
      <c r="B1595" s="1">
        <f>IFERROR(__xludf.DUMMYFUNCTION("""COMPUTED_VALUE"""),43885.08327)</f>
        <v>43885.08327</v>
      </c>
    </row>
    <row r="1596">
      <c r="A1596" s="3">
        <f>IFERROR(__xludf.DUMMYFUNCTION("""COMPUTED_VALUE"""),42068.99861111111)</f>
        <v>42068.99861</v>
      </c>
      <c r="B1596" s="1">
        <f>IFERROR(__xludf.DUMMYFUNCTION("""COMPUTED_VALUE"""),43450.425)</f>
        <v>43450.425</v>
      </c>
    </row>
    <row r="1597">
      <c r="A1597" s="3">
        <f>IFERROR(__xludf.DUMMYFUNCTION("""COMPUTED_VALUE"""),42069.99861111111)</f>
        <v>42069.99861</v>
      </c>
      <c r="B1597" s="1">
        <f>IFERROR(__xludf.DUMMYFUNCTION("""COMPUTED_VALUE"""),43751.24796)</f>
        <v>43751.24796</v>
      </c>
    </row>
    <row r="1598">
      <c r="A1598" s="3">
        <f>IFERROR(__xludf.DUMMYFUNCTION("""COMPUTED_VALUE"""),42072.99861111111)</f>
        <v>42072.99861</v>
      </c>
      <c r="B1598" s="1">
        <f>IFERROR(__xludf.DUMMYFUNCTION("""COMPUTED_VALUE"""),43903.0036)</f>
        <v>43903.0036</v>
      </c>
    </row>
    <row r="1599">
      <c r="A1599" s="3">
        <f>IFERROR(__xludf.DUMMYFUNCTION("""COMPUTED_VALUE"""),42073.99861111111)</f>
        <v>42073.99861</v>
      </c>
      <c r="B1599" s="1">
        <f>IFERROR(__xludf.DUMMYFUNCTION("""COMPUTED_VALUE"""),43822.28537)</f>
        <v>43822.28537</v>
      </c>
    </row>
    <row r="1600">
      <c r="A1600" s="3">
        <f>IFERROR(__xludf.DUMMYFUNCTION("""COMPUTED_VALUE"""),42074.99861111111)</f>
        <v>42074.99861</v>
      </c>
      <c r="B1600" s="1">
        <f>IFERROR(__xludf.DUMMYFUNCTION("""COMPUTED_VALUE"""),44007.6093)</f>
        <v>44007.6093</v>
      </c>
    </row>
    <row r="1601">
      <c r="A1601" s="3">
        <f>IFERROR(__xludf.DUMMYFUNCTION("""COMPUTED_VALUE"""),42075.99861111111)</f>
        <v>42075.99861</v>
      </c>
      <c r="B1601" s="1">
        <f>IFERROR(__xludf.DUMMYFUNCTION("""COMPUTED_VALUE"""),44039.45274)</f>
        <v>44039.45274</v>
      </c>
    </row>
    <row r="1602">
      <c r="A1602" s="3">
        <f>IFERROR(__xludf.DUMMYFUNCTION("""COMPUTED_VALUE"""),42076.99861111111)</f>
        <v>42076.99861</v>
      </c>
      <c r="B1602" s="1">
        <f>IFERROR(__xludf.DUMMYFUNCTION("""COMPUTED_VALUE"""),43973.45172)</f>
        <v>43973.45172</v>
      </c>
    </row>
    <row r="1603">
      <c r="A1603" s="3">
        <f>IFERROR(__xludf.DUMMYFUNCTION("""COMPUTED_VALUE"""),42077.99861111111)</f>
        <v>42077.99861</v>
      </c>
      <c r="B1603" s="1">
        <f>IFERROR(__xludf.DUMMYFUNCTION("""COMPUTED_VALUE"""),44290.98773)</f>
        <v>44290.98773</v>
      </c>
    </row>
    <row r="1604">
      <c r="A1604" s="3">
        <f>IFERROR(__xludf.DUMMYFUNCTION("""COMPUTED_VALUE"""),42079.99861111111)</f>
        <v>42079.99861</v>
      </c>
      <c r="B1604" s="1">
        <f>IFERROR(__xludf.DUMMYFUNCTION("""COMPUTED_VALUE"""),44072.93618)</f>
        <v>44072.93618</v>
      </c>
    </row>
    <row r="1605">
      <c r="A1605" s="3">
        <f>IFERROR(__xludf.DUMMYFUNCTION("""COMPUTED_VALUE"""),42080.99861111111)</f>
        <v>42080.99861</v>
      </c>
      <c r="B1605" s="1">
        <f>IFERROR(__xludf.DUMMYFUNCTION("""COMPUTED_VALUE"""),43819.50112)</f>
        <v>43819.50112</v>
      </c>
    </row>
    <row r="1606">
      <c r="A1606" s="3">
        <f>IFERROR(__xludf.DUMMYFUNCTION("""COMPUTED_VALUE"""),42081.99861111111)</f>
        <v>42081.99861</v>
      </c>
      <c r="B1606" s="1">
        <f>IFERROR(__xludf.DUMMYFUNCTION("""COMPUTED_VALUE"""),43164.97584)</f>
        <v>43164.97584</v>
      </c>
    </row>
    <row r="1607">
      <c r="A1607" s="3">
        <f>IFERROR(__xludf.DUMMYFUNCTION("""COMPUTED_VALUE"""),42082.99861111111)</f>
        <v>42082.99861</v>
      </c>
      <c r="B1607" s="1">
        <f>IFERROR(__xludf.DUMMYFUNCTION("""COMPUTED_VALUE"""),43606.60339)</f>
        <v>43606.60339</v>
      </c>
    </row>
    <row r="1608">
      <c r="A1608" s="3">
        <f>IFERROR(__xludf.DUMMYFUNCTION("""COMPUTED_VALUE"""),42083.99861111111)</f>
        <v>42083.99861</v>
      </c>
      <c r="B1608" s="1">
        <f>IFERROR(__xludf.DUMMYFUNCTION("""COMPUTED_VALUE"""),43580.8164)</f>
        <v>43580.8164</v>
      </c>
    </row>
    <row r="1609">
      <c r="A1609" s="3">
        <f>IFERROR(__xludf.DUMMYFUNCTION("""COMPUTED_VALUE"""),42086.99861111111)</f>
        <v>42086.99861</v>
      </c>
      <c r="B1609" s="1">
        <f>IFERROR(__xludf.DUMMYFUNCTION("""COMPUTED_VALUE"""),43310.79849)</f>
        <v>43310.79849</v>
      </c>
    </row>
    <row r="1610">
      <c r="A1610" s="3">
        <f>IFERROR(__xludf.DUMMYFUNCTION("""COMPUTED_VALUE"""),42087.99861111111)</f>
        <v>42087.99861</v>
      </c>
      <c r="B1610" s="1">
        <f>IFERROR(__xludf.DUMMYFUNCTION("""COMPUTED_VALUE"""),43143.20879)</f>
        <v>43143.20879</v>
      </c>
    </row>
    <row r="1611">
      <c r="A1611" s="3">
        <f>IFERROR(__xludf.DUMMYFUNCTION("""COMPUTED_VALUE"""),42088.99861111111)</f>
        <v>42088.99861</v>
      </c>
      <c r="B1611" s="1">
        <f>IFERROR(__xludf.DUMMYFUNCTION("""COMPUTED_VALUE"""),43261.50432)</f>
        <v>43261.50432</v>
      </c>
    </row>
    <row r="1612">
      <c r="A1612" s="3">
        <f>IFERROR(__xludf.DUMMYFUNCTION("""COMPUTED_VALUE"""),42089.99861111111)</f>
        <v>42089.99861</v>
      </c>
      <c r="B1612" s="1">
        <f>IFERROR(__xludf.DUMMYFUNCTION("""COMPUTED_VALUE"""),43460.82871)</f>
        <v>43460.82871</v>
      </c>
    </row>
    <row r="1613">
      <c r="A1613" s="3">
        <f>IFERROR(__xludf.DUMMYFUNCTION("""COMPUTED_VALUE"""),42090.99861111111)</f>
        <v>42090.99861</v>
      </c>
      <c r="B1613" s="1">
        <f>IFERROR(__xludf.DUMMYFUNCTION("""COMPUTED_VALUE"""),43550.15659)</f>
        <v>43550.15659</v>
      </c>
    </row>
    <row r="1614">
      <c r="A1614" s="3">
        <f>IFERROR(__xludf.DUMMYFUNCTION("""COMPUTED_VALUE"""),42093.99861111111)</f>
        <v>42093.99861</v>
      </c>
      <c r="B1614" s="1">
        <f>IFERROR(__xludf.DUMMYFUNCTION("""COMPUTED_VALUE"""),43617.50525)</f>
        <v>43617.50525</v>
      </c>
    </row>
    <row r="1615">
      <c r="A1615" s="3">
        <f>IFERROR(__xludf.DUMMYFUNCTION("""COMPUTED_VALUE"""),42094.99861111111)</f>
        <v>42094.99861</v>
      </c>
      <c r="B1615" s="1">
        <f>IFERROR(__xludf.DUMMYFUNCTION("""COMPUTED_VALUE"""),43489.83918)</f>
        <v>43489.83918</v>
      </c>
    </row>
    <row r="1616">
      <c r="A1616" s="3">
        <f>IFERROR(__xludf.DUMMYFUNCTION("""COMPUTED_VALUE"""),42095.99861111111)</f>
        <v>42095.99861</v>
      </c>
      <c r="B1616" s="1">
        <f>IFERROR(__xludf.DUMMYFUNCTION("""COMPUTED_VALUE"""),43170.30264)</f>
        <v>43170.30264</v>
      </c>
    </row>
    <row r="1617">
      <c r="A1617" s="3">
        <f>IFERROR(__xludf.DUMMYFUNCTION("""COMPUTED_VALUE"""),42096.99861111111)</f>
        <v>42096.99861</v>
      </c>
      <c r="B1617" s="1">
        <f>IFERROR(__xludf.DUMMYFUNCTION("""COMPUTED_VALUE"""),43294.87267)</f>
        <v>43294.87267</v>
      </c>
    </row>
    <row r="1618">
      <c r="A1618" s="3">
        <f>IFERROR(__xludf.DUMMYFUNCTION("""COMPUTED_VALUE"""),42097.99861111111)</f>
        <v>42097.99861</v>
      </c>
      <c r="B1618" s="1">
        <f>IFERROR(__xludf.DUMMYFUNCTION("""COMPUTED_VALUE"""),43228.18823)</f>
        <v>43228.18823</v>
      </c>
    </row>
    <row r="1619">
      <c r="A1619" s="3">
        <f>IFERROR(__xludf.DUMMYFUNCTION("""COMPUTED_VALUE"""),42100.99861111111)</f>
        <v>42100.99861</v>
      </c>
      <c r="B1619" s="1">
        <f>IFERROR(__xludf.DUMMYFUNCTION("""COMPUTED_VALUE"""),43161.50379)</f>
        <v>43161.50379</v>
      </c>
    </row>
    <row r="1620">
      <c r="A1620" s="3">
        <f>IFERROR(__xludf.DUMMYFUNCTION("""COMPUTED_VALUE"""),42101.99861111111)</f>
        <v>42101.99861</v>
      </c>
      <c r="B1620" s="1">
        <f>IFERROR(__xludf.DUMMYFUNCTION("""COMPUTED_VALUE"""),43218.69303)</f>
        <v>43218.69303</v>
      </c>
    </row>
    <row r="1621">
      <c r="A1621" s="3">
        <f>IFERROR(__xludf.DUMMYFUNCTION("""COMPUTED_VALUE"""),42102.99861111111)</f>
        <v>42102.99861</v>
      </c>
      <c r="B1621" s="1">
        <f>IFERROR(__xludf.DUMMYFUNCTION("""COMPUTED_VALUE"""),42961.60137)</f>
        <v>42961.60137</v>
      </c>
    </row>
    <row r="1622">
      <c r="A1622" s="3">
        <f>IFERROR(__xludf.DUMMYFUNCTION("""COMPUTED_VALUE"""),42103.99861111111)</f>
        <v>42103.99861</v>
      </c>
      <c r="B1622" s="1">
        <f>IFERROR(__xludf.DUMMYFUNCTION("""COMPUTED_VALUE"""),42863.77017)</f>
        <v>42863.77017</v>
      </c>
    </row>
    <row r="1623">
      <c r="A1623" s="3">
        <f>IFERROR(__xludf.DUMMYFUNCTION("""COMPUTED_VALUE"""),42104.99861111111)</f>
        <v>42104.99861</v>
      </c>
      <c r="B1623" s="1">
        <f>IFERROR(__xludf.DUMMYFUNCTION("""COMPUTED_VALUE"""),42737.29771)</f>
        <v>42737.29771</v>
      </c>
    </row>
    <row r="1624">
      <c r="A1624" s="3">
        <f>IFERROR(__xludf.DUMMYFUNCTION("""COMPUTED_VALUE"""),42107.99861111111)</f>
        <v>42107.99861</v>
      </c>
      <c r="B1624" s="1">
        <f>IFERROR(__xludf.DUMMYFUNCTION("""COMPUTED_VALUE"""),43219.68953)</f>
        <v>43219.68953</v>
      </c>
    </row>
    <row r="1625">
      <c r="A1625" s="3">
        <f>IFERROR(__xludf.DUMMYFUNCTION("""COMPUTED_VALUE"""),42108.99861111111)</f>
        <v>42108.99861</v>
      </c>
      <c r="B1625" s="1">
        <f>IFERROR(__xludf.DUMMYFUNCTION("""COMPUTED_VALUE"""),43013.4225)</f>
        <v>43013.4225</v>
      </c>
    </row>
    <row r="1626">
      <c r="A1626" s="3">
        <f>IFERROR(__xludf.DUMMYFUNCTION("""COMPUTED_VALUE"""),42109.99861111111)</f>
        <v>42109.99861</v>
      </c>
      <c r="B1626" s="1">
        <f>IFERROR(__xludf.DUMMYFUNCTION("""COMPUTED_VALUE"""),42791.73012)</f>
        <v>42791.73012</v>
      </c>
    </row>
    <row r="1627">
      <c r="A1627" s="3">
        <f>IFERROR(__xludf.DUMMYFUNCTION("""COMPUTED_VALUE"""),42110.99861111111)</f>
        <v>42110.99861</v>
      </c>
      <c r="B1627" s="1">
        <f>IFERROR(__xludf.DUMMYFUNCTION("""COMPUTED_VALUE"""),42558.83604)</f>
        <v>42558.83604</v>
      </c>
    </row>
    <row r="1628">
      <c r="A1628" s="3">
        <f>IFERROR(__xludf.DUMMYFUNCTION("""COMPUTED_VALUE"""),42111.99861111111)</f>
        <v>42111.99861</v>
      </c>
      <c r="B1628" s="1">
        <f>IFERROR(__xludf.DUMMYFUNCTION("""COMPUTED_VALUE"""),42550.3616)</f>
        <v>42550.3616</v>
      </c>
    </row>
    <row r="1629">
      <c r="A1629" s="3">
        <f>IFERROR(__xludf.DUMMYFUNCTION("""COMPUTED_VALUE"""),42112.99861111111)</f>
        <v>42112.99861</v>
      </c>
      <c r="B1629" s="1">
        <f>IFERROR(__xludf.DUMMYFUNCTION("""COMPUTED_VALUE"""),42562.88674)</f>
        <v>42562.88674</v>
      </c>
    </row>
    <row r="1630">
      <c r="A1630" s="3">
        <f>IFERROR(__xludf.DUMMYFUNCTION("""COMPUTED_VALUE"""),42113.99861111111)</f>
        <v>42113.99861</v>
      </c>
      <c r="B1630" s="1">
        <f>IFERROR(__xludf.DUMMYFUNCTION("""COMPUTED_VALUE"""),42838.20814)</f>
        <v>42838.20814</v>
      </c>
    </row>
    <row r="1631">
      <c r="A1631" s="3">
        <f>IFERROR(__xludf.DUMMYFUNCTION("""COMPUTED_VALUE"""),42114.99861111111)</f>
        <v>42114.99861</v>
      </c>
      <c r="B1631" s="1">
        <f>IFERROR(__xludf.DUMMYFUNCTION("""COMPUTED_VALUE"""),42985.44637)</f>
        <v>42985.44637</v>
      </c>
    </row>
    <row r="1632">
      <c r="A1632" s="3">
        <f>IFERROR(__xludf.DUMMYFUNCTION("""COMPUTED_VALUE"""),42115.99861111111)</f>
        <v>42115.99861</v>
      </c>
      <c r="B1632" s="1">
        <f>IFERROR(__xludf.DUMMYFUNCTION("""COMPUTED_VALUE"""),42857.60682)</f>
        <v>42857.60682</v>
      </c>
    </row>
    <row r="1633">
      <c r="A1633" s="3">
        <f>IFERROR(__xludf.DUMMYFUNCTION("""COMPUTED_VALUE"""),42116.99861111111)</f>
        <v>42116.99861</v>
      </c>
      <c r="B1633" s="1">
        <f>IFERROR(__xludf.DUMMYFUNCTION("""COMPUTED_VALUE"""),42658.7262)</f>
        <v>42658.7262</v>
      </c>
    </row>
    <row r="1634">
      <c r="A1634" s="3">
        <f>IFERROR(__xludf.DUMMYFUNCTION("""COMPUTED_VALUE"""),42117.99861111111)</f>
        <v>42117.99861</v>
      </c>
      <c r="B1634" s="1">
        <f>IFERROR(__xludf.DUMMYFUNCTION("""COMPUTED_VALUE"""),42838.68039)</f>
        <v>42838.68039</v>
      </c>
    </row>
    <row r="1635">
      <c r="A1635" s="3">
        <f>IFERROR(__xludf.DUMMYFUNCTION("""COMPUTED_VALUE"""),42118.99861111111)</f>
        <v>42118.99861</v>
      </c>
      <c r="B1635" s="1">
        <f>IFERROR(__xludf.DUMMYFUNCTION("""COMPUTED_VALUE"""),42970.97316)</f>
        <v>42970.97316</v>
      </c>
    </row>
    <row r="1636">
      <c r="A1636" s="3">
        <f>IFERROR(__xludf.DUMMYFUNCTION("""COMPUTED_VALUE"""),42120.99861111111)</f>
        <v>42120.99861</v>
      </c>
      <c r="B1636" s="1">
        <f>IFERROR(__xludf.DUMMYFUNCTION("""COMPUTED_VALUE"""),43064.47205)</f>
        <v>43064.47205</v>
      </c>
    </row>
    <row r="1637">
      <c r="A1637" s="3">
        <f>IFERROR(__xludf.DUMMYFUNCTION("""COMPUTED_VALUE"""),42121.99861111111)</f>
        <v>42121.99861</v>
      </c>
      <c r="B1637" s="1">
        <f>IFERROR(__xludf.DUMMYFUNCTION("""COMPUTED_VALUE"""),42875.61432)</f>
        <v>42875.61432</v>
      </c>
    </row>
    <row r="1638">
      <c r="A1638" s="3">
        <f>IFERROR(__xludf.DUMMYFUNCTION("""COMPUTED_VALUE"""),42122.99861111111)</f>
        <v>42122.99861</v>
      </c>
      <c r="B1638" s="1">
        <f>IFERROR(__xludf.DUMMYFUNCTION("""COMPUTED_VALUE"""),42956.29422)</f>
        <v>42956.29422</v>
      </c>
    </row>
    <row r="1639">
      <c r="A1639" s="3">
        <f>IFERROR(__xludf.DUMMYFUNCTION("""COMPUTED_VALUE"""),42123.99861111111)</f>
        <v>42123.99861</v>
      </c>
      <c r="B1639" s="1">
        <f>IFERROR(__xludf.DUMMYFUNCTION("""COMPUTED_VALUE"""),42941.21265)</f>
        <v>42941.21265</v>
      </c>
    </row>
    <row r="1640">
      <c r="A1640" s="3">
        <f>IFERROR(__xludf.DUMMYFUNCTION("""COMPUTED_VALUE"""),42124.99861111111)</f>
        <v>42124.99861</v>
      </c>
      <c r="B1640" s="1">
        <f>IFERROR(__xludf.DUMMYFUNCTION("""COMPUTED_VALUE"""),43027.91656)</f>
        <v>43027.91656</v>
      </c>
    </row>
    <row r="1641">
      <c r="A1641" s="3">
        <f>IFERROR(__xludf.DUMMYFUNCTION("""COMPUTED_VALUE"""),42125.99861111111)</f>
        <v>42125.99861</v>
      </c>
      <c r="B1641" s="1">
        <f>IFERROR(__xludf.DUMMYFUNCTION("""COMPUTED_VALUE"""),43087.6914)</f>
        <v>43087.6914</v>
      </c>
    </row>
    <row r="1642">
      <c r="A1642" s="3">
        <f>IFERROR(__xludf.DUMMYFUNCTION("""COMPUTED_VALUE"""),42128.99861111111)</f>
        <v>42128.99861</v>
      </c>
      <c r="B1642" s="1">
        <f>IFERROR(__xludf.DUMMYFUNCTION("""COMPUTED_VALUE"""),42705.79664)</f>
        <v>42705.79664</v>
      </c>
    </row>
    <row r="1643">
      <c r="A1643" s="3">
        <f>IFERROR(__xludf.DUMMYFUNCTION("""COMPUTED_VALUE"""),42129.99861111111)</f>
        <v>42129.99861</v>
      </c>
      <c r="B1643" s="1">
        <f>IFERROR(__xludf.DUMMYFUNCTION("""COMPUTED_VALUE"""),43187.31612)</f>
        <v>43187.31612</v>
      </c>
    </row>
    <row r="1644">
      <c r="A1644" s="3">
        <f>IFERROR(__xludf.DUMMYFUNCTION("""COMPUTED_VALUE"""),42130.99861111111)</f>
        <v>42130.99861</v>
      </c>
      <c r="B1644" s="1">
        <f>IFERROR(__xludf.DUMMYFUNCTION("""COMPUTED_VALUE"""),43227.06454)</f>
        <v>43227.06454</v>
      </c>
    </row>
    <row r="1645">
      <c r="A1645" s="3">
        <f>IFERROR(__xludf.DUMMYFUNCTION("""COMPUTED_VALUE"""),42131.99861111111)</f>
        <v>42131.99861</v>
      </c>
      <c r="B1645" s="1">
        <f>IFERROR(__xludf.DUMMYFUNCTION("""COMPUTED_VALUE"""),43471.75959)</f>
        <v>43471.75959</v>
      </c>
    </row>
    <row r="1646">
      <c r="A1646" s="3">
        <f>IFERROR(__xludf.DUMMYFUNCTION("""COMPUTED_VALUE"""),42132.99861111111)</f>
        <v>42132.99861</v>
      </c>
      <c r="B1646" s="1">
        <f>IFERROR(__xludf.DUMMYFUNCTION("""COMPUTED_VALUE"""),43280.80005)</f>
        <v>43280.80005</v>
      </c>
    </row>
    <row r="1647">
      <c r="A1647" s="3">
        <f>IFERROR(__xludf.DUMMYFUNCTION("""COMPUTED_VALUE"""),42135.99861111111)</f>
        <v>42135.99861</v>
      </c>
      <c r="B1647" s="1">
        <f>IFERROR(__xludf.DUMMYFUNCTION("""COMPUTED_VALUE"""),43677.23823)</f>
        <v>43677.23823</v>
      </c>
    </row>
    <row r="1648">
      <c r="A1648" s="3">
        <f>IFERROR(__xludf.DUMMYFUNCTION("""COMPUTED_VALUE"""),42136.99861111111)</f>
        <v>42136.99861</v>
      </c>
      <c r="B1648" s="1">
        <f>IFERROR(__xludf.DUMMYFUNCTION("""COMPUTED_VALUE"""),43610.2332)</f>
        <v>43610.2332</v>
      </c>
    </row>
    <row r="1649">
      <c r="A1649" s="3">
        <f>IFERROR(__xludf.DUMMYFUNCTION("""COMPUTED_VALUE"""),42137.99861111111)</f>
        <v>42137.99861</v>
      </c>
      <c r="B1649" s="1">
        <f>IFERROR(__xludf.DUMMYFUNCTION("""COMPUTED_VALUE"""),43590.51122)</f>
        <v>43590.51122</v>
      </c>
    </row>
    <row r="1650">
      <c r="A1650" s="3">
        <f>IFERROR(__xludf.DUMMYFUNCTION("""COMPUTED_VALUE"""),42138.99861111111)</f>
        <v>42138.99861</v>
      </c>
      <c r="B1650" s="1">
        <f>IFERROR(__xludf.DUMMYFUNCTION("""COMPUTED_VALUE"""),43314.5773)</f>
        <v>43314.5773</v>
      </c>
    </row>
    <row r="1651">
      <c r="A1651" s="3">
        <f>IFERROR(__xludf.DUMMYFUNCTION("""COMPUTED_VALUE"""),42139.99861111111)</f>
        <v>42139.99861</v>
      </c>
      <c r="B1651" s="1">
        <f>IFERROR(__xludf.DUMMYFUNCTION("""COMPUTED_VALUE"""),43440.75627)</f>
        <v>43440.75627</v>
      </c>
    </row>
    <row r="1652">
      <c r="A1652" s="3">
        <f>IFERROR(__xludf.DUMMYFUNCTION("""COMPUTED_VALUE"""),42142.99861111111)</f>
        <v>42142.99861</v>
      </c>
      <c r="B1652" s="1">
        <f>IFERROR(__xludf.DUMMYFUNCTION("""COMPUTED_VALUE"""),43718.85971)</f>
        <v>43718.85971</v>
      </c>
    </row>
    <row r="1653">
      <c r="A1653" s="3">
        <f>IFERROR(__xludf.DUMMYFUNCTION("""COMPUTED_VALUE"""),42143.99861111111)</f>
        <v>42143.99861</v>
      </c>
      <c r="B1653" s="1">
        <f>IFERROR(__xludf.DUMMYFUNCTION("""COMPUTED_VALUE"""),43653.2368)</f>
        <v>43653.2368</v>
      </c>
    </row>
    <row r="1654">
      <c r="A1654" s="3">
        <f>IFERROR(__xludf.DUMMYFUNCTION("""COMPUTED_VALUE"""),42144.99861111111)</f>
        <v>42144.99861</v>
      </c>
      <c r="B1654" s="1">
        <f>IFERROR(__xludf.DUMMYFUNCTION("""COMPUTED_VALUE"""),43148.8898)</f>
        <v>43148.8898</v>
      </c>
    </row>
    <row r="1655">
      <c r="A1655" s="3">
        <f>IFERROR(__xludf.DUMMYFUNCTION("""COMPUTED_VALUE"""),42145.99861111111)</f>
        <v>42145.99861</v>
      </c>
      <c r="B1655" s="1">
        <f>IFERROR(__xludf.DUMMYFUNCTION("""COMPUTED_VALUE"""),43477.38777)</f>
        <v>43477.38777</v>
      </c>
    </row>
    <row r="1656">
      <c r="A1656" s="3">
        <f>IFERROR(__xludf.DUMMYFUNCTION("""COMPUTED_VALUE"""),42146.99861111111)</f>
        <v>42146.99861</v>
      </c>
      <c r="B1656" s="1">
        <f>IFERROR(__xludf.DUMMYFUNCTION("""COMPUTED_VALUE"""),43515.68544)</f>
        <v>43515.68544</v>
      </c>
    </row>
    <row r="1657">
      <c r="A1657" s="3">
        <f>IFERROR(__xludf.DUMMYFUNCTION("""COMPUTED_VALUE"""),42149.99861111111)</f>
        <v>42149.99861</v>
      </c>
      <c r="B1657" s="1">
        <f>IFERROR(__xludf.DUMMYFUNCTION("""COMPUTED_VALUE"""),43607.64891)</f>
        <v>43607.64891</v>
      </c>
    </row>
    <row r="1658">
      <c r="A1658" s="3">
        <f>IFERROR(__xludf.DUMMYFUNCTION("""COMPUTED_VALUE"""),42150.99861111111)</f>
        <v>42150.99861</v>
      </c>
      <c r="B1658" s="1">
        <f>IFERROR(__xludf.DUMMYFUNCTION("""COMPUTED_VALUE"""),43688.22516)</f>
        <v>43688.22516</v>
      </c>
    </row>
    <row r="1659">
      <c r="A1659" s="3">
        <f>IFERROR(__xludf.DUMMYFUNCTION("""COMPUTED_VALUE"""),42151.99861111111)</f>
        <v>42151.99861</v>
      </c>
      <c r="B1659" s="1">
        <f>IFERROR(__xludf.DUMMYFUNCTION("""COMPUTED_VALUE"""),43522.79364)</f>
        <v>43522.79364</v>
      </c>
    </row>
    <row r="1660">
      <c r="A1660" s="3">
        <f>IFERROR(__xludf.DUMMYFUNCTION("""COMPUTED_VALUE"""),42152.99861111111)</f>
        <v>42152.99861</v>
      </c>
      <c r="B1660" s="1">
        <f>IFERROR(__xludf.DUMMYFUNCTION("""COMPUTED_VALUE"""),43542.25012)</f>
        <v>43542.25012</v>
      </c>
    </row>
    <row r="1661">
      <c r="A1661" s="3">
        <f>IFERROR(__xludf.DUMMYFUNCTION("""COMPUTED_VALUE"""),42153.99861111111)</f>
        <v>42153.99861</v>
      </c>
      <c r="B1661" s="1">
        <f>IFERROR(__xludf.DUMMYFUNCTION("""COMPUTED_VALUE"""),43662.3396)</f>
        <v>43662.3396</v>
      </c>
    </row>
    <row r="1662">
      <c r="A1662" s="3">
        <f>IFERROR(__xludf.DUMMYFUNCTION("""COMPUTED_VALUE"""),42156.99861111111)</f>
        <v>42156.99861</v>
      </c>
      <c r="B1662" s="1">
        <f>IFERROR(__xludf.DUMMYFUNCTION("""COMPUTED_VALUE"""),43563.56432)</f>
        <v>43563.56432</v>
      </c>
    </row>
    <row r="1663">
      <c r="A1663" s="3">
        <f>IFERROR(__xludf.DUMMYFUNCTION("""COMPUTED_VALUE"""),42157.99861111111)</f>
        <v>42157.99861</v>
      </c>
      <c r="B1663" s="1">
        <f>IFERROR(__xludf.DUMMYFUNCTION("""COMPUTED_VALUE"""),43584.89915)</f>
        <v>43584.89915</v>
      </c>
    </row>
    <row r="1664">
      <c r="A1664" s="3">
        <f>IFERROR(__xludf.DUMMYFUNCTION("""COMPUTED_VALUE"""),42158.99861111111)</f>
        <v>42158.99861</v>
      </c>
      <c r="B1664" s="1">
        <f>IFERROR(__xludf.DUMMYFUNCTION("""COMPUTED_VALUE"""),43877.67867)</f>
        <v>43877.67867</v>
      </c>
    </row>
    <row r="1665">
      <c r="A1665" s="3">
        <f>IFERROR(__xludf.DUMMYFUNCTION("""COMPUTED_VALUE"""),42159.99861111111)</f>
        <v>42159.99861</v>
      </c>
      <c r="B1665" s="1">
        <f>IFERROR(__xludf.DUMMYFUNCTION("""COMPUTED_VALUE"""),44000.65125)</f>
        <v>44000.65125</v>
      </c>
    </row>
    <row r="1666">
      <c r="A1666" s="3">
        <f>IFERROR(__xludf.DUMMYFUNCTION("""COMPUTED_VALUE"""),42160.99861111111)</f>
        <v>42160.99861</v>
      </c>
      <c r="B1666" s="1">
        <f>IFERROR(__xludf.DUMMYFUNCTION("""COMPUTED_VALUE"""),44389.90881)</f>
        <v>44389.90881</v>
      </c>
    </row>
    <row r="1667">
      <c r="A1667" s="3">
        <f>IFERROR(__xludf.DUMMYFUNCTION("""COMPUTED_VALUE"""),42163.99861111111)</f>
        <v>42163.99861</v>
      </c>
      <c r="B1667" s="1">
        <f>IFERROR(__xludf.DUMMYFUNCTION("""COMPUTED_VALUE"""),44153.24969)</f>
        <v>44153.24969</v>
      </c>
    </row>
    <row r="1668">
      <c r="A1668" s="3">
        <f>IFERROR(__xludf.DUMMYFUNCTION("""COMPUTED_VALUE"""),42164.99861111111)</f>
        <v>42164.99861</v>
      </c>
      <c r="B1668" s="1">
        <f>IFERROR(__xludf.DUMMYFUNCTION("""COMPUTED_VALUE"""),44251.73975)</f>
        <v>44251.73975</v>
      </c>
    </row>
    <row r="1669">
      <c r="A1669" s="3">
        <f>IFERROR(__xludf.DUMMYFUNCTION("""COMPUTED_VALUE"""),42165.99861111111)</f>
        <v>42165.99861</v>
      </c>
      <c r="B1669" s="1">
        <f>IFERROR(__xludf.DUMMYFUNCTION("""COMPUTED_VALUE"""),43799.12309)</f>
        <v>43799.12309</v>
      </c>
    </row>
    <row r="1670">
      <c r="A1670" s="3">
        <f>IFERROR(__xludf.DUMMYFUNCTION("""COMPUTED_VALUE"""),42166.99861111111)</f>
        <v>42166.99861</v>
      </c>
      <c r="B1670" s="1">
        <f>IFERROR(__xludf.DUMMYFUNCTION("""COMPUTED_VALUE"""),43887.86577)</f>
        <v>43887.86577</v>
      </c>
    </row>
    <row r="1671">
      <c r="A1671" s="3">
        <f>IFERROR(__xludf.DUMMYFUNCTION("""COMPUTED_VALUE"""),42167.99861111111)</f>
        <v>42167.99861</v>
      </c>
      <c r="B1671" s="1">
        <f>IFERROR(__xludf.DUMMYFUNCTION("""COMPUTED_VALUE"""),44172.76548)</f>
        <v>44172.76548</v>
      </c>
    </row>
    <row r="1672">
      <c r="A1672" s="3">
        <f>IFERROR(__xludf.DUMMYFUNCTION("""COMPUTED_VALUE"""),42170.99861111111)</f>
        <v>42170.99861</v>
      </c>
      <c r="B1672" s="1">
        <f>IFERROR(__xludf.DUMMYFUNCTION("""COMPUTED_VALUE"""),44192.28348)</f>
        <v>44192.28348</v>
      </c>
    </row>
    <row r="1673">
      <c r="A1673" s="3">
        <f>IFERROR(__xludf.DUMMYFUNCTION("""COMPUTED_VALUE"""),42171.99861111111)</f>
        <v>42171.99861</v>
      </c>
      <c r="B1673" s="1">
        <f>IFERROR(__xludf.DUMMYFUNCTION("""COMPUTED_VALUE"""),44242.49686)</f>
        <v>44242.49686</v>
      </c>
    </row>
    <row r="1674">
      <c r="A1674" s="3">
        <f>IFERROR(__xludf.DUMMYFUNCTION("""COMPUTED_VALUE"""),42172.99861111111)</f>
        <v>42172.99861</v>
      </c>
      <c r="B1674" s="1">
        <f>IFERROR(__xludf.DUMMYFUNCTION("""COMPUTED_VALUE"""),44212.26417)</f>
        <v>44212.26417</v>
      </c>
    </row>
    <row r="1675">
      <c r="A1675" s="3">
        <f>IFERROR(__xludf.DUMMYFUNCTION("""COMPUTED_VALUE"""),42173.99861111111)</f>
        <v>42173.99861</v>
      </c>
      <c r="B1675" s="1">
        <f>IFERROR(__xludf.DUMMYFUNCTION("""COMPUTED_VALUE"""),44138.14995)</f>
        <v>44138.14995</v>
      </c>
    </row>
    <row r="1676">
      <c r="A1676" s="3">
        <f>IFERROR(__xludf.DUMMYFUNCTION("""COMPUTED_VALUE"""),42174.99861111111)</f>
        <v>42174.99861</v>
      </c>
      <c r="B1676" s="1">
        <f>IFERROR(__xludf.DUMMYFUNCTION("""COMPUTED_VALUE"""),44197.23924)</f>
        <v>44197.23924</v>
      </c>
    </row>
    <row r="1677">
      <c r="A1677" s="3">
        <f>IFERROR(__xludf.DUMMYFUNCTION("""COMPUTED_VALUE"""),42177.99861111111)</f>
        <v>42177.99861</v>
      </c>
      <c r="B1677" s="1">
        <f>IFERROR(__xludf.DUMMYFUNCTION("""COMPUTED_VALUE"""),44192.68921)</f>
        <v>44192.68921</v>
      </c>
    </row>
    <row r="1678">
      <c r="A1678" s="3">
        <f>IFERROR(__xludf.DUMMYFUNCTION("""COMPUTED_VALUE"""),42178.99861111111)</f>
        <v>42178.99861</v>
      </c>
      <c r="B1678" s="1">
        <f>IFERROR(__xludf.DUMMYFUNCTION("""COMPUTED_VALUE"""),44019.93175)</f>
        <v>44019.93175</v>
      </c>
    </row>
    <row r="1679">
      <c r="A1679" s="3">
        <f>IFERROR(__xludf.DUMMYFUNCTION("""COMPUTED_VALUE"""),42179.99861111111)</f>
        <v>42179.99861</v>
      </c>
      <c r="B1679" s="1">
        <f>IFERROR(__xludf.DUMMYFUNCTION("""COMPUTED_VALUE"""),44032.86657)</f>
        <v>44032.86657</v>
      </c>
    </row>
    <row r="1680">
      <c r="A1680" s="3">
        <f>IFERROR(__xludf.DUMMYFUNCTION("""COMPUTED_VALUE"""),42180.99861111111)</f>
        <v>42180.99861</v>
      </c>
      <c r="B1680" s="1">
        <f>IFERROR(__xludf.DUMMYFUNCTION("""COMPUTED_VALUE"""),44068.63525)</f>
        <v>44068.63525</v>
      </c>
    </row>
    <row r="1681">
      <c r="A1681" s="3">
        <f>IFERROR(__xludf.DUMMYFUNCTION("""COMPUTED_VALUE"""),42181.99861111111)</f>
        <v>42181.99861</v>
      </c>
      <c r="B1681" s="1">
        <f>IFERROR(__xludf.DUMMYFUNCTION("""COMPUTED_VALUE"""),44097.97816)</f>
        <v>44097.97816</v>
      </c>
    </row>
    <row r="1682">
      <c r="A1682" s="3">
        <f>IFERROR(__xludf.DUMMYFUNCTION("""COMPUTED_VALUE"""),42184.99861111111)</f>
        <v>42184.99861</v>
      </c>
      <c r="B1682" s="1">
        <f>IFERROR(__xludf.DUMMYFUNCTION("""COMPUTED_VALUE"""),44157.90052)</f>
        <v>44157.90052</v>
      </c>
    </row>
    <row r="1683">
      <c r="A1683" s="3">
        <f>IFERROR(__xludf.DUMMYFUNCTION("""COMPUTED_VALUE"""),42185.99861111111)</f>
        <v>42185.99861</v>
      </c>
      <c r="B1683" s="1">
        <f>IFERROR(__xludf.DUMMYFUNCTION("""COMPUTED_VALUE"""),44193.44041)</f>
        <v>44193.44041</v>
      </c>
    </row>
    <row r="1684">
      <c r="A1684" s="3">
        <f>IFERROR(__xludf.DUMMYFUNCTION("""COMPUTED_VALUE"""),42186.99861111111)</f>
        <v>42186.99861</v>
      </c>
      <c r="B1684" s="1">
        <f>IFERROR(__xludf.DUMMYFUNCTION("""COMPUTED_VALUE"""),44065.77268)</f>
        <v>44065.77268</v>
      </c>
    </row>
    <row r="1685">
      <c r="A1685" s="3">
        <f>IFERROR(__xludf.DUMMYFUNCTION("""COMPUTED_VALUE"""),42187.99861111111)</f>
        <v>42187.99861</v>
      </c>
      <c r="B1685" s="1">
        <f>IFERROR(__xludf.DUMMYFUNCTION("""COMPUTED_VALUE"""),43943.65326)</f>
        <v>43943.65326</v>
      </c>
    </row>
    <row r="1686">
      <c r="A1686" s="3">
        <f>IFERROR(__xludf.DUMMYFUNCTION("""COMPUTED_VALUE"""),42188.99861111111)</f>
        <v>42188.99861</v>
      </c>
      <c r="B1686" s="1">
        <f>IFERROR(__xludf.DUMMYFUNCTION("""COMPUTED_VALUE"""),44121.0495)</f>
        <v>44121.0495</v>
      </c>
    </row>
    <row r="1687">
      <c r="A1687" s="3">
        <f>IFERROR(__xludf.DUMMYFUNCTION("""COMPUTED_VALUE"""),42191.99861111111)</f>
        <v>42191.99861</v>
      </c>
      <c r="B1687" s="1">
        <f>IFERROR(__xludf.DUMMYFUNCTION("""COMPUTED_VALUE"""),44169.26026)</f>
        <v>44169.26026</v>
      </c>
    </row>
    <row r="1688">
      <c r="A1688" s="3">
        <f>IFERROR(__xludf.DUMMYFUNCTION("""COMPUTED_VALUE"""),42192.99861111111)</f>
        <v>42192.99861</v>
      </c>
      <c r="B1688" s="1">
        <f>IFERROR(__xludf.DUMMYFUNCTION("""COMPUTED_VALUE"""),44102.05897)</f>
        <v>44102.05897</v>
      </c>
    </row>
    <row r="1689">
      <c r="A1689" s="3">
        <f>IFERROR(__xludf.DUMMYFUNCTION("""COMPUTED_VALUE"""),42193.99861111111)</f>
        <v>42193.99861</v>
      </c>
      <c r="B1689" s="1">
        <f>IFERROR(__xludf.DUMMYFUNCTION("""COMPUTED_VALUE"""),44164.39986)</f>
        <v>44164.39986</v>
      </c>
    </row>
    <row r="1690">
      <c r="A1690" s="3">
        <f>IFERROR(__xludf.DUMMYFUNCTION("""COMPUTED_VALUE"""),42194.99861111111)</f>
        <v>42194.99861</v>
      </c>
      <c r="B1690" s="1">
        <f>IFERROR(__xludf.DUMMYFUNCTION("""COMPUTED_VALUE"""),44035.08508)</f>
        <v>44035.08508</v>
      </c>
    </row>
    <row r="1691">
      <c r="A1691" s="3">
        <f>IFERROR(__xludf.DUMMYFUNCTION("""COMPUTED_VALUE"""),42195.99861111111)</f>
        <v>42195.99861</v>
      </c>
      <c r="B1691" s="1">
        <f>IFERROR(__xludf.DUMMYFUNCTION("""COMPUTED_VALUE"""),44007.68701)</f>
        <v>44007.68701</v>
      </c>
    </row>
    <row r="1692">
      <c r="A1692" s="3">
        <f>IFERROR(__xludf.DUMMYFUNCTION("""COMPUTED_VALUE"""),42198.99861111111)</f>
        <v>42198.99861</v>
      </c>
      <c r="B1692" s="1">
        <f>IFERROR(__xludf.DUMMYFUNCTION("""COMPUTED_VALUE"""),43905.18064)</f>
        <v>43905.18064</v>
      </c>
    </row>
    <row r="1693">
      <c r="A1693" s="3">
        <f>IFERROR(__xludf.DUMMYFUNCTION("""COMPUTED_VALUE"""),42199.99861111111)</f>
        <v>42199.99861</v>
      </c>
      <c r="B1693" s="1">
        <f>IFERROR(__xludf.DUMMYFUNCTION("""COMPUTED_VALUE"""),44054.82414)</f>
        <v>44054.82414</v>
      </c>
    </row>
    <row r="1694">
      <c r="A1694" s="3">
        <f>IFERROR(__xludf.DUMMYFUNCTION("""COMPUTED_VALUE"""),42200.99861111111)</f>
        <v>42200.99861</v>
      </c>
      <c r="B1694" s="1">
        <f>IFERROR(__xludf.DUMMYFUNCTION("""COMPUTED_VALUE"""),44143.63153)</f>
        <v>44143.63153</v>
      </c>
    </row>
    <row r="1695">
      <c r="A1695" s="3">
        <f>IFERROR(__xludf.DUMMYFUNCTION("""COMPUTED_VALUE"""),42201.99861111111)</f>
        <v>42201.99861</v>
      </c>
      <c r="B1695" s="1">
        <f>IFERROR(__xludf.DUMMYFUNCTION("""COMPUTED_VALUE"""),44050.48981)</f>
        <v>44050.48981</v>
      </c>
    </row>
    <row r="1696">
      <c r="A1696" s="3">
        <f>IFERROR(__xludf.DUMMYFUNCTION("""COMPUTED_VALUE"""),42202.99861111111)</f>
        <v>42202.99861</v>
      </c>
      <c r="B1696" s="1">
        <f>IFERROR(__xludf.DUMMYFUNCTION("""COMPUTED_VALUE"""),44091.4188)</f>
        <v>44091.4188</v>
      </c>
    </row>
    <row r="1697">
      <c r="A1697" s="3">
        <f>IFERROR(__xludf.DUMMYFUNCTION("""COMPUTED_VALUE"""),42205.99861111111)</f>
        <v>42205.99861</v>
      </c>
      <c r="B1697" s="1">
        <f>IFERROR(__xludf.DUMMYFUNCTION("""COMPUTED_VALUE"""),44048.19976)</f>
        <v>44048.19976</v>
      </c>
    </row>
    <row r="1698">
      <c r="A1698" s="3">
        <f>IFERROR(__xludf.DUMMYFUNCTION("""COMPUTED_VALUE"""),42206.99861111111)</f>
        <v>42206.99861</v>
      </c>
      <c r="B1698" s="1">
        <f>IFERROR(__xludf.DUMMYFUNCTION("""COMPUTED_VALUE"""),44068.06782)</f>
        <v>44068.06782</v>
      </c>
    </row>
    <row r="1699">
      <c r="A1699" s="3">
        <f>IFERROR(__xludf.DUMMYFUNCTION("""COMPUTED_VALUE"""),42207.99861111111)</f>
        <v>42207.99861</v>
      </c>
      <c r="B1699" s="1">
        <f>IFERROR(__xludf.DUMMYFUNCTION("""COMPUTED_VALUE"""),44288.7286)</f>
        <v>44288.7286</v>
      </c>
    </row>
    <row r="1700">
      <c r="A1700" s="3">
        <f>IFERROR(__xludf.DUMMYFUNCTION("""COMPUTED_VALUE"""),42208.99861111111)</f>
        <v>42208.99861</v>
      </c>
      <c r="B1700" s="1">
        <f>IFERROR(__xludf.DUMMYFUNCTION("""COMPUTED_VALUE"""),44401.09759)</f>
        <v>44401.09759</v>
      </c>
    </row>
    <row r="1701">
      <c r="A1701" s="3">
        <f>IFERROR(__xludf.DUMMYFUNCTION("""COMPUTED_VALUE"""),42209.99861111111)</f>
        <v>42209.99861</v>
      </c>
      <c r="B1701" s="1">
        <f>IFERROR(__xludf.DUMMYFUNCTION("""COMPUTED_VALUE"""),44323.4319)</f>
        <v>44323.4319</v>
      </c>
    </row>
    <row r="1702">
      <c r="A1702" s="3">
        <f>IFERROR(__xludf.DUMMYFUNCTION("""COMPUTED_VALUE"""),42212.99861111111)</f>
        <v>42212.99861</v>
      </c>
      <c r="B1702" s="1">
        <f>IFERROR(__xludf.DUMMYFUNCTION("""COMPUTED_VALUE"""),44561.00367)</f>
        <v>44561.00367</v>
      </c>
    </row>
    <row r="1703">
      <c r="A1703" s="3">
        <f>IFERROR(__xludf.DUMMYFUNCTION("""COMPUTED_VALUE"""),42213.99861111111)</f>
        <v>42213.99861</v>
      </c>
      <c r="B1703" s="1">
        <f>IFERROR(__xludf.DUMMYFUNCTION("""COMPUTED_VALUE"""),43981.85955)</f>
        <v>43981.85955</v>
      </c>
    </row>
    <row r="1704">
      <c r="A1704" s="3">
        <f>IFERROR(__xludf.DUMMYFUNCTION("""COMPUTED_VALUE"""),42214.99861111111)</f>
        <v>42214.99861</v>
      </c>
      <c r="B1704" s="1">
        <f>IFERROR(__xludf.DUMMYFUNCTION("""COMPUTED_VALUE"""),44488.50348)</f>
        <v>44488.50348</v>
      </c>
    </row>
    <row r="1705">
      <c r="A1705" s="3">
        <f>IFERROR(__xludf.DUMMYFUNCTION("""COMPUTED_VALUE"""),42215.99861111111)</f>
        <v>42215.99861</v>
      </c>
      <c r="B1705" s="1">
        <f>IFERROR(__xludf.DUMMYFUNCTION("""COMPUTED_VALUE"""),44592.80046)</f>
        <v>44592.80046</v>
      </c>
    </row>
    <row r="1706">
      <c r="A1706" s="3">
        <f>IFERROR(__xludf.DUMMYFUNCTION("""COMPUTED_VALUE"""),42216.99861111111)</f>
        <v>42216.99861</v>
      </c>
      <c r="B1706" s="1">
        <f>IFERROR(__xludf.DUMMYFUNCTION("""COMPUTED_VALUE"""),44380.16362)</f>
        <v>44380.16362</v>
      </c>
    </row>
    <row r="1707">
      <c r="A1707" s="3">
        <f>IFERROR(__xludf.DUMMYFUNCTION("""COMPUTED_VALUE"""),42219.99861111111)</f>
        <v>42219.99861</v>
      </c>
      <c r="B1707" s="1">
        <f>IFERROR(__xludf.DUMMYFUNCTION("""COMPUTED_VALUE"""),44425.34208)</f>
        <v>44425.34208</v>
      </c>
    </row>
    <row r="1708">
      <c r="A1708" s="3">
        <f>IFERROR(__xludf.DUMMYFUNCTION("""COMPUTED_VALUE"""),42220.99861111111)</f>
        <v>42220.99861</v>
      </c>
      <c r="B1708" s="1">
        <f>IFERROR(__xludf.DUMMYFUNCTION("""COMPUTED_VALUE"""),44563.77162)</f>
        <v>44563.77162</v>
      </c>
    </row>
    <row r="1709">
      <c r="A1709" s="3">
        <f>IFERROR(__xludf.DUMMYFUNCTION("""COMPUTED_VALUE"""),42221.99861111111)</f>
        <v>42221.99861</v>
      </c>
      <c r="B1709" s="1">
        <f>IFERROR(__xludf.DUMMYFUNCTION("""COMPUTED_VALUE"""),44634.12074)</f>
        <v>44634.12074</v>
      </c>
    </row>
    <row r="1710">
      <c r="A1710" s="3">
        <f>IFERROR(__xludf.DUMMYFUNCTION("""COMPUTED_VALUE"""),42222.99861111111)</f>
        <v>42222.99861</v>
      </c>
      <c r="B1710" s="1">
        <f>IFERROR(__xludf.DUMMYFUNCTION("""COMPUTED_VALUE"""),44472.7002)</f>
        <v>44472.7002</v>
      </c>
    </row>
    <row r="1711">
      <c r="A1711" s="3">
        <f>IFERROR(__xludf.DUMMYFUNCTION("""COMPUTED_VALUE"""),42223.99861111111)</f>
        <v>42223.99861</v>
      </c>
      <c r="B1711" s="1">
        <f>IFERROR(__xludf.DUMMYFUNCTION("""COMPUTED_VALUE"""),44505.68414)</f>
        <v>44505.68414</v>
      </c>
    </row>
    <row r="1712">
      <c r="A1712" s="3">
        <f>IFERROR(__xludf.DUMMYFUNCTION("""COMPUTED_VALUE"""),42226.99861111111)</f>
        <v>42226.99861</v>
      </c>
      <c r="B1712" s="1">
        <f>IFERROR(__xludf.DUMMYFUNCTION("""COMPUTED_VALUE"""),44557.29327)</f>
        <v>44557.29327</v>
      </c>
    </row>
    <row r="1713">
      <c r="A1713" s="3">
        <f>IFERROR(__xludf.DUMMYFUNCTION("""COMPUTED_VALUE"""),42227.99861111111)</f>
        <v>42227.99861</v>
      </c>
      <c r="B1713" s="1">
        <f>IFERROR(__xludf.DUMMYFUNCTION("""COMPUTED_VALUE"""),45000.48301)</f>
        <v>45000.48301</v>
      </c>
    </row>
    <row r="1714">
      <c r="A1714" s="3">
        <f>IFERROR(__xludf.DUMMYFUNCTION("""COMPUTED_VALUE"""),42228.99861111111)</f>
        <v>42228.99861</v>
      </c>
      <c r="B1714" s="1">
        <f>IFERROR(__xludf.DUMMYFUNCTION("""COMPUTED_VALUE"""),45526.80752)</f>
        <v>45526.80752</v>
      </c>
    </row>
    <row r="1715">
      <c r="A1715" s="3">
        <f>IFERROR(__xludf.DUMMYFUNCTION("""COMPUTED_VALUE"""),42229.99861111111)</f>
        <v>42229.99861</v>
      </c>
      <c r="B1715" s="1">
        <f>IFERROR(__xludf.DUMMYFUNCTION("""COMPUTED_VALUE"""),45281.45315)</f>
        <v>45281.45315</v>
      </c>
    </row>
    <row r="1716">
      <c r="A1716" s="3">
        <f>IFERROR(__xludf.DUMMYFUNCTION("""COMPUTED_VALUE"""),42230.99861111111)</f>
        <v>42230.99861</v>
      </c>
      <c r="B1716" s="1">
        <f>IFERROR(__xludf.DUMMYFUNCTION("""COMPUTED_VALUE"""),45421.41929)</f>
        <v>45421.41929</v>
      </c>
    </row>
    <row r="1717">
      <c r="A1717" s="3">
        <f>IFERROR(__xludf.DUMMYFUNCTION("""COMPUTED_VALUE"""),42233.99861111111)</f>
        <v>42233.99861</v>
      </c>
      <c r="B1717" s="1">
        <f>IFERROR(__xludf.DUMMYFUNCTION("""COMPUTED_VALUE"""),45746.22399)</f>
        <v>45746.22399</v>
      </c>
    </row>
    <row r="1718">
      <c r="A1718" s="3">
        <f>IFERROR(__xludf.DUMMYFUNCTION("""COMPUTED_VALUE"""),42234.99861111111)</f>
        <v>42234.99861</v>
      </c>
      <c r="B1718" s="1">
        <f>IFERROR(__xludf.DUMMYFUNCTION("""COMPUTED_VALUE"""),45738.0874)</f>
        <v>45738.0874</v>
      </c>
    </row>
    <row r="1719">
      <c r="A1719" s="3">
        <f>IFERROR(__xludf.DUMMYFUNCTION("""COMPUTED_VALUE"""),42235.99861111111)</f>
        <v>42235.99861</v>
      </c>
      <c r="B1719" s="1">
        <f>IFERROR(__xludf.DUMMYFUNCTION("""COMPUTED_VALUE"""),45524.67351)</f>
        <v>45524.67351</v>
      </c>
    </row>
    <row r="1720">
      <c r="A1720" s="3">
        <f>IFERROR(__xludf.DUMMYFUNCTION("""COMPUTED_VALUE"""),42236.99861111111)</f>
        <v>42236.99861</v>
      </c>
      <c r="B1720" s="1">
        <f>IFERROR(__xludf.DUMMYFUNCTION("""COMPUTED_VALUE"""),46014.90388)</f>
        <v>46014.90388</v>
      </c>
    </row>
    <row r="1721">
      <c r="A1721" s="3">
        <f>IFERROR(__xludf.DUMMYFUNCTION("""COMPUTED_VALUE"""),42237.99861111111)</f>
        <v>42237.99861</v>
      </c>
      <c r="B1721" s="1">
        <f>IFERROR(__xludf.DUMMYFUNCTION("""COMPUTED_VALUE"""),45878.71702)</f>
        <v>45878.71702</v>
      </c>
    </row>
    <row r="1722">
      <c r="A1722" s="3">
        <f>IFERROR(__xludf.DUMMYFUNCTION("""COMPUTED_VALUE"""),42240.99861111111)</f>
        <v>42240.99861</v>
      </c>
      <c r="B1722" s="1">
        <f>IFERROR(__xludf.DUMMYFUNCTION("""COMPUTED_VALUE"""),46329.26892)</f>
        <v>46329.26892</v>
      </c>
    </row>
    <row r="1723">
      <c r="A1723" s="3">
        <f>IFERROR(__xludf.DUMMYFUNCTION("""COMPUTED_VALUE"""),42241.99861111111)</f>
        <v>42241.99861</v>
      </c>
      <c r="B1723" s="1">
        <f>IFERROR(__xludf.DUMMYFUNCTION("""COMPUTED_VALUE"""),45895.9572)</f>
        <v>45895.9572</v>
      </c>
    </row>
    <row r="1724">
      <c r="A1724" s="3">
        <f>IFERROR(__xludf.DUMMYFUNCTION("""COMPUTED_VALUE"""),42242.99861111111)</f>
        <v>42242.99861</v>
      </c>
      <c r="B1724" s="1">
        <f>IFERROR(__xludf.DUMMYFUNCTION("""COMPUTED_VALUE"""),46255.78992)</f>
        <v>46255.78992</v>
      </c>
    </row>
    <row r="1725">
      <c r="A1725" s="3">
        <f>IFERROR(__xludf.DUMMYFUNCTION("""COMPUTED_VALUE"""),42243.99861111111)</f>
        <v>42243.99861</v>
      </c>
      <c r="B1725" s="1">
        <f>IFERROR(__xludf.DUMMYFUNCTION("""COMPUTED_VALUE"""),45795.56499)</f>
        <v>45795.56499</v>
      </c>
    </row>
    <row r="1726">
      <c r="A1726" s="3">
        <f>IFERROR(__xludf.DUMMYFUNCTION("""COMPUTED_VALUE"""),42244.99861111111)</f>
        <v>42244.99861</v>
      </c>
      <c r="B1726" s="1">
        <f>IFERROR(__xludf.DUMMYFUNCTION("""COMPUTED_VALUE"""),46105.3905)</f>
        <v>46105.3905</v>
      </c>
    </row>
    <row r="1727">
      <c r="A1727" s="3">
        <f>IFERROR(__xludf.DUMMYFUNCTION("""COMPUTED_VALUE"""),42247.99861111111)</f>
        <v>42247.99861</v>
      </c>
      <c r="B1727" s="1">
        <f>IFERROR(__xludf.DUMMYFUNCTION("""COMPUTED_VALUE"""),46406.78)</f>
        <v>46406.78</v>
      </c>
    </row>
    <row r="1728">
      <c r="A1728" s="3">
        <f>IFERROR(__xludf.DUMMYFUNCTION("""COMPUTED_VALUE"""),42248.99861111111)</f>
        <v>42248.99861</v>
      </c>
      <c r="B1728" s="1">
        <f>IFERROR(__xludf.DUMMYFUNCTION("""COMPUTED_VALUE"""),46388.53029)</f>
        <v>46388.53029</v>
      </c>
    </row>
    <row r="1729">
      <c r="A1729" s="3">
        <f>IFERROR(__xludf.DUMMYFUNCTION("""COMPUTED_VALUE"""),42249.99861111111)</f>
        <v>42249.99861</v>
      </c>
      <c r="B1729" s="1">
        <f>IFERROR(__xludf.DUMMYFUNCTION("""COMPUTED_VALUE"""),46550.92365)</f>
        <v>46550.92365</v>
      </c>
    </row>
    <row r="1730">
      <c r="A1730" s="3">
        <f>IFERROR(__xludf.DUMMYFUNCTION("""COMPUTED_VALUE"""),42250.99861111111)</f>
        <v>42250.99861</v>
      </c>
      <c r="B1730" s="1">
        <f>IFERROR(__xludf.DUMMYFUNCTION("""COMPUTED_VALUE"""),46585.17877)</f>
        <v>46585.17877</v>
      </c>
    </row>
    <row r="1731">
      <c r="A1731" s="3">
        <f>IFERROR(__xludf.DUMMYFUNCTION("""COMPUTED_VALUE"""),42251.99861111111)</f>
        <v>42251.99861</v>
      </c>
      <c r="B1731" s="1">
        <f>IFERROR(__xludf.DUMMYFUNCTION("""COMPUTED_VALUE"""),47010.09357)</f>
        <v>47010.09357</v>
      </c>
    </row>
    <row r="1732">
      <c r="A1732" s="3">
        <f>IFERROR(__xludf.DUMMYFUNCTION("""COMPUTED_VALUE"""),42254.99861111111)</f>
        <v>42254.99861</v>
      </c>
      <c r="B1732" s="1">
        <f>IFERROR(__xludf.DUMMYFUNCTION("""COMPUTED_VALUE"""),47305.79402)</f>
        <v>47305.79402</v>
      </c>
    </row>
    <row r="1733">
      <c r="A1733" s="3">
        <f>IFERROR(__xludf.DUMMYFUNCTION("""COMPUTED_VALUE"""),42255.99861111111)</f>
        <v>42255.99861</v>
      </c>
      <c r="B1733" s="1">
        <f>IFERROR(__xludf.DUMMYFUNCTION("""COMPUTED_VALUE"""),46941.816)</f>
        <v>46941.816</v>
      </c>
    </row>
    <row r="1734">
      <c r="A1734" s="3">
        <f>IFERROR(__xludf.DUMMYFUNCTION("""COMPUTED_VALUE"""),42256.99861111111)</f>
        <v>42256.99861</v>
      </c>
      <c r="B1734" s="1">
        <f>IFERROR(__xludf.DUMMYFUNCTION("""COMPUTED_VALUE"""),47229.21675)</f>
        <v>47229.21675</v>
      </c>
    </row>
    <row r="1735">
      <c r="A1735" s="3">
        <f>IFERROR(__xludf.DUMMYFUNCTION("""COMPUTED_VALUE"""),42257.99861111111)</f>
        <v>42257.99861</v>
      </c>
      <c r="B1735" s="1">
        <f>IFERROR(__xludf.DUMMYFUNCTION("""COMPUTED_VALUE"""),47163.87175)</f>
        <v>47163.87175</v>
      </c>
    </row>
    <row r="1736">
      <c r="A1736" s="3">
        <f>IFERROR(__xludf.DUMMYFUNCTION("""COMPUTED_VALUE"""),42258.99861111111)</f>
        <v>42258.99861</v>
      </c>
      <c r="B1736" s="1">
        <f>IFERROR(__xludf.DUMMYFUNCTION("""COMPUTED_VALUE"""),47289.22457)</f>
        <v>47289.22457</v>
      </c>
    </row>
    <row r="1737">
      <c r="A1737" s="3">
        <f>IFERROR(__xludf.DUMMYFUNCTION("""COMPUTED_VALUE"""),42261.99861111111)</f>
        <v>42261.99861</v>
      </c>
      <c r="B1737" s="1">
        <f>IFERROR(__xludf.DUMMYFUNCTION("""COMPUTED_VALUE"""),47415.49812)</f>
        <v>47415.49812</v>
      </c>
    </row>
    <row r="1738">
      <c r="A1738" s="3">
        <f>IFERROR(__xludf.DUMMYFUNCTION("""COMPUTED_VALUE"""),42262.99861111111)</f>
        <v>42262.99861</v>
      </c>
      <c r="B1738" s="1">
        <f>IFERROR(__xludf.DUMMYFUNCTION("""COMPUTED_VALUE"""),47769.1056)</f>
        <v>47769.1056</v>
      </c>
    </row>
    <row r="1739">
      <c r="A1739" s="3">
        <f>IFERROR(__xludf.DUMMYFUNCTION("""COMPUTED_VALUE"""),42263.99861111111)</f>
        <v>42263.99861</v>
      </c>
      <c r="B1739" s="1">
        <f>IFERROR(__xludf.DUMMYFUNCTION("""COMPUTED_VALUE"""),47692.80772)</f>
        <v>47692.80772</v>
      </c>
    </row>
    <row r="1740">
      <c r="A1740" s="3">
        <f>IFERROR(__xludf.DUMMYFUNCTION("""COMPUTED_VALUE"""),42264.99861111111)</f>
        <v>42264.99861</v>
      </c>
      <c r="B1740" s="1">
        <f>IFERROR(__xludf.DUMMYFUNCTION("""COMPUTED_VALUE"""),47188.57827)</f>
        <v>47188.57827</v>
      </c>
    </row>
    <row r="1741">
      <c r="A1741" s="3">
        <f>IFERROR(__xludf.DUMMYFUNCTION("""COMPUTED_VALUE"""),42265.99861111111)</f>
        <v>42265.99861</v>
      </c>
      <c r="B1741" s="1">
        <f>IFERROR(__xludf.DUMMYFUNCTION("""COMPUTED_VALUE"""),47874.34774)</f>
        <v>47874.34774</v>
      </c>
    </row>
    <row r="1742">
      <c r="A1742" s="3">
        <f>IFERROR(__xludf.DUMMYFUNCTION("""COMPUTED_VALUE"""),42268.99861111111)</f>
        <v>42268.99861</v>
      </c>
      <c r="B1742" s="1">
        <f>IFERROR(__xludf.DUMMYFUNCTION("""COMPUTED_VALUE"""),47977.44103)</f>
        <v>47977.44103</v>
      </c>
    </row>
    <row r="1743">
      <c r="A1743" s="3">
        <f>IFERROR(__xludf.DUMMYFUNCTION("""COMPUTED_VALUE"""),42269.99861111111)</f>
        <v>42269.99861</v>
      </c>
      <c r="B1743" s="1">
        <f>IFERROR(__xludf.DUMMYFUNCTION("""COMPUTED_VALUE"""),48343.82122)</f>
        <v>48343.82122</v>
      </c>
    </row>
    <row r="1744">
      <c r="A1744" s="3">
        <f>IFERROR(__xludf.DUMMYFUNCTION("""COMPUTED_VALUE"""),42270.99861111111)</f>
        <v>42270.99861</v>
      </c>
      <c r="B1744" s="1">
        <f>IFERROR(__xludf.DUMMYFUNCTION("""COMPUTED_VALUE"""),48500.89992)</f>
        <v>48500.89992</v>
      </c>
    </row>
    <row r="1745">
      <c r="A1745" s="3">
        <f>IFERROR(__xludf.DUMMYFUNCTION("""COMPUTED_VALUE"""),42271.99861111111)</f>
        <v>42271.99861</v>
      </c>
      <c r="B1745" s="1">
        <f>IFERROR(__xludf.DUMMYFUNCTION("""COMPUTED_VALUE"""),48576.15486)</f>
        <v>48576.15486</v>
      </c>
    </row>
    <row r="1746">
      <c r="A1746" s="3">
        <f>IFERROR(__xludf.DUMMYFUNCTION("""COMPUTED_VALUE"""),42272.99861111111)</f>
        <v>42272.99861</v>
      </c>
      <c r="B1746" s="1">
        <f>IFERROR(__xludf.DUMMYFUNCTION("""COMPUTED_VALUE"""),48456.8167)</f>
        <v>48456.8167</v>
      </c>
    </row>
    <row r="1747">
      <c r="A1747" s="3">
        <f>IFERROR(__xludf.DUMMYFUNCTION("""COMPUTED_VALUE"""),42275.99861111111)</f>
        <v>42275.99861</v>
      </c>
      <c r="B1747" s="1">
        <f>IFERROR(__xludf.DUMMYFUNCTION("""COMPUTED_VALUE"""),48641.39695)</f>
        <v>48641.39695</v>
      </c>
    </row>
    <row r="1748">
      <c r="A1748" s="3">
        <f>IFERROR(__xludf.DUMMYFUNCTION("""COMPUTED_VALUE"""),42276.99861111111)</f>
        <v>42276.99861</v>
      </c>
      <c r="B1748" s="1">
        <f>IFERROR(__xludf.DUMMYFUNCTION("""COMPUTED_VALUE"""),48657.594)</f>
        <v>48657.594</v>
      </c>
    </row>
    <row r="1749">
      <c r="A1749" s="3">
        <f>IFERROR(__xludf.DUMMYFUNCTION("""COMPUTED_VALUE"""),42277.99861111111)</f>
        <v>42277.99861</v>
      </c>
      <c r="B1749" s="1">
        <f>IFERROR(__xludf.DUMMYFUNCTION("""COMPUTED_VALUE"""),48246.13736)</f>
        <v>48246.13736</v>
      </c>
    </row>
    <row r="1750">
      <c r="A1750" s="3">
        <f>IFERROR(__xludf.DUMMYFUNCTION("""COMPUTED_VALUE"""),42278.99861111111)</f>
        <v>42278.99861</v>
      </c>
      <c r="B1750" s="1">
        <f>IFERROR(__xludf.DUMMYFUNCTION("""COMPUTED_VALUE"""),48567.63499)</f>
        <v>48567.63499</v>
      </c>
    </row>
    <row r="1751">
      <c r="A1751" s="3">
        <f>IFERROR(__xludf.DUMMYFUNCTION("""COMPUTED_VALUE"""),42279.99861111111)</f>
        <v>42279.99861</v>
      </c>
      <c r="B1751" s="1">
        <f>IFERROR(__xludf.DUMMYFUNCTION("""COMPUTED_VALUE"""),48328.90893)</f>
        <v>48328.90893</v>
      </c>
    </row>
    <row r="1752">
      <c r="A1752" s="3">
        <f>IFERROR(__xludf.DUMMYFUNCTION("""COMPUTED_VALUE"""),42282.99861111111)</f>
        <v>42282.99861</v>
      </c>
      <c r="B1752" s="1">
        <f>IFERROR(__xludf.DUMMYFUNCTION("""COMPUTED_VALUE"""),47823.05271)</f>
        <v>47823.05271</v>
      </c>
    </row>
    <row r="1753">
      <c r="A1753" s="3">
        <f>IFERROR(__xludf.DUMMYFUNCTION("""COMPUTED_VALUE"""),42283.99861111111)</f>
        <v>42283.99861</v>
      </c>
      <c r="B1753" s="1">
        <f>IFERROR(__xludf.DUMMYFUNCTION("""COMPUTED_VALUE"""),46568.6181)</f>
        <v>46568.6181</v>
      </c>
    </row>
    <row r="1754">
      <c r="A1754" s="3">
        <f>IFERROR(__xludf.DUMMYFUNCTION("""COMPUTED_VALUE"""),42284.99861111111)</f>
        <v>42284.99861</v>
      </c>
      <c r="B1754" s="1">
        <f>IFERROR(__xludf.DUMMYFUNCTION("""COMPUTED_VALUE"""),45974.52368)</f>
        <v>45974.52368</v>
      </c>
    </row>
    <row r="1755">
      <c r="A1755" s="3">
        <f>IFERROR(__xludf.DUMMYFUNCTION("""COMPUTED_VALUE"""),42285.99861111111)</f>
        <v>42285.99861</v>
      </c>
      <c r="B1755" s="1">
        <f>IFERROR(__xludf.DUMMYFUNCTION("""COMPUTED_VALUE"""),44451.0657)</f>
        <v>44451.0657</v>
      </c>
    </row>
    <row r="1756">
      <c r="A1756" s="3">
        <f>IFERROR(__xludf.DUMMYFUNCTION("""COMPUTED_VALUE"""),42286.99861111111)</f>
        <v>42286.99861</v>
      </c>
      <c r="B1756" s="1">
        <f>IFERROR(__xludf.DUMMYFUNCTION("""COMPUTED_VALUE"""),44171.77068)</f>
        <v>44171.77068</v>
      </c>
    </row>
    <row r="1757">
      <c r="A1757" s="3">
        <f>IFERROR(__xludf.DUMMYFUNCTION("""COMPUTED_VALUE"""),42289.99861111111)</f>
        <v>42289.99861</v>
      </c>
      <c r="B1757" s="1">
        <f>IFERROR(__xludf.DUMMYFUNCTION("""COMPUTED_VALUE"""),44802.06636)</f>
        <v>44802.06636</v>
      </c>
    </row>
    <row r="1758">
      <c r="A1758" s="3">
        <f>IFERROR(__xludf.DUMMYFUNCTION("""COMPUTED_VALUE"""),42290.99861111111)</f>
        <v>42290.99861</v>
      </c>
      <c r="B1758" s="1">
        <f>IFERROR(__xludf.DUMMYFUNCTION("""COMPUTED_VALUE"""),45266.11635)</f>
        <v>45266.11635</v>
      </c>
    </row>
    <row r="1759">
      <c r="A1759" s="3">
        <f>IFERROR(__xludf.DUMMYFUNCTION("""COMPUTED_VALUE"""),42291.99861111111)</f>
        <v>42291.99861</v>
      </c>
      <c r="B1759" s="1">
        <f>IFERROR(__xludf.DUMMYFUNCTION("""COMPUTED_VALUE"""),44031.20904)</f>
        <v>44031.20904</v>
      </c>
    </row>
    <row r="1760">
      <c r="A1760" s="3">
        <f>IFERROR(__xludf.DUMMYFUNCTION("""COMPUTED_VALUE"""),42292.99861111111)</f>
        <v>42292.99861</v>
      </c>
      <c r="B1760" s="1">
        <f>IFERROR(__xludf.DUMMYFUNCTION("""COMPUTED_VALUE"""),44473.9434)</f>
        <v>44473.9434</v>
      </c>
    </row>
    <row r="1761">
      <c r="A1761" s="3">
        <f>IFERROR(__xludf.DUMMYFUNCTION("""COMPUTED_VALUE"""),42293.99861111111)</f>
        <v>42293.99861</v>
      </c>
      <c r="B1761" s="1">
        <f>IFERROR(__xludf.DUMMYFUNCTION("""COMPUTED_VALUE"""),44700.60402)</f>
        <v>44700.60402</v>
      </c>
    </row>
    <row r="1762">
      <c r="A1762" s="3">
        <f>IFERROR(__xludf.DUMMYFUNCTION("""COMPUTED_VALUE"""),42296.99861111111)</f>
        <v>42296.99861</v>
      </c>
      <c r="B1762" s="1">
        <f>IFERROR(__xludf.DUMMYFUNCTION("""COMPUTED_VALUE"""),45273.62385)</f>
        <v>45273.62385</v>
      </c>
    </row>
    <row r="1763">
      <c r="A1763" s="3">
        <f>IFERROR(__xludf.DUMMYFUNCTION("""COMPUTED_VALUE"""),42297.99861111111)</f>
        <v>42297.99861</v>
      </c>
      <c r="B1763" s="1">
        <f>IFERROR(__xludf.DUMMYFUNCTION("""COMPUTED_VALUE"""),45579.15408)</f>
        <v>45579.15408</v>
      </c>
    </row>
    <row r="1764">
      <c r="A1764" s="3">
        <f>IFERROR(__xludf.DUMMYFUNCTION("""COMPUTED_VALUE"""),42298.99861111111)</f>
        <v>42298.99861</v>
      </c>
      <c r="B1764" s="1">
        <f>IFERROR(__xludf.DUMMYFUNCTION("""COMPUTED_VALUE"""),45477.1774)</f>
        <v>45477.1774</v>
      </c>
    </row>
    <row r="1765">
      <c r="A1765" s="3">
        <f>IFERROR(__xludf.DUMMYFUNCTION("""COMPUTED_VALUE"""),42299.99861111111)</f>
        <v>42299.99861</v>
      </c>
      <c r="B1765" s="1">
        <f>IFERROR(__xludf.DUMMYFUNCTION("""COMPUTED_VALUE"""),44729.84294)</f>
        <v>44729.84294</v>
      </c>
    </row>
    <row r="1766">
      <c r="A1766" s="3">
        <f>IFERROR(__xludf.DUMMYFUNCTION("""COMPUTED_VALUE"""),42300.99861111111)</f>
        <v>42300.99861</v>
      </c>
      <c r="B1766" s="1">
        <f>IFERROR(__xludf.DUMMYFUNCTION("""COMPUTED_VALUE"""),44817.1776)</f>
        <v>44817.1776</v>
      </c>
    </row>
    <row r="1767">
      <c r="A1767" s="3">
        <f>IFERROR(__xludf.DUMMYFUNCTION("""COMPUTED_VALUE"""),42303.99861111111)</f>
        <v>42303.99861</v>
      </c>
      <c r="B1767" s="1">
        <f>IFERROR(__xludf.DUMMYFUNCTION("""COMPUTED_VALUE"""),45021.49892)</f>
        <v>45021.49892</v>
      </c>
    </row>
    <row r="1768">
      <c r="A1768" s="3">
        <f>IFERROR(__xludf.DUMMYFUNCTION("""COMPUTED_VALUE"""),42304.99861111111)</f>
        <v>42304.99861</v>
      </c>
      <c r="B1768" s="1">
        <f>IFERROR(__xludf.DUMMYFUNCTION("""COMPUTED_VALUE"""),45165.76155)</f>
        <v>45165.76155</v>
      </c>
    </row>
    <row r="1769">
      <c r="A1769" s="3">
        <f>IFERROR(__xludf.DUMMYFUNCTION("""COMPUTED_VALUE"""),42305.99861111111)</f>
        <v>42305.99861</v>
      </c>
      <c r="B1769" s="1">
        <f>IFERROR(__xludf.DUMMYFUNCTION("""COMPUTED_VALUE"""),44995.03514)</f>
        <v>44995.03514</v>
      </c>
    </row>
    <row r="1770">
      <c r="A1770" s="3">
        <f>IFERROR(__xludf.DUMMYFUNCTION("""COMPUTED_VALUE"""),42306.99861111111)</f>
        <v>42306.99861</v>
      </c>
      <c r="B1770" s="1">
        <f>IFERROR(__xludf.DUMMYFUNCTION("""COMPUTED_VALUE"""),44950.42058)</f>
        <v>44950.42058</v>
      </c>
    </row>
    <row r="1771">
      <c r="A1771" s="3">
        <f>IFERROR(__xludf.DUMMYFUNCTION("""COMPUTED_VALUE"""),42307.99861111111)</f>
        <v>42307.99861</v>
      </c>
      <c r="B1771" s="1">
        <f>IFERROR(__xludf.DUMMYFUNCTION("""COMPUTED_VALUE"""),45020.63965)</f>
        <v>45020.63965</v>
      </c>
    </row>
    <row r="1772">
      <c r="A1772" s="3">
        <f>IFERROR(__xludf.DUMMYFUNCTION("""COMPUTED_VALUE"""),42310.99861111111)</f>
        <v>42310.99861</v>
      </c>
      <c r="B1772" s="1">
        <f>IFERROR(__xludf.DUMMYFUNCTION("""COMPUTED_VALUE"""),44922.25976)</f>
        <v>44922.25976</v>
      </c>
    </row>
    <row r="1773">
      <c r="A1773" s="3">
        <f>IFERROR(__xludf.DUMMYFUNCTION("""COMPUTED_VALUE"""),42311.99861111111)</f>
        <v>42311.99861</v>
      </c>
      <c r="B1773" s="1">
        <f>IFERROR(__xludf.DUMMYFUNCTION("""COMPUTED_VALUE"""),44324.93907)</f>
        <v>44324.93907</v>
      </c>
    </row>
    <row r="1774">
      <c r="A1774" s="3">
        <f>IFERROR(__xludf.DUMMYFUNCTION("""COMPUTED_VALUE"""),42312.99861111111)</f>
        <v>42312.99861</v>
      </c>
      <c r="B1774" s="1">
        <f>IFERROR(__xludf.DUMMYFUNCTION("""COMPUTED_VALUE"""),44476.39053)</f>
        <v>44476.39053</v>
      </c>
    </row>
    <row r="1775">
      <c r="A1775" s="3">
        <f>IFERROR(__xludf.DUMMYFUNCTION("""COMPUTED_VALUE"""),42313.99861111111)</f>
        <v>42313.99861</v>
      </c>
      <c r="B1775" s="1">
        <f>IFERROR(__xludf.DUMMYFUNCTION("""COMPUTED_VALUE"""),44629.59212)</f>
        <v>44629.59212</v>
      </c>
    </row>
    <row r="1776">
      <c r="A1776" s="3">
        <f>IFERROR(__xludf.DUMMYFUNCTION("""COMPUTED_VALUE"""),42314.99861111111)</f>
        <v>42314.99861</v>
      </c>
      <c r="B1776" s="1">
        <f>IFERROR(__xludf.DUMMYFUNCTION("""COMPUTED_VALUE"""),44902.67001)</f>
        <v>44902.67001</v>
      </c>
    </row>
    <row r="1777">
      <c r="A1777" s="3">
        <f>IFERROR(__xludf.DUMMYFUNCTION("""COMPUTED_VALUE"""),42317.99861111111)</f>
        <v>42317.99861</v>
      </c>
      <c r="B1777" s="1">
        <f>IFERROR(__xludf.DUMMYFUNCTION("""COMPUTED_VALUE"""),44973.61981)</f>
        <v>44973.61981</v>
      </c>
    </row>
    <row r="1778">
      <c r="A1778" s="3">
        <f>IFERROR(__xludf.DUMMYFUNCTION("""COMPUTED_VALUE"""),42318.99861111111)</f>
        <v>42318.99861</v>
      </c>
      <c r="B1778" s="1">
        <f>IFERROR(__xludf.DUMMYFUNCTION("""COMPUTED_VALUE"""),44687.57664)</f>
        <v>44687.57664</v>
      </c>
    </row>
    <row r="1779">
      <c r="A1779" s="3">
        <f>IFERROR(__xludf.DUMMYFUNCTION("""COMPUTED_VALUE"""),42319.99861111111)</f>
        <v>42319.99861</v>
      </c>
      <c r="B1779" s="1">
        <f>IFERROR(__xludf.DUMMYFUNCTION("""COMPUTED_VALUE"""),44585.46005)</f>
        <v>44585.46005</v>
      </c>
    </row>
    <row r="1780">
      <c r="A1780" s="3">
        <f>IFERROR(__xludf.DUMMYFUNCTION("""COMPUTED_VALUE"""),42320.99861111111)</f>
        <v>42320.99861</v>
      </c>
      <c r="B1780" s="1">
        <f>IFERROR(__xludf.DUMMYFUNCTION("""COMPUTED_VALUE"""),44858.26058)</f>
        <v>44858.26058</v>
      </c>
    </row>
    <row r="1781">
      <c r="A1781" s="3">
        <f>IFERROR(__xludf.DUMMYFUNCTION("""COMPUTED_VALUE"""),42321.99861111111)</f>
        <v>42321.99861</v>
      </c>
      <c r="B1781" s="1">
        <f>IFERROR(__xludf.DUMMYFUNCTION("""COMPUTED_VALUE"""),45311.56429)</f>
        <v>45311.56429</v>
      </c>
    </row>
    <row r="1782">
      <c r="A1782" s="3">
        <f>IFERROR(__xludf.DUMMYFUNCTION("""COMPUTED_VALUE"""),42324.99861111111)</f>
        <v>42324.99861</v>
      </c>
      <c r="B1782" s="1">
        <f>IFERROR(__xludf.DUMMYFUNCTION("""COMPUTED_VALUE"""),45191.69821)</f>
        <v>45191.69821</v>
      </c>
    </row>
    <row r="1783">
      <c r="A1783" s="3">
        <f>IFERROR(__xludf.DUMMYFUNCTION("""COMPUTED_VALUE"""),42325.99861111111)</f>
        <v>42325.99861</v>
      </c>
      <c r="B1783" s="1">
        <f>IFERROR(__xludf.DUMMYFUNCTION("""COMPUTED_VALUE"""),45205.91824)</f>
        <v>45205.91824</v>
      </c>
    </row>
    <row r="1784">
      <c r="A1784" s="3">
        <f>IFERROR(__xludf.DUMMYFUNCTION("""COMPUTED_VALUE"""),42326.99861111111)</f>
        <v>42326.99861</v>
      </c>
      <c r="B1784" s="1">
        <f>IFERROR(__xludf.DUMMYFUNCTION("""COMPUTED_VALUE"""),45141.62493)</f>
        <v>45141.62493</v>
      </c>
    </row>
    <row r="1785">
      <c r="A1785" s="3">
        <f>IFERROR(__xludf.DUMMYFUNCTION("""COMPUTED_VALUE"""),42327.99861111111)</f>
        <v>42327.99861</v>
      </c>
      <c r="B1785" s="1">
        <f>IFERROR(__xludf.DUMMYFUNCTION("""COMPUTED_VALUE"""),44976.93458)</f>
        <v>44976.93458</v>
      </c>
    </row>
    <row r="1786">
      <c r="A1786" s="3">
        <f>IFERROR(__xludf.DUMMYFUNCTION("""COMPUTED_VALUE"""),42328.99861111111)</f>
        <v>42328.99861</v>
      </c>
      <c r="B1786" s="1">
        <f>IFERROR(__xludf.DUMMYFUNCTION("""COMPUTED_VALUE"""),44612.83768)</f>
        <v>44612.83768</v>
      </c>
    </row>
    <row r="1787">
      <c r="A1787" s="3">
        <f>IFERROR(__xludf.DUMMYFUNCTION("""COMPUTED_VALUE"""),42331.99861111111)</f>
        <v>42331.99861</v>
      </c>
      <c r="B1787" s="1">
        <f>IFERROR(__xludf.DUMMYFUNCTION("""COMPUTED_VALUE"""),44980.24693)</f>
        <v>44980.24693</v>
      </c>
    </row>
    <row r="1788">
      <c r="A1788" s="3">
        <f>IFERROR(__xludf.DUMMYFUNCTION("""COMPUTED_VALUE"""),42332.99861111111)</f>
        <v>42332.99861</v>
      </c>
      <c r="B1788" s="1">
        <f>IFERROR(__xludf.DUMMYFUNCTION("""COMPUTED_VALUE"""),44839.50522)</f>
        <v>44839.50522</v>
      </c>
    </row>
    <row r="1789">
      <c r="A1789" s="3">
        <f>IFERROR(__xludf.DUMMYFUNCTION("""COMPUTED_VALUE"""),42333.99861111111)</f>
        <v>42333.99861</v>
      </c>
      <c r="B1789" s="1">
        <f>IFERROR(__xludf.DUMMYFUNCTION("""COMPUTED_VALUE"""),44740.73979)</f>
        <v>44740.73979</v>
      </c>
    </row>
    <row r="1790">
      <c r="A1790" s="3">
        <f>IFERROR(__xludf.DUMMYFUNCTION("""COMPUTED_VALUE"""),42334.99861111111)</f>
        <v>42334.99861</v>
      </c>
      <c r="B1790" s="1">
        <f>IFERROR(__xludf.DUMMYFUNCTION("""COMPUTED_VALUE"""),45166.05038)</f>
        <v>45166.05038</v>
      </c>
    </row>
    <row r="1791">
      <c r="A1791" s="3">
        <f>IFERROR(__xludf.DUMMYFUNCTION("""COMPUTED_VALUE"""),42335.99861111111)</f>
        <v>42335.99861</v>
      </c>
      <c r="B1791" s="1">
        <f>IFERROR(__xludf.DUMMYFUNCTION("""COMPUTED_VALUE"""),44824.96926)</f>
        <v>44824.96926</v>
      </c>
    </row>
    <row r="1792">
      <c r="A1792" s="3">
        <f>IFERROR(__xludf.DUMMYFUNCTION("""COMPUTED_VALUE"""),42338.99861111111)</f>
        <v>42338.99861</v>
      </c>
      <c r="B1792" s="1">
        <f>IFERROR(__xludf.DUMMYFUNCTION("""COMPUTED_VALUE"""),45637.72473)</f>
        <v>45637.72473</v>
      </c>
    </row>
    <row r="1793">
      <c r="A1793" s="3">
        <f>IFERROR(__xludf.DUMMYFUNCTION("""COMPUTED_VALUE"""),42339.99861111111)</f>
        <v>42339.99861</v>
      </c>
      <c r="B1793" s="1">
        <f>IFERROR(__xludf.DUMMYFUNCTION("""COMPUTED_VALUE"""),45438.10082)</f>
        <v>45438.10082</v>
      </c>
    </row>
    <row r="1794">
      <c r="A1794" s="3">
        <f>IFERROR(__xludf.DUMMYFUNCTION("""COMPUTED_VALUE"""),42340.99861111111)</f>
        <v>42340.99861</v>
      </c>
      <c r="B1794" s="1">
        <f>IFERROR(__xludf.DUMMYFUNCTION("""COMPUTED_VALUE"""),45417.75371)</f>
        <v>45417.75371</v>
      </c>
    </row>
    <row r="1795">
      <c r="A1795" s="3">
        <f>IFERROR(__xludf.DUMMYFUNCTION("""COMPUTED_VALUE"""),42341.99861111111)</f>
        <v>42341.99861</v>
      </c>
      <c r="B1795" s="1">
        <f>IFERROR(__xludf.DUMMYFUNCTION("""COMPUTED_VALUE"""),45123.54594)</f>
        <v>45123.54594</v>
      </c>
    </row>
    <row r="1796">
      <c r="A1796" s="3">
        <f>IFERROR(__xludf.DUMMYFUNCTION("""COMPUTED_VALUE"""),42342.99861111111)</f>
        <v>42342.99861</v>
      </c>
      <c r="B1796" s="1">
        <f>IFERROR(__xludf.DUMMYFUNCTION("""COMPUTED_VALUE"""),45374.48935)</f>
        <v>45374.48935</v>
      </c>
    </row>
    <row r="1797">
      <c r="A1797" s="3">
        <f>IFERROR(__xludf.DUMMYFUNCTION("""COMPUTED_VALUE"""),42345.99861111111)</f>
        <v>42345.99861</v>
      </c>
      <c r="B1797" s="1">
        <f>IFERROR(__xludf.DUMMYFUNCTION("""COMPUTED_VALUE"""),45700.15204)</f>
        <v>45700.15204</v>
      </c>
    </row>
    <row r="1798">
      <c r="A1798" s="3">
        <f>IFERROR(__xludf.DUMMYFUNCTION("""COMPUTED_VALUE"""),42346.99861111111)</f>
        <v>42346.99861</v>
      </c>
      <c r="B1798" s="1">
        <f>IFERROR(__xludf.DUMMYFUNCTION("""COMPUTED_VALUE"""),46104.88078)</f>
        <v>46104.88078</v>
      </c>
    </row>
    <row r="1799">
      <c r="A1799" s="3">
        <f>IFERROR(__xludf.DUMMYFUNCTION("""COMPUTED_VALUE"""),42347.99861111111)</f>
        <v>42347.99861</v>
      </c>
      <c r="B1799" s="1">
        <f>IFERROR(__xludf.DUMMYFUNCTION("""COMPUTED_VALUE"""),45970.92528)</f>
        <v>45970.92528</v>
      </c>
    </row>
    <row r="1800">
      <c r="A1800" s="3">
        <f>IFERROR(__xludf.DUMMYFUNCTION("""COMPUTED_VALUE"""),42348.99861111111)</f>
        <v>42348.99861</v>
      </c>
      <c r="B1800" s="1">
        <f>IFERROR(__xludf.DUMMYFUNCTION("""COMPUTED_VALUE"""),45984.40217)</f>
        <v>45984.40217</v>
      </c>
    </row>
    <row r="1801">
      <c r="A1801" s="3">
        <f>IFERROR(__xludf.DUMMYFUNCTION("""COMPUTED_VALUE"""),42349.99861111111)</f>
        <v>42349.99861</v>
      </c>
      <c r="B1801" s="1">
        <f>IFERROR(__xludf.DUMMYFUNCTION("""COMPUTED_VALUE"""),46672.16715)</f>
        <v>46672.16715</v>
      </c>
    </row>
    <row r="1802">
      <c r="A1802" s="3">
        <f>IFERROR(__xludf.DUMMYFUNCTION("""COMPUTED_VALUE"""),42352.99861111111)</f>
        <v>42352.99861</v>
      </c>
      <c r="B1802" s="1">
        <f>IFERROR(__xludf.DUMMYFUNCTION("""COMPUTED_VALUE"""),46240.4892)</f>
        <v>46240.4892</v>
      </c>
    </row>
    <row r="1803">
      <c r="A1803" s="3">
        <f>IFERROR(__xludf.DUMMYFUNCTION("""COMPUTED_VALUE"""),42353.99861111111)</f>
        <v>42353.99861</v>
      </c>
      <c r="B1803" s="1">
        <f>IFERROR(__xludf.DUMMYFUNCTION("""COMPUTED_VALUE"""),46143.67835)</f>
        <v>46143.67835</v>
      </c>
    </row>
    <row r="1804">
      <c r="A1804" s="3">
        <f>IFERROR(__xludf.DUMMYFUNCTION("""COMPUTED_VALUE"""),42354.99861111111)</f>
        <v>42354.99861</v>
      </c>
      <c r="B1804" s="1">
        <f>IFERROR(__xludf.DUMMYFUNCTION("""COMPUTED_VALUE"""),45409.54112)</f>
        <v>45409.54112</v>
      </c>
    </row>
    <row r="1805">
      <c r="A1805" s="3">
        <f>IFERROR(__xludf.DUMMYFUNCTION("""COMPUTED_VALUE"""),42355.99861111111)</f>
        <v>42355.99861</v>
      </c>
      <c r="B1805" s="1">
        <f>IFERROR(__xludf.DUMMYFUNCTION("""COMPUTED_VALUE"""),46221.80896)</f>
        <v>46221.80896</v>
      </c>
    </row>
    <row r="1806">
      <c r="A1806" s="3">
        <f>IFERROR(__xludf.DUMMYFUNCTION("""COMPUTED_VALUE"""),42356.99861111111)</f>
        <v>42356.99861</v>
      </c>
      <c r="B1806" s="1">
        <f>IFERROR(__xludf.DUMMYFUNCTION("""COMPUTED_VALUE"""),45710.79752)</f>
        <v>45710.79752</v>
      </c>
    </row>
    <row r="1807">
      <c r="A1807" s="3">
        <f>IFERROR(__xludf.DUMMYFUNCTION("""COMPUTED_VALUE"""),42359.99861111111)</f>
        <v>42359.99861</v>
      </c>
      <c r="B1807" s="1">
        <f>IFERROR(__xludf.DUMMYFUNCTION("""COMPUTED_VALUE"""),45400.54208)</f>
        <v>45400.54208</v>
      </c>
    </row>
    <row r="1808">
      <c r="A1808" s="3">
        <f>IFERROR(__xludf.DUMMYFUNCTION("""COMPUTED_VALUE"""),42360.99861111111)</f>
        <v>42360.99861</v>
      </c>
      <c r="B1808" s="1">
        <f>IFERROR(__xludf.DUMMYFUNCTION("""COMPUTED_VALUE"""),45003.29768)</f>
        <v>45003.29768</v>
      </c>
    </row>
    <row r="1809">
      <c r="A1809" s="3">
        <f>IFERROR(__xludf.DUMMYFUNCTION("""COMPUTED_VALUE"""),42361.99861111111)</f>
        <v>42361.99861</v>
      </c>
      <c r="B1809" s="1">
        <f>IFERROR(__xludf.DUMMYFUNCTION("""COMPUTED_VALUE"""),44949.18837)</f>
        <v>44949.18837</v>
      </c>
    </row>
    <row r="1810">
      <c r="A1810" s="3">
        <f>IFERROR(__xludf.DUMMYFUNCTION("""COMPUTED_VALUE"""),42362.99861111111)</f>
        <v>42362.99861</v>
      </c>
      <c r="B1810" s="1">
        <f>IFERROR(__xludf.DUMMYFUNCTION("""COMPUTED_VALUE"""),44998.34097)</f>
        <v>44998.34097</v>
      </c>
    </row>
    <row r="1811">
      <c r="A1811" s="3">
        <f>IFERROR(__xludf.DUMMYFUNCTION("""COMPUTED_VALUE"""),42363.99861111111)</f>
        <v>42363.99861</v>
      </c>
      <c r="B1811" s="1">
        <f>IFERROR(__xludf.DUMMYFUNCTION("""COMPUTED_VALUE"""),44998.34097)</f>
        <v>44998.34097</v>
      </c>
    </row>
    <row r="1812">
      <c r="A1812" s="3">
        <f>IFERROR(__xludf.DUMMYFUNCTION("""COMPUTED_VALUE"""),42366.99861111111)</f>
        <v>42366.99861</v>
      </c>
      <c r="B1812" s="1">
        <f>IFERROR(__xludf.DUMMYFUNCTION("""COMPUTED_VALUE"""),44520.31538)</f>
        <v>44520.31538</v>
      </c>
    </row>
    <row r="1813">
      <c r="A1813" s="3">
        <f>IFERROR(__xludf.DUMMYFUNCTION("""COMPUTED_VALUE"""),42367.99861111111)</f>
        <v>42367.99861</v>
      </c>
      <c r="B1813" s="1">
        <f>IFERROR(__xludf.DUMMYFUNCTION("""COMPUTED_VALUE"""),45137.23268)</f>
        <v>45137.23268</v>
      </c>
    </row>
    <row r="1814">
      <c r="A1814" s="3">
        <f>IFERROR(__xludf.DUMMYFUNCTION("""COMPUTED_VALUE"""),42368.99861111111)</f>
        <v>42368.99861</v>
      </c>
      <c r="B1814" s="1">
        <f>IFERROR(__xludf.DUMMYFUNCTION("""COMPUTED_VALUE"""),45640.34709)</f>
        <v>45640.34709</v>
      </c>
    </row>
    <row r="1815">
      <c r="A1815" s="3">
        <f>IFERROR(__xludf.DUMMYFUNCTION("""COMPUTED_VALUE"""),42369.99861111111)</f>
        <v>42369.99861</v>
      </c>
      <c r="B1815" s="1">
        <f>IFERROR(__xludf.DUMMYFUNCTION("""COMPUTED_VALUE"""),45469.53935)</f>
        <v>45469.53935</v>
      </c>
    </row>
    <row r="1816">
      <c r="A1816" s="3">
        <f>IFERROR(__xludf.DUMMYFUNCTION("""COMPUTED_VALUE"""),42370.99861111111)</f>
        <v>42370.99861</v>
      </c>
      <c r="B1816" s="1">
        <f>IFERROR(__xludf.DUMMYFUNCTION("""COMPUTED_VALUE"""),45469.53935)</f>
        <v>45469.53935</v>
      </c>
    </row>
    <row r="1817">
      <c r="A1817" s="3">
        <f>IFERROR(__xludf.DUMMYFUNCTION("""COMPUTED_VALUE"""),42373.99861111111)</f>
        <v>42373.99861</v>
      </c>
      <c r="B1817" s="1">
        <f>IFERROR(__xludf.DUMMYFUNCTION("""COMPUTED_VALUE"""),46047.50663)</f>
        <v>46047.50663</v>
      </c>
    </row>
    <row r="1818">
      <c r="A1818" s="3">
        <f>IFERROR(__xludf.DUMMYFUNCTION("""COMPUTED_VALUE"""),42374.99861111111)</f>
        <v>42374.99861</v>
      </c>
      <c r="B1818" s="1">
        <f>IFERROR(__xludf.DUMMYFUNCTION("""COMPUTED_VALUE"""),45546.022)</f>
        <v>45546.022</v>
      </c>
    </row>
    <row r="1819">
      <c r="A1819" s="3">
        <f>IFERROR(__xludf.DUMMYFUNCTION("""COMPUTED_VALUE"""),42375.99861111111)</f>
        <v>42375.99861</v>
      </c>
      <c r="B1819" s="1">
        <f>IFERROR(__xludf.DUMMYFUNCTION("""COMPUTED_VALUE"""),45747.64467)</f>
        <v>45747.64467</v>
      </c>
    </row>
    <row r="1820">
      <c r="A1820" s="3">
        <f>IFERROR(__xludf.DUMMYFUNCTION("""COMPUTED_VALUE"""),42376.99861111111)</f>
        <v>42376.99861</v>
      </c>
      <c r="B1820" s="1">
        <f>IFERROR(__xludf.DUMMYFUNCTION("""COMPUTED_VALUE"""),45882.73151)</f>
        <v>45882.73151</v>
      </c>
    </row>
    <row r="1821">
      <c r="A1821" s="3">
        <f>IFERROR(__xludf.DUMMYFUNCTION("""COMPUTED_VALUE"""),42377.99861111111)</f>
        <v>42377.99861</v>
      </c>
      <c r="B1821" s="1">
        <f>IFERROR(__xludf.DUMMYFUNCTION("""COMPUTED_VALUE"""),45773.59215)</f>
        <v>45773.59215</v>
      </c>
    </row>
    <row r="1822">
      <c r="A1822" s="3">
        <f>IFERROR(__xludf.DUMMYFUNCTION("""COMPUTED_VALUE"""),42380.99861111111)</f>
        <v>42380.99861</v>
      </c>
      <c r="B1822" s="1">
        <f>IFERROR(__xludf.DUMMYFUNCTION("""COMPUTED_VALUE"""),45552.02718)</f>
        <v>45552.02718</v>
      </c>
    </row>
    <row r="1823">
      <c r="A1823" s="3">
        <f>IFERROR(__xludf.DUMMYFUNCTION("""COMPUTED_VALUE"""),42381.99861111111)</f>
        <v>42381.99861</v>
      </c>
      <c r="B1823" s="1">
        <f>IFERROR(__xludf.DUMMYFUNCTION("""COMPUTED_VALUE"""),45505.52511)</f>
        <v>45505.52511</v>
      </c>
    </row>
    <row r="1824">
      <c r="A1824" s="3">
        <f>IFERROR(__xludf.DUMMYFUNCTION("""COMPUTED_VALUE"""),42382.99861111111)</f>
        <v>42382.99861</v>
      </c>
      <c r="B1824" s="1">
        <f>IFERROR(__xludf.DUMMYFUNCTION("""COMPUTED_VALUE"""),45643.92148)</f>
        <v>45643.92148</v>
      </c>
    </row>
    <row r="1825">
      <c r="A1825" s="3">
        <f>IFERROR(__xludf.DUMMYFUNCTION("""COMPUTED_VALUE"""),42383.99861111111)</f>
        <v>42383.99861</v>
      </c>
      <c r="B1825" s="1">
        <f>IFERROR(__xludf.DUMMYFUNCTION("""COMPUTED_VALUE"""),45571.4028)</f>
        <v>45571.4028</v>
      </c>
    </row>
    <row r="1826">
      <c r="A1826" s="3">
        <f>IFERROR(__xludf.DUMMYFUNCTION("""COMPUTED_VALUE"""),42384.99861111111)</f>
        <v>42384.99861</v>
      </c>
      <c r="B1826" s="1">
        <f>IFERROR(__xludf.DUMMYFUNCTION("""COMPUTED_VALUE"""),46044.08111)</f>
        <v>46044.08111</v>
      </c>
    </row>
    <row r="1827">
      <c r="A1827" s="3">
        <f>IFERROR(__xludf.DUMMYFUNCTION("""COMPUTED_VALUE"""),42387.99861111111)</f>
        <v>42387.99861</v>
      </c>
      <c r="B1827" s="1">
        <f>IFERROR(__xludf.DUMMYFUNCTION("""COMPUTED_VALUE"""),45840.5987)</f>
        <v>45840.5987</v>
      </c>
    </row>
    <row r="1828">
      <c r="A1828" s="3">
        <f>IFERROR(__xludf.DUMMYFUNCTION("""COMPUTED_VALUE"""),42388.99861111111)</f>
        <v>42388.99861</v>
      </c>
      <c r="B1828" s="1">
        <f>IFERROR(__xludf.DUMMYFUNCTION("""COMPUTED_VALUE"""),45424.67649)</f>
        <v>45424.67649</v>
      </c>
    </row>
    <row r="1829">
      <c r="A1829" s="3">
        <f>IFERROR(__xludf.DUMMYFUNCTION("""COMPUTED_VALUE"""),42389.99861111111)</f>
        <v>42389.99861</v>
      </c>
      <c r="B1829" s="1">
        <f>IFERROR(__xludf.DUMMYFUNCTION("""COMPUTED_VALUE"""),45454.54007)</f>
        <v>45454.54007</v>
      </c>
    </row>
    <row r="1830">
      <c r="A1830" s="3">
        <f>IFERROR(__xludf.DUMMYFUNCTION("""COMPUTED_VALUE"""),42390.99861111111)</f>
        <v>42390.99861</v>
      </c>
      <c r="B1830" s="1">
        <f>IFERROR(__xludf.DUMMYFUNCTION("""COMPUTED_VALUE"""),45255.53613)</f>
        <v>45255.53613</v>
      </c>
    </row>
    <row r="1831">
      <c r="A1831" s="3">
        <f>IFERROR(__xludf.DUMMYFUNCTION("""COMPUTED_VALUE"""),42391.99861111111)</f>
        <v>42391.99861</v>
      </c>
      <c r="B1831" s="1">
        <f>IFERROR(__xludf.DUMMYFUNCTION("""COMPUTED_VALUE"""),45198.08769)</f>
        <v>45198.08769</v>
      </c>
    </row>
    <row r="1832">
      <c r="A1832" s="3">
        <f>IFERROR(__xludf.DUMMYFUNCTION("""COMPUTED_VALUE"""),42392.99861111111)</f>
        <v>42392.99861</v>
      </c>
      <c r="B1832" s="1">
        <f>IFERROR(__xludf.DUMMYFUNCTION("""COMPUTED_VALUE"""),45538.08436)</f>
        <v>45538.08436</v>
      </c>
    </row>
    <row r="1833">
      <c r="A1833" s="3">
        <f>IFERROR(__xludf.DUMMYFUNCTION("""COMPUTED_VALUE"""),42394.99861111111)</f>
        <v>42394.99861</v>
      </c>
      <c r="B1833" s="1">
        <f>IFERROR(__xludf.DUMMYFUNCTION("""COMPUTED_VALUE"""),45565.35525)</f>
        <v>45565.35525</v>
      </c>
    </row>
    <row r="1834">
      <c r="A1834" s="3">
        <f>IFERROR(__xludf.DUMMYFUNCTION("""COMPUTED_VALUE"""),42395.99861111111)</f>
        <v>42395.99861</v>
      </c>
      <c r="B1834" s="1">
        <f>IFERROR(__xludf.DUMMYFUNCTION("""COMPUTED_VALUE"""),45755.72536)</f>
        <v>45755.72536</v>
      </c>
    </row>
    <row r="1835">
      <c r="A1835" s="3">
        <f>IFERROR(__xludf.DUMMYFUNCTION("""COMPUTED_VALUE"""),42396.99861111111)</f>
        <v>42396.99861</v>
      </c>
      <c r="B1835" s="1">
        <f>IFERROR(__xludf.DUMMYFUNCTION("""COMPUTED_VALUE"""),45528.61599)</f>
        <v>45528.61599</v>
      </c>
    </row>
    <row r="1836">
      <c r="A1836" s="3">
        <f>IFERROR(__xludf.DUMMYFUNCTION("""COMPUTED_VALUE"""),42397.99861111111)</f>
        <v>42397.99861</v>
      </c>
      <c r="B1836" s="1">
        <f>IFERROR(__xludf.DUMMYFUNCTION("""COMPUTED_VALUE"""),45421.54052)</f>
        <v>45421.54052</v>
      </c>
    </row>
    <row r="1837">
      <c r="A1837" s="3">
        <f>IFERROR(__xludf.DUMMYFUNCTION("""COMPUTED_VALUE"""),42398.99861111111)</f>
        <v>42398.99861</v>
      </c>
      <c r="B1837" s="1">
        <f>IFERROR(__xludf.DUMMYFUNCTION("""COMPUTED_VALUE"""),45084.3964)</f>
        <v>45084.3964</v>
      </c>
    </row>
    <row r="1838">
      <c r="A1838" s="3">
        <f>IFERROR(__xludf.DUMMYFUNCTION("""COMPUTED_VALUE"""),42401.99861111111)</f>
        <v>42401.99861</v>
      </c>
      <c r="B1838" s="1">
        <f>IFERROR(__xludf.DUMMYFUNCTION("""COMPUTED_VALUE"""),44976.06955)</f>
        <v>44976.06955</v>
      </c>
    </row>
    <row r="1839">
      <c r="A1839" s="3">
        <f>IFERROR(__xludf.DUMMYFUNCTION("""COMPUTED_VALUE"""),42402.99861111111)</f>
        <v>42402.99861</v>
      </c>
      <c r="B1839" s="1">
        <f>IFERROR(__xludf.DUMMYFUNCTION("""COMPUTED_VALUE"""),45389.92462)</f>
        <v>45389.92462</v>
      </c>
    </row>
    <row r="1840">
      <c r="A1840" s="3">
        <f>IFERROR(__xludf.DUMMYFUNCTION("""COMPUTED_VALUE"""),42403.99861111111)</f>
        <v>42403.99861</v>
      </c>
      <c r="B1840" s="1">
        <f>IFERROR(__xludf.DUMMYFUNCTION("""COMPUTED_VALUE"""),45063.0387)</f>
        <v>45063.0387</v>
      </c>
    </row>
    <row r="1841">
      <c r="A1841" s="3">
        <f>IFERROR(__xludf.DUMMYFUNCTION("""COMPUTED_VALUE"""),42404.99861111111)</f>
        <v>42404.99861</v>
      </c>
      <c r="B1841" s="1">
        <f>IFERROR(__xludf.DUMMYFUNCTION("""COMPUTED_VALUE"""),45365.76052)</f>
        <v>45365.76052</v>
      </c>
    </row>
    <row r="1842">
      <c r="A1842" s="3">
        <f>IFERROR(__xludf.DUMMYFUNCTION("""COMPUTED_VALUE"""),42405.99861111111)</f>
        <v>42405.99861</v>
      </c>
      <c r="B1842" s="1">
        <f>IFERROR(__xludf.DUMMYFUNCTION("""COMPUTED_VALUE"""),45232.05901)</f>
        <v>45232.05901</v>
      </c>
    </row>
    <row r="1843">
      <c r="A1843" s="3">
        <f>IFERROR(__xludf.DUMMYFUNCTION("""COMPUTED_VALUE"""),42406.99861111111)</f>
        <v>42406.99861</v>
      </c>
      <c r="B1843" s="1">
        <f>IFERROR(__xludf.DUMMYFUNCTION("""COMPUTED_VALUE"""),45300.1152)</f>
        <v>45300.1152</v>
      </c>
    </row>
    <row r="1844">
      <c r="A1844" s="3">
        <f>IFERROR(__xludf.DUMMYFUNCTION("""COMPUTED_VALUE"""),42408.99861111111)</f>
        <v>42408.99861</v>
      </c>
      <c r="B1844" s="1">
        <f>IFERROR(__xludf.DUMMYFUNCTION("""COMPUTED_VALUE"""),45579.05825)</f>
        <v>45579.05825</v>
      </c>
    </row>
    <row r="1845">
      <c r="A1845" s="3">
        <f>IFERROR(__xludf.DUMMYFUNCTION("""COMPUTED_VALUE"""),42409.99861111111)</f>
        <v>42409.99861</v>
      </c>
      <c r="B1845" s="1">
        <f>IFERROR(__xludf.DUMMYFUNCTION("""COMPUTED_VALUE"""),45314.79444)</f>
        <v>45314.79444</v>
      </c>
    </row>
    <row r="1846">
      <c r="A1846" s="3">
        <f>IFERROR(__xludf.DUMMYFUNCTION("""COMPUTED_VALUE"""),42410.99861111111)</f>
        <v>42410.99861</v>
      </c>
      <c r="B1846" s="1">
        <f>IFERROR(__xludf.DUMMYFUNCTION("""COMPUTED_VALUE"""),45098.03844)</f>
        <v>45098.03844</v>
      </c>
    </row>
    <row r="1847">
      <c r="A1847" s="3">
        <f>IFERROR(__xludf.DUMMYFUNCTION("""COMPUTED_VALUE"""),42411.99861111111)</f>
        <v>42411.99861</v>
      </c>
      <c r="B1847" s="1">
        <f>IFERROR(__xludf.DUMMYFUNCTION("""COMPUTED_VALUE"""),45288.082)</f>
        <v>45288.082</v>
      </c>
    </row>
    <row r="1848">
      <c r="A1848" s="3">
        <f>IFERROR(__xludf.DUMMYFUNCTION("""COMPUTED_VALUE"""),42412.99861111111)</f>
        <v>42412.99861</v>
      </c>
      <c r="B1848" s="1">
        <f>IFERROR(__xludf.DUMMYFUNCTION("""COMPUTED_VALUE"""),45222.49873)</f>
        <v>45222.49873</v>
      </c>
    </row>
    <row r="1849">
      <c r="A1849" s="3">
        <f>IFERROR(__xludf.DUMMYFUNCTION("""COMPUTED_VALUE"""),42415.99861111111)</f>
        <v>42415.99861</v>
      </c>
      <c r="B1849" s="1">
        <f>IFERROR(__xludf.DUMMYFUNCTION("""COMPUTED_VALUE"""),44497.6938)</f>
        <v>44497.6938</v>
      </c>
    </row>
    <row r="1850">
      <c r="A1850" s="3">
        <f>IFERROR(__xludf.DUMMYFUNCTION("""COMPUTED_VALUE"""),42416.99861111111)</f>
        <v>42416.99861</v>
      </c>
      <c r="B1850" s="1">
        <f>IFERROR(__xludf.DUMMYFUNCTION("""COMPUTED_VALUE"""),44903.63589)</f>
        <v>44903.63589</v>
      </c>
    </row>
    <row r="1851">
      <c r="A1851" s="3">
        <f>IFERROR(__xludf.DUMMYFUNCTION("""COMPUTED_VALUE"""),42417.99861111111)</f>
        <v>42417.99861</v>
      </c>
      <c r="B1851" s="1">
        <f>IFERROR(__xludf.DUMMYFUNCTION("""COMPUTED_VALUE"""),45210.9735)</f>
        <v>45210.9735</v>
      </c>
    </row>
    <row r="1852">
      <c r="A1852" s="3">
        <f>IFERROR(__xludf.DUMMYFUNCTION("""COMPUTED_VALUE"""),42418.99861111111)</f>
        <v>42418.99861</v>
      </c>
      <c r="B1852" s="1">
        <f>IFERROR(__xludf.DUMMYFUNCTION("""COMPUTED_VALUE"""),44911.2736)</f>
        <v>44911.2736</v>
      </c>
    </row>
    <row r="1853">
      <c r="A1853" s="3">
        <f>IFERROR(__xludf.DUMMYFUNCTION("""COMPUTED_VALUE"""),42419.99861111111)</f>
        <v>42419.99861</v>
      </c>
      <c r="B1853" s="1">
        <f>IFERROR(__xludf.DUMMYFUNCTION("""COMPUTED_VALUE"""),44958.98022)</f>
        <v>44958.98022</v>
      </c>
    </row>
    <row r="1854">
      <c r="A1854" s="3">
        <f>IFERROR(__xludf.DUMMYFUNCTION("""COMPUTED_VALUE"""),42420.99861111111)</f>
        <v>42420.99861</v>
      </c>
      <c r="B1854" s="1">
        <f>IFERROR(__xludf.DUMMYFUNCTION("""COMPUTED_VALUE"""),45309.85916)</f>
        <v>45309.85916</v>
      </c>
    </row>
    <row r="1855">
      <c r="A1855" s="3">
        <f>IFERROR(__xludf.DUMMYFUNCTION("""COMPUTED_VALUE"""),42422.99861111111)</f>
        <v>42422.99861</v>
      </c>
      <c r="B1855" s="1">
        <f>IFERROR(__xludf.DUMMYFUNCTION("""COMPUTED_VALUE"""),44803.3428)</f>
        <v>44803.3428</v>
      </c>
    </row>
    <row r="1856">
      <c r="A1856" s="3">
        <f>IFERROR(__xludf.DUMMYFUNCTION("""COMPUTED_VALUE"""),42423.99861111111)</f>
        <v>42423.99861</v>
      </c>
      <c r="B1856" s="1">
        <f>IFERROR(__xludf.DUMMYFUNCTION("""COMPUTED_VALUE"""),44887.0248)</f>
        <v>44887.0248</v>
      </c>
    </row>
    <row r="1857">
      <c r="A1857" s="3">
        <f>IFERROR(__xludf.DUMMYFUNCTION("""COMPUTED_VALUE"""),42424.99861111111)</f>
        <v>42424.99861</v>
      </c>
      <c r="B1857" s="1">
        <f>IFERROR(__xludf.DUMMYFUNCTION("""COMPUTED_VALUE"""),44803.3428)</f>
        <v>44803.3428</v>
      </c>
    </row>
    <row r="1858">
      <c r="A1858" s="3">
        <f>IFERROR(__xludf.DUMMYFUNCTION("""COMPUTED_VALUE"""),42425.99861111111)</f>
        <v>42425.99861</v>
      </c>
      <c r="B1858" s="1">
        <f>IFERROR(__xludf.DUMMYFUNCTION("""COMPUTED_VALUE"""),44771.13438)</f>
        <v>44771.13438</v>
      </c>
    </row>
    <row r="1859">
      <c r="A1859" s="3">
        <f>IFERROR(__xludf.DUMMYFUNCTION("""COMPUTED_VALUE"""),42426.99861111111)</f>
        <v>42426.99861</v>
      </c>
      <c r="B1859" s="1">
        <f>IFERROR(__xludf.DUMMYFUNCTION("""COMPUTED_VALUE"""),44739.55087)</f>
        <v>44739.55087</v>
      </c>
    </row>
    <row r="1860">
      <c r="A1860" s="3">
        <f>IFERROR(__xludf.DUMMYFUNCTION("""COMPUTED_VALUE"""),42429.99861111111)</f>
        <v>42429.99861</v>
      </c>
      <c r="B1860" s="1">
        <f>IFERROR(__xludf.DUMMYFUNCTION("""COMPUTED_VALUE"""),44387.23657)</f>
        <v>44387.23657</v>
      </c>
    </row>
    <row r="1861">
      <c r="A1861" s="3">
        <f>IFERROR(__xludf.DUMMYFUNCTION("""COMPUTED_VALUE"""),42430.99861111111)</f>
        <v>42430.99861</v>
      </c>
      <c r="B1861" s="1">
        <f>IFERROR(__xludf.DUMMYFUNCTION("""COMPUTED_VALUE"""),44101.8682)</f>
        <v>44101.8682</v>
      </c>
    </row>
    <row r="1862">
      <c r="A1862" s="3">
        <f>IFERROR(__xludf.DUMMYFUNCTION("""COMPUTED_VALUE"""),42431.99861111111)</f>
        <v>42431.99861</v>
      </c>
      <c r="B1862" s="1">
        <f>IFERROR(__xludf.DUMMYFUNCTION("""COMPUTED_VALUE"""),44119.20974)</f>
        <v>44119.20974</v>
      </c>
    </row>
    <row r="1863">
      <c r="A1863" s="3">
        <f>IFERROR(__xludf.DUMMYFUNCTION("""COMPUTED_VALUE"""),42432.99861111111)</f>
        <v>42432.99861</v>
      </c>
      <c r="B1863" s="1">
        <f>IFERROR(__xludf.DUMMYFUNCTION("""COMPUTED_VALUE"""),43748.94672)</f>
        <v>43748.94672</v>
      </c>
    </row>
    <row r="1864">
      <c r="A1864" s="3">
        <f>IFERROR(__xludf.DUMMYFUNCTION("""COMPUTED_VALUE"""),42433.99861111111)</f>
        <v>42433.99861</v>
      </c>
      <c r="B1864" s="1">
        <f>IFERROR(__xludf.DUMMYFUNCTION("""COMPUTED_VALUE"""),43442.59556)</f>
        <v>43442.59556</v>
      </c>
    </row>
    <row r="1865">
      <c r="A1865" s="3">
        <f>IFERROR(__xludf.DUMMYFUNCTION("""COMPUTED_VALUE"""),42436.99861111111)</f>
        <v>42436.99861</v>
      </c>
      <c r="B1865" s="1">
        <f>IFERROR(__xludf.DUMMYFUNCTION("""COMPUTED_VALUE"""),43297.241)</f>
        <v>43297.241</v>
      </c>
    </row>
    <row r="1866">
      <c r="A1866" s="3">
        <f>IFERROR(__xludf.DUMMYFUNCTION("""COMPUTED_VALUE"""),42437.99861111111)</f>
        <v>42437.99861</v>
      </c>
      <c r="B1866" s="1">
        <f>IFERROR(__xludf.DUMMYFUNCTION("""COMPUTED_VALUE"""),43911.77654)</f>
        <v>43911.77654</v>
      </c>
    </row>
    <row r="1867">
      <c r="A1867" s="3">
        <f>IFERROR(__xludf.DUMMYFUNCTION("""COMPUTED_VALUE"""),42438.99861111111)</f>
        <v>42438.99861</v>
      </c>
      <c r="B1867" s="1">
        <f>IFERROR(__xludf.DUMMYFUNCTION("""COMPUTED_VALUE"""),43641.9295)</f>
        <v>43641.9295</v>
      </c>
    </row>
    <row r="1868">
      <c r="A1868" s="3">
        <f>IFERROR(__xludf.DUMMYFUNCTION("""COMPUTED_VALUE"""),42439.99861111111)</f>
        <v>42439.99861</v>
      </c>
      <c r="B1868" s="1">
        <f>IFERROR(__xludf.DUMMYFUNCTION("""COMPUTED_VALUE"""),43741.87285)</f>
        <v>43741.87285</v>
      </c>
    </row>
    <row r="1869">
      <c r="A1869" s="3">
        <f>IFERROR(__xludf.DUMMYFUNCTION("""COMPUTED_VALUE"""),42440.99861111111)</f>
        <v>42440.99861</v>
      </c>
      <c r="B1869" s="1">
        <f>IFERROR(__xludf.DUMMYFUNCTION("""COMPUTED_VALUE"""),43054.34589)</f>
        <v>43054.34589</v>
      </c>
    </row>
    <row r="1870">
      <c r="A1870" s="3">
        <f>IFERROR(__xludf.DUMMYFUNCTION("""COMPUTED_VALUE"""),42443.99861111111)</f>
        <v>42443.99861</v>
      </c>
      <c r="B1870" s="1">
        <f>IFERROR(__xludf.DUMMYFUNCTION("""COMPUTED_VALUE"""),43242.1561)</f>
        <v>43242.1561</v>
      </c>
    </row>
    <row r="1871">
      <c r="A1871" s="3">
        <f>IFERROR(__xludf.DUMMYFUNCTION("""COMPUTED_VALUE"""),42444.99861111111)</f>
        <v>42444.99861</v>
      </c>
      <c r="B1871" s="1">
        <f>IFERROR(__xludf.DUMMYFUNCTION("""COMPUTED_VALUE"""),43718.55273)</f>
        <v>43718.55273</v>
      </c>
    </row>
    <row r="1872">
      <c r="A1872" s="3">
        <f>IFERROR(__xludf.DUMMYFUNCTION("""COMPUTED_VALUE"""),42445.99861111111)</f>
        <v>42445.99861</v>
      </c>
      <c r="B1872" s="1">
        <f>IFERROR(__xludf.DUMMYFUNCTION("""COMPUTED_VALUE"""),42542.55265)</f>
        <v>42542.55265</v>
      </c>
    </row>
    <row r="1873">
      <c r="A1873" s="3">
        <f>IFERROR(__xludf.DUMMYFUNCTION("""COMPUTED_VALUE"""),42446.99861111111)</f>
        <v>42446.99861</v>
      </c>
      <c r="B1873" s="1">
        <f>IFERROR(__xludf.DUMMYFUNCTION("""COMPUTED_VALUE"""),43092.24107)</f>
        <v>43092.24107</v>
      </c>
    </row>
    <row r="1874">
      <c r="A1874" s="3">
        <f>IFERROR(__xludf.DUMMYFUNCTION("""COMPUTED_VALUE"""),42447.99861111111)</f>
        <v>42447.99861</v>
      </c>
      <c r="B1874" s="1">
        <f>IFERROR(__xludf.DUMMYFUNCTION("""COMPUTED_VALUE"""),43438.27434)</f>
        <v>43438.27434</v>
      </c>
    </row>
    <row r="1875">
      <c r="A1875" s="3">
        <f>IFERROR(__xludf.DUMMYFUNCTION("""COMPUTED_VALUE"""),42448.99861111111)</f>
        <v>42448.99861</v>
      </c>
      <c r="B1875" s="1">
        <f>IFERROR(__xludf.DUMMYFUNCTION("""COMPUTED_VALUE"""),43780.10338)</f>
        <v>43780.10338</v>
      </c>
    </row>
    <row r="1876">
      <c r="A1876" s="3">
        <f>IFERROR(__xludf.DUMMYFUNCTION("""COMPUTED_VALUE"""),42450.99861111111)</f>
        <v>42450.99861</v>
      </c>
      <c r="B1876" s="1">
        <f>IFERROR(__xludf.DUMMYFUNCTION("""COMPUTED_VALUE"""),43881.89615)</f>
        <v>43881.89615</v>
      </c>
    </row>
    <row r="1877">
      <c r="A1877" s="3">
        <f>IFERROR(__xludf.DUMMYFUNCTION("""COMPUTED_VALUE"""),42451.99861111111)</f>
        <v>42451.99861</v>
      </c>
      <c r="B1877" s="1">
        <f>IFERROR(__xludf.DUMMYFUNCTION("""COMPUTED_VALUE"""),43553.85526)</f>
        <v>43553.85526</v>
      </c>
    </row>
    <row r="1878">
      <c r="A1878" s="3">
        <f>IFERROR(__xludf.DUMMYFUNCTION("""COMPUTED_VALUE"""),42452.99861111111)</f>
        <v>42452.99861</v>
      </c>
      <c r="B1878" s="1">
        <f>IFERROR(__xludf.DUMMYFUNCTION("""COMPUTED_VALUE"""),43859.93746)</f>
        <v>43859.93746</v>
      </c>
    </row>
    <row r="1879">
      <c r="A1879" s="3">
        <f>IFERROR(__xludf.DUMMYFUNCTION("""COMPUTED_VALUE"""),42453.99861111111)</f>
        <v>42453.99861</v>
      </c>
      <c r="B1879" s="1">
        <f>IFERROR(__xludf.DUMMYFUNCTION("""COMPUTED_VALUE"""),43893.45077)</f>
        <v>43893.45077</v>
      </c>
    </row>
    <row r="1880">
      <c r="A1880" s="3">
        <f>IFERROR(__xludf.DUMMYFUNCTION("""COMPUTED_VALUE"""),42454.99861111111)</f>
        <v>42454.99861</v>
      </c>
      <c r="B1880" s="1">
        <f>IFERROR(__xludf.DUMMYFUNCTION("""COMPUTED_VALUE"""),43684.48173)</f>
        <v>43684.48173</v>
      </c>
    </row>
    <row r="1881">
      <c r="A1881" s="3">
        <f>IFERROR(__xludf.DUMMYFUNCTION("""COMPUTED_VALUE"""),42457.99861111111)</f>
        <v>42457.99861</v>
      </c>
      <c r="B1881" s="1">
        <f>IFERROR(__xludf.DUMMYFUNCTION("""COMPUTED_VALUE"""),43996.01565)</f>
        <v>43996.01565</v>
      </c>
    </row>
    <row r="1882">
      <c r="A1882" s="3">
        <f>IFERROR(__xludf.DUMMYFUNCTION("""COMPUTED_VALUE"""),42458.99861111111)</f>
        <v>42458.99861</v>
      </c>
      <c r="B1882" s="1">
        <f>IFERROR(__xludf.DUMMYFUNCTION("""COMPUTED_VALUE"""),43681.43278)</f>
        <v>43681.43278</v>
      </c>
    </row>
    <row r="1883">
      <c r="A1883" s="3">
        <f>IFERROR(__xludf.DUMMYFUNCTION("""COMPUTED_VALUE"""),42459.99861111111)</f>
        <v>42459.99861</v>
      </c>
      <c r="B1883" s="1">
        <f>IFERROR(__xludf.DUMMYFUNCTION("""COMPUTED_VALUE"""),43913.75676)</f>
        <v>43913.75676</v>
      </c>
    </row>
    <row r="1884">
      <c r="A1884" s="3">
        <f>IFERROR(__xludf.DUMMYFUNCTION("""COMPUTED_VALUE"""),42460.99861111111)</f>
        <v>42460.99861</v>
      </c>
      <c r="B1884" s="1">
        <f>IFERROR(__xludf.DUMMYFUNCTION("""COMPUTED_VALUE"""),43649.02024)</f>
        <v>43649.02024</v>
      </c>
    </row>
    <row r="1885">
      <c r="A1885" s="3">
        <f>IFERROR(__xludf.DUMMYFUNCTION("""COMPUTED_VALUE"""),42461.99861111111)</f>
        <v>42461.99861</v>
      </c>
      <c r="B1885" s="1">
        <f>IFERROR(__xludf.DUMMYFUNCTION("""COMPUTED_VALUE"""),43553.41695)</f>
        <v>43553.41695</v>
      </c>
    </row>
    <row r="1886">
      <c r="A1886" s="3">
        <f>IFERROR(__xludf.DUMMYFUNCTION("""COMPUTED_VALUE"""),42462.99861111111)</f>
        <v>42462.99861</v>
      </c>
      <c r="B1886" s="1">
        <f>IFERROR(__xludf.DUMMYFUNCTION("""COMPUTED_VALUE"""),43598.53971)</f>
        <v>43598.53971</v>
      </c>
    </row>
    <row r="1887">
      <c r="A1887" s="3">
        <f>IFERROR(__xludf.DUMMYFUNCTION("""COMPUTED_VALUE"""),42463.99861111111)</f>
        <v>42463.99861</v>
      </c>
      <c r="B1887" s="1">
        <f>IFERROR(__xludf.DUMMYFUNCTION("""COMPUTED_VALUE"""),43598.53971)</f>
        <v>43598.53971</v>
      </c>
    </row>
    <row r="1888">
      <c r="A1888" s="3">
        <f>IFERROR(__xludf.DUMMYFUNCTION("""COMPUTED_VALUE"""),42464.99861111111)</f>
        <v>42464.99861</v>
      </c>
      <c r="B1888" s="1">
        <f>IFERROR(__xludf.DUMMYFUNCTION("""COMPUTED_VALUE"""),43625.49642)</f>
        <v>43625.49642</v>
      </c>
    </row>
    <row r="1889">
      <c r="A1889" s="3">
        <f>IFERROR(__xludf.DUMMYFUNCTION("""COMPUTED_VALUE"""),42465.99861111111)</f>
        <v>42465.99861</v>
      </c>
      <c r="B1889" s="1">
        <f>IFERROR(__xludf.DUMMYFUNCTION("""COMPUTED_VALUE"""),43843.34271)</f>
        <v>43843.34271</v>
      </c>
    </row>
    <row r="1890">
      <c r="A1890" s="3">
        <f>IFERROR(__xludf.DUMMYFUNCTION("""COMPUTED_VALUE"""),42466.99861111111)</f>
        <v>42466.99861</v>
      </c>
      <c r="B1890" s="1">
        <f>IFERROR(__xludf.DUMMYFUNCTION("""COMPUTED_VALUE"""),43724.48034)</f>
        <v>43724.48034</v>
      </c>
    </row>
    <row r="1891">
      <c r="A1891" s="3">
        <f>IFERROR(__xludf.DUMMYFUNCTION("""COMPUTED_VALUE"""),42467.99861111111)</f>
        <v>42467.99861</v>
      </c>
      <c r="B1891" s="1">
        <f>IFERROR(__xludf.DUMMYFUNCTION("""COMPUTED_VALUE"""),43746.25366)</f>
        <v>43746.25366</v>
      </c>
    </row>
    <row r="1892">
      <c r="A1892" s="3">
        <f>IFERROR(__xludf.DUMMYFUNCTION("""COMPUTED_VALUE"""),42468.99861111111)</f>
        <v>42468.99861</v>
      </c>
      <c r="B1892" s="1">
        <f>IFERROR(__xludf.DUMMYFUNCTION("""COMPUTED_VALUE"""),43556.94782)</f>
        <v>43556.94782</v>
      </c>
    </row>
    <row r="1893">
      <c r="A1893" s="3">
        <f>IFERROR(__xludf.DUMMYFUNCTION("""COMPUTED_VALUE"""),42469.99861111111)</f>
        <v>42469.99861</v>
      </c>
      <c r="B1893" s="1">
        <f>IFERROR(__xludf.DUMMYFUNCTION("""COMPUTED_VALUE"""),43641.96939)</f>
        <v>43641.96939</v>
      </c>
    </row>
    <row r="1894">
      <c r="A1894" s="3">
        <f>IFERROR(__xludf.DUMMYFUNCTION("""COMPUTED_VALUE"""),42470.99861111111)</f>
        <v>42470.99861</v>
      </c>
      <c r="B1894" s="1">
        <f>IFERROR(__xludf.DUMMYFUNCTION("""COMPUTED_VALUE"""),43641.96939)</f>
        <v>43641.96939</v>
      </c>
    </row>
    <row r="1895">
      <c r="A1895" s="3">
        <f>IFERROR(__xludf.DUMMYFUNCTION("""COMPUTED_VALUE"""),42471.99861111111)</f>
        <v>42471.99861</v>
      </c>
      <c r="B1895" s="1">
        <f>IFERROR(__xludf.DUMMYFUNCTION("""COMPUTED_VALUE"""),43504.9816)</f>
        <v>43504.9816</v>
      </c>
    </row>
    <row r="1896">
      <c r="A1896" s="3">
        <f>IFERROR(__xludf.DUMMYFUNCTION("""COMPUTED_VALUE"""),42472.99861111111)</f>
        <v>42472.99861</v>
      </c>
      <c r="B1896" s="1">
        <f>IFERROR(__xludf.DUMMYFUNCTION("""COMPUTED_VALUE"""),43446.32449)</f>
        <v>43446.32449</v>
      </c>
    </row>
    <row r="1897">
      <c r="A1897" s="3">
        <f>IFERROR(__xludf.DUMMYFUNCTION("""COMPUTED_VALUE"""),42473.99861111111)</f>
        <v>42473.99861</v>
      </c>
      <c r="B1897" s="1">
        <f>IFERROR(__xludf.DUMMYFUNCTION("""COMPUTED_VALUE"""),43663.83851)</f>
        <v>43663.83851</v>
      </c>
    </row>
    <row r="1898">
      <c r="A1898" s="3">
        <f>IFERROR(__xludf.DUMMYFUNCTION("""COMPUTED_VALUE"""),42474.99861111111)</f>
        <v>42474.99861</v>
      </c>
      <c r="B1898" s="1">
        <f>IFERROR(__xludf.DUMMYFUNCTION("""COMPUTED_VALUE"""),43753.5246)</f>
        <v>43753.5246</v>
      </c>
    </row>
    <row r="1899">
      <c r="A1899" s="3">
        <f>IFERROR(__xludf.DUMMYFUNCTION("""COMPUTED_VALUE"""),42475.99861111111)</f>
        <v>42475.99861</v>
      </c>
      <c r="B1899" s="1">
        <f>IFERROR(__xludf.DUMMYFUNCTION("""COMPUTED_VALUE"""),43596.62879)</f>
        <v>43596.62879</v>
      </c>
    </row>
    <row r="1900">
      <c r="A1900" s="3">
        <f>IFERROR(__xludf.DUMMYFUNCTION("""COMPUTED_VALUE"""),42478.99861111111)</f>
        <v>42478.99861</v>
      </c>
      <c r="B1900" s="1">
        <f>IFERROR(__xludf.DUMMYFUNCTION("""COMPUTED_VALUE"""),43495.85822)</f>
        <v>43495.85822</v>
      </c>
    </row>
    <row r="1901">
      <c r="A1901" s="3">
        <f>IFERROR(__xludf.DUMMYFUNCTION("""COMPUTED_VALUE"""),42479.99861111111)</f>
        <v>42479.99861</v>
      </c>
      <c r="B1901" s="1">
        <f>IFERROR(__xludf.DUMMYFUNCTION("""COMPUTED_VALUE"""),43450.53193)</f>
        <v>43450.53193</v>
      </c>
    </row>
    <row r="1902">
      <c r="A1902" s="3">
        <f>IFERROR(__xludf.DUMMYFUNCTION("""COMPUTED_VALUE"""),42480.99861111111)</f>
        <v>42480.99861</v>
      </c>
      <c r="B1902" s="1">
        <f>IFERROR(__xludf.DUMMYFUNCTION("""COMPUTED_VALUE"""),43716.16257)</f>
        <v>43716.16257</v>
      </c>
    </row>
    <row r="1903">
      <c r="A1903" s="3">
        <f>IFERROR(__xludf.DUMMYFUNCTION("""COMPUTED_VALUE"""),42481.99861111111)</f>
        <v>42481.99861</v>
      </c>
      <c r="B1903" s="1">
        <f>IFERROR(__xludf.DUMMYFUNCTION("""COMPUTED_VALUE"""),43736.08487)</f>
        <v>43736.08487</v>
      </c>
    </row>
    <row r="1904">
      <c r="A1904" s="3">
        <f>IFERROR(__xludf.DUMMYFUNCTION("""COMPUTED_VALUE"""),42482.99861111111)</f>
        <v>42482.99861</v>
      </c>
      <c r="B1904" s="1">
        <f>IFERROR(__xludf.DUMMYFUNCTION("""COMPUTED_VALUE"""),43771.7603)</f>
        <v>43771.7603</v>
      </c>
    </row>
    <row r="1905">
      <c r="A1905" s="3">
        <f>IFERROR(__xludf.DUMMYFUNCTION("""COMPUTED_VALUE"""),42485.99861111111)</f>
        <v>42485.99861</v>
      </c>
      <c r="B1905" s="1">
        <f>IFERROR(__xludf.DUMMYFUNCTION("""COMPUTED_VALUE"""),43794.40087)</f>
        <v>43794.40087</v>
      </c>
    </row>
    <row r="1906">
      <c r="A1906" s="3">
        <f>IFERROR(__xludf.DUMMYFUNCTION("""COMPUTED_VALUE"""),42486.99861111111)</f>
        <v>42486.99861</v>
      </c>
      <c r="B1906" s="1">
        <f>IFERROR(__xludf.DUMMYFUNCTION("""COMPUTED_VALUE"""),43694.79268)</f>
        <v>43694.79268</v>
      </c>
    </row>
    <row r="1907">
      <c r="A1907" s="3">
        <f>IFERROR(__xludf.DUMMYFUNCTION("""COMPUTED_VALUE"""),42487.99861111111)</f>
        <v>42487.99861</v>
      </c>
      <c r="B1907" s="1">
        <f>IFERROR(__xludf.DUMMYFUNCTION("""COMPUTED_VALUE"""),43656.4461)</f>
        <v>43656.4461</v>
      </c>
    </row>
    <row r="1908">
      <c r="A1908" s="3">
        <f>IFERROR(__xludf.DUMMYFUNCTION("""COMPUTED_VALUE"""),42488.99861111111)</f>
        <v>42488.99861</v>
      </c>
      <c r="B1908" s="1">
        <f>IFERROR(__xludf.DUMMYFUNCTION("""COMPUTED_VALUE"""),43706.2254)</f>
        <v>43706.2254</v>
      </c>
    </row>
    <row r="1909">
      <c r="A1909" s="3">
        <f>IFERROR(__xludf.DUMMYFUNCTION("""COMPUTED_VALUE"""),42489.99861111111)</f>
        <v>42489.99861</v>
      </c>
      <c r="B1909" s="1">
        <f>IFERROR(__xludf.DUMMYFUNCTION("""COMPUTED_VALUE"""),43737.33735)</f>
        <v>43737.33735</v>
      </c>
    </row>
    <row r="1910">
      <c r="A1910" s="3">
        <f>IFERROR(__xludf.DUMMYFUNCTION("""COMPUTED_VALUE"""),42490.99861111111)</f>
        <v>42490.99861</v>
      </c>
      <c r="B1910" s="1">
        <f>IFERROR(__xludf.DUMMYFUNCTION("""COMPUTED_VALUE"""),43853.62721)</f>
        <v>43853.62721</v>
      </c>
    </row>
    <row r="1911">
      <c r="A1911" s="3">
        <f>IFERROR(__xludf.DUMMYFUNCTION("""COMPUTED_VALUE"""),42492.99861111111)</f>
        <v>42492.99861</v>
      </c>
      <c r="B1911" s="1">
        <f>IFERROR(__xludf.DUMMYFUNCTION("""COMPUTED_VALUE"""),43599.12156)</f>
        <v>43599.12156</v>
      </c>
    </row>
    <row r="1912">
      <c r="A1912" s="3">
        <f>IFERROR(__xludf.DUMMYFUNCTION("""COMPUTED_VALUE"""),42493.99861111111)</f>
        <v>42493.99861</v>
      </c>
      <c r="B1912" s="1">
        <f>IFERROR(__xludf.DUMMYFUNCTION("""COMPUTED_VALUE"""),43939.73767)</f>
        <v>43939.73767</v>
      </c>
    </row>
    <row r="1913">
      <c r="A1913" s="3">
        <f>IFERROR(__xludf.DUMMYFUNCTION("""COMPUTED_VALUE"""),42494.99861111111)</f>
        <v>42494.99861</v>
      </c>
      <c r="B1913" s="1">
        <f>IFERROR(__xludf.DUMMYFUNCTION("""COMPUTED_VALUE"""),44488.1274)</f>
        <v>44488.1274</v>
      </c>
    </row>
    <row r="1914">
      <c r="A1914" s="3">
        <f>IFERROR(__xludf.DUMMYFUNCTION("""COMPUTED_VALUE"""),42495.99861111111)</f>
        <v>42495.99861</v>
      </c>
      <c r="B1914" s="1">
        <f>IFERROR(__xludf.DUMMYFUNCTION("""COMPUTED_VALUE"""),44471.46518)</f>
        <v>44471.46518</v>
      </c>
    </row>
    <row r="1915">
      <c r="A1915" s="3">
        <f>IFERROR(__xludf.DUMMYFUNCTION("""COMPUTED_VALUE"""),42496.99861111111)</f>
        <v>42496.99861</v>
      </c>
      <c r="B1915" s="1">
        <f>IFERROR(__xludf.DUMMYFUNCTION("""COMPUTED_VALUE"""),44393.29554)</f>
        <v>44393.29554</v>
      </c>
    </row>
    <row r="1916">
      <c r="A1916" s="3">
        <f>IFERROR(__xludf.DUMMYFUNCTION("""COMPUTED_VALUE"""),42497.99861111111)</f>
        <v>42497.99861</v>
      </c>
      <c r="B1916" s="1">
        <f>IFERROR(__xludf.DUMMYFUNCTION("""COMPUTED_VALUE"""),44697.62162)</f>
        <v>44697.62162</v>
      </c>
    </row>
    <row r="1917">
      <c r="A1917" s="3">
        <f>IFERROR(__xludf.DUMMYFUNCTION("""COMPUTED_VALUE"""),42499.99861111111)</f>
        <v>42499.99861</v>
      </c>
      <c r="B1917" s="1">
        <f>IFERROR(__xludf.DUMMYFUNCTION("""COMPUTED_VALUE"""),44578.10338)</f>
        <v>44578.10338</v>
      </c>
    </row>
    <row r="1918">
      <c r="A1918" s="3">
        <f>IFERROR(__xludf.DUMMYFUNCTION("""COMPUTED_VALUE"""),42500.99861111111)</f>
        <v>42500.99861</v>
      </c>
      <c r="B1918" s="1">
        <f>IFERROR(__xludf.DUMMYFUNCTION("""COMPUTED_VALUE"""),44195.54395)</f>
        <v>44195.54395</v>
      </c>
    </row>
    <row r="1919">
      <c r="A1919" s="3">
        <f>IFERROR(__xludf.DUMMYFUNCTION("""COMPUTED_VALUE"""),42501.99861111111)</f>
        <v>42501.99861</v>
      </c>
      <c r="B1919" s="1">
        <f>IFERROR(__xludf.DUMMYFUNCTION("""COMPUTED_VALUE"""),44024.58966)</f>
        <v>44024.58966</v>
      </c>
    </row>
    <row r="1920">
      <c r="A1920" s="3">
        <f>IFERROR(__xludf.DUMMYFUNCTION("""COMPUTED_VALUE"""),42502.99861111111)</f>
        <v>42502.99861</v>
      </c>
      <c r="B1920" s="1">
        <f>IFERROR(__xludf.DUMMYFUNCTION("""COMPUTED_VALUE"""),44048.24721)</f>
        <v>44048.24721</v>
      </c>
    </row>
    <row r="1921">
      <c r="A1921" s="3">
        <f>IFERROR(__xludf.DUMMYFUNCTION("""COMPUTED_VALUE"""),42503.99861111111)</f>
        <v>42503.99861</v>
      </c>
      <c r="B1921" s="1">
        <f>IFERROR(__xludf.DUMMYFUNCTION("""COMPUTED_VALUE"""),44248.25473)</f>
        <v>44248.25473</v>
      </c>
    </row>
    <row r="1922">
      <c r="A1922" s="3">
        <f>IFERROR(__xludf.DUMMYFUNCTION("""COMPUTED_VALUE"""),42506.99861111111)</f>
        <v>42506.99861</v>
      </c>
      <c r="B1922" s="1">
        <f>IFERROR(__xludf.DUMMYFUNCTION("""COMPUTED_VALUE"""),44264.25144)</f>
        <v>44264.25144</v>
      </c>
    </row>
    <row r="1923">
      <c r="A1923" s="3">
        <f>IFERROR(__xludf.DUMMYFUNCTION("""COMPUTED_VALUE"""),42507.99861111111)</f>
        <v>42507.99861</v>
      </c>
      <c r="B1923" s="1">
        <f>IFERROR(__xludf.DUMMYFUNCTION("""COMPUTED_VALUE"""),44220.86079)</f>
        <v>44220.86079</v>
      </c>
    </row>
    <row r="1924">
      <c r="A1924" s="3">
        <f>IFERROR(__xludf.DUMMYFUNCTION("""COMPUTED_VALUE"""),42508.99861111111)</f>
        <v>42508.99861</v>
      </c>
      <c r="B1924" s="1">
        <f>IFERROR(__xludf.DUMMYFUNCTION("""COMPUTED_VALUE"""),44578.27045)</f>
        <v>44578.27045</v>
      </c>
    </row>
    <row r="1925">
      <c r="A1925" s="3">
        <f>IFERROR(__xludf.DUMMYFUNCTION("""COMPUTED_VALUE"""),42509.99861111111)</f>
        <v>42509.99861</v>
      </c>
      <c r="B1925" s="1">
        <f>IFERROR(__xludf.DUMMYFUNCTION("""COMPUTED_VALUE"""),45088.21175)</f>
        <v>45088.21175</v>
      </c>
    </row>
    <row r="1926">
      <c r="A1926" s="3">
        <f>IFERROR(__xludf.DUMMYFUNCTION("""COMPUTED_VALUE"""),42510.99861111111)</f>
        <v>42510.99861</v>
      </c>
      <c r="B1926" s="1">
        <f>IFERROR(__xludf.DUMMYFUNCTION("""COMPUTED_VALUE"""),45048.16854)</f>
        <v>45048.16854</v>
      </c>
    </row>
    <row r="1927">
      <c r="A1927" s="3">
        <f>IFERROR(__xludf.DUMMYFUNCTION("""COMPUTED_VALUE"""),42512.99861111111)</f>
        <v>42512.99861</v>
      </c>
      <c r="B1927" s="1">
        <f>IFERROR(__xludf.DUMMYFUNCTION("""COMPUTED_VALUE"""),45163.32431)</f>
        <v>45163.32431</v>
      </c>
    </row>
    <row r="1928">
      <c r="A1928" s="3">
        <f>IFERROR(__xludf.DUMMYFUNCTION("""COMPUTED_VALUE"""),42513.99861111111)</f>
        <v>42513.99861</v>
      </c>
      <c r="B1928" s="1">
        <f>IFERROR(__xludf.DUMMYFUNCTION("""COMPUTED_VALUE"""),44908.78146)</f>
        <v>44908.78146</v>
      </c>
    </row>
    <row r="1929">
      <c r="A1929" s="3">
        <f>IFERROR(__xludf.DUMMYFUNCTION("""COMPUTED_VALUE"""),42514.99861111111)</f>
        <v>42514.99861</v>
      </c>
      <c r="B1929" s="1">
        <f>IFERROR(__xludf.DUMMYFUNCTION("""COMPUTED_VALUE"""),44996.34233)</f>
        <v>44996.34233</v>
      </c>
    </row>
    <row r="1930">
      <c r="A1930" s="3">
        <f>IFERROR(__xludf.DUMMYFUNCTION("""COMPUTED_VALUE"""),42515.99861111111)</f>
        <v>42515.99861</v>
      </c>
      <c r="B1930" s="1">
        <f>IFERROR(__xludf.DUMMYFUNCTION("""COMPUTED_VALUE"""),45134.32039)</f>
        <v>45134.32039</v>
      </c>
    </row>
    <row r="1931">
      <c r="A1931" s="3">
        <f>IFERROR(__xludf.DUMMYFUNCTION("""COMPUTED_VALUE"""),42516.99861111111)</f>
        <v>42516.99861</v>
      </c>
      <c r="B1931" s="1">
        <f>IFERROR(__xludf.DUMMYFUNCTION("""COMPUTED_VALUE"""),44938.6322)</f>
        <v>44938.6322</v>
      </c>
    </row>
    <row r="1932">
      <c r="A1932" s="3">
        <f>IFERROR(__xludf.DUMMYFUNCTION("""COMPUTED_VALUE"""),42517.99861111111)</f>
        <v>42517.99861</v>
      </c>
      <c r="B1932" s="1">
        <f>IFERROR(__xludf.DUMMYFUNCTION("""COMPUTED_VALUE"""),44930.40912)</f>
        <v>44930.40912</v>
      </c>
    </row>
    <row r="1933">
      <c r="A1933" s="3">
        <f>IFERROR(__xludf.DUMMYFUNCTION("""COMPUTED_VALUE"""),42519.99861111111)</f>
        <v>42519.99861</v>
      </c>
      <c r="B1933" s="1">
        <f>IFERROR(__xludf.DUMMYFUNCTION("""COMPUTED_VALUE"""),45514.43816)</f>
        <v>45514.43816</v>
      </c>
    </row>
    <row r="1934">
      <c r="A1934" s="3">
        <f>IFERROR(__xludf.DUMMYFUNCTION("""COMPUTED_VALUE"""),42520.99861111111)</f>
        <v>42520.99861</v>
      </c>
      <c r="B1934" s="1">
        <f>IFERROR(__xludf.DUMMYFUNCTION("""COMPUTED_VALUE"""),45207.60679)</f>
        <v>45207.60679</v>
      </c>
    </row>
    <row r="1935">
      <c r="A1935" s="3">
        <f>IFERROR(__xludf.DUMMYFUNCTION("""COMPUTED_VALUE"""),42521.99861111111)</f>
        <v>42521.99861</v>
      </c>
      <c r="B1935" s="1">
        <f>IFERROR(__xludf.DUMMYFUNCTION("""COMPUTED_VALUE"""),45200.93708)</f>
        <v>45200.93708</v>
      </c>
    </row>
    <row r="1936">
      <c r="A1936" s="3">
        <f>IFERROR(__xludf.DUMMYFUNCTION("""COMPUTED_VALUE"""),42522.99861111111)</f>
        <v>42522.99861</v>
      </c>
      <c r="B1936" s="1">
        <f>IFERROR(__xludf.DUMMYFUNCTION("""COMPUTED_VALUE"""),45088.60983)</f>
        <v>45088.60983</v>
      </c>
    </row>
    <row r="1937">
      <c r="A1937" s="3">
        <f>IFERROR(__xludf.DUMMYFUNCTION("""COMPUTED_VALUE"""),42523.99861111111)</f>
        <v>42523.99861</v>
      </c>
      <c r="B1937" s="1">
        <f>IFERROR(__xludf.DUMMYFUNCTION("""COMPUTED_VALUE"""),45130.47419)</f>
        <v>45130.47419</v>
      </c>
    </row>
    <row r="1938">
      <c r="A1938" s="3">
        <f>IFERROR(__xludf.DUMMYFUNCTION("""COMPUTED_VALUE"""),42524.99861111111)</f>
        <v>42524.99861</v>
      </c>
      <c r="B1938" s="1">
        <f>IFERROR(__xludf.DUMMYFUNCTION("""COMPUTED_VALUE"""),44489.37828)</f>
        <v>44489.37828</v>
      </c>
    </row>
    <row r="1939">
      <c r="A1939" s="3">
        <f>IFERROR(__xludf.DUMMYFUNCTION("""COMPUTED_VALUE"""),42527.99861111111)</f>
        <v>42527.99861</v>
      </c>
      <c r="B1939" s="1">
        <f>IFERROR(__xludf.DUMMYFUNCTION("""COMPUTED_VALUE"""),44346.60873)</f>
        <v>44346.60873</v>
      </c>
    </row>
    <row r="1940">
      <c r="A1940" s="3">
        <f>IFERROR(__xludf.DUMMYFUNCTION("""COMPUTED_VALUE"""),42528.99861111111)</f>
        <v>42528.99861</v>
      </c>
      <c r="B1940" s="1">
        <f>IFERROR(__xludf.DUMMYFUNCTION("""COMPUTED_VALUE"""),43969.81506)</f>
        <v>43969.81506</v>
      </c>
    </row>
    <row r="1941">
      <c r="A1941" s="3">
        <f>IFERROR(__xludf.DUMMYFUNCTION("""COMPUTED_VALUE"""),42529.99861111111)</f>
        <v>42529.99861</v>
      </c>
      <c r="B1941" s="1">
        <f>IFERROR(__xludf.DUMMYFUNCTION("""COMPUTED_VALUE"""),43906.8891)</f>
        <v>43906.8891</v>
      </c>
    </row>
    <row r="1942">
      <c r="A1942" s="3">
        <f>IFERROR(__xludf.DUMMYFUNCTION("""COMPUTED_VALUE"""),42530.99861111111)</f>
        <v>42530.99861</v>
      </c>
      <c r="B1942" s="1">
        <f>IFERROR(__xludf.DUMMYFUNCTION("""COMPUTED_VALUE"""),44068.24125)</f>
        <v>44068.24125</v>
      </c>
    </row>
    <row r="1943">
      <c r="A1943" s="3">
        <f>IFERROR(__xludf.DUMMYFUNCTION("""COMPUTED_VALUE"""),42531.99861111111)</f>
        <v>42531.99861</v>
      </c>
      <c r="B1943" s="1">
        <f>IFERROR(__xludf.DUMMYFUNCTION("""COMPUTED_VALUE"""),44301.86056)</f>
        <v>44301.86056</v>
      </c>
    </row>
    <row r="1944">
      <c r="A1944" s="3">
        <f>IFERROR(__xludf.DUMMYFUNCTION("""COMPUTED_VALUE"""),42534.99861111111)</f>
        <v>42534.99861</v>
      </c>
      <c r="B1944" s="1">
        <f>IFERROR(__xludf.DUMMYFUNCTION("""COMPUTED_VALUE"""),44274.92777)</f>
        <v>44274.92777</v>
      </c>
    </row>
    <row r="1945">
      <c r="A1945" s="3">
        <f>IFERROR(__xludf.DUMMYFUNCTION("""COMPUTED_VALUE"""),42535.99861111111)</f>
        <v>42535.99861</v>
      </c>
      <c r="B1945" s="1">
        <f>IFERROR(__xludf.DUMMYFUNCTION("""COMPUTED_VALUE"""),44371.3149)</f>
        <v>44371.3149</v>
      </c>
    </row>
    <row r="1946">
      <c r="A1946" s="3">
        <f>IFERROR(__xludf.DUMMYFUNCTION("""COMPUTED_VALUE"""),42536.99861111111)</f>
        <v>42536.99861</v>
      </c>
      <c r="B1946" s="1">
        <f>IFERROR(__xludf.DUMMYFUNCTION("""COMPUTED_VALUE"""),44261.30772)</f>
        <v>44261.30772</v>
      </c>
    </row>
    <row r="1947">
      <c r="A1947" s="3">
        <f>IFERROR(__xludf.DUMMYFUNCTION("""COMPUTED_VALUE"""),42537.99861111111)</f>
        <v>42537.99861</v>
      </c>
      <c r="B1947" s="1">
        <f>IFERROR(__xludf.DUMMYFUNCTION("""COMPUTED_VALUE"""),44505.75941)</f>
        <v>44505.75941</v>
      </c>
    </row>
    <row r="1948">
      <c r="A1948" s="3">
        <f>IFERROR(__xludf.DUMMYFUNCTION("""COMPUTED_VALUE"""),42538.99861111111)</f>
        <v>42538.99861</v>
      </c>
      <c r="B1948" s="1">
        <f>IFERROR(__xludf.DUMMYFUNCTION("""COMPUTED_VALUE"""),44273.22556)</f>
        <v>44273.22556</v>
      </c>
    </row>
    <row r="1949">
      <c r="A1949" s="3">
        <f>IFERROR(__xludf.DUMMYFUNCTION("""COMPUTED_VALUE"""),42540.99861111111)</f>
        <v>42540.99861</v>
      </c>
      <c r="B1949" s="1">
        <f>IFERROR(__xludf.DUMMYFUNCTION("""COMPUTED_VALUE"""),44277.64226)</f>
        <v>44277.64226</v>
      </c>
    </row>
    <row r="1950">
      <c r="A1950" s="3">
        <f>IFERROR(__xludf.DUMMYFUNCTION("""COMPUTED_VALUE"""),42541.99861111111)</f>
        <v>42541.99861</v>
      </c>
      <c r="B1950" s="1">
        <f>IFERROR(__xludf.DUMMYFUNCTION("""COMPUTED_VALUE"""),44110.787)</f>
        <v>44110.787</v>
      </c>
    </row>
    <row r="1951">
      <c r="A1951" s="3">
        <f>IFERROR(__xludf.DUMMYFUNCTION("""COMPUTED_VALUE"""),42542.99861111111)</f>
        <v>42542.99861</v>
      </c>
      <c r="B1951" s="1">
        <f>IFERROR(__xludf.DUMMYFUNCTION("""COMPUTED_VALUE"""),44139.18976)</f>
        <v>44139.18976</v>
      </c>
    </row>
    <row r="1952">
      <c r="A1952" s="3">
        <f>IFERROR(__xludf.DUMMYFUNCTION("""COMPUTED_VALUE"""),42543.99861111111)</f>
        <v>42543.99861</v>
      </c>
      <c r="B1952" s="1">
        <f>IFERROR(__xludf.DUMMYFUNCTION("""COMPUTED_VALUE"""),43899.92334)</f>
        <v>43899.92334</v>
      </c>
    </row>
    <row r="1953">
      <c r="A1953" s="3">
        <f>IFERROR(__xludf.DUMMYFUNCTION("""COMPUTED_VALUE"""),42544.99861111111)</f>
        <v>42544.99861</v>
      </c>
      <c r="B1953" s="1">
        <f>IFERROR(__xludf.DUMMYFUNCTION("""COMPUTED_VALUE"""),44132.82175)</f>
        <v>44132.82175</v>
      </c>
    </row>
    <row r="1954">
      <c r="A1954" s="3">
        <f>IFERROR(__xludf.DUMMYFUNCTION("""COMPUTED_VALUE"""),42545.99861111111)</f>
        <v>42545.99861</v>
      </c>
      <c r="B1954" s="1">
        <f>IFERROR(__xludf.DUMMYFUNCTION("""COMPUTED_VALUE"""),44376.24375)</f>
        <v>44376.24375</v>
      </c>
    </row>
    <row r="1955">
      <c r="A1955" s="3">
        <f>IFERROR(__xludf.DUMMYFUNCTION("""COMPUTED_VALUE"""),42548.99861111111)</f>
        <v>42548.99861</v>
      </c>
      <c r="B1955" s="1">
        <f>IFERROR(__xludf.DUMMYFUNCTION("""COMPUTED_VALUE"""),44375.5582)</f>
        <v>44375.5582</v>
      </c>
    </row>
    <row r="1956">
      <c r="A1956" s="3">
        <f>IFERROR(__xludf.DUMMYFUNCTION("""COMPUTED_VALUE"""),42549.99861111111)</f>
        <v>42549.99861</v>
      </c>
      <c r="B1956" s="1">
        <f>IFERROR(__xludf.DUMMYFUNCTION("""COMPUTED_VALUE"""),43629.6112)</f>
        <v>43629.6112</v>
      </c>
    </row>
    <row r="1957">
      <c r="A1957" s="3">
        <f>IFERROR(__xludf.DUMMYFUNCTION("""COMPUTED_VALUE"""),42550.99861111111)</f>
        <v>42550.99861</v>
      </c>
      <c r="B1957" s="1">
        <f>IFERROR(__xludf.DUMMYFUNCTION("""COMPUTED_VALUE"""),43559.98948)</f>
        <v>43559.98948</v>
      </c>
    </row>
    <row r="1958">
      <c r="A1958" s="3">
        <f>IFERROR(__xludf.DUMMYFUNCTION("""COMPUTED_VALUE"""),42551.99861111111)</f>
        <v>42551.99861</v>
      </c>
      <c r="B1958" s="1">
        <f>IFERROR(__xludf.DUMMYFUNCTION("""COMPUTED_VALUE"""),43752.68679)</f>
        <v>43752.68679</v>
      </c>
    </row>
    <row r="1959">
      <c r="A1959" s="3">
        <f>IFERROR(__xludf.DUMMYFUNCTION("""COMPUTED_VALUE"""),42552.99861111111)</f>
        <v>42552.99861</v>
      </c>
      <c r="B1959" s="1">
        <f>IFERROR(__xludf.DUMMYFUNCTION("""COMPUTED_VALUE"""),43520.816)</f>
        <v>43520.816</v>
      </c>
    </row>
    <row r="1960">
      <c r="A1960" s="3">
        <f>IFERROR(__xludf.DUMMYFUNCTION("""COMPUTED_VALUE"""),42553.99861111111)</f>
        <v>42553.99861</v>
      </c>
      <c r="B1960" s="1">
        <f>IFERROR(__xludf.DUMMYFUNCTION("""COMPUTED_VALUE"""),43548.52464)</f>
        <v>43548.52464</v>
      </c>
    </row>
    <row r="1961">
      <c r="A1961" s="3">
        <f>IFERROR(__xludf.DUMMYFUNCTION("""COMPUTED_VALUE"""),42555.99861111111)</f>
        <v>42555.99861</v>
      </c>
      <c r="B1961" s="1">
        <f>IFERROR(__xludf.DUMMYFUNCTION("""COMPUTED_VALUE"""),43299.5158)</f>
        <v>43299.5158</v>
      </c>
    </row>
    <row r="1962">
      <c r="A1962" s="3">
        <f>IFERROR(__xludf.DUMMYFUNCTION("""COMPUTED_VALUE"""),42556.99861111111)</f>
        <v>42556.99861</v>
      </c>
      <c r="B1962" s="1">
        <f>IFERROR(__xludf.DUMMYFUNCTION("""COMPUTED_VALUE"""),43696.24028)</f>
        <v>43696.24028</v>
      </c>
    </row>
    <row r="1963">
      <c r="A1963" s="3">
        <f>IFERROR(__xludf.DUMMYFUNCTION("""COMPUTED_VALUE"""),42557.99861111111)</f>
        <v>42557.99861</v>
      </c>
      <c r="B1963" s="1">
        <f>IFERROR(__xludf.DUMMYFUNCTION("""COMPUTED_VALUE"""),43828.15438)</f>
        <v>43828.15438</v>
      </c>
    </row>
    <row r="1964">
      <c r="A1964" s="3">
        <f>IFERROR(__xludf.DUMMYFUNCTION("""COMPUTED_VALUE"""),42558.99861111111)</f>
        <v>42558.99861</v>
      </c>
      <c r="B1964" s="1">
        <f>IFERROR(__xludf.DUMMYFUNCTION("""COMPUTED_VALUE"""),43485.4762)</f>
        <v>43485.4762</v>
      </c>
    </row>
    <row r="1965">
      <c r="A1965" s="3">
        <f>IFERROR(__xludf.DUMMYFUNCTION("""COMPUTED_VALUE"""),42559.99861111111)</f>
        <v>42559.99861</v>
      </c>
      <c r="B1965" s="1">
        <f>IFERROR(__xludf.DUMMYFUNCTION("""COMPUTED_VALUE"""),43510.73611)</f>
        <v>43510.73611</v>
      </c>
    </row>
    <row r="1966">
      <c r="A1966" s="3">
        <f>IFERROR(__xludf.DUMMYFUNCTION("""COMPUTED_VALUE"""),42560.99861111111)</f>
        <v>42560.99861</v>
      </c>
      <c r="B1966" s="1">
        <f>IFERROR(__xludf.DUMMYFUNCTION("""COMPUTED_VALUE"""),43628.93391)</f>
        <v>43628.93391</v>
      </c>
    </row>
    <row r="1967">
      <c r="A1967" s="3">
        <f>IFERROR(__xludf.DUMMYFUNCTION("""COMPUTED_VALUE"""),42562.99861111111)</f>
        <v>42562.99861</v>
      </c>
      <c r="B1967" s="1">
        <f>IFERROR(__xludf.DUMMYFUNCTION("""COMPUTED_VALUE"""),43537.408)</f>
        <v>43537.408</v>
      </c>
    </row>
    <row r="1968">
      <c r="A1968" s="3">
        <f>IFERROR(__xludf.DUMMYFUNCTION("""COMPUTED_VALUE"""),42563.99861111111)</f>
        <v>42563.99861</v>
      </c>
      <c r="B1968" s="1">
        <f>IFERROR(__xludf.DUMMYFUNCTION("""COMPUTED_VALUE"""),43356.42542)</f>
        <v>43356.42542</v>
      </c>
    </row>
    <row r="1969">
      <c r="A1969" s="3">
        <f>IFERROR(__xludf.DUMMYFUNCTION("""COMPUTED_VALUE"""),42564.99861111111)</f>
        <v>42564.99861</v>
      </c>
      <c r="B1969" s="1">
        <f>IFERROR(__xludf.DUMMYFUNCTION("""COMPUTED_VALUE"""),43143.1632)</f>
        <v>43143.1632</v>
      </c>
    </row>
    <row r="1970">
      <c r="A1970" s="3">
        <f>IFERROR(__xludf.DUMMYFUNCTION("""COMPUTED_VALUE"""),42565.99861111111)</f>
        <v>42565.99861</v>
      </c>
      <c r="B1970" s="1">
        <f>IFERROR(__xludf.DUMMYFUNCTION("""COMPUTED_VALUE"""),43159.7376)</f>
        <v>43159.7376</v>
      </c>
    </row>
    <row r="1971">
      <c r="A1971" s="3">
        <f>IFERROR(__xludf.DUMMYFUNCTION("""COMPUTED_VALUE"""),42566.99861111111)</f>
        <v>42566.99861</v>
      </c>
      <c r="B1971" s="1">
        <f>IFERROR(__xludf.DUMMYFUNCTION("""COMPUTED_VALUE"""),43320.50179)</f>
        <v>43320.50179</v>
      </c>
    </row>
    <row r="1972">
      <c r="A1972" s="3">
        <f>IFERROR(__xludf.DUMMYFUNCTION("""COMPUTED_VALUE"""),42567.99861111111)</f>
        <v>42567.99861</v>
      </c>
      <c r="B1972" s="1">
        <f>IFERROR(__xludf.DUMMYFUNCTION("""COMPUTED_VALUE"""),43638.52376)</f>
        <v>43638.52376</v>
      </c>
    </row>
    <row r="1973">
      <c r="A1973" s="3">
        <f>IFERROR(__xludf.DUMMYFUNCTION("""COMPUTED_VALUE"""),42569.99861111111)</f>
        <v>42569.99861</v>
      </c>
      <c r="B1973" s="1">
        <f>IFERROR(__xludf.DUMMYFUNCTION("""COMPUTED_VALUE"""),43326.14543)</f>
        <v>43326.14543</v>
      </c>
    </row>
    <row r="1974">
      <c r="A1974" s="3">
        <f>IFERROR(__xludf.DUMMYFUNCTION("""COMPUTED_VALUE"""),42570.99861111111)</f>
        <v>42570.99861</v>
      </c>
      <c r="B1974" s="1">
        <f>IFERROR(__xludf.DUMMYFUNCTION("""COMPUTED_VALUE"""),43375.83897)</f>
        <v>43375.83897</v>
      </c>
    </row>
    <row r="1975">
      <c r="A1975" s="3">
        <f>IFERROR(__xludf.DUMMYFUNCTION("""COMPUTED_VALUE"""),42571.99861111111)</f>
        <v>42571.99861</v>
      </c>
      <c r="B1975" s="1">
        <f>IFERROR(__xludf.DUMMYFUNCTION("""COMPUTED_VALUE"""),43394.03609)</f>
        <v>43394.03609</v>
      </c>
    </row>
    <row r="1976">
      <c r="A1976" s="3">
        <f>IFERROR(__xludf.DUMMYFUNCTION("""COMPUTED_VALUE"""),42572.99861111111)</f>
        <v>42572.99861</v>
      </c>
      <c r="B1976" s="1">
        <f>IFERROR(__xludf.DUMMYFUNCTION("""COMPUTED_VALUE"""),43409.59011)</f>
        <v>43409.59011</v>
      </c>
    </row>
    <row r="1977">
      <c r="A1977" s="3">
        <f>IFERROR(__xludf.DUMMYFUNCTION("""COMPUTED_VALUE"""),42573.99861111111)</f>
        <v>42573.99861</v>
      </c>
      <c r="B1977" s="1">
        <f>IFERROR(__xludf.DUMMYFUNCTION("""COMPUTED_VALUE"""),43423.3979)</f>
        <v>43423.3979</v>
      </c>
    </row>
    <row r="1978">
      <c r="A1978" s="3">
        <f>IFERROR(__xludf.DUMMYFUNCTION("""COMPUTED_VALUE"""),42576.99861111111)</f>
        <v>42576.99861</v>
      </c>
      <c r="B1978" s="1">
        <f>IFERROR(__xludf.DUMMYFUNCTION("""COMPUTED_VALUE"""),43356.61525)</f>
        <v>43356.61525</v>
      </c>
    </row>
    <row r="1979">
      <c r="A1979" s="3">
        <f>IFERROR(__xludf.DUMMYFUNCTION("""COMPUTED_VALUE"""),42577.99861111111)</f>
        <v>42577.99861</v>
      </c>
      <c r="B1979" s="1">
        <f>IFERROR(__xludf.DUMMYFUNCTION("""COMPUTED_VALUE"""),43578.44749)</f>
        <v>43578.44749</v>
      </c>
    </row>
    <row r="1980">
      <c r="A1980" s="3">
        <f>IFERROR(__xludf.DUMMYFUNCTION("""COMPUTED_VALUE"""),42578.99861111111)</f>
        <v>42578.99861</v>
      </c>
      <c r="B1980" s="1">
        <f>IFERROR(__xludf.DUMMYFUNCTION("""COMPUTED_VALUE"""),43385.22579)</f>
        <v>43385.22579</v>
      </c>
    </row>
    <row r="1981">
      <c r="A1981" s="3">
        <f>IFERROR(__xludf.DUMMYFUNCTION("""COMPUTED_VALUE"""),42579.99861111111)</f>
        <v>42579.99861</v>
      </c>
      <c r="B1981" s="1">
        <f>IFERROR(__xludf.DUMMYFUNCTION("""COMPUTED_VALUE"""),43234.11088)</f>
        <v>43234.11088</v>
      </c>
    </row>
    <row r="1982">
      <c r="A1982" s="3">
        <f>IFERROR(__xludf.DUMMYFUNCTION("""COMPUTED_VALUE"""),42580.99861111111)</f>
        <v>42580.99861</v>
      </c>
      <c r="B1982" s="1">
        <f>IFERROR(__xludf.DUMMYFUNCTION("""COMPUTED_VALUE"""),43125.4299)</f>
        <v>43125.4299</v>
      </c>
    </row>
    <row r="1983">
      <c r="A1983" s="3">
        <f>IFERROR(__xludf.DUMMYFUNCTION("""COMPUTED_VALUE"""),42581.99861111111)</f>
        <v>42581.99861</v>
      </c>
      <c r="B1983" s="1">
        <f>IFERROR(__xludf.DUMMYFUNCTION("""COMPUTED_VALUE"""),43467.75042)</f>
        <v>43467.75042</v>
      </c>
    </row>
    <row r="1984">
      <c r="A1984" s="3">
        <f>IFERROR(__xludf.DUMMYFUNCTION("""COMPUTED_VALUE"""),42583.99861111111)</f>
        <v>42583.99861</v>
      </c>
      <c r="B1984" s="1">
        <f>IFERROR(__xludf.DUMMYFUNCTION("""COMPUTED_VALUE"""),43208.22655)</f>
        <v>43208.22655</v>
      </c>
    </row>
    <row r="1985">
      <c r="A1985" s="3">
        <f>IFERROR(__xludf.DUMMYFUNCTION("""COMPUTED_VALUE"""),42584.99861111111)</f>
        <v>42584.99861</v>
      </c>
      <c r="B1985" s="1">
        <f>IFERROR(__xludf.DUMMYFUNCTION("""COMPUTED_VALUE"""),43499.34828)</f>
        <v>43499.34828</v>
      </c>
    </row>
    <row r="1986">
      <c r="A1986" s="3">
        <f>IFERROR(__xludf.DUMMYFUNCTION("""COMPUTED_VALUE"""),42585.99861111111)</f>
        <v>42585.99861</v>
      </c>
      <c r="B1986" s="1">
        <f>IFERROR(__xludf.DUMMYFUNCTION("""COMPUTED_VALUE"""),43632.73656)</f>
        <v>43632.73656</v>
      </c>
    </row>
    <row r="1987">
      <c r="A1987" s="3">
        <f>IFERROR(__xludf.DUMMYFUNCTION("""COMPUTED_VALUE"""),42586.99861111111)</f>
        <v>42586.99861</v>
      </c>
      <c r="B1987" s="1">
        <f>IFERROR(__xludf.DUMMYFUNCTION("""COMPUTED_VALUE"""),43495.4347)</f>
        <v>43495.4347</v>
      </c>
    </row>
    <row r="1988">
      <c r="A1988" s="3">
        <f>IFERROR(__xludf.DUMMYFUNCTION("""COMPUTED_VALUE"""),42587.99861111111)</f>
        <v>42587.99861</v>
      </c>
      <c r="B1988" s="1">
        <f>IFERROR(__xludf.DUMMYFUNCTION("""COMPUTED_VALUE"""),43548.37506)</f>
        <v>43548.37506</v>
      </c>
    </row>
    <row r="1989">
      <c r="A1989" s="3">
        <f>IFERROR(__xludf.DUMMYFUNCTION("""COMPUTED_VALUE"""),42590.99861111111)</f>
        <v>42590.99861</v>
      </c>
      <c r="B1989" s="1">
        <f>IFERROR(__xludf.DUMMYFUNCTION("""COMPUTED_VALUE"""),43458.78789)</f>
        <v>43458.78789</v>
      </c>
    </row>
    <row r="1990">
      <c r="A1990" s="3">
        <f>IFERROR(__xludf.DUMMYFUNCTION("""COMPUTED_VALUE"""),42591.99861111111)</f>
        <v>42591.99861</v>
      </c>
      <c r="B1990" s="1">
        <f>IFERROR(__xludf.DUMMYFUNCTION("""COMPUTED_VALUE"""),43435.44843)</f>
        <v>43435.44843</v>
      </c>
    </row>
    <row r="1991">
      <c r="A1991" s="3">
        <f>IFERROR(__xludf.DUMMYFUNCTION("""COMPUTED_VALUE"""),42592.99861111111)</f>
        <v>42592.99861</v>
      </c>
      <c r="B1991" s="1">
        <f>IFERROR(__xludf.DUMMYFUNCTION("""COMPUTED_VALUE"""),43418.94459)</f>
        <v>43418.94459</v>
      </c>
    </row>
    <row r="1992">
      <c r="A1992" s="3">
        <f>IFERROR(__xludf.DUMMYFUNCTION("""COMPUTED_VALUE"""),42593.99861111111)</f>
        <v>42593.99861</v>
      </c>
      <c r="B1992" s="1">
        <f>IFERROR(__xludf.DUMMYFUNCTION("""COMPUTED_VALUE"""),43468.72554)</f>
        <v>43468.72554</v>
      </c>
    </row>
    <row r="1993">
      <c r="A1993" s="3">
        <f>IFERROR(__xludf.DUMMYFUNCTION("""COMPUTED_VALUE"""),42594.99861111111)</f>
        <v>42594.99861</v>
      </c>
      <c r="B1993" s="1">
        <f>IFERROR(__xludf.DUMMYFUNCTION("""COMPUTED_VALUE"""),43457.06505)</f>
        <v>43457.06505</v>
      </c>
    </row>
    <row r="1994">
      <c r="A1994" s="3">
        <f>IFERROR(__xludf.DUMMYFUNCTION("""COMPUTED_VALUE"""),42597.99861111111)</f>
        <v>42597.99861</v>
      </c>
      <c r="B1994" s="1">
        <f>IFERROR(__xludf.DUMMYFUNCTION("""COMPUTED_VALUE"""),43359.33512)</f>
        <v>43359.33512</v>
      </c>
    </row>
    <row r="1995">
      <c r="A1995" s="3">
        <f>IFERROR(__xludf.DUMMYFUNCTION("""COMPUTED_VALUE"""),42598.99861111111)</f>
        <v>42598.99861</v>
      </c>
      <c r="B1995" s="1">
        <f>IFERROR(__xludf.DUMMYFUNCTION("""COMPUTED_VALUE"""),43543.6632)</f>
        <v>43543.6632</v>
      </c>
    </row>
    <row r="1996">
      <c r="A1996" s="3">
        <f>IFERROR(__xludf.DUMMYFUNCTION("""COMPUTED_VALUE"""),42599.99861111111)</f>
        <v>42599.99861</v>
      </c>
      <c r="B1996" s="1">
        <f>IFERROR(__xludf.DUMMYFUNCTION("""COMPUTED_VALUE"""),43583.00733)</f>
        <v>43583.00733</v>
      </c>
    </row>
    <row r="1997">
      <c r="A1997" s="3">
        <f>IFERROR(__xludf.DUMMYFUNCTION("""COMPUTED_VALUE"""),42600.99861111111)</f>
        <v>42600.99861</v>
      </c>
      <c r="B1997" s="1">
        <f>IFERROR(__xludf.DUMMYFUNCTION("""COMPUTED_VALUE"""),43592.03936)</f>
        <v>43592.03936</v>
      </c>
    </row>
    <row r="1998">
      <c r="A1998" s="3">
        <f>IFERROR(__xludf.DUMMYFUNCTION("""COMPUTED_VALUE"""),42601.99861111111)</f>
        <v>42601.99861</v>
      </c>
      <c r="B1998" s="1">
        <f>IFERROR(__xludf.DUMMYFUNCTION("""COMPUTED_VALUE"""),43625.49642)</f>
        <v>43625.49642</v>
      </c>
    </row>
    <row r="1999">
      <c r="A1999" s="3">
        <f>IFERROR(__xludf.DUMMYFUNCTION("""COMPUTED_VALUE"""),42603.99861111111)</f>
        <v>42603.99861</v>
      </c>
      <c r="B1999" s="1">
        <f>IFERROR(__xludf.DUMMYFUNCTION("""COMPUTED_VALUE"""),43754.97848)</f>
        <v>43754.97848</v>
      </c>
    </row>
    <row r="2000">
      <c r="A2000" s="3">
        <f>IFERROR(__xludf.DUMMYFUNCTION("""COMPUTED_VALUE"""),42604.99861111111)</f>
        <v>42604.99861</v>
      </c>
      <c r="B2000" s="1">
        <f>IFERROR(__xludf.DUMMYFUNCTION("""COMPUTED_VALUE"""),43924.57456)</f>
        <v>43924.57456</v>
      </c>
    </row>
    <row r="2001">
      <c r="A2001" s="3">
        <f>IFERROR(__xludf.DUMMYFUNCTION("""COMPUTED_VALUE"""),42605.99861111111)</f>
        <v>42605.99861</v>
      </c>
      <c r="B2001" s="1">
        <f>IFERROR(__xludf.DUMMYFUNCTION("""COMPUTED_VALUE"""),44015.02677)</f>
        <v>44015.02677</v>
      </c>
    </row>
    <row r="2002">
      <c r="A2002" s="3">
        <f>IFERROR(__xludf.DUMMYFUNCTION("""COMPUTED_VALUE"""),42606.99861111111)</f>
        <v>42606.99861</v>
      </c>
      <c r="B2002" s="1">
        <f>IFERROR(__xludf.DUMMYFUNCTION("""COMPUTED_VALUE"""),44087.51681)</f>
        <v>44087.51681</v>
      </c>
    </row>
    <row r="2003">
      <c r="A2003" s="3">
        <f>IFERROR(__xludf.DUMMYFUNCTION("""COMPUTED_VALUE"""),42607.99861111111)</f>
        <v>42607.99861</v>
      </c>
      <c r="B2003" s="1">
        <f>IFERROR(__xludf.DUMMYFUNCTION("""COMPUTED_VALUE"""),44047.61259)</f>
        <v>44047.61259</v>
      </c>
    </row>
    <row r="2004">
      <c r="A2004" s="3">
        <f>IFERROR(__xludf.DUMMYFUNCTION("""COMPUTED_VALUE"""),42608.99861111111)</f>
        <v>42608.99861</v>
      </c>
      <c r="B2004" s="1">
        <f>IFERROR(__xludf.DUMMYFUNCTION("""COMPUTED_VALUE"""),44211.64309)</f>
        <v>44211.64309</v>
      </c>
    </row>
    <row r="2005">
      <c r="A2005" s="3">
        <f>IFERROR(__xludf.DUMMYFUNCTION("""COMPUTED_VALUE"""),42609.99861111111)</f>
        <v>42609.99861</v>
      </c>
      <c r="B2005" s="1">
        <f>IFERROR(__xludf.DUMMYFUNCTION("""COMPUTED_VALUE"""),44283.37809)</f>
        <v>44283.37809</v>
      </c>
    </row>
    <row r="2006">
      <c r="A2006" s="3">
        <f>IFERROR(__xludf.DUMMYFUNCTION("""COMPUTED_VALUE"""),42610.99861111111)</f>
        <v>42610.99861</v>
      </c>
      <c r="B2006" s="1">
        <f>IFERROR(__xludf.DUMMYFUNCTION("""COMPUTED_VALUE"""),44264.85404)</f>
        <v>44264.85404</v>
      </c>
    </row>
    <row r="2007">
      <c r="A2007" s="3">
        <f>IFERROR(__xludf.DUMMYFUNCTION("""COMPUTED_VALUE"""),42611.99861111111)</f>
        <v>42611.99861</v>
      </c>
      <c r="B2007" s="1">
        <f>IFERROR(__xludf.DUMMYFUNCTION("""COMPUTED_VALUE"""),44052.79276)</f>
        <v>44052.79276</v>
      </c>
    </row>
    <row r="2008">
      <c r="A2008" s="3">
        <f>IFERROR(__xludf.DUMMYFUNCTION("""COMPUTED_VALUE"""),42612.99861111111)</f>
        <v>42612.99861</v>
      </c>
      <c r="B2008" s="1">
        <f>IFERROR(__xludf.DUMMYFUNCTION("""COMPUTED_VALUE"""),44075.38494)</f>
        <v>44075.38494</v>
      </c>
    </row>
    <row r="2009">
      <c r="A2009" s="3">
        <f>IFERROR(__xludf.DUMMYFUNCTION("""COMPUTED_VALUE"""),42613.99861111111)</f>
        <v>42613.99861</v>
      </c>
      <c r="B2009" s="1">
        <f>IFERROR(__xludf.DUMMYFUNCTION("""COMPUTED_VALUE"""),44065.4304)</f>
        <v>44065.4304</v>
      </c>
    </row>
    <row r="2010">
      <c r="A2010" s="3">
        <f>IFERROR(__xludf.DUMMYFUNCTION("""COMPUTED_VALUE"""),42614.99861111111)</f>
        <v>42614.99861</v>
      </c>
      <c r="B2010" s="1">
        <f>IFERROR(__xludf.DUMMYFUNCTION("""COMPUTED_VALUE"""),44034.88971)</f>
        <v>44034.88971</v>
      </c>
    </row>
    <row r="2011">
      <c r="A2011" s="3">
        <f>IFERROR(__xludf.DUMMYFUNCTION("""COMPUTED_VALUE"""),42615.99861111111)</f>
        <v>42615.99861</v>
      </c>
      <c r="B2011" s="1">
        <f>IFERROR(__xludf.DUMMYFUNCTION("""COMPUTED_VALUE"""),43824.10487)</f>
        <v>43824.10487</v>
      </c>
    </row>
    <row r="2012">
      <c r="A2012" s="3">
        <f>IFERROR(__xludf.DUMMYFUNCTION("""COMPUTED_VALUE"""),42616.99861111111)</f>
        <v>42616.99861</v>
      </c>
      <c r="B2012" s="1">
        <f>IFERROR(__xludf.DUMMYFUNCTION("""COMPUTED_VALUE"""),43824.10487)</f>
        <v>43824.10487</v>
      </c>
    </row>
    <row r="2013">
      <c r="A2013" s="3">
        <f>IFERROR(__xludf.DUMMYFUNCTION("""COMPUTED_VALUE"""),42617.99861111111)</f>
        <v>42617.99861</v>
      </c>
      <c r="B2013" s="1">
        <f>IFERROR(__xludf.DUMMYFUNCTION("""COMPUTED_VALUE"""),43824.10487)</f>
        <v>43824.10487</v>
      </c>
    </row>
    <row r="2014">
      <c r="A2014" s="3">
        <f>IFERROR(__xludf.DUMMYFUNCTION("""COMPUTED_VALUE"""),42618.99861111111)</f>
        <v>42618.99861</v>
      </c>
      <c r="B2014" s="1">
        <f>IFERROR(__xludf.DUMMYFUNCTION("""COMPUTED_VALUE"""),43554.0)</f>
        <v>43554</v>
      </c>
    </row>
    <row r="2015">
      <c r="A2015" s="3">
        <f>IFERROR(__xludf.DUMMYFUNCTION("""COMPUTED_VALUE"""),42619.99861111111)</f>
        <v>42619.99861</v>
      </c>
      <c r="B2015" s="1">
        <f>IFERROR(__xludf.DUMMYFUNCTION("""COMPUTED_VALUE"""),43324.4853)</f>
        <v>43324.4853</v>
      </c>
    </row>
    <row r="2016">
      <c r="A2016" s="3">
        <f>IFERROR(__xludf.DUMMYFUNCTION("""COMPUTED_VALUE"""),42620.99861111111)</f>
        <v>42620.99861</v>
      </c>
      <c r="B2016" s="1">
        <f>IFERROR(__xludf.DUMMYFUNCTION("""COMPUTED_VALUE"""),43450.79676)</f>
        <v>43450.79676</v>
      </c>
    </row>
    <row r="2017">
      <c r="A2017" s="3">
        <f>IFERROR(__xludf.DUMMYFUNCTION("""COMPUTED_VALUE"""),42621.99861111111)</f>
        <v>42621.99861</v>
      </c>
      <c r="B2017" s="1">
        <f>IFERROR(__xludf.DUMMYFUNCTION("""COMPUTED_VALUE"""),43446.89296)</f>
        <v>43446.89296</v>
      </c>
    </row>
    <row r="2018">
      <c r="A2018" s="3">
        <f>IFERROR(__xludf.DUMMYFUNCTION("""COMPUTED_VALUE"""),42622.99861111111)</f>
        <v>42622.99861</v>
      </c>
      <c r="B2018" s="1">
        <f>IFERROR(__xludf.DUMMYFUNCTION("""COMPUTED_VALUE"""),43770.13313)</f>
        <v>43770.13313</v>
      </c>
    </row>
    <row r="2019">
      <c r="A2019" s="3">
        <f>IFERROR(__xludf.DUMMYFUNCTION("""COMPUTED_VALUE"""),42623.99861111111)</f>
        <v>42623.99861</v>
      </c>
      <c r="B2019" s="1">
        <f>IFERROR(__xludf.DUMMYFUNCTION("""COMPUTED_VALUE"""),43736.91606)</f>
        <v>43736.91606</v>
      </c>
    </row>
    <row r="2020">
      <c r="A2020" s="3">
        <f>IFERROR(__xludf.DUMMYFUNCTION("""COMPUTED_VALUE"""),42624.99861111111)</f>
        <v>42624.99861</v>
      </c>
      <c r="B2020" s="1">
        <f>IFERROR(__xludf.DUMMYFUNCTION("""COMPUTED_VALUE"""),43766.81143)</f>
        <v>43766.81143</v>
      </c>
    </row>
    <row r="2021">
      <c r="A2021" s="3">
        <f>IFERROR(__xludf.DUMMYFUNCTION("""COMPUTED_VALUE"""),42625.99861111111)</f>
        <v>42625.99861</v>
      </c>
      <c r="B2021" s="1">
        <f>IFERROR(__xludf.DUMMYFUNCTION("""COMPUTED_VALUE"""),43782.60838)</f>
        <v>43782.60838</v>
      </c>
    </row>
    <row r="2022">
      <c r="A2022" s="3">
        <f>IFERROR(__xludf.DUMMYFUNCTION("""COMPUTED_VALUE"""),42626.99861111111)</f>
        <v>42626.99861</v>
      </c>
      <c r="B2022" s="1">
        <f>IFERROR(__xludf.DUMMYFUNCTION("""COMPUTED_VALUE"""),44011.95851)</f>
        <v>44011.95851</v>
      </c>
    </row>
    <row r="2023">
      <c r="A2023" s="3">
        <f>IFERROR(__xludf.DUMMYFUNCTION("""COMPUTED_VALUE"""),42627.99861111111)</f>
        <v>42627.99861</v>
      </c>
      <c r="B2023" s="1">
        <f>IFERROR(__xludf.DUMMYFUNCTION("""COMPUTED_VALUE"""),43845.76276)</f>
        <v>43845.76276</v>
      </c>
    </row>
    <row r="2024">
      <c r="A2024" s="3">
        <f>IFERROR(__xludf.DUMMYFUNCTION("""COMPUTED_VALUE"""),42628.99861111111)</f>
        <v>42628.99861</v>
      </c>
      <c r="B2024" s="1">
        <f>IFERROR(__xludf.DUMMYFUNCTION("""COMPUTED_VALUE"""),43689.53876)</f>
        <v>43689.53876</v>
      </c>
    </row>
    <row r="2025">
      <c r="A2025" s="3">
        <f>IFERROR(__xludf.DUMMYFUNCTION("""COMPUTED_VALUE"""),42629.99861111111)</f>
        <v>42629.99861</v>
      </c>
      <c r="B2025" s="1">
        <f>IFERROR(__xludf.DUMMYFUNCTION("""COMPUTED_VALUE"""),43742.51814)</f>
        <v>43742.51814</v>
      </c>
    </row>
    <row r="2026">
      <c r="A2026" s="3">
        <f>IFERROR(__xludf.DUMMYFUNCTION("""COMPUTED_VALUE"""),42630.99861111111)</f>
        <v>42630.99861</v>
      </c>
      <c r="B2026" s="1">
        <f>IFERROR(__xludf.DUMMYFUNCTION("""COMPUTED_VALUE"""),43783.16017)</f>
        <v>43783.16017</v>
      </c>
    </row>
    <row r="2027">
      <c r="A2027" s="3">
        <f>IFERROR(__xludf.DUMMYFUNCTION("""COMPUTED_VALUE"""),42631.99861111111)</f>
        <v>42631.99861</v>
      </c>
      <c r="B2027" s="1">
        <f>IFERROR(__xludf.DUMMYFUNCTION("""COMPUTED_VALUE"""),43742.51814)</f>
        <v>43742.51814</v>
      </c>
    </row>
    <row r="2028">
      <c r="A2028" s="3">
        <f>IFERROR(__xludf.DUMMYFUNCTION("""COMPUTED_VALUE"""),42632.99861111111)</f>
        <v>42632.99861</v>
      </c>
      <c r="B2028" s="1">
        <f>IFERROR(__xludf.DUMMYFUNCTION("""COMPUTED_VALUE"""),43672.91918)</f>
        <v>43672.91918</v>
      </c>
    </row>
    <row r="2029">
      <c r="A2029" s="3">
        <f>IFERROR(__xludf.DUMMYFUNCTION("""COMPUTED_VALUE"""),42633.99861111111)</f>
        <v>42633.99861</v>
      </c>
      <c r="B2029" s="1">
        <f>IFERROR(__xludf.DUMMYFUNCTION("""COMPUTED_VALUE"""),43736.07357)</f>
        <v>43736.07357</v>
      </c>
    </row>
    <row r="2030">
      <c r="A2030" s="3">
        <f>IFERROR(__xludf.DUMMYFUNCTION("""COMPUTED_VALUE"""),42634.99861111111)</f>
        <v>42634.99861</v>
      </c>
      <c r="B2030" s="1">
        <f>IFERROR(__xludf.DUMMYFUNCTION("""COMPUTED_VALUE"""),43403.68207)</f>
        <v>43403.68207</v>
      </c>
    </row>
    <row r="2031">
      <c r="A2031" s="3">
        <f>IFERROR(__xludf.DUMMYFUNCTION("""COMPUTED_VALUE"""),42635.99861111111)</f>
        <v>42635.99861</v>
      </c>
      <c r="B2031" s="1">
        <f>IFERROR(__xludf.DUMMYFUNCTION("""COMPUTED_VALUE"""),43395.34705)</f>
        <v>43395.34705</v>
      </c>
    </row>
    <row r="2032">
      <c r="A2032" s="3">
        <f>IFERROR(__xludf.DUMMYFUNCTION("""COMPUTED_VALUE"""),42636.99861111111)</f>
        <v>42636.99861</v>
      </c>
      <c r="B2032" s="1">
        <f>IFERROR(__xludf.DUMMYFUNCTION("""COMPUTED_VALUE"""),43458.46997)</f>
        <v>43458.46997</v>
      </c>
    </row>
    <row r="2033">
      <c r="A2033" s="3">
        <f>IFERROR(__xludf.DUMMYFUNCTION("""COMPUTED_VALUE"""),42637.99861111111)</f>
        <v>42637.99861</v>
      </c>
      <c r="B2033" s="1">
        <f>IFERROR(__xludf.DUMMYFUNCTION("""COMPUTED_VALUE"""),43448.5032)</f>
        <v>43448.5032</v>
      </c>
    </row>
    <row r="2034">
      <c r="A2034" s="3">
        <f>IFERROR(__xludf.DUMMYFUNCTION("""COMPUTED_VALUE"""),42638.99861111111)</f>
        <v>42638.99861</v>
      </c>
      <c r="B2034" s="1">
        <f>IFERROR(__xludf.DUMMYFUNCTION("""COMPUTED_VALUE"""),43365.44672)</f>
        <v>43365.44672</v>
      </c>
    </row>
    <row r="2035">
      <c r="A2035" s="3">
        <f>IFERROR(__xludf.DUMMYFUNCTION("""COMPUTED_VALUE"""),42639.99861111111)</f>
        <v>42639.99861</v>
      </c>
      <c r="B2035" s="1">
        <f>IFERROR(__xludf.DUMMYFUNCTION("""COMPUTED_VALUE"""),43308.85595)</f>
        <v>43308.85595</v>
      </c>
    </row>
    <row r="2036">
      <c r="A2036" s="3">
        <f>IFERROR(__xludf.DUMMYFUNCTION("""COMPUTED_VALUE"""),42640.99861111111)</f>
        <v>42640.99861</v>
      </c>
      <c r="B2036" s="1">
        <f>IFERROR(__xludf.DUMMYFUNCTION("""COMPUTED_VALUE"""),42927.87987)</f>
        <v>42927.87987</v>
      </c>
    </row>
    <row r="2037">
      <c r="A2037" s="3">
        <f>IFERROR(__xludf.DUMMYFUNCTION("""COMPUTED_VALUE"""),42641.99861111111)</f>
        <v>42641.99861</v>
      </c>
      <c r="B2037" s="1">
        <f>IFERROR(__xludf.DUMMYFUNCTION("""COMPUTED_VALUE"""),42941.17332)</f>
        <v>42941.17332</v>
      </c>
    </row>
    <row r="2038">
      <c r="A2038" s="3">
        <f>IFERROR(__xludf.DUMMYFUNCTION("""COMPUTED_VALUE"""),42642.99861111111)</f>
        <v>42642.99861</v>
      </c>
      <c r="B2038" s="1">
        <f>IFERROR(__xludf.DUMMYFUNCTION("""COMPUTED_VALUE"""),43213.68908)</f>
        <v>43213.68908</v>
      </c>
    </row>
    <row r="2039">
      <c r="A2039" s="3">
        <f>IFERROR(__xludf.DUMMYFUNCTION("""COMPUTED_VALUE"""),42643.99861111111)</f>
        <v>42643.99861</v>
      </c>
      <c r="B2039" s="1">
        <f>IFERROR(__xludf.DUMMYFUNCTION("""COMPUTED_VALUE"""),43251.67762)</f>
        <v>43251.67762</v>
      </c>
    </row>
    <row r="2040">
      <c r="A2040" s="3">
        <f>IFERROR(__xludf.DUMMYFUNCTION("""COMPUTED_VALUE"""),42644.99861111111)</f>
        <v>42644.99861</v>
      </c>
      <c r="B2040" s="1">
        <f>IFERROR(__xludf.DUMMYFUNCTION("""COMPUTED_VALUE"""),43245.03067)</f>
        <v>43245.03067</v>
      </c>
    </row>
    <row r="2041">
      <c r="A2041" s="3">
        <f>IFERROR(__xludf.DUMMYFUNCTION("""COMPUTED_VALUE"""),42645.99861111111)</f>
        <v>42645.99861</v>
      </c>
      <c r="B2041" s="1">
        <f>IFERROR(__xludf.DUMMYFUNCTION("""COMPUTED_VALUE"""),43092.15091)</f>
        <v>43092.15091</v>
      </c>
    </row>
    <row r="2042">
      <c r="A2042" s="3">
        <f>IFERROR(__xludf.DUMMYFUNCTION("""COMPUTED_VALUE"""),42646.99861111111)</f>
        <v>42646.99861</v>
      </c>
      <c r="B2042" s="1">
        <f>IFERROR(__xludf.DUMMYFUNCTION("""COMPUTED_VALUE"""),43070.27618)</f>
        <v>43070.27618</v>
      </c>
    </row>
    <row r="2043">
      <c r="A2043" s="3">
        <f>IFERROR(__xludf.DUMMYFUNCTION("""COMPUTED_VALUE"""),42647.99861111111)</f>
        <v>42647.99861</v>
      </c>
      <c r="B2043" s="1">
        <f>IFERROR(__xludf.DUMMYFUNCTION("""COMPUTED_VALUE"""),43256.43056)</f>
        <v>43256.43056</v>
      </c>
    </row>
    <row r="2044">
      <c r="A2044" s="3">
        <f>IFERROR(__xludf.DUMMYFUNCTION("""COMPUTED_VALUE"""),42648.99861111111)</f>
        <v>42648.99861</v>
      </c>
      <c r="B2044" s="1">
        <f>IFERROR(__xludf.DUMMYFUNCTION("""COMPUTED_VALUE"""),43149.85608)</f>
        <v>43149.85608</v>
      </c>
    </row>
    <row r="2045">
      <c r="A2045" s="3">
        <f>IFERROR(__xludf.DUMMYFUNCTION("""COMPUTED_VALUE"""),42649.99861111111)</f>
        <v>42649.99861</v>
      </c>
      <c r="B2045" s="1">
        <f>IFERROR(__xludf.DUMMYFUNCTION("""COMPUTED_VALUE"""),43155.792)</f>
        <v>43155.792</v>
      </c>
    </row>
    <row r="2046">
      <c r="A2046" s="3">
        <f>IFERROR(__xludf.DUMMYFUNCTION("""COMPUTED_VALUE"""),42650.99861111111)</f>
        <v>42650.99861</v>
      </c>
      <c r="B2046" s="1">
        <f>IFERROR(__xludf.DUMMYFUNCTION("""COMPUTED_VALUE"""),42978.78589)</f>
        <v>42978.78589</v>
      </c>
    </row>
    <row r="2047">
      <c r="A2047" s="3">
        <f>IFERROR(__xludf.DUMMYFUNCTION("""COMPUTED_VALUE"""),42652.99861111111)</f>
        <v>42652.99861</v>
      </c>
      <c r="B2047" s="1">
        <f>IFERROR(__xludf.DUMMYFUNCTION("""COMPUTED_VALUE"""),42965.53208)</f>
        <v>42965.53208</v>
      </c>
    </row>
    <row r="2048">
      <c r="A2048" s="3">
        <f>IFERROR(__xludf.DUMMYFUNCTION("""COMPUTED_VALUE"""),42653.99861111111)</f>
        <v>42653.99861</v>
      </c>
      <c r="B2048" s="1">
        <f>IFERROR(__xludf.DUMMYFUNCTION("""COMPUTED_VALUE"""),42872.29757)</f>
        <v>42872.29757</v>
      </c>
    </row>
    <row r="2049">
      <c r="A2049" s="3">
        <f>IFERROR(__xludf.DUMMYFUNCTION("""COMPUTED_VALUE"""),42654.99861111111)</f>
        <v>42654.99861</v>
      </c>
      <c r="B2049" s="1">
        <f>IFERROR(__xludf.DUMMYFUNCTION("""COMPUTED_VALUE"""),43300.19073)</f>
        <v>43300.19073</v>
      </c>
    </row>
    <row r="2050">
      <c r="A2050" s="3">
        <f>IFERROR(__xludf.DUMMYFUNCTION("""COMPUTED_VALUE"""),42655.99861111111)</f>
        <v>42655.99861</v>
      </c>
      <c r="B2050" s="1">
        <f>IFERROR(__xludf.DUMMYFUNCTION("""COMPUTED_VALUE"""),43123.54974)</f>
        <v>43123.54974</v>
      </c>
    </row>
    <row r="2051">
      <c r="A2051" s="3">
        <f>IFERROR(__xludf.DUMMYFUNCTION("""COMPUTED_VALUE"""),42656.99861111111)</f>
        <v>42656.99861</v>
      </c>
      <c r="B2051" s="1">
        <f>IFERROR(__xludf.DUMMYFUNCTION("""COMPUTED_VALUE"""),43156.32183)</f>
        <v>43156.32183</v>
      </c>
    </row>
    <row r="2052">
      <c r="A2052" s="3">
        <f>IFERROR(__xludf.DUMMYFUNCTION("""COMPUTED_VALUE"""),42657.99861111111)</f>
        <v>42657.99861</v>
      </c>
      <c r="B2052" s="1">
        <f>IFERROR(__xludf.DUMMYFUNCTION("""COMPUTED_VALUE"""),43254.76988)</f>
        <v>43254.76988</v>
      </c>
    </row>
    <row r="2053">
      <c r="A2053" s="3">
        <f>IFERROR(__xludf.DUMMYFUNCTION("""COMPUTED_VALUE"""),42658.99861111111)</f>
        <v>42658.99861</v>
      </c>
      <c r="B2053" s="1">
        <f>IFERROR(__xludf.DUMMYFUNCTION("""COMPUTED_VALUE"""),43284.55739)</f>
        <v>43284.55739</v>
      </c>
    </row>
    <row r="2054">
      <c r="A2054" s="3">
        <f>IFERROR(__xludf.DUMMYFUNCTION("""COMPUTED_VALUE"""),42659.99861111111)</f>
        <v>42659.99861</v>
      </c>
      <c r="B2054" s="1">
        <f>IFERROR(__xludf.DUMMYFUNCTION("""COMPUTED_VALUE"""),43330.89351)</f>
        <v>43330.89351</v>
      </c>
    </row>
    <row r="2055">
      <c r="A2055" s="3">
        <f>IFERROR(__xludf.DUMMYFUNCTION("""COMPUTED_VALUE"""),42660.99861111111)</f>
        <v>42660.99861</v>
      </c>
      <c r="B2055" s="1">
        <f>IFERROR(__xludf.DUMMYFUNCTION("""COMPUTED_VALUE"""),43179.48146)</f>
        <v>43179.48146</v>
      </c>
    </row>
    <row r="2056">
      <c r="A2056" s="3">
        <f>IFERROR(__xludf.DUMMYFUNCTION("""COMPUTED_VALUE"""),42661.99861111111)</f>
        <v>42661.99861</v>
      </c>
      <c r="B2056" s="1">
        <f>IFERROR(__xludf.DUMMYFUNCTION("""COMPUTED_VALUE"""),43076.91738)</f>
        <v>43076.91738</v>
      </c>
    </row>
    <row r="2057">
      <c r="A2057" s="3">
        <f>IFERROR(__xludf.DUMMYFUNCTION("""COMPUTED_VALUE"""),42662.99861111111)</f>
        <v>42662.99861</v>
      </c>
      <c r="B2057" s="1">
        <f>IFERROR(__xludf.DUMMYFUNCTION("""COMPUTED_VALUE"""),42918.10846)</f>
        <v>42918.10846</v>
      </c>
    </row>
    <row r="2058">
      <c r="A2058" s="3">
        <f>IFERROR(__xludf.DUMMYFUNCTION("""COMPUTED_VALUE"""),42663.99861111111)</f>
        <v>42663.99861</v>
      </c>
      <c r="B2058" s="1">
        <f>IFERROR(__xludf.DUMMYFUNCTION("""COMPUTED_VALUE"""),43027.28959)</f>
        <v>43027.28959</v>
      </c>
    </row>
    <row r="2059">
      <c r="A2059" s="3">
        <f>IFERROR(__xludf.DUMMYFUNCTION("""COMPUTED_VALUE"""),42664.99861111111)</f>
        <v>42664.99861</v>
      </c>
      <c r="B2059" s="1">
        <f>IFERROR(__xludf.DUMMYFUNCTION("""COMPUTED_VALUE"""),43068.32423)</f>
        <v>43068.32423</v>
      </c>
    </row>
    <row r="2060">
      <c r="A2060" s="3">
        <f>IFERROR(__xludf.DUMMYFUNCTION("""COMPUTED_VALUE"""),42665.99861111111)</f>
        <v>42665.99861</v>
      </c>
      <c r="B2060" s="1">
        <f>IFERROR(__xludf.DUMMYFUNCTION("""COMPUTED_VALUE"""),43144.38746)</f>
        <v>43144.38746</v>
      </c>
    </row>
    <row r="2061">
      <c r="A2061" s="3">
        <f>IFERROR(__xludf.DUMMYFUNCTION("""COMPUTED_VALUE"""),42666.99861111111)</f>
        <v>42666.99861</v>
      </c>
      <c r="B2061" s="1">
        <f>IFERROR(__xludf.DUMMYFUNCTION("""COMPUTED_VALUE"""),43157.61585)</f>
        <v>43157.61585</v>
      </c>
    </row>
    <row r="2062">
      <c r="A2062" s="3">
        <f>IFERROR(__xludf.DUMMYFUNCTION("""COMPUTED_VALUE"""),42667.99861111111)</f>
        <v>42667.99861</v>
      </c>
      <c r="B2062" s="1">
        <f>IFERROR(__xludf.DUMMYFUNCTION("""COMPUTED_VALUE"""),43050.44922)</f>
        <v>43050.44922</v>
      </c>
    </row>
    <row r="2063">
      <c r="A2063" s="3">
        <f>IFERROR(__xludf.DUMMYFUNCTION("""COMPUTED_VALUE"""),42668.99861111111)</f>
        <v>42668.99861</v>
      </c>
      <c r="B2063" s="1">
        <f>IFERROR(__xludf.DUMMYFUNCTION("""COMPUTED_VALUE"""),42860.44168)</f>
        <v>42860.44168</v>
      </c>
    </row>
    <row r="2064">
      <c r="A2064" s="3">
        <f>IFERROR(__xludf.DUMMYFUNCTION("""COMPUTED_VALUE"""),42669.99861111111)</f>
        <v>42669.99861</v>
      </c>
      <c r="B2064" s="1">
        <f>IFERROR(__xludf.DUMMYFUNCTION("""COMPUTED_VALUE"""),43018.98832)</f>
        <v>43018.98832</v>
      </c>
    </row>
    <row r="2065">
      <c r="A2065" s="3">
        <f>IFERROR(__xludf.DUMMYFUNCTION("""COMPUTED_VALUE"""),42670.99861111111)</f>
        <v>42670.99861</v>
      </c>
      <c r="B2065" s="1">
        <f>IFERROR(__xludf.DUMMYFUNCTION("""COMPUTED_VALUE"""),43114.77691)</f>
        <v>43114.77691</v>
      </c>
    </row>
    <row r="2066">
      <c r="A2066" s="3">
        <f>IFERROR(__xludf.DUMMYFUNCTION("""COMPUTED_VALUE"""),42671.99861111111)</f>
        <v>42671.99861</v>
      </c>
      <c r="B2066" s="1">
        <f>IFERROR(__xludf.DUMMYFUNCTION("""COMPUTED_VALUE"""),43116.46932)</f>
        <v>43116.46932</v>
      </c>
    </row>
    <row r="2067">
      <c r="A2067" s="3">
        <f>IFERROR(__xludf.DUMMYFUNCTION("""COMPUTED_VALUE"""),42672.99861111111)</f>
        <v>42672.99861</v>
      </c>
      <c r="B2067" s="1">
        <f>IFERROR(__xludf.DUMMYFUNCTION("""COMPUTED_VALUE"""),43116.46932)</f>
        <v>43116.46932</v>
      </c>
    </row>
    <row r="2068">
      <c r="A2068" s="3">
        <f>IFERROR(__xludf.DUMMYFUNCTION("""COMPUTED_VALUE"""),42673.99861111111)</f>
        <v>42673.99861</v>
      </c>
      <c r="B2068" s="1">
        <f>IFERROR(__xludf.DUMMYFUNCTION("""COMPUTED_VALUE"""),43116.46932)</f>
        <v>43116.46932</v>
      </c>
    </row>
    <row r="2069">
      <c r="A2069" s="3">
        <f>IFERROR(__xludf.DUMMYFUNCTION("""COMPUTED_VALUE"""),42674.99861111111)</f>
        <v>42674.99861</v>
      </c>
      <c r="B2069" s="1">
        <f>IFERROR(__xludf.DUMMYFUNCTION("""COMPUTED_VALUE"""),42982.65471)</f>
        <v>42982.65471</v>
      </c>
    </row>
    <row r="2070">
      <c r="A2070" s="3">
        <f>IFERROR(__xludf.DUMMYFUNCTION("""COMPUTED_VALUE"""),42675.99861111111)</f>
        <v>42675.99861</v>
      </c>
      <c r="B2070" s="1">
        <f>IFERROR(__xludf.DUMMYFUNCTION("""COMPUTED_VALUE"""),43065.23109)</f>
        <v>43065.23109</v>
      </c>
    </row>
    <row r="2071">
      <c r="A2071" s="3">
        <f>IFERROR(__xludf.DUMMYFUNCTION("""COMPUTED_VALUE"""),42676.99861111111)</f>
        <v>42676.99861</v>
      </c>
      <c r="B2071" s="1">
        <f>IFERROR(__xludf.DUMMYFUNCTION("""COMPUTED_VALUE"""),43162.93887)</f>
        <v>43162.93887</v>
      </c>
    </row>
    <row r="2072">
      <c r="A2072" s="3">
        <f>IFERROR(__xludf.DUMMYFUNCTION("""COMPUTED_VALUE"""),42677.99861111111)</f>
        <v>42677.99861</v>
      </c>
      <c r="B2072" s="1">
        <f>IFERROR(__xludf.DUMMYFUNCTION("""COMPUTED_VALUE"""),43307.36506)</f>
        <v>43307.36506</v>
      </c>
    </row>
    <row r="2073">
      <c r="A2073" s="3">
        <f>IFERROR(__xludf.DUMMYFUNCTION("""COMPUTED_VALUE"""),42678.99861111111)</f>
        <v>42678.99861</v>
      </c>
      <c r="B2073" s="1">
        <f>IFERROR(__xludf.DUMMYFUNCTION("""COMPUTED_VALUE"""),43384.60964)</f>
        <v>43384.60964</v>
      </c>
    </row>
    <row r="2074">
      <c r="A2074" s="3">
        <f>IFERROR(__xludf.DUMMYFUNCTION("""COMPUTED_VALUE"""),42679.99861111111)</f>
        <v>42679.99861</v>
      </c>
      <c r="B2074" s="1">
        <f>IFERROR(__xludf.DUMMYFUNCTION("""COMPUTED_VALUE"""),43384.60964)</f>
        <v>43384.60964</v>
      </c>
    </row>
    <row r="2075">
      <c r="A2075" s="3">
        <f>IFERROR(__xludf.DUMMYFUNCTION("""COMPUTED_VALUE"""),42680.99861111111)</f>
        <v>42680.99861</v>
      </c>
      <c r="B2075" s="1">
        <f>IFERROR(__xludf.DUMMYFUNCTION("""COMPUTED_VALUE"""),43391.22668)</f>
        <v>43391.22668</v>
      </c>
    </row>
    <row r="2076">
      <c r="A2076" s="3">
        <f>IFERROR(__xludf.DUMMYFUNCTION("""COMPUTED_VALUE"""),42681.99861111111)</f>
        <v>42681.99861</v>
      </c>
      <c r="B2076" s="1">
        <f>IFERROR(__xludf.DUMMYFUNCTION("""COMPUTED_VALUE"""),43262.80829)</f>
        <v>43262.80829</v>
      </c>
    </row>
    <row r="2077">
      <c r="A2077" s="3">
        <f>IFERROR(__xludf.DUMMYFUNCTION("""COMPUTED_VALUE"""),42682.99861111111)</f>
        <v>42682.99861</v>
      </c>
      <c r="B2077" s="1">
        <f>IFERROR(__xludf.DUMMYFUNCTION("""COMPUTED_VALUE"""),43136.40687)</f>
        <v>43136.40687</v>
      </c>
    </row>
    <row r="2078">
      <c r="A2078" s="3">
        <f>IFERROR(__xludf.DUMMYFUNCTION("""COMPUTED_VALUE"""),42683.99861111111)</f>
        <v>42683.99861</v>
      </c>
      <c r="B2078" s="1">
        <f>IFERROR(__xludf.DUMMYFUNCTION("""COMPUTED_VALUE"""),43478.39911)</f>
        <v>43478.39911</v>
      </c>
    </row>
    <row r="2079">
      <c r="A2079" s="3">
        <f>IFERROR(__xludf.DUMMYFUNCTION("""COMPUTED_VALUE"""),42684.99861111111)</f>
        <v>42684.99861</v>
      </c>
      <c r="B2079" s="1">
        <f>IFERROR(__xludf.DUMMYFUNCTION("""COMPUTED_VALUE"""),44971.03503)</f>
        <v>44971.03503</v>
      </c>
    </row>
    <row r="2080">
      <c r="A2080" s="3">
        <f>IFERROR(__xludf.DUMMYFUNCTION("""COMPUTED_VALUE"""),42685.99861111111)</f>
        <v>42685.99861</v>
      </c>
      <c r="B2080" s="1">
        <f>IFERROR(__xludf.DUMMYFUNCTION("""COMPUTED_VALUE"""),44100.355)</f>
        <v>44100.355</v>
      </c>
    </row>
    <row r="2081">
      <c r="A2081" s="3">
        <f>IFERROR(__xludf.DUMMYFUNCTION("""COMPUTED_VALUE"""),42686.99861111111)</f>
        <v>42686.99861</v>
      </c>
      <c r="B2081" s="1">
        <f>IFERROR(__xludf.DUMMYFUNCTION("""COMPUTED_VALUE"""),44613.75867)</f>
        <v>44613.75867</v>
      </c>
    </row>
    <row r="2082">
      <c r="A2082" s="3">
        <f>IFERROR(__xludf.DUMMYFUNCTION("""COMPUTED_VALUE"""),42687.99861111111)</f>
        <v>42687.99861</v>
      </c>
      <c r="B2082" s="1">
        <f>IFERROR(__xludf.DUMMYFUNCTION("""COMPUTED_VALUE"""),44047.53229)</f>
        <v>44047.53229</v>
      </c>
    </row>
    <row r="2083">
      <c r="A2083" s="3">
        <f>IFERROR(__xludf.DUMMYFUNCTION("""COMPUTED_VALUE"""),42688.99861111111)</f>
        <v>42688.99861</v>
      </c>
      <c r="B2083" s="1">
        <f>IFERROR(__xludf.DUMMYFUNCTION("""COMPUTED_VALUE"""),44372.27723)</f>
        <v>44372.27723</v>
      </c>
    </row>
    <row r="2084">
      <c r="A2084" s="3">
        <f>IFERROR(__xludf.DUMMYFUNCTION("""COMPUTED_VALUE"""),42689.99861111111)</f>
        <v>42689.99861</v>
      </c>
      <c r="B2084" s="1">
        <f>IFERROR(__xludf.DUMMYFUNCTION("""COMPUTED_VALUE"""),43850.45259)</f>
        <v>43850.45259</v>
      </c>
    </row>
    <row r="2085">
      <c r="A2085" s="3">
        <f>IFERROR(__xludf.DUMMYFUNCTION("""COMPUTED_VALUE"""),42690.99861111111)</f>
        <v>42690.99861</v>
      </c>
      <c r="B2085" s="1">
        <f>IFERROR(__xludf.DUMMYFUNCTION("""COMPUTED_VALUE"""),44031.61197)</f>
        <v>44031.61197</v>
      </c>
    </row>
    <row r="2086">
      <c r="A2086" s="3">
        <f>IFERROR(__xludf.DUMMYFUNCTION("""COMPUTED_VALUE"""),42691.99861111111)</f>
        <v>42691.99861</v>
      </c>
      <c r="B2086" s="1">
        <f>IFERROR(__xludf.DUMMYFUNCTION("""COMPUTED_VALUE"""),44173.24567)</f>
        <v>44173.24567</v>
      </c>
    </row>
    <row r="2087">
      <c r="A2087" s="3">
        <f>IFERROR(__xludf.DUMMYFUNCTION("""COMPUTED_VALUE"""),42692.99861111111)</f>
        <v>42692.99861</v>
      </c>
      <c r="B2087" s="1">
        <f>IFERROR(__xludf.DUMMYFUNCTION("""COMPUTED_VALUE"""),43935.55291)</f>
        <v>43935.55291</v>
      </c>
    </row>
    <row r="2088">
      <c r="A2088" s="3">
        <f>IFERROR(__xludf.DUMMYFUNCTION("""COMPUTED_VALUE"""),42693.99861111111)</f>
        <v>42693.99861</v>
      </c>
      <c r="B2088" s="1">
        <f>IFERROR(__xludf.DUMMYFUNCTION("""COMPUTED_VALUE"""),43955.21426)</f>
        <v>43955.21426</v>
      </c>
    </row>
    <row r="2089">
      <c r="A2089" s="3">
        <f>IFERROR(__xludf.DUMMYFUNCTION("""COMPUTED_VALUE"""),42694.99861111111)</f>
        <v>42694.99861</v>
      </c>
      <c r="B2089" s="1">
        <f>IFERROR(__xludf.DUMMYFUNCTION("""COMPUTED_VALUE"""),44316.94362)</f>
        <v>44316.94362</v>
      </c>
    </row>
    <row r="2090">
      <c r="A2090" s="3">
        <f>IFERROR(__xludf.DUMMYFUNCTION("""COMPUTED_VALUE"""),42695.99861111111)</f>
        <v>42695.99861</v>
      </c>
      <c r="B2090" s="1">
        <f>IFERROR(__xludf.DUMMYFUNCTION("""COMPUTED_VALUE"""),44060.44521)</f>
        <v>44060.44521</v>
      </c>
    </row>
    <row r="2091">
      <c r="A2091" s="3">
        <f>IFERROR(__xludf.DUMMYFUNCTION("""COMPUTED_VALUE"""),42696.99861111111)</f>
        <v>42696.99861</v>
      </c>
      <c r="B2091" s="1">
        <f>IFERROR(__xludf.DUMMYFUNCTION("""COMPUTED_VALUE"""),44123.24692)</f>
        <v>44123.24692</v>
      </c>
    </row>
    <row r="2092">
      <c r="A2092" s="3">
        <f>IFERROR(__xludf.DUMMYFUNCTION("""COMPUTED_VALUE"""),42697.99861111111)</f>
        <v>42697.99861</v>
      </c>
      <c r="B2092" s="1">
        <f>IFERROR(__xludf.DUMMYFUNCTION("""COMPUTED_VALUE"""),44705.44471)</f>
        <v>44705.44471</v>
      </c>
    </row>
    <row r="2093">
      <c r="A2093" s="3">
        <f>IFERROR(__xludf.DUMMYFUNCTION("""COMPUTED_VALUE"""),42698.99861111111)</f>
        <v>42698.99861</v>
      </c>
      <c r="B2093" s="1">
        <f>IFERROR(__xludf.DUMMYFUNCTION("""COMPUTED_VALUE"""),44544.45649)</f>
        <v>44544.45649</v>
      </c>
    </row>
    <row r="2094">
      <c r="A2094" s="3">
        <f>IFERROR(__xludf.DUMMYFUNCTION("""COMPUTED_VALUE"""),42699.99861111111)</f>
        <v>42699.99861</v>
      </c>
      <c r="B2094" s="1">
        <f>IFERROR(__xludf.DUMMYFUNCTION("""COMPUTED_VALUE"""),44378.47315)</f>
        <v>44378.47315</v>
      </c>
    </row>
    <row r="2095">
      <c r="A2095" s="3">
        <f>IFERROR(__xludf.DUMMYFUNCTION("""COMPUTED_VALUE"""),42700.99861111111)</f>
        <v>42700.99861</v>
      </c>
      <c r="B2095" s="1">
        <f>IFERROR(__xludf.DUMMYFUNCTION("""COMPUTED_VALUE"""),44381.06416)</f>
        <v>44381.06416</v>
      </c>
    </row>
    <row r="2096">
      <c r="A2096" s="3">
        <f>IFERROR(__xludf.DUMMYFUNCTION("""COMPUTED_VALUE"""),42701.99861111111)</f>
        <v>42701.99861</v>
      </c>
      <c r="B2096" s="1">
        <f>IFERROR(__xludf.DUMMYFUNCTION("""COMPUTED_VALUE"""),44211.20524)</f>
        <v>44211.20524</v>
      </c>
    </row>
    <row r="2097">
      <c r="A2097" s="3">
        <f>IFERROR(__xludf.DUMMYFUNCTION("""COMPUTED_VALUE"""),42702.99861111111)</f>
        <v>42702.99861</v>
      </c>
      <c r="B2097" s="1">
        <f>IFERROR(__xludf.DUMMYFUNCTION("""COMPUTED_VALUE"""),44299.46136)</f>
        <v>44299.46136</v>
      </c>
    </row>
    <row r="2098">
      <c r="A2098" s="3">
        <f>IFERROR(__xludf.DUMMYFUNCTION("""COMPUTED_VALUE"""),42703.99861111111)</f>
        <v>42703.99861</v>
      </c>
      <c r="B2098" s="1">
        <f>IFERROR(__xludf.DUMMYFUNCTION("""COMPUTED_VALUE"""),44325.52677)</f>
        <v>44325.52677</v>
      </c>
    </row>
    <row r="2099">
      <c r="A2099" s="3">
        <f>IFERROR(__xludf.DUMMYFUNCTION("""COMPUTED_VALUE"""),42704.99861111111)</f>
        <v>42704.99861</v>
      </c>
      <c r="B2099" s="1">
        <f>IFERROR(__xludf.DUMMYFUNCTION("""COMPUTED_VALUE"""),44583.13782)</f>
        <v>44583.13782</v>
      </c>
    </row>
    <row r="2100">
      <c r="A2100" s="3">
        <f>IFERROR(__xludf.DUMMYFUNCTION("""COMPUTED_VALUE"""),42705.99861111111)</f>
        <v>42705.99861</v>
      </c>
      <c r="B2100" s="1">
        <f>IFERROR(__xludf.DUMMYFUNCTION("""COMPUTED_VALUE"""),44408.67121)</f>
        <v>44408.67121</v>
      </c>
    </row>
    <row r="2101">
      <c r="A2101" s="3">
        <f>IFERROR(__xludf.DUMMYFUNCTION("""COMPUTED_VALUE"""),42706.99861111111)</f>
        <v>42706.99861</v>
      </c>
      <c r="B2101" s="1">
        <f>IFERROR(__xludf.DUMMYFUNCTION("""COMPUTED_VALUE"""),44183.29798)</f>
        <v>44183.29798</v>
      </c>
    </row>
    <row r="2102">
      <c r="A2102" s="3">
        <f>IFERROR(__xludf.DUMMYFUNCTION("""COMPUTED_VALUE"""),42708.99861111111)</f>
        <v>42708.99861</v>
      </c>
      <c r="B2102" s="1">
        <f>IFERROR(__xludf.DUMMYFUNCTION("""COMPUTED_VALUE"""),44774.15932)</f>
        <v>44774.15932</v>
      </c>
    </row>
    <row r="2103">
      <c r="A2103" s="3">
        <f>IFERROR(__xludf.DUMMYFUNCTION("""COMPUTED_VALUE"""),42709.99861111111)</f>
        <v>42709.99861</v>
      </c>
      <c r="B2103" s="1">
        <f>IFERROR(__xludf.DUMMYFUNCTION("""COMPUTED_VALUE"""),44136.38666)</f>
        <v>44136.38666</v>
      </c>
    </row>
    <row r="2104">
      <c r="A2104" s="3">
        <f>IFERROR(__xludf.DUMMYFUNCTION("""COMPUTED_VALUE"""),42710.99861111111)</f>
        <v>42710.99861</v>
      </c>
      <c r="B2104" s="1">
        <f>IFERROR(__xludf.DUMMYFUNCTION("""COMPUTED_VALUE"""),43636.35513)</f>
        <v>43636.35513</v>
      </c>
    </row>
    <row r="2105">
      <c r="A2105" s="3">
        <f>IFERROR(__xludf.DUMMYFUNCTION("""COMPUTED_VALUE"""),42711.99861111111)</f>
        <v>42711.99861</v>
      </c>
      <c r="B2105" s="1">
        <f>IFERROR(__xludf.DUMMYFUNCTION("""COMPUTED_VALUE"""),43598.32219)</f>
        <v>43598.32219</v>
      </c>
    </row>
    <row r="2106">
      <c r="A2106" s="3">
        <f>IFERROR(__xludf.DUMMYFUNCTION("""COMPUTED_VALUE"""),42712.99861111111)</f>
        <v>42712.99861</v>
      </c>
      <c r="B2106" s="1">
        <f>IFERROR(__xludf.DUMMYFUNCTION("""COMPUTED_VALUE"""),43709.34511)</f>
        <v>43709.34511</v>
      </c>
    </row>
    <row r="2107">
      <c r="A2107" s="3">
        <f>IFERROR(__xludf.DUMMYFUNCTION("""COMPUTED_VALUE"""),42713.99861111111)</f>
        <v>42713.99861</v>
      </c>
      <c r="B2107" s="1">
        <f>IFERROR(__xludf.DUMMYFUNCTION("""COMPUTED_VALUE"""),43821.61706)</f>
        <v>43821.61706</v>
      </c>
    </row>
    <row r="2108">
      <c r="A2108" s="3">
        <f>IFERROR(__xludf.DUMMYFUNCTION("""COMPUTED_VALUE"""),42714.99861111111)</f>
        <v>42714.99861</v>
      </c>
      <c r="B2108" s="1">
        <f>IFERROR(__xludf.DUMMYFUNCTION("""COMPUTED_VALUE"""),43841.74643)</f>
        <v>43841.74643</v>
      </c>
    </row>
    <row r="2109">
      <c r="A2109" s="3">
        <f>IFERROR(__xludf.DUMMYFUNCTION("""COMPUTED_VALUE"""),42715.99861111111)</f>
        <v>42715.99861</v>
      </c>
      <c r="B2109" s="1">
        <f>IFERROR(__xludf.DUMMYFUNCTION("""COMPUTED_VALUE"""),43861.02203)</f>
        <v>43861.02203</v>
      </c>
    </row>
    <row r="2110">
      <c r="A2110" s="3">
        <f>IFERROR(__xludf.DUMMYFUNCTION("""COMPUTED_VALUE"""),42716.99861111111)</f>
        <v>42716.99861</v>
      </c>
      <c r="B2110" s="1">
        <f>IFERROR(__xludf.DUMMYFUNCTION("""COMPUTED_VALUE"""),43548.69311)</f>
        <v>43548.69311</v>
      </c>
    </row>
    <row r="2111">
      <c r="A2111" s="3">
        <f>IFERROR(__xludf.DUMMYFUNCTION("""COMPUTED_VALUE"""),42717.99861111111)</f>
        <v>42717.99861</v>
      </c>
      <c r="B2111" s="1">
        <f>IFERROR(__xludf.DUMMYFUNCTION("""COMPUTED_VALUE"""),43576.69984)</f>
        <v>43576.69984</v>
      </c>
    </row>
    <row r="2112">
      <c r="A2112" s="3">
        <f>IFERROR(__xludf.DUMMYFUNCTION("""COMPUTED_VALUE"""),42718.99861111111)</f>
        <v>42718.99861</v>
      </c>
      <c r="B2112" s="1">
        <f>IFERROR(__xludf.DUMMYFUNCTION("""COMPUTED_VALUE"""),44029.53)</f>
        <v>44029.53</v>
      </c>
    </row>
    <row r="2113">
      <c r="A2113" s="3">
        <f>IFERROR(__xludf.DUMMYFUNCTION("""COMPUTED_VALUE"""),42719.99861111111)</f>
        <v>42719.99861</v>
      </c>
      <c r="B2113" s="1">
        <f>IFERROR(__xludf.DUMMYFUNCTION("""COMPUTED_VALUE"""),43920.08623)</f>
        <v>43920.08623</v>
      </c>
    </row>
    <row r="2114">
      <c r="A2114" s="3">
        <f>IFERROR(__xludf.DUMMYFUNCTION("""COMPUTED_VALUE"""),42720.99861111111)</f>
        <v>42720.99861</v>
      </c>
      <c r="B2114" s="1">
        <f>IFERROR(__xludf.DUMMYFUNCTION("""COMPUTED_VALUE"""),43904.91438)</f>
        <v>43904.91438</v>
      </c>
    </row>
    <row r="2115">
      <c r="A2115" s="3">
        <f>IFERROR(__xludf.DUMMYFUNCTION("""COMPUTED_VALUE"""),42721.99861111111)</f>
        <v>42721.99861</v>
      </c>
      <c r="B2115" s="1">
        <f>IFERROR(__xludf.DUMMYFUNCTION("""COMPUTED_VALUE"""),43904.91438)</f>
        <v>43904.91438</v>
      </c>
    </row>
    <row r="2116">
      <c r="A2116" s="3">
        <f>IFERROR(__xludf.DUMMYFUNCTION("""COMPUTED_VALUE"""),42722.99861111111)</f>
        <v>42722.99861</v>
      </c>
      <c r="B2116" s="1">
        <f>IFERROR(__xludf.DUMMYFUNCTION("""COMPUTED_VALUE"""),43819.78292)</f>
        <v>43819.78292</v>
      </c>
    </row>
    <row r="2117">
      <c r="A2117" s="3">
        <f>IFERROR(__xludf.DUMMYFUNCTION("""COMPUTED_VALUE"""),42723.99861111111)</f>
        <v>42723.99861</v>
      </c>
      <c r="B2117" s="1">
        <f>IFERROR(__xludf.DUMMYFUNCTION("""COMPUTED_VALUE"""),43785.8141)</f>
        <v>43785.8141</v>
      </c>
    </row>
    <row r="2118">
      <c r="A2118" s="3">
        <f>IFERROR(__xludf.DUMMYFUNCTION("""COMPUTED_VALUE"""),42724.99861111111)</f>
        <v>42724.99861</v>
      </c>
      <c r="B2118" s="1">
        <f>IFERROR(__xludf.DUMMYFUNCTION("""COMPUTED_VALUE"""),43909.70043)</f>
        <v>43909.70043</v>
      </c>
    </row>
    <row r="2119">
      <c r="A2119" s="3">
        <f>IFERROR(__xludf.DUMMYFUNCTION("""COMPUTED_VALUE"""),42725.99861111111)</f>
        <v>42725.99861</v>
      </c>
      <c r="B2119" s="1">
        <f>IFERROR(__xludf.DUMMYFUNCTION("""COMPUTED_VALUE"""),43968.59132)</f>
        <v>43968.59132</v>
      </c>
    </row>
    <row r="2120">
      <c r="A2120" s="3">
        <f>IFERROR(__xludf.DUMMYFUNCTION("""COMPUTED_VALUE"""),42726.99861111111)</f>
        <v>42726.99861</v>
      </c>
      <c r="B2120" s="1">
        <f>IFERROR(__xludf.DUMMYFUNCTION("""COMPUTED_VALUE"""),43994.09982)</f>
        <v>43994.09982</v>
      </c>
    </row>
    <row r="2121">
      <c r="A2121" s="3">
        <f>IFERROR(__xludf.DUMMYFUNCTION("""COMPUTED_VALUE"""),42727.99861111111)</f>
        <v>42727.99861</v>
      </c>
      <c r="B2121" s="1">
        <f>IFERROR(__xludf.DUMMYFUNCTION("""COMPUTED_VALUE"""),43941.76094)</f>
        <v>43941.76094</v>
      </c>
    </row>
    <row r="2122">
      <c r="A2122" s="3">
        <f>IFERROR(__xludf.DUMMYFUNCTION("""COMPUTED_VALUE"""),42728.99861111111)</f>
        <v>42728.99861</v>
      </c>
      <c r="B2122" s="1">
        <f>IFERROR(__xludf.DUMMYFUNCTION("""COMPUTED_VALUE"""),43941.76094)</f>
        <v>43941.76094</v>
      </c>
    </row>
    <row r="2123">
      <c r="A2123" s="3">
        <f>IFERROR(__xludf.DUMMYFUNCTION("""COMPUTED_VALUE"""),42729.99861111111)</f>
        <v>42729.99861</v>
      </c>
      <c r="B2123" s="1">
        <f>IFERROR(__xludf.DUMMYFUNCTION("""COMPUTED_VALUE"""),43971.20156)</f>
        <v>43971.20156</v>
      </c>
    </row>
    <row r="2124">
      <c r="A2124" s="3">
        <f>IFERROR(__xludf.DUMMYFUNCTION("""COMPUTED_VALUE"""),42730.99861111111)</f>
        <v>42730.99861</v>
      </c>
      <c r="B2124" s="1">
        <f>IFERROR(__xludf.DUMMYFUNCTION("""COMPUTED_VALUE"""),43971.20156)</f>
        <v>43971.20156</v>
      </c>
    </row>
    <row r="2125">
      <c r="A2125" s="3">
        <f>IFERROR(__xludf.DUMMYFUNCTION("""COMPUTED_VALUE"""),42731.99861111111)</f>
        <v>42731.99861</v>
      </c>
      <c r="B2125" s="1">
        <f>IFERROR(__xludf.DUMMYFUNCTION("""COMPUTED_VALUE"""),43950.24319)</f>
        <v>43950.24319</v>
      </c>
    </row>
    <row r="2126">
      <c r="A2126" s="3">
        <f>IFERROR(__xludf.DUMMYFUNCTION("""COMPUTED_VALUE"""),42732.99861111111)</f>
        <v>42732.99861</v>
      </c>
      <c r="B2126" s="1">
        <f>IFERROR(__xludf.DUMMYFUNCTION("""COMPUTED_VALUE"""),44135.44884)</f>
        <v>44135.44884</v>
      </c>
    </row>
    <row r="2127">
      <c r="A2127" s="3">
        <f>IFERROR(__xludf.DUMMYFUNCTION("""COMPUTED_VALUE"""),42733.99861111111)</f>
        <v>42733.99861</v>
      </c>
      <c r="B2127" s="1">
        <f>IFERROR(__xludf.DUMMYFUNCTION("""COMPUTED_VALUE"""),44056.92765)</f>
        <v>44056.92765</v>
      </c>
    </row>
    <row r="2128">
      <c r="A2128" s="3">
        <f>IFERROR(__xludf.DUMMYFUNCTION("""COMPUTED_VALUE"""),42734.99861111111)</f>
        <v>42734.99861</v>
      </c>
      <c r="B2128" s="1">
        <f>IFERROR(__xludf.DUMMYFUNCTION("""COMPUTED_VALUE"""),44302.41973)</f>
        <v>44302.41973</v>
      </c>
    </row>
    <row r="2129">
      <c r="A2129" s="3">
        <f>IFERROR(__xludf.DUMMYFUNCTION("""COMPUTED_VALUE"""),42735.99861111111)</f>
        <v>42735.99861</v>
      </c>
      <c r="B2129" s="1">
        <f>IFERROR(__xludf.DUMMYFUNCTION("""COMPUTED_VALUE"""),44302.41973)</f>
        <v>44302.41973</v>
      </c>
    </row>
    <row r="2130">
      <c r="A2130" s="3">
        <f>IFERROR(__xludf.DUMMYFUNCTION("""COMPUTED_VALUE"""),42736.99861111111)</f>
        <v>42736.99861</v>
      </c>
      <c r="B2130" s="1">
        <f>IFERROR(__xludf.DUMMYFUNCTION("""COMPUTED_VALUE"""),44282.75599)</f>
        <v>44282.75599</v>
      </c>
    </row>
    <row r="2131">
      <c r="A2131" s="3">
        <f>IFERROR(__xludf.DUMMYFUNCTION("""COMPUTED_VALUE"""),42737.99861111111)</f>
        <v>42737.99861</v>
      </c>
      <c r="B2131" s="1">
        <f>IFERROR(__xludf.DUMMYFUNCTION("""COMPUTED_VALUE"""),44187.79629)</f>
        <v>44187.79629</v>
      </c>
    </row>
    <row r="2132">
      <c r="A2132" s="3">
        <f>IFERROR(__xludf.DUMMYFUNCTION("""COMPUTED_VALUE"""),42738.99861111111)</f>
        <v>42738.99861</v>
      </c>
      <c r="B2132" s="1">
        <f>IFERROR(__xludf.DUMMYFUNCTION("""COMPUTED_VALUE"""),43962.97897)</f>
        <v>43962.97897</v>
      </c>
    </row>
    <row r="2133">
      <c r="A2133" s="3">
        <f>IFERROR(__xludf.DUMMYFUNCTION("""COMPUTED_VALUE"""),42739.99861111111)</f>
        <v>42739.99861</v>
      </c>
      <c r="B2133" s="1">
        <f>IFERROR(__xludf.DUMMYFUNCTION("""COMPUTED_VALUE"""),43683.71929)</f>
        <v>43683.71929</v>
      </c>
    </row>
    <row r="2134">
      <c r="A2134" s="3">
        <f>IFERROR(__xludf.DUMMYFUNCTION("""COMPUTED_VALUE"""),42740.99861111111)</f>
        <v>42740.99861</v>
      </c>
      <c r="B2134" s="1">
        <f>IFERROR(__xludf.DUMMYFUNCTION("""COMPUTED_VALUE"""),43673.1475)</f>
        <v>43673.1475</v>
      </c>
    </row>
    <row r="2135">
      <c r="A2135" s="3">
        <f>IFERROR(__xludf.DUMMYFUNCTION("""COMPUTED_VALUE"""),42741.99861111111)</f>
        <v>42741.99861</v>
      </c>
      <c r="B2135" s="1">
        <f>IFERROR(__xludf.DUMMYFUNCTION("""COMPUTED_VALUE"""),43705.56349)</f>
        <v>43705.56349</v>
      </c>
    </row>
    <row r="2136">
      <c r="A2136" s="3">
        <f>IFERROR(__xludf.DUMMYFUNCTION("""COMPUTED_VALUE"""),42742.99861111111)</f>
        <v>42742.99861</v>
      </c>
      <c r="B2136" s="1">
        <f>IFERROR(__xludf.DUMMYFUNCTION("""COMPUTED_VALUE"""),43705.56349)</f>
        <v>43705.56349</v>
      </c>
    </row>
    <row r="2137">
      <c r="A2137" s="3">
        <f>IFERROR(__xludf.DUMMYFUNCTION("""COMPUTED_VALUE"""),42743.99861111111)</f>
        <v>42743.99861</v>
      </c>
      <c r="B2137" s="1">
        <f>IFERROR(__xludf.DUMMYFUNCTION("""COMPUTED_VALUE"""),43735.04558)</f>
        <v>43735.04558</v>
      </c>
    </row>
    <row r="2138">
      <c r="A2138" s="3">
        <f>IFERROR(__xludf.DUMMYFUNCTION("""COMPUTED_VALUE"""),42744.99861111111)</f>
        <v>42744.99861</v>
      </c>
      <c r="B2138" s="1">
        <f>IFERROR(__xludf.DUMMYFUNCTION("""COMPUTED_VALUE"""),43619.55313)</f>
        <v>43619.55313</v>
      </c>
    </row>
    <row r="2139">
      <c r="A2139" s="3">
        <f>IFERROR(__xludf.DUMMYFUNCTION("""COMPUTED_VALUE"""),42745.99861111111)</f>
        <v>42745.99861</v>
      </c>
      <c r="B2139" s="1">
        <f>IFERROR(__xludf.DUMMYFUNCTION("""COMPUTED_VALUE"""),43544.20014)</f>
        <v>43544.20014</v>
      </c>
    </row>
    <row r="2140">
      <c r="A2140" s="3">
        <f>IFERROR(__xludf.DUMMYFUNCTION("""COMPUTED_VALUE"""),42746.99861111111)</f>
        <v>42746.99861</v>
      </c>
      <c r="B2140" s="1">
        <f>IFERROR(__xludf.DUMMYFUNCTION("""COMPUTED_VALUE"""),43404.56736)</f>
        <v>43404.56736</v>
      </c>
    </row>
    <row r="2141">
      <c r="A2141" s="3">
        <f>IFERROR(__xludf.DUMMYFUNCTION("""COMPUTED_VALUE"""),42747.99861111111)</f>
        <v>42747.99861</v>
      </c>
      <c r="B2141" s="1">
        <f>IFERROR(__xludf.DUMMYFUNCTION("""COMPUTED_VALUE"""),43434.66638)</f>
        <v>43434.66638</v>
      </c>
    </row>
    <row r="2142">
      <c r="A2142" s="3">
        <f>IFERROR(__xludf.DUMMYFUNCTION("""COMPUTED_VALUE"""),42748.99861111111)</f>
        <v>42748.99861</v>
      </c>
      <c r="B2142" s="1">
        <f>IFERROR(__xludf.DUMMYFUNCTION("""COMPUTED_VALUE"""),43647.74885)</f>
        <v>43647.74885</v>
      </c>
    </row>
    <row r="2143">
      <c r="A2143" s="3">
        <f>IFERROR(__xludf.DUMMYFUNCTION("""COMPUTED_VALUE"""),42751.99861111111)</f>
        <v>42751.99861</v>
      </c>
      <c r="B2143" s="1">
        <f>IFERROR(__xludf.DUMMYFUNCTION("""COMPUTED_VALUE"""),43739.9608)</f>
        <v>43739.9608</v>
      </c>
    </row>
    <row r="2144">
      <c r="A2144" s="3">
        <f>IFERROR(__xludf.DUMMYFUNCTION("""COMPUTED_VALUE"""),42752.99861111111)</f>
        <v>42752.99861</v>
      </c>
      <c r="B2144" s="1">
        <f>IFERROR(__xludf.DUMMYFUNCTION("""COMPUTED_VALUE"""),43657.85476)</f>
        <v>43657.85476</v>
      </c>
    </row>
    <row r="2145">
      <c r="A2145" s="3">
        <f>IFERROR(__xludf.DUMMYFUNCTION("""COMPUTED_VALUE"""),42753.99861111111)</f>
        <v>42753.99861</v>
      </c>
      <c r="B2145" s="1">
        <f>IFERROR(__xludf.DUMMYFUNCTION("""COMPUTED_VALUE"""),43828.87887)</f>
        <v>43828.87887</v>
      </c>
    </row>
    <row r="2146">
      <c r="A2146" s="3">
        <f>IFERROR(__xludf.DUMMYFUNCTION("""COMPUTED_VALUE"""),42754.99861111111)</f>
        <v>42754.99861</v>
      </c>
      <c r="B2146" s="1">
        <f>IFERROR(__xludf.DUMMYFUNCTION("""COMPUTED_VALUE"""),43869.48542)</f>
        <v>43869.48542</v>
      </c>
    </row>
    <row r="2147">
      <c r="A2147" s="3">
        <f>IFERROR(__xludf.DUMMYFUNCTION("""COMPUTED_VALUE"""),42755.99861111111)</f>
        <v>42755.99861</v>
      </c>
      <c r="B2147" s="1">
        <f>IFERROR(__xludf.DUMMYFUNCTION("""COMPUTED_VALUE"""),43918.67381)</f>
        <v>43918.67381</v>
      </c>
    </row>
    <row r="2148">
      <c r="A2148" s="3">
        <f>IFERROR(__xludf.DUMMYFUNCTION("""COMPUTED_VALUE"""),42756.99861111111)</f>
        <v>42756.99861</v>
      </c>
      <c r="B2148" s="1">
        <f>IFERROR(__xludf.DUMMYFUNCTION("""COMPUTED_VALUE"""),43918.67381)</f>
        <v>43918.67381</v>
      </c>
    </row>
    <row r="2149">
      <c r="A2149" s="3">
        <f>IFERROR(__xludf.DUMMYFUNCTION("""COMPUTED_VALUE"""),42757.99861111111)</f>
        <v>42757.99861</v>
      </c>
      <c r="B2149" s="1">
        <f>IFERROR(__xludf.DUMMYFUNCTION("""COMPUTED_VALUE"""),43961.30375)</f>
        <v>43961.30375</v>
      </c>
    </row>
    <row r="2150">
      <c r="A2150" s="3">
        <f>IFERROR(__xludf.DUMMYFUNCTION("""COMPUTED_VALUE"""),42758.99861111111)</f>
        <v>42758.99861</v>
      </c>
      <c r="B2150" s="1">
        <f>IFERROR(__xludf.DUMMYFUNCTION("""COMPUTED_VALUE"""),43823.05832)</f>
        <v>43823.05832</v>
      </c>
    </row>
    <row r="2151">
      <c r="A2151" s="3">
        <f>IFERROR(__xludf.DUMMYFUNCTION("""COMPUTED_VALUE"""),42759.99861111111)</f>
        <v>42759.99861</v>
      </c>
      <c r="B2151" s="1">
        <f>IFERROR(__xludf.DUMMYFUNCTION("""COMPUTED_VALUE"""),43780.14527)</f>
        <v>43780.14527</v>
      </c>
    </row>
    <row r="2152">
      <c r="A2152" s="3">
        <f>IFERROR(__xludf.DUMMYFUNCTION("""COMPUTED_VALUE"""),42760.99861111111)</f>
        <v>42760.99861</v>
      </c>
      <c r="B2152" s="1">
        <f>IFERROR(__xludf.DUMMYFUNCTION("""COMPUTED_VALUE"""),43737.88007)</f>
        <v>43737.88007</v>
      </c>
    </row>
    <row r="2153">
      <c r="A2153" s="3">
        <f>IFERROR(__xludf.DUMMYFUNCTION("""COMPUTED_VALUE"""),42761.99861111111)</f>
        <v>42761.99861</v>
      </c>
      <c r="B2153" s="1">
        <f>IFERROR(__xludf.DUMMYFUNCTION("""COMPUTED_VALUE"""),43978.31643)</f>
        <v>43978.31643</v>
      </c>
    </row>
    <row r="2154">
      <c r="A2154" s="3">
        <f>IFERROR(__xludf.DUMMYFUNCTION("""COMPUTED_VALUE"""),42762.99861111111)</f>
        <v>42762.99861</v>
      </c>
      <c r="B2154" s="1">
        <f>IFERROR(__xludf.DUMMYFUNCTION("""COMPUTED_VALUE"""),43843.75143)</f>
        <v>43843.75143</v>
      </c>
    </row>
    <row r="2155">
      <c r="A2155" s="3">
        <f>IFERROR(__xludf.DUMMYFUNCTION("""COMPUTED_VALUE"""),42763.99861111111)</f>
        <v>42763.99861</v>
      </c>
      <c r="B2155" s="1">
        <f>IFERROR(__xludf.DUMMYFUNCTION("""COMPUTED_VALUE"""),43883.07524)</f>
        <v>43883.07524</v>
      </c>
    </row>
    <row r="2156">
      <c r="A2156" s="3">
        <f>IFERROR(__xludf.DUMMYFUNCTION("""COMPUTED_VALUE"""),42764.99861111111)</f>
        <v>42764.99861</v>
      </c>
      <c r="B2156" s="1">
        <f>IFERROR(__xludf.DUMMYFUNCTION("""COMPUTED_VALUE"""),43741.99533)</f>
        <v>43741.99533</v>
      </c>
    </row>
    <row r="2157">
      <c r="A2157" s="3">
        <f>IFERROR(__xludf.DUMMYFUNCTION("""COMPUTED_VALUE"""),42765.99861111111)</f>
        <v>42765.99861</v>
      </c>
      <c r="B2157" s="1">
        <f>IFERROR(__xludf.DUMMYFUNCTION("""COMPUTED_VALUE"""),43772.7551)</f>
        <v>43772.7551</v>
      </c>
    </row>
    <row r="2158">
      <c r="A2158" s="3">
        <f>IFERROR(__xludf.DUMMYFUNCTION("""COMPUTED_VALUE"""),42766.99861111111)</f>
        <v>42766.99861</v>
      </c>
      <c r="B2158" s="1">
        <f>IFERROR(__xludf.DUMMYFUNCTION("""COMPUTED_VALUE"""),43830.25127)</f>
        <v>43830.25127</v>
      </c>
    </row>
    <row r="2159">
      <c r="A2159" s="3">
        <f>IFERROR(__xludf.DUMMYFUNCTION("""COMPUTED_VALUE"""),42767.99861111111)</f>
        <v>42767.99861</v>
      </c>
      <c r="B2159" s="1">
        <f>IFERROR(__xludf.DUMMYFUNCTION("""COMPUTED_VALUE"""),43896.8184)</f>
        <v>43896.8184</v>
      </c>
    </row>
    <row r="2160">
      <c r="A2160" s="3">
        <f>IFERROR(__xludf.DUMMYFUNCTION("""COMPUTED_VALUE"""),42768.99861111111)</f>
        <v>42768.99861</v>
      </c>
      <c r="B2160" s="1">
        <f>IFERROR(__xludf.DUMMYFUNCTION("""COMPUTED_VALUE"""),43793.27078)</f>
        <v>43793.27078</v>
      </c>
    </row>
    <row r="2161">
      <c r="A2161" s="3">
        <f>IFERROR(__xludf.DUMMYFUNCTION("""COMPUTED_VALUE"""),42769.99861111111)</f>
        <v>42769.99861</v>
      </c>
      <c r="B2161" s="1">
        <f>IFERROR(__xludf.DUMMYFUNCTION("""COMPUTED_VALUE"""),43715.73569)</f>
        <v>43715.73569</v>
      </c>
    </row>
    <row r="2162">
      <c r="A2162" s="3">
        <f>IFERROR(__xludf.DUMMYFUNCTION("""COMPUTED_VALUE"""),42770.99861111111)</f>
        <v>42770.99861</v>
      </c>
      <c r="B2162" s="1">
        <f>IFERROR(__xludf.DUMMYFUNCTION("""COMPUTED_VALUE"""),43766.05572)</f>
        <v>43766.05572</v>
      </c>
    </row>
    <row r="2163">
      <c r="A2163" s="3">
        <f>IFERROR(__xludf.DUMMYFUNCTION("""COMPUTED_VALUE"""),42771.99861111111)</f>
        <v>42771.99861</v>
      </c>
      <c r="B2163" s="1">
        <f>IFERROR(__xludf.DUMMYFUNCTION("""COMPUTED_VALUE"""),43781.38479)</f>
        <v>43781.38479</v>
      </c>
    </row>
    <row r="2164">
      <c r="A2164" s="3">
        <f>IFERROR(__xludf.DUMMYFUNCTION("""COMPUTED_VALUE"""),42772.99861111111)</f>
        <v>42772.99861</v>
      </c>
      <c r="B2164" s="1">
        <f>IFERROR(__xludf.DUMMYFUNCTION("""COMPUTED_VALUE"""),43780.78731)</f>
        <v>43780.78731</v>
      </c>
    </row>
    <row r="2165">
      <c r="A2165" s="3">
        <f>IFERROR(__xludf.DUMMYFUNCTION("""COMPUTED_VALUE"""),42773.99861111111)</f>
        <v>42773.99861</v>
      </c>
      <c r="B2165" s="1">
        <f>IFERROR(__xludf.DUMMYFUNCTION("""COMPUTED_VALUE"""),43725.35981)</f>
        <v>43725.35981</v>
      </c>
    </row>
    <row r="2166">
      <c r="A2166" s="3">
        <f>IFERROR(__xludf.DUMMYFUNCTION("""COMPUTED_VALUE"""),42774.99861111111)</f>
        <v>42774.99861</v>
      </c>
      <c r="B2166" s="1">
        <f>IFERROR(__xludf.DUMMYFUNCTION("""COMPUTED_VALUE"""),43641.72037)</f>
        <v>43641.72037</v>
      </c>
    </row>
    <row r="2167">
      <c r="A2167" s="3">
        <f>IFERROR(__xludf.DUMMYFUNCTION("""COMPUTED_VALUE"""),42775.99861111111)</f>
        <v>42775.99861</v>
      </c>
      <c r="B2167" s="1">
        <f>IFERROR(__xludf.DUMMYFUNCTION("""COMPUTED_VALUE"""),43631.5865)</f>
        <v>43631.5865</v>
      </c>
    </row>
    <row r="2168">
      <c r="A2168" s="3">
        <f>IFERROR(__xludf.DUMMYFUNCTION("""COMPUTED_VALUE"""),42776.99861111111)</f>
        <v>42776.99861</v>
      </c>
      <c r="B2168" s="1">
        <f>IFERROR(__xludf.DUMMYFUNCTION("""COMPUTED_VALUE"""),43690.7099)</f>
        <v>43690.7099</v>
      </c>
    </row>
    <row r="2169">
      <c r="A2169" s="3">
        <f>IFERROR(__xludf.DUMMYFUNCTION("""COMPUTED_VALUE"""),42777.99861111111)</f>
        <v>42777.99861</v>
      </c>
      <c r="B2169" s="1">
        <f>IFERROR(__xludf.DUMMYFUNCTION("""COMPUTED_VALUE"""),43757.42906)</f>
        <v>43757.42906</v>
      </c>
    </row>
    <row r="2170">
      <c r="A2170" s="3">
        <f>IFERROR(__xludf.DUMMYFUNCTION("""COMPUTED_VALUE"""),42778.99861111111)</f>
        <v>42778.99861</v>
      </c>
      <c r="B2170" s="1">
        <f>IFERROR(__xludf.DUMMYFUNCTION("""COMPUTED_VALUE"""),43762.90968)</f>
        <v>43762.90968</v>
      </c>
    </row>
    <row r="2171">
      <c r="A2171" s="3">
        <f>IFERROR(__xludf.DUMMYFUNCTION("""COMPUTED_VALUE"""),42779.99861111111)</f>
        <v>42779.99861</v>
      </c>
      <c r="B2171" s="1">
        <f>IFERROR(__xludf.DUMMYFUNCTION("""COMPUTED_VALUE"""),43681.96022)</f>
        <v>43681.96022</v>
      </c>
    </row>
    <row r="2172">
      <c r="A2172" s="3">
        <f>IFERROR(__xludf.DUMMYFUNCTION("""COMPUTED_VALUE"""),42780.99861111111)</f>
        <v>42780.99861</v>
      </c>
      <c r="B2172" s="1">
        <f>IFERROR(__xludf.DUMMYFUNCTION("""COMPUTED_VALUE"""),43696.88962)</f>
        <v>43696.88962</v>
      </c>
    </row>
    <row r="2173">
      <c r="A2173" s="3">
        <f>IFERROR(__xludf.DUMMYFUNCTION("""COMPUTED_VALUE"""),42781.99861111111)</f>
        <v>42781.99861</v>
      </c>
      <c r="B2173" s="1">
        <f>IFERROR(__xludf.DUMMYFUNCTION("""COMPUTED_VALUE"""),43680.48811)</f>
        <v>43680.48811</v>
      </c>
    </row>
    <row r="2174">
      <c r="A2174" s="3">
        <f>IFERROR(__xludf.DUMMYFUNCTION("""COMPUTED_VALUE"""),42782.99861111111)</f>
        <v>42782.99861</v>
      </c>
      <c r="B2174" s="1">
        <f>IFERROR(__xludf.DUMMYFUNCTION("""COMPUTED_VALUE"""),43704.05631)</f>
        <v>43704.05631</v>
      </c>
    </row>
    <row r="2175">
      <c r="A2175" s="3">
        <f>IFERROR(__xludf.DUMMYFUNCTION("""COMPUTED_VALUE"""),42783.99861111111)</f>
        <v>42783.99861</v>
      </c>
      <c r="B2175" s="1">
        <f>IFERROR(__xludf.DUMMYFUNCTION("""COMPUTED_VALUE"""),43709.63968)</f>
        <v>43709.63968</v>
      </c>
    </row>
    <row r="2176">
      <c r="A2176" s="3">
        <f>IFERROR(__xludf.DUMMYFUNCTION("""COMPUTED_VALUE"""),42784.99861111111)</f>
        <v>42784.99861</v>
      </c>
      <c r="B2176" s="1">
        <f>IFERROR(__xludf.DUMMYFUNCTION("""COMPUTED_VALUE"""),43752.66769)</f>
        <v>43752.66769</v>
      </c>
    </row>
    <row r="2177">
      <c r="A2177" s="3">
        <f>IFERROR(__xludf.DUMMYFUNCTION("""COMPUTED_VALUE"""),42785.99861111111)</f>
        <v>42785.99861</v>
      </c>
      <c r="B2177" s="1">
        <f>IFERROR(__xludf.DUMMYFUNCTION("""COMPUTED_VALUE"""),43748.9646)</f>
        <v>43748.9646</v>
      </c>
    </row>
    <row r="2178">
      <c r="A2178" s="3">
        <f>IFERROR(__xludf.DUMMYFUNCTION("""COMPUTED_VALUE"""),42786.99861111111)</f>
        <v>42786.99861</v>
      </c>
      <c r="B2178" s="1">
        <f>IFERROR(__xludf.DUMMYFUNCTION("""COMPUTED_VALUE"""),43767.82942)</f>
        <v>43767.82942</v>
      </c>
    </row>
    <row r="2179">
      <c r="A2179" s="3">
        <f>IFERROR(__xludf.DUMMYFUNCTION("""COMPUTED_VALUE"""),42787.99861111111)</f>
        <v>42787.99861</v>
      </c>
      <c r="B2179" s="1">
        <f>IFERROR(__xludf.DUMMYFUNCTION("""COMPUTED_VALUE"""),43803.9009)</f>
        <v>43803.9009</v>
      </c>
    </row>
    <row r="2180">
      <c r="A2180" s="3">
        <f>IFERROR(__xludf.DUMMYFUNCTION("""COMPUTED_VALUE"""),42788.99861111111)</f>
        <v>42788.99861</v>
      </c>
      <c r="B2180" s="1">
        <f>IFERROR(__xludf.DUMMYFUNCTION("""COMPUTED_VALUE"""),43759.83058)</f>
        <v>43759.83058</v>
      </c>
    </row>
    <row r="2181">
      <c r="A2181" s="3">
        <f>IFERROR(__xludf.DUMMYFUNCTION("""COMPUTED_VALUE"""),42789.99861111111)</f>
        <v>42789.99861</v>
      </c>
      <c r="B2181" s="1">
        <f>IFERROR(__xludf.DUMMYFUNCTION("""COMPUTED_VALUE"""),43695.68645)</f>
        <v>43695.68645</v>
      </c>
    </row>
    <row r="2182">
      <c r="A2182" s="3">
        <f>IFERROR(__xludf.DUMMYFUNCTION("""COMPUTED_VALUE"""),42790.99861111111)</f>
        <v>42790.99861</v>
      </c>
      <c r="B2182" s="1">
        <f>IFERROR(__xludf.DUMMYFUNCTION("""COMPUTED_VALUE"""),43689.12799)</f>
        <v>43689.12799</v>
      </c>
    </row>
    <row r="2183">
      <c r="A2183" s="3">
        <f>IFERROR(__xludf.DUMMYFUNCTION("""COMPUTED_VALUE"""),42791.99861111111)</f>
        <v>42791.99861</v>
      </c>
      <c r="B2183" s="1">
        <f>IFERROR(__xludf.DUMMYFUNCTION("""COMPUTED_VALUE"""),43746.51015)</f>
        <v>43746.51015</v>
      </c>
    </row>
    <row r="2184">
      <c r="A2184" s="3">
        <f>IFERROR(__xludf.DUMMYFUNCTION("""COMPUTED_VALUE"""),42792.99861111111)</f>
        <v>42792.99861</v>
      </c>
      <c r="B2184" s="1">
        <f>IFERROR(__xludf.DUMMYFUNCTION("""COMPUTED_VALUE"""),43749.79369)</f>
        <v>43749.79369</v>
      </c>
    </row>
    <row r="2185">
      <c r="A2185" s="3">
        <f>IFERROR(__xludf.DUMMYFUNCTION("""COMPUTED_VALUE"""),42793.99861111111)</f>
        <v>42793.99861</v>
      </c>
      <c r="B2185" s="1">
        <f>IFERROR(__xludf.DUMMYFUNCTION("""COMPUTED_VALUE"""),43748.75865)</f>
        <v>43748.75865</v>
      </c>
    </row>
    <row r="2186">
      <c r="A2186" s="3">
        <f>IFERROR(__xludf.DUMMYFUNCTION("""COMPUTED_VALUE"""),42794.99861111111)</f>
        <v>42794.99861</v>
      </c>
      <c r="B2186" s="1">
        <f>IFERROR(__xludf.DUMMYFUNCTION("""COMPUTED_VALUE"""),43926.51069)</f>
        <v>43926.51069</v>
      </c>
    </row>
    <row r="2187">
      <c r="A2187" s="3">
        <f>IFERROR(__xludf.DUMMYFUNCTION("""COMPUTED_VALUE"""),42795.99861111111)</f>
        <v>42795.99861</v>
      </c>
      <c r="B2187" s="1">
        <f>IFERROR(__xludf.DUMMYFUNCTION("""COMPUTED_VALUE"""),43900.99819)</f>
        <v>43900.99819</v>
      </c>
    </row>
    <row r="2188">
      <c r="A2188" s="3">
        <f>IFERROR(__xludf.DUMMYFUNCTION("""COMPUTED_VALUE"""),42796.99861111111)</f>
        <v>42796.99861</v>
      </c>
      <c r="B2188" s="1">
        <f>IFERROR(__xludf.DUMMYFUNCTION("""COMPUTED_VALUE"""),43809.98811)</f>
        <v>43809.98811</v>
      </c>
    </row>
    <row r="2189">
      <c r="A2189" s="3">
        <f>IFERROR(__xludf.DUMMYFUNCTION("""COMPUTED_VALUE"""),42797.99861111111)</f>
        <v>42797.99861</v>
      </c>
      <c r="B2189" s="1">
        <f>IFERROR(__xludf.DUMMYFUNCTION("""COMPUTED_VALUE"""),43651.85871)</f>
        <v>43651.85871</v>
      </c>
    </row>
    <row r="2190">
      <c r="A2190" s="3">
        <f>IFERROR(__xludf.DUMMYFUNCTION("""COMPUTED_VALUE"""),42798.99861111111)</f>
        <v>42798.99861</v>
      </c>
      <c r="B2190" s="1">
        <f>IFERROR(__xludf.DUMMYFUNCTION("""COMPUTED_VALUE"""),43708.66907)</f>
        <v>43708.66907</v>
      </c>
    </row>
    <row r="2191">
      <c r="A2191" s="3">
        <f>IFERROR(__xludf.DUMMYFUNCTION("""COMPUTED_VALUE"""),42799.99861111111)</f>
        <v>42799.99861</v>
      </c>
      <c r="B2191" s="1">
        <f>IFERROR(__xludf.DUMMYFUNCTION("""COMPUTED_VALUE"""),43527.28897)</f>
        <v>43527.28897</v>
      </c>
    </row>
    <row r="2192">
      <c r="A2192" s="3">
        <f>IFERROR(__xludf.DUMMYFUNCTION("""COMPUTED_VALUE"""),42800.99861111111)</f>
        <v>42800.99861</v>
      </c>
      <c r="B2192" s="1">
        <f>IFERROR(__xludf.DUMMYFUNCTION("""COMPUTED_VALUE"""),43701.26737)</f>
        <v>43701.26737</v>
      </c>
    </row>
    <row r="2193">
      <c r="A2193" s="3">
        <f>IFERROR(__xludf.DUMMYFUNCTION("""COMPUTED_VALUE"""),42801.99861111111)</f>
        <v>42801.99861</v>
      </c>
      <c r="B2193" s="1">
        <f>IFERROR(__xludf.DUMMYFUNCTION("""COMPUTED_VALUE"""),43717.42173)</f>
        <v>43717.42173</v>
      </c>
    </row>
    <row r="2194">
      <c r="A2194" s="3">
        <f>IFERROR(__xludf.DUMMYFUNCTION("""COMPUTED_VALUE"""),42802.99861111111)</f>
        <v>42802.99861</v>
      </c>
      <c r="B2194" s="1">
        <f>IFERROR(__xludf.DUMMYFUNCTION("""COMPUTED_VALUE"""),43822.32256)</f>
        <v>43822.32256</v>
      </c>
    </row>
    <row r="2195">
      <c r="A2195" s="3">
        <f>IFERROR(__xludf.DUMMYFUNCTION("""COMPUTED_VALUE"""),42803.99861111111)</f>
        <v>42803.99861</v>
      </c>
      <c r="B2195" s="1">
        <f>IFERROR(__xludf.DUMMYFUNCTION("""COMPUTED_VALUE"""),43903.95244)</f>
        <v>43903.95244</v>
      </c>
    </row>
    <row r="2196">
      <c r="A2196" s="3">
        <f>IFERROR(__xludf.DUMMYFUNCTION("""COMPUTED_VALUE"""),42804.99861111111)</f>
        <v>42804.99861</v>
      </c>
      <c r="B2196" s="1">
        <f>IFERROR(__xludf.DUMMYFUNCTION("""COMPUTED_VALUE"""),43727.06566)</f>
        <v>43727.06566</v>
      </c>
    </row>
    <row r="2197">
      <c r="A2197" s="3">
        <f>IFERROR(__xludf.DUMMYFUNCTION("""COMPUTED_VALUE"""),42806.99861111111)</f>
        <v>42806.99861</v>
      </c>
      <c r="B2197" s="1">
        <f>IFERROR(__xludf.DUMMYFUNCTION("""COMPUTED_VALUE"""),43717.23862)</f>
        <v>43717.23862</v>
      </c>
    </row>
    <row r="2198">
      <c r="A2198" s="3">
        <f>IFERROR(__xludf.DUMMYFUNCTION("""COMPUTED_VALUE"""),42807.99861111111)</f>
        <v>42807.99861</v>
      </c>
      <c r="B2198" s="1">
        <f>IFERROR(__xludf.DUMMYFUNCTION("""COMPUTED_VALUE"""),43832.56019)</f>
        <v>43832.56019</v>
      </c>
    </row>
    <row r="2199">
      <c r="A2199" s="3">
        <f>IFERROR(__xludf.DUMMYFUNCTION("""COMPUTED_VALUE"""),42808.99861111111)</f>
        <v>42808.99861</v>
      </c>
      <c r="B2199" s="1">
        <f>IFERROR(__xludf.DUMMYFUNCTION("""COMPUTED_VALUE"""),43894.44189)</f>
        <v>43894.44189</v>
      </c>
    </row>
    <row r="2200">
      <c r="A2200" s="3">
        <f>IFERROR(__xludf.DUMMYFUNCTION("""COMPUTED_VALUE"""),42809.99861111111)</f>
        <v>42809.99861</v>
      </c>
      <c r="B2200" s="1">
        <f>IFERROR(__xludf.DUMMYFUNCTION("""COMPUTED_VALUE"""),43320.21102)</f>
        <v>43320.21102</v>
      </c>
    </row>
    <row r="2201">
      <c r="A2201" s="3">
        <f>IFERROR(__xludf.DUMMYFUNCTION("""COMPUTED_VALUE"""),42810.99861111111)</f>
        <v>42810.99861</v>
      </c>
      <c r="B2201" s="1">
        <f>IFERROR(__xludf.DUMMYFUNCTION("""COMPUTED_VALUE"""),43586.54397)</f>
        <v>43586.54397</v>
      </c>
    </row>
    <row r="2202">
      <c r="A2202" s="3">
        <f>IFERROR(__xludf.DUMMYFUNCTION("""COMPUTED_VALUE"""),42811.99861111111)</f>
        <v>42811.99861</v>
      </c>
      <c r="B2202" s="1">
        <f>IFERROR(__xludf.DUMMYFUNCTION("""COMPUTED_VALUE"""),43845.5118)</f>
        <v>43845.5118</v>
      </c>
    </row>
    <row r="2203">
      <c r="A2203" s="3">
        <f>IFERROR(__xludf.DUMMYFUNCTION("""COMPUTED_VALUE"""),42812.99861111111)</f>
        <v>42812.99861</v>
      </c>
      <c r="B2203" s="1">
        <f>IFERROR(__xludf.DUMMYFUNCTION("""COMPUTED_VALUE"""),43845.5118)</f>
        <v>43845.5118</v>
      </c>
    </row>
    <row r="2204">
      <c r="A2204" s="3">
        <f>IFERROR(__xludf.DUMMYFUNCTION("""COMPUTED_VALUE"""),42813.99861111111)</f>
        <v>42813.99861</v>
      </c>
      <c r="B2204" s="1">
        <f>IFERROR(__xludf.DUMMYFUNCTION("""COMPUTED_VALUE"""),43812.6441)</f>
        <v>43812.6441</v>
      </c>
    </row>
    <row r="2205">
      <c r="A2205" s="3">
        <f>IFERROR(__xludf.DUMMYFUNCTION("""COMPUTED_VALUE"""),42814.99861111111)</f>
        <v>42814.99861</v>
      </c>
      <c r="B2205" s="1">
        <f>IFERROR(__xludf.DUMMYFUNCTION("""COMPUTED_VALUE"""),43761.69006)</f>
        <v>43761.69006</v>
      </c>
    </row>
    <row r="2206">
      <c r="A2206" s="3">
        <f>IFERROR(__xludf.DUMMYFUNCTION("""COMPUTED_VALUE"""),42815.99861111111)</f>
        <v>42815.99861</v>
      </c>
      <c r="B2206" s="1">
        <f>IFERROR(__xludf.DUMMYFUNCTION("""COMPUTED_VALUE"""),43711.60318)</f>
        <v>43711.60318</v>
      </c>
    </row>
    <row r="2207">
      <c r="A2207" s="3">
        <f>IFERROR(__xludf.DUMMYFUNCTION("""COMPUTED_VALUE"""),42816.99861111111)</f>
        <v>42816.99861</v>
      </c>
      <c r="B2207" s="1">
        <f>IFERROR(__xludf.DUMMYFUNCTION("""COMPUTED_VALUE"""),43774.01079)</f>
        <v>43774.01079</v>
      </c>
    </row>
    <row r="2208">
      <c r="A2208" s="3">
        <f>IFERROR(__xludf.DUMMYFUNCTION("""COMPUTED_VALUE"""),42817.99861111111)</f>
        <v>42817.99861</v>
      </c>
      <c r="B2208" s="1">
        <f>IFERROR(__xludf.DUMMYFUNCTION("""COMPUTED_VALUE"""),43787.59961)</f>
        <v>43787.59961</v>
      </c>
    </row>
    <row r="2209">
      <c r="A2209" s="3">
        <f>IFERROR(__xludf.DUMMYFUNCTION("""COMPUTED_VALUE"""),42818.99861111111)</f>
        <v>42818.99861</v>
      </c>
      <c r="B2209" s="1">
        <f>IFERROR(__xludf.DUMMYFUNCTION("""COMPUTED_VALUE"""),43698.21183)</f>
        <v>43698.21183</v>
      </c>
    </row>
    <row r="2210">
      <c r="A2210" s="3">
        <f>IFERROR(__xludf.DUMMYFUNCTION("""COMPUTED_VALUE"""),42819.99861111111)</f>
        <v>42819.99861</v>
      </c>
      <c r="B2210" s="1">
        <f>IFERROR(__xludf.DUMMYFUNCTION("""COMPUTED_VALUE"""),43698.21183)</f>
        <v>43698.21183</v>
      </c>
    </row>
    <row r="2211">
      <c r="A2211" s="3">
        <f>IFERROR(__xludf.DUMMYFUNCTION("""COMPUTED_VALUE"""),42820.99861111111)</f>
        <v>42820.99861</v>
      </c>
      <c r="B2211" s="1">
        <f>IFERROR(__xludf.DUMMYFUNCTION("""COMPUTED_VALUE"""),44411.83704)</f>
        <v>44411.83704</v>
      </c>
    </row>
    <row r="2212">
      <c r="A2212" s="3">
        <f>IFERROR(__xludf.DUMMYFUNCTION("""COMPUTED_VALUE"""),42821.99861111111)</f>
        <v>42821.99861</v>
      </c>
      <c r="B2212" s="1">
        <f>IFERROR(__xludf.DUMMYFUNCTION("""COMPUTED_VALUE"""),43786.39414)</f>
        <v>43786.39414</v>
      </c>
    </row>
    <row r="2213">
      <c r="A2213" s="3">
        <f>IFERROR(__xludf.DUMMYFUNCTION("""COMPUTED_VALUE"""),42822.99861111111)</f>
        <v>42822.99861</v>
      </c>
      <c r="B2213" s="1">
        <f>IFERROR(__xludf.DUMMYFUNCTION("""COMPUTED_VALUE"""),43786.79632)</f>
        <v>43786.79632</v>
      </c>
    </row>
    <row r="2214">
      <c r="A2214" s="3">
        <f>IFERROR(__xludf.DUMMYFUNCTION("""COMPUTED_VALUE"""),42823.99861111111)</f>
        <v>42823.99861</v>
      </c>
      <c r="B2214" s="1">
        <f>IFERROR(__xludf.DUMMYFUNCTION("""COMPUTED_VALUE"""),43767.05624)</f>
        <v>43767.05624</v>
      </c>
    </row>
    <row r="2215">
      <c r="A2215" s="3">
        <f>IFERROR(__xludf.DUMMYFUNCTION("""COMPUTED_VALUE"""),42824.99861111111)</f>
        <v>42824.99861</v>
      </c>
      <c r="B2215" s="1">
        <f>IFERROR(__xludf.DUMMYFUNCTION("""COMPUTED_VALUE"""),43717.93569)</f>
        <v>43717.93569</v>
      </c>
    </row>
    <row r="2216">
      <c r="A2216" s="3">
        <f>IFERROR(__xludf.DUMMYFUNCTION("""COMPUTED_VALUE"""),42825.99861111111)</f>
        <v>42825.99861</v>
      </c>
      <c r="B2216" s="1">
        <f>IFERROR(__xludf.DUMMYFUNCTION("""COMPUTED_VALUE"""),43751.42579)</f>
        <v>43751.42579</v>
      </c>
    </row>
    <row r="2217">
      <c r="A2217" s="3">
        <f>IFERROR(__xludf.DUMMYFUNCTION("""COMPUTED_VALUE"""),42827.99861111111)</f>
        <v>42827.99861</v>
      </c>
      <c r="B2217" s="1">
        <f>IFERROR(__xludf.DUMMYFUNCTION("""COMPUTED_VALUE"""),44461.85037)</f>
        <v>44461.85037</v>
      </c>
    </row>
    <row r="2218">
      <c r="A2218" s="3">
        <f>IFERROR(__xludf.DUMMYFUNCTION("""COMPUTED_VALUE"""),42828.99861111111)</f>
        <v>42828.99861</v>
      </c>
      <c r="B2218" s="1">
        <f>IFERROR(__xludf.DUMMYFUNCTION("""COMPUTED_VALUE"""),43773.81996)</f>
        <v>43773.81996</v>
      </c>
    </row>
    <row r="2219">
      <c r="A2219" s="3">
        <f>IFERROR(__xludf.DUMMYFUNCTION("""COMPUTED_VALUE"""),42829.99861111111)</f>
        <v>42829.99861</v>
      </c>
      <c r="B2219" s="1">
        <f>IFERROR(__xludf.DUMMYFUNCTION("""COMPUTED_VALUE"""),43826.41692)</f>
        <v>43826.41692</v>
      </c>
    </row>
    <row r="2220">
      <c r="A2220" s="3">
        <f>IFERROR(__xludf.DUMMYFUNCTION("""COMPUTED_VALUE"""),42830.99861111111)</f>
        <v>42830.99861</v>
      </c>
      <c r="B2220" s="1">
        <f>IFERROR(__xludf.DUMMYFUNCTION("""COMPUTED_VALUE"""),43760.87235)</f>
        <v>43760.87235</v>
      </c>
    </row>
    <row r="2221">
      <c r="A2221" s="3">
        <f>IFERROR(__xludf.DUMMYFUNCTION("""COMPUTED_VALUE"""),42831.99861111111)</f>
        <v>42831.99861</v>
      </c>
      <c r="B2221" s="1">
        <f>IFERROR(__xludf.DUMMYFUNCTION("""COMPUTED_VALUE"""),43859.41068)</f>
        <v>43859.41068</v>
      </c>
    </row>
    <row r="2222">
      <c r="A2222" s="3">
        <f>IFERROR(__xludf.DUMMYFUNCTION("""COMPUTED_VALUE"""),42832.99861111111)</f>
        <v>42832.99861</v>
      </c>
      <c r="B2222" s="1">
        <f>IFERROR(__xludf.DUMMYFUNCTION("""COMPUTED_VALUE"""),43808.92876)</f>
        <v>43808.92876</v>
      </c>
    </row>
    <row r="2223">
      <c r="A2223" s="3">
        <f>IFERROR(__xludf.DUMMYFUNCTION("""COMPUTED_VALUE"""),42833.99861111111)</f>
        <v>42833.99861</v>
      </c>
      <c r="B2223" s="1">
        <f>IFERROR(__xludf.DUMMYFUNCTION("""COMPUTED_VALUE"""),43861.91999)</f>
        <v>43861.91999</v>
      </c>
    </row>
    <row r="2224">
      <c r="A2224" s="3">
        <f>IFERROR(__xludf.DUMMYFUNCTION("""COMPUTED_VALUE"""),42834.99861111111)</f>
        <v>42834.99861</v>
      </c>
      <c r="B2224" s="1">
        <f>IFERROR(__xludf.DUMMYFUNCTION("""COMPUTED_VALUE"""),44588.5508)</f>
        <v>44588.5508</v>
      </c>
    </row>
    <row r="2225">
      <c r="A2225" s="3">
        <f>IFERROR(__xludf.DUMMYFUNCTION("""COMPUTED_VALUE"""),42835.99861111111)</f>
        <v>42835.99861</v>
      </c>
      <c r="B2225" s="1">
        <f>IFERROR(__xludf.DUMMYFUNCTION("""COMPUTED_VALUE"""),43475.83581)</f>
        <v>43475.83581</v>
      </c>
    </row>
    <row r="2226">
      <c r="A2226" s="3">
        <f>IFERROR(__xludf.DUMMYFUNCTION("""COMPUTED_VALUE"""),42836.99861111111)</f>
        <v>42836.99861</v>
      </c>
      <c r="B2226" s="1">
        <f>IFERROR(__xludf.DUMMYFUNCTION("""COMPUTED_VALUE"""),43612.79499)</f>
        <v>43612.79499</v>
      </c>
    </row>
    <row r="2227">
      <c r="A2227" s="3">
        <f>IFERROR(__xludf.DUMMYFUNCTION("""COMPUTED_VALUE"""),42837.99861111111)</f>
        <v>42837.99861</v>
      </c>
      <c r="B2227" s="1">
        <f>IFERROR(__xludf.DUMMYFUNCTION("""COMPUTED_VALUE"""),43595.46764)</f>
        <v>43595.46764</v>
      </c>
    </row>
    <row r="2228">
      <c r="A2228" s="3">
        <f>IFERROR(__xludf.DUMMYFUNCTION("""COMPUTED_VALUE"""),42838.99861111111)</f>
        <v>42838.99861</v>
      </c>
      <c r="B2228" s="1">
        <f>IFERROR(__xludf.DUMMYFUNCTION("""COMPUTED_VALUE"""),43639.45994)</f>
        <v>43639.45994</v>
      </c>
    </row>
    <row r="2229">
      <c r="A2229" s="3">
        <f>IFERROR(__xludf.DUMMYFUNCTION("""COMPUTED_VALUE"""),42839.99861111111)</f>
        <v>42839.99861</v>
      </c>
      <c r="B2229" s="1">
        <f>IFERROR(__xludf.DUMMYFUNCTION("""COMPUTED_VALUE"""),43655.89541)</f>
        <v>43655.89541</v>
      </c>
    </row>
    <row r="2230">
      <c r="A2230" s="3">
        <f>IFERROR(__xludf.DUMMYFUNCTION("""COMPUTED_VALUE"""),42840.99861111111)</f>
        <v>42840.99861</v>
      </c>
      <c r="B2230" s="1">
        <f>IFERROR(__xludf.DUMMYFUNCTION("""COMPUTED_VALUE"""),43659.1825)</f>
        <v>43659.1825</v>
      </c>
    </row>
    <row r="2231">
      <c r="A2231" s="3">
        <f>IFERROR(__xludf.DUMMYFUNCTION("""COMPUTED_VALUE"""),42841.99861111111)</f>
        <v>42841.99861</v>
      </c>
      <c r="B2231" s="1">
        <f>IFERROR(__xludf.DUMMYFUNCTION("""COMPUTED_VALUE"""),44301.80771)</f>
        <v>44301.80771</v>
      </c>
    </row>
    <row r="2232">
      <c r="A2232" s="3">
        <f>IFERROR(__xludf.DUMMYFUNCTION("""COMPUTED_VALUE"""),42842.99861111111)</f>
        <v>42842.99861</v>
      </c>
      <c r="B2232" s="1">
        <f>IFERROR(__xludf.DUMMYFUNCTION("""COMPUTED_VALUE"""),43649.32122)</f>
        <v>43649.32122</v>
      </c>
    </row>
    <row r="2233">
      <c r="A2233" s="3">
        <f>IFERROR(__xludf.DUMMYFUNCTION("""COMPUTED_VALUE"""),42843.99861111111)</f>
        <v>42843.99861</v>
      </c>
      <c r="B2233" s="1">
        <f>IFERROR(__xludf.DUMMYFUNCTION("""COMPUTED_VALUE"""),43679.36769)</f>
        <v>43679.36769</v>
      </c>
    </row>
    <row r="2234">
      <c r="A2234" s="3">
        <f>IFERROR(__xludf.DUMMYFUNCTION("""COMPUTED_VALUE"""),42844.99861111111)</f>
        <v>42844.99861</v>
      </c>
      <c r="B2234" s="1">
        <f>IFERROR(__xludf.DUMMYFUNCTION("""COMPUTED_VALUE"""),43862.57733)</f>
        <v>43862.57733</v>
      </c>
    </row>
    <row r="2235">
      <c r="A2235" s="3">
        <f>IFERROR(__xludf.DUMMYFUNCTION("""COMPUTED_VALUE"""),42845.99861111111)</f>
        <v>42845.99861</v>
      </c>
      <c r="B2235" s="1">
        <f>IFERROR(__xludf.DUMMYFUNCTION("""COMPUTED_VALUE"""),43791.50294)</f>
        <v>43791.50294</v>
      </c>
    </row>
    <row r="2236">
      <c r="A2236" s="3">
        <f>IFERROR(__xludf.DUMMYFUNCTION("""COMPUTED_VALUE"""),42846.99861111111)</f>
        <v>42846.99861</v>
      </c>
      <c r="B2236" s="1">
        <f>IFERROR(__xludf.DUMMYFUNCTION("""COMPUTED_VALUE"""),43702.11549)</f>
        <v>43702.11549</v>
      </c>
    </row>
    <row r="2237">
      <c r="A2237" s="3">
        <f>IFERROR(__xludf.DUMMYFUNCTION("""COMPUTED_VALUE"""),42848.99861111111)</f>
        <v>42848.99861</v>
      </c>
      <c r="B2237" s="1">
        <f>IFERROR(__xludf.DUMMYFUNCTION("""COMPUTED_VALUE"""),43694.97931)</f>
        <v>43694.97931</v>
      </c>
    </row>
    <row r="2238">
      <c r="A2238" s="3">
        <f>IFERROR(__xludf.DUMMYFUNCTION("""COMPUTED_VALUE"""),42849.99861111111)</f>
        <v>42849.99861</v>
      </c>
      <c r="B2238" s="1">
        <f>IFERROR(__xludf.DUMMYFUNCTION("""COMPUTED_VALUE"""),43185.25694)</f>
        <v>43185.25694</v>
      </c>
    </row>
    <row r="2239">
      <c r="A2239" s="3">
        <f>IFERROR(__xludf.DUMMYFUNCTION("""COMPUTED_VALUE"""),42850.99861111111)</f>
        <v>42850.99861</v>
      </c>
      <c r="B2239" s="1">
        <f>IFERROR(__xludf.DUMMYFUNCTION("""COMPUTED_VALUE"""),43774.26646)</f>
        <v>43774.26646</v>
      </c>
    </row>
    <row r="2240">
      <c r="A2240" s="3">
        <f>IFERROR(__xludf.DUMMYFUNCTION("""COMPUTED_VALUE"""),42851.99861111111)</f>
        <v>42851.99861</v>
      </c>
      <c r="B2240" s="1">
        <f>IFERROR(__xludf.DUMMYFUNCTION("""COMPUTED_VALUE"""),43636.06311)</f>
        <v>43636.06311</v>
      </c>
    </row>
    <row r="2241">
      <c r="A2241" s="3">
        <f>IFERROR(__xludf.DUMMYFUNCTION("""COMPUTED_VALUE"""),42852.99861111111)</f>
        <v>42852.99861</v>
      </c>
      <c r="B2241" s="1">
        <f>IFERROR(__xludf.DUMMYFUNCTION("""COMPUTED_VALUE"""),43932.21315)</f>
        <v>43932.21315</v>
      </c>
    </row>
    <row r="2242">
      <c r="A2242" s="3">
        <f>IFERROR(__xludf.DUMMYFUNCTION("""COMPUTED_VALUE"""),42853.99861111111)</f>
        <v>42853.99861</v>
      </c>
      <c r="B2242" s="1">
        <f>IFERROR(__xludf.DUMMYFUNCTION("""COMPUTED_VALUE"""),43870.20144)</f>
        <v>43870.20144</v>
      </c>
    </row>
    <row r="2243">
      <c r="A2243" s="3">
        <f>IFERROR(__xludf.DUMMYFUNCTION("""COMPUTED_VALUE"""),42854.99861111111)</f>
        <v>42854.99861</v>
      </c>
      <c r="B2243" s="1">
        <f>IFERROR(__xludf.DUMMYFUNCTION("""COMPUTED_VALUE"""),43893.64227)</f>
        <v>43893.64227</v>
      </c>
    </row>
    <row r="2244">
      <c r="A2244" s="3">
        <f>IFERROR(__xludf.DUMMYFUNCTION("""COMPUTED_VALUE"""),42855.99861111111)</f>
        <v>42855.99861</v>
      </c>
      <c r="B2244" s="1">
        <f>IFERROR(__xludf.DUMMYFUNCTION("""COMPUTED_VALUE"""),44418.50548)</f>
        <v>44418.50548</v>
      </c>
    </row>
    <row r="2245">
      <c r="A2245" s="3">
        <f>IFERROR(__xludf.DUMMYFUNCTION("""COMPUTED_VALUE"""),42856.99861111111)</f>
        <v>42856.99861</v>
      </c>
      <c r="B2245" s="1">
        <f>IFERROR(__xludf.DUMMYFUNCTION("""COMPUTED_VALUE"""),43849.5369)</f>
        <v>43849.5369</v>
      </c>
    </row>
    <row r="2246">
      <c r="A2246" s="3">
        <f>IFERROR(__xludf.DUMMYFUNCTION("""COMPUTED_VALUE"""),42857.99861111111)</f>
        <v>42857.99861</v>
      </c>
      <c r="B2246" s="1">
        <f>IFERROR(__xludf.DUMMYFUNCTION("""COMPUTED_VALUE"""),43755.13461)</f>
        <v>43755.13461</v>
      </c>
    </row>
    <row r="2247">
      <c r="A2247" s="3">
        <f>IFERROR(__xludf.DUMMYFUNCTION("""COMPUTED_VALUE"""),42858.99861111111)</f>
        <v>42858.99861</v>
      </c>
      <c r="B2247" s="1">
        <f>IFERROR(__xludf.DUMMYFUNCTION("""COMPUTED_VALUE"""),43784.75448)</f>
        <v>43784.75448</v>
      </c>
    </row>
    <row r="2248">
      <c r="A2248" s="3">
        <f>IFERROR(__xludf.DUMMYFUNCTION("""COMPUTED_VALUE"""),42859.99861111111)</f>
        <v>42859.99861</v>
      </c>
      <c r="B2248" s="1">
        <f>IFERROR(__xludf.DUMMYFUNCTION("""COMPUTED_VALUE"""),43903.23398)</f>
        <v>43903.23398</v>
      </c>
    </row>
    <row r="2249">
      <c r="A2249" s="3">
        <f>IFERROR(__xludf.DUMMYFUNCTION("""COMPUTED_VALUE"""),42860.99861111111)</f>
        <v>42860.99861</v>
      </c>
      <c r="B2249" s="1">
        <f>IFERROR(__xludf.DUMMYFUNCTION("""COMPUTED_VALUE"""),43842.60674)</f>
        <v>43842.60674</v>
      </c>
    </row>
    <row r="2250">
      <c r="A2250" s="3">
        <f>IFERROR(__xludf.DUMMYFUNCTION("""COMPUTED_VALUE"""),42863.99861111111)</f>
        <v>42863.99861</v>
      </c>
      <c r="B2250" s="1">
        <f>IFERROR(__xludf.DUMMYFUNCTION("""COMPUTED_VALUE"""),43857.79803)</f>
        <v>43857.79803</v>
      </c>
    </row>
    <row r="2251">
      <c r="A2251" s="3">
        <f>IFERROR(__xludf.DUMMYFUNCTION("""COMPUTED_VALUE"""),42864.99861111111)</f>
        <v>42864.99861</v>
      </c>
      <c r="B2251" s="1">
        <f>IFERROR(__xludf.DUMMYFUNCTION("""COMPUTED_VALUE"""),43973.0054)</f>
        <v>43973.0054</v>
      </c>
    </row>
    <row r="2252">
      <c r="A2252" s="3">
        <f>IFERROR(__xludf.DUMMYFUNCTION("""COMPUTED_VALUE"""),42865.99861111111)</f>
        <v>42865.99861</v>
      </c>
      <c r="B2252" s="1">
        <f>IFERROR(__xludf.DUMMYFUNCTION("""COMPUTED_VALUE"""),43953.25556)</f>
        <v>43953.25556</v>
      </c>
    </row>
    <row r="2253">
      <c r="A2253" s="3">
        <f>IFERROR(__xludf.DUMMYFUNCTION("""COMPUTED_VALUE"""),42866.99861111111)</f>
        <v>42866.99861</v>
      </c>
      <c r="B2253" s="1">
        <f>IFERROR(__xludf.DUMMYFUNCTION("""COMPUTED_VALUE"""),43818.29836)</f>
        <v>43818.29836</v>
      </c>
    </row>
    <row r="2254">
      <c r="A2254" s="3">
        <f>IFERROR(__xludf.DUMMYFUNCTION("""COMPUTED_VALUE"""),42867.99861111111)</f>
        <v>42867.99861</v>
      </c>
      <c r="B2254" s="1">
        <f>IFERROR(__xludf.DUMMYFUNCTION("""COMPUTED_VALUE"""),43770.53265)</f>
        <v>43770.53265</v>
      </c>
    </row>
    <row r="2255">
      <c r="A2255" s="3">
        <f>IFERROR(__xludf.DUMMYFUNCTION("""COMPUTED_VALUE"""),42869.99861111111)</f>
        <v>42869.99861</v>
      </c>
      <c r="B2255" s="1">
        <f>IFERROR(__xludf.DUMMYFUNCTION("""COMPUTED_VALUE"""),43796.83113)</f>
        <v>43796.83113</v>
      </c>
    </row>
    <row r="2256">
      <c r="A2256" s="3">
        <f>IFERROR(__xludf.DUMMYFUNCTION("""COMPUTED_VALUE"""),42870.99861111111)</f>
        <v>42870.99861</v>
      </c>
      <c r="B2256" s="1">
        <f>IFERROR(__xludf.DUMMYFUNCTION("""COMPUTED_VALUE"""),43664.73945)</f>
        <v>43664.73945</v>
      </c>
    </row>
    <row r="2257">
      <c r="A2257" s="3">
        <f>IFERROR(__xludf.DUMMYFUNCTION("""COMPUTED_VALUE"""),42871.99861111111)</f>
        <v>42871.99861</v>
      </c>
      <c r="B2257" s="1">
        <f>IFERROR(__xludf.DUMMYFUNCTION("""COMPUTED_VALUE"""),43698.96372)</f>
        <v>43698.96372</v>
      </c>
    </row>
    <row r="2258">
      <c r="A2258" s="3">
        <f>IFERROR(__xludf.DUMMYFUNCTION("""COMPUTED_VALUE"""),42872.99861111111)</f>
        <v>42872.99861</v>
      </c>
      <c r="B2258" s="1">
        <f>IFERROR(__xludf.DUMMYFUNCTION("""COMPUTED_VALUE"""),43874.1533)</f>
        <v>43874.1533</v>
      </c>
    </row>
    <row r="2259">
      <c r="A2259" s="3">
        <f>IFERROR(__xludf.DUMMYFUNCTION("""COMPUTED_VALUE"""),42873.99861111111)</f>
        <v>42873.99861</v>
      </c>
      <c r="B2259" s="1">
        <f>IFERROR(__xludf.DUMMYFUNCTION("""COMPUTED_VALUE"""),44199.2411)</f>
        <v>44199.2411</v>
      </c>
    </row>
    <row r="2260">
      <c r="A2260" s="3">
        <f>IFERROR(__xludf.DUMMYFUNCTION("""COMPUTED_VALUE"""),42874.99861111111)</f>
        <v>42874.99861</v>
      </c>
      <c r="B2260" s="1">
        <f>IFERROR(__xludf.DUMMYFUNCTION("""COMPUTED_VALUE"""),43896.00332)</f>
        <v>43896.00332</v>
      </c>
    </row>
    <row r="2261">
      <c r="A2261" s="3">
        <f>IFERROR(__xludf.DUMMYFUNCTION("""COMPUTED_VALUE"""),42875.99861111111)</f>
        <v>42875.99861</v>
      </c>
      <c r="B2261" s="1">
        <f>IFERROR(__xludf.DUMMYFUNCTION("""COMPUTED_VALUE"""),43933.33568)</f>
        <v>43933.33568</v>
      </c>
    </row>
    <row r="2262">
      <c r="A2262" s="3">
        <f>IFERROR(__xludf.DUMMYFUNCTION("""COMPUTED_VALUE"""),42876.99861111111)</f>
        <v>42876.99861</v>
      </c>
      <c r="B2262" s="1">
        <f>IFERROR(__xludf.DUMMYFUNCTION("""COMPUTED_VALUE"""),43915.77332)</f>
        <v>43915.77332</v>
      </c>
    </row>
    <row r="2263">
      <c r="A2263" s="3">
        <f>IFERROR(__xludf.DUMMYFUNCTION("""COMPUTED_VALUE"""),42877.99861111111)</f>
        <v>42877.99861</v>
      </c>
      <c r="B2263" s="1">
        <f>IFERROR(__xludf.DUMMYFUNCTION("""COMPUTED_VALUE"""),43886.97144)</f>
        <v>43886.97144</v>
      </c>
    </row>
    <row r="2264">
      <c r="A2264" s="3">
        <f>IFERROR(__xludf.DUMMYFUNCTION("""COMPUTED_VALUE"""),42878.99861111111)</f>
        <v>42878.99861</v>
      </c>
      <c r="B2264" s="1">
        <f>IFERROR(__xludf.DUMMYFUNCTION("""COMPUTED_VALUE"""),43888.4207)</f>
        <v>43888.4207</v>
      </c>
    </row>
    <row r="2265">
      <c r="A2265" s="3">
        <f>IFERROR(__xludf.DUMMYFUNCTION("""COMPUTED_VALUE"""),42879.99861111111)</f>
        <v>42879.99861</v>
      </c>
      <c r="B2265" s="1">
        <f>IFERROR(__xludf.DUMMYFUNCTION("""COMPUTED_VALUE"""),43886.50378)</f>
        <v>43886.50378</v>
      </c>
    </row>
    <row r="2266">
      <c r="A2266" s="3">
        <f>IFERROR(__xludf.DUMMYFUNCTION("""COMPUTED_VALUE"""),42880.99861111111)</f>
        <v>42880.99861</v>
      </c>
      <c r="B2266" s="1">
        <f>IFERROR(__xludf.DUMMYFUNCTION("""COMPUTED_VALUE"""),43908.22594)</f>
        <v>43908.22594</v>
      </c>
    </row>
    <row r="2267">
      <c r="A2267" s="3">
        <f>IFERROR(__xludf.DUMMYFUNCTION("""COMPUTED_VALUE"""),42881.99861111111)</f>
        <v>42881.99861</v>
      </c>
      <c r="B2267" s="1">
        <f>IFERROR(__xludf.DUMMYFUNCTION("""COMPUTED_VALUE"""),43885.11983)</f>
        <v>43885.11983</v>
      </c>
    </row>
    <row r="2268">
      <c r="A2268" s="3">
        <f>IFERROR(__xludf.DUMMYFUNCTION("""COMPUTED_VALUE"""),42882.99861111111)</f>
        <v>42882.99861</v>
      </c>
      <c r="B2268" s="1">
        <f>IFERROR(__xludf.DUMMYFUNCTION("""COMPUTED_VALUE"""),43862.01371)</f>
        <v>43862.01371</v>
      </c>
    </row>
    <row r="2269">
      <c r="A2269" s="3">
        <f>IFERROR(__xludf.DUMMYFUNCTION("""COMPUTED_VALUE"""),42883.99861111111)</f>
        <v>42883.99861</v>
      </c>
      <c r="B2269" s="1">
        <f>IFERROR(__xludf.DUMMYFUNCTION("""COMPUTED_VALUE"""),43862.01371)</f>
        <v>43862.01371</v>
      </c>
    </row>
    <row r="2270">
      <c r="A2270" s="3">
        <f>IFERROR(__xludf.DUMMYFUNCTION("""COMPUTED_VALUE"""),42884.99861111111)</f>
        <v>42884.99861</v>
      </c>
      <c r="B2270" s="1">
        <f>IFERROR(__xludf.DUMMYFUNCTION("""COMPUTED_VALUE"""),43951.13731)</f>
        <v>43951.13731</v>
      </c>
    </row>
    <row r="2271">
      <c r="A2271" s="3">
        <f>IFERROR(__xludf.DUMMYFUNCTION("""COMPUTED_VALUE"""),42885.99861111111)</f>
        <v>42885.99861</v>
      </c>
      <c r="B2271" s="1">
        <f>IFERROR(__xludf.DUMMYFUNCTION("""COMPUTED_VALUE"""),43964.3408)</f>
        <v>43964.3408</v>
      </c>
    </row>
    <row r="2272">
      <c r="A2272" s="3">
        <f>IFERROR(__xludf.DUMMYFUNCTION("""COMPUTED_VALUE"""),42886.99861111111)</f>
        <v>42886.99861</v>
      </c>
      <c r="B2272" s="1">
        <f>IFERROR(__xludf.DUMMYFUNCTION("""COMPUTED_VALUE"""),43881.81895)</f>
        <v>43881.81895</v>
      </c>
    </row>
    <row r="2273">
      <c r="A2273" s="3">
        <f>IFERROR(__xludf.DUMMYFUNCTION("""COMPUTED_VALUE"""),42887.99861111111)</f>
        <v>42887.99861</v>
      </c>
      <c r="B2273" s="1">
        <f>IFERROR(__xludf.DUMMYFUNCTION("""COMPUTED_VALUE"""),43862.01371)</f>
        <v>43862.01371</v>
      </c>
    </row>
    <row r="2274">
      <c r="A2274" s="3">
        <f>IFERROR(__xludf.DUMMYFUNCTION("""COMPUTED_VALUE"""),42888.99861111111)</f>
        <v>42888.99861</v>
      </c>
      <c r="B2274" s="1">
        <f>IFERROR(__xludf.DUMMYFUNCTION("""COMPUTED_VALUE"""),43823.59199)</f>
        <v>43823.59199</v>
      </c>
    </row>
    <row r="2275">
      <c r="A2275" s="3">
        <f>IFERROR(__xludf.DUMMYFUNCTION("""COMPUTED_VALUE"""),42889.99861111111)</f>
        <v>42889.99861</v>
      </c>
      <c r="B2275" s="1">
        <f>IFERROR(__xludf.DUMMYFUNCTION("""COMPUTED_VALUE"""),43882.96461)</f>
        <v>43882.96461</v>
      </c>
    </row>
    <row r="2276">
      <c r="A2276" s="3">
        <f>IFERROR(__xludf.DUMMYFUNCTION("""COMPUTED_VALUE"""),42890.99861111111)</f>
        <v>42890.99861</v>
      </c>
      <c r="B2276" s="1">
        <f>IFERROR(__xludf.DUMMYFUNCTION("""COMPUTED_VALUE"""),43882.96461)</f>
        <v>43882.96461</v>
      </c>
    </row>
    <row r="2277">
      <c r="A2277" s="3">
        <f>IFERROR(__xludf.DUMMYFUNCTION("""COMPUTED_VALUE"""),42891.99861111111)</f>
        <v>42891.99861</v>
      </c>
      <c r="B2277" s="1">
        <f>IFERROR(__xludf.DUMMYFUNCTION("""COMPUTED_VALUE"""),43874.47956)</f>
        <v>43874.47956</v>
      </c>
    </row>
    <row r="2278">
      <c r="A2278" s="3">
        <f>IFERROR(__xludf.DUMMYFUNCTION("""COMPUTED_VALUE"""),42892.99861111111)</f>
        <v>42892.99861</v>
      </c>
      <c r="B2278" s="1">
        <f>IFERROR(__xludf.DUMMYFUNCTION("""COMPUTED_VALUE"""),43809.67181)</f>
        <v>43809.67181</v>
      </c>
    </row>
    <row r="2279">
      <c r="A2279" s="3">
        <f>IFERROR(__xludf.DUMMYFUNCTION("""COMPUTED_VALUE"""),42893.99861111111)</f>
        <v>42893.99861</v>
      </c>
      <c r="B2279" s="1">
        <f>IFERROR(__xludf.DUMMYFUNCTION("""COMPUTED_VALUE"""),43988.09569)</f>
        <v>43988.09569</v>
      </c>
    </row>
    <row r="2280">
      <c r="A2280" s="3">
        <f>IFERROR(__xludf.DUMMYFUNCTION("""COMPUTED_VALUE"""),42894.99861111111)</f>
        <v>42894.99861</v>
      </c>
      <c r="B2280" s="1">
        <f>IFERROR(__xludf.DUMMYFUNCTION("""COMPUTED_VALUE"""),43922.01277)</f>
        <v>43922.01277</v>
      </c>
    </row>
    <row r="2281">
      <c r="A2281" s="3">
        <f>IFERROR(__xludf.DUMMYFUNCTION("""COMPUTED_VALUE"""),42895.99861111111)</f>
        <v>42895.99861</v>
      </c>
      <c r="B2281" s="1">
        <f>IFERROR(__xludf.DUMMYFUNCTION("""COMPUTED_VALUE"""),43837.81964)</f>
        <v>43837.81964</v>
      </c>
    </row>
    <row r="2282">
      <c r="A2282" s="3">
        <f>IFERROR(__xludf.DUMMYFUNCTION("""COMPUTED_VALUE"""),42896.99861111111)</f>
        <v>42896.99861</v>
      </c>
      <c r="B2282" s="1">
        <f>IFERROR(__xludf.DUMMYFUNCTION("""COMPUTED_VALUE"""),43811.4292)</f>
        <v>43811.4292</v>
      </c>
    </row>
    <row r="2283">
      <c r="A2283" s="3">
        <f>IFERROR(__xludf.DUMMYFUNCTION("""COMPUTED_VALUE"""),42897.99861111111)</f>
        <v>42897.99861</v>
      </c>
      <c r="B2283" s="1">
        <f>IFERROR(__xludf.DUMMYFUNCTION("""COMPUTED_VALUE"""),43857.61247)</f>
        <v>43857.61247</v>
      </c>
    </row>
    <row r="2284">
      <c r="A2284" s="3">
        <f>IFERROR(__xludf.DUMMYFUNCTION("""COMPUTED_VALUE"""),42898.99861111111)</f>
        <v>42898.99861</v>
      </c>
      <c r="B2284" s="1">
        <f>IFERROR(__xludf.DUMMYFUNCTION("""COMPUTED_VALUE"""),43991.39984)</f>
        <v>43991.39984</v>
      </c>
    </row>
    <row r="2285">
      <c r="A2285" s="3">
        <f>IFERROR(__xludf.DUMMYFUNCTION("""COMPUTED_VALUE"""),42899.99861111111)</f>
        <v>42899.99861</v>
      </c>
      <c r="B2285" s="1">
        <f>IFERROR(__xludf.DUMMYFUNCTION("""COMPUTED_VALUE"""),43827.74437)</f>
        <v>43827.74437</v>
      </c>
    </row>
    <row r="2286">
      <c r="A2286" s="3">
        <f>IFERROR(__xludf.DUMMYFUNCTION("""COMPUTED_VALUE"""),42900.99861111111)</f>
        <v>42900.99861</v>
      </c>
      <c r="B2286" s="1">
        <f>IFERROR(__xludf.DUMMYFUNCTION("""COMPUTED_VALUE"""),43855.41196)</f>
        <v>43855.41196</v>
      </c>
    </row>
    <row r="2287">
      <c r="A2287" s="3">
        <f>IFERROR(__xludf.DUMMYFUNCTION("""COMPUTED_VALUE"""),42901.99861111111)</f>
        <v>42901.99861</v>
      </c>
      <c r="B2287" s="1">
        <f>IFERROR(__xludf.DUMMYFUNCTION("""COMPUTED_VALUE"""),43900.65655)</f>
        <v>43900.65655</v>
      </c>
    </row>
    <row r="2288">
      <c r="A2288" s="3">
        <f>IFERROR(__xludf.DUMMYFUNCTION("""COMPUTED_VALUE"""),42902.99861111111)</f>
        <v>42902.99861</v>
      </c>
      <c r="B2288" s="1">
        <f>IFERROR(__xludf.DUMMYFUNCTION("""COMPUTED_VALUE"""),43774.69503)</f>
        <v>43774.69503</v>
      </c>
    </row>
    <row r="2289">
      <c r="A2289" s="3">
        <f>IFERROR(__xludf.DUMMYFUNCTION("""COMPUTED_VALUE"""),42903.99861111111)</f>
        <v>42903.99861</v>
      </c>
      <c r="B2289" s="1">
        <f>IFERROR(__xludf.DUMMYFUNCTION("""COMPUTED_VALUE"""),43768.10741)</f>
        <v>43768.10741</v>
      </c>
    </row>
    <row r="2290">
      <c r="A2290" s="3">
        <f>IFERROR(__xludf.DUMMYFUNCTION("""COMPUTED_VALUE"""),42904.99861111111)</f>
        <v>42904.99861</v>
      </c>
      <c r="B2290" s="1">
        <f>IFERROR(__xludf.DUMMYFUNCTION("""COMPUTED_VALUE"""),43731.87553)</f>
        <v>43731.87553</v>
      </c>
    </row>
    <row r="2291">
      <c r="A2291" s="3">
        <f>IFERROR(__xludf.DUMMYFUNCTION("""COMPUTED_VALUE"""),42905.99861111111)</f>
        <v>42905.99861</v>
      </c>
      <c r="B2291" s="1">
        <f>IFERROR(__xludf.DUMMYFUNCTION("""COMPUTED_VALUE"""),43874.23822)</f>
        <v>43874.23822</v>
      </c>
    </row>
    <row r="2292">
      <c r="A2292" s="3">
        <f>IFERROR(__xludf.DUMMYFUNCTION("""COMPUTED_VALUE"""),42906.99861111111)</f>
        <v>42906.99861</v>
      </c>
      <c r="B2292" s="1">
        <f>IFERROR(__xludf.DUMMYFUNCTION("""COMPUTED_VALUE"""),43890.74968)</f>
        <v>43890.74968</v>
      </c>
    </row>
    <row r="2293">
      <c r="A2293" s="3">
        <f>IFERROR(__xludf.DUMMYFUNCTION("""COMPUTED_VALUE"""),42907.99861111111)</f>
        <v>42907.99861</v>
      </c>
      <c r="B2293" s="1">
        <f>IFERROR(__xludf.DUMMYFUNCTION("""COMPUTED_VALUE"""),43923.77259)</f>
        <v>43923.77259</v>
      </c>
    </row>
    <row r="2294">
      <c r="A2294" s="3">
        <f>IFERROR(__xludf.DUMMYFUNCTION("""COMPUTED_VALUE"""),42908.99861111111)</f>
        <v>42908.99861</v>
      </c>
      <c r="B2294" s="1">
        <f>IFERROR(__xludf.DUMMYFUNCTION("""COMPUTED_VALUE"""),44000.65917)</f>
        <v>44000.65917</v>
      </c>
    </row>
    <row r="2295">
      <c r="A2295" s="3">
        <f>IFERROR(__xludf.DUMMYFUNCTION("""COMPUTED_VALUE"""),42909.99861111111)</f>
        <v>42909.99861</v>
      </c>
      <c r="B2295" s="1">
        <f>IFERROR(__xludf.DUMMYFUNCTION("""COMPUTED_VALUE"""),43915.38788)</f>
        <v>43915.38788</v>
      </c>
    </row>
    <row r="2296">
      <c r="A2296" s="3">
        <f>IFERROR(__xludf.DUMMYFUNCTION("""COMPUTED_VALUE"""),42910.99861111111)</f>
        <v>42910.99861</v>
      </c>
      <c r="B2296" s="1">
        <f>IFERROR(__xludf.DUMMYFUNCTION("""COMPUTED_VALUE"""),43937.06675)</f>
        <v>43937.06675</v>
      </c>
    </row>
    <row r="2297">
      <c r="A2297" s="3">
        <f>IFERROR(__xludf.DUMMYFUNCTION("""COMPUTED_VALUE"""),42911.99861111111)</f>
        <v>42911.99861</v>
      </c>
      <c r="B2297" s="1">
        <f>IFERROR(__xludf.DUMMYFUNCTION("""COMPUTED_VALUE"""),43832.89598)</f>
        <v>43832.89598</v>
      </c>
    </row>
    <row r="2298">
      <c r="A2298" s="3">
        <f>IFERROR(__xludf.DUMMYFUNCTION("""COMPUTED_VALUE"""),42912.99861111111)</f>
        <v>42912.99861</v>
      </c>
      <c r="B2298" s="1">
        <f>IFERROR(__xludf.DUMMYFUNCTION("""COMPUTED_VALUE"""),43924.80165)</f>
        <v>43924.80165</v>
      </c>
    </row>
    <row r="2299">
      <c r="A2299" s="3">
        <f>IFERROR(__xludf.DUMMYFUNCTION("""COMPUTED_VALUE"""),42913.99861111111)</f>
        <v>42913.99861</v>
      </c>
      <c r="B2299" s="1">
        <f>IFERROR(__xludf.DUMMYFUNCTION("""COMPUTED_VALUE"""),43891.82012)</f>
        <v>43891.82012</v>
      </c>
    </row>
    <row r="2300">
      <c r="A2300" s="3">
        <f>IFERROR(__xludf.DUMMYFUNCTION("""COMPUTED_VALUE"""),42914.99861111111)</f>
        <v>42914.99861</v>
      </c>
      <c r="B2300" s="1">
        <f>IFERROR(__xludf.DUMMYFUNCTION("""COMPUTED_VALUE"""),43905.81187)</f>
        <v>43905.81187</v>
      </c>
    </row>
    <row r="2301">
      <c r="A2301" s="3">
        <f>IFERROR(__xludf.DUMMYFUNCTION("""COMPUTED_VALUE"""),42915.99861111111)</f>
        <v>42915.99861</v>
      </c>
      <c r="B2301" s="1">
        <f>IFERROR(__xludf.DUMMYFUNCTION("""COMPUTED_VALUE"""),43846.37259)</f>
        <v>43846.37259</v>
      </c>
    </row>
    <row r="2302">
      <c r="A2302" s="3">
        <f>IFERROR(__xludf.DUMMYFUNCTION("""COMPUTED_VALUE"""),42916.99861111111)</f>
        <v>42916.99861</v>
      </c>
      <c r="B2302" s="1">
        <f>IFERROR(__xludf.DUMMYFUNCTION("""COMPUTED_VALUE"""),43944.53556)</f>
        <v>43944.53556</v>
      </c>
    </row>
    <row r="2303">
      <c r="A2303" s="3">
        <f>IFERROR(__xludf.DUMMYFUNCTION("""COMPUTED_VALUE"""),42917.99861111111)</f>
        <v>42917.99861</v>
      </c>
      <c r="B2303" s="1">
        <f>IFERROR(__xludf.DUMMYFUNCTION("""COMPUTED_VALUE"""),43885.11983)</f>
        <v>43885.11983</v>
      </c>
    </row>
    <row r="2304">
      <c r="A2304" s="3">
        <f>IFERROR(__xludf.DUMMYFUNCTION("""COMPUTED_VALUE"""),42918.99861111111)</f>
        <v>42918.99861</v>
      </c>
      <c r="B2304" s="1">
        <f>IFERROR(__xludf.DUMMYFUNCTION("""COMPUTED_VALUE"""),43895.02245)</f>
        <v>43895.02245</v>
      </c>
    </row>
    <row r="2305">
      <c r="A2305" s="3">
        <f>IFERROR(__xludf.DUMMYFUNCTION("""COMPUTED_VALUE"""),42919.99861111111)</f>
        <v>42919.99861</v>
      </c>
      <c r="B2305" s="1">
        <f>IFERROR(__xludf.DUMMYFUNCTION("""COMPUTED_VALUE"""),44130.36024)</f>
        <v>44130.36024</v>
      </c>
    </row>
    <row r="2306">
      <c r="A2306" s="3">
        <f>IFERROR(__xludf.DUMMYFUNCTION("""COMPUTED_VALUE"""),42920.99861111111)</f>
        <v>42920.99861</v>
      </c>
      <c r="B2306" s="1">
        <f>IFERROR(__xludf.DUMMYFUNCTION("""COMPUTED_VALUE"""),44099.0873)</f>
        <v>44099.0873</v>
      </c>
    </row>
    <row r="2307">
      <c r="A2307" s="3">
        <f>IFERROR(__xludf.DUMMYFUNCTION("""COMPUTED_VALUE"""),42921.99861111111)</f>
        <v>42921.99861</v>
      </c>
      <c r="B2307" s="1">
        <f>IFERROR(__xludf.DUMMYFUNCTION("""COMPUTED_VALUE"""),44137.26739)</f>
        <v>44137.26739</v>
      </c>
    </row>
    <row r="2308">
      <c r="A2308" s="3">
        <f>IFERROR(__xludf.DUMMYFUNCTION("""COMPUTED_VALUE"""),42922.99861111111)</f>
        <v>42922.99861</v>
      </c>
      <c r="B2308" s="1">
        <f>IFERROR(__xludf.DUMMYFUNCTION("""COMPUTED_VALUE"""),44203.32631)</f>
        <v>44203.32631</v>
      </c>
    </row>
    <row r="2309">
      <c r="A2309" s="3">
        <f>IFERROR(__xludf.DUMMYFUNCTION("""COMPUTED_VALUE"""),42923.99861111111)</f>
        <v>42923.99861</v>
      </c>
      <c r="B2309" s="1">
        <f>IFERROR(__xludf.DUMMYFUNCTION("""COMPUTED_VALUE"""),44295.01282)</f>
        <v>44295.01282</v>
      </c>
    </row>
    <row r="2310">
      <c r="A2310" s="3">
        <f>IFERROR(__xludf.DUMMYFUNCTION("""COMPUTED_VALUE"""),42924.99861111111)</f>
        <v>42924.99861</v>
      </c>
      <c r="B2310" s="1">
        <f>IFERROR(__xludf.DUMMYFUNCTION("""COMPUTED_VALUE"""),44353.86356)</f>
        <v>44353.86356</v>
      </c>
    </row>
    <row r="2311">
      <c r="A2311" s="3">
        <f>IFERROR(__xludf.DUMMYFUNCTION("""COMPUTED_VALUE"""),42925.99861111111)</f>
        <v>42925.99861</v>
      </c>
      <c r="B2311" s="1">
        <f>IFERROR(__xludf.DUMMYFUNCTION("""COMPUTED_VALUE"""),44304.92592)</f>
        <v>44304.92592</v>
      </c>
    </row>
    <row r="2312">
      <c r="A2312" s="3">
        <f>IFERROR(__xludf.DUMMYFUNCTION("""COMPUTED_VALUE"""),42926.99861111111)</f>
        <v>42926.99861</v>
      </c>
      <c r="B2312" s="1">
        <f>IFERROR(__xludf.DUMMYFUNCTION("""COMPUTED_VALUE"""),44219.84104)</f>
        <v>44219.84104</v>
      </c>
    </row>
    <row r="2313">
      <c r="A2313" s="3">
        <f>IFERROR(__xludf.DUMMYFUNCTION("""COMPUTED_VALUE"""),42927.99861111111)</f>
        <v>42927.99861</v>
      </c>
      <c r="B2313" s="1">
        <f>IFERROR(__xludf.DUMMYFUNCTION("""COMPUTED_VALUE"""),44092.48119)</f>
        <v>44092.48119</v>
      </c>
    </row>
    <row r="2314">
      <c r="A2314" s="3">
        <f>IFERROR(__xludf.DUMMYFUNCTION("""COMPUTED_VALUE"""),42928.99861111111)</f>
        <v>42928.99861</v>
      </c>
      <c r="B2314" s="1">
        <f>IFERROR(__xludf.DUMMYFUNCTION("""COMPUTED_VALUE"""),44167.89539)</f>
        <v>44167.89539</v>
      </c>
    </row>
    <row r="2315">
      <c r="A2315" s="3">
        <f>IFERROR(__xludf.DUMMYFUNCTION("""COMPUTED_VALUE"""),42929.99861111111)</f>
        <v>42929.99861</v>
      </c>
      <c r="B2315" s="1">
        <f>IFERROR(__xludf.DUMMYFUNCTION("""COMPUTED_VALUE"""),44054.41006)</f>
        <v>44054.41006</v>
      </c>
    </row>
    <row r="2316">
      <c r="A2316" s="3">
        <f>IFERROR(__xludf.DUMMYFUNCTION("""COMPUTED_VALUE"""),42930.99861111111)</f>
        <v>42930.99861</v>
      </c>
      <c r="B2316" s="1">
        <f>IFERROR(__xludf.DUMMYFUNCTION("""COMPUTED_VALUE"""),43953.30988)</f>
        <v>43953.30988</v>
      </c>
    </row>
    <row r="2317">
      <c r="A2317" s="3">
        <f>IFERROR(__xludf.DUMMYFUNCTION("""COMPUTED_VALUE"""),42932.99861111111)</f>
        <v>42932.99861</v>
      </c>
      <c r="B2317" s="1">
        <f>IFERROR(__xludf.DUMMYFUNCTION("""COMPUTED_VALUE"""),44075.63199)</f>
        <v>44075.63199</v>
      </c>
    </row>
    <row r="2318">
      <c r="A2318" s="3">
        <f>IFERROR(__xludf.DUMMYFUNCTION("""COMPUTED_VALUE"""),42933.99861111111)</f>
        <v>42933.99861</v>
      </c>
      <c r="B2318" s="1">
        <f>IFERROR(__xludf.DUMMYFUNCTION("""COMPUTED_VALUE"""),44072.78159)</f>
        <v>44072.78159</v>
      </c>
    </row>
    <row r="2319">
      <c r="A2319" s="3">
        <f>IFERROR(__xludf.DUMMYFUNCTION("""COMPUTED_VALUE"""),42934.99861111111)</f>
        <v>42934.99861</v>
      </c>
      <c r="B2319" s="1">
        <f>IFERROR(__xludf.DUMMYFUNCTION("""COMPUTED_VALUE"""),44020.10907)</f>
        <v>44020.10907</v>
      </c>
    </row>
    <row r="2320">
      <c r="A2320" s="3">
        <f>IFERROR(__xludf.DUMMYFUNCTION("""COMPUTED_VALUE"""),42935.99861111111)</f>
        <v>42935.99861</v>
      </c>
      <c r="B2320" s="1">
        <f>IFERROR(__xludf.DUMMYFUNCTION("""COMPUTED_VALUE"""),43980.69514)</f>
        <v>43980.69514</v>
      </c>
    </row>
    <row r="2321">
      <c r="A2321" s="3">
        <f>IFERROR(__xludf.DUMMYFUNCTION("""COMPUTED_VALUE"""),42936.99861111111)</f>
        <v>42936.99861</v>
      </c>
      <c r="B2321" s="1">
        <f>IFERROR(__xludf.DUMMYFUNCTION("""COMPUTED_VALUE"""),44020.50499)</f>
        <v>44020.50499</v>
      </c>
    </row>
    <row r="2322">
      <c r="A2322" s="3">
        <f>IFERROR(__xludf.DUMMYFUNCTION("""COMPUTED_VALUE"""),42937.99861111111)</f>
        <v>42937.99861</v>
      </c>
      <c r="B2322" s="1">
        <f>IFERROR(__xludf.DUMMYFUNCTION("""COMPUTED_VALUE"""),44138.49409)</f>
        <v>44138.49409</v>
      </c>
    </row>
    <row r="2323">
      <c r="A2323" s="3">
        <f>IFERROR(__xludf.DUMMYFUNCTION("""COMPUTED_VALUE"""),42938.99861111111)</f>
        <v>42938.99861</v>
      </c>
      <c r="B2323" s="1">
        <f>IFERROR(__xludf.DUMMYFUNCTION("""COMPUTED_VALUE"""),44141.80754)</f>
        <v>44141.80754</v>
      </c>
    </row>
    <row r="2324">
      <c r="A2324" s="3">
        <f>IFERROR(__xludf.DUMMYFUNCTION("""COMPUTED_VALUE"""),42939.99861111111)</f>
        <v>42939.99861</v>
      </c>
      <c r="B2324" s="1">
        <f>IFERROR(__xludf.DUMMYFUNCTION("""COMPUTED_VALUE"""),43952.94078)</f>
        <v>43952.94078</v>
      </c>
    </row>
    <row r="2325">
      <c r="A2325" s="3">
        <f>IFERROR(__xludf.DUMMYFUNCTION("""COMPUTED_VALUE"""),42940.99861111111)</f>
        <v>42940.99861</v>
      </c>
      <c r="B2325" s="1">
        <f>IFERROR(__xludf.DUMMYFUNCTION("""COMPUTED_VALUE"""),44135.09635)</f>
        <v>44135.09635</v>
      </c>
    </row>
    <row r="2326">
      <c r="A2326" s="3">
        <f>IFERROR(__xludf.DUMMYFUNCTION("""COMPUTED_VALUE"""),42941.99861111111)</f>
        <v>42941.99861</v>
      </c>
      <c r="B2326" s="1">
        <f>IFERROR(__xludf.DUMMYFUNCTION("""COMPUTED_VALUE"""),44174.86964)</f>
        <v>44174.86964</v>
      </c>
    </row>
    <row r="2327">
      <c r="A2327" s="3">
        <f>IFERROR(__xludf.DUMMYFUNCTION("""COMPUTED_VALUE"""),42942.99861111111)</f>
        <v>42942.99861</v>
      </c>
      <c r="B2327" s="1">
        <f>IFERROR(__xludf.DUMMYFUNCTION("""COMPUTED_VALUE"""),44150.37979)</f>
        <v>44150.37979</v>
      </c>
    </row>
    <row r="2328">
      <c r="A2328" s="3">
        <f>IFERROR(__xludf.DUMMYFUNCTION("""COMPUTED_VALUE"""),42943.99861111111)</f>
        <v>42943.99861</v>
      </c>
      <c r="B2328" s="1">
        <f>IFERROR(__xludf.DUMMYFUNCTION("""COMPUTED_VALUE"""),44141.92488)</f>
        <v>44141.92488</v>
      </c>
    </row>
    <row r="2329">
      <c r="A2329" s="3">
        <f>IFERROR(__xludf.DUMMYFUNCTION("""COMPUTED_VALUE"""),42944.99861111111)</f>
        <v>42944.99861</v>
      </c>
      <c r="B2329" s="1">
        <f>IFERROR(__xludf.DUMMYFUNCTION("""COMPUTED_VALUE"""),44148.31785)</f>
        <v>44148.31785</v>
      </c>
    </row>
    <row r="2330">
      <c r="A2330" s="3">
        <f>IFERROR(__xludf.DUMMYFUNCTION("""COMPUTED_VALUE"""),42945.99861111111)</f>
        <v>42945.99861</v>
      </c>
      <c r="B2330" s="1">
        <f>IFERROR(__xludf.DUMMYFUNCTION("""COMPUTED_VALUE"""),44098.6572)</f>
        <v>44098.6572</v>
      </c>
    </row>
    <row r="2331">
      <c r="A2331" s="3">
        <f>IFERROR(__xludf.DUMMYFUNCTION("""COMPUTED_VALUE"""),42946.99861111111)</f>
        <v>42946.99861</v>
      </c>
      <c r="B2331" s="1">
        <f>IFERROR(__xludf.DUMMYFUNCTION("""COMPUTED_VALUE"""),44098.6572)</f>
        <v>44098.6572</v>
      </c>
    </row>
    <row r="2332">
      <c r="A2332" s="3">
        <f>IFERROR(__xludf.DUMMYFUNCTION("""COMPUTED_VALUE"""),42947.99861111111)</f>
        <v>42947.99861</v>
      </c>
      <c r="B2332" s="1">
        <f>IFERROR(__xludf.DUMMYFUNCTION("""COMPUTED_VALUE"""),44201.78941)</f>
        <v>44201.78941</v>
      </c>
    </row>
    <row r="2333">
      <c r="A2333" s="3">
        <f>IFERROR(__xludf.DUMMYFUNCTION("""COMPUTED_VALUE"""),42948.99861111111)</f>
        <v>42948.99861</v>
      </c>
      <c r="B2333" s="1">
        <f>IFERROR(__xludf.DUMMYFUNCTION("""COMPUTED_VALUE"""),44154.49773)</f>
        <v>44154.49773</v>
      </c>
    </row>
    <row r="2334">
      <c r="A2334" s="3">
        <f>IFERROR(__xludf.DUMMYFUNCTION("""COMPUTED_VALUE"""),42949.99861111111)</f>
        <v>42949.99861</v>
      </c>
      <c r="B2334" s="1">
        <f>IFERROR(__xludf.DUMMYFUNCTION("""COMPUTED_VALUE"""),44197.00559)</f>
        <v>44197.00559</v>
      </c>
    </row>
    <row r="2335">
      <c r="A2335" s="3">
        <f>IFERROR(__xludf.DUMMYFUNCTION("""COMPUTED_VALUE"""),42950.99861111111)</f>
        <v>42950.99861</v>
      </c>
      <c r="B2335" s="1">
        <f>IFERROR(__xludf.DUMMYFUNCTION("""COMPUTED_VALUE"""),44203.64327)</f>
        <v>44203.64327</v>
      </c>
    </row>
    <row r="2336">
      <c r="A2336" s="3">
        <f>IFERROR(__xludf.DUMMYFUNCTION("""COMPUTED_VALUE"""),42951.99861111111)</f>
        <v>42951.99861</v>
      </c>
      <c r="B2336" s="1">
        <f>IFERROR(__xludf.DUMMYFUNCTION("""COMPUTED_VALUE"""),44145.24108)</f>
        <v>44145.24108</v>
      </c>
    </row>
    <row r="2337">
      <c r="A2337" s="3">
        <f>IFERROR(__xludf.DUMMYFUNCTION("""COMPUTED_VALUE"""),42953.99861111111)</f>
        <v>42953.99861</v>
      </c>
      <c r="B2337" s="1">
        <f>IFERROR(__xludf.DUMMYFUNCTION("""COMPUTED_VALUE"""),44135.29249)</f>
        <v>44135.29249</v>
      </c>
    </row>
    <row r="2338">
      <c r="A2338" s="3">
        <f>IFERROR(__xludf.DUMMYFUNCTION("""COMPUTED_VALUE"""),42954.99861111111)</f>
        <v>42954.99861</v>
      </c>
      <c r="B2338" s="1">
        <f>IFERROR(__xludf.DUMMYFUNCTION("""COMPUTED_VALUE"""),44169.83618)</f>
        <v>44169.83618</v>
      </c>
    </row>
    <row r="2339">
      <c r="A2339" s="3">
        <f>IFERROR(__xludf.DUMMYFUNCTION("""COMPUTED_VALUE"""),42955.99861111111)</f>
        <v>42955.99861</v>
      </c>
      <c r="B2339" s="1">
        <f>IFERROR(__xludf.DUMMYFUNCTION("""COMPUTED_VALUE"""),44141.44415)</f>
        <v>44141.44415</v>
      </c>
    </row>
    <row r="2340">
      <c r="A2340" s="3">
        <f>IFERROR(__xludf.DUMMYFUNCTION("""COMPUTED_VALUE"""),42956.99861111111)</f>
        <v>42956.99861</v>
      </c>
      <c r="B2340" s="1">
        <f>IFERROR(__xludf.DUMMYFUNCTION("""COMPUTED_VALUE"""),44203.39475)</f>
        <v>44203.39475</v>
      </c>
    </row>
    <row r="2341">
      <c r="A2341" s="3">
        <f>IFERROR(__xludf.DUMMYFUNCTION("""COMPUTED_VALUE"""),42957.99861111111)</f>
        <v>42957.99861</v>
      </c>
      <c r="B2341" s="1">
        <f>IFERROR(__xludf.DUMMYFUNCTION("""COMPUTED_VALUE"""),44209.64377)</f>
        <v>44209.64377</v>
      </c>
    </row>
    <row r="2342">
      <c r="A2342" s="3">
        <f>IFERROR(__xludf.DUMMYFUNCTION("""COMPUTED_VALUE"""),42958.99861111111)</f>
        <v>42958.99861</v>
      </c>
      <c r="B2342" s="1">
        <f>IFERROR(__xludf.DUMMYFUNCTION("""COMPUTED_VALUE"""),44298.78999)</f>
        <v>44298.78999</v>
      </c>
    </row>
    <row r="2343">
      <c r="A2343" s="3">
        <f>IFERROR(__xludf.DUMMYFUNCTION("""COMPUTED_VALUE"""),42959.99861111111)</f>
        <v>42959.99861</v>
      </c>
      <c r="B2343" s="1">
        <f>IFERROR(__xludf.DUMMYFUNCTION("""COMPUTED_VALUE"""),44305.42701)</f>
        <v>44305.42701</v>
      </c>
    </row>
    <row r="2344">
      <c r="A2344" s="3">
        <f>IFERROR(__xludf.DUMMYFUNCTION("""COMPUTED_VALUE"""),42960.99861111111)</f>
        <v>42960.99861</v>
      </c>
      <c r="B2344" s="1">
        <f>IFERROR(__xludf.DUMMYFUNCTION("""COMPUTED_VALUE"""),44305.42701)</f>
        <v>44305.42701</v>
      </c>
    </row>
    <row r="2345">
      <c r="A2345" s="3">
        <f>IFERROR(__xludf.DUMMYFUNCTION("""COMPUTED_VALUE"""),42961.99861111111)</f>
        <v>42961.99861</v>
      </c>
      <c r="B2345" s="1">
        <f>IFERROR(__xludf.DUMMYFUNCTION("""COMPUTED_VALUE"""),44259.40325)</f>
        <v>44259.40325</v>
      </c>
    </row>
    <row r="2346">
      <c r="A2346" s="3">
        <f>IFERROR(__xludf.DUMMYFUNCTION("""COMPUTED_VALUE"""),42962.99861111111)</f>
        <v>42962.99861</v>
      </c>
      <c r="B2346" s="1">
        <f>IFERROR(__xludf.DUMMYFUNCTION("""COMPUTED_VALUE"""),44299.21084)</f>
        <v>44299.21084</v>
      </c>
    </row>
    <row r="2347">
      <c r="A2347" s="3">
        <f>IFERROR(__xludf.DUMMYFUNCTION("""COMPUTED_VALUE"""),42963.99861111111)</f>
        <v>42963.99861</v>
      </c>
      <c r="B2347" s="1">
        <f>IFERROR(__xludf.DUMMYFUNCTION("""COMPUTED_VALUE"""),44271.25665)</f>
        <v>44271.25665</v>
      </c>
    </row>
    <row r="2348">
      <c r="A2348" s="3">
        <f>IFERROR(__xludf.DUMMYFUNCTION("""COMPUTED_VALUE"""),42964.99861111111)</f>
        <v>42964.99861</v>
      </c>
      <c r="B2348" s="1">
        <f>IFERROR(__xludf.DUMMYFUNCTION("""COMPUTED_VALUE"""),44366.2902)</f>
        <v>44366.2902</v>
      </c>
    </row>
    <row r="2349">
      <c r="A2349" s="3">
        <f>IFERROR(__xludf.DUMMYFUNCTION("""COMPUTED_VALUE"""),42965.99861111111)</f>
        <v>42965.99861</v>
      </c>
      <c r="B2349" s="1">
        <f>IFERROR(__xludf.DUMMYFUNCTION("""COMPUTED_VALUE"""),44316.88818)</f>
        <v>44316.88818</v>
      </c>
    </row>
    <row r="2350">
      <c r="A2350" s="3">
        <f>IFERROR(__xludf.DUMMYFUNCTION("""COMPUTED_VALUE"""),42966.99861111111)</f>
        <v>42966.99861</v>
      </c>
      <c r="B2350" s="1">
        <f>IFERROR(__xludf.DUMMYFUNCTION("""COMPUTED_VALUE"""),44306.93529)</f>
        <v>44306.93529</v>
      </c>
    </row>
    <row r="2351">
      <c r="A2351" s="3">
        <f>IFERROR(__xludf.DUMMYFUNCTION("""COMPUTED_VALUE"""),42967.99861111111)</f>
        <v>42967.99861</v>
      </c>
      <c r="B2351" s="1">
        <f>IFERROR(__xludf.DUMMYFUNCTION("""COMPUTED_VALUE"""),44306.93529)</f>
        <v>44306.93529</v>
      </c>
    </row>
    <row r="2352">
      <c r="A2352" s="3">
        <f>IFERROR(__xludf.DUMMYFUNCTION("""COMPUTED_VALUE"""),42968.99861111111)</f>
        <v>42968.99861</v>
      </c>
      <c r="B2352" s="1">
        <f>IFERROR(__xludf.DUMMYFUNCTION("""COMPUTED_VALUE"""),44273.3904)</f>
        <v>44273.3904</v>
      </c>
    </row>
    <row r="2353">
      <c r="A2353" s="3">
        <f>IFERROR(__xludf.DUMMYFUNCTION("""COMPUTED_VALUE"""),42969.99861111111)</f>
        <v>42969.99861</v>
      </c>
      <c r="B2353" s="1">
        <f>IFERROR(__xludf.DUMMYFUNCTION("""COMPUTED_VALUE"""),44210.35125)</f>
        <v>44210.35125</v>
      </c>
    </row>
    <row r="2354">
      <c r="A2354" s="3">
        <f>IFERROR(__xludf.DUMMYFUNCTION("""COMPUTED_VALUE"""),42970.99861111111)</f>
        <v>42970.99861</v>
      </c>
      <c r="B2354" s="1">
        <f>IFERROR(__xludf.DUMMYFUNCTION("""COMPUTED_VALUE"""),44296.61535)</f>
        <v>44296.61535</v>
      </c>
    </row>
    <row r="2355">
      <c r="A2355" s="3">
        <f>IFERROR(__xludf.DUMMYFUNCTION("""COMPUTED_VALUE"""),42971.99861111111)</f>
        <v>42971.99861</v>
      </c>
      <c r="B2355" s="1">
        <f>IFERROR(__xludf.DUMMYFUNCTION("""COMPUTED_VALUE"""),44236.89405)</f>
        <v>44236.89405</v>
      </c>
    </row>
    <row r="2356">
      <c r="A2356" s="3">
        <f>IFERROR(__xludf.DUMMYFUNCTION("""COMPUTED_VALUE"""),42972.99861111111)</f>
        <v>42972.99861</v>
      </c>
      <c r="B2356" s="1">
        <f>IFERROR(__xludf.DUMMYFUNCTION("""COMPUTED_VALUE"""),44263.43685)</f>
        <v>44263.43685</v>
      </c>
    </row>
    <row r="2357">
      <c r="A2357" s="3">
        <f>IFERROR(__xludf.DUMMYFUNCTION("""COMPUTED_VALUE"""),42973.99861111111)</f>
        <v>42973.99861</v>
      </c>
      <c r="B2357" s="1">
        <f>IFERROR(__xludf.DUMMYFUNCTION("""COMPUTED_VALUE"""),44263.43685)</f>
        <v>44263.43685</v>
      </c>
    </row>
    <row r="2358">
      <c r="A2358" s="3">
        <f>IFERROR(__xludf.DUMMYFUNCTION("""COMPUTED_VALUE"""),42974.99861111111)</f>
        <v>42974.99861</v>
      </c>
      <c r="B2358" s="1">
        <f>IFERROR(__xludf.DUMMYFUNCTION("""COMPUTED_VALUE"""),44256.80115)</f>
        <v>44256.80115</v>
      </c>
    </row>
    <row r="2359">
      <c r="A2359" s="3">
        <f>IFERROR(__xludf.DUMMYFUNCTION("""COMPUTED_VALUE"""),42975.99861111111)</f>
        <v>42975.99861</v>
      </c>
      <c r="B2359" s="1">
        <f>IFERROR(__xludf.DUMMYFUNCTION("""COMPUTED_VALUE"""),44137.35855)</f>
        <v>44137.35855</v>
      </c>
    </row>
    <row r="2360">
      <c r="A2360" s="3">
        <f>IFERROR(__xludf.DUMMYFUNCTION("""COMPUTED_VALUE"""),42976.99861111111)</f>
        <v>42976.99861</v>
      </c>
      <c r="B2360" s="1">
        <f>IFERROR(__xludf.DUMMYFUNCTION("""COMPUTED_VALUE"""),44229.54756)</f>
        <v>44229.54756</v>
      </c>
    </row>
    <row r="2361">
      <c r="A2361" s="3">
        <f>IFERROR(__xludf.DUMMYFUNCTION("""COMPUTED_VALUE"""),42977.99861111111)</f>
        <v>42977.99861</v>
      </c>
      <c r="B2361" s="1">
        <f>IFERROR(__xludf.DUMMYFUNCTION("""COMPUTED_VALUE"""),44306.36187)</f>
        <v>44306.36187</v>
      </c>
    </row>
    <row r="2362">
      <c r="A2362" s="3">
        <f>IFERROR(__xludf.DUMMYFUNCTION("""COMPUTED_VALUE"""),42978.99861111111)</f>
        <v>42978.99861</v>
      </c>
      <c r="B2362" s="1">
        <f>IFERROR(__xludf.DUMMYFUNCTION("""COMPUTED_VALUE"""),44263.16533)</f>
        <v>44263.16533</v>
      </c>
    </row>
    <row r="2363">
      <c r="A2363" s="3">
        <f>IFERROR(__xludf.DUMMYFUNCTION("""COMPUTED_VALUE"""),42979.99861111111)</f>
        <v>42979.99861</v>
      </c>
      <c r="B2363" s="1">
        <f>IFERROR(__xludf.DUMMYFUNCTION("""COMPUTED_VALUE"""),44257.4402)</f>
        <v>44257.4402</v>
      </c>
    </row>
    <row r="2364">
      <c r="A2364" s="3">
        <f>IFERROR(__xludf.DUMMYFUNCTION("""COMPUTED_VALUE"""),42980.99861111111)</f>
        <v>42980.99861</v>
      </c>
      <c r="B2364" s="1">
        <f>IFERROR(__xludf.DUMMYFUNCTION("""COMPUTED_VALUE"""),44264.07898)</f>
        <v>44264.07898</v>
      </c>
    </row>
    <row r="2365">
      <c r="A2365" s="3">
        <f>IFERROR(__xludf.DUMMYFUNCTION("""COMPUTED_VALUE"""),42981.99861111111)</f>
        <v>42981.99861</v>
      </c>
      <c r="B2365" s="1">
        <f>IFERROR(__xludf.DUMMYFUNCTION("""COMPUTED_VALUE"""),44250.80142)</f>
        <v>44250.80142</v>
      </c>
    </row>
    <row r="2366">
      <c r="A2366" s="3">
        <f>IFERROR(__xludf.DUMMYFUNCTION("""COMPUTED_VALUE"""),42982.99861111111)</f>
        <v>42982.99861</v>
      </c>
      <c r="B2366" s="1">
        <f>IFERROR(__xludf.DUMMYFUNCTION("""COMPUTED_VALUE"""),44369.49528)</f>
        <v>44369.49528</v>
      </c>
    </row>
    <row r="2367">
      <c r="A2367" s="3">
        <f>IFERROR(__xludf.DUMMYFUNCTION("""COMPUTED_VALUE"""),42983.99861111111)</f>
        <v>42983.99861</v>
      </c>
      <c r="B2367" s="1">
        <f>IFERROR(__xludf.DUMMYFUNCTION("""COMPUTED_VALUE"""),44303.03906)</f>
        <v>44303.03906</v>
      </c>
    </row>
    <row r="2368">
      <c r="A2368" s="3">
        <f>IFERROR(__xludf.DUMMYFUNCTION("""COMPUTED_VALUE"""),42984.99861111111)</f>
        <v>42984.99861</v>
      </c>
      <c r="B2368" s="1">
        <f>IFERROR(__xludf.DUMMYFUNCTION("""COMPUTED_VALUE"""),44322.97592)</f>
        <v>44322.97592</v>
      </c>
    </row>
    <row r="2369">
      <c r="A2369" s="3">
        <f>IFERROR(__xludf.DUMMYFUNCTION("""COMPUTED_VALUE"""),42985.99861111111)</f>
        <v>42985.99861</v>
      </c>
      <c r="B2369" s="1">
        <f>IFERROR(__xludf.DUMMYFUNCTION("""COMPUTED_VALUE"""),44156.83537)</f>
        <v>44156.83537</v>
      </c>
    </row>
    <row r="2370">
      <c r="A2370" s="3">
        <f>IFERROR(__xludf.DUMMYFUNCTION("""COMPUTED_VALUE"""),42986.99861111111)</f>
        <v>42986.99861</v>
      </c>
      <c r="B2370" s="1">
        <f>IFERROR(__xludf.DUMMYFUNCTION("""COMPUTED_VALUE"""),43941.65499)</f>
        <v>43941.65499</v>
      </c>
    </row>
    <row r="2371">
      <c r="A2371" s="3">
        <f>IFERROR(__xludf.DUMMYFUNCTION("""COMPUTED_VALUE"""),42987.99861111111)</f>
        <v>42987.99861</v>
      </c>
      <c r="B2371" s="1">
        <f>IFERROR(__xludf.DUMMYFUNCTION("""COMPUTED_VALUE"""),43934.99565)</f>
        <v>43934.99565</v>
      </c>
    </row>
    <row r="2372">
      <c r="A2372" s="3">
        <f>IFERROR(__xludf.DUMMYFUNCTION("""COMPUTED_VALUE"""),42988.99861111111)</f>
        <v>42988.99861</v>
      </c>
      <c r="B2372" s="1">
        <f>IFERROR(__xludf.DUMMYFUNCTION("""COMPUTED_VALUE"""),43941.65499)</f>
        <v>43941.65499</v>
      </c>
    </row>
    <row r="2373">
      <c r="A2373" s="3">
        <f>IFERROR(__xludf.DUMMYFUNCTION("""COMPUTED_VALUE"""),42989.99861111111)</f>
        <v>42989.99861</v>
      </c>
      <c r="B2373" s="1">
        <f>IFERROR(__xludf.DUMMYFUNCTION("""COMPUTED_VALUE"""),43781.35773)</f>
        <v>43781.35773</v>
      </c>
    </row>
    <row r="2374">
      <c r="A2374" s="3">
        <f>IFERROR(__xludf.DUMMYFUNCTION("""COMPUTED_VALUE"""),42990.99861111111)</f>
        <v>42990.99861</v>
      </c>
      <c r="B2374" s="1">
        <f>IFERROR(__xludf.DUMMYFUNCTION("""COMPUTED_VALUE"""),43887.68768)</f>
        <v>43887.68768</v>
      </c>
    </row>
    <row r="2375">
      <c r="A2375" s="3">
        <f>IFERROR(__xludf.DUMMYFUNCTION("""COMPUTED_VALUE"""),42991.99861111111)</f>
        <v>42991.99861</v>
      </c>
      <c r="B2375" s="1">
        <f>IFERROR(__xludf.DUMMYFUNCTION("""COMPUTED_VALUE"""),44015.28243)</f>
        <v>44015.28243</v>
      </c>
    </row>
    <row r="2376">
      <c r="A2376" s="3">
        <f>IFERROR(__xludf.DUMMYFUNCTION("""COMPUTED_VALUE"""),42992.99861111111)</f>
        <v>42992.99861</v>
      </c>
      <c r="B2376" s="1">
        <f>IFERROR(__xludf.DUMMYFUNCTION("""COMPUTED_VALUE"""),44081.76073)</f>
        <v>44081.76073</v>
      </c>
    </row>
    <row r="2377">
      <c r="A2377" s="3">
        <f>IFERROR(__xludf.DUMMYFUNCTION("""COMPUTED_VALUE"""),42993.99861111111)</f>
        <v>42993.99861</v>
      </c>
      <c r="B2377" s="1">
        <f>IFERROR(__xludf.DUMMYFUNCTION("""COMPUTED_VALUE"""),44035.90312)</f>
        <v>44035.90312</v>
      </c>
    </row>
    <row r="2378">
      <c r="A2378" s="3">
        <f>IFERROR(__xludf.DUMMYFUNCTION("""COMPUTED_VALUE"""),42995.99861111111)</f>
        <v>42995.99861</v>
      </c>
      <c r="B2378" s="1">
        <f>IFERROR(__xludf.DUMMYFUNCTION("""COMPUTED_VALUE"""),44055.84993)</f>
        <v>44055.84993</v>
      </c>
    </row>
    <row r="2379">
      <c r="A2379" s="3">
        <f>IFERROR(__xludf.DUMMYFUNCTION("""COMPUTED_VALUE"""),42996.99861111111)</f>
        <v>42996.99861</v>
      </c>
      <c r="B2379" s="1">
        <f>IFERROR(__xludf.DUMMYFUNCTION("""COMPUTED_VALUE"""),44100.24474)</f>
        <v>44100.24474</v>
      </c>
    </row>
    <row r="2380">
      <c r="A2380" s="3">
        <f>IFERROR(__xludf.DUMMYFUNCTION("""COMPUTED_VALUE"""),42997.99861111111)</f>
        <v>42997.99861</v>
      </c>
      <c r="B2380" s="1">
        <f>IFERROR(__xludf.DUMMYFUNCTION("""COMPUTED_VALUE"""),44060.35908)</f>
        <v>44060.35908</v>
      </c>
    </row>
    <row r="2381">
      <c r="A2381" s="3">
        <f>IFERROR(__xludf.DUMMYFUNCTION("""COMPUTED_VALUE"""),42998.99861111111)</f>
        <v>42998.99861</v>
      </c>
      <c r="B2381" s="1">
        <f>IFERROR(__xludf.DUMMYFUNCTION("""COMPUTED_VALUE"""),44116.86376)</f>
        <v>44116.86376</v>
      </c>
    </row>
    <row r="2382">
      <c r="A2382" s="3">
        <f>IFERROR(__xludf.DUMMYFUNCTION("""COMPUTED_VALUE"""),42999.99861111111)</f>
        <v>42999.99861</v>
      </c>
      <c r="B2382" s="1">
        <f>IFERROR(__xludf.DUMMYFUNCTION("""COMPUTED_VALUE"""),44116.86376)</f>
        <v>44116.86376</v>
      </c>
    </row>
    <row r="2383">
      <c r="A2383" s="3">
        <f>IFERROR(__xludf.DUMMYFUNCTION("""COMPUTED_VALUE"""),43000.99861111111)</f>
        <v>43000.99861</v>
      </c>
      <c r="B2383" s="1">
        <f>IFERROR(__xludf.DUMMYFUNCTION("""COMPUTED_VALUE"""),44163.08199)</f>
        <v>44163.08199</v>
      </c>
    </row>
    <row r="2384">
      <c r="A2384" s="3">
        <f>IFERROR(__xludf.DUMMYFUNCTION("""COMPUTED_VALUE"""),43002.99861111111)</f>
        <v>43002.99861</v>
      </c>
      <c r="B2384" s="1">
        <f>IFERROR(__xludf.DUMMYFUNCTION("""COMPUTED_VALUE"""),44216.25048)</f>
        <v>44216.25048</v>
      </c>
    </row>
    <row r="2385">
      <c r="A2385" s="3">
        <f>IFERROR(__xludf.DUMMYFUNCTION("""COMPUTED_VALUE"""),43003.99861111111)</f>
        <v>43003.99861</v>
      </c>
      <c r="B2385" s="1">
        <f>IFERROR(__xludf.DUMMYFUNCTION("""COMPUTED_VALUE"""),44269.75879)</f>
        <v>44269.75879</v>
      </c>
    </row>
    <row r="2386">
      <c r="A2386" s="3">
        <f>IFERROR(__xludf.DUMMYFUNCTION("""COMPUTED_VALUE"""),43004.99861111111)</f>
        <v>43004.99861</v>
      </c>
      <c r="B2386" s="1">
        <f>IFERROR(__xludf.DUMMYFUNCTION("""COMPUTED_VALUE"""),44382.12875)</f>
        <v>44382.12875</v>
      </c>
    </row>
    <row r="2387">
      <c r="A2387" s="3">
        <f>IFERROR(__xludf.DUMMYFUNCTION("""COMPUTED_VALUE"""),43005.99861111111)</f>
        <v>43005.99861</v>
      </c>
      <c r="B2387" s="1">
        <f>IFERROR(__xludf.DUMMYFUNCTION("""COMPUTED_VALUE"""),44648.67256)</f>
        <v>44648.67256</v>
      </c>
    </row>
    <row r="2388">
      <c r="A2388" s="3">
        <f>IFERROR(__xludf.DUMMYFUNCTION("""COMPUTED_VALUE"""),43006.99861111111)</f>
        <v>43006.99861</v>
      </c>
      <c r="B2388" s="1">
        <f>IFERROR(__xludf.DUMMYFUNCTION("""COMPUTED_VALUE"""),44897.95794)</f>
        <v>44897.95794</v>
      </c>
    </row>
    <row r="2389">
      <c r="A2389" s="3">
        <f>IFERROR(__xludf.DUMMYFUNCTION("""COMPUTED_VALUE"""),43007.99861111111)</f>
        <v>43007.99861</v>
      </c>
      <c r="B2389" s="1">
        <f>IFERROR(__xludf.DUMMYFUNCTION("""COMPUTED_VALUE"""),44647.88334)</f>
        <v>44647.88334</v>
      </c>
    </row>
    <row r="2390">
      <c r="A2390" s="3">
        <f>IFERROR(__xludf.DUMMYFUNCTION("""COMPUTED_VALUE"""),43009.99861111111)</f>
        <v>43009.99861</v>
      </c>
      <c r="B2390" s="1">
        <f>IFERROR(__xludf.DUMMYFUNCTION("""COMPUTED_VALUE"""),44664.46873)</f>
        <v>44664.46873</v>
      </c>
    </row>
    <row r="2391">
      <c r="A2391" s="3">
        <f>IFERROR(__xludf.DUMMYFUNCTION("""COMPUTED_VALUE"""),43010.99861111111)</f>
        <v>43010.99861</v>
      </c>
      <c r="B2391" s="1">
        <f>IFERROR(__xludf.DUMMYFUNCTION("""COMPUTED_VALUE"""),44868.51184)</f>
        <v>44868.51184</v>
      </c>
    </row>
    <row r="2392">
      <c r="A2392" s="3">
        <f>IFERROR(__xludf.DUMMYFUNCTION("""COMPUTED_VALUE"""),43011.99861111111)</f>
        <v>43011.99861</v>
      </c>
      <c r="B2392" s="1">
        <f>IFERROR(__xludf.DUMMYFUNCTION("""COMPUTED_VALUE"""),44886.5807)</f>
        <v>44886.5807</v>
      </c>
    </row>
    <row r="2393">
      <c r="A2393" s="3">
        <f>IFERROR(__xludf.DUMMYFUNCTION("""COMPUTED_VALUE"""),43012.99861111111)</f>
        <v>43012.99861</v>
      </c>
      <c r="B2393" s="1">
        <f>IFERROR(__xludf.DUMMYFUNCTION("""COMPUTED_VALUE"""),44667.71883)</f>
        <v>44667.71883</v>
      </c>
    </row>
    <row r="2394">
      <c r="A2394" s="3">
        <f>IFERROR(__xludf.DUMMYFUNCTION("""COMPUTED_VALUE"""),43013.99861111111)</f>
        <v>43013.99861</v>
      </c>
      <c r="B2394" s="1">
        <f>IFERROR(__xludf.DUMMYFUNCTION("""COMPUTED_VALUE"""),44604.71313)</f>
        <v>44604.71313</v>
      </c>
    </row>
    <row r="2395">
      <c r="A2395" s="3">
        <f>IFERROR(__xludf.DUMMYFUNCTION("""COMPUTED_VALUE"""),43014.99861111111)</f>
        <v>43014.99861</v>
      </c>
      <c r="B2395" s="1">
        <f>IFERROR(__xludf.DUMMYFUNCTION("""COMPUTED_VALUE"""),44751.58238)</f>
        <v>44751.58238</v>
      </c>
    </row>
    <row r="2396">
      <c r="A2396" s="3">
        <f>IFERROR(__xludf.DUMMYFUNCTION("""COMPUTED_VALUE"""),43015.99861111111)</f>
        <v>43015.99861</v>
      </c>
      <c r="B2396" s="1">
        <f>IFERROR(__xludf.DUMMYFUNCTION("""COMPUTED_VALUE"""),44735.01017)</f>
        <v>44735.01017</v>
      </c>
    </row>
    <row r="2397">
      <c r="A2397" s="3">
        <f>IFERROR(__xludf.DUMMYFUNCTION("""COMPUTED_VALUE"""),43016.99861111111)</f>
        <v>43016.99861</v>
      </c>
      <c r="B2397" s="1">
        <f>IFERROR(__xludf.DUMMYFUNCTION("""COMPUTED_VALUE"""),44735.01017)</f>
        <v>44735.01017</v>
      </c>
    </row>
    <row r="2398">
      <c r="A2398" s="3">
        <f>IFERROR(__xludf.DUMMYFUNCTION("""COMPUTED_VALUE"""),43017.99861111111)</f>
        <v>43017.99861</v>
      </c>
      <c r="B2398" s="1">
        <f>IFERROR(__xludf.DUMMYFUNCTION("""COMPUTED_VALUE"""),44800.36239)</f>
        <v>44800.36239</v>
      </c>
    </row>
    <row r="2399">
      <c r="A2399" s="3">
        <f>IFERROR(__xludf.DUMMYFUNCTION("""COMPUTED_VALUE"""),43018.99861111111)</f>
        <v>43018.99861</v>
      </c>
      <c r="B2399" s="1">
        <f>IFERROR(__xludf.DUMMYFUNCTION("""COMPUTED_VALUE"""),44795.90409)</f>
        <v>44795.90409</v>
      </c>
    </row>
    <row r="2400">
      <c r="A2400" s="3">
        <f>IFERROR(__xludf.DUMMYFUNCTION("""COMPUTED_VALUE"""),43019.99861111111)</f>
        <v>43019.99861</v>
      </c>
      <c r="B2400" s="1">
        <f>IFERROR(__xludf.DUMMYFUNCTION("""COMPUTED_VALUE"""),44758.80563)</f>
        <v>44758.80563</v>
      </c>
    </row>
    <row r="2401">
      <c r="A2401" s="3">
        <f>IFERROR(__xludf.DUMMYFUNCTION("""COMPUTED_VALUE"""),43020.99861111111)</f>
        <v>43020.99861</v>
      </c>
      <c r="B2401" s="1">
        <f>IFERROR(__xludf.DUMMYFUNCTION("""COMPUTED_VALUE"""),44738.32461)</f>
        <v>44738.32461</v>
      </c>
    </row>
    <row r="2402">
      <c r="A2402" s="3">
        <f>IFERROR(__xludf.DUMMYFUNCTION("""COMPUTED_VALUE"""),43021.99861111111)</f>
        <v>43021.99861</v>
      </c>
      <c r="B2402" s="1">
        <f>IFERROR(__xludf.DUMMYFUNCTION("""COMPUTED_VALUE"""),44566.112)</f>
        <v>44566.112</v>
      </c>
    </row>
    <row r="2403">
      <c r="A2403" s="3">
        <f>IFERROR(__xludf.DUMMYFUNCTION("""COMPUTED_VALUE"""),43022.99861111111)</f>
        <v>43022.99861</v>
      </c>
      <c r="B2403" s="1">
        <f>IFERROR(__xludf.DUMMYFUNCTION("""COMPUTED_VALUE"""),44771.8528)</f>
        <v>44771.8528</v>
      </c>
    </row>
    <row r="2404">
      <c r="A2404" s="3">
        <f>IFERROR(__xludf.DUMMYFUNCTION("""COMPUTED_VALUE"""),43023.99861111111)</f>
        <v>43023.99861</v>
      </c>
      <c r="B2404" s="1">
        <f>IFERROR(__xludf.DUMMYFUNCTION("""COMPUTED_VALUE"""),44771.8528)</f>
        <v>44771.8528</v>
      </c>
    </row>
    <row r="2405">
      <c r="A2405" s="3">
        <f>IFERROR(__xludf.DUMMYFUNCTION("""COMPUTED_VALUE"""),43024.99861111111)</f>
        <v>43024.99861</v>
      </c>
      <c r="B2405" s="1">
        <f>IFERROR(__xludf.DUMMYFUNCTION("""COMPUTED_VALUE"""),44683.16828)</f>
        <v>44683.16828</v>
      </c>
    </row>
    <row r="2406">
      <c r="A2406" s="3">
        <f>IFERROR(__xludf.DUMMYFUNCTION("""COMPUTED_VALUE"""),43025.99861111111)</f>
        <v>43025.99861</v>
      </c>
      <c r="B2406" s="1">
        <f>IFERROR(__xludf.DUMMYFUNCTION("""COMPUTED_VALUE"""),44735.79005)</f>
        <v>44735.79005</v>
      </c>
    </row>
    <row r="2407">
      <c r="A2407" s="3">
        <f>IFERROR(__xludf.DUMMYFUNCTION("""COMPUTED_VALUE"""),43026.99861111111)</f>
        <v>43026.99861</v>
      </c>
      <c r="B2407" s="1">
        <f>IFERROR(__xludf.DUMMYFUNCTION("""COMPUTED_VALUE"""),44778.09791)</f>
        <v>44778.09791</v>
      </c>
    </row>
    <row r="2408">
      <c r="A2408" s="3">
        <f>IFERROR(__xludf.DUMMYFUNCTION("""COMPUTED_VALUE"""),43027.99861111111)</f>
        <v>43027.99861</v>
      </c>
      <c r="B2408" s="1">
        <f>IFERROR(__xludf.DUMMYFUNCTION("""COMPUTED_VALUE"""),44711.80909)</f>
        <v>44711.80909</v>
      </c>
    </row>
    <row r="2409">
      <c r="A2409" s="3">
        <f>IFERROR(__xludf.DUMMYFUNCTION("""COMPUTED_VALUE"""),43028.99861111111)</f>
        <v>43028.99861</v>
      </c>
      <c r="B2409" s="1">
        <f>IFERROR(__xludf.DUMMYFUNCTION("""COMPUTED_VALUE"""),44769.79018)</f>
        <v>44769.79018</v>
      </c>
    </row>
    <row r="2410">
      <c r="A2410" s="3">
        <f>IFERROR(__xludf.DUMMYFUNCTION("""COMPUTED_VALUE"""),43029.99861111111)</f>
        <v>43029.99861</v>
      </c>
      <c r="B2410" s="1">
        <f>IFERROR(__xludf.DUMMYFUNCTION("""COMPUTED_VALUE"""),44769.79018)</f>
        <v>44769.79018</v>
      </c>
    </row>
    <row r="2411">
      <c r="A2411" s="3">
        <f>IFERROR(__xludf.DUMMYFUNCTION("""COMPUTED_VALUE"""),43030.99861111111)</f>
        <v>43030.99861</v>
      </c>
      <c r="B2411" s="1">
        <f>IFERROR(__xludf.DUMMYFUNCTION("""COMPUTED_VALUE"""),44769.79018)</f>
        <v>44769.79018</v>
      </c>
    </row>
    <row r="2412">
      <c r="A2412" s="3">
        <f>IFERROR(__xludf.DUMMYFUNCTION("""COMPUTED_VALUE"""),43031.99861111111)</f>
        <v>43031.99861</v>
      </c>
      <c r="B2412" s="1">
        <f>IFERROR(__xludf.DUMMYFUNCTION("""COMPUTED_VALUE"""),44862.43425)</f>
        <v>44862.43425</v>
      </c>
    </row>
    <row r="2413">
      <c r="A2413" s="3">
        <f>IFERROR(__xludf.DUMMYFUNCTION("""COMPUTED_VALUE"""),43032.99861111111)</f>
        <v>43032.99861</v>
      </c>
      <c r="B2413" s="1">
        <f>IFERROR(__xludf.DUMMYFUNCTION("""COMPUTED_VALUE"""),44829.28875)</f>
        <v>44829.28875</v>
      </c>
    </row>
    <row r="2414">
      <c r="A2414" s="3">
        <f>IFERROR(__xludf.DUMMYFUNCTION("""COMPUTED_VALUE"""),43033.99861111111)</f>
        <v>43033.99861</v>
      </c>
      <c r="B2414" s="1">
        <f>IFERROR(__xludf.DUMMYFUNCTION("""COMPUTED_VALUE"""),44985.0726)</f>
        <v>44985.0726</v>
      </c>
    </row>
    <row r="2415">
      <c r="A2415" s="3">
        <f>IFERROR(__xludf.DUMMYFUNCTION("""COMPUTED_VALUE"""),43034.99861111111)</f>
        <v>43034.99861</v>
      </c>
      <c r="B2415" s="1">
        <f>IFERROR(__xludf.DUMMYFUNCTION("""COMPUTED_VALUE"""),45220.40565)</f>
        <v>45220.40565</v>
      </c>
    </row>
    <row r="2416">
      <c r="A2416" s="3">
        <f>IFERROR(__xludf.DUMMYFUNCTION("""COMPUTED_VALUE"""),43035.99861111111)</f>
        <v>43035.99861</v>
      </c>
      <c r="B2416" s="1">
        <f>IFERROR(__xludf.DUMMYFUNCTION("""COMPUTED_VALUE"""),44980.96387)</f>
        <v>44980.96387</v>
      </c>
    </row>
    <row r="2417">
      <c r="A2417" s="3">
        <f>IFERROR(__xludf.DUMMYFUNCTION("""COMPUTED_VALUE"""),43037.99861111111)</f>
        <v>43037.99861</v>
      </c>
      <c r="B2417" s="1">
        <f>IFERROR(__xludf.DUMMYFUNCTION("""COMPUTED_VALUE"""),44971.03503)</f>
        <v>44971.03503</v>
      </c>
    </row>
    <row r="2418">
      <c r="A2418" s="3">
        <f>IFERROR(__xludf.DUMMYFUNCTION("""COMPUTED_VALUE"""),43038.99861111111)</f>
        <v>43038.99861</v>
      </c>
      <c r="B2418" s="1">
        <f>IFERROR(__xludf.DUMMYFUNCTION("""COMPUTED_VALUE"""),44991.7017)</f>
        <v>44991.7017</v>
      </c>
    </row>
    <row r="2419">
      <c r="A2419" s="3">
        <f>IFERROR(__xludf.DUMMYFUNCTION("""COMPUTED_VALUE"""),43039.99861111111)</f>
        <v>43039.99861</v>
      </c>
      <c r="B2419" s="1">
        <f>IFERROR(__xludf.DUMMYFUNCTION("""COMPUTED_VALUE"""),44925.4107)</f>
        <v>44925.4107</v>
      </c>
    </row>
    <row r="2420">
      <c r="A2420" s="3">
        <f>IFERROR(__xludf.DUMMYFUNCTION("""COMPUTED_VALUE"""),43040.99861111111)</f>
        <v>43040.99861</v>
      </c>
      <c r="B2420" s="1">
        <f>IFERROR(__xludf.DUMMYFUNCTION("""COMPUTED_VALUE"""),44922.09615)</f>
        <v>44922.09615</v>
      </c>
    </row>
    <row r="2421">
      <c r="A2421" s="3">
        <f>IFERROR(__xludf.DUMMYFUNCTION("""COMPUTED_VALUE"""),43041.99861111111)</f>
        <v>43041.99861</v>
      </c>
      <c r="B2421" s="1">
        <f>IFERROR(__xludf.DUMMYFUNCTION("""COMPUTED_VALUE"""),44825.06831)</f>
        <v>44825.06831</v>
      </c>
    </row>
    <row r="2422">
      <c r="A2422" s="3">
        <f>IFERROR(__xludf.DUMMYFUNCTION("""COMPUTED_VALUE"""),43042.99861111111)</f>
        <v>43042.99861</v>
      </c>
      <c r="B2422" s="1">
        <f>IFERROR(__xludf.DUMMYFUNCTION("""COMPUTED_VALUE"""),44606.20968)</f>
        <v>44606.20968</v>
      </c>
    </row>
    <row r="2423">
      <c r="A2423" s="3">
        <f>IFERROR(__xludf.DUMMYFUNCTION("""COMPUTED_VALUE"""),43043.99861111111)</f>
        <v>43043.99861</v>
      </c>
      <c r="B2423" s="1">
        <f>IFERROR(__xludf.DUMMYFUNCTION("""COMPUTED_VALUE"""),44606.20968)</f>
        <v>44606.20968</v>
      </c>
    </row>
    <row r="2424">
      <c r="A2424" s="3">
        <f>IFERROR(__xludf.DUMMYFUNCTION("""COMPUTED_VALUE"""),43044.99861111111)</f>
        <v>43044.99861</v>
      </c>
      <c r="B2424" s="1">
        <f>IFERROR(__xludf.DUMMYFUNCTION("""COMPUTED_VALUE"""),44606.20968)</f>
        <v>44606.20968</v>
      </c>
    </row>
    <row r="2425">
      <c r="A2425" s="3">
        <f>IFERROR(__xludf.DUMMYFUNCTION("""COMPUTED_VALUE"""),43045.99861111111)</f>
        <v>43045.99861</v>
      </c>
      <c r="B2425" s="1">
        <f>IFERROR(__xludf.DUMMYFUNCTION("""COMPUTED_VALUE"""),44690.07765)</f>
        <v>44690.07765</v>
      </c>
    </row>
    <row r="2426">
      <c r="A2426" s="3">
        <f>IFERROR(__xludf.DUMMYFUNCTION("""COMPUTED_VALUE"""),43046.99861111111)</f>
        <v>43046.99861</v>
      </c>
      <c r="B2426" s="1">
        <f>IFERROR(__xludf.DUMMYFUNCTION("""COMPUTED_VALUE"""),44792.8287)</f>
        <v>44792.8287</v>
      </c>
    </row>
    <row r="2427">
      <c r="A2427" s="3">
        <f>IFERROR(__xludf.DUMMYFUNCTION("""COMPUTED_VALUE"""),43047.99861111111)</f>
        <v>43047.99861</v>
      </c>
      <c r="B2427" s="1">
        <f>IFERROR(__xludf.DUMMYFUNCTION("""COMPUTED_VALUE"""),44756.36865)</f>
        <v>44756.36865</v>
      </c>
    </row>
    <row r="2428">
      <c r="A2428" s="3">
        <f>IFERROR(__xludf.DUMMYFUNCTION("""COMPUTED_VALUE"""),43048.99861111111)</f>
        <v>43048.99861</v>
      </c>
      <c r="B2428" s="1">
        <f>IFERROR(__xludf.DUMMYFUNCTION("""COMPUTED_VALUE"""),44835.91785)</f>
        <v>44835.91785</v>
      </c>
    </row>
    <row r="2429">
      <c r="A2429" s="3">
        <f>IFERROR(__xludf.DUMMYFUNCTION("""COMPUTED_VALUE"""),43049.99861111111)</f>
        <v>43049.99861</v>
      </c>
      <c r="B2429" s="1">
        <f>IFERROR(__xludf.DUMMYFUNCTION("""COMPUTED_VALUE"""),44836.60051)</f>
        <v>44836.60051</v>
      </c>
    </row>
    <row r="2430">
      <c r="A2430" s="3">
        <f>IFERROR(__xludf.DUMMYFUNCTION("""COMPUTED_VALUE"""),43050.99861111111)</f>
        <v>43050.99861</v>
      </c>
      <c r="B2430" s="1">
        <f>IFERROR(__xludf.DUMMYFUNCTION("""COMPUTED_VALUE"""),44863.51837)</f>
        <v>44863.51837</v>
      </c>
    </row>
    <row r="2431">
      <c r="A2431" s="3">
        <f>IFERROR(__xludf.DUMMYFUNCTION("""COMPUTED_VALUE"""),43051.99861111111)</f>
        <v>43051.99861</v>
      </c>
      <c r="B2431" s="1">
        <f>IFERROR(__xludf.DUMMYFUNCTION("""COMPUTED_VALUE"""),44704.70872)</f>
        <v>44704.70872</v>
      </c>
    </row>
    <row r="2432">
      <c r="A2432" s="3">
        <f>IFERROR(__xludf.DUMMYFUNCTION("""COMPUTED_VALUE"""),43052.99861111111)</f>
        <v>43052.99861</v>
      </c>
      <c r="B2432" s="1">
        <f>IFERROR(__xludf.DUMMYFUNCTION("""COMPUTED_VALUE"""),44919.12804)</f>
        <v>44919.12804</v>
      </c>
    </row>
    <row r="2433">
      <c r="A2433" s="3">
        <f>IFERROR(__xludf.DUMMYFUNCTION("""COMPUTED_VALUE"""),43053.99861111111)</f>
        <v>43053.99861</v>
      </c>
      <c r="B2433" s="1">
        <f>IFERROR(__xludf.DUMMYFUNCTION("""COMPUTED_VALUE"""),44898.55965)</f>
        <v>44898.55965</v>
      </c>
    </row>
    <row r="2434">
      <c r="A2434" s="3">
        <f>IFERROR(__xludf.DUMMYFUNCTION("""COMPUTED_VALUE"""),43054.99861111111)</f>
        <v>43054.99861</v>
      </c>
      <c r="B2434" s="1">
        <f>IFERROR(__xludf.DUMMYFUNCTION("""COMPUTED_VALUE"""),44862.43425)</f>
        <v>44862.43425</v>
      </c>
    </row>
    <row r="2435">
      <c r="A2435" s="3">
        <f>IFERROR(__xludf.DUMMYFUNCTION("""COMPUTED_VALUE"""),43055.99861111111)</f>
        <v>43055.99861</v>
      </c>
      <c r="B2435" s="1">
        <f>IFERROR(__xludf.DUMMYFUNCTION("""COMPUTED_VALUE"""),44792.8287)</f>
        <v>44792.8287</v>
      </c>
    </row>
    <row r="2436">
      <c r="A2436" s="3">
        <f>IFERROR(__xludf.DUMMYFUNCTION("""COMPUTED_VALUE"""),43056.99861111111)</f>
        <v>43056.99861</v>
      </c>
      <c r="B2436" s="1">
        <f>IFERROR(__xludf.DUMMYFUNCTION("""COMPUTED_VALUE"""),44802.64549)</f>
        <v>44802.64549</v>
      </c>
    </row>
    <row r="2437">
      <c r="A2437" s="3">
        <f>IFERROR(__xludf.DUMMYFUNCTION("""COMPUTED_VALUE"""),43057.99861111111)</f>
        <v>43057.99861</v>
      </c>
      <c r="B2437" s="1">
        <f>IFERROR(__xludf.DUMMYFUNCTION("""COMPUTED_VALUE"""),44820.92077)</f>
        <v>44820.92077</v>
      </c>
    </row>
    <row r="2438">
      <c r="A2438" s="3">
        <f>IFERROR(__xludf.DUMMYFUNCTION("""COMPUTED_VALUE"""),43058.99861111111)</f>
        <v>43058.99861</v>
      </c>
      <c r="B2438" s="1">
        <f>IFERROR(__xludf.DUMMYFUNCTION("""COMPUTED_VALUE"""),44802.64549)</f>
        <v>44802.64549</v>
      </c>
    </row>
    <row r="2439">
      <c r="A2439" s="3">
        <f>IFERROR(__xludf.DUMMYFUNCTION("""COMPUTED_VALUE"""),43059.99861111111)</f>
        <v>43059.99861</v>
      </c>
      <c r="B2439" s="1">
        <f>IFERROR(__xludf.DUMMYFUNCTION("""COMPUTED_VALUE"""),44862.00572)</f>
        <v>44862.00572</v>
      </c>
    </row>
    <row r="2440">
      <c r="A2440" s="3">
        <f>IFERROR(__xludf.DUMMYFUNCTION("""COMPUTED_VALUE"""),43060.99861111111)</f>
        <v>43060.99861</v>
      </c>
      <c r="B2440" s="1">
        <f>IFERROR(__xludf.DUMMYFUNCTION("""COMPUTED_VALUE"""),44809.40145)</f>
        <v>44809.40145</v>
      </c>
    </row>
    <row r="2441">
      <c r="A2441" s="3">
        <f>IFERROR(__xludf.DUMMYFUNCTION("""COMPUTED_VALUE"""),43061.99861111111)</f>
        <v>43061.99861</v>
      </c>
      <c r="B2441" s="1">
        <f>IFERROR(__xludf.DUMMYFUNCTION("""COMPUTED_VALUE"""),44686.9813)</f>
        <v>44686.9813</v>
      </c>
    </row>
    <row r="2442">
      <c r="A2442" s="3">
        <f>IFERROR(__xludf.DUMMYFUNCTION("""COMPUTED_VALUE"""),43062.99861111111)</f>
        <v>43062.99861</v>
      </c>
      <c r="B2442" s="1">
        <f>IFERROR(__xludf.DUMMYFUNCTION("""COMPUTED_VALUE"""),44709.96495)</f>
        <v>44709.96495</v>
      </c>
    </row>
    <row r="2443">
      <c r="A2443" s="3">
        <f>IFERROR(__xludf.DUMMYFUNCTION("""COMPUTED_VALUE"""),43063.99861111111)</f>
        <v>43063.99861</v>
      </c>
      <c r="B2443" s="1">
        <f>IFERROR(__xludf.DUMMYFUNCTION("""COMPUTED_VALUE"""),44776.9019)</f>
        <v>44776.9019</v>
      </c>
    </row>
    <row r="2444">
      <c r="A2444" s="3">
        <f>IFERROR(__xludf.DUMMYFUNCTION("""COMPUTED_VALUE"""),43064.99861111111)</f>
        <v>43064.99861</v>
      </c>
      <c r="B2444" s="1">
        <f>IFERROR(__xludf.DUMMYFUNCTION("""COMPUTED_VALUE"""),44776.9019)</f>
        <v>44776.9019</v>
      </c>
    </row>
    <row r="2445">
      <c r="A2445" s="3">
        <f>IFERROR(__xludf.DUMMYFUNCTION("""COMPUTED_VALUE"""),43065.99861111111)</f>
        <v>43065.99861</v>
      </c>
      <c r="B2445" s="1">
        <f>IFERROR(__xludf.DUMMYFUNCTION("""COMPUTED_VALUE"""),44776.9019)</f>
        <v>44776.9019</v>
      </c>
    </row>
    <row r="2446">
      <c r="A2446" s="3">
        <f>IFERROR(__xludf.DUMMYFUNCTION("""COMPUTED_VALUE"""),43066.99861111111)</f>
        <v>43066.99861</v>
      </c>
      <c r="B2446" s="1">
        <f>IFERROR(__xludf.DUMMYFUNCTION("""COMPUTED_VALUE"""),44864.68064)</f>
        <v>44864.68064</v>
      </c>
    </row>
    <row r="2447">
      <c r="A2447" s="3">
        <f>IFERROR(__xludf.DUMMYFUNCTION("""COMPUTED_VALUE"""),43067.99861111111)</f>
        <v>43067.99861</v>
      </c>
      <c r="B2447" s="1">
        <f>IFERROR(__xludf.DUMMYFUNCTION("""COMPUTED_VALUE"""),44805.8385)</f>
        <v>44805.8385</v>
      </c>
    </row>
    <row r="2448">
      <c r="A2448" s="3">
        <f>IFERROR(__xludf.DUMMYFUNCTION("""COMPUTED_VALUE"""),43068.99861111111)</f>
        <v>43068.99861</v>
      </c>
      <c r="B2448" s="1">
        <f>IFERROR(__xludf.DUMMYFUNCTION("""COMPUTED_VALUE"""),44844.40729)</f>
        <v>44844.40729</v>
      </c>
    </row>
    <row r="2449">
      <c r="A2449" s="3">
        <f>IFERROR(__xludf.DUMMYFUNCTION("""COMPUTED_VALUE"""),43069.99861111111)</f>
        <v>43069.99861</v>
      </c>
      <c r="B2449" s="1">
        <f>IFERROR(__xludf.DUMMYFUNCTION("""COMPUTED_VALUE"""),44889.7691)</f>
        <v>44889.7691</v>
      </c>
    </row>
    <row r="2450">
      <c r="A2450" s="3">
        <f>IFERROR(__xludf.DUMMYFUNCTION("""COMPUTED_VALUE"""),43070.99861111111)</f>
        <v>43070.99861</v>
      </c>
      <c r="B2450" s="1">
        <f>IFERROR(__xludf.DUMMYFUNCTION("""COMPUTED_VALUE"""),44914.4897)</f>
        <v>44914.4897</v>
      </c>
    </row>
    <row r="2451">
      <c r="A2451" s="3">
        <f>IFERROR(__xludf.DUMMYFUNCTION("""COMPUTED_VALUE"""),43071.99861111111)</f>
        <v>43071.99861</v>
      </c>
      <c r="B2451" s="1">
        <f>IFERROR(__xludf.DUMMYFUNCTION("""COMPUTED_VALUE"""),44933.716)</f>
        <v>44933.716</v>
      </c>
    </row>
    <row r="2452">
      <c r="A2452" s="3">
        <f>IFERROR(__xludf.DUMMYFUNCTION("""COMPUTED_VALUE"""),43072.99861111111)</f>
        <v>43072.99861</v>
      </c>
      <c r="B2452" s="1">
        <f>IFERROR(__xludf.DUMMYFUNCTION("""COMPUTED_VALUE"""),45027.39024)</f>
        <v>45027.39024</v>
      </c>
    </row>
    <row r="2453">
      <c r="A2453" s="3">
        <f>IFERROR(__xludf.DUMMYFUNCTION("""COMPUTED_VALUE"""),43073.99861111111)</f>
        <v>43073.99861</v>
      </c>
      <c r="B2453" s="1">
        <f>IFERROR(__xludf.DUMMYFUNCTION("""COMPUTED_VALUE"""),44726.5377)</f>
        <v>44726.5377</v>
      </c>
    </row>
    <row r="2454">
      <c r="A2454" s="3">
        <f>IFERROR(__xludf.DUMMYFUNCTION("""COMPUTED_VALUE"""),43074.99861111111)</f>
        <v>43074.99861</v>
      </c>
      <c r="B2454" s="1">
        <f>IFERROR(__xludf.DUMMYFUNCTION("""COMPUTED_VALUE"""),44810.31065)</f>
        <v>44810.31065</v>
      </c>
    </row>
    <row r="2455">
      <c r="A2455" s="3">
        <f>IFERROR(__xludf.DUMMYFUNCTION("""COMPUTED_VALUE"""),43075.99861111111)</f>
        <v>43075.99861</v>
      </c>
      <c r="B2455" s="1">
        <f>IFERROR(__xludf.DUMMYFUNCTION("""COMPUTED_VALUE"""),44872.50482)</f>
        <v>44872.50482</v>
      </c>
    </row>
    <row r="2456">
      <c r="A2456" s="3">
        <f>IFERROR(__xludf.DUMMYFUNCTION("""COMPUTED_VALUE"""),43076.99861111111)</f>
        <v>43076.99861</v>
      </c>
      <c r="B2456" s="1">
        <f>IFERROR(__xludf.DUMMYFUNCTION("""COMPUTED_VALUE"""),44932.53196)</f>
        <v>44932.53196</v>
      </c>
    </row>
    <row r="2457">
      <c r="A2457" s="3">
        <f>IFERROR(__xludf.DUMMYFUNCTION("""COMPUTED_VALUE"""),43077.99861111111)</f>
        <v>43077.99861</v>
      </c>
      <c r="B2457" s="1">
        <f>IFERROR(__xludf.DUMMYFUNCTION("""COMPUTED_VALUE"""),44917.0533)</f>
        <v>44917.0533</v>
      </c>
    </row>
    <row r="2458">
      <c r="A2458" s="3">
        <f>IFERROR(__xludf.DUMMYFUNCTION("""COMPUTED_VALUE"""),43078.99861111111)</f>
        <v>43078.99861</v>
      </c>
      <c r="B2458" s="1">
        <f>IFERROR(__xludf.DUMMYFUNCTION("""COMPUTED_VALUE"""),44917.0533)</f>
        <v>44917.0533</v>
      </c>
    </row>
    <row r="2459">
      <c r="A2459" s="3">
        <f>IFERROR(__xludf.DUMMYFUNCTION("""COMPUTED_VALUE"""),43079.99861111111)</f>
        <v>43079.99861</v>
      </c>
      <c r="B2459" s="1">
        <f>IFERROR(__xludf.DUMMYFUNCTION("""COMPUTED_VALUE"""),44814.19995)</f>
        <v>44814.19995</v>
      </c>
    </row>
    <row r="2460">
      <c r="A2460" s="3">
        <f>IFERROR(__xludf.DUMMYFUNCTION("""COMPUTED_VALUE"""),43080.99861111111)</f>
        <v>43080.99861</v>
      </c>
      <c r="B2460" s="1">
        <f>IFERROR(__xludf.DUMMYFUNCTION("""COMPUTED_VALUE"""),44918.7816)</f>
        <v>44918.7816</v>
      </c>
    </row>
    <row r="2461">
      <c r="A2461" s="3">
        <f>IFERROR(__xludf.DUMMYFUNCTION("""COMPUTED_VALUE"""),43081.99861111111)</f>
        <v>43081.99861</v>
      </c>
      <c r="B2461" s="1">
        <f>IFERROR(__xludf.DUMMYFUNCTION("""COMPUTED_VALUE"""),44916.95766)</f>
        <v>44916.95766</v>
      </c>
    </row>
    <row r="2462">
      <c r="A2462" s="3">
        <f>IFERROR(__xludf.DUMMYFUNCTION("""COMPUTED_VALUE"""),43082.99861111111)</f>
        <v>43082.99861</v>
      </c>
      <c r="B2462" s="1">
        <f>IFERROR(__xludf.DUMMYFUNCTION("""COMPUTED_VALUE"""),44879.007)</f>
        <v>44879.007</v>
      </c>
    </row>
    <row r="2463">
      <c r="A2463" s="3">
        <f>IFERROR(__xludf.DUMMYFUNCTION("""COMPUTED_VALUE"""),43083.99861111111)</f>
        <v>43083.99861</v>
      </c>
      <c r="B2463" s="1">
        <f>IFERROR(__xludf.DUMMYFUNCTION("""COMPUTED_VALUE"""),44941.79748)</f>
        <v>44941.79748</v>
      </c>
    </row>
    <row r="2464">
      <c r="A2464" s="3">
        <f>IFERROR(__xludf.DUMMYFUNCTION("""COMPUTED_VALUE"""),43084.99861111111)</f>
        <v>43084.99861</v>
      </c>
      <c r="B2464" s="1">
        <f>IFERROR(__xludf.DUMMYFUNCTION("""COMPUTED_VALUE"""),45013.59027)</f>
        <v>45013.59027</v>
      </c>
    </row>
    <row r="2465">
      <c r="A2465" s="3">
        <f>IFERROR(__xludf.DUMMYFUNCTION("""COMPUTED_VALUE"""),43086.99861111111)</f>
        <v>43086.99861</v>
      </c>
      <c r="B2465" s="1">
        <f>IFERROR(__xludf.DUMMYFUNCTION("""COMPUTED_VALUE"""),45013.59027)</f>
        <v>45013.59027</v>
      </c>
    </row>
    <row r="2466">
      <c r="A2466" s="3">
        <f>IFERROR(__xludf.DUMMYFUNCTION("""COMPUTED_VALUE"""),43087.99861111111)</f>
        <v>43087.99861</v>
      </c>
      <c r="B2466" s="1">
        <f>IFERROR(__xludf.DUMMYFUNCTION("""COMPUTED_VALUE"""),45011.589)</f>
        <v>45011.589</v>
      </c>
    </row>
    <row r="2467">
      <c r="A2467" s="3">
        <f>IFERROR(__xludf.DUMMYFUNCTION("""COMPUTED_VALUE"""),43088.99861111111)</f>
        <v>43088.99861</v>
      </c>
      <c r="B2467" s="1">
        <f>IFERROR(__xludf.DUMMYFUNCTION("""COMPUTED_VALUE"""),44995.01625)</f>
        <v>44995.01625</v>
      </c>
    </row>
    <row r="2468">
      <c r="A2468" s="3">
        <f>IFERROR(__xludf.DUMMYFUNCTION("""COMPUTED_VALUE"""),43089.99861111111)</f>
        <v>43089.99861</v>
      </c>
      <c r="B2468" s="1">
        <f>IFERROR(__xludf.DUMMYFUNCTION("""COMPUTED_VALUE"""),45000.33139)</f>
        <v>45000.33139</v>
      </c>
    </row>
    <row r="2469">
      <c r="A2469" s="3">
        <f>IFERROR(__xludf.DUMMYFUNCTION("""COMPUTED_VALUE"""),43090.99861111111)</f>
        <v>43090.99861</v>
      </c>
      <c r="B2469" s="1">
        <f>IFERROR(__xludf.DUMMYFUNCTION("""COMPUTED_VALUE"""),44951.9271)</f>
        <v>44951.9271</v>
      </c>
    </row>
    <row r="2470">
      <c r="A2470" s="3">
        <f>IFERROR(__xludf.DUMMYFUNCTION("""COMPUTED_VALUE"""),43091.99861111111)</f>
        <v>43091.99861</v>
      </c>
      <c r="B2470" s="1">
        <f>IFERROR(__xludf.DUMMYFUNCTION("""COMPUTED_VALUE"""),44927.52819)</f>
        <v>44927.52819</v>
      </c>
    </row>
    <row r="2471">
      <c r="A2471" s="3">
        <f>IFERROR(__xludf.DUMMYFUNCTION("""COMPUTED_VALUE"""),43092.99861111111)</f>
        <v>43092.99861</v>
      </c>
      <c r="B2471" s="1">
        <f>IFERROR(__xludf.DUMMYFUNCTION("""COMPUTED_VALUE"""),44927.52819)</f>
        <v>44927.52819</v>
      </c>
    </row>
    <row r="2472">
      <c r="A2472" s="3">
        <f>IFERROR(__xludf.DUMMYFUNCTION("""COMPUTED_VALUE"""),43093.99861111111)</f>
        <v>43093.99861</v>
      </c>
      <c r="B2472" s="1">
        <f>IFERROR(__xludf.DUMMYFUNCTION("""COMPUTED_VALUE"""),44940.79386)</f>
        <v>44940.79386</v>
      </c>
    </row>
    <row r="2473">
      <c r="A2473" s="3">
        <f>IFERROR(__xludf.DUMMYFUNCTION("""COMPUTED_VALUE"""),43094.99861111111)</f>
        <v>43094.99861</v>
      </c>
      <c r="B2473" s="1">
        <f>IFERROR(__xludf.DUMMYFUNCTION("""COMPUTED_VALUE"""),44877.7819)</f>
        <v>44877.7819</v>
      </c>
    </row>
    <row r="2474">
      <c r="A2474" s="3">
        <f>IFERROR(__xludf.DUMMYFUNCTION("""COMPUTED_VALUE"""),43095.99861111111)</f>
        <v>43095.99861</v>
      </c>
      <c r="B2474" s="1">
        <f>IFERROR(__xludf.DUMMYFUNCTION("""COMPUTED_VALUE"""),44918.7816)</f>
        <v>44918.7816</v>
      </c>
    </row>
    <row r="2475">
      <c r="A2475" s="3">
        <f>IFERROR(__xludf.DUMMYFUNCTION("""COMPUTED_VALUE"""),43096.99861111111)</f>
        <v>43096.99861</v>
      </c>
      <c r="B2475" s="1">
        <f>IFERROR(__xludf.DUMMYFUNCTION("""COMPUTED_VALUE"""),44949.10856)</f>
        <v>44949.10856</v>
      </c>
    </row>
    <row r="2476">
      <c r="A2476" s="3">
        <f>IFERROR(__xludf.DUMMYFUNCTION("""COMPUTED_VALUE"""),43097.99861111111)</f>
        <v>43097.99861</v>
      </c>
      <c r="B2476" s="1">
        <f>IFERROR(__xludf.DUMMYFUNCTION("""COMPUTED_VALUE"""),44949.10856)</f>
        <v>44949.10856</v>
      </c>
    </row>
    <row r="2477">
      <c r="A2477" s="3">
        <f>IFERROR(__xludf.DUMMYFUNCTION("""COMPUTED_VALUE"""),43098.99861111111)</f>
        <v>43098.99861</v>
      </c>
      <c r="B2477" s="1">
        <f>IFERROR(__xludf.DUMMYFUNCTION("""COMPUTED_VALUE"""),44846.028)</f>
        <v>44846.028</v>
      </c>
    </row>
    <row r="2478">
      <c r="A2478" s="3">
        <f>IFERROR(__xludf.DUMMYFUNCTION("""COMPUTED_VALUE"""),43099.99861111111)</f>
        <v>43099.99861</v>
      </c>
      <c r="B2478" s="1">
        <f>IFERROR(__xludf.DUMMYFUNCTION("""COMPUTED_VALUE"""),44769.62365)</f>
        <v>44769.62365</v>
      </c>
    </row>
    <row r="2479">
      <c r="A2479" s="3">
        <f>IFERROR(__xludf.DUMMYFUNCTION("""COMPUTED_VALUE"""),43100.99861111111)</f>
        <v>43100.99861</v>
      </c>
      <c r="B2479" s="1">
        <f>IFERROR(__xludf.DUMMYFUNCTION("""COMPUTED_VALUE"""),44985.54897)</f>
        <v>44985.54897</v>
      </c>
    </row>
    <row r="2480">
      <c r="A2480" s="3">
        <f>IFERROR(__xludf.DUMMYFUNCTION("""COMPUTED_VALUE"""),43101.99861111111)</f>
        <v>43101.99861</v>
      </c>
      <c r="B2480" s="1">
        <f>IFERROR(__xludf.DUMMYFUNCTION("""COMPUTED_VALUE"""),45012.1244)</f>
        <v>45012.1244</v>
      </c>
    </row>
    <row r="2481">
      <c r="A2481" s="3">
        <f>IFERROR(__xludf.DUMMYFUNCTION("""COMPUTED_VALUE"""),43102.99861111111)</f>
        <v>43102.99861</v>
      </c>
      <c r="B2481" s="1">
        <f>IFERROR(__xludf.DUMMYFUNCTION("""COMPUTED_VALUE"""),44858.07228)</f>
        <v>44858.07228</v>
      </c>
    </row>
    <row r="2482">
      <c r="A2482" s="3">
        <f>IFERROR(__xludf.DUMMYFUNCTION("""COMPUTED_VALUE"""),43103.99861111111)</f>
        <v>43103.99861</v>
      </c>
      <c r="B2482" s="1">
        <f>IFERROR(__xludf.DUMMYFUNCTION("""COMPUTED_VALUE"""),44699.63206)</f>
        <v>44699.63206</v>
      </c>
    </row>
    <row r="2483">
      <c r="A2483" s="3">
        <f>IFERROR(__xludf.DUMMYFUNCTION("""COMPUTED_VALUE"""),43104.99861111111)</f>
        <v>43104.99861</v>
      </c>
      <c r="B2483" s="1">
        <f>IFERROR(__xludf.DUMMYFUNCTION("""COMPUTED_VALUE"""),44560.6994)</f>
        <v>44560.6994</v>
      </c>
    </row>
    <row r="2484">
      <c r="A2484" s="3">
        <f>IFERROR(__xludf.DUMMYFUNCTION("""COMPUTED_VALUE"""),43105.99861111111)</f>
        <v>43105.99861</v>
      </c>
      <c r="B2484" s="1">
        <f>IFERROR(__xludf.DUMMYFUNCTION("""COMPUTED_VALUE"""),44575.54885)</f>
        <v>44575.54885</v>
      </c>
    </row>
    <row r="2485">
      <c r="A2485" s="3">
        <f>IFERROR(__xludf.DUMMYFUNCTION("""COMPUTED_VALUE"""),43107.99861111111)</f>
        <v>43107.99861</v>
      </c>
      <c r="B2485" s="1">
        <f>IFERROR(__xludf.DUMMYFUNCTION("""COMPUTED_VALUE"""),44628.72973)</f>
        <v>44628.72973</v>
      </c>
    </row>
    <row r="2486">
      <c r="A2486" s="3">
        <f>IFERROR(__xludf.DUMMYFUNCTION("""COMPUTED_VALUE"""),43108.99861111111)</f>
        <v>43108.99861</v>
      </c>
      <c r="B2486" s="1">
        <f>IFERROR(__xludf.DUMMYFUNCTION("""COMPUTED_VALUE"""),44615.38329)</f>
        <v>44615.38329</v>
      </c>
    </row>
    <row r="2487">
      <c r="A2487" s="3">
        <f>IFERROR(__xludf.DUMMYFUNCTION("""COMPUTED_VALUE"""),43109.99861111111)</f>
        <v>43109.99861</v>
      </c>
      <c r="B2487" s="1">
        <f>IFERROR(__xludf.DUMMYFUNCTION("""COMPUTED_VALUE"""),44619.41567)</f>
        <v>44619.41567</v>
      </c>
    </row>
    <row r="2488">
      <c r="A2488" s="3">
        <f>IFERROR(__xludf.DUMMYFUNCTION("""COMPUTED_VALUE"""),43110.99861111111)</f>
        <v>43110.99861</v>
      </c>
      <c r="B2488" s="1">
        <f>IFERROR(__xludf.DUMMYFUNCTION("""COMPUTED_VALUE"""),44635.19538)</f>
        <v>44635.19538</v>
      </c>
    </row>
    <row r="2489">
      <c r="A2489" s="3">
        <f>IFERROR(__xludf.DUMMYFUNCTION("""COMPUTED_VALUE"""),43111.99861111111)</f>
        <v>43111.99861</v>
      </c>
      <c r="B2489" s="1">
        <f>IFERROR(__xludf.DUMMYFUNCTION("""COMPUTED_VALUE"""),44461.03674)</f>
        <v>44461.03674</v>
      </c>
    </row>
    <row r="2490">
      <c r="A2490" s="3">
        <f>IFERROR(__xludf.DUMMYFUNCTION("""COMPUTED_VALUE"""),43112.99861111111)</f>
        <v>43112.99861</v>
      </c>
      <c r="B2490" s="1">
        <f>IFERROR(__xludf.DUMMYFUNCTION("""COMPUTED_VALUE"""),44299.57608)</f>
        <v>44299.57608</v>
      </c>
    </row>
    <row r="2491">
      <c r="A2491" s="3">
        <f>IFERROR(__xludf.DUMMYFUNCTION("""COMPUTED_VALUE"""),43113.99861111111)</f>
        <v>43113.99861</v>
      </c>
      <c r="B2491" s="1">
        <f>IFERROR(__xludf.DUMMYFUNCTION("""COMPUTED_VALUE"""),44216.43123)</f>
        <v>44216.43123</v>
      </c>
    </row>
    <row r="2492">
      <c r="A2492" s="3">
        <f>IFERROR(__xludf.DUMMYFUNCTION("""COMPUTED_VALUE"""),43114.99861111111)</f>
        <v>43114.99861</v>
      </c>
      <c r="B2492" s="1">
        <f>IFERROR(__xludf.DUMMYFUNCTION("""COMPUTED_VALUE"""),44216.43123)</f>
        <v>44216.43123</v>
      </c>
    </row>
    <row r="2493">
      <c r="A2493" s="3">
        <f>IFERROR(__xludf.DUMMYFUNCTION("""COMPUTED_VALUE"""),43115.99861111111)</f>
        <v>43115.99861</v>
      </c>
      <c r="B2493" s="1">
        <f>IFERROR(__xludf.DUMMYFUNCTION("""COMPUTED_VALUE"""),44323.39887)</f>
        <v>44323.39887</v>
      </c>
    </row>
    <row r="2494">
      <c r="A2494" s="3">
        <f>IFERROR(__xludf.DUMMYFUNCTION("""COMPUTED_VALUE"""),43116.99861111111)</f>
        <v>43116.99861</v>
      </c>
      <c r="B2494" s="1">
        <f>IFERROR(__xludf.DUMMYFUNCTION("""COMPUTED_VALUE"""),44341.49986)</f>
        <v>44341.49986</v>
      </c>
    </row>
    <row r="2495">
      <c r="A2495" s="3">
        <f>IFERROR(__xludf.DUMMYFUNCTION("""COMPUTED_VALUE"""),43117.99861111111)</f>
        <v>43117.99861</v>
      </c>
      <c r="B2495" s="1">
        <f>IFERROR(__xludf.DUMMYFUNCTION("""COMPUTED_VALUE"""),44441.47318)</f>
        <v>44441.47318</v>
      </c>
    </row>
    <row r="2496">
      <c r="A2496" s="3">
        <f>IFERROR(__xludf.DUMMYFUNCTION("""COMPUTED_VALUE"""),43118.99861111111)</f>
        <v>43118.99861</v>
      </c>
      <c r="B2496" s="1">
        <f>IFERROR(__xludf.DUMMYFUNCTION("""COMPUTED_VALUE"""),44422.9677)</f>
        <v>44422.9677</v>
      </c>
    </row>
    <row r="2497">
      <c r="A2497" s="3">
        <f>IFERROR(__xludf.DUMMYFUNCTION("""COMPUTED_VALUE"""),43119.99861111111)</f>
        <v>43119.99861</v>
      </c>
      <c r="B2497" s="1">
        <f>IFERROR(__xludf.DUMMYFUNCTION("""COMPUTED_VALUE"""),44401.0911)</f>
        <v>44401.0911</v>
      </c>
    </row>
    <row r="2498">
      <c r="A2498" s="3">
        <f>IFERROR(__xludf.DUMMYFUNCTION("""COMPUTED_VALUE"""),43120.99861111111)</f>
        <v>43120.99861</v>
      </c>
      <c r="B2498" s="1">
        <f>IFERROR(__xludf.DUMMYFUNCTION("""COMPUTED_VALUE"""),44462.21555)</f>
        <v>44462.21555</v>
      </c>
    </row>
    <row r="2499">
      <c r="A2499" s="3">
        <f>IFERROR(__xludf.DUMMYFUNCTION("""COMPUTED_VALUE"""),43121.99861111111)</f>
        <v>43121.99861</v>
      </c>
      <c r="B2499" s="1">
        <f>IFERROR(__xludf.DUMMYFUNCTION("""COMPUTED_VALUE"""),44434.43777)</f>
        <v>44434.43777</v>
      </c>
    </row>
    <row r="2500">
      <c r="A2500" s="3">
        <f>IFERROR(__xludf.DUMMYFUNCTION("""COMPUTED_VALUE"""),43122.99861111111)</f>
        <v>43122.99861</v>
      </c>
      <c r="B2500" s="1">
        <f>IFERROR(__xludf.DUMMYFUNCTION("""COMPUTED_VALUE"""),44464.42977)</f>
        <v>44464.42977</v>
      </c>
    </row>
    <row r="2501">
      <c r="A2501" s="3">
        <f>IFERROR(__xludf.DUMMYFUNCTION("""COMPUTED_VALUE"""),43123.99861111111)</f>
        <v>43123.99861</v>
      </c>
      <c r="B2501" s="1">
        <f>IFERROR(__xludf.DUMMYFUNCTION("""COMPUTED_VALUE"""),44460.73036)</f>
        <v>44460.73036</v>
      </c>
    </row>
    <row r="2502">
      <c r="A2502" s="3">
        <f>IFERROR(__xludf.DUMMYFUNCTION("""COMPUTED_VALUE"""),43124.99861111111)</f>
        <v>43124.99861</v>
      </c>
      <c r="B2502" s="1">
        <f>IFERROR(__xludf.DUMMYFUNCTION("""COMPUTED_VALUE"""),44400.6656)</f>
        <v>44400.6656</v>
      </c>
    </row>
    <row r="2503">
      <c r="A2503" s="3">
        <f>IFERROR(__xludf.DUMMYFUNCTION("""COMPUTED_VALUE"""),43125.99861111111)</f>
        <v>43125.99861</v>
      </c>
      <c r="B2503" s="1">
        <f>IFERROR(__xludf.DUMMYFUNCTION("""COMPUTED_VALUE"""),44478.25281)</f>
        <v>44478.25281</v>
      </c>
    </row>
    <row r="2504">
      <c r="A2504" s="3">
        <f>IFERROR(__xludf.DUMMYFUNCTION("""COMPUTED_VALUE"""),43126.99861111111)</f>
        <v>43126.99861</v>
      </c>
      <c r="B2504" s="1">
        <f>IFERROR(__xludf.DUMMYFUNCTION("""COMPUTED_VALUE"""),44381.04767)</f>
        <v>44381.04767</v>
      </c>
    </row>
    <row r="2505">
      <c r="A2505" s="3">
        <f>IFERROR(__xludf.DUMMYFUNCTION("""COMPUTED_VALUE"""),43128.99861111111)</f>
        <v>43128.99861</v>
      </c>
      <c r="B2505" s="1">
        <f>IFERROR(__xludf.DUMMYFUNCTION("""COMPUTED_VALUE"""),44364.36432)</f>
        <v>44364.36432</v>
      </c>
    </row>
    <row r="2506">
      <c r="A2506" s="3">
        <f>IFERROR(__xludf.DUMMYFUNCTION("""COMPUTED_VALUE"""),43129.99861111111)</f>
        <v>43129.99861</v>
      </c>
      <c r="B2506" s="1">
        <f>IFERROR(__xludf.DUMMYFUNCTION("""COMPUTED_VALUE"""),44705.67752)</f>
        <v>44705.67752</v>
      </c>
    </row>
    <row r="2507">
      <c r="A2507" s="3">
        <f>IFERROR(__xludf.DUMMYFUNCTION("""COMPUTED_VALUE"""),43130.99861111111)</f>
        <v>43130.99861</v>
      </c>
      <c r="B2507" s="1">
        <f>IFERROR(__xludf.DUMMYFUNCTION("""COMPUTED_VALUE"""),44886.2795)</f>
        <v>44886.2795</v>
      </c>
    </row>
    <row r="2508">
      <c r="A2508" s="3">
        <f>IFERROR(__xludf.DUMMYFUNCTION("""COMPUTED_VALUE"""),43131.99861111111)</f>
        <v>43131.99861</v>
      </c>
      <c r="B2508" s="1">
        <f>IFERROR(__xludf.DUMMYFUNCTION("""COMPUTED_VALUE"""),44759.18922)</f>
        <v>44759.18922</v>
      </c>
    </row>
    <row r="2509">
      <c r="A2509" s="3">
        <f>IFERROR(__xludf.DUMMYFUNCTION("""COMPUTED_VALUE"""),43132.99861111111)</f>
        <v>43132.99861</v>
      </c>
      <c r="B2509" s="1">
        <f>IFERROR(__xludf.DUMMYFUNCTION("""COMPUTED_VALUE"""),44739.29157)</f>
        <v>44739.29157</v>
      </c>
    </row>
    <row r="2510">
      <c r="A2510" s="3">
        <f>IFERROR(__xludf.DUMMYFUNCTION("""COMPUTED_VALUE"""),43133.99861111111)</f>
        <v>43133.99861</v>
      </c>
      <c r="B2510" s="1">
        <f>IFERROR(__xludf.DUMMYFUNCTION("""COMPUTED_VALUE"""),44792.91434)</f>
        <v>44792.91434</v>
      </c>
    </row>
    <row r="2511">
      <c r="A2511" s="3">
        <f>IFERROR(__xludf.DUMMYFUNCTION("""COMPUTED_VALUE"""),43134.99861111111)</f>
        <v>43134.99861</v>
      </c>
      <c r="B2511" s="1">
        <f>IFERROR(__xludf.DUMMYFUNCTION("""COMPUTED_VALUE"""),44792.91434)</f>
        <v>44792.91434</v>
      </c>
    </row>
    <row r="2512">
      <c r="A2512" s="3">
        <f>IFERROR(__xludf.DUMMYFUNCTION("""COMPUTED_VALUE"""),43135.99861111111)</f>
        <v>43135.99861</v>
      </c>
      <c r="B2512" s="1">
        <f>IFERROR(__xludf.DUMMYFUNCTION("""COMPUTED_VALUE"""),44792.91434)</f>
        <v>44792.91434</v>
      </c>
    </row>
    <row r="2513">
      <c r="A2513" s="3">
        <f>IFERROR(__xludf.DUMMYFUNCTION("""COMPUTED_VALUE"""),43136.99861111111)</f>
        <v>43136.99861</v>
      </c>
      <c r="B2513" s="1">
        <f>IFERROR(__xludf.DUMMYFUNCTION("""COMPUTED_VALUE"""),45334.21118)</f>
        <v>45334.21118</v>
      </c>
    </row>
    <row r="2514">
      <c r="A2514" s="3">
        <f>IFERROR(__xludf.DUMMYFUNCTION("""COMPUTED_VALUE"""),43137.99861111111)</f>
        <v>43137.99861</v>
      </c>
      <c r="B2514" s="1">
        <f>IFERROR(__xludf.DUMMYFUNCTION("""COMPUTED_VALUE"""),45267.36628)</f>
        <v>45267.36628</v>
      </c>
    </row>
    <row r="2515">
      <c r="A2515" s="3">
        <f>IFERROR(__xludf.DUMMYFUNCTION("""COMPUTED_VALUE"""),43138.99861111111)</f>
        <v>43138.99861</v>
      </c>
      <c r="B2515" s="1">
        <f>IFERROR(__xludf.DUMMYFUNCTION("""COMPUTED_VALUE"""),45556.54759)</f>
        <v>45556.54759</v>
      </c>
    </row>
    <row r="2516">
      <c r="A2516" s="3">
        <f>IFERROR(__xludf.DUMMYFUNCTION("""COMPUTED_VALUE"""),43139.99861111111)</f>
        <v>43139.99861</v>
      </c>
      <c r="B2516" s="1">
        <f>IFERROR(__xludf.DUMMYFUNCTION("""COMPUTED_VALUE"""),45412.94144)</f>
        <v>45412.94144</v>
      </c>
    </row>
    <row r="2517">
      <c r="A2517" s="3">
        <f>IFERROR(__xludf.DUMMYFUNCTION("""COMPUTED_VALUE"""),43140.99861111111)</f>
        <v>43140.99861</v>
      </c>
      <c r="B2517" s="1">
        <f>IFERROR(__xludf.DUMMYFUNCTION("""COMPUTED_VALUE"""),45474.58547)</f>
        <v>45474.58547</v>
      </c>
    </row>
    <row r="2518">
      <c r="A2518" s="3">
        <f>IFERROR(__xludf.DUMMYFUNCTION("""COMPUTED_VALUE"""),43141.99861111111)</f>
        <v>43141.99861</v>
      </c>
      <c r="B2518" s="1">
        <f>IFERROR(__xludf.DUMMYFUNCTION("""COMPUTED_VALUE"""),45474.58547)</f>
        <v>45474.58547</v>
      </c>
    </row>
    <row r="2519">
      <c r="A2519" s="3">
        <f>IFERROR(__xludf.DUMMYFUNCTION("""COMPUTED_VALUE"""),43142.99861111111)</f>
        <v>43142.99861</v>
      </c>
      <c r="B2519" s="1">
        <f>IFERROR(__xludf.DUMMYFUNCTION("""COMPUTED_VALUE"""),45487.95445)</f>
        <v>45487.95445</v>
      </c>
    </row>
    <row r="2520">
      <c r="A2520" s="3">
        <f>IFERROR(__xludf.DUMMYFUNCTION("""COMPUTED_VALUE"""),43143.99861111111)</f>
        <v>43143.99861</v>
      </c>
      <c r="B2520" s="1">
        <f>IFERROR(__xludf.DUMMYFUNCTION("""COMPUTED_VALUE"""),45563.22695)</f>
        <v>45563.22695</v>
      </c>
    </row>
    <row r="2521">
      <c r="A2521" s="3">
        <f>IFERROR(__xludf.DUMMYFUNCTION("""COMPUTED_VALUE"""),43144.99861111111)</f>
        <v>43144.99861</v>
      </c>
      <c r="B2521" s="1">
        <f>IFERROR(__xludf.DUMMYFUNCTION("""COMPUTED_VALUE"""),45515.20688)</f>
        <v>45515.20688</v>
      </c>
    </row>
    <row r="2522">
      <c r="A2522" s="3">
        <f>IFERROR(__xludf.DUMMYFUNCTION("""COMPUTED_VALUE"""),43145.99861111111)</f>
        <v>43145.99861</v>
      </c>
      <c r="B2522" s="1">
        <f>IFERROR(__xludf.DUMMYFUNCTION("""COMPUTED_VALUE"""),45493.09371)</f>
        <v>45493.09371</v>
      </c>
    </row>
    <row r="2523">
      <c r="A2523" s="3">
        <f>IFERROR(__xludf.DUMMYFUNCTION("""COMPUTED_VALUE"""),43146.99861111111)</f>
        <v>43146.99861</v>
      </c>
      <c r="B2523" s="1">
        <f>IFERROR(__xludf.DUMMYFUNCTION("""COMPUTED_VALUE"""),45324.40651)</f>
        <v>45324.40651</v>
      </c>
    </row>
    <row r="2524">
      <c r="A2524" s="3">
        <f>IFERROR(__xludf.DUMMYFUNCTION("""COMPUTED_VALUE"""),43147.99861111111)</f>
        <v>43147.99861</v>
      </c>
      <c r="B2524" s="1">
        <f>IFERROR(__xludf.DUMMYFUNCTION("""COMPUTED_VALUE"""),45430.7626)</f>
        <v>45430.7626</v>
      </c>
    </row>
    <row r="2525">
      <c r="A2525" s="3">
        <f>IFERROR(__xludf.DUMMYFUNCTION("""COMPUTED_VALUE"""),43148.99861111111)</f>
        <v>43148.99861</v>
      </c>
      <c r="B2525" s="1">
        <f>IFERROR(__xludf.DUMMYFUNCTION("""COMPUTED_VALUE"""),45430.7626)</f>
        <v>45430.7626</v>
      </c>
    </row>
    <row r="2526">
      <c r="A2526" s="3">
        <f>IFERROR(__xludf.DUMMYFUNCTION("""COMPUTED_VALUE"""),43149.99861111111)</f>
        <v>43149.99861</v>
      </c>
      <c r="B2526" s="1">
        <f>IFERROR(__xludf.DUMMYFUNCTION("""COMPUTED_VALUE"""),45430.7626)</f>
        <v>45430.7626</v>
      </c>
    </row>
    <row r="2527">
      <c r="A2527" s="3">
        <f>IFERROR(__xludf.DUMMYFUNCTION("""COMPUTED_VALUE"""),43150.99861111111)</f>
        <v>43150.99861</v>
      </c>
      <c r="B2527" s="1">
        <f>IFERROR(__xludf.DUMMYFUNCTION("""COMPUTED_VALUE"""),45306.84736)</f>
        <v>45306.84736</v>
      </c>
    </row>
    <row r="2528">
      <c r="A2528" s="3">
        <f>IFERROR(__xludf.DUMMYFUNCTION("""COMPUTED_VALUE"""),43151.99861111111)</f>
        <v>43151.99861</v>
      </c>
      <c r="B2528" s="1">
        <f>IFERROR(__xludf.DUMMYFUNCTION("""COMPUTED_VALUE"""),45488.87683)</f>
        <v>45488.87683</v>
      </c>
    </row>
    <row r="2529">
      <c r="A2529" s="3">
        <f>IFERROR(__xludf.DUMMYFUNCTION("""COMPUTED_VALUE"""),43152.99861111111)</f>
        <v>43152.99861</v>
      </c>
      <c r="B2529" s="1">
        <f>IFERROR(__xludf.DUMMYFUNCTION("""COMPUTED_VALUE"""),45502.24804)</f>
        <v>45502.24804</v>
      </c>
    </row>
    <row r="2530">
      <c r="A2530" s="3">
        <f>IFERROR(__xludf.DUMMYFUNCTION("""COMPUTED_VALUE"""),43153.99861111111)</f>
        <v>43153.99861</v>
      </c>
      <c r="B2530" s="1">
        <f>IFERROR(__xludf.DUMMYFUNCTION("""COMPUTED_VALUE"""),45716.1875)</f>
        <v>45716.1875</v>
      </c>
    </row>
    <row r="2531">
      <c r="A2531" s="3">
        <f>IFERROR(__xludf.DUMMYFUNCTION("""COMPUTED_VALUE"""),43154.99861111111)</f>
        <v>43154.99861</v>
      </c>
      <c r="B2531" s="1">
        <f>IFERROR(__xludf.DUMMYFUNCTION("""COMPUTED_VALUE"""),45506.66211)</f>
        <v>45506.66211</v>
      </c>
    </row>
    <row r="2532">
      <c r="A2532" s="3">
        <f>IFERROR(__xludf.DUMMYFUNCTION("""COMPUTED_VALUE"""),43155.99861111111)</f>
        <v>43155.99861</v>
      </c>
      <c r="B2532" s="1">
        <f>IFERROR(__xludf.DUMMYFUNCTION("""COMPUTED_VALUE"""),45597.85747)</f>
        <v>45597.85747</v>
      </c>
    </row>
    <row r="2533">
      <c r="A2533" s="3">
        <f>IFERROR(__xludf.DUMMYFUNCTION("""COMPUTED_VALUE"""),43156.99861111111)</f>
        <v>43156.99861</v>
      </c>
      <c r="B2533" s="1">
        <f>IFERROR(__xludf.DUMMYFUNCTION("""COMPUTED_VALUE"""),45628.58559)</f>
        <v>45628.58559</v>
      </c>
    </row>
    <row r="2534">
      <c r="A2534" s="3">
        <f>IFERROR(__xludf.DUMMYFUNCTION("""COMPUTED_VALUE"""),43157.99861111111)</f>
        <v>43157.99861</v>
      </c>
      <c r="B2534" s="1">
        <f>IFERROR(__xludf.DUMMYFUNCTION("""COMPUTED_VALUE"""),45632.6174)</f>
        <v>45632.6174</v>
      </c>
    </row>
    <row r="2535">
      <c r="A2535" s="3">
        <f>IFERROR(__xludf.DUMMYFUNCTION("""COMPUTED_VALUE"""),43158.99861111111)</f>
        <v>43158.99861</v>
      </c>
      <c r="B2535" s="1">
        <f>IFERROR(__xludf.DUMMYFUNCTION("""COMPUTED_VALUE"""),45776.35797)</f>
        <v>45776.35797</v>
      </c>
    </row>
    <row r="2536">
      <c r="A2536" s="3">
        <f>IFERROR(__xludf.DUMMYFUNCTION("""COMPUTED_VALUE"""),43159.99861111111)</f>
        <v>43159.99861</v>
      </c>
      <c r="B2536" s="1">
        <f>IFERROR(__xludf.DUMMYFUNCTION("""COMPUTED_VALUE"""),45983.61182)</f>
        <v>45983.61182</v>
      </c>
    </row>
    <row r="2537">
      <c r="A2537" s="3">
        <f>IFERROR(__xludf.DUMMYFUNCTION("""COMPUTED_VALUE"""),43160.99861111111)</f>
        <v>43160.99861</v>
      </c>
      <c r="B2537" s="1">
        <f>IFERROR(__xludf.DUMMYFUNCTION("""COMPUTED_VALUE"""),45933.46976)</f>
        <v>45933.46976</v>
      </c>
    </row>
    <row r="2538">
      <c r="A2538" s="3">
        <f>IFERROR(__xludf.DUMMYFUNCTION("""COMPUTED_VALUE"""),43161.99861111111)</f>
        <v>43161.99861</v>
      </c>
      <c r="B2538" s="1">
        <f>IFERROR(__xludf.DUMMYFUNCTION("""COMPUTED_VALUE"""),45851.93944)</f>
        <v>45851.93944</v>
      </c>
    </row>
    <row r="2539">
      <c r="A2539" s="3">
        <f>IFERROR(__xludf.DUMMYFUNCTION("""COMPUTED_VALUE"""),43162.99861111111)</f>
        <v>43162.99861</v>
      </c>
      <c r="B2539" s="1">
        <f>IFERROR(__xludf.DUMMYFUNCTION("""COMPUTED_VALUE"""),45851.93944)</f>
        <v>45851.93944</v>
      </c>
    </row>
    <row r="2540">
      <c r="A2540" s="3">
        <f>IFERROR(__xludf.DUMMYFUNCTION("""COMPUTED_VALUE"""),43163.99861111111)</f>
        <v>43163.99861</v>
      </c>
      <c r="B2540" s="1">
        <f>IFERROR(__xludf.DUMMYFUNCTION("""COMPUTED_VALUE"""),45851.93944)</f>
        <v>45851.93944</v>
      </c>
    </row>
    <row r="2541">
      <c r="A2541" s="3">
        <f>IFERROR(__xludf.DUMMYFUNCTION("""COMPUTED_VALUE"""),43164.99861111111)</f>
        <v>43164.99861</v>
      </c>
      <c r="B2541" s="1">
        <f>IFERROR(__xludf.DUMMYFUNCTION("""COMPUTED_VALUE"""),45897.08907)</f>
        <v>45897.08907</v>
      </c>
    </row>
    <row r="2542">
      <c r="A2542" s="3">
        <f>IFERROR(__xludf.DUMMYFUNCTION("""COMPUTED_VALUE"""),43165.99861111111)</f>
        <v>43165.99861</v>
      </c>
      <c r="B2542" s="1">
        <f>IFERROR(__xludf.DUMMYFUNCTION("""COMPUTED_VALUE"""),45978.27143)</f>
        <v>45978.27143</v>
      </c>
    </row>
    <row r="2543">
      <c r="A2543" s="3">
        <f>IFERROR(__xludf.DUMMYFUNCTION("""COMPUTED_VALUE"""),43166.99861111111)</f>
        <v>43166.99861</v>
      </c>
      <c r="B2543" s="1">
        <f>IFERROR(__xludf.DUMMYFUNCTION("""COMPUTED_VALUE"""),45925.3438)</f>
        <v>45925.3438</v>
      </c>
    </row>
    <row r="2544">
      <c r="A2544" s="3">
        <f>IFERROR(__xludf.DUMMYFUNCTION("""COMPUTED_VALUE"""),43167.99861111111)</f>
        <v>43167.99861</v>
      </c>
      <c r="B2544" s="1">
        <f>IFERROR(__xludf.DUMMYFUNCTION("""COMPUTED_VALUE"""),45999.33262)</f>
        <v>45999.33262</v>
      </c>
    </row>
    <row r="2545">
      <c r="A2545" s="3">
        <f>IFERROR(__xludf.DUMMYFUNCTION("""COMPUTED_VALUE"""),43168.99861111111)</f>
        <v>43168.99861</v>
      </c>
      <c r="B2545" s="1">
        <f>IFERROR(__xludf.DUMMYFUNCTION("""COMPUTED_VALUE"""),45869.41224)</f>
        <v>45869.41224</v>
      </c>
    </row>
    <row r="2546">
      <c r="A2546" s="3">
        <f>IFERROR(__xludf.DUMMYFUNCTION("""COMPUTED_VALUE"""),43170.99861111111)</f>
        <v>43170.99861</v>
      </c>
      <c r="B2546" s="1">
        <f>IFERROR(__xludf.DUMMYFUNCTION("""COMPUTED_VALUE"""),45876.07446)</f>
        <v>45876.07446</v>
      </c>
    </row>
    <row r="2547">
      <c r="A2547" s="3">
        <f>IFERROR(__xludf.DUMMYFUNCTION("""COMPUTED_VALUE"""),43171.99861111111)</f>
        <v>43171.99861</v>
      </c>
      <c r="B2547" s="1">
        <f>IFERROR(__xludf.DUMMYFUNCTION("""COMPUTED_VALUE"""),45888.23431)</f>
        <v>45888.23431</v>
      </c>
    </row>
    <row r="2548">
      <c r="A2548" s="3">
        <f>IFERROR(__xludf.DUMMYFUNCTION("""COMPUTED_VALUE"""),43172.99861111111)</f>
        <v>43172.99861</v>
      </c>
      <c r="B2548" s="1">
        <f>IFERROR(__xludf.DUMMYFUNCTION("""COMPUTED_VALUE"""),45845.8458)</f>
        <v>45845.8458</v>
      </c>
    </row>
    <row r="2549">
      <c r="A2549" s="3">
        <f>IFERROR(__xludf.DUMMYFUNCTION("""COMPUTED_VALUE"""),43173.99861111111)</f>
        <v>43173.99861</v>
      </c>
      <c r="B2549" s="1">
        <f>IFERROR(__xludf.DUMMYFUNCTION("""COMPUTED_VALUE"""),45820.2537)</f>
        <v>45820.2537</v>
      </c>
    </row>
    <row r="2550">
      <c r="A2550" s="3">
        <f>IFERROR(__xludf.DUMMYFUNCTION("""COMPUTED_VALUE"""),43174.99861111111)</f>
        <v>43174.99861</v>
      </c>
      <c r="B2550" s="1">
        <f>IFERROR(__xludf.DUMMYFUNCTION("""COMPUTED_VALUE"""),45951.89885)</f>
        <v>45951.89885</v>
      </c>
    </row>
    <row r="2551">
      <c r="A2551" s="3">
        <f>IFERROR(__xludf.DUMMYFUNCTION("""COMPUTED_VALUE"""),43175.99861111111)</f>
        <v>43175.99861</v>
      </c>
      <c r="B2551" s="1">
        <f>IFERROR(__xludf.DUMMYFUNCTION("""COMPUTED_VALUE"""),45902.07376)</f>
        <v>45902.07376</v>
      </c>
    </row>
    <row r="2552">
      <c r="A2552" s="3">
        <f>IFERROR(__xludf.DUMMYFUNCTION("""COMPUTED_VALUE"""),43177.99861111111)</f>
        <v>43177.99861</v>
      </c>
      <c r="B2552" s="1">
        <f>IFERROR(__xludf.DUMMYFUNCTION("""COMPUTED_VALUE"""),45915.43292)</f>
        <v>45915.43292</v>
      </c>
    </row>
    <row r="2553">
      <c r="A2553" s="3">
        <f>IFERROR(__xludf.DUMMYFUNCTION("""COMPUTED_VALUE"""),43178.99861111111)</f>
        <v>43178.99861</v>
      </c>
      <c r="B2553" s="1">
        <f>IFERROR(__xludf.DUMMYFUNCTION("""COMPUTED_VALUE"""),45993.77667)</f>
        <v>45993.77667</v>
      </c>
    </row>
    <row r="2554">
      <c r="A2554" s="3">
        <f>IFERROR(__xludf.DUMMYFUNCTION("""COMPUTED_VALUE"""),43179.99861111111)</f>
        <v>43179.99861</v>
      </c>
      <c r="B2554" s="1">
        <f>IFERROR(__xludf.DUMMYFUNCTION("""COMPUTED_VALUE"""),45874.21645)</f>
        <v>45874.21645</v>
      </c>
    </row>
    <row r="2555">
      <c r="A2555" s="3">
        <f>IFERROR(__xludf.DUMMYFUNCTION("""COMPUTED_VALUE"""),43180.99861111111)</f>
        <v>43180.99861</v>
      </c>
      <c r="B2555" s="1">
        <f>IFERROR(__xludf.DUMMYFUNCTION("""COMPUTED_VALUE"""),45770.28699)</f>
        <v>45770.28699</v>
      </c>
    </row>
    <row r="2556">
      <c r="A2556" s="3">
        <f>IFERROR(__xludf.DUMMYFUNCTION("""COMPUTED_VALUE"""),43181.99861111111)</f>
        <v>43181.99861</v>
      </c>
      <c r="B2556" s="1">
        <f>IFERROR(__xludf.DUMMYFUNCTION("""COMPUTED_VALUE"""),45976.92621)</f>
        <v>45976.92621</v>
      </c>
    </row>
    <row r="2557">
      <c r="A2557" s="3">
        <f>IFERROR(__xludf.DUMMYFUNCTION("""COMPUTED_VALUE"""),43182.99861111111)</f>
        <v>43182.99861</v>
      </c>
      <c r="B2557" s="1">
        <f>IFERROR(__xludf.DUMMYFUNCTION("""COMPUTED_VALUE"""),46015.3591)</f>
        <v>46015.3591</v>
      </c>
    </row>
    <row r="2558">
      <c r="A2558" s="3">
        <f>IFERROR(__xludf.DUMMYFUNCTION("""COMPUTED_VALUE"""),43183.99861111111)</f>
        <v>43183.99861</v>
      </c>
      <c r="B2558" s="1">
        <f>IFERROR(__xludf.DUMMYFUNCTION("""COMPUTED_VALUE"""),46053.8107)</f>
        <v>46053.8107</v>
      </c>
    </row>
    <row r="2559">
      <c r="A2559" s="3">
        <f>IFERROR(__xludf.DUMMYFUNCTION("""COMPUTED_VALUE"""),43184.99861111111)</f>
        <v>43184.99861</v>
      </c>
      <c r="B2559" s="1">
        <f>IFERROR(__xludf.DUMMYFUNCTION("""COMPUTED_VALUE"""),46003.66864)</f>
        <v>46003.66864</v>
      </c>
    </row>
    <row r="2560">
      <c r="A2560" s="3">
        <f>IFERROR(__xludf.DUMMYFUNCTION("""COMPUTED_VALUE"""),43185.99861111111)</f>
        <v>43185.99861</v>
      </c>
      <c r="B2560" s="1">
        <f>IFERROR(__xludf.DUMMYFUNCTION("""COMPUTED_VALUE"""),45873.45841)</f>
        <v>45873.45841</v>
      </c>
    </row>
    <row r="2561">
      <c r="A2561" s="3">
        <f>IFERROR(__xludf.DUMMYFUNCTION("""COMPUTED_VALUE"""),43186.99861111111)</f>
        <v>43186.99861</v>
      </c>
      <c r="B2561" s="1">
        <f>IFERROR(__xludf.DUMMYFUNCTION("""COMPUTED_VALUE"""),45945.48828)</f>
        <v>45945.48828</v>
      </c>
    </row>
    <row r="2562">
      <c r="A2562" s="3">
        <f>IFERROR(__xludf.DUMMYFUNCTION("""COMPUTED_VALUE"""),43187.99861111111)</f>
        <v>43187.99861</v>
      </c>
      <c r="B2562" s="1">
        <f>IFERROR(__xludf.DUMMYFUNCTION("""COMPUTED_VALUE"""),46029.77696)</f>
        <v>46029.77696</v>
      </c>
    </row>
    <row r="2563">
      <c r="A2563" s="3">
        <f>IFERROR(__xludf.DUMMYFUNCTION("""COMPUTED_VALUE"""),43188.99861111111)</f>
        <v>43188.99861</v>
      </c>
      <c r="B2563" s="1">
        <f>IFERROR(__xludf.DUMMYFUNCTION("""COMPUTED_VALUE"""),45963.91165)</f>
        <v>45963.91165</v>
      </c>
    </row>
    <row r="2564">
      <c r="A2564" s="3">
        <f>IFERROR(__xludf.DUMMYFUNCTION("""COMPUTED_VALUE"""),43189.99861111111)</f>
        <v>43189.99861</v>
      </c>
      <c r="B2564" s="1">
        <f>IFERROR(__xludf.DUMMYFUNCTION("""COMPUTED_VALUE"""),46001.32829)</f>
        <v>46001.32829</v>
      </c>
    </row>
    <row r="2565">
      <c r="A2565" s="3">
        <f>IFERROR(__xludf.DUMMYFUNCTION("""COMPUTED_VALUE"""),43190.99861111111)</f>
        <v>43190.99861</v>
      </c>
      <c r="B2565" s="1">
        <f>IFERROR(__xludf.DUMMYFUNCTION("""COMPUTED_VALUE"""),46041.51582)</f>
        <v>46041.51582</v>
      </c>
    </row>
    <row r="2566">
      <c r="A2566" s="3">
        <f>IFERROR(__xludf.DUMMYFUNCTION("""COMPUTED_VALUE"""),43191.99861111111)</f>
        <v>43191.99861</v>
      </c>
      <c r="B2566" s="1">
        <f>IFERROR(__xludf.DUMMYFUNCTION("""COMPUTED_VALUE"""),46000.66407)</f>
        <v>46000.66407</v>
      </c>
    </row>
    <row r="2567">
      <c r="A2567" s="3">
        <f>IFERROR(__xludf.DUMMYFUNCTION("""COMPUTED_VALUE"""),43192.99861111111)</f>
        <v>43192.99861</v>
      </c>
      <c r="B2567" s="1">
        <f>IFERROR(__xludf.DUMMYFUNCTION("""COMPUTED_VALUE"""),46026.10432)</f>
        <v>46026.10432</v>
      </c>
    </row>
    <row r="2568">
      <c r="A2568" s="3">
        <f>IFERROR(__xludf.DUMMYFUNCTION("""COMPUTED_VALUE"""),43193.99861111111)</f>
        <v>43193.99861</v>
      </c>
      <c r="B2568" s="1">
        <f>IFERROR(__xludf.DUMMYFUNCTION("""COMPUTED_VALUE"""),45893.57964)</f>
        <v>45893.57964</v>
      </c>
    </row>
    <row r="2569">
      <c r="A2569" s="3">
        <f>IFERROR(__xludf.DUMMYFUNCTION("""COMPUTED_VALUE"""),43194.99861111111)</f>
        <v>43194.99861</v>
      </c>
      <c r="B2569" s="1">
        <f>IFERROR(__xludf.DUMMYFUNCTION("""COMPUTED_VALUE"""),45923.91217)</f>
        <v>45923.91217</v>
      </c>
    </row>
    <row r="2570">
      <c r="A2570" s="3">
        <f>IFERROR(__xludf.DUMMYFUNCTION("""COMPUTED_VALUE"""),43195.99861111111)</f>
        <v>43195.99861</v>
      </c>
      <c r="B2570" s="1">
        <f>IFERROR(__xludf.DUMMYFUNCTION("""COMPUTED_VALUE"""),45927.89408)</f>
        <v>45927.89408</v>
      </c>
    </row>
    <row r="2571">
      <c r="A2571" s="3">
        <f>IFERROR(__xludf.DUMMYFUNCTION("""COMPUTED_VALUE"""),43196.99861111111)</f>
        <v>43196.99861</v>
      </c>
      <c r="B2571" s="1">
        <f>IFERROR(__xludf.DUMMYFUNCTION("""COMPUTED_VALUE"""),46014.70496)</f>
        <v>46014.70496</v>
      </c>
    </row>
    <row r="2572">
      <c r="A2572" s="3">
        <f>IFERROR(__xludf.DUMMYFUNCTION("""COMPUTED_VALUE"""),43197.99861111111)</f>
        <v>43197.99861</v>
      </c>
      <c r="B2572" s="1">
        <f>IFERROR(__xludf.DUMMYFUNCTION("""COMPUTED_VALUE"""),46014.70496)</f>
        <v>46014.70496</v>
      </c>
    </row>
    <row r="2573">
      <c r="A2573" s="3">
        <f>IFERROR(__xludf.DUMMYFUNCTION("""COMPUTED_VALUE"""),43198.99861111111)</f>
        <v>43198.99861</v>
      </c>
      <c r="B2573" s="1">
        <f>IFERROR(__xludf.DUMMYFUNCTION("""COMPUTED_VALUE"""),46014.70496)</f>
        <v>46014.70496</v>
      </c>
    </row>
    <row r="2574">
      <c r="A2574" s="3">
        <f>IFERROR(__xludf.DUMMYFUNCTION("""COMPUTED_VALUE"""),43199.99861111111)</f>
        <v>43199.99861</v>
      </c>
      <c r="B2574" s="1">
        <f>IFERROR(__xludf.DUMMYFUNCTION("""COMPUTED_VALUE"""),45954.59634)</f>
        <v>45954.59634</v>
      </c>
    </row>
    <row r="2575">
      <c r="A2575" s="3">
        <f>IFERROR(__xludf.DUMMYFUNCTION("""COMPUTED_VALUE"""),43200.99861111111)</f>
        <v>43200.99861</v>
      </c>
      <c r="B2575" s="1">
        <f>IFERROR(__xludf.DUMMYFUNCTION("""COMPUTED_VALUE"""),45891.12455)</f>
        <v>45891.12455</v>
      </c>
    </row>
    <row r="2576">
      <c r="A2576" s="3">
        <f>IFERROR(__xludf.DUMMYFUNCTION("""COMPUTED_VALUE"""),43201.99861111111)</f>
        <v>43201.99861</v>
      </c>
      <c r="B2576" s="1">
        <f>IFERROR(__xludf.DUMMYFUNCTION("""COMPUTED_VALUE"""),45944.54324)</f>
        <v>45944.54324</v>
      </c>
    </row>
    <row r="2577">
      <c r="A2577" s="3">
        <f>IFERROR(__xludf.DUMMYFUNCTION("""COMPUTED_VALUE"""),43202.99861111111)</f>
        <v>43202.99861</v>
      </c>
      <c r="B2577" s="1">
        <f>IFERROR(__xludf.DUMMYFUNCTION("""COMPUTED_VALUE"""),45989.64095)</f>
        <v>45989.64095</v>
      </c>
    </row>
    <row r="2578">
      <c r="A2578" s="3">
        <f>IFERROR(__xludf.DUMMYFUNCTION("""COMPUTED_VALUE"""),43203.99861111111)</f>
        <v>43203.99861</v>
      </c>
      <c r="B2578" s="1">
        <f>IFERROR(__xludf.DUMMYFUNCTION("""COMPUTED_VALUE"""),45999.39258)</f>
        <v>45999.39258</v>
      </c>
    </row>
    <row r="2579">
      <c r="A2579" s="3">
        <f>IFERROR(__xludf.DUMMYFUNCTION("""COMPUTED_VALUE"""),43205.99861111111)</f>
        <v>43205.99861</v>
      </c>
      <c r="B2579" s="1">
        <f>IFERROR(__xludf.DUMMYFUNCTION("""COMPUTED_VALUE"""),45879.124)</f>
        <v>45879.124</v>
      </c>
    </row>
    <row r="2580">
      <c r="A2580" s="3">
        <f>IFERROR(__xludf.DUMMYFUNCTION("""COMPUTED_VALUE"""),43206.99861111111)</f>
        <v>43206.99861</v>
      </c>
      <c r="B2580" s="1">
        <f>IFERROR(__xludf.DUMMYFUNCTION("""COMPUTED_VALUE"""),45986.30038)</f>
        <v>45986.30038</v>
      </c>
    </row>
    <row r="2581">
      <c r="A2581" s="3">
        <f>IFERROR(__xludf.DUMMYFUNCTION("""COMPUTED_VALUE"""),43207.99861111111)</f>
        <v>43207.99861</v>
      </c>
      <c r="B2581" s="1">
        <f>IFERROR(__xludf.DUMMYFUNCTION("""COMPUTED_VALUE"""),45956.23524)</f>
        <v>45956.23524</v>
      </c>
    </row>
    <row r="2582">
      <c r="A2582" s="3">
        <f>IFERROR(__xludf.DUMMYFUNCTION("""COMPUTED_VALUE"""),43208.99861111111)</f>
        <v>43208.99861</v>
      </c>
      <c r="B2582" s="1">
        <f>IFERROR(__xludf.DUMMYFUNCTION("""COMPUTED_VALUE"""),45996.32209)</f>
        <v>45996.32209</v>
      </c>
    </row>
    <row r="2583">
      <c r="A2583" s="3">
        <f>IFERROR(__xludf.DUMMYFUNCTION("""COMPUTED_VALUE"""),43209.99861111111)</f>
        <v>43209.99861</v>
      </c>
      <c r="B2583" s="1">
        <f>IFERROR(__xludf.DUMMYFUNCTION("""COMPUTED_VALUE"""),46099.8798)</f>
        <v>46099.8798</v>
      </c>
    </row>
    <row r="2584">
      <c r="A2584" s="3">
        <f>IFERROR(__xludf.DUMMYFUNCTION("""COMPUTED_VALUE"""),43210.99861111111)</f>
        <v>43210.99861</v>
      </c>
      <c r="B2584" s="1">
        <f>IFERROR(__xludf.DUMMYFUNCTION("""COMPUTED_VALUE"""),46201.84308)</f>
        <v>46201.84308</v>
      </c>
    </row>
    <row r="2585">
      <c r="A2585" s="3">
        <f>IFERROR(__xludf.DUMMYFUNCTION("""COMPUTED_VALUE"""),43211.99861111111)</f>
        <v>43211.99861</v>
      </c>
      <c r="B2585" s="1">
        <f>IFERROR(__xludf.DUMMYFUNCTION("""COMPUTED_VALUE"""),46226.57439)</f>
        <v>46226.57439</v>
      </c>
    </row>
    <row r="2586">
      <c r="A2586" s="3">
        <f>IFERROR(__xludf.DUMMYFUNCTION("""COMPUTED_VALUE"""),43212.99861111111)</f>
        <v>43212.99861</v>
      </c>
      <c r="B2586" s="1">
        <f>IFERROR(__xludf.DUMMYFUNCTION("""COMPUTED_VALUE"""),46388.74644)</f>
        <v>46388.74644</v>
      </c>
    </row>
    <row r="2587">
      <c r="A2587" s="3">
        <f>IFERROR(__xludf.DUMMYFUNCTION("""COMPUTED_VALUE"""),43213.99861111111)</f>
        <v>43213.99861</v>
      </c>
      <c r="B2587" s="1">
        <f>IFERROR(__xludf.DUMMYFUNCTION("""COMPUTED_VALUE"""),46637.71173)</f>
        <v>46637.71173</v>
      </c>
    </row>
    <row r="2588">
      <c r="A2588" s="3">
        <f>IFERROR(__xludf.DUMMYFUNCTION("""COMPUTED_VALUE"""),43214.99861111111)</f>
        <v>43214.99861</v>
      </c>
      <c r="B2588" s="1">
        <f>IFERROR(__xludf.DUMMYFUNCTION("""COMPUTED_VALUE"""),46340.40091)</f>
        <v>46340.40091</v>
      </c>
    </row>
    <row r="2589">
      <c r="A2589" s="3">
        <f>IFERROR(__xludf.DUMMYFUNCTION("""COMPUTED_VALUE"""),43215.99861111111)</f>
        <v>43215.99861</v>
      </c>
      <c r="B2589" s="1">
        <f>IFERROR(__xludf.DUMMYFUNCTION("""COMPUTED_VALUE"""),46359.56789)</f>
        <v>46359.56789</v>
      </c>
    </row>
    <row r="2590">
      <c r="A2590" s="3">
        <f>IFERROR(__xludf.DUMMYFUNCTION("""COMPUTED_VALUE"""),43216.99861111111)</f>
        <v>43216.99861</v>
      </c>
      <c r="B2590" s="1">
        <f>IFERROR(__xludf.DUMMYFUNCTION("""COMPUTED_VALUE"""),46224.8006)</f>
        <v>46224.8006</v>
      </c>
    </row>
    <row r="2591">
      <c r="A2591" s="3">
        <f>IFERROR(__xludf.DUMMYFUNCTION("""COMPUTED_VALUE"""),43217.99861111111)</f>
        <v>43217.99861</v>
      </c>
      <c r="B2591" s="1">
        <f>IFERROR(__xludf.DUMMYFUNCTION("""COMPUTED_VALUE"""),45981.05861)</f>
        <v>45981.05861</v>
      </c>
    </row>
    <row r="2592">
      <c r="A2592" s="3">
        <f>IFERROR(__xludf.DUMMYFUNCTION("""COMPUTED_VALUE"""),43219.99861111111)</f>
        <v>43219.99861</v>
      </c>
      <c r="B2592" s="1">
        <f>IFERROR(__xludf.DUMMYFUNCTION("""COMPUTED_VALUE"""),46087.38857)</f>
        <v>46087.38857</v>
      </c>
    </row>
    <row r="2593">
      <c r="A2593" s="3">
        <f>IFERROR(__xludf.DUMMYFUNCTION("""COMPUTED_VALUE"""),43220.99861111111)</f>
        <v>43220.99861</v>
      </c>
      <c r="B2593" s="1">
        <f>IFERROR(__xludf.DUMMYFUNCTION("""COMPUTED_VALUE"""),46267.25434)</f>
        <v>46267.25434</v>
      </c>
    </row>
    <row r="2594">
      <c r="A2594" s="3">
        <f>IFERROR(__xludf.DUMMYFUNCTION("""COMPUTED_VALUE"""),43221.99861111111)</f>
        <v>43221.99861</v>
      </c>
      <c r="B2594" s="1">
        <f>IFERROR(__xludf.DUMMYFUNCTION("""COMPUTED_VALUE"""),46429.6813)</f>
        <v>46429.6813</v>
      </c>
    </row>
    <row r="2595">
      <c r="A2595" s="3">
        <f>IFERROR(__xludf.DUMMYFUNCTION("""COMPUTED_VALUE"""),43222.99861111111)</f>
        <v>43222.99861</v>
      </c>
      <c r="B2595" s="1">
        <f>IFERROR(__xludf.DUMMYFUNCTION("""COMPUTED_VALUE"""),46539.36049)</f>
        <v>46539.36049</v>
      </c>
    </row>
    <row r="2596">
      <c r="A2596" s="3">
        <f>IFERROR(__xludf.DUMMYFUNCTION("""COMPUTED_VALUE"""),43223.99861111111)</f>
        <v>43223.99861</v>
      </c>
      <c r="B2596" s="1">
        <f>IFERROR(__xludf.DUMMYFUNCTION("""COMPUTED_VALUE"""),46297.76995)</f>
        <v>46297.76995</v>
      </c>
    </row>
    <row r="2597">
      <c r="A2597" s="3">
        <f>IFERROR(__xludf.DUMMYFUNCTION("""COMPUTED_VALUE"""),43224.99861111111)</f>
        <v>43224.99861</v>
      </c>
      <c r="B2597" s="1">
        <f>IFERROR(__xludf.DUMMYFUNCTION("""COMPUTED_VALUE"""),46369.16319)</f>
        <v>46369.16319</v>
      </c>
    </row>
    <row r="2598">
      <c r="A2598" s="3">
        <f>IFERROR(__xludf.DUMMYFUNCTION("""COMPUTED_VALUE"""),43225.99861111111)</f>
        <v>43225.99861</v>
      </c>
      <c r="B2598" s="1">
        <f>IFERROR(__xludf.DUMMYFUNCTION("""COMPUTED_VALUE"""),46284.82485)</f>
        <v>46284.82485</v>
      </c>
    </row>
    <row r="2599">
      <c r="A2599" s="3">
        <f>IFERROR(__xludf.DUMMYFUNCTION("""COMPUTED_VALUE"""),43226.99861111111)</f>
        <v>43226.99861</v>
      </c>
      <c r="B2599" s="1">
        <f>IFERROR(__xludf.DUMMYFUNCTION("""COMPUTED_VALUE"""),46302.87011)</f>
        <v>46302.87011</v>
      </c>
    </row>
    <row r="2600">
      <c r="A2600" s="3">
        <f>IFERROR(__xludf.DUMMYFUNCTION("""COMPUTED_VALUE"""),43227.99861111111)</f>
        <v>43227.99861</v>
      </c>
      <c r="B2600" s="1">
        <f>IFERROR(__xludf.DUMMYFUNCTION("""COMPUTED_VALUE"""),47425.71164)</f>
        <v>47425.71164</v>
      </c>
    </row>
    <row r="2601">
      <c r="A2601" s="3">
        <f>IFERROR(__xludf.DUMMYFUNCTION("""COMPUTED_VALUE"""),43228.99861111111)</f>
        <v>43228.99861</v>
      </c>
      <c r="B2601" s="1">
        <f>IFERROR(__xludf.DUMMYFUNCTION("""COMPUTED_VALUE"""),47376.4394)</f>
        <v>47376.4394</v>
      </c>
    </row>
    <row r="2602">
      <c r="A2602" s="3">
        <f>IFERROR(__xludf.DUMMYFUNCTION("""COMPUTED_VALUE"""),43229.99861111111)</f>
        <v>43229.99861</v>
      </c>
      <c r="B2602" s="1">
        <f>IFERROR(__xludf.DUMMYFUNCTION("""COMPUTED_VALUE"""),46741.72444)</f>
        <v>46741.72444</v>
      </c>
    </row>
    <row r="2603">
      <c r="A2603" s="3">
        <f>IFERROR(__xludf.DUMMYFUNCTION("""COMPUTED_VALUE"""),43230.99861111111)</f>
        <v>43230.99861</v>
      </c>
      <c r="B2603" s="1">
        <f>IFERROR(__xludf.DUMMYFUNCTION("""COMPUTED_VALUE"""),46730.86009)</f>
        <v>46730.86009</v>
      </c>
    </row>
    <row r="2604">
      <c r="A2604" s="3">
        <f>IFERROR(__xludf.DUMMYFUNCTION("""COMPUTED_VALUE"""),43231.99861111111)</f>
        <v>43231.99861</v>
      </c>
      <c r="B2604" s="1">
        <f>IFERROR(__xludf.DUMMYFUNCTION("""COMPUTED_VALUE"""),46235.48106)</f>
        <v>46235.48106</v>
      </c>
    </row>
    <row r="2605">
      <c r="A2605" s="3">
        <f>IFERROR(__xludf.DUMMYFUNCTION("""COMPUTED_VALUE"""),43232.99861111111)</f>
        <v>43232.99861</v>
      </c>
      <c r="B2605" s="1">
        <f>IFERROR(__xludf.DUMMYFUNCTION("""COMPUTED_VALUE"""),46245.4313)</f>
        <v>46245.4313</v>
      </c>
    </row>
    <row r="2606">
      <c r="A2606" s="3">
        <f>IFERROR(__xludf.DUMMYFUNCTION("""COMPUTED_VALUE"""),43233.99861111111)</f>
        <v>43233.99861</v>
      </c>
      <c r="B2606" s="1">
        <f>IFERROR(__xludf.DUMMYFUNCTION("""COMPUTED_VALUE"""),46323.79096)</f>
        <v>46323.79096</v>
      </c>
    </row>
    <row r="2607">
      <c r="A2607" s="3">
        <f>IFERROR(__xludf.DUMMYFUNCTION("""COMPUTED_VALUE"""),43234.99861111111)</f>
        <v>43234.99861</v>
      </c>
      <c r="B2607" s="1">
        <f>IFERROR(__xludf.DUMMYFUNCTION("""COMPUTED_VALUE"""),46380.99484)</f>
        <v>46380.99484</v>
      </c>
    </row>
    <row r="2608">
      <c r="A2608" s="3">
        <f>IFERROR(__xludf.DUMMYFUNCTION("""COMPUTED_VALUE"""),43235.99861111111)</f>
        <v>43235.99861</v>
      </c>
      <c r="B2608" s="1">
        <f>IFERROR(__xludf.DUMMYFUNCTION("""COMPUTED_VALUE"""),46564.88253)</f>
        <v>46564.88253</v>
      </c>
    </row>
    <row r="2609">
      <c r="A2609" s="3">
        <f>IFERROR(__xludf.DUMMYFUNCTION("""COMPUTED_VALUE"""),43236.99861111111)</f>
        <v>43236.99861</v>
      </c>
      <c r="B2609" s="1">
        <f>IFERROR(__xludf.DUMMYFUNCTION("""COMPUTED_VALUE"""),46937.12701)</f>
        <v>46937.12701</v>
      </c>
    </row>
    <row r="2610">
      <c r="A2610" s="3">
        <f>IFERROR(__xludf.DUMMYFUNCTION("""COMPUTED_VALUE"""),43237.99861111111)</f>
        <v>43237.99861</v>
      </c>
      <c r="B2610" s="1">
        <f>IFERROR(__xludf.DUMMYFUNCTION("""COMPUTED_VALUE"""),46942.05008)</f>
        <v>46942.05008</v>
      </c>
    </row>
    <row r="2611">
      <c r="A2611" s="3">
        <f>IFERROR(__xludf.DUMMYFUNCTION("""COMPUTED_VALUE"""),43238.99861111111)</f>
        <v>43238.99861</v>
      </c>
      <c r="B2611" s="1">
        <f>IFERROR(__xludf.DUMMYFUNCTION("""COMPUTED_VALUE"""),46972.41264)</f>
        <v>46972.41264</v>
      </c>
    </row>
    <row r="2612">
      <c r="A2612" s="3">
        <f>IFERROR(__xludf.DUMMYFUNCTION("""COMPUTED_VALUE"""),43239.99861111111)</f>
        <v>43239.99861</v>
      </c>
      <c r="B2612" s="1">
        <f>IFERROR(__xludf.DUMMYFUNCTION("""COMPUTED_VALUE"""),46875.82088)</f>
        <v>46875.82088</v>
      </c>
    </row>
    <row r="2613">
      <c r="A2613" s="3">
        <f>IFERROR(__xludf.DUMMYFUNCTION("""COMPUTED_VALUE"""),43240.99861111111)</f>
        <v>43240.99861</v>
      </c>
      <c r="B2613" s="1">
        <f>IFERROR(__xludf.DUMMYFUNCTION("""COMPUTED_VALUE"""),46972.00022)</f>
        <v>46972.00022</v>
      </c>
    </row>
    <row r="2614">
      <c r="A2614" s="3">
        <f>IFERROR(__xludf.DUMMYFUNCTION("""COMPUTED_VALUE"""),43241.99861111111)</f>
        <v>43241.99861</v>
      </c>
      <c r="B2614" s="1">
        <f>IFERROR(__xludf.DUMMYFUNCTION("""COMPUTED_VALUE"""),47171.99178)</f>
        <v>47171.99178</v>
      </c>
    </row>
    <row r="2615">
      <c r="A2615" s="3">
        <f>IFERROR(__xludf.DUMMYFUNCTION("""COMPUTED_VALUE"""),43242.99861111111)</f>
        <v>43242.99861</v>
      </c>
      <c r="B2615" s="1">
        <f>IFERROR(__xludf.DUMMYFUNCTION("""COMPUTED_VALUE"""),47108.29963)</f>
        <v>47108.29963</v>
      </c>
    </row>
    <row r="2616">
      <c r="A2616" s="3">
        <f>IFERROR(__xludf.DUMMYFUNCTION("""COMPUTED_VALUE"""),43243.99861111111)</f>
        <v>43243.99861</v>
      </c>
      <c r="B2616" s="1">
        <f>IFERROR(__xludf.DUMMYFUNCTION("""COMPUTED_VALUE"""),47002.80953)</f>
        <v>47002.80953</v>
      </c>
    </row>
    <row r="2617">
      <c r="A2617" s="3">
        <f>IFERROR(__xludf.DUMMYFUNCTION("""COMPUTED_VALUE"""),43244.99861111111)</f>
        <v>43244.99861</v>
      </c>
      <c r="B2617" s="1">
        <f>IFERROR(__xludf.DUMMYFUNCTION("""COMPUTED_VALUE"""),46853.53107)</f>
        <v>46853.53107</v>
      </c>
    </row>
    <row r="2618">
      <c r="A2618" s="3">
        <f>IFERROR(__xludf.DUMMYFUNCTION("""COMPUTED_VALUE"""),43245.99861111111)</f>
        <v>43245.99861</v>
      </c>
      <c r="B2618" s="1">
        <f>IFERROR(__xludf.DUMMYFUNCTION("""COMPUTED_VALUE"""),46690.92126)</f>
        <v>46690.92126</v>
      </c>
    </row>
    <row r="2619">
      <c r="A2619" s="3">
        <f>IFERROR(__xludf.DUMMYFUNCTION("""COMPUTED_VALUE"""),43246.99861111111)</f>
        <v>43246.99861</v>
      </c>
      <c r="B2619" s="1">
        <f>IFERROR(__xludf.DUMMYFUNCTION("""COMPUTED_VALUE"""),46479.14103)</f>
        <v>46479.14103</v>
      </c>
    </row>
    <row r="2620">
      <c r="A2620" s="3">
        <f>IFERROR(__xludf.DUMMYFUNCTION("""COMPUTED_VALUE"""),43247.99861111111)</f>
        <v>43247.99861</v>
      </c>
      <c r="B2620" s="1">
        <f>IFERROR(__xludf.DUMMYFUNCTION("""COMPUTED_VALUE"""),46585.03114)</f>
        <v>46585.03114</v>
      </c>
    </row>
    <row r="2621">
      <c r="A2621" s="3">
        <f>IFERROR(__xludf.DUMMYFUNCTION("""COMPUTED_VALUE"""),43248.99861111111)</f>
        <v>43248.99861</v>
      </c>
      <c r="B2621" s="1">
        <f>IFERROR(__xludf.DUMMYFUNCTION("""COMPUTED_VALUE"""),46429.15401)</f>
        <v>46429.15401</v>
      </c>
    </row>
    <row r="2622">
      <c r="A2622" s="3">
        <f>IFERROR(__xludf.DUMMYFUNCTION("""COMPUTED_VALUE"""),43249.99861111111)</f>
        <v>43249.99861</v>
      </c>
      <c r="B2622" s="1">
        <f>IFERROR(__xludf.DUMMYFUNCTION("""COMPUTED_VALUE"""),46464.39872)</f>
        <v>46464.39872</v>
      </c>
    </row>
    <row r="2623">
      <c r="A2623" s="3">
        <f>IFERROR(__xludf.DUMMYFUNCTION("""COMPUTED_VALUE"""),43250.99861111111)</f>
        <v>43250.99861</v>
      </c>
      <c r="B2623" s="1">
        <f>IFERROR(__xludf.DUMMYFUNCTION("""COMPUTED_VALUE"""),46296.78583)</f>
        <v>46296.78583</v>
      </c>
    </row>
    <row r="2624">
      <c r="A2624" s="3">
        <f>IFERROR(__xludf.DUMMYFUNCTION("""COMPUTED_VALUE"""),43251.99861111111)</f>
        <v>43251.99861</v>
      </c>
      <c r="B2624" s="1">
        <f>IFERROR(__xludf.DUMMYFUNCTION("""COMPUTED_VALUE"""),45980.05392)</f>
        <v>45980.05392</v>
      </c>
    </row>
    <row r="2625">
      <c r="A2625" s="3">
        <f>IFERROR(__xludf.DUMMYFUNCTION("""COMPUTED_VALUE"""),43252.99861111111)</f>
        <v>43252.99861</v>
      </c>
      <c r="B2625" s="1">
        <f>IFERROR(__xludf.DUMMYFUNCTION("""COMPUTED_VALUE"""),45789.43866)</f>
        <v>45789.43866</v>
      </c>
    </row>
    <row r="2626">
      <c r="A2626" s="3">
        <f>IFERROR(__xludf.DUMMYFUNCTION("""COMPUTED_VALUE"""),43253.99861111111)</f>
        <v>43253.99861</v>
      </c>
      <c r="B2626" s="1">
        <f>IFERROR(__xludf.DUMMYFUNCTION("""COMPUTED_VALUE"""),45818.56057)</f>
        <v>45818.56057</v>
      </c>
    </row>
    <row r="2627">
      <c r="A2627" s="3">
        <f>IFERROR(__xludf.DUMMYFUNCTION("""COMPUTED_VALUE"""),43254.99861111111)</f>
        <v>43254.99861</v>
      </c>
      <c r="B2627" s="1">
        <f>IFERROR(__xludf.DUMMYFUNCTION("""COMPUTED_VALUE"""),46173.72277)</f>
        <v>46173.72277</v>
      </c>
    </row>
    <row r="2628">
      <c r="A2628" s="3">
        <f>IFERROR(__xludf.DUMMYFUNCTION("""COMPUTED_VALUE"""),43255.99861111111)</f>
        <v>43255.99861</v>
      </c>
      <c r="B2628" s="1">
        <f>IFERROR(__xludf.DUMMYFUNCTION("""COMPUTED_VALUE"""),45932.05386)</f>
        <v>45932.05386</v>
      </c>
    </row>
    <row r="2629">
      <c r="A2629" s="3">
        <f>IFERROR(__xludf.DUMMYFUNCTION("""COMPUTED_VALUE"""),43256.99861111111)</f>
        <v>43256.99861</v>
      </c>
      <c r="B2629" s="1">
        <f>IFERROR(__xludf.DUMMYFUNCTION("""COMPUTED_VALUE"""),45965.19387)</f>
        <v>45965.19387</v>
      </c>
    </row>
    <row r="2630">
      <c r="A2630" s="3">
        <f>IFERROR(__xludf.DUMMYFUNCTION("""COMPUTED_VALUE"""),43257.99861111111)</f>
        <v>43257.99861</v>
      </c>
      <c r="B2630" s="1">
        <f>IFERROR(__xludf.DUMMYFUNCTION("""COMPUTED_VALUE"""),45809.16266)</f>
        <v>45809.16266</v>
      </c>
    </row>
    <row r="2631">
      <c r="A2631" s="3">
        <f>IFERROR(__xludf.DUMMYFUNCTION("""COMPUTED_VALUE"""),43258.99861111111)</f>
        <v>43258.99861</v>
      </c>
      <c r="B2631" s="1">
        <f>IFERROR(__xludf.DUMMYFUNCTION("""COMPUTED_VALUE"""),45972.46673)</f>
        <v>45972.46673</v>
      </c>
    </row>
    <row r="2632">
      <c r="A2632" s="3">
        <f>IFERROR(__xludf.DUMMYFUNCTION("""COMPUTED_VALUE"""),43259.99861111111)</f>
        <v>43259.99861</v>
      </c>
      <c r="B2632" s="1">
        <f>IFERROR(__xludf.DUMMYFUNCTION("""COMPUTED_VALUE"""),46151.04221)</f>
        <v>46151.04221</v>
      </c>
    </row>
    <row r="2633">
      <c r="A2633" s="3">
        <f>IFERROR(__xludf.DUMMYFUNCTION("""COMPUTED_VALUE"""),43260.99861111111)</f>
        <v>43260.99861</v>
      </c>
      <c r="B2633" s="1">
        <f>IFERROR(__xludf.DUMMYFUNCTION("""COMPUTED_VALUE"""),46238.76804)</f>
        <v>46238.76804</v>
      </c>
    </row>
    <row r="2634">
      <c r="A2634" s="3">
        <f>IFERROR(__xludf.DUMMYFUNCTION("""COMPUTED_VALUE"""),43261.99861111111)</f>
        <v>43261.99861</v>
      </c>
      <c r="B2634" s="1">
        <f>IFERROR(__xludf.DUMMYFUNCTION("""COMPUTED_VALUE"""),45970.22712)</f>
        <v>45970.22712</v>
      </c>
    </row>
    <row r="2635">
      <c r="A2635" s="3">
        <f>IFERROR(__xludf.DUMMYFUNCTION("""COMPUTED_VALUE"""),43262.99861111111)</f>
        <v>43262.99861</v>
      </c>
      <c r="B2635" s="1">
        <f>IFERROR(__xludf.DUMMYFUNCTION("""COMPUTED_VALUE"""),46186.75397)</f>
        <v>46186.75397</v>
      </c>
    </row>
    <row r="2636">
      <c r="A2636" s="3">
        <f>IFERROR(__xludf.DUMMYFUNCTION("""COMPUTED_VALUE"""),43263.99861111111)</f>
        <v>43263.99861</v>
      </c>
      <c r="B2636" s="1">
        <f>IFERROR(__xludf.DUMMYFUNCTION("""COMPUTED_VALUE"""),46163.78102)</f>
        <v>46163.78102</v>
      </c>
    </row>
    <row r="2637">
      <c r="A2637" s="3">
        <f>IFERROR(__xludf.DUMMYFUNCTION("""COMPUTED_VALUE"""),43264.99861111111)</f>
        <v>43264.99861</v>
      </c>
      <c r="B2637" s="1">
        <f>IFERROR(__xludf.DUMMYFUNCTION("""COMPUTED_VALUE"""),46153.07424)</f>
        <v>46153.07424</v>
      </c>
    </row>
    <row r="2638">
      <c r="A2638" s="3">
        <f>IFERROR(__xludf.DUMMYFUNCTION("""COMPUTED_VALUE"""),43265.99861111111)</f>
        <v>43265.99861</v>
      </c>
      <c r="B2638" s="1">
        <f>IFERROR(__xludf.DUMMYFUNCTION("""COMPUTED_VALUE"""),46821.60578)</f>
        <v>46821.60578</v>
      </c>
    </row>
    <row r="2639">
      <c r="A2639" s="3">
        <f>IFERROR(__xludf.DUMMYFUNCTION("""COMPUTED_VALUE"""),43266.99861111111)</f>
        <v>43266.99861</v>
      </c>
      <c r="B2639" s="1">
        <f>IFERROR(__xludf.DUMMYFUNCTION("""COMPUTED_VALUE"""),46527.11208)</f>
        <v>46527.11208</v>
      </c>
    </row>
    <row r="2640">
      <c r="A2640" s="3">
        <f>IFERROR(__xludf.DUMMYFUNCTION("""COMPUTED_VALUE"""),43268.99861111111)</f>
        <v>43268.99861</v>
      </c>
      <c r="B2640" s="1">
        <f>IFERROR(__xludf.DUMMYFUNCTION("""COMPUTED_VALUE"""),46041.66239)</f>
        <v>46041.66239</v>
      </c>
    </row>
    <row r="2641">
      <c r="A2641" s="3">
        <f>IFERROR(__xludf.DUMMYFUNCTION("""COMPUTED_VALUE"""),43269.99861111111)</f>
        <v>43269.99861</v>
      </c>
      <c r="B2641" s="1">
        <f>IFERROR(__xludf.DUMMYFUNCTION("""COMPUTED_VALUE"""),46079.75572)</f>
        <v>46079.75572</v>
      </c>
    </row>
    <row r="2642">
      <c r="A2642" s="3">
        <f>IFERROR(__xludf.DUMMYFUNCTION("""COMPUTED_VALUE"""),43270.99861111111)</f>
        <v>43270.99861</v>
      </c>
      <c r="B2642" s="1">
        <f>IFERROR(__xludf.DUMMYFUNCTION("""COMPUTED_VALUE"""),46075.17505)</f>
        <v>46075.17505</v>
      </c>
    </row>
    <row r="2643">
      <c r="A2643" s="3">
        <f>IFERROR(__xludf.DUMMYFUNCTION("""COMPUTED_VALUE"""),43271.99861111111)</f>
        <v>43271.99861</v>
      </c>
      <c r="B2643" s="1">
        <f>IFERROR(__xludf.DUMMYFUNCTION("""COMPUTED_VALUE"""),46064.51003)</f>
        <v>46064.51003</v>
      </c>
    </row>
    <row r="2644">
      <c r="A2644" s="3">
        <f>IFERROR(__xludf.DUMMYFUNCTION("""COMPUTED_VALUE"""),43272.99861111111)</f>
        <v>43272.99861</v>
      </c>
      <c r="B2644" s="1">
        <f>IFERROR(__xludf.DUMMYFUNCTION("""COMPUTED_VALUE"""),46625.84203)</f>
        <v>46625.84203</v>
      </c>
    </row>
    <row r="2645">
      <c r="A2645" s="3">
        <f>IFERROR(__xludf.DUMMYFUNCTION("""COMPUTED_VALUE"""),43273.99861111111)</f>
        <v>43273.99861</v>
      </c>
      <c r="B2645" s="1">
        <f>IFERROR(__xludf.DUMMYFUNCTION("""COMPUTED_VALUE"""),46602.04794)</f>
        <v>46602.04794</v>
      </c>
    </row>
    <row r="2646">
      <c r="A2646" s="3">
        <f>IFERROR(__xludf.DUMMYFUNCTION("""COMPUTED_VALUE"""),43275.99861111111)</f>
        <v>43275.99861</v>
      </c>
      <c r="B2646" s="1">
        <f>IFERROR(__xludf.DUMMYFUNCTION("""COMPUTED_VALUE"""),46553.08995)</f>
        <v>46553.08995</v>
      </c>
    </row>
    <row r="2647">
      <c r="A2647" s="3">
        <f>IFERROR(__xludf.DUMMYFUNCTION("""COMPUTED_VALUE"""),43276.99861111111)</f>
        <v>43276.99861</v>
      </c>
      <c r="B2647" s="1">
        <f>IFERROR(__xludf.DUMMYFUNCTION("""COMPUTED_VALUE"""),46855.43128)</f>
        <v>46855.43128</v>
      </c>
    </row>
    <row r="2648">
      <c r="A2648" s="3">
        <f>IFERROR(__xludf.DUMMYFUNCTION("""COMPUTED_VALUE"""),43277.99861111111)</f>
        <v>43277.99861</v>
      </c>
      <c r="B2648" s="1">
        <f>IFERROR(__xludf.DUMMYFUNCTION("""COMPUTED_VALUE"""),46984.79635)</f>
        <v>46984.79635</v>
      </c>
    </row>
    <row r="2649">
      <c r="A2649" s="3">
        <f>IFERROR(__xludf.DUMMYFUNCTION("""COMPUTED_VALUE"""),43278.99861111111)</f>
        <v>43278.99861</v>
      </c>
      <c r="B2649" s="1">
        <f>IFERROR(__xludf.DUMMYFUNCTION("""COMPUTED_VALUE"""),47131.07431)</f>
        <v>47131.07431</v>
      </c>
    </row>
    <row r="2650">
      <c r="A2650" s="3">
        <f>IFERROR(__xludf.DUMMYFUNCTION("""COMPUTED_VALUE"""),43279.99861111111)</f>
        <v>43279.99861</v>
      </c>
      <c r="B2650" s="1">
        <f>IFERROR(__xludf.DUMMYFUNCTION("""COMPUTED_VALUE"""),47524.4161)</f>
        <v>47524.4161</v>
      </c>
    </row>
    <row r="2651">
      <c r="A2651" s="3">
        <f>IFERROR(__xludf.DUMMYFUNCTION("""COMPUTED_VALUE"""),43280.99861111111)</f>
        <v>43280.99861</v>
      </c>
      <c r="B2651" s="1">
        <f>IFERROR(__xludf.DUMMYFUNCTION("""COMPUTED_VALUE"""),47308.57215)</f>
        <v>47308.57215</v>
      </c>
    </row>
    <row r="2652">
      <c r="A2652" s="3">
        <f>IFERROR(__xludf.DUMMYFUNCTION("""COMPUTED_VALUE"""),43281.99861111111)</f>
        <v>43281.99861</v>
      </c>
      <c r="B2652" s="1">
        <f>IFERROR(__xludf.DUMMYFUNCTION("""COMPUTED_VALUE"""),47308.57215)</f>
        <v>47308.57215</v>
      </c>
    </row>
    <row r="2653">
      <c r="A2653" s="3">
        <f>IFERROR(__xludf.DUMMYFUNCTION("""COMPUTED_VALUE"""),43282.99861111111)</f>
        <v>43282.99861</v>
      </c>
      <c r="B2653" s="1">
        <f>IFERROR(__xludf.DUMMYFUNCTION("""COMPUTED_VALUE"""),47454.41235)</f>
        <v>47454.41235</v>
      </c>
    </row>
    <row r="2654">
      <c r="A2654" s="3">
        <f>IFERROR(__xludf.DUMMYFUNCTION("""COMPUTED_VALUE"""),43283.99861111111)</f>
        <v>43283.99861</v>
      </c>
      <c r="B2654" s="1">
        <f>IFERROR(__xludf.DUMMYFUNCTION("""COMPUTED_VALUE"""),47514.48068)</f>
        <v>47514.48068</v>
      </c>
    </row>
    <row r="2655">
      <c r="A2655" s="3">
        <f>IFERROR(__xludf.DUMMYFUNCTION("""COMPUTED_VALUE"""),43284.99861111111)</f>
        <v>43284.99861</v>
      </c>
      <c r="B2655" s="1">
        <f>IFERROR(__xludf.DUMMYFUNCTION("""COMPUTED_VALUE"""),47495.02429)</f>
        <v>47495.02429</v>
      </c>
    </row>
    <row r="2656">
      <c r="A2656" s="3">
        <f>IFERROR(__xludf.DUMMYFUNCTION("""COMPUTED_VALUE"""),43285.99861111111)</f>
        <v>43285.99861</v>
      </c>
      <c r="B2656" s="1">
        <f>IFERROR(__xludf.DUMMYFUNCTION("""COMPUTED_VALUE"""),47661.5952)</f>
        <v>47661.5952</v>
      </c>
    </row>
    <row r="2657">
      <c r="A2657" s="3">
        <f>IFERROR(__xludf.DUMMYFUNCTION("""COMPUTED_VALUE"""),43286.99861111111)</f>
        <v>43286.99861</v>
      </c>
      <c r="B2657" s="1">
        <f>IFERROR(__xludf.DUMMYFUNCTION("""COMPUTED_VALUE"""),47594.57569)</f>
        <v>47594.57569</v>
      </c>
    </row>
    <row r="2658">
      <c r="A2658" s="3">
        <f>IFERROR(__xludf.DUMMYFUNCTION("""COMPUTED_VALUE"""),43287.99861111111)</f>
        <v>43287.99861</v>
      </c>
      <c r="B2658" s="1">
        <f>IFERROR(__xludf.DUMMYFUNCTION("""COMPUTED_VALUE"""),47473.50594)</f>
        <v>47473.50594</v>
      </c>
    </row>
    <row r="2659">
      <c r="A2659" s="3">
        <f>IFERROR(__xludf.DUMMYFUNCTION("""COMPUTED_VALUE"""),43288.99861111111)</f>
        <v>43288.99861</v>
      </c>
      <c r="B2659" s="1">
        <f>IFERROR(__xludf.DUMMYFUNCTION("""COMPUTED_VALUE"""),47473.50594)</f>
        <v>47473.50594</v>
      </c>
    </row>
    <row r="2660">
      <c r="A2660" s="3">
        <f>IFERROR(__xludf.DUMMYFUNCTION("""COMPUTED_VALUE"""),43289.99861111111)</f>
        <v>43289.99861</v>
      </c>
      <c r="B2660" s="1">
        <f>IFERROR(__xludf.DUMMYFUNCTION("""COMPUTED_VALUE"""),47374.1682)</f>
        <v>47374.1682</v>
      </c>
    </row>
    <row r="2661">
      <c r="A2661" s="3">
        <f>IFERROR(__xludf.DUMMYFUNCTION("""COMPUTED_VALUE"""),43290.99861111111)</f>
        <v>43290.99861</v>
      </c>
      <c r="B2661" s="1">
        <f>IFERROR(__xludf.DUMMYFUNCTION("""COMPUTED_VALUE"""),47374.86249)</f>
        <v>47374.86249</v>
      </c>
    </row>
    <row r="2662">
      <c r="A2662" s="3">
        <f>IFERROR(__xludf.DUMMYFUNCTION("""COMPUTED_VALUE"""),43291.99861111111)</f>
        <v>43291.99861</v>
      </c>
      <c r="B2662" s="1">
        <f>IFERROR(__xludf.DUMMYFUNCTION("""COMPUTED_VALUE"""),47591.45625)</f>
        <v>47591.45625</v>
      </c>
    </row>
    <row r="2663">
      <c r="A2663" s="3">
        <f>IFERROR(__xludf.DUMMYFUNCTION("""COMPUTED_VALUE"""),43292.99861111111)</f>
        <v>43292.99861</v>
      </c>
      <c r="B2663" s="1">
        <f>IFERROR(__xludf.DUMMYFUNCTION("""COMPUTED_VALUE"""),47593.50923)</f>
        <v>47593.50923</v>
      </c>
    </row>
    <row r="2664">
      <c r="A2664" s="3">
        <f>IFERROR(__xludf.DUMMYFUNCTION("""COMPUTED_VALUE"""),43293.99861111111)</f>
        <v>43293.99861</v>
      </c>
      <c r="B2664" s="1">
        <f>IFERROR(__xludf.DUMMYFUNCTION("""COMPUTED_VALUE"""),48126.456)</f>
        <v>48126.456</v>
      </c>
    </row>
    <row r="2665">
      <c r="A2665" s="3">
        <f>IFERROR(__xludf.DUMMYFUNCTION("""COMPUTED_VALUE"""),43294.99861111111)</f>
        <v>43294.99861</v>
      </c>
      <c r="B2665" s="1">
        <f>IFERROR(__xludf.DUMMYFUNCTION("""COMPUTED_VALUE"""),47487.93258)</f>
        <v>47487.93258</v>
      </c>
    </row>
    <row r="2666">
      <c r="A2666" s="3">
        <f>IFERROR(__xludf.DUMMYFUNCTION("""COMPUTED_VALUE"""),43295.99861111111)</f>
        <v>43295.99861</v>
      </c>
      <c r="B2666" s="1">
        <f>IFERROR(__xludf.DUMMYFUNCTION("""COMPUTED_VALUE"""),47488.9238)</f>
        <v>47488.9238</v>
      </c>
    </row>
    <row r="2667">
      <c r="A2667" s="3">
        <f>IFERROR(__xludf.DUMMYFUNCTION("""COMPUTED_VALUE"""),43296.99861111111)</f>
        <v>43296.99861</v>
      </c>
      <c r="B2667" s="1">
        <f>IFERROR(__xludf.DUMMYFUNCTION("""COMPUTED_VALUE"""),47488.9238)</f>
        <v>47488.9238</v>
      </c>
    </row>
    <row r="2668">
      <c r="A2668" s="3">
        <f>IFERROR(__xludf.DUMMYFUNCTION("""COMPUTED_VALUE"""),43297.99861111111)</f>
        <v>43297.99861</v>
      </c>
      <c r="B2668" s="1">
        <f>IFERROR(__xludf.DUMMYFUNCTION("""COMPUTED_VALUE"""),47489.25441)</f>
        <v>47489.25441</v>
      </c>
    </row>
    <row r="2669">
      <c r="A2669" s="3">
        <f>IFERROR(__xludf.DUMMYFUNCTION("""COMPUTED_VALUE"""),43298.99861111111)</f>
        <v>43298.99861</v>
      </c>
      <c r="B2669" s="1">
        <f>IFERROR(__xludf.DUMMYFUNCTION("""COMPUTED_VALUE"""),47566.57766)</f>
        <v>47566.57766</v>
      </c>
    </row>
    <row r="2670">
      <c r="A2670" s="3">
        <f>IFERROR(__xludf.DUMMYFUNCTION("""COMPUTED_VALUE"""),43299.99861111111)</f>
        <v>43299.99861</v>
      </c>
      <c r="B2670" s="1">
        <f>IFERROR(__xludf.DUMMYFUNCTION("""COMPUTED_VALUE"""),47738.84118)</f>
        <v>47738.84118</v>
      </c>
    </row>
    <row r="2671">
      <c r="A2671" s="3">
        <f>IFERROR(__xludf.DUMMYFUNCTION("""COMPUTED_VALUE"""),43300.99861111111)</f>
        <v>43300.99861</v>
      </c>
      <c r="B2671" s="1">
        <f>IFERROR(__xludf.DUMMYFUNCTION("""COMPUTED_VALUE"""),47820.18338)</f>
        <v>47820.18338</v>
      </c>
    </row>
    <row r="2672">
      <c r="A2672" s="3">
        <f>IFERROR(__xludf.DUMMYFUNCTION("""COMPUTED_VALUE"""),43301.99861111111)</f>
        <v>43301.99861</v>
      </c>
      <c r="B2672" s="1">
        <f>IFERROR(__xludf.DUMMYFUNCTION("""COMPUTED_VALUE"""),47914.98202)</f>
        <v>47914.98202</v>
      </c>
    </row>
    <row r="2673">
      <c r="A2673" s="3">
        <f>IFERROR(__xludf.DUMMYFUNCTION("""COMPUTED_VALUE"""),43302.99861111111)</f>
        <v>43302.99861</v>
      </c>
      <c r="B2673" s="1">
        <f>IFERROR(__xludf.DUMMYFUNCTION("""COMPUTED_VALUE"""),47956.89403)</f>
        <v>47956.89403</v>
      </c>
    </row>
    <row r="2674">
      <c r="A2674" s="3">
        <f>IFERROR(__xludf.DUMMYFUNCTION("""COMPUTED_VALUE"""),43303.99861111111)</f>
        <v>43303.99861</v>
      </c>
      <c r="B2674" s="1">
        <f>IFERROR(__xludf.DUMMYFUNCTION("""COMPUTED_VALUE"""),47876.27875)</f>
        <v>47876.27875</v>
      </c>
    </row>
    <row r="2675">
      <c r="A2675" s="3">
        <f>IFERROR(__xludf.DUMMYFUNCTION("""COMPUTED_VALUE"""),43304.99861111111)</f>
        <v>43304.99861</v>
      </c>
      <c r="B2675" s="1">
        <f>IFERROR(__xludf.DUMMYFUNCTION("""COMPUTED_VALUE"""),48150.65699)</f>
        <v>48150.65699</v>
      </c>
    </row>
    <row r="2676">
      <c r="A2676" s="3">
        <f>IFERROR(__xludf.DUMMYFUNCTION("""COMPUTED_VALUE"""),43305.99861111111)</f>
        <v>43305.99861</v>
      </c>
      <c r="B2676" s="1">
        <f>IFERROR(__xludf.DUMMYFUNCTION("""COMPUTED_VALUE"""),48069.0678)</f>
        <v>48069.0678</v>
      </c>
    </row>
    <row r="2677">
      <c r="A2677" s="3">
        <f>IFERROR(__xludf.DUMMYFUNCTION("""COMPUTED_VALUE"""),43306.99861111111)</f>
        <v>43306.99861</v>
      </c>
      <c r="B2677" s="1">
        <f>IFERROR(__xludf.DUMMYFUNCTION("""COMPUTED_VALUE"""),47889.42015)</f>
        <v>47889.42015</v>
      </c>
    </row>
    <row r="2678">
      <c r="A2678" s="3">
        <f>IFERROR(__xludf.DUMMYFUNCTION("""COMPUTED_VALUE"""),43307.99861111111)</f>
        <v>43307.99861</v>
      </c>
      <c r="B2678" s="1">
        <f>IFERROR(__xludf.DUMMYFUNCTION("""COMPUTED_VALUE"""),48013.34615)</f>
        <v>48013.34615</v>
      </c>
    </row>
    <row r="2679">
      <c r="A2679" s="3">
        <f>IFERROR(__xludf.DUMMYFUNCTION("""COMPUTED_VALUE"""),43308.99861111111)</f>
        <v>43308.99861</v>
      </c>
      <c r="B2679" s="1">
        <f>IFERROR(__xludf.DUMMYFUNCTION("""COMPUTED_VALUE"""),47557.3138)</f>
        <v>47557.3138</v>
      </c>
    </row>
    <row r="2680">
      <c r="A2680" s="3">
        <f>IFERROR(__xludf.DUMMYFUNCTION("""COMPUTED_VALUE"""),43310.99861111111)</f>
        <v>43310.99861</v>
      </c>
      <c r="B2680" s="1">
        <f>IFERROR(__xludf.DUMMYFUNCTION("""COMPUTED_VALUE"""),47679.0673)</f>
        <v>47679.0673</v>
      </c>
    </row>
    <row r="2681">
      <c r="A2681" s="3">
        <f>IFERROR(__xludf.DUMMYFUNCTION("""COMPUTED_VALUE"""),43311.99861111111)</f>
        <v>43311.99861</v>
      </c>
      <c r="B2681" s="1">
        <f>IFERROR(__xludf.DUMMYFUNCTION("""COMPUTED_VALUE"""),47627.3795)</f>
        <v>47627.3795</v>
      </c>
    </row>
    <row r="2682">
      <c r="A2682" s="3">
        <f>IFERROR(__xludf.DUMMYFUNCTION("""COMPUTED_VALUE"""),43312.99861111111)</f>
        <v>43312.99861</v>
      </c>
      <c r="B2682" s="1">
        <f>IFERROR(__xludf.DUMMYFUNCTION("""COMPUTED_VALUE"""),47655.76329)</f>
        <v>47655.76329</v>
      </c>
    </row>
    <row r="2683">
      <c r="A2683" s="3">
        <f>IFERROR(__xludf.DUMMYFUNCTION("""COMPUTED_VALUE"""),43313.99861111111)</f>
        <v>43313.99861</v>
      </c>
      <c r="B2683" s="1">
        <f>IFERROR(__xludf.DUMMYFUNCTION("""COMPUTED_VALUE"""),47945.05727)</f>
        <v>47945.05727</v>
      </c>
    </row>
    <row r="2684">
      <c r="A2684" s="3">
        <f>IFERROR(__xludf.DUMMYFUNCTION("""COMPUTED_VALUE"""),43314.99861111111)</f>
        <v>43314.99861</v>
      </c>
      <c r="B2684" s="1">
        <f>IFERROR(__xludf.DUMMYFUNCTION("""COMPUTED_VALUE"""),48038.24151)</f>
        <v>48038.24151</v>
      </c>
    </row>
    <row r="2685">
      <c r="A2685" s="3">
        <f>IFERROR(__xludf.DUMMYFUNCTION("""COMPUTED_VALUE"""),43315.99861111111)</f>
        <v>43315.99861</v>
      </c>
      <c r="B2685" s="1">
        <f>IFERROR(__xludf.DUMMYFUNCTION("""COMPUTED_VALUE"""),47862.42942)</f>
        <v>47862.42942</v>
      </c>
    </row>
    <row r="2686">
      <c r="A2686" s="3">
        <f>IFERROR(__xludf.DUMMYFUNCTION("""COMPUTED_VALUE"""),43317.99861111111)</f>
        <v>43317.99861</v>
      </c>
      <c r="B2686" s="1">
        <f>IFERROR(__xludf.DUMMYFUNCTION("""COMPUTED_VALUE"""),47903.4347)</f>
        <v>47903.4347</v>
      </c>
    </row>
    <row r="2687">
      <c r="A2687" s="3">
        <f>IFERROR(__xludf.DUMMYFUNCTION("""COMPUTED_VALUE"""),43318.99861111111)</f>
        <v>43318.99861</v>
      </c>
      <c r="B2687" s="1">
        <f>IFERROR(__xludf.DUMMYFUNCTION("""COMPUTED_VALUE"""),48126.33932)</f>
        <v>48126.33932</v>
      </c>
    </row>
    <row r="2688">
      <c r="A2688" s="3">
        <f>IFERROR(__xludf.DUMMYFUNCTION("""COMPUTED_VALUE"""),43319.99861111111)</f>
        <v>43319.99861</v>
      </c>
      <c r="B2688" s="1">
        <f>IFERROR(__xludf.DUMMYFUNCTION("""COMPUTED_VALUE"""),47687.0641)</f>
        <v>47687.0641</v>
      </c>
    </row>
    <row r="2689">
      <c r="A2689" s="3">
        <f>IFERROR(__xludf.DUMMYFUNCTION("""COMPUTED_VALUE"""),43320.99861111111)</f>
        <v>43320.99861</v>
      </c>
      <c r="B2689" s="1">
        <f>IFERROR(__xludf.DUMMYFUNCTION("""COMPUTED_VALUE"""),47598.26181)</f>
        <v>47598.26181</v>
      </c>
    </row>
    <row r="2690">
      <c r="A2690" s="3">
        <f>IFERROR(__xludf.DUMMYFUNCTION("""COMPUTED_VALUE"""),43321.99861111111)</f>
        <v>43321.99861</v>
      </c>
      <c r="B2690" s="1">
        <f>IFERROR(__xludf.DUMMYFUNCTION("""COMPUTED_VALUE"""),47852.3916)</f>
        <v>47852.3916</v>
      </c>
    </row>
    <row r="2691">
      <c r="A2691" s="3">
        <f>IFERROR(__xludf.DUMMYFUNCTION("""COMPUTED_VALUE"""),43322.99861111111)</f>
        <v>43322.99861</v>
      </c>
      <c r="B2691" s="1">
        <f>IFERROR(__xludf.DUMMYFUNCTION("""COMPUTED_VALUE"""),47892.81861)</f>
        <v>47892.81861</v>
      </c>
    </row>
    <row r="2692">
      <c r="A2692" s="3">
        <f>IFERROR(__xludf.DUMMYFUNCTION("""COMPUTED_VALUE"""),43324.99861111111)</f>
        <v>43324.99861</v>
      </c>
      <c r="B2692" s="1">
        <f>IFERROR(__xludf.DUMMYFUNCTION("""COMPUTED_VALUE"""),47876.27875)</f>
        <v>47876.27875</v>
      </c>
    </row>
    <row r="2693">
      <c r="A2693" s="3">
        <f>IFERROR(__xludf.DUMMYFUNCTION("""COMPUTED_VALUE"""),43325.99861111111)</f>
        <v>43325.99861</v>
      </c>
      <c r="B2693" s="1">
        <f>IFERROR(__xludf.DUMMYFUNCTION("""COMPUTED_VALUE"""),48212.7384)</f>
        <v>48212.7384</v>
      </c>
    </row>
    <row r="2694">
      <c r="A2694" s="3">
        <f>IFERROR(__xludf.DUMMYFUNCTION("""COMPUTED_VALUE"""),43326.99861111111)</f>
        <v>43326.99861</v>
      </c>
      <c r="B2694" s="1">
        <f>IFERROR(__xludf.DUMMYFUNCTION("""COMPUTED_VALUE"""),48347.35688)</f>
        <v>48347.35688</v>
      </c>
    </row>
    <row r="2695">
      <c r="A2695" s="3">
        <f>IFERROR(__xludf.DUMMYFUNCTION("""COMPUTED_VALUE"""),43327.99861111111)</f>
        <v>43327.99861</v>
      </c>
      <c r="B2695" s="1">
        <f>IFERROR(__xludf.DUMMYFUNCTION("""COMPUTED_VALUE"""),48062.72759)</f>
        <v>48062.72759</v>
      </c>
    </row>
    <row r="2696">
      <c r="A2696" s="3">
        <f>IFERROR(__xludf.DUMMYFUNCTION("""COMPUTED_VALUE"""),43328.99861111111)</f>
        <v>43328.99861</v>
      </c>
      <c r="B2696" s="1">
        <f>IFERROR(__xludf.DUMMYFUNCTION("""COMPUTED_VALUE"""),48204.05165)</f>
        <v>48204.05165</v>
      </c>
    </row>
    <row r="2697">
      <c r="A2697" s="3">
        <f>IFERROR(__xludf.DUMMYFUNCTION("""COMPUTED_VALUE"""),43329.99861111111)</f>
        <v>43329.99861</v>
      </c>
      <c r="B2697" s="1">
        <f>IFERROR(__xludf.DUMMYFUNCTION("""COMPUTED_VALUE"""),48109.03273)</f>
        <v>48109.03273</v>
      </c>
    </row>
    <row r="2698">
      <c r="A2698" s="3">
        <f>IFERROR(__xludf.DUMMYFUNCTION("""COMPUTED_VALUE"""),43331.99861111111)</f>
        <v>43331.99861</v>
      </c>
      <c r="B2698" s="1">
        <f>IFERROR(__xludf.DUMMYFUNCTION("""COMPUTED_VALUE"""),48089.23206)</f>
        <v>48089.23206</v>
      </c>
    </row>
    <row r="2699">
      <c r="A2699" s="3">
        <f>IFERROR(__xludf.DUMMYFUNCTION("""COMPUTED_VALUE"""),43332.99861111111)</f>
        <v>43332.99861</v>
      </c>
      <c r="B2699" s="1">
        <f>IFERROR(__xludf.DUMMYFUNCTION("""COMPUTED_VALUE"""),48083.19976)</f>
        <v>48083.19976</v>
      </c>
    </row>
    <row r="2700">
      <c r="A2700" s="3">
        <f>IFERROR(__xludf.DUMMYFUNCTION("""COMPUTED_VALUE"""),43333.99861111111)</f>
        <v>43333.99861</v>
      </c>
      <c r="B2700" s="1">
        <f>IFERROR(__xludf.DUMMYFUNCTION("""COMPUTED_VALUE"""),48120.74696)</f>
        <v>48120.74696</v>
      </c>
    </row>
    <row r="2701">
      <c r="A2701" s="3">
        <f>IFERROR(__xludf.DUMMYFUNCTION("""COMPUTED_VALUE"""),43334.99861111111)</f>
        <v>43334.99861</v>
      </c>
      <c r="B2701" s="1">
        <f>IFERROR(__xludf.DUMMYFUNCTION("""COMPUTED_VALUE"""),48183.0466)</f>
        <v>48183.0466</v>
      </c>
    </row>
    <row r="2702">
      <c r="A2702" s="3">
        <f>IFERROR(__xludf.DUMMYFUNCTION("""COMPUTED_VALUE"""),43335.99861111111)</f>
        <v>43335.99861</v>
      </c>
      <c r="B2702" s="1">
        <f>IFERROR(__xludf.DUMMYFUNCTION("""COMPUTED_VALUE"""),48461.60186)</f>
        <v>48461.60186</v>
      </c>
    </row>
    <row r="2703">
      <c r="A2703" s="3">
        <f>IFERROR(__xludf.DUMMYFUNCTION("""COMPUTED_VALUE"""),43336.99861111111)</f>
        <v>43336.99861</v>
      </c>
      <c r="B2703" s="1">
        <f>IFERROR(__xludf.DUMMYFUNCTION("""COMPUTED_VALUE"""),48168.8364)</f>
        <v>48168.8364</v>
      </c>
    </row>
    <row r="2704">
      <c r="A2704" s="3">
        <f>IFERROR(__xludf.DUMMYFUNCTION("""COMPUTED_VALUE"""),43338.99861111111)</f>
        <v>43338.99861</v>
      </c>
      <c r="B2704" s="1">
        <f>IFERROR(__xludf.DUMMYFUNCTION("""COMPUTED_VALUE"""),48122.56153)</f>
        <v>48122.56153</v>
      </c>
    </row>
    <row r="2705">
      <c r="A2705" s="3">
        <f>IFERROR(__xludf.DUMMYFUNCTION("""COMPUTED_VALUE"""),43339.99861111111)</f>
        <v>43339.99861</v>
      </c>
      <c r="B2705" s="1">
        <f>IFERROR(__xludf.DUMMYFUNCTION("""COMPUTED_VALUE"""),48119.96783)</f>
        <v>48119.96783</v>
      </c>
    </row>
    <row r="2706">
      <c r="A2706" s="3">
        <f>IFERROR(__xludf.DUMMYFUNCTION("""COMPUTED_VALUE"""),43340.99861111111)</f>
        <v>43340.99861</v>
      </c>
      <c r="B2706" s="1">
        <f>IFERROR(__xludf.DUMMYFUNCTION("""COMPUTED_VALUE"""),48495.77394)</f>
        <v>48495.77394</v>
      </c>
    </row>
    <row r="2707">
      <c r="A2707" s="3">
        <f>IFERROR(__xludf.DUMMYFUNCTION("""COMPUTED_VALUE"""),43341.99861111111)</f>
        <v>43341.99861</v>
      </c>
      <c r="B2707" s="1">
        <f>IFERROR(__xludf.DUMMYFUNCTION("""COMPUTED_VALUE"""),48379.93745)</f>
        <v>48379.93745</v>
      </c>
    </row>
    <row r="2708">
      <c r="A2708" s="3">
        <f>IFERROR(__xludf.DUMMYFUNCTION("""COMPUTED_VALUE"""),43342.99861111111)</f>
        <v>43342.99861</v>
      </c>
      <c r="B2708" s="1">
        <f>IFERROR(__xludf.DUMMYFUNCTION("""COMPUTED_VALUE"""),48812.03256)</f>
        <v>48812.03256</v>
      </c>
    </row>
    <row r="2709">
      <c r="A2709" s="3">
        <f>IFERROR(__xludf.DUMMYFUNCTION("""COMPUTED_VALUE"""),43343.99861111111)</f>
        <v>43343.99861</v>
      </c>
      <c r="B2709" s="1">
        <f>IFERROR(__xludf.DUMMYFUNCTION("""COMPUTED_VALUE"""),48713.11247)</f>
        <v>48713.11247</v>
      </c>
    </row>
    <row r="2710">
      <c r="A2710" s="3">
        <f>IFERROR(__xludf.DUMMYFUNCTION("""COMPUTED_VALUE"""),43344.99861111111)</f>
        <v>43344.99861</v>
      </c>
      <c r="B2710" s="1">
        <f>IFERROR(__xludf.DUMMYFUNCTION("""COMPUTED_VALUE"""),48706.49609)</f>
        <v>48706.49609</v>
      </c>
    </row>
    <row r="2711">
      <c r="A2711" s="3">
        <f>IFERROR(__xludf.DUMMYFUNCTION("""COMPUTED_VALUE"""),43345.99861111111)</f>
        <v>43345.99861</v>
      </c>
      <c r="B2711" s="1">
        <f>IFERROR(__xludf.DUMMYFUNCTION("""COMPUTED_VALUE"""),48706.49609)</f>
        <v>48706.49609</v>
      </c>
    </row>
    <row r="2712">
      <c r="A2712" s="3">
        <f>IFERROR(__xludf.DUMMYFUNCTION("""COMPUTED_VALUE"""),43346.99861111111)</f>
        <v>43346.99861</v>
      </c>
      <c r="B2712" s="1">
        <f>IFERROR(__xludf.DUMMYFUNCTION("""COMPUTED_VALUE"""),49080.06691)</f>
        <v>49080.06691</v>
      </c>
    </row>
    <row r="2713">
      <c r="A2713" s="3">
        <f>IFERROR(__xludf.DUMMYFUNCTION("""COMPUTED_VALUE"""),43347.99861111111)</f>
        <v>43347.99861</v>
      </c>
      <c r="B2713" s="1">
        <f>IFERROR(__xludf.DUMMYFUNCTION("""COMPUTED_VALUE"""),49371.68854)</f>
        <v>49371.68854</v>
      </c>
    </row>
    <row r="2714">
      <c r="A2714" s="3">
        <f>IFERROR(__xludf.DUMMYFUNCTION("""COMPUTED_VALUE"""),43348.99861111111)</f>
        <v>43348.99861</v>
      </c>
      <c r="B2714" s="1">
        <f>IFERROR(__xludf.DUMMYFUNCTION("""COMPUTED_VALUE"""),49536.70175)</f>
        <v>49536.70175</v>
      </c>
    </row>
    <row r="2715">
      <c r="A2715" s="3">
        <f>IFERROR(__xludf.DUMMYFUNCTION("""COMPUTED_VALUE"""),43349.99861111111)</f>
        <v>43349.99861</v>
      </c>
      <c r="B2715" s="1">
        <f>IFERROR(__xludf.DUMMYFUNCTION("""COMPUTED_VALUE"""),49249.33405)</f>
        <v>49249.33405</v>
      </c>
    </row>
    <row r="2716">
      <c r="A2716" s="3">
        <f>IFERROR(__xludf.DUMMYFUNCTION("""COMPUTED_VALUE"""),43350.99861111111)</f>
        <v>43350.99861</v>
      </c>
      <c r="B2716" s="1">
        <f>IFERROR(__xludf.DUMMYFUNCTION("""COMPUTED_VALUE"""),49600.85994)</f>
        <v>49600.85994</v>
      </c>
    </row>
    <row r="2717">
      <c r="A2717" s="3">
        <f>IFERROR(__xludf.DUMMYFUNCTION("""COMPUTED_VALUE"""),43351.99861111111)</f>
        <v>43351.99861</v>
      </c>
      <c r="B2717" s="1">
        <f>IFERROR(__xludf.DUMMYFUNCTION("""COMPUTED_VALUE"""),49065.91461)</f>
        <v>49065.91461</v>
      </c>
    </row>
    <row r="2718">
      <c r="A2718" s="3">
        <f>IFERROR(__xludf.DUMMYFUNCTION("""COMPUTED_VALUE"""),43352.99861111111)</f>
        <v>43352.99861</v>
      </c>
      <c r="B2718" s="1">
        <f>IFERROR(__xludf.DUMMYFUNCTION("""COMPUTED_VALUE"""),49065.91461)</f>
        <v>49065.91461</v>
      </c>
    </row>
    <row r="2719">
      <c r="A2719" s="3">
        <f>IFERROR(__xludf.DUMMYFUNCTION("""COMPUTED_VALUE"""),43353.99861111111)</f>
        <v>43353.99861</v>
      </c>
      <c r="B2719" s="1">
        <f>IFERROR(__xludf.DUMMYFUNCTION("""COMPUTED_VALUE"""),49088.95047)</f>
        <v>49088.95047</v>
      </c>
    </row>
    <row r="2720">
      <c r="A2720" s="3">
        <f>IFERROR(__xludf.DUMMYFUNCTION("""COMPUTED_VALUE"""),43354.99861111111)</f>
        <v>43354.99861</v>
      </c>
      <c r="B2720" s="1">
        <f>IFERROR(__xludf.DUMMYFUNCTION("""COMPUTED_VALUE"""),49056.03304)</f>
        <v>49056.03304</v>
      </c>
    </row>
    <row r="2721">
      <c r="A2721" s="3">
        <f>IFERROR(__xludf.DUMMYFUNCTION("""COMPUTED_VALUE"""),43355.99861111111)</f>
        <v>43355.99861</v>
      </c>
      <c r="B2721" s="1">
        <f>IFERROR(__xludf.DUMMYFUNCTION("""COMPUTED_VALUE"""),48953.61519)</f>
        <v>48953.61519</v>
      </c>
    </row>
    <row r="2722">
      <c r="A2722" s="3">
        <f>IFERROR(__xludf.DUMMYFUNCTION("""COMPUTED_VALUE"""),43356.99861111111)</f>
        <v>43356.99861</v>
      </c>
      <c r="B2722" s="1">
        <f>IFERROR(__xludf.DUMMYFUNCTION("""COMPUTED_VALUE"""),48743.38172)</f>
        <v>48743.38172</v>
      </c>
    </row>
    <row r="2723">
      <c r="A2723" s="3">
        <f>IFERROR(__xludf.DUMMYFUNCTION("""COMPUTED_VALUE"""),43357.99861111111)</f>
        <v>43357.99861</v>
      </c>
      <c r="B2723" s="1">
        <f>IFERROR(__xludf.DUMMYFUNCTION("""COMPUTED_VALUE"""),48966.1483)</f>
        <v>48966.1483</v>
      </c>
    </row>
    <row r="2724">
      <c r="A2724" s="3">
        <f>IFERROR(__xludf.DUMMYFUNCTION("""COMPUTED_VALUE"""),43359.99861111111)</f>
        <v>43359.99861</v>
      </c>
      <c r="B2724" s="1">
        <f>IFERROR(__xludf.DUMMYFUNCTION("""COMPUTED_VALUE"""),48985.9981)</f>
        <v>48985.9981</v>
      </c>
    </row>
    <row r="2725">
      <c r="A2725" s="3">
        <f>IFERROR(__xludf.DUMMYFUNCTION("""COMPUTED_VALUE"""),43360.99861111111)</f>
        <v>43360.99861</v>
      </c>
      <c r="B2725" s="1">
        <f>IFERROR(__xludf.DUMMYFUNCTION("""COMPUTED_VALUE"""),49286.18197)</f>
        <v>49286.18197</v>
      </c>
    </row>
    <row r="2726">
      <c r="A2726" s="3">
        <f>IFERROR(__xludf.DUMMYFUNCTION("""COMPUTED_VALUE"""),43361.99861111111)</f>
        <v>43361.99861</v>
      </c>
      <c r="B2726" s="1">
        <f>IFERROR(__xludf.DUMMYFUNCTION("""COMPUTED_VALUE"""),49158.47885)</f>
        <v>49158.47885</v>
      </c>
    </row>
    <row r="2727">
      <c r="A2727" s="3">
        <f>IFERROR(__xludf.DUMMYFUNCTION("""COMPUTED_VALUE"""),43362.99861111111)</f>
        <v>43362.99861</v>
      </c>
      <c r="B2727" s="1">
        <f>IFERROR(__xludf.DUMMYFUNCTION("""COMPUTED_VALUE"""),49222.62336)</f>
        <v>49222.62336</v>
      </c>
    </row>
    <row r="2728">
      <c r="A2728" s="3">
        <f>IFERROR(__xludf.DUMMYFUNCTION("""COMPUTED_VALUE"""),43363.99861111111)</f>
        <v>43363.99861</v>
      </c>
      <c r="B2728" s="1">
        <f>IFERROR(__xludf.DUMMYFUNCTION("""COMPUTED_VALUE"""),49099.57099)</f>
        <v>49099.57099</v>
      </c>
    </row>
    <row r="2729">
      <c r="A2729" s="3">
        <f>IFERROR(__xludf.DUMMYFUNCTION("""COMPUTED_VALUE"""),43364.99861111111)</f>
        <v>43364.99861</v>
      </c>
      <c r="B2729" s="1">
        <f>IFERROR(__xludf.DUMMYFUNCTION("""COMPUTED_VALUE"""),49188.73759)</f>
        <v>49188.73759</v>
      </c>
    </row>
    <row r="2730">
      <c r="A2730" s="3">
        <f>IFERROR(__xludf.DUMMYFUNCTION("""COMPUTED_VALUE"""),43365.99861111111)</f>
        <v>43365.99861</v>
      </c>
      <c r="B2730" s="1">
        <f>IFERROR(__xludf.DUMMYFUNCTION("""COMPUTED_VALUE"""),48986.33527)</f>
        <v>48986.33527</v>
      </c>
    </row>
    <row r="2731">
      <c r="A2731" s="3">
        <f>IFERROR(__xludf.DUMMYFUNCTION("""COMPUTED_VALUE"""),43366.99861111111)</f>
        <v>43366.99861</v>
      </c>
      <c r="B2731" s="1">
        <f>IFERROR(__xludf.DUMMYFUNCTION("""COMPUTED_VALUE"""),48986.33527)</f>
        <v>48986.33527</v>
      </c>
    </row>
    <row r="2732">
      <c r="A2732" s="3">
        <f>IFERROR(__xludf.DUMMYFUNCTION("""COMPUTED_VALUE"""),43367.99861111111)</f>
        <v>43367.99861</v>
      </c>
      <c r="B2732" s="1">
        <f>IFERROR(__xludf.DUMMYFUNCTION("""COMPUTED_VALUE"""),49184.17365)</f>
        <v>49184.17365</v>
      </c>
    </row>
    <row r="2733">
      <c r="A2733" s="3">
        <f>IFERROR(__xludf.DUMMYFUNCTION("""COMPUTED_VALUE"""),43368.99861111111)</f>
        <v>43368.99861</v>
      </c>
      <c r="B2733" s="1">
        <f>IFERROR(__xludf.DUMMYFUNCTION("""COMPUTED_VALUE"""),49715.3667)</f>
        <v>49715.3667</v>
      </c>
    </row>
    <row r="2734">
      <c r="A2734" s="3">
        <f>IFERROR(__xludf.DUMMYFUNCTION("""COMPUTED_VALUE"""),43369.99861111111)</f>
        <v>43369.99861</v>
      </c>
      <c r="B2734" s="1">
        <f>IFERROR(__xludf.DUMMYFUNCTION("""COMPUTED_VALUE"""),49571.59378)</f>
        <v>49571.59378</v>
      </c>
    </row>
    <row r="2735">
      <c r="A2735" s="3">
        <f>IFERROR(__xludf.DUMMYFUNCTION("""COMPUTED_VALUE"""),43370.99861111111)</f>
        <v>43370.99861</v>
      </c>
      <c r="B2735" s="1">
        <f>IFERROR(__xludf.DUMMYFUNCTION("""COMPUTED_VALUE"""),49352.59882)</f>
        <v>49352.59882</v>
      </c>
    </row>
    <row r="2736">
      <c r="A2736" s="3">
        <f>IFERROR(__xludf.DUMMYFUNCTION("""COMPUTED_VALUE"""),43371.99861111111)</f>
        <v>43371.99861</v>
      </c>
      <c r="B2736" s="1">
        <f>IFERROR(__xludf.DUMMYFUNCTION("""COMPUTED_VALUE"""),49182.48895)</f>
        <v>49182.48895</v>
      </c>
    </row>
    <row r="2737">
      <c r="A2737" s="3">
        <f>IFERROR(__xludf.DUMMYFUNCTION("""COMPUTED_VALUE"""),43373.99861111111)</f>
        <v>43373.99861</v>
      </c>
      <c r="B2737" s="1">
        <f>IFERROR(__xludf.DUMMYFUNCTION("""COMPUTED_VALUE"""),49222.12561)</f>
        <v>49222.12561</v>
      </c>
    </row>
    <row r="2738">
      <c r="A2738" s="3">
        <f>IFERROR(__xludf.DUMMYFUNCTION("""COMPUTED_VALUE"""),43374.99861111111)</f>
        <v>43374.99861</v>
      </c>
      <c r="B2738" s="1">
        <f>IFERROR(__xludf.DUMMYFUNCTION("""COMPUTED_VALUE"""),49797.53571)</f>
        <v>49797.53571</v>
      </c>
    </row>
    <row r="2739">
      <c r="A2739" s="3">
        <f>IFERROR(__xludf.DUMMYFUNCTION("""COMPUTED_VALUE"""),43375.99861111111)</f>
        <v>43375.99861</v>
      </c>
      <c r="B2739" s="1">
        <f>IFERROR(__xludf.DUMMYFUNCTION("""COMPUTED_VALUE"""),49746.92207)</f>
        <v>49746.92207</v>
      </c>
    </row>
    <row r="2740">
      <c r="A2740" s="3">
        <f>IFERROR(__xludf.DUMMYFUNCTION("""COMPUTED_VALUE"""),43376.99861111111)</f>
        <v>43376.99861</v>
      </c>
      <c r="B2740" s="1">
        <f>IFERROR(__xludf.DUMMYFUNCTION("""COMPUTED_VALUE"""),49916.57662)</f>
        <v>49916.57662</v>
      </c>
    </row>
    <row r="2741">
      <c r="A2741" s="3">
        <f>IFERROR(__xludf.DUMMYFUNCTION("""COMPUTED_VALUE"""),43377.99861111111)</f>
        <v>43377.99861</v>
      </c>
      <c r="B2741" s="1">
        <f>IFERROR(__xludf.DUMMYFUNCTION("""COMPUTED_VALUE"""),50973.88932)</f>
        <v>50973.88932</v>
      </c>
    </row>
    <row r="2742">
      <c r="A2742" s="3">
        <f>IFERROR(__xludf.DUMMYFUNCTION("""COMPUTED_VALUE"""),43378.99861111111)</f>
        <v>43378.99861</v>
      </c>
      <c r="B2742" s="1">
        <f>IFERROR(__xludf.DUMMYFUNCTION("""COMPUTED_VALUE"""),49825.19973)</f>
        <v>49825.19973</v>
      </c>
    </row>
    <row r="2743">
      <c r="A2743" s="3">
        <f>IFERROR(__xludf.DUMMYFUNCTION("""COMPUTED_VALUE"""),43379.99861111111)</f>
        <v>43379.99861</v>
      </c>
      <c r="B2743" s="1">
        <f>IFERROR(__xludf.DUMMYFUNCTION("""COMPUTED_VALUE"""),50122.22157)</f>
        <v>50122.22157</v>
      </c>
    </row>
    <row r="2744">
      <c r="A2744" s="3">
        <f>IFERROR(__xludf.DUMMYFUNCTION("""COMPUTED_VALUE"""),43380.99861111111)</f>
        <v>43380.99861</v>
      </c>
      <c r="B2744" s="1">
        <f>IFERROR(__xludf.DUMMYFUNCTION("""COMPUTED_VALUE"""),50041.22161)</f>
        <v>50041.22161</v>
      </c>
    </row>
    <row r="2745">
      <c r="A2745" s="3">
        <f>IFERROR(__xludf.DUMMYFUNCTION("""COMPUTED_VALUE"""),43381.99861111111)</f>
        <v>43381.99861</v>
      </c>
      <c r="B2745" s="1">
        <f>IFERROR(__xludf.DUMMYFUNCTION("""COMPUTED_VALUE"""),50944.4474)</f>
        <v>50944.4474</v>
      </c>
    </row>
    <row r="2746">
      <c r="A2746" s="3">
        <f>IFERROR(__xludf.DUMMYFUNCTION("""COMPUTED_VALUE"""),43382.99861111111)</f>
        <v>43382.99861</v>
      </c>
      <c r="B2746" s="1">
        <f>IFERROR(__xludf.DUMMYFUNCTION("""COMPUTED_VALUE"""),50199.5018)</f>
        <v>50199.5018</v>
      </c>
    </row>
    <row r="2747">
      <c r="A2747" s="3">
        <f>IFERROR(__xludf.DUMMYFUNCTION("""COMPUTED_VALUE"""),43383.99861111111)</f>
        <v>43383.99861</v>
      </c>
      <c r="B2747" s="1">
        <f>IFERROR(__xludf.DUMMYFUNCTION("""COMPUTED_VALUE"""),50231.38093)</f>
        <v>50231.38093</v>
      </c>
    </row>
    <row r="2748">
      <c r="A2748" s="3">
        <f>IFERROR(__xludf.DUMMYFUNCTION("""COMPUTED_VALUE"""),43384.99861111111)</f>
        <v>43384.99861</v>
      </c>
      <c r="B2748" s="1">
        <f>IFERROR(__xludf.DUMMYFUNCTION("""COMPUTED_VALUE"""),50609.32522)</f>
        <v>50609.32522</v>
      </c>
    </row>
    <row r="2749">
      <c r="A2749" s="3">
        <f>IFERROR(__xludf.DUMMYFUNCTION("""COMPUTED_VALUE"""),43385.99861111111)</f>
        <v>43385.99861</v>
      </c>
      <c r="B2749" s="1">
        <f>IFERROR(__xludf.DUMMYFUNCTION("""COMPUTED_VALUE"""),50094.02572)</f>
        <v>50094.02572</v>
      </c>
    </row>
    <row r="2750">
      <c r="A2750" s="3">
        <f>IFERROR(__xludf.DUMMYFUNCTION("""COMPUTED_VALUE"""),43387.99861111111)</f>
        <v>43387.99861</v>
      </c>
      <c r="B2750" s="1">
        <f>IFERROR(__xludf.DUMMYFUNCTION("""COMPUTED_VALUE"""),50141.86471)</f>
        <v>50141.86471</v>
      </c>
    </row>
    <row r="2751">
      <c r="A2751" s="3">
        <f>IFERROR(__xludf.DUMMYFUNCTION("""COMPUTED_VALUE"""),43388.99861111111)</f>
        <v>43388.99861</v>
      </c>
      <c r="B2751" s="1">
        <f>IFERROR(__xludf.DUMMYFUNCTION("""COMPUTED_VALUE"""),50210.8293)</f>
        <v>50210.8293</v>
      </c>
    </row>
    <row r="2752">
      <c r="A2752" s="3">
        <f>IFERROR(__xludf.DUMMYFUNCTION("""COMPUTED_VALUE"""),43389.99861111111)</f>
        <v>43389.99861</v>
      </c>
      <c r="B2752" s="1">
        <f>IFERROR(__xludf.DUMMYFUNCTION("""COMPUTED_VALUE"""),50208.18555)</f>
        <v>50208.18555</v>
      </c>
    </row>
    <row r="2753">
      <c r="A2753" s="3">
        <f>IFERROR(__xludf.DUMMYFUNCTION("""COMPUTED_VALUE"""),43390.99861111111)</f>
        <v>43390.99861</v>
      </c>
      <c r="B2753" s="1">
        <f>IFERROR(__xludf.DUMMYFUNCTION("""COMPUTED_VALUE"""),50460.49397)</f>
        <v>50460.49397</v>
      </c>
    </row>
    <row r="2754">
      <c r="A2754" s="3">
        <f>IFERROR(__xludf.DUMMYFUNCTION("""COMPUTED_VALUE"""),43391.99861111111)</f>
        <v>43391.99861</v>
      </c>
      <c r="B2754" s="1">
        <f>IFERROR(__xludf.DUMMYFUNCTION("""COMPUTED_VALUE"""),50625.86614)</f>
        <v>50625.86614</v>
      </c>
    </row>
    <row r="2755">
      <c r="A2755" s="3">
        <f>IFERROR(__xludf.DUMMYFUNCTION("""COMPUTED_VALUE"""),43392.99861111111)</f>
        <v>43392.99861</v>
      </c>
      <c r="B2755" s="1">
        <f>IFERROR(__xludf.DUMMYFUNCTION("""COMPUTED_VALUE"""),50170.29957)</f>
        <v>50170.29957</v>
      </c>
    </row>
    <row r="2756">
      <c r="A2756" s="3">
        <f>IFERROR(__xludf.DUMMYFUNCTION("""COMPUTED_VALUE"""),43394.99861111111)</f>
        <v>43394.99861</v>
      </c>
      <c r="B2756" s="1">
        <f>IFERROR(__xludf.DUMMYFUNCTION("""COMPUTED_VALUE"""),50201.71491)</f>
        <v>50201.71491</v>
      </c>
    </row>
    <row r="2757">
      <c r="A2757" s="3">
        <f>IFERROR(__xludf.DUMMYFUNCTION("""COMPUTED_VALUE"""),43395.99861111111)</f>
        <v>43395.99861</v>
      </c>
      <c r="B2757" s="1">
        <f>IFERROR(__xludf.DUMMYFUNCTION("""COMPUTED_VALUE"""),50395.1706)</f>
        <v>50395.1706</v>
      </c>
    </row>
    <row r="2758">
      <c r="A2758" s="3">
        <f>IFERROR(__xludf.DUMMYFUNCTION("""COMPUTED_VALUE"""),43396.99861111111)</f>
        <v>43396.99861</v>
      </c>
      <c r="B2758" s="1">
        <f>IFERROR(__xludf.DUMMYFUNCTION("""COMPUTED_VALUE"""),50125.44467)</f>
        <v>50125.44467</v>
      </c>
    </row>
    <row r="2759">
      <c r="A2759" s="3">
        <f>IFERROR(__xludf.DUMMYFUNCTION("""COMPUTED_VALUE"""),43397.99861111111)</f>
        <v>43397.99861</v>
      </c>
      <c r="B2759" s="1">
        <f>IFERROR(__xludf.DUMMYFUNCTION("""COMPUTED_VALUE"""),50394.38893)</f>
        <v>50394.38893</v>
      </c>
    </row>
    <row r="2760">
      <c r="A2760" s="3">
        <f>IFERROR(__xludf.DUMMYFUNCTION("""COMPUTED_VALUE"""),43398.99861111111)</f>
        <v>43398.99861</v>
      </c>
      <c r="B2760" s="1">
        <f>IFERROR(__xludf.DUMMYFUNCTION("""COMPUTED_VALUE"""),50329.20973)</f>
        <v>50329.20973</v>
      </c>
    </row>
    <row r="2761">
      <c r="A2761" s="3">
        <f>IFERROR(__xludf.DUMMYFUNCTION("""COMPUTED_VALUE"""),43399.99861111111)</f>
        <v>43399.99861</v>
      </c>
      <c r="B2761" s="1">
        <f>IFERROR(__xludf.DUMMYFUNCTION("""COMPUTED_VALUE"""),50097.61141)</f>
        <v>50097.61141</v>
      </c>
    </row>
    <row r="2762">
      <c r="A2762" s="3">
        <f>IFERROR(__xludf.DUMMYFUNCTION("""COMPUTED_VALUE"""),43400.99861111111)</f>
        <v>43400.99861</v>
      </c>
      <c r="B2762" s="1">
        <f>IFERROR(__xludf.DUMMYFUNCTION("""COMPUTED_VALUE"""),50161.59135)</f>
        <v>50161.59135</v>
      </c>
    </row>
    <row r="2763">
      <c r="A2763" s="3">
        <f>IFERROR(__xludf.DUMMYFUNCTION("""COMPUTED_VALUE"""),43401.99861111111)</f>
        <v>43401.99861</v>
      </c>
      <c r="B2763" s="1">
        <f>IFERROR(__xludf.DUMMYFUNCTION("""COMPUTED_VALUE"""),50161.59135)</f>
        <v>50161.59135</v>
      </c>
    </row>
    <row r="2764">
      <c r="A2764" s="3">
        <f>IFERROR(__xludf.DUMMYFUNCTION("""COMPUTED_VALUE"""),43402.99861111111)</f>
        <v>43402.99861</v>
      </c>
      <c r="B2764" s="1">
        <f>IFERROR(__xludf.DUMMYFUNCTION("""COMPUTED_VALUE"""),50457.80458)</f>
        <v>50457.80458</v>
      </c>
    </row>
    <row r="2765">
      <c r="A2765" s="3">
        <f>IFERROR(__xludf.DUMMYFUNCTION("""COMPUTED_VALUE"""),43403.99861111111)</f>
        <v>43403.99861</v>
      </c>
      <c r="B2765" s="1">
        <f>IFERROR(__xludf.DUMMYFUNCTION("""COMPUTED_VALUE"""),50351.42442)</f>
        <v>50351.42442</v>
      </c>
    </row>
    <row r="2766">
      <c r="A2766" s="3">
        <f>IFERROR(__xludf.DUMMYFUNCTION("""COMPUTED_VALUE"""),43404.99861111111)</f>
        <v>43404.99861</v>
      </c>
      <c r="B2766" s="1">
        <f>IFERROR(__xludf.DUMMYFUNCTION("""COMPUTED_VALUE"""),50087.33805)</f>
        <v>50087.33805</v>
      </c>
    </row>
    <row r="2767">
      <c r="A2767" s="3">
        <f>IFERROR(__xludf.DUMMYFUNCTION("""COMPUTED_VALUE"""),43405.99861111111)</f>
        <v>43405.99861</v>
      </c>
      <c r="B2767" s="1">
        <f>IFERROR(__xludf.DUMMYFUNCTION("""COMPUTED_VALUE"""),49657.92138)</f>
        <v>49657.92138</v>
      </c>
    </row>
    <row r="2768">
      <c r="A2768" s="3">
        <f>IFERROR(__xludf.DUMMYFUNCTION("""COMPUTED_VALUE"""),43406.99861111111)</f>
        <v>43406.99861</v>
      </c>
      <c r="B2768" s="1">
        <f>IFERROR(__xludf.DUMMYFUNCTION("""COMPUTED_VALUE"""),49302.32536)</f>
        <v>49302.32536</v>
      </c>
    </row>
    <row r="2769">
      <c r="A2769" s="3">
        <f>IFERROR(__xludf.DUMMYFUNCTION("""COMPUTED_VALUE"""),43408.99861111111)</f>
        <v>43408.99861</v>
      </c>
      <c r="B2769" s="1">
        <f>IFERROR(__xludf.DUMMYFUNCTION("""COMPUTED_VALUE"""),49302.32536)</f>
        <v>49302.32536</v>
      </c>
    </row>
    <row r="2770">
      <c r="A2770" s="3">
        <f>IFERROR(__xludf.DUMMYFUNCTION("""COMPUTED_VALUE"""),43409.99861111111)</f>
        <v>43409.99861</v>
      </c>
      <c r="B2770" s="1">
        <f>IFERROR(__xludf.DUMMYFUNCTION("""COMPUTED_VALUE"""),49184.51823)</f>
        <v>49184.51823</v>
      </c>
    </row>
    <row r="2771">
      <c r="A2771" s="3">
        <f>IFERROR(__xludf.DUMMYFUNCTION("""COMPUTED_VALUE"""),43410.99861111111)</f>
        <v>43410.99861</v>
      </c>
      <c r="B2771" s="1">
        <f>IFERROR(__xludf.DUMMYFUNCTION("""COMPUTED_VALUE"""),48897.09042)</f>
        <v>48897.09042</v>
      </c>
    </row>
    <row r="2772">
      <c r="A2772" s="3">
        <f>IFERROR(__xludf.DUMMYFUNCTION("""COMPUTED_VALUE"""),43411.99861111111)</f>
        <v>43411.99861</v>
      </c>
      <c r="B2772" s="1">
        <f>IFERROR(__xludf.DUMMYFUNCTION("""COMPUTED_VALUE"""),48135.1135)</f>
        <v>48135.1135</v>
      </c>
    </row>
    <row r="2773">
      <c r="A2773" s="3">
        <f>IFERROR(__xludf.DUMMYFUNCTION("""COMPUTED_VALUE"""),43412.99861111111)</f>
        <v>43412.99861</v>
      </c>
      <c r="B2773" s="1">
        <f>IFERROR(__xludf.DUMMYFUNCTION("""COMPUTED_VALUE"""),48540.80448)</f>
        <v>48540.80448</v>
      </c>
    </row>
    <row r="2774">
      <c r="A2774" s="3">
        <f>IFERROR(__xludf.DUMMYFUNCTION("""COMPUTED_VALUE"""),43413.99861111111)</f>
        <v>43413.99861</v>
      </c>
      <c r="B2774" s="1">
        <f>IFERROR(__xludf.DUMMYFUNCTION("""COMPUTED_VALUE"""),48354.4693)</f>
        <v>48354.4693</v>
      </c>
    </row>
    <row r="2775">
      <c r="A2775" s="3">
        <f>IFERROR(__xludf.DUMMYFUNCTION("""COMPUTED_VALUE"""),43414.99861111111)</f>
        <v>43414.99861</v>
      </c>
      <c r="B2775" s="1">
        <f>IFERROR(__xludf.DUMMYFUNCTION("""COMPUTED_VALUE"""),48354.4693)</f>
        <v>48354.4693</v>
      </c>
    </row>
    <row r="2776">
      <c r="A2776" s="3">
        <f>IFERROR(__xludf.DUMMYFUNCTION("""COMPUTED_VALUE"""),43415.99861111111)</f>
        <v>43415.99861</v>
      </c>
      <c r="B2776" s="1">
        <f>IFERROR(__xludf.DUMMYFUNCTION("""COMPUTED_VALUE"""),48354.4693)</f>
        <v>48354.4693</v>
      </c>
    </row>
    <row r="2777">
      <c r="A2777" s="3">
        <f>IFERROR(__xludf.DUMMYFUNCTION("""COMPUTED_VALUE"""),43416.99861111111)</f>
        <v>43416.99861</v>
      </c>
      <c r="B2777" s="1">
        <f>IFERROR(__xludf.DUMMYFUNCTION("""COMPUTED_VALUE"""),48739.37697)</f>
        <v>48739.37697</v>
      </c>
    </row>
    <row r="2778">
      <c r="A2778" s="3">
        <f>IFERROR(__xludf.DUMMYFUNCTION("""COMPUTED_VALUE"""),43417.99861111111)</f>
        <v>43417.99861</v>
      </c>
      <c r="B2778" s="1">
        <f>IFERROR(__xludf.DUMMYFUNCTION("""COMPUTED_VALUE"""),48681.47263)</f>
        <v>48681.47263</v>
      </c>
    </row>
    <row r="2779">
      <c r="A2779" s="3">
        <f>IFERROR(__xludf.DUMMYFUNCTION("""COMPUTED_VALUE"""),43418.99861111111)</f>
        <v>43418.99861</v>
      </c>
      <c r="B2779" s="1">
        <f>IFERROR(__xludf.DUMMYFUNCTION("""COMPUTED_VALUE"""),48743.99319)</f>
        <v>48743.99319</v>
      </c>
    </row>
    <row r="2780">
      <c r="A2780" s="3">
        <f>IFERROR(__xludf.DUMMYFUNCTION("""COMPUTED_VALUE"""),43419.99861111111)</f>
        <v>43419.99861</v>
      </c>
      <c r="B2780" s="1">
        <f>IFERROR(__xludf.DUMMYFUNCTION("""COMPUTED_VALUE"""),47925.61273)</f>
        <v>47925.61273</v>
      </c>
    </row>
    <row r="2781">
      <c r="A2781" s="3">
        <f>IFERROR(__xludf.DUMMYFUNCTION("""COMPUTED_VALUE"""),43420.99861111111)</f>
        <v>43420.99861</v>
      </c>
      <c r="B2781" s="1">
        <f>IFERROR(__xludf.DUMMYFUNCTION("""COMPUTED_VALUE"""),48091.79675)</f>
        <v>48091.79675</v>
      </c>
    </row>
    <row r="2782">
      <c r="A2782" s="3">
        <f>IFERROR(__xludf.DUMMYFUNCTION("""COMPUTED_VALUE"""),43421.99861111111)</f>
        <v>43421.99861</v>
      </c>
      <c r="B2782" s="1">
        <f>IFERROR(__xludf.DUMMYFUNCTION("""COMPUTED_VALUE"""),48091.79675)</f>
        <v>48091.79675</v>
      </c>
    </row>
    <row r="2783">
      <c r="A2783" s="3">
        <f>IFERROR(__xludf.DUMMYFUNCTION("""COMPUTED_VALUE"""),43422.99861111111)</f>
        <v>43422.99861</v>
      </c>
      <c r="B2783" s="1">
        <f>IFERROR(__xludf.DUMMYFUNCTION("""COMPUTED_VALUE"""),48091.79675)</f>
        <v>48091.79675</v>
      </c>
    </row>
    <row r="2784">
      <c r="A2784" s="3">
        <f>IFERROR(__xludf.DUMMYFUNCTION("""COMPUTED_VALUE"""),43423.99861111111)</f>
        <v>43423.99861</v>
      </c>
      <c r="B2784" s="1">
        <f>IFERROR(__xludf.DUMMYFUNCTION("""COMPUTED_VALUE"""),48287.02042)</f>
        <v>48287.02042</v>
      </c>
    </row>
    <row r="2785">
      <c r="A2785" s="3">
        <f>IFERROR(__xludf.DUMMYFUNCTION("""COMPUTED_VALUE"""),43424.99861111111)</f>
        <v>43424.99861</v>
      </c>
      <c r="B2785" s="1">
        <f>IFERROR(__xludf.DUMMYFUNCTION("""COMPUTED_VALUE"""),48317.28475)</f>
        <v>48317.28475</v>
      </c>
    </row>
    <row r="2786">
      <c r="A2786" s="3">
        <f>IFERROR(__xludf.DUMMYFUNCTION("""COMPUTED_VALUE"""),43425.99861111111)</f>
        <v>43425.99861</v>
      </c>
      <c r="B2786" s="1">
        <f>IFERROR(__xludf.DUMMYFUNCTION("""COMPUTED_VALUE"""),48188.39641)</f>
        <v>48188.39641</v>
      </c>
    </row>
    <row r="2787">
      <c r="A2787" s="3">
        <f>IFERROR(__xludf.DUMMYFUNCTION("""COMPUTED_VALUE"""),43426.99861111111)</f>
        <v>43426.99861</v>
      </c>
      <c r="B2787" s="1">
        <f>IFERROR(__xludf.DUMMYFUNCTION("""COMPUTED_VALUE"""),48094.3418)</f>
        <v>48094.3418</v>
      </c>
    </row>
    <row r="2788">
      <c r="A2788" s="3">
        <f>IFERROR(__xludf.DUMMYFUNCTION("""COMPUTED_VALUE"""),43427.99861111111)</f>
        <v>43427.99861</v>
      </c>
      <c r="B2788" s="1">
        <f>IFERROR(__xludf.DUMMYFUNCTION("""COMPUTED_VALUE"""),47787.04727)</f>
        <v>47787.04727</v>
      </c>
    </row>
    <row r="2789">
      <c r="A2789" s="3">
        <f>IFERROR(__xludf.DUMMYFUNCTION("""COMPUTED_VALUE"""),43428.99861111111)</f>
        <v>43428.99861</v>
      </c>
      <c r="B2789" s="1">
        <f>IFERROR(__xludf.DUMMYFUNCTION("""COMPUTED_VALUE"""),47905.30981)</f>
        <v>47905.30981</v>
      </c>
    </row>
    <row r="2790">
      <c r="A2790" s="3">
        <f>IFERROR(__xludf.DUMMYFUNCTION("""COMPUTED_VALUE"""),43429.99861111111)</f>
        <v>43429.99861</v>
      </c>
      <c r="B2790" s="1">
        <f>IFERROR(__xludf.DUMMYFUNCTION("""COMPUTED_VALUE"""),47859.43614)</f>
        <v>47859.43614</v>
      </c>
    </row>
    <row r="2791">
      <c r="A2791" s="3">
        <f>IFERROR(__xludf.DUMMYFUNCTION("""COMPUTED_VALUE"""),43430.99861111111)</f>
        <v>43430.99861</v>
      </c>
      <c r="B2791" s="1">
        <f>IFERROR(__xludf.DUMMYFUNCTION("""COMPUTED_VALUE"""),47840.93132)</f>
        <v>47840.93132</v>
      </c>
    </row>
    <row r="2792">
      <c r="A2792" s="3">
        <f>IFERROR(__xludf.DUMMYFUNCTION("""COMPUTED_VALUE"""),43431.99861111111)</f>
        <v>43431.99861</v>
      </c>
      <c r="B2792" s="1">
        <f>IFERROR(__xludf.DUMMYFUNCTION("""COMPUTED_VALUE"""),47982.02128)</f>
        <v>47982.02128</v>
      </c>
    </row>
    <row r="2793">
      <c r="A2793" s="3">
        <f>IFERROR(__xludf.DUMMYFUNCTION("""COMPUTED_VALUE"""),43432.99861111111)</f>
        <v>43432.99861</v>
      </c>
      <c r="B2793" s="1">
        <f>IFERROR(__xludf.DUMMYFUNCTION("""COMPUTED_VALUE"""),47596.44161)</f>
        <v>47596.44161</v>
      </c>
    </row>
    <row r="2794">
      <c r="A2794" s="3">
        <f>IFERROR(__xludf.DUMMYFUNCTION("""COMPUTED_VALUE"""),43433.99861111111)</f>
        <v>43433.99861</v>
      </c>
      <c r="B2794" s="1">
        <f>IFERROR(__xludf.DUMMYFUNCTION("""COMPUTED_VALUE"""),47256.31993)</f>
        <v>47256.31993</v>
      </c>
    </row>
    <row r="2795">
      <c r="A2795" s="3">
        <f>IFERROR(__xludf.DUMMYFUNCTION("""COMPUTED_VALUE"""),43434.99861111111)</f>
        <v>43434.99861</v>
      </c>
      <c r="B2795" s="1">
        <f>IFERROR(__xludf.DUMMYFUNCTION("""COMPUTED_VALUE"""),47150.33217)</f>
        <v>47150.33217</v>
      </c>
    </row>
    <row r="2796">
      <c r="A2796" s="3">
        <f>IFERROR(__xludf.DUMMYFUNCTION("""COMPUTED_VALUE"""),43435.99861111111)</f>
        <v>43435.99861</v>
      </c>
      <c r="B2796" s="1">
        <f>IFERROR(__xludf.DUMMYFUNCTION("""COMPUTED_VALUE"""),47387.1292)</f>
        <v>47387.1292</v>
      </c>
    </row>
    <row r="2797">
      <c r="A2797" s="3">
        <f>IFERROR(__xludf.DUMMYFUNCTION("""COMPUTED_VALUE"""),43436.99861111111)</f>
        <v>43436.99861</v>
      </c>
      <c r="B2797" s="1">
        <f>IFERROR(__xludf.DUMMYFUNCTION("""COMPUTED_VALUE"""),47069.66577)</f>
        <v>47069.66577</v>
      </c>
    </row>
    <row r="2798">
      <c r="A2798" s="3">
        <f>IFERROR(__xludf.DUMMYFUNCTION("""COMPUTED_VALUE"""),43437.99861111111)</f>
        <v>43437.99861</v>
      </c>
      <c r="B2798" s="1">
        <f>IFERROR(__xludf.DUMMYFUNCTION("""COMPUTED_VALUE"""),47206.58335)</f>
        <v>47206.58335</v>
      </c>
    </row>
    <row r="2799">
      <c r="A2799" s="3">
        <f>IFERROR(__xludf.DUMMYFUNCTION("""COMPUTED_VALUE"""),43438.99861111111)</f>
        <v>43438.99861</v>
      </c>
      <c r="B2799" s="1">
        <f>IFERROR(__xludf.DUMMYFUNCTION("""COMPUTED_VALUE"""),47573.66264)</f>
        <v>47573.66264</v>
      </c>
    </row>
    <row r="2800">
      <c r="A2800" s="3">
        <f>IFERROR(__xludf.DUMMYFUNCTION("""COMPUTED_VALUE"""),43439.99861111111)</f>
        <v>43439.99861</v>
      </c>
      <c r="B2800" s="1">
        <f>IFERROR(__xludf.DUMMYFUNCTION("""COMPUTED_VALUE"""),47534.9051)</f>
        <v>47534.9051</v>
      </c>
    </row>
    <row r="2801">
      <c r="A2801" s="3">
        <f>IFERROR(__xludf.DUMMYFUNCTION("""COMPUTED_VALUE"""),43440.99861111111)</f>
        <v>43440.99861</v>
      </c>
      <c r="B2801" s="1">
        <f>IFERROR(__xludf.DUMMYFUNCTION("""COMPUTED_VALUE"""),47844.55392)</f>
        <v>47844.55392</v>
      </c>
    </row>
    <row r="2802">
      <c r="A2802" s="3">
        <f>IFERROR(__xludf.DUMMYFUNCTION("""COMPUTED_VALUE"""),43441.99861111111)</f>
        <v>43441.99861</v>
      </c>
      <c r="B2802" s="1">
        <f>IFERROR(__xludf.DUMMYFUNCTION("""COMPUTED_VALUE"""),47831.24005)</f>
        <v>47831.24005</v>
      </c>
    </row>
    <row r="2803">
      <c r="A2803" s="3">
        <f>IFERROR(__xludf.DUMMYFUNCTION("""COMPUTED_VALUE"""),43443.99861111111)</f>
        <v>43443.99861</v>
      </c>
      <c r="B2803" s="1">
        <f>IFERROR(__xludf.DUMMYFUNCTION("""COMPUTED_VALUE"""),47575.64799)</f>
        <v>47575.64799</v>
      </c>
    </row>
    <row r="2804">
      <c r="A2804" s="3">
        <f>IFERROR(__xludf.DUMMYFUNCTION("""COMPUTED_VALUE"""),43444.99861111111)</f>
        <v>43444.99861</v>
      </c>
      <c r="B2804" s="1">
        <f>IFERROR(__xludf.DUMMYFUNCTION("""COMPUTED_VALUE"""),47926.2038)</f>
        <v>47926.2038</v>
      </c>
    </row>
    <row r="2805">
      <c r="A2805" s="3">
        <f>IFERROR(__xludf.DUMMYFUNCTION("""COMPUTED_VALUE"""),43445.99861111111)</f>
        <v>43445.99861</v>
      </c>
      <c r="B2805" s="1">
        <f>IFERROR(__xludf.DUMMYFUNCTION("""COMPUTED_VALUE"""),48220.71869)</f>
        <v>48220.71869</v>
      </c>
    </row>
    <row r="2806">
      <c r="A2806" s="3">
        <f>IFERROR(__xludf.DUMMYFUNCTION("""COMPUTED_VALUE"""),43446.99861111111)</f>
        <v>43446.99861</v>
      </c>
      <c r="B2806" s="1">
        <f>IFERROR(__xludf.DUMMYFUNCTION("""COMPUTED_VALUE"""),48030.96413)</f>
        <v>48030.96413</v>
      </c>
    </row>
    <row r="2807">
      <c r="A2807" s="3">
        <f>IFERROR(__xludf.DUMMYFUNCTION("""COMPUTED_VALUE"""),43447.99861111111)</f>
        <v>43447.99861</v>
      </c>
      <c r="B2807" s="1">
        <f>IFERROR(__xludf.DUMMYFUNCTION("""COMPUTED_VALUE"""),47932.7925)</f>
        <v>47932.7925</v>
      </c>
    </row>
    <row r="2808">
      <c r="A2808" s="3">
        <f>IFERROR(__xludf.DUMMYFUNCTION("""COMPUTED_VALUE"""),43448.99861111111)</f>
        <v>43448.99861</v>
      </c>
      <c r="B2808" s="1">
        <f>IFERROR(__xludf.DUMMYFUNCTION("""COMPUTED_VALUE"""),47882.64992)</f>
        <v>47882.64992</v>
      </c>
    </row>
    <row r="2809">
      <c r="A2809" s="3">
        <f>IFERROR(__xludf.DUMMYFUNCTION("""COMPUTED_VALUE"""),43450.99861111111)</f>
        <v>43450.99861</v>
      </c>
      <c r="B2809" s="1">
        <f>IFERROR(__xludf.DUMMYFUNCTION("""COMPUTED_VALUE"""),47892.5057)</f>
        <v>47892.5057</v>
      </c>
    </row>
    <row r="2810">
      <c r="A2810" s="3">
        <f>IFERROR(__xludf.DUMMYFUNCTION("""COMPUTED_VALUE"""),43451.99861111111)</f>
        <v>43451.99861</v>
      </c>
      <c r="B2810" s="1">
        <f>IFERROR(__xludf.DUMMYFUNCTION("""COMPUTED_VALUE"""),48046.03068)</f>
        <v>48046.03068</v>
      </c>
    </row>
    <row r="2811">
      <c r="A2811" s="3">
        <f>IFERROR(__xludf.DUMMYFUNCTION("""COMPUTED_VALUE"""),43452.99861111111)</f>
        <v>43452.99861</v>
      </c>
      <c r="B2811" s="1">
        <f>IFERROR(__xludf.DUMMYFUNCTION("""COMPUTED_VALUE"""),47735.1315)</f>
        <v>47735.1315</v>
      </c>
    </row>
    <row r="2812">
      <c r="A2812" s="3">
        <f>IFERROR(__xludf.DUMMYFUNCTION("""COMPUTED_VALUE"""),43453.99861111111)</f>
        <v>43453.99861</v>
      </c>
      <c r="B2812" s="1">
        <f>IFERROR(__xludf.DUMMYFUNCTION("""COMPUTED_VALUE"""),47745.01455)</f>
        <v>47745.01455</v>
      </c>
    </row>
    <row r="2813">
      <c r="A2813" s="3">
        <f>IFERROR(__xludf.DUMMYFUNCTION("""COMPUTED_VALUE"""),43454.99861111111)</f>
        <v>43454.99861</v>
      </c>
      <c r="B2813" s="1">
        <f>IFERROR(__xludf.DUMMYFUNCTION("""COMPUTED_VALUE"""),47893.76482)</f>
        <v>47893.76482</v>
      </c>
    </row>
    <row r="2814">
      <c r="A2814" s="3">
        <f>IFERROR(__xludf.DUMMYFUNCTION("""COMPUTED_VALUE"""),43455.99861111111)</f>
        <v>43455.99861</v>
      </c>
      <c r="B2814" s="1">
        <f>IFERROR(__xludf.DUMMYFUNCTION("""COMPUTED_VALUE"""),47831.65634)</f>
        <v>47831.65634</v>
      </c>
    </row>
    <row r="2815">
      <c r="A2815" s="3">
        <f>IFERROR(__xludf.DUMMYFUNCTION("""COMPUTED_VALUE"""),43456.99861111111)</f>
        <v>43456.99861</v>
      </c>
      <c r="B2815" s="1">
        <f>IFERROR(__xludf.DUMMYFUNCTION("""COMPUTED_VALUE"""),47831.65634)</f>
        <v>47831.65634</v>
      </c>
    </row>
    <row r="2816">
      <c r="A2816" s="3">
        <f>IFERROR(__xludf.DUMMYFUNCTION("""COMPUTED_VALUE"""),43457.99861111111)</f>
        <v>43457.99861</v>
      </c>
      <c r="B2816" s="1">
        <f>IFERROR(__xludf.DUMMYFUNCTION("""COMPUTED_VALUE"""),47831.65634)</f>
        <v>47831.65634</v>
      </c>
    </row>
    <row r="2817">
      <c r="A2817" s="3">
        <f>IFERROR(__xludf.DUMMYFUNCTION("""COMPUTED_VALUE"""),43458.99861111111)</f>
        <v>43458.99861</v>
      </c>
      <c r="B2817" s="1">
        <f>IFERROR(__xludf.DUMMYFUNCTION("""COMPUTED_VALUE"""),47941.98838)</f>
        <v>47941.98838</v>
      </c>
    </row>
    <row r="2818">
      <c r="A2818" s="3">
        <f>IFERROR(__xludf.DUMMYFUNCTION("""COMPUTED_VALUE"""),43459.99861111111)</f>
        <v>43459.99861</v>
      </c>
      <c r="B2818" s="1">
        <f>IFERROR(__xludf.DUMMYFUNCTION("""COMPUTED_VALUE"""),48579.90739)</f>
        <v>48579.90739</v>
      </c>
    </row>
    <row r="2819">
      <c r="A2819" s="3">
        <f>IFERROR(__xludf.DUMMYFUNCTION("""COMPUTED_VALUE"""),43460.99861111111)</f>
        <v>43460.99861</v>
      </c>
      <c r="B2819" s="1">
        <f>IFERROR(__xludf.DUMMYFUNCTION("""COMPUTED_VALUE"""),48096.7891)</f>
        <v>48096.7891</v>
      </c>
    </row>
    <row r="2820">
      <c r="A2820" s="3">
        <f>IFERROR(__xludf.DUMMYFUNCTION("""COMPUTED_VALUE"""),43461.99861111111)</f>
        <v>43461.99861</v>
      </c>
      <c r="B2820" s="1">
        <f>IFERROR(__xludf.DUMMYFUNCTION("""COMPUTED_VALUE"""),48008.95448)</f>
        <v>48008.95448</v>
      </c>
    </row>
    <row r="2821">
      <c r="A2821" s="3">
        <f>IFERROR(__xludf.DUMMYFUNCTION("""COMPUTED_VALUE"""),43462.99861111111)</f>
        <v>43462.99861</v>
      </c>
      <c r="B2821" s="1">
        <f>IFERROR(__xludf.DUMMYFUNCTION("""COMPUTED_VALUE"""),48116.31552)</f>
        <v>48116.31552</v>
      </c>
    </row>
    <row r="2822">
      <c r="A2822" s="3">
        <f>IFERROR(__xludf.DUMMYFUNCTION("""COMPUTED_VALUE"""),43464.99861111111)</f>
        <v>43464.99861</v>
      </c>
      <c r="B2822" s="1">
        <f>IFERROR(__xludf.DUMMYFUNCTION("""COMPUTED_VALUE"""),48093.18267)</f>
        <v>48093.18267</v>
      </c>
    </row>
    <row r="2823">
      <c r="A2823" s="3">
        <f>IFERROR(__xludf.DUMMYFUNCTION("""COMPUTED_VALUE"""),43465.99861111111)</f>
        <v>43465.99861</v>
      </c>
      <c r="B2823" s="1">
        <f>IFERROR(__xludf.DUMMYFUNCTION("""COMPUTED_VALUE"""),47740.09488)</f>
        <v>47740.09488</v>
      </c>
    </row>
    <row r="2824">
      <c r="A2824" s="3">
        <f>IFERROR(__xludf.DUMMYFUNCTION("""COMPUTED_VALUE"""),43466.99861111111)</f>
        <v>43466.99861</v>
      </c>
      <c r="B2824" s="1">
        <f>IFERROR(__xludf.DUMMYFUNCTION("""COMPUTED_VALUE"""),47817.45588)</f>
        <v>47817.45588</v>
      </c>
    </row>
    <row r="2825">
      <c r="A2825" s="3">
        <f>IFERROR(__xludf.DUMMYFUNCTION("""COMPUTED_VALUE"""),43467.99861111111)</f>
        <v>43467.99861</v>
      </c>
      <c r="B2825" s="1">
        <f>IFERROR(__xludf.DUMMYFUNCTION("""COMPUTED_VALUE"""),47556.7652)</f>
        <v>47556.7652</v>
      </c>
    </row>
    <row r="2826">
      <c r="A2826" s="3">
        <f>IFERROR(__xludf.DUMMYFUNCTION("""COMPUTED_VALUE"""),43468.99861111111)</f>
        <v>43468.99861</v>
      </c>
      <c r="B2826" s="1">
        <f>IFERROR(__xludf.DUMMYFUNCTION("""COMPUTED_VALUE"""),47467.05328)</f>
        <v>47467.05328</v>
      </c>
    </row>
    <row r="2827">
      <c r="A2827" s="3">
        <f>IFERROR(__xludf.DUMMYFUNCTION("""COMPUTED_VALUE"""),43469.99861111111)</f>
        <v>43469.99861</v>
      </c>
      <c r="B2827" s="1">
        <f>IFERROR(__xludf.DUMMYFUNCTION("""COMPUTED_VALUE"""),46948.84441)</f>
        <v>46948.84441</v>
      </c>
    </row>
    <row r="2828">
      <c r="A2828" s="3">
        <f>IFERROR(__xludf.DUMMYFUNCTION("""COMPUTED_VALUE"""),43470.99861111111)</f>
        <v>43470.99861</v>
      </c>
      <c r="B2828" s="1">
        <f>IFERROR(__xludf.DUMMYFUNCTION("""COMPUTED_VALUE"""),46927.39227)</f>
        <v>46927.39227</v>
      </c>
    </row>
    <row r="2829">
      <c r="A2829" s="3">
        <f>IFERROR(__xludf.DUMMYFUNCTION("""COMPUTED_VALUE"""),43471.99861111111)</f>
        <v>43471.99861</v>
      </c>
      <c r="B2829" s="1">
        <f>IFERROR(__xludf.DUMMYFUNCTION("""COMPUTED_VALUE"""),47085.80811)</f>
        <v>47085.80811</v>
      </c>
    </row>
    <row r="2830">
      <c r="A2830" s="3">
        <f>IFERROR(__xludf.DUMMYFUNCTION("""COMPUTED_VALUE"""),43472.99861111111)</f>
        <v>43472.99861</v>
      </c>
      <c r="B2830" s="1">
        <f>IFERROR(__xludf.DUMMYFUNCTION("""COMPUTED_VALUE"""),46544.59666)</f>
        <v>46544.59666</v>
      </c>
    </row>
    <row r="2831">
      <c r="A2831" s="3">
        <f>IFERROR(__xludf.DUMMYFUNCTION("""COMPUTED_VALUE"""),43473.99861111111)</f>
        <v>43473.99861</v>
      </c>
      <c r="B2831" s="1">
        <f>IFERROR(__xludf.DUMMYFUNCTION("""COMPUTED_VALUE"""),46726.37276)</f>
        <v>46726.37276</v>
      </c>
    </row>
    <row r="2832">
      <c r="A2832" s="3">
        <f>IFERROR(__xludf.DUMMYFUNCTION("""COMPUTED_VALUE"""),43474.99861111111)</f>
        <v>43474.99861</v>
      </c>
      <c r="B2832" s="1">
        <f>IFERROR(__xludf.DUMMYFUNCTION("""COMPUTED_VALUE"""),46736.99559)</f>
        <v>46736.99559</v>
      </c>
    </row>
    <row r="2833">
      <c r="A2833" s="3">
        <f>IFERROR(__xludf.DUMMYFUNCTION("""COMPUTED_VALUE"""),43475.99861111111)</f>
        <v>43475.99861</v>
      </c>
      <c r="B2833" s="1">
        <f>IFERROR(__xludf.DUMMYFUNCTION("""COMPUTED_VALUE"""),46485.75916)</f>
        <v>46485.75916</v>
      </c>
    </row>
    <row r="2834">
      <c r="A2834" s="3">
        <f>IFERROR(__xludf.DUMMYFUNCTION("""COMPUTED_VALUE"""),43476.99861111111)</f>
        <v>43476.99861</v>
      </c>
      <c r="B2834" s="1">
        <f>IFERROR(__xludf.DUMMYFUNCTION("""COMPUTED_VALUE"""),46639.61457)</f>
        <v>46639.61457</v>
      </c>
    </row>
    <row r="2835">
      <c r="A2835" s="3">
        <f>IFERROR(__xludf.DUMMYFUNCTION("""COMPUTED_VALUE"""),43477.99861111111)</f>
        <v>43477.99861</v>
      </c>
      <c r="B2835" s="1">
        <f>IFERROR(__xludf.DUMMYFUNCTION("""COMPUTED_VALUE"""),46498.83949)</f>
        <v>46498.83949</v>
      </c>
    </row>
    <row r="2836">
      <c r="A2836" s="3">
        <f>IFERROR(__xludf.DUMMYFUNCTION("""COMPUTED_VALUE"""),43478.99861111111)</f>
        <v>43478.99861</v>
      </c>
      <c r="B2836" s="1">
        <f>IFERROR(__xludf.DUMMYFUNCTION("""COMPUTED_VALUE"""),46498.83949)</f>
        <v>46498.83949</v>
      </c>
    </row>
    <row r="2837">
      <c r="A2837" s="3">
        <f>IFERROR(__xludf.DUMMYFUNCTION("""COMPUTED_VALUE"""),43479.99861111111)</f>
        <v>43479.99861</v>
      </c>
      <c r="B2837" s="1">
        <f>IFERROR(__xludf.DUMMYFUNCTION("""COMPUTED_VALUE"""),46675.47472)</f>
        <v>46675.47472</v>
      </c>
    </row>
    <row r="2838">
      <c r="A2838" s="3">
        <f>IFERROR(__xludf.DUMMYFUNCTION("""COMPUTED_VALUE"""),43480.99861111111)</f>
        <v>43480.99861</v>
      </c>
      <c r="B2838" s="1">
        <f>IFERROR(__xludf.DUMMYFUNCTION("""COMPUTED_VALUE"""),46651.00833)</f>
        <v>46651.00833</v>
      </c>
    </row>
    <row r="2839">
      <c r="A2839" s="3">
        <f>IFERROR(__xludf.DUMMYFUNCTION("""COMPUTED_VALUE"""),43481.99861111111)</f>
        <v>43481.99861</v>
      </c>
      <c r="B2839" s="1">
        <f>IFERROR(__xludf.DUMMYFUNCTION("""COMPUTED_VALUE"""),46751.52034)</f>
        <v>46751.52034</v>
      </c>
    </row>
    <row r="2840">
      <c r="A2840" s="3">
        <f>IFERROR(__xludf.DUMMYFUNCTION("""COMPUTED_VALUE"""),43482.99861111111)</f>
        <v>43482.99861</v>
      </c>
      <c r="B2840" s="1">
        <f>IFERROR(__xludf.DUMMYFUNCTION("""COMPUTED_VALUE"""),46860.62926)</f>
        <v>46860.62926</v>
      </c>
    </row>
    <row r="2841">
      <c r="A2841" s="3">
        <f>IFERROR(__xludf.DUMMYFUNCTION("""COMPUTED_VALUE"""),43483.99861111111)</f>
        <v>43483.99861</v>
      </c>
      <c r="B2841" s="1">
        <f>IFERROR(__xludf.DUMMYFUNCTION("""COMPUTED_VALUE"""),46920.53201)</f>
        <v>46920.53201</v>
      </c>
    </row>
    <row r="2842">
      <c r="A2842" s="3">
        <f>IFERROR(__xludf.DUMMYFUNCTION("""COMPUTED_VALUE"""),43485.99861111111)</f>
        <v>43485.99861</v>
      </c>
      <c r="B2842" s="1">
        <f>IFERROR(__xludf.DUMMYFUNCTION("""COMPUTED_VALUE"""),46712.81692)</f>
        <v>46712.81692</v>
      </c>
    </row>
    <row r="2843">
      <c r="A2843" s="3">
        <f>IFERROR(__xludf.DUMMYFUNCTION("""COMPUTED_VALUE"""),43486.99861111111)</f>
        <v>43486.99861</v>
      </c>
      <c r="B2843" s="1">
        <f>IFERROR(__xludf.DUMMYFUNCTION("""COMPUTED_VALUE"""),47263.04573)</f>
        <v>47263.04573</v>
      </c>
    </row>
    <row r="2844">
      <c r="A2844" s="3">
        <f>IFERROR(__xludf.DUMMYFUNCTION("""COMPUTED_VALUE"""),43487.99861111111)</f>
        <v>43487.99861</v>
      </c>
      <c r="B2844" s="1">
        <f>IFERROR(__xludf.DUMMYFUNCTION("""COMPUTED_VALUE"""),46976.35084)</f>
        <v>46976.35084</v>
      </c>
    </row>
    <row r="2845">
      <c r="A2845" s="3">
        <f>IFERROR(__xludf.DUMMYFUNCTION("""COMPUTED_VALUE"""),43488.99861111111)</f>
        <v>43488.99861</v>
      </c>
      <c r="B2845" s="1">
        <f>IFERROR(__xludf.DUMMYFUNCTION("""COMPUTED_VALUE"""),46644.3204)</f>
        <v>46644.3204</v>
      </c>
    </row>
    <row r="2846">
      <c r="A2846" s="3">
        <f>IFERROR(__xludf.DUMMYFUNCTION("""COMPUTED_VALUE"""),43489.99861111111)</f>
        <v>43489.99861</v>
      </c>
      <c r="B2846" s="1">
        <f>IFERROR(__xludf.DUMMYFUNCTION("""COMPUTED_VALUE"""),46839.19438)</f>
        <v>46839.19438</v>
      </c>
    </row>
    <row r="2847">
      <c r="A2847" s="3">
        <f>IFERROR(__xludf.DUMMYFUNCTION("""COMPUTED_VALUE"""),43490.99861111111)</f>
        <v>43490.99861</v>
      </c>
      <c r="B2847" s="1">
        <f>IFERROR(__xludf.DUMMYFUNCTION("""COMPUTED_VALUE"""),46390.17102)</f>
        <v>46390.17102</v>
      </c>
    </row>
    <row r="2848">
      <c r="A2848" s="3">
        <f>IFERROR(__xludf.DUMMYFUNCTION("""COMPUTED_VALUE"""),43491.99861111111)</f>
        <v>43491.99861</v>
      </c>
      <c r="B2848" s="1">
        <f>IFERROR(__xludf.DUMMYFUNCTION("""COMPUTED_VALUE"""),46447.43531)</f>
        <v>46447.43531</v>
      </c>
    </row>
    <row r="2849">
      <c r="A2849" s="3">
        <f>IFERROR(__xludf.DUMMYFUNCTION("""COMPUTED_VALUE"""),43492.99861111111)</f>
        <v>43492.99861</v>
      </c>
      <c r="B2849" s="1">
        <f>IFERROR(__xludf.DUMMYFUNCTION("""COMPUTED_VALUE"""),46488.11819)</f>
        <v>46488.11819</v>
      </c>
    </row>
    <row r="2850">
      <c r="A2850" s="3">
        <f>IFERROR(__xludf.DUMMYFUNCTION("""COMPUTED_VALUE"""),43493.99861111111)</f>
        <v>43493.99861</v>
      </c>
      <c r="B2850" s="1">
        <f>IFERROR(__xludf.DUMMYFUNCTION("""COMPUTED_VALUE"""),46432.45399)</f>
        <v>46432.45399</v>
      </c>
    </row>
    <row r="2851">
      <c r="A2851" s="3">
        <f>IFERROR(__xludf.DUMMYFUNCTION("""COMPUTED_VALUE"""),43494.99861111111)</f>
        <v>43494.99861</v>
      </c>
      <c r="B2851" s="1">
        <f>IFERROR(__xludf.DUMMYFUNCTION("""COMPUTED_VALUE"""),46502.5508)</f>
        <v>46502.5508</v>
      </c>
    </row>
    <row r="2852">
      <c r="A2852" s="3">
        <f>IFERROR(__xludf.DUMMYFUNCTION("""COMPUTED_VALUE"""),43495.99861111111)</f>
        <v>43495.99861</v>
      </c>
      <c r="B2852" s="1">
        <f>IFERROR(__xludf.DUMMYFUNCTION("""COMPUTED_VALUE"""),46367.08081)</f>
        <v>46367.08081</v>
      </c>
    </row>
    <row r="2853">
      <c r="A2853" s="3">
        <f>IFERROR(__xludf.DUMMYFUNCTION("""COMPUTED_VALUE"""),43496.99861111111)</f>
        <v>43496.99861</v>
      </c>
      <c r="B2853" s="1">
        <f>IFERROR(__xludf.DUMMYFUNCTION("""COMPUTED_VALUE"""),46150.28388)</f>
        <v>46150.28388</v>
      </c>
    </row>
    <row r="2854">
      <c r="A2854" s="3">
        <f>IFERROR(__xludf.DUMMYFUNCTION("""COMPUTED_VALUE"""),43497.99861111111)</f>
        <v>43497.99861</v>
      </c>
      <c r="B2854" s="1">
        <f>IFERROR(__xludf.DUMMYFUNCTION("""COMPUTED_VALUE"""),45958.42713)</f>
        <v>45958.42713</v>
      </c>
    </row>
    <row r="2855">
      <c r="A2855" s="3">
        <f>IFERROR(__xludf.DUMMYFUNCTION("""COMPUTED_VALUE"""),43499.99861111111)</f>
        <v>43499.99861</v>
      </c>
      <c r="B2855" s="1">
        <f>IFERROR(__xludf.DUMMYFUNCTION("""COMPUTED_VALUE"""),45968.32485)</f>
        <v>45968.32485</v>
      </c>
    </row>
    <row r="2856">
      <c r="A2856" s="3">
        <f>IFERROR(__xludf.DUMMYFUNCTION("""COMPUTED_VALUE"""),43500.99861111111)</f>
        <v>43500.99861</v>
      </c>
      <c r="B2856" s="1">
        <f>IFERROR(__xludf.DUMMYFUNCTION("""COMPUTED_VALUE"""),46114.57506)</f>
        <v>46114.57506</v>
      </c>
    </row>
    <row r="2857">
      <c r="A2857" s="3">
        <f>IFERROR(__xludf.DUMMYFUNCTION("""COMPUTED_VALUE"""),43501.99861111111)</f>
        <v>43501.99861</v>
      </c>
      <c r="B2857" s="1">
        <f>IFERROR(__xludf.DUMMYFUNCTION("""COMPUTED_VALUE"""),46094.48877)</f>
        <v>46094.48877</v>
      </c>
    </row>
    <row r="2858">
      <c r="A2858" s="3">
        <f>IFERROR(__xludf.DUMMYFUNCTION("""COMPUTED_VALUE"""),43502.99861111111)</f>
        <v>43502.99861</v>
      </c>
      <c r="B2858" s="1">
        <f>IFERROR(__xludf.DUMMYFUNCTION("""COMPUTED_VALUE"""),45940.76212)</f>
        <v>45940.76212</v>
      </c>
    </row>
    <row r="2859">
      <c r="A2859" s="3">
        <f>IFERROR(__xludf.DUMMYFUNCTION("""COMPUTED_VALUE"""),43503.99861111111)</f>
        <v>43503.99861</v>
      </c>
      <c r="B2859" s="1">
        <f>IFERROR(__xludf.DUMMYFUNCTION("""COMPUTED_VALUE"""),46118.27381)</f>
        <v>46118.27381</v>
      </c>
    </row>
    <row r="2860">
      <c r="A2860" s="3">
        <f>IFERROR(__xludf.DUMMYFUNCTION("""COMPUTED_VALUE"""),43504.99861111111)</f>
        <v>43504.99861</v>
      </c>
      <c r="B2860" s="1">
        <f>IFERROR(__xludf.DUMMYFUNCTION("""COMPUTED_VALUE"""),46229.64118)</f>
        <v>46229.64118</v>
      </c>
    </row>
    <row r="2861">
      <c r="A2861" s="3">
        <f>IFERROR(__xludf.DUMMYFUNCTION("""COMPUTED_VALUE"""),43505.99861111111)</f>
        <v>43505.99861</v>
      </c>
      <c r="B2861" s="1">
        <f>IFERROR(__xludf.DUMMYFUNCTION("""COMPUTED_VALUE"""),46279.24176)</f>
        <v>46279.24176</v>
      </c>
    </row>
    <row r="2862">
      <c r="A2862" s="3">
        <f>IFERROR(__xludf.DUMMYFUNCTION("""COMPUTED_VALUE"""),43506.99861111111)</f>
        <v>43506.99861</v>
      </c>
      <c r="B2862" s="1">
        <f>IFERROR(__xludf.DUMMYFUNCTION("""COMPUTED_VALUE"""),46034.09815)</f>
        <v>46034.09815</v>
      </c>
    </row>
    <row r="2863">
      <c r="A2863" s="3">
        <f>IFERROR(__xludf.DUMMYFUNCTION("""COMPUTED_VALUE"""),43507.99861111111)</f>
        <v>43507.99861</v>
      </c>
      <c r="B2863" s="1">
        <f>IFERROR(__xludf.DUMMYFUNCTION("""COMPUTED_VALUE"""),46367.08081)</f>
        <v>46367.08081</v>
      </c>
    </row>
    <row r="2864">
      <c r="A2864" s="3">
        <f>IFERROR(__xludf.DUMMYFUNCTION("""COMPUTED_VALUE"""),43508.99861111111)</f>
        <v>43508.99861</v>
      </c>
      <c r="B2864" s="1">
        <f>IFERROR(__xludf.DUMMYFUNCTION("""COMPUTED_VALUE"""),46300.00665)</f>
        <v>46300.00665</v>
      </c>
    </row>
    <row r="2865">
      <c r="A2865" s="3">
        <f>IFERROR(__xludf.DUMMYFUNCTION("""COMPUTED_VALUE"""),43509.99861111111)</f>
        <v>43509.99861</v>
      </c>
      <c r="B2865" s="1">
        <f>IFERROR(__xludf.DUMMYFUNCTION("""COMPUTED_VALUE"""),46656.76681)</f>
        <v>46656.76681</v>
      </c>
    </row>
    <row r="2866">
      <c r="A2866" s="3">
        <f>IFERROR(__xludf.DUMMYFUNCTION("""COMPUTED_VALUE"""),43510.99861111111)</f>
        <v>43510.99861</v>
      </c>
      <c r="B2866" s="1">
        <f>IFERROR(__xludf.DUMMYFUNCTION("""COMPUTED_VALUE"""),46432.56639)</f>
        <v>46432.56639</v>
      </c>
    </row>
    <row r="2867">
      <c r="A2867" s="3">
        <f>IFERROR(__xludf.DUMMYFUNCTION("""COMPUTED_VALUE"""),43511.99861111111)</f>
        <v>43511.99861</v>
      </c>
      <c r="B2867" s="1">
        <f>IFERROR(__xludf.DUMMYFUNCTION("""COMPUTED_VALUE"""),46441.22373)</f>
        <v>46441.22373</v>
      </c>
    </row>
    <row r="2868">
      <c r="A2868" s="3">
        <f>IFERROR(__xludf.DUMMYFUNCTION("""COMPUTED_VALUE"""),43512.99861111111)</f>
        <v>43512.99861</v>
      </c>
      <c r="B2868" s="1">
        <f>IFERROR(__xludf.DUMMYFUNCTION("""COMPUTED_VALUE"""),46545.93232)</f>
        <v>46545.93232</v>
      </c>
    </row>
    <row r="2869">
      <c r="A2869" s="3">
        <f>IFERROR(__xludf.DUMMYFUNCTION("""COMPUTED_VALUE"""),43513.99861111111)</f>
        <v>43513.99861</v>
      </c>
      <c r="B2869" s="1">
        <f>IFERROR(__xludf.DUMMYFUNCTION("""COMPUTED_VALUE"""),46545.93232)</f>
        <v>46545.93232</v>
      </c>
    </row>
    <row r="2870">
      <c r="A2870" s="3">
        <f>IFERROR(__xludf.DUMMYFUNCTION("""COMPUTED_VALUE"""),43514.99861111111)</f>
        <v>43514.99861</v>
      </c>
      <c r="B2870" s="1">
        <f>IFERROR(__xludf.DUMMYFUNCTION("""COMPUTED_VALUE"""),46778.16776)</f>
        <v>46778.16776</v>
      </c>
    </row>
    <row r="2871">
      <c r="A2871" s="3">
        <f>IFERROR(__xludf.DUMMYFUNCTION("""COMPUTED_VALUE"""),43515.99861111111)</f>
        <v>43515.99861</v>
      </c>
      <c r="B2871" s="1">
        <f>IFERROR(__xludf.DUMMYFUNCTION("""COMPUTED_VALUE"""),46477.07677)</f>
        <v>46477.07677</v>
      </c>
    </row>
    <row r="2872">
      <c r="A2872" s="3">
        <f>IFERROR(__xludf.DUMMYFUNCTION("""COMPUTED_VALUE"""),43516.99861111111)</f>
        <v>43516.99861</v>
      </c>
      <c r="B2872" s="1">
        <f>IFERROR(__xludf.DUMMYFUNCTION("""COMPUTED_VALUE"""),46267.71314)</f>
        <v>46267.71314</v>
      </c>
    </row>
    <row r="2873">
      <c r="A2873" s="3">
        <f>IFERROR(__xludf.DUMMYFUNCTION("""COMPUTED_VALUE"""),43517.99861111111)</f>
        <v>43517.99861</v>
      </c>
      <c r="B2873" s="1">
        <f>IFERROR(__xludf.DUMMYFUNCTION("""COMPUTED_VALUE"""),46579.1266)</f>
        <v>46579.1266</v>
      </c>
    </row>
    <row r="2874">
      <c r="A2874" s="3">
        <f>IFERROR(__xludf.DUMMYFUNCTION("""COMPUTED_VALUE"""),43518.99861111111)</f>
        <v>43518.99861</v>
      </c>
      <c r="B2874" s="1">
        <f>IFERROR(__xludf.DUMMYFUNCTION("""COMPUTED_VALUE"""),46298.96292)</f>
        <v>46298.96292</v>
      </c>
    </row>
    <row r="2875">
      <c r="A2875" s="3">
        <f>IFERROR(__xludf.DUMMYFUNCTION("""COMPUTED_VALUE"""),43519.99861111111)</f>
        <v>43519.99861</v>
      </c>
      <c r="B2875" s="1">
        <f>IFERROR(__xludf.DUMMYFUNCTION("""COMPUTED_VALUE"""),46235.19689)</f>
        <v>46235.19689</v>
      </c>
    </row>
    <row r="2876">
      <c r="A2876" s="3">
        <f>IFERROR(__xludf.DUMMYFUNCTION("""COMPUTED_VALUE"""),43520.99861111111)</f>
        <v>43520.99861</v>
      </c>
      <c r="B2876" s="1">
        <f>IFERROR(__xludf.DUMMYFUNCTION("""COMPUTED_VALUE"""),46349.99154)</f>
        <v>46349.99154</v>
      </c>
    </row>
    <row r="2877">
      <c r="A2877" s="3">
        <f>IFERROR(__xludf.DUMMYFUNCTION("""COMPUTED_VALUE"""),43521.99861111111)</f>
        <v>43521.99861</v>
      </c>
      <c r="B2877" s="1">
        <f>IFERROR(__xludf.DUMMYFUNCTION("""COMPUTED_VALUE"""),46219.55685)</f>
        <v>46219.55685</v>
      </c>
    </row>
    <row r="2878">
      <c r="A2878" s="3">
        <f>IFERROR(__xludf.DUMMYFUNCTION("""COMPUTED_VALUE"""),43522.99861111111)</f>
        <v>43522.99861</v>
      </c>
      <c r="B2878" s="1">
        <f>IFERROR(__xludf.DUMMYFUNCTION("""COMPUTED_VALUE"""),46051.3178)</f>
        <v>46051.3178</v>
      </c>
    </row>
    <row r="2879">
      <c r="A2879" s="3">
        <f>IFERROR(__xludf.DUMMYFUNCTION("""COMPUTED_VALUE"""),43523.99861111111)</f>
        <v>43523.99861</v>
      </c>
      <c r="B2879" s="1">
        <f>IFERROR(__xludf.DUMMYFUNCTION("""COMPUTED_VALUE"""),46232.75207)</f>
        <v>46232.75207</v>
      </c>
    </row>
    <row r="2880">
      <c r="A2880" s="3">
        <f>IFERROR(__xludf.DUMMYFUNCTION("""COMPUTED_VALUE"""),43524.99861111111)</f>
        <v>43524.99861</v>
      </c>
      <c r="B2880" s="1">
        <f>IFERROR(__xludf.DUMMYFUNCTION("""COMPUTED_VALUE"""),46875.81274)</f>
        <v>46875.81274</v>
      </c>
    </row>
    <row r="2881">
      <c r="A2881" s="3">
        <f>IFERROR(__xludf.DUMMYFUNCTION("""COMPUTED_VALUE"""),43525.99861111111)</f>
        <v>43525.99861</v>
      </c>
      <c r="B2881" s="1">
        <f>IFERROR(__xludf.DUMMYFUNCTION("""COMPUTED_VALUE"""),46738.66116)</f>
        <v>46738.66116</v>
      </c>
    </row>
    <row r="2882">
      <c r="A2882" s="3">
        <f>IFERROR(__xludf.DUMMYFUNCTION("""COMPUTED_VALUE"""),43526.99861111111)</f>
        <v>43526.99861</v>
      </c>
      <c r="B2882" s="1">
        <f>IFERROR(__xludf.DUMMYFUNCTION("""COMPUTED_VALUE"""),46522.66777)</f>
        <v>46522.66777</v>
      </c>
    </row>
    <row r="2883">
      <c r="A2883" s="3">
        <f>IFERROR(__xludf.DUMMYFUNCTION("""COMPUTED_VALUE"""),43527.99861111111)</f>
        <v>43527.99861</v>
      </c>
      <c r="B2883" s="1">
        <f>IFERROR(__xludf.DUMMYFUNCTION("""COMPUTED_VALUE"""),46469.13481)</f>
        <v>46469.13481</v>
      </c>
    </row>
    <row r="2884">
      <c r="A2884" s="3">
        <f>IFERROR(__xludf.DUMMYFUNCTION("""COMPUTED_VALUE"""),43528.99861111111)</f>
        <v>43528.99861</v>
      </c>
      <c r="B2884" s="1">
        <f>IFERROR(__xludf.DUMMYFUNCTION("""COMPUTED_VALUE"""),46819.52812)</f>
        <v>46819.52812</v>
      </c>
    </row>
    <row r="2885">
      <c r="A2885" s="3">
        <f>IFERROR(__xludf.DUMMYFUNCTION("""COMPUTED_VALUE"""),43529.99861111111)</f>
        <v>43529.99861</v>
      </c>
      <c r="B2885" s="1">
        <f>IFERROR(__xludf.DUMMYFUNCTION("""COMPUTED_VALUE"""),46645.44702)</f>
        <v>46645.44702</v>
      </c>
    </row>
    <row r="2886">
      <c r="A2886" s="3">
        <f>IFERROR(__xludf.DUMMYFUNCTION("""COMPUTED_VALUE"""),43530.99861111111)</f>
        <v>43530.99861</v>
      </c>
      <c r="B2886" s="1">
        <f>IFERROR(__xludf.DUMMYFUNCTION("""COMPUTED_VALUE"""),46854.22305)</f>
        <v>46854.22305</v>
      </c>
    </row>
    <row r="2887">
      <c r="A2887" s="3">
        <f>IFERROR(__xludf.DUMMYFUNCTION("""COMPUTED_VALUE"""),43531.99861111111)</f>
        <v>43531.99861</v>
      </c>
      <c r="B2887" s="1">
        <f>IFERROR(__xludf.DUMMYFUNCTION("""COMPUTED_VALUE"""),46856.45488)</f>
        <v>46856.45488</v>
      </c>
    </row>
    <row r="2888">
      <c r="A2888" s="3">
        <f>IFERROR(__xludf.DUMMYFUNCTION("""COMPUTED_VALUE"""),43532.99861111111)</f>
        <v>43532.99861</v>
      </c>
      <c r="B2888" s="1">
        <f>IFERROR(__xludf.DUMMYFUNCTION("""COMPUTED_VALUE"""),47049.1335)</f>
        <v>47049.1335</v>
      </c>
    </row>
    <row r="2889">
      <c r="A2889" s="3">
        <f>IFERROR(__xludf.DUMMYFUNCTION("""COMPUTED_VALUE"""),43533.99861111111)</f>
        <v>43533.99861</v>
      </c>
      <c r="B2889" s="1">
        <f>IFERROR(__xludf.DUMMYFUNCTION("""COMPUTED_VALUE"""),47059.98048)</f>
        <v>47059.98048</v>
      </c>
    </row>
    <row r="2890">
      <c r="A2890" s="3">
        <f>IFERROR(__xludf.DUMMYFUNCTION("""COMPUTED_VALUE"""),43534.99861111111)</f>
        <v>43534.99861</v>
      </c>
      <c r="B2890" s="1">
        <f>IFERROR(__xludf.DUMMYFUNCTION("""COMPUTED_VALUE"""),47074.176)</f>
        <v>47074.176</v>
      </c>
    </row>
    <row r="2891">
      <c r="A2891" s="3">
        <f>IFERROR(__xludf.DUMMYFUNCTION("""COMPUTED_VALUE"""),43535.99861111111)</f>
        <v>43535.99861</v>
      </c>
      <c r="B2891" s="1">
        <f>IFERROR(__xludf.DUMMYFUNCTION("""COMPUTED_VALUE"""),47014.30006)</f>
        <v>47014.30006</v>
      </c>
    </row>
    <row r="2892">
      <c r="A2892" s="3">
        <f>IFERROR(__xludf.DUMMYFUNCTION("""COMPUTED_VALUE"""),43536.99861111111)</f>
        <v>43536.99861</v>
      </c>
      <c r="B2892" s="1">
        <f>IFERROR(__xludf.DUMMYFUNCTION("""COMPUTED_VALUE"""),46928.997)</f>
        <v>46928.997</v>
      </c>
    </row>
    <row r="2893">
      <c r="A2893" s="3">
        <f>IFERROR(__xludf.DUMMYFUNCTION("""COMPUTED_VALUE"""),43537.99861111111)</f>
        <v>43537.99861</v>
      </c>
      <c r="B2893" s="1">
        <f>IFERROR(__xludf.DUMMYFUNCTION("""COMPUTED_VALUE"""),46925.43075)</f>
        <v>46925.43075</v>
      </c>
    </row>
    <row r="2894">
      <c r="A2894" s="3">
        <f>IFERROR(__xludf.DUMMYFUNCTION("""COMPUTED_VALUE"""),43538.99861111111)</f>
        <v>43538.99861</v>
      </c>
      <c r="B2894" s="1">
        <f>IFERROR(__xludf.DUMMYFUNCTION("""COMPUTED_VALUE"""),47022.2571)</f>
        <v>47022.2571</v>
      </c>
    </row>
    <row r="2895">
      <c r="A2895" s="3">
        <f>IFERROR(__xludf.DUMMYFUNCTION("""COMPUTED_VALUE"""),43539.99861111111)</f>
        <v>43539.99861</v>
      </c>
      <c r="B2895" s="1">
        <f>IFERROR(__xludf.DUMMYFUNCTION("""COMPUTED_VALUE"""),46977.11525)</f>
        <v>46977.11525</v>
      </c>
    </row>
    <row r="2896">
      <c r="A2896" s="3">
        <f>IFERROR(__xludf.DUMMYFUNCTION("""COMPUTED_VALUE"""),43540.99861111111)</f>
        <v>43540.99861</v>
      </c>
      <c r="B2896" s="1">
        <f>IFERROR(__xludf.DUMMYFUNCTION("""COMPUTED_VALUE"""),46931.02375)</f>
        <v>46931.02375</v>
      </c>
    </row>
    <row r="2897">
      <c r="A2897" s="3">
        <f>IFERROR(__xludf.DUMMYFUNCTION("""COMPUTED_VALUE"""),43541.99861111111)</f>
        <v>43541.99861</v>
      </c>
      <c r="B2897" s="1">
        <f>IFERROR(__xludf.DUMMYFUNCTION("""COMPUTED_VALUE"""),46910.76965)</f>
        <v>46910.76965</v>
      </c>
    </row>
    <row r="2898">
      <c r="A2898" s="3">
        <f>IFERROR(__xludf.DUMMYFUNCTION("""COMPUTED_VALUE"""),43542.99861111111)</f>
        <v>43542.99861</v>
      </c>
      <c r="B2898" s="1">
        <f>IFERROR(__xludf.DUMMYFUNCTION("""COMPUTED_VALUE"""),46909.5329)</f>
        <v>46909.5329</v>
      </c>
    </row>
    <row r="2899">
      <c r="A2899" s="3">
        <f>IFERROR(__xludf.DUMMYFUNCTION("""COMPUTED_VALUE"""),43543.99861111111)</f>
        <v>43543.99861</v>
      </c>
      <c r="B2899" s="1">
        <f>IFERROR(__xludf.DUMMYFUNCTION("""COMPUTED_VALUE"""),46880.735)</f>
        <v>46880.735</v>
      </c>
    </row>
    <row r="2900">
      <c r="A2900" s="3">
        <f>IFERROR(__xludf.DUMMYFUNCTION("""COMPUTED_VALUE"""),43544.99861111111)</f>
        <v>43544.99861</v>
      </c>
      <c r="B2900" s="1">
        <f>IFERROR(__xludf.DUMMYFUNCTION("""COMPUTED_VALUE"""),46316.0094)</f>
        <v>46316.0094</v>
      </c>
    </row>
    <row r="2901">
      <c r="A2901" s="3">
        <f>IFERROR(__xludf.DUMMYFUNCTION("""COMPUTED_VALUE"""),43545.99861111111)</f>
        <v>43545.99861</v>
      </c>
      <c r="B2901" s="1">
        <f>IFERROR(__xludf.DUMMYFUNCTION("""COMPUTED_VALUE"""),46616.045)</f>
        <v>46616.045</v>
      </c>
    </row>
    <row r="2902">
      <c r="A2902" s="3">
        <f>IFERROR(__xludf.DUMMYFUNCTION("""COMPUTED_VALUE"""),43546.99861111111)</f>
        <v>43546.99861</v>
      </c>
      <c r="B2902" s="1">
        <f>IFERROR(__xludf.DUMMYFUNCTION("""COMPUTED_VALUE"""),47118.88975)</f>
        <v>47118.88975</v>
      </c>
    </row>
    <row r="2903">
      <c r="A2903" s="3">
        <f>IFERROR(__xludf.DUMMYFUNCTION("""COMPUTED_VALUE"""),43547.99861111111)</f>
        <v>43547.99861</v>
      </c>
      <c r="B2903" s="1">
        <f>IFERROR(__xludf.DUMMYFUNCTION("""COMPUTED_VALUE"""),47283.426)</f>
        <v>47283.426</v>
      </c>
    </row>
    <row r="2904">
      <c r="A2904" s="3">
        <f>IFERROR(__xludf.DUMMYFUNCTION("""COMPUTED_VALUE"""),43548.99861111111)</f>
        <v>43548.99861</v>
      </c>
      <c r="B2904" s="1">
        <f>IFERROR(__xludf.DUMMYFUNCTION("""COMPUTED_VALUE"""),46685.99855)</f>
        <v>46685.99855</v>
      </c>
    </row>
    <row r="2905">
      <c r="A2905" s="3">
        <f>IFERROR(__xludf.DUMMYFUNCTION("""COMPUTED_VALUE"""),43549.99861111111)</f>
        <v>43549.99861</v>
      </c>
      <c r="B2905" s="1">
        <f>IFERROR(__xludf.DUMMYFUNCTION("""COMPUTED_VALUE"""),46738.698)</f>
        <v>46738.698</v>
      </c>
    </row>
    <row r="2906">
      <c r="A2906" s="3">
        <f>IFERROR(__xludf.DUMMYFUNCTION("""COMPUTED_VALUE"""),43550.99861111111)</f>
        <v>43550.99861</v>
      </c>
      <c r="B2906" s="1">
        <f>IFERROR(__xludf.DUMMYFUNCTION("""COMPUTED_VALUE"""),46686.6075)</f>
        <v>46686.6075</v>
      </c>
    </row>
    <row r="2907">
      <c r="A2907" s="3">
        <f>IFERROR(__xludf.DUMMYFUNCTION("""COMPUTED_VALUE"""),43551.99861111111)</f>
        <v>43551.99861</v>
      </c>
      <c r="B2907" s="1">
        <f>IFERROR(__xludf.DUMMYFUNCTION("""COMPUTED_VALUE"""),47212.2175)</f>
        <v>47212.2175</v>
      </c>
    </row>
    <row r="2908">
      <c r="A2908" s="3">
        <f>IFERROR(__xludf.DUMMYFUNCTION("""COMPUTED_VALUE"""),43552.99861111111)</f>
        <v>43552.99861</v>
      </c>
      <c r="B2908" s="1">
        <f>IFERROR(__xludf.DUMMYFUNCTION("""COMPUTED_VALUE"""),46848.3469)</f>
        <v>46848.3469</v>
      </c>
    </row>
    <row r="2909">
      <c r="A2909" s="3">
        <f>IFERROR(__xludf.DUMMYFUNCTION("""COMPUTED_VALUE"""),43553.99861111111)</f>
        <v>43553.99861</v>
      </c>
      <c r="B2909" s="1">
        <f>IFERROR(__xludf.DUMMYFUNCTION("""COMPUTED_VALUE"""),47062.5753)</f>
        <v>47062.5753</v>
      </c>
    </row>
    <row r="2910">
      <c r="A2910" s="3">
        <f>IFERROR(__xludf.DUMMYFUNCTION("""COMPUTED_VALUE"""),43554.99861111111)</f>
        <v>43554.99861</v>
      </c>
      <c r="B2910" s="1">
        <f>IFERROR(__xludf.DUMMYFUNCTION("""COMPUTED_VALUE"""),46822.544)</f>
        <v>46822.544</v>
      </c>
    </row>
    <row r="2911">
      <c r="A2911" s="3">
        <f>IFERROR(__xludf.DUMMYFUNCTION("""COMPUTED_VALUE"""),43555.99861111111)</f>
        <v>43555.99861</v>
      </c>
      <c r="B2911" s="1">
        <f>IFERROR(__xludf.DUMMYFUNCTION("""COMPUTED_VALUE"""),46822.544)</f>
        <v>46822.544</v>
      </c>
    </row>
    <row r="2912">
      <c r="A2912" s="3">
        <f>IFERROR(__xludf.DUMMYFUNCTION("""COMPUTED_VALUE"""),43556.99861111111)</f>
        <v>43556.99861</v>
      </c>
      <c r="B2912" s="1">
        <f>IFERROR(__xludf.DUMMYFUNCTION("""COMPUTED_VALUE"""),46816.6298)</f>
        <v>46816.6298</v>
      </c>
    </row>
    <row r="2913">
      <c r="A2913" s="3">
        <f>IFERROR(__xludf.DUMMYFUNCTION("""COMPUTED_VALUE"""),43557.99861111111)</f>
        <v>43557.99861</v>
      </c>
      <c r="B2913" s="1">
        <f>IFERROR(__xludf.DUMMYFUNCTION("""COMPUTED_VALUE"""),46685.682)</f>
        <v>46685.682</v>
      </c>
    </row>
    <row r="2914">
      <c r="A2914" s="3">
        <f>IFERROR(__xludf.DUMMYFUNCTION("""COMPUTED_VALUE"""),43558.99861111111)</f>
        <v>43558.99861</v>
      </c>
      <c r="B2914" s="1">
        <f>IFERROR(__xludf.DUMMYFUNCTION("""COMPUTED_VALUE"""),46719.81)</f>
        <v>46719.81</v>
      </c>
    </row>
    <row r="2915">
      <c r="A2915" s="3">
        <f>IFERROR(__xludf.DUMMYFUNCTION("""COMPUTED_VALUE"""),43559.99861111111)</f>
        <v>43559.99861</v>
      </c>
      <c r="B2915" s="1">
        <f>IFERROR(__xludf.DUMMYFUNCTION("""COMPUTED_VALUE"""),46489.2088)</f>
        <v>46489.2088</v>
      </c>
    </row>
    <row r="2916">
      <c r="A2916" s="3">
        <f>IFERROR(__xludf.DUMMYFUNCTION("""COMPUTED_VALUE"""),43560.99861111111)</f>
        <v>43560.99861</v>
      </c>
      <c r="B2916" s="1">
        <f>IFERROR(__xludf.DUMMYFUNCTION("""COMPUTED_VALUE"""),46346.111)</f>
        <v>46346.111</v>
      </c>
    </row>
    <row r="2917">
      <c r="A2917" s="3">
        <f>IFERROR(__xludf.DUMMYFUNCTION("""COMPUTED_VALUE"""),43561.99861111111)</f>
        <v>43561.99861</v>
      </c>
      <c r="B2917" s="1">
        <f>IFERROR(__xludf.DUMMYFUNCTION("""COMPUTED_VALUE"""),46346.111)</f>
        <v>46346.111</v>
      </c>
    </row>
    <row r="2918">
      <c r="A2918" s="3">
        <f>IFERROR(__xludf.DUMMYFUNCTION("""COMPUTED_VALUE"""),43562.99861111111)</f>
        <v>43562.99861</v>
      </c>
      <c r="B2918" s="1">
        <f>IFERROR(__xludf.DUMMYFUNCTION("""COMPUTED_VALUE"""),46349.30929)</f>
        <v>46349.30929</v>
      </c>
    </row>
    <row r="2919">
      <c r="A2919" s="3">
        <f>IFERROR(__xludf.DUMMYFUNCTION("""COMPUTED_VALUE"""),43563.99861111111)</f>
        <v>43563.99861</v>
      </c>
      <c r="B2919" s="1">
        <f>IFERROR(__xludf.DUMMYFUNCTION("""COMPUTED_VALUE"""),46603.5152)</f>
        <v>46603.5152</v>
      </c>
    </row>
    <row r="2920">
      <c r="A2920" s="3">
        <f>IFERROR(__xludf.DUMMYFUNCTION("""COMPUTED_VALUE"""),43564.99861111111)</f>
        <v>43564.99861</v>
      </c>
      <c r="B2920" s="1">
        <f>IFERROR(__xludf.DUMMYFUNCTION("""COMPUTED_VALUE"""),46459.755)</f>
        <v>46459.755</v>
      </c>
    </row>
    <row r="2921">
      <c r="A2921" s="3">
        <f>IFERROR(__xludf.DUMMYFUNCTION("""COMPUTED_VALUE"""),43565.99861111111)</f>
        <v>43565.99861</v>
      </c>
      <c r="B2921" s="1">
        <f>IFERROR(__xludf.DUMMYFUNCTION("""COMPUTED_VALUE"""),46613.8478)</f>
        <v>46613.8478</v>
      </c>
    </row>
    <row r="2922">
      <c r="A2922" s="3">
        <f>IFERROR(__xludf.DUMMYFUNCTION("""COMPUTED_VALUE"""),43566.99861111111)</f>
        <v>43566.99861</v>
      </c>
      <c r="B2922" s="1">
        <f>IFERROR(__xludf.DUMMYFUNCTION("""COMPUTED_VALUE"""),46500.98025)</f>
        <v>46500.98025</v>
      </c>
    </row>
    <row r="2923">
      <c r="A2923" s="3">
        <f>IFERROR(__xludf.DUMMYFUNCTION("""COMPUTED_VALUE"""),43567.99861111111)</f>
        <v>43567.99861</v>
      </c>
      <c r="B2923" s="1">
        <f>IFERROR(__xludf.DUMMYFUNCTION("""COMPUTED_VALUE"""),46405.17975)</f>
        <v>46405.17975</v>
      </c>
    </row>
    <row r="2924">
      <c r="A2924" s="3">
        <f>IFERROR(__xludf.DUMMYFUNCTION("""COMPUTED_VALUE"""),43568.99861111111)</f>
        <v>43568.99861</v>
      </c>
      <c r="B2924" s="1">
        <f>IFERROR(__xludf.DUMMYFUNCTION("""COMPUTED_VALUE"""),46418.81875)</f>
        <v>46418.81875</v>
      </c>
    </row>
    <row r="2925">
      <c r="A2925" s="3">
        <f>IFERROR(__xludf.DUMMYFUNCTION("""COMPUTED_VALUE"""),43569.99861111111)</f>
        <v>43569.99861</v>
      </c>
      <c r="B2925" s="1">
        <f>IFERROR(__xludf.DUMMYFUNCTION("""COMPUTED_VALUE"""),46335.68414)</f>
        <v>46335.68414</v>
      </c>
    </row>
    <row r="2926">
      <c r="A2926" s="3">
        <f>IFERROR(__xludf.DUMMYFUNCTION("""COMPUTED_VALUE"""),43570.99861111111)</f>
        <v>43570.99861</v>
      </c>
      <c r="B2926" s="1">
        <f>IFERROR(__xludf.DUMMYFUNCTION("""COMPUTED_VALUE"""),46567.3065)</f>
        <v>46567.3065</v>
      </c>
    </row>
    <row r="2927">
      <c r="A2927" s="3">
        <f>IFERROR(__xludf.DUMMYFUNCTION("""COMPUTED_VALUE"""),43571.99861111111)</f>
        <v>43571.99861</v>
      </c>
      <c r="B2927" s="1">
        <f>IFERROR(__xludf.DUMMYFUNCTION("""COMPUTED_VALUE"""),46319.931)</f>
        <v>46319.931</v>
      </c>
    </row>
    <row r="2928">
      <c r="A2928" s="3">
        <f>IFERROR(__xludf.DUMMYFUNCTION("""COMPUTED_VALUE"""),43572.99861111111)</f>
        <v>43572.99861</v>
      </c>
      <c r="B2928" s="1">
        <f>IFERROR(__xludf.DUMMYFUNCTION("""COMPUTED_VALUE"""),46317.114)</f>
        <v>46317.114</v>
      </c>
    </row>
    <row r="2929">
      <c r="A2929" s="3">
        <f>IFERROR(__xludf.DUMMYFUNCTION("""COMPUTED_VALUE"""),43573.99861111111)</f>
        <v>43573.99861</v>
      </c>
      <c r="B2929" s="1">
        <f>IFERROR(__xludf.DUMMYFUNCTION("""COMPUTED_VALUE"""),46186.0227)</f>
        <v>46186.0227</v>
      </c>
    </row>
    <row r="2930">
      <c r="A2930" s="3">
        <f>IFERROR(__xludf.DUMMYFUNCTION("""COMPUTED_VALUE"""),43574.99861111111)</f>
        <v>43574.99861</v>
      </c>
      <c r="B2930" s="1">
        <f>IFERROR(__xludf.DUMMYFUNCTION("""COMPUTED_VALUE"""),46156.49626)</f>
        <v>46156.49626</v>
      </c>
    </row>
    <row r="2931">
      <c r="A2931" s="3">
        <f>IFERROR(__xludf.DUMMYFUNCTION("""COMPUTED_VALUE"""),43575.99861111111)</f>
        <v>43575.99861</v>
      </c>
      <c r="B2931" s="1">
        <f>IFERROR(__xludf.DUMMYFUNCTION("""COMPUTED_VALUE"""),46197.19387)</f>
        <v>46197.19387</v>
      </c>
    </row>
    <row r="2932">
      <c r="A2932" s="3">
        <f>IFERROR(__xludf.DUMMYFUNCTION("""COMPUTED_VALUE"""),43576.99861111111)</f>
        <v>43576.99861</v>
      </c>
      <c r="B2932" s="1">
        <f>IFERROR(__xludf.DUMMYFUNCTION("""COMPUTED_VALUE"""),46171.29159)</f>
        <v>46171.29159</v>
      </c>
    </row>
    <row r="2933">
      <c r="A2933" s="3">
        <f>IFERROR(__xludf.DUMMYFUNCTION("""COMPUTED_VALUE"""),43577.99861111111)</f>
        <v>43577.99861</v>
      </c>
      <c r="B2933" s="1">
        <f>IFERROR(__xludf.DUMMYFUNCTION("""COMPUTED_VALUE"""),46249.6895)</f>
        <v>46249.6895</v>
      </c>
    </row>
    <row r="2934">
      <c r="A2934" s="3">
        <f>IFERROR(__xludf.DUMMYFUNCTION("""COMPUTED_VALUE"""),43578.99861111111)</f>
        <v>43578.99861</v>
      </c>
      <c r="B2934" s="1">
        <f>IFERROR(__xludf.DUMMYFUNCTION("""COMPUTED_VALUE"""),46246.4398)</f>
        <v>46246.4398</v>
      </c>
    </row>
    <row r="2935">
      <c r="A2935" s="3">
        <f>IFERROR(__xludf.DUMMYFUNCTION("""COMPUTED_VALUE"""),43579.99861111111)</f>
        <v>43579.99861</v>
      </c>
      <c r="B2935" s="1">
        <f>IFERROR(__xludf.DUMMYFUNCTION("""COMPUTED_VALUE"""),46538.00235)</f>
        <v>46538.00235</v>
      </c>
    </row>
    <row r="2936">
      <c r="A2936" s="3">
        <f>IFERROR(__xludf.DUMMYFUNCTION("""COMPUTED_VALUE"""),43580.99861111111)</f>
        <v>43580.99861</v>
      </c>
      <c r="B2936" s="1">
        <f>IFERROR(__xludf.DUMMYFUNCTION("""COMPUTED_VALUE"""),47005.99202)</f>
        <v>47005.99202</v>
      </c>
    </row>
    <row r="2937">
      <c r="A2937" s="3">
        <f>IFERROR(__xludf.DUMMYFUNCTION("""COMPUTED_VALUE"""),43581.99861111111)</f>
        <v>43581.99861</v>
      </c>
      <c r="B2937" s="1">
        <f>IFERROR(__xludf.DUMMYFUNCTION("""COMPUTED_VALUE"""),46575.69815)</f>
        <v>46575.69815</v>
      </c>
    </row>
    <row r="2938">
      <c r="A2938" s="3">
        <f>IFERROR(__xludf.DUMMYFUNCTION("""COMPUTED_VALUE"""),43582.99861111111)</f>
        <v>43582.99861</v>
      </c>
      <c r="B2938" s="1">
        <f>IFERROR(__xludf.DUMMYFUNCTION("""COMPUTED_VALUE"""),46753.0294)</f>
        <v>46753.0294</v>
      </c>
    </row>
    <row r="2939">
      <c r="A2939" s="3">
        <f>IFERROR(__xludf.DUMMYFUNCTION("""COMPUTED_VALUE"""),43583.99861111111)</f>
        <v>43583.99861</v>
      </c>
      <c r="B2939" s="1">
        <f>IFERROR(__xludf.DUMMYFUNCTION("""COMPUTED_VALUE"""),46561.73752)</f>
        <v>46561.73752</v>
      </c>
    </row>
    <row r="2940">
      <c r="A2940" s="3">
        <f>IFERROR(__xludf.DUMMYFUNCTION("""COMPUTED_VALUE"""),43584.99861111111)</f>
        <v>43584.99861</v>
      </c>
      <c r="B2940" s="1">
        <f>IFERROR(__xludf.DUMMYFUNCTION("""COMPUTED_VALUE"""),46639.7201)</f>
        <v>46639.7201</v>
      </c>
    </row>
    <row r="2941">
      <c r="A2941" s="3">
        <f>IFERROR(__xludf.DUMMYFUNCTION("""COMPUTED_VALUE"""),43585.99861111111)</f>
        <v>43585.99861</v>
      </c>
      <c r="B2941" s="1">
        <f>IFERROR(__xludf.DUMMYFUNCTION("""COMPUTED_VALUE"""),46828.7775)</f>
        <v>46828.7775</v>
      </c>
    </row>
    <row r="2942">
      <c r="A2942" s="3">
        <f>IFERROR(__xludf.DUMMYFUNCTION("""COMPUTED_VALUE"""),43586.99861111111)</f>
        <v>43586.99861</v>
      </c>
      <c r="B2942" s="1">
        <f>IFERROR(__xludf.DUMMYFUNCTION("""COMPUTED_VALUE"""),46827.89531)</f>
        <v>46827.89531</v>
      </c>
    </row>
    <row r="2943">
      <c r="A2943" s="3">
        <f>IFERROR(__xludf.DUMMYFUNCTION("""COMPUTED_VALUE"""),43587.99861111111)</f>
        <v>43587.99861</v>
      </c>
      <c r="B2943" s="1">
        <f>IFERROR(__xludf.DUMMYFUNCTION("""COMPUTED_VALUE"""),46856.1375)</f>
        <v>46856.1375</v>
      </c>
    </row>
    <row r="2944">
      <c r="A2944" s="3">
        <f>IFERROR(__xludf.DUMMYFUNCTION("""COMPUTED_VALUE"""),43588.99861111111)</f>
        <v>43588.99861</v>
      </c>
      <c r="B2944" s="1">
        <f>IFERROR(__xludf.DUMMYFUNCTION("""COMPUTED_VALUE"""),46689.7851)</f>
        <v>46689.7851</v>
      </c>
    </row>
    <row r="2945">
      <c r="A2945" s="3">
        <f>IFERROR(__xludf.DUMMYFUNCTION("""COMPUTED_VALUE"""),43589.99861111111)</f>
        <v>43589.99861</v>
      </c>
      <c r="B2945" s="1">
        <f>IFERROR(__xludf.DUMMYFUNCTION("""COMPUTED_VALUE"""),46689.7851)</f>
        <v>46689.7851</v>
      </c>
    </row>
    <row r="2946">
      <c r="A2946" s="3">
        <f>IFERROR(__xludf.DUMMYFUNCTION("""COMPUTED_VALUE"""),43590.99861111111)</f>
        <v>43590.99861</v>
      </c>
      <c r="B2946" s="1">
        <f>IFERROR(__xludf.DUMMYFUNCTION("""COMPUTED_VALUE"""),46801.43247)</f>
        <v>46801.43247</v>
      </c>
    </row>
    <row r="2947">
      <c r="A2947" s="3">
        <f>IFERROR(__xludf.DUMMYFUNCTION("""COMPUTED_VALUE"""),43591.99861111111)</f>
        <v>43591.99861</v>
      </c>
      <c r="B2947" s="1">
        <f>IFERROR(__xludf.DUMMYFUNCTION("""COMPUTED_VALUE"""),46998.95725)</f>
        <v>46998.95725</v>
      </c>
    </row>
    <row r="2948">
      <c r="A2948" s="3">
        <f>IFERROR(__xludf.DUMMYFUNCTION("""COMPUTED_VALUE"""),43592.99861111111)</f>
        <v>43592.99861</v>
      </c>
      <c r="B2948" s="1">
        <f>IFERROR(__xludf.DUMMYFUNCTION("""COMPUTED_VALUE"""),47168.77362)</f>
        <v>47168.77362</v>
      </c>
    </row>
    <row r="2949">
      <c r="A2949" s="3">
        <f>IFERROR(__xludf.DUMMYFUNCTION("""COMPUTED_VALUE"""),43593.99861111111)</f>
        <v>43593.99861</v>
      </c>
      <c r="B2949" s="1">
        <f>IFERROR(__xludf.DUMMYFUNCTION("""COMPUTED_VALUE"""),46994.09775)</f>
        <v>46994.09775</v>
      </c>
    </row>
    <row r="2950">
      <c r="A2950" s="3">
        <f>IFERROR(__xludf.DUMMYFUNCTION("""COMPUTED_VALUE"""),43594.99861111111)</f>
        <v>43594.99861</v>
      </c>
      <c r="B2950" s="1">
        <f>IFERROR(__xludf.DUMMYFUNCTION("""COMPUTED_VALUE"""),47160.5575)</f>
        <v>47160.5575</v>
      </c>
    </row>
    <row r="2951">
      <c r="A2951" s="3">
        <f>IFERROR(__xludf.DUMMYFUNCTION("""COMPUTED_VALUE"""),43595.99861111111)</f>
        <v>43595.99861</v>
      </c>
      <c r="B2951" s="1">
        <f>IFERROR(__xludf.DUMMYFUNCTION("""COMPUTED_VALUE"""),47066.04857)</f>
        <v>47066.04857</v>
      </c>
    </row>
    <row r="2952">
      <c r="A2952" s="3">
        <f>IFERROR(__xludf.DUMMYFUNCTION("""COMPUTED_VALUE"""),43596.99861111111)</f>
        <v>43596.99861</v>
      </c>
      <c r="B2952" s="1">
        <f>IFERROR(__xludf.DUMMYFUNCTION("""COMPUTED_VALUE"""),47066.04857)</f>
        <v>47066.04857</v>
      </c>
    </row>
    <row r="2953">
      <c r="A2953" s="3">
        <f>IFERROR(__xludf.DUMMYFUNCTION("""COMPUTED_VALUE"""),43597.99861111111)</f>
        <v>43597.99861</v>
      </c>
      <c r="B2953" s="1">
        <f>IFERROR(__xludf.DUMMYFUNCTION("""COMPUTED_VALUE"""),47106.20107)</f>
        <v>47106.20107</v>
      </c>
    </row>
    <row r="2954">
      <c r="A2954" s="3">
        <f>IFERROR(__xludf.DUMMYFUNCTION("""COMPUTED_VALUE"""),43598.99861111111)</f>
        <v>43598.99861</v>
      </c>
      <c r="B2954" s="1">
        <f>IFERROR(__xludf.DUMMYFUNCTION("""COMPUTED_VALUE"""),47688.04796)</f>
        <v>47688.04796</v>
      </c>
    </row>
    <row r="2955">
      <c r="A2955" s="3">
        <f>IFERROR(__xludf.DUMMYFUNCTION("""COMPUTED_VALUE"""),43599.99861111111)</f>
        <v>43599.99861</v>
      </c>
      <c r="B2955" s="1">
        <f>IFERROR(__xludf.DUMMYFUNCTION("""COMPUTED_VALUE"""),47425.638)</f>
        <v>47425.638</v>
      </c>
    </row>
    <row r="2956">
      <c r="A2956" s="3">
        <f>IFERROR(__xludf.DUMMYFUNCTION("""COMPUTED_VALUE"""),43600.99861111111)</f>
        <v>43600.99861</v>
      </c>
      <c r="B2956" s="1">
        <f>IFERROR(__xludf.DUMMYFUNCTION("""COMPUTED_VALUE"""),47812.29395)</f>
        <v>47812.29395</v>
      </c>
    </row>
    <row r="2957">
      <c r="A2957" s="3">
        <f>IFERROR(__xludf.DUMMYFUNCTION("""COMPUTED_VALUE"""),43601.99861111111)</f>
        <v>43601.99861</v>
      </c>
      <c r="B2957" s="1">
        <f>IFERROR(__xludf.DUMMYFUNCTION("""COMPUTED_VALUE"""),47904.90787)</f>
        <v>47904.90787</v>
      </c>
    </row>
    <row r="2958">
      <c r="A2958" s="3">
        <f>IFERROR(__xludf.DUMMYFUNCTION("""COMPUTED_VALUE"""),43602.99861111111)</f>
        <v>43602.99861</v>
      </c>
      <c r="B2958" s="1">
        <f>IFERROR(__xludf.DUMMYFUNCTION("""COMPUTED_VALUE"""),47678.409)</f>
        <v>47678.409</v>
      </c>
    </row>
    <row r="2959">
      <c r="A2959" s="3">
        <f>IFERROR(__xludf.DUMMYFUNCTION("""COMPUTED_VALUE"""),43603.99861111111)</f>
        <v>43603.99861</v>
      </c>
      <c r="B2959" s="1">
        <f>IFERROR(__xludf.DUMMYFUNCTION("""COMPUTED_VALUE"""),47678.409)</f>
        <v>47678.409</v>
      </c>
    </row>
    <row r="2960">
      <c r="A2960" s="3">
        <f>IFERROR(__xludf.DUMMYFUNCTION("""COMPUTED_VALUE"""),43604.99861111111)</f>
        <v>43604.99861</v>
      </c>
      <c r="B2960" s="1">
        <f>IFERROR(__xludf.DUMMYFUNCTION("""COMPUTED_VALUE"""),47493.8265)</f>
        <v>47493.8265</v>
      </c>
    </row>
    <row r="2961">
      <c r="A2961" s="3">
        <f>IFERROR(__xludf.DUMMYFUNCTION("""COMPUTED_VALUE"""),43605.99861111111)</f>
        <v>43605.99861</v>
      </c>
      <c r="B2961" s="1">
        <f>IFERROR(__xludf.DUMMYFUNCTION("""COMPUTED_VALUE"""),47501.29825)</f>
        <v>47501.29825</v>
      </c>
    </row>
    <row r="2962">
      <c r="A2962" s="3">
        <f>IFERROR(__xludf.DUMMYFUNCTION("""COMPUTED_VALUE"""),43606.99861111111)</f>
        <v>43606.99861</v>
      </c>
      <c r="B2962" s="1">
        <f>IFERROR(__xludf.DUMMYFUNCTION("""COMPUTED_VALUE"""),47484.346)</f>
        <v>47484.346</v>
      </c>
    </row>
    <row r="2963">
      <c r="A2963" s="3">
        <f>IFERROR(__xludf.DUMMYFUNCTION("""COMPUTED_VALUE"""),43607.99861111111)</f>
        <v>43607.99861</v>
      </c>
      <c r="B2963" s="1">
        <f>IFERROR(__xludf.DUMMYFUNCTION("""COMPUTED_VALUE"""),47705.91)</f>
        <v>47705.91</v>
      </c>
    </row>
    <row r="2964">
      <c r="A2964" s="3">
        <f>IFERROR(__xludf.DUMMYFUNCTION("""COMPUTED_VALUE"""),43608.99861111111)</f>
        <v>43608.99861</v>
      </c>
      <c r="B2964" s="1">
        <f>IFERROR(__xludf.DUMMYFUNCTION("""COMPUTED_VALUE"""),47488.809)</f>
        <v>47488.809</v>
      </c>
    </row>
    <row r="2965">
      <c r="A2965" s="3">
        <f>IFERROR(__xludf.DUMMYFUNCTION("""COMPUTED_VALUE"""),43609.99861111111)</f>
        <v>43609.99861</v>
      </c>
      <c r="B2965" s="1">
        <f>IFERROR(__xludf.DUMMYFUNCTION("""COMPUTED_VALUE"""),47328.61514)</f>
        <v>47328.61514</v>
      </c>
    </row>
    <row r="2966">
      <c r="A2966" s="3">
        <f>IFERROR(__xludf.DUMMYFUNCTION("""COMPUTED_VALUE"""),43610.99861111111)</f>
        <v>43610.99861</v>
      </c>
      <c r="B2966" s="1">
        <f>IFERROR(__xludf.DUMMYFUNCTION("""COMPUTED_VALUE"""),47453.83725)</f>
        <v>47453.83725</v>
      </c>
    </row>
    <row r="2967">
      <c r="A2967" s="3">
        <f>IFERROR(__xludf.DUMMYFUNCTION("""COMPUTED_VALUE"""),43611.99861111111)</f>
        <v>43611.99861</v>
      </c>
      <c r="B2967" s="1">
        <f>IFERROR(__xludf.DUMMYFUNCTION("""COMPUTED_VALUE"""),47314.25283)</f>
        <v>47314.25283</v>
      </c>
    </row>
    <row r="2968">
      <c r="A2968" s="3">
        <f>IFERROR(__xludf.DUMMYFUNCTION("""COMPUTED_VALUE"""),43612.99861111111)</f>
        <v>43612.99861</v>
      </c>
      <c r="B2968" s="1">
        <f>IFERROR(__xludf.DUMMYFUNCTION("""COMPUTED_VALUE"""),47479.61575)</f>
        <v>47479.61575</v>
      </c>
    </row>
    <row r="2969">
      <c r="A2969" s="3">
        <f>IFERROR(__xludf.DUMMYFUNCTION("""COMPUTED_VALUE"""),43613.99861111111)</f>
        <v>43613.99861</v>
      </c>
      <c r="B2969" s="1">
        <f>IFERROR(__xludf.DUMMYFUNCTION("""COMPUTED_VALUE"""),47560.3886)</f>
        <v>47560.3886</v>
      </c>
    </row>
    <row r="2970">
      <c r="A2970" s="3">
        <f>IFERROR(__xludf.DUMMYFUNCTION("""COMPUTED_VALUE"""),43614.99861111111)</f>
        <v>43614.99861</v>
      </c>
      <c r="B2970" s="1">
        <f>IFERROR(__xludf.DUMMYFUNCTION("""COMPUTED_VALUE"""),47316.96)</f>
        <v>47316.96</v>
      </c>
    </row>
    <row r="2971">
      <c r="A2971" s="3">
        <f>IFERROR(__xludf.DUMMYFUNCTION("""COMPUTED_VALUE"""),43615.99861111111)</f>
        <v>43615.99861</v>
      </c>
      <c r="B2971" s="1">
        <f>IFERROR(__xludf.DUMMYFUNCTION("""COMPUTED_VALUE"""),47324.5168)</f>
        <v>47324.5168</v>
      </c>
    </row>
    <row r="2972">
      <c r="A2972" s="3">
        <f>IFERROR(__xludf.DUMMYFUNCTION("""COMPUTED_VALUE"""),43616.99861111111)</f>
        <v>43616.99861</v>
      </c>
      <c r="B2972" s="1">
        <f>IFERROR(__xludf.DUMMYFUNCTION("""COMPUTED_VALUE"""),46935.72452)</f>
        <v>46935.72452</v>
      </c>
    </row>
    <row r="2973">
      <c r="A2973" s="3">
        <f>IFERROR(__xludf.DUMMYFUNCTION("""COMPUTED_VALUE"""),43617.99861111111)</f>
        <v>43617.99861</v>
      </c>
      <c r="B2973" s="1">
        <f>IFERROR(__xludf.DUMMYFUNCTION("""COMPUTED_VALUE"""),46935.72452)</f>
        <v>46935.72452</v>
      </c>
    </row>
    <row r="2974">
      <c r="A2974" s="3">
        <f>IFERROR(__xludf.DUMMYFUNCTION("""COMPUTED_VALUE"""),43618.99861111111)</f>
        <v>43618.99861</v>
      </c>
      <c r="B2974" s="1">
        <f>IFERROR(__xludf.DUMMYFUNCTION("""COMPUTED_VALUE"""),46903.22475)</f>
        <v>46903.22475</v>
      </c>
    </row>
    <row r="2975">
      <c r="A2975" s="3">
        <f>IFERROR(__xludf.DUMMYFUNCTION("""COMPUTED_VALUE"""),43619.99861111111)</f>
        <v>43619.99861</v>
      </c>
      <c r="B2975" s="1">
        <f>IFERROR(__xludf.DUMMYFUNCTION("""COMPUTED_VALUE"""),46795.488)</f>
        <v>46795.488</v>
      </c>
    </row>
    <row r="2976">
      <c r="A2976" s="3">
        <f>IFERROR(__xludf.DUMMYFUNCTION("""COMPUTED_VALUE"""),43620.99861111111)</f>
        <v>43620.99861</v>
      </c>
      <c r="B2976" s="1">
        <f>IFERROR(__xludf.DUMMYFUNCTION("""COMPUTED_VALUE"""),46892.647)</f>
        <v>46892.647</v>
      </c>
    </row>
    <row r="2977">
      <c r="A2977" s="3">
        <f>IFERROR(__xludf.DUMMYFUNCTION("""COMPUTED_VALUE"""),43621.99861111111)</f>
        <v>43621.99861</v>
      </c>
      <c r="B2977" s="1">
        <f>IFERROR(__xludf.DUMMYFUNCTION("""COMPUTED_VALUE"""),46946.86765)</f>
        <v>46946.86765</v>
      </c>
    </row>
    <row r="2978">
      <c r="A2978" s="3">
        <f>IFERROR(__xludf.DUMMYFUNCTION("""COMPUTED_VALUE"""),43622.99861111111)</f>
        <v>43622.99861</v>
      </c>
      <c r="B2978" s="1">
        <f>IFERROR(__xludf.DUMMYFUNCTION("""COMPUTED_VALUE"""),46950.72375)</f>
        <v>46950.72375</v>
      </c>
    </row>
    <row r="2979">
      <c r="A2979" s="3">
        <f>IFERROR(__xludf.DUMMYFUNCTION("""COMPUTED_VALUE"""),43623.99861111111)</f>
        <v>43623.99861</v>
      </c>
      <c r="B2979" s="1">
        <f>IFERROR(__xludf.DUMMYFUNCTION("""COMPUTED_VALUE"""),46788.2467)</f>
        <v>46788.2467</v>
      </c>
    </row>
    <row r="2980">
      <c r="A2980" s="3">
        <f>IFERROR(__xludf.DUMMYFUNCTION("""COMPUTED_VALUE"""),43624.99861111111)</f>
        <v>43624.99861</v>
      </c>
      <c r="B2980" s="1">
        <f>IFERROR(__xludf.DUMMYFUNCTION("""COMPUTED_VALUE"""),46788.2467)</f>
        <v>46788.2467</v>
      </c>
    </row>
    <row r="2981">
      <c r="A2981" s="3">
        <f>IFERROR(__xludf.DUMMYFUNCTION("""COMPUTED_VALUE"""),43625.99861111111)</f>
        <v>43625.99861</v>
      </c>
      <c r="B2981" s="1">
        <f>IFERROR(__xludf.DUMMYFUNCTION("""COMPUTED_VALUE"""),46972.6869)</f>
        <v>46972.6869</v>
      </c>
    </row>
    <row r="2982">
      <c r="A2982" s="3">
        <f>IFERROR(__xludf.DUMMYFUNCTION("""COMPUTED_VALUE"""),43626.99861111111)</f>
        <v>43626.99861</v>
      </c>
      <c r="B2982" s="1">
        <f>IFERROR(__xludf.DUMMYFUNCTION("""COMPUTED_VALUE"""),47110.52385)</f>
        <v>47110.52385</v>
      </c>
    </row>
    <row r="2983">
      <c r="A2983" s="3">
        <f>IFERROR(__xludf.DUMMYFUNCTION("""COMPUTED_VALUE"""),43627.99861111111)</f>
        <v>43627.99861</v>
      </c>
      <c r="B2983" s="1">
        <f>IFERROR(__xludf.DUMMYFUNCTION("""COMPUTED_VALUE"""),47052.35762)</f>
        <v>47052.35762</v>
      </c>
    </row>
    <row r="2984">
      <c r="A2984" s="3">
        <f>IFERROR(__xludf.DUMMYFUNCTION("""COMPUTED_VALUE"""),43628.99861111111)</f>
        <v>43628.99861</v>
      </c>
      <c r="B2984" s="1">
        <f>IFERROR(__xludf.DUMMYFUNCTION("""COMPUTED_VALUE"""),46940.9593)</f>
        <v>46940.9593</v>
      </c>
    </row>
    <row r="2985">
      <c r="A2985" s="3">
        <f>IFERROR(__xludf.DUMMYFUNCTION("""COMPUTED_VALUE"""),43629.99861111111)</f>
        <v>43629.99861</v>
      </c>
      <c r="B2985" s="1">
        <f>IFERROR(__xludf.DUMMYFUNCTION("""COMPUTED_VALUE"""),47005.476)</f>
        <v>47005.476</v>
      </c>
    </row>
    <row r="2986">
      <c r="A2986" s="3">
        <f>IFERROR(__xludf.DUMMYFUNCTION("""COMPUTED_VALUE"""),43630.99861111111)</f>
        <v>43630.99861</v>
      </c>
      <c r="B2986" s="1">
        <f>IFERROR(__xludf.DUMMYFUNCTION("""COMPUTED_VALUE"""),47219.24632)</f>
        <v>47219.24632</v>
      </c>
    </row>
    <row r="2987">
      <c r="A2987" s="3">
        <f>IFERROR(__xludf.DUMMYFUNCTION("""COMPUTED_VALUE"""),43631.99861111111)</f>
        <v>43631.99861</v>
      </c>
      <c r="B2987" s="1">
        <f>IFERROR(__xludf.DUMMYFUNCTION("""COMPUTED_VALUE"""),47324.04877)</f>
        <v>47324.04877</v>
      </c>
    </row>
    <row r="2988">
      <c r="A2988" s="3">
        <f>IFERROR(__xludf.DUMMYFUNCTION("""COMPUTED_VALUE"""),43632.99861111111)</f>
        <v>43632.99861</v>
      </c>
      <c r="B2988" s="1">
        <f>IFERROR(__xludf.DUMMYFUNCTION("""COMPUTED_VALUE"""),47110.8567)</f>
        <v>47110.8567</v>
      </c>
    </row>
    <row r="2989">
      <c r="A2989" s="3">
        <f>IFERROR(__xludf.DUMMYFUNCTION("""COMPUTED_VALUE"""),43633.99861111111)</f>
        <v>43633.99861</v>
      </c>
      <c r="B2989" s="1">
        <f>IFERROR(__xludf.DUMMYFUNCTION("""COMPUTED_VALUE"""),47449.74727)</f>
        <v>47449.74727</v>
      </c>
    </row>
    <row r="2990">
      <c r="A2990" s="3">
        <f>IFERROR(__xludf.DUMMYFUNCTION("""COMPUTED_VALUE"""),43634.99861111111)</f>
        <v>43634.99861</v>
      </c>
      <c r="B2990" s="1">
        <f>IFERROR(__xludf.DUMMYFUNCTION("""COMPUTED_VALUE"""),46973.01587)</f>
        <v>46973.01587</v>
      </c>
    </row>
    <row r="2991">
      <c r="A2991" s="3">
        <f>IFERROR(__xludf.DUMMYFUNCTION("""COMPUTED_VALUE"""),43635.99861111111)</f>
        <v>43635.99861</v>
      </c>
      <c r="B2991" s="1">
        <f>IFERROR(__xludf.DUMMYFUNCTION("""COMPUTED_VALUE"""),47032.17907)</f>
        <v>47032.17907</v>
      </c>
    </row>
    <row r="2992">
      <c r="A2992" s="3">
        <f>IFERROR(__xludf.DUMMYFUNCTION("""COMPUTED_VALUE"""),43636.99861111111)</f>
        <v>43636.99861</v>
      </c>
      <c r="B2992" s="1">
        <f>IFERROR(__xludf.DUMMYFUNCTION("""COMPUTED_VALUE"""),46556.14575)</f>
        <v>46556.14575</v>
      </c>
    </row>
    <row r="2993">
      <c r="A2993" s="3">
        <f>IFERROR(__xludf.DUMMYFUNCTION("""COMPUTED_VALUE"""),43637.99861111111)</f>
        <v>43637.99861</v>
      </c>
      <c r="B2993" s="1">
        <f>IFERROR(__xludf.DUMMYFUNCTION("""COMPUTED_VALUE"""),46531.28125)</f>
        <v>46531.28125</v>
      </c>
    </row>
    <row r="2994">
      <c r="A2994" s="3">
        <f>IFERROR(__xludf.DUMMYFUNCTION("""COMPUTED_VALUE"""),43638.99861111111)</f>
        <v>43638.99861</v>
      </c>
      <c r="B2994" s="1">
        <f>IFERROR(__xludf.DUMMYFUNCTION("""COMPUTED_VALUE"""),46531.28125)</f>
        <v>46531.28125</v>
      </c>
    </row>
    <row r="2995">
      <c r="A2995" s="3">
        <f>IFERROR(__xludf.DUMMYFUNCTION("""COMPUTED_VALUE"""),43639.99861111111)</f>
        <v>43639.99861</v>
      </c>
      <c r="B2995" s="1">
        <f>IFERROR(__xludf.DUMMYFUNCTION("""COMPUTED_VALUE"""),46620.76645)</f>
        <v>46620.76645</v>
      </c>
    </row>
    <row r="2996">
      <c r="A2996" s="3">
        <f>IFERROR(__xludf.DUMMYFUNCTION("""COMPUTED_VALUE"""),43640.99861111111)</f>
        <v>43640.99861</v>
      </c>
      <c r="B2996" s="1">
        <f>IFERROR(__xludf.DUMMYFUNCTION("""COMPUTED_VALUE"""),46696.0562)</f>
        <v>46696.0562</v>
      </c>
    </row>
    <row r="2997">
      <c r="A2997" s="3">
        <f>IFERROR(__xludf.DUMMYFUNCTION("""COMPUTED_VALUE"""),43641.99861111111)</f>
        <v>43641.99861</v>
      </c>
      <c r="B2997" s="1">
        <f>IFERROR(__xludf.DUMMYFUNCTION("""COMPUTED_VALUE"""),46582.8375)</f>
        <v>46582.8375</v>
      </c>
    </row>
    <row r="2998">
      <c r="A2998" s="3">
        <f>IFERROR(__xludf.DUMMYFUNCTION("""COMPUTED_VALUE"""),43642.99861111111)</f>
        <v>43642.99861</v>
      </c>
      <c r="B2998" s="1">
        <f>IFERROR(__xludf.DUMMYFUNCTION("""COMPUTED_VALUE"""),46806.59107)</f>
        <v>46806.59107</v>
      </c>
    </row>
    <row r="2999">
      <c r="A2999" s="3">
        <f>IFERROR(__xludf.DUMMYFUNCTION("""COMPUTED_VALUE"""),43643.99861111111)</f>
        <v>43643.99861</v>
      </c>
      <c r="B2999" s="1">
        <f>IFERROR(__xludf.DUMMYFUNCTION("""COMPUTED_VALUE"""),46700.28437)</f>
        <v>46700.28437</v>
      </c>
    </row>
    <row r="3000">
      <c r="A3000" s="3">
        <f>IFERROR(__xludf.DUMMYFUNCTION("""COMPUTED_VALUE"""),43644.99861111111)</f>
        <v>43644.99861</v>
      </c>
      <c r="B3000" s="1">
        <f>IFERROR(__xludf.DUMMYFUNCTION("""COMPUTED_VALUE"""),46552.39811)</f>
        <v>46552.39811</v>
      </c>
    </row>
    <row r="3001">
      <c r="A3001" s="3">
        <f>IFERROR(__xludf.DUMMYFUNCTION("""COMPUTED_VALUE"""),43645.99861111111)</f>
        <v>43645.99861</v>
      </c>
      <c r="B3001" s="1">
        <f>IFERROR(__xludf.DUMMYFUNCTION("""COMPUTED_VALUE"""),46552.39811)</f>
        <v>46552.39811</v>
      </c>
    </row>
    <row r="3002">
      <c r="A3002" s="3">
        <f>IFERROR(__xludf.DUMMYFUNCTION("""COMPUTED_VALUE"""),43646.99861111111)</f>
        <v>43646.99861</v>
      </c>
      <c r="B3002" s="1">
        <f>IFERROR(__xludf.DUMMYFUNCTION("""COMPUTED_VALUE"""),46557.90568)</f>
        <v>46557.90568</v>
      </c>
    </row>
    <row r="3003">
      <c r="A3003" s="3">
        <f>IFERROR(__xludf.DUMMYFUNCTION("""COMPUTED_VALUE"""),43647.99861111111)</f>
        <v>43647.99861</v>
      </c>
      <c r="B3003" s="1">
        <f>IFERROR(__xludf.DUMMYFUNCTION("""COMPUTED_VALUE"""),46588.8454)</f>
        <v>46588.8454</v>
      </c>
    </row>
    <row r="3004">
      <c r="A3004" s="3">
        <f>IFERROR(__xludf.DUMMYFUNCTION("""COMPUTED_VALUE"""),43648.99861111111)</f>
        <v>43648.99861</v>
      </c>
      <c r="B3004" s="1">
        <f>IFERROR(__xludf.DUMMYFUNCTION("""COMPUTED_VALUE"""),46744.5279)</f>
        <v>46744.5279</v>
      </c>
    </row>
    <row r="3005">
      <c r="A3005" s="3">
        <f>IFERROR(__xludf.DUMMYFUNCTION("""COMPUTED_VALUE"""),43649.99861111111)</f>
        <v>43649.99861</v>
      </c>
      <c r="B3005" s="1">
        <f>IFERROR(__xludf.DUMMYFUNCTION("""COMPUTED_VALUE"""),46688.79)</f>
        <v>46688.79</v>
      </c>
    </row>
    <row r="3006">
      <c r="A3006" s="3">
        <f>IFERROR(__xludf.DUMMYFUNCTION("""COMPUTED_VALUE"""),43650.99861111111)</f>
        <v>43650.99861</v>
      </c>
      <c r="B3006" s="1">
        <f>IFERROR(__xludf.DUMMYFUNCTION("""COMPUTED_VALUE"""),46654.90995)</f>
        <v>46654.90995</v>
      </c>
    </row>
    <row r="3007">
      <c r="A3007" s="3">
        <f>IFERROR(__xludf.DUMMYFUNCTION("""COMPUTED_VALUE"""),43651.99861111111)</f>
        <v>43651.99861</v>
      </c>
      <c r="B3007" s="1">
        <f>IFERROR(__xludf.DUMMYFUNCTION("""COMPUTED_VALUE"""),46311.9455)</f>
        <v>46311.9455</v>
      </c>
    </row>
    <row r="3008">
      <c r="A3008" s="3">
        <f>IFERROR(__xludf.DUMMYFUNCTION("""COMPUTED_VALUE"""),43652.99861111111)</f>
        <v>43652.99861</v>
      </c>
      <c r="B3008" s="1">
        <f>IFERROR(__xludf.DUMMYFUNCTION("""COMPUTED_VALUE"""),46311.9455)</f>
        <v>46311.9455</v>
      </c>
    </row>
    <row r="3009">
      <c r="A3009" s="3">
        <f>IFERROR(__xludf.DUMMYFUNCTION("""COMPUTED_VALUE"""),43653.99861111111)</f>
        <v>43653.99861</v>
      </c>
      <c r="B3009" s="1">
        <f>IFERROR(__xludf.DUMMYFUNCTION("""COMPUTED_VALUE"""),46311.9455)</f>
        <v>46311.9455</v>
      </c>
    </row>
    <row r="3010">
      <c r="A3010" s="3">
        <f>IFERROR(__xludf.DUMMYFUNCTION("""COMPUTED_VALUE"""),43654.99861111111)</f>
        <v>43654.99861</v>
      </c>
      <c r="B3010" s="1">
        <f>IFERROR(__xludf.DUMMYFUNCTION("""COMPUTED_VALUE"""),46638.01195)</f>
        <v>46638.01195</v>
      </c>
    </row>
    <row r="3011">
      <c r="A3011" s="3">
        <f>IFERROR(__xludf.DUMMYFUNCTION("""COMPUTED_VALUE"""),43655.99861111111)</f>
        <v>43655.99861</v>
      </c>
      <c r="B3011" s="1">
        <f>IFERROR(__xludf.DUMMYFUNCTION("""COMPUTED_VALUE"""),46797.624)</f>
        <v>46797.624</v>
      </c>
    </row>
    <row r="3012">
      <c r="A3012" s="3">
        <f>IFERROR(__xludf.DUMMYFUNCTION("""COMPUTED_VALUE"""),43656.99861111111)</f>
        <v>43656.99861</v>
      </c>
      <c r="B3012" s="1">
        <f>IFERROR(__xludf.DUMMYFUNCTION("""COMPUTED_VALUE"""),46552.08265)</f>
        <v>46552.08265</v>
      </c>
    </row>
    <row r="3013">
      <c r="A3013" s="3">
        <f>IFERROR(__xludf.DUMMYFUNCTION("""COMPUTED_VALUE"""),43657.99861111111)</f>
        <v>43657.99861</v>
      </c>
      <c r="B3013" s="1">
        <f>IFERROR(__xludf.DUMMYFUNCTION("""COMPUTED_VALUE"""),46427.4336)</f>
        <v>46427.4336</v>
      </c>
    </row>
    <row r="3014">
      <c r="A3014" s="3">
        <f>IFERROR(__xludf.DUMMYFUNCTION("""COMPUTED_VALUE"""),43658.99861111111)</f>
        <v>43658.99861</v>
      </c>
      <c r="B3014" s="1">
        <f>IFERROR(__xludf.DUMMYFUNCTION("""COMPUTED_VALUE"""),45937.29119)</f>
        <v>45937.29119</v>
      </c>
    </row>
    <row r="3015">
      <c r="A3015" s="3">
        <f>IFERROR(__xludf.DUMMYFUNCTION("""COMPUTED_VALUE"""),43659.99861111111)</f>
        <v>43659.99861</v>
      </c>
      <c r="B3015" s="1">
        <f>IFERROR(__xludf.DUMMYFUNCTION("""COMPUTED_VALUE"""),45973.51479)</f>
        <v>45973.51479</v>
      </c>
    </row>
    <row r="3016">
      <c r="A3016" s="3">
        <f>IFERROR(__xludf.DUMMYFUNCTION("""COMPUTED_VALUE"""),43660.99861111111)</f>
        <v>43660.99861</v>
      </c>
      <c r="B3016" s="1">
        <f>IFERROR(__xludf.DUMMYFUNCTION("""COMPUTED_VALUE"""),46024.2006)</f>
        <v>46024.2006</v>
      </c>
    </row>
    <row r="3017">
      <c r="A3017" s="3">
        <f>IFERROR(__xludf.DUMMYFUNCTION("""COMPUTED_VALUE"""),43661.99861111111)</f>
        <v>43661.99861</v>
      </c>
      <c r="B3017" s="1">
        <f>IFERROR(__xludf.DUMMYFUNCTION("""COMPUTED_VALUE"""),45958.58887)</f>
        <v>45958.58887</v>
      </c>
    </row>
    <row r="3018">
      <c r="A3018" s="3">
        <f>IFERROR(__xludf.DUMMYFUNCTION("""COMPUTED_VALUE"""),43662.99861111111)</f>
        <v>43662.99861</v>
      </c>
      <c r="B3018" s="1">
        <f>IFERROR(__xludf.DUMMYFUNCTION("""COMPUTED_VALUE"""),46035.96687)</f>
        <v>46035.96687</v>
      </c>
    </row>
    <row r="3019">
      <c r="A3019" s="3">
        <f>IFERROR(__xludf.DUMMYFUNCTION("""COMPUTED_VALUE"""),43663.99861111111)</f>
        <v>43663.99861</v>
      </c>
      <c r="B3019" s="1">
        <f>IFERROR(__xludf.DUMMYFUNCTION("""COMPUTED_VALUE"""),46073.0842)</f>
        <v>46073.0842</v>
      </c>
    </row>
    <row r="3020">
      <c r="A3020" s="3">
        <f>IFERROR(__xludf.DUMMYFUNCTION("""COMPUTED_VALUE"""),43664.99861111111)</f>
        <v>43664.99861</v>
      </c>
      <c r="B3020" s="1">
        <f>IFERROR(__xludf.DUMMYFUNCTION("""COMPUTED_VALUE"""),45884.3277)</f>
        <v>45884.3277</v>
      </c>
    </row>
    <row r="3021">
      <c r="A3021" s="3">
        <f>IFERROR(__xludf.DUMMYFUNCTION("""COMPUTED_VALUE"""),43665.99861111111)</f>
        <v>43665.99861</v>
      </c>
      <c r="B3021" s="1">
        <f>IFERROR(__xludf.DUMMYFUNCTION("""COMPUTED_VALUE"""),45735.552)</f>
        <v>45735.552</v>
      </c>
    </row>
    <row r="3022">
      <c r="A3022" s="3">
        <f>IFERROR(__xludf.DUMMYFUNCTION("""COMPUTED_VALUE"""),43666.99861111111)</f>
        <v>43666.99861</v>
      </c>
      <c r="B3022" s="1">
        <f>IFERROR(__xludf.DUMMYFUNCTION("""COMPUTED_VALUE"""),45804.456)</f>
        <v>45804.456</v>
      </c>
    </row>
    <row r="3023">
      <c r="A3023" s="3">
        <f>IFERROR(__xludf.DUMMYFUNCTION("""COMPUTED_VALUE"""),43667.99861111111)</f>
        <v>43667.99861</v>
      </c>
      <c r="B3023" s="1">
        <f>IFERROR(__xludf.DUMMYFUNCTION("""COMPUTED_VALUE"""),45828.80412)</f>
        <v>45828.80412</v>
      </c>
    </row>
    <row r="3024">
      <c r="A3024" s="3">
        <f>IFERROR(__xludf.DUMMYFUNCTION("""COMPUTED_VALUE"""),43668.99861111111)</f>
        <v>43668.99861</v>
      </c>
      <c r="B3024" s="1">
        <f>IFERROR(__xludf.DUMMYFUNCTION("""COMPUTED_VALUE"""),45972.2835)</f>
        <v>45972.2835</v>
      </c>
    </row>
    <row r="3025">
      <c r="A3025" s="3">
        <f>IFERROR(__xludf.DUMMYFUNCTION("""COMPUTED_VALUE"""),43669.99861111111)</f>
        <v>43669.99861</v>
      </c>
      <c r="B3025" s="1">
        <f>IFERROR(__xludf.DUMMYFUNCTION("""COMPUTED_VALUE"""),46119.3387)</f>
        <v>46119.3387</v>
      </c>
    </row>
    <row r="3026">
      <c r="A3026" s="3">
        <f>IFERROR(__xludf.DUMMYFUNCTION("""COMPUTED_VALUE"""),43670.99861111111)</f>
        <v>43670.99861</v>
      </c>
      <c r="B3026" s="1">
        <f>IFERROR(__xludf.DUMMYFUNCTION("""COMPUTED_VALUE"""),46073.8334)</f>
        <v>46073.8334</v>
      </c>
    </row>
    <row r="3027">
      <c r="A3027" s="3">
        <f>IFERROR(__xludf.DUMMYFUNCTION("""COMPUTED_VALUE"""),43671.99861111111)</f>
        <v>43671.99861</v>
      </c>
      <c r="B3027" s="1">
        <f>IFERROR(__xludf.DUMMYFUNCTION("""COMPUTED_VALUE"""),46151.66027)</f>
        <v>46151.66027</v>
      </c>
    </row>
    <row r="3028">
      <c r="A3028" s="3">
        <f>IFERROR(__xludf.DUMMYFUNCTION("""COMPUTED_VALUE"""),43672.99861111111)</f>
        <v>43672.99861</v>
      </c>
      <c r="B3028" s="1">
        <f>IFERROR(__xludf.DUMMYFUNCTION("""COMPUTED_VALUE"""),45979.69887)</f>
        <v>45979.69887</v>
      </c>
    </row>
    <row r="3029">
      <c r="A3029" s="3">
        <f>IFERROR(__xludf.DUMMYFUNCTION("""COMPUTED_VALUE"""),43673.99861111111)</f>
        <v>43673.99861</v>
      </c>
      <c r="B3029" s="1">
        <f>IFERROR(__xludf.DUMMYFUNCTION("""COMPUTED_VALUE"""),45979.69887)</f>
        <v>45979.69887</v>
      </c>
    </row>
    <row r="3030">
      <c r="A3030" s="3">
        <f>IFERROR(__xludf.DUMMYFUNCTION("""COMPUTED_VALUE"""),43674.99861111111)</f>
        <v>43674.99861</v>
      </c>
      <c r="B3030" s="1">
        <f>IFERROR(__xludf.DUMMYFUNCTION("""COMPUTED_VALUE"""),45990.14428)</f>
        <v>45990.14428</v>
      </c>
    </row>
    <row r="3031">
      <c r="A3031" s="3">
        <f>IFERROR(__xludf.DUMMYFUNCTION("""COMPUTED_VALUE"""),43675.99861111111)</f>
        <v>43675.99861</v>
      </c>
      <c r="B3031" s="1">
        <f>IFERROR(__xludf.DUMMYFUNCTION("""COMPUTED_VALUE"""),46195.3275)</f>
        <v>46195.3275</v>
      </c>
    </row>
    <row r="3032">
      <c r="A3032" s="3">
        <f>IFERROR(__xludf.DUMMYFUNCTION("""COMPUTED_VALUE"""),43676.99861111111)</f>
        <v>43676.99861</v>
      </c>
      <c r="B3032" s="1">
        <f>IFERROR(__xludf.DUMMYFUNCTION("""COMPUTED_VALUE"""),46200.86192)</f>
        <v>46200.86192</v>
      </c>
    </row>
    <row r="3033">
      <c r="A3033" s="3">
        <f>IFERROR(__xludf.DUMMYFUNCTION("""COMPUTED_VALUE"""),43677.99861111111)</f>
        <v>43677.99861</v>
      </c>
      <c r="B3033" s="1">
        <f>IFERROR(__xludf.DUMMYFUNCTION("""COMPUTED_VALUE"""),46567.829)</f>
        <v>46567.829</v>
      </c>
    </row>
    <row r="3034">
      <c r="A3034" s="3">
        <f>IFERROR(__xludf.DUMMYFUNCTION("""COMPUTED_VALUE"""),43678.99861111111)</f>
        <v>43678.99861</v>
      </c>
      <c r="B3034" s="1">
        <f>IFERROR(__xludf.DUMMYFUNCTION("""COMPUTED_VALUE"""),47101.2793)</f>
        <v>47101.2793</v>
      </c>
    </row>
    <row r="3035">
      <c r="A3035" s="3">
        <f>IFERROR(__xludf.DUMMYFUNCTION("""COMPUTED_VALUE"""),43679.99861111111)</f>
        <v>43679.99861</v>
      </c>
      <c r="B3035" s="1">
        <f>IFERROR(__xludf.DUMMYFUNCTION("""COMPUTED_VALUE"""),46708.6035)</f>
        <v>46708.6035</v>
      </c>
    </row>
    <row r="3036">
      <c r="A3036" s="3">
        <f>IFERROR(__xludf.DUMMYFUNCTION("""COMPUTED_VALUE"""),43680.99861111111)</f>
        <v>43680.99861</v>
      </c>
      <c r="B3036" s="1">
        <f>IFERROR(__xludf.DUMMYFUNCTION("""COMPUTED_VALUE"""),46708.6035)</f>
        <v>46708.6035</v>
      </c>
    </row>
    <row r="3037">
      <c r="A3037" s="3">
        <f>IFERROR(__xludf.DUMMYFUNCTION("""COMPUTED_VALUE"""),43681.99861111111)</f>
        <v>43681.99861</v>
      </c>
      <c r="B3037" s="1">
        <f>IFERROR(__xludf.DUMMYFUNCTION("""COMPUTED_VALUE"""),46540.63176)</f>
        <v>46540.63176</v>
      </c>
    </row>
    <row r="3038">
      <c r="A3038" s="3">
        <f>IFERROR(__xludf.DUMMYFUNCTION("""COMPUTED_VALUE"""),43682.99861111111)</f>
        <v>43682.99861</v>
      </c>
      <c r="B3038" s="1">
        <f>IFERROR(__xludf.DUMMYFUNCTION("""COMPUTED_VALUE"""),46867.589)</f>
        <v>46867.589</v>
      </c>
    </row>
    <row r="3039">
      <c r="A3039" s="3">
        <f>IFERROR(__xludf.DUMMYFUNCTION("""COMPUTED_VALUE"""),43683.99861111111)</f>
        <v>43683.99861</v>
      </c>
      <c r="B3039" s="1">
        <f>IFERROR(__xludf.DUMMYFUNCTION("""COMPUTED_VALUE"""),46899.75375)</f>
        <v>46899.75375</v>
      </c>
    </row>
    <row r="3040">
      <c r="A3040" s="3">
        <f>IFERROR(__xludf.DUMMYFUNCTION("""COMPUTED_VALUE"""),43684.99861111111)</f>
        <v>43684.99861</v>
      </c>
      <c r="B3040" s="1">
        <f>IFERROR(__xludf.DUMMYFUNCTION("""COMPUTED_VALUE"""),46942.71052)</f>
        <v>46942.71052</v>
      </c>
    </row>
    <row r="3041">
      <c r="A3041" s="3">
        <f>IFERROR(__xludf.DUMMYFUNCTION("""COMPUTED_VALUE"""),43685.99861111111)</f>
        <v>43685.99861</v>
      </c>
      <c r="B3041" s="1">
        <f>IFERROR(__xludf.DUMMYFUNCTION("""COMPUTED_VALUE"""),46827.20362)</f>
        <v>46827.20362</v>
      </c>
    </row>
    <row r="3042">
      <c r="A3042" s="3">
        <f>IFERROR(__xludf.DUMMYFUNCTION("""COMPUTED_VALUE"""),43686.99861111111)</f>
        <v>43686.99861</v>
      </c>
      <c r="B3042" s="1">
        <f>IFERROR(__xludf.DUMMYFUNCTION("""COMPUTED_VALUE"""),46692.98964)</f>
        <v>46692.98964</v>
      </c>
    </row>
    <row r="3043">
      <c r="A3043" s="3">
        <f>IFERROR(__xludf.DUMMYFUNCTION("""COMPUTED_VALUE"""),43687.99861111111)</f>
        <v>43687.99861</v>
      </c>
      <c r="B3043" s="1">
        <f>IFERROR(__xludf.DUMMYFUNCTION("""COMPUTED_VALUE"""),46687.2285)</f>
        <v>46687.2285</v>
      </c>
    </row>
    <row r="3044">
      <c r="A3044" s="3">
        <f>IFERROR(__xludf.DUMMYFUNCTION("""COMPUTED_VALUE"""),43688.99861111111)</f>
        <v>43688.99861</v>
      </c>
      <c r="B3044" s="1">
        <f>IFERROR(__xludf.DUMMYFUNCTION("""COMPUTED_VALUE"""),46692.98964)</f>
        <v>46692.98964</v>
      </c>
    </row>
    <row r="3045">
      <c r="A3045" s="3">
        <f>IFERROR(__xludf.DUMMYFUNCTION("""COMPUTED_VALUE"""),43689.99861111111)</f>
        <v>43689.99861</v>
      </c>
      <c r="B3045" s="1">
        <f>IFERROR(__xludf.DUMMYFUNCTION("""COMPUTED_VALUE"""),46846.7116)</f>
        <v>46846.7116</v>
      </c>
    </row>
    <row r="3046">
      <c r="A3046" s="3">
        <f>IFERROR(__xludf.DUMMYFUNCTION("""COMPUTED_VALUE"""),43690.99861111111)</f>
        <v>43690.99861</v>
      </c>
      <c r="B3046" s="1">
        <f>IFERROR(__xludf.DUMMYFUNCTION("""COMPUTED_VALUE"""),46810.5984)</f>
        <v>46810.5984</v>
      </c>
    </row>
    <row r="3047">
      <c r="A3047" s="3">
        <f>IFERROR(__xludf.DUMMYFUNCTION("""COMPUTED_VALUE"""),43691.99861111111)</f>
        <v>43691.99861</v>
      </c>
      <c r="B3047" s="1">
        <f>IFERROR(__xludf.DUMMYFUNCTION("""COMPUTED_VALUE"""),46834.711)</f>
        <v>46834.711</v>
      </c>
    </row>
    <row r="3048">
      <c r="A3048" s="3">
        <f>IFERROR(__xludf.DUMMYFUNCTION("""COMPUTED_VALUE"""),43692.99861111111)</f>
        <v>43692.99861</v>
      </c>
      <c r="B3048" s="1">
        <f>IFERROR(__xludf.DUMMYFUNCTION("""COMPUTED_VALUE"""),47196.6697)</f>
        <v>47196.6697</v>
      </c>
    </row>
    <row r="3049">
      <c r="A3049" s="3">
        <f>IFERROR(__xludf.DUMMYFUNCTION("""COMPUTED_VALUE"""),43693.99861111111)</f>
        <v>43693.99861</v>
      </c>
      <c r="B3049" s="1">
        <f>IFERROR(__xludf.DUMMYFUNCTION("""COMPUTED_VALUE"""),46745.47613)</f>
        <v>46745.47613</v>
      </c>
    </row>
    <row r="3050">
      <c r="A3050" s="3">
        <f>IFERROR(__xludf.DUMMYFUNCTION("""COMPUTED_VALUE"""),43694.99861111111)</f>
        <v>43694.99861</v>
      </c>
      <c r="B3050" s="1">
        <f>IFERROR(__xludf.DUMMYFUNCTION("""COMPUTED_VALUE"""),46745.47613)</f>
        <v>46745.47613</v>
      </c>
    </row>
    <row r="3051">
      <c r="A3051" s="3">
        <f>IFERROR(__xludf.DUMMYFUNCTION("""COMPUTED_VALUE"""),43695.99861111111)</f>
        <v>43695.99861</v>
      </c>
      <c r="B3051" s="1">
        <f>IFERROR(__xludf.DUMMYFUNCTION("""COMPUTED_VALUE"""),46779.48405)</f>
        <v>46779.48405</v>
      </c>
    </row>
    <row r="3052">
      <c r="A3052" s="3">
        <f>IFERROR(__xludf.DUMMYFUNCTION("""COMPUTED_VALUE"""),43696.99861111111)</f>
        <v>43696.99861</v>
      </c>
      <c r="B3052" s="1">
        <f>IFERROR(__xludf.DUMMYFUNCTION("""COMPUTED_VALUE"""),46895.61762)</f>
        <v>46895.61762</v>
      </c>
    </row>
    <row r="3053">
      <c r="A3053" s="3">
        <f>IFERROR(__xludf.DUMMYFUNCTION("""COMPUTED_VALUE"""),43697.99861111111)</f>
        <v>43697.99861</v>
      </c>
      <c r="B3053" s="1">
        <f>IFERROR(__xludf.DUMMYFUNCTION("""COMPUTED_VALUE"""),47113.78627)</f>
        <v>47113.78627</v>
      </c>
    </row>
    <row r="3054">
      <c r="A3054" s="3">
        <f>IFERROR(__xludf.DUMMYFUNCTION("""COMPUTED_VALUE"""),43698.99861111111)</f>
        <v>43698.99861</v>
      </c>
      <c r="B3054" s="1">
        <f>IFERROR(__xludf.DUMMYFUNCTION("""COMPUTED_VALUE"""),46979.44312)</f>
        <v>46979.44312</v>
      </c>
    </row>
    <row r="3055">
      <c r="A3055" s="3">
        <f>IFERROR(__xludf.DUMMYFUNCTION("""COMPUTED_VALUE"""),43699.99861111111)</f>
        <v>43699.99861</v>
      </c>
      <c r="B3055" s="1">
        <f>IFERROR(__xludf.DUMMYFUNCTION("""COMPUTED_VALUE"""),46806.81525)</f>
        <v>46806.81525</v>
      </c>
    </row>
    <row r="3056">
      <c r="A3056" s="3">
        <f>IFERROR(__xludf.DUMMYFUNCTION("""COMPUTED_VALUE"""),43700.99861111111)</f>
        <v>43700.99861</v>
      </c>
      <c r="B3056" s="1">
        <f>IFERROR(__xludf.DUMMYFUNCTION("""COMPUTED_VALUE"""),46967.3848)</f>
        <v>46967.3848</v>
      </c>
    </row>
    <row r="3057">
      <c r="A3057" s="3">
        <f>IFERROR(__xludf.DUMMYFUNCTION("""COMPUTED_VALUE"""),43701.99861111111)</f>
        <v>43701.99861</v>
      </c>
      <c r="B3057" s="1">
        <f>IFERROR(__xludf.DUMMYFUNCTION("""COMPUTED_VALUE"""),47365.9098)</f>
        <v>47365.9098</v>
      </c>
    </row>
    <row r="3058">
      <c r="A3058" s="3">
        <f>IFERROR(__xludf.DUMMYFUNCTION("""COMPUTED_VALUE"""),43702.99861111111)</f>
        <v>43702.99861</v>
      </c>
      <c r="B3058" s="1">
        <f>IFERROR(__xludf.DUMMYFUNCTION("""COMPUTED_VALUE"""),46733.29627)</f>
        <v>46733.29627</v>
      </c>
    </row>
    <row r="3059">
      <c r="A3059" s="3">
        <f>IFERROR(__xludf.DUMMYFUNCTION("""COMPUTED_VALUE"""),43703.99861111111)</f>
        <v>43703.99861</v>
      </c>
      <c r="B3059" s="1">
        <f>IFERROR(__xludf.DUMMYFUNCTION("""COMPUTED_VALUE"""),46978.52235)</f>
        <v>46978.52235</v>
      </c>
    </row>
    <row r="3060">
      <c r="A3060" s="3">
        <f>IFERROR(__xludf.DUMMYFUNCTION("""COMPUTED_VALUE"""),43704.99861111111)</f>
        <v>43704.99861</v>
      </c>
      <c r="B3060" s="1">
        <f>IFERROR(__xludf.DUMMYFUNCTION("""COMPUTED_VALUE"""),47270.97927)</f>
        <v>47270.97927</v>
      </c>
    </row>
    <row r="3061">
      <c r="A3061" s="3">
        <f>IFERROR(__xludf.DUMMYFUNCTION("""COMPUTED_VALUE"""),43705.99861111111)</f>
        <v>43705.99861</v>
      </c>
      <c r="B3061" s="1">
        <f>IFERROR(__xludf.DUMMYFUNCTION("""COMPUTED_VALUE"""),47119.52571)</f>
        <v>47119.52571</v>
      </c>
    </row>
    <row r="3062">
      <c r="A3062" s="3">
        <f>IFERROR(__xludf.DUMMYFUNCTION("""COMPUTED_VALUE"""),43706.99861111111)</f>
        <v>43706.99861</v>
      </c>
      <c r="B3062" s="1">
        <f>IFERROR(__xludf.DUMMYFUNCTION("""COMPUTED_VALUE"""),46862.2413)</f>
        <v>46862.2413</v>
      </c>
    </row>
    <row r="3063">
      <c r="A3063" s="3">
        <f>IFERROR(__xludf.DUMMYFUNCTION("""COMPUTED_VALUE"""),43707.99861111111)</f>
        <v>43707.99861</v>
      </c>
      <c r="B3063" s="1">
        <f>IFERROR(__xludf.DUMMYFUNCTION("""COMPUTED_VALUE"""),46660.07828)</f>
        <v>46660.07828</v>
      </c>
    </row>
    <row r="3064">
      <c r="A3064" s="3">
        <f>IFERROR(__xludf.DUMMYFUNCTION("""COMPUTED_VALUE"""),43708.99861111111)</f>
        <v>43708.99861</v>
      </c>
      <c r="B3064" s="1">
        <f>IFERROR(__xludf.DUMMYFUNCTION("""COMPUTED_VALUE"""),46737.6528)</f>
        <v>46737.6528</v>
      </c>
    </row>
    <row r="3065">
      <c r="A3065" s="3">
        <f>IFERROR(__xludf.DUMMYFUNCTION("""COMPUTED_VALUE"""),43709.99861111111)</f>
        <v>43709.99861</v>
      </c>
      <c r="B3065" s="1">
        <f>IFERROR(__xludf.DUMMYFUNCTION("""COMPUTED_VALUE"""),46653.50042)</f>
        <v>46653.50042</v>
      </c>
    </row>
    <row r="3066">
      <c r="A3066" s="3">
        <f>IFERROR(__xludf.DUMMYFUNCTION("""COMPUTED_VALUE"""),43710.99861111111)</f>
        <v>43710.99861</v>
      </c>
      <c r="B3066" s="1">
        <f>IFERROR(__xludf.DUMMYFUNCTION("""COMPUTED_VALUE"""),46991.09975)</f>
        <v>46991.09975</v>
      </c>
    </row>
    <row r="3067">
      <c r="A3067" s="3">
        <f>IFERROR(__xludf.DUMMYFUNCTION("""COMPUTED_VALUE"""),43711.99861111111)</f>
        <v>43711.99861</v>
      </c>
      <c r="B3067" s="1">
        <f>IFERROR(__xludf.DUMMYFUNCTION("""COMPUTED_VALUE"""),46957.25269)</f>
        <v>46957.25269</v>
      </c>
    </row>
    <row r="3068">
      <c r="A3068" s="3">
        <f>IFERROR(__xludf.DUMMYFUNCTION("""COMPUTED_VALUE"""),43712.99861111111)</f>
        <v>43712.99861</v>
      </c>
      <c r="B3068" s="1">
        <f>IFERROR(__xludf.DUMMYFUNCTION("""COMPUTED_VALUE"""),46699.002)</f>
        <v>46699.002</v>
      </c>
    </row>
    <row r="3069">
      <c r="A3069" s="3">
        <f>IFERROR(__xludf.DUMMYFUNCTION("""COMPUTED_VALUE"""),43713.99861111111)</f>
        <v>43713.99861</v>
      </c>
      <c r="B3069" s="1">
        <f>IFERROR(__xludf.DUMMYFUNCTION("""COMPUTED_VALUE"""),46642.86226)</f>
        <v>46642.86226</v>
      </c>
    </row>
    <row r="3070">
      <c r="A3070" s="3">
        <f>IFERROR(__xludf.DUMMYFUNCTION("""COMPUTED_VALUE"""),43714.99861111111)</f>
        <v>43714.99861</v>
      </c>
      <c r="B3070" s="1">
        <f>IFERROR(__xludf.DUMMYFUNCTION("""COMPUTED_VALUE"""),46288.66043)</f>
        <v>46288.66043</v>
      </c>
    </row>
    <row r="3071">
      <c r="A3071" s="3">
        <f>IFERROR(__xludf.DUMMYFUNCTION("""COMPUTED_VALUE"""),43715.99861111111)</f>
        <v>43715.99861</v>
      </c>
      <c r="B3071" s="1">
        <f>IFERROR(__xludf.DUMMYFUNCTION("""COMPUTED_VALUE"""),46739.51259)</f>
        <v>46739.51259</v>
      </c>
    </row>
    <row r="3072">
      <c r="A3072" s="3">
        <f>IFERROR(__xludf.DUMMYFUNCTION("""COMPUTED_VALUE"""),43716.99861111111)</f>
        <v>43716.99861</v>
      </c>
      <c r="B3072" s="1">
        <f>IFERROR(__xludf.DUMMYFUNCTION("""COMPUTED_VALUE"""),46380.38682)</f>
        <v>46380.38682</v>
      </c>
    </row>
    <row r="3073">
      <c r="A3073" s="3">
        <f>IFERROR(__xludf.DUMMYFUNCTION("""COMPUTED_VALUE"""),43717.99861111111)</f>
        <v>43717.99861</v>
      </c>
      <c r="B3073" s="1">
        <f>IFERROR(__xludf.DUMMYFUNCTION("""COMPUTED_VALUE"""),46163.3931)</f>
        <v>46163.3931</v>
      </c>
    </row>
    <row r="3074">
      <c r="A3074" s="3">
        <f>IFERROR(__xludf.DUMMYFUNCTION("""COMPUTED_VALUE"""),43718.99861111111)</f>
        <v>43718.99861</v>
      </c>
      <c r="B3074" s="1">
        <f>IFERROR(__xludf.DUMMYFUNCTION("""COMPUTED_VALUE"""),46389.75198)</f>
        <v>46389.75198</v>
      </c>
    </row>
    <row r="3075">
      <c r="A3075" s="3">
        <f>IFERROR(__xludf.DUMMYFUNCTION("""COMPUTED_VALUE"""),43719.99861111111)</f>
        <v>43719.99861</v>
      </c>
      <c r="B3075" s="1">
        <f>IFERROR(__xludf.DUMMYFUNCTION("""COMPUTED_VALUE"""),46429.09038)</f>
        <v>46429.09038</v>
      </c>
    </row>
    <row r="3076">
      <c r="A3076" s="3">
        <f>IFERROR(__xludf.DUMMYFUNCTION("""COMPUTED_VALUE"""),43720.99861111111)</f>
        <v>43720.99861</v>
      </c>
      <c r="B3076" s="1">
        <f>IFERROR(__xludf.DUMMYFUNCTION("""COMPUTED_VALUE"""),46032.696)</f>
        <v>46032.696</v>
      </c>
    </row>
    <row r="3077">
      <c r="A3077" s="3">
        <f>IFERROR(__xludf.DUMMYFUNCTION("""COMPUTED_VALUE"""),43721.99861111111)</f>
        <v>43721.99861</v>
      </c>
      <c r="B3077" s="1">
        <f>IFERROR(__xludf.DUMMYFUNCTION("""COMPUTED_VALUE"""),45952.53075)</f>
        <v>45952.53075</v>
      </c>
    </row>
    <row r="3078">
      <c r="A3078" s="3">
        <f>IFERROR(__xludf.DUMMYFUNCTION("""COMPUTED_VALUE"""),43722.99861111111)</f>
        <v>43722.99861</v>
      </c>
      <c r="B3078" s="1">
        <f>IFERROR(__xludf.DUMMYFUNCTION("""COMPUTED_VALUE"""),45952.53075)</f>
        <v>45952.53075</v>
      </c>
    </row>
    <row r="3079">
      <c r="A3079" s="3">
        <f>IFERROR(__xludf.DUMMYFUNCTION("""COMPUTED_VALUE"""),43723.99861111111)</f>
        <v>43723.99861</v>
      </c>
      <c r="B3079" s="1">
        <f>IFERROR(__xludf.DUMMYFUNCTION("""COMPUTED_VALUE"""),45952.53075)</f>
        <v>45952.53075</v>
      </c>
    </row>
    <row r="3080">
      <c r="A3080" s="3">
        <f>IFERROR(__xludf.DUMMYFUNCTION("""COMPUTED_VALUE"""),43724.99861111111)</f>
        <v>43724.99861</v>
      </c>
      <c r="B3080" s="1">
        <f>IFERROR(__xludf.DUMMYFUNCTION("""COMPUTED_VALUE"""),46635.57314)</f>
        <v>46635.57314</v>
      </c>
    </row>
    <row r="3081">
      <c r="A3081" s="3">
        <f>IFERROR(__xludf.DUMMYFUNCTION("""COMPUTED_VALUE"""),43725.99861111111)</f>
        <v>43725.99861</v>
      </c>
      <c r="B3081" s="1">
        <f>IFERROR(__xludf.DUMMYFUNCTION("""COMPUTED_VALUE"""),46476.90774)</f>
        <v>46476.90774</v>
      </c>
    </row>
    <row r="3082">
      <c r="A3082" s="3">
        <f>IFERROR(__xludf.DUMMYFUNCTION("""COMPUTED_VALUE"""),43726.99861111111)</f>
        <v>43726.99861</v>
      </c>
      <c r="B3082" s="1">
        <f>IFERROR(__xludf.DUMMYFUNCTION("""COMPUTED_VALUE"""),46483.461)</f>
        <v>46483.461</v>
      </c>
    </row>
    <row r="3083">
      <c r="A3083" s="3">
        <f>IFERROR(__xludf.DUMMYFUNCTION("""COMPUTED_VALUE"""),43727.99861111111)</f>
        <v>43727.99861</v>
      </c>
      <c r="B3083" s="1">
        <f>IFERROR(__xludf.DUMMYFUNCTION("""COMPUTED_VALUE"""),46592.98)</f>
        <v>46592.98</v>
      </c>
    </row>
    <row r="3084">
      <c r="A3084" s="3">
        <f>IFERROR(__xludf.DUMMYFUNCTION("""COMPUTED_VALUE"""),43728.99861111111)</f>
        <v>43728.99861</v>
      </c>
      <c r="B3084" s="1">
        <f>IFERROR(__xludf.DUMMYFUNCTION("""COMPUTED_VALUE"""),46438.87919)</f>
        <v>46438.87919</v>
      </c>
    </row>
    <row r="3085">
      <c r="A3085" s="3">
        <f>IFERROR(__xludf.DUMMYFUNCTION("""COMPUTED_VALUE"""),43729.99861111111)</f>
        <v>43729.99861</v>
      </c>
      <c r="B3085" s="1">
        <f>IFERROR(__xludf.DUMMYFUNCTION("""COMPUTED_VALUE"""),46438.87919)</f>
        <v>46438.87919</v>
      </c>
    </row>
    <row r="3086">
      <c r="A3086" s="3">
        <f>IFERROR(__xludf.DUMMYFUNCTION("""COMPUTED_VALUE"""),43730.99861111111)</f>
        <v>43730.99861</v>
      </c>
      <c r="B3086" s="1">
        <f>IFERROR(__xludf.DUMMYFUNCTION("""COMPUTED_VALUE"""),46279.22176)</f>
        <v>46279.22176</v>
      </c>
    </row>
    <row r="3087">
      <c r="A3087" s="3">
        <f>IFERROR(__xludf.DUMMYFUNCTION("""COMPUTED_VALUE"""),43731.99861111111)</f>
        <v>43731.99861</v>
      </c>
      <c r="B3087" s="1">
        <f>IFERROR(__xludf.DUMMYFUNCTION("""COMPUTED_VALUE"""),46380.4965)</f>
        <v>46380.4965</v>
      </c>
    </row>
    <row r="3088">
      <c r="A3088" s="3">
        <f>IFERROR(__xludf.DUMMYFUNCTION("""COMPUTED_VALUE"""),43732.99861111111)</f>
        <v>43732.99861</v>
      </c>
      <c r="B3088" s="1">
        <f>IFERROR(__xludf.DUMMYFUNCTION("""COMPUTED_VALUE"""),46698.31183)</f>
        <v>46698.31183</v>
      </c>
    </row>
    <row r="3089">
      <c r="A3089" s="3">
        <f>IFERROR(__xludf.DUMMYFUNCTION("""COMPUTED_VALUE"""),43733.99861111111)</f>
        <v>43733.99861</v>
      </c>
      <c r="B3089" s="1">
        <f>IFERROR(__xludf.DUMMYFUNCTION("""COMPUTED_VALUE"""),46591.705)</f>
        <v>46591.705</v>
      </c>
    </row>
    <row r="3090">
      <c r="A3090" s="3">
        <f>IFERROR(__xludf.DUMMYFUNCTION("""COMPUTED_VALUE"""),43734.99861111111)</f>
        <v>43734.99861</v>
      </c>
      <c r="B3090" s="1">
        <f>IFERROR(__xludf.DUMMYFUNCTION("""COMPUTED_VALUE"""),46897.80256)</f>
        <v>46897.80256</v>
      </c>
    </row>
    <row r="3091">
      <c r="A3091" s="3">
        <f>IFERROR(__xludf.DUMMYFUNCTION("""COMPUTED_VALUE"""),43735.99861111111)</f>
        <v>43735.99861</v>
      </c>
      <c r="B3091" s="1">
        <f>IFERROR(__xludf.DUMMYFUNCTION("""COMPUTED_VALUE"""),46653.33942)</f>
        <v>46653.33942</v>
      </c>
    </row>
    <row r="3092">
      <c r="A3092" s="3">
        <f>IFERROR(__xludf.DUMMYFUNCTION("""COMPUTED_VALUE"""),43736.99861111111)</f>
        <v>43736.99861</v>
      </c>
      <c r="B3092" s="1">
        <f>IFERROR(__xludf.DUMMYFUNCTION("""COMPUTED_VALUE"""),46651.2102)</f>
        <v>46651.2102</v>
      </c>
    </row>
    <row r="3093">
      <c r="A3093" s="3">
        <f>IFERROR(__xludf.DUMMYFUNCTION("""COMPUTED_VALUE"""),43737.99861111111)</f>
        <v>43737.99861</v>
      </c>
      <c r="B3093" s="1">
        <f>IFERROR(__xludf.DUMMYFUNCTION("""COMPUTED_VALUE"""),46557.09705)</f>
        <v>46557.09705</v>
      </c>
    </row>
    <row r="3094">
      <c r="A3094" s="3">
        <f>IFERROR(__xludf.DUMMYFUNCTION("""COMPUTED_VALUE"""),43738.99861111111)</f>
        <v>43738.99861</v>
      </c>
      <c r="B3094" s="1">
        <f>IFERROR(__xludf.DUMMYFUNCTION("""COMPUTED_VALUE"""),46841.21205)</f>
        <v>46841.21205</v>
      </c>
    </row>
    <row r="3095">
      <c r="A3095" s="3">
        <f>IFERROR(__xludf.DUMMYFUNCTION("""COMPUTED_VALUE"""),43739.99861111111)</f>
        <v>43739.99861</v>
      </c>
      <c r="B3095" s="1">
        <f>IFERROR(__xludf.DUMMYFUNCTION("""COMPUTED_VALUE"""),46666.9642)</f>
        <v>46666.9642</v>
      </c>
    </row>
    <row r="3096">
      <c r="A3096" s="3">
        <f>IFERROR(__xludf.DUMMYFUNCTION("""COMPUTED_VALUE"""),43740.99861111111)</f>
        <v>43740.99861</v>
      </c>
      <c r="B3096" s="1">
        <f>IFERROR(__xludf.DUMMYFUNCTION("""COMPUTED_VALUE"""),46744.84475)</f>
        <v>46744.84475</v>
      </c>
    </row>
    <row r="3097">
      <c r="A3097" s="3">
        <f>IFERROR(__xludf.DUMMYFUNCTION("""COMPUTED_VALUE"""),43741.99861111111)</f>
        <v>43741.99861</v>
      </c>
      <c r="B3097" s="1">
        <f>IFERROR(__xludf.DUMMYFUNCTION("""COMPUTED_VALUE"""),46746.2352)</f>
        <v>46746.2352</v>
      </c>
    </row>
    <row r="3098">
      <c r="A3098" s="3">
        <f>IFERROR(__xludf.DUMMYFUNCTION("""COMPUTED_VALUE"""),43742.99861111111)</f>
        <v>43742.99861</v>
      </c>
      <c r="B3098" s="1">
        <f>IFERROR(__xludf.DUMMYFUNCTION("""COMPUTED_VALUE"""),46459.1647)</f>
        <v>46459.1647</v>
      </c>
    </row>
    <row r="3099">
      <c r="A3099" s="3">
        <f>IFERROR(__xludf.DUMMYFUNCTION("""COMPUTED_VALUE"""),43743.99861111111)</f>
        <v>43743.99861</v>
      </c>
      <c r="B3099" s="1">
        <f>IFERROR(__xludf.DUMMYFUNCTION("""COMPUTED_VALUE"""),46473.2987)</f>
        <v>46473.2987</v>
      </c>
    </row>
    <row r="3100">
      <c r="A3100" s="3">
        <f>IFERROR(__xludf.DUMMYFUNCTION("""COMPUTED_VALUE"""),43744.99861111111)</f>
        <v>43744.99861</v>
      </c>
      <c r="B3100" s="1">
        <f>IFERROR(__xludf.DUMMYFUNCTION("""COMPUTED_VALUE"""),46466.12685)</f>
        <v>46466.12685</v>
      </c>
    </row>
    <row r="3101">
      <c r="A3101" s="3">
        <f>IFERROR(__xludf.DUMMYFUNCTION("""COMPUTED_VALUE"""),43745.99861111111)</f>
        <v>43745.99861</v>
      </c>
      <c r="B3101" s="1">
        <f>IFERROR(__xludf.DUMMYFUNCTION("""COMPUTED_VALUE"""),46844.73497)</f>
        <v>46844.73497</v>
      </c>
    </row>
    <row r="3102">
      <c r="A3102" s="3">
        <f>IFERROR(__xludf.DUMMYFUNCTION("""COMPUTED_VALUE"""),43746.99861111111)</f>
        <v>43746.99861</v>
      </c>
      <c r="B3102" s="1">
        <f>IFERROR(__xludf.DUMMYFUNCTION("""COMPUTED_VALUE"""),46747.9783)</f>
        <v>46747.9783</v>
      </c>
    </row>
    <row r="3103">
      <c r="A3103" s="3">
        <f>IFERROR(__xludf.DUMMYFUNCTION("""COMPUTED_VALUE"""),43747.99861111111)</f>
        <v>43747.99861</v>
      </c>
      <c r="B3103" s="1">
        <f>IFERROR(__xludf.DUMMYFUNCTION("""COMPUTED_VALUE"""),46612.9235)</f>
        <v>46612.9235</v>
      </c>
    </row>
    <row r="3104">
      <c r="A3104" s="3">
        <f>IFERROR(__xludf.DUMMYFUNCTION("""COMPUTED_VALUE"""),43748.99861111111)</f>
        <v>43748.99861</v>
      </c>
      <c r="B3104" s="1">
        <f>IFERROR(__xludf.DUMMYFUNCTION("""COMPUTED_VALUE"""),46550.1736)</f>
        <v>46550.1736</v>
      </c>
    </row>
    <row r="3105">
      <c r="A3105" s="3">
        <f>IFERROR(__xludf.DUMMYFUNCTION("""COMPUTED_VALUE"""),43749.99861111111)</f>
        <v>43749.99861</v>
      </c>
      <c r="B3105" s="1">
        <f>IFERROR(__xludf.DUMMYFUNCTION("""COMPUTED_VALUE"""),46529.53386)</f>
        <v>46529.53386</v>
      </c>
    </row>
    <row r="3106">
      <c r="A3106" s="3">
        <f>IFERROR(__xludf.DUMMYFUNCTION("""COMPUTED_VALUE"""),43750.99861111111)</f>
        <v>43750.99861</v>
      </c>
      <c r="B3106" s="1">
        <f>IFERROR(__xludf.DUMMYFUNCTION("""COMPUTED_VALUE"""),46528.55868)</f>
        <v>46528.55868</v>
      </c>
    </row>
    <row r="3107">
      <c r="A3107" s="3">
        <f>IFERROR(__xludf.DUMMYFUNCTION("""COMPUTED_VALUE"""),43751.99861111111)</f>
        <v>43751.99861</v>
      </c>
      <c r="B3107" s="1">
        <f>IFERROR(__xludf.DUMMYFUNCTION("""COMPUTED_VALUE"""),46511.93316)</f>
        <v>46511.93316</v>
      </c>
    </row>
    <row r="3108">
      <c r="A3108" s="3">
        <f>IFERROR(__xludf.DUMMYFUNCTION("""COMPUTED_VALUE"""),43752.99861111111)</f>
        <v>43752.99861</v>
      </c>
      <c r="B3108" s="1">
        <f>IFERROR(__xludf.DUMMYFUNCTION("""COMPUTED_VALUE"""),46421.48162)</f>
        <v>46421.48162</v>
      </c>
    </row>
    <row r="3109">
      <c r="A3109" s="3">
        <f>IFERROR(__xludf.DUMMYFUNCTION("""COMPUTED_VALUE"""),43753.99861111111)</f>
        <v>43753.99861</v>
      </c>
      <c r="B3109" s="1">
        <f>IFERROR(__xludf.DUMMYFUNCTION("""COMPUTED_VALUE"""),46765.35666)</f>
        <v>46765.35666</v>
      </c>
    </row>
    <row r="3110">
      <c r="A3110" s="3">
        <f>IFERROR(__xludf.DUMMYFUNCTION("""COMPUTED_VALUE"""),43754.99861111111)</f>
        <v>43754.99861</v>
      </c>
      <c r="B3110" s="1">
        <f>IFERROR(__xludf.DUMMYFUNCTION("""COMPUTED_VALUE"""),46797.48553)</f>
        <v>46797.48553</v>
      </c>
    </row>
    <row r="3111">
      <c r="A3111" s="3">
        <f>IFERROR(__xludf.DUMMYFUNCTION("""COMPUTED_VALUE"""),43755.99861111111)</f>
        <v>43755.99861</v>
      </c>
      <c r="B3111" s="1">
        <f>IFERROR(__xludf.DUMMYFUNCTION("""COMPUTED_VALUE"""),46756.76871)</f>
        <v>46756.76871</v>
      </c>
    </row>
    <row r="3112">
      <c r="A3112" s="3">
        <f>IFERROR(__xludf.DUMMYFUNCTION("""COMPUTED_VALUE"""),43756.99861111111)</f>
        <v>43756.99861</v>
      </c>
      <c r="B3112" s="1">
        <f>IFERROR(__xludf.DUMMYFUNCTION("""COMPUTED_VALUE"""),46571.79821)</f>
        <v>46571.79821</v>
      </c>
    </row>
    <row r="3113">
      <c r="A3113" s="3">
        <f>IFERROR(__xludf.DUMMYFUNCTION("""COMPUTED_VALUE"""),43757.99861111111)</f>
        <v>43757.99861</v>
      </c>
      <c r="B3113" s="1">
        <f>IFERROR(__xludf.DUMMYFUNCTION("""COMPUTED_VALUE"""),46571.61455)</f>
        <v>46571.61455</v>
      </c>
    </row>
    <row r="3114">
      <c r="A3114" s="3">
        <f>IFERROR(__xludf.DUMMYFUNCTION("""COMPUTED_VALUE"""),43758.99861111111)</f>
        <v>43758.99861</v>
      </c>
      <c r="B3114" s="1">
        <f>IFERROR(__xludf.DUMMYFUNCTION("""COMPUTED_VALUE"""),46629.30369)</f>
        <v>46629.30369</v>
      </c>
    </row>
    <row r="3115">
      <c r="A3115" s="3">
        <f>IFERROR(__xludf.DUMMYFUNCTION("""COMPUTED_VALUE"""),43759.99861111111)</f>
        <v>43759.99861</v>
      </c>
      <c r="B3115" s="1">
        <f>IFERROR(__xludf.DUMMYFUNCTION("""COMPUTED_VALUE"""),46533.95794)</f>
        <v>46533.95794</v>
      </c>
    </row>
    <row r="3116">
      <c r="A3116" s="3">
        <f>IFERROR(__xludf.DUMMYFUNCTION("""COMPUTED_VALUE"""),43760.99861111111)</f>
        <v>43760.99861</v>
      </c>
      <c r="B3116" s="1">
        <f>IFERROR(__xludf.DUMMYFUNCTION("""COMPUTED_VALUE"""),46316.27487)</f>
        <v>46316.27487</v>
      </c>
    </row>
    <row r="3117">
      <c r="A3117" s="3">
        <f>IFERROR(__xludf.DUMMYFUNCTION("""COMPUTED_VALUE"""),43761.99861111111)</f>
        <v>43761.99861</v>
      </c>
      <c r="B3117" s="1">
        <f>IFERROR(__xludf.DUMMYFUNCTION("""COMPUTED_VALUE"""),46171.36156)</f>
        <v>46171.36156</v>
      </c>
    </row>
    <row r="3118">
      <c r="A3118" s="3">
        <f>IFERROR(__xludf.DUMMYFUNCTION("""COMPUTED_VALUE"""),43762.99861111111)</f>
        <v>43762.99861</v>
      </c>
      <c r="B3118" s="1">
        <f>IFERROR(__xludf.DUMMYFUNCTION("""COMPUTED_VALUE"""),46421.66357)</f>
        <v>46421.66357</v>
      </c>
    </row>
    <row r="3119">
      <c r="A3119" s="3">
        <f>IFERROR(__xludf.DUMMYFUNCTION("""COMPUTED_VALUE"""),43763.99861111111)</f>
        <v>43763.99861</v>
      </c>
      <c r="B3119" s="1">
        <f>IFERROR(__xludf.DUMMYFUNCTION("""COMPUTED_VALUE"""),46211.83749)</f>
        <v>46211.83749</v>
      </c>
    </row>
    <row r="3120">
      <c r="A3120" s="3">
        <f>IFERROR(__xludf.DUMMYFUNCTION("""COMPUTED_VALUE"""),43764.99861111111)</f>
        <v>43764.99861</v>
      </c>
      <c r="B3120" s="1">
        <f>IFERROR(__xludf.DUMMYFUNCTION("""COMPUTED_VALUE"""),46218.60236)</f>
        <v>46218.60236</v>
      </c>
    </row>
    <row r="3121">
      <c r="A3121" s="3">
        <f>IFERROR(__xludf.DUMMYFUNCTION("""COMPUTED_VALUE"""),43765.99861111111)</f>
        <v>43765.99861</v>
      </c>
      <c r="B3121" s="1">
        <f>IFERROR(__xludf.DUMMYFUNCTION("""COMPUTED_VALUE"""),46218.60236)</f>
        <v>46218.60236</v>
      </c>
    </row>
    <row r="3122">
      <c r="A3122" s="3">
        <f>IFERROR(__xludf.DUMMYFUNCTION("""COMPUTED_VALUE"""),43766.99861111111)</f>
        <v>43766.99861</v>
      </c>
      <c r="B3122" s="1">
        <f>IFERROR(__xludf.DUMMYFUNCTION("""COMPUTED_VALUE"""),46127.2713)</f>
        <v>46127.2713</v>
      </c>
    </row>
    <row r="3123">
      <c r="A3123" s="3">
        <f>IFERROR(__xludf.DUMMYFUNCTION("""COMPUTED_VALUE"""),43767.99861111111)</f>
        <v>43767.99861</v>
      </c>
      <c r="B3123" s="1">
        <f>IFERROR(__xludf.DUMMYFUNCTION("""COMPUTED_VALUE"""),46338.61685)</f>
        <v>46338.61685</v>
      </c>
    </row>
    <row r="3124">
      <c r="A3124" s="3">
        <f>IFERROR(__xludf.DUMMYFUNCTION("""COMPUTED_VALUE"""),43768.99861111111)</f>
        <v>43768.99861</v>
      </c>
      <c r="B3124" s="1">
        <f>IFERROR(__xludf.DUMMYFUNCTION("""COMPUTED_VALUE"""),46302.72436)</f>
        <v>46302.72436</v>
      </c>
    </row>
    <row r="3125">
      <c r="A3125" s="3">
        <f>IFERROR(__xludf.DUMMYFUNCTION("""COMPUTED_VALUE"""),43769.99861111111)</f>
        <v>43769.99861</v>
      </c>
      <c r="B3125" s="1">
        <f>IFERROR(__xludf.DUMMYFUNCTION("""COMPUTED_VALUE"""),46500.8499)</f>
        <v>46500.8499</v>
      </c>
    </row>
    <row r="3126">
      <c r="A3126" s="3">
        <f>IFERROR(__xludf.DUMMYFUNCTION("""COMPUTED_VALUE"""),43770.99861111111)</f>
        <v>43770.99861</v>
      </c>
      <c r="B3126" s="1">
        <f>IFERROR(__xludf.DUMMYFUNCTION("""COMPUTED_VALUE"""),46131.5253)</f>
        <v>46131.5253</v>
      </c>
    </row>
    <row r="3127">
      <c r="A3127" s="3">
        <f>IFERROR(__xludf.DUMMYFUNCTION("""COMPUTED_VALUE"""),43771.99861111111)</f>
        <v>43771.99861</v>
      </c>
      <c r="B3127" s="1">
        <f>IFERROR(__xludf.DUMMYFUNCTION("""COMPUTED_VALUE"""),46104.40062)</f>
        <v>46104.40062</v>
      </c>
    </row>
    <row r="3128">
      <c r="A3128" s="3">
        <f>IFERROR(__xludf.DUMMYFUNCTION("""COMPUTED_VALUE"""),43772.99861111111)</f>
        <v>43772.99861</v>
      </c>
      <c r="B3128" s="1">
        <f>IFERROR(__xludf.DUMMYFUNCTION("""COMPUTED_VALUE"""),46237.0517)</f>
        <v>46237.0517</v>
      </c>
    </row>
    <row r="3129">
      <c r="A3129" s="3">
        <f>IFERROR(__xludf.DUMMYFUNCTION("""COMPUTED_VALUE"""),43773.99861111111)</f>
        <v>43773.99861</v>
      </c>
      <c r="B3129" s="1">
        <f>IFERROR(__xludf.DUMMYFUNCTION("""COMPUTED_VALUE"""),46329.56516)</f>
        <v>46329.56516</v>
      </c>
    </row>
    <row r="3130">
      <c r="A3130" s="3">
        <f>IFERROR(__xludf.DUMMYFUNCTION("""COMPUTED_VALUE"""),43774.99861111111)</f>
        <v>43774.99861</v>
      </c>
      <c r="B3130" s="1">
        <f>IFERROR(__xludf.DUMMYFUNCTION("""COMPUTED_VALUE"""),46189.92426)</f>
        <v>46189.92426</v>
      </c>
    </row>
    <row r="3131">
      <c r="A3131" s="3">
        <f>IFERROR(__xludf.DUMMYFUNCTION("""COMPUTED_VALUE"""),43775.99861111111)</f>
        <v>43775.99861</v>
      </c>
      <c r="B3131" s="1">
        <f>IFERROR(__xludf.DUMMYFUNCTION("""COMPUTED_VALUE"""),46145.90112)</f>
        <v>46145.90112</v>
      </c>
    </row>
    <row r="3132">
      <c r="A3132" s="3">
        <f>IFERROR(__xludf.DUMMYFUNCTION("""COMPUTED_VALUE"""),43776.99861111111)</f>
        <v>43776.99861</v>
      </c>
      <c r="B3132" s="1">
        <f>IFERROR(__xludf.DUMMYFUNCTION("""COMPUTED_VALUE"""),46328.31692)</f>
        <v>46328.31692</v>
      </c>
    </row>
    <row r="3133">
      <c r="A3133" s="3">
        <f>IFERROR(__xludf.DUMMYFUNCTION("""COMPUTED_VALUE"""),43777.99861111111)</f>
        <v>43777.99861</v>
      </c>
      <c r="B3133" s="1">
        <f>IFERROR(__xludf.DUMMYFUNCTION("""COMPUTED_VALUE"""),46122.32212)</f>
        <v>46122.32212</v>
      </c>
    </row>
    <row r="3134">
      <c r="A3134" s="3">
        <f>IFERROR(__xludf.DUMMYFUNCTION("""COMPUTED_VALUE"""),43778.99861111111)</f>
        <v>43778.99861</v>
      </c>
      <c r="B3134" s="1">
        <f>IFERROR(__xludf.DUMMYFUNCTION("""COMPUTED_VALUE"""),46122.32212)</f>
        <v>46122.32212</v>
      </c>
    </row>
    <row r="3135">
      <c r="A3135" s="3">
        <f>IFERROR(__xludf.DUMMYFUNCTION("""COMPUTED_VALUE"""),43779.99861111111)</f>
        <v>43779.99861</v>
      </c>
      <c r="B3135" s="1">
        <f>IFERROR(__xludf.DUMMYFUNCTION("""COMPUTED_VALUE"""),46135.74957)</f>
        <v>46135.74957</v>
      </c>
    </row>
    <row r="3136">
      <c r="A3136" s="3">
        <f>IFERROR(__xludf.DUMMYFUNCTION("""COMPUTED_VALUE"""),43780.99861111111)</f>
        <v>43780.99861</v>
      </c>
      <c r="B3136" s="1">
        <f>IFERROR(__xludf.DUMMYFUNCTION("""COMPUTED_VALUE"""),46087.36637)</f>
        <v>46087.36637</v>
      </c>
    </row>
    <row r="3137">
      <c r="A3137" s="3">
        <f>IFERROR(__xludf.DUMMYFUNCTION("""COMPUTED_VALUE"""),43781.99861111111)</f>
        <v>43781.99861</v>
      </c>
      <c r="B3137" s="1">
        <f>IFERROR(__xludf.DUMMYFUNCTION("""COMPUTED_VALUE"""),46298.013)</f>
        <v>46298.013</v>
      </c>
    </row>
    <row r="3138">
      <c r="A3138" s="3">
        <f>IFERROR(__xludf.DUMMYFUNCTION("""COMPUTED_VALUE"""),43782.99861111111)</f>
        <v>43782.99861</v>
      </c>
      <c r="B3138" s="1">
        <f>IFERROR(__xludf.DUMMYFUNCTION("""COMPUTED_VALUE"""),46359.58243)</f>
        <v>46359.58243</v>
      </c>
    </row>
    <row r="3139">
      <c r="A3139" s="3">
        <f>IFERROR(__xludf.DUMMYFUNCTION("""COMPUTED_VALUE"""),43783.99861111111)</f>
        <v>43783.99861</v>
      </c>
      <c r="B3139" s="1">
        <f>IFERROR(__xludf.DUMMYFUNCTION("""COMPUTED_VALUE"""),46378.27107)</f>
        <v>46378.27107</v>
      </c>
    </row>
    <row r="3140">
      <c r="A3140" s="3">
        <f>IFERROR(__xludf.DUMMYFUNCTION("""COMPUTED_VALUE"""),43784.99861111111)</f>
        <v>43784.99861</v>
      </c>
      <c r="B3140" s="1">
        <f>IFERROR(__xludf.DUMMYFUNCTION("""COMPUTED_VALUE"""),46337.55171)</f>
        <v>46337.55171</v>
      </c>
    </row>
    <row r="3141">
      <c r="A3141" s="3">
        <f>IFERROR(__xludf.DUMMYFUNCTION("""COMPUTED_VALUE"""),43785.99861111111)</f>
        <v>43785.99861</v>
      </c>
      <c r="B3141" s="1">
        <f>IFERROR(__xludf.DUMMYFUNCTION("""COMPUTED_VALUE"""),46331.85689)</f>
        <v>46331.85689</v>
      </c>
    </row>
    <row r="3142">
      <c r="A3142" s="3">
        <f>IFERROR(__xludf.DUMMYFUNCTION("""COMPUTED_VALUE"""),43786.99861111111)</f>
        <v>43786.99861</v>
      </c>
      <c r="B3142" s="1">
        <f>IFERROR(__xludf.DUMMYFUNCTION("""COMPUTED_VALUE"""),46249.42161)</f>
        <v>46249.42161</v>
      </c>
    </row>
    <row r="3143">
      <c r="A3143" s="3">
        <f>IFERROR(__xludf.DUMMYFUNCTION("""COMPUTED_VALUE"""),43787.99861111111)</f>
        <v>43787.99861</v>
      </c>
      <c r="B3143" s="1">
        <f>IFERROR(__xludf.DUMMYFUNCTION("""COMPUTED_VALUE"""),46300.46216)</f>
        <v>46300.46216</v>
      </c>
    </row>
    <row r="3144">
      <c r="A3144" s="3">
        <f>IFERROR(__xludf.DUMMYFUNCTION("""COMPUTED_VALUE"""),43788.99861111111)</f>
        <v>43788.99861</v>
      </c>
      <c r="B3144" s="1">
        <f>IFERROR(__xludf.DUMMYFUNCTION("""COMPUTED_VALUE"""),46396.22832)</f>
        <v>46396.22832</v>
      </c>
    </row>
    <row r="3145">
      <c r="A3145" s="3">
        <f>IFERROR(__xludf.DUMMYFUNCTION("""COMPUTED_VALUE"""),43789.99861111111)</f>
        <v>43789.99861</v>
      </c>
      <c r="B3145" s="1">
        <f>IFERROR(__xludf.DUMMYFUNCTION("""COMPUTED_VALUE"""),46585.99677)</f>
        <v>46585.99677</v>
      </c>
    </row>
    <row r="3146">
      <c r="A3146" s="3">
        <f>IFERROR(__xludf.DUMMYFUNCTION("""COMPUTED_VALUE"""),43790.99861111111)</f>
        <v>43790.99861</v>
      </c>
      <c r="B3146" s="1">
        <f>IFERROR(__xludf.DUMMYFUNCTION("""COMPUTED_VALUE"""),46363.95089)</f>
        <v>46363.95089</v>
      </c>
    </row>
    <row r="3147">
      <c r="A3147" s="3">
        <f>IFERROR(__xludf.DUMMYFUNCTION("""COMPUTED_VALUE"""),43791.99861111111)</f>
        <v>43791.99861</v>
      </c>
      <c r="B3147" s="1">
        <f>IFERROR(__xludf.DUMMYFUNCTION("""COMPUTED_VALUE"""),46390.45012)</f>
        <v>46390.45012</v>
      </c>
    </row>
    <row r="3148">
      <c r="A3148" s="3">
        <f>IFERROR(__xludf.DUMMYFUNCTION("""COMPUTED_VALUE"""),43792.99861111111)</f>
        <v>43792.99861</v>
      </c>
      <c r="B3148" s="1">
        <f>IFERROR(__xludf.DUMMYFUNCTION("""COMPUTED_VALUE"""),46390.45012)</f>
        <v>46390.45012</v>
      </c>
    </row>
    <row r="3149">
      <c r="A3149" s="3">
        <f>IFERROR(__xludf.DUMMYFUNCTION("""COMPUTED_VALUE"""),43793.99861111111)</f>
        <v>43793.99861</v>
      </c>
      <c r="B3149" s="1">
        <f>IFERROR(__xludf.DUMMYFUNCTION("""COMPUTED_VALUE"""),46378.76444)</f>
        <v>46378.76444</v>
      </c>
    </row>
    <row r="3150">
      <c r="A3150" s="3">
        <f>IFERROR(__xludf.DUMMYFUNCTION("""COMPUTED_VALUE"""),43794.99861111111)</f>
        <v>43794.99861</v>
      </c>
      <c r="B3150" s="1">
        <f>IFERROR(__xludf.DUMMYFUNCTION("""COMPUTED_VALUE"""),46321.85659)</f>
        <v>46321.85659</v>
      </c>
    </row>
    <row r="3151">
      <c r="A3151" s="3">
        <f>IFERROR(__xludf.DUMMYFUNCTION("""COMPUTED_VALUE"""),43795.99861111111)</f>
        <v>43795.99861</v>
      </c>
      <c r="B3151" s="1">
        <f>IFERROR(__xludf.DUMMYFUNCTION("""COMPUTED_VALUE"""),46334.52306)</f>
        <v>46334.52306</v>
      </c>
    </row>
    <row r="3152">
      <c r="A3152" s="3">
        <f>IFERROR(__xludf.DUMMYFUNCTION("""COMPUTED_VALUE"""),43796.99861111111)</f>
        <v>43796.99861</v>
      </c>
      <c r="B3152" s="1">
        <f>IFERROR(__xludf.DUMMYFUNCTION("""COMPUTED_VALUE"""),46353.89174)</f>
        <v>46353.89174</v>
      </c>
    </row>
    <row r="3153">
      <c r="A3153" s="3">
        <f>IFERROR(__xludf.DUMMYFUNCTION("""COMPUTED_VALUE"""),43797.99861111111)</f>
        <v>43797.99861</v>
      </c>
      <c r="B3153" s="1">
        <f>IFERROR(__xludf.DUMMYFUNCTION("""COMPUTED_VALUE"""),46317.14547)</f>
        <v>46317.14547</v>
      </c>
    </row>
    <row r="3154">
      <c r="A3154" s="3">
        <f>IFERROR(__xludf.DUMMYFUNCTION("""COMPUTED_VALUE"""),43798.99861111111)</f>
        <v>43798.99861</v>
      </c>
      <c r="B3154" s="1">
        <f>IFERROR(__xludf.DUMMYFUNCTION("""COMPUTED_VALUE"""),46295.94438)</f>
        <v>46295.94438</v>
      </c>
    </row>
    <row r="3155">
      <c r="A3155" s="3">
        <f>IFERROR(__xludf.DUMMYFUNCTION("""COMPUTED_VALUE"""),43799.99861111111)</f>
        <v>43799.99861</v>
      </c>
      <c r="B3155" s="1">
        <f>IFERROR(__xludf.DUMMYFUNCTION("""COMPUTED_VALUE"""),46308.03476)</f>
        <v>46308.03476</v>
      </c>
    </row>
    <row r="3156">
      <c r="A3156" s="3">
        <f>IFERROR(__xludf.DUMMYFUNCTION("""COMPUTED_VALUE"""),43800.99861111111)</f>
        <v>43800.99861</v>
      </c>
      <c r="B3156" s="1">
        <f>IFERROR(__xludf.DUMMYFUNCTION("""COMPUTED_VALUE"""),46281.8541)</f>
        <v>46281.8541</v>
      </c>
    </row>
    <row r="3157">
      <c r="A3157" s="3">
        <f>IFERROR(__xludf.DUMMYFUNCTION("""COMPUTED_VALUE"""),43801.99861111111)</f>
        <v>43801.99861</v>
      </c>
      <c r="B3157" s="1">
        <f>IFERROR(__xludf.DUMMYFUNCTION("""COMPUTED_VALUE"""),46460.53717)</f>
        <v>46460.53717</v>
      </c>
    </row>
    <row r="3158">
      <c r="A3158" s="3">
        <f>IFERROR(__xludf.DUMMYFUNCTION("""COMPUTED_VALUE"""),43802.99861111111)</f>
        <v>43802.99861</v>
      </c>
      <c r="B3158" s="1">
        <f>IFERROR(__xludf.DUMMYFUNCTION("""COMPUTED_VALUE"""),46402.50205)</f>
        <v>46402.50205</v>
      </c>
    </row>
    <row r="3159">
      <c r="A3159" s="3">
        <f>IFERROR(__xludf.DUMMYFUNCTION("""COMPUTED_VALUE"""),43803.99861111111)</f>
        <v>43803.99861</v>
      </c>
      <c r="B3159" s="1">
        <f>IFERROR(__xludf.DUMMYFUNCTION("""COMPUTED_VALUE"""),46091.55983)</f>
        <v>46091.55983</v>
      </c>
    </row>
    <row r="3160">
      <c r="A3160" s="3">
        <f>IFERROR(__xludf.DUMMYFUNCTION("""COMPUTED_VALUE"""),43804.99861111111)</f>
        <v>43804.99861</v>
      </c>
      <c r="B3160" s="1">
        <f>IFERROR(__xludf.DUMMYFUNCTION("""COMPUTED_VALUE"""),46006.3104)</f>
        <v>46006.3104</v>
      </c>
    </row>
    <row r="3161">
      <c r="A3161" s="3">
        <f>IFERROR(__xludf.DUMMYFUNCTION("""COMPUTED_VALUE"""),43805.99861111111)</f>
        <v>43805.99861</v>
      </c>
      <c r="B3161" s="1">
        <f>IFERROR(__xludf.DUMMYFUNCTION("""COMPUTED_VALUE"""),46191.99193)</f>
        <v>46191.99193</v>
      </c>
    </row>
    <row r="3162">
      <c r="A3162" s="3">
        <f>IFERROR(__xludf.DUMMYFUNCTION("""COMPUTED_VALUE"""),43806.99861111111)</f>
        <v>43806.99861</v>
      </c>
      <c r="B3162" s="1">
        <f>IFERROR(__xludf.DUMMYFUNCTION("""COMPUTED_VALUE"""),46191.99193)</f>
        <v>46191.99193</v>
      </c>
    </row>
    <row r="3163">
      <c r="A3163" s="3">
        <f>IFERROR(__xludf.DUMMYFUNCTION("""COMPUTED_VALUE"""),43807.99861111111)</f>
        <v>43807.99861</v>
      </c>
      <c r="B3163" s="1">
        <f>IFERROR(__xludf.DUMMYFUNCTION("""COMPUTED_VALUE"""),46201.87335)</f>
        <v>46201.87335</v>
      </c>
    </row>
    <row r="3164">
      <c r="A3164" s="3">
        <f>IFERROR(__xludf.DUMMYFUNCTION("""COMPUTED_VALUE"""),43808.99861111111)</f>
        <v>43808.99861</v>
      </c>
      <c r="B3164" s="1">
        <f>IFERROR(__xludf.DUMMYFUNCTION("""COMPUTED_VALUE"""),46121.60937)</f>
        <v>46121.60937</v>
      </c>
    </row>
    <row r="3165">
      <c r="A3165" s="3">
        <f>IFERROR(__xludf.DUMMYFUNCTION("""COMPUTED_VALUE"""),43809.99861111111)</f>
        <v>43809.99861</v>
      </c>
      <c r="B3165" s="1">
        <f>IFERROR(__xludf.DUMMYFUNCTION("""COMPUTED_VALUE"""),46194.0303)</f>
        <v>46194.0303</v>
      </c>
    </row>
    <row r="3166">
      <c r="A3166" s="3">
        <f>IFERROR(__xludf.DUMMYFUNCTION("""COMPUTED_VALUE"""),43810.99861111111)</f>
        <v>43810.99861</v>
      </c>
      <c r="B3166" s="1">
        <f>IFERROR(__xludf.DUMMYFUNCTION("""COMPUTED_VALUE"""),46051.86993)</f>
        <v>46051.86993</v>
      </c>
    </row>
    <row r="3167">
      <c r="A3167" s="3">
        <f>IFERROR(__xludf.DUMMYFUNCTION("""COMPUTED_VALUE"""),43811.99861111111)</f>
        <v>43811.99861</v>
      </c>
      <c r="B3167" s="1">
        <f>IFERROR(__xludf.DUMMYFUNCTION("""COMPUTED_VALUE"""),46174.29712)</f>
        <v>46174.29712</v>
      </c>
    </row>
    <row r="3168">
      <c r="A3168" s="3">
        <f>IFERROR(__xludf.DUMMYFUNCTION("""COMPUTED_VALUE"""),43812.99861111111)</f>
        <v>43812.99861</v>
      </c>
      <c r="B3168" s="1">
        <f>IFERROR(__xludf.DUMMYFUNCTION("""COMPUTED_VALUE"""),46074.57836)</f>
        <v>46074.57836</v>
      </c>
    </row>
    <row r="3169">
      <c r="A3169" s="3">
        <f>IFERROR(__xludf.DUMMYFUNCTION("""COMPUTED_VALUE"""),43813.99861111111)</f>
        <v>43813.99861</v>
      </c>
      <c r="B3169" s="1">
        <f>IFERROR(__xludf.DUMMYFUNCTION("""COMPUTED_VALUE"""),46074.57836)</f>
        <v>46074.57836</v>
      </c>
    </row>
    <row r="3170">
      <c r="A3170" s="3">
        <f>IFERROR(__xludf.DUMMYFUNCTION("""COMPUTED_VALUE"""),43814.99861111111)</f>
        <v>43814.99861</v>
      </c>
      <c r="B3170" s="1">
        <f>IFERROR(__xludf.DUMMYFUNCTION("""COMPUTED_VALUE"""),46072.66595)</f>
        <v>46072.66595</v>
      </c>
    </row>
    <row r="3171">
      <c r="A3171" s="3">
        <f>IFERROR(__xludf.DUMMYFUNCTION("""COMPUTED_VALUE"""),43815.99861111111)</f>
        <v>43815.99861</v>
      </c>
      <c r="B3171" s="1">
        <f>IFERROR(__xludf.DUMMYFUNCTION("""COMPUTED_VALUE"""),46186.84345)</f>
        <v>46186.84345</v>
      </c>
    </row>
    <row r="3172">
      <c r="A3172" s="3">
        <f>IFERROR(__xludf.DUMMYFUNCTION("""COMPUTED_VALUE"""),43816.99861111111)</f>
        <v>43816.99861</v>
      </c>
      <c r="B3172" s="1">
        <f>IFERROR(__xludf.DUMMYFUNCTION("""COMPUTED_VALUE"""),46184.07578)</f>
        <v>46184.07578</v>
      </c>
    </row>
    <row r="3173">
      <c r="A3173" s="3">
        <f>IFERROR(__xludf.DUMMYFUNCTION("""COMPUTED_VALUE"""),43817.99861111111)</f>
        <v>43817.99861</v>
      </c>
      <c r="B3173" s="1">
        <f>IFERROR(__xludf.DUMMYFUNCTION("""COMPUTED_VALUE"""),46034.93472)</f>
        <v>46034.93472</v>
      </c>
    </row>
    <row r="3174">
      <c r="A3174" s="3">
        <f>IFERROR(__xludf.DUMMYFUNCTION("""COMPUTED_VALUE"""),43818.99861111111)</f>
        <v>43818.99861</v>
      </c>
      <c r="B3174" s="1">
        <f>IFERROR(__xludf.DUMMYFUNCTION("""COMPUTED_VALUE"""),46053.48255)</f>
        <v>46053.48255</v>
      </c>
    </row>
    <row r="3175">
      <c r="A3175" s="3">
        <f>IFERROR(__xludf.DUMMYFUNCTION("""COMPUTED_VALUE"""),43819.99861111111)</f>
        <v>43819.99861</v>
      </c>
      <c r="B3175" s="1">
        <f>IFERROR(__xludf.DUMMYFUNCTION("""COMPUTED_VALUE"""),46002.99782)</f>
        <v>46002.99782</v>
      </c>
    </row>
    <row r="3176">
      <c r="A3176" s="3">
        <f>IFERROR(__xludf.DUMMYFUNCTION("""COMPUTED_VALUE"""),43820.99861111111)</f>
        <v>43820.99861</v>
      </c>
      <c r="B3176" s="1">
        <f>IFERROR(__xludf.DUMMYFUNCTION("""COMPUTED_VALUE"""),46002.99782)</f>
        <v>46002.99782</v>
      </c>
    </row>
    <row r="3177">
      <c r="A3177" s="3">
        <f>IFERROR(__xludf.DUMMYFUNCTION("""COMPUTED_VALUE"""),43821.99861111111)</f>
        <v>43821.99861</v>
      </c>
      <c r="B3177" s="1">
        <f>IFERROR(__xludf.DUMMYFUNCTION("""COMPUTED_VALUE"""),45987.55016)</f>
        <v>45987.55016</v>
      </c>
    </row>
    <row r="3178">
      <c r="A3178" s="3">
        <f>IFERROR(__xludf.DUMMYFUNCTION("""COMPUTED_VALUE"""),43822.99861111111)</f>
        <v>43822.99861</v>
      </c>
      <c r="B3178" s="1">
        <f>IFERROR(__xludf.DUMMYFUNCTION("""COMPUTED_VALUE"""),45972.60666)</f>
        <v>45972.60666</v>
      </c>
    </row>
    <row r="3179">
      <c r="A3179" s="3">
        <f>IFERROR(__xludf.DUMMYFUNCTION("""COMPUTED_VALUE"""),43823.99861111111)</f>
        <v>43823.99861</v>
      </c>
      <c r="B3179" s="1">
        <f>IFERROR(__xludf.DUMMYFUNCTION("""COMPUTED_VALUE"""),46040.60923)</f>
        <v>46040.60923</v>
      </c>
    </row>
    <row r="3180">
      <c r="A3180" s="3">
        <f>IFERROR(__xludf.DUMMYFUNCTION("""COMPUTED_VALUE"""),43824.99861111111)</f>
        <v>43824.99861</v>
      </c>
      <c r="B3180" s="1">
        <f>IFERROR(__xludf.DUMMYFUNCTION("""COMPUTED_VALUE"""),46052.24751)</f>
        <v>46052.24751</v>
      </c>
    </row>
    <row r="3181">
      <c r="A3181" s="3">
        <f>IFERROR(__xludf.DUMMYFUNCTION("""COMPUTED_VALUE"""),43825.99861111111)</f>
        <v>43825.99861</v>
      </c>
      <c r="B3181" s="1">
        <f>IFERROR(__xludf.DUMMYFUNCTION("""COMPUTED_VALUE"""),45980.21786)</f>
        <v>45980.21786</v>
      </c>
    </row>
    <row r="3182">
      <c r="A3182" s="3">
        <f>IFERROR(__xludf.DUMMYFUNCTION("""COMPUTED_VALUE"""),43826.99861111111)</f>
        <v>43826.99861</v>
      </c>
      <c r="B3182" s="1">
        <f>IFERROR(__xludf.DUMMYFUNCTION("""COMPUTED_VALUE"""),45991.88833)</f>
        <v>45991.88833</v>
      </c>
    </row>
    <row r="3183">
      <c r="A3183" s="3">
        <f>IFERROR(__xludf.DUMMYFUNCTION("""COMPUTED_VALUE"""),43827.99861111111)</f>
        <v>43827.99861</v>
      </c>
      <c r="B3183" s="1">
        <f>IFERROR(__xludf.DUMMYFUNCTION("""COMPUTED_VALUE"""),45991.88833)</f>
        <v>45991.88833</v>
      </c>
    </row>
    <row r="3184">
      <c r="A3184" s="3">
        <f>IFERROR(__xludf.DUMMYFUNCTION("""COMPUTED_VALUE"""),43828.99861111111)</f>
        <v>43828.99861</v>
      </c>
      <c r="B3184" s="1">
        <f>IFERROR(__xludf.DUMMYFUNCTION("""COMPUTED_VALUE"""),45998.97356)</f>
        <v>45998.97356</v>
      </c>
    </row>
    <row r="3185">
      <c r="A3185" s="3">
        <f>IFERROR(__xludf.DUMMYFUNCTION("""COMPUTED_VALUE"""),43829.99861111111)</f>
        <v>43829.99861</v>
      </c>
      <c r="B3185" s="1">
        <f>IFERROR(__xludf.DUMMYFUNCTION("""COMPUTED_VALUE"""),45919.87092)</f>
        <v>45919.87092</v>
      </c>
    </row>
    <row r="3186">
      <c r="A3186" s="3">
        <f>IFERROR(__xludf.DUMMYFUNCTION("""COMPUTED_VALUE"""),43830.99861111111)</f>
        <v>43830.99861</v>
      </c>
      <c r="B3186" s="1">
        <f>IFERROR(__xludf.DUMMYFUNCTION("""COMPUTED_VALUE"""),45789.10496)</f>
        <v>45789.10496</v>
      </c>
    </row>
    <row r="3187">
      <c r="A3187" s="3">
        <f>IFERROR(__xludf.DUMMYFUNCTION("""COMPUTED_VALUE"""),43831.99861111111)</f>
        <v>43831.99861</v>
      </c>
      <c r="B3187" s="1">
        <f>IFERROR(__xludf.DUMMYFUNCTION("""COMPUTED_VALUE"""),45788.25809)</f>
        <v>45788.25809</v>
      </c>
    </row>
    <row r="3188">
      <c r="A3188" s="3">
        <f>IFERROR(__xludf.DUMMYFUNCTION("""COMPUTED_VALUE"""),43832.99861111111)</f>
        <v>43832.99861</v>
      </c>
      <c r="B3188" s="1">
        <f>IFERROR(__xludf.DUMMYFUNCTION("""COMPUTED_VALUE"""),45808.09895)</f>
        <v>45808.09895</v>
      </c>
    </row>
    <row r="3189">
      <c r="A3189" s="3">
        <f>IFERROR(__xludf.DUMMYFUNCTION("""COMPUTED_VALUE"""),43833.99861111111)</f>
        <v>43833.99861</v>
      </c>
      <c r="B3189" s="1">
        <f>IFERROR(__xludf.DUMMYFUNCTION("""COMPUTED_VALUE"""),46005.14505)</f>
        <v>46005.14505</v>
      </c>
    </row>
    <row r="3190">
      <c r="A3190" s="3">
        <f>IFERROR(__xludf.DUMMYFUNCTION("""COMPUTED_VALUE"""),43834.99861111111)</f>
        <v>43834.99861</v>
      </c>
      <c r="B3190" s="1">
        <f>IFERROR(__xludf.DUMMYFUNCTION("""COMPUTED_VALUE"""),46005.14505)</f>
        <v>46005.14505</v>
      </c>
    </row>
    <row r="3191">
      <c r="A3191" s="3">
        <f>IFERROR(__xludf.DUMMYFUNCTION("""COMPUTED_VALUE"""),43835.99861111111)</f>
        <v>43835.99861</v>
      </c>
      <c r="B3191" s="1">
        <f>IFERROR(__xludf.DUMMYFUNCTION("""COMPUTED_VALUE"""),46002.6398)</f>
        <v>46002.6398</v>
      </c>
    </row>
    <row r="3192">
      <c r="A3192" s="3">
        <f>IFERROR(__xludf.DUMMYFUNCTION("""COMPUTED_VALUE"""),43836.99861111111)</f>
        <v>43836.99861</v>
      </c>
      <c r="B3192" s="1">
        <f>IFERROR(__xludf.DUMMYFUNCTION("""COMPUTED_VALUE"""),45924.50484)</f>
        <v>45924.50484</v>
      </c>
    </row>
    <row r="3193">
      <c r="A3193" s="3">
        <f>IFERROR(__xludf.DUMMYFUNCTION("""COMPUTED_VALUE"""),43837.99861111111)</f>
        <v>43837.99861</v>
      </c>
      <c r="B3193" s="1">
        <f>IFERROR(__xludf.DUMMYFUNCTION("""COMPUTED_VALUE"""),45744.67705)</f>
        <v>45744.67705</v>
      </c>
    </row>
    <row r="3194">
      <c r="A3194" s="3">
        <f>IFERROR(__xludf.DUMMYFUNCTION("""COMPUTED_VALUE"""),43838.99861111111)</f>
        <v>43838.99861</v>
      </c>
      <c r="B3194" s="1">
        <f>IFERROR(__xludf.DUMMYFUNCTION("""COMPUTED_VALUE"""),45787.61658)</f>
        <v>45787.61658</v>
      </c>
    </row>
    <row r="3195">
      <c r="A3195" s="3">
        <f>IFERROR(__xludf.DUMMYFUNCTION("""COMPUTED_VALUE"""),43839.99861111111)</f>
        <v>43839.99861</v>
      </c>
      <c r="B3195" s="1">
        <f>IFERROR(__xludf.DUMMYFUNCTION("""COMPUTED_VALUE"""),45572.22527)</f>
        <v>45572.22527</v>
      </c>
    </row>
    <row r="3196">
      <c r="A3196" s="3">
        <f>IFERROR(__xludf.DUMMYFUNCTION("""COMPUTED_VALUE"""),43840.99861111111)</f>
        <v>43840.99861</v>
      </c>
      <c r="B3196" s="1">
        <f>IFERROR(__xludf.DUMMYFUNCTION("""COMPUTED_VALUE"""),45329.10984)</f>
        <v>45329.10984</v>
      </c>
    </row>
    <row r="3197">
      <c r="A3197" s="3">
        <f>IFERROR(__xludf.DUMMYFUNCTION("""COMPUTED_VALUE"""),43841.99861111111)</f>
        <v>43841.99861</v>
      </c>
      <c r="B3197" s="1">
        <f>IFERROR(__xludf.DUMMYFUNCTION("""COMPUTED_VALUE"""),45325.2303)</f>
        <v>45325.2303</v>
      </c>
    </row>
    <row r="3198">
      <c r="A3198" s="3">
        <f>IFERROR(__xludf.DUMMYFUNCTION("""COMPUTED_VALUE"""),43842.99861111111)</f>
        <v>43842.99861</v>
      </c>
      <c r="B3198" s="1">
        <f>IFERROR(__xludf.DUMMYFUNCTION("""COMPUTED_VALUE"""),45404.83765)</f>
        <v>45404.83765</v>
      </c>
    </row>
    <row r="3199">
      <c r="A3199" s="3">
        <f>IFERROR(__xludf.DUMMYFUNCTION("""COMPUTED_VALUE"""),43843.99861111111)</f>
        <v>43843.99861</v>
      </c>
      <c r="B3199" s="1">
        <f>IFERROR(__xludf.DUMMYFUNCTION("""COMPUTED_VALUE"""),45041.73222)</f>
        <v>45041.73222</v>
      </c>
    </row>
    <row r="3200">
      <c r="A3200" s="3">
        <f>IFERROR(__xludf.DUMMYFUNCTION("""COMPUTED_VALUE"""),43844.99861111111)</f>
        <v>43844.99861</v>
      </c>
      <c r="B3200" s="1">
        <f>IFERROR(__xludf.DUMMYFUNCTION("""COMPUTED_VALUE"""),45042.26327)</f>
        <v>45042.26327</v>
      </c>
    </row>
    <row r="3201">
      <c r="A3201" s="3">
        <f>IFERROR(__xludf.DUMMYFUNCTION("""COMPUTED_VALUE"""),43845.99861111111)</f>
        <v>43845.99861</v>
      </c>
      <c r="B3201" s="1">
        <f>IFERROR(__xludf.DUMMYFUNCTION("""COMPUTED_VALUE"""),45059.58333)</f>
        <v>45059.58333</v>
      </c>
    </row>
    <row r="3202">
      <c r="A3202" s="3">
        <f>IFERROR(__xludf.DUMMYFUNCTION("""COMPUTED_VALUE"""),43846.99861111111)</f>
        <v>43846.99861</v>
      </c>
      <c r="B3202" s="1">
        <f>IFERROR(__xludf.DUMMYFUNCTION("""COMPUTED_VALUE"""),44902.22221)</f>
        <v>44902.22221</v>
      </c>
    </row>
    <row r="3203">
      <c r="A3203" s="3">
        <f>IFERROR(__xludf.DUMMYFUNCTION("""COMPUTED_VALUE"""),43847.99861111111)</f>
        <v>43847.99861</v>
      </c>
      <c r="B3203" s="1">
        <f>IFERROR(__xludf.DUMMYFUNCTION("""COMPUTED_VALUE"""),44984.57228)</f>
        <v>44984.57228</v>
      </c>
    </row>
    <row r="3204">
      <c r="A3204" s="3">
        <f>IFERROR(__xludf.DUMMYFUNCTION("""COMPUTED_VALUE"""),43848.99861111111)</f>
        <v>43848.99861</v>
      </c>
      <c r="B3204" s="1">
        <f>IFERROR(__xludf.DUMMYFUNCTION("""COMPUTED_VALUE"""),44980.54612)</f>
        <v>44980.54612</v>
      </c>
    </row>
    <row r="3205">
      <c r="A3205" s="3">
        <f>IFERROR(__xludf.DUMMYFUNCTION("""COMPUTED_VALUE"""),43849.99861111111)</f>
        <v>43849.99861</v>
      </c>
      <c r="B3205" s="1">
        <f>IFERROR(__xludf.DUMMYFUNCTION("""COMPUTED_VALUE"""),45038.52872)</f>
        <v>45038.52872</v>
      </c>
    </row>
    <row r="3206">
      <c r="A3206" s="3">
        <f>IFERROR(__xludf.DUMMYFUNCTION("""COMPUTED_VALUE"""),43850.99861111111)</f>
        <v>43850.99861</v>
      </c>
      <c r="B3206" s="1">
        <f>IFERROR(__xludf.DUMMYFUNCTION("""COMPUTED_VALUE"""),44878.78238)</f>
        <v>44878.78238</v>
      </c>
    </row>
    <row r="3207">
      <c r="A3207" s="3">
        <f>IFERROR(__xludf.DUMMYFUNCTION("""COMPUTED_VALUE"""),43851.99861111111)</f>
        <v>43851.99861</v>
      </c>
      <c r="B3207" s="1">
        <f>IFERROR(__xludf.DUMMYFUNCTION("""COMPUTED_VALUE"""),44997.92259)</f>
        <v>44997.92259</v>
      </c>
    </row>
    <row r="3208">
      <c r="A3208" s="3">
        <f>IFERROR(__xludf.DUMMYFUNCTION("""COMPUTED_VALUE"""),43852.99861111111)</f>
        <v>43852.99861</v>
      </c>
      <c r="B3208" s="1">
        <f>IFERROR(__xludf.DUMMYFUNCTION("""COMPUTED_VALUE"""),44903.17771)</f>
        <v>44903.17771</v>
      </c>
    </row>
    <row r="3209">
      <c r="A3209" s="3">
        <f>IFERROR(__xludf.DUMMYFUNCTION("""COMPUTED_VALUE"""),43853.99861111111)</f>
        <v>43853.99861</v>
      </c>
      <c r="B3209" s="1">
        <f>IFERROR(__xludf.DUMMYFUNCTION("""COMPUTED_VALUE"""),44849.04706)</f>
        <v>44849.04706</v>
      </c>
    </row>
    <row r="3210">
      <c r="A3210" s="3">
        <f>IFERROR(__xludf.DUMMYFUNCTION("""COMPUTED_VALUE"""),43854.99861111111)</f>
        <v>43854.99861</v>
      </c>
      <c r="B3210" s="1">
        <f>IFERROR(__xludf.DUMMYFUNCTION("""COMPUTED_VALUE"""),44787.65448)</f>
        <v>44787.65448</v>
      </c>
    </row>
    <row r="3211">
      <c r="A3211" s="3">
        <f>IFERROR(__xludf.DUMMYFUNCTION("""COMPUTED_VALUE"""),43855.99861111111)</f>
        <v>43855.99861</v>
      </c>
      <c r="B3211" s="1">
        <f>IFERROR(__xludf.DUMMYFUNCTION("""COMPUTED_VALUE"""),44787.65448)</f>
        <v>44787.65448</v>
      </c>
    </row>
    <row r="3212">
      <c r="A3212" s="3">
        <f>IFERROR(__xludf.DUMMYFUNCTION("""COMPUTED_VALUE"""),43856.99861111111)</f>
        <v>43856.99861</v>
      </c>
      <c r="B3212" s="1">
        <f>IFERROR(__xludf.DUMMYFUNCTION("""COMPUTED_VALUE"""),45139.64904)</f>
        <v>45139.64904</v>
      </c>
    </row>
    <row r="3213">
      <c r="A3213" s="3">
        <f>IFERROR(__xludf.DUMMYFUNCTION("""COMPUTED_VALUE"""),43857.99861111111)</f>
        <v>43857.99861</v>
      </c>
      <c r="B3213" s="1">
        <f>IFERROR(__xludf.DUMMYFUNCTION("""COMPUTED_VALUE"""),43540.0282)</f>
        <v>43540.0282</v>
      </c>
    </row>
    <row r="3214">
      <c r="A3214" s="3">
        <f>IFERROR(__xludf.DUMMYFUNCTION("""COMPUTED_VALUE"""),43858.99861111111)</f>
        <v>43858.99861</v>
      </c>
      <c r="B3214" s="1">
        <f>IFERROR(__xludf.DUMMYFUNCTION("""COMPUTED_VALUE"""),44925.05095)</f>
        <v>44925.05095</v>
      </c>
    </row>
    <row r="3215">
      <c r="A3215" s="3">
        <f>IFERROR(__xludf.DUMMYFUNCTION("""COMPUTED_VALUE"""),43859.99861111111)</f>
        <v>43859.99861</v>
      </c>
      <c r="B3215" s="1">
        <f>IFERROR(__xludf.DUMMYFUNCTION("""COMPUTED_VALUE"""),44918.11077)</f>
        <v>44918.11077</v>
      </c>
    </row>
    <row r="3216">
      <c r="A3216" s="3">
        <f>IFERROR(__xludf.DUMMYFUNCTION("""COMPUTED_VALUE"""),43860.99861111111)</f>
        <v>43860.99861</v>
      </c>
      <c r="B3216" s="1">
        <f>IFERROR(__xludf.DUMMYFUNCTION("""COMPUTED_VALUE"""),44894.00556)</f>
        <v>44894.00556</v>
      </c>
    </row>
    <row r="3217">
      <c r="A3217" s="3">
        <f>IFERROR(__xludf.DUMMYFUNCTION("""COMPUTED_VALUE"""),43861.99861111111)</f>
        <v>43861.99861</v>
      </c>
      <c r="B3217" s="1">
        <f>IFERROR(__xludf.DUMMYFUNCTION("""COMPUTED_VALUE"""),45322.65753)</f>
        <v>45322.65753</v>
      </c>
    </row>
    <row r="3218">
      <c r="A3218" s="3">
        <f>IFERROR(__xludf.DUMMYFUNCTION("""COMPUTED_VALUE"""),43862.99861111111)</f>
        <v>43862.99861</v>
      </c>
      <c r="B3218" s="1">
        <f>IFERROR(__xludf.DUMMYFUNCTION("""COMPUTED_VALUE"""),45324.75091)</f>
        <v>45324.75091</v>
      </c>
    </row>
    <row r="3219">
      <c r="A3219" s="3">
        <f>IFERROR(__xludf.DUMMYFUNCTION("""COMPUTED_VALUE"""),43863.99861111111)</f>
        <v>43863.99861</v>
      </c>
      <c r="B3219" s="1">
        <f>IFERROR(__xludf.DUMMYFUNCTION("""COMPUTED_VALUE"""),44881.87673)</f>
        <v>44881.87673</v>
      </c>
    </row>
    <row r="3220">
      <c r="A3220" s="3">
        <f>IFERROR(__xludf.DUMMYFUNCTION("""COMPUTED_VALUE"""),43864.99861111111)</f>
        <v>43864.99861</v>
      </c>
      <c r="B3220" s="1">
        <f>IFERROR(__xludf.DUMMYFUNCTION("""COMPUTED_VALUE"""),45174.16823)</f>
        <v>45174.16823</v>
      </c>
    </row>
    <row r="3221">
      <c r="A3221" s="3">
        <f>IFERROR(__xludf.DUMMYFUNCTION("""COMPUTED_VALUE"""),43865.99861111111)</f>
        <v>43865.99861</v>
      </c>
      <c r="B3221" s="1">
        <f>IFERROR(__xludf.DUMMYFUNCTION("""COMPUTED_VALUE"""),45085.3276)</f>
        <v>45085.3276</v>
      </c>
    </row>
    <row r="3222">
      <c r="A3222" s="3">
        <f>IFERROR(__xludf.DUMMYFUNCTION("""COMPUTED_VALUE"""),43866.99861111111)</f>
        <v>43866.99861</v>
      </c>
      <c r="B3222" s="1">
        <f>IFERROR(__xludf.DUMMYFUNCTION("""COMPUTED_VALUE"""),44976.13423)</f>
        <v>44976.13423</v>
      </c>
    </row>
    <row r="3223">
      <c r="A3223" s="3">
        <f>IFERROR(__xludf.DUMMYFUNCTION("""COMPUTED_VALUE"""),43867.99861111111)</f>
        <v>43867.99861</v>
      </c>
      <c r="B3223" s="1">
        <f>IFERROR(__xludf.DUMMYFUNCTION("""COMPUTED_VALUE"""),45072.35904)</f>
        <v>45072.35904</v>
      </c>
    </row>
    <row r="3224">
      <c r="A3224" s="3">
        <f>IFERROR(__xludf.DUMMYFUNCTION("""COMPUTED_VALUE"""),43868.99861111111)</f>
        <v>43868.99861</v>
      </c>
      <c r="B3224" s="1">
        <f>IFERROR(__xludf.DUMMYFUNCTION("""COMPUTED_VALUE"""),44976.00024)</f>
        <v>44976.00024</v>
      </c>
    </row>
    <row r="3225">
      <c r="A3225" s="3">
        <f>IFERROR(__xludf.DUMMYFUNCTION("""COMPUTED_VALUE"""),43869.99861111111)</f>
        <v>43869.99861</v>
      </c>
      <c r="B3225" s="1">
        <f>IFERROR(__xludf.DUMMYFUNCTION("""COMPUTED_VALUE"""),44976.00024)</f>
        <v>44976.00024</v>
      </c>
    </row>
    <row r="3226">
      <c r="A3226" s="3">
        <f>IFERROR(__xludf.DUMMYFUNCTION("""COMPUTED_VALUE"""),43870.99861111111)</f>
        <v>43870.99861</v>
      </c>
      <c r="B3226" s="1">
        <f>IFERROR(__xludf.DUMMYFUNCTION("""COMPUTED_VALUE"""),44971.72674)</f>
        <v>44971.72674</v>
      </c>
    </row>
    <row r="3227">
      <c r="A3227" s="3">
        <f>IFERROR(__xludf.DUMMYFUNCTION("""COMPUTED_VALUE"""),43871.99861111111)</f>
        <v>43871.99861</v>
      </c>
      <c r="B3227" s="1">
        <f>IFERROR(__xludf.DUMMYFUNCTION("""COMPUTED_VALUE"""),45084.45058)</f>
        <v>45084.45058</v>
      </c>
    </row>
    <row r="3228">
      <c r="A3228" s="3">
        <f>IFERROR(__xludf.DUMMYFUNCTION("""COMPUTED_VALUE"""),43872.99861111111)</f>
        <v>43872.99861</v>
      </c>
      <c r="B3228" s="1">
        <f>IFERROR(__xludf.DUMMYFUNCTION("""COMPUTED_VALUE"""),44942.00016)</f>
        <v>44942.00016</v>
      </c>
    </row>
    <row r="3229">
      <c r="A3229" s="3">
        <f>IFERROR(__xludf.DUMMYFUNCTION("""COMPUTED_VALUE"""),43873.99861111111)</f>
        <v>43873.99861</v>
      </c>
      <c r="B3229" s="1">
        <f>IFERROR(__xludf.DUMMYFUNCTION("""COMPUTED_VALUE"""),44987.31384)</f>
        <v>44987.31384</v>
      </c>
    </row>
    <row r="3230">
      <c r="A3230" s="3">
        <f>IFERROR(__xludf.DUMMYFUNCTION("""COMPUTED_VALUE"""),43874.99861111111)</f>
        <v>43874.99861</v>
      </c>
      <c r="B3230" s="1">
        <f>IFERROR(__xludf.DUMMYFUNCTION("""COMPUTED_VALUE"""),45102.0649)</f>
        <v>45102.0649</v>
      </c>
    </row>
    <row r="3231">
      <c r="A3231" s="3">
        <f>IFERROR(__xludf.DUMMYFUNCTION("""COMPUTED_VALUE"""),43875.99861111111)</f>
        <v>43875.99861</v>
      </c>
      <c r="B3231" s="1">
        <f>IFERROR(__xludf.DUMMYFUNCTION("""COMPUTED_VALUE"""),44911.67944)</f>
        <v>44911.67944</v>
      </c>
    </row>
    <row r="3232">
      <c r="A3232" s="3">
        <f>IFERROR(__xludf.DUMMYFUNCTION("""COMPUTED_VALUE"""),43876.99861111111)</f>
        <v>43876.99861</v>
      </c>
      <c r="B3232" s="1">
        <f>IFERROR(__xludf.DUMMYFUNCTION("""COMPUTED_VALUE"""),44911.67944)</f>
        <v>44911.67944</v>
      </c>
    </row>
    <row r="3233">
      <c r="A3233" s="3">
        <f>IFERROR(__xludf.DUMMYFUNCTION("""COMPUTED_VALUE"""),43877.99861111111)</f>
        <v>43877.99861</v>
      </c>
      <c r="B3233" s="1">
        <f>IFERROR(__xludf.DUMMYFUNCTION("""COMPUTED_VALUE"""),44885.96643)</f>
        <v>44885.96643</v>
      </c>
    </row>
    <row r="3234">
      <c r="A3234" s="3">
        <f>IFERROR(__xludf.DUMMYFUNCTION("""COMPUTED_VALUE"""),43878.99861111111)</f>
        <v>43878.99861</v>
      </c>
      <c r="B3234" s="1">
        <f>IFERROR(__xludf.DUMMYFUNCTION("""COMPUTED_VALUE"""),45037.71737)</f>
        <v>45037.71737</v>
      </c>
    </row>
    <row r="3235">
      <c r="A3235" s="3">
        <f>IFERROR(__xludf.DUMMYFUNCTION("""COMPUTED_VALUE"""),43879.99861111111)</f>
        <v>43879.99861</v>
      </c>
      <c r="B3235" s="1">
        <f>IFERROR(__xludf.DUMMYFUNCTION("""COMPUTED_VALUE"""),45109.74529)</f>
        <v>45109.74529</v>
      </c>
    </row>
    <row r="3236">
      <c r="A3236" s="3">
        <f>IFERROR(__xludf.DUMMYFUNCTION("""COMPUTED_VALUE"""),43880.99861111111)</f>
        <v>43880.99861</v>
      </c>
      <c r="B3236" s="1">
        <f>IFERROR(__xludf.DUMMYFUNCTION("""COMPUTED_VALUE"""),44678.90975)</f>
        <v>44678.90975</v>
      </c>
    </row>
    <row r="3237">
      <c r="A3237" s="3">
        <f>IFERROR(__xludf.DUMMYFUNCTION("""COMPUTED_VALUE"""),43881.99861111111)</f>
        <v>43881.99861</v>
      </c>
      <c r="B3237" s="1">
        <f>IFERROR(__xludf.DUMMYFUNCTION("""COMPUTED_VALUE"""),44811.9012)</f>
        <v>44811.9012</v>
      </c>
    </row>
    <row r="3238">
      <c r="A3238" s="3">
        <f>IFERROR(__xludf.DUMMYFUNCTION("""COMPUTED_VALUE"""),43882.99861111111)</f>
        <v>43882.99861</v>
      </c>
      <c r="B3238" s="1">
        <f>IFERROR(__xludf.DUMMYFUNCTION("""COMPUTED_VALUE"""),44944.477)</f>
        <v>44944.477</v>
      </c>
    </row>
    <row r="3239">
      <c r="A3239" s="3">
        <f>IFERROR(__xludf.DUMMYFUNCTION("""COMPUTED_VALUE"""),43883.99861111111)</f>
        <v>43883.99861</v>
      </c>
      <c r="B3239" s="1">
        <f>IFERROR(__xludf.DUMMYFUNCTION("""COMPUTED_VALUE"""),44944.477)</f>
        <v>44944.477</v>
      </c>
    </row>
    <row r="3240">
      <c r="A3240" s="3">
        <f>IFERROR(__xludf.DUMMYFUNCTION("""COMPUTED_VALUE"""),43884.99861111111)</f>
        <v>43884.99861</v>
      </c>
      <c r="B3240" s="1">
        <f>IFERROR(__xludf.DUMMYFUNCTION("""COMPUTED_VALUE"""),44947.18503)</f>
        <v>44947.18503</v>
      </c>
    </row>
    <row r="3241">
      <c r="A3241" s="3">
        <f>IFERROR(__xludf.DUMMYFUNCTION("""COMPUTED_VALUE"""),43885.99861111111)</f>
        <v>43885.99861</v>
      </c>
      <c r="B3241" s="1">
        <f>IFERROR(__xludf.DUMMYFUNCTION("""COMPUTED_VALUE"""),45389.87903)</f>
        <v>45389.87903</v>
      </c>
    </row>
    <row r="3242">
      <c r="A3242" s="3">
        <f>IFERROR(__xludf.DUMMYFUNCTION("""COMPUTED_VALUE"""),43886.99861111111)</f>
        <v>43886.99861</v>
      </c>
      <c r="B3242" s="1">
        <f>IFERROR(__xludf.DUMMYFUNCTION("""COMPUTED_VALUE"""),45964.68843)</f>
        <v>45964.68843</v>
      </c>
    </row>
    <row r="3243">
      <c r="A3243" s="3">
        <f>IFERROR(__xludf.DUMMYFUNCTION("""COMPUTED_VALUE"""),43887.99861111111)</f>
        <v>43887.99861</v>
      </c>
      <c r="B3243" s="1">
        <f>IFERROR(__xludf.DUMMYFUNCTION("""COMPUTED_VALUE"""),45562.38815)</f>
        <v>45562.38815</v>
      </c>
    </row>
    <row r="3244">
      <c r="A3244" s="3">
        <f>IFERROR(__xludf.DUMMYFUNCTION("""COMPUTED_VALUE"""),43888.99861111111)</f>
        <v>43888.99861</v>
      </c>
      <c r="B3244" s="1">
        <f>IFERROR(__xludf.DUMMYFUNCTION("""COMPUTED_VALUE"""),46811.40696)</f>
        <v>46811.40696</v>
      </c>
    </row>
    <row r="3245">
      <c r="A3245" s="3">
        <f>IFERROR(__xludf.DUMMYFUNCTION("""COMPUTED_VALUE"""),43889.99861111111)</f>
        <v>43889.99861</v>
      </c>
      <c r="B3245" s="1">
        <f>IFERROR(__xludf.DUMMYFUNCTION("""COMPUTED_VALUE"""),46783.82034)</f>
        <v>46783.82034</v>
      </c>
    </row>
    <row r="3246">
      <c r="A3246" s="3">
        <f>IFERROR(__xludf.DUMMYFUNCTION("""COMPUTED_VALUE"""),43890.99861111111)</f>
        <v>43890.99861</v>
      </c>
      <c r="B3246" s="1">
        <f>IFERROR(__xludf.DUMMYFUNCTION("""COMPUTED_VALUE"""),46783.82034)</f>
        <v>46783.82034</v>
      </c>
    </row>
    <row r="3247">
      <c r="A3247" s="3">
        <f>IFERROR(__xludf.DUMMYFUNCTION("""COMPUTED_VALUE"""),43891.99861111111)</f>
        <v>43891.99861</v>
      </c>
      <c r="B3247" s="1">
        <f>IFERROR(__xludf.DUMMYFUNCTION("""COMPUTED_VALUE"""),45680.73669)</f>
        <v>45680.73669</v>
      </c>
    </row>
    <row r="3248">
      <c r="A3248" s="3">
        <f>IFERROR(__xludf.DUMMYFUNCTION("""COMPUTED_VALUE"""),43892.99861111111)</f>
        <v>43892.99861</v>
      </c>
      <c r="B3248" s="1">
        <f>IFERROR(__xludf.DUMMYFUNCTION("""COMPUTED_VALUE"""),46520.34602)</f>
        <v>46520.34602</v>
      </c>
    </row>
    <row r="3249">
      <c r="A3249" s="3">
        <f>IFERROR(__xludf.DUMMYFUNCTION("""COMPUTED_VALUE"""),43893.99861111111)</f>
        <v>43893.99861</v>
      </c>
      <c r="B3249" s="1">
        <f>IFERROR(__xludf.DUMMYFUNCTION("""COMPUTED_VALUE"""),46419.20932)</f>
        <v>46419.20932</v>
      </c>
    </row>
    <row r="3250">
      <c r="A3250" s="3">
        <f>IFERROR(__xludf.DUMMYFUNCTION("""COMPUTED_VALUE"""),43894.99861111111)</f>
        <v>43894.99861</v>
      </c>
      <c r="B3250" s="1">
        <f>IFERROR(__xludf.DUMMYFUNCTION("""COMPUTED_VALUE"""),46286.00447)</f>
        <v>46286.00447</v>
      </c>
    </row>
    <row r="3251">
      <c r="A3251" s="3">
        <f>IFERROR(__xludf.DUMMYFUNCTION("""COMPUTED_VALUE"""),43895.99861111111)</f>
        <v>43895.99861</v>
      </c>
      <c r="B3251" s="1">
        <f>IFERROR(__xludf.DUMMYFUNCTION("""COMPUTED_VALUE"""),47345.88077)</f>
        <v>47345.88077</v>
      </c>
    </row>
    <row r="3252">
      <c r="A3252" s="3">
        <f>IFERROR(__xludf.DUMMYFUNCTION("""COMPUTED_VALUE"""),43896.99861111111)</f>
        <v>43896.99861</v>
      </c>
      <c r="B3252" s="1">
        <f>IFERROR(__xludf.DUMMYFUNCTION("""COMPUTED_VALUE"""),46668.83427)</f>
        <v>46668.83427</v>
      </c>
    </row>
    <row r="3253">
      <c r="A3253" s="3">
        <f>IFERROR(__xludf.DUMMYFUNCTION("""COMPUTED_VALUE"""),43897.99861111111)</f>
        <v>43897.99861</v>
      </c>
      <c r="B3253" s="1">
        <f>IFERROR(__xludf.DUMMYFUNCTION("""COMPUTED_VALUE"""),46677.3143)</f>
        <v>46677.3143</v>
      </c>
    </row>
    <row r="3254">
      <c r="A3254" s="3">
        <f>IFERROR(__xludf.DUMMYFUNCTION("""COMPUTED_VALUE"""),43898.99861111111)</f>
        <v>43898.99861</v>
      </c>
      <c r="B3254" s="1">
        <f>IFERROR(__xludf.DUMMYFUNCTION("""COMPUTED_VALUE"""),46676.07012)</f>
        <v>46676.07012</v>
      </c>
    </row>
    <row r="3255">
      <c r="A3255" s="3">
        <f>IFERROR(__xludf.DUMMYFUNCTION("""COMPUTED_VALUE"""),43899.99861111111)</f>
        <v>43899.99861</v>
      </c>
      <c r="B3255" s="1">
        <f>IFERROR(__xludf.DUMMYFUNCTION("""COMPUTED_VALUE"""),46207.99055)</f>
        <v>46207.99055</v>
      </c>
    </row>
    <row r="3256">
      <c r="A3256" s="3">
        <f>IFERROR(__xludf.DUMMYFUNCTION("""COMPUTED_VALUE"""),43900.99861111111)</f>
        <v>43900.99861</v>
      </c>
      <c r="B3256" s="1">
        <f>IFERROR(__xludf.DUMMYFUNCTION("""COMPUTED_VALUE"""),46659.12992)</f>
        <v>46659.12992</v>
      </c>
    </row>
    <row r="3257">
      <c r="A3257" s="3">
        <f>IFERROR(__xludf.DUMMYFUNCTION("""COMPUTED_VALUE"""),43901.99861111111)</f>
        <v>43901.99861</v>
      </c>
      <c r="B3257" s="1">
        <f>IFERROR(__xludf.DUMMYFUNCTION("""COMPUTED_VALUE"""),47411.26034)</f>
        <v>47411.26034</v>
      </c>
    </row>
    <row r="3258">
      <c r="A3258" s="3">
        <f>IFERROR(__xludf.DUMMYFUNCTION("""COMPUTED_VALUE"""),43902.99861111111)</f>
        <v>43902.99861</v>
      </c>
      <c r="B3258" s="1">
        <f>IFERROR(__xludf.DUMMYFUNCTION("""COMPUTED_VALUE"""),48306.00832)</f>
        <v>48306.00832</v>
      </c>
    </row>
    <row r="3259">
      <c r="A3259" s="3">
        <f>IFERROR(__xludf.DUMMYFUNCTION("""COMPUTED_VALUE"""),43903.99861111111)</f>
        <v>43903.99861</v>
      </c>
      <c r="B3259" s="1">
        <f>IFERROR(__xludf.DUMMYFUNCTION("""COMPUTED_VALUE"""),47532.3295)</f>
        <v>47532.3295</v>
      </c>
    </row>
    <row r="3260">
      <c r="A3260" s="3">
        <f>IFERROR(__xludf.DUMMYFUNCTION("""COMPUTED_VALUE"""),43904.99861111111)</f>
        <v>43904.99861</v>
      </c>
      <c r="B3260" s="1">
        <f>IFERROR(__xludf.DUMMYFUNCTION("""COMPUTED_VALUE"""),47532.3295)</f>
        <v>47532.3295</v>
      </c>
    </row>
    <row r="3261">
      <c r="A3261" s="3">
        <f>IFERROR(__xludf.DUMMYFUNCTION("""COMPUTED_VALUE"""),43905.99861111111)</f>
        <v>43905.99861</v>
      </c>
      <c r="B3261" s="1">
        <f>IFERROR(__xludf.DUMMYFUNCTION("""COMPUTED_VALUE"""),47507.69866)</f>
        <v>47507.69866</v>
      </c>
    </row>
    <row r="3262">
      <c r="A3262" s="3">
        <f>IFERROR(__xludf.DUMMYFUNCTION("""COMPUTED_VALUE"""),43906.99861111111)</f>
        <v>43906.99861</v>
      </c>
      <c r="B3262" s="1">
        <f>IFERROR(__xludf.DUMMYFUNCTION("""COMPUTED_VALUE"""),48150.13765)</f>
        <v>48150.13765</v>
      </c>
    </row>
    <row r="3263">
      <c r="A3263" s="3">
        <f>IFERROR(__xludf.DUMMYFUNCTION("""COMPUTED_VALUE"""),43907.99861111111)</f>
        <v>43907.99861</v>
      </c>
      <c r="B3263" s="1">
        <f>IFERROR(__xludf.DUMMYFUNCTION("""COMPUTED_VALUE"""),48878.58444)</f>
        <v>48878.58444</v>
      </c>
    </row>
    <row r="3264">
      <c r="A3264" s="3">
        <f>IFERROR(__xludf.DUMMYFUNCTION("""COMPUTED_VALUE"""),43908.99861111111)</f>
        <v>43908.99861</v>
      </c>
      <c r="B3264" s="1">
        <f>IFERROR(__xludf.DUMMYFUNCTION("""COMPUTED_VALUE"""),49935.89484)</f>
        <v>49935.89484</v>
      </c>
    </row>
    <row r="3265">
      <c r="A3265" s="3">
        <f>IFERROR(__xludf.DUMMYFUNCTION("""COMPUTED_VALUE"""),43909.99861111111)</f>
        <v>43909.99861</v>
      </c>
      <c r="B3265" s="1">
        <f>IFERROR(__xludf.DUMMYFUNCTION("""COMPUTED_VALUE"""),51151.43068)</f>
        <v>51151.43068</v>
      </c>
    </row>
    <row r="3266">
      <c r="A3266" s="3">
        <f>IFERROR(__xludf.DUMMYFUNCTION("""COMPUTED_VALUE"""),43910.99861111111)</f>
        <v>43910.99861</v>
      </c>
      <c r="B3266" s="1">
        <f>IFERROR(__xludf.DUMMYFUNCTION("""COMPUTED_VALUE"""),50914.91518)</f>
        <v>50914.91518</v>
      </c>
    </row>
    <row r="3267">
      <c r="A3267" s="3">
        <f>IFERROR(__xludf.DUMMYFUNCTION("""COMPUTED_VALUE"""),43911.99861111111)</f>
        <v>43911.99861</v>
      </c>
      <c r="B3267" s="1">
        <f>IFERROR(__xludf.DUMMYFUNCTION("""COMPUTED_VALUE"""),50887.52071)</f>
        <v>50887.52071</v>
      </c>
    </row>
    <row r="3268">
      <c r="A3268" s="3">
        <f>IFERROR(__xludf.DUMMYFUNCTION("""COMPUTED_VALUE"""),43912.99861111111)</f>
        <v>43912.99861</v>
      </c>
      <c r="B3268" s="1">
        <f>IFERROR(__xludf.DUMMYFUNCTION("""COMPUTED_VALUE"""),50887.52071)</f>
        <v>50887.52071</v>
      </c>
    </row>
    <row r="3269">
      <c r="A3269" s="3">
        <f>IFERROR(__xludf.DUMMYFUNCTION("""COMPUTED_VALUE"""),43913.99861111111)</f>
        <v>43913.99861</v>
      </c>
      <c r="B3269" s="1">
        <f>IFERROR(__xludf.DUMMYFUNCTION("""COMPUTED_VALUE"""),52876.49666)</f>
        <v>52876.49666</v>
      </c>
    </row>
    <row r="3270">
      <c r="A3270" s="3">
        <f>IFERROR(__xludf.DUMMYFUNCTION("""COMPUTED_VALUE"""),43914.99861111111)</f>
        <v>43914.99861</v>
      </c>
      <c r="B3270" s="1">
        <f>IFERROR(__xludf.DUMMYFUNCTION("""COMPUTED_VALUE"""),51911.87588)</f>
        <v>51911.87588</v>
      </c>
    </row>
    <row r="3271">
      <c r="A3271" s="3">
        <f>IFERROR(__xludf.DUMMYFUNCTION("""COMPUTED_VALUE"""),43915.99861111111)</f>
        <v>43915.99861</v>
      </c>
      <c r="B3271" s="1">
        <f>IFERROR(__xludf.DUMMYFUNCTION("""COMPUTED_VALUE"""),52167.80944)</f>
        <v>52167.80944</v>
      </c>
    </row>
    <row r="3272">
      <c r="A3272" s="3">
        <f>IFERROR(__xludf.DUMMYFUNCTION("""COMPUTED_VALUE"""),43916.99861111111)</f>
        <v>43916.99861</v>
      </c>
      <c r="B3272" s="1">
        <f>IFERROR(__xludf.DUMMYFUNCTION("""COMPUTED_VALUE"""),52463.89349)</f>
        <v>52463.89349</v>
      </c>
    </row>
    <row r="3273">
      <c r="A3273" s="3">
        <f>IFERROR(__xludf.DUMMYFUNCTION("""COMPUTED_VALUE"""),43917.99861111111)</f>
        <v>43917.99861</v>
      </c>
      <c r="B3273" s="1">
        <f>IFERROR(__xludf.DUMMYFUNCTION("""COMPUTED_VALUE"""),51141.5596)</f>
        <v>51141.5596</v>
      </c>
    </row>
    <row r="3274">
      <c r="A3274" s="3">
        <f>IFERROR(__xludf.DUMMYFUNCTION("""COMPUTED_VALUE"""),43918.99861111111)</f>
        <v>43918.99861</v>
      </c>
      <c r="B3274" s="1">
        <f>IFERROR(__xludf.DUMMYFUNCTION("""COMPUTED_VALUE"""),51141.5596)</f>
        <v>51141.5596</v>
      </c>
    </row>
    <row r="3275">
      <c r="A3275" s="3">
        <f>IFERROR(__xludf.DUMMYFUNCTION("""COMPUTED_VALUE"""),43919.99861111111)</f>
        <v>43919.99861</v>
      </c>
      <c r="B3275" s="1">
        <f>IFERROR(__xludf.DUMMYFUNCTION("""COMPUTED_VALUE"""),51031.6376)</f>
        <v>51031.6376</v>
      </c>
    </row>
    <row r="3276">
      <c r="A3276" s="3">
        <f>IFERROR(__xludf.DUMMYFUNCTION("""COMPUTED_VALUE"""),43920.99861111111)</f>
        <v>43920.99861</v>
      </c>
      <c r="B3276" s="1">
        <f>IFERROR(__xludf.DUMMYFUNCTION("""COMPUTED_VALUE"""),51957.47212)</f>
        <v>51957.47212</v>
      </c>
    </row>
    <row r="3277">
      <c r="A3277" s="3">
        <f>IFERROR(__xludf.DUMMYFUNCTION("""COMPUTED_VALUE"""),43921.99861111111)</f>
        <v>43921.99861</v>
      </c>
      <c r="B3277" s="1">
        <f>IFERROR(__xludf.DUMMYFUNCTION("""COMPUTED_VALUE"""),52017.48688)</f>
        <v>52017.48688</v>
      </c>
    </row>
    <row r="3278">
      <c r="A3278" s="3">
        <f>IFERROR(__xludf.DUMMYFUNCTION("""COMPUTED_VALUE"""),43922.99861111111)</f>
        <v>43922.99861</v>
      </c>
      <c r="B3278" s="1">
        <f>IFERROR(__xludf.DUMMYFUNCTION("""COMPUTED_VALUE"""),52454.92695)</f>
        <v>52454.92695</v>
      </c>
    </row>
    <row r="3279">
      <c r="A3279" s="3">
        <f>IFERROR(__xludf.DUMMYFUNCTION("""COMPUTED_VALUE"""),43923.99861111111)</f>
        <v>43923.99861</v>
      </c>
      <c r="B3279" s="1">
        <f>IFERROR(__xludf.DUMMYFUNCTION("""COMPUTED_VALUE"""),52697.45637)</f>
        <v>52697.45637</v>
      </c>
    </row>
    <row r="3280">
      <c r="A3280" s="3">
        <f>IFERROR(__xludf.DUMMYFUNCTION("""COMPUTED_VALUE"""),43924.99861111111)</f>
        <v>43924.99861</v>
      </c>
      <c r="B3280" s="1">
        <f>IFERROR(__xludf.DUMMYFUNCTION("""COMPUTED_VALUE"""),53499.30744)</f>
        <v>53499.30744</v>
      </c>
    </row>
    <row r="3281">
      <c r="A3281" s="3">
        <f>IFERROR(__xludf.DUMMYFUNCTION("""COMPUTED_VALUE"""),43925.99861111111)</f>
        <v>43925.99861</v>
      </c>
      <c r="B3281" s="1">
        <f>IFERROR(__xludf.DUMMYFUNCTION("""COMPUTED_VALUE"""),52668.83599)</f>
        <v>52668.83599</v>
      </c>
    </row>
    <row r="3282">
      <c r="A3282" s="3">
        <f>IFERROR(__xludf.DUMMYFUNCTION("""COMPUTED_VALUE"""),43926.99861111111)</f>
        <v>43926.99861</v>
      </c>
      <c r="B3282" s="1">
        <f>IFERROR(__xludf.DUMMYFUNCTION("""COMPUTED_VALUE"""),52813.50345)</f>
        <v>52813.50345</v>
      </c>
    </row>
    <row r="3283">
      <c r="A3283" s="3">
        <f>IFERROR(__xludf.DUMMYFUNCTION("""COMPUTED_VALUE"""),43927.99861111111)</f>
        <v>43927.99861</v>
      </c>
      <c r="B3283" s="1">
        <f>IFERROR(__xludf.DUMMYFUNCTION("""COMPUTED_VALUE"""),52468.06032)</f>
        <v>52468.06032</v>
      </c>
    </row>
    <row r="3284">
      <c r="A3284" s="3">
        <f>IFERROR(__xludf.DUMMYFUNCTION("""COMPUTED_VALUE"""),43928.99861111111)</f>
        <v>43928.99861</v>
      </c>
      <c r="B3284" s="1">
        <f>IFERROR(__xludf.DUMMYFUNCTION("""COMPUTED_VALUE"""),52202.46984)</f>
        <v>52202.46984</v>
      </c>
    </row>
    <row r="3285">
      <c r="A3285" s="3">
        <f>IFERROR(__xludf.DUMMYFUNCTION("""COMPUTED_VALUE"""),43929.99861111111)</f>
        <v>43929.99861</v>
      </c>
      <c r="B3285" s="1">
        <f>IFERROR(__xludf.DUMMYFUNCTION("""COMPUTED_VALUE"""),52029.76966)</f>
        <v>52029.76966</v>
      </c>
    </row>
    <row r="3286">
      <c r="A3286" s="3">
        <f>IFERROR(__xludf.DUMMYFUNCTION("""COMPUTED_VALUE"""),43930.99861111111)</f>
        <v>43930.99861</v>
      </c>
      <c r="B3286" s="1">
        <f>IFERROR(__xludf.DUMMYFUNCTION("""COMPUTED_VALUE"""),51011.72559)</f>
        <v>51011.72559</v>
      </c>
    </row>
    <row r="3287">
      <c r="A3287" s="3">
        <f>IFERROR(__xludf.DUMMYFUNCTION("""COMPUTED_VALUE"""),43931.99861111111)</f>
        <v>43931.99861</v>
      </c>
      <c r="B3287" s="1">
        <f>IFERROR(__xludf.DUMMYFUNCTION("""COMPUTED_VALUE"""),50810.28806)</f>
        <v>50810.28806</v>
      </c>
    </row>
    <row r="3288">
      <c r="A3288" s="3">
        <f>IFERROR(__xludf.DUMMYFUNCTION("""COMPUTED_VALUE"""),43932.99861111111)</f>
        <v>43932.99861</v>
      </c>
      <c r="B3288" s="1">
        <f>IFERROR(__xludf.DUMMYFUNCTION("""COMPUTED_VALUE"""),50621.28034)</f>
        <v>50621.28034</v>
      </c>
    </row>
    <row r="3289">
      <c r="A3289" s="3">
        <f>IFERROR(__xludf.DUMMYFUNCTION("""COMPUTED_VALUE"""),43933.99861111111)</f>
        <v>43933.99861</v>
      </c>
      <c r="B3289" s="1">
        <f>IFERROR(__xludf.DUMMYFUNCTION("""COMPUTED_VALUE"""),50816.71893)</f>
        <v>50816.71893</v>
      </c>
    </row>
    <row r="3290">
      <c r="A3290" s="3">
        <f>IFERROR(__xludf.DUMMYFUNCTION("""COMPUTED_VALUE"""),43934.99861111111)</f>
        <v>43934.99861</v>
      </c>
      <c r="B3290" s="1">
        <f>IFERROR(__xludf.DUMMYFUNCTION("""COMPUTED_VALUE"""),50477.91094)</f>
        <v>50477.91094</v>
      </c>
    </row>
    <row r="3291">
      <c r="A3291" s="3">
        <f>IFERROR(__xludf.DUMMYFUNCTION("""COMPUTED_VALUE"""),43935.99861111111)</f>
        <v>43935.99861</v>
      </c>
      <c r="B3291" s="1">
        <f>IFERROR(__xludf.DUMMYFUNCTION("""COMPUTED_VALUE"""),50029.92892)</f>
        <v>50029.92892</v>
      </c>
    </row>
    <row r="3292">
      <c r="A3292" s="3">
        <f>IFERROR(__xludf.DUMMYFUNCTION("""COMPUTED_VALUE"""),43936.99861111111)</f>
        <v>43936.99861</v>
      </c>
      <c r="B3292" s="1">
        <f>IFERROR(__xludf.DUMMYFUNCTION("""COMPUTED_VALUE"""),51071.82412)</f>
        <v>51071.82412</v>
      </c>
    </row>
    <row r="3293">
      <c r="A3293" s="3">
        <f>IFERROR(__xludf.DUMMYFUNCTION("""COMPUTED_VALUE"""),43937.99861111111)</f>
        <v>43937.99861</v>
      </c>
      <c r="B3293" s="1">
        <f>IFERROR(__xludf.DUMMYFUNCTION("""COMPUTED_VALUE"""),50021.86824)</f>
        <v>50021.86824</v>
      </c>
    </row>
    <row r="3294">
      <c r="A3294" s="3">
        <f>IFERROR(__xludf.DUMMYFUNCTION("""COMPUTED_VALUE"""),43938.99861111111)</f>
        <v>43938.99861</v>
      </c>
      <c r="B3294" s="1">
        <f>IFERROR(__xludf.DUMMYFUNCTION("""COMPUTED_VALUE"""),49534.10734)</f>
        <v>49534.10734</v>
      </c>
    </row>
    <row r="3295">
      <c r="A3295" s="3">
        <f>IFERROR(__xludf.DUMMYFUNCTION("""COMPUTED_VALUE"""),43939.99861111111)</f>
        <v>43939.99861</v>
      </c>
      <c r="B3295" s="1">
        <f>IFERROR(__xludf.DUMMYFUNCTION("""COMPUTED_VALUE"""),49818.85854)</f>
        <v>49818.85854</v>
      </c>
    </row>
    <row r="3296">
      <c r="A3296" s="3">
        <f>IFERROR(__xludf.DUMMYFUNCTION("""COMPUTED_VALUE"""),43940.99861111111)</f>
        <v>43940.99861</v>
      </c>
      <c r="B3296" s="1">
        <f>IFERROR(__xludf.DUMMYFUNCTION("""COMPUTED_VALUE"""),49494.78014)</f>
        <v>49494.78014</v>
      </c>
    </row>
    <row r="3297">
      <c r="A3297" s="3">
        <f>IFERROR(__xludf.DUMMYFUNCTION("""COMPUTED_VALUE"""),43941.99861111111)</f>
        <v>43941.99861</v>
      </c>
      <c r="B3297" s="1">
        <f>IFERROR(__xludf.DUMMYFUNCTION("""COMPUTED_VALUE"""),49382.71175)</f>
        <v>49382.71175</v>
      </c>
    </row>
    <row r="3298">
      <c r="A3298" s="3">
        <f>IFERROR(__xludf.DUMMYFUNCTION("""COMPUTED_VALUE"""),43942.99861111111)</f>
        <v>43942.99861</v>
      </c>
      <c r="B3298" s="1">
        <f>IFERROR(__xludf.DUMMYFUNCTION("""COMPUTED_VALUE"""),49447.31576)</f>
        <v>49447.31576</v>
      </c>
    </row>
    <row r="3299">
      <c r="A3299" s="3">
        <f>IFERROR(__xludf.DUMMYFUNCTION("""COMPUTED_VALUE"""),43943.99861111111)</f>
        <v>43943.99861</v>
      </c>
      <c r="B3299" s="1">
        <f>IFERROR(__xludf.DUMMYFUNCTION("""COMPUTED_VALUE"""),49408.46635)</f>
        <v>49408.46635</v>
      </c>
    </row>
    <row r="3300">
      <c r="A3300" s="3">
        <f>IFERROR(__xludf.DUMMYFUNCTION("""COMPUTED_VALUE"""),43944.99861111111)</f>
        <v>43944.99861</v>
      </c>
      <c r="B3300" s="1">
        <f>IFERROR(__xludf.DUMMYFUNCTION("""COMPUTED_VALUE"""),49362.60548)</f>
        <v>49362.60548</v>
      </c>
    </row>
    <row r="3301">
      <c r="A3301" s="3">
        <f>IFERROR(__xludf.DUMMYFUNCTION("""COMPUTED_VALUE"""),43945.99861111111)</f>
        <v>43945.99861</v>
      </c>
      <c r="B3301" s="1">
        <f>IFERROR(__xludf.DUMMYFUNCTION("""COMPUTED_VALUE"""),50118.6993)</f>
        <v>50118.6993</v>
      </c>
    </row>
    <row r="3302">
      <c r="A3302" s="3">
        <f>IFERROR(__xludf.DUMMYFUNCTION("""COMPUTED_VALUE"""),43946.99861111111)</f>
        <v>43946.99861</v>
      </c>
      <c r="B3302" s="1">
        <f>IFERROR(__xludf.DUMMYFUNCTION("""COMPUTED_VALUE"""),50038.96157)</f>
        <v>50038.96157</v>
      </c>
    </row>
    <row r="3303">
      <c r="A3303" s="3">
        <f>IFERROR(__xludf.DUMMYFUNCTION("""COMPUTED_VALUE"""),43947.99861111111)</f>
        <v>43947.99861</v>
      </c>
      <c r="B3303" s="1">
        <f>IFERROR(__xludf.DUMMYFUNCTION("""COMPUTED_VALUE"""),49509.7218)</f>
        <v>49509.7218</v>
      </c>
    </row>
    <row r="3304">
      <c r="A3304" s="3">
        <f>IFERROR(__xludf.DUMMYFUNCTION("""COMPUTED_VALUE"""),43948.99861111111)</f>
        <v>43948.99861</v>
      </c>
      <c r="B3304" s="1">
        <f>IFERROR(__xludf.DUMMYFUNCTION("""COMPUTED_VALUE"""),49328.53635)</f>
        <v>49328.53635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f>value(USD!A2)</f>
        <v>40179.99861</v>
      </c>
      <c r="B2" s="1">
        <f>value(USD!$B2)</f>
        <v>9385.6</v>
      </c>
      <c r="C2" s="1">
        <f>value(AUD!$B2)</f>
        <v>8422.63744</v>
      </c>
      <c r="D2" s="1">
        <f>value(EUR!$B2)</f>
        <v>13409.20672</v>
      </c>
      <c r="E2" s="1">
        <f>value(GBP!$B2)</f>
        <v>15189.65504</v>
      </c>
      <c r="F2" s="1">
        <f>value(CHF!$B2)</f>
        <v>9095.491104</v>
      </c>
      <c r="G2" s="1">
        <f>value(SGD!$B2)</f>
        <v>6677.760544</v>
      </c>
      <c r="H2" s="1">
        <f>value(MYR!$B2)</f>
        <v>2695.638176</v>
      </c>
      <c r="I2" s="1">
        <f>value(THB!$B2)</f>
        <v>276.8752</v>
      </c>
      <c r="J2" s="1">
        <f>value(VND!$B2)</f>
        <v>0.5154510873</v>
      </c>
      <c r="K2" s="1">
        <f>value(CNY!$B2)</f>
        <v>1369.701534</v>
      </c>
      <c r="L2" s="1">
        <f>value(HKD!$B2)</f>
        <v>1210.179264</v>
      </c>
      <c r="M2" s="1">
        <f>value(TWD!$B2)</f>
        <v>293.206144</v>
      </c>
      <c r="N2" s="1">
        <f>value(JPY!$B2)</f>
        <v>100.989056</v>
      </c>
      <c r="O2" s="1">
        <f>value(SAR!$B2)</f>
        <v>2536.142712</v>
      </c>
      <c r="P2" s="1">
        <f>value(AED!$B2)</f>
        <v>2552.399994</v>
      </c>
      <c r="Q2" s="1">
        <f>value(KWD!$B2)</f>
        <v>32794.70193</v>
      </c>
    </row>
    <row r="3">
      <c r="A3" s="4">
        <f>value(USD!A3)</f>
        <v>40182.99861</v>
      </c>
      <c r="B3" s="1">
        <f>value(USD!B3)</f>
        <v>9364.2</v>
      </c>
      <c r="C3" s="1">
        <f>value(AUD!$B3)</f>
        <v>8542.02324</v>
      </c>
      <c r="D3" s="1">
        <f>value(EUR!$B3)</f>
        <v>13505.04924</v>
      </c>
      <c r="E3" s="1">
        <f>value(GBP!$B3)</f>
        <v>15085.7262</v>
      </c>
      <c r="F3" s="1">
        <f>value(CHF!$B3)</f>
        <v>9097.226658</v>
      </c>
      <c r="G3" s="1">
        <f>value(SGD!$B3)</f>
        <v>6701.677014</v>
      </c>
      <c r="H3" s="1">
        <f>value(MYR!$B3)</f>
        <v>2717.95905</v>
      </c>
      <c r="I3" s="1">
        <f>value(THB!$B3)</f>
        <v>277.929456</v>
      </c>
      <c r="J3" s="1">
        <f>value(VND!$B3)</f>
        <v>0.5053054492</v>
      </c>
      <c r="K3" s="1">
        <f>value(CNY!$B3)</f>
        <v>1360.978552</v>
      </c>
      <c r="L3" s="1">
        <f>value(HKD!$B3)</f>
        <v>1207.232664</v>
      </c>
      <c r="M3" s="1">
        <f>value(TWD!$B3)</f>
        <v>295.534152</v>
      </c>
      <c r="N3" s="1">
        <f>value(JPY!$B3)</f>
        <v>101.227002</v>
      </c>
      <c r="O3" s="1">
        <f>value(SAR!$B3)</f>
        <v>2480.923484</v>
      </c>
      <c r="P3" s="1">
        <f>value(AED!$B3)</f>
        <v>2533.3407</v>
      </c>
      <c r="Q3" s="1">
        <f>value(KWD!$B3)</f>
        <v>32632.64781</v>
      </c>
    </row>
    <row r="4">
      <c r="A4" s="4">
        <f>value(USD!A4)</f>
        <v>40183.99861</v>
      </c>
      <c r="B4" s="1">
        <f>value(USD!B4)</f>
        <v>9305.2</v>
      </c>
      <c r="C4" s="1">
        <f>value(AUD!$B4)</f>
        <v>8478.89824</v>
      </c>
      <c r="D4" s="1">
        <f>value(EUR!$B4)</f>
        <v>13363.19772</v>
      </c>
      <c r="E4" s="1">
        <f>value(GBP!$B4)</f>
        <v>14875.47882</v>
      </c>
      <c r="F4" s="1">
        <f>value(CHF!$B4)</f>
        <v>9000.082492</v>
      </c>
      <c r="G4" s="1">
        <f>value(SGD!$B4)</f>
        <v>6657.963652</v>
      </c>
      <c r="H4" s="1">
        <f>value(MYR!$B4)</f>
        <v>2737.682892</v>
      </c>
      <c r="I4" s="1">
        <f>value(THB!$B4)</f>
        <v>279.528208</v>
      </c>
      <c r="J4" s="1">
        <f>value(VND!$B4)</f>
        <v>0.5003039337</v>
      </c>
      <c r="K4" s="1">
        <f>value(CNY!$B4)</f>
        <v>1348.054944</v>
      </c>
      <c r="L4" s="1">
        <f>value(HKD!$B4)</f>
        <v>1199.626384</v>
      </c>
      <c r="M4" s="1">
        <f>value(TWD!$B4)</f>
        <v>291.066656</v>
      </c>
      <c r="N4" s="1">
        <f>value(JPY!$B4)</f>
        <v>101.612784</v>
      </c>
      <c r="O4" s="1">
        <f>value(SAR!$B4)</f>
        <v>2458.094397</v>
      </c>
      <c r="P4" s="1">
        <f>value(AED!$B4)</f>
        <v>2509.627725</v>
      </c>
      <c r="Q4" s="1">
        <f>value(KWD!$B4)</f>
        <v>32130.01018</v>
      </c>
    </row>
    <row r="5">
      <c r="A5" s="4">
        <f>value(USD!A5)</f>
        <v>40184.99861</v>
      </c>
      <c r="B5" s="1">
        <f>value(USD!B5)</f>
        <v>9218.1</v>
      </c>
      <c r="C5" s="1">
        <f>value(AUD!$B5)</f>
        <v>8479.73019</v>
      </c>
      <c r="D5" s="1">
        <f>value(EUR!$B5)</f>
        <v>13272.22038</v>
      </c>
      <c r="E5" s="1">
        <f>value(GBP!$B5)</f>
        <v>14767.3962</v>
      </c>
      <c r="F5" s="1">
        <f>value(CHF!$B5)</f>
        <v>8966.814594</v>
      </c>
      <c r="G5" s="1">
        <f>value(SGD!$B5)</f>
        <v>6613.157121</v>
      </c>
      <c r="H5" s="1">
        <f>value(MYR!$B5)</f>
        <v>2723.672007</v>
      </c>
      <c r="I5" s="1">
        <f>value(THB!$B5)</f>
        <v>276.543</v>
      </c>
      <c r="J5" s="1">
        <f>value(VND!$B5)</f>
        <v>0.5097581076</v>
      </c>
      <c r="K5" s="1">
        <f>value(CNY!$B5)</f>
        <v>1356.103125</v>
      </c>
      <c r="L5" s="1">
        <f>value(HKD!$B5)</f>
        <v>1188.673995</v>
      </c>
      <c r="M5" s="1">
        <f>value(TWD!$B5)</f>
        <v>290.277969</v>
      </c>
      <c r="N5" s="1">
        <f>value(JPY!$B5)</f>
        <v>99.739842</v>
      </c>
      <c r="O5" s="1">
        <f>value(SAR!$B5)</f>
        <v>2472.930407</v>
      </c>
      <c r="P5" s="1">
        <f>value(AED!$B5)</f>
        <v>2523.78905</v>
      </c>
      <c r="Q5" s="1">
        <f>value(KWD!$B5)</f>
        <v>32506.56616</v>
      </c>
    </row>
    <row r="6">
      <c r="A6" s="4">
        <f>value(USD!A6)</f>
        <v>40185.99861</v>
      </c>
      <c r="B6" s="1">
        <f>value(USD!B6)</f>
        <v>9272.5</v>
      </c>
      <c r="C6" s="1">
        <f>value(AUD!$B6)</f>
        <v>8506.5915</v>
      </c>
      <c r="D6" s="1">
        <f>value(EUR!$B6)</f>
        <v>13273.58375</v>
      </c>
      <c r="E6" s="1">
        <f>value(GBP!$B6)</f>
        <v>14772.947</v>
      </c>
      <c r="F6" s="1">
        <f>value(CHF!$B6)</f>
        <v>8968.640175</v>
      </c>
      <c r="G6" s="1">
        <f>value(SGD!$B6)</f>
        <v>6631.784725</v>
      </c>
      <c r="H6" s="1">
        <f>value(MYR!$B6)</f>
        <v>2749.4817</v>
      </c>
      <c r="I6" s="1">
        <f>value(THB!$B6)</f>
        <v>278.175</v>
      </c>
      <c r="J6" s="1">
        <f>value(VND!$B6)</f>
        <v>0.5060532793</v>
      </c>
      <c r="K6" s="1">
        <f>value(CNY!$B6)</f>
        <v>1347.357375</v>
      </c>
      <c r="L6" s="1">
        <f>value(HKD!$B6)</f>
        <v>1195.503425</v>
      </c>
      <c r="M6" s="1">
        <f>value(TWD!$B6)</f>
        <v>290.692875</v>
      </c>
      <c r="N6" s="1">
        <f>value(JPY!$B6)</f>
        <v>99.21575</v>
      </c>
      <c r="O6" s="1">
        <f>value(SAR!$B6)</f>
        <v>2456.850943</v>
      </c>
      <c r="P6" s="1">
        <f>value(AED!$B6)</f>
        <v>2507.69694</v>
      </c>
      <c r="Q6" s="1">
        <f>value(KWD!$B6)</f>
        <v>32319.58878</v>
      </c>
    </row>
    <row r="7">
      <c r="A7" s="4">
        <f>value(USD!A7)</f>
        <v>40186.99861</v>
      </c>
      <c r="B7" s="1">
        <f>value(USD!B7)</f>
        <v>9212.7</v>
      </c>
      <c r="C7" s="1">
        <f>value(AUD!$B7)</f>
        <v>8518.06242</v>
      </c>
      <c r="D7" s="1">
        <f>value(EUR!$B7)</f>
        <v>13273.65816</v>
      </c>
      <c r="E7" s="1">
        <f>value(GBP!$B7)</f>
        <v>14703.4692</v>
      </c>
      <c r="F7" s="1">
        <f>value(CHF!$B7)</f>
        <v>8993.898375</v>
      </c>
      <c r="G7" s="1">
        <f>value(SGD!$B7)</f>
        <v>6603.110598</v>
      </c>
      <c r="H7" s="1">
        <f>value(MYR!$B7)</f>
        <v>2735.342757</v>
      </c>
      <c r="I7" s="1">
        <f>value(THB!$B7)</f>
        <v>277.30227</v>
      </c>
      <c r="J7" s="1">
        <f>value(VND!$B7)</f>
        <v>0.5026980938</v>
      </c>
      <c r="K7" s="1">
        <f>value(CNY!$B7)</f>
        <v>1338.092587</v>
      </c>
      <c r="L7" s="1">
        <f>value(HKD!$B7)</f>
        <v>1187.793411</v>
      </c>
      <c r="M7" s="1">
        <f>value(TWD!$B7)</f>
        <v>291.12132</v>
      </c>
      <c r="N7" s="1">
        <f>value(JPY!$B7)</f>
        <v>99.405033</v>
      </c>
      <c r="O7" s="1">
        <f>value(SAR!$B7)</f>
        <v>2439.818578</v>
      </c>
      <c r="P7" s="1">
        <f>value(AED!$B7)</f>
        <v>2489.929858</v>
      </c>
      <c r="Q7" s="1">
        <f>value(KWD!$B7)</f>
        <v>32139.18725</v>
      </c>
    </row>
    <row r="8">
      <c r="A8" s="4">
        <f>value(USD!A8)</f>
        <v>40189.99861</v>
      </c>
      <c r="B8" s="1">
        <f>value(USD!B8)</f>
        <v>9148.1</v>
      </c>
      <c r="C8" s="1">
        <f>value(AUD!$B8)</f>
        <v>8502.24414</v>
      </c>
      <c r="D8" s="1">
        <f>value(EUR!$B8)</f>
        <v>13272.97829</v>
      </c>
      <c r="E8" s="1">
        <f>value(GBP!$B8)</f>
        <v>14737.5891</v>
      </c>
      <c r="F8" s="1">
        <f>value(CHF!$B8)</f>
        <v>8997.888198</v>
      </c>
      <c r="G8" s="1">
        <f>value(SGD!$B8)</f>
        <v>6588.004215</v>
      </c>
      <c r="H8" s="1">
        <f>value(MYR!$B8)</f>
        <v>2734.915976</v>
      </c>
      <c r="I8" s="1">
        <f>value(THB!$B8)</f>
        <v>275.083367</v>
      </c>
      <c r="J8" s="1">
        <f>value(VND!$B8)</f>
        <v>0.5040118667</v>
      </c>
      <c r="K8" s="1">
        <f>value(CNY!$B8)</f>
        <v>1341.44217</v>
      </c>
      <c r="L8" s="1">
        <f>value(HKD!$B8)</f>
        <v>1179.556014</v>
      </c>
      <c r="M8" s="1">
        <f>value(TWD!$B8)</f>
        <v>287.524783</v>
      </c>
      <c r="N8" s="1">
        <f>value(JPY!$B8)</f>
        <v>99.256885</v>
      </c>
      <c r="O8" s="1">
        <f>value(SAR!$B8)</f>
        <v>2445.73035</v>
      </c>
      <c r="P8" s="1">
        <f>value(AED!$B8)</f>
        <v>2496.16278</v>
      </c>
      <c r="Q8" s="1">
        <f>value(KWD!$B8)</f>
        <v>32224.17021</v>
      </c>
    </row>
    <row r="9">
      <c r="A9" s="4">
        <f>value(USD!A9)</f>
        <v>40190.99861</v>
      </c>
      <c r="B9" s="1">
        <f>value(USD!B9)</f>
        <v>9171</v>
      </c>
      <c r="C9" s="1">
        <f>value(AUD!$B9)</f>
        <v>8439.1542</v>
      </c>
      <c r="D9" s="1">
        <f>value(EUR!$B9)</f>
        <v>13275.0225</v>
      </c>
      <c r="E9" s="1">
        <f>value(GBP!$B9)</f>
        <v>14809.3308</v>
      </c>
      <c r="F9" s="1">
        <f>value(CHF!$B9)</f>
        <v>8998.21836</v>
      </c>
      <c r="G9" s="1">
        <f>value(SGD!$B9)</f>
        <v>6588.35469</v>
      </c>
      <c r="H9" s="1">
        <f>value(MYR!$B9)</f>
        <v>2731.58235</v>
      </c>
      <c r="I9" s="1">
        <f>value(THB!$B9)</f>
        <v>275.13</v>
      </c>
      <c r="J9" s="1">
        <f>value(VND!$B9)</f>
        <v>0.502225151</v>
      </c>
      <c r="K9" s="1">
        <f>value(CNY!$B9)</f>
        <v>1337.05407</v>
      </c>
      <c r="L9" s="1">
        <f>value(HKD!$B9)</f>
        <v>1182.60045</v>
      </c>
      <c r="M9" s="1">
        <f>value(TWD!$B9)</f>
        <v>288.24453</v>
      </c>
      <c r="N9" s="1">
        <f>value(JPY!$B9)</f>
        <v>100.69758</v>
      </c>
      <c r="O9" s="1">
        <f>value(SAR!$B9)</f>
        <v>2437.729924</v>
      </c>
      <c r="P9" s="1">
        <f>value(AED!$B9)</f>
        <v>2487.99738</v>
      </c>
      <c r="Q9" s="1">
        <f>value(KWD!$B9)</f>
        <v>32084.93742</v>
      </c>
    </row>
    <row r="10">
      <c r="A10" s="4">
        <f>value(USD!A10)</f>
        <v>40191.99861</v>
      </c>
      <c r="B10" s="1">
        <f>value(USD!B10)</f>
        <v>9141</v>
      </c>
      <c r="C10" s="1">
        <f>value(AUD!$B10)</f>
        <v>8447.1981</v>
      </c>
      <c r="D10" s="1">
        <f>value(EUR!$B10)</f>
        <v>13274.5602</v>
      </c>
      <c r="E10" s="1">
        <f>value(GBP!$B10)</f>
        <v>14883.10197</v>
      </c>
      <c r="F10" s="1">
        <f>value(CHF!$B10)</f>
        <v>8981.12391</v>
      </c>
      <c r="G10" s="1">
        <f>value(SGD!$B10)</f>
        <v>6583.3482</v>
      </c>
      <c r="H10" s="1">
        <f>value(MYR!$B10)</f>
        <v>2735.62707</v>
      </c>
      <c r="I10" s="1">
        <f>value(THB!$B10)</f>
        <v>275.87538</v>
      </c>
      <c r="J10" s="1">
        <f>value(VND!$B10)</f>
        <v>0.5028725182</v>
      </c>
      <c r="K10" s="1">
        <f>value(CNY!$B10)</f>
        <v>1339.127308</v>
      </c>
      <c r="L10" s="1">
        <f>value(HKD!$B10)</f>
        <v>1178.54913</v>
      </c>
      <c r="M10" s="1">
        <f>value(TWD!$B10)</f>
        <v>286.93599</v>
      </c>
      <c r="N10" s="1">
        <f>value(JPY!$B10)</f>
        <v>100.00254</v>
      </c>
      <c r="O10" s="1">
        <f>value(SAR!$B10)</f>
        <v>2441.807088</v>
      </c>
      <c r="P10" s="1">
        <f>value(AED!$B10)</f>
        <v>2492.025644</v>
      </c>
      <c r="Q10" s="1">
        <f>value(KWD!$B10)</f>
        <v>32160.58983</v>
      </c>
    </row>
    <row r="11">
      <c r="A11" s="4">
        <f>value(USD!A11)</f>
        <v>40192.99861</v>
      </c>
      <c r="B11" s="1">
        <f>value(USD!B11)</f>
        <v>9155.8</v>
      </c>
      <c r="C11" s="1">
        <f>value(AUD!$B11)</f>
        <v>8522.21864</v>
      </c>
      <c r="D11" s="1">
        <f>value(EUR!$B11)</f>
        <v>13273.16326</v>
      </c>
      <c r="E11" s="1">
        <f>value(GBP!$B11)</f>
        <v>14952.33698</v>
      </c>
      <c r="F11" s="1">
        <f>value(CHF!$B11)</f>
        <v>8986.143026</v>
      </c>
      <c r="G11" s="1">
        <f>value(SGD!$B11)</f>
        <v>6598.310386</v>
      </c>
      <c r="H11" s="1">
        <f>value(MYR!$B11)</f>
        <v>2743.901702</v>
      </c>
      <c r="I11" s="1">
        <f>value(THB!$B11)</f>
        <v>277.329182</v>
      </c>
      <c r="J11" s="1">
        <f>value(VND!$B11)</f>
        <v>0.5069842791</v>
      </c>
      <c r="K11" s="1">
        <f>value(CNY!$B11)</f>
        <v>1349.409386</v>
      </c>
      <c r="L11" s="1">
        <f>value(HKD!$B11)</f>
        <v>1180.274178</v>
      </c>
      <c r="M11" s="1">
        <f>value(TWD!$B11)</f>
        <v>288.499258</v>
      </c>
      <c r="N11" s="1">
        <f>value(JPY!$B11)</f>
        <v>100.347568</v>
      </c>
      <c r="O11" s="1">
        <f>value(SAR!$B11)</f>
        <v>2461.080811</v>
      </c>
      <c r="P11" s="1">
        <f>value(AED!$B11)</f>
        <v>2511.159898</v>
      </c>
      <c r="Q11" s="1">
        <f>value(KWD!$B11)</f>
        <v>32384.77348</v>
      </c>
    </row>
    <row r="12">
      <c r="A12" s="4">
        <f>value(USD!A12)</f>
        <v>40193.99861</v>
      </c>
      <c r="B12" s="1">
        <f>value(USD!B12)</f>
        <v>9226.1</v>
      </c>
      <c r="C12" s="1">
        <f>value(AUD!$B12)</f>
        <v>8514.859951</v>
      </c>
      <c r="D12" s="1">
        <f>value(EUR!$B12)</f>
        <v>13272.66746</v>
      </c>
      <c r="E12" s="1">
        <f>value(GBP!$B12)</f>
        <v>14998.87077</v>
      </c>
      <c r="F12" s="1">
        <f>value(CHF!$B12)</f>
        <v>8995.724283</v>
      </c>
      <c r="G12" s="1">
        <f>value(SGD!$B12)</f>
        <v>6630.79807</v>
      </c>
      <c r="H12" s="1">
        <f>value(MYR!$B12)</f>
        <v>2762.940167</v>
      </c>
      <c r="I12" s="1">
        <f>value(THB!$B12)</f>
        <v>279.181786</v>
      </c>
      <c r="J12" s="1">
        <f>value(VND!$B12)</f>
        <v>0.5015932252</v>
      </c>
      <c r="K12" s="1">
        <f>value(CNY!$B12)</f>
        <v>1335.4451</v>
      </c>
      <c r="L12" s="1">
        <f>value(HKD!$B12)</f>
        <v>1188.782985</v>
      </c>
      <c r="M12" s="1">
        <f>value(TWD!$B12)</f>
        <v>290.160845</v>
      </c>
      <c r="N12" s="1">
        <f>value(JPY!$B12)</f>
        <v>101.579361</v>
      </c>
      <c r="O12" s="1">
        <f>value(SAR!$B12)</f>
        <v>2434.926354</v>
      </c>
      <c r="P12" s="1">
        <f>value(AED!$B12)</f>
        <v>2485.0034</v>
      </c>
      <c r="Q12" s="1">
        <f>value(KWD!$B12)</f>
        <v>32029.46428</v>
      </c>
    </row>
    <row r="13">
      <c r="A13" s="4">
        <f>value(USD!A13)</f>
        <v>40196.99861</v>
      </c>
      <c r="B13" s="1">
        <f>value(USD!B13)</f>
        <v>9130</v>
      </c>
      <c r="C13" s="1">
        <f>value(AUD!$B13)</f>
        <v>8464.423</v>
      </c>
      <c r="D13" s="1">
        <f>value(EUR!$B13)</f>
        <v>13150.852</v>
      </c>
      <c r="E13" s="1">
        <f>value(GBP!$B13)</f>
        <v>14927.55</v>
      </c>
      <c r="F13" s="1">
        <f>value(CHF!$B13)</f>
        <v>8915.1711</v>
      </c>
      <c r="G13" s="1">
        <f>value(SGD!$B13)</f>
        <v>6576.4303</v>
      </c>
      <c r="H13" s="1">
        <f>value(MYR!$B13)</f>
        <v>2732.7916</v>
      </c>
      <c r="I13" s="1">
        <f>value(THB!$B13)</f>
        <v>276.5477</v>
      </c>
      <c r="J13" s="1">
        <f>value(VND!$B13)</f>
        <v>0.5074189102</v>
      </c>
      <c r="K13" s="1">
        <f>value(CNY!$B13)</f>
        <v>1350.064786</v>
      </c>
      <c r="L13" s="1">
        <f>value(HKD!$B13)</f>
        <v>1176.0353</v>
      </c>
      <c r="M13" s="1">
        <f>value(TWD!$B13)</f>
        <v>287.7776</v>
      </c>
      <c r="N13" s="1">
        <f>value(JPY!$B13)</f>
        <v>100.6126</v>
      </c>
      <c r="O13" s="1">
        <f>value(SAR!$B13)</f>
        <v>2461.319938</v>
      </c>
      <c r="P13" s="1">
        <f>value(AED!$B13)</f>
        <v>2512.023192</v>
      </c>
      <c r="Q13" s="1">
        <f>value(KWD!$B13)</f>
        <v>32363.07521</v>
      </c>
    </row>
    <row r="14">
      <c r="A14" s="4">
        <f>value(USD!A14)</f>
        <v>40197.99861</v>
      </c>
      <c r="B14" s="1">
        <f>value(USD!B14)</f>
        <v>9229.95</v>
      </c>
      <c r="C14" s="1">
        <f>value(AUD!$B14)</f>
        <v>8512.782885</v>
      </c>
      <c r="D14" s="1">
        <f>value(EUR!$B14)</f>
        <v>13177.59961</v>
      </c>
      <c r="E14" s="1">
        <f>value(GBP!$B14)</f>
        <v>15100.1982</v>
      </c>
      <c r="F14" s="1">
        <f>value(CHF!$B14)</f>
        <v>8934.4993</v>
      </c>
      <c r="G14" s="1">
        <f>value(SGD!$B14)</f>
        <v>6635.503354</v>
      </c>
      <c r="H14" s="1">
        <f>value(MYR!$B14)</f>
        <v>2764.462324</v>
      </c>
      <c r="I14" s="1">
        <f>value(THB!$B14)</f>
        <v>279.298287</v>
      </c>
      <c r="J14" s="1">
        <f>value(VND!$B14)</f>
        <v>0.5106273639</v>
      </c>
      <c r="K14" s="1">
        <f>value(CNY!$B14)</f>
        <v>1359.479387</v>
      </c>
      <c r="L14" s="1">
        <f>value(HKD!$B14)</f>
        <v>1188.81756</v>
      </c>
      <c r="M14" s="1">
        <f>value(TWD!$B14)</f>
        <v>289.5435315</v>
      </c>
      <c r="N14" s="1">
        <f>value(JPY!$B14)</f>
        <v>101.160252</v>
      </c>
      <c r="O14" s="1">
        <f>value(SAR!$B14)</f>
        <v>2481.432461</v>
      </c>
      <c r="P14" s="1">
        <f>value(AED!$B14)</f>
        <v>2529.99244</v>
      </c>
      <c r="Q14" s="1">
        <f>value(KWD!$B14)</f>
        <v>32555.59955</v>
      </c>
    </row>
    <row r="15">
      <c r="A15" s="4">
        <f>value(USD!A15)</f>
        <v>40198.99861</v>
      </c>
      <c r="B15" s="1">
        <f>value(USD!B15)</f>
        <v>9294.95</v>
      </c>
      <c r="C15" s="1">
        <f>value(AUD!$B15)</f>
        <v>8469.55844</v>
      </c>
      <c r="D15" s="1">
        <f>value(EUR!$B15)</f>
        <v>13115.17445</v>
      </c>
      <c r="E15" s="1">
        <f>value(GBP!$B15)</f>
        <v>15149.839</v>
      </c>
      <c r="F15" s="1">
        <f>value(CHF!$B15)</f>
        <v>8904.376201</v>
      </c>
      <c r="G15" s="1">
        <f>value(SGD!$B15)</f>
        <v>6637.802643</v>
      </c>
      <c r="H15" s="1">
        <f>value(MYR!$B15)</f>
        <v>2763.388635</v>
      </c>
      <c r="I15" s="1">
        <f>value(THB!$B15)</f>
        <v>280.4286415</v>
      </c>
      <c r="J15" s="1">
        <f>value(VND!$B15)</f>
        <v>0.5049210932</v>
      </c>
      <c r="K15" s="1">
        <f>value(CNY!$B15)</f>
        <v>1343.01375</v>
      </c>
      <c r="L15" s="1">
        <f>value(HKD!$B15)</f>
        <v>1196.538913</v>
      </c>
      <c r="M15" s="1">
        <f>value(TWD!$B15)</f>
        <v>289.9094905</v>
      </c>
      <c r="N15" s="1">
        <f>value(JPY!$B15)</f>
        <v>101.872652</v>
      </c>
      <c r="O15" s="1">
        <f>value(SAR!$B15)</f>
        <v>2451.676605</v>
      </c>
      <c r="P15" s="1">
        <f>value(AED!$B15)</f>
        <v>2499.42894</v>
      </c>
      <c r="Q15" s="1">
        <f>value(KWD!$B15)</f>
        <v>32172.50275</v>
      </c>
    </row>
    <row r="16">
      <c r="A16" s="4">
        <f>value(USD!A16)</f>
        <v>40199.99861</v>
      </c>
      <c r="B16" s="1">
        <f>value(USD!B16)</f>
        <v>9183</v>
      </c>
      <c r="C16" s="1">
        <f>value(AUD!$B16)</f>
        <v>8303.2686</v>
      </c>
      <c r="D16" s="1">
        <f>value(EUR!$B16)</f>
        <v>12944.3568</v>
      </c>
      <c r="E16" s="1">
        <f>value(GBP!$B16)</f>
        <v>14874.89889</v>
      </c>
      <c r="F16" s="1">
        <f>value(CHF!$B16)</f>
        <v>8816.5983</v>
      </c>
      <c r="G16" s="1">
        <f>value(SGD!$B16)</f>
        <v>6537.3777</v>
      </c>
      <c r="H16" s="1">
        <f>value(MYR!$B16)</f>
        <v>2721.74937</v>
      </c>
      <c r="I16" s="1">
        <f>value(THB!$B16)</f>
        <v>276.68379</v>
      </c>
      <c r="J16" s="1">
        <f>value(VND!$B16)</f>
        <v>0.5079714116</v>
      </c>
      <c r="K16" s="1">
        <f>value(CNY!$B16)</f>
        <v>1351.4424</v>
      </c>
      <c r="L16" s="1">
        <f>value(HKD!$B16)</f>
        <v>1181.57661</v>
      </c>
      <c r="M16" s="1">
        <f>value(TWD!$B16)</f>
        <v>287.88705</v>
      </c>
      <c r="N16" s="1">
        <f>value(JPY!$B16)</f>
        <v>101.47215</v>
      </c>
      <c r="O16" s="1">
        <f>value(SAR!$B16)</f>
        <v>2472.042342</v>
      </c>
      <c r="P16" s="1">
        <f>value(AED!$B16)</f>
        <v>2514.9432</v>
      </c>
      <c r="Q16" s="1">
        <f>value(KWD!$B16)</f>
        <v>32342.74428</v>
      </c>
    </row>
    <row r="17">
      <c r="A17" s="4">
        <f>value(USD!A17)</f>
        <v>40200.99861</v>
      </c>
      <c r="B17" s="1">
        <f>value(USD!B17)</f>
        <v>9240</v>
      </c>
      <c r="C17" s="1">
        <f>value(AUD!$B17)</f>
        <v>8314.152</v>
      </c>
      <c r="D17" s="1">
        <f>value(EUR!$B17)</f>
        <v>13062.588</v>
      </c>
      <c r="E17" s="1">
        <f>value(GBP!$B17)</f>
        <v>14881.02</v>
      </c>
      <c r="F17" s="1">
        <f>value(CHF!$B17)</f>
        <v>8870.4924</v>
      </c>
      <c r="G17" s="1">
        <f>value(SGD!$B17)</f>
        <v>6574.6296</v>
      </c>
      <c r="H17" s="1">
        <f>value(MYR!$B17)</f>
        <v>2714.5272</v>
      </c>
      <c r="I17" s="1">
        <f>value(THB!$B17)</f>
        <v>277.7544</v>
      </c>
      <c r="J17" s="1">
        <f>value(VND!$B17)</f>
        <v>0.5115792039</v>
      </c>
      <c r="K17" s="1">
        <f>value(CNY!$B17)</f>
        <v>1363.229086</v>
      </c>
      <c r="L17" s="1">
        <f>value(HKD!$B17)</f>
        <v>1188.726</v>
      </c>
      <c r="M17" s="1">
        <f>value(TWD!$B17)</f>
        <v>289.4892</v>
      </c>
      <c r="N17" s="1">
        <f>value(JPY!$B17)</f>
        <v>102.8412</v>
      </c>
      <c r="O17" s="1">
        <f>value(SAR!$B17)</f>
        <v>2485.58509</v>
      </c>
      <c r="P17" s="1">
        <f>value(AED!$B17)</f>
        <v>2536.517592</v>
      </c>
      <c r="Q17" s="1">
        <f>value(KWD!$B17)</f>
        <v>32670.61872</v>
      </c>
    </row>
    <row r="18">
      <c r="A18" s="4">
        <f>value(USD!A18)</f>
        <v>40203.99861</v>
      </c>
      <c r="B18" s="1">
        <f>value(USD!B18)</f>
        <v>9319.95</v>
      </c>
      <c r="C18" s="1">
        <f>value(AUD!$B18)</f>
        <v>8430.82677</v>
      </c>
      <c r="D18" s="1">
        <f>value(EUR!$B18)</f>
        <v>13184.00127</v>
      </c>
      <c r="E18" s="1">
        <f>value(GBP!$B18)</f>
        <v>15140.25877</v>
      </c>
      <c r="F18" s="1">
        <f>value(CHF!$B18)</f>
        <v>8959.361134</v>
      </c>
      <c r="G18" s="1">
        <f>value(SGD!$B18)</f>
        <v>6657.147085</v>
      </c>
      <c r="H18" s="1">
        <f>value(MYR!$B18)</f>
        <v>2691.974358</v>
      </c>
      <c r="I18" s="1">
        <f>value(THB!$B18)</f>
        <v>277.4549115</v>
      </c>
      <c r="J18" s="1">
        <f>value(VND!$B18)</f>
        <v>0.5154101867</v>
      </c>
      <c r="K18" s="1">
        <f>value(CNY!$B18)</f>
        <v>1372.005286</v>
      </c>
      <c r="L18" s="1">
        <f>value(HKD!$B18)</f>
        <v>1199.663964</v>
      </c>
      <c r="M18" s="1">
        <f>value(TWD!$B18)</f>
        <v>291.0620385</v>
      </c>
      <c r="N18" s="1">
        <f>value(JPY!$B18)</f>
        <v>103.078647</v>
      </c>
      <c r="O18" s="1">
        <f>value(SAR!$B18)</f>
        <v>2501.586797</v>
      </c>
      <c r="P18" s="1">
        <f>value(AED!$B18)</f>
        <v>2553.034791</v>
      </c>
      <c r="Q18" s="1">
        <f>value(KWD!$B18)</f>
        <v>32875.18643</v>
      </c>
    </row>
    <row r="19">
      <c r="A19" s="4">
        <f>value(USD!A19)</f>
        <v>40204.99861</v>
      </c>
      <c r="B19" s="1">
        <f>value(USD!B19)</f>
        <v>9379.95</v>
      </c>
      <c r="C19" s="1">
        <f>value(AUD!$B19)</f>
        <v>8438.20302</v>
      </c>
      <c r="D19" s="1">
        <f>value(EUR!$B19)</f>
        <v>13203.21762</v>
      </c>
      <c r="E19" s="1">
        <f>value(GBP!$B19)</f>
        <v>15140.17729</v>
      </c>
      <c r="F19" s="1">
        <f>value(CHF!$B19)</f>
        <v>8965.26241</v>
      </c>
      <c r="G19" s="1">
        <f>value(SGD!$B19)</f>
        <v>6684.246169</v>
      </c>
      <c r="H19" s="1">
        <f>value(MYR!$B19)</f>
        <v>2739.132999</v>
      </c>
      <c r="I19" s="1">
        <f>value(THB!$B19)</f>
        <v>281.961297</v>
      </c>
      <c r="J19" s="1">
        <f>value(VND!$B19)</f>
        <v>0.5169352103</v>
      </c>
      <c r="K19" s="1">
        <f>value(CNY!$B19)</f>
        <v>1374.836687</v>
      </c>
      <c r="L19" s="1">
        <f>value(HKD!$B19)</f>
        <v>1206.26157</v>
      </c>
      <c r="M19" s="1">
        <f>value(TWD!$B19)</f>
        <v>292.65444</v>
      </c>
      <c r="N19" s="1">
        <f>value(JPY!$B19)</f>
        <v>104.5864425</v>
      </c>
      <c r="O19" s="1">
        <f>value(SAR!$B19)</f>
        <v>2509.530877</v>
      </c>
      <c r="P19" s="1">
        <f>value(AED!$B19)</f>
        <v>2558.57239</v>
      </c>
      <c r="Q19" s="1">
        <f>value(KWD!$B19)</f>
        <v>32884.20228</v>
      </c>
    </row>
    <row r="20">
      <c r="A20" s="4">
        <f>value(USD!A20)</f>
        <v>40205.99861</v>
      </c>
      <c r="B20" s="1">
        <f>value(USD!B20)</f>
        <v>9399.95</v>
      </c>
      <c r="C20" s="1">
        <f>value(AUD!$B20)</f>
        <v>8422.543199</v>
      </c>
      <c r="D20" s="1">
        <f>value(EUR!$B20)</f>
        <v>13187.18985</v>
      </c>
      <c r="E20" s="1">
        <f>value(GBP!$B20)</f>
        <v>15203.47913</v>
      </c>
      <c r="F20" s="1">
        <f>value(CHF!$B20)</f>
        <v>8952.888378</v>
      </c>
      <c r="G20" s="1">
        <f>value(SGD!$B20)</f>
        <v>6687.500428</v>
      </c>
      <c r="H20" s="1">
        <f>value(MYR!$B20)</f>
        <v>2732.095467</v>
      </c>
      <c r="I20" s="1">
        <f>value(THB!$B20)</f>
        <v>282.4684975</v>
      </c>
      <c r="J20" s="1">
        <f>value(VND!$B20)</f>
        <v>0.5129517545</v>
      </c>
      <c r="K20" s="1">
        <f>value(CNY!$B20)</f>
        <v>1363.960436</v>
      </c>
      <c r="L20" s="1">
        <f>value(HKD!$B20)</f>
        <v>1208.73957</v>
      </c>
      <c r="M20" s="1">
        <f>value(TWD!$B20)</f>
        <v>292.0564465</v>
      </c>
      <c r="N20" s="1">
        <f>value(JPY!$B20)</f>
        <v>104.4334445</v>
      </c>
      <c r="O20" s="1">
        <f>value(SAR!$B20)</f>
        <v>2486.918565</v>
      </c>
      <c r="P20" s="1">
        <f>value(AED!$B20)</f>
        <v>2538.064891</v>
      </c>
      <c r="Q20" s="1">
        <f>value(KWD!$B20)</f>
        <v>32648.09531</v>
      </c>
    </row>
    <row r="21">
      <c r="A21" s="4">
        <f>value(USD!A21)</f>
        <v>40206.99861</v>
      </c>
      <c r="B21" s="1">
        <f>value(USD!B21)</f>
        <v>9324.95</v>
      </c>
      <c r="C21" s="1">
        <f>value(AUD!$B21)</f>
        <v>8329.04534</v>
      </c>
      <c r="D21" s="1">
        <f>value(EUR!$B21)</f>
        <v>13022.10617</v>
      </c>
      <c r="E21" s="1">
        <f>value(GBP!$B21)</f>
        <v>15054.19928</v>
      </c>
      <c r="F21" s="1">
        <f>value(CHF!$B21)</f>
        <v>8863.737973</v>
      </c>
      <c r="G21" s="1">
        <f>value(SGD!$B21)</f>
        <v>6637.40616</v>
      </c>
      <c r="H21" s="1">
        <f>value(MYR!$B21)</f>
        <v>2726.335631</v>
      </c>
      <c r="I21" s="1">
        <f>value(THB!$B21)</f>
        <v>279.7485</v>
      </c>
      <c r="J21" s="1">
        <f>value(VND!$B21)</f>
        <v>0.5084652572</v>
      </c>
      <c r="K21" s="1">
        <f>value(CNY!$B21)</f>
        <v>1352.9975</v>
      </c>
      <c r="L21" s="1">
        <f>value(HKD!$B21)</f>
        <v>1200.400813</v>
      </c>
      <c r="M21" s="1">
        <f>value(TWD!$B21)</f>
        <v>290.8451905</v>
      </c>
      <c r="N21" s="1">
        <f>value(JPY!$B21)</f>
        <v>103.7866935</v>
      </c>
      <c r="O21" s="1">
        <f>value(SAR!$B21)</f>
        <v>2466.864</v>
      </c>
      <c r="P21" s="1">
        <f>value(AED!$B21)</f>
        <v>2517.85</v>
      </c>
      <c r="Q21" s="1">
        <f>value(KWD!$B21)</f>
        <v>32267.06175</v>
      </c>
    </row>
    <row r="22">
      <c r="A22" s="4">
        <f>value(USD!A22)</f>
        <v>40207.99861</v>
      </c>
      <c r="B22" s="1">
        <f>value(USD!B22)</f>
        <v>9250</v>
      </c>
      <c r="C22" s="1">
        <f>value(AUD!$B22)</f>
        <v>8169.6</v>
      </c>
      <c r="D22" s="1">
        <f>value(EUR!$B22)</f>
        <v>12821.425</v>
      </c>
      <c r="E22" s="1">
        <f>value(GBP!$B22)</f>
        <v>14778.725</v>
      </c>
      <c r="F22" s="1">
        <f>value(CHF!$B22)</f>
        <v>8719.79</v>
      </c>
      <c r="G22" s="1">
        <f>value(SGD!$B22)</f>
        <v>6575.1775</v>
      </c>
      <c r="H22" s="1">
        <f>value(MYR!$B22)</f>
        <v>2707.1975</v>
      </c>
      <c r="I22" s="1">
        <f>value(THB!$B22)</f>
        <v>276.8525</v>
      </c>
      <c r="J22" s="1">
        <f>value(VND!$B22)</f>
        <v>0.5027919584</v>
      </c>
      <c r="K22" s="1">
        <f>value(CNY!$B22)</f>
        <v>1353.841064</v>
      </c>
      <c r="L22" s="1">
        <f>value(HKD!$B22)</f>
        <v>1191.215</v>
      </c>
      <c r="M22" s="1">
        <f>value(TWD!$B22)</f>
        <v>287.0275</v>
      </c>
      <c r="N22" s="1">
        <f>value(JPY!$B22)</f>
        <v>102.3975</v>
      </c>
      <c r="O22" s="1">
        <f>value(SAR!$B22)</f>
        <v>2468.570803</v>
      </c>
      <c r="P22" s="1">
        <f>value(AED!$B22)</f>
        <v>2519.406952</v>
      </c>
      <c r="Q22" s="1">
        <f>value(KWD!$B22)</f>
        <v>32284.8792</v>
      </c>
    </row>
    <row r="23">
      <c r="A23" s="4">
        <f>value(USD!A23)</f>
        <v>40210.99861</v>
      </c>
      <c r="B23" s="1">
        <f>value(USD!B23)</f>
        <v>9256.4</v>
      </c>
      <c r="C23" s="1">
        <f>value(AUD!$B23)</f>
        <v>8253.00624</v>
      </c>
      <c r="D23" s="1">
        <f>value(EUR!$B23)</f>
        <v>12888.61136</v>
      </c>
      <c r="E23" s="1">
        <f>value(GBP!$B23)</f>
        <v>14762.10672</v>
      </c>
      <c r="F23" s="1">
        <f>value(CHF!$B23)</f>
        <v>8759.33132</v>
      </c>
      <c r="G23" s="1">
        <f>value(SGD!$B23)</f>
        <v>6565.749648</v>
      </c>
      <c r="H23" s="1">
        <f>value(MYR!$B23)</f>
        <v>2712.680584</v>
      </c>
      <c r="I23" s="1">
        <f>value(THB!$B23)</f>
        <v>277.692</v>
      </c>
      <c r="J23" s="1">
        <f>value(VND!$B23)</f>
        <v>0.5060418302</v>
      </c>
      <c r="K23" s="1">
        <f>value(CNY!$B23)</f>
        <v>1362.687447</v>
      </c>
      <c r="L23" s="1">
        <f>value(HKD!$B23)</f>
        <v>1191.483808</v>
      </c>
      <c r="M23" s="1">
        <f>value(TWD!$B23)</f>
        <v>289.355064</v>
      </c>
      <c r="N23" s="1">
        <f>value(JPY!$B23)</f>
        <v>101.912964</v>
      </c>
      <c r="O23" s="1">
        <f>value(SAR!$B23)</f>
        <v>2483.58705</v>
      </c>
      <c r="P23" s="1">
        <f>value(AED!$B23)</f>
        <v>2535.002866</v>
      </c>
      <c r="Q23" s="1">
        <f>value(KWD!$B23)</f>
        <v>32406.74905</v>
      </c>
    </row>
    <row r="24">
      <c r="A24" s="4">
        <f>value(USD!A24)</f>
        <v>40211.99861</v>
      </c>
      <c r="B24" s="1">
        <f>value(USD!B24)</f>
        <v>9313.7</v>
      </c>
      <c r="C24" s="1">
        <f>value(AUD!$B24)</f>
        <v>8262.18327</v>
      </c>
      <c r="D24" s="1">
        <f>value(EUR!$B24)</f>
        <v>13014.03301</v>
      </c>
      <c r="E24" s="1">
        <f>value(GBP!$B24)</f>
        <v>14889.81219</v>
      </c>
      <c r="F24" s="1">
        <f>value(CHF!$B24)</f>
        <v>8827.804271</v>
      </c>
      <c r="G24" s="1">
        <f>value(SGD!$B24)</f>
        <v>6615.334836</v>
      </c>
      <c r="H24" s="1">
        <f>value(MYR!$B24)</f>
        <v>2723.046469</v>
      </c>
      <c r="I24" s="1">
        <f>value(THB!$B24)</f>
        <v>279.969822</v>
      </c>
      <c r="J24" s="1">
        <f>value(VND!$B24)</f>
        <v>0.5078416399</v>
      </c>
      <c r="K24" s="1">
        <f>value(CNY!$B24)</f>
        <v>1369.760042</v>
      </c>
      <c r="L24" s="1">
        <f>value(HKD!$B24)</f>
        <v>1199.138875</v>
      </c>
      <c r="M24" s="1">
        <f>value(TWD!$B24)</f>
        <v>291.053125</v>
      </c>
      <c r="N24" s="1">
        <f>value(JPY!$B24)</f>
        <v>102.916385</v>
      </c>
      <c r="O24" s="1">
        <f>value(SAR!$B24)</f>
        <v>2497.493027</v>
      </c>
      <c r="P24" s="1">
        <f>value(AED!$B24)</f>
        <v>2549.418704</v>
      </c>
      <c r="Q24" s="1">
        <f>value(KWD!$B24)</f>
        <v>32606.54455</v>
      </c>
    </row>
    <row r="25">
      <c r="A25" s="4">
        <f>value(USD!A25)</f>
        <v>40212.99861</v>
      </c>
      <c r="B25" s="1">
        <f>value(USD!B25)</f>
        <v>9364.6</v>
      </c>
      <c r="C25" s="1">
        <f>value(AUD!$B25)</f>
        <v>8258.64074</v>
      </c>
      <c r="D25" s="1">
        <f>value(EUR!$B25)</f>
        <v>13015.85754</v>
      </c>
      <c r="E25" s="1">
        <f>value(GBP!$B25)</f>
        <v>14902.82444</v>
      </c>
      <c r="F25" s="1">
        <f>value(CHF!$B25)</f>
        <v>8845.894806</v>
      </c>
      <c r="G25" s="1">
        <f>value(SGD!$B25)</f>
        <v>6629.293986</v>
      </c>
      <c r="H25" s="1">
        <f>value(MYR!$B25)</f>
        <v>2750.38302</v>
      </c>
      <c r="I25" s="1">
        <f>value(THB!$B25)</f>
        <v>281.312584</v>
      </c>
      <c r="J25" s="1">
        <f>value(VND!$B25)</f>
        <v>0.509465399</v>
      </c>
      <c r="K25" s="1">
        <f>value(CNY!$B25)</f>
        <v>1373.021863</v>
      </c>
      <c r="L25" s="1">
        <f>value(HKD!$B25)</f>
        <v>1205.69225</v>
      </c>
      <c r="M25" s="1">
        <f>value(TWD!$B25)</f>
        <v>290.396246</v>
      </c>
      <c r="N25" s="1">
        <f>value(JPY!$B25)</f>
        <v>103.104246</v>
      </c>
      <c r="O25" s="1">
        <f>value(SAR!$B25)</f>
        <v>2503.306752</v>
      </c>
      <c r="P25" s="1">
        <f>value(AED!$B25)</f>
        <v>2555.677394</v>
      </c>
      <c r="Q25" s="1">
        <f>value(KWD!$B25)</f>
        <v>32616.05128</v>
      </c>
    </row>
    <row r="26">
      <c r="A26" s="4">
        <f>value(USD!A26)</f>
        <v>40213.99861</v>
      </c>
      <c r="B26" s="1">
        <f>value(USD!B26)</f>
        <v>9386.9</v>
      </c>
      <c r="C26" s="1">
        <f>value(AUD!$B26)</f>
        <v>8153.46134</v>
      </c>
      <c r="D26" s="1">
        <f>value(EUR!$B26)</f>
        <v>12900.41667</v>
      </c>
      <c r="E26" s="1">
        <f>value(GBP!$B26)</f>
        <v>14799.38654</v>
      </c>
      <c r="F26" s="1">
        <f>value(CHF!$B26)</f>
        <v>8806.883449</v>
      </c>
      <c r="G26" s="1">
        <f>value(SGD!$B26)</f>
        <v>6605.373792</v>
      </c>
      <c r="H26" s="1">
        <f>value(MYR!$B26)</f>
        <v>2737.313909</v>
      </c>
      <c r="I26" s="1">
        <f>value(THB!$B26)</f>
        <v>281.231524</v>
      </c>
      <c r="J26" s="1">
        <f>value(VND!$B26)</f>
        <v>0.5138724547</v>
      </c>
      <c r="K26" s="1">
        <f>value(CNY!$B26)</f>
        <v>1384.520263</v>
      </c>
      <c r="L26" s="1">
        <f>value(HKD!$B26)</f>
        <v>1208.000161</v>
      </c>
      <c r="M26" s="1">
        <f>value(TWD!$B26)</f>
        <v>291.181638</v>
      </c>
      <c r="N26" s="1">
        <f>value(JPY!$B26)</f>
        <v>104.945542</v>
      </c>
      <c r="O26" s="1">
        <f>value(SAR!$B26)</f>
        <v>2525.29802</v>
      </c>
      <c r="P26" s="1">
        <f>value(AED!$B26)</f>
        <v>2577.595544</v>
      </c>
      <c r="Q26" s="1">
        <f>value(KWD!$B26)</f>
        <v>32917.62965</v>
      </c>
    </row>
    <row r="27">
      <c r="A27" s="4">
        <f>value(USD!A27)</f>
        <v>40214.99861</v>
      </c>
      <c r="B27" s="1">
        <f>value(USD!B27)</f>
        <v>9468.1</v>
      </c>
      <c r="C27" s="1">
        <f>value(AUD!$B27)</f>
        <v>8219.25761</v>
      </c>
      <c r="D27" s="1">
        <f>value(EUR!$B27)</f>
        <v>12947.62675</v>
      </c>
      <c r="E27" s="1">
        <f>value(GBP!$B27)</f>
        <v>14808.1084</v>
      </c>
      <c r="F27" s="1">
        <f>value(CHF!$B27)</f>
        <v>8821.523451</v>
      </c>
      <c r="G27" s="1">
        <f>value(SGD!$B27)</f>
        <v>6655.032809</v>
      </c>
      <c r="H27" s="1">
        <f>value(MYR!$B27)</f>
        <v>2760.803279</v>
      </c>
      <c r="I27" s="1">
        <f>value(THB!$B27)</f>
        <v>284.800448</v>
      </c>
      <c r="J27" s="1">
        <f>value(VND!$B27)</f>
        <v>0.5150420768</v>
      </c>
      <c r="K27" s="1">
        <f>value(CNY!$B27)</f>
        <v>1387.20297</v>
      </c>
      <c r="L27" s="1">
        <f>value(HKD!$B27)</f>
        <v>1218.639151</v>
      </c>
      <c r="M27" s="1">
        <f>value(TWD!$B27)</f>
        <v>294.079186</v>
      </c>
      <c r="N27" s="1">
        <f>value(JPY!$B27)</f>
        <v>106.137401</v>
      </c>
      <c r="O27" s="1">
        <f>value(SAR!$B27)</f>
        <v>2529.334806</v>
      </c>
      <c r="P27" s="1">
        <f>value(AED!$B27)</f>
        <v>2581.965435</v>
      </c>
      <c r="Q27" s="1">
        <f>value(KWD!$B27)</f>
        <v>33078.15168</v>
      </c>
    </row>
    <row r="28">
      <c r="A28" s="4">
        <f>value(USD!A28)</f>
        <v>40217.99861</v>
      </c>
      <c r="B28" s="1">
        <f>value(USD!B28)</f>
        <v>9484.5</v>
      </c>
      <c r="C28" s="1">
        <f>value(AUD!$B28)</f>
        <v>8187.0204</v>
      </c>
      <c r="D28" s="1">
        <f>value(EUR!$B28)</f>
        <v>12950.1363</v>
      </c>
      <c r="E28" s="1">
        <f>value(GBP!$B28)</f>
        <v>14768.88402</v>
      </c>
      <c r="F28" s="1">
        <f>value(CHF!$B28)</f>
        <v>8838.60555</v>
      </c>
      <c r="G28" s="1">
        <f>value(SGD!$B28)</f>
        <v>6661.9128</v>
      </c>
      <c r="H28" s="1">
        <f>value(MYR!$B28)</f>
        <v>2743.960695</v>
      </c>
      <c r="I28" s="1">
        <f>value(THB!$B28)</f>
        <v>283.20717</v>
      </c>
      <c r="J28" s="1">
        <f>value(VND!$B28)</f>
        <v>0.5072949458</v>
      </c>
      <c r="K28" s="1">
        <f>value(CNY!$B28)</f>
        <v>1366.059411</v>
      </c>
      <c r="L28" s="1">
        <f>value(HKD!$B28)</f>
        <v>1220.370615</v>
      </c>
      <c r="M28" s="1">
        <f>value(TWD!$B28)</f>
        <v>295.252485</v>
      </c>
      <c r="N28" s="1">
        <f>value(JPY!$B28)</f>
        <v>106.2264</v>
      </c>
      <c r="O28" s="1">
        <f>value(SAR!$B28)</f>
        <v>2490.679238</v>
      </c>
      <c r="P28" s="1">
        <f>value(AED!$B28)</f>
        <v>2542.531032</v>
      </c>
      <c r="Q28" s="1">
        <f>value(KWD!$B28)</f>
        <v>32405.61521</v>
      </c>
    </row>
    <row r="29">
      <c r="A29" s="4">
        <f>value(USD!A29)</f>
        <v>40218.99861</v>
      </c>
      <c r="B29" s="1">
        <f>value(USD!B29)</f>
        <v>9339.3</v>
      </c>
      <c r="C29" s="1">
        <f>value(AUD!$B29)</f>
        <v>8191.50003</v>
      </c>
      <c r="D29" s="1">
        <f>value(EUR!$B29)</f>
        <v>12869.5554</v>
      </c>
      <c r="E29" s="1">
        <f>value(GBP!$B29)</f>
        <v>14653.3617</v>
      </c>
      <c r="F29" s="1">
        <f>value(CHF!$B29)</f>
        <v>8765.773587</v>
      </c>
      <c r="G29" s="1">
        <f>value(SGD!$B29)</f>
        <v>6589.062936</v>
      </c>
      <c r="H29" s="1">
        <f>value(MYR!$B29)</f>
        <v>2715.961833</v>
      </c>
      <c r="I29" s="1">
        <f>value(THB!$B29)</f>
        <v>279.431856</v>
      </c>
      <c r="J29" s="1">
        <f>value(VND!$B29)</f>
        <v>0.5060798633</v>
      </c>
      <c r="K29" s="1">
        <f>value(CNY!$B29)</f>
        <v>1361.951568</v>
      </c>
      <c r="L29" s="1">
        <f>value(HKD!$B29)</f>
        <v>1201.96791</v>
      </c>
      <c r="M29" s="1">
        <f>value(TWD!$B29)</f>
        <v>292.413483</v>
      </c>
      <c r="N29" s="1">
        <f>value(JPY!$B29)</f>
        <v>104.039802</v>
      </c>
      <c r="O29" s="1">
        <f>value(SAR!$B29)</f>
        <v>2484.369927</v>
      </c>
      <c r="P29" s="1">
        <f>value(AED!$B29)</f>
        <v>2535.193392</v>
      </c>
      <c r="Q29" s="1">
        <f>value(KWD!$B29)</f>
        <v>32352.89776</v>
      </c>
    </row>
    <row r="30">
      <c r="A30" s="4">
        <f>value(USD!A30)</f>
        <v>40219.99861</v>
      </c>
      <c r="B30" s="1">
        <f>value(USD!B30)</f>
        <v>9314.4</v>
      </c>
      <c r="C30" s="1">
        <f>value(AUD!$B30)</f>
        <v>8166.307056</v>
      </c>
      <c r="D30" s="1">
        <f>value(EUR!$B30)</f>
        <v>12805.43712</v>
      </c>
      <c r="E30" s="1">
        <f>value(GBP!$B30)</f>
        <v>14537.91552</v>
      </c>
      <c r="F30" s="1">
        <f>value(CHF!$B30)</f>
        <v>8728.244808</v>
      </c>
      <c r="G30" s="1">
        <f>value(SGD!$B30)</f>
        <v>6567.769728</v>
      </c>
      <c r="H30" s="1">
        <f>value(MYR!$B30)</f>
        <v>2716.54476</v>
      </c>
      <c r="I30" s="1">
        <f>value(THB!$B30)</f>
        <v>279.711432</v>
      </c>
      <c r="J30" s="1">
        <f>value(VND!$B30)</f>
        <v>0.5070706513</v>
      </c>
      <c r="K30" s="1">
        <f>value(CNY!$B30)</f>
        <v>1363.314212</v>
      </c>
      <c r="L30" s="1">
        <f>value(HKD!$B30)</f>
        <v>1198.76328</v>
      </c>
      <c r="M30" s="1">
        <f>value(TWD!$B30)</f>
        <v>289.864128</v>
      </c>
      <c r="N30" s="1">
        <f>value(JPY!$B30)</f>
        <v>103.576128</v>
      </c>
      <c r="O30" s="1">
        <f>value(SAR!$B30)</f>
        <v>2487.960267</v>
      </c>
      <c r="P30" s="1">
        <f>value(AED!$B30)</f>
        <v>2540.119725</v>
      </c>
      <c r="Q30" s="1">
        <f>value(KWD!$B30)</f>
        <v>32429.95344</v>
      </c>
    </row>
    <row r="31">
      <c r="A31" s="4">
        <f>value(USD!A31)</f>
        <v>40220.99861</v>
      </c>
      <c r="B31" s="1">
        <f>value(USD!B31)</f>
        <v>9330.1</v>
      </c>
      <c r="C31" s="1">
        <f>value(AUD!$B31)</f>
        <v>8303.789</v>
      </c>
      <c r="D31" s="1">
        <f>value(EUR!$B31)</f>
        <v>12765.44282</v>
      </c>
      <c r="E31" s="1">
        <f>value(GBP!$B31)</f>
        <v>14642.09913</v>
      </c>
      <c r="F31" s="1">
        <f>value(CHF!$B31)</f>
        <v>8711.047865</v>
      </c>
      <c r="G31" s="1">
        <f>value(SGD!$B31)</f>
        <v>6610.095947</v>
      </c>
      <c r="H31" s="1">
        <f>value(MYR!$B31)</f>
        <v>2726.348521</v>
      </c>
      <c r="I31" s="1">
        <f>value(THB!$B31)</f>
        <v>280.462806</v>
      </c>
      <c r="J31" s="1">
        <f>value(VND!$B31)</f>
        <v>0.5067228252</v>
      </c>
      <c r="K31" s="1">
        <f>value(CNY!$B31)</f>
        <v>1362.379044</v>
      </c>
      <c r="L31" s="1">
        <f>value(HKD!$B31)</f>
        <v>1200.877171</v>
      </c>
      <c r="M31" s="1">
        <f>value(TWD!$B31)</f>
        <v>289.979508</v>
      </c>
      <c r="N31" s="1">
        <f>value(JPY!$B31)</f>
        <v>103.844013</v>
      </c>
      <c r="O31" s="1">
        <f>value(SAR!$B31)</f>
        <v>2486.784164</v>
      </c>
      <c r="P31" s="1">
        <f>value(AED!$B31)</f>
        <v>2538.190851</v>
      </c>
      <c r="Q31" s="1">
        <f>value(KWD!$B31)</f>
        <v>32362.7212</v>
      </c>
    </row>
    <row r="32">
      <c r="A32" s="4">
        <f>value(USD!A32)</f>
        <v>40221.99861</v>
      </c>
      <c r="B32" s="1">
        <f>value(USD!B32)</f>
        <v>9323.7</v>
      </c>
      <c r="C32" s="1">
        <f>value(AUD!$B32)</f>
        <v>8281.31034</v>
      </c>
      <c r="D32" s="1">
        <f>value(EUR!$B32)</f>
        <v>12711.93258</v>
      </c>
      <c r="E32" s="1">
        <f>value(GBP!$B32)</f>
        <v>14628.8853</v>
      </c>
      <c r="F32" s="1">
        <f>value(CHF!$B32)</f>
        <v>8669.269497</v>
      </c>
      <c r="G32" s="1">
        <f>value(SGD!$B32)</f>
        <v>6604.629369</v>
      </c>
      <c r="H32" s="1">
        <f>value(MYR!$B32)</f>
        <v>2725.31751</v>
      </c>
      <c r="I32" s="1">
        <f>value(THB!$B32)</f>
        <v>279.524526</v>
      </c>
      <c r="J32" s="1">
        <f>value(VND!$B32)</f>
        <v>0.5023545811</v>
      </c>
      <c r="K32" s="1">
        <f>value(CNY!$B32)</f>
        <v>1365.555624</v>
      </c>
      <c r="L32" s="1">
        <f>value(HKD!$B32)</f>
        <v>1199.866953</v>
      </c>
      <c r="M32" s="1">
        <f>value(TWD!$B32)</f>
        <v>292.204758</v>
      </c>
      <c r="N32" s="1">
        <f>value(JPY!$B32)</f>
        <v>103.586307</v>
      </c>
      <c r="O32" s="1">
        <f>value(SAR!$B32)</f>
        <v>2492.212463</v>
      </c>
      <c r="P32" s="1">
        <f>value(AED!$B32)</f>
        <v>2543.467664</v>
      </c>
      <c r="Q32" s="1">
        <f>value(KWD!$B32)</f>
        <v>32563.67504</v>
      </c>
    </row>
    <row r="33">
      <c r="A33" s="4">
        <f>value(USD!A33)</f>
        <v>40224.99861</v>
      </c>
      <c r="B33" s="1">
        <f>value(USD!B33)</f>
        <v>9344.8</v>
      </c>
      <c r="C33" s="1">
        <f>value(AUD!$B33)</f>
        <v>8306.59272</v>
      </c>
      <c r="D33" s="1">
        <f>value(EUR!$B33)</f>
        <v>12707.99352</v>
      </c>
      <c r="E33" s="1">
        <f>value(GBP!$B33)</f>
        <v>14639.00299</v>
      </c>
      <c r="F33" s="1">
        <f>value(CHF!$B33)</f>
        <v>8668.70372</v>
      </c>
      <c r="G33" s="1">
        <f>value(SGD!$B33)</f>
        <v>6615.277368</v>
      </c>
      <c r="H33" s="1">
        <f>value(MYR!$B33)</f>
        <v>2725.317472</v>
      </c>
      <c r="I33" s="1">
        <f>value(THB!$B33)</f>
        <v>279.783312</v>
      </c>
      <c r="J33" s="1">
        <f>value(VND!$B33)</f>
        <v>0.5049117025</v>
      </c>
      <c r="K33" s="1">
        <f>value(CNY!$B33)</f>
        <v>1357.971477</v>
      </c>
      <c r="L33" s="1">
        <f>value(HKD!$B33)</f>
        <v>1202.20852</v>
      </c>
      <c r="M33" s="1">
        <f>value(TWD!$B33)</f>
        <v>290.436384</v>
      </c>
      <c r="N33" s="1">
        <f>value(JPY!$B33)</f>
        <v>103.72728</v>
      </c>
      <c r="O33" s="1">
        <f>value(SAR!$B33)</f>
        <v>2478.040532</v>
      </c>
      <c r="P33" s="1">
        <f>value(AED!$B33)</f>
        <v>2532.779895</v>
      </c>
      <c r="Q33" s="1">
        <f>value(KWD!$B33)</f>
        <v>32255.81387</v>
      </c>
    </row>
    <row r="34">
      <c r="A34" s="4">
        <f>value(USD!A34)</f>
        <v>40225.99861</v>
      </c>
      <c r="B34" s="1">
        <f>value(USD!B34)</f>
        <v>9292.9</v>
      </c>
      <c r="C34" s="1">
        <f>value(AUD!$B34)</f>
        <v>8372.9029</v>
      </c>
      <c r="D34" s="1">
        <f>value(EUR!$B34)</f>
        <v>12789.81827</v>
      </c>
      <c r="E34" s="1">
        <f>value(GBP!$B34)</f>
        <v>14667.91336</v>
      </c>
      <c r="F34" s="1">
        <f>value(CHF!$B34)</f>
        <v>8715.81091</v>
      </c>
      <c r="G34" s="1">
        <f>value(SGD!$B34)</f>
        <v>6615.61551</v>
      </c>
      <c r="H34" s="1">
        <f>value(MYR!$B34)</f>
        <v>2714.920735</v>
      </c>
      <c r="I34" s="1">
        <f>value(THB!$B34)</f>
        <v>279.065787</v>
      </c>
      <c r="J34" s="1">
        <f>value(VND!$B34)</f>
        <v>0.5107633732</v>
      </c>
      <c r="K34" s="1">
        <f>value(CNY!$B34)</f>
        <v>1373.709678</v>
      </c>
      <c r="L34" s="1">
        <f>value(HKD!$B34)</f>
        <v>1195.99623</v>
      </c>
      <c r="M34" s="1">
        <f>value(TWD!$B34)</f>
        <v>292.354634</v>
      </c>
      <c r="N34" s="1">
        <f>value(JPY!$B34)</f>
        <v>102.965332</v>
      </c>
      <c r="O34" s="1">
        <f>value(SAR!$B34)</f>
        <v>2507.361498</v>
      </c>
      <c r="P34" s="1">
        <f>value(AED!$B34)</f>
        <v>2558.749314</v>
      </c>
      <c r="Q34" s="1">
        <f>value(KWD!$B34)</f>
        <v>32759.26728</v>
      </c>
    </row>
    <row r="35">
      <c r="A35" s="4">
        <f>value(USD!A35)</f>
        <v>40226.99861</v>
      </c>
      <c r="B35" s="1">
        <f>value(USD!B35)</f>
        <v>9400.6</v>
      </c>
      <c r="C35" s="1">
        <f>value(AUD!$B35)</f>
        <v>8445.875064</v>
      </c>
      <c r="D35" s="1">
        <f>value(EUR!$B35)</f>
        <v>12787.63618</v>
      </c>
      <c r="E35" s="1">
        <f>value(GBP!$B35)</f>
        <v>14738.26068</v>
      </c>
      <c r="F35" s="1">
        <f>value(CHF!$B35)</f>
        <v>8722.158698</v>
      </c>
      <c r="G35" s="1">
        <f>value(SGD!$B35)</f>
        <v>6682.698528</v>
      </c>
      <c r="H35" s="1">
        <f>value(MYR!$B35)</f>
        <v>2763.024352</v>
      </c>
      <c r="I35" s="1">
        <f>value(THB!$B35)</f>
        <v>281.359958</v>
      </c>
      <c r="J35" s="1">
        <f>value(VND!$B35)</f>
        <v>0.5128097107</v>
      </c>
      <c r="K35" s="1">
        <f>value(CNY!$B35)</f>
        <v>1388.205774</v>
      </c>
      <c r="L35" s="1">
        <f>value(HKD!$B35)</f>
        <v>1210.139238</v>
      </c>
      <c r="M35" s="1">
        <f>value(TWD!$B35)</f>
        <v>290.47854</v>
      </c>
      <c r="N35" s="1">
        <f>value(JPY!$B35)</f>
        <v>103.218588</v>
      </c>
      <c r="O35" s="1">
        <f>value(SAR!$B35)</f>
        <v>2533.550205</v>
      </c>
      <c r="P35" s="1">
        <f>value(AED!$B35)</f>
        <v>2586.32055</v>
      </c>
      <c r="Q35" s="1">
        <f>value(KWD!$B35)</f>
        <v>32985.41455</v>
      </c>
    </row>
    <row r="36">
      <c r="A36" s="4">
        <f>value(USD!A36)</f>
        <v>40227.99861</v>
      </c>
      <c r="B36" s="1">
        <f>value(USD!B36)</f>
        <v>9499.8</v>
      </c>
      <c r="C36" s="1">
        <f>value(AUD!$B36)</f>
        <v>8449.12212</v>
      </c>
      <c r="D36" s="1">
        <f>value(EUR!$B36)</f>
        <v>12788.63076</v>
      </c>
      <c r="E36" s="1">
        <f>value(GBP!$B36)</f>
        <v>14650.49656</v>
      </c>
      <c r="F36" s="1">
        <f>value(CHF!$B36)</f>
        <v>8731.361178</v>
      </c>
      <c r="G36" s="1">
        <f>value(SGD!$B36)</f>
        <v>6712.843674</v>
      </c>
      <c r="H36" s="1">
        <f>value(MYR!$B36)</f>
        <v>2771.376654</v>
      </c>
      <c r="I36" s="1">
        <f>value(THB!$B36)</f>
        <v>282.334056</v>
      </c>
      <c r="J36" s="1">
        <f>value(VND!$B36)</f>
        <v>0.5022810805</v>
      </c>
      <c r="K36" s="1">
        <f>value(CNY!$B36)</f>
        <v>1358.705484</v>
      </c>
      <c r="L36" s="1">
        <f>value(HKD!$B36)</f>
        <v>1223.09925</v>
      </c>
      <c r="M36" s="1">
        <f>value(TWD!$B36)</f>
        <v>294.4938</v>
      </c>
      <c r="N36" s="1">
        <f>value(JPY!$B36)</f>
        <v>103.262826</v>
      </c>
      <c r="O36" s="1">
        <f>value(SAR!$B36)</f>
        <v>2477.85387</v>
      </c>
      <c r="P36" s="1">
        <f>value(AED!$B36)</f>
        <v>2529.708528</v>
      </c>
      <c r="Q36" s="1">
        <f>value(KWD!$B36)</f>
        <v>32219.83003</v>
      </c>
    </row>
    <row r="37">
      <c r="A37" s="4">
        <f>value(USD!A37)</f>
        <v>40228.99861</v>
      </c>
      <c r="B37" s="1">
        <f>value(USD!B37)</f>
        <v>9292.2</v>
      </c>
      <c r="C37" s="1">
        <f>value(AUD!$B37)</f>
        <v>8358.3339</v>
      </c>
      <c r="D37" s="1">
        <f>value(EUR!$B37)</f>
        <v>12648.54264</v>
      </c>
      <c r="E37" s="1">
        <f>value(GBP!$B37)</f>
        <v>14364.81198</v>
      </c>
      <c r="F37" s="1">
        <f>value(CHF!$B37)</f>
        <v>8637.0999</v>
      </c>
      <c r="G37" s="1">
        <f>value(SGD!$B37)</f>
        <v>6578.970522</v>
      </c>
      <c r="H37" s="1">
        <f>value(MYR!$B37)</f>
        <v>2737.389198</v>
      </c>
      <c r="I37" s="1">
        <f>value(THB!$B37)</f>
        <v>280.066908</v>
      </c>
      <c r="J37" s="1">
        <f>value(VND!$B37)</f>
        <v>0.5010364315</v>
      </c>
      <c r="K37" s="1">
        <f>value(CNY!$B37)</f>
        <v>1357.355808</v>
      </c>
      <c r="L37" s="1">
        <f>value(HKD!$B37)</f>
        <v>1196.37075</v>
      </c>
      <c r="M37" s="1">
        <f>value(TWD!$B37)</f>
        <v>292.053846</v>
      </c>
      <c r="N37" s="1">
        <f>value(JPY!$B37)</f>
        <v>101.470824</v>
      </c>
      <c r="O37" s="1">
        <f>value(SAR!$B37)</f>
        <v>2475.119938</v>
      </c>
      <c r="P37" s="1">
        <f>value(AED!$B37)</f>
        <v>2526.757191</v>
      </c>
      <c r="Q37" s="1">
        <f>value(KWD!$B37)</f>
        <v>32205.75404</v>
      </c>
    </row>
    <row r="38">
      <c r="A38" s="4">
        <f>value(USD!A38)</f>
        <v>40231.99861</v>
      </c>
      <c r="B38" s="1">
        <f>value(USD!B38)</f>
        <v>9281.7</v>
      </c>
      <c r="C38" s="1">
        <f>value(AUD!$B38)</f>
        <v>8356.31451</v>
      </c>
      <c r="D38" s="1">
        <f>value(EUR!$B38)</f>
        <v>12623.29763</v>
      </c>
      <c r="E38" s="1">
        <f>value(GBP!$B38)</f>
        <v>14381.99415</v>
      </c>
      <c r="F38" s="1">
        <f>value(CHF!$B38)</f>
        <v>8628.26832</v>
      </c>
      <c r="G38" s="1">
        <f>value(SGD!$B38)</f>
        <v>6581.839104</v>
      </c>
      <c r="H38" s="1">
        <f>value(MYR!$B38)</f>
        <v>2728.726983</v>
      </c>
      <c r="I38" s="1">
        <f>value(THB!$B38)</f>
        <v>278.729451</v>
      </c>
      <c r="J38" s="1">
        <f>value(VND!$B38)</f>
        <v>0.5048257153</v>
      </c>
      <c r="K38" s="1">
        <f>value(CNY!$B38)</f>
        <v>1366.144832</v>
      </c>
      <c r="L38" s="1">
        <f>value(HKD!$B38)</f>
        <v>1195.575777</v>
      </c>
      <c r="M38" s="1">
        <f>value(TWD!$B38)</f>
        <v>289.681857</v>
      </c>
      <c r="N38" s="1">
        <f>value(JPY!$B38)</f>
        <v>101.727432</v>
      </c>
      <c r="O38" s="1">
        <f>value(SAR!$B38)</f>
        <v>2491.279444</v>
      </c>
      <c r="P38" s="1">
        <f>value(AED!$B38)</f>
        <v>2542.651124</v>
      </c>
      <c r="Q38" s="1">
        <f>value(KWD!$B38)</f>
        <v>32419.9135</v>
      </c>
    </row>
    <row r="39">
      <c r="A39" s="4">
        <f>value(USD!A39)</f>
        <v>40232.99861</v>
      </c>
      <c r="B39" s="1">
        <f>value(USD!B39)</f>
        <v>9341.8</v>
      </c>
      <c r="C39" s="1">
        <f>value(AUD!$B39)</f>
        <v>8338.49068</v>
      </c>
      <c r="D39" s="1">
        <f>value(EUR!$B39)</f>
        <v>12633.85032</v>
      </c>
      <c r="E39" s="1">
        <f>value(GBP!$B39)</f>
        <v>14426.3549</v>
      </c>
      <c r="F39" s="1">
        <f>value(CHF!$B39)</f>
        <v>8629.768004</v>
      </c>
      <c r="G39" s="1">
        <f>value(SGD!$B39)</f>
        <v>6620.720496</v>
      </c>
      <c r="H39" s="1">
        <f>value(MYR!$B39)</f>
        <v>2739.389432</v>
      </c>
      <c r="I39" s="1">
        <f>value(THB!$B39)</f>
        <v>280.440836</v>
      </c>
      <c r="J39" s="1">
        <f>value(VND!$B39)</f>
        <v>0.4980986348</v>
      </c>
      <c r="K39" s="1">
        <f>value(CNY!$B39)</f>
        <v>1367.867398</v>
      </c>
      <c r="L39" s="1">
        <f>value(HKD!$B39)</f>
        <v>1203.410676</v>
      </c>
      <c r="M39" s="1">
        <f>value(TWD!$B39)</f>
        <v>290.343144</v>
      </c>
      <c r="N39" s="1">
        <f>value(JPY!$B39)</f>
        <v>103.600562</v>
      </c>
      <c r="O39" s="1">
        <f>value(SAR!$B39)</f>
        <v>2494.079594</v>
      </c>
      <c r="P39" s="1">
        <f>value(AED!$B39)</f>
        <v>2545.509014</v>
      </c>
      <c r="Q39" s="1">
        <f>value(KWD!$B39)</f>
        <v>32474.38408</v>
      </c>
    </row>
    <row r="40">
      <c r="A40" s="4">
        <f>value(USD!A40)</f>
        <v>40233.99861</v>
      </c>
      <c r="B40" s="1">
        <f>value(USD!B40)</f>
        <v>9352.3</v>
      </c>
      <c r="C40" s="1">
        <f>value(AUD!$B40)</f>
        <v>8362.82666</v>
      </c>
      <c r="D40" s="1">
        <f>value(EUR!$B40)</f>
        <v>12663.94943</v>
      </c>
      <c r="E40" s="1">
        <f>value(GBP!$B40)</f>
        <v>14415.1676</v>
      </c>
      <c r="F40" s="1">
        <f>value(CHF!$B40)</f>
        <v>8651.158069</v>
      </c>
      <c r="G40" s="1">
        <f>value(SGD!$B40)</f>
        <v>6634.241051</v>
      </c>
      <c r="H40" s="1">
        <f>value(MYR!$B40)</f>
        <v>2741.533222</v>
      </c>
      <c r="I40" s="1">
        <f>value(THB!$B40)</f>
        <v>280.662523</v>
      </c>
      <c r="J40" s="1">
        <f>value(VND!$B40)</f>
        <v>0.5044690549</v>
      </c>
      <c r="K40" s="1">
        <f>value(CNY!$B40)</f>
        <v>1365.459704</v>
      </c>
      <c r="L40" s="1">
        <f>value(HKD!$B40)</f>
        <v>1204.389194</v>
      </c>
      <c r="M40" s="1">
        <f>value(TWD!$B40)</f>
        <v>291.417668</v>
      </c>
      <c r="N40" s="1">
        <f>value(JPY!$B40)</f>
        <v>103.529961</v>
      </c>
      <c r="O40" s="1">
        <f>value(SAR!$B40)</f>
        <v>2489.51935</v>
      </c>
      <c r="P40" s="1">
        <f>value(AED!$B40)</f>
        <v>2541.414848</v>
      </c>
      <c r="Q40" s="1">
        <f>value(KWD!$B40)</f>
        <v>32352.09712</v>
      </c>
    </row>
    <row r="41">
      <c r="A41" s="4">
        <f>value(USD!A41)</f>
        <v>40234.99861</v>
      </c>
      <c r="B41" s="1">
        <f>value(USD!B41)</f>
        <v>9335.2</v>
      </c>
      <c r="C41" s="1">
        <f>value(AUD!$B41)</f>
        <v>8278.45536</v>
      </c>
      <c r="D41" s="1">
        <f>value(EUR!$B41)</f>
        <v>12635.1932</v>
      </c>
      <c r="E41" s="1">
        <f>value(GBP!$B41)</f>
        <v>14225.91128</v>
      </c>
      <c r="F41" s="1">
        <f>value(CHF!$B41)</f>
        <v>8631.605976</v>
      </c>
      <c r="G41" s="1">
        <f>value(SGD!$B41)</f>
        <v>6622.110824</v>
      </c>
      <c r="H41" s="1">
        <f>value(MYR!$B41)</f>
        <v>2750.243272</v>
      </c>
      <c r="I41" s="1">
        <f>value(THB!$B41)</f>
        <v>281.736336</v>
      </c>
      <c r="J41" s="1">
        <f>value(VND!$B41)</f>
        <v>0.4968085072</v>
      </c>
      <c r="K41" s="1">
        <f>value(CNY!$B41)</f>
        <v>1366.1618</v>
      </c>
      <c r="L41" s="1">
        <f>value(HKD!$B41)</f>
        <v>1202.37376</v>
      </c>
      <c r="M41" s="1">
        <f>value(TWD!$B41)</f>
        <v>291.725</v>
      </c>
      <c r="N41" s="1">
        <f>value(JPY!$B41)</f>
        <v>104.55424</v>
      </c>
      <c r="O41" s="1">
        <f>value(SAR!$B41)</f>
        <v>2490.666604</v>
      </c>
      <c r="P41" s="1">
        <f>value(AED!$B41)</f>
        <v>2542.6282</v>
      </c>
      <c r="Q41" s="1">
        <f>value(KWD!$B41)</f>
        <v>32396.80806</v>
      </c>
    </row>
    <row r="42">
      <c r="A42" s="4">
        <f>value(USD!A42)</f>
        <v>40235.99861</v>
      </c>
      <c r="B42" s="1">
        <f>value(USD!B42)</f>
        <v>9340</v>
      </c>
      <c r="C42" s="1">
        <f>value(AUD!$B42)</f>
        <v>8363.036</v>
      </c>
      <c r="D42" s="1">
        <f>value(EUR!$B42)</f>
        <v>12723.882</v>
      </c>
      <c r="E42" s="1">
        <f>value(GBP!$B42)</f>
        <v>14223.886</v>
      </c>
      <c r="F42" s="1">
        <f>value(CHF!$B42)</f>
        <v>8700.677</v>
      </c>
      <c r="G42" s="1">
        <f>value(SGD!$B42)</f>
        <v>6638.6852</v>
      </c>
      <c r="H42" s="1">
        <f>value(MYR!$B42)</f>
        <v>2736.7134</v>
      </c>
      <c r="I42" s="1">
        <f>value(THB!$B42)</f>
        <v>280.5736</v>
      </c>
      <c r="J42" s="1">
        <f>value(VND!$B42)</f>
        <v>0.4939526226</v>
      </c>
      <c r="K42" s="1">
        <f>value(CNY!$B42)</f>
        <v>1372.852428</v>
      </c>
      <c r="L42" s="1">
        <f>value(HKD!$B42)</f>
        <v>1203.1788</v>
      </c>
      <c r="M42" s="1">
        <f>value(TWD!$B42)</f>
        <v>292.1552</v>
      </c>
      <c r="N42" s="1">
        <f>value(JPY!$B42)</f>
        <v>104.9816</v>
      </c>
      <c r="O42" s="1">
        <f>value(SAR!$B42)</f>
        <v>2502.893548</v>
      </c>
      <c r="P42" s="1">
        <f>value(AED!$B42)</f>
        <v>2554.999624</v>
      </c>
      <c r="Q42" s="1">
        <f>value(KWD!$B42)</f>
        <v>32536.3116</v>
      </c>
    </row>
    <row r="43">
      <c r="A43" s="4">
        <f>value(USD!A43)</f>
        <v>40238.99861</v>
      </c>
      <c r="B43" s="1">
        <f>value(USD!B43)</f>
        <v>9385.1</v>
      </c>
      <c r="C43" s="1">
        <f>value(AUD!$B43)</f>
        <v>8448.46702</v>
      </c>
      <c r="D43" s="1">
        <f>value(EUR!$B43)</f>
        <v>12727.69721</v>
      </c>
      <c r="E43" s="1">
        <f>value(GBP!$B43)</f>
        <v>14050.43321</v>
      </c>
      <c r="F43" s="1">
        <f>value(CHF!$B43)</f>
        <v>8695.858256</v>
      </c>
      <c r="G43" s="1">
        <f>value(SGD!$B43)</f>
        <v>6678.812564</v>
      </c>
      <c r="H43" s="1">
        <f>value(MYR!$B43)</f>
        <v>2777.238792</v>
      </c>
      <c r="I43" s="1">
        <f>value(THB!$B43)</f>
        <v>285.213189</v>
      </c>
      <c r="J43" s="1">
        <f>value(VND!$B43)</f>
        <v>0.4827542626</v>
      </c>
      <c r="K43" s="1">
        <f>value(CNY!$B43)</f>
        <v>1343.2185</v>
      </c>
      <c r="L43" s="1">
        <f>value(HKD!$B43)</f>
        <v>1208.707029</v>
      </c>
      <c r="M43" s="1">
        <f>value(TWD!$B43)</f>
        <v>293.472077</v>
      </c>
      <c r="N43" s="1">
        <f>value(JPY!$B43)</f>
        <v>105.300822</v>
      </c>
      <c r="O43" s="1">
        <f>value(SAR!$B43)</f>
        <v>2449.434568</v>
      </c>
      <c r="P43" s="1">
        <f>value(AED!$B43)</f>
        <v>2500.361056</v>
      </c>
      <c r="Q43" s="1">
        <f>value(KWD!$B43)</f>
        <v>31812.95227</v>
      </c>
    </row>
    <row r="44">
      <c r="A44" s="4">
        <f>value(USD!A44)</f>
        <v>40239.99861</v>
      </c>
      <c r="B44" s="1">
        <f>value(USD!B44)</f>
        <v>9184.4</v>
      </c>
      <c r="C44" s="1">
        <f>value(AUD!$B44)</f>
        <v>8306.37136</v>
      </c>
      <c r="D44" s="1">
        <f>value(EUR!$B44)</f>
        <v>12506.39748</v>
      </c>
      <c r="E44" s="1">
        <f>value(GBP!$B44)</f>
        <v>13798.64256</v>
      </c>
      <c r="F44" s="1">
        <f>value(CHF!$B44)</f>
        <v>8547.553704</v>
      </c>
      <c r="G44" s="1">
        <f>value(SGD!$B44)</f>
        <v>6552.793868</v>
      </c>
      <c r="H44" s="1">
        <f>value(MYR!$B44)</f>
        <v>2682.30402</v>
      </c>
      <c r="I44" s="1">
        <f>value(THB!$B44)</f>
        <v>280.032356</v>
      </c>
      <c r="J44" s="1">
        <f>value(VND!$B44)</f>
        <v>0.4814154153</v>
      </c>
      <c r="K44" s="1">
        <f>value(CNY!$B44)</f>
        <v>1338.451097</v>
      </c>
      <c r="L44" s="1">
        <f>value(HKD!$B44)</f>
        <v>1183.042564</v>
      </c>
      <c r="M44" s="1">
        <f>value(TWD!$B44)</f>
        <v>288.482004</v>
      </c>
      <c r="N44" s="1">
        <f>value(JPY!$B44)</f>
        <v>103.416344</v>
      </c>
      <c r="O44" s="1">
        <f>value(SAR!$B44)</f>
        <v>2440.073569</v>
      </c>
      <c r="P44" s="1">
        <f>value(AED!$B44)</f>
        <v>2490.805432</v>
      </c>
      <c r="Q44" s="1">
        <f>value(KWD!$B44)</f>
        <v>31735.34432</v>
      </c>
    </row>
    <row r="45">
      <c r="A45" s="4">
        <f>value(USD!A45)</f>
        <v>40240.99861</v>
      </c>
      <c r="B45" s="1">
        <f>value(USD!B45)</f>
        <v>9149.3</v>
      </c>
      <c r="C45" s="1">
        <f>value(AUD!$B45)</f>
        <v>8279.20157</v>
      </c>
      <c r="D45" s="1">
        <f>value(EUR!$B45)</f>
        <v>12533.62607</v>
      </c>
      <c r="E45" s="1">
        <f>value(GBP!$B45)</f>
        <v>13813.61314</v>
      </c>
      <c r="F45" s="1">
        <f>value(CHF!$B45)</f>
        <v>8568.593929</v>
      </c>
      <c r="G45" s="1">
        <f>value(SGD!$B45)</f>
        <v>6535.710962</v>
      </c>
      <c r="H45" s="1">
        <f>value(MYR!$B45)</f>
        <v>2708.284293</v>
      </c>
      <c r="I45" s="1">
        <f>value(THB!$B45)</f>
        <v>277.955734</v>
      </c>
      <c r="J45" s="1">
        <f>value(VND!$B45)</f>
        <v>0.490994728</v>
      </c>
      <c r="K45" s="1">
        <f>value(CNY!$B45)</f>
        <v>1364.538203</v>
      </c>
      <c r="L45" s="1">
        <f>value(HKD!$B45)</f>
        <v>1178.612826</v>
      </c>
      <c r="M45" s="1">
        <f>value(TWD!$B45)</f>
        <v>287.28802</v>
      </c>
      <c r="N45" s="1">
        <f>value(JPY!$B45)</f>
        <v>103.295597</v>
      </c>
      <c r="O45" s="1">
        <f>value(SAR!$B45)</f>
        <v>2487.905683</v>
      </c>
      <c r="P45" s="1">
        <f>value(AED!$B45)</f>
        <v>2539.699736</v>
      </c>
      <c r="Q45" s="1">
        <f>value(KWD!$B45)</f>
        <v>32403.26246</v>
      </c>
    </row>
    <row r="46">
      <c r="A46" s="4">
        <f>value(USD!A46)</f>
        <v>40241.99861</v>
      </c>
      <c r="B46" s="1">
        <f>value(USD!B46)</f>
        <v>9328.9</v>
      </c>
      <c r="C46" s="1">
        <f>value(AUD!$B46)</f>
        <v>8391.34555</v>
      </c>
      <c r="D46" s="1">
        <f>value(EUR!$B46)</f>
        <v>12668.6462</v>
      </c>
      <c r="E46" s="1">
        <f>value(GBP!$B46)</f>
        <v>14022.26959</v>
      </c>
      <c r="F46" s="1">
        <f>value(CHF!$B46)</f>
        <v>8660.204448</v>
      </c>
      <c r="G46" s="1">
        <f>value(SGD!$B46)</f>
        <v>6654.024503</v>
      </c>
      <c r="H46" s="1">
        <f>value(MYR!$B46)</f>
        <v>2767.791341</v>
      </c>
      <c r="I46" s="1">
        <f>value(THB!$B46)</f>
        <v>284.53145</v>
      </c>
      <c r="J46" s="1">
        <f>value(VND!$B46)</f>
        <v>0.4838716401</v>
      </c>
      <c r="K46" s="1">
        <f>value(CNY!$B46)</f>
        <v>1345.449968</v>
      </c>
      <c r="L46" s="1">
        <f>value(HKD!$B46)</f>
        <v>1201.655609</v>
      </c>
      <c r="M46" s="1">
        <f>value(TWD!$B46)</f>
        <v>289.848923</v>
      </c>
      <c r="N46" s="1">
        <f>value(JPY!$B46)</f>
        <v>104.576969</v>
      </c>
      <c r="O46" s="1">
        <f>value(SAR!$B46)</f>
        <v>2453.168299</v>
      </c>
      <c r="P46" s="1">
        <f>value(AED!$B46)</f>
        <v>2504.2644</v>
      </c>
      <c r="Q46" s="1">
        <f>value(KWD!$B46)</f>
        <v>32050.16908</v>
      </c>
    </row>
    <row r="47">
      <c r="A47" s="4">
        <f>value(USD!A47)</f>
        <v>40242.99861</v>
      </c>
      <c r="B47" s="1">
        <f>value(USD!B47)</f>
        <v>9198.4</v>
      </c>
      <c r="C47" s="1">
        <f>value(AUD!$B47)</f>
        <v>8347.548</v>
      </c>
      <c r="D47" s="1">
        <f>value(EUR!$B47)</f>
        <v>12529.14064</v>
      </c>
      <c r="E47" s="1">
        <f>value(GBP!$B47)</f>
        <v>13912.58</v>
      </c>
      <c r="F47" s="1">
        <f>value(CHF!$B47)</f>
        <v>8563.618416</v>
      </c>
      <c r="G47" s="1">
        <f>value(SGD!$B47)</f>
        <v>6561.402688</v>
      </c>
      <c r="H47" s="1">
        <f>value(MYR!$B47)</f>
        <v>2738.547648</v>
      </c>
      <c r="I47" s="1">
        <f>value(THB!$B47)</f>
        <v>280.367232</v>
      </c>
      <c r="J47" s="1">
        <f>value(VND!$B47)</f>
        <v>0.483157886</v>
      </c>
      <c r="K47" s="1">
        <f>value(CNY!$B47)</f>
        <v>1342.6668</v>
      </c>
      <c r="L47" s="1">
        <f>value(HKD!$B47)</f>
        <v>1184.937888</v>
      </c>
      <c r="M47" s="1">
        <f>value(TWD!$B47)</f>
        <v>288.921744</v>
      </c>
      <c r="N47" s="1">
        <f>value(JPY!$B47)</f>
        <v>101.826288</v>
      </c>
      <c r="O47" s="1">
        <f>value(SAR!$B47)</f>
        <v>2448.326379</v>
      </c>
      <c r="P47" s="1">
        <f>value(AED!$B47)</f>
        <v>2498.6124</v>
      </c>
      <c r="Q47" s="1">
        <f>value(KWD!$B47)</f>
        <v>31880.5335</v>
      </c>
    </row>
    <row r="48">
      <c r="A48" s="4">
        <f>value(USD!A48)</f>
        <v>40245.99861</v>
      </c>
      <c r="B48" s="1">
        <f>value(USD!B48)</f>
        <v>9180</v>
      </c>
      <c r="C48" s="1">
        <f>value(AUD!$B48)</f>
        <v>8337.276</v>
      </c>
      <c r="D48" s="1">
        <f>value(EUR!$B48)</f>
        <v>12499.488</v>
      </c>
      <c r="E48" s="1">
        <f>value(GBP!$B48)</f>
        <v>13804.884</v>
      </c>
      <c r="F48" s="1">
        <f>value(CHF!$B48)</f>
        <v>8544.285</v>
      </c>
      <c r="G48" s="1">
        <f>value(SGD!$B48)</f>
        <v>6555.7134</v>
      </c>
      <c r="H48" s="1">
        <f>value(MYR!$B48)</f>
        <v>2751.0624</v>
      </c>
      <c r="I48" s="1">
        <f>value(THB!$B48)</f>
        <v>279.1638</v>
      </c>
      <c r="J48" s="1">
        <f>value(VND!$B48)</f>
        <v>0.4826677174</v>
      </c>
      <c r="K48" s="1">
        <f>value(CNY!$B48)</f>
        <v>1341.565875</v>
      </c>
      <c r="L48" s="1">
        <f>value(HKD!$B48)</f>
        <v>1183.1184</v>
      </c>
      <c r="M48" s="1">
        <f>value(TWD!$B48)</f>
        <v>287.334</v>
      </c>
      <c r="N48" s="1">
        <f>value(JPY!$B48)</f>
        <v>101.6226</v>
      </c>
      <c r="O48" s="1">
        <f>value(SAR!$B48)</f>
        <v>2446.420913</v>
      </c>
      <c r="P48" s="1">
        <f>value(AED!$B48)</f>
        <v>2497.468206</v>
      </c>
      <c r="Q48" s="1">
        <f>value(KWD!$B48)</f>
        <v>31806.86197</v>
      </c>
    </row>
    <row r="49">
      <c r="A49" s="4">
        <f>value(USD!A49)</f>
        <v>40246.99861</v>
      </c>
      <c r="B49" s="1">
        <f>value(USD!B49)</f>
        <v>9173.1</v>
      </c>
      <c r="C49" s="1">
        <f>value(AUD!$B49)</f>
        <v>8396.13843</v>
      </c>
      <c r="D49" s="1">
        <f>value(EUR!$B49)</f>
        <v>12478.16793</v>
      </c>
      <c r="E49" s="1">
        <f>value(GBP!$B49)</f>
        <v>13772.21714</v>
      </c>
      <c r="F49" s="1">
        <f>value(CHF!$B49)</f>
        <v>8535.110895</v>
      </c>
      <c r="G49" s="1">
        <f>value(SGD!$B49)</f>
        <v>6555.922839</v>
      </c>
      <c r="H49" s="1">
        <f>value(MYR!$B49)</f>
        <v>2746.609602</v>
      </c>
      <c r="I49" s="1">
        <f>value(THB!$B49)</f>
        <v>279.229164</v>
      </c>
      <c r="J49" s="1">
        <f>value(VND!$B49)</f>
        <v>0.4813595771</v>
      </c>
      <c r="K49" s="1">
        <f>value(CNY!$B49)</f>
        <v>1341.372972</v>
      </c>
      <c r="L49" s="1">
        <f>value(HKD!$B49)</f>
        <v>1182.137397</v>
      </c>
      <c r="M49" s="1">
        <f>value(TWD!$B49)</f>
        <v>288.860919</v>
      </c>
      <c r="N49" s="1">
        <f>value(JPY!$B49)</f>
        <v>101.913141</v>
      </c>
      <c r="O49" s="1">
        <f>value(SAR!$B49)</f>
        <v>2445.502291</v>
      </c>
      <c r="P49" s="1">
        <f>value(AED!$B49)</f>
        <v>2496.505275</v>
      </c>
      <c r="Q49" s="1">
        <f>value(KWD!$B49)</f>
        <v>31795.76627</v>
      </c>
    </row>
    <row r="50">
      <c r="A50" s="4">
        <f>value(USD!A50)</f>
        <v>40247.99861</v>
      </c>
      <c r="B50" s="1">
        <f>value(USD!B50)</f>
        <v>9169.9</v>
      </c>
      <c r="C50" s="1">
        <f>value(AUD!$B50)</f>
        <v>8375.78666</v>
      </c>
      <c r="D50" s="1">
        <f>value(EUR!$B50)</f>
        <v>12508.66059</v>
      </c>
      <c r="E50" s="1">
        <f>value(GBP!$B50)</f>
        <v>13723.85573</v>
      </c>
      <c r="F50" s="1">
        <f>value(CHF!$B50)</f>
        <v>8562.485824</v>
      </c>
      <c r="G50" s="1">
        <f>value(SGD!$B50)</f>
        <v>6557.39549</v>
      </c>
      <c r="H50" s="1">
        <f>value(MYR!$B50)</f>
        <v>2755.55495</v>
      </c>
      <c r="I50" s="1">
        <f>value(THB!$B50)</f>
        <v>278.856659</v>
      </c>
      <c r="J50" s="1">
        <f>value(VND!$B50)</f>
        <v>0.4804671886</v>
      </c>
      <c r="K50" s="1">
        <f>value(CNY!$B50)</f>
        <v>1338.886212</v>
      </c>
      <c r="L50" s="1">
        <f>value(HKD!$B50)</f>
        <v>1181.816712</v>
      </c>
      <c r="M50" s="1">
        <f>value(TWD!$B50)</f>
        <v>289.402044</v>
      </c>
      <c r="N50" s="1">
        <f>value(JPY!$B50)</f>
        <v>101.327395</v>
      </c>
      <c r="O50" s="1">
        <f>value(SAR!$B50)</f>
        <v>2441.033672</v>
      </c>
      <c r="P50" s="1">
        <f>value(AED!$B50)</f>
        <v>2491.968554</v>
      </c>
      <c r="Q50" s="1">
        <f>value(KWD!$B50)</f>
        <v>31753.3322</v>
      </c>
    </row>
    <row r="51">
      <c r="A51" s="4">
        <f>value(USD!A51)</f>
        <v>40248.99861</v>
      </c>
      <c r="B51" s="1">
        <f>value(USD!B51)</f>
        <v>9152.9</v>
      </c>
      <c r="C51" s="1">
        <f>value(AUD!$B51)</f>
        <v>8378.56466</v>
      </c>
      <c r="D51" s="1">
        <f>value(EUR!$B51)</f>
        <v>12524.82836</v>
      </c>
      <c r="E51" s="1">
        <f>value(GBP!$B51)</f>
        <v>13788.93537</v>
      </c>
      <c r="F51" s="1">
        <f>value(CHF!$B51)</f>
        <v>8566.748284</v>
      </c>
      <c r="G51" s="1">
        <f>value(SGD!$B51)</f>
        <v>6545.696435</v>
      </c>
      <c r="H51" s="1">
        <f>value(MYR!$B51)</f>
        <v>2758.043357</v>
      </c>
      <c r="I51" s="1">
        <f>value(THB!$B51)</f>
        <v>278.705805</v>
      </c>
      <c r="J51" s="1">
        <f>value(VND!$B51)</f>
        <v>0.4800367424</v>
      </c>
      <c r="K51" s="1">
        <f>value(CNY!$B51)</f>
        <v>1337.86961</v>
      </c>
      <c r="L51" s="1">
        <f>value(HKD!$B51)</f>
        <v>1179.534223</v>
      </c>
      <c r="M51" s="1">
        <f>value(TWD!$B51)</f>
        <v>288.590937</v>
      </c>
      <c r="N51" s="1">
        <f>value(JPY!$B51)</f>
        <v>100.956487</v>
      </c>
      <c r="O51" s="1">
        <f>value(SAR!$B51)</f>
        <v>2438.846772</v>
      </c>
      <c r="P51" s="1">
        <f>value(AED!$B51)</f>
        <v>2489.004446</v>
      </c>
      <c r="Q51" s="1">
        <f>value(KWD!$B51)</f>
        <v>31908.64743</v>
      </c>
    </row>
    <row r="52">
      <c r="A52" s="4">
        <f>value(USD!A52)</f>
        <v>40249.99861</v>
      </c>
      <c r="B52" s="1">
        <f>value(USD!B52)</f>
        <v>9144.7</v>
      </c>
      <c r="C52" s="1">
        <f>value(AUD!$B52)</f>
        <v>8361.91368</v>
      </c>
      <c r="D52" s="1">
        <f>value(EUR!$B52)</f>
        <v>12587.67955</v>
      </c>
      <c r="E52" s="1">
        <f>value(GBP!$B52)</f>
        <v>13826.7864</v>
      </c>
      <c r="F52" s="1">
        <f>value(CHF!$B52)</f>
        <v>8643.387546</v>
      </c>
      <c r="G52" s="1">
        <f>value(SGD!$B52)</f>
        <v>6557.207135</v>
      </c>
      <c r="H52" s="1">
        <f>value(MYR!$B52)</f>
        <v>2765.174386</v>
      </c>
      <c r="I52" s="1">
        <f>value(THB!$B52)</f>
        <v>279.279138</v>
      </c>
      <c r="J52" s="1">
        <f>value(VND!$B52)</f>
        <v>0.4948610371</v>
      </c>
      <c r="K52" s="1">
        <f>value(CNY!$B52)</f>
        <v>1346.639052</v>
      </c>
      <c r="L52" s="1">
        <f>value(HKD!$B52)</f>
        <v>1178.934724</v>
      </c>
      <c r="M52" s="1">
        <f>value(TWD!$B52)</f>
        <v>288.149497</v>
      </c>
      <c r="N52" s="1">
        <f>value(JPY!$B52)</f>
        <v>100.957488</v>
      </c>
      <c r="O52" s="1">
        <f>value(SAR!$B52)</f>
        <v>2455.103059</v>
      </c>
      <c r="P52" s="1">
        <f>value(AED!$B52)</f>
        <v>2505.661862</v>
      </c>
      <c r="Q52" s="1">
        <f>value(KWD!$B52)</f>
        <v>32109.86619</v>
      </c>
    </row>
    <row r="53">
      <c r="A53" s="4">
        <f>value(USD!A53)</f>
        <v>40252.99861</v>
      </c>
      <c r="B53" s="1">
        <f>value(USD!B53)</f>
        <v>9205.9</v>
      </c>
      <c r="C53" s="1">
        <f>value(AUD!$B53)</f>
        <v>8408.66906</v>
      </c>
      <c r="D53" s="1">
        <f>value(EUR!$B53)</f>
        <v>12589.06825</v>
      </c>
      <c r="E53" s="1">
        <f>value(GBP!$B53)</f>
        <v>13854.78744</v>
      </c>
      <c r="F53" s="1">
        <f>value(CHF!$B53)</f>
        <v>8669.656325</v>
      </c>
      <c r="G53" s="1">
        <f>value(SGD!$B53)</f>
        <v>6585.072329</v>
      </c>
      <c r="H53" s="1">
        <f>value(MYR!$B53)</f>
        <v>2773.73767</v>
      </c>
      <c r="I53" s="1">
        <f>value(THB!$B53)</f>
        <v>281.70054</v>
      </c>
      <c r="J53" s="1">
        <f>value(VND!$B53)</f>
        <v>0.4802833889</v>
      </c>
      <c r="K53" s="1">
        <f>value(CNY!$B53)</f>
        <v>1338.725304</v>
      </c>
      <c r="L53" s="1">
        <f>value(HKD!$B53)</f>
        <v>1186.456392</v>
      </c>
      <c r="M53" s="1">
        <f>value(TWD!$B53)</f>
        <v>288.14467</v>
      </c>
      <c r="N53" s="1">
        <f>value(JPY!$B53)</f>
        <v>101.909313</v>
      </c>
      <c r="O53" s="1">
        <f>value(SAR!$B53)</f>
        <v>2440.479938</v>
      </c>
      <c r="P53" s="1">
        <f>value(AED!$B53)</f>
        <v>2491.211478</v>
      </c>
      <c r="Q53" s="1">
        <f>value(KWD!$B53)</f>
        <v>31949.02531</v>
      </c>
    </row>
    <row r="54">
      <c r="A54" s="4">
        <f>value(USD!A54)</f>
        <v>40253.99861</v>
      </c>
      <c r="B54" s="1">
        <f>value(USD!B54)</f>
        <v>9151.8</v>
      </c>
      <c r="C54" s="1">
        <f>value(AUD!$B54)</f>
        <v>8406.84348</v>
      </c>
      <c r="D54" s="1">
        <f>value(EUR!$B54)</f>
        <v>12601.11342</v>
      </c>
      <c r="E54" s="1">
        <f>value(GBP!$B54)</f>
        <v>13941.85212</v>
      </c>
      <c r="F54" s="1">
        <f>value(CHF!$B54)</f>
        <v>8671.605054</v>
      </c>
      <c r="G54" s="1">
        <f>value(SGD!$B54)</f>
        <v>6561.8406</v>
      </c>
      <c r="H54" s="1">
        <f>value(MYR!$B54)</f>
        <v>2762.92842</v>
      </c>
      <c r="I54" s="1">
        <f>value(THB!$B54)</f>
        <v>281.966958</v>
      </c>
      <c r="J54" s="1">
        <f>value(VND!$B54)</f>
        <v>0.4782917134</v>
      </c>
      <c r="K54" s="1">
        <f>value(CNY!$B54)</f>
        <v>1330.89287</v>
      </c>
      <c r="L54" s="1">
        <f>value(HKD!$B54)</f>
        <v>1179.300948</v>
      </c>
      <c r="M54" s="1">
        <f>value(TWD!$B54)</f>
        <v>288.73929</v>
      </c>
      <c r="N54" s="1">
        <f>value(JPY!$B54)</f>
        <v>101.310426</v>
      </c>
      <c r="O54" s="1">
        <f>value(SAR!$B54)</f>
        <v>2426.792153</v>
      </c>
      <c r="P54" s="1">
        <f>value(AED!$B54)</f>
        <v>2477.42987</v>
      </c>
      <c r="Q54" s="1">
        <f>value(KWD!$B54)</f>
        <v>31639.42557</v>
      </c>
    </row>
    <row r="55">
      <c r="A55" s="4">
        <f>value(USD!A55)</f>
        <v>40254.99861</v>
      </c>
      <c r="B55" s="1">
        <f>value(USD!B55)</f>
        <v>9099.5</v>
      </c>
      <c r="C55" s="1">
        <f>value(AUD!$B55)</f>
        <v>8399.74845</v>
      </c>
      <c r="D55" s="1">
        <f>value(EUR!$B55)</f>
        <v>12500.8931</v>
      </c>
      <c r="E55" s="1">
        <f>value(GBP!$B55)</f>
        <v>13934.9743</v>
      </c>
      <c r="F55" s="1">
        <f>value(CHF!$B55)</f>
        <v>8630.51177</v>
      </c>
      <c r="G55" s="1">
        <f>value(SGD!$B55)</f>
        <v>6531.166125</v>
      </c>
      <c r="H55" s="1">
        <f>value(MYR!$B55)</f>
        <v>2751.233825</v>
      </c>
      <c r="I55" s="1">
        <f>value(THB!$B55)</f>
        <v>279.445645</v>
      </c>
      <c r="J55" s="1">
        <f>value(VND!$B55)</f>
        <v>0.4796371242</v>
      </c>
      <c r="K55" s="1">
        <f>value(CNY!$B55)</f>
        <v>1333.843875</v>
      </c>
      <c r="L55" s="1">
        <f>value(HKD!$B55)</f>
        <v>1172.37958</v>
      </c>
      <c r="M55" s="1">
        <f>value(TWD!$B55)</f>
        <v>285.997285</v>
      </c>
      <c r="N55" s="1">
        <f>value(JPY!$B55)</f>
        <v>100.64047</v>
      </c>
      <c r="O55" s="1">
        <f>value(SAR!$B55)</f>
        <v>2432.274566</v>
      </c>
      <c r="P55" s="1">
        <f>value(AED!$B55)</f>
        <v>2483.092878</v>
      </c>
      <c r="Q55" s="1">
        <f>value(KWD!$B55)</f>
        <v>31695.21313</v>
      </c>
    </row>
    <row r="56">
      <c r="A56" s="4">
        <f>value(USD!A56)</f>
        <v>40255.99861</v>
      </c>
      <c r="B56" s="1">
        <f>value(USD!B56)</f>
        <v>9120.3</v>
      </c>
      <c r="C56" s="1">
        <f>value(AUD!$B56)</f>
        <v>8398.88427</v>
      </c>
      <c r="D56" s="1">
        <f>value(EUR!$B56)</f>
        <v>12414.91717</v>
      </c>
      <c r="E56" s="1">
        <f>value(GBP!$B56)</f>
        <v>13908.4575</v>
      </c>
      <c r="F56" s="1">
        <f>value(CHF!$B56)</f>
        <v>8623.608462</v>
      </c>
      <c r="G56" s="1">
        <f>value(SGD!$B56)</f>
        <v>6535.150965</v>
      </c>
      <c r="H56" s="1">
        <f>value(MYR!$B56)</f>
        <v>2756.519472</v>
      </c>
      <c r="I56" s="1">
        <f>value(THB!$B56)</f>
        <v>280.814037</v>
      </c>
      <c r="J56" s="1">
        <f>value(VND!$B56)</f>
        <v>0.4788646438</v>
      </c>
      <c r="K56" s="1">
        <f>value(CNY!$B56)</f>
        <v>1332.578208</v>
      </c>
      <c r="L56" s="1">
        <f>value(HKD!$B56)</f>
        <v>1175.150655</v>
      </c>
      <c r="M56" s="1">
        <f>value(TWD!$B56)</f>
        <v>286.286217</v>
      </c>
      <c r="N56" s="1">
        <f>value(JPY!$B56)</f>
        <v>100.779315</v>
      </c>
      <c r="O56" s="1">
        <f>value(SAR!$B56)</f>
        <v>2429.634355</v>
      </c>
      <c r="P56" s="1">
        <f>value(AED!$B56)</f>
        <v>2479.85088</v>
      </c>
      <c r="Q56" s="1">
        <f>value(KWD!$B56)</f>
        <v>31743.54892</v>
      </c>
    </row>
    <row r="57">
      <c r="A57" s="4">
        <f>value(USD!A57)</f>
        <v>40256.99861</v>
      </c>
      <c r="B57" s="1">
        <f>value(USD!B57)</f>
        <v>9110.4</v>
      </c>
      <c r="C57" s="1">
        <f>value(AUD!$B57)</f>
        <v>8340.5712</v>
      </c>
      <c r="D57" s="1">
        <f>value(EUR!$B57)</f>
        <v>12326.3712</v>
      </c>
      <c r="E57" s="1">
        <f>value(GBP!$B57)</f>
        <v>13672.88832</v>
      </c>
      <c r="F57" s="1">
        <f>value(CHF!$B57)</f>
        <v>8582.816736</v>
      </c>
      <c r="G57" s="1">
        <f>value(SGD!$B57)</f>
        <v>6511.111776</v>
      </c>
      <c r="H57" s="1">
        <f>value(MYR!$B57)</f>
        <v>2751.79632</v>
      </c>
      <c r="I57" s="1">
        <f>value(THB!$B57)</f>
        <v>280.235904</v>
      </c>
      <c r="J57" s="1">
        <f>value(VND!$B57)</f>
        <v>0.4797578861</v>
      </c>
      <c r="K57" s="1">
        <f>value(CNY!$B57)</f>
        <v>1333.309558</v>
      </c>
      <c r="L57" s="1">
        <f>value(HKD!$B57)</f>
        <v>1173.966144</v>
      </c>
      <c r="M57" s="1">
        <f>value(TWD!$B57)</f>
        <v>286.430976</v>
      </c>
      <c r="N57" s="1">
        <f>value(JPY!$B57)</f>
        <v>100.578816</v>
      </c>
      <c r="O57" s="1">
        <f>value(SAR!$B57)</f>
        <v>2431.097416</v>
      </c>
      <c r="P57" s="1">
        <f>value(AED!$B57)</f>
        <v>2481.758804</v>
      </c>
      <c r="Q57" s="1">
        <f>value(KWD!$B57)</f>
        <v>31606.79265</v>
      </c>
    </row>
    <row r="58">
      <c r="A58" s="4">
        <f>value(USD!A58)</f>
        <v>40259.99861</v>
      </c>
      <c r="B58" s="1">
        <f>value(USD!B58)</f>
        <v>9115.4</v>
      </c>
      <c r="C58" s="1">
        <f>value(AUD!$B58)</f>
        <v>8369.76028</v>
      </c>
      <c r="D58" s="1">
        <f>value(EUR!$B58)</f>
        <v>12365.0401</v>
      </c>
      <c r="E58" s="1">
        <f>value(GBP!$B58)</f>
        <v>13767.35323</v>
      </c>
      <c r="F58" s="1">
        <f>value(CHF!$B58)</f>
        <v>8617.516852</v>
      </c>
      <c r="G58" s="1">
        <f>value(SGD!$B58)</f>
        <v>6507.301752</v>
      </c>
      <c r="H58" s="1">
        <f>value(MYR!$B58)</f>
        <v>2741.638858</v>
      </c>
      <c r="I58" s="1">
        <f>value(THB!$B58)</f>
        <v>280.207396</v>
      </c>
      <c r="J58" s="1">
        <f>value(VND!$B58)</f>
        <v>0.481168112</v>
      </c>
      <c r="K58" s="1">
        <f>value(CNY!$B58)</f>
        <v>1337.580642</v>
      </c>
      <c r="L58" s="1">
        <f>value(HKD!$B58)</f>
        <v>1174.51929</v>
      </c>
      <c r="M58" s="1">
        <f>value(TWD!$B58)</f>
        <v>287.955486</v>
      </c>
      <c r="N58" s="1">
        <f>value(JPY!$B58)</f>
        <v>100.816324</v>
      </c>
      <c r="O58" s="1">
        <f>value(SAR!$B58)</f>
        <v>2438.885121</v>
      </c>
      <c r="P58" s="1">
        <f>value(AED!$B58)</f>
        <v>2489.434458</v>
      </c>
      <c r="Q58" s="1">
        <f>value(KWD!$B58)</f>
        <v>31719.04186</v>
      </c>
    </row>
    <row r="59">
      <c r="A59" s="4">
        <f>value(USD!A59)</f>
        <v>40260.99861</v>
      </c>
      <c r="B59" s="1">
        <f>value(USD!B59)</f>
        <v>9144.6</v>
      </c>
      <c r="C59" s="1">
        <f>value(AUD!$B59)</f>
        <v>8391.99942</v>
      </c>
      <c r="D59" s="1">
        <f>value(EUR!$B59)</f>
        <v>12314.11836</v>
      </c>
      <c r="E59" s="1">
        <f>value(GBP!$B59)</f>
        <v>13733.08594</v>
      </c>
      <c r="F59" s="1">
        <f>value(CHF!$B59)</f>
        <v>8647.865328</v>
      </c>
      <c r="G59" s="1">
        <f>value(SGD!$B59)</f>
        <v>6521.105706</v>
      </c>
      <c r="H59" s="1">
        <f>value(MYR!$B59)</f>
        <v>2743.38</v>
      </c>
      <c r="I59" s="1">
        <f>value(THB!$B59)</f>
        <v>280.007652</v>
      </c>
      <c r="J59" s="1">
        <f>value(VND!$B59)</f>
        <v>0.4946919934</v>
      </c>
      <c r="K59" s="1">
        <f>value(CNY!$B59)</f>
        <v>1333.116022</v>
      </c>
      <c r="L59" s="1">
        <f>value(HKD!$B59)</f>
        <v>1178.007372</v>
      </c>
      <c r="M59" s="1">
        <f>value(TWD!$B59)</f>
        <v>286.957548</v>
      </c>
      <c r="N59" s="1">
        <f>value(JPY!$B59)</f>
        <v>101.139276</v>
      </c>
      <c r="O59" s="1">
        <f>value(SAR!$B59)</f>
        <v>2430.781113</v>
      </c>
      <c r="P59" s="1">
        <f>value(AED!$B59)</f>
        <v>2481.385928</v>
      </c>
      <c r="Q59" s="1">
        <f>value(KWD!$B59)</f>
        <v>31538.74874</v>
      </c>
    </row>
    <row r="60">
      <c r="A60" s="4">
        <f>value(USD!A60)</f>
        <v>40261.99861</v>
      </c>
      <c r="B60" s="1">
        <f>value(USD!B60)</f>
        <v>9114.7</v>
      </c>
      <c r="C60" s="1">
        <f>value(AUD!$B60)</f>
        <v>8308.04905</v>
      </c>
      <c r="D60" s="1">
        <f>value(EUR!$B60)</f>
        <v>12147.16069</v>
      </c>
      <c r="E60" s="1">
        <f>value(GBP!$B60)</f>
        <v>13577.25712</v>
      </c>
      <c r="F60" s="1">
        <f>value(CHF!$B60)</f>
        <v>8502.19216</v>
      </c>
      <c r="G60" s="1">
        <f>value(SGD!$B60)</f>
        <v>6480.369406</v>
      </c>
      <c r="H60" s="1">
        <f>value(MYR!$B60)</f>
        <v>2740.152261</v>
      </c>
      <c r="I60" s="1">
        <f>value(THB!$B60)</f>
        <v>279.183261</v>
      </c>
      <c r="J60" s="1">
        <f>value(VND!$B60)</f>
        <v>0.4805366992</v>
      </c>
      <c r="K60" s="1">
        <f>value(CNY!$B60)</f>
        <v>1335.64275</v>
      </c>
      <c r="L60" s="1">
        <f>value(HKD!$B60)</f>
        <v>1174.337948</v>
      </c>
      <c r="M60" s="1">
        <f>value(TWD!$B60)</f>
        <v>285.928139</v>
      </c>
      <c r="N60" s="1">
        <f>value(JPY!$B60)</f>
        <v>99.076789</v>
      </c>
      <c r="O60" s="1">
        <f>value(SAR!$B60)</f>
        <v>2435.619761</v>
      </c>
      <c r="P60" s="1">
        <f>value(AED!$B60)</f>
        <v>2485.711068</v>
      </c>
      <c r="Q60" s="1">
        <f>value(KWD!$B60)</f>
        <v>31765.55727</v>
      </c>
    </row>
    <row r="61">
      <c r="A61" s="4">
        <f>value(USD!A61)</f>
        <v>40262.99861</v>
      </c>
      <c r="B61" s="1">
        <f>value(USD!B61)</f>
        <v>9132.6</v>
      </c>
      <c r="C61" s="1">
        <f>value(AUD!$B61)</f>
        <v>8297.515056</v>
      </c>
      <c r="D61" s="1">
        <f>value(EUR!$B61)</f>
        <v>12149.00645</v>
      </c>
      <c r="E61" s="1">
        <f>value(GBP!$B61)</f>
        <v>13557.3447</v>
      </c>
      <c r="F61" s="1">
        <f>value(CHF!$B61)</f>
        <v>8518.88928</v>
      </c>
      <c r="G61" s="1">
        <f>value(SGD!$B61)</f>
        <v>6486.246498</v>
      </c>
      <c r="H61" s="1">
        <f>value(MYR!$B61)</f>
        <v>2742.154476</v>
      </c>
      <c r="I61" s="1">
        <f>value(THB!$B61)</f>
        <v>279.183582</v>
      </c>
      <c r="J61" s="1">
        <f>value(VND!$B61)</f>
        <v>0.4793740074</v>
      </c>
      <c r="K61" s="1">
        <f>value(CNY!$B61)</f>
        <v>1332.852754</v>
      </c>
      <c r="L61" s="1">
        <f>value(HKD!$B61)</f>
        <v>1176.552858</v>
      </c>
      <c r="M61" s="1">
        <f>value(TWD!$B61)</f>
        <v>285.576402</v>
      </c>
      <c r="N61" s="1">
        <f>value(JPY!$B61)</f>
        <v>98.723406</v>
      </c>
      <c r="O61" s="1">
        <f>value(SAR!$B61)</f>
        <v>2430.301075</v>
      </c>
      <c r="P61" s="1">
        <f>value(AED!$B61)</f>
        <v>2480.895896</v>
      </c>
      <c r="Q61" s="1">
        <f>value(KWD!$B61)</f>
        <v>31559.82261</v>
      </c>
    </row>
    <row r="62">
      <c r="A62" s="4">
        <f>value(USD!A62)</f>
        <v>40263.99861</v>
      </c>
      <c r="B62" s="1">
        <f>value(USD!B62)</f>
        <v>9112.9</v>
      </c>
      <c r="C62" s="1">
        <f>value(AUD!$B62)</f>
        <v>8237.241439</v>
      </c>
      <c r="D62" s="1">
        <f>value(EUR!$B62)</f>
        <v>12218.48519</v>
      </c>
      <c r="E62" s="1">
        <f>value(GBP!$B62)</f>
        <v>13576.58067</v>
      </c>
      <c r="F62" s="1">
        <f>value(CHF!$B62)</f>
        <v>8553.276811</v>
      </c>
      <c r="G62" s="1">
        <f>value(SGD!$B62)</f>
        <v>6490.20738</v>
      </c>
      <c r="H62" s="1">
        <f>value(MYR!$B62)</f>
        <v>2757.107895</v>
      </c>
      <c r="I62" s="1">
        <f>value(THB!$B62)</f>
        <v>279.948288</v>
      </c>
      <c r="J62" s="1">
        <f>value(VND!$B62)</f>
        <v>0.4768988094</v>
      </c>
      <c r="K62" s="1">
        <f>value(CNY!$B62)</f>
        <v>1327.10771</v>
      </c>
      <c r="L62" s="1">
        <f>value(HKD!$B62)</f>
        <v>1173.832649</v>
      </c>
      <c r="M62" s="1">
        <f>value(TWD!$B62)</f>
        <v>286.327318</v>
      </c>
      <c r="N62" s="1">
        <f>value(JPY!$B62)</f>
        <v>98.510449</v>
      </c>
      <c r="O62" s="1">
        <f>value(SAR!$B62)</f>
        <v>2419.660224</v>
      </c>
      <c r="P62" s="1">
        <f>value(AED!$B62)</f>
        <v>2470.12425</v>
      </c>
      <c r="Q62" s="1">
        <f>value(KWD!$B62)</f>
        <v>31427.08461</v>
      </c>
    </row>
    <row r="63">
      <c r="A63" s="4">
        <f>value(USD!A63)</f>
        <v>40266.99861</v>
      </c>
      <c r="B63" s="1">
        <f>value(USD!B63)</f>
        <v>9073</v>
      </c>
      <c r="C63" s="1">
        <f>value(AUD!$B63)</f>
        <v>8314.4972</v>
      </c>
      <c r="D63" s="1">
        <f>value(EUR!$B63)</f>
        <v>12226.7748</v>
      </c>
      <c r="E63" s="1">
        <f>value(GBP!$B63)</f>
        <v>13588.26918</v>
      </c>
      <c r="F63" s="1">
        <f>value(CHF!$B63)</f>
        <v>8538.05592</v>
      </c>
      <c r="G63" s="1">
        <f>value(SGD!$B63)</f>
        <v>6481.66047</v>
      </c>
      <c r="H63" s="1">
        <f>value(MYR!$B63)</f>
        <v>2776.97311</v>
      </c>
      <c r="I63" s="1">
        <f>value(THB!$B63)</f>
        <v>279.08548</v>
      </c>
      <c r="J63" s="1">
        <f>value(VND!$B63)</f>
        <v>0.4763989472</v>
      </c>
      <c r="K63" s="1">
        <f>value(CNY!$B63)</f>
        <v>1327.549512</v>
      </c>
      <c r="L63" s="1">
        <f>value(HKD!$B63)</f>
        <v>1168.51167</v>
      </c>
      <c r="M63" s="1">
        <f>value(TWD!$B63)</f>
        <v>285.25512</v>
      </c>
      <c r="N63" s="1">
        <f>value(JPY!$B63)</f>
        <v>98.07913</v>
      </c>
      <c r="O63" s="1">
        <f>value(SAR!$B63)</f>
        <v>2420.300275</v>
      </c>
      <c r="P63" s="1">
        <f>value(AED!$B63)</f>
        <v>2470.233126</v>
      </c>
      <c r="Q63" s="1">
        <f>value(KWD!$B63)</f>
        <v>31479.01411</v>
      </c>
    </row>
    <row r="64">
      <c r="A64" s="4">
        <f>value(USD!A64)</f>
        <v>40267.99861</v>
      </c>
      <c r="B64" s="1">
        <f>value(USD!B64)</f>
        <v>9075.4</v>
      </c>
      <c r="C64" s="1">
        <f>value(AUD!$B64)</f>
        <v>8336.66244</v>
      </c>
      <c r="D64" s="1">
        <f>value(EUR!$B64)</f>
        <v>12181.27414</v>
      </c>
      <c r="E64" s="1">
        <f>value(GBP!$B64)</f>
        <v>13676.6278</v>
      </c>
      <c r="F64" s="1">
        <f>value(CHF!$B64)</f>
        <v>8511.454644</v>
      </c>
      <c r="G64" s="1">
        <f>value(SGD!$B64)</f>
        <v>6482.467466</v>
      </c>
      <c r="H64" s="1">
        <f>value(MYR!$B64)</f>
        <v>2776.16486</v>
      </c>
      <c r="I64" s="1">
        <f>value(THB!$B64)</f>
        <v>279.06855</v>
      </c>
      <c r="J64" s="1">
        <f>value(VND!$B64)</f>
        <v>0.4777223813</v>
      </c>
      <c r="K64" s="1">
        <f>value(CNY!$B64)</f>
        <v>1331.67787</v>
      </c>
      <c r="L64" s="1">
        <f>value(HKD!$B64)</f>
        <v>1168.820766</v>
      </c>
      <c r="M64" s="1">
        <f>value(TWD!$B64)</f>
        <v>284.150774</v>
      </c>
      <c r="N64" s="1">
        <f>value(JPY!$B64)</f>
        <v>97.742058</v>
      </c>
      <c r="O64" s="1">
        <f>value(SAR!$B64)</f>
        <v>2427.660864</v>
      </c>
      <c r="P64" s="1">
        <f>value(AED!$B64)</f>
        <v>2478.38278</v>
      </c>
      <c r="Q64" s="1">
        <f>value(KWD!$B64)</f>
        <v>31541.9223</v>
      </c>
    </row>
    <row r="65">
      <c r="A65" s="4">
        <f>value(USD!A65)</f>
        <v>40268.99861</v>
      </c>
      <c r="B65" s="1">
        <f>value(USD!B65)</f>
        <v>9103</v>
      </c>
      <c r="C65" s="1">
        <f>value(AUD!$B65)</f>
        <v>8331.0656</v>
      </c>
      <c r="D65" s="1">
        <f>value(EUR!$B65)</f>
        <v>12294.5118</v>
      </c>
      <c r="E65" s="1">
        <f>value(GBP!$B65)</f>
        <v>13818.354</v>
      </c>
      <c r="F65" s="1">
        <f>value(CHF!$B65)</f>
        <v>8638.747</v>
      </c>
      <c r="G65" s="1">
        <f>value(SGD!$B65)</f>
        <v>6503.09217</v>
      </c>
      <c r="H65" s="1">
        <f>value(MYR!$B65)</f>
        <v>2787.3386</v>
      </c>
      <c r="I65" s="1">
        <f>value(THB!$B65)</f>
        <v>279.18901</v>
      </c>
      <c r="J65" s="1">
        <f>value(VND!$B65)</f>
        <v>0.4746141703</v>
      </c>
      <c r="K65" s="1">
        <f>value(CNY!$B65)</f>
        <v>1322.575992</v>
      </c>
      <c r="L65" s="1">
        <f>value(HKD!$B65)</f>
        <v>1172.37537</v>
      </c>
      <c r="M65" s="1">
        <f>value(TWD!$B65)</f>
        <v>287.29068</v>
      </c>
      <c r="N65" s="1">
        <f>value(JPY!$B65)</f>
        <v>97.31107</v>
      </c>
      <c r="O65" s="1">
        <f>value(SAR!$B65)</f>
        <v>2411.297167</v>
      </c>
      <c r="P65" s="1">
        <f>value(AED!$B65)</f>
        <v>2461.06908</v>
      </c>
      <c r="Q65" s="1">
        <f>value(KWD!$B65)</f>
        <v>31312.2036</v>
      </c>
    </row>
    <row r="66">
      <c r="A66" s="4">
        <f>value(USD!A66)</f>
        <v>40269.99861</v>
      </c>
      <c r="B66" s="1">
        <f>value(USD!B66)</f>
        <v>9041.4</v>
      </c>
      <c r="C66" s="1">
        <f>value(AUD!$B66)</f>
        <v>8320.80042</v>
      </c>
      <c r="D66" s="1">
        <f>value(EUR!$B66)</f>
        <v>12278.2212</v>
      </c>
      <c r="E66" s="1">
        <f>value(GBP!$B66)</f>
        <v>13823.6677</v>
      </c>
      <c r="F66" s="1">
        <f>value(CHF!$B66)</f>
        <v>8573.236308</v>
      </c>
      <c r="G66" s="1">
        <f>value(SGD!$B66)</f>
        <v>6466.951764</v>
      </c>
      <c r="H66" s="1">
        <f>value(MYR!$B66)</f>
        <v>2774.715246</v>
      </c>
      <c r="I66" s="1">
        <f>value(THB!$B66)</f>
        <v>278.02305</v>
      </c>
      <c r="J66" s="1">
        <f>value(VND!$B66)</f>
        <v>0.4856570644</v>
      </c>
      <c r="K66" s="1">
        <f>value(CNY!$B66)</f>
        <v>1330.401972</v>
      </c>
      <c r="L66" s="1">
        <f>value(HKD!$B66)</f>
        <v>1164.170664</v>
      </c>
      <c r="M66" s="1">
        <f>value(TWD!$B66)</f>
        <v>286.431552</v>
      </c>
      <c r="N66" s="1">
        <f>value(JPY!$B66)</f>
        <v>96.29091</v>
      </c>
      <c r="O66" s="1">
        <f>value(SAR!$B66)</f>
        <v>2425.500691</v>
      </c>
      <c r="P66" s="1">
        <f>value(AED!$B66)</f>
        <v>2476.177474</v>
      </c>
      <c r="Q66" s="1">
        <f>value(KWD!$B66)</f>
        <v>31497.48496</v>
      </c>
    </row>
    <row r="67">
      <c r="A67" s="4">
        <f>value(USD!A67)</f>
        <v>40270.99861</v>
      </c>
      <c r="B67" s="1">
        <f>value(USD!B67)</f>
        <v>9094.9</v>
      </c>
      <c r="C67" s="1">
        <f>value(AUD!$B67)</f>
        <v>8359.031641</v>
      </c>
      <c r="D67" s="1">
        <f>value(EUR!$B67)</f>
        <v>12277.20551</v>
      </c>
      <c r="E67" s="1">
        <f>value(GBP!$B67)</f>
        <v>13792.41585</v>
      </c>
      <c r="F67" s="1">
        <f>value(CHF!$B67)</f>
        <v>8565.213024</v>
      </c>
      <c r="G67" s="1">
        <f>value(SGD!$B67)</f>
        <v>6491.757722</v>
      </c>
      <c r="H67" s="1">
        <f>value(MYR!$B67)</f>
        <v>2742.385197</v>
      </c>
      <c r="I67" s="1">
        <f>value(THB!$B67)</f>
        <v>276.212113</v>
      </c>
      <c r="J67" s="1">
        <f>value(VND!$B67)</f>
        <v>0.4758370486</v>
      </c>
      <c r="K67" s="1">
        <f>value(CNY!$B67)</f>
        <v>1324.243584</v>
      </c>
      <c r="L67" s="1">
        <f>value(HKD!$B67)</f>
        <v>1170.695528</v>
      </c>
      <c r="M67" s="1">
        <f>value(TWD!$B67)</f>
        <v>286.398401</v>
      </c>
      <c r="N67" s="1">
        <f>value(JPY!$B67)</f>
        <v>96.133093</v>
      </c>
      <c r="O67" s="1">
        <f>value(SAR!$B67)</f>
        <v>2414.401857</v>
      </c>
      <c r="P67" s="1">
        <f>value(AED!$B67)</f>
        <v>2464.534272</v>
      </c>
      <c r="Q67" s="1">
        <f>value(KWD!$B67)</f>
        <v>31406.06428</v>
      </c>
    </row>
    <row r="68">
      <c r="A68" s="4">
        <f>value(USD!A68)</f>
        <v>40273.99861</v>
      </c>
      <c r="B68" s="1">
        <f>value(USD!B68)</f>
        <v>9052.8</v>
      </c>
      <c r="C68" s="1">
        <f>value(AUD!$B68)</f>
        <v>8334.00768</v>
      </c>
      <c r="D68" s="1">
        <f>value(EUR!$B68)</f>
        <v>12207.7008</v>
      </c>
      <c r="E68" s="1">
        <f>value(GBP!$B68)</f>
        <v>13848.06816</v>
      </c>
      <c r="F68" s="1">
        <f>value(CHF!$B68)</f>
        <v>8522.30592</v>
      </c>
      <c r="G68" s="1">
        <f>value(SGD!$B68)</f>
        <v>6474.653088</v>
      </c>
      <c r="H68" s="1">
        <f>value(MYR!$B68)</f>
        <v>2758.750272</v>
      </c>
      <c r="I68" s="1">
        <f>value(THB!$B68)</f>
        <v>274.571424</v>
      </c>
      <c r="J68" s="1">
        <f>value(VND!$B68)</f>
        <v>0.4746481055</v>
      </c>
      <c r="K68" s="1">
        <f>value(CNY!$B68)</f>
        <v>1321.976244</v>
      </c>
      <c r="L68" s="1">
        <f>value(HKD!$B68)</f>
        <v>1165.638528</v>
      </c>
      <c r="M68" s="1">
        <f>value(TWD!$B68)</f>
        <v>284.801088</v>
      </c>
      <c r="N68" s="1">
        <f>value(JPY!$B68)</f>
        <v>95.95968</v>
      </c>
      <c r="O68" s="1">
        <f>value(SAR!$B68)</f>
        <v>2410.203717</v>
      </c>
      <c r="P68" s="1">
        <f>value(AED!$B68)</f>
        <v>2460.495298</v>
      </c>
      <c r="Q68" s="1">
        <f>value(KWD!$B68)</f>
        <v>31325.1254</v>
      </c>
    </row>
    <row r="69">
      <c r="A69" s="4">
        <f>value(USD!A69)</f>
        <v>40274.99861</v>
      </c>
      <c r="B69" s="1">
        <f>value(USD!B69)</f>
        <v>9037.3</v>
      </c>
      <c r="C69" s="1">
        <f>value(AUD!$B69)</f>
        <v>8381.19202</v>
      </c>
      <c r="D69" s="1">
        <f>value(EUR!$B69)</f>
        <v>12108.17454</v>
      </c>
      <c r="E69" s="1">
        <f>value(GBP!$B69)</f>
        <v>13798.14964</v>
      </c>
      <c r="F69" s="1">
        <f>value(CHF!$B69)</f>
        <v>8455.117134</v>
      </c>
      <c r="G69" s="1">
        <f>value(SGD!$B69)</f>
        <v>6468.628221</v>
      </c>
      <c r="H69" s="1">
        <f>value(MYR!$B69)</f>
        <v>2814.847831</v>
      </c>
      <c r="I69" s="1">
        <f>value(THB!$B69)</f>
        <v>277.535483</v>
      </c>
      <c r="J69" s="1">
        <f>value(VND!$B69)</f>
        <v>0.4829324146</v>
      </c>
      <c r="K69" s="1">
        <f>value(CNY!$B69)</f>
        <v>1324.67335</v>
      </c>
      <c r="L69" s="1">
        <f>value(HKD!$B69)</f>
        <v>1163.733121</v>
      </c>
      <c r="M69" s="1">
        <f>value(TWD!$B69)</f>
        <v>285.036442</v>
      </c>
      <c r="N69" s="1">
        <f>value(JPY!$B69)</f>
        <v>96.337618</v>
      </c>
      <c r="O69" s="1">
        <f>value(SAR!$B69)</f>
        <v>2414.726496</v>
      </c>
      <c r="P69" s="1">
        <f>value(AED!$B69)</f>
        <v>2465.087625</v>
      </c>
      <c r="Q69" s="1">
        <f>value(KWD!$B69)</f>
        <v>31406.52019</v>
      </c>
    </row>
    <row r="70">
      <c r="A70" s="4">
        <f>value(USD!A70)</f>
        <v>40275.99861</v>
      </c>
      <c r="B70" s="1">
        <f>value(USD!B70)</f>
        <v>9054.5</v>
      </c>
      <c r="C70" s="1">
        <f>value(AUD!$B70)</f>
        <v>8391.7106</v>
      </c>
      <c r="D70" s="1">
        <f>value(EUR!$B70)</f>
        <v>12083.23025</v>
      </c>
      <c r="E70" s="1">
        <f>value(GBP!$B70)</f>
        <v>13796.34165</v>
      </c>
      <c r="F70" s="1">
        <f>value(CHF!$B70)</f>
        <v>8433.18021</v>
      </c>
      <c r="G70" s="1">
        <f>value(SGD!$B70)</f>
        <v>6485.104535</v>
      </c>
      <c r="H70" s="1">
        <f>value(MYR!$B70)</f>
        <v>2816.13059</v>
      </c>
      <c r="I70" s="1">
        <f>value(THB!$B70)</f>
        <v>277.701515</v>
      </c>
      <c r="J70" s="1">
        <f>value(VND!$B70)</f>
        <v>0.4759695176</v>
      </c>
      <c r="K70" s="1">
        <f>value(CNY!$B70)</f>
        <v>1325.14151</v>
      </c>
      <c r="L70" s="1">
        <f>value(HKD!$B70)</f>
        <v>1166.58178</v>
      </c>
      <c r="M70" s="1">
        <f>value(TWD!$B70)</f>
        <v>286.84656</v>
      </c>
      <c r="N70" s="1">
        <f>value(JPY!$B70)</f>
        <v>97.06424</v>
      </c>
      <c r="O70" s="1">
        <f>value(SAR!$B70)</f>
        <v>2415.579897</v>
      </c>
      <c r="P70" s="1">
        <f>value(AED!$B70)</f>
        <v>2465.958825</v>
      </c>
      <c r="Q70" s="1">
        <f>value(KWD!$B70)</f>
        <v>31384.95767</v>
      </c>
    </row>
    <row r="71">
      <c r="A71" s="4">
        <f>value(USD!A71)</f>
        <v>40276.99861</v>
      </c>
      <c r="B71" s="1">
        <f>value(USD!B71)</f>
        <v>9057.7</v>
      </c>
      <c r="C71" s="1">
        <f>value(AUD!$B71)</f>
        <v>8410.98022</v>
      </c>
      <c r="D71" s="1">
        <f>value(EUR!$B71)</f>
        <v>12097.46412</v>
      </c>
      <c r="E71" s="1">
        <f>value(GBP!$B71)</f>
        <v>13838.35406</v>
      </c>
      <c r="F71" s="1">
        <f>value(CHF!$B71)</f>
        <v>8439.240244</v>
      </c>
      <c r="G71" s="1">
        <f>value(SGD!$B71)</f>
        <v>6495.095516</v>
      </c>
      <c r="H71" s="1">
        <f>value(MYR!$B71)</f>
        <v>2829.534903</v>
      </c>
      <c r="I71" s="1">
        <f>value(THB!$B71)</f>
        <v>278.886583</v>
      </c>
      <c r="J71" s="1">
        <f>value(VND!$B71)</f>
        <v>0.4739341214</v>
      </c>
      <c r="K71" s="1">
        <f>value(CNY!$B71)</f>
        <v>1316.020986</v>
      </c>
      <c r="L71" s="1">
        <f>value(HKD!$B71)</f>
        <v>1167.265799</v>
      </c>
      <c r="M71" s="1">
        <f>value(TWD!$B71)</f>
        <v>288.216014</v>
      </c>
      <c r="N71" s="1">
        <f>value(JPY!$B71)</f>
        <v>96.91739</v>
      </c>
      <c r="O71" s="1">
        <f>value(SAR!$B71)</f>
        <v>2398.234485</v>
      </c>
      <c r="P71" s="1">
        <f>value(AED!$B71)</f>
        <v>2448.317025</v>
      </c>
      <c r="Q71" s="1">
        <f>value(KWD!$B71)</f>
        <v>31182.03541</v>
      </c>
    </row>
    <row r="72">
      <c r="A72" s="4">
        <f>value(USD!A72)</f>
        <v>40277.99861</v>
      </c>
      <c r="B72" s="1">
        <f>value(USD!B72)</f>
        <v>8992.9</v>
      </c>
      <c r="C72" s="1">
        <f>value(AUD!$B72)</f>
        <v>8392.17428</v>
      </c>
      <c r="D72" s="1">
        <f>value(EUR!$B72)</f>
        <v>12139.51571</v>
      </c>
      <c r="E72" s="1">
        <f>value(GBP!$B72)</f>
        <v>13798.70576</v>
      </c>
      <c r="F72" s="1">
        <f>value(CHF!$B72)</f>
        <v>8436.419348</v>
      </c>
      <c r="G72" s="1">
        <f>value(SGD!$B72)</f>
        <v>6467.873538</v>
      </c>
      <c r="H72" s="1">
        <f>value(MYR!$B72)</f>
        <v>2826.46847</v>
      </c>
      <c r="I72" s="1">
        <f>value(THB!$B72)</f>
        <v>277.88061</v>
      </c>
      <c r="J72" s="1">
        <f>value(VND!$B72)</f>
        <v>0.4752637127</v>
      </c>
      <c r="K72" s="1">
        <f>value(CNY!$B72)</f>
        <v>1318.21919</v>
      </c>
      <c r="L72" s="1">
        <f>value(HKD!$B72)</f>
        <v>1159.454597</v>
      </c>
      <c r="M72" s="1">
        <f>value(TWD!$B72)</f>
        <v>287.143297</v>
      </c>
      <c r="N72" s="1">
        <f>value(JPY!$B72)</f>
        <v>96.493817</v>
      </c>
      <c r="O72" s="1">
        <f>value(SAR!$B72)</f>
        <v>2403.061409</v>
      </c>
      <c r="P72" s="1">
        <f>value(AED!$B72)</f>
        <v>2453.24475</v>
      </c>
      <c r="Q72" s="1">
        <f>value(KWD!$B72)</f>
        <v>31326.26391</v>
      </c>
    </row>
    <row r="73">
      <c r="A73" s="4">
        <f>value(USD!A73)</f>
        <v>40280.99861</v>
      </c>
      <c r="B73" s="1">
        <f>value(USD!B73)</f>
        <v>9011</v>
      </c>
      <c r="C73" s="1">
        <f>value(AUD!$B73)</f>
        <v>8347.7904</v>
      </c>
      <c r="D73" s="1">
        <f>value(EUR!$B73)</f>
        <v>12249.73362</v>
      </c>
      <c r="E73" s="1">
        <f>value(GBP!$B73)</f>
        <v>13850.8081</v>
      </c>
      <c r="F73" s="1">
        <f>value(CHF!$B73)</f>
        <v>8504.31147</v>
      </c>
      <c r="G73" s="1">
        <f>value(SGD!$B73)</f>
        <v>6476.65625</v>
      </c>
      <c r="H73" s="1">
        <f>value(MYR!$B73)</f>
        <v>2804.85397</v>
      </c>
      <c r="I73" s="1">
        <f>value(THB!$B73)</f>
        <v>276.6377</v>
      </c>
      <c r="J73" s="1">
        <f>value(VND!$B73)</f>
        <v>0.4750593127</v>
      </c>
      <c r="K73" s="1">
        <f>value(CNY!$B73)</f>
        <v>1317.90966</v>
      </c>
      <c r="L73" s="1">
        <f>value(HKD!$B73)</f>
        <v>1161.5179</v>
      </c>
      <c r="M73" s="1">
        <f>value(TWD!$B73)</f>
        <v>285.91903</v>
      </c>
      <c r="N73" s="1">
        <f>value(JPY!$B73)</f>
        <v>96.68803</v>
      </c>
      <c r="O73" s="1">
        <f>value(SAR!$B73)</f>
        <v>2402.533273</v>
      </c>
      <c r="P73" s="1">
        <f>value(AED!$B73)</f>
        <v>2452.836375</v>
      </c>
      <c r="Q73" s="1">
        <f>value(KWD!$B73)</f>
        <v>31331.94173</v>
      </c>
    </row>
    <row r="74">
      <c r="A74" s="4">
        <f>value(USD!A74)</f>
        <v>40281.99861</v>
      </c>
      <c r="B74" s="1">
        <f>value(USD!B74)</f>
        <v>9009.5</v>
      </c>
      <c r="C74" s="1">
        <f>value(AUD!$B74)</f>
        <v>8357.2122</v>
      </c>
      <c r="D74" s="1">
        <f>value(EUR!$B74)</f>
        <v>12259.22665</v>
      </c>
      <c r="E74" s="1">
        <f>value(GBP!$B74)</f>
        <v>13851.2053</v>
      </c>
      <c r="F74" s="1">
        <f>value(CHF!$B74)</f>
        <v>8541.90695</v>
      </c>
      <c r="G74" s="1">
        <f>value(SGD!$B74)</f>
        <v>6472.334705</v>
      </c>
      <c r="H74" s="1">
        <f>value(MYR!$B74)</f>
        <v>2799.161555</v>
      </c>
      <c r="I74" s="1">
        <f>value(THB!$B74)</f>
        <v>277.042125</v>
      </c>
      <c r="J74" s="1">
        <f>value(VND!$B74)</f>
        <v>0.4755356151</v>
      </c>
      <c r="K74" s="1">
        <f>value(CNY!$B74)</f>
        <v>1318.277706</v>
      </c>
      <c r="L74" s="1">
        <f>value(HKD!$B74)</f>
        <v>1160.874075</v>
      </c>
      <c r="M74" s="1">
        <f>value(TWD!$B74)</f>
        <v>285.60115</v>
      </c>
      <c r="N74" s="1">
        <f>value(JPY!$B74)</f>
        <v>96.671935</v>
      </c>
      <c r="O74" s="1">
        <f>value(SAR!$B74)</f>
        <v>2403.168082</v>
      </c>
      <c r="P74" s="1">
        <f>value(AED!$B74)</f>
        <v>2453.173422</v>
      </c>
      <c r="Q74" s="1">
        <f>value(KWD!$B74)</f>
        <v>33375.54921</v>
      </c>
    </row>
    <row r="75">
      <c r="A75" s="4">
        <f>value(USD!A75)</f>
        <v>40282.99861</v>
      </c>
      <c r="B75" s="1">
        <f>value(USD!B75)</f>
        <v>9011.4</v>
      </c>
      <c r="C75" s="1">
        <f>value(AUD!$B75)</f>
        <v>8431.96698</v>
      </c>
      <c r="D75" s="1">
        <f>value(EUR!$B75)</f>
        <v>12304.16556</v>
      </c>
      <c r="E75" s="1">
        <f>value(GBP!$B75)</f>
        <v>13937.03124</v>
      </c>
      <c r="F75" s="1">
        <f>value(CHF!$B75)</f>
        <v>8568.669918</v>
      </c>
      <c r="G75" s="1">
        <f>value(SGD!$B75)</f>
        <v>6560.389314</v>
      </c>
      <c r="H75" s="1">
        <f>value(MYR!$B75)</f>
        <v>2810.475432</v>
      </c>
      <c r="I75" s="1">
        <f>value(THB!$B75)</f>
        <v>277.461006</v>
      </c>
      <c r="J75" s="1">
        <f>value(VND!$B75)</f>
        <v>0.4751174378</v>
      </c>
      <c r="K75" s="1">
        <f>value(CNY!$B75)</f>
        <v>1316.770919</v>
      </c>
      <c r="L75" s="1">
        <f>value(HKD!$B75)</f>
        <v>1161.028776</v>
      </c>
      <c r="M75" s="1">
        <f>value(TWD!$B75)</f>
        <v>288.094458</v>
      </c>
      <c r="N75" s="1">
        <f>value(JPY!$B75)</f>
        <v>96.512094</v>
      </c>
      <c r="O75" s="1">
        <f>value(SAR!$B75)</f>
        <v>2400.549354</v>
      </c>
      <c r="P75" s="1">
        <f>value(AED!$B75)</f>
        <v>2450.549475</v>
      </c>
      <c r="Q75" s="1">
        <f>value(KWD!$B75)</f>
        <v>31362.71275</v>
      </c>
    </row>
    <row r="76">
      <c r="A76" s="4">
        <f>value(USD!A76)</f>
        <v>40283.99861</v>
      </c>
      <c r="B76" s="1">
        <f>value(USD!B76)</f>
        <v>9001.1</v>
      </c>
      <c r="C76" s="1">
        <f>value(AUD!$B76)</f>
        <v>8401.62674</v>
      </c>
      <c r="D76" s="1">
        <f>value(EUR!$B76)</f>
        <v>12215.21278</v>
      </c>
      <c r="E76" s="1">
        <f>value(GBP!$B76)</f>
        <v>13917.32079</v>
      </c>
      <c r="F76" s="1">
        <f>value(CHF!$B76)</f>
        <v>8517.830941</v>
      </c>
      <c r="G76" s="1">
        <f>value(SGD!$B76)</f>
        <v>6548.660294</v>
      </c>
      <c r="H76" s="1">
        <f>value(MYR!$B76)</f>
        <v>2819.594575</v>
      </c>
      <c r="I76" s="1">
        <f>value(THB!$B76)</f>
        <v>278.13399</v>
      </c>
      <c r="J76" s="1">
        <f>value(VND!$B76)</f>
        <v>0.4811207851</v>
      </c>
      <c r="K76" s="1">
        <f>value(CNY!$B76)</f>
        <v>1317.412308</v>
      </c>
      <c r="L76" s="1">
        <f>value(HKD!$B76)</f>
        <v>1159.791735</v>
      </c>
      <c r="M76" s="1">
        <f>value(TWD!$B76)</f>
        <v>287.585145</v>
      </c>
      <c r="N76" s="1">
        <f>value(JPY!$B76)</f>
        <v>96.671814</v>
      </c>
      <c r="O76" s="1">
        <f>value(SAR!$B76)</f>
        <v>2401.818796</v>
      </c>
      <c r="P76" s="1">
        <f>value(AED!$B76)</f>
        <v>2451.370359</v>
      </c>
      <c r="Q76" s="1">
        <f>value(KWD!$B76)</f>
        <v>31492.06216</v>
      </c>
    </row>
    <row r="77">
      <c r="A77" s="4">
        <f>value(USD!A77)</f>
        <v>40284.99861</v>
      </c>
      <c r="B77" s="1">
        <f>value(USD!B77)</f>
        <v>9006.1</v>
      </c>
      <c r="C77" s="1">
        <f>value(AUD!$B77)</f>
        <v>8328.390975</v>
      </c>
      <c r="D77" s="1">
        <f>value(EUR!$B77)</f>
        <v>12158.235</v>
      </c>
      <c r="E77" s="1">
        <f>value(GBP!$B77)</f>
        <v>13827.06533</v>
      </c>
      <c r="F77" s="1">
        <f>value(CHF!$B77)</f>
        <v>8483.926322</v>
      </c>
      <c r="G77" s="1">
        <f>value(SGD!$B77)</f>
        <v>6544.192504</v>
      </c>
      <c r="H77" s="1">
        <f>value(MYR!$B77)</f>
        <v>2822.962045</v>
      </c>
      <c r="I77" s="1">
        <f>value(THB!$B77)</f>
        <v>278.108368</v>
      </c>
      <c r="J77" s="1">
        <f>value(VND!$B77)</f>
        <v>0.4821862072</v>
      </c>
      <c r="K77" s="1">
        <f>value(CNY!$B77)</f>
        <v>1318.918992</v>
      </c>
      <c r="L77" s="1">
        <f>value(HKD!$B77)</f>
        <v>1160.435985</v>
      </c>
      <c r="M77" s="1">
        <f>value(TWD!$B77)</f>
        <v>286.754224</v>
      </c>
      <c r="N77" s="1">
        <f>value(JPY!$B77)</f>
        <v>97.626124</v>
      </c>
      <c r="O77" s="1">
        <f>value(SAR!$B77)</f>
        <v>2404.565683</v>
      </c>
      <c r="P77" s="1">
        <f>value(AED!$B77)</f>
        <v>2454.7149</v>
      </c>
      <c r="Q77" s="1">
        <f>value(KWD!$B77)</f>
        <v>31479.64256</v>
      </c>
    </row>
    <row r="78">
      <c r="A78" s="4">
        <f>value(USD!A78)</f>
        <v>40287.99861</v>
      </c>
      <c r="B78" s="1">
        <f>value(USD!B78)</f>
        <v>9016.4</v>
      </c>
      <c r="C78" s="1">
        <f>value(AUD!$B78)</f>
        <v>8340.17</v>
      </c>
      <c r="D78" s="1">
        <f>value(EUR!$B78)</f>
        <v>12160.05802</v>
      </c>
      <c r="E78" s="1">
        <f>value(GBP!$B78)</f>
        <v>13823.04284</v>
      </c>
      <c r="F78" s="1">
        <f>value(CHF!$B78)</f>
        <v>8480.645512</v>
      </c>
      <c r="G78" s="1">
        <f>value(SGD!$B78)</f>
        <v>6541.668692</v>
      </c>
      <c r="H78" s="1">
        <f>value(MYR!$B78)</f>
        <v>2806.264336</v>
      </c>
      <c r="I78" s="1">
        <f>value(THB!$B78)</f>
        <v>278.426432</v>
      </c>
      <c r="J78" s="1">
        <f>value(VND!$B78)</f>
        <v>0.4826999197</v>
      </c>
      <c r="K78" s="1">
        <f>value(CNY!$B78)</f>
        <v>1319.213962</v>
      </c>
      <c r="L78" s="1">
        <f>value(HKD!$B78)</f>
        <v>1161.31232</v>
      </c>
      <c r="M78" s="1">
        <f>value(TWD!$B78)</f>
        <v>287.62316</v>
      </c>
      <c r="N78" s="1">
        <f>value(JPY!$B78)</f>
        <v>97.467284</v>
      </c>
      <c r="O78" s="1">
        <f>value(SAR!$B78)</f>
        <v>2405.003162</v>
      </c>
      <c r="P78" s="1">
        <f>value(AED!$B78)</f>
        <v>2455.09605</v>
      </c>
      <c r="Q78" s="1">
        <f>value(KWD!$B78)</f>
        <v>31349.90375</v>
      </c>
    </row>
    <row r="79">
      <c r="A79" s="4">
        <f>value(USD!A79)</f>
        <v>40288.99861</v>
      </c>
      <c r="B79" s="1">
        <f>value(USD!B79)</f>
        <v>9017.8</v>
      </c>
      <c r="C79" s="1">
        <f>value(AUD!$B79)</f>
        <v>8395.5718</v>
      </c>
      <c r="D79" s="1">
        <f>value(EUR!$B79)</f>
        <v>12113.61074</v>
      </c>
      <c r="E79" s="1">
        <f>value(GBP!$B79)</f>
        <v>13852.24258</v>
      </c>
      <c r="F79" s="1">
        <f>value(CHF!$B79)</f>
        <v>8437.775104</v>
      </c>
      <c r="G79" s="1">
        <f>value(SGD!$B79)</f>
        <v>6555.579888</v>
      </c>
      <c r="H79" s="1">
        <f>value(MYR!$B79)</f>
        <v>2807.782208</v>
      </c>
      <c r="I79" s="1">
        <f>value(THB!$B79)</f>
        <v>278.379486</v>
      </c>
      <c r="J79" s="1">
        <f>value(VND!$B79)</f>
        <v>0.4828909318</v>
      </c>
      <c r="K79" s="1">
        <f>value(CNY!$B79)</f>
        <v>1319.747858</v>
      </c>
      <c r="L79" s="1">
        <f>value(HKD!$B79)</f>
        <v>1161.49264</v>
      </c>
      <c r="M79" s="1">
        <f>value(TWD!$B79)</f>
        <v>285.593726</v>
      </c>
      <c r="N79" s="1">
        <f>value(JPY!$B79)</f>
        <v>96.760994</v>
      </c>
      <c r="O79" s="1">
        <f>value(SAR!$B79)</f>
        <v>2406.40583</v>
      </c>
      <c r="P79" s="1">
        <f>value(AED!$B79)</f>
        <v>2456.232493</v>
      </c>
      <c r="Q79" s="1">
        <f>value(KWD!$B79)</f>
        <v>31341.78287</v>
      </c>
    </row>
    <row r="80">
      <c r="A80" s="4">
        <f>value(USD!A80)</f>
        <v>40289.99861</v>
      </c>
      <c r="B80" s="1">
        <f>value(USD!B80)</f>
        <v>9023.3</v>
      </c>
      <c r="C80" s="1">
        <f>value(AUD!$B80)</f>
        <v>8367.30609</v>
      </c>
      <c r="D80" s="1">
        <f>value(EUR!$B80)</f>
        <v>12078.58938</v>
      </c>
      <c r="E80" s="1">
        <f>value(GBP!$B80)</f>
        <v>13904.00297</v>
      </c>
      <c r="F80" s="1">
        <f>value(CHF!$B80)</f>
        <v>8428.393831</v>
      </c>
      <c r="G80" s="1">
        <f>value(SGD!$B80)</f>
        <v>6570.496361</v>
      </c>
      <c r="H80" s="1">
        <f>value(MYR!$B80)</f>
        <v>2819.510551</v>
      </c>
      <c r="I80" s="1">
        <f>value(THB!$B80)</f>
        <v>278.729737</v>
      </c>
      <c r="J80" s="1">
        <f>value(VND!$B80)</f>
        <v>0.4817089864</v>
      </c>
      <c r="K80" s="1">
        <f>value(CNY!$B80)</f>
        <v>1331.777004</v>
      </c>
      <c r="L80" s="1">
        <f>value(HKD!$B80)</f>
        <v>1162.291273</v>
      </c>
      <c r="M80" s="1">
        <f>value(TWD!$B80)</f>
        <v>287.662804</v>
      </c>
      <c r="N80" s="1">
        <f>value(JPY!$B80)</f>
        <v>96.910242</v>
      </c>
      <c r="O80" s="1">
        <f>value(SAR!$B80)</f>
        <v>2428.007558</v>
      </c>
      <c r="P80" s="1">
        <f>value(AED!$B80)</f>
        <v>2478.645675</v>
      </c>
      <c r="Q80" s="1">
        <f>value(KWD!$B80)</f>
        <v>31623.13054</v>
      </c>
    </row>
    <row r="81">
      <c r="A81" s="4">
        <f>value(USD!A81)</f>
        <v>40290.99861</v>
      </c>
      <c r="B81" s="1">
        <f>value(USD!B81)</f>
        <v>9104.3</v>
      </c>
      <c r="C81" s="1">
        <f>value(AUD!$B81)</f>
        <v>8425.11922</v>
      </c>
      <c r="D81" s="1">
        <f>value(EUR!$B81)</f>
        <v>12079.58524</v>
      </c>
      <c r="E81" s="1">
        <f>value(GBP!$B81)</f>
        <v>13993.3091</v>
      </c>
      <c r="F81" s="1">
        <f>value(CHF!$B81)</f>
        <v>8428.305725</v>
      </c>
      <c r="G81" s="1">
        <f>value(SGD!$B81)</f>
        <v>6631.481077</v>
      </c>
      <c r="H81" s="1">
        <f>value(MYR!$B81)</f>
        <v>2837.264052</v>
      </c>
      <c r="I81" s="1">
        <f>value(THB!$B81)</f>
        <v>279.775139</v>
      </c>
      <c r="J81" s="1">
        <f>value(VND!$B81)</f>
        <v>0.4769067734</v>
      </c>
      <c r="K81" s="1">
        <f>value(CNY!$B81)</f>
        <v>1316.74496</v>
      </c>
      <c r="L81" s="1">
        <f>value(HKD!$B81)</f>
        <v>1172.998012</v>
      </c>
      <c r="M81" s="1">
        <f>value(TWD!$B81)</f>
        <v>288.333181</v>
      </c>
      <c r="N81" s="1">
        <f>value(JPY!$B81)</f>
        <v>97.41601</v>
      </c>
      <c r="O81" s="1">
        <f>value(SAR!$B81)</f>
        <v>2401.258752</v>
      </c>
      <c r="P81" s="1">
        <f>value(AED!$B81)</f>
        <v>2451.339</v>
      </c>
      <c r="Q81" s="1">
        <f>value(KWD!$B81)</f>
        <v>31391.41054</v>
      </c>
    </row>
    <row r="82">
      <c r="A82" s="4">
        <f>value(USD!A82)</f>
        <v>40291.99861</v>
      </c>
      <c r="B82" s="1">
        <f>value(USD!B82)</f>
        <v>9004</v>
      </c>
      <c r="C82" s="1">
        <f>value(AUD!$B82)</f>
        <v>8351.21</v>
      </c>
      <c r="D82" s="1">
        <f>value(EUR!$B82)</f>
        <v>12048.2524</v>
      </c>
      <c r="E82" s="1">
        <f>value(GBP!$B82)</f>
        <v>13842.7496</v>
      </c>
      <c r="F82" s="1">
        <f>value(CHF!$B82)</f>
        <v>8392.53836</v>
      </c>
      <c r="G82" s="1">
        <f>value(SGD!$B82)</f>
        <v>6567.9678</v>
      </c>
      <c r="H82" s="1">
        <f>value(MYR!$B82)</f>
        <v>2823.29424</v>
      </c>
      <c r="I82" s="1">
        <f>value(THB!$B82)</f>
        <v>279.5742</v>
      </c>
      <c r="J82" s="1">
        <f>value(VND!$B82)</f>
        <v>0.4796820589</v>
      </c>
      <c r="K82" s="1">
        <f>value(CNY!$B82)</f>
        <v>1310.677875</v>
      </c>
      <c r="L82" s="1">
        <f>value(HKD!$B82)</f>
        <v>1159.80524</v>
      </c>
      <c r="M82" s="1">
        <f>value(TWD!$B82)</f>
        <v>287.94792</v>
      </c>
      <c r="N82" s="1">
        <f>value(JPY!$B82)</f>
        <v>95.80256</v>
      </c>
      <c r="O82" s="1">
        <f>value(SAR!$B82)</f>
        <v>2390.094906</v>
      </c>
      <c r="P82" s="1">
        <f>value(AED!$B82)</f>
        <v>2439.877275</v>
      </c>
      <c r="Q82" s="1">
        <f>value(KWD!$B82)</f>
        <v>31229.38953</v>
      </c>
    </row>
    <row r="83">
      <c r="A83" s="4">
        <f>value(USD!A83)</f>
        <v>40294.99861</v>
      </c>
      <c r="B83" s="1">
        <f>value(USD!B83)</f>
        <v>8961.9</v>
      </c>
      <c r="C83" s="1">
        <f>value(AUD!$B83)</f>
        <v>8312.16225</v>
      </c>
      <c r="D83" s="1">
        <f>value(EUR!$B83)</f>
        <v>12008.946</v>
      </c>
      <c r="E83" s="1">
        <f>value(GBP!$B83)</f>
        <v>13859.48873</v>
      </c>
      <c r="F83" s="1">
        <f>value(CHF!$B83)</f>
        <v>8364.678984</v>
      </c>
      <c r="G83" s="1">
        <f>value(SGD!$B83)</f>
        <v>6551.596995</v>
      </c>
      <c r="H83" s="1">
        <f>value(MYR!$B83)</f>
        <v>2827.837926</v>
      </c>
      <c r="I83" s="1">
        <f>value(THB!$B83)</f>
        <v>277.908519</v>
      </c>
      <c r="J83" s="1">
        <f>value(VND!$B83)</f>
        <v>0.4806393611</v>
      </c>
      <c r="K83" s="1">
        <f>value(CNY!$B83)</f>
        <v>1330.486547</v>
      </c>
      <c r="L83" s="1">
        <f>value(HKD!$B83)</f>
        <v>1154.29272</v>
      </c>
      <c r="M83" s="1">
        <f>value(TWD!$B83)</f>
        <v>287.945847</v>
      </c>
      <c r="N83" s="1">
        <f>value(JPY!$B83)</f>
        <v>95.444235</v>
      </c>
      <c r="O83" s="1">
        <f>value(SAR!$B83)</f>
        <v>2425.755952</v>
      </c>
      <c r="P83" s="1">
        <f>value(AED!$B83)</f>
        <v>2476.413225</v>
      </c>
      <c r="Q83" s="1">
        <f>value(KWD!$B83)</f>
        <v>31698.14385</v>
      </c>
    </row>
    <row r="84">
      <c r="A84" s="4">
        <f>value(USD!A84)</f>
        <v>40295.99861</v>
      </c>
      <c r="B84" s="1">
        <f>value(USD!B84)</f>
        <v>9096.1</v>
      </c>
      <c r="C84" s="1">
        <f>value(AUD!$B84)</f>
        <v>8333.84682</v>
      </c>
      <c r="D84" s="1">
        <f>value(EUR!$B84)</f>
        <v>11978.65409</v>
      </c>
      <c r="E84" s="1">
        <f>value(GBP!$B84)</f>
        <v>13866.09484</v>
      </c>
      <c r="F84" s="1">
        <f>value(CHF!$B84)</f>
        <v>8359.588783</v>
      </c>
      <c r="G84" s="1">
        <f>value(SGD!$B84)</f>
        <v>6617.230828</v>
      </c>
      <c r="H84" s="1">
        <f>value(MYR!$B84)</f>
        <v>2837.9832</v>
      </c>
      <c r="I84" s="1">
        <f>value(THB!$B84)</f>
        <v>278.613543</v>
      </c>
      <c r="J84" s="1">
        <f>value(VND!$B84)</f>
        <v>0.4773756531</v>
      </c>
      <c r="K84" s="1">
        <f>value(CNY!$B84)</f>
        <v>1320.067344</v>
      </c>
      <c r="L84" s="1">
        <f>value(HKD!$B84)</f>
        <v>1171.486719</v>
      </c>
      <c r="M84" s="1">
        <f>value(TWD!$B84)</f>
        <v>287.163877</v>
      </c>
      <c r="N84" s="1">
        <f>value(JPY!$B84)</f>
        <v>97.601153</v>
      </c>
      <c r="O84" s="1">
        <f>value(SAR!$B84)</f>
        <v>2405.973273</v>
      </c>
      <c r="P84" s="1">
        <f>value(AED!$B84)</f>
        <v>2456.258176</v>
      </c>
      <c r="Q84" s="1">
        <f>value(KWD!$B84)</f>
        <v>31273.47896</v>
      </c>
    </row>
    <row r="85">
      <c r="A85" s="4">
        <f>value(USD!A85)</f>
        <v>40296.99861</v>
      </c>
      <c r="B85" s="1">
        <f>value(USD!B85)</f>
        <v>9022.4</v>
      </c>
      <c r="C85" s="1">
        <f>value(AUD!$B85)</f>
        <v>8341.2088</v>
      </c>
      <c r="D85" s="1">
        <f>value(EUR!$B85)</f>
        <v>11919.49264</v>
      </c>
      <c r="E85" s="1">
        <f>value(GBP!$B85)</f>
        <v>13714.048</v>
      </c>
      <c r="F85" s="1">
        <f>value(CHF!$B85)</f>
        <v>8314.1416</v>
      </c>
      <c r="G85" s="1">
        <f>value(SGD!$B85)</f>
        <v>6563.164432</v>
      </c>
      <c r="H85" s="1">
        <f>value(MYR!$B85)</f>
        <v>2819.95112</v>
      </c>
      <c r="I85" s="1">
        <f>value(THB!$B85)</f>
        <v>278.882384</v>
      </c>
      <c r="J85" s="1">
        <f>value(VND!$B85)</f>
        <v>0.4765749031</v>
      </c>
      <c r="K85" s="1">
        <f>value(CNY!$B85)</f>
        <v>1316.975725</v>
      </c>
      <c r="L85" s="1">
        <f>value(HKD!$B85)</f>
        <v>1161.363328</v>
      </c>
      <c r="M85" s="1">
        <f>value(TWD!$B85)</f>
        <v>286.91232</v>
      </c>
      <c r="N85" s="1">
        <f>value(JPY!$B85)</f>
        <v>95.998336</v>
      </c>
      <c r="O85" s="1">
        <f>value(SAR!$B85)</f>
        <v>2400.85872</v>
      </c>
      <c r="P85" s="1">
        <f>value(AED!$B85)</f>
        <v>2450.930625</v>
      </c>
      <c r="Q85" s="1">
        <f>value(KWD!$B85)</f>
        <v>31188.288</v>
      </c>
    </row>
    <row r="86">
      <c r="A86" s="4">
        <f>value(USD!A86)</f>
        <v>40297.99861</v>
      </c>
      <c r="B86" s="1">
        <f>value(USD!B86)</f>
        <v>9002.5</v>
      </c>
      <c r="C86" s="1">
        <f>value(AUD!$B86)</f>
        <v>8375.02575</v>
      </c>
      <c r="D86" s="1">
        <f>value(EUR!$B86)</f>
        <v>11938.21525</v>
      </c>
      <c r="E86" s="1">
        <f>value(GBP!$B86)</f>
        <v>13821.53825</v>
      </c>
      <c r="F86" s="1">
        <f>value(CHF!$B86)</f>
        <v>8320.020475</v>
      </c>
      <c r="G86" s="1">
        <f>value(SGD!$B86)</f>
        <v>6577.856675</v>
      </c>
      <c r="H86" s="1">
        <f>value(MYR!$B86)</f>
        <v>2821.92365</v>
      </c>
      <c r="I86" s="1">
        <f>value(THB!$B86)</f>
        <v>277.727125</v>
      </c>
      <c r="J86" s="1">
        <f>value(VND!$B86)</f>
        <v>0.4783417177</v>
      </c>
      <c r="K86" s="1">
        <f>value(CNY!$B86)</f>
        <v>1320.718236</v>
      </c>
      <c r="L86" s="1">
        <f>value(HKD!$B86)</f>
        <v>1159.251925</v>
      </c>
      <c r="M86" s="1">
        <f>value(TWD!$B86)</f>
        <v>287.629875</v>
      </c>
      <c r="N86" s="1">
        <f>value(JPY!$B86)</f>
        <v>95.696575</v>
      </c>
      <c r="O86" s="1">
        <f>value(SAR!$B86)</f>
        <v>2407.653273</v>
      </c>
      <c r="P86" s="1">
        <f>value(AED!$B86)</f>
        <v>2457.973288</v>
      </c>
      <c r="Q86" s="1">
        <f>value(KWD!$B86)</f>
        <v>31300.7423</v>
      </c>
    </row>
    <row r="87">
      <c r="A87" s="4">
        <f>value(USD!A87)</f>
        <v>40298.99861</v>
      </c>
      <c r="B87" s="1">
        <f>value(USD!B87)</f>
        <v>9028.7</v>
      </c>
      <c r="C87" s="1">
        <f>value(AUD!$B87)</f>
        <v>8346.13028</v>
      </c>
      <c r="D87" s="1">
        <f>value(EUR!$B87)</f>
        <v>12000.94804</v>
      </c>
      <c r="E87" s="1">
        <f>value(GBP!$B87)</f>
        <v>13795.8536</v>
      </c>
      <c r="F87" s="1">
        <f>value(CHF!$B87)</f>
        <v>8379.265609</v>
      </c>
      <c r="G87" s="1">
        <f>value(SGD!$B87)</f>
        <v>6584.992058</v>
      </c>
      <c r="H87" s="1">
        <f>value(MYR!$B87)</f>
        <v>2830.587737</v>
      </c>
      <c r="I87" s="1">
        <f>value(THB!$B87)</f>
        <v>277.18109</v>
      </c>
      <c r="J87" s="1">
        <f>value(VND!$B87)</f>
        <v>0.4752950385</v>
      </c>
      <c r="K87" s="1">
        <f>value(CNY!$B87)</f>
        <v>1319.877141</v>
      </c>
      <c r="L87" s="1">
        <f>value(HKD!$B87)</f>
        <v>1162.715986</v>
      </c>
      <c r="M87" s="1">
        <f>value(TWD!$B87)</f>
        <v>287.654382</v>
      </c>
      <c r="N87" s="1">
        <f>value(JPY!$B87)</f>
        <v>96.155655</v>
      </c>
      <c r="O87" s="1">
        <f>value(SAR!$B87)</f>
        <v>2405.754886</v>
      </c>
      <c r="P87" s="1">
        <f>value(AED!$B87)</f>
        <v>2455.814053</v>
      </c>
      <c r="Q87" s="1">
        <f>value(KWD!$B87)</f>
        <v>31258.13856</v>
      </c>
    </row>
    <row r="88">
      <c r="A88" s="4">
        <f>value(USD!A88)</f>
        <v>40301.99861</v>
      </c>
      <c r="B88" s="1">
        <f>value(USD!B88)</f>
        <v>9021.1</v>
      </c>
      <c r="C88" s="1">
        <f>value(AUD!$B88)</f>
        <v>8358.95126</v>
      </c>
      <c r="D88" s="1">
        <f>value(EUR!$B88)</f>
        <v>11905.86735</v>
      </c>
      <c r="E88" s="1">
        <f>value(GBP!$B88)</f>
        <v>13752.66695</v>
      </c>
      <c r="F88" s="1">
        <f>value(CHF!$B88)</f>
        <v>8310.23732</v>
      </c>
      <c r="G88" s="1">
        <f>value(SGD!$B88)</f>
        <v>6578.546964</v>
      </c>
      <c r="H88" s="1">
        <f>value(MYR!$B88)</f>
        <v>2813.320246</v>
      </c>
      <c r="I88" s="1">
        <f>value(THB!$B88)</f>
        <v>277.398825</v>
      </c>
      <c r="J88" s="1">
        <f>value(VND!$B88)</f>
        <v>0.4798782986</v>
      </c>
      <c r="K88" s="1">
        <f>value(CNY!$B88)</f>
        <v>1326.715716</v>
      </c>
      <c r="L88" s="1">
        <f>value(HKD!$B88)</f>
        <v>1162.007891</v>
      </c>
      <c r="M88" s="1">
        <f>value(TWD!$B88)</f>
        <v>286.510136</v>
      </c>
      <c r="N88" s="1">
        <f>value(JPY!$B88)</f>
        <v>95.262816</v>
      </c>
      <c r="O88" s="1">
        <f>value(SAR!$B88)</f>
        <v>2418.586606</v>
      </c>
      <c r="P88" s="1">
        <f>value(AED!$B88)</f>
        <v>2469.135128</v>
      </c>
      <c r="Q88" s="1">
        <f>value(KWD!$B88)</f>
        <v>31339.66812</v>
      </c>
    </row>
    <row r="89">
      <c r="A89" s="4">
        <f>value(USD!A89)</f>
        <v>40302.99861</v>
      </c>
      <c r="B89" s="1">
        <f>value(USD!B89)</f>
        <v>9069.7</v>
      </c>
      <c r="C89" s="1">
        <f>value(AUD!$B89)</f>
        <v>8245.26427</v>
      </c>
      <c r="D89" s="1">
        <f>value(EUR!$B89)</f>
        <v>11757.05211</v>
      </c>
      <c r="E89" s="1">
        <f>value(GBP!$B89)</f>
        <v>13717.01428</v>
      </c>
      <c r="F89" s="1">
        <f>value(CHF!$B89)</f>
        <v>8206.899439</v>
      </c>
      <c r="G89" s="1">
        <f>value(SGD!$B89)</f>
        <v>6565.55583</v>
      </c>
      <c r="H89" s="1">
        <f>value(MYR!$B89)</f>
        <v>2803.262876</v>
      </c>
      <c r="I89" s="1">
        <f>value(THB!$B89)</f>
        <v>277.53282</v>
      </c>
      <c r="J89" s="1">
        <f>value(VND!$B89)</f>
        <v>0.482354489</v>
      </c>
      <c r="K89" s="1">
        <f>value(CNY!$B89)</f>
        <v>1333.37929</v>
      </c>
      <c r="L89" s="1">
        <f>value(HKD!$B89)</f>
        <v>1167.995966</v>
      </c>
      <c r="M89" s="1">
        <f>value(TWD!$B89)</f>
        <v>285.151368</v>
      </c>
      <c r="N89" s="1">
        <f>value(JPY!$B89)</f>
        <v>95.776032</v>
      </c>
      <c r="O89" s="1">
        <f>value(SAR!$B89)</f>
        <v>2431.066605</v>
      </c>
      <c r="P89" s="1">
        <f>value(AED!$B89)</f>
        <v>2481.967125</v>
      </c>
      <c r="Q89" s="1">
        <f>value(KWD!$B89)</f>
        <v>31474.18749</v>
      </c>
    </row>
    <row r="90">
      <c r="A90" s="4">
        <f>value(USD!A90)</f>
        <v>40303.99861</v>
      </c>
      <c r="B90" s="1">
        <f>value(USD!B90)</f>
        <v>9116.5</v>
      </c>
      <c r="C90" s="1">
        <f>value(AUD!$B90)</f>
        <v>8264.10725</v>
      </c>
      <c r="D90" s="1">
        <f>value(EUR!$B90)</f>
        <v>11679.14815</v>
      </c>
      <c r="E90" s="1">
        <f>value(GBP!$B90)</f>
        <v>13761.35675</v>
      </c>
      <c r="F90" s="1">
        <f>value(CHF!$B90)</f>
        <v>8152.247795</v>
      </c>
      <c r="G90" s="1">
        <f>value(SGD!$B90)</f>
        <v>6542.18273</v>
      </c>
      <c r="H90" s="1">
        <f>value(MYR!$B90)</f>
        <v>2803.87074</v>
      </c>
      <c r="I90" s="1">
        <f>value(THB!$B90)</f>
        <v>278.326745</v>
      </c>
      <c r="J90" s="1">
        <f>value(VND!$B90)</f>
        <v>0.4906560762</v>
      </c>
      <c r="K90" s="1">
        <f>value(CNY!$B90)</f>
        <v>1356.420218</v>
      </c>
      <c r="L90" s="1">
        <f>value(HKD!$B90)</f>
        <v>1173.749375</v>
      </c>
      <c r="M90" s="1">
        <f>value(TWD!$B90)</f>
        <v>286.531595</v>
      </c>
      <c r="N90" s="1">
        <f>value(JPY!$B90)</f>
        <v>97.18189</v>
      </c>
      <c r="O90" s="1">
        <f>value(SAR!$B90)</f>
        <v>2473.170433</v>
      </c>
      <c r="P90" s="1">
        <f>value(AED!$B90)</f>
        <v>2524.68315</v>
      </c>
      <c r="Q90" s="1">
        <f>value(KWD!$B90)</f>
        <v>32004.83102</v>
      </c>
    </row>
    <row r="91">
      <c r="A91" s="4">
        <f>value(USD!A91)</f>
        <v>40304.99861</v>
      </c>
      <c r="B91" s="1">
        <f>value(USD!B91)</f>
        <v>9273.4</v>
      </c>
      <c r="C91" s="1">
        <f>value(AUD!$B91)</f>
        <v>8219.01442</v>
      </c>
      <c r="D91" s="1">
        <f>value(EUR!$B91)</f>
        <v>11714.15888</v>
      </c>
      <c r="E91" s="1">
        <f>value(GBP!$B91)</f>
        <v>13779.34506</v>
      </c>
      <c r="F91" s="1">
        <f>value(CHF!$B91)</f>
        <v>8324.823914</v>
      </c>
      <c r="G91" s="1">
        <f>value(SGD!$B91)</f>
        <v>6602.382598</v>
      </c>
      <c r="H91" s="1">
        <f>value(MYR!$B91)</f>
        <v>2825.883182</v>
      </c>
      <c r="I91" s="1">
        <f>value(THB!$B91)</f>
        <v>285.064316</v>
      </c>
      <c r="J91" s="1">
        <f>value(VND!$B91)</f>
        <v>0.4877175327</v>
      </c>
      <c r="K91" s="1">
        <f>value(CNY!$B91)</f>
        <v>1348.837687</v>
      </c>
      <c r="L91" s="1">
        <f>value(HKD!$B91)</f>
        <v>1192.930176</v>
      </c>
      <c r="M91" s="1">
        <f>value(TWD!$B91)</f>
        <v>289.237346</v>
      </c>
      <c r="N91" s="1">
        <f>value(JPY!$B91)</f>
        <v>102.100134</v>
      </c>
      <c r="O91" s="1">
        <f>value(SAR!$B91)</f>
        <v>2458.943366</v>
      </c>
      <c r="P91" s="1">
        <f>value(AED!$B91)</f>
        <v>2510.042269</v>
      </c>
      <c r="Q91" s="1">
        <f>value(KWD!$B91)</f>
        <v>31827.05567</v>
      </c>
    </row>
    <row r="92">
      <c r="A92" s="4">
        <f>value(USD!A92)</f>
        <v>40305.99861</v>
      </c>
      <c r="B92" s="1">
        <f>value(USD!B92)</f>
        <v>9220.3</v>
      </c>
      <c r="C92" s="1">
        <f>value(AUD!$B92)</f>
        <v>8189.747069</v>
      </c>
      <c r="D92" s="1">
        <f>value(EUR!$B92)</f>
        <v>11762.33671</v>
      </c>
      <c r="E92" s="1">
        <f>value(GBP!$B92)</f>
        <v>13618.3831</v>
      </c>
      <c r="F92" s="1">
        <f>value(CHF!$B92)</f>
        <v>8318.001442</v>
      </c>
      <c r="G92" s="1">
        <f>value(SGD!$B92)</f>
        <v>6602.933439</v>
      </c>
      <c r="H92" s="1">
        <f>value(MYR!$B92)</f>
        <v>2825.560935</v>
      </c>
      <c r="I92" s="1">
        <f>value(THB!$B92)</f>
        <v>284.630661</v>
      </c>
      <c r="J92" s="1">
        <f>value(VND!$B92)</f>
        <v>0.4913352141</v>
      </c>
      <c r="K92" s="1">
        <f>value(CNY!$B92)</f>
        <v>1346.152064</v>
      </c>
      <c r="L92" s="1">
        <f>value(HKD!$B92)</f>
        <v>1184.716347</v>
      </c>
      <c r="M92" s="1">
        <f>value(TWD!$B92)</f>
        <v>290.162841</v>
      </c>
      <c r="N92" s="1">
        <f>value(JPY!$B92)</f>
        <v>100.593473</v>
      </c>
      <c r="O92" s="1">
        <f>value(SAR!$B92)</f>
        <v>2454.317474</v>
      </c>
      <c r="P92" s="1">
        <f>value(AED!$B92)</f>
        <v>2504.926976</v>
      </c>
      <c r="Q92" s="1">
        <f>value(KWD!$B92)</f>
        <v>32005.56369</v>
      </c>
    </row>
    <row r="93">
      <c r="A93" s="4">
        <f>value(USD!A93)</f>
        <v>40308.99861</v>
      </c>
      <c r="B93" s="1">
        <f>value(USD!B93)</f>
        <v>9203.2</v>
      </c>
      <c r="C93" s="1">
        <f>value(AUD!$B93)</f>
        <v>8303.12704</v>
      </c>
      <c r="D93" s="1">
        <f>value(EUR!$B93)</f>
        <v>11758.92864</v>
      </c>
      <c r="E93" s="1">
        <f>value(GBP!$B93)</f>
        <v>13673.19424</v>
      </c>
      <c r="F93" s="1">
        <f>value(CHF!$B93)</f>
        <v>8291.807104</v>
      </c>
      <c r="G93" s="1">
        <f>value(SGD!$B93)</f>
        <v>6659.343488</v>
      </c>
      <c r="H93" s="1">
        <f>value(MYR!$B93)</f>
        <v>2854.188416</v>
      </c>
      <c r="I93" s="1">
        <f>value(THB!$B93)</f>
        <v>281.341824</v>
      </c>
      <c r="J93" s="1">
        <f>value(VND!$B93)</f>
        <v>0.4849142178</v>
      </c>
      <c r="K93" s="1">
        <f>value(CNY!$B93)</f>
        <v>1343.554875</v>
      </c>
      <c r="L93" s="1">
        <f>value(HKD!$B93)</f>
        <v>1182.795264</v>
      </c>
      <c r="M93" s="1">
        <f>value(TWD!$B93)</f>
        <v>287.231872</v>
      </c>
      <c r="N93" s="1">
        <f>value(JPY!$B93)</f>
        <v>98.750336</v>
      </c>
      <c r="O93" s="1">
        <f>value(SAR!$B93)</f>
        <v>2449.91724</v>
      </c>
      <c r="P93" s="1">
        <f>value(AED!$B93)</f>
        <v>2500.987208</v>
      </c>
      <c r="Q93" s="1">
        <f>value(KWD!$B93)</f>
        <v>31771.39352</v>
      </c>
    </row>
    <row r="94">
      <c r="A94" s="4">
        <f>value(USD!A94)</f>
        <v>40309.99861</v>
      </c>
      <c r="B94" s="1">
        <f>value(USD!B94)</f>
        <v>9186.7</v>
      </c>
      <c r="C94" s="1">
        <f>value(AUD!$B94)</f>
        <v>8214.74714</v>
      </c>
      <c r="D94" s="1">
        <f>value(EUR!$B94)</f>
        <v>11599.12742</v>
      </c>
      <c r="E94" s="1">
        <f>value(GBP!$B94)</f>
        <v>13704.71906</v>
      </c>
      <c r="F94" s="1">
        <f>value(CHF!$B94)</f>
        <v>8259.853837</v>
      </c>
      <c r="G94" s="1">
        <f>value(SGD!$B94)</f>
        <v>6636.380213</v>
      </c>
      <c r="H94" s="1">
        <f>value(MYR!$B94)</f>
        <v>2839.517103</v>
      </c>
      <c r="I94" s="1">
        <f>value(THB!$B94)</f>
        <v>280.469951</v>
      </c>
      <c r="J94" s="1">
        <f>value(VND!$B94)</f>
        <v>0.4851479858</v>
      </c>
      <c r="K94" s="1">
        <f>value(CNY!$B94)</f>
        <v>1342.42875</v>
      </c>
      <c r="L94" s="1">
        <f>value(HKD!$B94)</f>
        <v>1180.582817</v>
      </c>
      <c r="M94" s="1">
        <f>value(TWD!$B94)</f>
        <v>287.451843</v>
      </c>
      <c r="N94" s="1">
        <f>value(JPY!$B94)</f>
        <v>99.308227</v>
      </c>
      <c r="O94" s="1">
        <f>value(SAR!$B94)</f>
        <v>2447.863797</v>
      </c>
      <c r="P94" s="1">
        <f>value(AED!$B94)</f>
        <v>2498.79917</v>
      </c>
      <c r="Q94" s="1">
        <f>value(KWD!$B94)</f>
        <v>31733.78566</v>
      </c>
    </row>
    <row r="95">
      <c r="A95" s="4">
        <f>value(USD!A95)</f>
        <v>40310.99861</v>
      </c>
      <c r="B95" s="1">
        <f>value(USD!B95)</f>
        <v>9179</v>
      </c>
      <c r="C95" s="1">
        <f>value(AUD!$B95)</f>
        <v>8213.3692</v>
      </c>
      <c r="D95" s="1">
        <f>value(EUR!$B95)</f>
        <v>11597.6665</v>
      </c>
      <c r="E95" s="1">
        <f>value(GBP!$B95)</f>
        <v>13615.2107</v>
      </c>
      <c r="F95" s="1">
        <f>value(CHF!$B95)</f>
        <v>8267.15814</v>
      </c>
      <c r="G95" s="1">
        <f>value(SGD!$B95)</f>
        <v>6647.61538</v>
      </c>
      <c r="H95" s="1">
        <f>value(MYR!$B95)</f>
        <v>2857.69807</v>
      </c>
      <c r="I95" s="1">
        <f>value(THB!$B95)</f>
        <v>282.34604</v>
      </c>
      <c r="J95" s="1">
        <f>value(VND!$B95)</f>
        <v>0.4806599747</v>
      </c>
      <c r="K95" s="1">
        <f>value(CNY!$B95)</f>
        <v>1331.416125</v>
      </c>
      <c r="L95" s="1">
        <f>value(HKD!$B95)</f>
        <v>1179.5015</v>
      </c>
      <c r="M95" s="1">
        <f>value(TWD!$B95)</f>
        <v>289.1385</v>
      </c>
      <c r="N95" s="1">
        <f>value(JPY!$B95)</f>
        <v>98.49067</v>
      </c>
      <c r="O95" s="1">
        <f>value(SAR!$B95)</f>
        <v>2427.523818</v>
      </c>
      <c r="P95" s="1">
        <f>value(AED!$B95)</f>
        <v>2478.482325</v>
      </c>
      <c r="Q95" s="1">
        <f>value(KWD!$B95)</f>
        <v>31446.28275</v>
      </c>
    </row>
    <row r="96">
      <c r="A96" s="4">
        <f>value(USD!A96)</f>
        <v>40311.99861</v>
      </c>
      <c r="B96" s="1">
        <f>value(USD!B96)</f>
        <v>9103.7</v>
      </c>
      <c r="C96" s="1">
        <f>value(AUD!$B96)</f>
        <v>8149.268092</v>
      </c>
      <c r="D96" s="1">
        <f>value(EUR!$B96)</f>
        <v>11415.12943</v>
      </c>
      <c r="E96" s="1">
        <f>value(GBP!$B96)</f>
        <v>13299.59533</v>
      </c>
      <c r="F96" s="1">
        <f>value(CHF!$B96)</f>
        <v>8144.716242</v>
      </c>
      <c r="G96" s="1">
        <f>value(SGD!$B96)</f>
        <v>6580.15436</v>
      </c>
      <c r="H96" s="1">
        <f>value(MYR!$B96)</f>
        <v>2788.46331</v>
      </c>
      <c r="I96" s="1">
        <f>value(THB!$B96)</f>
        <v>280.211886</v>
      </c>
      <c r="J96" s="1">
        <f>value(VND!$B96)</f>
        <v>0.4804327126</v>
      </c>
      <c r="K96" s="1">
        <f>value(CNY!$B96)</f>
        <v>1331.671334</v>
      </c>
      <c r="L96" s="1">
        <f>value(HKD!$B96)</f>
        <v>1169.82545</v>
      </c>
      <c r="M96" s="1">
        <f>value(TWD!$B96)</f>
        <v>286.311365</v>
      </c>
      <c r="N96" s="1">
        <f>value(JPY!$B96)</f>
        <v>98.137886</v>
      </c>
      <c r="O96" s="1">
        <f>value(SAR!$B96)</f>
        <v>2427.980889</v>
      </c>
      <c r="P96" s="1">
        <f>value(AED!$B96)</f>
        <v>2478.61845</v>
      </c>
      <c r="Q96" s="1">
        <f>value(KWD!$B96)</f>
        <v>31431.72245</v>
      </c>
    </row>
    <row r="97">
      <c r="A97" s="4">
        <f>value(USD!A97)</f>
        <v>40312.99861</v>
      </c>
      <c r="B97" s="1">
        <f>value(USD!B97)</f>
        <v>9104.2</v>
      </c>
      <c r="C97" s="1">
        <f>value(AUD!$B97)</f>
        <v>8062.406394</v>
      </c>
      <c r="D97" s="1">
        <f>value(EUR!$B97)</f>
        <v>11251.88078</v>
      </c>
      <c r="E97" s="1">
        <f>value(GBP!$B97)</f>
        <v>13214.7463</v>
      </c>
      <c r="F97" s="1">
        <f>value(CHF!$B97)</f>
        <v>8029.44919</v>
      </c>
      <c r="G97" s="1">
        <f>value(SGD!$B97)</f>
        <v>6557.846302</v>
      </c>
      <c r="H97" s="1">
        <f>value(MYR!$B97)</f>
        <v>2841.056652</v>
      </c>
      <c r="I97" s="1">
        <f>value(THB!$B97)</f>
        <v>278.58852</v>
      </c>
      <c r="J97" s="1">
        <f>value(VND!$B97)</f>
        <v>0.4885803429</v>
      </c>
      <c r="K97" s="1">
        <f>value(CNY!$B97)</f>
        <v>1327.7745</v>
      </c>
      <c r="L97" s="1">
        <f>value(HKD!$B97)</f>
        <v>1169.252406</v>
      </c>
      <c r="M97" s="1">
        <f>value(TWD!$B97)</f>
        <v>284.50625</v>
      </c>
      <c r="N97" s="1">
        <f>value(JPY!$B97)</f>
        <v>98.416402</v>
      </c>
      <c r="O97" s="1">
        <f>value(SAR!$B97)</f>
        <v>2421.142373</v>
      </c>
      <c r="P97" s="1">
        <f>value(AED!$B97)</f>
        <v>2471.067784</v>
      </c>
      <c r="Q97" s="1">
        <f>value(KWD!$B97)</f>
        <v>31322.40472</v>
      </c>
    </row>
    <row r="98">
      <c r="A98" s="4">
        <f>value(USD!A98)</f>
        <v>40315.99861</v>
      </c>
      <c r="B98" s="1">
        <f>value(USD!B98)</f>
        <v>9078.8</v>
      </c>
      <c r="C98" s="1">
        <f>value(AUD!$B98)</f>
        <v>7963.92336</v>
      </c>
      <c r="D98" s="1">
        <f>value(EUR!$B98)</f>
        <v>11249.17792</v>
      </c>
      <c r="E98" s="1">
        <f>value(GBP!$B98)</f>
        <v>13143.37876</v>
      </c>
      <c r="F98" s="1">
        <f>value(CHF!$B98)</f>
        <v>8020.66586</v>
      </c>
      <c r="G98" s="1">
        <f>value(SGD!$B98)</f>
        <v>6533.830784</v>
      </c>
      <c r="H98" s="1">
        <f>value(MYR!$B98)</f>
        <v>2774.844432</v>
      </c>
      <c r="I98" s="1">
        <f>value(THB!$B98)</f>
        <v>275.99552</v>
      </c>
      <c r="J98" s="1">
        <f>value(VND!$B98)</f>
        <v>0.4901531108</v>
      </c>
      <c r="K98" s="1">
        <f>value(CNY!$B98)</f>
        <v>1357.80471</v>
      </c>
      <c r="L98" s="1">
        <f>value(HKD!$B98)</f>
        <v>1163.90216</v>
      </c>
      <c r="M98" s="1">
        <f>value(TWD!$B98)</f>
        <v>286.708504</v>
      </c>
      <c r="N98" s="1">
        <f>value(JPY!$B98)</f>
        <v>98.05104</v>
      </c>
      <c r="O98" s="1">
        <f>value(SAR!$B98)</f>
        <v>2475.731949</v>
      </c>
      <c r="P98" s="1">
        <f>value(AED!$B98)</f>
        <v>2527.432875</v>
      </c>
      <c r="Q98" s="1">
        <f>value(KWD!$B98)</f>
        <v>31902.06077</v>
      </c>
    </row>
    <row r="99">
      <c r="A99" s="4">
        <f>value(USD!A99)</f>
        <v>40316.99861</v>
      </c>
      <c r="B99" s="1">
        <f>value(USD!B99)</f>
        <v>9283.5</v>
      </c>
      <c r="C99" s="1">
        <f>value(AUD!$B99)</f>
        <v>7997.73525</v>
      </c>
      <c r="D99" s="1">
        <f>value(EUR!$B99)</f>
        <v>11305.35346</v>
      </c>
      <c r="E99" s="1">
        <f>value(GBP!$B99)</f>
        <v>13269.8349</v>
      </c>
      <c r="F99" s="1">
        <f>value(CHF!$B99)</f>
        <v>8071.539075</v>
      </c>
      <c r="G99" s="1">
        <f>value(SGD!$B99)</f>
        <v>6645.31497</v>
      </c>
      <c r="H99" s="1">
        <f>value(MYR!$B99)</f>
        <v>2844.83574</v>
      </c>
      <c r="I99" s="1">
        <f>value(THB!$B99)</f>
        <v>282.58974</v>
      </c>
      <c r="J99" s="1">
        <f>value(VND!$B99)</f>
        <v>0.4942256596</v>
      </c>
      <c r="K99" s="1">
        <f>value(CNY!$B99)</f>
        <v>1334.370375</v>
      </c>
      <c r="L99" s="1">
        <f>value(HKD!$B99)</f>
        <v>1190.423205</v>
      </c>
      <c r="M99" s="1">
        <f>value(TWD!$B99)</f>
        <v>286.024635</v>
      </c>
      <c r="N99" s="1">
        <f>value(JPY!$B99)</f>
        <v>101.00448</v>
      </c>
      <c r="O99" s="1">
        <f>value(SAR!$B99)</f>
        <v>2433.234643</v>
      </c>
      <c r="P99" s="1">
        <f>value(AED!$B99)</f>
        <v>2483.343102</v>
      </c>
      <c r="Q99" s="1">
        <f>value(KWD!$B99)</f>
        <v>31510.61125</v>
      </c>
    </row>
    <row r="100">
      <c r="A100" s="4">
        <f>value(USD!A100)</f>
        <v>40317.99861</v>
      </c>
      <c r="B100" s="1">
        <f>value(USD!B100)</f>
        <v>9123.9</v>
      </c>
      <c r="C100" s="1">
        <f>value(AUD!$B100)</f>
        <v>7730.68047</v>
      </c>
      <c r="D100" s="1">
        <f>value(EUR!$B100)</f>
        <v>11303.05227</v>
      </c>
      <c r="E100" s="1">
        <f>value(GBP!$B100)</f>
        <v>13148.45229</v>
      </c>
      <c r="F100" s="1">
        <f>value(CHF!$B100)</f>
        <v>7913.15847</v>
      </c>
      <c r="G100" s="1">
        <f>value(SGD!$B100)</f>
        <v>6531.526293</v>
      </c>
      <c r="H100" s="1">
        <f>value(MYR!$B100)</f>
        <v>2797.570218</v>
      </c>
      <c r="I100" s="1">
        <f>value(THB!$B100)</f>
        <v>281.198598</v>
      </c>
      <c r="J100" s="1">
        <f>value(VND!$B100)</f>
        <v>0.4817058317</v>
      </c>
      <c r="K100" s="1">
        <f>value(CNY!$B100)</f>
        <v>1333.869664</v>
      </c>
      <c r="L100" s="1">
        <f>value(HKD!$B100)</f>
        <v>1169.592741</v>
      </c>
      <c r="M100" s="1">
        <f>value(TWD!$B100)</f>
        <v>289.592586</v>
      </c>
      <c r="N100" s="1">
        <f>value(JPY!$B100)</f>
        <v>99.632988</v>
      </c>
      <c r="O100" s="1">
        <f>value(SAR!$B100)</f>
        <v>2432.422974</v>
      </c>
      <c r="P100" s="1">
        <f>value(AED!$B100)</f>
        <v>2483.219475</v>
      </c>
      <c r="Q100" s="1">
        <f>value(KWD!$B100)</f>
        <v>31500.94107</v>
      </c>
    </row>
    <row r="101">
      <c r="A101" s="4">
        <f>value(USD!A101)</f>
        <v>40318.99861</v>
      </c>
      <c r="B101" s="1">
        <f>value(USD!B101)</f>
        <v>9121.1</v>
      </c>
      <c r="C101" s="1">
        <f>value(AUD!$B101)</f>
        <v>7415.4543</v>
      </c>
      <c r="D101" s="1">
        <f>value(EUR!$B101)</f>
        <v>11381.30858</v>
      </c>
      <c r="E101" s="1">
        <f>value(GBP!$B101)</f>
        <v>13084.12673</v>
      </c>
      <c r="F101" s="1">
        <f>value(CHF!$B101)</f>
        <v>7926.144689</v>
      </c>
      <c r="G101" s="1">
        <f>value(SGD!$B101)</f>
        <v>6468.866542</v>
      </c>
      <c r="H101" s="1">
        <f>value(MYR!$B101)</f>
        <v>2806.653681</v>
      </c>
      <c r="I101" s="1">
        <f>value(THB!$B101)</f>
        <v>283.483788</v>
      </c>
      <c r="J101" s="1">
        <f>value(VND!$B101)</f>
        <v>0.4889440295</v>
      </c>
      <c r="K101" s="1">
        <f>value(CNY!$B101)</f>
        <v>1354.640568</v>
      </c>
      <c r="L101" s="1">
        <f>value(HKD!$B101)</f>
        <v>1168.868965</v>
      </c>
      <c r="M101" s="1">
        <f>value(TWD!$B101)</f>
        <v>287.223439</v>
      </c>
      <c r="N101" s="1">
        <f>value(JPY!$B101)</f>
        <v>101.973898</v>
      </c>
      <c r="O101" s="1">
        <f>value(SAR!$B101)</f>
        <v>2469.954356</v>
      </c>
      <c r="P101" s="1">
        <f>value(AED!$B101)</f>
        <v>2521.19835</v>
      </c>
      <c r="Q101" s="1">
        <f>value(KWD!$B101)</f>
        <v>31856.2047</v>
      </c>
    </row>
    <row r="102">
      <c r="A102" s="4">
        <f>value(USD!A102)</f>
        <v>40319.99861</v>
      </c>
      <c r="B102" s="1">
        <f>value(USD!B102)</f>
        <v>9260.6</v>
      </c>
      <c r="C102" s="1">
        <f>value(AUD!$B102)</f>
        <v>7703.985746</v>
      </c>
      <c r="D102" s="1">
        <f>value(EUR!$B102)</f>
        <v>11652.61298</v>
      </c>
      <c r="E102" s="1">
        <f>value(GBP!$B102)</f>
        <v>13392.67972</v>
      </c>
      <c r="F102" s="1">
        <f>value(CHF!$B102)</f>
        <v>8046.905764</v>
      </c>
      <c r="G102" s="1">
        <f>value(SGD!$B102)</f>
        <v>6586.509144</v>
      </c>
      <c r="H102" s="1">
        <f>value(MYR!$B102)</f>
        <v>2789.29272</v>
      </c>
      <c r="I102" s="1">
        <f>value(THB!$B102)</f>
        <v>284.022602</v>
      </c>
      <c r="J102" s="1">
        <f>value(VND!$B102)</f>
        <v>0.4898364065</v>
      </c>
      <c r="K102" s="1">
        <f>value(CNY!$B102)</f>
        <v>1357.027663</v>
      </c>
      <c r="L102" s="1">
        <f>value(HKD!$B102)</f>
        <v>1186.74589</v>
      </c>
      <c r="M102" s="1">
        <f>value(TWD!$B102)</f>
        <v>289.208538</v>
      </c>
      <c r="N102" s="1">
        <f>value(JPY!$B102)</f>
        <v>102.79266</v>
      </c>
      <c r="O102" s="1">
        <f>value(SAR!$B102)</f>
        <v>2475.4386</v>
      </c>
      <c r="P102" s="1">
        <f>value(AED!$B102)</f>
        <v>2527.1334</v>
      </c>
      <c r="Q102" s="1">
        <f>value(KWD!$B102)</f>
        <v>31936.69127</v>
      </c>
    </row>
    <row r="103">
      <c r="A103" s="4">
        <f>value(USD!A103)</f>
        <v>40322.99861</v>
      </c>
      <c r="B103" s="1">
        <f>value(USD!B103)</f>
        <v>9282.4</v>
      </c>
      <c r="C103" s="1">
        <f>value(AUD!$B103)</f>
        <v>7653.3388</v>
      </c>
      <c r="D103" s="1">
        <f>value(EUR!$B103)</f>
        <v>11461.90752</v>
      </c>
      <c r="E103" s="1">
        <f>value(GBP!$B103)</f>
        <v>13372.22544</v>
      </c>
      <c r="F103" s="1">
        <f>value(CHF!$B103)</f>
        <v>8008.204952</v>
      </c>
      <c r="G103" s="1">
        <f>value(SGD!$B103)</f>
        <v>6588.369048</v>
      </c>
      <c r="H103" s="1">
        <f>value(MYR!$B103)</f>
        <v>2735.801752</v>
      </c>
      <c r="I103" s="1">
        <f>value(THB!$B103)</f>
        <v>284.412736</v>
      </c>
      <c r="J103" s="1">
        <f>value(VND!$B103)</f>
        <v>0.4899155621</v>
      </c>
      <c r="K103" s="1">
        <f>value(CNY!$B103)</f>
        <v>1371.175488</v>
      </c>
      <c r="L103" s="1">
        <f>value(HKD!$B103)</f>
        <v>1189.725208</v>
      </c>
      <c r="M103" s="1">
        <f>value(TWD!$B103)</f>
        <v>288.311344</v>
      </c>
      <c r="N103" s="1">
        <f>value(JPY!$B103)</f>
        <v>102.848992</v>
      </c>
      <c r="O103" s="1">
        <f>value(SAR!$B103)</f>
        <v>2475.970731</v>
      </c>
      <c r="P103" s="1">
        <f>value(AED!$B103)</f>
        <v>2527.541775</v>
      </c>
      <c r="Q103" s="1">
        <f>value(KWD!$B103)</f>
        <v>31903.43534</v>
      </c>
    </row>
    <row r="104">
      <c r="A104" s="4">
        <f>value(USD!A104)</f>
        <v>40323.99861</v>
      </c>
      <c r="B104" s="1">
        <f>value(USD!B104)</f>
        <v>9283.9</v>
      </c>
      <c r="C104" s="1">
        <f>value(AUD!$B104)</f>
        <v>7682.520089</v>
      </c>
      <c r="D104" s="1">
        <f>value(EUR!$B104)</f>
        <v>11458.18938</v>
      </c>
      <c r="E104" s="1">
        <f>value(GBP!$B104)</f>
        <v>13376.33595</v>
      </c>
      <c r="F104" s="1">
        <f>value(CHF!$B104)</f>
        <v>8021.011083</v>
      </c>
      <c r="G104" s="1">
        <f>value(SGD!$B104)</f>
        <v>6572.629844</v>
      </c>
      <c r="H104" s="1">
        <f>value(MYR!$B104)</f>
        <v>2770.130082</v>
      </c>
      <c r="I104" s="1">
        <f>value(THB!$B104)</f>
        <v>284.551535</v>
      </c>
      <c r="J104" s="1">
        <f>value(VND!$B104)</f>
        <v>0.4945253161</v>
      </c>
      <c r="K104" s="1">
        <f>value(CNY!$B104)</f>
        <v>1347.14085</v>
      </c>
      <c r="L104" s="1">
        <f>value(HKD!$B104)</f>
        <v>1189.824624</v>
      </c>
      <c r="M104" s="1">
        <f>value(TWD!$B104)</f>
        <v>291.235943</v>
      </c>
      <c r="N104" s="1">
        <f>value(JPY!$B104)</f>
        <v>102.772773</v>
      </c>
      <c r="O104" s="1">
        <f>value(SAR!$B104)</f>
        <v>2500.520025</v>
      </c>
      <c r="P104" s="1">
        <f>value(AED!$B104)</f>
        <v>2552.67045</v>
      </c>
      <c r="Q104" s="1">
        <f>value(KWD!$B104)</f>
        <v>32381.96311</v>
      </c>
    </row>
    <row r="105">
      <c r="A105" s="4">
        <f>value(USD!A105)</f>
        <v>40324.99861</v>
      </c>
      <c r="B105" s="1">
        <f>value(USD!B105)</f>
        <v>9376.2</v>
      </c>
      <c r="C105" s="1">
        <f>value(AUD!$B105)</f>
        <v>7736.021334</v>
      </c>
      <c r="D105" s="1">
        <f>value(EUR!$B105)</f>
        <v>11411.02292</v>
      </c>
      <c r="E105" s="1">
        <f>value(GBP!$B105)</f>
        <v>13486.72608</v>
      </c>
      <c r="F105" s="1">
        <f>value(CHF!$B105)</f>
        <v>8082.846972</v>
      </c>
      <c r="G105" s="1">
        <f>value(SGD!$B105)</f>
        <v>6636.099312</v>
      </c>
      <c r="H105" s="1">
        <f>value(MYR!$B105)</f>
        <v>2812.86</v>
      </c>
      <c r="I105" s="1">
        <f>value(THB!$B105)</f>
        <v>285.224004</v>
      </c>
      <c r="J105" s="1">
        <f>value(VND!$B105)</f>
        <v>0.4862796783</v>
      </c>
      <c r="K105" s="1">
        <f>value(CNY!$B105)</f>
        <v>1358.923764</v>
      </c>
      <c r="L105" s="1">
        <f>value(HKD!$B105)</f>
        <v>1205.216748</v>
      </c>
      <c r="M105" s="1">
        <f>value(TWD!$B105)</f>
        <v>287.193006</v>
      </c>
      <c r="N105" s="1">
        <f>value(JPY!$B105)</f>
        <v>104.169582</v>
      </c>
      <c r="O105" s="1">
        <f>value(SAR!$B105)</f>
        <v>2457.333271</v>
      </c>
      <c r="P105" s="1">
        <f>value(AED!$B105)</f>
        <v>2508.59945</v>
      </c>
      <c r="Q105" s="1">
        <f>value(KWD!$B105)</f>
        <v>31825.23731</v>
      </c>
    </row>
    <row r="106">
      <c r="A106" s="4">
        <f>value(USD!A106)</f>
        <v>40325.99861</v>
      </c>
      <c r="B106" s="1">
        <f>value(USD!B106)</f>
        <v>9215</v>
      </c>
      <c r="C106" s="1">
        <f>value(AUD!$B106)</f>
        <v>7801.419</v>
      </c>
      <c r="D106" s="1">
        <f>value(EUR!$B106)</f>
        <v>11374.0745</v>
      </c>
      <c r="E106" s="1">
        <f>value(GBP!$B106)</f>
        <v>13408.7465</v>
      </c>
      <c r="F106" s="1">
        <f>value(CHF!$B106)</f>
        <v>7989.7736</v>
      </c>
      <c r="G106" s="1">
        <f>value(SGD!$B106)</f>
        <v>6581.1687</v>
      </c>
      <c r="H106" s="1">
        <f>value(MYR!$B106)</f>
        <v>2789.65695</v>
      </c>
      <c r="I106" s="1">
        <f>value(THB!$B106)</f>
        <v>280.78105</v>
      </c>
      <c r="J106" s="1">
        <f>value(VND!$B106)</f>
        <v>0.4906624362</v>
      </c>
      <c r="K106" s="1">
        <f>value(CNY!$B106)</f>
        <v>1357.779904</v>
      </c>
      <c r="L106" s="1">
        <f>value(HKD!$B106)</f>
        <v>1183.29815</v>
      </c>
      <c r="M106" s="1">
        <f>value(TWD!$B106)</f>
        <v>288.6138</v>
      </c>
      <c r="N106" s="1">
        <f>value(JPY!$B106)</f>
        <v>101.365</v>
      </c>
      <c r="O106" s="1">
        <f>value(SAR!$B106)</f>
        <v>2478.760512</v>
      </c>
      <c r="P106" s="1">
        <f>value(AED!$B106)</f>
        <v>2530.7271</v>
      </c>
      <c r="Q106" s="1">
        <f>value(KWD!$B106)</f>
        <v>31943.64152</v>
      </c>
    </row>
    <row r="107">
      <c r="A107" s="4">
        <f>value(USD!A107)</f>
        <v>40326.99861</v>
      </c>
      <c r="B107" s="1">
        <f>value(USD!B107)</f>
        <v>9295.6</v>
      </c>
      <c r="C107" s="1">
        <f>value(AUD!$B107)</f>
        <v>7873.3732</v>
      </c>
      <c r="D107" s="1">
        <f>value(EUR!$B107)</f>
        <v>11404.77164</v>
      </c>
      <c r="E107" s="1">
        <f>value(GBP!$B107)</f>
        <v>13420.98728</v>
      </c>
      <c r="F107" s="1">
        <f>value(CHF!$B107)</f>
        <v>8019.128208</v>
      </c>
      <c r="G107" s="1">
        <f>value(SGD!$B107)</f>
        <v>6602.013988</v>
      </c>
      <c r="H107" s="1">
        <f>value(MYR!$B107)</f>
        <v>2798.44038</v>
      </c>
      <c r="I107" s="1">
        <f>value(THB!$B107)</f>
        <v>281.284856</v>
      </c>
      <c r="J107" s="1">
        <f>value(VND!$B107)</f>
        <v>0.5007334633</v>
      </c>
      <c r="K107" s="1">
        <f>value(CNY!$B107)</f>
        <v>1351.818522</v>
      </c>
      <c r="L107" s="1">
        <f>value(HKD!$B107)</f>
        <v>1193.462084</v>
      </c>
      <c r="M107" s="1">
        <f>value(TWD!$B107)</f>
        <v>287.605864</v>
      </c>
      <c r="N107" s="1">
        <f>value(JPY!$B107)</f>
        <v>102.065688</v>
      </c>
      <c r="O107" s="1">
        <f>value(SAR!$B107)</f>
        <v>2476.091404</v>
      </c>
      <c r="P107" s="1">
        <f>value(AED!$B107)</f>
        <v>2527.082428</v>
      </c>
      <c r="Q107" s="1">
        <f>value(KWD!$B107)</f>
        <v>30214.44668</v>
      </c>
    </row>
    <row r="108">
      <c r="A108" s="4">
        <f>value(USD!A108)</f>
        <v>40329.99861</v>
      </c>
      <c r="B108" s="1">
        <f>value(USD!B108)</f>
        <v>9284.6</v>
      </c>
      <c r="C108" s="1">
        <f>value(AUD!$B108)</f>
        <v>7857.55698</v>
      </c>
      <c r="D108" s="1">
        <f>value(EUR!$B108)</f>
        <v>11407.05956</v>
      </c>
      <c r="E108" s="1">
        <f>value(GBP!$B108)</f>
        <v>13480.31074</v>
      </c>
      <c r="F108" s="1">
        <f>value(CHF!$B108)</f>
        <v>8027.46516</v>
      </c>
      <c r="G108" s="1">
        <f>value(SGD!$B108)</f>
        <v>6628.554478</v>
      </c>
      <c r="H108" s="1">
        <f>value(MYR!$B108)</f>
        <v>2846.472668</v>
      </c>
      <c r="I108" s="1">
        <f>value(THB!$B108)</f>
        <v>285.222912</v>
      </c>
      <c r="J108" s="1">
        <f>value(VND!$B108)</f>
        <v>0.4885125447</v>
      </c>
      <c r="K108" s="1">
        <f>value(CNY!$B108)</f>
        <v>1350.917757</v>
      </c>
      <c r="L108" s="1">
        <f>value(HKD!$B108)</f>
        <v>1192.14264</v>
      </c>
      <c r="M108" s="1">
        <f>value(TWD!$B108)</f>
        <v>290.14375</v>
      </c>
      <c r="N108" s="1">
        <f>value(JPY!$B108)</f>
        <v>101.759216</v>
      </c>
      <c r="O108" s="1">
        <f>value(SAR!$B108)</f>
        <v>2465.557228</v>
      </c>
      <c r="P108" s="1">
        <f>value(AED!$B108)</f>
        <v>2516.978475</v>
      </c>
      <c r="Q108" s="1">
        <f>value(KWD!$B108)</f>
        <v>31764.63815</v>
      </c>
    </row>
    <row r="109">
      <c r="A109" s="4">
        <f>value(USD!A109)</f>
        <v>40330.99861</v>
      </c>
      <c r="B109" s="1">
        <f>value(USD!B109)</f>
        <v>9245.1</v>
      </c>
      <c r="C109" s="1">
        <f>value(AUD!$B109)</f>
        <v>7699.31928</v>
      </c>
      <c r="D109" s="1">
        <f>value(EUR!$B109)</f>
        <v>11307.68181</v>
      </c>
      <c r="E109" s="1">
        <f>value(GBP!$B109)</f>
        <v>13556.09013</v>
      </c>
      <c r="F109" s="1">
        <f>value(CHF!$B109)</f>
        <v>7999.137873</v>
      </c>
      <c r="G109" s="1">
        <f>value(SGD!$B109)</f>
        <v>6541.462956</v>
      </c>
      <c r="H109" s="1">
        <f>value(MYR!$B109)</f>
        <v>2782.035492</v>
      </c>
      <c r="I109" s="1">
        <f>value(THB!$B109)</f>
        <v>280.958589</v>
      </c>
      <c r="J109" s="1">
        <f>value(VND!$B109)</f>
        <v>0.4879672608</v>
      </c>
      <c r="K109" s="1">
        <f>value(CNY!$B109)</f>
        <v>1350.5225</v>
      </c>
      <c r="L109" s="1">
        <f>value(HKD!$B109)</f>
        <v>1186.608585</v>
      </c>
      <c r="M109" s="1">
        <f>value(TWD!$B109)</f>
        <v>287.430159</v>
      </c>
      <c r="N109" s="1">
        <f>value(JPY!$B109)</f>
        <v>101.418747</v>
      </c>
      <c r="O109" s="1">
        <f>value(SAR!$B109)</f>
        <v>2464.691361</v>
      </c>
      <c r="P109" s="1">
        <f>value(AED!$B109)</f>
        <v>2516.069304</v>
      </c>
      <c r="Q109" s="1">
        <f>value(KWD!$B109)</f>
        <v>31716.1885</v>
      </c>
    </row>
    <row r="110">
      <c r="A110" s="4">
        <f>value(USD!A110)</f>
        <v>40331.99861</v>
      </c>
      <c r="B110" s="1">
        <f>value(USD!B110)</f>
        <v>9242.1</v>
      </c>
      <c r="C110" s="1">
        <f>value(AUD!$B110)</f>
        <v>7776.30294</v>
      </c>
      <c r="D110" s="1">
        <f>value(EUR!$B110)</f>
        <v>11308.63356</v>
      </c>
      <c r="E110" s="1">
        <f>value(GBP!$B110)</f>
        <v>13535.05545</v>
      </c>
      <c r="F110" s="1">
        <f>value(CHF!$B110)</f>
        <v>7996.819446</v>
      </c>
      <c r="G110" s="1">
        <f>value(SGD!$B110)</f>
        <v>6580.3752</v>
      </c>
      <c r="H110" s="1">
        <f>value(MYR!$B110)</f>
        <v>2811.354399</v>
      </c>
      <c r="I110" s="1">
        <f>value(THB!$B110)</f>
        <v>282.253734</v>
      </c>
      <c r="J110" s="1">
        <f>value(VND!$B110)</f>
        <v>0.4874670134</v>
      </c>
      <c r="K110" s="1">
        <f>value(CNY!$B110)</f>
        <v>1357.409221</v>
      </c>
      <c r="L110" s="1">
        <f>value(HKD!$B110)</f>
        <v>1186.038693</v>
      </c>
      <c r="M110" s="1">
        <f>value(TWD!$B110)</f>
        <v>286.597521</v>
      </c>
      <c r="N110" s="1">
        <f>value(JPY!$B110)</f>
        <v>100.184364</v>
      </c>
      <c r="O110" s="1">
        <f>value(SAR!$B110)</f>
        <v>2463.464629</v>
      </c>
      <c r="P110" s="1">
        <f>value(AED!$B110)</f>
        <v>2514.909375</v>
      </c>
      <c r="Q110" s="1">
        <f>value(KWD!$B110)</f>
        <v>31722.17543</v>
      </c>
    </row>
    <row r="111">
      <c r="A111" s="4">
        <f>value(USD!A111)</f>
        <v>40332.99861</v>
      </c>
      <c r="B111" s="1">
        <f>value(USD!B111)</f>
        <v>9237.5</v>
      </c>
      <c r="C111" s="1">
        <f>value(AUD!$B111)</f>
        <v>7787.2125</v>
      </c>
      <c r="D111" s="1">
        <f>value(EUR!$B111)</f>
        <v>11238.3425</v>
      </c>
      <c r="E111" s="1">
        <f>value(GBP!$B111)</f>
        <v>13513.53875</v>
      </c>
      <c r="F111" s="1">
        <f>value(CHF!$B111)</f>
        <v>7986.92725</v>
      </c>
      <c r="G111" s="1">
        <f>value(SGD!$B111)</f>
        <v>6561.119125</v>
      </c>
      <c r="H111" s="1">
        <f>value(MYR!$B111)</f>
        <v>2820.763</v>
      </c>
      <c r="I111" s="1">
        <f>value(THB!$B111)</f>
        <v>281.097125</v>
      </c>
      <c r="J111" s="1">
        <f>value(VND!$B111)</f>
        <v>0.4897230224</v>
      </c>
      <c r="K111" s="1">
        <f>value(CNY!$B111)</f>
        <v>1362.213039</v>
      </c>
      <c r="L111" s="1">
        <f>value(HKD!$B111)</f>
        <v>1185.54075</v>
      </c>
      <c r="M111" s="1">
        <f>value(TWD!$B111)</f>
        <v>284.515</v>
      </c>
      <c r="N111" s="1">
        <f>value(JPY!$B111)</f>
        <v>99.765</v>
      </c>
      <c r="O111" s="1">
        <f>value(SAR!$B111)</f>
        <v>2475.84879</v>
      </c>
      <c r="P111" s="1">
        <f>value(AED!$B111)</f>
        <v>2527.307902</v>
      </c>
      <c r="Q111" s="1">
        <f>value(KWD!$B111)</f>
        <v>31844.59011</v>
      </c>
    </row>
    <row r="112">
      <c r="A112" s="4">
        <f>value(USD!A112)</f>
        <v>40333.99861</v>
      </c>
      <c r="B112" s="1">
        <f>value(USD!B112)</f>
        <v>9282.7</v>
      </c>
      <c r="C112" s="1">
        <f>value(AUD!$B112)</f>
        <v>7646.15999</v>
      </c>
      <c r="D112" s="1">
        <f>value(EUR!$B112)</f>
        <v>11110.46363</v>
      </c>
      <c r="E112" s="1">
        <f>value(GBP!$B112)</f>
        <v>13408.86015</v>
      </c>
      <c r="F112" s="1">
        <f>value(CHF!$B112)</f>
        <v>7978.48065</v>
      </c>
      <c r="G112" s="1">
        <f>value(SGD!$B112)</f>
        <v>6562.961727</v>
      </c>
      <c r="H112" s="1">
        <f>value(MYR!$B112)</f>
        <v>2823.890167</v>
      </c>
      <c r="I112" s="1">
        <f>value(THB!$B112)</f>
        <v>281.637118</v>
      </c>
      <c r="J112" s="1">
        <f>value(VND!$B112)</f>
        <v>0.4995764482</v>
      </c>
      <c r="K112" s="1">
        <f>value(CNY!$B112)</f>
        <v>1348.553314</v>
      </c>
      <c r="L112" s="1">
        <f>value(HKD!$B112)</f>
        <v>1190.877583</v>
      </c>
      <c r="M112" s="1">
        <f>value(TWD!$B112)</f>
        <v>282.19408</v>
      </c>
      <c r="N112" s="1">
        <f>value(JPY!$B112)</f>
        <v>100.995776</v>
      </c>
      <c r="O112" s="1">
        <f>value(SAR!$B112)</f>
        <v>2485.290552</v>
      </c>
      <c r="P112" s="1">
        <f>value(AED!$B112)</f>
        <v>2536.945906</v>
      </c>
      <c r="Q112" s="1">
        <f>value(KWD!$B112)</f>
        <v>31780.6939</v>
      </c>
    </row>
    <row r="113">
      <c r="A113" s="4">
        <f>value(USD!A113)</f>
        <v>40336.99861</v>
      </c>
      <c r="B113" s="1">
        <f>value(USD!B113)</f>
        <v>9318.1</v>
      </c>
      <c r="C113" s="1">
        <f>value(AUD!$B113)</f>
        <v>7559.77453</v>
      </c>
      <c r="D113" s="1">
        <f>value(EUR!$B113)</f>
        <v>11109.03882</v>
      </c>
      <c r="E113" s="1">
        <f>value(GBP!$B113)</f>
        <v>13482.35889</v>
      </c>
      <c r="F113" s="1">
        <f>value(CHF!$B113)</f>
        <v>8013.752362</v>
      </c>
      <c r="G113" s="1">
        <f>value(SGD!$B113)</f>
        <v>6562.085563</v>
      </c>
      <c r="H113" s="1">
        <f>value(MYR!$B113)</f>
        <v>2785.18009</v>
      </c>
      <c r="I113" s="1">
        <f>value(THB!$B113)</f>
        <v>282.524792</v>
      </c>
      <c r="J113" s="1">
        <f>value(VND!$B113)</f>
        <v>0.4869799324</v>
      </c>
      <c r="K113" s="1">
        <f>value(CNY!$B113)</f>
        <v>1357.097064</v>
      </c>
      <c r="L113" s="1">
        <f>value(HKD!$B113)</f>
        <v>1194.114515</v>
      </c>
      <c r="M113" s="1">
        <f>value(TWD!$B113)</f>
        <v>285.972489</v>
      </c>
      <c r="N113" s="1">
        <f>value(JPY!$B113)</f>
        <v>101.753652</v>
      </c>
      <c r="O113" s="1">
        <f>value(SAR!$B113)</f>
        <v>2459.704428</v>
      </c>
      <c r="P113" s="1">
        <f>value(AED!$B113)</f>
        <v>2511.162884</v>
      </c>
      <c r="Q113" s="1">
        <f>value(KWD!$B113)</f>
        <v>31489.92353</v>
      </c>
    </row>
    <row r="114">
      <c r="A114" s="4">
        <f>value(USD!A114)</f>
        <v>40337.99861</v>
      </c>
      <c r="B114" s="1">
        <f>value(USD!B114)</f>
        <v>9223.4</v>
      </c>
      <c r="C114" s="1">
        <f>value(AUD!$B114)</f>
        <v>7616.68372</v>
      </c>
      <c r="D114" s="1">
        <f>value(EUR!$B114)</f>
        <v>11039.48746</v>
      </c>
      <c r="E114" s="1">
        <f>value(GBP!$B114)</f>
        <v>13324.12364</v>
      </c>
      <c r="F114" s="1">
        <f>value(CHF!$B114)</f>
        <v>8001.207266</v>
      </c>
      <c r="G114" s="1">
        <f>value(SGD!$B114)</f>
        <v>6521.958374</v>
      </c>
      <c r="H114" s="1">
        <f>value(MYR!$B114)</f>
        <v>2763.976278</v>
      </c>
      <c r="I114" s="1">
        <f>value(THB!$B114)</f>
        <v>280.114658</v>
      </c>
      <c r="J114" s="1">
        <f>value(VND!$B114)</f>
        <v>0.4904200744</v>
      </c>
      <c r="K114" s="1">
        <f>value(CNY!$B114)</f>
        <v>1344.258948</v>
      </c>
      <c r="L114" s="1">
        <f>value(HKD!$B114)</f>
        <v>1181.886476</v>
      </c>
      <c r="M114" s="1">
        <f>value(TWD!$B114)</f>
        <v>285.556464</v>
      </c>
      <c r="N114" s="1">
        <f>value(JPY!$B114)</f>
        <v>100.903996</v>
      </c>
      <c r="O114" s="1">
        <f>value(SAR!$B114)</f>
        <v>2475.118583</v>
      </c>
      <c r="P114" s="1">
        <f>value(AED!$B114)</f>
        <v>2526.8067</v>
      </c>
      <c r="Q114" s="1">
        <f>value(KWD!$B114)</f>
        <v>31730.5944</v>
      </c>
    </row>
    <row r="115">
      <c r="A115" s="4">
        <f>value(USD!A115)</f>
        <v>40338.99861</v>
      </c>
      <c r="B115" s="1">
        <f>value(USD!B115)</f>
        <v>9281.2</v>
      </c>
      <c r="C115" s="1">
        <f>value(AUD!$B115)</f>
        <v>7697.82728</v>
      </c>
      <c r="D115" s="1">
        <f>value(EUR!$B115)</f>
        <v>11127.23068</v>
      </c>
      <c r="E115" s="1">
        <f>value(GBP!$B115)</f>
        <v>13499.5054</v>
      </c>
      <c r="F115" s="1">
        <f>value(CHF!$B115)</f>
        <v>8084.203636</v>
      </c>
      <c r="G115" s="1">
        <f>value(SGD!$B115)</f>
        <v>6560.509032</v>
      </c>
      <c r="H115" s="1">
        <f>value(MYR!$B115)</f>
        <v>2781.390016</v>
      </c>
      <c r="I115" s="1">
        <f>value(THB!$B115)</f>
        <v>281.313172</v>
      </c>
      <c r="J115" s="1">
        <f>value(VND!$B115)</f>
        <v>0.4928379944</v>
      </c>
      <c r="K115" s="1">
        <f>value(CNY!$B115)</f>
        <v>1344.08309</v>
      </c>
      <c r="L115" s="1">
        <f>value(HKD!$B115)</f>
        <v>1189.478592</v>
      </c>
      <c r="M115" s="1">
        <f>value(TWD!$B115)</f>
        <v>286.603456</v>
      </c>
      <c r="N115" s="1">
        <f>value(JPY!$B115)</f>
        <v>101.536328</v>
      </c>
      <c r="O115" s="1">
        <f>value(SAR!$B115)</f>
        <v>2451.704002</v>
      </c>
      <c r="P115" s="1">
        <f>value(AED!$B115)</f>
        <v>2502.259612</v>
      </c>
      <c r="Q115" s="1">
        <f>value(KWD!$B115)</f>
        <v>31860.67462</v>
      </c>
    </row>
    <row r="116">
      <c r="A116" s="4">
        <f>value(USD!A116)</f>
        <v>40339.99861</v>
      </c>
      <c r="B116" s="1">
        <f>value(USD!B116)</f>
        <v>9193.4</v>
      </c>
      <c r="C116" s="1">
        <f>value(AUD!$B116)</f>
        <v>7788.64848</v>
      </c>
      <c r="D116" s="1">
        <f>value(EUR!$B116)</f>
        <v>11130.44938</v>
      </c>
      <c r="E116" s="1">
        <f>value(GBP!$B116)</f>
        <v>13519.81404</v>
      </c>
      <c r="F116" s="1">
        <f>value(CHF!$B116)</f>
        <v>8039.16863</v>
      </c>
      <c r="G116" s="1">
        <f>value(SGD!$B116)</f>
        <v>6545.24113</v>
      </c>
      <c r="H116" s="1">
        <f>value(MYR!$B116)</f>
        <v>2781.279302</v>
      </c>
      <c r="I116" s="1">
        <f>value(THB!$B116)</f>
        <v>280.85837</v>
      </c>
      <c r="J116" s="1">
        <f>value(VND!$B116)</f>
        <v>0.4855649377</v>
      </c>
      <c r="K116" s="1">
        <f>value(CNY!$B116)</f>
        <v>1345.155876</v>
      </c>
      <c r="L116" s="1">
        <f>value(HKD!$B116)</f>
        <v>1179.789022</v>
      </c>
      <c r="M116" s="1">
        <f>value(TWD!$B116)</f>
        <v>285.179268</v>
      </c>
      <c r="N116" s="1">
        <f>value(JPY!$B116)</f>
        <v>100.66773</v>
      </c>
      <c r="O116" s="1">
        <f>value(SAR!$B116)</f>
        <v>2452.62286</v>
      </c>
      <c r="P116" s="1">
        <f>value(AED!$B116)</f>
        <v>2503.866316</v>
      </c>
      <c r="Q116" s="1">
        <f>value(KWD!$B116)</f>
        <v>31570.88858</v>
      </c>
    </row>
    <row r="117">
      <c r="A117" s="4">
        <f>value(USD!A117)</f>
        <v>40340.99861</v>
      </c>
      <c r="B117" s="1">
        <f>value(USD!B117)</f>
        <v>9196.6</v>
      </c>
      <c r="C117" s="1">
        <f>value(AUD!$B117)</f>
        <v>7815.27068</v>
      </c>
      <c r="D117" s="1">
        <f>value(EUR!$B117)</f>
        <v>11137.0826</v>
      </c>
      <c r="E117" s="1">
        <f>value(GBP!$B117)</f>
        <v>13358.0615</v>
      </c>
      <c r="F117" s="1">
        <f>value(CHF!$B117)</f>
        <v>7998.007122</v>
      </c>
      <c r="G117" s="1">
        <f>value(SGD!$B117)</f>
        <v>6559.658882</v>
      </c>
      <c r="H117" s="1">
        <f>value(MYR!$B117)</f>
        <v>2805.88266</v>
      </c>
      <c r="I117" s="1">
        <f>value(THB!$B117)</f>
        <v>282.243654</v>
      </c>
      <c r="J117" s="1">
        <f>value(VND!$B117)</f>
        <v>0.4864042224</v>
      </c>
      <c r="K117" s="1">
        <f>value(CNY!$B117)</f>
        <v>1335.77433</v>
      </c>
      <c r="L117" s="1">
        <f>value(HKD!$B117)</f>
        <v>1180.291644</v>
      </c>
      <c r="M117" s="1">
        <f>value(TWD!$B117)</f>
        <v>283.71511</v>
      </c>
      <c r="N117" s="1">
        <f>value(JPY!$B117)</f>
        <v>100.334906</v>
      </c>
      <c r="O117" s="1">
        <f>value(SAR!$B117)</f>
        <v>2454.785387</v>
      </c>
      <c r="P117" s="1">
        <f>value(AED!$B117)</f>
        <v>2505.471336</v>
      </c>
      <c r="Q117" s="1">
        <f>value(KWD!$B117)</f>
        <v>31519.25836</v>
      </c>
    </row>
    <row r="118">
      <c r="A118" s="4">
        <f>value(USD!A118)</f>
        <v>40343.99861</v>
      </c>
      <c r="B118" s="1">
        <f>value(USD!B118)</f>
        <v>9205.2</v>
      </c>
      <c r="C118" s="1">
        <f>value(AUD!$B118)</f>
        <v>7898.0616</v>
      </c>
      <c r="D118" s="1">
        <f>value(EUR!$B118)</f>
        <v>11244.1518</v>
      </c>
      <c r="E118" s="1">
        <f>value(GBP!$B118)</f>
        <v>13561.10064</v>
      </c>
      <c r="F118" s="1">
        <f>value(CHF!$B118)</f>
        <v>8052.70896</v>
      </c>
      <c r="G118" s="1">
        <f>value(SGD!$B118)</f>
        <v>6586.872912</v>
      </c>
      <c r="H118" s="1">
        <f>value(MYR!$B118)</f>
        <v>2817.343512</v>
      </c>
      <c r="I118" s="1">
        <f>value(THB!$B118)</f>
        <v>280.666548</v>
      </c>
      <c r="J118" s="1">
        <f>value(VND!$B118)</f>
        <v>0.4831395292</v>
      </c>
      <c r="K118" s="1">
        <f>value(CNY!$B118)</f>
        <v>1339.033029</v>
      </c>
      <c r="L118" s="1">
        <f>value(HKD!$B118)</f>
        <v>1181.303316</v>
      </c>
      <c r="M118" s="1">
        <f>value(TWD!$B118)</f>
        <v>285.3612</v>
      </c>
      <c r="N118" s="1">
        <f>value(JPY!$B118)</f>
        <v>100.428732</v>
      </c>
      <c r="O118" s="1">
        <f>value(SAR!$B118)</f>
        <v>2437.795008</v>
      </c>
      <c r="P118" s="1">
        <f>value(AED!$B118)</f>
        <v>2488.72866</v>
      </c>
      <c r="Q118" s="1">
        <f>value(KWD!$B118)</f>
        <v>31331.61847</v>
      </c>
    </row>
    <row r="119">
      <c r="A119" s="4">
        <f>value(USD!A119)</f>
        <v>40344.99861</v>
      </c>
      <c r="B119" s="1">
        <f>value(USD!B119)</f>
        <v>9141</v>
      </c>
      <c r="C119" s="1">
        <f>value(AUD!$B119)</f>
        <v>7896.54426</v>
      </c>
      <c r="D119" s="1">
        <f>value(EUR!$B119)</f>
        <v>11258.9697</v>
      </c>
      <c r="E119" s="1">
        <f>value(GBP!$B119)</f>
        <v>13525.0236</v>
      </c>
      <c r="F119" s="1">
        <f>value(CHF!$B119)</f>
        <v>8060.62521</v>
      </c>
      <c r="G119" s="1">
        <f>value(SGD!$B119)</f>
        <v>6567.26004</v>
      </c>
      <c r="H119" s="1">
        <f>value(MYR!$B119)</f>
        <v>2792.02704</v>
      </c>
      <c r="I119" s="1">
        <f>value(THB!$B119)</f>
        <v>279.98883</v>
      </c>
      <c r="J119" s="1">
        <f>value(VND!$B119)</f>
        <v>0.4841902198</v>
      </c>
      <c r="K119" s="1">
        <f>value(CNY!$B119)</f>
        <v>1336.783409</v>
      </c>
      <c r="L119" s="1">
        <f>value(HKD!$B119)</f>
        <v>1173.24735</v>
      </c>
      <c r="M119" s="1">
        <f>value(TWD!$B119)</f>
        <v>284.74215</v>
      </c>
      <c r="N119" s="1">
        <f>value(JPY!$B119)</f>
        <v>99.91113</v>
      </c>
      <c r="O119" s="1">
        <f>value(SAR!$B119)</f>
        <v>2443.74215</v>
      </c>
      <c r="P119" s="1">
        <f>value(AED!$B119)</f>
        <v>2494.708425</v>
      </c>
      <c r="Q119" s="1">
        <f>value(KWD!$B119)</f>
        <v>31445.76991</v>
      </c>
    </row>
    <row r="120">
      <c r="A120" s="4">
        <f>value(USD!A120)</f>
        <v>40345.99861</v>
      </c>
      <c r="B120" s="1">
        <f>value(USD!B120)</f>
        <v>9163.3</v>
      </c>
      <c r="C120" s="1">
        <f>value(AUD!$B120)</f>
        <v>7909.76056</v>
      </c>
      <c r="D120" s="1">
        <f>value(EUR!$B120)</f>
        <v>11280.0223</v>
      </c>
      <c r="E120" s="1">
        <f>value(GBP!$B120)</f>
        <v>13500.28989</v>
      </c>
      <c r="F120" s="1">
        <f>value(CHF!$B120)</f>
        <v>8104.205786</v>
      </c>
      <c r="G120" s="1">
        <f>value(SGD!$B120)</f>
        <v>6572.926723</v>
      </c>
      <c r="H120" s="1">
        <f>value(MYR!$B120)</f>
        <v>2807.360221</v>
      </c>
      <c r="I120" s="1">
        <f>value(THB!$B120)</f>
        <v>280.39698</v>
      </c>
      <c r="J120" s="1">
        <f>value(VND!$B120)</f>
        <v>0.4829846731</v>
      </c>
      <c r="K120" s="1">
        <f>value(CNY!$B120)</f>
        <v>1326.525445</v>
      </c>
      <c r="L120" s="1">
        <f>value(HKD!$B120)</f>
        <v>1175.926289</v>
      </c>
      <c r="M120" s="1">
        <f>value(TWD!$B120)</f>
        <v>284.703731</v>
      </c>
      <c r="N120" s="1">
        <f>value(JPY!$B120)</f>
        <v>100.246502</v>
      </c>
      <c r="O120" s="1">
        <f>value(SAR!$B120)</f>
        <v>2437.911587</v>
      </c>
      <c r="P120" s="1">
        <f>value(AED!$B120)</f>
        <v>2489.154525</v>
      </c>
      <c r="Q120" s="1">
        <f>value(KWD!$B120)</f>
        <v>31354.24982</v>
      </c>
    </row>
    <row r="121">
      <c r="A121" s="4">
        <f>value(USD!A121)</f>
        <v>40346.99861</v>
      </c>
      <c r="B121" s="1">
        <f>value(USD!B121)</f>
        <v>9142.9</v>
      </c>
      <c r="C121" s="1">
        <f>value(AUD!$B121)</f>
        <v>7929.545741</v>
      </c>
      <c r="D121" s="1">
        <f>value(EUR!$B121)</f>
        <v>11317.99591</v>
      </c>
      <c r="E121" s="1">
        <f>value(GBP!$B121)</f>
        <v>13543.19491</v>
      </c>
      <c r="F121" s="1">
        <f>value(CHF!$B121)</f>
        <v>8224.129979</v>
      </c>
      <c r="G121" s="1">
        <f>value(SGD!$B121)</f>
        <v>6563.962197</v>
      </c>
      <c r="H121" s="1">
        <f>value(MYR!$B121)</f>
        <v>2798.550261</v>
      </c>
      <c r="I121" s="1">
        <f>value(THB!$B121)</f>
        <v>280.595601</v>
      </c>
      <c r="J121" s="1">
        <f>value(VND!$B121)</f>
        <v>0.4793394932</v>
      </c>
      <c r="K121" s="1">
        <f>value(CNY!$B121)</f>
        <v>1321.881489</v>
      </c>
      <c r="L121" s="1">
        <f>value(HKD!$B121)</f>
        <v>1174.131218</v>
      </c>
      <c r="M121" s="1">
        <f>value(TWD!$B121)</f>
        <v>283.978474</v>
      </c>
      <c r="N121" s="1">
        <f>value(JPY!$B121)</f>
        <v>100.5719</v>
      </c>
      <c r="O121" s="1">
        <f>value(SAR!$B121)</f>
        <v>2418.873111</v>
      </c>
      <c r="P121" s="1">
        <f>value(AED!$B121)</f>
        <v>2469.80659</v>
      </c>
      <c r="Q121" s="1">
        <f>value(KWD!$B121)</f>
        <v>31438.21761</v>
      </c>
    </row>
    <row r="122">
      <c r="A122" s="4">
        <f>value(USD!A122)</f>
        <v>40347.99861</v>
      </c>
      <c r="B122" s="1">
        <f>value(USD!B122)</f>
        <v>9071.5</v>
      </c>
      <c r="C122" s="1">
        <f>value(AUD!$B122)</f>
        <v>7907.62655</v>
      </c>
      <c r="D122" s="1">
        <f>value(EUR!$B122)</f>
        <v>11237.7742</v>
      </c>
      <c r="E122" s="1">
        <f>value(GBP!$B122)</f>
        <v>13443.963</v>
      </c>
      <c r="F122" s="1">
        <f>value(CHF!$B122)</f>
        <v>8183.128005</v>
      </c>
      <c r="G122" s="1">
        <f>value(SGD!$B122)</f>
        <v>6547.899415</v>
      </c>
      <c r="H122" s="1">
        <f>value(MYR!$B122)</f>
        <v>2794.74772</v>
      </c>
      <c r="I122" s="1">
        <f>value(THB!$B122)</f>
        <v>278.67648</v>
      </c>
      <c r="J122" s="1">
        <f>value(VND!$B122)</f>
        <v>0.4755761043</v>
      </c>
      <c r="K122" s="1">
        <f>value(CNY!$B122)</f>
        <v>1320.97896</v>
      </c>
      <c r="L122" s="1">
        <f>value(HKD!$B122)</f>
        <v>1165.597035</v>
      </c>
      <c r="M122" s="1">
        <f>value(TWD!$B122)</f>
        <v>282.758655</v>
      </c>
      <c r="N122" s="1">
        <f>value(JPY!$B122)</f>
        <v>99.96793</v>
      </c>
      <c r="O122" s="1">
        <f>value(SAR!$B122)</f>
        <v>2399.631955</v>
      </c>
      <c r="P122" s="1">
        <f>value(AED!$B122)</f>
        <v>2449.768254</v>
      </c>
      <c r="Q122" s="1">
        <f>value(KWD!$B122)</f>
        <v>30894.0737</v>
      </c>
    </row>
    <row r="123">
      <c r="A123" s="4">
        <f>value(USD!A123)</f>
        <v>40350.99861</v>
      </c>
      <c r="B123" s="1">
        <f>value(USD!B123)</f>
        <v>8997.9</v>
      </c>
      <c r="C123" s="1">
        <f>value(AUD!$B123)</f>
        <v>7884.85977</v>
      </c>
      <c r="D123" s="1">
        <f>value(EUR!$B123)</f>
        <v>11079.11427</v>
      </c>
      <c r="E123" s="1">
        <f>value(GBP!$B123)</f>
        <v>13276.40145</v>
      </c>
      <c r="F123" s="1">
        <f>value(CHF!$B123)</f>
        <v>8098.11</v>
      </c>
      <c r="G123" s="1">
        <f>value(SGD!$B123)</f>
        <v>6527.256618</v>
      </c>
      <c r="H123" s="1">
        <f>value(MYR!$B123)</f>
        <v>2803.475703</v>
      </c>
      <c r="I123" s="1">
        <f>value(THB!$B123)</f>
        <v>275.33574</v>
      </c>
      <c r="J123" s="1">
        <f>value(VND!$B123)</f>
        <v>0.4761955038</v>
      </c>
      <c r="K123" s="1">
        <f>value(CNY!$B123)</f>
        <v>1316.57429</v>
      </c>
      <c r="L123" s="1">
        <f>value(HKD!$B123)</f>
        <v>1157.939751</v>
      </c>
      <c r="M123" s="1">
        <f>value(TWD!$B123)</f>
        <v>281.454312</v>
      </c>
      <c r="N123" s="1">
        <f>value(JPY!$B123)</f>
        <v>98.886921</v>
      </c>
      <c r="O123" s="1">
        <f>value(SAR!$B123)</f>
        <v>2403.199939</v>
      </c>
      <c r="P123" s="1">
        <f>value(AED!$B123)</f>
        <v>2453.60712</v>
      </c>
      <c r="Q123" s="1">
        <f>value(KWD!$B123)</f>
        <v>31232.01423</v>
      </c>
    </row>
    <row r="124">
      <c r="A124" s="4">
        <f>value(USD!A124)</f>
        <v>40351.99861</v>
      </c>
      <c r="B124" s="1">
        <f>value(USD!B124)</f>
        <v>9012</v>
      </c>
      <c r="C124" s="1">
        <f>value(AUD!$B124)</f>
        <v>7862.97</v>
      </c>
      <c r="D124" s="1">
        <f>value(EUR!$B124)</f>
        <v>11058.44496</v>
      </c>
      <c r="E124" s="1">
        <f>value(GBP!$B124)</f>
        <v>13353.9816</v>
      </c>
      <c r="F124" s="1">
        <f>value(CHF!$B124)</f>
        <v>8133.87072</v>
      </c>
      <c r="G124" s="1">
        <f>value(SGD!$B124)</f>
        <v>6500.26548</v>
      </c>
      <c r="H124" s="1">
        <f>value(MYR!$B124)</f>
        <v>2801.74068</v>
      </c>
      <c r="I124" s="1">
        <f>value(THB!$B124)</f>
        <v>276.30792</v>
      </c>
      <c r="J124" s="1">
        <f>value(VND!$B124)</f>
        <v>0.4818362255</v>
      </c>
      <c r="K124" s="1">
        <f>value(CNY!$B124)</f>
        <v>1330.99671</v>
      </c>
      <c r="L124" s="1">
        <f>value(HKD!$B124)</f>
        <v>1158.58272</v>
      </c>
      <c r="M124" s="1">
        <f>value(TWD!$B124)</f>
        <v>281.1744</v>
      </c>
      <c r="N124" s="1">
        <f>value(JPY!$B124)</f>
        <v>99.49248</v>
      </c>
      <c r="O124" s="1">
        <f>value(SAR!$B124)</f>
        <v>2394.660961</v>
      </c>
      <c r="P124" s="1">
        <f>value(AED!$B124)</f>
        <v>2444.04031</v>
      </c>
      <c r="Q124" s="1">
        <f>value(KWD!$B124)</f>
        <v>30953.11771</v>
      </c>
    </row>
    <row r="125">
      <c r="A125" s="4">
        <f>value(USD!A125)</f>
        <v>40352.99861</v>
      </c>
      <c r="B125" s="1">
        <f>value(USD!B125)</f>
        <v>8979.5</v>
      </c>
      <c r="C125" s="1">
        <f>value(AUD!$B125)</f>
        <v>7852.57275</v>
      </c>
      <c r="D125" s="1">
        <f>value(EUR!$B125)</f>
        <v>11059.1522</v>
      </c>
      <c r="E125" s="1">
        <f>value(GBP!$B125)</f>
        <v>13436.9238</v>
      </c>
      <c r="F125" s="1">
        <f>value(CHF!$B125)</f>
        <v>8127.34545</v>
      </c>
      <c r="G125" s="1">
        <f>value(SGD!$B125)</f>
        <v>6463.80328</v>
      </c>
      <c r="H125" s="1">
        <f>value(MYR!$B125)</f>
        <v>2789.122495</v>
      </c>
      <c r="I125" s="1">
        <f>value(THB!$B125)</f>
        <v>277.28696</v>
      </c>
      <c r="J125" s="1">
        <f>value(VND!$B125)</f>
        <v>0.4790224523</v>
      </c>
      <c r="K125" s="1">
        <f>value(CNY!$B125)</f>
        <v>1332.733856</v>
      </c>
      <c r="L125" s="1">
        <f>value(HKD!$B125)</f>
        <v>1154.40452</v>
      </c>
      <c r="M125" s="1">
        <f>value(TWD!$B125)</f>
        <v>279.891015</v>
      </c>
      <c r="N125" s="1">
        <f>value(JPY!$B125)</f>
        <v>99.85204</v>
      </c>
      <c r="O125" s="1">
        <f>value(SAR!$B125)</f>
        <v>2438.535553</v>
      </c>
      <c r="P125" s="1">
        <f>value(AED!$B125)</f>
        <v>2468.082375</v>
      </c>
      <c r="Q125" s="1">
        <f>value(KWD!$B125)</f>
        <v>31110.14887</v>
      </c>
    </row>
    <row r="126">
      <c r="A126" s="4">
        <f>value(USD!A126)</f>
        <v>40353.99861</v>
      </c>
      <c r="B126" s="1">
        <f>value(USD!B126)</f>
        <v>9065.5</v>
      </c>
      <c r="C126" s="1">
        <f>value(AUD!$B126)</f>
        <v>7862.961425</v>
      </c>
      <c r="D126" s="1">
        <f>value(EUR!$B126)</f>
        <v>11183.2008</v>
      </c>
      <c r="E126" s="1">
        <f>value(GBP!$B126)</f>
        <v>13532.07185</v>
      </c>
      <c r="F126" s="1">
        <f>value(CHF!$B126)</f>
        <v>8226.0347</v>
      </c>
      <c r="G126" s="1">
        <f>value(SGD!$B126)</f>
        <v>6511.56734</v>
      </c>
      <c r="H126" s="1">
        <f>value(MYR!$B126)</f>
        <v>2790.17959</v>
      </c>
      <c r="I126" s="1">
        <f>value(THB!$B126)</f>
        <v>277.313645</v>
      </c>
      <c r="J126" s="1">
        <f>value(VND!$B126)</f>
        <v>0.4789012077</v>
      </c>
      <c r="K126" s="1">
        <f>value(CNY!$B126)</f>
        <v>1331.415927</v>
      </c>
      <c r="L126" s="1">
        <f>value(HKD!$B126)</f>
        <v>1165.46068</v>
      </c>
      <c r="M126" s="1">
        <f>value(TWD!$B126)</f>
        <v>282.571635</v>
      </c>
      <c r="N126" s="1">
        <f>value(JPY!$B126)</f>
        <v>101.080325</v>
      </c>
      <c r="O126" s="1">
        <f>value(SAR!$B126)</f>
        <v>2417.686732</v>
      </c>
      <c r="P126" s="1">
        <f>value(AED!$B126)</f>
        <v>2468.1096</v>
      </c>
      <c r="Q126" s="1">
        <f>value(KWD!$B126)</f>
        <v>31131.85966</v>
      </c>
    </row>
    <row r="127">
      <c r="A127" s="4">
        <f>value(USD!A127)</f>
        <v>40354.99861</v>
      </c>
      <c r="B127" s="1">
        <f>value(USD!B127)</f>
        <v>9065.6</v>
      </c>
      <c r="C127" s="1">
        <f>value(AUD!$B127)</f>
        <v>7921.52128</v>
      </c>
      <c r="D127" s="1">
        <f>value(EUR!$B127)</f>
        <v>11217.77344</v>
      </c>
      <c r="E127" s="1">
        <f>value(GBP!$B127)</f>
        <v>13656.41984</v>
      </c>
      <c r="F127" s="1">
        <f>value(CHF!$B127)</f>
        <v>8290.853824</v>
      </c>
      <c r="G127" s="1">
        <f>value(SGD!$B127)</f>
        <v>6533.305952</v>
      </c>
      <c r="H127" s="1">
        <f>value(MYR!$B127)</f>
        <v>2796.556288</v>
      </c>
      <c r="I127" s="1">
        <f>value(THB!$B127)</f>
        <v>278.7672</v>
      </c>
      <c r="J127" s="1">
        <f>value(VND!$B127)</f>
        <v>0.4779266628</v>
      </c>
      <c r="K127" s="1">
        <f>value(CNY!$B127)</f>
        <v>1333.062906</v>
      </c>
      <c r="L127" s="1">
        <f>value(HKD!$B127)</f>
        <v>1165.564192</v>
      </c>
      <c r="M127" s="1">
        <f>value(TWD!$B127)</f>
        <v>284.297216</v>
      </c>
      <c r="N127" s="1">
        <f>value(JPY!$B127)</f>
        <v>101.53472</v>
      </c>
      <c r="O127" s="1">
        <f>value(SAR!$B127)</f>
        <v>2415.824349</v>
      </c>
      <c r="P127" s="1">
        <f>value(AED!$B127)</f>
        <v>2466.339975</v>
      </c>
      <c r="Q127" s="1">
        <f>value(KWD!$B127)</f>
        <v>31157.68735</v>
      </c>
    </row>
    <row r="128">
      <c r="A128" s="4">
        <f>value(USD!A128)</f>
        <v>40357.99861</v>
      </c>
      <c r="B128" s="1">
        <f>value(USD!B128)</f>
        <v>9059.1</v>
      </c>
      <c r="C128" s="1">
        <f>value(AUD!$B128)</f>
        <v>7877.79336</v>
      </c>
      <c r="D128" s="1">
        <f>value(EUR!$B128)</f>
        <v>11118.23343</v>
      </c>
      <c r="E128" s="1">
        <f>value(GBP!$B128)</f>
        <v>13673.80554</v>
      </c>
      <c r="F128" s="1">
        <f>value(CHF!$B128)</f>
        <v>8332.288407</v>
      </c>
      <c r="G128" s="1">
        <f>value(SGD!$B128)</f>
        <v>6529.074552</v>
      </c>
      <c r="H128" s="1">
        <f>value(MYR!$B128)</f>
        <v>2797.540671</v>
      </c>
      <c r="I128" s="1">
        <f>value(THB!$B128)</f>
        <v>276.755505</v>
      </c>
      <c r="J128" s="1">
        <f>value(VND!$B128)</f>
        <v>0.4843186371</v>
      </c>
      <c r="K128" s="1">
        <f>value(CNY!$B128)</f>
        <v>1331.665904</v>
      </c>
      <c r="L128" s="1">
        <f>value(HKD!$B128)</f>
        <v>1164.003759</v>
      </c>
      <c r="M128" s="1">
        <f>value(TWD!$B128)</f>
        <v>281.103873</v>
      </c>
      <c r="N128" s="1">
        <f>value(JPY!$B128)</f>
        <v>101.371329</v>
      </c>
      <c r="O128" s="1">
        <f>value(SAR!$B128)</f>
        <v>2420.559939</v>
      </c>
      <c r="P128" s="1">
        <f>value(AED!$B128)</f>
        <v>2471.240475</v>
      </c>
      <c r="Q128" s="1">
        <f>value(KWD!$B128)</f>
        <v>31171.35141</v>
      </c>
    </row>
    <row r="129">
      <c r="A129" s="4">
        <f>value(USD!A129)</f>
        <v>40358.99861</v>
      </c>
      <c r="B129" s="1">
        <f>value(USD!B129)</f>
        <v>9077.1</v>
      </c>
      <c r="C129" s="1">
        <f>value(AUD!$B129)</f>
        <v>7710.08874</v>
      </c>
      <c r="D129" s="1">
        <f>value(EUR!$B129)</f>
        <v>11061.35406</v>
      </c>
      <c r="E129" s="1">
        <f>value(GBP!$B129)</f>
        <v>13661.0355</v>
      </c>
      <c r="F129" s="1">
        <f>value(CHF!$B129)</f>
        <v>8387.421942</v>
      </c>
      <c r="G129" s="1">
        <f>value(SGD!$B129)</f>
        <v>6469.793796</v>
      </c>
      <c r="H129" s="1">
        <f>value(MYR!$B129)</f>
        <v>2786.215845</v>
      </c>
      <c r="I129" s="1">
        <f>value(THB!$B129)</f>
        <v>278.031573</v>
      </c>
      <c r="J129" s="1">
        <f>value(VND!$B129)</f>
        <v>0.477298148</v>
      </c>
      <c r="K129" s="1">
        <f>value(CNY!$B129)</f>
        <v>1330.506825</v>
      </c>
      <c r="L129" s="1">
        <f>value(HKD!$B129)</f>
        <v>1165.862724</v>
      </c>
      <c r="M129" s="1">
        <f>value(TWD!$B129)</f>
        <v>281.117787</v>
      </c>
      <c r="N129" s="1">
        <f>value(JPY!$B129)</f>
        <v>102.389688</v>
      </c>
      <c r="O129" s="1">
        <f>value(SAR!$B129)</f>
        <v>2412.010914</v>
      </c>
      <c r="P129" s="1">
        <f>value(AED!$B129)</f>
        <v>2462.4468</v>
      </c>
      <c r="Q129" s="1">
        <f>value(KWD!$B129)</f>
        <v>31060.43111</v>
      </c>
    </row>
    <row r="130">
      <c r="A130" s="4">
        <f>value(USD!A130)</f>
        <v>40359.99861</v>
      </c>
      <c r="B130" s="1">
        <f>value(USD!B130)</f>
        <v>9044.8</v>
      </c>
      <c r="C130" s="1">
        <f>value(AUD!$B130)</f>
        <v>7606.6768</v>
      </c>
      <c r="D130" s="1">
        <f>value(EUR!$B130)</f>
        <v>11059.98144</v>
      </c>
      <c r="E130" s="1">
        <f>value(GBP!$B130)</f>
        <v>13514.74016</v>
      </c>
      <c r="F130" s="1">
        <f>value(CHF!$B130)</f>
        <v>8390.046928</v>
      </c>
      <c r="G130" s="1">
        <f>value(SGD!$B130)</f>
        <v>6459.434368</v>
      </c>
      <c r="H130" s="1">
        <f>value(MYR!$B130)</f>
        <v>2776.934496</v>
      </c>
      <c r="I130" s="1">
        <f>value(THB!$B130)</f>
        <v>275.595056</v>
      </c>
      <c r="J130" s="1">
        <f>value(VND!$B130)</f>
        <v>0.4755631493</v>
      </c>
      <c r="K130" s="1">
        <f>value(CNY!$B130)</f>
        <v>1336.385742</v>
      </c>
      <c r="L130" s="1">
        <f>value(HKD!$B130)</f>
        <v>1161.261872</v>
      </c>
      <c r="M130" s="1">
        <f>value(TWD!$B130)</f>
        <v>278.851184</v>
      </c>
      <c r="N130" s="1">
        <f>value(JPY!$B130)</f>
        <v>102.20624</v>
      </c>
      <c r="O130" s="1">
        <f>value(SAR!$B130)</f>
        <v>2409.712761</v>
      </c>
      <c r="P130" s="1">
        <f>value(AED!$B130)</f>
        <v>2460.059682</v>
      </c>
      <c r="Q130" s="1">
        <f>value(KWD!$B130)</f>
        <v>31077.20586</v>
      </c>
    </row>
    <row r="131">
      <c r="A131" s="4">
        <f>value(USD!A131)</f>
        <v>40360.99861</v>
      </c>
      <c r="B131" s="1">
        <f>value(USD!B131)</f>
        <v>9035.7</v>
      </c>
      <c r="C131" s="1">
        <f>value(AUD!$B131)</f>
        <v>7651.159689</v>
      </c>
      <c r="D131" s="1">
        <f>value(EUR!$B131)</f>
        <v>11299.05249</v>
      </c>
      <c r="E131" s="1">
        <f>value(GBP!$B131)</f>
        <v>13699.02477</v>
      </c>
      <c r="F131" s="1">
        <f>value(CHF!$B131)</f>
        <v>8514.069039</v>
      </c>
      <c r="G131" s="1">
        <f>value(SGD!$B131)</f>
        <v>6501.909006</v>
      </c>
      <c r="H131" s="1">
        <f>value(MYR!$B131)</f>
        <v>2795.64558</v>
      </c>
      <c r="I131" s="1">
        <f>value(THB!$B131)</f>
        <v>278.209203</v>
      </c>
      <c r="J131" s="1">
        <f>value(VND!$B131)</f>
        <v>0.4769842019</v>
      </c>
      <c r="K131" s="1">
        <f>value(CNY!$B131)</f>
        <v>1338.689485</v>
      </c>
      <c r="L131" s="1">
        <f>value(HKD!$B131)</f>
        <v>1160.003166</v>
      </c>
      <c r="M131" s="1">
        <f>value(TWD!$B131)</f>
        <v>284.534193</v>
      </c>
      <c r="N131" s="1">
        <f>value(JPY!$B131)</f>
        <v>103.097337</v>
      </c>
      <c r="O131" s="1">
        <f>value(SAR!$B131)</f>
        <v>2416.719939</v>
      </c>
      <c r="P131" s="1">
        <f>value(AED!$B131)</f>
        <v>2467.229448</v>
      </c>
      <c r="Q131" s="1">
        <f>value(KWD!$B131)</f>
        <v>31326.30101</v>
      </c>
    </row>
    <row r="132">
      <c r="A132" s="4">
        <f>value(USD!A132)</f>
        <v>40361.99861</v>
      </c>
      <c r="B132" s="1">
        <f>value(USD!B132)</f>
        <v>9062.7</v>
      </c>
      <c r="C132" s="1">
        <f>value(AUD!$B132)</f>
        <v>7627.16832</v>
      </c>
      <c r="D132" s="1">
        <f>value(EUR!$B132)</f>
        <v>11385.47001</v>
      </c>
      <c r="E132" s="1">
        <f>value(GBP!$B132)</f>
        <v>13757.1786</v>
      </c>
      <c r="F132" s="1">
        <f>value(CHF!$B132)</f>
        <v>8526.097533</v>
      </c>
      <c r="G132" s="1">
        <f>value(SGD!$B132)</f>
        <v>6506.837346</v>
      </c>
      <c r="H132" s="1">
        <f>value(MYR!$B132)</f>
        <v>2806.083801</v>
      </c>
      <c r="I132" s="1">
        <f>value(THB!$B132)</f>
        <v>277.681128</v>
      </c>
      <c r="J132" s="1">
        <f>value(VND!$B132)</f>
        <v>0.4838161619</v>
      </c>
      <c r="K132" s="1">
        <f>value(CNY!$B132)</f>
        <v>1328.815336</v>
      </c>
      <c r="L132" s="1">
        <f>value(HKD!$B132)</f>
        <v>1162.472529</v>
      </c>
      <c r="M132" s="1">
        <f>value(TWD!$B132)</f>
        <v>282.212478</v>
      </c>
      <c r="N132" s="1">
        <f>value(JPY!$B132)</f>
        <v>103.224153</v>
      </c>
      <c r="O132" s="1">
        <f>value(SAR!$B132)</f>
        <v>2423.210214</v>
      </c>
      <c r="P132" s="1">
        <f>value(AED!$B132)</f>
        <v>2472.782518</v>
      </c>
      <c r="Q132" s="1">
        <f>value(KWD!$B132)</f>
        <v>31540.00577</v>
      </c>
    </row>
    <row r="133">
      <c r="A133" s="4">
        <f>value(USD!A133)</f>
        <v>40364.99861</v>
      </c>
      <c r="B133" s="1">
        <f>value(USD!B133)</f>
        <v>9085.1</v>
      </c>
      <c r="C133" s="1">
        <f>value(AUD!$B133)</f>
        <v>7607.86274</v>
      </c>
      <c r="D133" s="1">
        <f>value(EUR!$B133)</f>
        <v>11387.26434</v>
      </c>
      <c r="E133" s="1">
        <f>value(GBP!$B133)</f>
        <v>13745.7563</v>
      </c>
      <c r="F133" s="1">
        <f>value(CHF!$B133)</f>
        <v>8533.725281</v>
      </c>
      <c r="G133" s="1">
        <f>value(SGD!$B133)</f>
        <v>6519.649462</v>
      </c>
      <c r="H133" s="1">
        <f>value(MYR!$B133)</f>
        <v>2830.462905</v>
      </c>
      <c r="I133" s="1">
        <f>value(THB!$B133)</f>
        <v>278.367464</v>
      </c>
      <c r="J133" s="1">
        <f>value(VND!$B133)</f>
        <v>0.474302226</v>
      </c>
      <c r="K133" s="1">
        <f>value(CNY!$B133)</f>
        <v>1334.763396</v>
      </c>
      <c r="L133" s="1">
        <f>value(HKD!$B133)</f>
        <v>1165.981734</v>
      </c>
      <c r="M133" s="1">
        <f>value(TWD!$B133)</f>
        <v>282.274057</v>
      </c>
      <c r="N133" s="1">
        <f>value(JPY!$B133)</f>
        <v>103.660991</v>
      </c>
      <c r="O133" s="1">
        <f>value(SAR!$B133)</f>
        <v>2406.806716</v>
      </c>
      <c r="P133" s="1">
        <f>value(AED!$B133)</f>
        <v>2456.765336</v>
      </c>
      <c r="Q133" s="1">
        <f>value(KWD!$B133)</f>
        <v>31115.85429</v>
      </c>
    </row>
    <row r="134">
      <c r="A134" s="4">
        <f>value(USD!A134)</f>
        <v>40365.99861</v>
      </c>
      <c r="B134" s="1">
        <f>value(USD!B134)</f>
        <v>9023.6</v>
      </c>
      <c r="C134" s="1">
        <f>value(AUD!$B134)</f>
        <v>7676.37652</v>
      </c>
      <c r="D134" s="1">
        <f>value(EUR!$B134)</f>
        <v>11387.7832</v>
      </c>
      <c r="E134" s="1">
        <f>value(GBP!$B134)</f>
        <v>13661.7304</v>
      </c>
      <c r="F134" s="1">
        <f>value(CHF!$B134)</f>
        <v>8512.683768</v>
      </c>
      <c r="G134" s="1">
        <f>value(SGD!$B134)</f>
        <v>6501.142856</v>
      </c>
      <c r="H134" s="1">
        <f>value(MYR!$B134)</f>
        <v>2806.79078</v>
      </c>
      <c r="I134" s="1">
        <f>value(THB!$B134)</f>
        <v>275.941688</v>
      </c>
      <c r="J134" s="1">
        <f>value(VND!$B134)</f>
        <v>0.4756062963</v>
      </c>
      <c r="K134" s="1">
        <f>value(CNY!$B134)</f>
        <v>1332.946913</v>
      </c>
      <c r="L134" s="1">
        <f>value(HKD!$B134)</f>
        <v>1158.449768</v>
      </c>
      <c r="M134" s="1">
        <f>value(TWD!$B134)</f>
        <v>281.175376</v>
      </c>
      <c r="N134" s="1">
        <f>value(JPY!$B134)</f>
        <v>103.139748</v>
      </c>
      <c r="O134" s="1">
        <f>value(SAR!$B134)</f>
        <v>2415.951102</v>
      </c>
      <c r="P134" s="1">
        <f>value(AED!$B134)</f>
        <v>2466.757278</v>
      </c>
      <c r="Q134" s="1">
        <f>value(KWD!$B134)</f>
        <v>31242.40598</v>
      </c>
    </row>
    <row r="135">
      <c r="A135" s="4">
        <f>value(USD!A135)</f>
        <v>40366.99861</v>
      </c>
      <c r="B135" s="1">
        <f>value(USD!B135)</f>
        <v>9060.3</v>
      </c>
      <c r="C135" s="1">
        <f>value(AUD!$B135)</f>
        <v>7821.847593</v>
      </c>
      <c r="D135" s="1">
        <f>value(EUR!$B135)</f>
        <v>11444.97096</v>
      </c>
      <c r="E135" s="1">
        <f>value(GBP!$B135)</f>
        <v>13749.00525</v>
      </c>
      <c r="F135" s="1">
        <f>value(CHF!$B135)</f>
        <v>8608.644045</v>
      </c>
      <c r="G135" s="1">
        <f>value(SGD!$B135)</f>
        <v>6546.157353</v>
      </c>
      <c r="H135" s="1">
        <f>value(MYR!$B135)</f>
        <v>2818.931139</v>
      </c>
      <c r="I135" s="1">
        <f>value(THB!$B135)</f>
        <v>278.241813</v>
      </c>
      <c r="J135" s="1">
        <f>value(VND!$B135)</f>
        <v>0.4817266706</v>
      </c>
      <c r="K135" s="1">
        <f>value(CNY!$B135)</f>
        <v>1331.716681</v>
      </c>
      <c r="L135" s="1">
        <f>value(HKD!$B135)</f>
        <v>1163.070711</v>
      </c>
      <c r="M135" s="1">
        <f>value(TWD!$B135)</f>
        <v>282.409551</v>
      </c>
      <c r="N135" s="1">
        <f>value(JPY!$B135)</f>
        <v>103.28742</v>
      </c>
      <c r="O135" s="1">
        <f>value(SAR!$B135)</f>
        <v>2411.908963</v>
      </c>
      <c r="P135" s="1">
        <f>value(AED!$B135)</f>
        <v>2462.564474</v>
      </c>
      <c r="Q135" s="1">
        <f>value(KWD!$B135)</f>
        <v>31253.97358</v>
      </c>
    </row>
    <row r="136">
      <c r="A136" s="4">
        <f>value(USD!A136)</f>
        <v>40367.99861</v>
      </c>
      <c r="B136" s="1">
        <f>value(USD!B136)</f>
        <v>9044.9</v>
      </c>
      <c r="C136" s="1">
        <f>value(AUD!$B136)</f>
        <v>7932.3773</v>
      </c>
      <c r="D136" s="1">
        <f>value(EUR!$B136)</f>
        <v>11477.07361</v>
      </c>
      <c r="E136" s="1">
        <f>value(GBP!$B136)</f>
        <v>13704.83248</v>
      </c>
      <c r="F136" s="1">
        <f>value(CHF!$B136)</f>
        <v>8613.186923</v>
      </c>
      <c r="G136" s="1">
        <f>value(SGD!$B136)</f>
        <v>6557.642949</v>
      </c>
      <c r="H136" s="1">
        <f>value(MYR!$B136)</f>
        <v>2828.159332</v>
      </c>
      <c r="I136" s="1">
        <f>value(THB!$B136)</f>
        <v>277.768879</v>
      </c>
      <c r="J136" s="1">
        <f>value(VND!$B136)</f>
        <v>0.4811514682</v>
      </c>
      <c r="K136" s="1">
        <f>value(CNY!$B136)</f>
        <v>1337.771866</v>
      </c>
      <c r="L136" s="1">
        <f>value(HKD!$B136)</f>
        <v>1161.636507</v>
      </c>
      <c r="M136" s="1">
        <f>value(TWD!$B136)</f>
        <v>282.653125</v>
      </c>
      <c r="N136" s="1">
        <f>value(JPY!$B136)</f>
        <v>102.297819</v>
      </c>
      <c r="O136" s="1">
        <f>value(SAR!$B136)</f>
        <v>2409.54308</v>
      </c>
      <c r="P136" s="1">
        <f>value(AED!$B136)</f>
        <v>2459.624066</v>
      </c>
      <c r="Q136" s="1">
        <f>value(KWD!$B136)</f>
        <v>31216.65499</v>
      </c>
    </row>
    <row r="137">
      <c r="A137" s="4">
        <f>value(USD!A137)</f>
        <v>40368.99861</v>
      </c>
      <c r="B137" s="1">
        <f>value(USD!B137)</f>
        <v>9034.1</v>
      </c>
      <c r="C137" s="1">
        <f>value(AUD!$B137)</f>
        <v>7921.09888</v>
      </c>
      <c r="D137" s="1">
        <f>value(EUR!$B137)</f>
        <v>11416.39217</v>
      </c>
      <c r="E137" s="1">
        <f>value(GBP!$B137)</f>
        <v>13587.2864</v>
      </c>
      <c r="F137" s="1">
        <f>value(CHF!$B137)</f>
        <v>8531.984722</v>
      </c>
      <c r="G137" s="1">
        <f>value(SGD!$B137)</f>
        <v>6536.532714</v>
      </c>
      <c r="H137" s="1">
        <f>value(MYR!$B137)</f>
        <v>2824.601706</v>
      </c>
      <c r="I137" s="1">
        <f>value(THB!$B137)</f>
        <v>277.527552</v>
      </c>
      <c r="J137" s="1">
        <f>value(VND!$B137)</f>
        <v>0.4818664603</v>
      </c>
      <c r="K137" s="1">
        <f>value(CNY!$B137)</f>
        <v>1323.701576</v>
      </c>
      <c r="L137" s="1">
        <f>value(HKD!$B137)</f>
        <v>1163.411398</v>
      </c>
      <c r="M137" s="1">
        <f>value(TWD!$B137)</f>
        <v>281.231533</v>
      </c>
      <c r="N137" s="1">
        <f>value(JPY!$B137)</f>
        <v>101.994989</v>
      </c>
      <c r="O137" s="1">
        <f>value(SAR!$B137)</f>
        <v>2419.420204</v>
      </c>
      <c r="P137" s="1">
        <f>value(AED!$B137)</f>
        <v>2469.969946</v>
      </c>
      <c r="Q137" s="1">
        <f>value(KWD!$B137)</f>
        <v>31494.87472</v>
      </c>
    </row>
    <row r="138">
      <c r="A138" s="4">
        <f>value(USD!A138)</f>
        <v>40371.99861</v>
      </c>
      <c r="B138" s="1">
        <f>value(USD!B138)</f>
        <v>9072.1</v>
      </c>
      <c r="C138" s="1">
        <f>value(AUD!$B138)</f>
        <v>7945.34518</v>
      </c>
      <c r="D138" s="1">
        <f>value(EUR!$B138)</f>
        <v>11419.59659</v>
      </c>
      <c r="E138" s="1">
        <f>value(GBP!$B138)</f>
        <v>13627.29213</v>
      </c>
      <c r="F138" s="1">
        <f>value(CHF!$B138)</f>
        <v>8548.186225</v>
      </c>
      <c r="G138" s="1">
        <f>value(SGD!$B138)</f>
        <v>6559.491184</v>
      </c>
      <c r="H138" s="1">
        <f>value(MYR!$B138)</f>
        <v>2832.218899</v>
      </c>
      <c r="I138" s="1">
        <f>value(THB!$B138)</f>
        <v>278.876354</v>
      </c>
      <c r="J138" s="1">
        <f>value(VND!$B138)</f>
        <v>0.4711571754</v>
      </c>
      <c r="K138" s="1">
        <f>value(CNY!$B138)</f>
        <v>1329.641684</v>
      </c>
      <c r="L138" s="1">
        <f>value(HKD!$B138)</f>
        <v>1167.397828</v>
      </c>
      <c r="M138" s="1">
        <f>value(TWD!$B138)</f>
        <v>283.04952</v>
      </c>
      <c r="N138" s="1">
        <f>value(JPY!$B138)</f>
        <v>102.333288</v>
      </c>
      <c r="O138" s="1">
        <f>value(SAR!$B138)</f>
        <v>2394.617449</v>
      </c>
      <c r="P138" s="1">
        <f>value(AED!$B138)</f>
        <v>2444.323054</v>
      </c>
      <c r="Q138" s="1">
        <f>value(KWD!$B138)</f>
        <v>30990.3282</v>
      </c>
    </row>
    <row r="139">
      <c r="A139" s="4">
        <f>value(USD!A139)</f>
        <v>40372.99861</v>
      </c>
      <c r="B139" s="1">
        <f>value(USD!B139)</f>
        <v>8977.9</v>
      </c>
      <c r="C139" s="1">
        <f>value(AUD!$B139)</f>
        <v>7931.07686</v>
      </c>
      <c r="D139" s="1">
        <f>value(EUR!$B139)</f>
        <v>11419.26034</v>
      </c>
      <c r="E139" s="1">
        <f>value(GBP!$B139)</f>
        <v>13629.61932</v>
      </c>
      <c r="F139" s="1">
        <f>value(CHF!$B139)</f>
        <v>8510.600305</v>
      </c>
      <c r="G139" s="1">
        <f>value(SGD!$B139)</f>
        <v>6526.753742</v>
      </c>
      <c r="H139" s="1">
        <f>value(MYR!$B139)</f>
        <v>2799.937673</v>
      </c>
      <c r="I139" s="1">
        <f>value(THB!$B139)</f>
        <v>275.441972</v>
      </c>
      <c r="J139" s="1">
        <f>value(VND!$B139)</f>
        <v>0.4819022168</v>
      </c>
      <c r="K139" s="1">
        <f>value(CNY!$B139)</f>
        <v>1331.841638</v>
      </c>
      <c r="L139" s="1">
        <f>value(HKD!$B139)</f>
        <v>1154.917056</v>
      </c>
      <c r="M139" s="1">
        <f>value(TWD!$B139)</f>
        <v>282.265176</v>
      </c>
      <c r="N139" s="1">
        <f>value(JPY!$B139)</f>
        <v>101.091154</v>
      </c>
      <c r="O139" s="1">
        <f>value(SAR!$B139)</f>
        <v>2404.756778</v>
      </c>
      <c r="P139" s="1">
        <f>value(AED!$B139)</f>
        <v>2455.458488</v>
      </c>
      <c r="Q139" s="1">
        <f>value(KWD!$B139)</f>
        <v>31179.93966</v>
      </c>
    </row>
    <row r="140">
      <c r="A140" s="4">
        <f>value(USD!A140)</f>
        <v>40373.99861</v>
      </c>
      <c r="B140" s="1">
        <f>value(USD!B140)</f>
        <v>9018.8</v>
      </c>
      <c r="C140" s="1">
        <f>value(AUD!$B140)</f>
        <v>7949.17032</v>
      </c>
      <c r="D140" s="1">
        <f>value(EUR!$B140)</f>
        <v>11489.86101</v>
      </c>
      <c r="E140" s="1">
        <f>value(GBP!$B140)</f>
        <v>13767.82951</v>
      </c>
      <c r="F140" s="1">
        <f>value(CHF!$B140)</f>
        <v>8571.01658</v>
      </c>
      <c r="G140" s="1">
        <f>value(SGD!$B140)</f>
        <v>6561.537752</v>
      </c>
      <c r="H140" s="1">
        <f>value(MYR!$B140)</f>
        <v>2771.116488</v>
      </c>
      <c r="I140" s="1">
        <f>value(THB!$B140)</f>
        <v>274.17152</v>
      </c>
      <c r="J140" s="1">
        <f>value(VND!$B140)</f>
        <v>0.4744041965</v>
      </c>
      <c r="K140" s="1">
        <f>value(CNY!$B140)</f>
        <v>1331.52126</v>
      </c>
      <c r="L140" s="1">
        <f>value(HKD!$B140)</f>
        <v>1160.448996</v>
      </c>
      <c r="M140" s="1">
        <f>value(TWD!$B140)</f>
        <v>281.296372</v>
      </c>
      <c r="N140" s="1">
        <f>value(JPY!$B140)</f>
        <v>102.092816</v>
      </c>
      <c r="O140" s="1">
        <f>value(SAR!$B140)</f>
        <v>2410.037528</v>
      </c>
      <c r="P140" s="1">
        <f>value(AED!$B140)</f>
        <v>2460.522524</v>
      </c>
      <c r="Q140" s="1">
        <f>value(KWD!$B140)</f>
        <v>31298.35079</v>
      </c>
    </row>
    <row r="141">
      <c r="A141" s="4">
        <f>value(USD!A141)</f>
        <v>40374.99861</v>
      </c>
      <c r="B141" s="1">
        <f>value(USD!B141)</f>
        <v>9037.4</v>
      </c>
      <c r="C141" s="1">
        <f>value(AUD!$B141)</f>
        <v>7983.729534</v>
      </c>
      <c r="D141" s="1">
        <f>value(EUR!$B141)</f>
        <v>11679.03202</v>
      </c>
      <c r="E141" s="1">
        <f>value(GBP!$B141)</f>
        <v>13951.03438</v>
      </c>
      <c r="F141" s="1">
        <f>value(CHF!$B141)</f>
        <v>8672.831284</v>
      </c>
      <c r="G141" s="1">
        <f>value(SGD!$B141)</f>
        <v>6578.413834</v>
      </c>
      <c r="H141" s="1">
        <f>value(MYR!$B141)</f>
        <v>2826.356476</v>
      </c>
      <c r="I141" s="1">
        <f>value(THB!$B141)</f>
        <v>279.25566</v>
      </c>
      <c r="J141" s="1">
        <f>value(VND!$B141)</f>
        <v>0.4816335175</v>
      </c>
      <c r="K141" s="1">
        <f>value(CNY!$B141)</f>
        <v>1337.41035</v>
      </c>
      <c r="L141" s="1">
        <f>value(HKD!$B141)</f>
        <v>1163.294128</v>
      </c>
      <c r="M141" s="1">
        <f>value(TWD!$B141)</f>
        <v>283.864734</v>
      </c>
      <c r="N141" s="1">
        <f>value(JPY!$B141)</f>
        <v>103.387856</v>
      </c>
      <c r="O141" s="1">
        <f>value(SAR!$B141)</f>
        <v>2409.130838</v>
      </c>
      <c r="P141" s="1">
        <f>value(AED!$B141)</f>
        <v>2459.59684</v>
      </c>
      <c r="Q141" s="1">
        <f>value(KWD!$B141)</f>
        <v>31200.12955</v>
      </c>
    </row>
    <row r="142">
      <c r="A142" s="4">
        <f>value(USD!A142)</f>
        <v>40375.99861</v>
      </c>
      <c r="B142" s="1">
        <f>value(USD!B142)</f>
        <v>9034</v>
      </c>
      <c r="C142" s="1">
        <f>value(AUD!$B142)</f>
        <v>7849.6426</v>
      </c>
      <c r="D142" s="1">
        <f>value(EUR!$B142)</f>
        <v>11677.3484</v>
      </c>
      <c r="E142" s="1">
        <f>value(GBP!$B142)</f>
        <v>13754.265</v>
      </c>
      <c r="F142" s="1">
        <f>value(CHF!$B142)</f>
        <v>8599.73562</v>
      </c>
      <c r="G142" s="1">
        <f>value(SGD!$B142)</f>
        <v>6560.12944</v>
      </c>
      <c r="H142" s="1">
        <f>value(MYR!$B142)</f>
        <v>2817.16256</v>
      </c>
      <c r="I142" s="1">
        <f>value(THB!$B142)</f>
        <v>278.6989</v>
      </c>
      <c r="J142" s="1">
        <f>value(VND!$B142)</f>
        <v>0.4759895098</v>
      </c>
      <c r="K142" s="1">
        <f>value(CNY!$B142)</f>
        <v>1331.343587</v>
      </c>
      <c r="L142" s="1">
        <f>value(HKD!$B142)</f>
        <v>1161.7724</v>
      </c>
      <c r="M142" s="1">
        <f>value(TWD!$B142)</f>
        <v>280.59604</v>
      </c>
      <c r="N142" s="1">
        <f>value(JPY!$B142)</f>
        <v>104.3427</v>
      </c>
      <c r="O142" s="1">
        <f>value(SAR!$B142)</f>
        <v>2421.329049</v>
      </c>
      <c r="P142" s="1">
        <f>value(AED!$B142)</f>
        <v>2471.893875</v>
      </c>
      <c r="Q142" s="1">
        <f>value(KWD!$B142)</f>
        <v>31498.69219</v>
      </c>
    </row>
    <row r="143">
      <c r="A143" s="4">
        <f>value(USD!A143)</f>
        <v>40378.99861</v>
      </c>
      <c r="B143" s="1">
        <f>value(USD!B143)</f>
        <v>9079.5</v>
      </c>
      <c r="C143" s="1">
        <f>value(AUD!$B143)</f>
        <v>7874.65035</v>
      </c>
      <c r="D143" s="1">
        <f>value(EUR!$B143)</f>
        <v>11745.87676</v>
      </c>
      <c r="E143" s="1">
        <f>value(GBP!$B143)</f>
        <v>13819.90695</v>
      </c>
      <c r="F143" s="1">
        <f>value(CHF!$B143)</f>
        <v>8602.553865</v>
      </c>
      <c r="G143" s="1">
        <f>value(SGD!$B143)</f>
        <v>6587.90361</v>
      </c>
      <c r="H143" s="1">
        <f>value(MYR!$B143)</f>
        <v>2802.47847</v>
      </c>
      <c r="I143" s="1">
        <f>value(THB!$B143)</f>
        <v>278.649855</v>
      </c>
      <c r="J143" s="1">
        <f>value(VND!$B143)</f>
        <v>0.4723125156</v>
      </c>
      <c r="K143" s="1">
        <f>value(CNY!$B143)</f>
        <v>1339.136286</v>
      </c>
      <c r="L143" s="1">
        <f>value(HKD!$B143)</f>
        <v>1167.6237</v>
      </c>
      <c r="M143" s="1">
        <f>value(TWD!$B143)</f>
        <v>282.00927</v>
      </c>
      <c r="N143" s="1">
        <f>value(JPY!$B143)</f>
        <v>104.59584</v>
      </c>
      <c r="O143" s="1">
        <f>value(SAR!$B143)</f>
        <v>2410.246137</v>
      </c>
      <c r="P143" s="1">
        <f>value(AED!$B143)</f>
        <v>2460.604202</v>
      </c>
      <c r="Q143" s="1">
        <f>value(KWD!$B143)</f>
        <v>31380.90076</v>
      </c>
    </row>
    <row r="144">
      <c r="A144" s="4">
        <f>value(USD!A144)</f>
        <v>40379.99861</v>
      </c>
      <c r="B144" s="1">
        <f>value(USD!B144)</f>
        <v>9037.7</v>
      </c>
      <c r="C144" s="1">
        <f>value(AUD!$B144)</f>
        <v>7971.2514</v>
      </c>
      <c r="D144" s="1">
        <f>value(EUR!$B144)</f>
        <v>11650.49907</v>
      </c>
      <c r="E144" s="1">
        <f>value(GBP!$B144)</f>
        <v>13815.02822</v>
      </c>
      <c r="F144" s="1">
        <f>value(CHF!$B144)</f>
        <v>8591.599128</v>
      </c>
      <c r="G144" s="1">
        <f>value(SGD!$B144)</f>
        <v>6576.73429</v>
      </c>
      <c r="H144" s="1">
        <f>value(MYR!$B144)</f>
        <v>2807.199997</v>
      </c>
      <c r="I144" s="1">
        <f>value(THB!$B144)</f>
        <v>277.638144</v>
      </c>
      <c r="J144" s="1">
        <f>value(VND!$B144)</f>
        <v>0.4840059614</v>
      </c>
      <c r="K144" s="1">
        <f>value(CNY!$B144)</f>
        <v>1325.21706</v>
      </c>
      <c r="L144" s="1">
        <f>value(HKD!$B144)</f>
        <v>1162.338597</v>
      </c>
      <c r="M144" s="1">
        <f>value(TWD!$B144)</f>
        <v>280.891716</v>
      </c>
      <c r="N144" s="1">
        <f>value(JPY!$B144)</f>
        <v>103.572042</v>
      </c>
      <c r="O144" s="1">
        <f>value(SAR!$B144)</f>
        <v>2424.159939</v>
      </c>
      <c r="P144" s="1">
        <f>value(AED!$B144)</f>
        <v>2474.370414</v>
      </c>
      <c r="Q144" s="1">
        <f>value(KWD!$B144)</f>
        <v>31664.63245</v>
      </c>
    </row>
    <row r="145">
      <c r="A145" s="4">
        <f>value(USD!A145)</f>
        <v>40380.99861</v>
      </c>
      <c r="B145" s="1">
        <f>value(USD!B145)</f>
        <v>9090.6</v>
      </c>
      <c r="C145" s="1">
        <f>value(AUD!$B145)</f>
        <v>7964.27466</v>
      </c>
      <c r="D145" s="1">
        <f>value(EUR!$B145)</f>
        <v>11605.24177</v>
      </c>
      <c r="E145" s="1">
        <f>value(GBP!$B145)</f>
        <v>13800.16714</v>
      </c>
      <c r="F145" s="1">
        <f>value(CHF!$B145)</f>
        <v>8654.70573</v>
      </c>
      <c r="G145" s="1">
        <f>value(SGD!$B145)</f>
        <v>6590.23047</v>
      </c>
      <c r="H145" s="1">
        <f>value(MYR!$B145)</f>
        <v>2812.813452</v>
      </c>
      <c r="I145" s="1">
        <f>value(THB!$B145)</f>
        <v>278.445078</v>
      </c>
      <c r="J145" s="1">
        <f>value(VND!$B145)</f>
        <v>0.4787896524</v>
      </c>
      <c r="K145" s="1">
        <f>value(CNY!$B145)</f>
        <v>1322.295975</v>
      </c>
      <c r="L145" s="1">
        <f>value(HKD!$B145)</f>
        <v>1168.960254</v>
      </c>
      <c r="M145" s="1">
        <f>value(TWD!$B145)</f>
        <v>282.081318</v>
      </c>
      <c r="N145" s="1">
        <f>value(JPY!$B145)</f>
        <v>104.632806</v>
      </c>
      <c r="O145" s="1">
        <f>value(SAR!$B145)</f>
        <v>2398.927856</v>
      </c>
      <c r="P145" s="1">
        <f>value(AED!$B145)</f>
        <v>2449.11483</v>
      </c>
      <c r="Q145" s="1">
        <f>value(KWD!$B145)</f>
        <v>31180.23808</v>
      </c>
    </row>
    <row r="146">
      <c r="A146" s="4">
        <f>value(USD!A146)</f>
        <v>40381.99861</v>
      </c>
      <c r="B146" s="1">
        <f>value(USD!B146)</f>
        <v>8995.5</v>
      </c>
      <c r="C146" s="1">
        <f>value(AUD!$B146)</f>
        <v>8042.87655</v>
      </c>
      <c r="D146" s="1">
        <f>value(EUR!$B146)</f>
        <v>11604.28495</v>
      </c>
      <c r="E146" s="1">
        <f>value(GBP!$B146)</f>
        <v>13735.09401</v>
      </c>
      <c r="F146" s="1">
        <f>value(CHF!$B146)</f>
        <v>8626.14477</v>
      </c>
      <c r="G146" s="1">
        <f>value(SGD!$B146)</f>
        <v>6555.02085</v>
      </c>
      <c r="H146" s="1">
        <f>value(MYR!$B146)</f>
        <v>2802.81789</v>
      </c>
      <c r="I146" s="1">
        <f>value(THB!$B146)</f>
        <v>276.971445</v>
      </c>
      <c r="J146" s="1">
        <f>value(VND!$B146)</f>
        <v>0.4706421966</v>
      </c>
      <c r="K146" s="1">
        <f>value(CNY!$B146)</f>
        <v>1313.310488</v>
      </c>
      <c r="L146" s="1">
        <f>value(HKD!$B146)</f>
        <v>1157.00121</v>
      </c>
      <c r="M146" s="1">
        <f>value(TWD!$B146)</f>
        <v>280.6596</v>
      </c>
      <c r="N146" s="1">
        <f>value(JPY!$B146)</f>
        <v>103.178385</v>
      </c>
      <c r="O146" s="1">
        <f>value(SAR!$B146)</f>
        <v>2394.06377</v>
      </c>
      <c r="P146" s="1">
        <f>value(AED!$B146)</f>
        <v>2443.585725</v>
      </c>
      <c r="Q146" s="1">
        <f>value(KWD!$B146)</f>
        <v>31439.3217</v>
      </c>
    </row>
    <row r="147">
      <c r="A147" s="4">
        <f>value(USD!A147)</f>
        <v>40382.99861</v>
      </c>
      <c r="B147" s="1">
        <f>value(USD!B147)</f>
        <v>8977.5</v>
      </c>
      <c r="C147" s="1">
        <f>value(AUD!$B147)</f>
        <v>8034.8625</v>
      </c>
      <c r="D147" s="1">
        <f>value(EUR!$B147)</f>
        <v>11581.87275</v>
      </c>
      <c r="E147" s="1">
        <f>value(GBP!$B147)</f>
        <v>13850.487</v>
      </c>
      <c r="F147" s="1">
        <f>value(CHF!$B147)</f>
        <v>8512.1064</v>
      </c>
      <c r="G147" s="1">
        <f>value(SGD!$B147)</f>
        <v>6548.637375</v>
      </c>
      <c r="H147" s="1">
        <f>value(MYR!$B147)</f>
        <v>2815.074675</v>
      </c>
      <c r="I147" s="1">
        <f>value(THB!$B147)</f>
        <v>277.674075</v>
      </c>
      <c r="J147" s="1">
        <f>value(VND!$B147)</f>
        <v>0.4674757484</v>
      </c>
      <c r="K147" s="1">
        <f>value(CNY!$B147)</f>
        <v>1314.463527</v>
      </c>
      <c r="L147" s="1">
        <f>value(HKD!$B147)</f>
        <v>1155.76335</v>
      </c>
      <c r="M147" s="1">
        <f>value(TWD!$B147)</f>
        <v>279.110475</v>
      </c>
      <c r="N147" s="1">
        <f>value(JPY!$B147)</f>
        <v>102.612825</v>
      </c>
      <c r="O147" s="1">
        <f>value(SAR!$B147)</f>
        <v>2378.020075</v>
      </c>
      <c r="P147" s="1">
        <f>value(AED!$B147)</f>
        <v>2427.769646</v>
      </c>
      <c r="Q147" s="1">
        <f>value(KWD!$B147)</f>
        <v>31120.99109</v>
      </c>
    </row>
    <row r="148">
      <c r="A148" s="4">
        <f>value(USD!A148)</f>
        <v>40385.99861</v>
      </c>
      <c r="B148" s="1">
        <f>value(USD!B148)</f>
        <v>8917.1</v>
      </c>
      <c r="C148" s="1">
        <f>value(AUD!$B148)</f>
        <v>8039.65736</v>
      </c>
      <c r="D148" s="1">
        <f>value(EUR!$B148)</f>
        <v>11588.66316</v>
      </c>
      <c r="E148" s="1">
        <f>value(GBP!$B148)</f>
        <v>13809.91277</v>
      </c>
      <c r="F148" s="1">
        <f>value(CHF!$B148)</f>
        <v>8503.524902</v>
      </c>
      <c r="G148" s="1">
        <f>value(SGD!$B148)</f>
        <v>6548.539898</v>
      </c>
      <c r="H148" s="1">
        <f>value(MYR!$B148)</f>
        <v>2789.358051</v>
      </c>
      <c r="I148" s="1">
        <f>value(THB!$B148)</f>
        <v>275.360048</v>
      </c>
      <c r="J148" s="1">
        <f>value(VND!$B148)</f>
        <v>0.4750239574</v>
      </c>
      <c r="K148" s="1">
        <f>value(CNY!$B148)</f>
        <v>1329.47275</v>
      </c>
      <c r="L148" s="1">
        <f>value(HKD!$B148)</f>
        <v>1148.076625</v>
      </c>
      <c r="M148" s="1">
        <f>value(TWD!$B148)</f>
        <v>279.729427</v>
      </c>
      <c r="N148" s="1">
        <f>value(JPY!$B148)</f>
        <v>102.457479</v>
      </c>
      <c r="O148" s="1">
        <f>value(SAR!$B148)</f>
        <v>2379.427101</v>
      </c>
      <c r="P148" s="1">
        <f>value(AED!$B148)</f>
        <v>2428.451961</v>
      </c>
      <c r="Q148" s="1">
        <f>value(KWD!$B148)</f>
        <v>31160.58333</v>
      </c>
    </row>
    <row r="149">
      <c r="A149" s="4">
        <f>value(USD!A149)</f>
        <v>40386.99861</v>
      </c>
      <c r="B149" s="1">
        <f>value(USD!B149)</f>
        <v>8921.9</v>
      </c>
      <c r="C149" s="1">
        <f>value(AUD!$B149)</f>
        <v>8036.84752</v>
      </c>
      <c r="D149" s="1">
        <f>value(EUR!$B149)</f>
        <v>11588.65591</v>
      </c>
      <c r="E149" s="1">
        <f>value(GBP!$B149)</f>
        <v>13904.78115</v>
      </c>
      <c r="F149" s="1">
        <f>value(CHF!$B149)</f>
        <v>8406.749494</v>
      </c>
      <c r="G149" s="1">
        <f>value(SGD!$B149)</f>
        <v>6546.711782</v>
      </c>
      <c r="H149" s="1">
        <f>value(MYR!$B149)</f>
        <v>2800.852067</v>
      </c>
      <c r="I149" s="1">
        <f>value(THB!$B149)</f>
        <v>275.597491</v>
      </c>
      <c r="J149" s="1">
        <f>value(VND!$B149)</f>
        <v>0.4737532779</v>
      </c>
      <c r="K149" s="1">
        <f>value(CNY!$B149)</f>
        <v>1321.728204</v>
      </c>
      <c r="L149" s="1">
        <f>value(HKD!$B149)</f>
        <v>1148.516187</v>
      </c>
      <c r="M149" s="1">
        <f>value(TWD!$B149)</f>
        <v>278.452499</v>
      </c>
      <c r="N149" s="1">
        <f>value(JPY!$B149)</f>
        <v>101.531222</v>
      </c>
      <c r="O149" s="1">
        <f>value(SAR!$B149)</f>
        <v>2406.8592</v>
      </c>
      <c r="P149" s="1">
        <f>value(AED!$B149)</f>
        <v>2457.05625</v>
      </c>
      <c r="Q149" s="1">
        <f>value(KWD!$B149)</f>
        <v>31385.8454</v>
      </c>
    </row>
    <row r="150">
      <c r="A150" s="4">
        <f>value(USD!A150)</f>
        <v>40387.99861</v>
      </c>
      <c r="B150" s="1">
        <f>value(USD!B150)</f>
        <v>9025</v>
      </c>
      <c r="C150" s="1">
        <f>value(AUD!$B150)</f>
        <v>8051.2025</v>
      </c>
      <c r="D150" s="1">
        <f>value(EUR!$B150)</f>
        <v>11724.3775</v>
      </c>
      <c r="E150" s="1">
        <f>value(GBP!$B150)</f>
        <v>14069.975</v>
      </c>
      <c r="F150" s="1">
        <f>value(CHF!$B150)</f>
        <v>8537.4695</v>
      </c>
      <c r="G150" s="1">
        <f>value(SGD!$B150)</f>
        <v>6597.18475</v>
      </c>
      <c r="H150" s="1">
        <f>value(MYR!$B150)</f>
        <v>2821.66625</v>
      </c>
      <c r="I150" s="1">
        <f>value(THB!$B150)</f>
        <v>277.87975</v>
      </c>
      <c r="J150" s="1">
        <f>value(VND!$B150)</f>
        <v>0.4707740738</v>
      </c>
      <c r="K150" s="1">
        <f>value(CNY!$B150)</f>
        <v>1315.160168</v>
      </c>
      <c r="L150" s="1">
        <f>value(HKD!$B150)</f>
        <v>1161.78825</v>
      </c>
      <c r="M150" s="1">
        <f>value(TWD!$B150)</f>
        <v>281.85075</v>
      </c>
      <c r="N150" s="1">
        <f>value(JPY!$B150)</f>
        <v>103.15575</v>
      </c>
      <c r="O150" s="1">
        <f>value(SAR!$B150)</f>
        <v>2392.351372</v>
      </c>
      <c r="P150" s="1">
        <f>value(AED!$B150)</f>
        <v>2442.335556</v>
      </c>
      <c r="Q150" s="1">
        <f>value(KWD!$B150)</f>
        <v>31360.24877</v>
      </c>
    </row>
    <row r="151">
      <c r="A151" s="4">
        <f>value(USD!A151)</f>
        <v>40388.99861</v>
      </c>
      <c r="B151" s="1">
        <f>value(USD!B151)</f>
        <v>8970.6</v>
      </c>
      <c r="C151" s="1">
        <f>value(AUD!$B151)</f>
        <v>8087.89296</v>
      </c>
      <c r="D151" s="1">
        <f>value(EUR!$B151)</f>
        <v>11729.86685</v>
      </c>
      <c r="E151" s="1">
        <f>value(GBP!$B151)</f>
        <v>14001.31248</v>
      </c>
      <c r="F151" s="1">
        <f>value(CHF!$B151)</f>
        <v>8620.477482</v>
      </c>
      <c r="G151" s="1">
        <f>value(SGD!$B151)</f>
        <v>6577.69245</v>
      </c>
      <c r="H151" s="1">
        <f>value(MYR!$B151)</f>
        <v>2811.027216</v>
      </c>
      <c r="I151" s="1">
        <f>value(THB!$B151)</f>
        <v>276.653304</v>
      </c>
      <c r="J151" s="1">
        <f>value(VND!$B151)</f>
        <v>0.4679391634</v>
      </c>
      <c r="K151" s="1">
        <f>value(CNY!$B151)</f>
        <v>1301.80732</v>
      </c>
      <c r="L151" s="1">
        <f>value(HKD!$B151)</f>
        <v>1154.875044</v>
      </c>
      <c r="M151" s="1">
        <f>value(TWD!$B151)</f>
        <v>280.420956</v>
      </c>
      <c r="N151" s="1">
        <f>value(JPY!$B151)</f>
        <v>103.431018</v>
      </c>
      <c r="O151" s="1">
        <f>value(SAR!$B151)</f>
        <v>2379.817036</v>
      </c>
      <c r="P151" s="1">
        <f>value(AED!$B151)</f>
        <v>2429.539336</v>
      </c>
      <c r="Q151" s="1">
        <f>value(KWD!$B151)</f>
        <v>31049.40741</v>
      </c>
    </row>
    <row r="152">
      <c r="A152" s="4">
        <f>value(USD!A152)</f>
        <v>40389.99861</v>
      </c>
      <c r="B152" s="1">
        <f>value(USD!B152)</f>
        <v>8923.6</v>
      </c>
      <c r="C152" s="1">
        <f>value(AUD!$B152)</f>
        <v>8065.14968</v>
      </c>
      <c r="D152" s="1">
        <f>value(EUR!$B152)</f>
        <v>11644.40564</v>
      </c>
      <c r="E152" s="1">
        <f>value(GBP!$B152)</f>
        <v>13840.5036</v>
      </c>
      <c r="F152" s="1">
        <f>value(CHF!$B152)</f>
        <v>8565.228224</v>
      </c>
      <c r="G152" s="1">
        <f>value(SGD!$B152)</f>
        <v>6560.898428</v>
      </c>
      <c r="H152" s="1">
        <f>value(MYR!$B152)</f>
        <v>2796.388532</v>
      </c>
      <c r="I152" s="1">
        <f>value(THB!$B152)</f>
        <v>274.222228</v>
      </c>
      <c r="J152" s="1">
        <f>value(VND!$B152)</f>
        <v>0.4705525015</v>
      </c>
      <c r="K152" s="1">
        <f>value(CNY!$B152)</f>
        <v>1296.957403</v>
      </c>
      <c r="L152" s="1">
        <f>value(HKD!$B152)</f>
        <v>1148.824264</v>
      </c>
      <c r="M152" s="1">
        <f>value(TWD!$B152)</f>
        <v>279.75486</v>
      </c>
      <c r="N152" s="1">
        <f>value(JPY!$B152)</f>
        <v>103.246052</v>
      </c>
      <c r="O152" s="1">
        <f>value(SAR!$B152)</f>
        <v>2355.397872</v>
      </c>
      <c r="P152" s="1">
        <f>value(AED!$B152)</f>
        <v>2404.45755</v>
      </c>
      <c r="Q152" s="1">
        <f>value(KWD!$B152)</f>
        <v>30967.03748</v>
      </c>
    </row>
    <row r="153">
      <c r="A153" s="4">
        <f>value(USD!A153)</f>
        <v>40392.99861</v>
      </c>
      <c r="B153" s="1">
        <f>value(USD!B153)</f>
        <v>8831.8</v>
      </c>
      <c r="C153" s="1">
        <f>value(AUD!$B153)</f>
        <v>8059.0175</v>
      </c>
      <c r="D153" s="1">
        <f>value(EUR!$B153)</f>
        <v>11634.13014</v>
      </c>
      <c r="E153" s="1">
        <f>value(GBP!$B153)</f>
        <v>14030.19748</v>
      </c>
      <c r="F153" s="1">
        <f>value(CHF!$B153)</f>
        <v>8496.279918</v>
      </c>
      <c r="G153" s="1">
        <f>value(SGD!$B153)</f>
        <v>6546.041842</v>
      </c>
      <c r="H153" s="1">
        <f>value(MYR!$B153)</f>
        <v>2790.760482</v>
      </c>
      <c r="I153" s="1">
        <f>value(THB!$B153)</f>
        <v>272.372712</v>
      </c>
      <c r="J153" s="1">
        <f>value(VND!$B153)</f>
        <v>0.4618530155</v>
      </c>
      <c r="K153" s="1">
        <f>value(CNY!$B153)</f>
        <v>1318.46649</v>
      </c>
      <c r="L153" s="1">
        <f>value(HKD!$B153)</f>
        <v>1137.359204</v>
      </c>
      <c r="M153" s="1">
        <f>value(TWD!$B153)</f>
        <v>279.96806</v>
      </c>
      <c r="N153" s="1">
        <f>value(JPY!$B153)</f>
        <v>101.918972</v>
      </c>
      <c r="O153" s="1">
        <f>value(SAR!$B153)</f>
        <v>2346.40103</v>
      </c>
      <c r="P153" s="1">
        <f>value(AED!$B153)</f>
        <v>2394.809277</v>
      </c>
      <c r="Q153" s="1">
        <f>value(KWD!$B153)</f>
        <v>30872.31087</v>
      </c>
    </row>
    <row r="154">
      <c r="A154" s="4">
        <f>value(USD!A154)</f>
        <v>40393.99861</v>
      </c>
      <c r="B154" s="1">
        <f>value(USD!B154)</f>
        <v>8798.3</v>
      </c>
      <c r="C154" s="1">
        <f>value(AUD!$B154)</f>
        <v>8031.880087</v>
      </c>
      <c r="D154" s="1">
        <f>value(EUR!$B154)</f>
        <v>11633.99209</v>
      </c>
      <c r="E154" s="1">
        <f>value(GBP!$B154)</f>
        <v>14027.12969</v>
      </c>
      <c r="F154" s="1">
        <f>value(CHF!$B154)</f>
        <v>8461.237127</v>
      </c>
      <c r="G154" s="1">
        <f>value(SGD!$B154)</f>
        <v>6515.845014</v>
      </c>
      <c r="H154" s="1">
        <f>value(MYR!$B154)</f>
        <v>2780.086834</v>
      </c>
      <c r="I154" s="1">
        <f>value(THB!$B154)</f>
        <v>271.427555</v>
      </c>
      <c r="J154" s="1">
        <f>value(VND!$B154)</f>
        <v>0.4705603772</v>
      </c>
      <c r="K154" s="1">
        <f>value(CNY!$B154)</f>
        <v>1316.434404</v>
      </c>
      <c r="L154" s="1">
        <f>value(HKD!$B154)</f>
        <v>1133.660955</v>
      </c>
      <c r="M154" s="1">
        <f>value(TWD!$B154)</f>
        <v>276.442586</v>
      </c>
      <c r="N154" s="1">
        <f>value(JPY!$B154)</f>
        <v>102.500195</v>
      </c>
      <c r="O154" s="1">
        <f>value(SAR!$B154)</f>
        <v>2384.79994</v>
      </c>
      <c r="P154" s="1">
        <f>value(AED!$B154)</f>
        <v>2434.82118</v>
      </c>
      <c r="Q154" s="1">
        <f>value(KWD!$B154)</f>
        <v>31241.9144</v>
      </c>
    </row>
    <row r="155">
      <c r="A155" s="4">
        <f>value(USD!A155)</f>
        <v>40394.99861</v>
      </c>
      <c r="B155" s="1">
        <f>value(USD!B155)</f>
        <v>8943</v>
      </c>
      <c r="C155" s="1">
        <f>value(AUD!$B155)</f>
        <v>8193.5766</v>
      </c>
      <c r="D155" s="1">
        <f>value(EUR!$B155)</f>
        <v>11765.4108</v>
      </c>
      <c r="E155" s="1">
        <f>value(GBP!$B155)</f>
        <v>14208.6384</v>
      </c>
      <c r="F155" s="1">
        <f>value(CHF!$B155)</f>
        <v>8489.50047</v>
      </c>
      <c r="G155" s="1">
        <f>value(SGD!$B155)</f>
        <v>6611.20218</v>
      </c>
      <c r="H155" s="1">
        <f>value(MYR!$B155)</f>
        <v>2818.65474</v>
      </c>
      <c r="I155" s="1">
        <f>value(THB!$B155)</f>
        <v>276.3387</v>
      </c>
      <c r="J155" s="1">
        <f>value(VND!$B155)</f>
        <v>0.4749880216</v>
      </c>
      <c r="K155" s="1">
        <f>value(CNY!$B155)</f>
        <v>1307.85345</v>
      </c>
      <c r="L155" s="1">
        <f>value(HKD!$B155)</f>
        <v>1151.67954</v>
      </c>
      <c r="M155" s="1">
        <f>value(TWD!$B155)</f>
        <v>279.55818</v>
      </c>
      <c r="N155" s="1">
        <f>value(JPY!$B155)</f>
        <v>103.55994</v>
      </c>
      <c r="O155" s="1">
        <f>value(SAR!$B155)</f>
        <v>2380.830451</v>
      </c>
      <c r="P155" s="1">
        <f>value(AED!$B155)</f>
        <v>2429.859732</v>
      </c>
      <c r="Q155" s="1">
        <f>value(KWD!$B155)</f>
        <v>31300.04468</v>
      </c>
    </row>
    <row r="156">
      <c r="A156" s="4">
        <f>value(USD!A156)</f>
        <v>40395.99861</v>
      </c>
      <c r="B156" s="1">
        <f>value(USD!B156)</f>
        <v>8927.4</v>
      </c>
      <c r="C156" s="1">
        <f>value(AUD!$B156)</f>
        <v>8167.946082</v>
      </c>
      <c r="D156" s="1">
        <f>value(EUR!$B156)</f>
        <v>11764.52772</v>
      </c>
      <c r="E156" s="1">
        <f>value(GBP!$B156)</f>
        <v>14183.85312</v>
      </c>
      <c r="F156" s="1">
        <f>value(CHF!$B156)</f>
        <v>8530.1307</v>
      </c>
      <c r="G156" s="1">
        <f>value(SGD!$B156)</f>
        <v>6593.866914</v>
      </c>
      <c r="H156" s="1">
        <f>value(MYR!$B156)</f>
        <v>2829.9858</v>
      </c>
      <c r="I156" s="1">
        <f>value(THB!$B156)</f>
        <v>277.19577</v>
      </c>
      <c r="J156" s="1">
        <f>value(VND!$B156)</f>
        <v>0.465843401</v>
      </c>
      <c r="K156" s="1">
        <f>value(CNY!$B156)</f>
        <v>1318.908517</v>
      </c>
      <c r="L156" s="1">
        <f>value(HKD!$B156)</f>
        <v>1149.84912</v>
      </c>
      <c r="M156" s="1">
        <f>value(TWD!$B156)</f>
        <v>280.141812</v>
      </c>
      <c r="N156" s="1">
        <f>value(JPY!$B156)</f>
        <v>104.00421</v>
      </c>
      <c r="O156" s="1">
        <f>value(SAR!$B156)</f>
        <v>2364.18912</v>
      </c>
      <c r="P156" s="1">
        <f>value(AED!$B156)</f>
        <v>2413.49625</v>
      </c>
      <c r="Q156" s="1">
        <f>value(KWD!$B156)</f>
        <v>30996.49909</v>
      </c>
    </row>
    <row r="157">
      <c r="A157" s="4">
        <f>value(USD!A157)</f>
        <v>40396.99861</v>
      </c>
      <c r="B157" s="1">
        <f>value(USD!B157)</f>
        <v>8865</v>
      </c>
      <c r="C157" s="1">
        <f>value(AUD!$B157)</f>
        <v>8138.9565</v>
      </c>
      <c r="D157" s="1">
        <f>value(EUR!$B157)</f>
        <v>11772.72</v>
      </c>
      <c r="E157" s="1">
        <f>value(GBP!$B157)</f>
        <v>14130.81</v>
      </c>
      <c r="F157" s="1">
        <f>value(CHF!$B157)</f>
        <v>8531.3214</v>
      </c>
      <c r="G157" s="1">
        <f>value(SGD!$B157)</f>
        <v>6579.86895</v>
      </c>
      <c r="H157" s="1">
        <f>value(MYR!$B157)</f>
        <v>2812.6872</v>
      </c>
      <c r="I157" s="1">
        <f>value(THB!$B157)</f>
        <v>275.08095</v>
      </c>
      <c r="J157" s="1">
        <f>value(VND!$B157)</f>
        <v>0.4690971099</v>
      </c>
      <c r="K157" s="1">
        <f>value(CNY!$B157)</f>
        <v>1309.370059</v>
      </c>
      <c r="L157" s="1">
        <f>value(HKD!$B157)</f>
        <v>1141.90065</v>
      </c>
      <c r="M157" s="1">
        <f>value(TWD!$B157)</f>
        <v>281.81835</v>
      </c>
      <c r="N157" s="1">
        <f>value(JPY!$B157)</f>
        <v>103.63185</v>
      </c>
      <c r="O157" s="1">
        <f>value(SAR!$B157)</f>
        <v>2383.140347</v>
      </c>
      <c r="P157" s="1">
        <f>value(AED!$B157)</f>
        <v>2432.282134</v>
      </c>
      <c r="Q157" s="1">
        <f>value(KWD!$B157)</f>
        <v>31409.43234</v>
      </c>
    </row>
    <row r="158">
      <c r="A158" s="4">
        <f>value(USD!A158)</f>
        <v>40399.99861</v>
      </c>
      <c r="B158" s="1">
        <f>value(USD!B158)</f>
        <v>8936.3</v>
      </c>
      <c r="C158" s="1">
        <f>value(AUD!$B158)</f>
        <v>8182.07628</v>
      </c>
      <c r="D158" s="1">
        <f>value(EUR!$B158)</f>
        <v>11822.7249</v>
      </c>
      <c r="E158" s="1">
        <f>value(GBP!$B158)</f>
        <v>14210.50426</v>
      </c>
      <c r="F158" s="1">
        <f>value(CHF!$B158)</f>
        <v>8521.834406</v>
      </c>
      <c r="G158" s="1">
        <f>value(SGD!$B158)</f>
        <v>6625.37282</v>
      </c>
      <c r="H158" s="1">
        <f>value(MYR!$B158)</f>
        <v>2838.526332</v>
      </c>
      <c r="I158" s="1">
        <f>value(THB!$B158)</f>
        <v>277.561478</v>
      </c>
      <c r="J158" s="1">
        <f>value(VND!$B158)</f>
        <v>0.4663323641</v>
      </c>
      <c r="K158" s="1">
        <f>value(CNY!$B158)</f>
        <v>1327.633424</v>
      </c>
      <c r="L158" s="1">
        <f>value(HKD!$B158)</f>
        <v>1151.174166</v>
      </c>
      <c r="M158" s="1">
        <f>value(TWD!$B158)</f>
        <v>281.582813</v>
      </c>
      <c r="N158" s="1">
        <f>value(JPY!$B158)</f>
        <v>104.018532</v>
      </c>
      <c r="O158" s="1">
        <f>value(SAR!$B158)</f>
        <v>2368.536134</v>
      </c>
      <c r="P158" s="1">
        <f>value(AED!$B158)</f>
        <v>2417.933925</v>
      </c>
      <c r="Q158" s="1">
        <f>value(KWD!$B158)</f>
        <v>30993.88968</v>
      </c>
    </row>
    <row r="159">
      <c r="A159" s="4">
        <f>value(USD!A159)</f>
        <v>40400.99861</v>
      </c>
      <c r="B159" s="1">
        <f>value(USD!B159)</f>
        <v>8881.3</v>
      </c>
      <c r="C159" s="1">
        <f>value(AUD!$B159)</f>
        <v>8109.51503</v>
      </c>
      <c r="D159" s="1">
        <f>value(EUR!$B159)</f>
        <v>11709.90523</v>
      </c>
      <c r="E159" s="1">
        <f>value(GBP!$B159)</f>
        <v>14081.30115</v>
      </c>
      <c r="F159" s="1">
        <f>value(CHF!$B159)</f>
        <v>8472.493761</v>
      </c>
      <c r="G159" s="1">
        <f>value(SGD!$B159)</f>
        <v>6560.261058</v>
      </c>
      <c r="H159" s="1">
        <f>value(MYR!$B159)</f>
        <v>2829.670993</v>
      </c>
      <c r="I159" s="1">
        <f>value(THB!$B159)</f>
        <v>277.895877</v>
      </c>
      <c r="J159" s="1">
        <f>value(VND!$B159)</f>
        <v>0.4727769</v>
      </c>
      <c r="K159" s="1">
        <f>value(CNY!$B159)</f>
        <v>1328.326986</v>
      </c>
      <c r="L159" s="1">
        <f>value(HKD!$B159)</f>
        <v>1143.91144</v>
      </c>
      <c r="M159" s="1">
        <f>value(TWD!$B159)</f>
        <v>280.116202</v>
      </c>
      <c r="N159" s="1">
        <f>value(JPY!$B159)</f>
        <v>104.000023</v>
      </c>
      <c r="O159" s="1">
        <f>value(SAR!$B159)</f>
        <v>2401.898803</v>
      </c>
      <c r="P159" s="1">
        <f>value(AED!$B159)</f>
        <v>2451.9924</v>
      </c>
      <c r="Q159" s="1">
        <f>value(KWD!$B159)</f>
        <v>31375.71276</v>
      </c>
    </row>
    <row r="160">
      <c r="A160" s="4">
        <f>value(USD!A160)</f>
        <v>40401.99861</v>
      </c>
      <c r="B160" s="1">
        <f>value(USD!B160)</f>
        <v>9006.4</v>
      </c>
      <c r="C160" s="1">
        <f>value(AUD!$B160)</f>
        <v>8051.7216</v>
      </c>
      <c r="D160" s="1">
        <f>value(EUR!$B160)</f>
        <v>11563.31696</v>
      </c>
      <c r="E160" s="1">
        <f>value(GBP!$B160)</f>
        <v>14074.30128</v>
      </c>
      <c r="F160" s="1">
        <f>value(CHF!$B160)</f>
        <v>8493.665648</v>
      </c>
      <c r="G160" s="1">
        <f>value(SGD!$B160)</f>
        <v>6589.442496</v>
      </c>
      <c r="H160" s="1">
        <f>value(MYR!$B160)</f>
        <v>2823.95672</v>
      </c>
      <c r="I160" s="1">
        <f>value(THB!$B160)</f>
        <v>278.838144</v>
      </c>
      <c r="J160" s="1">
        <f>value(VND!$B160)</f>
        <v>0.4739196572</v>
      </c>
      <c r="K160" s="1">
        <f>value(CNY!$B160)</f>
        <v>1317.653547</v>
      </c>
      <c r="L160" s="1">
        <f>value(HKD!$B160)</f>
        <v>1159.574</v>
      </c>
      <c r="M160" s="1">
        <f>value(TWD!$B160)</f>
        <v>279.378528</v>
      </c>
      <c r="N160" s="1">
        <f>value(JPY!$B160)</f>
        <v>105.735136</v>
      </c>
      <c r="O160" s="1">
        <f>value(SAR!$B160)</f>
        <v>2407.07255</v>
      </c>
      <c r="P160" s="1">
        <f>value(AED!$B160)</f>
        <v>2456.642244</v>
      </c>
      <c r="Q160" s="1">
        <f>value(KWD!$B160)</f>
        <v>31421.40923</v>
      </c>
    </row>
    <row r="161">
      <c r="A161" s="4">
        <f>value(USD!A161)</f>
        <v>40402.99861</v>
      </c>
      <c r="B161" s="1">
        <f>value(USD!B161)</f>
        <v>9025.8</v>
      </c>
      <c r="C161" s="1">
        <f>value(AUD!$B161)</f>
        <v>8097.94776</v>
      </c>
      <c r="D161" s="1">
        <f>value(EUR!$B161)</f>
        <v>11579.46959</v>
      </c>
      <c r="E161" s="1">
        <f>value(GBP!$B161)</f>
        <v>14064.81388</v>
      </c>
      <c r="F161" s="1">
        <f>value(CHF!$B161)</f>
        <v>8595.991404</v>
      </c>
      <c r="G161" s="1">
        <f>value(SGD!$B161)</f>
        <v>6626.832618</v>
      </c>
      <c r="H161" s="1">
        <f>value(MYR!$B161)</f>
        <v>2823.360498</v>
      </c>
      <c r="I161" s="1">
        <f>value(THB!$B161)</f>
        <v>280.070574</v>
      </c>
      <c r="J161" s="1">
        <f>value(VND!$B161)</f>
        <v>0.4707559026</v>
      </c>
      <c r="K161" s="1">
        <f>value(CNY!$B161)</f>
        <v>1309.552975</v>
      </c>
      <c r="L161" s="1">
        <f>value(HKD!$B161)</f>
        <v>1161.62046</v>
      </c>
      <c r="M161" s="1">
        <f>value(TWD!$B161)</f>
        <v>282.417282</v>
      </c>
      <c r="N161" s="1">
        <f>value(JPY!$B161)</f>
        <v>104.879796</v>
      </c>
      <c r="O161" s="1">
        <f>value(SAR!$B161)</f>
        <v>2391.567463</v>
      </c>
      <c r="P161" s="1">
        <f>value(AED!$B161)</f>
        <v>2441.421096</v>
      </c>
      <c r="Q161" s="1">
        <f>value(KWD!$B161)</f>
        <v>31321.2427</v>
      </c>
    </row>
    <row r="162">
      <c r="A162" s="4">
        <f>value(USD!A162)</f>
        <v>40403.99861</v>
      </c>
      <c r="B162" s="1">
        <f>value(USD!B162)</f>
        <v>8967.9</v>
      </c>
      <c r="C162" s="1">
        <f>value(AUD!$B162)</f>
        <v>8002.05717</v>
      </c>
      <c r="D162" s="1">
        <f>value(EUR!$B162)</f>
        <v>11434.0725</v>
      </c>
      <c r="E162" s="1">
        <f>value(GBP!$B162)</f>
        <v>13980.05931</v>
      </c>
      <c r="F162" s="1">
        <f>value(CHF!$B162)</f>
        <v>8518.966926</v>
      </c>
      <c r="G162" s="1">
        <f>value(SGD!$B162)</f>
        <v>6577.595934</v>
      </c>
      <c r="H162" s="1">
        <f>value(MYR!$B162)</f>
        <v>2823.902031</v>
      </c>
      <c r="I162" s="1">
        <f>value(THB!$B162)</f>
        <v>278.991369</v>
      </c>
      <c r="J162" s="1">
        <f>value(VND!$B162)</f>
        <v>0.4753222458</v>
      </c>
      <c r="K162" s="1">
        <f>value(CNY!$B162)</f>
        <v>1305.213584</v>
      </c>
      <c r="L162" s="1">
        <f>value(HKD!$B162)</f>
        <v>1153.720335</v>
      </c>
      <c r="M162" s="1">
        <f>value(TWD!$B162)</f>
        <v>279.977838</v>
      </c>
      <c r="N162" s="1">
        <f>value(JPY!$B162)</f>
        <v>103.937961</v>
      </c>
      <c r="O162" s="1">
        <f>value(SAR!$B162)</f>
        <v>2379.843705</v>
      </c>
      <c r="P162" s="1">
        <f>value(AED!$B162)</f>
        <v>2428.941903</v>
      </c>
      <c r="Q162" s="1">
        <f>value(KWD!$B162)</f>
        <v>31158.16939</v>
      </c>
    </row>
    <row r="163">
      <c r="A163" s="4">
        <f>value(USD!A163)</f>
        <v>40406.99861</v>
      </c>
      <c r="B163" s="1">
        <f>value(USD!B163)</f>
        <v>8923.7</v>
      </c>
      <c r="C163" s="1">
        <f>value(AUD!$B163)</f>
        <v>7997.41994</v>
      </c>
      <c r="D163" s="1">
        <f>value(EUR!$B163)</f>
        <v>11434.73994</v>
      </c>
      <c r="E163" s="1">
        <f>value(GBP!$B163)</f>
        <v>13957.55917</v>
      </c>
      <c r="F163" s="1">
        <f>value(CHF!$B163)</f>
        <v>8581.208394</v>
      </c>
      <c r="G163" s="1">
        <f>value(SGD!$B163)</f>
        <v>6550.441985</v>
      </c>
      <c r="H163" s="1">
        <f>value(MYR!$B163)</f>
        <v>2797.044528</v>
      </c>
      <c r="I163" s="1">
        <f>value(THB!$B163)</f>
        <v>278.330203</v>
      </c>
      <c r="J163" s="1">
        <f>value(VND!$B163)</f>
        <v>0.4724312236</v>
      </c>
      <c r="K163" s="1">
        <f>value(CNY!$B163)</f>
        <v>1308.451644</v>
      </c>
      <c r="L163" s="1">
        <f>value(HKD!$B163)</f>
        <v>1147.944768</v>
      </c>
      <c r="M163" s="1">
        <f>value(TWD!$B163)</f>
        <v>279.579521</v>
      </c>
      <c r="N163" s="1">
        <f>value(JPY!$B163)</f>
        <v>104.585764</v>
      </c>
      <c r="O163" s="1">
        <f>value(SAR!$B163)</f>
        <v>2367.510148</v>
      </c>
      <c r="P163" s="1">
        <f>value(AED!$B163)</f>
        <v>2415.81264</v>
      </c>
      <c r="Q163" s="1">
        <f>value(KWD!$B163)</f>
        <v>31239.9644</v>
      </c>
    </row>
    <row r="164">
      <c r="A164" s="4">
        <f>value(USD!A164)</f>
        <v>40407.99861</v>
      </c>
      <c r="B164" s="1">
        <f>value(USD!B164)</f>
        <v>8878.4</v>
      </c>
      <c r="C164" s="1">
        <f>value(AUD!$B164)</f>
        <v>8034.952</v>
      </c>
      <c r="D164" s="1">
        <f>value(EUR!$B164)</f>
        <v>11433.60352</v>
      </c>
      <c r="E164" s="1">
        <f>value(GBP!$B164)</f>
        <v>13826.33232</v>
      </c>
      <c r="F164" s="1">
        <f>value(CHF!$B164)</f>
        <v>8505.240848</v>
      </c>
      <c r="G164" s="1">
        <f>value(SGD!$B164)</f>
        <v>6552.791904</v>
      </c>
      <c r="H164" s="1">
        <f>value(MYR!$B164)</f>
        <v>2807.971568</v>
      </c>
      <c r="I164" s="1">
        <f>value(THB!$B164)</f>
        <v>277.538784</v>
      </c>
      <c r="J164" s="1">
        <f>value(VND!$B164)</f>
        <v>0.4646889851</v>
      </c>
      <c r="K164" s="1">
        <f>value(CNY!$B164)</f>
        <v>1313.039916</v>
      </c>
      <c r="L164" s="1">
        <f>value(HKD!$B164)</f>
        <v>1142.383728</v>
      </c>
      <c r="M164" s="1">
        <f>value(TWD!$B164)</f>
        <v>278.604192</v>
      </c>
      <c r="N164" s="1">
        <f>value(JPY!$B164)</f>
        <v>103.699712</v>
      </c>
      <c r="O164" s="1">
        <f>value(SAR!$B164)</f>
        <v>2372.766461</v>
      </c>
      <c r="P164" s="1">
        <f>value(AED!$B164)</f>
        <v>2421.694332</v>
      </c>
      <c r="Q164" s="1">
        <f>value(KWD!$B164)</f>
        <v>31080.44216</v>
      </c>
    </row>
    <row r="165">
      <c r="A165" s="4">
        <f>value(USD!A165)</f>
        <v>40408.99861</v>
      </c>
      <c r="B165" s="1">
        <f>value(USD!B165)</f>
        <v>8897.4</v>
      </c>
      <c r="C165" s="1">
        <f>value(AUD!$B165)</f>
        <v>7989.8652</v>
      </c>
      <c r="D165" s="1">
        <f>value(EUR!$B165)</f>
        <v>11435.82822</v>
      </c>
      <c r="E165" s="1">
        <f>value(GBP!$B165)</f>
        <v>13874.60556</v>
      </c>
      <c r="F165" s="1">
        <f>value(CHF!$B165)</f>
        <v>8534.208132</v>
      </c>
      <c r="G165" s="1">
        <f>value(SGD!$B165)</f>
        <v>6578.470638</v>
      </c>
      <c r="H165" s="1">
        <f>value(MYR!$B165)</f>
        <v>2821.276566</v>
      </c>
      <c r="I165" s="1">
        <f>value(THB!$B165)</f>
        <v>279.022464</v>
      </c>
      <c r="J165" s="1">
        <f>value(VND!$B165)</f>
        <v>0.4654676234</v>
      </c>
      <c r="K165" s="1">
        <f>value(CNY!$B165)</f>
        <v>1323.110032</v>
      </c>
      <c r="L165" s="1">
        <f>value(HKD!$B165)</f>
        <v>1145.09538</v>
      </c>
      <c r="M165" s="1">
        <f>value(TWD!$B165)</f>
        <v>278.221698</v>
      </c>
      <c r="N165" s="1">
        <f>value(JPY!$B165)</f>
        <v>104.09958</v>
      </c>
      <c r="O165" s="1">
        <f>value(SAR!$B165)</f>
        <v>2381.023422</v>
      </c>
      <c r="P165" s="1">
        <f>value(AED!$B165)</f>
        <v>2430.275634</v>
      </c>
      <c r="Q165" s="1">
        <f>value(KWD!$B165)</f>
        <v>31172.01046</v>
      </c>
    </row>
    <row r="166">
      <c r="A166" s="4">
        <f>value(USD!A166)</f>
        <v>40409.99861</v>
      </c>
      <c r="B166" s="1">
        <f>value(USD!B166)</f>
        <v>8928.6</v>
      </c>
      <c r="C166" s="1">
        <f>value(AUD!$B166)</f>
        <v>7956.27546</v>
      </c>
      <c r="D166" s="1">
        <f>value(EUR!$B166)</f>
        <v>11434.14373</v>
      </c>
      <c r="E166" s="1">
        <f>value(GBP!$B166)</f>
        <v>13906.2945</v>
      </c>
      <c r="F166" s="1">
        <f>value(CHF!$B166)</f>
        <v>8646.277668</v>
      </c>
      <c r="G166" s="1">
        <f>value(SGD!$B166)</f>
        <v>6587.878224</v>
      </c>
      <c r="H166" s="1">
        <f>value(MYR!$B166)</f>
        <v>2842.151952</v>
      </c>
      <c r="I166" s="1">
        <f>value(THB!$B166)</f>
        <v>280.536612</v>
      </c>
      <c r="J166" s="1">
        <f>value(VND!$B166)</f>
        <v>0.4697869806</v>
      </c>
      <c r="K166" s="1">
        <f>value(CNY!$B166)</f>
        <v>1302.03028</v>
      </c>
      <c r="L166" s="1">
        <f>value(HKD!$B166)</f>
        <v>1148.932248</v>
      </c>
      <c r="M166" s="1">
        <f>value(TWD!$B166)</f>
        <v>279.554466</v>
      </c>
      <c r="N166" s="1">
        <f>value(JPY!$B166)</f>
        <v>104.553906</v>
      </c>
      <c r="O166" s="1">
        <f>value(SAR!$B166)</f>
        <v>2399.802608</v>
      </c>
      <c r="P166" s="1">
        <f>value(AED!$B166)</f>
        <v>2449.247277</v>
      </c>
      <c r="Q166" s="1">
        <f>value(KWD!$B166)</f>
        <v>31359.51641</v>
      </c>
    </row>
    <row r="167">
      <c r="A167" s="4">
        <f>value(USD!A167)</f>
        <v>40410.99861</v>
      </c>
      <c r="B167" s="1">
        <f>value(USD!B167)</f>
        <v>8998.3</v>
      </c>
      <c r="C167" s="1">
        <f>value(AUD!$B167)</f>
        <v>8026.4836</v>
      </c>
      <c r="D167" s="1">
        <f>value(EUR!$B167)</f>
        <v>11434.13981</v>
      </c>
      <c r="E167" s="1">
        <f>value(GBP!$B167)</f>
        <v>13974.3599</v>
      </c>
      <c r="F167" s="1">
        <f>value(CHF!$B167)</f>
        <v>8689.928259</v>
      </c>
      <c r="G167" s="1">
        <f>value(SGD!$B167)</f>
        <v>6633.006862</v>
      </c>
      <c r="H167" s="1">
        <f>value(MYR!$B167)</f>
        <v>2865.778584</v>
      </c>
      <c r="I167" s="1">
        <f>value(THB!$B167)</f>
        <v>284.076331</v>
      </c>
      <c r="J167" s="1">
        <f>value(VND!$B167)</f>
        <v>0.4629803675</v>
      </c>
      <c r="K167" s="1">
        <f>value(CNY!$B167)</f>
        <v>1318.877179</v>
      </c>
      <c r="L167" s="1">
        <f>value(HKD!$B167)</f>
        <v>1157.361346</v>
      </c>
      <c r="M167" s="1">
        <f>value(TWD!$B167)</f>
        <v>281.916739</v>
      </c>
      <c r="N167" s="1">
        <f>value(JPY!$B167)</f>
        <v>105.010161</v>
      </c>
      <c r="O167" s="1">
        <f>value(SAR!$B167)</f>
        <v>2353.987396</v>
      </c>
      <c r="P167" s="1">
        <f>value(AED!$B167)</f>
        <v>2413.5974</v>
      </c>
      <c r="Q167" s="1">
        <f>value(KWD!$B167)</f>
        <v>30943.98566</v>
      </c>
    </row>
    <row r="168">
      <c r="A168" s="4">
        <f>value(USD!A168)</f>
        <v>40413.99861</v>
      </c>
      <c r="B168" s="1">
        <f>value(USD!B168)</f>
        <v>8867</v>
      </c>
      <c r="C168" s="1">
        <f>value(AUD!$B168)</f>
        <v>7892.5167</v>
      </c>
      <c r="D168" s="1">
        <f>value(EUR!$B168)</f>
        <v>11199.9077</v>
      </c>
      <c r="E168" s="1">
        <f>value(GBP!$B168)</f>
        <v>13733.2096</v>
      </c>
      <c r="F168" s="1">
        <f>value(CHF!$B168)</f>
        <v>8512.32</v>
      </c>
      <c r="G168" s="1">
        <f>value(SGD!$B168)</f>
        <v>6530.63417</v>
      </c>
      <c r="H168" s="1">
        <f>value(MYR!$B168)</f>
        <v>2822.10009</v>
      </c>
      <c r="I168" s="1">
        <f>value(THB!$B168)</f>
        <v>279.22183</v>
      </c>
      <c r="J168" s="1">
        <f>value(VND!$B168)</f>
        <v>0.4683805437</v>
      </c>
      <c r="K168" s="1">
        <f>value(CNY!$B168)</f>
        <v>1303.7343</v>
      </c>
      <c r="L168" s="1">
        <f>value(HKD!$B168)</f>
        <v>1140.38487</v>
      </c>
      <c r="M168" s="1">
        <f>value(TWD!$B168)</f>
        <v>275.94104</v>
      </c>
      <c r="N168" s="1">
        <f>value(JPY!$B168)</f>
        <v>104.09858</v>
      </c>
      <c r="O168" s="1">
        <f>value(SAR!$B168)</f>
        <v>2394.305844</v>
      </c>
      <c r="P168" s="1">
        <f>value(AED!$B168)</f>
        <v>2443.751664</v>
      </c>
      <c r="Q168" s="1">
        <f>value(KWD!$B168)</f>
        <v>31280.30858</v>
      </c>
    </row>
    <row r="169">
      <c r="A169" s="4">
        <f>value(USD!A169)</f>
        <v>40414.99861</v>
      </c>
      <c r="B169" s="1">
        <f>value(USD!B169)</f>
        <v>8977.45</v>
      </c>
      <c r="C169" s="1">
        <f>value(AUD!$B169)</f>
        <v>7929.871359</v>
      </c>
      <c r="D169" s="1">
        <f>value(EUR!$B169)</f>
        <v>11341.21258</v>
      </c>
      <c r="E169" s="1">
        <f>value(GBP!$B169)</f>
        <v>13830.65947</v>
      </c>
      <c r="F169" s="1">
        <f>value(CHF!$B169)</f>
        <v>8701.842285</v>
      </c>
      <c r="G169" s="1">
        <f>value(SGD!$B169)</f>
        <v>6590.435819</v>
      </c>
      <c r="H169" s="1">
        <f>value(MYR!$B169)</f>
        <v>2843.876611</v>
      </c>
      <c r="I169" s="1">
        <f>value(THB!$B169)</f>
        <v>281.9817045</v>
      </c>
      <c r="J169" s="1">
        <f>value(VND!$B169)</f>
        <v>0.4629504035</v>
      </c>
      <c r="K169" s="1">
        <f>value(CNY!$B169)</f>
        <v>1319.717158</v>
      </c>
      <c r="L169" s="1">
        <f>value(HKD!$B169)</f>
        <v>1154.320521</v>
      </c>
      <c r="M169" s="1">
        <f>value(TWD!$B169)</f>
        <v>280.635087</v>
      </c>
      <c r="N169" s="1">
        <f>value(JPY!$B169)</f>
        <v>106.5623315</v>
      </c>
      <c r="O169" s="1">
        <f>value(SAR!$B169)</f>
        <v>2367.52973</v>
      </c>
      <c r="P169" s="1">
        <f>value(AED!$B169)</f>
        <v>2416.68038</v>
      </c>
      <c r="Q169" s="1">
        <f>value(KWD!$B169)</f>
        <v>30928.40401</v>
      </c>
    </row>
    <row r="170">
      <c r="A170" s="4">
        <f>value(USD!A170)</f>
        <v>40415.99861</v>
      </c>
      <c r="B170" s="1">
        <f>value(USD!B170)</f>
        <v>8878</v>
      </c>
      <c r="C170" s="1">
        <f>value(AUD!$B170)</f>
        <v>7850.8154</v>
      </c>
      <c r="D170" s="1">
        <f>value(EUR!$B170)</f>
        <v>11242.38896</v>
      </c>
      <c r="E170" s="1">
        <f>value(GBP!$B170)</f>
        <v>13733.3782</v>
      </c>
      <c r="F170" s="1">
        <f>value(CHF!$B170)</f>
        <v>8623.29018</v>
      </c>
      <c r="G170" s="1">
        <f>value(SGD!$B170)</f>
        <v>6536.60506</v>
      </c>
      <c r="H170" s="1">
        <f>value(MYR!$B170)</f>
        <v>2820.71816</v>
      </c>
      <c r="I170" s="1">
        <f>value(THB!$B170)</f>
        <v>280.27846</v>
      </c>
      <c r="J170" s="1">
        <f>value(VND!$B170)</f>
        <v>0.4695392053</v>
      </c>
      <c r="K170" s="1">
        <f>value(CNY!$B170)</f>
        <v>1324.206005</v>
      </c>
      <c r="L170" s="1">
        <f>value(HKD!$B170)</f>
        <v>1141.44446</v>
      </c>
      <c r="M170" s="1">
        <f>value(TWD!$B170)</f>
        <v>277.4375</v>
      </c>
      <c r="N170" s="1">
        <f>value(JPY!$B170)</f>
        <v>104.84918</v>
      </c>
      <c r="O170" s="1">
        <f>value(SAR!$B170)</f>
        <v>2396.781074</v>
      </c>
      <c r="P170" s="1">
        <f>value(AED!$B170)</f>
        <v>2446.473764</v>
      </c>
      <c r="Q170" s="1">
        <f>value(KWD!$B170)</f>
        <v>31364.33111</v>
      </c>
    </row>
    <row r="171">
      <c r="A171" s="4">
        <f>value(USD!A171)</f>
        <v>40416.99861</v>
      </c>
      <c r="B171" s="1">
        <f>value(USD!B171)</f>
        <v>8987.45</v>
      </c>
      <c r="C171" s="1">
        <f>value(AUD!$B171)</f>
        <v>7948.50078</v>
      </c>
      <c r="D171" s="1">
        <f>value(EUR!$B171)</f>
        <v>11418.55522</v>
      </c>
      <c r="E171" s="1">
        <f>value(GBP!$B171)</f>
        <v>13944.92742</v>
      </c>
      <c r="F171" s="1">
        <f>value(CHF!$B171)</f>
        <v>8771.301827</v>
      </c>
      <c r="G171" s="1">
        <f>value(SGD!$B171)</f>
        <v>6628.873496</v>
      </c>
      <c r="H171" s="1">
        <f>value(MYR!$B171)</f>
        <v>2857.110355</v>
      </c>
      <c r="I171" s="1">
        <f>value(THB!$B171)</f>
        <v>284.4527925</v>
      </c>
      <c r="J171" s="1">
        <f>value(VND!$B171)</f>
        <v>0.4704843086</v>
      </c>
      <c r="K171" s="1">
        <f>value(CNY!$B171)</f>
        <v>1308.89486</v>
      </c>
      <c r="L171" s="1">
        <f>value(HKD!$B171)</f>
        <v>1155.516446</v>
      </c>
      <c r="M171" s="1">
        <f>value(TWD!$B171)</f>
        <v>280.767938</v>
      </c>
      <c r="N171" s="1">
        <f>value(JPY!$B171)</f>
        <v>106.5012825</v>
      </c>
      <c r="O171" s="1">
        <f>value(SAR!$B171)</f>
        <v>2404.178985</v>
      </c>
      <c r="P171" s="1">
        <f>value(AED!$B171)</f>
        <v>2453.959539</v>
      </c>
      <c r="Q171" s="1">
        <f>value(KWD!$B171)</f>
        <v>31515.29158</v>
      </c>
    </row>
    <row r="172">
      <c r="A172" s="4">
        <f>value(USD!A172)</f>
        <v>40417.99861</v>
      </c>
      <c r="B172" s="1">
        <f>value(USD!B172)</f>
        <v>9014.95</v>
      </c>
      <c r="C172" s="1">
        <f>value(AUD!$B172)</f>
        <v>8101.735565</v>
      </c>
      <c r="D172" s="1">
        <f>value(EUR!$B172)</f>
        <v>11476.93284</v>
      </c>
      <c r="E172" s="1">
        <f>value(GBP!$B172)</f>
        <v>13983.08894</v>
      </c>
      <c r="F172" s="1">
        <f>value(CHF!$B172)</f>
        <v>8752.344506</v>
      </c>
      <c r="G172" s="1">
        <f>value(SGD!$B172)</f>
        <v>6661.9579</v>
      </c>
      <c r="H172" s="1">
        <f>value(MYR!$B172)</f>
        <v>2861.435279</v>
      </c>
      <c r="I172" s="1">
        <f>value(THB!$B172)</f>
        <v>285.1428685</v>
      </c>
      <c r="J172" s="1">
        <f>value(VND!$B172)</f>
        <v>0.4646243576</v>
      </c>
      <c r="K172" s="1">
        <f>value(CNY!$B172)</f>
        <v>1321.93243</v>
      </c>
      <c r="L172" s="1">
        <f>value(HKD!$B172)</f>
        <v>1158.961972</v>
      </c>
      <c r="M172" s="1">
        <f>value(TWD!$B172)</f>
        <v>281.807337</v>
      </c>
      <c r="N172" s="1">
        <f>value(JPY!$B172)</f>
        <v>105.655214</v>
      </c>
      <c r="O172" s="1">
        <f>value(SAR!$B172)</f>
        <v>2378.323584</v>
      </c>
      <c r="P172" s="1">
        <f>value(AED!$B172)</f>
        <v>2427.56878</v>
      </c>
      <c r="Q172" s="1">
        <f>value(KWD!$B172)</f>
        <v>31121.96505</v>
      </c>
    </row>
    <row r="173">
      <c r="A173" s="4">
        <f>value(USD!A173)</f>
        <v>40420.99861</v>
      </c>
      <c r="B173" s="1">
        <f>value(USD!B173)</f>
        <v>8918</v>
      </c>
      <c r="C173" s="1">
        <f>value(AUD!$B173)</f>
        <v>7948.6134</v>
      </c>
      <c r="D173" s="1">
        <f>value(EUR!$B173)</f>
        <v>11291.0798</v>
      </c>
      <c r="E173" s="1">
        <f>value(GBP!$B173)</f>
        <v>13789.9034</v>
      </c>
      <c r="F173" s="1">
        <f>value(CHF!$B173)</f>
        <v>8694.78246</v>
      </c>
      <c r="G173" s="1">
        <f>value(SGD!$B173)</f>
        <v>6577.20336</v>
      </c>
      <c r="H173" s="1">
        <f>value(MYR!$B173)</f>
        <v>2830.5732</v>
      </c>
      <c r="I173" s="1">
        <f>value(THB!$B173)</f>
        <v>282.43306</v>
      </c>
      <c r="J173" s="1">
        <f>value(VND!$B173)</f>
        <v>0.4699791415</v>
      </c>
      <c r="K173" s="1">
        <f>value(CNY!$B173)</f>
        <v>1320.486948</v>
      </c>
      <c r="L173" s="1">
        <f>value(HKD!$B173)</f>
        <v>1146.31972</v>
      </c>
      <c r="M173" s="1">
        <f>value(TWD!$B173)</f>
        <v>277.70652</v>
      </c>
      <c r="N173" s="1">
        <f>value(JPY!$B173)</f>
        <v>105.49994</v>
      </c>
      <c r="O173" s="1">
        <f>value(SAR!$B173)</f>
        <v>2403.978969</v>
      </c>
      <c r="P173" s="1">
        <f>value(AED!$B173)</f>
        <v>2453.755382</v>
      </c>
      <c r="Q173" s="1">
        <f>value(KWD!$B173)</f>
        <v>31418.20986</v>
      </c>
    </row>
    <row r="174">
      <c r="A174" s="4">
        <f>value(USD!A174)</f>
        <v>40421.99861</v>
      </c>
      <c r="B174" s="1">
        <f>value(USD!B174)</f>
        <v>9014.2</v>
      </c>
      <c r="C174" s="1">
        <f>value(AUD!$B174)</f>
        <v>8047.87776</v>
      </c>
      <c r="D174" s="1">
        <f>value(EUR!$B174)</f>
        <v>11433.61128</v>
      </c>
      <c r="E174" s="1">
        <f>value(GBP!$B174)</f>
        <v>13833.19132</v>
      </c>
      <c r="F174" s="1">
        <f>value(CHF!$B174)</f>
        <v>8881.871544</v>
      </c>
      <c r="G174" s="1">
        <f>value(SGD!$B174)</f>
        <v>6650.586618</v>
      </c>
      <c r="H174" s="1">
        <f>value(MYR!$B174)</f>
        <v>2854.887282</v>
      </c>
      <c r="I174" s="1">
        <f>value(THB!$B174)</f>
        <v>285.659998</v>
      </c>
      <c r="J174" s="1">
        <f>value(VND!$B174)</f>
        <v>0.4630745433</v>
      </c>
      <c r="K174" s="1">
        <f>value(CNY!$B174)</f>
        <v>1318.981584</v>
      </c>
      <c r="L174" s="1">
        <f>value(HKD!$B174)</f>
        <v>1158.595126</v>
      </c>
      <c r="M174" s="1">
        <f>value(TWD!$B174)</f>
        <v>281.333182</v>
      </c>
      <c r="N174" s="1">
        <f>value(JPY!$B174)</f>
        <v>107.088696</v>
      </c>
      <c r="O174" s="1">
        <f>value(SAR!$B174)</f>
        <v>2402.005478</v>
      </c>
      <c r="P174" s="1">
        <f>value(AED!$B174)</f>
        <v>2452.011232</v>
      </c>
      <c r="Q174" s="1">
        <f>value(KWD!$B174)</f>
        <v>31300.77361</v>
      </c>
    </row>
    <row r="175">
      <c r="A175" s="4">
        <f>value(USD!A175)</f>
        <v>40422.99861</v>
      </c>
      <c r="B175" s="1">
        <f>value(USD!B175)</f>
        <v>9006.8</v>
      </c>
      <c r="C175" s="1">
        <f>value(AUD!$B175)</f>
        <v>8192.765416</v>
      </c>
      <c r="D175" s="1">
        <f>value(EUR!$B175)</f>
        <v>11528.704</v>
      </c>
      <c r="E175" s="1">
        <f>value(GBP!$B175)</f>
        <v>13909.20124</v>
      </c>
      <c r="F175" s="1">
        <f>value(CHF!$B175)</f>
        <v>8869.986708</v>
      </c>
      <c r="G175" s="1">
        <f>value(SGD!$B175)</f>
        <v>6682.054852</v>
      </c>
      <c r="H175" s="1">
        <f>value(MYR!$B175)</f>
        <v>2876.501716</v>
      </c>
      <c r="I175" s="1">
        <f>value(THB!$B175)</f>
        <v>286.776512</v>
      </c>
      <c r="J175" s="1">
        <f>value(VND!$B175)</f>
        <v>0.4691051368</v>
      </c>
      <c r="K175" s="1">
        <f>value(CNY!$B175)</f>
        <v>1318.126693</v>
      </c>
      <c r="L175" s="1">
        <f>value(HKD!$B175)</f>
        <v>1158.27448</v>
      </c>
      <c r="M175" s="1">
        <f>value(TWD!$B175)</f>
        <v>281.282364</v>
      </c>
      <c r="N175" s="1">
        <f>value(JPY!$B175)</f>
        <v>106.73058</v>
      </c>
      <c r="O175" s="1">
        <f>value(SAR!$B175)</f>
        <v>2397.631795</v>
      </c>
      <c r="P175" s="1">
        <f>value(AED!$B175)</f>
        <v>2447.456592</v>
      </c>
      <c r="Q175" s="1">
        <f>value(KWD!$B175)</f>
        <v>31243.77971</v>
      </c>
    </row>
    <row r="176">
      <c r="A176" s="4">
        <f>value(USD!A176)</f>
        <v>40423.99861</v>
      </c>
      <c r="B176" s="1">
        <f>value(USD!B176)</f>
        <v>8990.4</v>
      </c>
      <c r="C176" s="1">
        <f>value(AUD!$B176)</f>
        <v>8178.56688</v>
      </c>
      <c r="D176" s="1">
        <f>value(EUR!$B176)</f>
        <v>11528.38992</v>
      </c>
      <c r="E176" s="1">
        <f>value(GBP!$B176)</f>
        <v>13838.02368</v>
      </c>
      <c r="F176" s="1">
        <f>value(CHF!$B176)</f>
        <v>8873.434896</v>
      </c>
      <c r="G176" s="1">
        <f>value(SGD!$B176)</f>
        <v>6677.889312</v>
      </c>
      <c r="H176" s="1">
        <f>value(MYR!$B176)</f>
        <v>2872.342896</v>
      </c>
      <c r="I176" s="1">
        <f>value(THB!$B176)</f>
        <v>286.703856</v>
      </c>
      <c r="J176" s="1">
        <f>value(VND!$B176)</f>
        <v>0.4616242592</v>
      </c>
      <c r="K176" s="1">
        <f>value(CNY!$B176)</f>
        <v>1323.829896</v>
      </c>
      <c r="L176" s="1">
        <f>value(HKD!$B176)</f>
        <v>1156.884672</v>
      </c>
      <c r="M176" s="1">
        <f>value(TWD!$B176)</f>
        <v>281.039904</v>
      </c>
      <c r="N176" s="1">
        <f>value(JPY!$B176)</f>
        <v>106.716048</v>
      </c>
      <c r="O176" s="1">
        <f>value(SAR!$B176)</f>
        <v>2395.098259</v>
      </c>
      <c r="P176" s="1">
        <f>value(AED!$B176)</f>
        <v>2444.870407</v>
      </c>
      <c r="Q176" s="1">
        <f>value(KWD!$B176)</f>
        <v>31194.50952</v>
      </c>
    </row>
    <row r="177">
      <c r="A177" s="4">
        <f>value(USD!A177)</f>
        <v>40424.99861</v>
      </c>
      <c r="B177" s="1">
        <f>value(USD!B177)</f>
        <v>8980.9</v>
      </c>
      <c r="C177" s="1">
        <f>value(AUD!$B177)</f>
        <v>8230.09676</v>
      </c>
      <c r="D177" s="1">
        <f>value(EUR!$B177)</f>
        <v>11579.07437</v>
      </c>
      <c r="E177" s="1">
        <f>value(GBP!$B177)</f>
        <v>13884.4714</v>
      </c>
      <c r="F177" s="1">
        <f>value(CHF!$B177)</f>
        <v>8827.506228</v>
      </c>
      <c r="G177" s="1">
        <f>value(SGD!$B177)</f>
        <v>6683.675589</v>
      </c>
      <c r="H177" s="1">
        <f>value(MYR!$B177)</f>
        <v>2882.419855</v>
      </c>
      <c r="I177" s="1">
        <f>value(THB!$B177)</f>
        <v>286.580519</v>
      </c>
      <c r="J177" s="1">
        <f>value(VND!$B177)</f>
        <v>0.4690767808</v>
      </c>
      <c r="K177" s="1">
        <f>value(CNY!$B177)</f>
        <v>1328.021168</v>
      </c>
      <c r="L177" s="1">
        <f>value(HKD!$B177)</f>
        <v>1155.662212</v>
      </c>
      <c r="M177" s="1">
        <f>value(TWD!$B177)</f>
        <v>282.449305</v>
      </c>
      <c r="N177" s="1">
        <f>value(JPY!$B177)</f>
        <v>106.333856</v>
      </c>
      <c r="O177" s="1">
        <f>value(SAR!$B177)</f>
        <v>2399.610584</v>
      </c>
      <c r="P177" s="1">
        <f>value(AED!$B177)</f>
        <v>2449.427243</v>
      </c>
      <c r="Q177" s="1">
        <f>value(KWD!$B177)</f>
        <v>31512.16357</v>
      </c>
    </row>
    <row r="178">
      <c r="A178" s="4">
        <f>value(USD!A178)</f>
        <v>40427.99861</v>
      </c>
      <c r="B178" s="1">
        <f>value(USD!B178)</f>
        <v>8998.3</v>
      </c>
      <c r="C178" s="1">
        <f>value(AUD!$B178)</f>
        <v>8247.661814</v>
      </c>
      <c r="D178" s="1">
        <f>value(EUR!$B178)</f>
        <v>11578.11261</v>
      </c>
      <c r="E178" s="1">
        <f>value(GBP!$B178)</f>
        <v>13850.27334</v>
      </c>
      <c r="F178" s="1">
        <f>value(CHF!$B178)</f>
        <v>8904.537714</v>
      </c>
      <c r="G178" s="1">
        <f>value(SGD!$B178)</f>
        <v>6685.197002</v>
      </c>
      <c r="H178" s="1">
        <f>value(MYR!$B178)</f>
        <v>2881.075694</v>
      </c>
      <c r="I178" s="1">
        <f>value(THB!$B178)</f>
        <v>286.595855</v>
      </c>
      <c r="J178" s="1">
        <f>value(VND!$B178)</f>
        <v>0.464354749</v>
      </c>
      <c r="K178" s="1">
        <f>value(CNY!$B178)</f>
        <v>1322.851095</v>
      </c>
      <c r="L178" s="1">
        <f>value(HKD!$B178)</f>
        <v>1158.531125</v>
      </c>
      <c r="M178" s="1">
        <f>value(TWD!$B178)</f>
        <v>281.736773</v>
      </c>
      <c r="N178" s="1">
        <f>value(JPY!$B178)</f>
        <v>106.899804</v>
      </c>
      <c r="O178" s="1">
        <f>value(SAR!$B178)</f>
        <v>2408.902961</v>
      </c>
      <c r="P178" s="1">
        <f>value(AED!$B178)</f>
        <v>2458.970642</v>
      </c>
      <c r="Q178" s="1">
        <f>value(KWD!$B178)</f>
        <v>31387.30704</v>
      </c>
    </row>
    <row r="179">
      <c r="A179" s="4">
        <f>value(USD!A179)</f>
        <v>40428.99861</v>
      </c>
      <c r="B179" s="1">
        <f>value(USD!B179)</f>
        <v>9031.7</v>
      </c>
      <c r="C179" s="1">
        <f>value(AUD!$B179)</f>
        <v>8223.36285</v>
      </c>
      <c r="D179" s="1">
        <f>value(EUR!$B179)</f>
        <v>11449.48609</v>
      </c>
      <c r="E179" s="1">
        <f>value(GBP!$B179)</f>
        <v>13858.24048</v>
      </c>
      <c r="F179" s="1">
        <f>value(CHF!$B179)</f>
        <v>8930.996545</v>
      </c>
      <c r="G179" s="1">
        <f>value(SGD!$B179)</f>
        <v>6690.322092</v>
      </c>
      <c r="H179" s="1">
        <f>value(MYR!$B179)</f>
        <v>2876.686767</v>
      </c>
      <c r="I179" s="1">
        <f>value(THB!$B179)</f>
        <v>286.846792</v>
      </c>
      <c r="J179" s="1">
        <f>value(VND!$B179)</f>
        <v>0.4699879865</v>
      </c>
      <c r="K179" s="1">
        <f>value(CNY!$B179)</f>
        <v>1329.3063</v>
      </c>
      <c r="L179" s="1">
        <f>value(HKD!$B179)</f>
        <v>1162.289473</v>
      </c>
      <c r="M179" s="1">
        <f>value(TWD!$B179)</f>
        <v>280.795553</v>
      </c>
      <c r="N179" s="1">
        <f>value(JPY!$B179)</f>
        <v>107.838498</v>
      </c>
      <c r="O179" s="1">
        <f>value(SAR!$B179)</f>
        <v>2401.135917</v>
      </c>
      <c r="P179" s="1">
        <f>value(AED!$B179)</f>
        <v>2451.38508</v>
      </c>
      <c r="Q179" s="1">
        <f>value(KWD!$B179)</f>
        <v>31287.35085</v>
      </c>
    </row>
    <row r="180">
      <c r="A180" s="4">
        <f>value(USD!A180)</f>
        <v>40429.99861</v>
      </c>
      <c r="B180" s="1">
        <f>value(USD!B180)</f>
        <v>9004.5</v>
      </c>
      <c r="C180" s="1">
        <f>value(AUD!$B180)</f>
        <v>8267.03145</v>
      </c>
      <c r="D180" s="1">
        <f>value(EUR!$B180)</f>
        <v>11462.7285</v>
      </c>
      <c r="E180" s="1">
        <f>value(GBP!$B180)</f>
        <v>13931.7624</v>
      </c>
      <c r="F180" s="1">
        <f>value(CHF!$B180)</f>
        <v>8901.30843</v>
      </c>
      <c r="G180" s="1">
        <f>value(SGD!$B180)</f>
        <v>6698.26746</v>
      </c>
      <c r="H180" s="1">
        <f>value(MYR!$B180)</f>
        <v>2896.20738</v>
      </c>
      <c r="I180" s="1">
        <f>value(THB!$B180)</f>
        <v>288.234045</v>
      </c>
      <c r="J180" s="1">
        <f>value(VND!$B180)</f>
        <v>0.4709011175</v>
      </c>
      <c r="K180" s="1">
        <f>value(CNY!$B180)</f>
        <v>1330.446576</v>
      </c>
      <c r="L180" s="1">
        <f>value(HKD!$B180)</f>
        <v>1158.789105</v>
      </c>
      <c r="M180" s="1">
        <f>value(TWD!$B180)</f>
        <v>282.291075</v>
      </c>
      <c r="N180" s="1">
        <f>value(JPY!$B180)</f>
        <v>107.243595</v>
      </c>
      <c r="O180" s="1">
        <f>value(SAR!$B180)</f>
        <v>2408.128346</v>
      </c>
      <c r="P180" s="1">
        <f>value(AED!$B180)</f>
        <v>2457.7854</v>
      </c>
      <c r="Q180" s="1">
        <f>value(KWD!$B180)</f>
        <v>31567.90476</v>
      </c>
    </row>
    <row r="181">
      <c r="A181" s="4">
        <f>value(USD!A181)</f>
        <v>40430.99861</v>
      </c>
      <c r="B181" s="1">
        <f>value(USD!B181)</f>
        <v>9030</v>
      </c>
      <c r="C181" s="1">
        <f>value(AUD!$B181)</f>
        <v>8333.9676</v>
      </c>
      <c r="D181" s="1">
        <f>value(EUR!$B181)</f>
        <v>11463.585</v>
      </c>
      <c r="E181" s="1">
        <f>value(GBP!$B181)</f>
        <v>13928.775</v>
      </c>
      <c r="F181" s="1">
        <f>value(CHF!$B181)</f>
        <v>8893.4664</v>
      </c>
      <c r="G181" s="1">
        <f>value(SGD!$B181)</f>
        <v>6723.2865</v>
      </c>
      <c r="H181" s="1">
        <f>value(MYR!$B181)</f>
        <v>2901.6099</v>
      </c>
      <c r="I181" s="1">
        <f>value(THB!$B181)</f>
        <v>290.766</v>
      </c>
      <c r="J181" s="1">
        <f>value(VND!$B181)</f>
        <v>0.4704667482</v>
      </c>
      <c r="K181" s="1">
        <f>value(CNY!$B181)</f>
        <v>1329.155016</v>
      </c>
      <c r="L181" s="1">
        <f>value(HKD!$B181)</f>
        <v>1162.161</v>
      </c>
      <c r="M181" s="1">
        <f>value(TWD!$B181)</f>
        <v>282.4584</v>
      </c>
      <c r="N181" s="1">
        <f>value(JPY!$B181)</f>
        <v>107.5473</v>
      </c>
      <c r="O181" s="1">
        <f>value(SAR!$B181)</f>
        <v>2405.653273</v>
      </c>
      <c r="P181" s="1">
        <f>value(AED!$B181)</f>
        <v>2456.0217</v>
      </c>
      <c r="Q181" s="1">
        <f>value(KWD!$B181)</f>
        <v>31345.37726</v>
      </c>
    </row>
    <row r="182">
      <c r="A182" s="4">
        <f>value(USD!A182)</f>
        <v>40431.99861</v>
      </c>
      <c r="B182" s="1">
        <f>value(USD!B182)</f>
        <v>9021.2</v>
      </c>
      <c r="C182" s="1">
        <f>value(AUD!$B182)</f>
        <v>8356.33756</v>
      </c>
      <c r="D182" s="1">
        <f>value(EUR!$B182)</f>
        <v>11464.14096</v>
      </c>
      <c r="E182" s="1">
        <f>value(GBP!$B182)</f>
        <v>13850.24836</v>
      </c>
      <c r="F182" s="1">
        <f>value(CHF!$B182)</f>
        <v>8844.474692</v>
      </c>
      <c r="G182" s="1">
        <f>value(SGD!$B182)</f>
        <v>6730.71732</v>
      </c>
      <c r="H182" s="1">
        <f>value(MYR!$B182)</f>
        <v>2899.233256</v>
      </c>
      <c r="I182" s="1">
        <f>value(THB!$B182)</f>
        <v>290.663064</v>
      </c>
      <c r="J182" s="1">
        <f>value(VND!$B182)</f>
        <v>0.4624929305</v>
      </c>
      <c r="K182" s="1">
        <f>value(CNY!$B182)</f>
        <v>1330.300146</v>
      </c>
      <c r="L182" s="1">
        <f>value(HKD!$B182)</f>
        <v>1161.208864</v>
      </c>
      <c r="M182" s="1">
        <f>value(TWD!$B182)</f>
        <v>282.724408</v>
      </c>
      <c r="N182" s="1">
        <f>value(JPY!$B182)</f>
        <v>107.171856</v>
      </c>
      <c r="O182" s="1">
        <f>value(SAR!$B182)</f>
        <v>2399.861273</v>
      </c>
      <c r="P182" s="1">
        <f>value(AED!$B182)</f>
        <v>2449.65105</v>
      </c>
      <c r="Q182" s="1">
        <f>value(KWD!$B182)</f>
        <v>31285.80948</v>
      </c>
    </row>
    <row r="183">
      <c r="A183" s="4">
        <f>value(USD!A183)</f>
        <v>40434.99861</v>
      </c>
      <c r="B183" s="1">
        <f>value(USD!B183)</f>
        <v>8997.8</v>
      </c>
      <c r="C183" s="1">
        <f>value(AUD!$B183)</f>
        <v>8401.065904</v>
      </c>
      <c r="D183" s="1">
        <f>value(EUR!$B183)</f>
        <v>11579.71871</v>
      </c>
      <c r="E183" s="1">
        <f>value(GBP!$B183)</f>
        <v>13877.21696</v>
      </c>
      <c r="F183" s="1">
        <f>value(CHF!$B183)</f>
        <v>8925.547666</v>
      </c>
      <c r="G183" s="1">
        <f>value(SGD!$B183)</f>
        <v>6728.374884</v>
      </c>
      <c r="H183" s="1">
        <f>value(MYR!$B183)</f>
        <v>2894.502282</v>
      </c>
      <c r="I183" s="1">
        <f>value(THB!$B183)</f>
        <v>290.359006</v>
      </c>
      <c r="J183" s="1">
        <f>value(VND!$B183)</f>
        <v>0.4614788109</v>
      </c>
      <c r="K183" s="1">
        <f>value(CNY!$B183)</f>
        <v>1329.824896</v>
      </c>
      <c r="L183" s="1">
        <f>value(HKD!$B183)</f>
        <v>1158.376772</v>
      </c>
      <c r="M183" s="1">
        <f>value(TWD!$B183)</f>
        <v>284.690392</v>
      </c>
      <c r="N183" s="1">
        <f>value(JPY!$B183)</f>
        <v>107.52371</v>
      </c>
      <c r="O183" s="1">
        <f>value(SAR!$B183)</f>
        <v>2396.741072</v>
      </c>
      <c r="P183" s="1">
        <f>value(AED!$B183)</f>
        <v>2446.792425</v>
      </c>
      <c r="Q183" s="1">
        <f>value(KWD!$B183)</f>
        <v>31281.93333</v>
      </c>
    </row>
    <row r="184">
      <c r="A184" s="4">
        <f>value(USD!A184)</f>
        <v>40435.99861</v>
      </c>
      <c r="B184" s="1">
        <f>value(USD!B184)</f>
        <v>8987.3</v>
      </c>
      <c r="C184" s="1">
        <f>value(AUD!$B184)</f>
        <v>8444.46708</v>
      </c>
      <c r="D184" s="1">
        <f>value(EUR!$B184)</f>
        <v>11674.32295</v>
      </c>
      <c r="E184" s="1">
        <f>value(GBP!$B184)</f>
        <v>13958.17563</v>
      </c>
      <c r="F184" s="1">
        <f>value(CHF!$B184)</f>
        <v>9025.04666</v>
      </c>
      <c r="G184" s="1">
        <f>value(SGD!$B184)</f>
        <v>6738.138302</v>
      </c>
      <c r="H184" s="1">
        <f>value(MYR!$B184)</f>
        <v>2891.304283</v>
      </c>
      <c r="I184" s="1">
        <f>value(THB!$B184)</f>
        <v>289.750552</v>
      </c>
      <c r="J184" s="1">
        <f>value(VND!$B184)</f>
        <v>0.4608780407</v>
      </c>
      <c r="K184" s="1">
        <f>value(CNY!$B184)</f>
        <v>1326.0157</v>
      </c>
      <c r="L184" s="1">
        <f>value(HKD!$B184)</f>
        <v>1157.204748</v>
      </c>
      <c r="M184" s="1">
        <f>value(TWD!$B184)</f>
        <v>286.425251</v>
      </c>
      <c r="N184" s="1">
        <f>value(JPY!$B184)</f>
        <v>108.207092</v>
      </c>
      <c r="O184" s="1">
        <f>value(SAR!$B184)</f>
        <v>2393.620906</v>
      </c>
      <c r="P184" s="1">
        <f>value(AED!$B184)</f>
        <v>2443.696856</v>
      </c>
      <c r="Q184" s="1">
        <f>value(KWD!$B184)</f>
        <v>31273.86259</v>
      </c>
    </row>
    <row r="185">
      <c r="A185" s="4">
        <f>value(USD!A185)</f>
        <v>40436.99861</v>
      </c>
      <c r="B185" s="1">
        <f>value(USD!B185)</f>
        <v>8975.6</v>
      </c>
      <c r="C185" s="1">
        <f>value(AUD!$B185)</f>
        <v>8423.690356</v>
      </c>
      <c r="D185" s="1">
        <f>value(EUR!$B185)</f>
        <v>11680.75608</v>
      </c>
      <c r="E185" s="1">
        <f>value(GBP!$B185)</f>
        <v>14029.76036</v>
      </c>
      <c r="F185" s="1">
        <f>value(CHF!$B185)</f>
        <v>8952.891732</v>
      </c>
      <c r="G185" s="1">
        <f>value(SGD!$B185)</f>
        <v>6707.196612</v>
      </c>
      <c r="H185" s="1">
        <f>value(MYR!$B185)</f>
        <v>2878.833944</v>
      </c>
      <c r="I185" s="1">
        <f>value(THB!$B185)</f>
        <v>289.104076</v>
      </c>
      <c r="J185" s="1">
        <f>value(VND!$B185)</f>
        <v>0.4591259573</v>
      </c>
      <c r="K185" s="1">
        <f>value(CNY!$B185)</f>
        <v>1332.367752</v>
      </c>
      <c r="L185" s="1">
        <f>value(HKD!$B185)</f>
        <v>1155.518744</v>
      </c>
      <c r="M185" s="1">
        <f>value(TWD!$B185)</f>
        <v>283.62896</v>
      </c>
      <c r="N185" s="1">
        <f>value(JPY!$B185)</f>
        <v>104.655496</v>
      </c>
      <c r="O185" s="1">
        <f>value(SAR!$B185)</f>
        <v>2381.396766</v>
      </c>
      <c r="P185" s="1">
        <f>value(AED!$B185)</f>
        <v>2431.1925</v>
      </c>
      <c r="Q185" s="1">
        <f>value(KWD!$B185)</f>
        <v>31114.9776</v>
      </c>
    </row>
    <row r="186">
      <c r="A186" s="4">
        <f>value(USD!A186)</f>
        <v>40437.99861</v>
      </c>
      <c r="B186" s="1">
        <f>value(USD!B186)</f>
        <v>8930</v>
      </c>
      <c r="C186" s="1">
        <f>value(AUD!$B186)</f>
        <v>8357.587</v>
      </c>
      <c r="D186" s="1">
        <f>value(EUR!$B186)</f>
        <v>11678.654</v>
      </c>
      <c r="E186" s="1">
        <f>value(GBP!$B186)</f>
        <v>13954.018</v>
      </c>
      <c r="F186" s="1">
        <f>value(CHF!$B186)</f>
        <v>8793.5496</v>
      </c>
      <c r="G186" s="1">
        <f>value(SGD!$B186)</f>
        <v>6671.1565</v>
      </c>
      <c r="H186" s="1">
        <f>value(MYR!$B186)</f>
        <v>2861.7971</v>
      </c>
      <c r="I186" s="1">
        <f>value(THB!$B186)</f>
        <v>288.2604</v>
      </c>
      <c r="J186" s="1">
        <f>value(VND!$B186)</f>
        <v>0.4613621158</v>
      </c>
      <c r="K186" s="1">
        <f>value(CNY!$B186)</f>
        <v>1335.922606</v>
      </c>
      <c r="L186" s="1">
        <f>value(HKD!$B186)</f>
        <v>1149.8268</v>
      </c>
      <c r="M186" s="1">
        <f>value(TWD!$B186)</f>
        <v>281.4736</v>
      </c>
      <c r="N186" s="1">
        <f>value(JPY!$B186)</f>
        <v>104.0345</v>
      </c>
      <c r="O186" s="1">
        <f>value(SAR!$B186)</f>
        <v>2393.610424</v>
      </c>
      <c r="P186" s="1">
        <f>value(AED!$B186)</f>
        <v>2443.66155</v>
      </c>
      <c r="Q186" s="1">
        <f>value(KWD!$B186)</f>
        <v>31307.28522</v>
      </c>
    </row>
    <row r="187">
      <c r="A187" s="4">
        <f>value(USD!A187)</f>
        <v>40438.99861</v>
      </c>
      <c r="B187" s="1">
        <f>value(USD!B187)</f>
        <v>8975.8</v>
      </c>
      <c r="C187" s="1">
        <f>value(AUD!$B187)</f>
        <v>8400.45122</v>
      </c>
      <c r="D187" s="1">
        <f>value(EUR!$B187)</f>
        <v>11699.05772</v>
      </c>
      <c r="E187" s="1">
        <f>value(GBP!$B187)</f>
        <v>14019.30202</v>
      </c>
      <c r="F187" s="1">
        <f>value(CHF!$B187)</f>
        <v>8884.426356</v>
      </c>
      <c r="G187" s="1">
        <f>value(SGD!$B187)</f>
        <v>6715.873076</v>
      </c>
      <c r="H187" s="1">
        <f>value(MYR!$B187)</f>
        <v>2888.950988</v>
      </c>
      <c r="I187" s="1">
        <f>value(THB!$B187)</f>
        <v>289.828582</v>
      </c>
      <c r="J187" s="1">
        <f>value(VND!$B187)</f>
        <v>0.4618097619</v>
      </c>
      <c r="K187" s="1">
        <f>value(CNY!$B187)</f>
        <v>1321.220672</v>
      </c>
      <c r="L187" s="1">
        <f>value(HKD!$B187)</f>
        <v>1155.813766</v>
      </c>
      <c r="M187" s="1">
        <f>value(TWD!$B187)</f>
        <v>282.199152</v>
      </c>
      <c r="N187" s="1">
        <f>value(JPY!$B187)</f>
        <v>104.56807</v>
      </c>
      <c r="O187" s="1">
        <f>value(SAR!$B187)</f>
        <v>2395.125546</v>
      </c>
      <c r="P187" s="1">
        <f>value(AED!$B187)</f>
        <v>2445.40395</v>
      </c>
      <c r="Q187" s="1">
        <f>value(KWD!$B187)</f>
        <v>31307.77247</v>
      </c>
    </row>
    <row r="188">
      <c r="A188" s="4">
        <f>value(USD!A188)</f>
        <v>40441.99861</v>
      </c>
      <c r="B188" s="1">
        <f>value(USD!B188)</f>
        <v>8982.2</v>
      </c>
      <c r="C188" s="1">
        <f>value(AUD!$B188)</f>
        <v>8498.05942</v>
      </c>
      <c r="D188" s="1">
        <f>value(EUR!$B188)</f>
        <v>11733.44786</v>
      </c>
      <c r="E188" s="1">
        <f>value(GBP!$B188)</f>
        <v>13961.93168</v>
      </c>
      <c r="F188" s="1">
        <f>value(CHF!$B188)</f>
        <v>8936.83989</v>
      </c>
      <c r="G188" s="1">
        <f>value(SGD!$B188)</f>
        <v>6731.799612</v>
      </c>
      <c r="H188" s="1">
        <f>value(MYR!$B188)</f>
        <v>2890.02285</v>
      </c>
      <c r="I188" s="1">
        <f>value(THB!$B188)</f>
        <v>289.945416</v>
      </c>
      <c r="J188" s="1">
        <f>value(VND!$B188)</f>
        <v>0.456150088</v>
      </c>
      <c r="K188" s="1">
        <f>value(CNY!$B188)</f>
        <v>1328.306496</v>
      </c>
      <c r="L188" s="1">
        <f>value(HKD!$B188)</f>
        <v>1156.817538</v>
      </c>
      <c r="M188" s="1">
        <f>value(TWD!$B188)</f>
        <v>283.029122</v>
      </c>
      <c r="N188" s="1">
        <f>value(JPY!$B188)</f>
        <v>104.822274</v>
      </c>
      <c r="O188" s="1">
        <f>value(SAR!$B188)</f>
        <v>2366.632801</v>
      </c>
      <c r="P188" s="1">
        <f>value(AED!$B188)</f>
        <v>2416.0554</v>
      </c>
      <c r="Q188" s="1">
        <f>value(KWD!$B188)</f>
        <v>30937.41856</v>
      </c>
    </row>
    <row r="189">
      <c r="A189" s="4">
        <f>value(USD!A189)</f>
        <v>40442.99861</v>
      </c>
      <c r="B189" s="1">
        <f>value(USD!B189)</f>
        <v>8874.4</v>
      </c>
      <c r="C189" s="1">
        <f>value(AUD!$B189)</f>
        <v>8459.96552</v>
      </c>
      <c r="D189" s="1">
        <f>value(EUR!$B189)</f>
        <v>11763.37217</v>
      </c>
      <c r="E189" s="1">
        <f>value(GBP!$B189)</f>
        <v>13854.71328</v>
      </c>
      <c r="F189" s="1">
        <f>value(CHF!$B189)</f>
        <v>8897.47344</v>
      </c>
      <c r="G189" s="1">
        <f>value(SGD!$B189)</f>
        <v>6673.016336</v>
      </c>
      <c r="H189" s="1">
        <f>value(MYR!$B189)</f>
        <v>2884.978696</v>
      </c>
      <c r="I189" s="1">
        <f>value(THB!$B189)</f>
        <v>288.950464</v>
      </c>
      <c r="J189" s="1">
        <f>value(VND!$B189)</f>
        <v>0.465396858</v>
      </c>
      <c r="K189" s="1">
        <f>value(CNY!$B189)</f>
        <v>1335.589662</v>
      </c>
      <c r="L189" s="1">
        <f>value(HKD!$B189)</f>
        <v>1143.377696</v>
      </c>
      <c r="M189" s="1">
        <f>value(TWD!$B189)</f>
        <v>283.53708</v>
      </c>
      <c r="N189" s="1">
        <f>value(JPY!$B189)</f>
        <v>104.2742</v>
      </c>
      <c r="O189" s="1">
        <f>value(SAR!$B189)</f>
        <v>2378.17653</v>
      </c>
      <c r="P189" s="1">
        <f>value(AED!$B189)</f>
        <v>2427.945216</v>
      </c>
      <c r="Q189" s="1">
        <f>value(KWD!$B189)</f>
        <v>31183.21235</v>
      </c>
    </row>
    <row r="190">
      <c r="A190" s="4">
        <f>value(USD!A190)</f>
        <v>40443.99861</v>
      </c>
      <c r="B190" s="1">
        <f>value(USD!B190)</f>
        <v>8918.4</v>
      </c>
      <c r="C190" s="1">
        <f>value(AUD!$B190)</f>
        <v>8494.776</v>
      </c>
      <c r="D190" s="1">
        <f>value(EUR!$B190)</f>
        <v>11943.61046</v>
      </c>
      <c r="E190" s="1">
        <f>value(GBP!$B190)</f>
        <v>13950.16128</v>
      </c>
      <c r="F190" s="1">
        <f>value(CHF!$B190)</f>
        <v>9037.90656</v>
      </c>
      <c r="G190" s="1">
        <f>value(SGD!$B190)</f>
        <v>6723.760128</v>
      </c>
      <c r="H190" s="1">
        <f>value(MYR!$B190)</f>
        <v>2884.032192</v>
      </c>
      <c r="I190" s="1">
        <f>value(THB!$B190)</f>
        <v>289.223712</v>
      </c>
      <c r="J190" s="1">
        <f>value(VND!$B190)</f>
        <v>0.4678021787</v>
      </c>
      <c r="K190" s="1">
        <f>value(CNY!$B190)</f>
        <v>1318.26794</v>
      </c>
      <c r="L190" s="1">
        <f>value(HKD!$B190)</f>
        <v>1149.403392</v>
      </c>
      <c r="M190" s="1">
        <f>value(TWD!$B190)</f>
        <v>283.1592</v>
      </c>
      <c r="N190" s="1">
        <f>value(JPY!$B190)</f>
        <v>105.504672</v>
      </c>
      <c r="O190" s="1">
        <f>value(SAR!$B190)</f>
        <v>2391.152425</v>
      </c>
      <c r="P190" s="1">
        <f>value(AED!$B190)</f>
        <v>2441.257752</v>
      </c>
      <c r="Q190" s="1">
        <f>value(KWD!$B190)</f>
        <v>31398.10422</v>
      </c>
    </row>
    <row r="191">
      <c r="A191" s="4">
        <f>value(USD!A191)</f>
        <v>40444.99861</v>
      </c>
      <c r="B191" s="1">
        <f>value(USD!B191)</f>
        <v>8967.3</v>
      </c>
      <c r="C191" s="1">
        <f>value(AUD!$B191)</f>
        <v>8515.34808</v>
      </c>
      <c r="D191" s="1">
        <f>value(EUR!$B191)</f>
        <v>11941.30504</v>
      </c>
      <c r="E191" s="1">
        <f>value(GBP!$B191)</f>
        <v>14054.44929</v>
      </c>
      <c r="F191" s="1">
        <f>value(CHF!$B191)</f>
        <v>9100.91277</v>
      </c>
      <c r="G191" s="1">
        <f>value(SGD!$B191)</f>
        <v>6747.086193</v>
      </c>
      <c r="H191" s="1">
        <f>value(MYR!$B191)</f>
        <v>2887.918965</v>
      </c>
      <c r="I191" s="1">
        <f>value(THB!$B191)</f>
        <v>289.464444</v>
      </c>
      <c r="J191" s="1">
        <f>value(VND!$B191)</f>
        <v>0.4611817355</v>
      </c>
      <c r="K191" s="1">
        <f>value(CNY!$B191)</f>
        <v>1338.2494</v>
      </c>
      <c r="L191" s="1">
        <f>value(HKD!$B191)</f>
        <v>1155.436605</v>
      </c>
      <c r="M191" s="1">
        <f>value(TWD!$B191)</f>
        <v>283.36668</v>
      </c>
      <c r="N191" s="1">
        <f>value(JPY!$B191)</f>
        <v>106.083159</v>
      </c>
      <c r="O191" s="1">
        <f>value(SAR!$B191)</f>
        <v>2360.329538</v>
      </c>
      <c r="P191" s="1">
        <f>value(AED!$B191)</f>
        <v>2409.68475</v>
      </c>
      <c r="Q191" s="1">
        <f>value(KWD!$B191)</f>
        <v>31034.35866</v>
      </c>
    </row>
    <row r="192">
      <c r="A192" s="4">
        <f>value(USD!A192)</f>
        <v>40445.99861</v>
      </c>
      <c r="B192" s="1">
        <f>value(USD!B192)</f>
        <v>8851</v>
      </c>
      <c r="C192" s="1">
        <f>value(AUD!$B192)</f>
        <v>8490.7643</v>
      </c>
      <c r="D192" s="1">
        <f>value(EUR!$B192)</f>
        <v>11939.1139</v>
      </c>
      <c r="E192" s="1">
        <f>value(GBP!$B192)</f>
        <v>14006.7075</v>
      </c>
      <c r="F192" s="1">
        <f>value(CHF!$B192)</f>
        <v>8983.765</v>
      </c>
      <c r="G192" s="1">
        <f>value(SGD!$B192)</f>
        <v>6691.62153</v>
      </c>
      <c r="H192" s="1">
        <f>value(MYR!$B192)</f>
        <v>2861.5283</v>
      </c>
      <c r="I192" s="1">
        <f>value(THB!$B192)</f>
        <v>286.94942</v>
      </c>
      <c r="J192" s="1">
        <f>value(VND!$B192)</f>
        <v>0.4676729679</v>
      </c>
      <c r="K192" s="1">
        <f>value(CNY!$B192)</f>
        <v>1335.698038</v>
      </c>
      <c r="L192" s="1">
        <f>value(HKD!$B192)</f>
        <v>1141.07092</v>
      </c>
      <c r="M192" s="1">
        <f>value(TWD!$B192)</f>
        <v>283.232</v>
      </c>
      <c r="N192" s="1">
        <f>value(JPY!$B192)</f>
        <v>105.06137</v>
      </c>
      <c r="O192" s="1">
        <f>value(SAR!$B192)</f>
        <v>2392.632243</v>
      </c>
      <c r="P192" s="1">
        <f>value(AED!$B192)</f>
        <v>2441.946375</v>
      </c>
      <c r="Q192" s="1">
        <f>value(KWD!$B192)</f>
        <v>31411.3056</v>
      </c>
    </row>
    <row r="193">
      <c r="A193" s="4">
        <f>value(USD!A193)</f>
        <v>40448.99861</v>
      </c>
      <c r="B193" s="1">
        <f>value(USD!B193)</f>
        <v>8969.5</v>
      </c>
      <c r="C193" s="1">
        <f>value(AUD!$B193)</f>
        <v>8607.1322</v>
      </c>
      <c r="D193" s="1">
        <f>value(EUR!$B193)</f>
        <v>12052.94501</v>
      </c>
      <c r="E193" s="1">
        <f>value(GBP!$B193)</f>
        <v>14178.08865</v>
      </c>
      <c r="F193" s="1">
        <f>value(CHF!$B193)</f>
        <v>9097.76385</v>
      </c>
      <c r="G193" s="1">
        <f>value(SGD!$B193)</f>
        <v>6789.9115</v>
      </c>
      <c r="H193" s="1">
        <f>value(MYR!$B193)</f>
        <v>2891.138935</v>
      </c>
      <c r="I193" s="1">
        <f>value(THB!$B193)</f>
        <v>290.522105</v>
      </c>
      <c r="J193" s="1">
        <f>value(VND!$B193)</f>
        <v>0.4595943436</v>
      </c>
      <c r="K193" s="1">
        <f>value(CNY!$B193)</f>
        <v>1333.428422</v>
      </c>
      <c r="L193" s="1">
        <f>value(HKD!$B193)</f>
        <v>1156.078855</v>
      </c>
      <c r="M193" s="1">
        <f>value(TWD!$B193)</f>
        <v>285.857965</v>
      </c>
      <c r="N193" s="1">
        <f>value(JPY!$B193)</f>
        <v>106.37827</v>
      </c>
      <c r="O193" s="1">
        <f>value(SAR!$B193)</f>
        <v>2386.890245</v>
      </c>
      <c r="P193" s="1">
        <f>value(AED!$B193)</f>
        <v>2436.80085</v>
      </c>
      <c r="Q193" s="1">
        <f>value(KWD!$B193)</f>
        <v>31416.63285</v>
      </c>
    </row>
    <row r="194">
      <c r="A194" s="4">
        <f>value(USD!A194)</f>
        <v>40449.99861</v>
      </c>
      <c r="B194" s="1">
        <f>value(USD!B194)</f>
        <v>8950.6</v>
      </c>
      <c r="C194" s="1">
        <f>value(AUD!$B194)</f>
        <v>8652.54502</v>
      </c>
      <c r="D194" s="1">
        <f>value(EUR!$B194)</f>
        <v>12145.9642</v>
      </c>
      <c r="E194" s="1">
        <f>value(GBP!$B194)</f>
        <v>14141.41096</v>
      </c>
      <c r="F194" s="1">
        <f>value(CHF!$B194)</f>
        <v>9163.62428</v>
      </c>
      <c r="G194" s="1">
        <f>value(SGD!$B194)</f>
        <v>6792.61034</v>
      </c>
      <c r="H194" s="1">
        <f>value(MYR!$B194)</f>
        <v>2889.25368</v>
      </c>
      <c r="I194" s="1">
        <f>value(THB!$B194)</f>
        <v>290.715488</v>
      </c>
      <c r="J194" s="1">
        <f>value(VND!$B194)</f>
        <v>0.4587467871</v>
      </c>
      <c r="K194" s="1">
        <f>value(CNY!$B194)</f>
        <v>1333.027726</v>
      </c>
      <c r="L194" s="1">
        <f>value(HKD!$B194)</f>
        <v>1153.553328</v>
      </c>
      <c r="M194" s="1">
        <f>value(TWD!$B194)</f>
        <v>287.493272</v>
      </c>
      <c r="N194" s="1">
        <f>value(JPY!$B194)</f>
        <v>106.691152</v>
      </c>
      <c r="O194" s="1">
        <f>value(SAR!$B194)</f>
        <v>2381.686263</v>
      </c>
      <c r="P194" s="1">
        <f>value(AED!$B194)</f>
        <v>2431.68255</v>
      </c>
      <c r="Q194" s="1">
        <f>value(KWD!$B194)</f>
        <v>31405.76293</v>
      </c>
    </row>
    <row r="195">
      <c r="A195" s="4">
        <f>value(USD!A195)</f>
        <v>40450.99861</v>
      </c>
      <c r="B195" s="1">
        <f>value(USD!B195)</f>
        <v>8931.8</v>
      </c>
      <c r="C195" s="1">
        <f>value(AUD!$B195)</f>
        <v>8654.9142</v>
      </c>
      <c r="D195" s="1">
        <f>value(EUR!$B195)</f>
        <v>12168.68432</v>
      </c>
      <c r="E195" s="1">
        <f>value(GBP!$B195)</f>
        <v>14103.3122</v>
      </c>
      <c r="F195" s="1">
        <f>value(CHF!$B195)</f>
        <v>9140.80412</v>
      </c>
      <c r="G195" s="1">
        <f>value(SGD!$B195)</f>
        <v>6774.234392</v>
      </c>
      <c r="H195" s="1">
        <f>value(MYR!$B195)</f>
        <v>2890.241162</v>
      </c>
      <c r="I195" s="1">
        <f>value(THB!$B195)</f>
        <v>291.355316</v>
      </c>
      <c r="J195" s="1">
        <f>value(VND!$B195)</f>
        <v>0.4660807416</v>
      </c>
      <c r="K195" s="1">
        <f>value(CNY!$B195)</f>
        <v>1331.414475</v>
      </c>
      <c r="L195" s="1">
        <f>value(HKD!$B195)</f>
        <v>1151.130384</v>
      </c>
      <c r="M195" s="1">
        <f>value(TWD!$B195)</f>
        <v>285.103056</v>
      </c>
      <c r="N195" s="1">
        <f>value(JPY!$B195)</f>
        <v>106.556374</v>
      </c>
      <c r="O195" s="1">
        <f>value(SAR!$B195)</f>
        <v>2382.916806</v>
      </c>
      <c r="P195" s="1">
        <f>value(AED!$B195)</f>
        <v>2432.208183</v>
      </c>
      <c r="Q195" s="1">
        <f>value(KWD!$B195)</f>
        <v>31537.0162</v>
      </c>
    </row>
    <row r="196">
      <c r="A196" s="4">
        <f>value(USD!A196)</f>
        <v>40451.99861</v>
      </c>
      <c r="B196" s="1">
        <f>value(USD!B196)</f>
        <v>8935.7</v>
      </c>
      <c r="C196" s="1">
        <f>value(AUD!$B196)</f>
        <v>8614.90837</v>
      </c>
      <c r="D196" s="1">
        <f>value(EUR!$B196)</f>
        <v>12171.31697</v>
      </c>
      <c r="E196" s="1">
        <f>value(GBP!$B196)</f>
        <v>14040.66541</v>
      </c>
      <c r="F196" s="1">
        <f>value(CHF!$B196)</f>
        <v>9080.45834</v>
      </c>
      <c r="G196" s="1">
        <f>value(SGD!$B196)</f>
        <v>6788.987432</v>
      </c>
      <c r="H196" s="1">
        <f>value(MYR!$B196)</f>
        <v>2896.06037</v>
      </c>
      <c r="I196" s="1">
        <f>value(THB!$B196)</f>
        <v>292.912246</v>
      </c>
      <c r="J196" s="1">
        <f>value(VND!$B196)</f>
        <v>0.458059042</v>
      </c>
      <c r="K196" s="1">
        <f>value(CNY!$B196)</f>
        <v>1333.25025</v>
      </c>
      <c r="L196" s="1">
        <f>value(HKD!$B196)</f>
        <v>1151.454302</v>
      </c>
      <c r="M196" s="1">
        <f>value(TWD!$B196)</f>
        <v>286.031757</v>
      </c>
      <c r="N196" s="1">
        <f>value(JPY!$B196)</f>
        <v>106.870972</v>
      </c>
      <c r="O196" s="1">
        <f>value(SAR!$B196)</f>
        <v>2378.980126</v>
      </c>
      <c r="P196" s="1">
        <f>value(AED!$B196)</f>
        <v>2428.571368</v>
      </c>
      <c r="Q196" s="1">
        <f>value(KWD!$B196)</f>
        <v>31530.82075</v>
      </c>
    </row>
    <row r="197">
      <c r="A197" s="4">
        <f>value(USD!A197)</f>
        <v>40452.99861</v>
      </c>
      <c r="B197" s="1">
        <f>value(USD!B197)</f>
        <v>8920.7</v>
      </c>
      <c r="C197" s="1">
        <f>value(AUD!$B197)</f>
        <v>8675.38075</v>
      </c>
      <c r="D197" s="1">
        <f>value(EUR!$B197)</f>
        <v>12289.15632</v>
      </c>
      <c r="E197" s="1">
        <f>value(GBP!$B197)</f>
        <v>14123.25224</v>
      </c>
      <c r="F197" s="1">
        <f>value(CHF!$B197)</f>
        <v>9144.60957</v>
      </c>
      <c r="G197" s="1">
        <f>value(SGD!$B197)</f>
        <v>6797.751814</v>
      </c>
      <c r="H197" s="1">
        <f>value(MYR!$B197)</f>
        <v>2892.715389</v>
      </c>
      <c r="I197" s="1">
        <f>value(THB!$B197)</f>
        <v>294.115479</v>
      </c>
      <c r="J197" s="1">
        <f>value(VND!$B197)</f>
        <v>0.4588084204</v>
      </c>
      <c r="K197" s="1">
        <f>value(CNY!$B197)</f>
        <v>1317.743175</v>
      </c>
      <c r="L197" s="1">
        <f>value(HKD!$B197)</f>
        <v>1149.699816</v>
      </c>
      <c r="M197" s="1">
        <f>value(TWD!$B197)</f>
        <v>286.176056</v>
      </c>
      <c r="N197" s="1">
        <f>value(JPY!$B197)</f>
        <v>107.0484</v>
      </c>
      <c r="O197" s="1">
        <f>value(SAR!$B197)</f>
        <v>2382.323904</v>
      </c>
      <c r="P197" s="1">
        <f>value(AED!$B197)</f>
        <v>2432.09858</v>
      </c>
      <c r="Q197" s="1">
        <f>value(KWD!$B197)</f>
        <v>31409.98234</v>
      </c>
    </row>
    <row r="198">
      <c r="A198" s="4">
        <f>value(USD!A198)</f>
        <v>40455.99861</v>
      </c>
      <c r="B198" s="1">
        <f>value(USD!B198)</f>
        <v>8933</v>
      </c>
      <c r="C198" s="1">
        <f>value(AUD!$B198)</f>
        <v>8635.5311</v>
      </c>
      <c r="D198" s="1">
        <f>value(EUR!$B198)</f>
        <v>12213.1976</v>
      </c>
      <c r="E198" s="1">
        <f>value(GBP!$B198)</f>
        <v>14130.2194</v>
      </c>
      <c r="F198" s="1">
        <f>value(CHF!$B198)</f>
        <v>9185.8039</v>
      </c>
      <c r="G198" s="1">
        <f>value(SGD!$B198)</f>
        <v>6793.18918</v>
      </c>
      <c r="H198" s="1">
        <f>value(MYR!$B198)</f>
        <v>2884.01905</v>
      </c>
      <c r="I198" s="1">
        <f>value(THB!$B198)</f>
        <v>294.16369</v>
      </c>
      <c r="J198" s="1">
        <f>value(VND!$B198)</f>
        <v>0.4533555761</v>
      </c>
      <c r="K198" s="1">
        <f>value(CNY!$B198)</f>
        <v>1323.910488</v>
      </c>
      <c r="L198" s="1">
        <f>value(HKD!$B198)</f>
        <v>1151.4637</v>
      </c>
      <c r="M198" s="1">
        <f>value(TWD!$B198)</f>
        <v>285.58801</v>
      </c>
      <c r="N198" s="1">
        <f>value(JPY!$B198)</f>
        <v>106.92801</v>
      </c>
      <c r="O198" s="1">
        <f>value(SAR!$B198)</f>
        <v>2354.552157</v>
      </c>
      <c r="P198" s="1">
        <f>value(AED!$B198)</f>
        <v>2403.722475</v>
      </c>
      <c r="Q198" s="1">
        <f>value(KWD!$B198)</f>
        <v>31121.25313</v>
      </c>
    </row>
    <row r="199">
      <c r="A199" s="4">
        <f>value(USD!A199)</f>
        <v>40456.99861</v>
      </c>
      <c r="B199" s="1">
        <f>value(USD!B199)</f>
        <v>8829.1</v>
      </c>
      <c r="C199" s="1">
        <f>value(AUD!$B199)</f>
        <v>8577.117486</v>
      </c>
      <c r="D199" s="1">
        <f>value(EUR!$B199)</f>
        <v>12215.05985</v>
      </c>
      <c r="E199" s="1">
        <f>value(GBP!$B199)</f>
        <v>14027.67408</v>
      </c>
      <c r="F199" s="1">
        <f>value(CHF!$B199)</f>
        <v>9136.35268</v>
      </c>
      <c r="G199" s="1">
        <f>value(SGD!$B199)</f>
        <v>6741.282723</v>
      </c>
      <c r="H199" s="1">
        <f>value(MYR!$B199)</f>
        <v>2848.973988</v>
      </c>
      <c r="I199" s="1">
        <f>value(THB!$B199)</f>
        <v>291.448591</v>
      </c>
      <c r="J199" s="1">
        <f>value(VND!$B199)</f>
        <v>0.4559506639</v>
      </c>
      <c r="K199" s="1">
        <f>value(CNY!$B199)</f>
        <v>1330.2354</v>
      </c>
      <c r="L199" s="1">
        <f>value(HKD!$B199)</f>
        <v>1138.335863</v>
      </c>
      <c r="M199" s="1">
        <f>value(TWD!$B199)</f>
        <v>285.797967</v>
      </c>
      <c r="N199" s="1">
        <f>value(JPY!$B199)</f>
        <v>106.037491</v>
      </c>
      <c r="O199" s="1">
        <f>value(SAR!$B199)</f>
        <v>2366.143026</v>
      </c>
      <c r="P199" s="1">
        <f>value(AED!$B199)</f>
        <v>2415.6198</v>
      </c>
      <c r="Q199" s="1">
        <f>value(KWD!$B199)</f>
        <v>31374.81527</v>
      </c>
    </row>
    <row r="200">
      <c r="A200" s="4">
        <f>value(USD!A200)</f>
        <v>40457.99861</v>
      </c>
      <c r="B200" s="1">
        <f>value(USD!B200)</f>
        <v>8872.8</v>
      </c>
      <c r="C200" s="1">
        <f>value(AUD!$B200)</f>
        <v>8660.74008</v>
      </c>
      <c r="D200" s="1">
        <f>value(EUR!$B200)</f>
        <v>12350.9376</v>
      </c>
      <c r="E200" s="1">
        <f>value(GBP!$B200)</f>
        <v>14071.19606</v>
      </c>
      <c r="F200" s="1">
        <f>value(CHF!$B200)</f>
        <v>9217.06464</v>
      </c>
      <c r="G200" s="1">
        <f>value(SGD!$B200)</f>
        <v>6777.310824</v>
      </c>
      <c r="H200" s="1">
        <f>value(MYR!$B200)</f>
        <v>2864.406024</v>
      </c>
      <c r="I200" s="1">
        <f>value(THB!$B200)</f>
        <v>294.57696</v>
      </c>
      <c r="J200" s="1">
        <f>value(VND!$B200)</f>
        <v>0.4578885134</v>
      </c>
      <c r="K200" s="1">
        <f>value(CNY!$B200)</f>
        <v>1334.652914</v>
      </c>
      <c r="L200" s="1">
        <f>value(HKD!$B200)</f>
        <v>1144.058832</v>
      </c>
      <c r="M200" s="1">
        <f>value(TWD!$B200)</f>
        <v>289.342008</v>
      </c>
      <c r="N200" s="1">
        <f>value(JPY!$B200)</f>
        <v>106.91724</v>
      </c>
      <c r="O200" s="1">
        <f>value(SAR!$B200)</f>
        <v>2376.746607</v>
      </c>
      <c r="P200" s="1">
        <f>value(AED!$B200)</f>
        <v>2426.5098</v>
      </c>
      <c r="Q200" s="1">
        <f>value(KWD!$B200)</f>
        <v>31510.68745</v>
      </c>
    </row>
    <row r="201">
      <c r="A201" s="4">
        <f>value(USD!A201)</f>
        <v>40458.99861</v>
      </c>
      <c r="B201" s="1">
        <f>value(USD!B201)</f>
        <v>8912.8</v>
      </c>
      <c r="C201" s="1">
        <f>value(AUD!$B201)</f>
        <v>8754.15216</v>
      </c>
      <c r="D201" s="1">
        <f>value(EUR!$B201)</f>
        <v>12410.18272</v>
      </c>
      <c r="E201" s="1">
        <f>value(GBP!$B201)</f>
        <v>14149.07</v>
      </c>
      <c r="F201" s="1">
        <f>value(CHF!$B201)</f>
        <v>9224.748</v>
      </c>
      <c r="G201" s="1">
        <f>value(SGD!$B201)</f>
        <v>6817.757232</v>
      </c>
      <c r="H201" s="1">
        <f>value(MYR!$B201)</f>
        <v>2882.043008</v>
      </c>
      <c r="I201" s="1">
        <f>value(THB!$B201)</f>
        <v>295.726704</v>
      </c>
      <c r="J201" s="1">
        <f>value(VND!$B201)</f>
        <v>0.4582682384</v>
      </c>
      <c r="K201" s="1">
        <f>value(CNY!$B201)</f>
        <v>1346.776316</v>
      </c>
      <c r="L201" s="1">
        <f>value(HKD!$B201)</f>
        <v>1149.038176</v>
      </c>
      <c r="M201" s="1">
        <f>value(TWD!$B201)</f>
        <v>289.398616</v>
      </c>
      <c r="N201" s="1">
        <f>value(JPY!$B201)</f>
        <v>108.201392</v>
      </c>
      <c r="O201" s="1">
        <f>value(SAR!$B201)</f>
        <v>2378.296915</v>
      </c>
      <c r="P201" s="1">
        <f>value(AED!$B201)</f>
        <v>2427.898275</v>
      </c>
      <c r="Q201" s="1">
        <f>value(KWD!$B201)</f>
        <v>31623.75627</v>
      </c>
    </row>
    <row r="202">
      <c r="A202" s="4">
        <f>value(USD!A202)</f>
        <v>40459.99861</v>
      </c>
      <c r="B202" s="1">
        <f>value(USD!B202)</f>
        <v>8917.9</v>
      </c>
      <c r="C202" s="1">
        <f>value(AUD!$B202)</f>
        <v>8790.37403</v>
      </c>
      <c r="D202" s="1">
        <f>value(EUR!$B202)</f>
        <v>12419.06754</v>
      </c>
      <c r="E202" s="1">
        <f>value(GBP!$B202)</f>
        <v>14226.72587</v>
      </c>
      <c r="F202" s="1">
        <f>value(CHF!$B202)</f>
        <v>9249.64588</v>
      </c>
      <c r="G202" s="1">
        <f>value(SGD!$B202)</f>
        <v>6822.639395</v>
      </c>
      <c r="H202" s="1">
        <f>value(MYR!$B202)</f>
        <v>2861.575752</v>
      </c>
      <c r="I202" s="1">
        <f>value(THB!$B202)</f>
        <v>295.806743</v>
      </c>
      <c r="J202" s="1">
        <f>value(VND!$B202)</f>
        <v>0.4669244702</v>
      </c>
      <c r="K202" s="1">
        <f>value(CNY!$B202)</f>
        <v>1332.98088</v>
      </c>
      <c r="L202" s="1">
        <f>value(HKD!$B202)</f>
        <v>1149.51731</v>
      </c>
      <c r="M202" s="1">
        <f>value(TWD!$B202)</f>
        <v>288.93996</v>
      </c>
      <c r="N202" s="1">
        <f>value(JPY!$B202)</f>
        <v>108.620022</v>
      </c>
      <c r="O202" s="1">
        <f>value(SAR!$B202)</f>
        <v>2398.874519</v>
      </c>
      <c r="P202" s="1">
        <f>value(AED!$B202)</f>
        <v>2448.970425</v>
      </c>
      <c r="Q202" s="1">
        <f>value(KWD!$B202)</f>
        <v>32028.83609</v>
      </c>
    </row>
    <row r="203">
      <c r="A203" s="4">
        <f>value(USD!A203)</f>
        <v>40462.99861</v>
      </c>
      <c r="B203" s="1">
        <f>value(USD!B203)</f>
        <v>8995.3</v>
      </c>
      <c r="C203" s="1">
        <f>value(AUD!$B203)</f>
        <v>8850.47567</v>
      </c>
      <c r="D203" s="1">
        <f>value(EUR!$B203)</f>
        <v>12486.37593</v>
      </c>
      <c r="E203" s="1">
        <f>value(GBP!$B203)</f>
        <v>14293.5317</v>
      </c>
      <c r="F203" s="1">
        <f>value(CHF!$B203)</f>
        <v>9323.62845</v>
      </c>
      <c r="G203" s="1">
        <f>value(SGD!$B203)</f>
        <v>6874.028354</v>
      </c>
      <c r="H203" s="1">
        <f>value(MYR!$B203)</f>
        <v>2837.297526</v>
      </c>
      <c r="I203" s="1">
        <f>value(THB!$B203)</f>
        <v>292.707062</v>
      </c>
      <c r="J203" s="1">
        <f>value(VND!$B203)</f>
        <v>0.4577600777</v>
      </c>
      <c r="K203" s="1">
        <f>value(CNY!$B203)</f>
        <v>1329.940473</v>
      </c>
      <c r="L203" s="1">
        <f>value(HKD!$B203)</f>
        <v>1159.314264</v>
      </c>
      <c r="M203" s="1">
        <f>value(TWD!$B203)</f>
        <v>291.087908</v>
      </c>
      <c r="N203" s="1">
        <f>value(JPY!$B203)</f>
        <v>109.562754</v>
      </c>
      <c r="O203" s="1">
        <f>value(SAR!$B203)</f>
        <v>2376.39679</v>
      </c>
      <c r="P203" s="1">
        <f>value(AED!$B203)</f>
        <v>2425.829175</v>
      </c>
      <c r="Q203" s="1">
        <f>value(KWD!$B203)</f>
        <v>31563.22299</v>
      </c>
    </row>
    <row r="204">
      <c r="A204" s="4">
        <f>value(USD!A204)</f>
        <v>40463.99861</v>
      </c>
      <c r="B204" s="1">
        <f>value(USD!B204)</f>
        <v>8910.3</v>
      </c>
      <c r="C204" s="1">
        <f>value(AUD!$B204)</f>
        <v>8790.01095</v>
      </c>
      <c r="D204" s="1">
        <f>value(EUR!$B204)</f>
        <v>12398.68245</v>
      </c>
      <c r="E204" s="1">
        <f>value(GBP!$B204)</f>
        <v>14087.1843</v>
      </c>
      <c r="F204" s="1">
        <f>value(CHF!$B204)</f>
        <v>9306.80835</v>
      </c>
      <c r="G204" s="1">
        <f>value(SGD!$B204)</f>
        <v>6825.735315</v>
      </c>
      <c r="H204" s="1">
        <f>value(MYR!$B204)</f>
        <v>2879.185239</v>
      </c>
      <c r="I204" s="1">
        <f>value(THB!$B204)</f>
        <v>296.802093</v>
      </c>
      <c r="J204" s="1">
        <f>value(VND!$B204)</f>
        <v>0.4561366511</v>
      </c>
      <c r="K204" s="1">
        <f>value(CNY!$B204)</f>
        <v>1336.253294</v>
      </c>
      <c r="L204" s="1">
        <f>value(HKD!$B204)</f>
        <v>1148.359464</v>
      </c>
      <c r="M204" s="1">
        <f>value(TWD!$B204)</f>
        <v>289.495647</v>
      </c>
      <c r="N204" s="1">
        <f>value(JPY!$B204)</f>
        <v>108.883866</v>
      </c>
      <c r="O204" s="1">
        <f>value(SAR!$B204)</f>
        <v>2367.969</v>
      </c>
      <c r="P204" s="1">
        <f>value(AED!$B204)</f>
        <v>2417.226075</v>
      </c>
      <c r="Q204" s="1">
        <f>value(KWD!$B204)</f>
        <v>31451.28537</v>
      </c>
    </row>
    <row r="205">
      <c r="A205" s="4">
        <f>value(USD!A205)</f>
        <v>40464.99861</v>
      </c>
      <c r="B205" s="1">
        <f>value(USD!B205)</f>
        <v>8878.7</v>
      </c>
      <c r="C205" s="1">
        <f>value(AUD!$B205)</f>
        <v>8797.01596</v>
      </c>
      <c r="D205" s="1">
        <f>value(EUR!$B205)</f>
        <v>12399.10455</v>
      </c>
      <c r="E205" s="1">
        <f>value(GBP!$B205)</f>
        <v>14117.133</v>
      </c>
      <c r="F205" s="1">
        <f>value(CHF!$B205)</f>
        <v>9267.58706</v>
      </c>
      <c r="G205" s="1">
        <f>value(SGD!$B205)</f>
        <v>6811.472279</v>
      </c>
      <c r="H205" s="1">
        <f>value(MYR!$B205)</f>
        <v>2868.441609</v>
      </c>
      <c r="I205" s="1">
        <f>value(THB!$B205)</f>
        <v>295.571923</v>
      </c>
      <c r="J205" s="1">
        <f>value(VND!$B205)</f>
        <v>0.4633983778</v>
      </c>
      <c r="K205" s="1">
        <f>value(CNY!$B205)</f>
        <v>1344.565015</v>
      </c>
      <c r="L205" s="1">
        <f>value(HKD!$B205)</f>
        <v>1144.198069</v>
      </c>
      <c r="M205" s="1">
        <f>value(TWD!$B205)</f>
        <v>289.534407</v>
      </c>
      <c r="N205" s="1">
        <f>value(JPY!$B205)</f>
        <v>108.497714</v>
      </c>
      <c r="O205" s="1">
        <f>value(SAR!$B205)</f>
        <v>2374.706598</v>
      </c>
      <c r="P205" s="1">
        <f>value(AED!$B205)</f>
        <v>2423.545156</v>
      </c>
      <c r="Q205" s="1">
        <f>value(KWD!$B205)</f>
        <v>31795.02831</v>
      </c>
    </row>
    <row r="206">
      <c r="A206" s="4">
        <f>value(USD!A206)</f>
        <v>40465.99861</v>
      </c>
      <c r="B206" s="1">
        <f>value(USD!B206)</f>
        <v>8904.2</v>
      </c>
      <c r="C206" s="1">
        <f>value(AUD!$B206)</f>
        <v>8842.76102</v>
      </c>
      <c r="D206" s="1">
        <f>value(EUR!$B206)</f>
        <v>12529.09982</v>
      </c>
      <c r="E206" s="1">
        <f>value(GBP!$B206)</f>
        <v>14248.50084</v>
      </c>
      <c r="F206" s="1">
        <f>value(CHF!$B206)</f>
        <v>9339.61538</v>
      </c>
      <c r="G206" s="1">
        <f>value(SGD!$B206)</f>
        <v>6866.295746</v>
      </c>
      <c r="H206" s="1">
        <f>value(MYR!$B206)</f>
        <v>2887.18685</v>
      </c>
      <c r="I206" s="1">
        <f>value(THB!$B206)</f>
        <v>297.044112</v>
      </c>
      <c r="J206" s="1">
        <f>value(VND!$B206)</f>
        <v>0.459316895</v>
      </c>
      <c r="K206" s="1">
        <f>value(CNY!$B206)</f>
        <v>1344.510076</v>
      </c>
      <c r="L206" s="1">
        <f>value(HKD!$B206)</f>
        <v>1147.75138</v>
      </c>
      <c r="M206" s="1">
        <f>value(TWD!$B206)</f>
        <v>290.544046</v>
      </c>
      <c r="N206" s="1">
        <f>value(JPY!$B206)</f>
        <v>109.254534</v>
      </c>
      <c r="O206" s="1">
        <f>value(SAR!$B206)</f>
        <v>2385.091283</v>
      </c>
      <c r="P206" s="1">
        <f>value(AED!$B206)</f>
        <v>2434.704525</v>
      </c>
      <c r="Q206" s="1">
        <f>value(KWD!$B206)</f>
        <v>31780.02601</v>
      </c>
    </row>
    <row r="207">
      <c r="A207" s="4">
        <f>value(USD!A207)</f>
        <v>40466.99861</v>
      </c>
      <c r="B207" s="1">
        <f>value(USD!B207)</f>
        <v>8942.9</v>
      </c>
      <c r="C207" s="1">
        <f>value(AUD!$B207)</f>
        <v>8843.63381</v>
      </c>
      <c r="D207" s="1">
        <f>value(EUR!$B207)</f>
        <v>12494.12559</v>
      </c>
      <c r="E207" s="1">
        <f>value(GBP!$B207)</f>
        <v>14291.64849</v>
      </c>
      <c r="F207" s="1">
        <f>value(CHF!$B207)</f>
        <v>9327.4447</v>
      </c>
      <c r="G207" s="1">
        <f>value(SGD!$B207)</f>
        <v>6895.065329</v>
      </c>
      <c r="H207" s="1">
        <f>value(MYR!$B207)</f>
        <v>2892.670434</v>
      </c>
      <c r="I207" s="1">
        <f>value(THB!$B207)</f>
        <v>297.261996</v>
      </c>
      <c r="J207" s="1">
        <f>value(VND!$B207)</f>
        <v>0.468070516</v>
      </c>
      <c r="K207" s="1">
        <f>value(CNY!$B207)</f>
        <v>1347.636387</v>
      </c>
      <c r="L207" s="1">
        <f>value(HKD!$B207)</f>
        <v>1152.829239</v>
      </c>
      <c r="M207" s="1">
        <f>value(TWD!$B207)</f>
        <v>289.839389</v>
      </c>
      <c r="N207" s="1">
        <f>value(JPY!$B207)</f>
        <v>109.818812</v>
      </c>
      <c r="O207" s="1">
        <f>value(SAR!$B207)</f>
        <v>2386.104751</v>
      </c>
      <c r="P207" s="1">
        <f>value(AED!$B207)</f>
        <v>2435.560141</v>
      </c>
      <c r="Q207" s="1">
        <f>value(KWD!$B207)</f>
        <v>31759.66666</v>
      </c>
    </row>
    <row r="208">
      <c r="A208" s="4">
        <f>value(USD!A208)</f>
        <v>40469.99861</v>
      </c>
      <c r="B208" s="1">
        <f>value(USD!B208)</f>
        <v>8946.7</v>
      </c>
      <c r="C208" s="1">
        <f>value(AUD!$B208)</f>
        <v>8850.97031</v>
      </c>
      <c r="D208" s="1">
        <f>value(EUR!$B208)</f>
        <v>12467.22645</v>
      </c>
      <c r="E208" s="1">
        <f>value(GBP!$B208)</f>
        <v>14218.09564</v>
      </c>
      <c r="F208" s="1">
        <f>value(CHF!$B208)</f>
        <v>9326.93475</v>
      </c>
      <c r="G208" s="1">
        <f>value(SGD!$B208)</f>
        <v>6875.717884</v>
      </c>
      <c r="H208" s="1">
        <f>value(MYR!$B208)</f>
        <v>2878.332324</v>
      </c>
      <c r="I208" s="1">
        <f>value(THB!$B208)</f>
        <v>296.851506</v>
      </c>
      <c r="J208" s="1">
        <f>value(VND!$B208)</f>
        <v>0.4608478889</v>
      </c>
      <c r="K208" s="1">
        <f>value(CNY!$B208)</f>
        <v>1323.919506</v>
      </c>
      <c r="L208" s="1">
        <f>value(HKD!$B208)</f>
        <v>1153.319097</v>
      </c>
      <c r="M208" s="1">
        <f>value(TWD!$B208)</f>
        <v>290.76775</v>
      </c>
      <c r="N208" s="1">
        <f>value(JPY!$B208)</f>
        <v>110.133877</v>
      </c>
      <c r="O208" s="1">
        <f>value(SAR!$B208)</f>
        <v>2391.748415</v>
      </c>
      <c r="P208" s="1">
        <f>value(AED!$B208)</f>
        <v>2441.385863</v>
      </c>
      <c r="Q208" s="1">
        <f>value(KWD!$B208)</f>
        <v>31921.75465</v>
      </c>
    </row>
    <row r="209">
      <c r="A209" s="4">
        <f>value(USD!A209)</f>
        <v>40470.99861</v>
      </c>
      <c r="B209" s="1">
        <f>value(USD!B209)</f>
        <v>8968.1</v>
      </c>
      <c r="C209" s="1">
        <f>value(AUD!$B209)</f>
        <v>8704.527541</v>
      </c>
      <c r="D209" s="1">
        <f>value(EUR!$B209)</f>
        <v>12314.99492</v>
      </c>
      <c r="E209" s="1">
        <f>value(GBP!$B209)</f>
        <v>14079.917</v>
      </c>
      <c r="F209" s="1">
        <f>value(CHF!$B209)</f>
        <v>9237.143</v>
      </c>
      <c r="G209" s="1">
        <f>value(SGD!$B209)</f>
        <v>6819.881326</v>
      </c>
      <c r="H209" s="1">
        <f>value(MYR!$B209)</f>
        <v>2862.527839</v>
      </c>
      <c r="I209" s="1">
        <f>value(THB!$B209)</f>
        <v>295.229852</v>
      </c>
      <c r="J209" s="1">
        <f>value(VND!$B209)</f>
        <v>0.4775467071</v>
      </c>
      <c r="K209" s="1">
        <f>value(CNY!$B209)</f>
        <v>1329.01791</v>
      </c>
      <c r="L209" s="1">
        <f>value(HKD!$B209)</f>
        <v>1155.629366</v>
      </c>
      <c r="M209" s="1">
        <f>value(TWD!$B209)</f>
        <v>286.261752</v>
      </c>
      <c r="N209" s="1">
        <f>value(JPY!$B209)</f>
        <v>109.948906</v>
      </c>
      <c r="O209" s="1">
        <f>value(SAR!$B209)</f>
        <v>2351.69081</v>
      </c>
      <c r="P209" s="1">
        <f>value(AED!$B209)</f>
        <v>2400.673275</v>
      </c>
      <c r="Q209" s="1">
        <f>value(KWD!$B209)</f>
        <v>31313.56213</v>
      </c>
    </row>
    <row r="210">
      <c r="A210" s="4">
        <f>value(USD!A210)</f>
        <v>40471.99861</v>
      </c>
      <c r="B210" s="1">
        <f>value(USD!B210)</f>
        <v>8817.9</v>
      </c>
      <c r="C210" s="1">
        <f>value(AUD!$B210)</f>
        <v>8688.27687</v>
      </c>
      <c r="D210" s="1">
        <f>value(EUR!$B210)</f>
        <v>12313.31556</v>
      </c>
      <c r="E210" s="1">
        <f>value(GBP!$B210)</f>
        <v>13967.5536</v>
      </c>
      <c r="F210" s="1">
        <f>value(CHF!$B210)</f>
        <v>9165.32526</v>
      </c>
      <c r="G210" s="1">
        <f>value(SGD!$B210)</f>
        <v>6767.914608</v>
      </c>
      <c r="H210" s="1">
        <f>value(MYR!$B210)</f>
        <v>2824.37337</v>
      </c>
      <c r="I210" s="1">
        <f>value(THB!$B210)</f>
        <v>293.371533</v>
      </c>
      <c r="J210" s="1">
        <f>value(VND!$B210)</f>
        <v>0.4545197712</v>
      </c>
      <c r="K210" s="1">
        <f>value(CNY!$B210)</f>
        <v>1337.34407</v>
      </c>
      <c r="L210" s="1">
        <f>value(HKD!$B210)</f>
        <v>1135.657341</v>
      </c>
      <c r="M210" s="1">
        <f>value(TWD!$B210)</f>
        <v>287.728077</v>
      </c>
      <c r="N210" s="1">
        <f>value(JPY!$B210)</f>
        <v>108.812886</v>
      </c>
      <c r="O210" s="1">
        <f>value(SAR!$B210)</f>
        <v>2360.055456</v>
      </c>
      <c r="P210" s="1">
        <f>value(AED!$B210)</f>
        <v>2409.276375</v>
      </c>
      <c r="Q210" s="1">
        <f>value(KWD!$B210)</f>
        <v>31442.52128</v>
      </c>
    </row>
    <row r="211">
      <c r="A211" s="4">
        <f>value(USD!A211)</f>
        <v>40472.99861</v>
      </c>
      <c r="B211" s="1">
        <f>value(USD!B211)</f>
        <v>8849.5</v>
      </c>
      <c r="C211" s="1">
        <f>value(AUD!$B211)</f>
        <v>8660.1207</v>
      </c>
      <c r="D211" s="1">
        <f>value(EUR!$B211)</f>
        <v>12313.1943</v>
      </c>
      <c r="E211" s="1">
        <f>value(GBP!$B211)</f>
        <v>13900.52911</v>
      </c>
      <c r="F211" s="1">
        <f>value(CHF!$B211)</f>
        <v>9141.5335</v>
      </c>
      <c r="G211" s="1">
        <f>value(SGD!$B211)</f>
        <v>6795.265565</v>
      </c>
      <c r="H211" s="1">
        <f>value(MYR!$B211)</f>
        <v>2834.67184</v>
      </c>
      <c r="I211" s="1">
        <f>value(THB!$B211)</f>
        <v>293.537915</v>
      </c>
      <c r="J211" s="1">
        <f>value(VND!$B211)</f>
        <v>0.4581864841</v>
      </c>
      <c r="K211" s="1">
        <f>value(CNY!$B211)</f>
        <v>1338.78219</v>
      </c>
      <c r="L211" s="1">
        <f>value(HKD!$B211)</f>
        <v>1139.8156</v>
      </c>
      <c r="M211" s="1">
        <f>value(TWD!$B211)</f>
        <v>285.042395</v>
      </c>
      <c r="N211" s="1">
        <f>value(JPY!$B211)</f>
        <v>108.84885</v>
      </c>
      <c r="O211" s="1">
        <f>value(SAR!$B211)</f>
        <v>2378.547008</v>
      </c>
      <c r="P211" s="1">
        <f>value(AED!$B211)</f>
        <v>2428.178036</v>
      </c>
      <c r="Q211" s="1">
        <f>value(KWD!$B211)</f>
        <v>31784.02641</v>
      </c>
    </row>
    <row r="212">
      <c r="A212" s="4">
        <f>value(USD!A212)</f>
        <v>40473.99861</v>
      </c>
      <c r="B212" s="1">
        <f>value(USD!B212)</f>
        <v>8918.6</v>
      </c>
      <c r="C212" s="1">
        <f>value(AUD!$B212)</f>
        <v>8750.03846</v>
      </c>
      <c r="D212" s="1">
        <f>value(EUR!$B212)</f>
        <v>12419.1505</v>
      </c>
      <c r="E212" s="1">
        <f>value(GBP!$B212)</f>
        <v>13981.68922</v>
      </c>
      <c r="F212" s="1">
        <f>value(CHF!$B212)</f>
        <v>9100.53944</v>
      </c>
      <c r="G212" s="1">
        <f>value(SGD!$B212)</f>
        <v>6872.583974</v>
      </c>
      <c r="H212" s="1">
        <f>value(MYR!$B212)</f>
        <v>2866.43804</v>
      </c>
      <c r="I212" s="1">
        <f>value(THB!$B212)</f>
        <v>296.365078</v>
      </c>
      <c r="J212" s="1">
        <f>value(VND!$B212)</f>
        <v>0.4587358643</v>
      </c>
      <c r="K212" s="1">
        <f>value(CNY!$B212)</f>
        <v>1336.224383</v>
      </c>
      <c r="L212" s="1">
        <f>value(HKD!$B212)</f>
        <v>1148.983238</v>
      </c>
      <c r="M212" s="1">
        <f>value(TWD!$B212)</f>
        <v>289.319384</v>
      </c>
      <c r="N212" s="1">
        <f>value(JPY!$B212)</f>
        <v>109.609594</v>
      </c>
      <c r="O212" s="1">
        <f>value(SAR!$B212)</f>
        <v>2380.723776</v>
      </c>
      <c r="P212" s="1">
        <f>value(AED!$B212)</f>
        <v>2430.37575</v>
      </c>
      <c r="Q212" s="1">
        <f>value(KWD!$B212)</f>
        <v>31763.02479</v>
      </c>
    </row>
    <row r="213">
      <c r="A213" s="4">
        <f>value(USD!A213)</f>
        <v>40476.99861</v>
      </c>
      <c r="B213" s="1">
        <f>value(USD!B213)</f>
        <v>8927</v>
      </c>
      <c r="C213" s="1">
        <f>value(AUD!$B213)</f>
        <v>8836.8373</v>
      </c>
      <c r="D213" s="1">
        <f>value(EUR!$B213)</f>
        <v>12446.9161</v>
      </c>
      <c r="E213" s="1">
        <f>value(GBP!$B213)</f>
        <v>14021.6389</v>
      </c>
      <c r="F213" s="1">
        <f>value(CHF!$B213)</f>
        <v>9185.883</v>
      </c>
      <c r="G213" s="1">
        <f>value(SGD!$B213)</f>
        <v>6895.03626</v>
      </c>
      <c r="H213" s="1">
        <f>value(MYR!$B213)</f>
        <v>2874.494</v>
      </c>
      <c r="I213" s="1">
        <f>value(THB!$B213)</f>
        <v>296.55494</v>
      </c>
      <c r="J213" s="1">
        <f>value(VND!$B213)</f>
        <v>0.4579861245</v>
      </c>
      <c r="K213" s="1">
        <f>value(CNY!$B213)</f>
        <v>1334.138454</v>
      </c>
      <c r="L213" s="1">
        <f>value(HKD!$B213)</f>
        <v>1150.60103</v>
      </c>
      <c r="M213" s="1">
        <f>value(TWD!$B213)</f>
        <v>295.21589</v>
      </c>
      <c r="N213" s="1">
        <f>value(JPY!$B213)</f>
        <v>110.51626</v>
      </c>
      <c r="O213" s="1">
        <f>value(SAR!$B213)</f>
        <v>2377.443513</v>
      </c>
      <c r="P213" s="1">
        <f>value(AED!$B213)</f>
        <v>2427.116222</v>
      </c>
      <c r="Q213" s="1">
        <f>value(KWD!$B213)</f>
        <v>31702.34024</v>
      </c>
    </row>
    <row r="214">
      <c r="A214" s="4">
        <f>value(USD!A214)</f>
        <v>40477.99861</v>
      </c>
      <c r="B214" s="1">
        <f>value(USD!B214)</f>
        <v>8914.7</v>
      </c>
      <c r="C214" s="1">
        <f>value(AUD!$B214)</f>
        <v>8789.8942</v>
      </c>
      <c r="D214" s="1">
        <f>value(EUR!$B214)</f>
        <v>12349.89049</v>
      </c>
      <c r="E214" s="1">
        <f>value(GBP!$B214)</f>
        <v>14126.23362</v>
      </c>
      <c r="F214" s="1">
        <f>value(CHF!$B214)</f>
        <v>9054.66079</v>
      </c>
      <c r="G214" s="1">
        <f>value(SGD!$B214)</f>
        <v>6864.853882</v>
      </c>
      <c r="H214" s="1">
        <f>value(MYR!$B214)</f>
        <v>2872.494634</v>
      </c>
      <c r="I214" s="1">
        <f>value(THB!$B214)</f>
        <v>296.057187</v>
      </c>
      <c r="J214" s="1">
        <f>value(VND!$B214)</f>
        <v>0.4587304016</v>
      </c>
      <c r="K214" s="1">
        <f>value(CNY!$B214)</f>
        <v>1318.225508</v>
      </c>
      <c r="L214" s="1">
        <f>value(HKD!$B214)</f>
        <v>1148.837389</v>
      </c>
      <c r="M214" s="1">
        <f>value(TWD!$B214)</f>
        <v>289.192868</v>
      </c>
      <c r="N214" s="1">
        <f>value(JPY!$B214)</f>
        <v>109.561663</v>
      </c>
      <c r="O214" s="1">
        <f>value(SAR!$B214)</f>
        <v>2380.083724</v>
      </c>
      <c r="P214" s="1">
        <f>value(AED!$B214)</f>
        <v>2429.811596</v>
      </c>
      <c r="Q214" s="1">
        <f>value(KWD!$B214)</f>
        <v>31675.59192</v>
      </c>
    </row>
    <row r="215">
      <c r="A215" s="4">
        <f>value(USD!A215)</f>
        <v>40478.99861</v>
      </c>
      <c r="B215" s="1">
        <f>value(USD!B215)</f>
        <v>8924.6</v>
      </c>
      <c r="C215" s="1">
        <f>value(AUD!$B215)</f>
        <v>8678.28104</v>
      </c>
      <c r="D215" s="1">
        <f>value(EUR!$B215)</f>
        <v>12292.74404</v>
      </c>
      <c r="E215" s="1">
        <f>value(GBP!$B215)</f>
        <v>14077.66404</v>
      </c>
      <c r="F215" s="1">
        <f>value(CHF!$B215)</f>
        <v>9012.95354</v>
      </c>
      <c r="G215" s="1">
        <f>value(SGD!$B215)</f>
        <v>6838.207012</v>
      </c>
      <c r="H215" s="1">
        <f>value(MYR!$B215)</f>
        <v>2866.938504</v>
      </c>
      <c r="I215" s="1">
        <f>value(THB!$B215)</f>
        <v>295.40426</v>
      </c>
      <c r="J215" s="1">
        <f>value(VND!$B215)</f>
        <v>0.4595075737</v>
      </c>
      <c r="K215" s="1">
        <f>value(CNY!$B215)</f>
        <v>1336.94176</v>
      </c>
      <c r="L215" s="1">
        <f>value(HKD!$B215)</f>
        <v>1150.291694</v>
      </c>
      <c r="M215" s="1">
        <f>value(TWD!$B215)</f>
        <v>288.71081</v>
      </c>
      <c r="N215" s="1">
        <f>value(JPY!$B215)</f>
        <v>109.237104</v>
      </c>
      <c r="O215" s="1">
        <f>value(SAR!$B215)</f>
        <v>2354.277753</v>
      </c>
      <c r="P215" s="1">
        <f>value(AED!$B215)</f>
        <v>2403.225824</v>
      </c>
      <c r="Q215" s="1">
        <f>value(KWD!$B215)</f>
        <v>31392.59636</v>
      </c>
    </row>
    <row r="216">
      <c r="A216" s="4">
        <f>value(USD!A216)</f>
        <v>40479.99861</v>
      </c>
      <c r="B216" s="1">
        <f>value(USD!B216)</f>
        <v>8827.6</v>
      </c>
      <c r="C216" s="1">
        <f>value(AUD!$B216)</f>
        <v>8637.8066</v>
      </c>
      <c r="D216" s="1">
        <f>value(EUR!$B216)</f>
        <v>12292.433</v>
      </c>
      <c r="E216" s="1">
        <f>value(GBP!$B216)</f>
        <v>14070.31164</v>
      </c>
      <c r="F216" s="1">
        <f>value(CHF!$B216)</f>
        <v>8971.48988</v>
      </c>
      <c r="G216" s="1">
        <f>value(SGD!$B216)</f>
        <v>6807.756844</v>
      </c>
      <c r="H216" s="1">
        <f>value(MYR!$B216)</f>
        <v>2835.8665</v>
      </c>
      <c r="I216" s="1">
        <f>value(THB!$B216)</f>
        <v>292.899768</v>
      </c>
      <c r="J216" s="1">
        <f>value(VND!$B216)</f>
        <v>0.459228785</v>
      </c>
      <c r="K216" s="1">
        <f>value(CNY!$B216)</f>
        <v>1328.969601</v>
      </c>
      <c r="L216" s="1">
        <f>value(HKD!$B216)</f>
        <v>1138.142468</v>
      </c>
      <c r="M216" s="1">
        <f>value(TWD!$B216)</f>
        <v>289.015624</v>
      </c>
      <c r="N216" s="1">
        <f>value(JPY!$B216)</f>
        <v>108.932584</v>
      </c>
      <c r="O216" s="1">
        <f>value(SAR!$B216)</f>
        <v>2382.120722</v>
      </c>
      <c r="P216" s="1">
        <f>value(AED!$B216)</f>
        <v>2431.737</v>
      </c>
      <c r="Q216" s="1">
        <f>value(KWD!$B216)</f>
        <v>31933.07009</v>
      </c>
    </row>
    <row r="217">
      <c r="A217" s="4">
        <f>value(USD!A217)</f>
        <v>40480.99861</v>
      </c>
      <c r="B217" s="1">
        <f>value(USD!B217)</f>
        <v>8932</v>
      </c>
      <c r="C217" s="1">
        <f>value(AUD!$B217)</f>
        <v>8739.962</v>
      </c>
      <c r="D217" s="1">
        <f>value(EUR!$B217)</f>
        <v>12437.81</v>
      </c>
      <c r="E217" s="1">
        <f>value(GBP!$B217)</f>
        <v>14309.9572</v>
      </c>
      <c r="F217" s="1">
        <f>value(CHF!$B217)</f>
        <v>9067.7664</v>
      </c>
      <c r="G217" s="1">
        <f>value(SGD!$B217)</f>
        <v>6898.89816</v>
      </c>
      <c r="H217" s="1">
        <f>value(MYR!$B217)</f>
        <v>2875.47876</v>
      </c>
      <c r="I217" s="1">
        <f>value(THB!$B217)</f>
        <v>297.16764</v>
      </c>
      <c r="J217" s="1">
        <f>value(VND!$B217)</f>
        <v>0.4582253066</v>
      </c>
      <c r="K217" s="1">
        <f>value(CNY!$B217)</f>
        <v>1319.650015</v>
      </c>
      <c r="L217" s="1">
        <f>value(HKD!$B217)</f>
        <v>1152.228</v>
      </c>
      <c r="M217" s="1">
        <f>value(TWD!$B217)</f>
        <v>292.88028</v>
      </c>
      <c r="N217" s="1">
        <f>value(JPY!$B217)</f>
        <v>111.02476</v>
      </c>
      <c r="O217" s="1">
        <f>value(SAR!$B217)</f>
        <v>2375.630035</v>
      </c>
      <c r="P217" s="1">
        <f>value(AED!$B217)</f>
        <v>2425.264854</v>
      </c>
      <c r="Q217" s="1">
        <f>value(KWD!$B217)</f>
        <v>31745.89384</v>
      </c>
    </row>
    <row r="218">
      <c r="A218" s="4">
        <f>value(USD!A218)</f>
        <v>40481.99861</v>
      </c>
      <c r="B218" s="1">
        <f>value(USD!B218)</f>
        <v>8936.55</v>
      </c>
      <c r="C218" s="1">
        <f>value(AUD!$B218)</f>
        <v>8803.67757</v>
      </c>
      <c r="D218" s="1">
        <f>value(EUR!$B218)</f>
        <v>12389.99811</v>
      </c>
      <c r="E218" s="1">
        <f>value(GBP!$B218)</f>
        <v>14300.74266</v>
      </c>
      <c r="F218" s="1">
        <f>value(CHF!$B218)</f>
        <v>8976.49083</v>
      </c>
      <c r="G218" s="1">
        <f>value(SGD!$B218)</f>
        <v>6895.694469</v>
      </c>
      <c r="H218" s="1">
        <f>value(MYR!$B218)</f>
        <v>2884.021704</v>
      </c>
      <c r="I218" s="1">
        <f>value(THB!$B218)</f>
        <v>297.167544</v>
      </c>
      <c r="J218" s="1">
        <f>value(VND!$B218)</f>
        <v>0.4539213158</v>
      </c>
      <c r="K218" s="1">
        <f>value(CNY!$B218)</f>
        <v>1312.070886</v>
      </c>
      <c r="L218" s="1">
        <f>value(HKD!$B218)</f>
        <v>1149.030021</v>
      </c>
      <c r="M218" s="1">
        <f>value(TWD!$B218)</f>
        <v>291.733725</v>
      </c>
      <c r="N218" s="1">
        <f>value(JPY!$B218)</f>
        <v>110.547039</v>
      </c>
      <c r="O218" s="1">
        <f>value(SAR!$B218)</f>
        <v>2353.984388</v>
      </c>
      <c r="P218" s="1">
        <f>value(AED!$B218)</f>
        <v>2403.10289</v>
      </c>
      <c r="Q218" s="1">
        <f>value(KWD!$B218)</f>
        <v>31461.41491</v>
      </c>
    </row>
    <row r="219">
      <c r="A219" s="4">
        <f>value(USD!A219)</f>
        <v>40482.99861</v>
      </c>
      <c r="B219" s="1">
        <f>value(USD!B219)</f>
        <v>8928.571</v>
      </c>
      <c r="C219" s="1">
        <f>value(AUD!$B219)</f>
        <v>8815.02555</v>
      </c>
      <c r="D219" s="1">
        <f>value(EUR!$B219)</f>
        <v>12388.6106</v>
      </c>
      <c r="E219" s="1">
        <f>value(GBP!$B219)</f>
        <v>14148.8795</v>
      </c>
      <c r="F219" s="1">
        <f>value(CHF!$B219)</f>
        <v>9009.20855</v>
      </c>
      <c r="G219" s="1">
        <f>value(SGD!$B219)</f>
        <v>6854.395105</v>
      </c>
      <c r="H219" s="1">
        <f>value(MYR!$B219)</f>
        <v>2854.225305</v>
      </c>
      <c r="I219" s="1">
        <f>value(THB!$B219)</f>
        <v>294.09898</v>
      </c>
      <c r="J219" s="1">
        <f>value(VND!$B219)</f>
        <v>0.4566453162</v>
      </c>
      <c r="K219" s="1">
        <f>value(CNY!$B219)</f>
        <v>1335.334206</v>
      </c>
      <c r="L219" s="1">
        <f>value(HKD!$B219)</f>
        <v>1138.6185</v>
      </c>
      <c r="M219" s="1">
        <f>value(TWD!$B219)</f>
        <v>290.56838</v>
      </c>
      <c r="N219" s="1">
        <f>value(JPY!$B219)</f>
        <v>109.360335</v>
      </c>
      <c r="O219" s="1">
        <f>value(SAR!$B219)</f>
        <v>2339.369496</v>
      </c>
      <c r="P219" s="1">
        <f>value(AED!$B219)</f>
        <v>2388.183042</v>
      </c>
      <c r="Q219" s="1">
        <f>value(KWD!$B219)</f>
        <v>31455.5618</v>
      </c>
    </row>
    <row r="220">
      <c r="A220" s="4">
        <f>value(USD!A220)</f>
        <v>40483.99861</v>
      </c>
      <c r="B220" s="1">
        <f>value(USD!B220)</f>
        <v>8907.9</v>
      </c>
      <c r="C220" s="1">
        <f>value(AUD!$B220)</f>
        <v>8803.27812</v>
      </c>
      <c r="D220" s="1">
        <f>value(EUR!$B220)</f>
        <v>12391.78059</v>
      </c>
      <c r="E220" s="1">
        <f>value(GBP!$B220)</f>
        <v>14129.45436</v>
      </c>
      <c r="F220" s="1">
        <f>value(CHF!$B220)</f>
        <v>9021.69345</v>
      </c>
      <c r="G220" s="1">
        <f>value(SGD!$B220)</f>
        <v>6822.014241</v>
      </c>
      <c r="H220" s="1">
        <f>value(MYR!$B220)</f>
        <v>2860.363653</v>
      </c>
      <c r="I220" s="1">
        <f>value(THB!$B220)</f>
        <v>294.72912</v>
      </c>
      <c r="J220" s="1">
        <f>value(VND!$B220)</f>
        <v>0.4644953577</v>
      </c>
      <c r="K220" s="1">
        <f>value(CNY!$B220)</f>
        <v>1335.178</v>
      </c>
      <c r="L220" s="1">
        <f>value(HKD!$B220)</f>
        <v>1131.637017</v>
      </c>
      <c r="M220" s="1">
        <f>value(TWD!$B220)</f>
        <v>290.167836</v>
      </c>
      <c r="N220" s="1">
        <f>value(JPY!$B220)</f>
        <v>108.155061</v>
      </c>
      <c r="O220" s="1">
        <f>value(SAR!$B220)</f>
        <v>2376.240095</v>
      </c>
      <c r="P220" s="1">
        <f>value(AED!$B220)</f>
        <v>2425.28839</v>
      </c>
      <c r="Q220" s="1">
        <f>value(KWD!$B220)</f>
        <v>32013.32561</v>
      </c>
    </row>
    <row r="221">
      <c r="A221" s="4">
        <f>value(USD!A221)</f>
        <v>40484.99861</v>
      </c>
      <c r="B221" s="1">
        <f>value(USD!B221)</f>
        <v>8826.5</v>
      </c>
      <c r="C221" s="1">
        <f>value(AUD!$B221)</f>
        <v>9046.272235</v>
      </c>
      <c r="D221" s="1">
        <f>value(EUR!$B221)</f>
        <v>12675.29487</v>
      </c>
      <c r="E221" s="1">
        <f>value(GBP!$B221)</f>
        <v>14497.37964</v>
      </c>
      <c r="F221" s="1">
        <f>value(CHF!$B221)</f>
        <v>9297.532825</v>
      </c>
      <c r="G221" s="1">
        <f>value(SGD!$B221)</f>
        <v>6942.454841</v>
      </c>
      <c r="H221" s="1">
        <f>value(MYR!$B221)</f>
        <v>2891.189675</v>
      </c>
      <c r="I221" s="1">
        <f>value(THB!$B221)</f>
        <v>298.661524</v>
      </c>
      <c r="J221" s="1">
        <f>value(VND!$B221)</f>
        <v>0.4572309229</v>
      </c>
      <c r="K221" s="1">
        <f>value(CNY!$B221)</f>
        <v>1330.770052</v>
      </c>
      <c r="L221" s="1">
        <f>value(HKD!$B221)</f>
        <v>1149.472649</v>
      </c>
      <c r="M221" s="1">
        <f>value(TWD!$B221)</f>
        <v>294.919345</v>
      </c>
      <c r="N221" s="1">
        <f>value(JPY!$B221)</f>
        <v>110.305181</v>
      </c>
      <c r="O221" s="1">
        <f>value(SAR!$B221)</f>
        <v>2373.649758</v>
      </c>
      <c r="P221" s="1">
        <f>value(AED!$B221)</f>
        <v>2423.114</v>
      </c>
      <c r="Q221" s="1">
        <f>value(KWD!$B221)</f>
        <v>31928.2427</v>
      </c>
    </row>
    <row r="222">
      <c r="A222" s="4">
        <f>value(USD!A222)</f>
        <v>40485.99861</v>
      </c>
      <c r="B222" s="1">
        <f>value(USD!B222)</f>
        <v>8771.7</v>
      </c>
      <c r="C222" s="1">
        <f>value(AUD!$B222)</f>
        <v>9037.95</v>
      </c>
      <c r="D222" s="1">
        <f>value(EUR!$B222)</f>
        <v>12486.7</v>
      </c>
      <c r="E222" s="1">
        <f>value(GBP!$B222)</f>
        <v>14398.42</v>
      </c>
      <c r="F222" s="1">
        <f>value(CHF!$B222)</f>
        <v>9255.11</v>
      </c>
      <c r="G222" s="1">
        <f>value(SGD!$B222)</f>
        <v>6921.797</v>
      </c>
      <c r="H222" s="1">
        <f>value(MYR!$B222)</f>
        <v>2881.019</v>
      </c>
      <c r="I222" s="1">
        <f>value(THB!$B222)</f>
        <v>297.972</v>
      </c>
      <c r="J222" s="1">
        <f>value(VND!$B222)</f>
        <v>0.4573420619</v>
      </c>
      <c r="K222" s="1">
        <f>value(CNY!$B222)</f>
        <v>1323.3915</v>
      </c>
      <c r="L222" s="1">
        <f>value(HKD!$B222)</f>
        <v>1148.189</v>
      </c>
      <c r="M222" s="1">
        <f>value(TWD!$B222)</f>
        <v>292.454</v>
      </c>
      <c r="N222" s="1">
        <f>value(JPY!$B222)</f>
        <v>109.47</v>
      </c>
      <c r="O222" s="1">
        <f>value(SAR!$B222)</f>
        <v>2374.51994</v>
      </c>
      <c r="P222" s="1">
        <f>value(AED!$B222)</f>
        <v>2424.325557</v>
      </c>
      <c r="Q222" s="1">
        <f>value(KWD!$B222)</f>
        <v>31767.56924</v>
      </c>
    </row>
    <row r="223">
      <c r="A223" s="4">
        <f>value(USD!A223)</f>
        <v>40486.99861</v>
      </c>
      <c r="B223" s="1">
        <f>value(USD!B223)</f>
        <v>8909.95</v>
      </c>
      <c r="C223" s="1">
        <f>value(AUD!$B223)</f>
        <v>8993.4945</v>
      </c>
      <c r="D223" s="1">
        <f>value(EUR!$B223)</f>
        <v>12350.82832</v>
      </c>
      <c r="E223" s="1">
        <f>value(GBP!$B223)</f>
        <v>14348.09646</v>
      </c>
      <c r="F223" s="1">
        <f>value(CHF!$B223)</f>
        <v>9200.07774</v>
      </c>
      <c r="G223" s="1">
        <f>value(SGD!$B223)</f>
        <v>6904.243396</v>
      </c>
      <c r="H223" s="1">
        <f>value(MYR!$B223)</f>
        <v>2865.45201</v>
      </c>
      <c r="I223" s="1">
        <f>value(THB!$B223)</f>
        <v>297.3195855</v>
      </c>
      <c r="J223" s="1">
        <f>value(VND!$B223)</f>
        <v>0.4523503681</v>
      </c>
      <c r="K223" s="1">
        <f>value(CNY!$B223)</f>
        <v>1321.3298</v>
      </c>
      <c r="L223" s="1">
        <f>value(HKD!$B223)</f>
        <v>1148.67405</v>
      </c>
      <c r="M223" s="1">
        <f>value(TWD!$B223)</f>
        <v>293.5797165</v>
      </c>
      <c r="N223" s="1">
        <f>value(JPY!$B223)</f>
        <v>109.7918685</v>
      </c>
      <c r="O223" s="1">
        <f>value(SAR!$B223)</f>
        <v>2347.999941</v>
      </c>
      <c r="P223" s="1">
        <f>value(AED!$B223)</f>
        <v>2397.2493</v>
      </c>
      <c r="Q223" s="1">
        <f>value(KWD!$B223)</f>
        <v>31418.37081</v>
      </c>
    </row>
    <row r="224">
      <c r="A224" s="4">
        <f>value(USD!A224)</f>
        <v>40487.99861</v>
      </c>
      <c r="B224" s="1">
        <f>value(USD!B224)</f>
        <v>8900</v>
      </c>
      <c r="C224" s="1">
        <f>value(AUD!$B224)</f>
        <v>8844.6225</v>
      </c>
      <c r="D224" s="1">
        <f>value(EUR!$B224)</f>
        <v>12123.86865</v>
      </c>
      <c r="E224" s="1">
        <f>value(GBP!$B224)</f>
        <v>14088</v>
      </c>
      <c r="F224" s="1">
        <f>value(CHF!$B224)</f>
        <v>9096.4455</v>
      </c>
      <c r="G224" s="1">
        <f>value(SGD!$B224)</f>
        <v>6821.32155</v>
      </c>
      <c r="H224" s="1">
        <f>value(MYR!$B224)</f>
        <v>2820.4176</v>
      </c>
      <c r="I224" s="1">
        <f>value(THB!$B224)</f>
        <v>294.17505</v>
      </c>
      <c r="J224" s="1">
        <f>value(VND!$B224)</f>
        <v>0.4509296326</v>
      </c>
      <c r="K224" s="1">
        <f>value(CNY!$B224)</f>
        <v>1326.03456</v>
      </c>
      <c r="L224" s="1">
        <f>value(HKD!$B224)</f>
        <v>1135.845</v>
      </c>
      <c r="M224" s="1">
        <f>value(TWD!$B224)</f>
        <v>288.53985</v>
      </c>
      <c r="N224" s="1">
        <f>value(JPY!$B224)</f>
        <v>107.86125</v>
      </c>
      <c r="O224" s="1">
        <f>value(SAR!$B224)</f>
        <v>2341.226608</v>
      </c>
      <c r="P224" s="1">
        <f>value(AED!$B224)</f>
        <v>2390.421692</v>
      </c>
      <c r="Q224" s="1">
        <f>value(KWD!$B224)</f>
        <v>31244.12055</v>
      </c>
    </row>
    <row r="225">
      <c r="A225" s="4">
        <f>value(USD!A225)</f>
        <v>40490.99861</v>
      </c>
      <c r="B225" s="1">
        <f>value(USD!B225)</f>
        <v>8904.45</v>
      </c>
      <c r="C225" s="1">
        <f>value(AUD!$B225)</f>
        <v>8817.35228</v>
      </c>
      <c r="D225" s="1">
        <f>value(EUR!$B225)</f>
        <v>12094.68916</v>
      </c>
      <c r="E225" s="1">
        <f>value(GBP!$B225)</f>
        <v>14150.95928</v>
      </c>
      <c r="F225" s="1">
        <f>value(CHF!$B225)</f>
        <v>9042.11004</v>
      </c>
      <c r="G225" s="1">
        <f>value(SGD!$B225)</f>
        <v>6821.661404</v>
      </c>
      <c r="H225" s="1">
        <f>value(MYR!$B225)</f>
        <v>2848.804608</v>
      </c>
      <c r="I225" s="1">
        <f>value(THB!$B225)</f>
        <v>295.609132</v>
      </c>
      <c r="J225" s="1">
        <f>value(VND!$B225)</f>
        <v>0.4519907482</v>
      </c>
      <c r="K225" s="1">
        <f>value(CNY!$B225)</f>
        <v>1342.415769</v>
      </c>
      <c r="L225" s="1">
        <f>value(HKD!$B225)</f>
        <v>1132.5684</v>
      </c>
      <c r="M225" s="1">
        <f>value(TWD!$B225)</f>
        <v>291.219332</v>
      </c>
      <c r="N225" s="1">
        <f>value(JPY!$B225)</f>
        <v>106.759936</v>
      </c>
      <c r="O225" s="1">
        <f>value(SAR!$B225)</f>
        <v>2346.133274</v>
      </c>
      <c r="P225" s="1">
        <f>value(AED!$B225)</f>
        <v>2395.34348</v>
      </c>
      <c r="Q225" s="1">
        <f>value(KWD!$B225)</f>
        <v>31500.17444</v>
      </c>
    </row>
    <row r="226">
      <c r="A226" s="4">
        <f>value(USD!A226)</f>
        <v>40491.99861</v>
      </c>
      <c r="B226" s="1">
        <f>value(USD!B226)</f>
        <v>8805</v>
      </c>
      <c r="C226" s="1">
        <f>value(AUD!$B226)</f>
        <v>8763.6878</v>
      </c>
      <c r="D226" s="1">
        <f>value(EUR!$B226)</f>
        <v>11982.876</v>
      </c>
      <c r="E226" s="1">
        <f>value(GBP!$B226)</f>
        <v>14166.45162</v>
      </c>
      <c r="F226" s="1">
        <f>value(CHF!$B226)</f>
        <v>9009.152</v>
      </c>
      <c r="G226" s="1">
        <f>value(SGD!$B226)</f>
        <v>6812.20342</v>
      </c>
      <c r="H226" s="1">
        <f>value(MYR!$B226)</f>
        <v>2834.7156</v>
      </c>
      <c r="I226" s="1">
        <f>value(THB!$B226)</f>
        <v>292.62148</v>
      </c>
      <c r="J226" s="1">
        <f>value(VND!$B226)</f>
        <v>0.4586048263</v>
      </c>
      <c r="K226" s="1">
        <f>value(CNY!$B226)</f>
        <v>1347.897409</v>
      </c>
      <c r="L226" s="1">
        <f>value(HKD!$B226)</f>
        <v>1134.942</v>
      </c>
      <c r="M226" s="1">
        <f>value(TWD!$B226)</f>
        <v>289.98208</v>
      </c>
      <c r="N226" s="1">
        <f>value(JPY!$B226)</f>
        <v>106.71974</v>
      </c>
      <c r="O226" s="1">
        <f>value(SAR!$B226)</f>
        <v>2379.853273</v>
      </c>
      <c r="P226" s="1">
        <f>value(AED!$B226)</f>
        <v>2429.770757</v>
      </c>
      <c r="Q226" s="1">
        <f>value(KWD!$B226)</f>
        <v>31973.51992</v>
      </c>
    </row>
    <row r="227">
      <c r="A227" s="4">
        <f>value(USD!A227)</f>
        <v>40492.99861</v>
      </c>
      <c r="B227" s="1">
        <f>value(USD!B227)</f>
        <v>8779.6</v>
      </c>
      <c r="C227" s="1">
        <f>value(AUD!$B227)</f>
        <v>8803.07748</v>
      </c>
      <c r="D227" s="1">
        <f>value(EUR!$B227)</f>
        <v>12216.6796</v>
      </c>
      <c r="E227" s="1">
        <f>value(GBP!$B227)</f>
        <v>14396.92274</v>
      </c>
      <c r="F227" s="1">
        <f>value(CHF!$B227)</f>
        <v>9102.046555</v>
      </c>
      <c r="G227" s="1">
        <f>value(SGD!$B227)</f>
        <v>6873.432901</v>
      </c>
      <c r="H227" s="1">
        <f>value(MYR!$B227)</f>
        <v>2863.856005</v>
      </c>
      <c r="I227" s="1">
        <f>value(THB!$B227)</f>
        <v>297.005696</v>
      </c>
      <c r="J227" s="1">
        <f>value(VND!$B227)</f>
        <v>0.4606961168</v>
      </c>
      <c r="K227" s="1">
        <f>value(CNY!$B227)</f>
        <v>1331.85384</v>
      </c>
      <c r="L227" s="1">
        <f>value(HKD!$B227)</f>
        <v>1151.25405</v>
      </c>
      <c r="M227" s="1">
        <f>value(TWD!$B227)</f>
        <v>294.7745835</v>
      </c>
      <c r="N227" s="1">
        <f>value(JPY!$B227)</f>
        <v>108.2535785</v>
      </c>
      <c r="O227" s="1">
        <f>value(SAR!$B227)</f>
        <v>2391.383698</v>
      </c>
      <c r="P227" s="1">
        <f>value(AED!$B227)</f>
        <v>2441.388262</v>
      </c>
      <c r="Q227" s="1">
        <f>value(KWD!$B227)</f>
        <v>31912.62572</v>
      </c>
    </row>
    <row r="228">
      <c r="A228" s="4">
        <f>value(USD!A228)</f>
        <v>40493.99861</v>
      </c>
      <c r="B228" s="1">
        <f>value(USD!B228)</f>
        <v>8798</v>
      </c>
      <c r="C228" s="1">
        <f>value(AUD!$B228)</f>
        <v>8817.693585</v>
      </c>
      <c r="D228" s="1">
        <f>value(EUR!$B228)</f>
        <v>12171.51988</v>
      </c>
      <c r="E228" s="1">
        <f>value(GBP!$B228)</f>
        <v>14382.89305</v>
      </c>
      <c r="F228" s="1">
        <f>value(CHF!$B228)</f>
        <v>9098.37477</v>
      </c>
      <c r="G228" s="1">
        <f>value(SGD!$B228)</f>
        <v>6866.376465</v>
      </c>
      <c r="H228" s="1">
        <f>value(MYR!$B228)</f>
        <v>2844.654489</v>
      </c>
      <c r="I228" s="1">
        <f>value(THB!$B228)</f>
        <v>297.001944</v>
      </c>
      <c r="J228" s="1">
        <f>value(VND!$B228)</f>
        <v>0.4612259707</v>
      </c>
      <c r="K228" s="1">
        <f>value(CNY!$B228)</f>
        <v>1329.5538</v>
      </c>
      <c r="L228" s="1">
        <f>value(HKD!$B228)</f>
        <v>1156.621701</v>
      </c>
      <c r="M228" s="1">
        <f>value(TWD!$B228)</f>
        <v>294.2220345</v>
      </c>
      <c r="N228" s="1">
        <f>value(JPY!$B228)</f>
        <v>107.788749</v>
      </c>
      <c r="O228" s="1">
        <f>value(SAR!$B228)</f>
        <v>2366.206212</v>
      </c>
      <c r="P228" s="1">
        <f>value(AED!$B228)</f>
        <v>2410.69176</v>
      </c>
      <c r="Q228" s="1">
        <f>value(KWD!$B228)</f>
        <v>31487.99508</v>
      </c>
    </row>
    <row r="229">
      <c r="A229" s="4">
        <f>value(USD!A229)</f>
        <v>40494.99861</v>
      </c>
      <c r="B229" s="1">
        <f>value(USD!B229)</f>
        <v>8924.45</v>
      </c>
      <c r="C229" s="1">
        <f>value(AUD!$B229)</f>
        <v>8641.6848</v>
      </c>
      <c r="D229" s="1">
        <f>value(EUR!$B229)</f>
        <v>11944.9728</v>
      </c>
      <c r="E229" s="1">
        <f>value(GBP!$B229)</f>
        <v>14066.51616</v>
      </c>
      <c r="F229" s="1">
        <f>value(CHF!$B229)</f>
        <v>8885.2248</v>
      </c>
      <c r="G229" s="1">
        <f>value(SGD!$B229)</f>
        <v>6785.91</v>
      </c>
      <c r="H229" s="1">
        <f>value(MYR!$B229)</f>
        <v>2820.28176</v>
      </c>
      <c r="I229" s="1">
        <f>value(THB!$B229)</f>
        <v>293.39928</v>
      </c>
      <c r="J229" s="1">
        <f>value(VND!$B229)</f>
        <v>0.4607771621</v>
      </c>
      <c r="K229" s="1">
        <f>value(CNY!$B229)</f>
        <v>1331.13679</v>
      </c>
      <c r="L229" s="1">
        <f>value(HKD!$B229)</f>
        <v>1141.80408</v>
      </c>
      <c r="M229" s="1">
        <f>value(TWD!$B229)</f>
        <v>290.21112</v>
      </c>
      <c r="N229" s="1">
        <f>value(JPY!$B229)</f>
        <v>106.18344</v>
      </c>
      <c r="O229" s="1">
        <f>value(SAR!$B229)</f>
        <v>2358.933274</v>
      </c>
      <c r="P229" s="1">
        <f>value(AED!$B229)</f>
        <v>2408.3235</v>
      </c>
      <c r="Q229" s="1">
        <f>value(KWD!$B229)</f>
        <v>31458.0302</v>
      </c>
    </row>
    <row r="230">
      <c r="A230" s="4">
        <f>value(USD!A230)</f>
        <v>40497.99861</v>
      </c>
      <c r="B230" s="1">
        <f>value(USD!B230)</f>
        <v>8967.45</v>
      </c>
      <c r="C230" s="1">
        <f>value(AUD!$B230)</f>
        <v>8681.72978</v>
      </c>
      <c r="D230" s="1">
        <f>value(EUR!$B230)</f>
        <v>11988.9838</v>
      </c>
      <c r="E230" s="1">
        <f>value(GBP!$B230)</f>
        <v>14079.2936</v>
      </c>
      <c r="F230" s="1">
        <f>value(CHF!$B230)</f>
        <v>8930.037</v>
      </c>
      <c r="G230" s="1">
        <f>value(SGD!$B230)</f>
        <v>6799.38944</v>
      </c>
      <c r="H230" s="1">
        <f>value(MYR!$B230)</f>
        <v>2821.96246</v>
      </c>
      <c r="I230" s="1">
        <f>value(THB!$B230)</f>
        <v>292.53722</v>
      </c>
      <c r="J230" s="1">
        <f>value(VND!$B230)</f>
        <v>0.4544193176</v>
      </c>
      <c r="K230" s="1">
        <f>value(CNY!$B230)</f>
        <v>1343.468709</v>
      </c>
      <c r="L230" s="1">
        <f>value(HKD!$B230)</f>
        <v>1140.51478</v>
      </c>
      <c r="M230" s="1">
        <f>value(TWD!$B230)</f>
        <v>291.65262</v>
      </c>
      <c r="N230" s="1">
        <f>value(JPY!$B230)</f>
        <v>106.32892</v>
      </c>
      <c r="O230" s="1">
        <f>value(SAR!$B230)</f>
        <v>2358.133274</v>
      </c>
      <c r="P230" s="1">
        <f>value(AED!$B230)</f>
        <v>2407.50675</v>
      </c>
      <c r="Q230" s="1">
        <f>value(KWD!$B230)</f>
        <v>31441.77286</v>
      </c>
    </row>
    <row r="231">
      <c r="A231" s="4">
        <f>value(USD!A231)</f>
        <v>40498.99861</v>
      </c>
      <c r="B231" s="1">
        <f>value(USD!B231)</f>
        <v>8856</v>
      </c>
      <c r="C231" s="1">
        <f>value(AUD!$B231)</f>
        <v>8755.4543</v>
      </c>
      <c r="D231" s="1">
        <f>value(EUR!$B231)</f>
        <v>12074.2322</v>
      </c>
      <c r="E231" s="1">
        <f>value(GBP!$B231)</f>
        <v>14192.1307</v>
      </c>
      <c r="F231" s="1">
        <f>value(CHF!$B231)</f>
        <v>8880.1406</v>
      </c>
      <c r="G231" s="1">
        <f>value(SGD!$B231)</f>
        <v>6823.2588</v>
      </c>
      <c r="H231" s="1">
        <f>value(MYR!$B231)</f>
        <v>2839.39887</v>
      </c>
      <c r="I231" s="1">
        <f>value(THB!$B231)</f>
        <v>294.02975</v>
      </c>
      <c r="J231" s="1">
        <f>value(VND!$B231)</f>
        <v>0.4590824962</v>
      </c>
      <c r="K231" s="1">
        <f>value(CNY!$B231)</f>
        <v>1342.274924</v>
      </c>
      <c r="L231" s="1">
        <f>value(HKD!$B231)</f>
        <v>1140.48171</v>
      </c>
      <c r="M231" s="1">
        <f>value(TWD!$B231)</f>
        <v>291.46528</v>
      </c>
      <c r="N231" s="1">
        <f>value(JPY!$B231)</f>
        <v>105.85071</v>
      </c>
      <c r="O231" s="1">
        <f>value(SAR!$B231)</f>
        <v>2381.846945</v>
      </c>
      <c r="P231" s="1">
        <f>value(AED!$B231)</f>
        <v>2431.587262</v>
      </c>
      <c r="Q231" s="1">
        <f>value(KWD!$B231)</f>
        <v>31756.2617</v>
      </c>
    </row>
    <row r="232">
      <c r="A232" s="4">
        <f>value(USD!A232)</f>
        <v>40499.99861</v>
      </c>
      <c r="B232" s="1">
        <f>value(USD!B232)</f>
        <v>8846</v>
      </c>
      <c r="C232" s="1">
        <f>value(AUD!$B232)</f>
        <v>8802.83712</v>
      </c>
      <c r="D232" s="1">
        <f>value(EUR!$B232)</f>
        <v>12222.68932</v>
      </c>
      <c r="E232" s="1">
        <f>value(GBP!$B232)</f>
        <v>14278.70911</v>
      </c>
      <c r="F232" s="1">
        <f>value(CHF!$B232)</f>
        <v>9002.9016</v>
      </c>
      <c r="G232" s="1">
        <f>value(SGD!$B232)</f>
        <v>6892.042707</v>
      </c>
      <c r="H232" s="1">
        <f>value(MYR!$B232)</f>
        <v>2871.997062</v>
      </c>
      <c r="I232" s="1">
        <f>value(THB!$B232)</f>
        <v>296.702769</v>
      </c>
      <c r="J232" s="1">
        <f>value(VND!$B232)</f>
        <v>0.4590976796</v>
      </c>
      <c r="K232" s="1">
        <f>value(CNY!$B232)</f>
        <v>1347.455564</v>
      </c>
      <c r="L232" s="1">
        <f>value(HKD!$B232)</f>
        <v>1151.799792</v>
      </c>
      <c r="M232" s="1">
        <f>value(TWD!$B232)</f>
        <v>293.3981325</v>
      </c>
      <c r="N232" s="1">
        <f>value(JPY!$B232)</f>
        <v>106.998771</v>
      </c>
      <c r="O232" s="1">
        <f>value(SAR!$B232)</f>
        <v>2382.711578</v>
      </c>
      <c r="P232" s="1">
        <f>value(AED!$B232)</f>
        <v>2431.042762</v>
      </c>
      <c r="Q232" s="1">
        <f>value(KWD!$B232)</f>
        <v>31978.8339</v>
      </c>
    </row>
    <row r="233">
      <c r="A233" s="4">
        <f>value(USD!A233)</f>
        <v>40500.99861</v>
      </c>
      <c r="B233" s="1">
        <f>value(USD!B233)</f>
        <v>8843</v>
      </c>
      <c r="C233" s="1">
        <f>value(AUD!$B233)</f>
        <v>8805.509234</v>
      </c>
      <c r="D233" s="1">
        <f>value(EUR!$B233)</f>
        <v>12142.71258</v>
      </c>
      <c r="E233" s="1">
        <f>value(GBP!$B233)</f>
        <v>14235.32919</v>
      </c>
      <c r="F233" s="1">
        <f>value(CHF!$B233)</f>
        <v>9034.81751</v>
      </c>
      <c r="G233" s="1">
        <f>value(SGD!$B233)</f>
        <v>6869.872357</v>
      </c>
      <c r="H233" s="1">
        <f>value(MYR!$B233)</f>
        <v>2872.604065</v>
      </c>
      <c r="I233" s="1">
        <f>value(THB!$B233)</f>
        <v>295.2969115</v>
      </c>
      <c r="J233" s="1">
        <f>value(VND!$B233)</f>
        <v>0.4608738094</v>
      </c>
      <c r="K233" s="1">
        <f>value(CNY!$B233)</f>
        <v>1344.905247</v>
      </c>
      <c r="L233" s="1">
        <f>value(HKD!$B233)</f>
        <v>1151.184694</v>
      </c>
      <c r="M233" s="1">
        <f>value(TWD!$B233)</f>
        <v>292.4394875</v>
      </c>
      <c r="N233" s="1">
        <f>value(JPY!$B233)</f>
        <v>107.1534</v>
      </c>
      <c r="O233" s="1">
        <f>value(SAR!$B233)</f>
        <v>2391.459705</v>
      </c>
      <c r="P233" s="1">
        <f>value(AED!$B233)</f>
        <v>2441.075175</v>
      </c>
      <c r="Q233" s="1">
        <f>value(KWD!$B233)</f>
        <v>31897.18186</v>
      </c>
    </row>
    <row r="234">
      <c r="A234" s="4">
        <f>value(USD!A234)</f>
        <v>40501.99861</v>
      </c>
      <c r="B234" s="1">
        <f>value(USD!B234)</f>
        <v>8931.45</v>
      </c>
      <c r="C234" s="1">
        <f>value(AUD!$B234)</f>
        <v>8737.480024</v>
      </c>
      <c r="D234" s="1">
        <f>value(EUR!$B234)</f>
        <v>12001.21322</v>
      </c>
      <c r="E234" s="1">
        <f>value(GBP!$B234)</f>
        <v>14166.754</v>
      </c>
      <c r="F234" s="1">
        <f>value(CHF!$B234)</f>
        <v>8994.99216</v>
      </c>
      <c r="G234" s="1">
        <f>value(SGD!$B234)</f>
        <v>6820.036769</v>
      </c>
      <c r="H234" s="1">
        <f>value(MYR!$B234)</f>
        <v>2862.132623</v>
      </c>
      <c r="I234" s="1">
        <f>value(THB!$B234)</f>
        <v>296.336215</v>
      </c>
      <c r="J234" s="1">
        <f>value(VND!$B234)</f>
        <v>0.4605575498</v>
      </c>
      <c r="K234" s="1">
        <f>value(CNY!$B234)</f>
        <v>1346.552292</v>
      </c>
      <c r="L234" s="1">
        <f>value(HKD!$B234)</f>
        <v>1155.666407</v>
      </c>
      <c r="M234" s="1">
        <f>value(TWD!$B234)</f>
        <v>290.239131</v>
      </c>
      <c r="N234" s="1">
        <f>value(JPY!$B234)</f>
        <v>107.685263</v>
      </c>
      <c r="O234" s="1">
        <f>value(SAR!$B234)</f>
        <v>2390.432847</v>
      </c>
      <c r="P234" s="1">
        <f>value(AED!$B234)</f>
        <v>2439.937388</v>
      </c>
      <c r="Q234" s="1">
        <f>value(KWD!$B234)</f>
        <v>31843.83579</v>
      </c>
    </row>
    <row r="235">
      <c r="A235" s="4">
        <f>value(USD!A235)</f>
        <v>40504.99861</v>
      </c>
      <c r="B235" s="1">
        <f>value(USD!B235)</f>
        <v>8929.45</v>
      </c>
      <c r="C235" s="1">
        <f>value(AUD!$B235)</f>
        <v>8824.42827</v>
      </c>
      <c r="D235" s="1">
        <f>value(EUR!$B235)</f>
        <v>11971.86146</v>
      </c>
      <c r="E235" s="1">
        <f>value(GBP!$B235)</f>
        <v>14151.1708</v>
      </c>
      <c r="F235" s="1">
        <f>value(CHF!$B235)</f>
        <v>9009.950985</v>
      </c>
      <c r="G235" s="1">
        <f>value(SGD!$B235)</f>
        <v>6856.722372</v>
      </c>
      <c r="H235" s="1">
        <f>value(MYR!$B235)</f>
        <v>2853.285582</v>
      </c>
      <c r="I235" s="1">
        <f>value(THB!$B235)</f>
        <v>296.5674705</v>
      </c>
      <c r="J235" s="1">
        <f>value(VND!$B235)</f>
        <v>0.4671276705</v>
      </c>
      <c r="K235" s="1">
        <f>value(CNY!$B235)</f>
        <v>1332.4755</v>
      </c>
      <c r="L235" s="1">
        <f>value(HKD!$B235)</f>
        <v>1155.080556</v>
      </c>
      <c r="M235" s="1">
        <f>value(TWD!$B235)</f>
        <v>294.5957315</v>
      </c>
      <c r="N235" s="1">
        <f>value(JPY!$B235)</f>
        <v>107.2805265</v>
      </c>
      <c r="O235" s="1">
        <f>value(SAR!$B235)</f>
        <v>2391.192423</v>
      </c>
      <c r="P235" s="1">
        <f>value(AED!$B235)</f>
        <v>2440.760541</v>
      </c>
      <c r="Q235" s="1">
        <f>value(KWD!$B235)</f>
        <v>32024.31531</v>
      </c>
    </row>
    <row r="236">
      <c r="A236" s="4">
        <f>value(USD!A236)</f>
        <v>40505.99861</v>
      </c>
      <c r="B236" s="1">
        <f>value(USD!B236)</f>
        <v>8966.3</v>
      </c>
      <c r="C236" s="1">
        <f>value(AUD!$B236)</f>
        <v>8760.570928</v>
      </c>
      <c r="D236" s="1">
        <f>value(EUR!$B236)</f>
        <v>11960.78481</v>
      </c>
      <c r="E236" s="1">
        <f>value(GBP!$B236)</f>
        <v>14129.47291</v>
      </c>
      <c r="F236" s="1">
        <f>value(CHF!$B236)</f>
        <v>8967.45</v>
      </c>
      <c r="G236" s="1">
        <f>value(SGD!$B236)</f>
        <v>6847.455145</v>
      </c>
      <c r="H236" s="1">
        <f>value(MYR!$B236)</f>
        <v>2863.037761</v>
      </c>
      <c r="I236" s="1">
        <f>value(THB!$B236)</f>
        <v>298.1677125</v>
      </c>
      <c r="J236" s="1">
        <f>value(VND!$B236)</f>
        <v>0.4572456279</v>
      </c>
      <c r="K236" s="1">
        <f>value(CNY!$B236)</f>
        <v>1351.506109</v>
      </c>
      <c r="L236" s="1">
        <f>value(HKD!$B236)</f>
        <v>1155.635281</v>
      </c>
      <c r="M236" s="1">
        <f>value(TWD!$B236)</f>
        <v>294.4013835</v>
      </c>
      <c r="N236" s="1">
        <f>value(JPY!$B236)</f>
        <v>107.1610275</v>
      </c>
      <c r="O236" s="1">
        <f>value(SAR!$B236)</f>
        <v>2373.242972</v>
      </c>
      <c r="P236" s="1">
        <f>value(AED!$B236)</f>
        <v>2422.4805</v>
      </c>
      <c r="Q236" s="1">
        <f>value(KWD!$B236)</f>
        <v>31586.78775</v>
      </c>
    </row>
    <row r="237">
      <c r="A237" s="4">
        <f>value(USD!A237)</f>
        <v>40506.99861</v>
      </c>
      <c r="B237" s="1">
        <f>value(USD!B237)</f>
        <v>8962.45</v>
      </c>
      <c r="C237" s="1">
        <f>value(AUD!$B237)</f>
        <v>8579.4516</v>
      </c>
      <c r="D237" s="1">
        <f>value(EUR!$B237)</f>
        <v>11788.0704</v>
      </c>
      <c r="E237" s="1">
        <f>value(GBP!$B237)</f>
        <v>13873.7616</v>
      </c>
      <c r="F237" s="1">
        <f>value(CHF!$B237)</f>
        <v>8873.26356</v>
      </c>
      <c r="G237" s="1">
        <f>value(SGD!$B237)</f>
        <v>6740.94684</v>
      </c>
      <c r="H237" s="1">
        <f>value(MYR!$B237)</f>
        <v>2820.48804</v>
      </c>
      <c r="I237" s="1">
        <f>value(THB!$B237)</f>
        <v>292.21032</v>
      </c>
      <c r="J237" s="1">
        <f>value(VND!$B237)</f>
        <v>0.4632810852</v>
      </c>
      <c r="K237" s="1">
        <f>value(CNY!$B237)</f>
        <v>1353.014691</v>
      </c>
      <c r="L237" s="1">
        <f>value(HKD!$B237)</f>
        <v>1146.0624</v>
      </c>
      <c r="M237" s="1">
        <f>value(TWD!$B237)</f>
        <v>291.76542</v>
      </c>
      <c r="N237" s="1">
        <f>value(JPY!$B237)</f>
        <v>105.79722</v>
      </c>
      <c r="O237" s="1">
        <f>value(SAR!$B237)</f>
        <v>2404.312329</v>
      </c>
      <c r="P237" s="1">
        <f>value(AED!$B237)</f>
        <v>2454.366108</v>
      </c>
      <c r="Q237" s="1">
        <f>value(KWD!$B237)</f>
        <v>31969.67822</v>
      </c>
    </row>
    <row r="238">
      <c r="A238" s="4">
        <f>value(USD!A238)</f>
        <v>40507.99861</v>
      </c>
      <c r="B238" s="1">
        <f>value(USD!B238)</f>
        <v>8967.45</v>
      </c>
      <c r="C238" s="1">
        <f>value(AUD!$B238)</f>
        <v>8671.05981</v>
      </c>
      <c r="D238" s="1">
        <f>value(EUR!$B238)</f>
        <v>11808.43641</v>
      </c>
      <c r="E238" s="1">
        <f>value(GBP!$B238)</f>
        <v>14022.63093</v>
      </c>
      <c r="F238" s="1">
        <f>value(CHF!$B238)</f>
        <v>9004.811769</v>
      </c>
      <c r="G238" s="1">
        <f>value(SGD!$B238)</f>
        <v>6827.851057</v>
      </c>
      <c r="H238" s="1">
        <f>value(MYR!$B238)</f>
        <v>2858.799195</v>
      </c>
      <c r="I238" s="1">
        <f>value(THB!$B238)</f>
        <v>296.6984595</v>
      </c>
      <c r="J238" s="1">
        <f>value(VND!$B238)</f>
        <v>0.4641125051</v>
      </c>
      <c r="K238" s="1">
        <f>value(CNY!$B238)</f>
        <v>1351.414732</v>
      </c>
      <c r="L238" s="1">
        <f>value(HKD!$B238)</f>
        <v>1160.829342</v>
      </c>
      <c r="M238" s="1">
        <f>value(TWD!$B238)</f>
        <v>294.264288</v>
      </c>
      <c r="N238" s="1">
        <f>value(JPY!$B238)</f>
        <v>107.0133915</v>
      </c>
      <c r="O238" s="1">
        <f>value(SAR!$B238)</f>
        <v>2408.989041</v>
      </c>
      <c r="P238" s="1">
        <f>value(AED!$B238)</f>
        <v>2459.402548</v>
      </c>
      <c r="Q238" s="1">
        <f>value(KWD!$B238)</f>
        <v>31967.26445</v>
      </c>
    </row>
    <row r="239">
      <c r="A239" s="4">
        <f>value(USD!A239)</f>
        <v>40508.99861</v>
      </c>
      <c r="B239" s="1">
        <f>value(USD!B239)</f>
        <v>8898</v>
      </c>
      <c r="C239" s="1">
        <f>value(AUD!$B239)</f>
        <v>8664.461445</v>
      </c>
      <c r="D239" s="1">
        <f>value(EUR!$B239)</f>
        <v>11736.00444</v>
      </c>
      <c r="E239" s="1">
        <f>value(GBP!$B239)</f>
        <v>14061.34317</v>
      </c>
      <c r="F239" s="1">
        <f>value(CHF!$B239)</f>
        <v>9002.150496</v>
      </c>
      <c r="G239" s="1">
        <f>value(SGD!$B239)</f>
        <v>6838.70015</v>
      </c>
      <c r="H239" s="1">
        <f>value(MYR!$B239)</f>
        <v>2839.641503</v>
      </c>
      <c r="I239" s="1">
        <f>value(THB!$B239)</f>
        <v>296.2232205</v>
      </c>
      <c r="J239" s="1">
        <f>value(VND!$B239)</f>
        <v>0.4633162041</v>
      </c>
      <c r="K239" s="1">
        <f>value(CNY!$B239)</f>
        <v>1336.5084</v>
      </c>
      <c r="L239" s="1">
        <f>value(HKD!$B239)</f>
        <v>1163.030723</v>
      </c>
      <c r="M239" s="1">
        <f>value(TWD!$B239)</f>
        <v>295.5005045</v>
      </c>
      <c r="N239" s="1">
        <f>value(JPY!$B239)</f>
        <v>107.9557025</v>
      </c>
      <c r="O239" s="1">
        <f>value(SAR!$B239)</f>
        <v>2404.919939</v>
      </c>
      <c r="P239" s="1">
        <f>value(AED!$B239)</f>
        <v>2455.182828</v>
      </c>
      <c r="Q239" s="1">
        <f>value(KWD!$B239)</f>
        <v>31912.41661</v>
      </c>
    </row>
    <row r="240">
      <c r="A240" s="4">
        <f>value(USD!A240)</f>
        <v>40511.99861</v>
      </c>
      <c r="B240" s="1">
        <f>value(USD!B240)</f>
        <v>9015.45</v>
      </c>
      <c r="C240" s="1">
        <f>value(AUD!$B240)</f>
        <v>8704.878493</v>
      </c>
      <c r="D240" s="1">
        <f>value(EUR!$B240)</f>
        <v>11834.01009</v>
      </c>
      <c r="E240" s="1">
        <f>value(GBP!$B240)</f>
        <v>14075.09491</v>
      </c>
      <c r="F240" s="1">
        <f>value(CHF!$B240)</f>
        <v>8992.386679</v>
      </c>
      <c r="G240" s="1">
        <f>value(SGD!$B240)</f>
        <v>6879.544213</v>
      </c>
      <c r="H240" s="1">
        <f>value(MYR!$B240)</f>
        <v>2852.896473</v>
      </c>
      <c r="I240" s="1">
        <f>value(THB!$B240)</f>
        <v>297.60885</v>
      </c>
      <c r="J240" s="1">
        <f>value(VND!$B240)</f>
        <v>0.4581706022</v>
      </c>
      <c r="K240" s="1">
        <f>value(CNY!$B240)</f>
        <v>1346.40225</v>
      </c>
      <c r="L240" s="1">
        <f>value(HKD!$B240)</f>
        <v>1160.945068</v>
      </c>
      <c r="M240" s="1">
        <f>value(TWD!$B240)</f>
        <v>297.248112</v>
      </c>
      <c r="N240" s="1">
        <f>value(JPY!$B240)</f>
        <v>107.139186</v>
      </c>
      <c r="O240" s="1">
        <f>value(SAR!$B240)</f>
        <v>2377.59994</v>
      </c>
      <c r="P240" s="1">
        <f>value(AED!$B240)</f>
        <v>2427.29184</v>
      </c>
      <c r="Q240" s="1">
        <f>value(KWD!$B240)</f>
        <v>31572.23361</v>
      </c>
    </row>
    <row r="241">
      <c r="A241" s="4">
        <f>value(USD!A241)</f>
        <v>40512.99861</v>
      </c>
      <c r="B241" s="1">
        <f>value(USD!B241)</f>
        <v>9033.95</v>
      </c>
      <c r="C241" s="1">
        <f>value(AUD!$B241)</f>
        <v>8709.1488</v>
      </c>
      <c r="D241" s="1">
        <f>value(EUR!$B241)</f>
        <v>11780.44332</v>
      </c>
      <c r="E241" s="1">
        <f>value(GBP!$B241)</f>
        <v>13898.2608</v>
      </c>
      <c r="F241" s="1">
        <f>value(CHF!$B241)</f>
        <v>8978.412</v>
      </c>
      <c r="G241" s="1">
        <f>value(SGD!$B241)</f>
        <v>6817.53024</v>
      </c>
      <c r="H241" s="1">
        <f>value(MYR!$B241)</f>
        <v>2821.73568</v>
      </c>
      <c r="I241" s="1">
        <f>value(THB!$B241)</f>
        <v>294.94128</v>
      </c>
      <c r="J241" s="1">
        <f>value(VND!$B241)</f>
        <v>0.461597735</v>
      </c>
      <c r="K241" s="1">
        <f>value(CNY!$B241)</f>
        <v>1353.29449</v>
      </c>
      <c r="L241" s="1">
        <f>value(HKD!$B241)</f>
        <v>1147.935</v>
      </c>
      <c r="M241" s="1">
        <f>value(TWD!$B241)</f>
        <v>294.76296</v>
      </c>
      <c r="N241" s="1">
        <f>value(JPY!$B241)</f>
        <v>106.45704</v>
      </c>
      <c r="O241" s="1">
        <f>value(SAR!$B241)</f>
        <v>2395.936056</v>
      </c>
      <c r="P241" s="1">
        <f>value(AED!$B241)</f>
        <v>2446.0764</v>
      </c>
      <c r="Q241" s="1">
        <f>value(KWD!$B241)</f>
        <v>31850.40537</v>
      </c>
    </row>
    <row r="242">
      <c r="A242" s="4">
        <f>value(USD!A242)</f>
        <v>40513.99861</v>
      </c>
      <c r="B242" s="1">
        <f>value(USD!B242)</f>
        <v>9018.45</v>
      </c>
      <c r="C242" s="1">
        <f>value(AUD!$B242)</f>
        <v>8914.0185</v>
      </c>
      <c r="D242" s="1">
        <f>value(EUR!$B242)</f>
        <v>12049.7835</v>
      </c>
      <c r="E242" s="1">
        <f>value(GBP!$B242)</f>
        <v>14168.4465</v>
      </c>
      <c r="F242" s="1">
        <f>value(CHF!$B242)</f>
        <v>9210.5235</v>
      </c>
      <c r="G242" s="1">
        <f>value(SGD!$B242)</f>
        <v>6888.2604</v>
      </c>
      <c r="H242" s="1">
        <f>value(MYR!$B242)</f>
        <v>2861.27325</v>
      </c>
      <c r="I242" s="1">
        <f>value(THB!$B242)</f>
        <v>298.03245</v>
      </c>
      <c r="J242" s="1">
        <f>value(VND!$B242)</f>
        <v>0.4629984542</v>
      </c>
      <c r="K242" s="1">
        <f>value(CNY!$B242)</f>
        <v>1350.7475</v>
      </c>
      <c r="L242" s="1">
        <f>value(HKD!$B242)</f>
        <v>1157.17815</v>
      </c>
      <c r="M242" s="1">
        <f>value(TWD!$B242)</f>
        <v>300.099</v>
      </c>
      <c r="N242" s="1">
        <f>value(JPY!$B242)</f>
        <v>108.62865</v>
      </c>
      <c r="O242" s="1">
        <f>value(SAR!$B242)</f>
        <v>2402.653273</v>
      </c>
      <c r="P242" s="1">
        <f>value(AED!$B242)</f>
        <v>2452.958887</v>
      </c>
      <c r="Q242" s="1">
        <f>value(KWD!$B242)</f>
        <v>32035.37277</v>
      </c>
    </row>
    <row r="243">
      <c r="A243" s="4">
        <f>value(USD!A243)</f>
        <v>40514.99861</v>
      </c>
      <c r="B243" s="1">
        <f>value(USD!B243)</f>
        <v>8916</v>
      </c>
      <c r="C243" s="1">
        <f>value(AUD!$B243)</f>
        <v>8904.533585</v>
      </c>
      <c r="D243" s="1">
        <f>value(EUR!$B243)</f>
        <v>11969.71857</v>
      </c>
      <c r="E243" s="1">
        <f>value(GBP!$B243)</f>
        <v>14151.02747</v>
      </c>
      <c r="F243" s="1">
        <f>value(CHF!$B243)</f>
        <v>9173.030095</v>
      </c>
      <c r="G243" s="1">
        <f>value(SGD!$B243)</f>
        <v>6895.765232</v>
      </c>
      <c r="H243" s="1">
        <f>value(MYR!$B243)</f>
        <v>2864.353204</v>
      </c>
      <c r="I243" s="1">
        <f>value(THB!$B243)</f>
        <v>298.409544</v>
      </c>
      <c r="J243" s="1">
        <f>value(VND!$B243)</f>
        <v>0.4619732743</v>
      </c>
      <c r="K243" s="1">
        <f>value(CNY!$B243)</f>
        <v>1352.098</v>
      </c>
      <c r="L243" s="1">
        <f>value(HKD!$B243)</f>
        <v>1160.751858</v>
      </c>
      <c r="M243" s="1">
        <f>value(TWD!$B243)</f>
        <v>299.13034</v>
      </c>
      <c r="N243" s="1">
        <f>value(JPY!$B243)</f>
        <v>108.9302955</v>
      </c>
      <c r="O243" s="1">
        <f>value(SAR!$B243)</f>
        <v>2397.333273</v>
      </c>
      <c r="P243" s="1">
        <f>value(AED!$B243)</f>
        <v>2447.6174</v>
      </c>
      <c r="Q243" s="1">
        <f>value(KWD!$B243)</f>
        <v>31970.12113</v>
      </c>
    </row>
    <row r="244">
      <c r="A244" s="4">
        <f>value(USD!A244)</f>
        <v>40515.99861</v>
      </c>
      <c r="B244" s="1">
        <f>value(USD!B244)</f>
        <v>8985</v>
      </c>
      <c r="C244" s="1">
        <f>value(AUD!$B244)</f>
        <v>8832.675</v>
      </c>
      <c r="D244" s="1">
        <f>value(EUR!$B244)</f>
        <v>11906.356</v>
      </c>
      <c r="E244" s="1">
        <f>value(GBP!$B244)</f>
        <v>14156.553</v>
      </c>
      <c r="F244" s="1">
        <f>value(CHF!$B244)</f>
        <v>9098.779</v>
      </c>
      <c r="G244" s="1">
        <f>value(SGD!$B244)</f>
        <v>6857.3922</v>
      </c>
      <c r="H244" s="1">
        <f>value(MYR!$B244)</f>
        <v>2839.4915</v>
      </c>
      <c r="I244" s="1">
        <f>value(THB!$B244)</f>
        <v>295.6811</v>
      </c>
      <c r="J244" s="1">
        <f>value(VND!$B244)</f>
        <v>0.4635148982</v>
      </c>
      <c r="K244" s="1">
        <f>value(CNY!$B244)</f>
        <v>1353.06072</v>
      </c>
      <c r="L244" s="1">
        <f>value(HKD!$B244)</f>
        <v>1157.7322</v>
      </c>
      <c r="M244" s="1">
        <f>value(TWD!$B244)</f>
        <v>296.4003</v>
      </c>
      <c r="N244" s="1">
        <f>value(JPY!$B244)</f>
        <v>107.7002</v>
      </c>
      <c r="O244" s="1">
        <f>value(SAR!$B244)</f>
        <v>2405.269141</v>
      </c>
      <c r="P244" s="1">
        <f>value(AED!$B244)</f>
        <v>2455.7852</v>
      </c>
      <c r="Q244" s="1">
        <f>value(KWD!$B244)</f>
        <v>31974.47484</v>
      </c>
    </row>
    <row r="245">
      <c r="A245" s="4">
        <f>value(USD!A245)</f>
        <v>40518.99861</v>
      </c>
      <c r="B245" s="1">
        <f>value(USD!B245)</f>
        <v>9009.95</v>
      </c>
      <c r="C245" s="1">
        <f>value(AUD!$B245)</f>
        <v>8828.776</v>
      </c>
      <c r="D245" s="1">
        <f>value(EUR!$B245)</f>
        <v>11950.598</v>
      </c>
      <c r="E245" s="1">
        <f>value(GBP!$B245)</f>
        <v>14246.188</v>
      </c>
      <c r="F245" s="1">
        <f>value(CHF!$B245)</f>
        <v>9144.476</v>
      </c>
      <c r="G245" s="1">
        <f>value(SGD!$B245)</f>
        <v>6857.2746</v>
      </c>
      <c r="H245" s="1">
        <f>value(MYR!$B245)</f>
        <v>2867.3678</v>
      </c>
      <c r="I245" s="1">
        <f>value(THB!$B245)</f>
        <v>297.4796</v>
      </c>
      <c r="J245" s="1">
        <f>value(VND!$B245)</f>
        <v>0.4632930856</v>
      </c>
      <c r="K245" s="1">
        <f>value(CNY!$B245)</f>
        <v>1352.25</v>
      </c>
      <c r="L245" s="1">
        <f>value(HKD!$B245)</f>
        <v>1161.2348</v>
      </c>
      <c r="M245" s="1">
        <f>value(TWD!$B245)</f>
        <v>299.1934</v>
      </c>
      <c r="N245" s="1">
        <f>value(JPY!$B245)</f>
        <v>107.2478</v>
      </c>
      <c r="O245" s="1">
        <f>value(SAR!$B245)</f>
        <v>2404.735821</v>
      </c>
      <c r="P245" s="1">
        <f>value(AED!$B245)</f>
        <v>2455.1505</v>
      </c>
      <c r="Q245" s="1">
        <f>value(KWD!$B245)</f>
        <v>31967.38515</v>
      </c>
    </row>
    <row r="246">
      <c r="A246" s="4">
        <f>value(USD!A246)</f>
        <v>40519.99861</v>
      </c>
      <c r="B246" s="1">
        <f>value(USD!B246)</f>
        <v>8990</v>
      </c>
      <c r="C246" s="1">
        <f>value(AUD!$B246)</f>
        <v>8872.8102</v>
      </c>
      <c r="D246" s="1">
        <f>value(EUR!$B246)</f>
        <v>11938.9302</v>
      </c>
      <c r="E246" s="1">
        <f>value(GBP!$B246)</f>
        <v>14222.2878</v>
      </c>
      <c r="F246" s="1">
        <f>value(CHF!$B246)</f>
        <v>9169.5024</v>
      </c>
      <c r="G246" s="1">
        <f>value(SGD!$B246)</f>
        <v>6879.20094</v>
      </c>
      <c r="H246" s="1">
        <f>value(MYR!$B246)</f>
        <v>2875.29912</v>
      </c>
      <c r="I246" s="1">
        <f>value(THB!$B246)</f>
        <v>298.76634</v>
      </c>
      <c r="J246" s="1">
        <f>value(VND!$B246)</f>
        <v>0.4632579609</v>
      </c>
      <c r="K246" s="1">
        <f>value(CNY!$B246)</f>
        <v>1350.2667</v>
      </c>
      <c r="L246" s="1">
        <f>value(HKD!$B246)</f>
        <v>1160.25588</v>
      </c>
      <c r="M246" s="1">
        <f>value(TWD!$B246)</f>
        <v>299.93868</v>
      </c>
      <c r="N246" s="1">
        <f>value(JPY!$B246)</f>
        <v>107.58474</v>
      </c>
      <c r="O246" s="1">
        <f>value(SAR!$B246)</f>
        <v>2403.999939</v>
      </c>
      <c r="P246" s="1">
        <f>value(AED!$B246)</f>
        <v>2454.33375</v>
      </c>
      <c r="Q246" s="1">
        <f>value(KWD!$B246)</f>
        <v>31968.08248</v>
      </c>
    </row>
    <row r="247">
      <c r="A247" s="4">
        <f>value(USD!A247)</f>
        <v>40520.99861</v>
      </c>
      <c r="B247" s="1">
        <f>value(USD!B247)</f>
        <v>9020</v>
      </c>
      <c r="C247" s="1">
        <f>value(AUD!$B247)</f>
        <v>8879.775</v>
      </c>
      <c r="D247" s="1">
        <f>value(EUR!$B247)</f>
        <v>11924.1405</v>
      </c>
      <c r="E247" s="1">
        <f>value(GBP!$B247)</f>
        <v>14251.8135</v>
      </c>
      <c r="F247" s="1">
        <f>value(CHF!$B247)</f>
        <v>9195.3</v>
      </c>
      <c r="G247" s="1">
        <f>value(SGD!$B247)</f>
        <v>6890.61525</v>
      </c>
      <c r="H247" s="1">
        <f>value(MYR!$B247)</f>
        <v>2871.6381</v>
      </c>
      <c r="I247" s="1">
        <f>value(THB!$B247)</f>
        <v>297.495</v>
      </c>
      <c r="J247" s="1">
        <f>value(VND!$B247)</f>
        <v>0.4631389629</v>
      </c>
      <c r="K247" s="1">
        <f>value(CNY!$B247)</f>
        <v>1351.777878</v>
      </c>
      <c r="L247" s="1">
        <f>value(HKD!$B247)</f>
        <v>1159.6896</v>
      </c>
      <c r="M247" s="1">
        <f>value(TWD!$B247)</f>
        <v>299.74875</v>
      </c>
      <c r="N247" s="1">
        <f>value(JPY!$B247)</f>
        <v>107.36865</v>
      </c>
      <c r="O247" s="1">
        <f>value(SAR!$B247)</f>
        <v>2403.935843</v>
      </c>
      <c r="P247" s="1">
        <f>value(AED!$B247)</f>
        <v>2454.33375</v>
      </c>
      <c r="Q247" s="1">
        <f>value(KWD!$B247)</f>
        <v>31979.42335</v>
      </c>
    </row>
    <row r="248">
      <c r="A248" s="4">
        <f>value(USD!A248)</f>
        <v>40521.99861</v>
      </c>
      <c r="B248" s="1">
        <f>value(USD!B248)</f>
        <v>9018</v>
      </c>
      <c r="C248" s="1">
        <f>value(AUD!$B248)</f>
        <v>8969.0235</v>
      </c>
      <c r="D248" s="1">
        <f>value(EUR!$B248)</f>
        <v>12075.5925</v>
      </c>
      <c r="E248" s="1">
        <f>value(GBP!$B248)</f>
        <v>14296.8885</v>
      </c>
      <c r="F248" s="1">
        <f>value(CHF!$B248)</f>
        <v>9312.495</v>
      </c>
      <c r="G248" s="1">
        <f>value(SGD!$B248)</f>
        <v>6914.41485</v>
      </c>
      <c r="H248" s="1">
        <f>value(MYR!$B248)</f>
        <v>2870.10555</v>
      </c>
      <c r="I248" s="1">
        <f>value(THB!$B248)</f>
        <v>298.3965</v>
      </c>
      <c r="J248" s="1">
        <f>value(VND!$B248)</f>
        <v>0.4628538357</v>
      </c>
      <c r="K248" s="1">
        <f>value(CNY!$B248)</f>
        <v>1353.728398</v>
      </c>
      <c r="L248" s="1">
        <f>value(HKD!$B248)</f>
        <v>1158.9684</v>
      </c>
      <c r="M248" s="1">
        <f>value(TWD!$B248)</f>
        <v>303.0843</v>
      </c>
      <c r="N248" s="1">
        <f>value(JPY!$B248)</f>
        <v>107.9997</v>
      </c>
      <c r="O248" s="1">
        <f>value(SAR!$B248)</f>
        <v>2402.519939</v>
      </c>
      <c r="P248" s="1">
        <f>value(AED!$B248)</f>
        <v>2452.822762</v>
      </c>
      <c r="Q248" s="1">
        <f>value(KWD!$B248)</f>
        <v>31976.74536</v>
      </c>
    </row>
    <row r="249">
      <c r="A249" s="4">
        <f>value(USD!A249)</f>
        <v>40522.99861</v>
      </c>
      <c r="B249" s="1">
        <f>value(USD!B249)</f>
        <v>9015</v>
      </c>
      <c r="C249" s="1">
        <f>value(AUD!$B249)</f>
        <v>8982.42165</v>
      </c>
      <c r="D249" s="1">
        <f>value(EUR!$B249)</f>
        <v>12033.92236</v>
      </c>
      <c r="E249" s="1">
        <f>value(GBP!$B249)</f>
        <v>14198.8932</v>
      </c>
      <c r="F249" s="1">
        <f>value(CHF!$B249)</f>
        <v>9370.728945</v>
      </c>
      <c r="G249" s="1">
        <f>value(SGD!$B249)</f>
        <v>6915.473631</v>
      </c>
      <c r="H249" s="1">
        <f>value(MYR!$B249)</f>
        <v>2870.140486</v>
      </c>
      <c r="I249" s="1">
        <f>value(THB!$B249)</f>
        <v>297.672228</v>
      </c>
      <c r="J249" s="1">
        <f>value(VND!$B249)</f>
        <v>0.4636407974</v>
      </c>
      <c r="K249" s="1">
        <f>value(CNY!$B249)</f>
        <v>1338.82302</v>
      </c>
      <c r="L249" s="1">
        <f>value(HKD!$B249)</f>
        <v>1158.885553</v>
      </c>
      <c r="M249" s="1">
        <f>value(TWD!$B249)</f>
        <v>299.2038345</v>
      </c>
      <c r="N249" s="1">
        <f>value(JPY!$B249)</f>
        <v>107.4827385</v>
      </c>
      <c r="O249" s="1">
        <f>value(SAR!$B249)</f>
        <v>2406.050756</v>
      </c>
      <c r="P249" s="1">
        <f>value(AED!$B249)</f>
        <v>2456.362012</v>
      </c>
      <c r="Q249" s="1">
        <f>value(KWD!$B249)</f>
        <v>32186.24602</v>
      </c>
    </row>
    <row r="250">
      <c r="A250" s="4">
        <f>value(USD!A250)</f>
        <v>40525.99861</v>
      </c>
      <c r="B250" s="1">
        <f>value(USD!B250)</f>
        <v>9015</v>
      </c>
      <c r="C250" s="1">
        <f>value(AUD!$B250)</f>
        <v>8904.255905</v>
      </c>
      <c r="D250" s="1">
        <f>value(EUR!$B250)</f>
        <v>11930.38563</v>
      </c>
      <c r="E250" s="1">
        <f>value(GBP!$B250)</f>
        <v>14037.12771</v>
      </c>
      <c r="F250" s="1">
        <f>value(CHF!$B250)</f>
        <v>9324.702075</v>
      </c>
      <c r="G250" s="1">
        <f>value(SGD!$B250)</f>
        <v>6848.129774</v>
      </c>
      <c r="H250" s="1">
        <f>value(MYR!$B250)</f>
        <v>2854.883629</v>
      </c>
      <c r="I250" s="1">
        <f>value(THB!$B250)</f>
        <v>295.93636</v>
      </c>
      <c r="J250" s="1">
        <f>value(VND!$B250)</f>
        <v>0.4591831448</v>
      </c>
      <c r="K250" s="1">
        <f>value(CNY!$B250)</f>
        <v>1355.348189</v>
      </c>
      <c r="L250" s="1">
        <f>value(HKD!$B250)</f>
        <v>1160.196845</v>
      </c>
      <c r="M250" s="1">
        <f>value(TWD!$B250)</f>
        <v>300.3573605</v>
      </c>
      <c r="N250" s="1">
        <f>value(JPY!$B250)</f>
        <v>107.0964815</v>
      </c>
      <c r="O250" s="1">
        <f>value(SAR!$B250)</f>
        <v>2383.593705</v>
      </c>
      <c r="P250" s="1">
        <f>value(AED!$B250)</f>
        <v>2433.3705</v>
      </c>
      <c r="Q250" s="1">
        <f>value(KWD!$B250)</f>
        <v>31723.15181</v>
      </c>
    </row>
    <row r="251">
      <c r="A251" s="4">
        <f>value(USD!A251)</f>
        <v>40526.99861</v>
      </c>
      <c r="B251" s="1">
        <f>value(USD!B251)</f>
        <v>9009.45</v>
      </c>
      <c r="C251" s="1">
        <f>value(AUD!$B251)</f>
        <v>8839.682</v>
      </c>
      <c r="D251" s="1">
        <f>value(EUR!$B251)</f>
        <v>11831.2306</v>
      </c>
      <c r="E251" s="1">
        <f>value(GBP!$B251)</f>
        <v>13969.2002</v>
      </c>
      <c r="F251" s="1">
        <f>value(CHF!$B251)</f>
        <v>9263.3432</v>
      </c>
      <c r="G251" s="1">
        <f>value(SGD!$B251)</f>
        <v>6793.86318</v>
      </c>
      <c r="H251" s="1">
        <f>value(MYR!$B251)</f>
        <v>2853.72464</v>
      </c>
      <c r="I251" s="1">
        <f>value(THB!$B251)</f>
        <v>295.22214</v>
      </c>
      <c r="J251" s="1">
        <f>value(VND!$B251)</f>
        <v>0.4641381922</v>
      </c>
      <c r="K251" s="1">
        <f>value(CNY!$B251)</f>
        <v>1337.78337</v>
      </c>
      <c r="L251" s="1">
        <f>value(HKD!$B251)</f>
        <v>1149.24804</v>
      </c>
      <c r="M251" s="1">
        <f>value(TWD!$B251)</f>
        <v>299.423</v>
      </c>
      <c r="N251" s="1">
        <f>value(JPY!$B251)</f>
        <v>106.3622</v>
      </c>
      <c r="O251" s="1">
        <f>value(SAR!$B251)</f>
        <v>2409.058136</v>
      </c>
      <c r="P251" s="1">
        <f>value(AED!$B251)</f>
        <v>2459.538668</v>
      </c>
      <c r="Q251" s="1">
        <f>value(KWD!$B251)</f>
        <v>32008.6769</v>
      </c>
    </row>
    <row r="252">
      <c r="A252" s="4">
        <f>value(USD!A252)</f>
        <v>40527.99861</v>
      </c>
      <c r="B252" s="1">
        <f>value(USD!B252)</f>
        <v>9022.45</v>
      </c>
      <c r="C252" s="1">
        <f>value(AUD!$B252)</f>
        <v>8926.940045</v>
      </c>
      <c r="D252" s="1">
        <f>value(EUR!$B252)</f>
        <v>11911.01888</v>
      </c>
      <c r="E252" s="1">
        <f>value(GBP!$B252)</f>
        <v>14019.65951</v>
      </c>
      <c r="F252" s="1">
        <f>value(CHF!$B252)</f>
        <v>9310.90417</v>
      </c>
      <c r="G252" s="1">
        <f>value(SGD!$B252)</f>
        <v>6872.957837</v>
      </c>
      <c r="H252" s="1">
        <f>value(MYR!$B252)</f>
        <v>2886.958497</v>
      </c>
      <c r="I252" s="1">
        <f>value(THB!$B252)</f>
        <v>298.0465055</v>
      </c>
      <c r="J252" s="1">
        <f>value(VND!$B252)</f>
        <v>0.4595580637</v>
      </c>
      <c r="K252" s="1">
        <f>value(CNY!$B252)</f>
        <v>1355.930822</v>
      </c>
      <c r="L252" s="1">
        <f>value(HKD!$B252)</f>
        <v>1161.559236</v>
      </c>
      <c r="M252" s="1">
        <f>value(TWD!$B252)</f>
        <v>300.2147735</v>
      </c>
      <c r="N252" s="1">
        <f>value(JPY!$B252)</f>
        <v>107.690644</v>
      </c>
      <c r="O252" s="1">
        <f>value(SAR!$B252)</f>
        <v>2385.054368</v>
      </c>
      <c r="P252" s="1">
        <f>value(AED!$B252)</f>
        <v>2434.73175</v>
      </c>
      <c r="Q252" s="1">
        <f>value(KWD!$B252)</f>
        <v>31656.63708</v>
      </c>
    </row>
    <row r="253">
      <c r="A253" s="4">
        <f>value(USD!A253)</f>
        <v>40528.99861</v>
      </c>
      <c r="B253" s="1">
        <f>value(USD!B253)</f>
        <v>8938</v>
      </c>
      <c r="C253" s="1">
        <f>value(AUD!$B253)</f>
        <v>8876.8218</v>
      </c>
      <c r="D253" s="1">
        <f>value(EUR!$B253)</f>
        <v>11730.5331</v>
      </c>
      <c r="E253" s="1">
        <f>value(GBP!$B253)</f>
        <v>13864.3329</v>
      </c>
      <c r="F253" s="1">
        <f>value(CHF!$B253)</f>
        <v>9268.5252</v>
      </c>
      <c r="G253" s="1">
        <f>value(SGD!$B253)</f>
        <v>6788.36301</v>
      </c>
      <c r="H253" s="1">
        <f>value(MYR!$B253)</f>
        <v>2839.31307</v>
      </c>
      <c r="I253" s="1">
        <f>value(THB!$B253)</f>
        <v>294.31413</v>
      </c>
      <c r="J253" s="1">
        <f>value(VND!$B253)</f>
        <v>0.4646428529</v>
      </c>
      <c r="K253" s="1">
        <f>value(CNY!$B253)</f>
        <v>1358.409984</v>
      </c>
      <c r="L253" s="1">
        <f>value(HKD!$B253)</f>
        <v>1149.98037</v>
      </c>
      <c r="M253" s="1">
        <f>value(TWD!$B253)</f>
        <v>297.71247</v>
      </c>
      <c r="N253" s="1">
        <f>value(JPY!$B253)</f>
        <v>106.68999</v>
      </c>
      <c r="O253" s="1">
        <f>value(SAR!$B253)</f>
        <v>2411.443849</v>
      </c>
      <c r="P253" s="1">
        <f>value(AED!$B253)</f>
        <v>2461.670887</v>
      </c>
      <c r="Q253" s="1">
        <f>value(KWD!$B253)</f>
        <v>32029.57074</v>
      </c>
    </row>
    <row r="254">
      <c r="A254" s="4">
        <f>value(USD!A254)</f>
        <v>40529.99861</v>
      </c>
      <c r="B254" s="1">
        <f>value(USD!B254)</f>
        <v>9034.45</v>
      </c>
      <c r="C254" s="1">
        <f>value(AUD!$B254)</f>
        <v>9008.494785</v>
      </c>
      <c r="D254" s="1">
        <f>value(EUR!$B254)</f>
        <v>11835.91255</v>
      </c>
      <c r="E254" s="1">
        <f>value(GBP!$B254)</f>
        <v>13982.1098</v>
      </c>
      <c r="F254" s="1">
        <f>value(CHF!$B254)</f>
        <v>9433.466435</v>
      </c>
      <c r="G254" s="1">
        <f>value(SGD!$B254)</f>
        <v>6882.280242</v>
      </c>
      <c r="H254" s="1">
        <f>value(MYR!$B254)</f>
        <v>2872.537095</v>
      </c>
      <c r="I254" s="1">
        <f>value(THB!$B254)</f>
        <v>296.937638</v>
      </c>
      <c r="J254" s="1">
        <f>value(VND!$B254)</f>
        <v>0.4646248673</v>
      </c>
      <c r="K254" s="1">
        <f>value(CNY!$B254)</f>
        <v>1357.733169</v>
      </c>
      <c r="L254" s="1">
        <f>value(HKD!$B254)</f>
        <v>1162.975609</v>
      </c>
      <c r="M254" s="1">
        <f>value(TWD!$B254)</f>
        <v>301.096935</v>
      </c>
      <c r="N254" s="1">
        <f>value(JPY!$B254)</f>
        <v>107.8704635</v>
      </c>
      <c r="O254" s="1">
        <f>value(SAR!$B254)</f>
        <v>2411.350506</v>
      </c>
      <c r="P254" s="1">
        <f>value(AED!$B254)</f>
        <v>2461.5756</v>
      </c>
      <c r="Q254" s="1">
        <f>value(KWD!$B254)</f>
        <v>31983.01442</v>
      </c>
    </row>
    <row r="255">
      <c r="A255" s="4">
        <f>value(USD!A255)</f>
        <v>40532.99861</v>
      </c>
      <c r="B255" s="1">
        <f>value(USD!B255)</f>
        <v>8943</v>
      </c>
      <c r="C255" s="1">
        <f>value(AUD!$B255)</f>
        <v>9041.6</v>
      </c>
      <c r="D255" s="1">
        <f>value(EUR!$B255)</f>
        <v>11856.25008</v>
      </c>
      <c r="E255" s="1">
        <f>value(GBP!$B255)</f>
        <v>13924.96816</v>
      </c>
      <c r="F255" s="1">
        <f>value(CHF!$B255)</f>
        <v>9500.91328</v>
      </c>
      <c r="G255" s="1">
        <f>value(SGD!$B255)</f>
        <v>6919.446064</v>
      </c>
      <c r="H255" s="1">
        <f>value(MYR!$B255)</f>
        <v>2889.69536</v>
      </c>
      <c r="I255" s="1">
        <f>value(THB!$B255)</f>
        <v>298.101552</v>
      </c>
      <c r="J255" s="1">
        <f>value(VND!$B255)</f>
        <v>0.4643668077</v>
      </c>
      <c r="K255" s="1">
        <f>value(CNY!$B255)</f>
        <v>1356.69672</v>
      </c>
      <c r="L255" s="1">
        <f>value(HKD!$B255)</f>
        <v>1162.388096</v>
      </c>
      <c r="M255" s="1">
        <f>value(TWD!$B255)</f>
        <v>302.079856</v>
      </c>
      <c r="N255" s="1">
        <f>value(JPY!$B255)</f>
        <v>108.137536</v>
      </c>
      <c r="O255" s="1">
        <f>value(SAR!$B255)</f>
        <v>2410.823319</v>
      </c>
      <c r="P255" s="1">
        <f>value(AED!$B255)</f>
        <v>2460.840525</v>
      </c>
      <c r="Q255" s="1">
        <f>value(KWD!$B255)</f>
        <v>32041.47235</v>
      </c>
    </row>
    <row r="256">
      <c r="A256" s="4">
        <f>value(USD!A256)</f>
        <v>40533.99861</v>
      </c>
      <c r="B256" s="1">
        <f>value(USD!B256)</f>
        <v>9041.95</v>
      </c>
      <c r="C256" s="1">
        <f>value(AUD!$B256)</f>
        <v>9070.53615</v>
      </c>
      <c r="D256" s="1">
        <f>value(EUR!$B256)</f>
        <v>11863.55625</v>
      </c>
      <c r="E256" s="1">
        <f>value(GBP!$B256)</f>
        <v>13958.77327</v>
      </c>
      <c r="F256" s="1">
        <f>value(CHF!$B256)</f>
        <v>9424.86103</v>
      </c>
      <c r="G256" s="1">
        <f>value(SGD!$B256)</f>
        <v>6921.08573</v>
      </c>
      <c r="H256" s="1">
        <f>value(MYR!$B256)</f>
        <v>2902.39079</v>
      </c>
      <c r="I256" s="1">
        <f>value(THB!$B256)</f>
        <v>298.012533</v>
      </c>
      <c r="J256" s="1">
        <f>value(VND!$B256)</f>
        <v>0.4641315477</v>
      </c>
      <c r="K256" s="1">
        <f>value(CNY!$B256)</f>
        <v>1345.76645</v>
      </c>
      <c r="L256" s="1">
        <f>value(HKD!$B256)</f>
        <v>1162.221762</v>
      </c>
      <c r="M256" s="1">
        <f>value(TWD!$B256)</f>
        <v>303.164706</v>
      </c>
      <c r="N256" s="1">
        <f>value(JPY!$B256)</f>
        <v>108.828356</v>
      </c>
      <c r="O256" s="1">
        <f>value(SAR!$B256)</f>
        <v>2408.982976</v>
      </c>
      <c r="P256" s="1">
        <f>value(AED!$B256)</f>
        <v>2458.87168</v>
      </c>
      <c r="Q256" s="1">
        <f>value(KWD!$B256)</f>
        <v>31988.66149</v>
      </c>
    </row>
    <row r="257">
      <c r="A257" s="4">
        <f>value(USD!A257)</f>
        <v>40534.99861</v>
      </c>
      <c r="B257" s="1">
        <f>value(USD!B257)</f>
        <v>9041.6</v>
      </c>
      <c r="C257" s="1">
        <f>value(AUD!$B257)</f>
        <v>9069.0312</v>
      </c>
      <c r="D257" s="1">
        <f>value(EUR!$B257)</f>
        <v>11850.8872</v>
      </c>
      <c r="E257" s="1">
        <f>value(GBP!$B257)</f>
        <v>13942.42744</v>
      </c>
      <c r="F257" s="1">
        <f>value(CHF!$B257)</f>
        <v>9382.4416</v>
      </c>
      <c r="G257" s="1">
        <f>value(SGD!$B257)</f>
        <v>6946.0596</v>
      </c>
      <c r="H257" s="1">
        <f>value(MYR!$B257)</f>
        <v>2861.87952</v>
      </c>
      <c r="I257" s="1">
        <f>value(THB!$B257)</f>
        <v>293.35936</v>
      </c>
      <c r="J257" s="1">
        <f>value(VND!$B257)</f>
        <v>0.459234519</v>
      </c>
      <c r="K257" s="1">
        <f>value(CNY!$B257)</f>
        <v>1358.83954</v>
      </c>
      <c r="L257" s="1">
        <f>value(HKD!$B257)</f>
        <v>1160.612</v>
      </c>
      <c r="M257" s="1">
        <f>value(TWD!$B257)</f>
        <v>305.01064</v>
      </c>
      <c r="N257" s="1">
        <f>value(JPY!$B257)</f>
        <v>108.92592</v>
      </c>
      <c r="O257" s="1">
        <f>value(SAR!$B257)</f>
        <v>2383.924032</v>
      </c>
      <c r="P257" s="1">
        <f>value(AED!$B257)</f>
        <v>2433.46397</v>
      </c>
      <c r="Q257" s="1">
        <f>value(KWD!$B257)</f>
        <v>31829.50849</v>
      </c>
    </row>
    <row r="258">
      <c r="A258" s="4">
        <f>value(USD!A258)</f>
        <v>40535.99861</v>
      </c>
      <c r="B258" s="1">
        <f>value(USD!B258)</f>
        <v>9038.9</v>
      </c>
      <c r="C258" s="1">
        <f>value(AUD!$B258)</f>
        <v>8989.9523</v>
      </c>
      <c r="D258" s="1">
        <f>value(EUR!$B258)</f>
        <v>11788.03808</v>
      </c>
      <c r="E258" s="1">
        <f>value(GBP!$B258)</f>
        <v>13800.0282</v>
      </c>
      <c r="F258" s="1">
        <f>value(CHF!$B258)</f>
        <v>9320.6953</v>
      </c>
      <c r="G258" s="1">
        <f>value(SGD!$B258)</f>
        <v>6881.42098</v>
      </c>
      <c r="H258" s="1">
        <f>value(MYR!$B258)</f>
        <v>2894.62698</v>
      </c>
      <c r="I258" s="1">
        <f>value(THB!$B258)</f>
        <v>294.987</v>
      </c>
      <c r="J258" s="1">
        <f>value(VND!$B258)</f>
        <v>0.4633838601</v>
      </c>
      <c r="K258" s="1">
        <f>value(CNY!$B258)</f>
        <v>1357.148616</v>
      </c>
      <c r="L258" s="1">
        <f>value(HKD!$B258)</f>
        <v>1148.75089</v>
      </c>
      <c r="M258" s="1">
        <f>value(TWD!$B258)</f>
        <v>303.56844</v>
      </c>
      <c r="N258" s="1">
        <f>value(JPY!$B258)</f>
        <v>107.98312</v>
      </c>
      <c r="O258" s="1">
        <f>value(SAR!$B258)</f>
        <v>2404.909819</v>
      </c>
      <c r="P258" s="1">
        <f>value(AED!$B258)</f>
        <v>2455.000762</v>
      </c>
      <c r="Q258" s="1">
        <f>value(KWD!$B258)</f>
        <v>32135.16193</v>
      </c>
    </row>
    <row r="259">
      <c r="A259" s="4">
        <f>value(USD!A259)</f>
        <v>40536.99861</v>
      </c>
      <c r="B259" s="1">
        <f>value(USD!B259)</f>
        <v>9032</v>
      </c>
      <c r="C259" s="1">
        <f>value(AUD!$B259)</f>
        <v>9101.131936</v>
      </c>
      <c r="D259" s="1">
        <f>value(EUR!$B259)</f>
        <v>11799.15297</v>
      </c>
      <c r="E259" s="1">
        <f>value(GBP!$B259)</f>
        <v>13843.58924</v>
      </c>
      <c r="F259" s="1">
        <f>value(CHF!$B259)</f>
        <v>9468.3225</v>
      </c>
      <c r="G259" s="1">
        <f>value(SGD!$B259)</f>
        <v>6935.410969</v>
      </c>
      <c r="H259" s="1">
        <f>value(MYR!$B259)</f>
        <v>2902.807329</v>
      </c>
      <c r="I259" s="1">
        <f>value(THB!$B259)</f>
        <v>295.952709</v>
      </c>
      <c r="J259" s="1">
        <f>value(VND!$B259)</f>
        <v>0.4624428416</v>
      </c>
      <c r="K259" s="1">
        <f>value(CNY!$B259)</f>
        <v>1344.0075</v>
      </c>
      <c r="L259" s="1">
        <f>value(HKD!$B259)</f>
        <v>1158.742325</v>
      </c>
      <c r="M259" s="1">
        <f>value(TWD!$B259)</f>
        <v>301.4533535</v>
      </c>
      <c r="N259" s="1">
        <f>value(JPY!$B259)</f>
        <v>109.471843</v>
      </c>
      <c r="O259" s="1">
        <f>value(SAR!$B259)</f>
        <v>2400.386606</v>
      </c>
      <c r="P259" s="1">
        <f>value(AED!$B259)</f>
        <v>2450.464733</v>
      </c>
      <c r="Q259" s="1">
        <f>value(KWD!$B259)</f>
        <v>31931.35666</v>
      </c>
    </row>
    <row r="260">
      <c r="A260" s="4">
        <f>value(USD!A260)</f>
        <v>40539.99861</v>
      </c>
      <c r="B260" s="1">
        <f>value(USD!B260)</f>
        <v>8939</v>
      </c>
      <c r="C260" s="1">
        <f>value(AUD!$B260)</f>
        <v>9155.374795</v>
      </c>
      <c r="D260" s="1">
        <f>value(EUR!$B260)</f>
        <v>11901.98723</v>
      </c>
      <c r="E260" s="1">
        <f>value(GBP!$B260)</f>
        <v>13952.33751</v>
      </c>
      <c r="F260" s="1">
        <f>value(CHF!$B260)</f>
        <v>9525.33439</v>
      </c>
      <c r="G260" s="1">
        <f>value(SGD!$B260)</f>
        <v>6961.181343</v>
      </c>
      <c r="H260" s="1">
        <f>value(MYR!$B260)</f>
        <v>2919.890351</v>
      </c>
      <c r="I260" s="1">
        <f>value(THB!$B260)</f>
        <v>297.3178935</v>
      </c>
      <c r="J260" s="1">
        <f>value(VND!$B260)</f>
        <v>0.4568637465</v>
      </c>
      <c r="K260" s="1">
        <f>value(CNY!$B260)</f>
        <v>1362.157224</v>
      </c>
      <c r="L260" s="1">
        <f>value(HKD!$B260)</f>
        <v>1156.59631</v>
      </c>
      <c r="M260" s="1">
        <f>value(TWD!$B260)</f>
        <v>309.5598655</v>
      </c>
      <c r="N260" s="1">
        <f>value(JPY!$B260)</f>
        <v>110.2677625</v>
      </c>
      <c r="O260" s="1">
        <f>value(SAR!$B260)</f>
        <v>2369.536761</v>
      </c>
      <c r="P260" s="1">
        <f>value(AED!$B260)</f>
        <v>2419.2135</v>
      </c>
      <c r="Q260" s="1">
        <f>value(KWD!$B260)</f>
        <v>31555.39449</v>
      </c>
    </row>
    <row r="261">
      <c r="A261" s="4">
        <f>value(USD!A261)</f>
        <v>40540.99861</v>
      </c>
      <c r="B261" s="1">
        <f>value(USD!B261)</f>
        <v>9017.45</v>
      </c>
      <c r="C261" s="1">
        <f>value(AUD!$B261)</f>
        <v>9022.8444</v>
      </c>
      <c r="D261" s="1">
        <f>value(EUR!$B261)</f>
        <v>11816.6028</v>
      </c>
      <c r="E261" s="1">
        <f>value(GBP!$B261)</f>
        <v>13714.6524</v>
      </c>
      <c r="F261" s="1">
        <f>value(CHF!$B261)</f>
        <v>9505.3542</v>
      </c>
      <c r="G261" s="1">
        <f>value(SGD!$B261)</f>
        <v>6895.35828</v>
      </c>
      <c r="H261" s="1">
        <f>value(MYR!$B261)</f>
        <v>2885.2842</v>
      </c>
      <c r="I261" s="1">
        <f>value(THB!$B261)</f>
        <v>293.41572</v>
      </c>
      <c r="J261" s="1">
        <f>value(VND!$B261)</f>
        <v>0.4629984542</v>
      </c>
      <c r="K261" s="1">
        <f>value(CNY!$B261)</f>
        <v>1342.94118</v>
      </c>
      <c r="L261" s="1">
        <f>value(HKD!$B261)</f>
        <v>1141.76214</v>
      </c>
      <c r="M261" s="1">
        <f>value(TWD!$B261)</f>
        <v>307.0113</v>
      </c>
      <c r="N261" s="1">
        <f>value(JPY!$B261)</f>
        <v>109.03122</v>
      </c>
      <c r="O261" s="1">
        <f>value(SAR!$B261)</f>
        <v>2402.653273</v>
      </c>
      <c r="P261" s="1">
        <f>value(AED!$B261)</f>
        <v>2452.958887</v>
      </c>
      <c r="Q261" s="1">
        <f>value(KWD!$B261)</f>
        <v>32041.06706</v>
      </c>
    </row>
    <row r="262">
      <c r="A262" s="4">
        <f>value(USD!A262)</f>
        <v>40541.99861</v>
      </c>
      <c r="B262" s="1">
        <f>value(USD!B262)</f>
        <v>9001.45</v>
      </c>
      <c r="C262" s="1">
        <f>value(AUD!$B262)</f>
        <v>9213.57487</v>
      </c>
      <c r="D262" s="1">
        <f>value(EUR!$B262)</f>
        <v>12060.71907</v>
      </c>
      <c r="E262" s="1">
        <f>value(GBP!$B262)</f>
        <v>14060.92797</v>
      </c>
      <c r="F262" s="1">
        <f>value(CHF!$B262)</f>
        <v>9633.43854</v>
      </c>
      <c r="G262" s="1">
        <f>value(SGD!$B262)</f>
        <v>7020.372841</v>
      </c>
      <c r="H262" s="1">
        <f>value(MYR!$B262)</f>
        <v>2867.776985</v>
      </c>
      <c r="I262" s="1">
        <f>value(THB!$B262)</f>
        <v>294.084768</v>
      </c>
      <c r="J262" s="1">
        <f>value(VND!$B262)</f>
        <v>0.4618520376</v>
      </c>
      <c r="K262" s="1">
        <f>value(CNY!$B262)</f>
        <v>1361.697301</v>
      </c>
      <c r="L262" s="1">
        <f>value(HKD!$B262)</f>
        <v>1159.039968</v>
      </c>
      <c r="M262" s="1">
        <f>value(TWD!$B262)</f>
        <v>309.3115835</v>
      </c>
      <c r="N262" s="1">
        <f>value(JPY!$B262)</f>
        <v>111.002584</v>
      </c>
      <c r="O262" s="1">
        <f>value(SAR!$B262)</f>
        <v>2397.511785</v>
      </c>
      <c r="P262" s="1">
        <f>value(AED!$B262)</f>
        <v>2447.513887</v>
      </c>
      <c r="Q262" s="1">
        <f>value(KWD!$B262)</f>
        <v>31992.69688</v>
      </c>
    </row>
    <row r="263">
      <c r="A263" s="4">
        <f>value(USD!A263)</f>
        <v>40542.99861</v>
      </c>
      <c r="B263" s="1">
        <f>value(USD!B263)</f>
        <v>8886</v>
      </c>
      <c r="C263" s="1">
        <f>value(AUD!$B263)</f>
        <v>9137.38518</v>
      </c>
      <c r="D263" s="1">
        <f>value(EUR!$B263)</f>
        <v>12007.78631</v>
      </c>
      <c r="E263" s="1">
        <f>value(GBP!$B263)</f>
        <v>13922.10626</v>
      </c>
      <c r="F263" s="1">
        <f>value(CHF!$B263)</f>
        <v>9621.04449</v>
      </c>
      <c r="G263" s="1">
        <f>value(SGD!$B263)</f>
        <v>6992.29321</v>
      </c>
      <c r="H263" s="1">
        <f>value(MYR!$B263)</f>
        <v>2927.667117</v>
      </c>
      <c r="I263" s="1">
        <f>value(THB!$B263)</f>
        <v>296.3986515</v>
      </c>
      <c r="J263" s="1">
        <f>value(VND!$B263)</f>
        <v>0.4565116832</v>
      </c>
      <c r="K263" s="1">
        <f>value(CNY!$B263)</f>
        <v>1358.500744</v>
      </c>
      <c r="L263" s="1">
        <f>value(HKD!$B263)</f>
        <v>1156.736866</v>
      </c>
      <c r="M263" s="1">
        <f>value(TWD!$B263)</f>
        <v>309.8835765</v>
      </c>
      <c r="N263" s="1">
        <f>value(JPY!$B263)</f>
        <v>110.036988</v>
      </c>
      <c r="O263" s="1">
        <f>value(SAR!$B263)</f>
        <v>2369.852747</v>
      </c>
      <c r="P263" s="1">
        <f>value(AED!$B263)</f>
        <v>2419.2135</v>
      </c>
      <c r="Q263" s="1">
        <f>value(KWD!$B263)</f>
        <v>31776.56703</v>
      </c>
    </row>
    <row r="264">
      <c r="A264" s="4">
        <f>value(USD!A264)</f>
        <v>40543.99861</v>
      </c>
      <c r="B264" s="1">
        <f>value(USD!B264)</f>
        <v>9009.95</v>
      </c>
      <c r="C264" s="1">
        <f>value(AUD!$B264)</f>
        <v>8947.22454</v>
      </c>
      <c r="D264" s="1">
        <f>value(EUR!$B264)</f>
        <v>11833.4862</v>
      </c>
      <c r="E264" s="1">
        <f>value(GBP!$B264)</f>
        <v>13859.22762</v>
      </c>
      <c r="F264" s="1">
        <f>value(CHF!$B264)</f>
        <v>9378.2844</v>
      </c>
      <c r="G264" s="1">
        <f>value(SGD!$B264)</f>
        <v>6903.35568</v>
      </c>
      <c r="H264" s="1">
        <f>value(MYR!$B264)</f>
        <v>2898.87978</v>
      </c>
      <c r="I264" s="1">
        <f>value(THB!$B264)</f>
        <v>293.50458</v>
      </c>
      <c r="J264" s="1">
        <f>value(VND!$B264)</f>
        <v>0.4616623802</v>
      </c>
      <c r="K264" s="1">
        <f>value(CNY!$B264)</f>
        <v>1341.92862</v>
      </c>
      <c r="L264" s="1">
        <f>value(HKD!$B264)</f>
        <v>1143.80592</v>
      </c>
      <c r="M264" s="1">
        <f>value(TWD!$B264)</f>
        <v>303.72348</v>
      </c>
      <c r="N264" s="1">
        <f>value(JPY!$B264)</f>
        <v>108.23148</v>
      </c>
      <c r="O264" s="1">
        <f>value(SAR!$B264)</f>
        <v>2395.911657</v>
      </c>
      <c r="P264" s="1">
        <f>value(AED!$B264)</f>
        <v>2445.880387</v>
      </c>
      <c r="Q264" s="1">
        <f>value(KWD!$B264)</f>
        <v>31959.97089</v>
      </c>
    </row>
    <row r="265">
      <c r="A265" s="4">
        <f>value(USD!A265)</f>
        <v>40546.99861</v>
      </c>
      <c r="B265" s="1">
        <f>value(USD!B265)</f>
        <v>8989.95</v>
      </c>
      <c r="C265" s="1">
        <f>value(AUD!$B265)</f>
        <v>8983.95</v>
      </c>
      <c r="D265" s="1">
        <f>value(EUR!$B265)</f>
        <v>11819.28462</v>
      </c>
      <c r="E265" s="1">
        <f>value(GBP!$B265)</f>
        <v>13934.01661</v>
      </c>
      <c r="F265" s="1">
        <f>value(CHF!$B265)</f>
        <v>9301.083435</v>
      </c>
      <c r="G265" s="1">
        <f>value(SGD!$B265)</f>
        <v>6949.714201</v>
      </c>
      <c r="H265" s="1">
        <f>value(MYR!$B265)</f>
        <v>2922.119577</v>
      </c>
      <c r="I265" s="1">
        <f>value(THB!$B265)</f>
        <v>295.032918</v>
      </c>
      <c r="J265" s="1">
        <f>value(VND!$B265)</f>
        <v>0.4632990708</v>
      </c>
      <c r="K265" s="1">
        <f>value(CNY!$B265)</f>
        <v>1361.896446</v>
      </c>
      <c r="L265" s="1">
        <f>value(HKD!$B265)</f>
        <v>1156.054686</v>
      </c>
      <c r="M265" s="1">
        <f>value(TWD!$B265)</f>
        <v>305.5441395</v>
      </c>
      <c r="N265" s="1">
        <f>value(JPY!$B265)</f>
        <v>107.987079</v>
      </c>
      <c r="O265" s="1">
        <f>value(SAR!$B265)</f>
        <v>2404.40567</v>
      </c>
      <c r="P265" s="1">
        <f>value(AED!$B265)</f>
        <v>2454.371234</v>
      </c>
      <c r="Q265" s="1">
        <f>value(KWD!$B265)</f>
        <v>32056.17276</v>
      </c>
    </row>
    <row r="266">
      <c r="A266" s="4">
        <f>value(USD!A266)</f>
        <v>40547.99861</v>
      </c>
      <c r="B266" s="1">
        <f>value(USD!B266)</f>
        <v>8886</v>
      </c>
      <c r="C266" s="1">
        <f>value(AUD!$B266)</f>
        <v>8951.427188</v>
      </c>
      <c r="D266" s="1">
        <f>value(EUR!$B266)</f>
        <v>11698.90208</v>
      </c>
      <c r="E266" s="1">
        <f>value(GBP!$B266)</f>
        <v>13928.50942</v>
      </c>
      <c r="F266" s="1">
        <f>value(CHF!$B266)</f>
        <v>9332.25458</v>
      </c>
      <c r="G266" s="1">
        <f>value(SGD!$B266)</f>
        <v>6949.649114</v>
      </c>
      <c r="H266" s="1">
        <f>value(MYR!$B266)</f>
        <v>2921.209358</v>
      </c>
      <c r="I266" s="1">
        <f>value(THB!$B266)</f>
        <v>294.636344</v>
      </c>
      <c r="J266" s="1">
        <f>value(VND!$B266)</f>
        <v>0.4575905427</v>
      </c>
      <c r="K266" s="1">
        <f>value(CNY!$B266)</f>
        <v>1347.771631</v>
      </c>
      <c r="L266" s="1">
        <f>value(HKD!$B266)</f>
        <v>1159.702354</v>
      </c>
      <c r="M266" s="1">
        <f>value(TWD!$B266)</f>
        <v>305.094672</v>
      </c>
      <c r="N266" s="1">
        <f>value(JPY!$B266)</f>
        <v>108.1896</v>
      </c>
      <c r="O266" s="1">
        <f>value(SAR!$B266)</f>
        <v>2375.19994</v>
      </c>
      <c r="P266" s="1">
        <f>value(AED!$B266)</f>
        <v>2424.93075</v>
      </c>
      <c r="Q266" s="1">
        <f>value(KWD!$B266)</f>
        <v>31579.50129</v>
      </c>
    </row>
    <row r="267">
      <c r="A267" s="4">
        <f>value(USD!A267)</f>
        <v>40548.99861</v>
      </c>
      <c r="B267" s="1">
        <f>value(USD!B267)</f>
        <v>8983.95</v>
      </c>
      <c r="C267" s="1">
        <f>value(AUD!$B267)</f>
        <v>8867.8092</v>
      </c>
      <c r="D267" s="1">
        <f>value(EUR!$B267)</f>
        <v>11498.0463</v>
      </c>
      <c r="E267" s="1">
        <f>value(GBP!$B267)</f>
        <v>13840.5873</v>
      </c>
      <c r="F267" s="1">
        <f>value(CHF!$B267)</f>
        <v>9205.3845</v>
      </c>
      <c r="G267" s="1">
        <f>value(SGD!$B267)</f>
        <v>6875.3133</v>
      </c>
      <c r="H267" s="1">
        <f>value(MYR!$B267)</f>
        <v>2891.74662</v>
      </c>
      <c r="I267" s="1">
        <f>value(THB!$B267)</f>
        <v>290.72448</v>
      </c>
      <c r="J267" s="1">
        <f>value(VND!$B267)</f>
        <v>0.4651053401</v>
      </c>
      <c r="K267" s="1">
        <f>value(CNY!$B267)</f>
        <v>1366.7576</v>
      </c>
      <c r="L267" s="1">
        <f>value(HKD!$B267)</f>
        <v>1145.97462</v>
      </c>
      <c r="M267" s="1">
        <f>value(TWD!$B267)</f>
        <v>301.9473</v>
      </c>
      <c r="N267" s="1">
        <f>value(JPY!$B267)</f>
        <v>107.24028</v>
      </c>
      <c r="O267" s="1">
        <f>value(SAR!$B267)</f>
        <v>2413.844105</v>
      </c>
      <c r="P267" s="1">
        <f>value(AED!$B267)</f>
        <v>2464.211647</v>
      </c>
      <c r="Q267" s="1">
        <f>value(KWD!$B267)</f>
        <v>32072.8197</v>
      </c>
    </row>
    <row r="268">
      <c r="A268" s="4">
        <f>value(USD!A268)</f>
        <v>40549.99861</v>
      </c>
      <c r="B268" s="1">
        <f>value(USD!B268)</f>
        <v>9015.8</v>
      </c>
      <c r="C268" s="1">
        <f>value(AUD!$B268)</f>
        <v>8999.359585</v>
      </c>
      <c r="D268" s="1">
        <f>value(EUR!$B268)</f>
        <v>11732.74648</v>
      </c>
      <c r="E268" s="1">
        <f>value(GBP!$B268)</f>
        <v>14106.81067</v>
      </c>
      <c r="F268" s="1">
        <f>value(CHF!$B268)</f>
        <v>9367.73325</v>
      </c>
      <c r="G268" s="1">
        <f>value(SGD!$B268)</f>
        <v>6973.032899</v>
      </c>
      <c r="H268" s="1">
        <f>value(MYR!$B268)</f>
        <v>2939.74856</v>
      </c>
      <c r="I268" s="1">
        <f>value(THB!$B268)</f>
        <v>293.431799</v>
      </c>
      <c r="J268" s="1">
        <f>value(VND!$B268)</f>
        <v>0.4668111993</v>
      </c>
      <c r="K268" s="1">
        <f>value(CNY!$B268)</f>
        <v>1367.990442</v>
      </c>
      <c r="L268" s="1">
        <f>value(HKD!$B268)</f>
        <v>1164.042679</v>
      </c>
      <c r="M268" s="1">
        <f>value(TWD!$B268)</f>
        <v>310.809623</v>
      </c>
      <c r="N268" s="1">
        <f>value(JPY!$B268)</f>
        <v>109.4259855</v>
      </c>
      <c r="O268" s="1">
        <f>value(SAR!$B268)</f>
        <v>2383.043961</v>
      </c>
      <c r="P268" s="1">
        <f>value(AED!$B268)</f>
        <v>2432.118826</v>
      </c>
      <c r="Q268" s="1">
        <f>value(KWD!$B268)</f>
        <v>31813.22763</v>
      </c>
    </row>
    <row r="269">
      <c r="A269" s="4">
        <f>value(USD!A269)</f>
        <v>40550.99861</v>
      </c>
      <c r="B269" s="1">
        <f>value(USD!B269)</f>
        <v>8907</v>
      </c>
      <c r="C269" s="1">
        <f>value(AUD!$B269)</f>
        <v>8773.07026</v>
      </c>
      <c r="D269" s="1">
        <f>value(EUR!$B269)</f>
        <v>11598.80667</v>
      </c>
      <c r="E269" s="1">
        <f>value(GBP!$B269)</f>
        <v>13943.26628</v>
      </c>
      <c r="F269" s="1">
        <f>value(CHF!$B269)</f>
        <v>9174.28319</v>
      </c>
      <c r="G269" s="1">
        <f>value(SGD!$B269)</f>
        <v>6902.82825</v>
      </c>
      <c r="H269" s="1">
        <f>value(MYR!$B269)</f>
        <v>2855.939077</v>
      </c>
      <c r="I269" s="1">
        <f>value(THB!$B269)</f>
        <v>287.282755</v>
      </c>
      <c r="J269" s="1">
        <f>value(VND!$B269)</f>
        <v>0.4644233194</v>
      </c>
      <c r="K269" s="1">
        <f>value(CNY!$B269)</f>
        <v>1371.641983</v>
      </c>
      <c r="L269" s="1">
        <f>value(HKD!$B269)</f>
        <v>1149.13102</v>
      </c>
      <c r="M269" s="1">
        <f>value(TWD!$B269)</f>
        <v>307.120009</v>
      </c>
      <c r="N269" s="1">
        <f>value(JPY!$B269)</f>
        <v>107.139043</v>
      </c>
      <c r="O269" s="1">
        <f>value(SAR!$B269)</f>
        <v>2410.923794</v>
      </c>
      <c r="P269" s="1">
        <f>value(AED!$B269)</f>
        <v>2460.9592</v>
      </c>
      <c r="Q269" s="1">
        <f>value(KWD!$B269)</f>
        <v>32215.52256</v>
      </c>
    </row>
    <row r="270">
      <c r="A270" s="4">
        <f>value(USD!A270)</f>
        <v>40553.99861</v>
      </c>
      <c r="B270" s="1">
        <f>value(USD!B270)</f>
        <v>9050.95</v>
      </c>
      <c r="C270" s="1">
        <f>value(AUD!$B270)</f>
        <v>8999.5912</v>
      </c>
      <c r="D270" s="1">
        <f>value(EUR!$B270)</f>
        <v>11865.904</v>
      </c>
      <c r="E270" s="1">
        <f>value(GBP!$B270)</f>
        <v>14232.576</v>
      </c>
      <c r="F270" s="1">
        <f>value(CHF!$B270)</f>
        <v>9343.744</v>
      </c>
      <c r="G270" s="1">
        <f>value(SGD!$B270)</f>
        <v>7016.4864</v>
      </c>
      <c r="H270" s="1">
        <f>value(MYR!$B270)</f>
        <v>2962.408</v>
      </c>
      <c r="I270" s="1">
        <f>value(THB!$B270)</f>
        <v>297.0544</v>
      </c>
      <c r="J270" s="1">
        <f>value(VND!$B270)</f>
        <v>0.4650539526</v>
      </c>
      <c r="K270" s="1">
        <f>value(CNY!$B270)</f>
        <v>1372.0464</v>
      </c>
      <c r="L270" s="1">
        <f>value(HKD!$B270)</f>
        <v>1162.8152</v>
      </c>
      <c r="M270" s="1">
        <f>value(TWD!$B270)</f>
        <v>315.4056</v>
      </c>
      <c r="N270" s="1">
        <f>value(JPY!$B270)</f>
        <v>108.7512</v>
      </c>
      <c r="O270" s="1">
        <f>value(SAR!$B270)</f>
        <v>2413.513065</v>
      </c>
      <c r="P270" s="1">
        <f>value(AED!$B270)</f>
        <v>2463.848887</v>
      </c>
      <c r="Q270" s="1">
        <f>value(KWD!$B270)</f>
        <v>32149.01523</v>
      </c>
    </row>
    <row r="271">
      <c r="A271" s="4">
        <f>value(USD!A271)</f>
        <v>40554.99861</v>
      </c>
      <c r="B271" s="1">
        <f>value(USD!B271)</f>
        <v>8935.7</v>
      </c>
      <c r="C271" s="1">
        <f>value(AUD!$B271)</f>
        <v>9030.945105</v>
      </c>
      <c r="D271" s="1">
        <f>value(EUR!$B271)</f>
        <v>12083.49324</v>
      </c>
      <c r="E271" s="1">
        <f>value(GBP!$B271)</f>
        <v>14334.2158</v>
      </c>
      <c r="F271" s="1">
        <f>value(CHF!$B271)</f>
        <v>9383.893155</v>
      </c>
      <c r="G271" s="1">
        <f>value(SGD!$B271)</f>
        <v>7040.589601</v>
      </c>
      <c r="H271" s="1">
        <f>value(MYR!$B271)</f>
        <v>2957.252161</v>
      </c>
      <c r="I271" s="1">
        <f>value(THB!$B271)</f>
        <v>295.4808675</v>
      </c>
      <c r="J271" s="1">
        <f>value(VND!$B271)</f>
        <v>0.4651567275</v>
      </c>
      <c r="K271" s="1">
        <f>value(CNY!$B271)</f>
        <v>1372.940978</v>
      </c>
      <c r="L271" s="1">
        <f>value(HKD!$B271)</f>
        <v>1164.004569</v>
      </c>
      <c r="M271" s="1">
        <f>value(TWD!$B271)</f>
        <v>316.6577505</v>
      </c>
      <c r="N271" s="1">
        <f>value(JPY!$B271)</f>
        <v>109.323396</v>
      </c>
      <c r="O271" s="1">
        <f>value(SAR!$B271)</f>
        <v>2414.046441</v>
      </c>
      <c r="P271" s="1">
        <f>value(AED!$B271)</f>
        <v>2464.393387</v>
      </c>
      <c r="Q271" s="1">
        <f>value(KWD!$B271)</f>
        <v>32207.60751</v>
      </c>
    </row>
    <row r="272">
      <c r="A272" s="4">
        <f>value(USD!A272)</f>
        <v>40555.99861</v>
      </c>
      <c r="B272" s="1">
        <f>value(USD!B272)</f>
        <v>9040</v>
      </c>
      <c r="C272" s="1">
        <f>value(AUD!$B272)</f>
        <v>8955.99933</v>
      </c>
      <c r="D272" s="1">
        <f>value(EUR!$B272)</f>
        <v>12104.26754</v>
      </c>
      <c r="E272" s="1">
        <f>value(GBP!$B272)</f>
        <v>14367.25504</v>
      </c>
      <c r="F272" s="1">
        <f>value(CHF!$B272)</f>
        <v>9384.156565</v>
      </c>
      <c r="G272" s="1">
        <f>value(SGD!$B272)</f>
        <v>7030.649565</v>
      </c>
      <c r="H272" s="1">
        <f>value(MYR!$B272)</f>
        <v>2966.233495</v>
      </c>
      <c r="I272" s="1">
        <f>value(THB!$B272)</f>
        <v>295.817726</v>
      </c>
      <c r="J272" s="1">
        <f>value(VND!$B272)</f>
        <v>0.4654508046</v>
      </c>
      <c r="K272" s="1">
        <f>value(CNY!$B272)</f>
        <v>1357.23264</v>
      </c>
      <c r="L272" s="1">
        <f>value(HKD!$B272)</f>
        <v>1164.261809</v>
      </c>
      <c r="M272" s="1">
        <f>value(TWD!$B272)</f>
        <v>311.8396775</v>
      </c>
      <c r="N272" s="1">
        <f>value(JPY!$B272)</f>
        <v>109.0759975</v>
      </c>
      <c r="O272" s="1">
        <f>value(SAR!$B272)</f>
        <v>2416.19328</v>
      </c>
      <c r="P272" s="1">
        <f>value(AED!$B272)</f>
        <v>2466.585</v>
      </c>
      <c r="Q272" s="1">
        <f>value(KWD!$B272)</f>
        <v>32270.69622</v>
      </c>
    </row>
    <row r="273">
      <c r="A273" s="4">
        <f>value(USD!A273)</f>
        <v>40556.99861</v>
      </c>
      <c r="B273" s="1">
        <f>value(USD!B273)</f>
        <v>9049.95</v>
      </c>
      <c r="C273" s="1">
        <f>value(AUD!$B273)</f>
        <v>8993.862</v>
      </c>
      <c r="D273" s="1">
        <f>value(EUR!$B273)</f>
        <v>12031.68</v>
      </c>
      <c r="E273" s="1">
        <f>value(GBP!$B273)</f>
        <v>14402.5914</v>
      </c>
      <c r="F273" s="1">
        <f>value(CHF!$B273)</f>
        <v>9389.784</v>
      </c>
      <c r="G273" s="1">
        <f>value(SGD!$B273)</f>
        <v>7030.3788</v>
      </c>
      <c r="H273" s="1">
        <f>value(MYR!$B273)</f>
        <v>2955.825</v>
      </c>
      <c r="I273" s="1">
        <f>value(THB!$B273)</f>
        <v>294.1782</v>
      </c>
      <c r="J273" s="1">
        <f>value(VND!$B273)</f>
        <v>0.4652595025</v>
      </c>
      <c r="K273" s="1">
        <f>value(CNY!$B273)</f>
        <v>1350.848808</v>
      </c>
      <c r="L273" s="1">
        <f>value(HKD!$B273)</f>
        <v>1165.116</v>
      </c>
      <c r="M273" s="1">
        <f>value(TWD!$B273)</f>
        <v>311.0298</v>
      </c>
      <c r="N273" s="1">
        <f>value(JPY!$B273)</f>
        <v>109.5354</v>
      </c>
      <c r="O273" s="1">
        <f>value(SAR!$B273)</f>
        <v>2414.579817</v>
      </c>
      <c r="P273" s="1">
        <f>value(AED!$B273)</f>
        <v>2464.937887</v>
      </c>
      <c r="Q273" s="1">
        <f>value(KWD!$B273)</f>
        <v>32289.40066</v>
      </c>
    </row>
    <row r="274">
      <c r="A274" s="4">
        <f>value(USD!A274)</f>
        <v>40557.99861</v>
      </c>
      <c r="B274" s="1">
        <f>value(USD!B274)</f>
        <v>9051.95</v>
      </c>
      <c r="C274" s="1">
        <f>value(AUD!$B274)</f>
        <v>9029.957032</v>
      </c>
      <c r="D274" s="1">
        <f>value(EUR!$B274)</f>
        <v>12112.37431</v>
      </c>
      <c r="E274" s="1">
        <f>value(GBP!$B274)</f>
        <v>14451.00959</v>
      </c>
      <c r="F274" s="1">
        <f>value(CHF!$B274)</f>
        <v>9390.75694</v>
      </c>
      <c r="G274" s="1">
        <f>value(SGD!$B274)</f>
        <v>7053.02705</v>
      </c>
      <c r="H274" s="1">
        <f>value(MYR!$B274)</f>
        <v>2954.484964</v>
      </c>
      <c r="I274" s="1">
        <f>value(THB!$B274)</f>
        <v>294.7060725</v>
      </c>
      <c r="J274" s="1">
        <f>value(VND!$B274)</f>
        <v>0.4596968874</v>
      </c>
      <c r="K274" s="1">
        <f>value(CNY!$B274)</f>
        <v>1338.77865</v>
      </c>
      <c r="L274" s="1">
        <f>value(HKD!$B274)</f>
        <v>1164.066351</v>
      </c>
      <c r="M274" s="1">
        <f>value(TWD!$B274)</f>
        <v>312.0896565</v>
      </c>
      <c r="N274" s="1">
        <f>value(JPY!$B274)</f>
        <v>109.552795</v>
      </c>
      <c r="O274" s="1">
        <f>value(SAR!$B274)</f>
        <v>2386.387844</v>
      </c>
      <c r="P274" s="1">
        <f>value(AED!$B274)</f>
        <v>2436.093</v>
      </c>
      <c r="Q274" s="1">
        <f>value(KWD!$B274)</f>
        <v>31957.13774</v>
      </c>
    </row>
    <row r="275">
      <c r="A275" s="4">
        <f>value(USD!A275)</f>
        <v>40560.99861</v>
      </c>
      <c r="B275" s="1">
        <f>value(USD!B275)</f>
        <v>9060</v>
      </c>
      <c r="C275" s="1">
        <f>value(AUD!$B275)</f>
        <v>8917.5768</v>
      </c>
      <c r="D275" s="1">
        <f>value(EUR!$B275)</f>
        <v>12035.06</v>
      </c>
      <c r="E275" s="1">
        <f>value(GBP!$B275)</f>
        <v>14291.20872</v>
      </c>
      <c r="F275" s="1">
        <f>value(CHF!$B275)</f>
        <v>9356.0288</v>
      </c>
      <c r="G275" s="1">
        <f>value(SGD!$B275)</f>
        <v>6968.88136</v>
      </c>
      <c r="H275" s="1">
        <f>value(MYR!$B275)</f>
        <v>2919.19552</v>
      </c>
      <c r="I275" s="1">
        <f>value(THB!$B275)</f>
        <v>290.63104</v>
      </c>
      <c r="J275" s="1">
        <f>value(VND!$B275)</f>
        <v>0.4630397465</v>
      </c>
      <c r="K275" s="1">
        <f>value(CNY!$B275)</f>
        <v>1372.7945</v>
      </c>
      <c r="L275" s="1">
        <f>value(HKD!$B275)</f>
        <v>1150.35488</v>
      </c>
      <c r="M275" s="1">
        <f>value(TWD!$B275)</f>
        <v>307.8112</v>
      </c>
      <c r="N275" s="1">
        <f>value(JPY!$B275)</f>
        <v>108.89716</v>
      </c>
      <c r="O275" s="1">
        <f>value(SAR!$B275)</f>
        <v>2376.573464</v>
      </c>
      <c r="P275" s="1">
        <f>value(AED!$B275)</f>
        <v>2425.539528</v>
      </c>
      <c r="Q275" s="1">
        <f>value(KWD!$B275)</f>
        <v>31930.62075</v>
      </c>
    </row>
    <row r="276">
      <c r="A276" s="4">
        <f>value(USD!A276)</f>
        <v>40561.99861</v>
      </c>
      <c r="B276" s="1">
        <f>value(USD!B276)</f>
        <v>9053.95</v>
      </c>
      <c r="C276" s="1">
        <f>value(AUD!$B276)</f>
        <v>8783.76984</v>
      </c>
      <c r="D276" s="1">
        <f>value(EUR!$B276)</f>
        <v>12000.71304</v>
      </c>
      <c r="E276" s="1">
        <f>value(GBP!$B276)</f>
        <v>14175.04584</v>
      </c>
      <c r="F276" s="1">
        <f>value(CHF!$B276)</f>
        <v>9215.96304</v>
      </c>
      <c r="G276" s="1">
        <f>value(SGD!$B276)</f>
        <v>6919.190352</v>
      </c>
      <c r="H276" s="1">
        <f>value(MYR!$B276)</f>
        <v>2857.198056</v>
      </c>
      <c r="I276" s="1">
        <f>value(THB!$B276)</f>
        <v>285.60396</v>
      </c>
      <c r="J276" s="1">
        <f>value(VND!$B276)</f>
        <v>0.4630698171</v>
      </c>
      <c r="K276" s="1">
        <f>value(CNY!$B276)</f>
        <v>1370.7391</v>
      </c>
      <c r="L276" s="1">
        <f>value(HKD!$B276)</f>
        <v>1144.821864</v>
      </c>
      <c r="M276" s="1">
        <f>value(TWD!$B276)</f>
        <v>305.475936</v>
      </c>
      <c r="N276" s="1">
        <f>value(JPY!$B276)</f>
        <v>107.37996</v>
      </c>
      <c r="O276" s="1">
        <f>value(SAR!$B276)</f>
        <v>2406.624817</v>
      </c>
      <c r="P276" s="1">
        <f>value(AED!$B276)</f>
        <v>2403.286875</v>
      </c>
      <c r="Q276" s="1">
        <f>value(KWD!$B276)</f>
        <v>31554.95805</v>
      </c>
    </row>
    <row r="277">
      <c r="A277" s="4">
        <f>value(USD!A277)</f>
        <v>40562.99861</v>
      </c>
      <c r="B277" s="1">
        <f>value(USD!B277)</f>
        <v>8948</v>
      </c>
      <c r="C277" s="1">
        <f>value(AUD!$B277)</f>
        <v>8736.57675</v>
      </c>
      <c r="D277" s="1">
        <f>value(EUR!$B277)</f>
        <v>12016.87575</v>
      </c>
      <c r="E277" s="1">
        <f>value(GBP!$B277)</f>
        <v>14126.64825</v>
      </c>
      <c r="F277" s="1">
        <f>value(CHF!$B277)</f>
        <v>9202.66875</v>
      </c>
      <c r="G277" s="1">
        <f>value(SGD!$B277)</f>
        <v>6874.5039</v>
      </c>
      <c r="H277" s="1">
        <f>value(MYR!$B277)</f>
        <v>2849.34045</v>
      </c>
      <c r="I277" s="1">
        <f>value(THB!$B277)</f>
        <v>284.2455</v>
      </c>
      <c r="J277" s="1">
        <f>value(VND!$B277)</f>
        <v>0.465056522</v>
      </c>
      <c r="K277" s="1">
        <f>value(CNY!$B277)</f>
        <v>1353.25502</v>
      </c>
      <c r="L277" s="1">
        <f>value(HKD!$B277)</f>
        <v>1133.186175</v>
      </c>
      <c r="M277" s="1">
        <f>value(TWD!$B277)</f>
        <v>305.4315</v>
      </c>
      <c r="N277" s="1">
        <f>value(JPY!$B277)</f>
        <v>106.901025</v>
      </c>
      <c r="O277" s="1">
        <f>value(SAR!$B277)</f>
        <v>2413.268927</v>
      </c>
      <c r="P277" s="1">
        <f>value(AED!$B277)</f>
        <v>2463.8625</v>
      </c>
      <c r="Q277" s="1">
        <f>value(KWD!$B277)</f>
        <v>32361.8769</v>
      </c>
    </row>
    <row r="278">
      <c r="A278" s="4">
        <f>value(USD!A278)</f>
        <v>40563.99861</v>
      </c>
      <c r="B278" s="1">
        <f>value(USD!B278)</f>
        <v>8911.2</v>
      </c>
      <c r="C278" s="1">
        <f>value(AUD!$B278)</f>
        <v>9026.47</v>
      </c>
      <c r="D278" s="1">
        <f>value(EUR!$B278)</f>
        <v>12345.105</v>
      </c>
      <c r="E278" s="1">
        <f>value(GBP!$B278)</f>
        <v>14460.995</v>
      </c>
      <c r="F278" s="1">
        <f>value(CHF!$B278)</f>
        <v>9531.46</v>
      </c>
      <c r="G278" s="1">
        <f>value(SGD!$B278)</f>
        <v>7063.706</v>
      </c>
      <c r="H278" s="1">
        <f>value(MYR!$B278)</f>
        <v>2956.5445</v>
      </c>
      <c r="I278" s="1">
        <f>value(THB!$B278)</f>
        <v>290.143</v>
      </c>
      <c r="J278" s="1">
        <f>value(VND!$B278)</f>
        <v>0.4642409408</v>
      </c>
      <c r="K278" s="1">
        <f>value(CNY!$B278)</f>
        <v>1369.388315</v>
      </c>
      <c r="L278" s="1">
        <f>value(HKD!$B278)</f>
        <v>1160.572</v>
      </c>
      <c r="M278" s="1">
        <f>value(TWD!$B278)</f>
        <v>312.768</v>
      </c>
      <c r="N278" s="1">
        <f>value(JPY!$B278)</f>
        <v>109.686</v>
      </c>
      <c r="O278" s="1">
        <f>value(SAR!$B278)</f>
        <v>2409.912777</v>
      </c>
      <c r="P278" s="1">
        <f>value(AED!$B278)</f>
        <v>2460.173512</v>
      </c>
      <c r="Q278" s="1">
        <f>value(KWD!$B278)</f>
        <v>32319.19777</v>
      </c>
    </row>
    <row r="279">
      <c r="A279" s="4">
        <f>value(USD!A279)</f>
        <v>40564.99861</v>
      </c>
      <c r="B279" s="1">
        <f>value(USD!B279)</f>
        <v>8827.5</v>
      </c>
      <c r="C279" s="1">
        <f>value(AUD!$B279)</f>
        <v>8992.171395</v>
      </c>
      <c r="D279" s="1">
        <f>value(EUR!$B279)</f>
        <v>12361.8636</v>
      </c>
      <c r="E279" s="1">
        <f>value(GBP!$B279)</f>
        <v>14290.24203</v>
      </c>
      <c r="F279" s="1">
        <f>value(CHF!$B279)</f>
        <v>9587.67345</v>
      </c>
      <c r="G279" s="1">
        <f>value(SGD!$B279)</f>
        <v>7058.642188</v>
      </c>
      <c r="H279" s="1">
        <f>value(MYR!$B279)</f>
        <v>2966.214712</v>
      </c>
      <c r="I279" s="1">
        <f>value(THB!$B279)</f>
        <v>290.8833255</v>
      </c>
      <c r="J279" s="1">
        <f>value(VND!$B279)</f>
        <v>0.4638656335</v>
      </c>
      <c r="K279" s="1">
        <f>value(CNY!$B279)</f>
        <v>1369.449735</v>
      </c>
      <c r="L279" s="1">
        <f>value(HKD!$B279)</f>
        <v>1160.009086</v>
      </c>
      <c r="M279" s="1">
        <f>value(TWD!$B279)</f>
        <v>311.757525</v>
      </c>
      <c r="N279" s="1">
        <f>value(JPY!$B279)</f>
        <v>109.7928675</v>
      </c>
      <c r="O279" s="1">
        <f>value(SAR!$B279)</f>
        <v>2379.080398</v>
      </c>
      <c r="P279" s="1">
        <f>value(AED!$B279)</f>
        <v>2428.63335</v>
      </c>
      <c r="Q279" s="1">
        <f>value(KWD!$B279)</f>
        <v>31916.27433</v>
      </c>
    </row>
    <row r="280">
      <c r="A280" s="4">
        <f>value(USD!A280)</f>
        <v>40567.99861</v>
      </c>
      <c r="B280" s="1">
        <f>value(USD!B280)</f>
        <v>9050</v>
      </c>
      <c r="C280" s="1">
        <f>value(AUD!$B280)</f>
        <v>8920.6</v>
      </c>
      <c r="D280" s="1">
        <f>value(EUR!$B280)</f>
        <v>12226.57436</v>
      </c>
      <c r="E280" s="1">
        <f>value(GBP!$B280)</f>
        <v>14205.16344</v>
      </c>
      <c r="F280" s="1">
        <f>value(CHF!$B280)</f>
        <v>9460.2963</v>
      </c>
      <c r="G280" s="1">
        <f>value(SGD!$B280)</f>
        <v>6976.890466</v>
      </c>
      <c r="H280" s="1">
        <f>value(MYR!$B280)</f>
        <v>2871.362728</v>
      </c>
      <c r="I280" s="1">
        <f>value(THB!$B280)</f>
        <v>284.745552</v>
      </c>
      <c r="J280" s="1">
        <f>value(VND!$B280)</f>
        <v>0.4699578211</v>
      </c>
      <c r="K280" s="1">
        <f>value(CNY!$B280)</f>
        <v>1354.27044</v>
      </c>
      <c r="L280" s="1">
        <f>value(HKD!$B280)</f>
        <v>1145.85107</v>
      </c>
      <c r="M280" s="1">
        <f>value(TWD!$B280)</f>
        <v>307.493082</v>
      </c>
      <c r="N280" s="1">
        <f>value(JPY!$B280)</f>
        <v>108.474496</v>
      </c>
      <c r="O280" s="1">
        <f>value(SAR!$B280)</f>
        <v>2407.443423</v>
      </c>
      <c r="P280" s="1">
        <f>value(AED!$B280)</f>
        <v>2457.04552</v>
      </c>
      <c r="Q280" s="1">
        <f>value(KWD!$B280)</f>
        <v>32455.8571</v>
      </c>
    </row>
    <row r="281">
      <c r="A281" s="4">
        <f>value(USD!A281)</f>
        <v>40568.99861</v>
      </c>
      <c r="B281" s="1">
        <f>value(USD!B281)</f>
        <v>9036.45</v>
      </c>
      <c r="C281" s="1">
        <f>value(AUD!$B281)</f>
        <v>8935.777805</v>
      </c>
      <c r="D281" s="1">
        <f>value(EUR!$B281)</f>
        <v>12386.96132</v>
      </c>
      <c r="E281" s="1">
        <f>value(GBP!$B281)</f>
        <v>14373.61248</v>
      </c>
      <c r="F281" s="1">
        <f>value(CHF!$B281)</f>
        <v>9539.68076</v>
      </c>
      <c r="G281" s="1">
        <f>value(SGD!$B281)</f>
        <v>7053.387921</v>
      </c>
      <c r="H281" s="1">
        <f>value(MYR!$B281)</f>
        <v>2961.561756</v>
      </c>
      <c r="I281" s="1">
        <f>value(THB!$B281)</f>
        <v>290.7580595</v>
      </c>
      <c r="J281" s="1">
        <f>value(VND!$B281)</f>
        <v>0.470377212</v>
      </c>
      <c r="K281" s="1">
        <f>value(CNY!$B281)</f>
        <v>1362.69</v>
      </c>
      <c r="L281" s="1">
        <f>value(HKD!$B281)</f>
        <v>1158.609032</v>
      </c>
      <c r="M281" s="1">
        <f>value(TWD!$B281)</f>
        <v>310.52708</v>
      </c>
      <c r="N281" s="1">
        <f>value(JPY!$B281)</f>
        <v>108.865017</v>
      </c>
      <c r="O281" s="1">
        <f>value(SAR!$B281)</f>
        <v>2407.453273</v>
      </c>
      <c r="P281" s="1">
        <f>value(AED!$B281)</f>
        <v>2457.31771</v>
      </c>
      <c r="Q281" s="1">
        <f>value(KWD!$B281)</f>
        <v>32418.66426</v>
      </c>
    </row>
    <row r="282">
      <c r="A282" s="4">
        <f>value(USD!A282)</f>
        <v>40569.99861</v>
      </c>
      <c r="B282" s="1">
        <f>value(USD!B282)</f>
        <v>8920.6</v>
      </c>
      <c r="C282" s="1">
        <f>value(AUD!$B282)</f>
        <v>8962.045965</v>
      </c>
      <c r="D282" s="1">
        <f>value(EUR!$B282)</f>
        <v>12285.23436</v>
      </c>
      <c r="E282" s="1">
        <f>value(GBP!$B282)</f>
        <v>14318.3287</v>
      </c>
      <c r="F282" s="1">
        <f>value(CHF!$B282)</f>
        <v>9583.168925</v>
      </c>
      <c r="G282" s="1">
        <f>value(SGD!$B282)</f>
        <v>7024.557615</v>
      </c>
      <c r="H282" s="1">
        <f>value(MYR!$B282)</f>
        <v>2953.042445</v>
      </c>
      <c r="I282" s="1">
        <f>value(THB!$B282)</f>
        <v>289.1652385</v>
      </c>
      <c r="J282" s="1">
        <f>value(VND!$B282)</f>
        <v>0.46021063</v>
      </c>
      <c r="K282" s="1">
        <f>value(CNY!$B282)</f>
        <v>1373.349428</v>
      </c>
      <c r="L282" s="1">
        <f>value(HKD!$B282)</f>
        <v>1158.917941</v>
      </c>
      <c r="M282" s="1">
        <f>value(TWD!$B282)</f>
        <v>308.6656105</v>
      </c>
      <c r="N282" s="1">
        <f>value(JPY!$B282)</f>
        <v>109.8701515</v>
      </c>
      <c r="O282" s="1">
        <f>value(SAR!$B282)</f>
        <v>2388.672557</v>
      </c>
      <c r="P282" s="1">
        <f>value(AED!$B282)</f>
        <v>2438.8155</v>
      </c>
      <c r="Q282" s="1">
        <f>value(KWD!$B282)</f>
        <v>32015.72179</v>
      </c>
    </row>
    <row r="283">
      <c r="A283" s="4">
        <f>value(USD!A283)</f>
        <v>40570.99861</v>
      </c>
      <c r="B283" s="1">
        <f>value(USD!B283)</f>
        <v>9026.95</v>
      </c>
      <c r="C283" s="1">
        <f>value(AUD!$B283)</f>
        <v>8932.0218</v>
      </c>
      <c r="D283" s="1">
        <f>value(EUR!$B283)</f>
        <v>12280.5222</v>
      </c>
      <c r="E283" s="1">
        <f>value(GBP!$B283)</f>
        <v>14353.76172</v>
      </c>
      <c r="F283" s="1">
        <f>value(CHF!$B283)</f>
        <v>9491.001</v>
      </c>
      <c r="G283" s="1">
        <f>value(SGD!$B283)</f>
        <v>7000.94574</v>
      </c>
      <c r="H283" s="1">
        <f>value(MYR!$B283)</f>
        <v>2922.5475</v>
      </c>
      <c r="I283" s="1">
        <f>value(THB!$B283)</f>
        <v>288.17886</v>
      </c>
      <c r="J283" s="1">
        <f>value(VND!$B283)</f>
        <v>0.462487149</v>
      </c>
      <c r="K283" s="1">
        <f>value(CNY!$B283)</f>
        <v>1358.13304</v>
      </c>
      <c r="L283" s="1">
        <f>value(HKD!$B283)</f>
        <v>1148.95308</v>
      </c>
      <c r="M283" s="1">
        <f>value(TWD!$B283)</f>
        <v>309.31974</v>
      </c>
      <c r="N283" s="1">
        <f>value(JPY!$B283)</f>
        <v>109.10844</v>
      </c>
      <c r="O283" s="1">
        <f>value(SAR!$B283)</f>
        <v>2400.12792</v>
      </c>
      <c r="P283" s="1">
        <f>value(AED!$B283)</f>
        <v>2450.25</v>
      </c>
      <c r="Q283" s="1">
        <f>value(KWD!$B283)</f>
        <v>32229.18</v>
      </c>
    </row>
    <row r="284">
      <c r="A284" s="4">
        <f>value(USD!A284)</f>
        <v>40571.99861</v>
      </c>
      <c r="B284" s="1">
        <f>value(USD!B284)</f>
        <v>9027.95</v>
      </c>
      <c r="C284" s="1">
        <f>value(AUD!$B284)</f>
        <v>9095.4</v>
      </c>
      <c r="D284" s="1">
        <f>value(EUR!$B284)</f>
        <v>12444.3</v>
      </c>
      <c r="E284" s="1">
        <f>value(GBP!$B284)</f>
        <v>14519.7</v>
      </c>
      <c r="F284" s="1">
        <f>value(CHF!$B284)</f>
        <v>9618.3</v>
      </c>
      <c r="G284" s="1">
        <f>value(SGD!$B284)</f>
        <v>7081.11</v>
      </c>
      <c r="H284" s="1">
        <f>value(MYR!$B284)</f>
        <v>2944.08</v>
      </c>
      <c r="I284" s="1">
        <f>value(THB!$B284)</f>
        <v>290.34</v>
      </c>
      <c r="J284" s="1">
        <f>value(VND!$B284)</f>
        <v>0.4634446397</v>
      </c>
      <c r="K284" s="1">
        <f>value(CNY!$B284)</f>
        <v>1369.010588</v>
      </c>
      <c r="L284" s="1">
        <f>value(HKD!$B284)</f>
        <v>1155.42</v>
      </c>
      <c r="M284" s="1">
        <f>value(TWD!$B284)</f>
        <v>311.58</v>
      </c>
      <c r="N284" s="1">
        <f>value(JPY!$B284)</f>
        <v>110.52</v>
      </c>
      <c r="O284" s="1">
        <f>value(SAR!$B284)</f>
        <v>2405.779113</v>
      </c>
      <c r="P284" s="1">
        <f>value(AED!$B284)</f>
        <v>2455.953637</v>
      </c>
      <c r="Q284" s="1">
        <f>value(KWD!$B284)</f>
        <v>32304.20236</v>
      </c>
    </row>
    <row r="285">
      <c r="A285" s="4">
        <f>value(USD!A285)</f>
        <v>40574.99861</v>
      </c>
      <c r="B285" s="1">
        <f>value(USD!B285)</f>
        <v>8958</v>
      </c>
      <c r="C285" s="1">
        <f>value(AUD!$B285)</f>
        <v>9123.69862</v>
      </c>
      <c r="D285" s="1">
        <f>value(EUR!$B285)</f>
        <v>12461.54033</v>
      </c>
      <c r="E285" s="1">
        <f>value(GBP!$B285)</f>
        <v>14613.939</v>
      </c>
      <c r="F285" s="1">
        <f>value(CHF!$B285)</f>
        <v>9596.48661</v>
      </c>
      <c r="G285" s="1">
        <f>value(SGD!$B285)</f>
        <v>7088.5723</v>
      </c>
      <c r="H285" s="1">
        <f>value(MYR!$B285)</f>
        <v>2969.69674</v>
      </c>
      <c r="I285" s="1">
        <f>value(THB!$B285)</f>
        <v>291.015847</v>
      </c>
      <c r="J285" s="1">
        <f>value(VND!$B285)</f>
        <v>0.4584275395</v>
      </c>
      <c r="K285" s="1">
        <f>value(CNY!$B285)</f>
        <v>1342.51074</v>
      </c>
      <c r="L285" s="1">
        <f>value(HKD!$B285)</f>
        <v>1158.650818</v>
      </c>
      <c r="M285" s="1">
        <f>value(TWD!$B285)</f>
        <v>311.042356</v>
      </c>
      <c r="N285" s="1">
        <f>value(JPY!$B285)</f>
        <v>110.6870565</v>
      </c>
      <c r="O285" s="1">
        <f>value(SAR!$B285)</f>
        <v>2379.123648</v>
      </c>
      <c r="P285" s="1">
        <f>value(AED!$B285)</f>
        <v>2428.83146</v>
      </c>
      <c r="Q285" s="1">
        <f>value(KWD!$B285)</f>
        <v>31917.70545</v>
      </c>
    </row>
    <row r="286">
      <c r="A286" s="4">
        <f>value(USD!A286)</f>
        <v>40575.99861</v>
      </c>
      <c r="B286" s="1">
        <f>value(USD!B286)</f>
        <v>9000</v>
      </c>
      <c r="C286" s="1">
        <f>value(AUD!$B286)</f>
        <v>9045.894</v>
      </c>
      <c r="D286" s="1">
        <f>value(EUR!$B286)</f>
        <v>12152.1862</v>
      </c>
      <c r="E286" s="1">
        <f>value(GBP!$B286)</f>
        <v>14391.08957</v>
      </c>
      <c r="F286" s="1">
        <f>value(CHF!$B286)</f>
        <v>9425.9286</v>
      </c>
      <c r="G286" s="1">
        <f>value(SGD!$B286)</f>
        <v>6999.59502</v>
      </c>
      <c r="H286" s="1">
        <f>value(MYR!$B286)</f>
        <v>2922.07355</v>
      </c>
      <c r="I286" s="1">
        <f>value(THB!$B286)</f>
        <v>286.00726</v>
      </c>
      <c r="J286" s="1">
        <f>value(VND!$B286)</f>
        <v>0.4620991736</v>
      </c>
      <c r="K286" s="1">
        <f>value(CNY!$B286)</f>
        <v>1355.737</v>
      </c>
      <c r="L286" s="1">
        <f>value(HKD!$B286)</f>
        <v>1145.99166</v>
      </c>
      <c r="M286" s="1">
        <f>value(TWD!$B286)</f>
        <v>304.29531</v>
      </c>
      <c r="N286" s="1">
        <f>value(JPY!$B286)</f>
        <v>109.19304</v>
      </c>
      <c r="O286" s="1">
        <f>value(SAR!$B286)</f>
        <v>2398.114479</v>
      </c>
      <c r="P286" s="1">
        <f>value(AED!$B286)</f>
        <v>2448.284437</v>
      </c>
      <c r="Q286" s="1">
        <f>value(KWD!$B286)</f>
        <v>32115.88771</v>
      </c>
    </row>
    <row r="287">
      <c r="A287" s="4">
        <f>value(USD!A287)</f>
        <v>40576.99861</v>
      </c>
      <c r="B287" s="1">
        <f>value(USD!B287)</f>
        <v>9020.95</v>
      </c>
      <c r="C287" s="1">
        <f>value(AUD!$B287)</f>
        <v>9119.243545</v>
      </c>
      <c r="D287" s="1">
        <f>value(EUR!$B287)</f>
        <v>12217.14257</v>
      </c>
      <c r="E287" s="1">
        <f>value(GBP!$B287)</f>
        <v>14475.14676</v>
      </c>
      <c r="F287" s="1">
        <f>value(CHF!$B287)</f>
        <v>9418.69213</v>
      </c>
      <c r="G287" s="1">
        <f>value(SGD!$B287)</f>
        <v>7052.868459</v>
      </c>
      <c r="H287" s="1">
        <f>value(MYR!$B287)</f>
        <v>2952.940731</v>
      </c>
      <c r="I287" s="1">
        <f>value(THB!$B287)</f>
        <v>290.1863615</v>
      </c>
      <c r="J287" s="1">
        <f>value(VND!$B287)</f>
        <v>0.4610994975</v>
      </c>
      <c r="K287" s="1">
        <f>value(CNY!$B287)</f>
        <v>1352.976724</v>
      </c>
      <c r="L287" s="1">
        <f>value(HKD!$B287)</f>
        <v>1154.720504</v>
      </c>
      <c r="M287" s="1">
        <f>value(TWD!$B287)</f>
        <v>308.8906575</v>
      </c>
      <c r="N287" s="1">
        <f>value(JPY!$B287)</f>
        <v>109.348192</v>
      </c>
      <c r="O287" s="1">
        <f>value(SAR!$B287)</f>
        <v>2353.148236</v>
      </c>
      <c r="P287" s="1">
        <f>value(AED!$B287)</f>
        <v>2402.2251</v>
      </c>
      <c r="Q287" s="1">
        <f>value(KWD!$B287)</f>
        <v>31552.29359</v>
      </c>
    </row>
    <row r="288">
      <c r="A288" s="4">
        <f>value(USD!A288)</f>
        <v>40577.99861</v>
      </c>
      <c r="B288" s="1">
        <f>value(USD!B288)</f>
        <v>8921</v>
      </c>
      <c r="C288" s="1">
        <f>value(AUD!$B288)</f>
        <v>8938.3068</v>
      </c>
      <c r="D288" s="1">
        <f>value(EUR!$B288)</f>
        <v>11992.15476</v>
      </c>
      <c r="E288" s="1">
        <f>value(GBP!$B288)</f>
        <v>14227.17264</v>
      </c>
      <c r="F288" s="1">
        <f>value(CHF!$B288)</f>
        <v>9237.42684</v>
      </c>
      <c r="G288" s="1">
        <f>value(SGD!$B288)</f>
        <v>6925.378932</v>
      </c>
      <c r="H288" s="1">
        <f>value(MYR!$B288)</f>
        <v>2859.905232</v>
      </c>
      <c r="I288" s="1">
        <f>value(THB!$B288)</f>
        <v>282.619908</v>
      </c>
      <c r="J288" s="1">
        <f>value(VND!$B288)</f>
        <v>0.4572309229</v>
      </c>
      <c r="K288" s="1">
        <f>value(CNY!$B288)</f>
        <v>1353.387</v>
      </c>
      <c r="L288" s="1">
        <f>value(HKD!$B288)</f>
        <v>1133.567892</v>
      </c>
      <c r="M288" s="1">
        <f>value(TWD!$B288)</f>
        <v>305.031852</v>
      </c>
      <c r="N288" s="1">
        <f>value(JPY!$B288)</f>
        <v>107.20674</v>
      </c>
      <c r="O288" s="1">
        <f>value(SAR!$B288)</f>
        <v>2373.5232</v>
      </c>
      <c r="P288" s="1">
        <f>value(AED!$B288)</f>
        <v>2423.114</v>
      </c>
      <c r="Q288" s="1">
        <f>value(KWD!$B288)</f>
        <v>31819.8051</v>
      </c>
    </row>
    <row r="289">
      <c r="A289" s="4">
        <f>value(USD!A289)</f>
        <v>40578.99861</v>
      </c>
      <c r="B289" s="1">
        <f>value(USD!B289)</f>
        <v>8992.45</v>
      </c>
      <c r="C289" s="1">
        <f>value(AUD!$B289)</f>
        <v>9029.762</v>
      </c>
      <c r="D289" s="1">
        <f>value(EUR!$B289)</f>
        <v>12126.25</v>
      </c>
      <c r="E289" s="1">
        <f>value(GBP!$B289)</f>
        <v>14296.07</v>
      </c>
      <c r="F289" s="1">
        <f>value(CHF!$B289)</f>
        <v>9239.09</v>
      </c>
      <c r="G289" s="1">
        <f>value(SGD!$B289)</f>
        <v>6990.238</v>
      </c>
      <c r="H289" s="1">
        <f>value(MYR!$B289)</f>
        <v>2917.954</v>
      </c>
      <c r="I289" s="1">
        <f>value(THB!$B289)</f>
        <v>287.025</v>
      </c>
      <c r="J289" s="1">
        <f>value(VND!$B289)</f>
        <v>0.4588874573</v>
      </c>
      <c r="K289" s="1">
        <f>value(CNY!$B289)</f>
        <v>1352.952384</v>
      </c>
      <c r="L289" s="1">
        <f>value(HKD!$B289)</f>
        <v>1143.472</v>
      </c>
      <c r="M289" s="1">
        <f>value(TWD!$B289)</f>
        <v>306.872</v>
      </c>
      <c r="N289" s="1">
        <f>value(JPY!$B289)</f>
        <v>108.135</v>
      </c>
      <c r="O289" s="1">
        <f>value(SAR!$B289)</f>
        <v>2381.446924</v>
      </c>
      <c r="P289" s="1">
        <f>value(AED!$B289)</f>
        <v>2431.178887</v>
      </c>
      <c r="Q289" s="1">
        <f>value(KWD!$B289)</f>
        <v>31904.06808</v>
      </c>
    </row>
    <row r="290">
      <c r="A290" s="4">
        <f>value(USD!A290)</f>
        <v>40581.99861</v>
      </c>
      <c r="B290" s="1">
        <f>value(USD!B290)</f>
        <v>8823.6</v>
      </c>
      <c r="C290" s="1">
        <f>value(AUD!$B290)</f>
        <v>9023.714475</v>
      </c>
      <c r="D290" s="1">
        <f>value(EUR!$B290)</f>
        <v>12250.10541</v>
      </c>
      <c r="E290" s="1">
        <f>value(GBP!$B290)</f>
        <v>14375.43351</v>
      </c>
      <c r="F290" s="1">
        <f>value(CHF!$B290)</f>
        <v>9316.616835</v>
      </c>
      <c r="G290" s="1">
        <f>value(SGD!$B290)</f>
        <v>7010.993044</v>
      </c>
      <c r="H290" s="1">
        <f>value(MYR!$B290)</f>
        <v>2943.22222</v>
      </c>
      <c r="I290" s="1">
        <f>value(THB!$B290)</f>
        <v>289.5982785</v>
      </c>
      <c r="J290" s="1">
        <f>value(VND!$B290)</f>
        <v>0.4586330894</v>
      </c>
      <c r="K290" s="1">
        <f>value(CNY!$B290)</f>
        <v>1349.558585</v>
      </c>
      <c r="L290" s="1">
        <f>value(HKD!$B290)</f>
        <v>1146.694879</v>
      </c>
      <c r="M290" s="1">
        <f>value(TWD!$B290)</f>
        <v>312.191052</v>
      </c>
      <c r="N290" s="1">
        <f>value(JPY!$B290)</f>
        <v>108.3202935</v>
      </c>
      <c r="O290" s="1">
        <f>value(SAR!$B290)</f>
        <v>2380.063397</v>
      </c>
      <c r="P290" s="1">
        <f>value(AED!$B290)</f>
        <v>2429.83125</v>
      </c>
      <c r="Q290" s="1">
        <f>value(KWD!$B290)</f>
        <v>31909.18657</v>
      </c>
    </row>
    <row r="291">
      <c r="A291" s="4">
        <f>value(USD!A291)</f>
        <v>40582.99861</v>
      </c>
      <c r="B291" s="1">
        <f>value(USD!B291)</f>
        <v>8900</v>
      </c>
      <c r="C291" s="1">
        <f>value(AUD!$B291)</f>
        <v>8935.71</v>
      </c>
      <c r="D291" s="1">
        <f>value(EUR!$B291)</f>
        <v>12139.785</v>
      </c>
      <c r="E291" s="1">
        <f>value(GBP!$B291)</f>
        <v>14363.0025</v>
      </c>
      <c r="F291" s="1">
        <f>value(CHF!$B291)</f>
        <v>9209.7075</v>
      </c>
      <c r="G291" s="1">
        <f>value(SGD!$B291)</f>
        <v>6977.0295</v>
      </c>
      <c r="H291" s="1">
        <f>value(MYR!$B291)</f>
        <v>2920.70625</v>
      </c>
      <c r="I291" s="1">
        <f>value(THB!$B291)</f>
        <v>287.47425</v>
      </c>
      <c r="J291" s="1">
        <f>value(VND!$B291)</f>
        <v>0.4587310513</v>
      </c>
      <c r="K291" s="1">
        <f>value(CNY!$B291)</f>
        <v>1335.2962</v>
      </c>
      <c r="L291" s="1">
        <f>value(HKD!$B291)</f>
        <v>1145.70225</v>
      </c>
      <c r="M291" s="1">
        <f>value(TWD!$B291)</f>
        <v>307.64475</v>
      </c>
      <c r="N291" s="1">
        <f>value(JPY!$B291)</f>
        <v>107.1</v>
      </c>
      <c r="O291" s="1">
        <f>value(SAR!$B291)</f>
        <v>2380.992967</v>
      </c>
      <c r="P291" s="1">
        <f>value(AED!$B291)</f>
        <v>2430.9747</v>
      </c>
      <c r="Q291" s="1">
        <f>value(KWD!$B291)</f>
        <v>31901.38855</v>
      </c>
    </row>
    <row r="292">
      <c r="A292" s="4">
        <f>value(USD!A292)</f>
        <v>40583.99861</v>
      </c>
      <c r="B292" s="1">
        <f>value(USD!B292)</f>
        <v>8929.95</v>
      </c>
      <c r="C292" s="1">
        <f>value(AUD!$B292)</f>
        <v>8945.27256</v>
      </c>
      <c r="D292" s="1">
        <f>value(EUR!$B292)</f>
        <v>12095.49432</v>
      </c>
      <c r="E292" s="1">
        <f>value(GBP!$B292)</f>
        <v>14287.61292</v>
      </c>
      <c r="F292" s="1">
        <f>value(CHF!$B292)</f>
        <v>9173.86008</v>
      </c>
      <c r="G292" s="1">
        <f>value(SGD!$B292)</f>
        <v>6962.900868</v>
      </c>
      <c r="H292" s="1">
        <f>value(MYR!$B292)</f>
        <v>2928.063264</v>
      </c>
      <c r="I292" s="1">
        <f>value(THB!$B292)</f>
        <v>288.770328</v>
      </c>
      <c r="J292" s="1">
        <f>value(VND!$B292)</f>
        <v>0.4580909517</v>
      </c>
      <c r="K292" s="1">
        <f>value(CNY!$B292)</f>
        <v>1348.029672</v>
      </c>
      <c r="L292" s="1">
        <f>value(HKD!$B292)</f>
        <v>1145.348484</v>
      </c>
      <c r="M292" s="1">
        <f>value(TWD!$B292)</f>
        <v>306.628728</v>
      </c>
      <c r="N292" s="1">
        <f>value(JPY!$B292)</f>
        <v>106.971816</v>
      </c>
      <c r="O292" s="1">
        <f>value(SAR!$B292)</f>
        <v>2377.376841</v>
      </c>
      <c r="P292" s="1">
        <f>value(AED!$B292)</f>
        <v>2426.780723</v>
      </c>
      <c r="Q292" s="1">
        <f>value(KWD!$B292)</f>
        <v>31837.31633</v>
      </c>
    </row>
    <row r="293">
      <c r="A293" s="4">
        <f>value(USD!A293)</f>
        <v>40584.99861</v>
      </c>
      <c r="B293" s="1">
        <f>value(USD!B293)</f>
        <v>8925</v>
      </c>
      <c r="C293" s="1">
        <f>value(AUD!$B293)</f>
        <v>8931.476599</v>
      </c>
      <c r="D293" s="1">
        <f>value(EUR!$B293)</f>
        <v>12014.89571</v>
      </c>
      <c r="E293" s="1">
        <f>value(GBP!$B293)</f>
        <v>14282.73179</v>
      </c>
      <c r="F293" s="1">
        <f>value(CHF!$B293)</f>
        <v>9180.992055</v>
      </c>
      <c r="G293" s="1">
        <f>value(SGD!$B293)</f>
        <v>6950.864098</v>
      </c>
      <c r="H293" s="1">
        <f>value(MYR!$B293)</f>
        <v>2917.521196</v>
      </c>
      <c r="I293" s="1">
        <f>value(THB!$B293)</f>
        <v>288.293313</v>
      </c>
      <c r="J293" s="1">
        <f>value(VND!$B293)</f>
        <v>0.4529804687</v>
      </c>
      <c r="K293" s="1">
        <f>value(CNY!$B293)</f>
        <v>1331.5748</v>
      </c>
      <c r="L293" s="1">
        <f>value(HKD!$B293)</f>
        <v>1143.63479</v>
      </c>
      <c r="M293" s="1">
        <f>value(TWD!$B293)</f>
        <v>304.695901</v>
      </c>
      <c r="N293" s="1">
        <f>value(JPY!$B293)</f>
        <v>106.795111</v>
      </c>
      <c r="O293" s="1">
        <f>value(SAR!$B293)</f>
        <v>2350.791957</v>
      </c>
      <c r="P293" s="1">
        <f>value(AED!$B293)</f>
        <v>2399.7956</v>
      </c>
      <c r="Q293" s="1">
        <f>value(KWD!$B293)</f>
        <v>31538.45685</v>
      </c>
    </row>
    <row r="294">
      <c r="A294" s="4">
        <f>value(USD!A294)</f>
        <v>40585.99861</v>
      </c>
      <c r="B294" s="1">
        <f>value(USD!B294)</f>
        <v>8929.2</v>
      </c>
      <c r="C294" s="1">
        <f>value(AUD!$B294)</f>
        <v>8788.555</v>
      </c>
      <c r="D294" s="1">
        <f>value(EUR!$B294)</f>
        <v>11897.9581</v>
      </c>
      <c r="E294" s="1">
        <f>value(GBP!$B294)</f>
        <v>14225.647</v>
      </c>
      <c r="F294" s="1">
        <f>value(CHF!$B294)</f>
        <v>9121.762</v>
      </c>
      <c r="G294" s="1">
        <f>value(SGD!$B294)</f>
        <v>6879.226</v>
      </c>
      <c r="H294" s="1">
        <f>value(MYR!$B294)</f>
        <v>2885.1495</v>
      </c>
      <c r="I294" s="1">
        <f>value(THB!$B294)</f>
        <v>285.0771</v>
      </c>
      <c r="J294" s="1">
        <f>value(VND!$B294)</f>
        <v>0.4570888962</v>
      </c>
      <c r="K294" s="1">
        <f>value(CNY!$B294)</f>
        <v>1345.003782</v>
      </c>
      <c r="L294" s="1">
        <f>value(HKD!$B294)</f>
        <v>1131.05265</v>
      </c>
      <c r="M294" s="1">
        <f>value(TWD!$B294)</f>
        <v>298.2996</v>
      </c>
      <c r="N294" s="1">
        <f>value(JPY!$B294)</f>
        <v>105.33925</v>
      </c>
      <c r="O294" s="1">
        <f>value(SAR!$B294)</f>
        <v>2372.176425</v>
      </c>
      <c r="P294" s="1">
        <f>value(AED!$B294)</f>
        <v>2421.739087</v>
      </c>
      <c r="Q294" s="1">
        <f>value(KWD!$B294)</f>
        <v>31790.38229</v>
      </c>
    </row>
    <row r="295">
      <c r="A295" s="4">
        <f>value(USD!A295)</f>
        <v>40588.99861</v>
      </c>
      <c r="B295" s="1">
        <f>value(USD!B295)</f>
        <v>8914.45</v>
      </c>
      <c r="C295" s="1">
        <f>value(AUD!$B295)</f>
        <v>8921.63485</v>
      </c>
      <c r="D295" s="1">
        <f>value(EUR!$B295)</f>
        <v>12072.22614</v>
      </c>
      <c r="E295" s="1">
        <f>value(GBP!$B295)</f>
        <v>14310.9961</v>
      </c>
      <c r="F295" s="1">
        <f>value(CHF!$B295)</f>
        <v>9271.206385</v>
      </c>
      <c r="G295" s="1">
        <f>value(SGD!$B295)</f>
        <v>6954.605607</v>
      </c>
      <c r="H295" s="1">
        <f>value(MYR!$B295)</f>
        <v>2924.481661</v>
      </c>
      <c r="I295" s="1">
        <f>value(THB!$B295)</f>
        <v>289.1748245</v>
      </c>
      <c r="J295" s="1">
        <f>value(VND!$B295)</f>
        <v>0.4510660115</v>
      </c>
      <c r="K295" s="1">
        <f>value(CNY!$B295)</f>
        <v>1329.825</v>
      </c>
      <c r="L295" s="1">
        <f>value(HKD!$B295)</f>
        <v>1141.844731</v>
      </c>
      <c r="M295" s="1">
        <f>value(TWD!$B295)</f>
        <v>303.2288455</v>
      </c>
      <c r="N295" s="1">
        <f>value(JPY!$B295)</f>
        <v>106.383602</v>
      </c>
      <c r="O295" s="1">
        <f>value(SAR!$B295)</f>
        <v>2341.52064</v>
      </c>
      <c r="P295" s="1">
        <f>value(AED!$B295)</f>
        <v>2389.7404</v>
      </c>
      <c r="Q295" s="1">
        <f>value(KWD!$B295)</f>
        <v>31379.55318</v>
      </c>
    </row>
    <row r="296">
      <c r="A296" s="4">
        <f>value(USD!A296)</f>
        <v>40589.99861</v>
      </c>
      <c r="B296" s="1">
        <f>value(USD!B296)</f>
        <v>8815</v>
      </c>
      <c r="C296" s="1">
        <f>value(AUD!$B296)</f>
        <v>8882.726</v>
      </c>
      <c r="D296" s="1">
        <f>value(EUR!$B296)</f>
        <v>11960.116</v>
      </c>
      <c r="E296" s="1">
        <f>value(GBP!$B296)</f>
        <v>14199.016</v>
      </c>
      <c r="F296" s="1">
        <f>value(CHF!$B296)</f>
        <v>9245.34</v>
      </c>
      <c r="G296" s="1">
        <f>value(SGD!$B296)</f>
        <v>6878.8666</v>
      </c>
      <c r="H296" s="1">
        <f>value(MYR!$B296)</f>
        <v>2882.2984</v>
      </c>
      <c r="I296" s="1">
        <f>value(THB!$B296)</f>
        <v>285.1744</v>
      </c>
      <c r="J296" s="1">
        <f>value(VND!$B296)</f>
        <v>0.455044948</v>
      </c>
      <c r="K296" s="1">
        <f>value(CNY!$B296)</f>
        <v>1347.178816</v>
      </c>
      <c r="L296" s="1">
        <f>value(HKD!$B296)</f>
        <v>1127.4398</v>
      </c>
      <c r="M296" s="1">
        <f>value(TWD!$B296)</f>
        <v>300.1004</v>
      </c>
      <c r="N296" s="1">
        <f>value(JPY!$B296)</f>
        <v>105.36</v>
      </c>
      <c r="O296" s="1">
        <f>value(SAR!$B296)</f>
        <v>2361.986607</v>
      </c>
      <c r="P296" s="1">
        <f>value(AED!$B296)</f>
        <v>2411.263613</v>
      </c>
      <c r="Q296" s="1">
        <f>value(KWD!$B296)</f>
        <v>31611.16729</v>
      </c>
    </row>
    <row r="297">
      <c r="A297" s="4">
        <f>value(USD!A297)</f>
        <v>40590.99861</v>
      </c>
      <c r="B297" s="1">
        <f>value(USD!B297)</f>
        <v>8894.95</v>
      </c>
      <c r="C297" s="1">
        <f>value(AUD!$B297)</f>
        <v>8984.99728</v>
      </c>
      <c r="D297" s="1">
        <f>value(EUR!$B297)</f>
        <v>12120.53458</v>
      </c>
      <c r="E297" s="1">
        <f>value(GBP!$B297)</f>
        <v>14378.29858</v>
      </c>
      <c r="F297" s="1">
        <f>value(CHF!$B297)</f>
        <v>9362.32465</v>
      </c>
      <c r="G297" s="1">
        <f>value(SGD!$B297)</f>
        <v>6955.224038</v>
      </c>
      <c r="H297" s="1">
        <f>value(MYR!$B297)</f>
        <v>2919.592669</v>
      </c>
      <c r="I297" s="1">
        <f>value(THB!$B297)</f>
        <v>288.221423</v>
      </c>
      <c r="J297" s="1">
        <f>value(VND!$B297)</f>
        <v>0.4496402837</v>
      </c>
      <c r="K297" s="1">
        <f>value(CNY!$B297)</f>
        <v>1347.12448</v>
      </c>
      <c r="L297" s="1">
        <f>value(HKD!$B297)</f>
        <v>1137.650878</v>
      </c>
      <c r="M297" s="1">
        <f>value(TWD!$B297)</f>
        <v>304.519131</v>
      </c>
      <c r="N297" s="1">
        <f>value(JPY!$B297)</f>
        <v>106.5551235</v>
      </c>
      <c r="O297" s="1">
        <f>value(SAR!$B297)</f>
        <v>2333.582212</v>
      </c>
      <c r="P297" s="1">
        <f>value(AED!$B297)</f>
        <v>2382.1875</v>
      </c>
      <c r="Q297" s="1">
        <f>value(KWD!$B297)</f>
        <v>31333.925</v>
      </c>
    </row>
    <row r="298">
      <c r="A298" s="4">
        <f>value(USD!A298)</f>
        <v>40591.99861</v>
      </c>
      <c r="B298" s="1">
        <f>value(USD!B298)</f>
        <v>8780</v>
      </c>
      <c r="C298" s="1">
        <f>value(AUD!$B298)</f>
        <v>8824.375</v>
      </c>
      <c r="D298" s="1">
        <f>value(EUR!$B298)</f>
        <v>11969.125</v>
      </c>
      <c r="E298" s="1">
        <f>value(GBP!$B298)</f>
        <v>14197.75</v>
      </c>
      <c r="F298" s="1">
        <f>value(CHF!$B298)</f>
        <v>9247.875</v>
      </c>
      <c r="G298" s="1">
        <f>value(SGD!$B298)</f>
        <v>6856.85</v>
      </c>
      <c r="H298" s="1">
        <f>value(MYR!$B298)</f>
        <v>2882.5125</v>
      </c>
      <c r="I298" s="1">
        <f>value(THB!$B298)</f>
        <v>284.8125</v>
      </c>
      <c r="J298" s="1">
        <f>value(VND!$B298)</f>
        <v>0.4561382281</v>
      </c>
      <c r="K298" s="1">
        <f>value(CNY!$B298)</f>
        <v>1346.32755</v>
      </c>
      <c r="L298" s="1">
        <f>value(HKD!$B298)</f>
        <v>1124.025</v>
      </c>
      <c r="M298" s="1">
        <f>value(TWD!$B298)</f>
        <v>298.2</v>
      </c>
      <c r="N298" s="1">
        <f>value(JPY!$B298)</f>
        <v>105.35</v>
      </c>
      <c r="O298" s="1">
        <f>value(SAR!$B298)</f>
        <v>2367.053274</v>
      </c>
      <c r="P298" s="1">
        <f>value(AED!$B298)</f>
        <v>2416.613512</v>
      </c>
      <c r="Q298" s="1">
        <f>value(KWD!$B298)</f>
        <v>31792.43478</v>
      </c>
    </row>
    <row r="299">
      <c r="A299" s="4">
        <f>value(USD!A299)</f>
        <v>40592.99861</v>
      </c>
      <c r="B299" s="1">
        <f>value(USD!B299)</f>
        <v>8857.45</v>
      </c>
      <c r="C299" s="1">
        <f>value(AUD!$B299)</f>
        <v>8876.45</v>
      </c>
      <c r="D299" s="1">
        <f>value(EUR!$B299)</f>
        <v>12137.65773</v>
      </c>
      <c r="E299" s="1">
        <f>value(GBP!$B299)</f>
        <v>14344.3432</v>
      </c>
      <c r="F299" s="1">
        <f>value(CHF!$B299)</f>
        <v>9464.958635</v>
      </c>
      <c r="G299" s="1">
        <f>value(SGD!$B299)</f>
        <v>6928.868105</v>
      </c>
      <c r="H299" s="1">
        <f>value(MYR!$B299)</f>
        <v>2917.689115</v>
      </c>
      <c r="I299" s="1">
        <f>value(THB!$B299)</f>
        <v>288.484625</v>
      </c>
      <c r="J299" s="1">
        <f>value(VND!$B299)</f>
        <v>0.4559095539</v>
      </c>
      <c r="K299" s="1">
        <f>value(CNY!$B299)</f>
        <v>1343.104669</v>
      </c>
      <c r="L299" s="1">
        <f>value(HKD!$B299)</f>
        <v>1139.114828</v>
      </c>
      <c r="M299" s="1">
        <f>value(TWD!$B299)</f>
        <v>300.556597</v>
      </c>
      <c r="N299" s="1">
        <f>value(JPY!$B299)</f>
        <v>107.227516</v>
      </c>
      <c r="O299" s="1">
        <f>value(SAR!$B299)</f>
        <v>2365.866607</v>
      </c>
      <c r="P299" s="1">
        <f>value(AED!$B299)</f>
        <v>2415.22456</v>
      </c>
      <c r="Q299" s="1">
        <f>value(KWD!$B299)</f>
        <v>31787.88804</v>
      </c>
    </row>
    <row r="300">
      <c r="A300" s="4">
        <f>value(USD!A300)</f>
        <v>40595.99861</v>
      </c>
      <c r="B300" s="1">
        <f>value(USD!B300)</f>
        <v>8750</v>
      </c>
      <c r="C300" s="1">
        <f>value(AUD!$B300)</f>
        <v>8894.18</v>
      </c>
      <c r="D300" s="1">
        <f>value(EUR!$B300)</f>
        <v>12207.872</v>
      </c>
      <c r="E300" s="1">
        <f>value(GBP!$B300)</f>
        <v>14400.32064</v>
      </c>
      <c r="F300" s="1">
        <f>value(CHF!$B300)</f>
        <v>9518.7688</v>
      </c>
      <c r="G300" s="1">
        <f>value(SGD!$B300)</f>
        <v>6946.95344</v>
      </c>
      <c r="H300" s="1">
        <f>value(MYR!$B300)</f>
        <v>2910.63704</v>
      </c>
      <c r="I300" s="1">
        <f>value(THB!$B300)</f>
        <v>288.16256</v>
      </c>
      <c r="J300" s="1">
        <f>value(VND!$B300)</f>
        <v>0.4555498417</v>
      </c>
      <c r="K300" s="1">
        <f>value(CNY!$B300)</f>
        <v>1340.772185</v>
      </c>
      <c r="L300" s="1">
        <f>value(HKD!$B300)</f>
        <v>1138.10016</v>
      </c>
      <c r="M300" s="1">
        <f>value(TWD!$B300)</f>
        <v>300.49464</v>
      </c>
      <c r="N300" s="1">
        <f>value(JPY!$B300)</f>
        <v>107.61736</v>
      </c>
      <c r="O300" s="1">
        <f>value(SAR!$B300)</f>
        <v>2363.93691</v>
      </c>
      <c r="P300" s="1">
        <f>value(AED!$B300)</f>
        <v>2413.31895</v>
      </c>
      <c r="Q300" s="1">
        <f>value(KWD!$B300)</f>
        <v>31855.25164</v>
      </c>
    </row>
    <row r="301">
      <c r="A301" s="4">
        <f>value(USD!A301)</f>
        <v>40596.99861</v>
      </c>
      <c r="B301" s="1">
        <f>value(USD!B301)</f>
        <v>8876.45</v>
      </c>
      <c r="C301" s="1">
        <f>value(AUD!$B301)</f>
        <v>8959.41225</v>
      </c>
      <c r="D301" s="1">
        <f>value(EUR!$B301)</f>
        <v>12248.7705</v>
      </c>
      <c r="E301" s="1">
        <f>value(GBP!$B301)</f>
        <v>14309.883</v>
      </c>
      <c r="F301" s="1">
        <f>value(CHF!$B301)</f>
        <v>9581.292</v>
      </c>
      <c r="G301" s="1">
        <f>value(SGD!$B301)</f>
        <v>6949.0962</v>
      </c>
      <c r="H301" s="1">
        <f>value(MYR!$B301)</f>
        <v>2894.86575</v>
      </c>
      <c r="I301" s="1">
        <f>value(THB!$B301)</f>
        <v>289.97415</v>
      </c>
      <c r="J301" s="1">
        <f>value(VND!$B301)</f>
        <v>0.454339667</v>
      </c>
      <c r="K301" s="1">
        <f>value(CNY!$B301)</f>
        <v>1336.8561</v>
      </c>
      <c r="L301" s="1">
        <f>value(HKD!$B301)</f>
        <v>1137.11355</v>
      </c>
      <c r="M301" s="1">
        <f>value(TWD!$B301)</f>
        <v>298.9278</v>
      </c>
      <c r="N301" s="1">
        <f>value(JPY!$B301)</f>
        <v>108.06435</v>
      </c>
      <c r="O301" s="1">
        <f>value(SAR!$B301)</f>
        <v>2358.789314</v>
      </c>
      <c r="P301" s="1">
        <f>value(AED!$B301)</f>
        <v>2406.907933</v>
      </c>
      <c r="Q301" s="1">
        <f>value(KWD!$B301)</f>
        <v>31735.27959</v>
      </c>
    </row>
    <row r="302">
      <c r="A302" s="4">
        <f>value(USD!A302)</f>
        <v>40597.99861</v>
      </c>
      <c r="B302" s="1">
        <f>value(USD!B302)</f>
        <v>8872</v>
      </c>
      <c r="C302" s="1">
        <f>value(AUD!$B302)</f>
        <v>8996.175375</v>
      </c>
      <c r="D302" s="1">
        <f>value(EUR!$B302)</f>
        <v>12158.76204</v>
      </c>
      <c r="E302" s="1">
        <f>value(GBP!$B302)</f>
        <v>14247.11253</v>
      </c>
      <c r="F302" s="1">
        <f>value(CHF!$B302)</f>
        <v>9523.125795</v>
      </c>
      <c r="G302" s="1">
        <f>value(SGD!$B302)</f>
        <v>6945.401047</v>
      </c>
      <c r="H302" s="1">
        <f>value(MYR!$B302)</f>
        <v>2894.513901</v>
      </c>
      <c r="I302" s="1">
        <f>value(THB!$B302)</f>
        <v>288.054441</v>
      </c>
      <c r="J302" s="1">
        <f>value(VND!$B302)</f>
        <v>0.4531954746</v>
      </c>
      <c r="K302" s="1">
        <f>value(CNY!$B302)</f>
        <v>1338.699279</v>
      </c>
      <c r="L302" s="1">
        <f>value(HKD!$B302)</f>
        <v>1134.358035</v>
      </c>
      <c r="M302" s="1">
        <f>value(TWD!$B302)</f>
        <v>296.542233</v>
      </c>
      <c r="N302" s="1">
        <f>value(JPY!$B302)</f>
        <v>108.219348</v>
      </c>
      <c r="O302" s="1">
        <f>value(SAR!$B302)</f>
        <v>2352.323887</v>
      </c>
      <c r="P302" s="1">
        <f>value(AED!$B302)</f>
        <v>2401.463333</v>
      </c>
      <c r="Q302" s="1">
        <f>value(KWD!$B302)</f>
        <v>31726.12438</v>
      </c>
    </row>
    <row r="303">
      <c r="A303" s="4">
        <f>value(USD!A303)</f>
        <v>40598.99861</v>
      </c>
      <c r="B303" s="1">
        <f>value(USD!B303)</f>
        <v>8865</v>
      </c>
      <c r="C303" s="1">
        <f>value(AUD!$B303)</f>
        <v>8984.646825</v>
      </c>
      <c r="D303" s="1">
        <f>value(EUR!$B303)</f>
        <v>12190.97925</v>
      </c>
      <c r="E303" s="1">
        <f>value(GBP!$B303)</f>
        <v>14349.67628</v>
      </c>
      <c r="F303" s="1">
        <f>value(CHF!$B303)</f>
        <v>9494.526635</v>
      </c>
      <c r="G303" s="1">
        <f>value(SGD!$B303)</f>
        <v>6940.364002</v>
      </c>
      <c r="H303" s="1">
        <f>value(MYR!$B303)</f>
        <v>2894.847032</v>
      </c>
      <c r="I303" s="1">
        <f>value(THB!$B303)</f>
        <v>288.5496295</v>
      </c>
      <c r="J303" s="1">
        <f>value(VND!$B303)</f>
        <v>0.4519907482</v>
      </c>
      <c r="K303" s="1">
        <f>value(CNY!$B303)</f>
        <v>1337.723964</v>
      </c>
      <c r="L303" s="1">
        <f>value(HKD!$B303)</f>
        <v>1132.497751</v>
      </c>
      <c r="M303" s="1">
        <f>value(TWD!$B303)</f>
        <v>296.224291</v>
      </c>
      <c r="N303" s="1">
        <f>value(JPY!$B303)</f>
        <v>107.7099045</v>
      </c>
      <c r="O303" s="1">
        <f>value(SAR!$B303)</f>
        <v>2346.133274</v>
      </c>
      <c r="P303" s="1">
        <f>value(AED!$B303)</f>
        <v>2395.07954</v>
      </c>
      <c r="Q303" s="1">
        <f>value(KWD!$B303)</f>
        <v>31647.47935</v>
      </c>
    </row>
    <row r="304">
      <c r="A304" s="4">
        <f>value(USD!A304)</f>
        <v>40599.99861</v>
      </c>
      <c r="B304" s="1">
        <f>value(USD!B304)</f>
        <v>8841.45</v>
      </c>
      <c r="C304" s="1">
        <f>value(AUD!$B304)</f>
        <v>8914.39754</v>
      </c>
      <c r="D304" s="1">
        <f>value(EUR!$B304)</f>
        <v>12113.9662</v>
      </c>
      <c r="E304" s="1">
        <f>value(GBP!$B304)</f>
        <v>14303.7884</v>
      </c>
      <c r="F304" s="1">
        <f>value(CHF!$B304)</f>
        <v>9476.3258</v>
      </c>
      <c r="G304" s="1">
        <f>value(SGD!$B304)</f>
        <v>6906.34202</v>
      </c>
      <c r="H304" s="1">
        <f>value(MYR!$B304)</f>
        <v>2888.03148</v>
      </c>
      <c r="I304" s="1">
        <f>value(THB!$B304)</f>
        <v>287.16672</v>
      </c>
      <c r="J304" s="1">
        <f>value(VND!$B304)</f>
        <v>0.4527331063</v>
      </c>
      <c r="K304" s="1">
        <f>value(CNY!$B304)</f>
        <v>1331.9608</v>
      </c>
      <c r="L304" s="1">
        <f>value(HKD!$B304)</f>
        <v>1129.31128</v>
      </c>
      <c r="M304" s="1">
        <f>value(TWD!$B304)</f>
        <v>295.96472</v>
      </c>
      <c r="N304" s="1">
        <f>value(JPY!$B304)</f>
        <v>107.42358</v>
      </c>
      <c r="O304" s="1">
        <f>value(SAR!$B304)</f>
        <v>2349.923951</v>
      </c>
      <c r="P304" s="1">
        <f>value(AED!$B304)</f>
        <v>2399.101388</v>
      </c>
      <c r="Q304" s="1">
        <f>value(KWD!$B304)</f>
        <v>31688.05445</v>
      </c>
    </row>
    <row r="305">
      <c r="A305" s="4">
        <f>value(USD!A305)</f>
        <v>40602.99861</v>
      </c>
      <c r="B305" s="1">
        <f>value(USD!B305)</f>
        <v>8821.45</v>
      </c>
      <c r="C305" s="1">
        <f>value(AUD!$B305)</f>
        <v>8952.744204</v>
      </c>
      <c r="D305" s="1">
        <f>value(EUR!$B305)</f>
        <v>12218.46192</v>
      </c>
      <c r="E305" s="1">
        <f>value(GBP!$B305)</f>
        <v>14388.96836</v>
      </c>
      <c r="F305" s="1">
        <f>value(CHF!$B305)</f>
        <v>9541.239615</v>
      </c>
      <c r="G305" s="1">
        <f>value(SGD!$B305)</f>
        <v>6941.654989</v>
      </c>
      <c r="H305" s="1">
        <f>value(MYR!$B305)</f>
        <v>2899.560423</v>
      </c>
      <c r="I305" s="1">
        <f>value(THB!$B305)</f>
        <v>288.167115</v>
      </c>
      <c r="J305" s="1">
        <f>value(VND!$B305)</f>
        <v>0.4524897184</v>
      </c>
      <c r="K305" s="1">
        <f>value(CNY!$B305)</f>
        <v>1338.012325</v>
      </c>
      <c r="L305" s="1">
        <f>value(HKD!$B305)</f>
        <v>1131.077957</v>
      </c>
      <c r="M305" s="1">
        <f>value(TWD!$B305)</f>
        <v>298.037059</v>
      </c>
      <c r="N305" s="1">
        <f>value(JPY!$B305)</f>
        <v>107.688139</v>
      </c>
      <c r="O305" s="1">
        <f>value(SAR!$B305)</f>
        <v>2348.119941</v>
      </c>
      <c r="P305" s="1">
        <f>value(AED!$B305)</f>
        <v>2397.107653</v>
      </c>
      <c r="Q305" s="1">
        <f>value(KWD!$B305)</f>
        <v>31685.67216</v>
      </c>
    </row>
    <row r="306">
      <c r="A306" s="4">
        <f>value(USD!A306)</f>
        <v>40603.99861</v>
      </c>
      <c r="B306" s="1">
        <f>value(USD!B306)</f>
        <v>8798</v>
      </c>
      <c r="C306" s="1">
        <f>value(AUD!$B306)</f>
        <v>8917.279215</v>
      </c>
      <c r="D306" s="1">
        <f>value(EUR!$B306)</f>
        <v>12289.76656</v>
      </c>
      <c r="E306" s="1">
        <f>value(GBP!$B306)</f>
        <v>14329.10878</v>
      </c>
      <c r="F306" s="1">
        <f>value(CHF!$B306)</f>
        <v>9443.845125</v>
      </c>
      <c r="G306" s="1">
        <f>value(SGD!$B306)</f>
        <v>6943.801761</v>
      </c>
      <c r="H306" s="1">
        <f>value(MYR!$B306)</f>
        <v>2904.8299</v>
      </c>
      <c r="I306" s="1">
        <f>value(THB!$B306)</f>
        <v>289.170978</v>
      </c>
      <c r="J306" s="1">
        <f>value(VND!$B306)</f>
        <v>0.4503031819</v>
      </c>
      <c r="K306" s="1">
        <f>value(CNY!$B306)</f>
        <v>1335.82344</v>
      </c>
      <c r="L306" s="1">
        <f>value(HKD!$B306)</f>
        <v>1130.443671</v>
      </c>
      <c r="M306" s="1">
        <f>value(TWD!$B306)</f>
        <v>300.3538995</v>
      </c>
      <c r="N306" s="1">
        <f>value(JPY!$B306)</f>
        <v>106.8101085</v>
      </c>
      <c r="O306" s="1">
        <f>value(SAR!$B306)</f>
        <v>2336.897883</v>
      </c>
      <c r="P306" s="1">
        <f>value(AED!$B306)</f>
        <v>2385.524267</v>
      </c>
      <c r="Q306" s="1">
        <f>value(KWD!$B306)</f>
        <v>31538.23792</v>
      </c>
    </row>
    <row r="307">
      <c r="A307" s="4">
        <f>value(USD!A307)</f>
        <v>40604.99861</v>
      </c>
      <c r="B307" s="1">
        <f>value(USD!B307)</f>
        <v>8812.45</v>
      </c>
      <c r="C307" s="1">
        <f>value(AUD!$B307)</f>
        <v>8884.70431</v>
      </c>
      <c r="D307" s="1">
        <f>value(EUR!$B307)</f>
        <v>12250.5342</v>
      </c>
      <c r="E307" s="1">
        <f>value(GBP!$B307)</f>
        <v>14254.60943</v>
      </c>
      <c r="F307" s="1">
        <f>value(CHF!$B307)</f>
        <v>9462.17942</v>
      </c>
      <c r="G307" s="1">
        <f>value(SGD!$B307)</f>
        <v>6918.484808</v>
      </c>
      <c r="H307" s="1">
        <f>value(MYR!$B307)</f>
        <v>2890.530194</v>
      </c>
      <c r="I307" s="1">
        <f>value(THB!$B307)</f>
        <v>287.510749</v>
      </c>
      <c r="J307" s="1">
        <f>value(VND!$B307)</f>
        <v>0.4513716884</v>
      </c>
      <c r="K307" s="1">
        <f>value(CNY!$B307)</f>
        <v>1333.272</v>
      </c>
      <c r="L307" s="1">
        <f>value(HKD!$B307)</f>
        <v>1125.331618</v>
      </c>
      <c r="M307" s="1">
        <f>value(TWD!$B307)</f>
        <v>298.464374</v>
      </c>
      <c r="N307" s="1">
        <f>value(JPY!$B307)</f>
        <v>106.469235</v>
      </c>
      <c r="O307" s="1">
        <f>value(SAR!$B307)</f>
        <v>2342.919941</v>
      </c>
      <c r="P307" s="1">
        <f>value(AED!$B307)</f>
        <v>2391.887028</v>
      </c>
      <c r="Q307" s="1">
        <f>value(KWD!$B307)</f>
        <v>31649.67161</v>
      </c>
    </row>
    <row r="308">
      <c r="A308" s="4">
        <f>value(USD!A308)</f>
        <v>40605.99861</v>
      </c>
      <c r="B308" s="1">
        <f>value(USD!B308)</f>
        <v>8805.45</v>
      </c>
      <c r="C308" s="1">
        <f>value(AUD!$B308)</f>
        <v>8890.502805</v>
      </c>
      <c r="D308" s="1">
        <f>value(EUR!$B308)</f>
        <v>12268.26128</v>
      </c>
      <c r="E308" s="1">
        <f>value(GBP!$B308)</f>
        <v>14230.60321</v>
      </c>
      <c r="F308" s="1">
        <f>value(CHF!$B308)</f>
        <v>9482.675835</v>
      </c>
      <c r="G308" s="1">
        <f>value(SGD!$B308)</f>
        <v>6938.264715</v>
      </c>
      <c r="H308" s="1">
        <f>value(MYR!$B308)</f>
        <v>2893.652632</v>
      </c>
      <c r="I308" s="1">
        <f>value(THB!$B308)</f>
        <v>288.4427385</v>
      </c>
      <c r="J308" s="1">
        <f>value(VND!$B308)</f>
        <v>0.4513742571</v>
      </c>
      <c r="K308" s="1">
        <f>value(CNY!$B308)</f>
        <v>1334.206055</v>
      </c>
      <c r="L308" s="1">
        <f>value(HKD!$B308)</f>
        <v>1128.11598</v>
      </c>
      <c r="M308" s="1">
        <f>value(TWD!$B308)</f>
        <v>297.2286885</v>
      </c>
      <c r="N308" s="1">
        <f>value(JPY!$B308)</f>
        <v>106.7492925</v>
      </c>
      <c r="O308" s="1">
        <f>value(SAR!$B308)</f>
        <v>2343.120768</v>
      </c>
      <c r="P308" s="1">
        <f>value(AED!$B308)</f>
        <v>2391.90064</v>
      </c>
      <c r="Q308" s="1">
        <f>value(KWD!$B308)</f>
        <v>31604.31389</v>
      </c>
    </row>
    <row r="309">
      <c r="A309" s="4">
        <f>value(USD!A309)</f>
        <v>40606.99861</v>
      </c>
      <c r="B309" s="1">
        <f>value(USD!B309)</f>
        <v>8762.9</v>
      </c>
      <c r="C309" s="1">
        <f>value(AUD!$B309)</f>
        <v>8861.5596</v>
      </c>
      <c r="D309" s="1">
        <f>value(EUR!$B309)</f>
        <v>12209.9042</v>
      </c>
      <c r="E309" s="1">
        <f>value(GBP!$B309)</f>
        <v>14201.33896</v>
      </c>
      <c r="F309" s="1">
        <f>value(CHF!$B309)</f>
        <v>9389.5982</v>
      </c>
      <c r="G309" s="1">
        <f>value(SGD!$B309)</f>
        <v>6927.40956</v>
      </c>
      <c r="H309" s="1">
        <f>value(MYR!$B309)</f>
        <v>2890.94544</v>
      </c>
      <c r="I309" s="1">
        <f>value(THB!$B309)</f>
        <v>289.0594</v>
      </c>
      <c r="J309" s="1">
        <f>value(VND!$B309)</f>
        <v>0.4199424688</v>
      </c>
      <c r="K309" s="1">
        <f>value(CNY!$B309)</f>
        <v>1332.779857</v>
      </c>
      <c r="L309" s="1">
        <f>value(HKD!$B309)</f>
        <v>1127.94668</v>
      </c>
      <c r="M309" s="1">
        <f>value(TWD!$B309)</f>
        <v>297.93326</v>
      </c>
      <c r="N309" s="1">
        <f>value(JPY!$B309)</f>
        <v>106.13488</v>
      </c>
      <c r="O309" s="1">
        <f>value(SAR!$B309)</f>
        <v>2336.249163</v>
      </c>
      <c r="P309" s="1">
        <f>value(AED!$B309)</f>
        <v>2384.91</v>
      </c>
      <c r="Q309" s="1">
        <f>value(KWD!$B309)</f>
        <v>31556.1918</v>
      </c>
    </row>
    <row r="310">
      <c r="A310" s="4">
        <f>value(USD!A310)</f>
        <v>40609.99861</v>
      </c>
      <c r="B310" s="1">
        <f>value(USD!B310)</f>
        <v>8785.95</v>
      </c>
      <c r="C310" s="1">
        <f>value(AUD!$B310)</f>
        <v>8842.344</v>
      </c>
      <c r="D310" s="1">
        <f>value(EUR!$B310)</f>
        <v>12177.276</v>
      </c>
      <c r="E310" s="1">
        <f>value(GBP!$B310)</f>
        <v>14188.572</v>
      </c>
      <c r="F310" s="1">
        <f>value(CHF!$B310)</f>
        <v>9416.124</v>
      </c>
      <c r="G310" s="1">
        <f>value(SGD!$B310)</f>
        <v>6905.7708</v>
      </c>
      <c r="H310" s="1">
        <f>value(MYR!$B310)</f>
        <v>2883.792</v>
      </c>
      <c r="I310" s="1">
        <f>value(THB!$B310)</f>
        <v>288.642</v>
      </c>
      <c r="J310" s="1">
        <f>value(VND!$B310)</f>
        <v>0.421268579</v>
      </c>
      <c r="K310" s="1">
        <f>value(CNY!$B310)</f>
        <v>1331.629526</v>
      </c>
      <c r="L310" s="1">
        <f>value(HKD!$B310)</f>
        <v>1124.8716</v>
      </c>
      <c r="M310" s="1">
        <f>value(TWD!$B310)</f>
        <v>297.402</v>
      </c>
      <c r="N310" s="1">
        <f>value(JPY!$B310)</f>
        <v>105.7332</v>
      </c>
      <c r="O310" s="1">
        <f>value(SAR!$B310)</f>
        <v>2342.503163</v>
      </c>
      <c r="P310" s="1">
        <f>value(AED!$B310)</f>
        <v>2391.294262</v>
      </c>
      <c r="Q310" s="1">
        <f>value(KWD!$B310)</f>
        <v>31607.64886</v>
      </c>
    </row>
    <row r="311">
      <c r="A311" s="4">
        <f>value(USD!A311)</f>
        <v>40610.99861</v>
      </c>
      <c r="B311" s="1">
        <f>value(USD!B311)</f>
        <v>8786</v>
      </c>
      <c r="C311" s="1">
        <f>value(AUD!$B311)</f>
        <v>8796.449506</v>
      </c>
      <c r="D311" s="1">
        <f>value(EUR!$B311)</f>
        <v>12119.40431</v>
      </c>
      <c r="E311" s="1">
        <f>value(GBP!$B311)</f>
        <v>14107.45038</v>
      </c>
      <c r="F311" s="1">
        <f>value(CHF!$B311)</f>
        <v>9422.88516</v>
      </c>
      <c r="G311" s="1">
        <f>value(SGD!$B311)</f>
        <v>6895.447422</v>
      </c>
      <c r="H311" s="1">
        <f>value(MYR!$B311)</f>
        <v>2886.680842</v>
      </c>
      <c r="I311" s="1">
        <f>value(THB!$B311)</f>
        <v>288.3606635</v>
      </c>
      <c r="J311" s="1">
        <f>value(VND!$B311)</f>
        <v>0.4208559022</v>
      </c>
      <c r="K311" s="1">
        <f>value(CNY!$B311)</f>
        <v>1333.098</v>
      </c>
      <c r="L311" s="1">
        <f>value(HKD!$B311)</f>
        <v>1127.619311</v>
      </c>
      <c r="M311" s="1">
        <f>value(TWD!$B311)</f>
        <v>297.1441135</v>
      </c>
      <c r="N311" s="1">
        <f>value(JPY!$B311)</f>
        <v>105.928407</v>
      </c>
      <c r="O311" s="1">
        <f>value(SAR!$B311)</f>
        <v>2340.707241</v>
      </c>
      <c r="P311" s="1">
        <f>value(AED!$B311)</f>
        <v>2389.524637</v>
      </c>
      <c r="Q311" s="1">
        <f>value(KWD!$B311)</f>
        <v>31605.86716</v>
      </c>
    </row>
    <row r="312">
      <c r="A312" s="4">
        <f>value(USD!A312)</f>
        <v>40611.99861</v>
      </c>
      <c r="B312" s="1">
        <f>value(USD!B312)</f>
        <v>8760</v>
      </c>
      <c r="C312" s="1">
        <f>value(AUD!$B312)</f>
        <v>8907.726555</v>
      </c>
      <c r="D312" s="1">
        <f>value(EUR!$B312)</f>
        <v>12201.71589</v>
      </c>
      <c r="E312" s="1">
        <f>value(GBP!$B312)</f>
        <v>14115.96868</v>
      </c>
      <c r="F312" s="1">
        <f>value(CHF!$B312)</f>
        <v>9443.9982</v>
      </c>
      <c r="G312" s="1">
        <f>value(SGD!$B312)</f>
        <v>6921.327231</v>
      </c>
      <c r="H312" s="1">
        <f>value(MYR!$B312)</f>
        <v>2892.707181</v>
      </c>
      <c r="I312" s="1">
        <f>value(THB!$B312)</f>
        <v>289.5515805</v>
      </c>
      <c r="J312" s="1">
        <f>value(VND!$B312)</f>
        <v>0.4202613847</v>
      </c>
      <c r="K312" s="1">
        <f>value(CNY!$B312)</f>
        <v>1331.07037</v>
      </c>
      <c r="L312" s="1">
        <f>value(HKD!$B312)</f>
        <v>1126.96038</v>
      </c>
      <c r="M312" s="1">
        <f>value(TWD!$B312)</f>
        <v>299.469534</v>
      </c>
      <c r="N312" s="1">
        <f>value(JPY!$B312)</f>
        <v>107.1665595</v>
      </c>
      <c r="O312" s="1">
        <f>value(SAR!$B312)</f>
        <v>2336.840265</v>
      </c>
      <c r="P312" s="1">
        <f>value(AED!$B312)</f>
        <v>2385.401763</v>
      </c>
      <c r="Q312" s="1">
        <f>value(KWD!$B312)</f>
        <v>31513.93236</v>
      </c>
    </row>
    <row r="313">
      <c r="A313" s="4">
        <f>value(USD!A313)</f>
        <v>40612.99861</v>
      </c>
      <c r="B313" s="1">
        <f>value(USD!B313)</f>
        <v>8783.45</v>
      </c>
      <c r="C313" s="1">
        <f>value(AUD!$B313)</f>
        <v>8840.435805</v>
      </c>
      <c r="D313" s="1">
        <f>value(EUR!$B313)</f>
        <v>12260.42004</v>
      </c>
      <c r="E313" s="1">
        <f>value(GBP!$B313)</f>
        <v>14168.61877</v>
      </c>
      <c r="F313" s="1">
        <f>value(CHF!$B313)</f>
        <v>9472.20845</v>
      </c>
      <c r="G313" s="1">
        <f>value(SGD!$B313)</f>
        <v>6910.418568</v>
      </c>
      <c r="H313" s="1">
        <f>value(MYR!$B313)</f>
        <v>2883.284172</v>
      </c>
      <c r="I313" s="1">
        <f>value(THB!$B313)</f>
        <v>288.635103</v>
      </c>
      <c r="J313" s="1">
        <f>value(VND!$B313)</f>
        <v>0.4208633032</v>
      </c>
      <c r="K313" s="1">
        <f>value(CNY!$B313)</f>
        <v>1331.3737</v>
      </c>
      <c r="L313" s="1">
        <f>value(HKD!$B313)</f>
        <v>1124.572833</v>
      </c>
      <c r="M313" s="1">
        <f>value(TWD!$B313)</f>
        <v>297.8356755</v>
      </c>
      <c r="N313" s="1">
        <f>value(JPY!$B313)</f>
        <v>107.077139</v>
      </c>
      <c r="O313" s="1">
        <f>value(SAR!$B313)</f>
        <v>2340.062331</v>
      </c>
      <c r="P313" s="1">
        <f>value(AED!$B313)</f>
        <v>2388.906</v>
      </c>
      <c r="Q313" s="1">
        <f>value(KWD!$B313)</f>
        <v>31564.74555</v>
      </c>
    </row>
    <row r="314">
      <c r="A314" s="4">
        <f>value(USD!A314)</f>
        <v>40613.99861</v>
      </c>
      <c r="B314" s="1">
        <f>value(USD!B314)</f>
        <v>8776.95</v>
      </c>
      <c r="C314" s="1">
        <f>value(AUD!$B314)</f>
        <v>8717.9625</v>
      </c>
      <c r="D314" s="1">
        <f>value(EUR!$B314)</f>
        <v>12272.715</v>
      </c>
      <c r="E314" s="1">
        <f>value(GBP!$B314)</f>
        <v>14102.6535</v>
      </c>
      <c r="F314" s="1">
        <f>value(CHF!$B314)</f>
        <v>9555.0975</v>
      </c>
      <c r="G314" s="1">
        <f>value(SGD!$B314)</f>
        <v>6870.2985</v>
      </c>
      <c r="H314" s="1">
        <f>value(MYR!$B314)</f>
        <v>2857.842</v>
      </c>
      <c r="I314" s="1">
        <f>value(THB!$B314)</f>
        <v>288.3465</v>
      </c>
      <c r="J314" s="1">
        <f>value(VND!$B314)</f>
        <v>0.4200671226</v>
      </c>
      <c r="K314" s="1">
        <f>value(CNY!$B314)</f>
        <v>1329.15255</v>
      </c>
      <c r="L314" s="1">
        <f>value(HKD!$B314)</f>
        <v>1125.306</v>
      </c>
      <c r="M314" s="1">
        <f>value(TWD!$B314)</f>
        <v>299.2275</v>
      </c>
      <c r="N314" s="1">
        <f>value(JPY!$B314)</f>
        <v>108.19575</v>
      </c>
      <c r="O314" s="1">
        <f>value(SAR!$B314)</f>
        <v>2336.195562</v>
      </c>
      <c r="P314" s="1">
        <f>value(AED!$B314)</f>
        <v>2385.13373</v>
      </c>
      <c r="Q314" s="1">
        <f>value(KWD!$B314)</f>
        <v>31569.36408</v>
      </c>
    </row>
    <row r="315">
      <c r="A315" s="4">
        <f>value(USD!A315)</f>
        <v>40616.99861</v>
      </c>
      <c r="B315" s="1">
        <f>value(USD!B315)</f>
        <v>8762.45</v>
      </c>
      <c r="C315" s="1">
        <f>value(AUD!$B315)</f>
        <v>8581.7858</v>
      </c>
      <c r="D315" s="1">
        <f>value(EUR!$B315)</f>
        <v>12162.20215</v>
      </c>
      <c r="E315" s="1">
        <f>value(GBP!$B315)</f>
        <v>14005.41135</v>
      </c>
      <c r="F315" s="1">
        <f>value(CHF!$B315)</f>
        <v>9689.113</v>
      </c>
      <c r="G315" s="1">
        <f>value(SGD!$B315)</f>
        <v>6813.303665</v>
      </c>
      <c r="H315" s="1">
        <f>value(MYR!$B315)</f>
        <v>2860.65367</v>
      </c>
      <c r="I315" s="1">
        <f>value(THB!$B315)</f>
        <v>286.731165</v>
      </c>
      <c r="J315" s="1">
        <f>value(VND!$B315)</f>
        <v>0.4206234951</v>
      </c>
      <c r="K315" s="1">
        <f>value(CNY!$B315)</f>
        <v>1326.2248</v>
      </c>
      <c r="L315" s="1">
        <f>value(HKD!$B315)</f>
        <v>1123.183705</v>
      </c>
      <c r="M315" s="1">
        <f>value(TWD!$B315)</f>
        <v>295.141245</v>
      </c>
      <c r="N315" s="1">
        <f>value(JPY!$B315)</f>
        <v>110.55751</v>
      </c>
      <c r="O315" s="1">
        <f>value(SAR!$B315)</f>
        <v>2338.791317</v>
      </c>
      <c r="P315" s="1">
        <f>value(AED!$B315)</f>
        <v>2387.4571</v>
      </c>
      <c r="Q315" s="1">
        <f>value(KWD!$B315)</f>
        <v>31637.80131</v>
      </c>
    </row>
    <row r="316">
      <c r="A316" s="4">
        <f>value(USD!A316)</f>
        <v>40617.99861</v>
      </c>
      <c r="B316" s="1">
        <f>value(USD!B316)</f>
        <v>8775</v>
      </c>
      <c r="C316" s="1">
        <f>value(AUD!$B316)</f>
        <v>8622.3132</v>
      </c>
      <c r="D316" s="1">
        <f>value(EUR!$B316)</f>
        <v>12304.8362</v>
      </c>
      <c r="E316" s="1">
        <f>value(GBP!$B316)</f>
        <v>14154.9554</v>
      </c>
      <c r="F316" s="1">
        <f>value(CHF!$B316)</f>
        <v>9747.855</v>
      </c>
      <c r="G316" s="1">
        <f>value(SGD!$B316)</f>
        <v>6856.386</v>
      </c>
      <c r="H316" s="1">
        <f>value(MYR!$B316)</f>
        <v>2871.298</v>
      </c>
      <c r="I316" s="1">
        <f>value(THB!$B316)</f>
        <v>289.5854</v>
      </c>
      <c r="J316" s="1">
        <f>value(VND!$B316)</f>
        <v>0.4193238955</v>
      </c>
      <c r="K316" s="1">
        <f>value(CNY!$B316)</f>
        <v>1328.90598</v>
      </c>
      <c r="L316" s="1">
        <f>value(HKD!$B316)</f>
        <v>1123.7878</v>
      </c>
      <c r="M316" s="1">
        <f>value(TWD!$B316)</f>
        <v>296.8645</v>
      </c>
      <c r="N316" s="1">
        <f>value(JPY!$B316)</f>
        <v>110.2389</v>
      </c>
      <c r="O316" s="1">
        <f>value(SAR!$B316)</f>
        <v>2332.124295</v>
      </c>
      <c r="P316" s="1">
        <f>value(AED!$B316)</f>
        <v>2380.82625</v>
      </c>
      <c r="Q316" s="1">
        <f>value(KWD!$B316)</f>
        <v>31524.86799</v>
      </c>
    </row>
    <row r="317">
      <c r="A317" s="4">
        <f>value(USD!A317)</f>
        <v>40618.99861</v>
      </c>
      <c r="B317" s="1">
        <f>value(USD!B317)</f>
        <v>8760.5</v>
      </c>
      <c r="C317" s="1">
        <f>value(AUD!$B317)</f>
        <v>8713.518</v>
      </c>
      <c r="D317" s="1">
        <f>value(EUR!$B317)</f>
        <v>12401.2845</v>
      </c>
      <c r="E317" s="1">
        <f>value(GBP!$B317)</f>
        <v>14194.884</v>
      </c>
      <c r="F317" s="1">
        <f>value(CHF!$B317)</f>
        <v>9706.95</v>
      </c>
      <c r="G317" s="1">
        <f>value(SGD!$B317)</f>
        <v>6866.3991</v>
      </c>
      <c r="H317" s="1">
        <f>value(MYR!$B317)</f>
        <v>2863.55025</v>
      </c>
      <c r="I317" s="1">
        <f>value(THB!$B317)</f>
        <v>288.9348</v>
      </c>
      <c r="J317" s="1">
        <f>value(VND!$B317)</f>
        <v>0.4245374815</v>
      </c>
      <c r="K317" s="1">
        <f>value(CNY!$B317)</f>
        <v>1327.840762</v>
      </c>
      <c r="L317" s="1">
        <f>value(HKD!$B317)</f>
        <v>1121.02155</v>
      </c>
      <c r="M317" s="1">
        <f>value(TWD!$B317)</f>
        <v>296.4555</v>
      </c>
      <c r="N317" s="1">
        <f>value(JPY!$B317)</f>
        <v>108.52545</v>
      </c>
      <c r="O317" s="1">
        <f>value(SAR!$B317)</f>
        <v>2325.51936</v>
      </c>
      <c r="P317" s="1">
        <f>value(AED!$B317)</f>
        <v>2374.02</v>
      </c>
      <c r="Q317" s="1">
        <f>value(KWD!$B317)</f>
        <v>31468.7796</v>
      </c>
    </row>
    <row r="318">
      <c r="A318" s="4">
        <f>value(USD!A318)</f>
        <v>40619.99861</v>
      </c>
      <c r="B318" s="1">
        <f>value(USD!B318)</f>
        <v>8770</v>
      </c>
      <c r="C318" s="1">
        <f>value(AUD!$B318)</f>
        <v>8767.2624</v>
      </c>
      <c r="D318" s="1">
        <f>value(EUR!$B318)</f>
        <v>12391.12</v>
      </c>
      <c r="E318" s="1">
        <f>value(GBP!$B318)</f>
        <v>14217.96</v>
      </c>
      <c r="F318" s="1">
        <f>value(CHF!$B318)</f>
        <v>9629.496</v>
      </c>
      <c r="G318" s="1">
        <f>value(SGD!$B318)</f>
        <v>6884.004</v>
      </c>
      <c r="H318" s="1">
        <f>value(MYR!$B318)</f>
        <v>2878.2976</v>
      </c>
      <c r="I318" s="1">
        <f>value(THB!$B318)</f>
        <v>287.76</v>
      </c>
      <c r="J318" s="1">
        <f>value(VND!$B318)</f>
        <v>0.4181730924</v>
      </c>
      <c r="K318" s="1">
        <f>value(CNY!$B318)</f>
        <v>1325.662</v>
      </c>
      <c r="L318" s="1">
        <f>value(HKD!$B318)</f>
        <v>1118.1656</v>
      </c>
      <c r="M318" s="1">
        <f>value(TWD!$B318)</f>
        <v>295.7824</v>
      </c>
      <c r="N318" s="1">
        <f>value(JPY!$B318)</f>
        <v>107.3432</v>
      </c>
      <c r="O318" s="1">
        <f>value(SAR!$B318)</f>
        <v>2325.723954</v>
      </c>
      <c r="P318" s="1">
        <f>value(AED!$B318)</f>
        <v>2374.29225</v>
      </c>
      <c r="Q318" s="1">
        <f>value(KWD!$B318)</f>
        <v>31549.81344</v>
      </c>
    </row>
    <row r="319">
      <c r="A319" s="4">
        <f>value(USD!A319)</f>
        <v>40620.99861</v>
      </c>
      <c r="B319" s="1">
        <f>value(USD!B319)</f>
        <v>8745</v>
      </c>
      <c r="C319" s="1">
        <f>value(AUD!$B319)</f>
        <v>8796.0006</v>
      </c>
      <c r="D319" s="1">
        <f>value(EUR!$B319)</f>
        <v>12354.1686</v>
      </c>
      <c r="E319" s="1">
        <f>value(GBP!$B319)</f>
        <v>14264.9397</v>
      </c>
      <c r="F319" s="1">
        <f>value(CHF!$B319)</f>
        <v>9641.9376</v>
      </c>
      <c r="G319" s="1">
        <f>value(SGD!$B319)</f>
        <v>6893.51445</v>
      </c>
      <c r="H319" s="1">
        <f>value(MYR!$B319)</f>
        <v>2866.85433</v>
      </c>
      <c r="I319" s="1">
        <f>value(THB!$B319)</f>
        <v>287.35695</v>
      </c>
      <c r="J319" s="1">
        <f>value(VND!$B319)</f>
        <v>0.4179942423</v>
      </c>
      <c r="K319" s="1">
        <f>value(CNY!$B319)</f>
        <v>1325.018492</v>
      </c>
      <c r="L319" s="1">
        <f>value(HKD!$B319)</f>
        <v>1118.81709</v>
      </c>
      <c r="M319" s="1">
        <f>value(TWD!$B319)</f>
        <v>293.37444</v>
      </c>
      <c r="N319" s="1">
        <f>value(JPY!$B319)</f>
        <v>107.52993</v>
      </c>
      <c r="O319" s="1">
        <f>value(SAR!$B319)</f>
        <v>2325.84396</v>
      </c>
      <c r="P319" s="1">
        <f>value(AED!$B319)</f>
        <v>2374.414762</v>
      </c>
      <c r="Q319" s="1">
        <f>value(KWD!$B319)</f>
        <v>31513.81706</v>
      </c>
    </row>
    <row r="320">
      <c r="A320" s="4">
        <f>value(USD!A320)</f>
        <v>40623.99861</v>
      </c>
      <c r="B320" s="1">
        <f>value(USD!B320)</f>
        <v>8720</v>
      </c>
      <c r="C320" s="1">
        <f>value(AUD!$B320)</f>
        <v>8836.485925</v>
      </c>
      <c r="D320" s="1">
        <f>value(EUR!$B320)</f>
        <v>12302.47737</v>
      </c>
      <c r="E320" s="1">
        <f>value(GBP!$B320)</f>
        <v>14169.91424</v>
      </c>
      <c r="F320" s="1">
        <f>value(CHF!$B320)</f>
        <v>9602.31645</v>
      </c>
      <c r="G320" s="1">
        <f>value(SGD!$B320)</f>
        <v>6897.184303</v>
      </c>
      <c r="H320" s="1">
        <f>value(MYR!$B320)</f>
        <v>2875.37485</v>
      </c>
      <c r="I320" s="1">
        <f>value(THB!$B320)</f>
        <v>287.110134</v>
      </c>
      <c r="J320" s="1">
        <f>value(VND!$B320)</f>
        <v>0.4173454682</v>
      </c>
      <c r="K320" s="1">
        <f>value(CNY!$B320)</f>
        <v>1326.03822</v>
      </c>
      <c r="L320" s="1">
        <f>value(HKD!$B320)</f>
        <v>1118.87482</v>
      </c>
      <c r="M320" s="1">
        <f>value(TWD!$B320)</f>
        <v>294.1745085</v>
      </c>
      <c r="N320" s="1">
        <f>value(JPY!$B320)</f>
        <v>107.797122</v>
      </c>
      <c r="O320" s="1">
        <f>value(SAR!$B320)</f>
        <v>2322.85248</v>
      </c>
      <c r="P320" s="1">
        <f>value(AED!$B320)</f>
        <v>2371.3846</v>
      </c>
      <c r="Q320" s="1">
        <f>value(KWD!$B320)</f>
        <v>31432.69155</v>
      </c>
    </row>
    <row r="321">
      <c r="A321" s="4">
        <f>value(USD!A321)</f>
        <v>40624.99861</v>
      </c>
      <c r="B321" s="1">
        <f>value(USD!B321)</f>
        <v>8721</v>
      </c>
      <c r="C321" s="1">
        <f>value(AUD!$B321)</f>
        <v>8884.2</v>
      </c>
      <c r="D321" s="1">
        <f>value(EUR!$B321)</f>
        <v>12341.1119</v>
      </c>
      <c r="E321" s="1">
        <f>value(GBP!$B321)</f>
        <v>14038.778</v>
      </c>
      <c r="F321" s="1">
        <f>value(CHF!$B321)</f>
        <v>9586.226</v>
      </c>
      <c r="G321" s="1">
        <f>value(SGD!$B321)</f>
        <v>6906.0719</v>
      </c>
      <c r="H321" s="1">
        <f>value(MYR!$B321)</f>
        <v>2871.2515</v>
      </c>
      <c r="I321" s="1">
        <f>value(THB!$B321)</f>
        <v>287.2558</v>
      </c>
      <c r="J321" s="1">
        <f>value(VND!$B321)</f>
        <v>0.4226851122</v>
      </c>
      <c r="K321" s="1">
        <f>value(CNY!$B321)</f>
        <v>1321.929246</v>
      </c>
      <c r="L321" s="1">
        <f>value(HKD!$B321)</f>
        <v>1117.493</v>
      </c>
      <c r="M321" s="1">
        <f>value(TWD!$B321)</f>
        <v>295.1819</v>
      </c>
      <c r="N321" s="1">
        <f>value(JPY!$B321)</f>
        <v>107.4814</v>
      </c>
      <c r="O321" s="1">
        <f>value(SAR!$B321)</f>
        <v>2321.510396</v>
      </c>
      <c r="P321" s="1">
        <f>value(AED!$B321)</f>
        <v>2369.816596</v>
      </c>
      <c r="Q321" s="1">
        <f>value(KWD!$B321)</f>
        <v>31449.41532</v>
      </c>
    </row>
    <row r="322">
      <c r="A322" s="4">
        <f>value(USD!A322)</f>
        <v>40625.99861</v>
      </c>
      <c r="B322" s="1">
        <f>value(USD!B322)</f>
        <v>8721.45</v>
      </c>
      <c r="C322" s="1">
        <f>value(AUD!$B322)</f>
        <v>8930.66468</v>
      </c>
      <c r="D322" s="1">
        <f>value(EUR!$B322)</f>
        <v>12263.88576</v>
      </c>
      <c r="E322" s="1">
        <f>value(GBP!$B322)</f>
        <v>13964.01132</v>
      </c>
      <c r="F322" s="1">
        <f>value(CHF!$B322)</f>
        <v>9463.42292</v>
      </c>
      <c r="G322" s="1">
        <f>value(SGD!$B322)</f>
        <v>6895.214816</v>
      </c>
      <c r="H322" s="1">
        <f>value(MYR!$B322)</f>
        <v>2878.026172</v>
      </c>
      <c r="I322" s="1">
        <f>value(THB!$B322)</f>
        <v>287.619808</v>
      </c>
      <c r="J322" s="1">
        <f>value(VND!$B322)</f>
        <v>0.4229261591</v>
      </c>
      <c r="K322" s="1">
        <f>value(CNY!$B322)</f>
        <v>1324.442328</v>
      </c>
      <c r="L322" s="1">
        <f>value(HKD!$B322)</f>
        <v>1116.616004</v>
      </c>
      <c r="M322" s="1">
        <f>value(TWD!$B322)</f>
        <v>293.974604</v>
      </c>
      <c r="N322" s="1">
        <f>value(JPY!$B322)</f>
        <v>106.986908</v>
      </c>
      <c r="O322" s="1">
        <f>value(SAR!$B322)</f>
        <v>2324.977248</v>
      </c>
      <c r="P322" s="1">
        <f>value(AED!$B322)</f>
        <v>2373.52995</v>
      </c>
      <c r="Q322" s="1">
        <f>value(KWD!$B322)</f>
        <v>31445.26582</v>
      </c>
    </row>
    <row r="323">
      <c r="A323" s="4">
        <f>value(USD!A323)</f>
        <v>40626.99861</v>
      </c>
      <c r="B323" s="1">
        <f>value(USD!B323)</f>
        <v>8710</v>
      </c>
      <c r="C323" s="1">
        <f>value(AUD!$B323)</f>
        <v>8932.66772</v>
      </c>
      <c r="D323" s="1">
        <f>value(EUR!$B323)</f>
        <v>12273.22041</v>
      </c>
      <c r="E323" s="1">
        <f>value(GBP!$B323)</f>
        <v>13938.65816</v>
      </c>
      <c r="F323" s="1">
        <f>value(CHF!$B323)</f>
        <v>9505.45346</v>
      </c>
      <c r="G323" s="1">
        <f>value(SGD!$B323)</f>
        <v>6901.152756</v>
      </c>
      <c r="H323" s="1">
        <f>value(MYR!$B323)</f>
        <v>2873.169992</v>
      </c>
      <c r="I323" s="1">
        <f>value(THB!$B323)</f>
        <v>286.741598</v>
      </c>
      <c r="J323" s="1">
        <f>value(VND!$B323)</f>
        <v>0.4162347251</v>
      </c>
      <c r="K323" s="1">
        <f>value(CNY!$B323)</f>
        <v>1330.057276</v>
      </c>
      <c r="L323" s="1">
        <f>value(HKD!$B323)</f>
        <v>1117.847604</v>
      </c>
      <c r="M323" s="1">
        <f>value(TWD!$B323)</f>
        <v>296.070072</v>
      </c>
      <c r="N323" s="1">
        <f>value(JPY!$B323)</f>
        <v>106.536404</v>
      </c>
      <c r="O323" s="1">
        <f>value(SAR!$B323)</f>
        <v>2317.225363</v>
      </c>
      <c r="P323" s="1">
        <f>value(AED!$B323)</f>
        <v>2365.379247</v>
      </c>
      <c r="Q323" s="1">
        <f>value(KWD!$B323)</f>
        <v>31328.28077</v>
      </c>
    </row>
    <row r="324">
      <c r="A324" s="4">
        <f>value(USD!A324)</f>
        <v>40627.99861</v>
      </c>
      <c r="B324" s="1">
        <f>value(USD!B324)</f>
        <v>8705.2</v>
      </c>
      <c r="C324" s="1">
        <f>value(AUD!$B324)</f>
        <v>8939.14032</v>
      </c>
      <c r="D324" s="1">
        <f>value(EUR!$B324)</f>
        <v>12259.16901</v>
      </c>
      <c r="E324" s="1">
        <f>value(GBP!$B324)</f>
        <v>13907.45334</v>
      </c>
      <c r="F324" s="1">
        <f>value(CHF!$B324)</f>
        <v>9434.40762</v>
      </c>
      <c r="G324" s="1">
        <f>value(SGD!$B324)</f>
        <v>6884.476137</v>
      </c>
      <c r="H324" s="1">
        <f>value(MYR!$B324)</f>
        <v>2869.856781</v>
      </c>
      <c r="I324" s="1">
        <f>value(THB!$B324)</f>
        <v>286.386144</v>
      </c>
      <c r="J324" s="1">
        <f>value(VND!$B324)</f>
        <v>0.4168519368</v>
      </c>
      <c r="K324" s="1">
        <f>value(CNY!$B324)</f>
        <v>1321.020162</v>
      </c>
      <c r="L324" s="1">
        <f>value(HKD!$B324)</f>
        <v>1114.959648</v>
      </c>
      <c r="M324" s="1">
        <f>value(TWD!$B324)</f>
        <v>295.335711</v>
      </c>
      <c r="N324" s="1">
        <f>value(JPY!$B324)</f>
        <v>105.396357</v>
      </c>
      <c r="O324" s="1">
        <f>value(SAR!$B324)</f>
        <v>2320.043651</v>
      </c>
      <c r="P324" s="1">
        <f>value(AED!$B324)</f>
        <v>2368.319331</v>
      </c>
      <c r="Q324" s="1">
        <f>value(KWD!$B324)</f>
        <v>31361.56592</v>
      </c>
    </row>
    <row r="325">
      <c r="A325" s="4">
        <f>value(USD!A325)</f>
        <v>40630.99861</v>
      </c>
      <c r="B325" s="1">
        <f>value(USD!B325)</f>
        <v>8718.2</v>
      </c>
      <c r="C325" s="1">
        <f>value(AUD!$B325)</f>
        <v>8972.00061</v>
      </c>
      <c r="D325" s="1">
        <f>value(EUR!$B325)</f>
        <v>12283.9764</v>
      </c>
      <c r="E325" s="1">
        <f>value(GBP!$B325)</f>
        <v>13980.50489</v>
      </c>
      <c r="F325" s="1">
        <f>value(CHF!$B325)</f>
        <v>9467.01354</v>
      </c>
      <c r="G325" s="1">
        <f>value(SGD!$B325)</f>
        <v>6891.90234</v>
      </c>
      <c r="H325" s="1">
        <f>value(MYR!$B325)</f>
        <v>2876.729799</v>
      </c>
      <c r="I325" s="1">
        <f>value(THB!$B325)</f>
        <v>286.916106</v>
      </c>
      <c r="J325" s="1">
        <f>value(VND!$B325)</f>
        <v>0.4175957827</v>
      </c>
      <c r="K325" s="1">
        <f>value(CNY!$B325)</f>
        <v>1321.44705</v>
      </c>
      <c r="L325" s="1">
        <f>value(HKD!$B325)</f>
        <v>1117.476465</v>
      </c>
      <c r="M325" s="1">
        <f>value(TWD!$B325)</f>
        <v>295.615806</v>
      </c>
      <c r="N325" s="1">
        <f>value(JPY!$B325)</f>
        <v>104.657391</v>
      </c>
      <c r="O325" s="1">
        <f>value(SAR!$B325)</f>
        <v>2325.359347</v>
      </c>
      <c r="P325" s="1">
        <f>value(AED!$B325)</f>
        <v>2373.943844</v>
      </c>
      <c r="Q325" s="1">
        <f>value(KWD!$B325)</f>
        <v>31421.25599</v>
      </c>
    </row>
    <row r="326">
      <c r="A326" s="4">
        <f>value(USD!A326)</f>
        <v>40631.99861</v>
      </c>
      <c r="B326" s="1">
        <f>value(USD!B326)</f>
        <v>8688.9</v>
      </c>
      <c r="C326" s="1">
        <f>value(AUD!$B326)</f>
        <v>9006.878618</v>
      </c>
      <c r="D326" s="1">
        <f>value(EUR!$B326)</f>
        <v>12344.75213</v>
      </c>
      <c r="E326" s="1">
        <f>value(GBP!$B326)</f>
        <v>13978.94208</v>
      </c>
      <c r="F326" s="1">
        <f>value(CHF!$B326)</f>
        <v>9481.47556</v>
      </c>
      <c r="G326" s="1">
        <f>value(SGD!$B326)</f>
        <v>6914.135424</v>
      </c>
      <c r="H326" s="1">
        <f>value(MYR!$B326)</f>
        <v>2873.216688</v>
      </c>
      <c r="I326" s="1">
        <f>value(THB!$B326)</f>
        <v>287.129842</v>
      </c>
      <c r="J326" s="1">
        <f>value(VND!$B326)</f>
        <v>0.4148767015</v>
      </c>
      <c r="K326" s="1">
        <f>value(CNY!$B326)</f>
        <v>1319.969553</v>
      </c>
      <c r="L326" s="1">
        <f>value(HKD!$B326)</f>
        <v>1120.791676</v>
      </c>
      <c r="M326" s="1">
        <f>value(TWD!$B326)</f>
        <v>295.413272</v>
      </c>
      <c r="N326" s="1">
        <f>value(JPY!$B326)</f>
        <v>104.545606</v>
      </c>
      <c r="O326" s="1">
        <f>value(SAR!$B326)</f>
        <v>2310.833119</v>
      </c>
      <c r="P326" s="1">
        <f>value(AED!$B326)</f>
        <v>2359.051222</v>
      </c>
      <c r="Q326" s="1">
        <f>value(KWD!$B326)</f>
        <v>31212.89213</v>
      </c>
    </row>
    <row r="327">
      <c r="A327" s="4">
        <f>value(USD!A327)</f>
        <v>40632.99861</v>
      </c>
      <c r="B327" s="1">
        <f>value(USD!B327)</f>
        <v>8699.7</v>
      </c>
      <c r="C327" s="1">
        <f>value(AUD!$B327)</f>
        <v>8998.29095</v>
      </c>
      <c r="D327" s="1">
        <f>value(EUR!$B327)</f>
        <v>12333.33398</v>
      </c>
      <c r="E327" s="1">
        <f>value(GBP!$B327)</f>
        <v>13957.96523</v>
      </c>
      <c r="F327" s="1">
        <f>value(CHF!$B327)</f>
        <v>9376.93834</v>
      </c>
      <c r="G327" s="1">
        <f>value(SGD!$B327)</f>
        <v>6872.406805</v>
      </c>
      <c r="H327" s="1">
        <f>value(MYR!$B327)</f>
        <v>2864.809761</v>
      </c>
      <c r="I327" s="1">
        <f>value(THB!$B327)</f>
        <v>286.195041</v>
      </c>
      <c r="J327" s="1">
        <f>value(VND!$B327)</f>
        <v>0.4225369239</v>
      </c>
      <c r="K327" s="1">
        <f>value(CNY!$B327)</f>
        <v>1321.012778</v>
      </c>
      <c r="L327" s="1">
        <f>value(HKD!$B327)</f>
        <v>1113.760538</v>
      </c>
      <c r="M327" s="1">
        <f>value(TWD!$B327)</f>
        <v>297.805739</v>
      </c>
      <c r="N327" s="1">
        <f>value(JPY!$B327)</f>
        <v>103.023283</v>
      </c>
      <c r="O327" s="1">
        <f>value(SAR!$B327)</f>
        <v>2311.579865</v>
      </c>
      <c r="P327" s="1">
        <f>value(AED!$B327)</f>
        <v>2359.380175</v>
      </c>
      <c r="Q327" s="1">
        <f>value(KWD!$B327)</f>
        <v>31321.13802</v>
      </c>
    </row>
    <row r="328">
      <c r="A328" s="4">
        <f>value(USD!A328)</f>
        <v>40633.99861</v>
      </c>
      <c r="B328" s="1">
        <f>value(USD!B328)</f>
        <v>8719.4</v>
      </c>
      <c r="C328" s="1">
        <f>value(AUD!$B328)</f>
        <v>8993.96226</v>
      </c>
      <c r="D328" s="1">
        <f>value(EUR!$B328)</f>
        <v>12333.24036</v>
      </c>
      <c r="E328" s="1">
        <f>value(GBP!$B328)</f>
        <v>13958.26908</v>
      </c>
      <c r="F328" s="1">
        <f>value(CHF!$B328)</f>
        <v>9382.02882</v>
      </c>
      <c r="G328" s="1">
        <f>value(SGD!$B328)</f>
        <v>6870.42393</v>
      </c>
      <c r="H328" s="1">
        <f>value(MYR!$B328)</f>
        <v>2864.762784</v>
      </c>
      <c r="I328" s="1">
        <f>value(THB!$B328)</f>
        <v>286.199088</v>
      </c>
      <c r="J328" s="1">
        <f>value(VND!$B328)</f>
        <v>0.4200097121</v>
      </c>
      <c r="K328" s="1">
        <f>value(CNY!$B328)</f>
        <v>1317.503234</v>
      </c>
      <c r="L328" s="1">
        <f>value(HKD!$B328)</f>
        <v>1113.439188</v>
      </c>
      <c r="M328" s="1">
        <f>value(TWD!$B328)</f>
        <v>297.806436</v>
      </c>
      <c r="N328" s="1">
        <f>value(JPY!$B328)</f>
        <v>102.993558</v>
      </c>
      <c r="O328" s="1">
        <f>value(SAR!$B328)</f>
        <v>2305.757779</v>
      </c>
      <c r="P328" s="1">
        <f>value(AED!$B328)</f>
        <v>2353.41398</v>
      </c>
      <c r="Q328" s="1">
        <f>value(KWD!$B328)</f>
        <v>31231.80071</v>
      </c>
    </row>
    <row r="329">
      <c r="A329" s="4">
        <f>value(USD!A329)</f>
        <v>40634.99861</v>
      </c>
      <c r="B329" s="1">
        <f>value(USD!B329)</f>
        <v>8664.7</v>
      </c>
      <c r="C329" s="1">
        <f>value(AUD!$B329)</f>
        <v>9007.266</v>
      </c>
      <c r="D329" s="1">
        <f>value(EUR!$B329)</f>
        <v>12326.65847</v>
      </c>
      <c r="E329" s="1">
        <f>value(GBP!$B329)</f>
        <v>13967.67625</v>
      </c>
      <c r="F329" s="1">
        <f>value(CHF!$B329)</f>
        <v>9363.50025</v>
      </c>
      <c r="G329" s="1">
        <f>value(SGD!$B329)</f>
        <v>6875.667725</v>
      </c>
      <c r="H329" s="1">
        <f>value(MYR!$B329)</f>
        <v>2862.961925</v>
      </c>
      <c r="I329" s="1">
        <f>value(THB!$B329)</f>
        <v>286.3742</v>
      </c>
      <c r="J329" s="1">
        <f>value(VND!$B329)</f>
        <v>0.4145293359</v>
      </c>
      <c r="K329" s="1">
        <f>value(CNY!$B329)</f>
        <v>1318.677767</v>
      </c>
      <c r="L329" s="1">
        <f>value(HKD!$B329)</f>
        <v>1113.9471</v>
      </c>
      <c r="M329" s="1">
        <f>value(TWD!$B329)</f>
        <v>297.555275</v>
      </c>
      <c r="N329" s="1">
        <f>value(JPY!$B329)</f>
        <v>102.883225</v>
      </c>
      <c r="O329" s="1">
        <f>value(SAR!$B329)</f>
        <v>2307.792795</v>
      </c>
      <c r="P329" s="1">
        <f>value(AED!$B329)</f>
        <v>2355.947458</v>
      </c>
      <c r="Q329" s="1">
        <f>value(KWD!$B329)</f>
        <v>31239.34755</v>
      </c>
    </row>
    <row r="330">
      <c r="A330" s="4">
        <f>value(USD!A330)</f>
        <v>40635.99861</v>
      </c>
      <c r="B330" s="1">
        <f>value(USD!B330)</f>
        <v>8662.2</v>
      </c>
      <c r="C330" s="1">
        <f>value(AUD!$B330)</f>
        <v>8958.88158</v>
      </c>
      <c r="D330" s="1">
        <f>value(EUR!$B330)</f>
        <v>12291.87603</v>
      </c>
      <c r="E330" s="1">
        <f>value(GBP!$B330)</f>
        <v>13942.37834</v>
      </c>
      <c r="F330" s="1">
        <f>value(CHF!$B330)</f>
        <v>9366.10347</v>
      </c>
      <c r="G330" s="1">
        <f>value(SGD!$B330)</f>
        <v>6858.014339</v>
      </c>
      <c r="H330" s="1">
        <f>value(MYR!$B330)</f>
        <v>2853.838672</v>
      </c>
      <c r="I330" s="1">
        <f>value(THB!$B330)</f>
        <v>285.919913</v>
      </c>
      <c r="J330" s="1">
        <f>value(VND!$B330)</f>
        <v>0.4136542119</v>
      </c>
      <c r="K330" s="1">
        <f>value(CNY!$B330)</f>
        <v>1315.141392</v>
      </c>
      <c r="L330" s="1">
        <f>value(HKD!$B330)</f>
        <v>1112.208576</v>
      </c>
      <c r="M330" s="1">
        <f>value(TWD!$B330)</f>
        <v>295.603321</v>
      </c>
      <c r="N330" s="1">
        <f>value(JPY!$B330)</f>
        <v>102.713292</v>
      </c>
      <c r="O330" s="1">
        <f>value(SAR!$B330)</f>
        <v>2303.472334</v>
      </c>
      <c r="P330" s="1">
        <f>value(AED!$B330)</f>
        <v>2351.364104</v>
      </c>
      <c r="Q330" s="1">
        <f>value(KWD!$B330)</f>
        <v>31203.38936</v>
      </c>
    </row>
    <row r="331">
      <c r="A331" s="4">
        <f>value(USD!A331)</f>
        <v>40636.99861</v>
      </c>
      <c r="B331" s="1">
        <f>value(USD!B331)</f>
        <v>8667.5</v>
      </c>
      <c r="C331" s="1">
        <f>value(AUD!$B331)</f>
        <v>8927.176945</v>
      </c>
      <c r="D331" s="1">
        <f>value(EUR!$B331)</f>
        <v>12304.12727</v>
      </c>
      <c r="E331" s="1">
        <f>value(GBP!$B331)</f>
        <v>14101.41768</v>
      </c>
      <c r="F331" s="1">
        <f>value(CHF!$B331)</f>
        <v>9347.29466</v>
      </c>
      <c r="G331" s="1">
        <f>value(SGD!$B331)</f>
        <v>6863.364895</v>
      </c>
      <c r="H331" s="1">
        <f>value(MYR!$B331)</f>
        <v>2854.810203</v>
      </c>
      <c r="I331" s="1">
        <f>value(THB!$B331)</f>
        <v>285.991565</v>
      </c>
      <c r="J331" s="1">
        <f>value(VND!$B331)</f>
        <v>0.4140407132</v>
      </c>
      <c r="K331" s="1">
        <f>value(CNY!$B331)</f>
        <v>1318.609044</v>
      </c>
      <c r="L331" s="1">
        <f>value(HKD!$B331)</f>
        <v>1112.987446</v>
      </c>
      <c r="M331" s="1">
        <f>value(TWD!$B331)</f>
        <v>296.894723</v>
      </c>
      <c r="N331" s="1">
        <f>value(JPY!$B331)</f>
        <v>101.589742</v>
      </c>
      <c r="O331" s="1">
        <f>value(SAR!$B331)</f>
        <v>2305.011052</v>
      </c>
      <c r="P331" s="1">
        <f>value(AED!$B331)</f>
        <v>2353.083975</v>
      </c>
      <c r="Q331" s="1">
        <f>value(KWD!$B331)</f>
        <v>31230.7096</v>
      </c>
    </row>
    <row r="332">
      <c r="A332" s="4">
        <f>value(USD!A332)</f>
        <v>40637.99861</v>
      </c>
      <c r="B332" s="1">
        <f>value(USD!B332)</f>
        <v>8645.9</v>
      </c>
      <c r="C332" s="1">
        <f>value(AUD!$B332)</f>
        <v>9009.35901</v>
      </c>
      <c r="D332" s="1">
        <f>value(EUR!$B332)</f>
        <v>12380.41914</v>
      </c>
      <c r="E332" s="1">
        <f>value(GBP!$B332)</f>
        <v>14096.61091</v>
      </c>
      <c r="F332" s="1">
        <f>value(CHF!$B332)</f>
        <v>9406.66561</v>
      </c>
      <c r="G332" s="1">
        <f>value(SGD!$B332)</f>
        <v>6852.67514</v>
      </c>
      <c r="H332" s="1">
        <f>value(MYR!$B332)</f>
        <v>2852.920501</v>
      </c>
      <c r="I332" s="1">
        <f>value(THB!$B332)</f>
        <v>286.147123</v>
      </c>
      <c r="J332" s="1">
        <f>value(VND!$B332)</f>
        <v>0.4190207321</v>
      </c>
      <c r="K332" s="1">
        <f>value(CNY!$B332)</f>
        <v>1321.954515</v>
      </c>
      <c r="L332" s="1">
        <f>value(HKD!$B332)</f>
        <v>1111.076544</v>
      </c>
      <c r="M332" s="1">
        <f>value(TWD!$B332)</f>
        <v>298.066321</v>
      </c>
      <c r="N332" s="1">
        <f>value(JPY!$B332)</f>
        <v>101.226812</v>
      </c>
      <c r="O332" s="1">
        <f>value(SAR!$B332)</f>
        <v>2296.031541</v>
      </c>
      <c r="P332" s="1">
        <f>value(AED!$B332)</f>
        <v>2343.940792</v>
      </c>
      <c r="Q332" s="1">
        <f>value(KWD!$B332)</f>
        <v>31125.08181</v>
      </c>
    </row>
    <row r="333">
      <c r="A333" s="4">
        <f>value(USD!A333)</f>
        <v>40638.99861</v>
      </c>
      <c r="B333" s="1">
        <f>value(USD!B333)</f>
        <v>8653.3</v>
      </c>
      <c r="C333" s="1">
        <f>value(AUD!$B333)</f>
        <v>9038.08967</v>
      </c>
      <c r="D333" s="1">
        <f>value(EUR!$B333)</f>
        <v>12359.633</v>
      </c>
      <c r="E333" s="1">
        <f>value(GBP!$B333)</f>
        <v>14102.94627</v>
      </c>
      <c r="F333" s="1">
        <f>value(CHF!$B333)</f>
        <v>9431.35072</v>
      </c>
      <c r="G333" s="1">
        <f>value(SGD!$B333)</f>
        <v>6855.793351</v>
      </c>
      <c r="H333" s="1">
        <f>value(MYR!$B333)</f>
        <v>2853.346603</v>
      </c>
      <c r="I333" s="1">
        <f>value(THB!$B333)</f>
        <v>287.210213</v>
      </c>
      <c r="J333" s="1">
        <f>value(VND!$B333)</f>
        <v>0.4208014391</v>
      </c>
      <c r="K333" s="1">
        <f>value(CNY!$B333)</f>
        <v>1315.136395</v>
      </c>
      <c r="L333" s="1">
        <f>value(HKD!$B333)</f>
        <v>1112.021246</v>
      </c>
      <c r="M333" s="1">
        <f>value(TWD!$B333)</f>
        <v>298.619105</v>
      </c>
      <c r="N333" s="1">
        <f>value(JPY!$B333)</f>
        <v>101.729287</v>
      </c>
      <c r="O333" s="1">
        <f>value(SAR!$B333)</f>
        <v>2301.962688</v>
      </c>
      <c r="P333" s="1">
        <f>value(AED!$B333)</f>
        <v>2349.516861</v>
      </c>
      <c r="Q333" s="1">
        <f>value(KWD!$B333)</f>
        <v>31253.47717</v>
      </c>
    </row>
    <row r="334">
      <c r="A334" s="4">
        <f>value(USD!A334)</f>
        <v>40639.99861</v>
      </c>
      <c r="B334" s="1">
        <f>value(USD!B334)</f>
        <v>8637.1</v>
      </c>
      <c r="C334" s="1">
        <f>value(AUD!$B334)</f>
        <v>9096.48072</v>
      </c>
      <c r="D334" s="1">
        <f>value(EUR!$B334)</f>
        <v>12468.70436</v>
      </c>
      <c r="E334" s="1">
        <f>value(GBP!$B334)</f>
        <v>14102.73052</v>
      </c>
      <c r="F334" s="1">
        <f>value(CHF!$B334)</f>
        <v>9494.22576</v>
      </c>
      <c r="G334" s="1">
        <f>value(SGD!$B334)</f>
        <v>6846.294116</v>
      </c>
      <c r="H334" s="1">
        <f>value(MYR!$B334)</f>
        <v>2855.413364</v>
      </c>
      <c r="I334" s="1">
        <f>value(THB!$B334)</f>
        <v>287.202912</v>
      </c>
      <c r="J334" s="1">
        <f>value(VND!$B334)</f>
        <v>0.4146347252</v>
      </c>
      <c r="K334" s="1">
        <f>value(CNY!$B334)</f>
        <v>1324.72017</v>
      </c>
      <c r="L334" s="1">
        <f>value(HKD!$B334)</f>
        <v>1107.831856</v>
      </c>
      <c r="M334" s="1">
        <f>value(TWD!$B334)</f>
        <v>298.222688</v>
      </c>
      <c r="N334" s="1">
        <f>value(JPY!$B334)</f>
        <v>101.58856</v>
      </c>
      <c r="O334" s="1">
        <f>value(SAR!$B334)</f>
        <v>2297.917152</v>
      </c>
      <c r="P334" s="1">
        <f>value(AED!$B334)</f>
        <v>2356.286765</v>
      </c>
      <c r="Q334" s="1">
        <f>value(KWD!$B334)</f>
        <v>31292.4715</v>
      </c>
    </row>
    <row r="335">
      <c r="A335" s="4">
        <f>value(USD!A335)</f>
        <v>40640.99861</v>
      </c>
      <c r="B335" s="1">
        <f>value(USD!B335)</f>
        <v>8643.1</v>
      </c>
      <c r="C335" s="1">
        <f>value(AUD!$B335)</f>
        <v>9118.73916</v>
      </c>
      <c r="D335" s="1">
        <f>value(EUR!$B335)</f>
        <v>12459.28446</v>
      </c>
      <c r="E335" s="1">
        <f>value(GBP!$B335)</f>
        <v>14147.6841</v>
      </c>
      <c r="F335" s="1">
        <f>value(CHF!$B335)</f>
        <v>9508.90104</v>
      </c>
      <c r="G335" s="1">
        <f>value(SGD!$B335)</f>
        <v>6865.467984</v>
      </c>
      <c r="H335" s="1">
        <f>value(MYR!$B335)</f>
        <v>2853.360864</v>
      </c>
      <c r="I335" s="1">
        <f>value(THB!$B335)</f>
        <v>287.096994</v>
      </c>
      <c r="J335" s="1">
        <f>value(VND!$B335)</f>
        <v>0.4198664836</v>
      </c>
      <c r="K335" s="1">
        <f>value(CNY!$B335)</f>
        <v>1322.192196</v>
      </c>
      <c r="L335" s="1">
        <f>value(HKD!$B335)</f>
        <v>1111.184487</v>
      </c>
      <c r="M335" s="1">
        <f>value(TWD!$B335)</f>
        <v>298.059507</v>
      </c>
      <c r="N335" s="1">
        <f>value(JPY!$B335)</f>
        <v>101.511144</v>
      </c>
      <c r="O335" s="1">
        <f>value(SAR!$B335)</f>
        <v>2308.317984</v>
      </c>
      <c r="P335" s="1">
        <f>value(AED!$B335)</f>
        <v>2345.75596</v>
      </c>
      <c r="Q335" s="1">
        <f>value(KWD!$B335)</f>
        <v>31199.9846</v>
      </c>
    </row>
    <row r="336">
      <c r="A336" s="4">
        <f>value(USD!A336)</f>
        <v>40641.99861</v>
      </c>
      <c r="B336" s="1">
        <f>value(USD!B336)</f>
        <v>8609.2</v>
      </c>
      <c r="C336" s="1">
        <f>value(AUD!$B336)</f>
        <v>9101.60895</v>
      </c>
      <c r="D336" s="1">
        <f>value(EUR!$B336)</f>
        <v>12460.32065</v>
      </c>
      <c r="E336" s="1">
        <f>value(GBP!$B336)</f>
        <v>14106.07215</v>
      </c>
      <c r="F336" s="1">
        <f>value(CHF!$B336)</f>
        <v>9478.15</v>
      </c>
      <c r="G336" s="1">
        <f>value(SGD!$B336)</f>
        <v>6852.099295</v>
      </c>
      <c r="H336" s="1">
        <f>value(MYR!$B336)</f>
        <v>2853.353975</v>
      </c>
      <c r="I336" s="1">
        <f>value(THB!$B336)</f>
        <v>287.10178</v>
      </c>
      <c r="J336" s="1">
        <f>value(VND!$B336)</f>
        <v>0.4147607572</v>
      </c>
      <c r="K336" s="1">
        <f>value(CNY!$B336)</f>
        <v>1325.55126</v>
      </c>
      <c r="L336" s="1">
        <f>value(HKD!$B336)</f>
        <v>1108.94355</v>
      </c>
      <c r="M336" s="1">
        <f>value(TWD!$B336)</f>
        <v>298.044735</v>
      </c>
      <c r="N336" s="1">
        <f>value(JPY!$B336)</f>
        <v>101.33004</v>
      </c>
      <c r="O336" s="1">
        <f>value(SAR!$B336)</f>
        <v>2297.978415</v>
      </c>
      <c r="P336" s="1">
        <f>value(AED!$B336)</f>
        <v>2359.825755</v>
      </c>
      <c r="Q336" s="1">
        <f>value(KWD!$B336)</f>
        <v>31396.2321</v>
      </c>
    </row>
    <row r="337">
      <c r="A337" s="4">
        <f>value(USD!A337)</f>
        <v>40642.99861</v>
      </c>
      <c r="B337" s="1">
        <f>value(USD!B337)</f>
        <v>8631.9</v>
      </c>
      <c r="C337" s="1">
        <f>value(AUD!$B337)</f>
        <v>9090.0061</v>
      </c>
      <c r="D337" s="1">
        <f>value(EUR!$B337)</f>
        <v>12494.21425</v>
      </c>
      <c r="E337" s="1">
        <f>value(GBP!$B337)</f>
        <v>14144.8181</v>
      </c>
      <c r="F337" s="1">
        <f>value(CHF!$B337)</f>
        <v>9544.41985</v>
      </c>
      <c r="G337" s="1">
        <f>value(SGD!$B337)</f>
        <v>6886.402355</v>
      </c>
      <c r="H337" s="1">
        <f>value(MYR!$B337)</f>
        <v>2859.517535</v>
      </c>
      <c r="I337" s="1">
        <f>value(THB!$B337)</f>
        <v>286.929825</v>
      </c>
      <c r="J337" s="1">
        <f>value(VND!$B337)</f>
        <v>0.4137975564</v>
      </c>
      <c r="K337" s="1">
        <f>value(CNY!$B337)</f>
        <v>1320.84194</v>
      </c>
      <c r="L337" s="1">
        <f>value(HKD!$B337)</f>
        <v>1113.78974</v>
      </c>
      <c r="M337" s="1">
        <f>value(TWD!$B337)</f>
        <v>298.008865</v>
      </c>
      <c r="N337" s="1">
        <f>value(JPY!$B337)</f>
        <v>102.221455</v>
      </c>
      <c r="O337" s="1">
        <f>value(SAR!$B337)</f>
        <v>2311.784928</v>
      </c>
      <c r="P337" s="1">
        <f>value(AED!$B337)</f>
        <v>2353.782249</v>
      </c>
      <c r="Q337" s="1">
        <f>value(KWD!$B337)</f>
        <v>31293.15586</v>
      </c>
    </row>
    <row r="338">
      <c r="A338" s="4">
        <f>value(USD!A338)</f>
        <v>40643.99861</v>
      </c>
      <c r="B338" s="1">
        <f>value(USD!B338)</f>
        <v>8616.5</v>
      </c>
      <c r="C338" s="1">
        <f>value(AUD!$B338)</f>
        <v>9002.5192</v>
      </c>
      <c r="D338" s="1">
        <f>value(EUR!$B338)</f>
        <v>12474.10705</v>
      </c>
      <c r="E338" s="1">
        <f>value(GBP!$B338)</f>
        <v>14004.39745</v>
      </c>
      <c r="F338" s="1">
        <f>value(CHF!$B338)</f>
        <v>9605.6742</v>
      </c>
      <c r="G338" s="1">
        <f>value(SGD!$B338)</f>
        <v>6856.407545</v>
      </c>
      <c r="H338" s="1">
        <f>value(MYR!$B338)</f>
        <v>2848.356405</v>
      </c>
      <c r="I338" s="1">
        <f>value(THB!$B338)</f>
        <v>285.981635</v>
      </c>
      <c r="J338" s="1">
        <f>value(VND!$B338)</f>
        <v>0.4149030841</v>
      </c>
      <c r="K338" s="1">
        <f>value(CNY!$B338)</f>
        <v>1323.869131</v>
      </c>
      <c r="L338" s="1">
        <f>value(HKD!$B338)</f>
        <v>1108.42656</v>
      </c>
      <c r="M338" s="1">
        <f>value(TWD!$B338)</f>
        <v>296.493765</v>
      </c>
      <c r="N338" s="1">
        <f>value(JPY!$B338)</f>
        <v>103.05334</v>
      </c>
      <c r="O338" s="1">
        <f>value(SAR!$B338)</f>
        <v>2305.679942</v>
      </c>
      <c r="P338" s="1">
        <f>value(AED!$B338)</f>
        <v>2360.157456</v>
      </c>
      <c r="Q338" s="1">
        <f>value(KWD!$B338)</f>
        <v>31382.43908</v>
      </c>
    </row>
    <row r="339">
      <c r="A339" s="4">
        <f>value(USD!A339)</f>
        <v>40644.99861</v>
      </c>
      <c r="B339" s="1">
        <f>value(USD!B339)</f>
        <v>8655.5</v>
      </c>
      <c r="C339" s="1">
        <f>value(AUD!$B339)</f>
        <v>9098.4576</v>
      </c>
      <c r="D339" s="1">
        <f>value(EUR!$B339)</f>
        <v>12519.0477</v>
      </c>
      <c r="E339" s="1">
        <f>value(GBP!$B339)</f>
        <v>14100.1821</v>
      </c>
      <c r="F339" s="1">
        <f>value(CHF!$B339)</f>
        <v>9673.17915</v>
      </c>
      <c r="G339" s="1">
        <f>value(SGD!$B339)</f>
        <v>6902.20644</v>
      </c>
      <c r="H339" s="1">
        <f>value(MYR!$B339)</f>
        <v>2857.48434</v>
      </c>
      <c r="I339" s="1">
        <f>value(THB!$B339)</f>
        <v>286.493925</v>
      </c>
      <c r="J339" s="1">
        <f>value(VND!$B339)</f>
        <v>0.4187599964</v>
      </c>
      <c r="K339" s="1">
        <f>value(CNY!$B339)</f>
        <v>1324.81209</v>
      </c>
      <c r="L339" s="1">
        <f>value(HKD!$B339)</f>
        <v>1114.682415</v>
      </c>
      <c r="M339" s="1">
        <f>value(TWD!$B339)</f>
        <v>297.15618</v>
      </c>
      <c r="N339" s="1">
        <f>value(JPY!$B339)</f>
        <v>103.415205</v>
      </c>
      <c r="O339" s="1">
        <f>value(SAR!$B339)</f>
        <v>2311.778302</v>
      </c>
      <c r="P339" s="1">
        <f>value(AED!$B339)</f>
        <v>2351.340534</v>
      </c>
      <c r="Q339" s="1">
        <f>value(KWD!$B339)</f>
        <v>31285.66606</v>
      </c>
    </row>
    <row r="340">
      <c r="A340" s="4">
        <f>value(USD!A340)</f>
        <v>40645.99861</v>
      </c>
      <c r="B340" s="1">
        <f>value(USD!B340)</f>
        <v>8616.5</v>
      </c>
      <c r="C340" s="1">
        <f>value(AUD!$B340)</f>
        <v>9107.14779</v>
      </c>
      <c r="D340" s="1">
        <f>value(EUR!$B340)</f>
        <v>12523.30092</v>
      </c>
      <c r="E340" s="1">
        <f>value(GBP!$B340)</f>
        <v>14138.42976</v>
      </c>
      <c r="F340" s="1">
        <f>value(CHF!$B340)</f>
        <v>9682.12674</v>
      </c>
      <c r="G340" s="1">
        <f>value(SGD!$B340)</f>
        <v>6932.60334</v>
      </c>
      <c r="H340" s="1">
        <f>value(MYR!$B340)</f>
        <v>2862.357615</v>
      </c>
      <c r="I340" s="1">
        <f>value(THB!$B340)</f>
        <v>286.711308</v>
      </c>
      <c r="J340" s="1">
        <f>value(VND!$B340)</f>
        <v>0.4142159878</v>
      </c>
      <c r="K340" s="1">
        <f>value(CNY!$B340)</f>
        <v>1321.113472</v>
      </c>
      <c r="L340" s="1">
        <f>value(HKD!$B340)</f>
        <v>1112.000643</v>
      </c>
      <c r="M340" s="1">
        <f>value(TWD!$B340)</f>
        <v>299.767221</v>
      </c>
      <c r="N340" s="1">
        <f>value(JPY!$B340)</f>
        <v>103.409748</v>
      </c>
      <c r="O340" s="1">
        <f>value(SAR!$B340)</f>
        <v>2303.872377</v>
      </c>
      <c r="P340" s="1">
        <f>value(AED!$B340)</f>
        <v>2356.700008</v>
      </c>
      <c r="Q340" s="1">
        <f>value(KWD!$B340)</f>
        <v>31319.46448</v>
      </c>
    </row>
    <row r="341">
      <c r="A341" s="4">
        <f>value(USD!A341)</f>
        <v>40646.99861</v>
      </c>
      <c r="B341" s="1">
        <f>value(USD!B341)</f>
        <v>8668.5</v>
      </c>
      <c r="C341" s="1">
        <f>value(AUD!$B341)</f>
        <v>9160.08804</v>
      </c>
      <c r="D341" s="1">
        <f>value(EUR!$B341)</f>
        <v>12508.21032</v>
      </c>
      <c r="E341" s="1">
        <f>value(GBP!$B341)</f>
        <v>14151.06162</v>
      </c>
      <c r="F341" s="1">
        <f>value(CHF!$B341)</f>
        <v>9712.32882</v>
      </c>
      <c r="G341" s="1">
        <f>value(SGD!$B341)</f>
        <v>6971.237928</v>
      </c>
      <c r="H341" s="1">
        <f>value(MYR!$B341)</f>
        <v>2862.63588</v>
      </c>
      <c r="I341" s="1">
        <f>value(THB!$B341)</f>
        <v>286.95714</v>
      </c>
      <c r="J341" s="1">
        <f>value(VND!$B341)</f>
        <v>0.414688286</v>
      </c>
      <c r="K341" s="1">
        <f>value(CNY!$B341)</f>
        <v>1328.446125</v>
      </c>
      <c r="L341" s="1">
        <f>value(HKD!$B341)</f>
        <v>1115.144922</v>
      </c>
      <c r="M341" s="1">
        <f>value(TWD!$B341)</f>
        <v>297.967278</v>
      </c>
      <c r="N341" s="1">
        <f>value(JPY!$B341)</f>
        <v>104.292882</v>
      </c>
      <c r="O341" s="1">
        <f>value(SAR!$B341)</f>
        <v>2309.007477</v>
      </c>
      <c r="P341" s="1">
        <f>value(AED!$B341)</f>
        <v>2359.612976</v>
      </c>
      <c r="Q341" s="1">
        <f>value(KWD!$B341)</f>
        <v>31358.17649</v>
      </c>
    </row>
    <row r="342">
      <c r="A342" s="4">
        <f>value(USD!A342)</f>
        <v>40647.99861</v>
      </c>
      <c r="B342" s="1">
        <f>value(USD!B342)</f>
        <v>8646.3</v>
      </c>
      <c r="C342" s="1">
        <f>value(AUD!$B342)</f>
        <v>9158.35416</v>
      </c>
      <c r="D342" s="1">
        <f>value(EUR!$B342)</f>
        <v>12508.21032</v>
      </c>
      <c r="E342" s="1">
        <f>value(GBP!$B342)</f>
        <v>14129.38812</v>
      </c>
      <c r="F342" s="1">
        <f>value(CHF!$B342)</f>
        <v>9707.99412</v>
      </c>
      <c r="G342" s="1">
        <f>value(SGD!$B342)</f>
        <v>6971.237928</v>
      </c>
      <c r="H342" s="1">
        <f>value(MYR!$B342)</f>
        <v>2862.63588</v>
      </c>
      <c r="I342" s="1">
        <f>value(THB!$B342)</f>
        <v>286.95714</v>
      </c>
      <c r="J342" s="1">
        <f>value(VND!$B342)</f>
        <v>0.4130909008</v>
      </c>
      <c r="K342" s="1">
        <f>value(CNY!$B342)</f>
        <v>1325.770875</v>
      </c>
      <c r="L342" s="1">
        <f>value(HKD!$B342)</f>
        <v>1115.144922</v>
      </c>
      <c r="M342" s="1">
        <f>value(TWD!$B342)</f>
        <v>297.967278</v>
      </c>
      <c r="N342" s="1">
        <f>value(JPY!$B342)</f>
        <v>104.292882</v>
      </c>
      <c r="O342" s="1">
        <f>value(SAR!$B342)</f>
        <v>2311.429859</v>
      </c>
      <c r="P342" s="1">
        <f>value(AED!$B342)</f>
        <v>2350.411264</v>
      </c>
      <c r="Q342" s="1">
        <f>value(KWD!$B342)</f>
        <v>31317.46883</v>
      </c>
    </row>
    <row r="343">
      <c r="A343" s="4">
        <f>value(USD!A343)</f>
        <v>40648.99861</v>
      </c>
      <c r="B343" s="1">
        <f>value(USD!B343)</f>
        <v>8669.4</v>
      </c>
      <c r="C343" s="1">
        <f>value(AUD!$B343)</f>
        <v>9118.0423</v>
      </c>
      <c r="D343" s="1">
        <f>value(EUR!$B343)</f>
        <v>12447.79067</v>
      </c>
      <c r="E343" s="1">
        <f>value(GBP!$B343)</f>
        <v>14089.29744</v>
      </c>
      <c r="F343" s="1">
        <f>value(CHF!$B343)</f>
        <v>9676.09586</v>
      </c>
      <c r="G343" s="1">
        <f>value(SGD!$B343)</f>
        <v>6949.235384</v>
      </c>
      <c r="H343" s="1">
        <f>value(MYR!$B343)</f>
        <v>2848.664736</v>
      </c>
      <c r="I343" s="1">
        <f>value(THB!$B343)</f>
        <v>285.851274</v>
      </c>
      <c r="J343" s="1">
        <f>value(VND!$B343)</f>
        <v>0.4181127486</v>
      </c>
      <c r="K343" s="1">
        <f>value(CNY!$B343)</f>
        <v>1317.93956</v>
      </c>
      <c r="L343" s="1">
        <f>value(HKD!$B343)</f>
        <v>1110.751188</v>
      </c>
      <c r="M343" s="1">
        <f>value(TWD!$B343)</f>
        <v>296.476752</v>
      </c>
      <c r="N343" s="1">
        <f>value(JPY!$B343)</f>
        <v>103.835972</v>
      </c>
      <c r="O343" s="1">
        <f>value(SAR!$B343)</f>
        <v>2302.416045</v>
      </c>
      <c r="P343" s="1">
        <f>value(AED!$B343)</f>
        <v>2352.148869</v>
      </c>
      <c r="Q343" s="1">
        <f>value(KWD!$B343)</f>
        <v>31356.55593</v>
      </c>
    </row>
    <row r="344">
      <c r="A344" s="4">
        <f>value(USD!A344)</f>
        <v>40649.99861</v>
      </c>
      <c r="B344" s="1">
        <f>value(USD!B344)</f>
        <v>8669.4</v>
      </c>
      <c r="C344" s="1">
        <f>value(AUD!$B344)</f>
        <v>9076.54995</v>
      </c>
      <c r="D344" s="1">
        <f>value(EUR!$B344)</f>
        <v>12314.15575</v>
      </c>
      <c r="E344" s="1">
        <f>value(GBP!$B344)</f>
        <v>14074.92853</v>
      </c>
      <c r="F344" s="1">
        <f>value(CHF!$B344)</f>
        <v>9660.8772</v>
      </c>
      <c r="G344" s="1">
        <f>value(SGD!$B344)</f>
        <v>6932.545061</v>
      </c>
      <c r="H344" s="1">
        <f>value(MYR!$B344)</f>
        <v>2863.809494</v>
      </c>
      <c r="I344" s="1">
        <f>value(THB!$B344)</f>
        <v>287.315873</v>
      </c>
      <c r="J344" s="1">
        <f>value(VND!$B344)</f>
        <v>0.4158620652</v>
      </c>
      <c r="K344" s="1">
        <f>value(CNY!$B344)</f>
        <v>1313.700774</v>
      </c>
      <c r="L344" s="1">
        <f>value(HKD!$B344)</f>
        <v>1112.991919</v>
      </c>
      <c r="M344" s="1">
        <f>value(TWD!$B344)</f>
        <v>296.145707</v>
      </c>
      <c r="N344" s="1">
        <f>value(JPY!$B344)</f>
        <v>105.092338</v>
      </c>
      <c r="O344" s="1">
        <f>value(SAR!$B344)</f>
        <v>2304.510142</v>
      </c>
      <c r="P344" s="1">
        <f>value(AED!$B344)</f>
        <v>2347.067151</v>
      </c>
      <c r="Q344" s="1">
        <f>value(KWD!$B344)</f>
        <v>31293.4095</v>
      </c>
    </row>
    <row r="345">
      <c r="A345" s="4">
        <f>value(USD!A345)</f>
        <v>40650.99861</v>
      </c>
      <c r="B345" s="1">
        <f>value(USD!B345)</f>
        <v>8638.6</v>
      </c>
      <c r="C345" s="1">
        <f>value(AUD!$B345)</f>
        <v>9127.63894</v>
      </c>
      <c r="D345" s="1">
        <f>value(EUR!$B345)</f>
        <v>12424.7179</v>
      </c>
      <c r="E345" s="1">
        <f>value(GBP!$B345)</f>
        <v>14145.1968</v>
      </c>
      <c r="F345" s="1">
        <f>value(CHF!$B345)</f>
        <v>9638.1488</v>
      </c>
      <c r="G345" s="1">
        <f>value(SGD!$B345)</f>
        <v>6970.75645</v>
      </c>
      <c r="H345" s="1">
        <f>value(MYR!$B345)</f>
        <v>2866.135832</v>
      </c>
      <c r="I345" s="1">
        <f>value(THB!$B345)</f>
        <v>288.364398</v>
      </c>
      <c r="J345" s="1">
        <f>value(VND!$B345)</f>
        <v>0.4147763339</v>
      </c>
      <c r="K345" s="1">
        <f>value(CNY!$B345)</f>
        <v>1315.46678</v>
      </c>
      <c r="L345" s="1">
        <f>value(HKD!$B345)</f>
        <v>1114.454292</v>
      </c>
      <c r="M345" s="1">
        <f>value(TWD!$B345)</f>
        <v>299.111974</v>
      </c>
      <c r="N345" s="1">
        <f>value(JPY!$B345)</f>
        <v>104.87554</v>
      </c>
      <c r="O345" s="1">
        <f>value(SAR!$B345)</f>
        <v>2303.309918</v>
      </c>
      <c r="P345" s="1">
        <f>value(AED!$B345)</f>
        <v>2347.579968</v>
      </c>
      <c r="Q345" s="1">
        <f>value(KWD!$B345)</f>
        <v>31276.95043</v>
      </c>
    </row>
    <row r="346">
      <c r="A346" s="4">
        <f>value(USD!A346)</f>
        <v>40651.99861</v>
      </c>
      <c r="B346" s="1">
        <f>value(USD!B346)</f>
        <v>8656.7</v>
      </c>
      <c r="C346" s="1">
        <f>value(AUD!$B346)</f>
        <v>9220.6848</v>
      </c>
      <c r="D346" s="1">
        <f>value(EUR!$B346)</f>
        <v>12531.32505</v>
      </c>
      <c r="E346" s="1">
        <f>value(GBP!$B346)</f>
        <v>14151.50643</v>
      </c>
      <c r="F346" s="1">
        <f>value(CHF!$B346)</f>
        <v>9713.66336</v>
      </c>
      <c r="G346" s="1">
        <f>value(SGD!$B346)</f>
        <v>6969.300928</v>
      </c>
      <c r="H346" s="1">
        <f>value(MYR!$B346)</f>
        <v>2860.139008</v>
      </c>
      <c r="I346" s="1">
        <f>value(THB!$B346)</f>
        <v>288.016896</v>
      </c>
      <c r="J346" s="1">
        <f>value(VND!$B346)</f>
        <v>0.4166731105</v>
      </c>
      <c r="K346" s="1">
        <f>value(CNY!$B346)</f>
        <v>1319.905194</v>
      </c>
      <c r="L346" s="1">
        <f>value(HKD!$B346)</f>
        <v>1111.057984</v>
      </c>
      <c r="M346" s="1">
        <f>value(TWD!$B346)</f>
        <v>297.42752</v>
      </c>
      <c r="N346" s="1">
        <f>value(JPY!$B346)</f>
        <v>104.725568</v>
      </c>
      <c r="O346" s="1">
        <f>value(SAR!$B346)</f>
        <v>2299.56256</v>
      </c>
      <c r="P346" s="1">
        <f>value(AED!$B346)</f>
        <v>2345.837632</v>
      </c>
      <c r="Q346" s="1">
        <f>value(KWD!$B346)</f>
        <v>31132.98621</v>
      </c>
    </row>
    <row r="347">
      <c r="A347" s="4">
        <f>value(USD!A347)</f>
        <v>40652.99861</v>
      </c>
      <c r="B347" s="1">
        <f>value(USD!B347)</f>
        <v>8667.4</v>
      </c>
      <c r="C347" s="1">
        <f>value(AUD!$B347)</f>
        <v>9285.471201</v>
      </c>
      <c r="D347" s="1">
        <f>value(EUR!$B347)</f>
        <v>12573.36456</v>
      </c>
      <c r="E347" s="1">
        <f>value(GBP!$B347)</f>
        <v>14268.41861</v>
      </c>
      <c r="F347" s="1">
        <f>value(CHF!$B347)</f>
        <v>9747.98646</v>
      </c>
      <c r="G347" s="1">
        <f>value(SGD!$B347)</f>
        <v>6993.372417</v>
      </c>
      <c r="H347" s="1">
        <f>value(MYR!$B347)</f>
        <v>2863.741032</v>
      </c>
      <c r="I347" s="1">
        <f>value(THB!$B347)</f>
        <v>287.981199</v>
      </c>
      <c r="J347" s="1">
        <f>value(VND!$B347)</f>
        <v>0.4147047387</v>
      </c>
      <c r="K347" s="1">
        <f>value(CNY!$B347)</f>
        <v>1315.460025</v>
      </c>
      <c r="L347" s="1">
        <f>value(HKD!$B347)</f>
        <v>1112.265819</v>
      </c>
      <c r="M347" s="1">
        <f>value(TWD!$B347)</f>
        <v>297.744738</v>
      </c>
      <c r="N347" s="1">
        <f>value(JPY!$B347)</f>
        <v>105.498063</v>
      </c>
      <c r="O347" s="1">
        <f>value(SAR!$B347)</f>
        <v>2299.519942</v>
      </c>
      <c r="P347" s="1">
        <f>value(AED!$B347)</f>
        <v>2332.497872</v>
      </c>
      <c r="Q347" s="1">
        <f>value(KWD!$B347)</f>
        <v>31192.92476</v>
      </c>
    </row>
    <row r="348">
      <c r="A348" s="4">
        <f>value(USD!A348)</f>
        <v>40653.99861</v>
      </c>
      <c r="B348" s="1">
        <f>value(USD!B348)</f>
        <v>8633.6</v>
      </c>
      <c r="C348" s="1">
        <f>value(AUD!$B348)</f>
        <v>9268.80414</v>
      </c>
      <c r="D348" s="1">
        <f>value(EUR!$B348)</f>
        <v>12572.86122</v>
      </c>
      <c r="E348" s="1">
        <f>value(GBP!$B348)</f>
        <v>14254.25148</v>
      </c>
      <c r="F348" s="1">
        <f>value(CHF!$B348)</f>
        <v>9738.59166</v>
      </c>
      <c r="G348" s="1">
        <f>value(SGD!$B348)</f>
        <v>6990.24831</v>
      </c>
      <c r="H348" s="1">
        <f>value(MYR!$B348)</f>
        <v>2863.717638</v>
      </c>
      <c r="I348" s="1">
        <f>value(THB!$B348)</f>
        <v>288.00393</v>
      </c>
      <c r="J348" s="1">
        <f>value(VND!$B348)</f>
        <v>0.4162092415</v>
      </c>
      <c r="K348" s="1">
        <f>value(CNY!$B348)</f>
        <v>1318.798056</v>
      </c>
      <c r="L348" s="1">
        <f>value(HKD!$B348)</f>
        <v>1111.168386</v>
      </c>
      <c r="M348" s="1">
        <f>value(TWD!$B348)</f>
        <v>297.762384</v>
      </c>
      <c r="N348" s="1">
        <f>value(JPY!$B348)</f>
        <v>105.443118</v>
      </c>
      <c r="O348" s="1">
        <f>value(SAR!$B348)</f>
        <v>2297.997158</v>
      </c>
      <c r="P348" s="1">
        <f>value(AED!$B348)</f>
        <v>2328.410413</v>
      </c>
      <c r="Q348" s="1">
        <f>value(KWD!$B348)</f>
        <v>31276.27705</v>
      </c>
    </row>
    <row r="349">
      <c r="A349" s="4">
        <f>value(USD!A349)</f>
        <v>40654.99861</v>
      </c>
      <c r="B349" s="1">
        <f>value(USD!B349)</f>
        <v>8640.3</v>
      </c>
      <c r="C349" s="1">
        <f>value(AUD!$B349)</f>
        <v>9274.8492</v>
      </c>
      <c r="D349" s="1">
        <f>value(EUR!$B349)</f>
        <v>12573.7248</v>
      </c>
      <c r="E349" s="1">
        <f>value(GBP!$B349)</f>
        <v>14253.3879</v>
      </c>
      <c r="F349" s="1">
        <f>value(CHF!$B349)</f>
        <v>9748.928712</v>
      </c>
      <c r="G349" s="1">
        <f>value(SGD!$B349)</f>
        <v>6990.24831</v>
      </c>
      <c r="H349" s="1">
        <f>value(MYR!$B349)</f>
        <v>2863.717638</v>
      </c>
      <c r="I349" s="1">
        <f>value(THB!$B349)</f>
        <v>288.00393</v>
      </c>
      <c r="J349" s="1">
        <f>value(VND!$B349)</f>
        <v>0.4185445593</v>
      </c>
      <c r="K349" s="1">
        <f>value(CNY!$B349)</f>
        <v>1315.59515</v>
      </c>
      <c r="L349" s="1">
        <f>value(HKD!$B349)</f>
        <v>1111.168386</v>
      </c>
      <c r="M349" s="1">
        <f>value(TWD!$B349)</f>
        <v>297.762384</v>
      </c>
      <c r="N349" s="1">
        <f>value(JPY!$B349)</f>
        <v>105.443118</v>
      </c>
      <c r="O349" s="1">
        <f>value(SAR!$B349)</f>
        <v>2284.868443</v>
      </c>
      <c r="P349" s="1">
        <f>value(AED!$B349)</f>
        <v>2332.929431</v>
      </c>
      <c r="Q349" s="1">
        <f>value(KWD!$B349)</f>
        <v>31213.50333</v>
      </c>
    </row>
    <row r="350">
      <c r="A350" s="4">
        <f>value(USD!A350)</f>
        <v>40655.99861</v>
      </c>
      <c r="B350" s="1">
        <f>value(USD!B350)</f>
        <v>8635.8</v>
      </c>
      <c r="C350" s="1">
        <f>value(AUD!$B350)</f>
        <v>9276.51582</v>
      </c>
      <c r="D350" s="1">
        <f>value(EUR!$B350)</f>
        <v>12550.45849</v>
      </c>
      <c r="E350" s="1">
        <f>value(GBP!$B350)</f>
        <v>14246.75538</v>
      </c>
      <c r="F350" s="1">
        <f>value(CHF!$B350)</f>
        <v>9730.94265</v>
      </c>
      <c r="G350" s="1">
        <f>value(SGD!$B350)</f>
        <v>6986.618496</v>
      </c>
      <c r="H350" s="1">
        <f>value(MYR!$B350)</f>
        <v>2858.318892</v>
      </c>
      <c r="I350" s="1">
        <f>value(THB!$B350)</f>
        <v>287.573715</v>
      </c>
      <c r="J350" s="1">
        <f>value(VND!$B350)</f>
        <v>0.4185835877</v>
      </c>
      <c r="K350" s="1">
        <f>value(CNY!$B350)</f>
        <v>1311.86024</v>
      </c>
      <c r="L350" s="1">
        <f>value(HKD!$B350)</f>
        <v>1109.508543</v>
      </c>
      <c r="M350" s="1">
        <f>value(TWD!$B350)</f>
        <v>297.231363</v>
      </c>
      <c r="N350" s="1">
        <f>value(JPY!$B350)</f>
        <v>105.285609</v>
      </c>
      <c r="O350" s="1">
        <f>value(SAR!$B350)</f>
        <v>2281.009132</v>
      </c>
      <c r="P350" s="1">
        <f>value(AED!$B350)</f>
        <v>2327.81945</v>
      </c>
      <c r="Q350" s="1">
        <f>value(KWD!$B350)</f>
        <v>31285.94114</v>
      </c>
    </row>
    <row r="351">
      <c r="A351" s="4">
        <f>value(USD!A351)</f>
        <v>40656.99861</v>
      </c>
      <c r="B351" s="1">
        <f>value(USD!B351)</f>
        <v>8635.8</v>
      </c>
      <c r="C351" s="1">
        <f>value(AUD!$B351)</f>
        <v>9247.002288</v>
      </c>
      <c r="D351" s="1">
        <f>value(EUR!$B351)</f>
        <v>12569.17632</v>
      </c>
      <c r="E351" s="1">
        <f>value(GBP!$B351)</f>
        <v>14228.28</v>
      </c>
      <c r="F351" s="1">
        <f>value(CHF!$B351)</f>
        <v>9785.60736</v>
      </c>
      <c r="G351" s="1">
        <f>value(SGD!$B351)</f>
        <v>6975.565176</v>
      </c>
      <c r="H351" s="1">
        <f>value(MYR!$B351)</f>
        <v>2862.557472</v>
      </c>
      <c r="I351" s="1">
        <f>value(THB!$B351)</f>
        <v>287.928648</v>
      </c>
      <c r="J351" s="1">
        <f>value(VND!$B351)</f>
        <v>0.4202120303</v>
      </c>
      <c r="K351" s="1">
        <f>value(CNY!$B351)</f>
        <v>1319.374875</v>
      </c>
      <c r="L351" s="1">
        <f>value(HKD!$B351)</f>
        <v>1109.460912</v>
      </c>
      <c r="M351" s="1">
        <f>value(TWD!$B351)</f>
        <v>297.672864</v>
      </c>
      <c r="N351" s="1">
        <f>value(JPY!$B351)</f>
        <v>105.289272</v>
      </c>
      <c r="O351" s="1">
        <f>value(SAR!$B351)</f>
        <v>2285.436153</v>
      </c>
      <c r="P351" s="1">
        <f>value(AED!$B351)</f>
        <v>2330.84115</v>
      </c>
      <c r="Q351" s="1">
        <f>value(KWD!$B351)</f>
        <v>31204.88125</v>
      </c>
    </row>
    <row r="352">
      <c r="A352" s="4">
        <f>value(USD!A352)</f>
        <v>40657.99861</v>
      </c>
      <c r="B352" s="1">
        <f>value(USD!B352)</f>
        <v>8622.9</v>
      </c>
      <c r="C352" s="1">
        <f>value(AUD!$B352)</f>
        <v>9299.422896</v>
      </c>
      <c r="D352" s="1">
        <f>value(EUR!$B352)</f>
        <v>12653.33996</v>
      </c>
      <c r="E352" s="1">
        <f>value(GBP!$B352)</f>
        <v>14222.20073</v>
      </c>
      <c r="F352" s="1">
        <f>value(CHF!$B352)</f>
        <v>9897.25648</v>
      </c>
      <c r="G352" s="1">
        <f>value(SGD!$B352)</f>
        <v>6991.843856</v>
      </c>
      <c r="H352" s="1">
        <f>value(MYR!$B352)</f>
        <v>2892.65976</v>
      </c>
      <c r="I352" s="1">
        <f>value(THB!$B352)</f>
        <v>288.23196</v>
      </c>
      <c r="J352" s="1">
        <f>value(VND!$B352)</f>
        <v>0.4179443359</v>
      </c>
      <c r="K352" s="1">
        <f>value(CNY!$B352)</f>
        <v>1338.389676</v>
      </c>
      <c r="L352" s="1">
        <f>value(HKD!$B352)</f>
        <v>1108.723656</v>
      </c>
      <c r="M352" s="1">
        <f>value(TWD!$B352)</f>
        <v>299.347632</v>
      </c>
      <c r="N352" s="1">
        <f>value(JPY!$B352)</f>
        <v>105.728136</v>
      </c>
      <c r="O352" s="1">
        <f>value(SAR!$B352)</f>
        <v>2281.092438</v>
      </c>
      <c r="P352" s="1">
        <f>value(AED!$B352)</f>
        <v>2330.152685</v>
      </c>
      <c r="Q352" s="1">
        <f>value(KWD!$B352)</f>
        <v>31138.99576</v>
      </c>
    </row>
    <row r="353">
      <c r="A353" s="4">
        <f>value(USD!A353)</f>
        <v>40658.99861</v>
      </c>
      <c r="B353" s="1">
        <f>value(USD!B353)</f>
        <v>8623.2</v>
      </c>
      <c r="C353" s="1">
        <f>value(AUD!$B353)</f>
        <v>9297.77656</v>
      </c>
      <c r="D353" s="1">
        <f>value(EUR!$B353)</f>
        <v>12658.9245</v>
      </c>
      <c r="E353" s="1">
        <f>value(GBP!$B353)</f>
        <v>14243.11072</v>
      </c>
      <c r="F353" s="1">
        <f>value(CHF!$B353)</f>
        <v>9787.85472</v>
      </c>
      <c r="G353" s="1">
        <f>value(SGD!$B353)</f>
        <v>6967.420638</v>
      </c>
      <c r="H353" s="1">
        <f>value(MYR!$B353)</f>
        <v>2897.458604</v>
      </c>
      <c r="I353" s="1">
        <f>value(THB!$B353)</f>
        <v>287.792402</v>
      </c>
      <c r="J353" s="1">
        <f>value(VND!$B353)</f>
        <v>0.4186384072</v>
      </c>
      <c r="K353" s="1">
        <f>value(CNY!$B353)</f>
        <v>1312.536134</v>
      </c>
      <c r="L353" s="1">
        <f>value(HKD!$B353)</f>
        <v>1102.504504</v>
      </c>
      <c r="M353" s="1">
        <f>value(TWD!$B353)</f>
        <v>299.01622</v>
      </c>
      <c r="N353" s="1">
        <f>value(JPY!$B353)</f>
        <v>104.184448</v>
      </c>
      <c r="O353" s="1">
        <f>value(SAR!$B353)</f>
        <v>2285.33323</v>
      </c>
      <c r="P353" s="1">
        <f>value(AED!$B353)</f>
        <v>2323.622848</v>
      </c>
      <c r="Q353" s="1">
        <f>value(KWD!$B353)</f>
        <v>31284.35627</v>
      </c>
    </row>
    <row r="354">
      <c r="A354" s="4">
        <f>value(USD!A354)</f>
        <v>40659.99861</v>
      </c>
      <c r="B354" s="1">
        <f>value(USD!B354)</f>
        <v>8616.8</v>
      </c>
      <c r="C354" s="1">
        <f>value(AUD!$B354)</f>
        <v>9353.67016</v>
      </c>
      <c r="D354" s="1">
        <f>value(EUR!$B354)</f>
        <v>12693.65571</v>
      </c>
      <c r="E354" s="1">
        <f>value(GBP!$B354)</f>
        <v>14236.63495</v>
      </c>
      <c r="F354" s="1">
        <f>value(CHF!$B354)</f>
        <v>9795.86543</v>
      </c>
      <c r="G354" s="1">
        <f>value(SGD!$B354)</f>
        <v>6967.868446</v>
      </c>
      <c r="H354" s="1">
        <f>value(MYR!$B354)</f>
        <v>2893.51373</v>
      </c>
      <c r="I354" s="1">
        <f>value(THB!$B354)</f>
        <v>286.443319</v>
      </c>
      <c r="J354" s="1">
        <f>value(VND!$B354)</f>
        <v>0.4218513361</v>
      </c>
      <c r="K354" s="1">
        <f>value(CNY!$B354)</f>
        <v>1312.21756</v>
      </c>
      <c r="L354" s="1">
        <f>value(HKD!$B354)</f>
        <v>1100.78397</v>
      </c>
      <c r="M354" s="1">
        <f>value(TWD!$B354)</f>
        <v>298.50319</v>
      </c>
      <c r="N354" s="1">
        <f>value(JPY!$B354)</f>
        <v>104.861006</v>
      </c>
      <c r="O354" s="1">
        <f>value(SAR!$B354)</f>
        <v>2283.222643</v>
      </c>
      <c r="P354" s="1">
        <f>value(AED!$B354)</f>
        <v>2336.258925</v>
      </c>
      <c r="Q354" s="1">
        <f>value(KWD!$B354)</f>
        <v>31657.31454</v>
      </c>
    </row>
    <row r="355">
      <c r="A355" s="4">
        <f>value(USD!A355)</f>
        <v>40660.99861</v>
      </c>
      <c r="B355" s="1">
        <f>value(USD!B355)</f>
        <v>8567.8</v>
      </c>
      <c r="C355" s="1">
        <f>value(AUD!$B355)</f>
        <v>9400.9609</v>
      </c>
      <c r="D355" s="1">
        <f>value(EUR!$B355)</f>
        <v>12689.15479</v>
      </c>
      <c r="E355" s="1">
        <f>value(GBP!$B355)</f>
        <v>14316.54082</v>
      </c>
      <c r="F355" s="1">
        <f>value(CHF!$B355)</f>
        <v>9902.28835</v>
      </c>
      <c r="G355" s="1">
        <f>value(SGD!$B355)</f>
        <v>6996.817262</v>
      </c>
      <c r="H355" s="1">
        <f>value(MYR!$B355)</f>
        <v>2887.474718</v>
      </c>
      <c r="I355" s="1">
        <f>value(THB!$B355)</f>
        <v>286.142283</v>
      </c>
      <c r="J355" s="1">
        <f>value(VND!$B355)</f>
        <v>0.4230218935</v>
      </c>
      <c r="K355" s="1">
        <f>value(CNY!$B355)</f>
        <v>1313.001672</v>
      </c>
      <c r="L355" s="1">
        <f>value(HKD!$B355)</f>
        <v>1103.434572</v>
      </c>
      <c r="M355" s="1">
        <f>value(TWD!$B355)</f>
        <v>298.139863</v>
      </c>
      <c r="N355" s="1">
        <f>value(JPY!$B355)</f>
        <v>105.493007</v>
      </c>
      <c r="O355" s="1">
        <f>value(SAR!$B355)</f>
        <v>2282.654992</v>
      </c>
      <c r="P355" s="1">
        <f>value(AED!$B355)</f>
        <v>2366.609544</v>
      </c>
      <c r="Q355" s="1">
        <f>value(KWD!$B355)</f>
        <v>31074.45299</v>
      </c>
    </row>
    <row r="356">
      <c r="A356" s="4">
        <f>value(USD!A356)</f>
        <v>40661.99861</v>
      </c>
      <c r="B356" s="1">
        <f>value(USD!B356)</f>
        <v>8553.1</v>
      </c>
      <c r="C356" s="1">
        <f>value(AUD!$B356)</f>
        <v>9376.961</v>
      </c>
      <c r="D356" s="1">
        <f>value(EUR!$B356)</f>
        <v>12672.23925</v>
      </c>
      <c r="E356" s="1">
        <f>value(GBP!$B356)</f>
        <v>14286.096</v>
      </c>
      <c r="F356" s="1">
        <f>value(CHF!$B356)</f>
        <v>9856.75625</v>
      </c>
      <c r="G356" s="1">
        <f>value(SGD!$B356)</f>
        <v>6982.77415</v>
      </c>
      <c r="H356" s="1">
        <f>value(MYR!$B356)</f>
        <v>2883.817475</v>
      </c>
      <c r="I356" s="1">
        <f>value(THB!$B356)</f>
        <v>286.081125</v>
      </c>
      <c r="J356" s="1">
        <f>value(VND!$B356)</f>
        <v>0.4183217291</v>
      </c>
      <c r="K356" s="1">
        <f>value(CNY!$B356)</f>
        <v>1322.164668</v>
      </c>
      <c r="L356" s="1">
        <f>value(HKD!$B356)</f>
        <v>1100.963325</v>
      </c>
      <c r="M356" s="1">
        <f>value(TWD!$B356)</f>
        <v>297.79805</v>
      </c>
      <c r="N356" s="1">
        <f>value(JPY!$B356)</f>
        <v>105.19575</v>
      </c>
      <c r="O356" s="1">
        <f>value(SAR!$B356)</f>
        <v>2276.235417</v>
      </c>
      <c r="P356" s="1">
        <f>value(AED!$B356)</f>
        <v>2322.947428</v>
      </c>
      <c r="Q356" s="1">
        <f>value(KWD!$B356)</f>
        <v>30989.08548</v>
      </c>
    </row>
    <row r="357">
      <c r="A357" s="4">
        <f>value(USD!A357)</f>
        <v>40662.99861</v>
      </c>
      <c r="B357" s="1">
        <f>value(USD!B357)</f>
        <v>8569.7</v>
      </c>
      <c r="C357" s="1">
        <f>value(AUD!$B357)</f>
        <v>9381.54116</v>
      </c>
      <c r="D357" s="1">
        <f>value(EUR!$B357)</f>
        <v>12670.60718</v>
      </c>
      <c r="E357" s="1">
        <f>value(GBP!$B357)</f>
        <v>14296.63245</v>
      </c>
      <c r="F357" s="1">
        <f>value(CHF!$B357)</f>
        <v>9889.64728</v>
      </c>
      <c r="G357" s="1">
        <f>value(SGD!$B357)</f>
        <v>6998.583436</v>
      </c>
      <c r="H357" s="1">
        <f>value(MYR!$B357)</f>
        <v>2883.952072</v>
      </c>
      <c r="I357" s="1">
        <f>value(THB!$B357)</f>
        <v>286.013192</v>
      </c>
      <c r="J357" s="1">
        <f>value(VND!$B357)</f>
        <v>0.4148977543</v>
      </c>
      <c r="K357" s="1">
        <f>value(CNY!$B357)</f>
        <v>1315.503</v>
      </c>
      <c r="L357" s="1">
        <f>value(HKD!$B357)</f>
        <v>1103.010132</v>
      </c>
      <c r="M357" s="1">
        <f>value(TWD!$B357)</f>
        <v>297.7519</v>
      </c>
      <c r="N357" s="1">
        <f>value(JPY!$B357)</f>
        <v>105.39132</v>
      </c>
      <c r="O357" s="1">
        <f>value(SAR!$B357)</f>
        <v>2288.468635</v>
      </c>
      <c r="P357" s="1">
        <f>value(AED!$B357)</f>
        <v>2320.1145</v>
      </c>
      <c r="Q357" s="1">
        <f>value(KWD!$B357)</f>
        <v>31011.63093</v>
      </c>
    </row>
    <row r="358">
      <c r="A358" s="4">
        <f>value(USD!A358)</f>
        <v>40663.99861</v>
      </c>
      <c r="B358" s="1">
        <f>value(USD!B358)</f>
        <v>8552.5</v>
      </c>
      <c r="C358" s="1">
        <f>value(AUD!$B358)</f>
        <v>9373.87686</v>
      </c>
      <c r="D358" s="1">
        <f>value(EUR!$B358)</f>
        <v>12691.41936</v>
      </c>
      <c r="E358" s="1">
        <f>value(GBP!$B358)</f>
        <v>14258.15556</v>
      </c>
      <c r="F358" s="1">
        <f>value(CHF!$B358)</f>
        <v>9896.9784</v>
      </c>
      <c r="G358" s="1">
        <f>value(SGD!$B358)</f>
        <v>6997.489062</v>
      </c>
      <c r="H358" s="1">
        <f>value(MYR!$B358)</f>
        <v>2878.599522</v>
      </c>
      <c r="I358" s="1">
        <f>value(THB!$B358)</f>
        <v>285.52269</v>
      </c>
      <c r="J358" s="1">
        <f>value(VND!$B358)</f>
        <v>0.4154018506</v>
      </c>
      <c r="K358" s="1">
        <f>value(CNY!$B358)</f>
        <v>1324.165318</v>
      </c>
      <c r="L358" s="1">
        <f>value(HKD!$B358)</f>
        <v>1102.28025</v>
      </c>
      <c r="M358" s="1">
        <f>value(TWD!$B358)</f>
        <v>298.022334</v>
      </c>
      <c r="N358" s="1">
        <f>value(JPY!$B358)</f>
        <v>105.390834</v>
      </c>
      <c r="O358" s="1">
        <f>value(SAR!$B358)</f>
        <v>2318.098134</v>
      </c>
      <c r="P358" s="1">
        <f>value(AED!$B358)</f>
        <v>2321.80245</v>
      </c>
      <c r="Q358" s="1">
        <f>value(KWD!$B358)</f>
        <v>31212.64305</v>
      </c>
    </row>
    <row r="359">
      <c r="A359" s="4">
        <f>value(USD!A359)</f>
        <v>40664.99861</v>
      </c>
      <c r="B359" s="1">
        <f>value(USD!B359)</f>
        <v>8568.4</v>
      </c>
      <c r="C359" s="1">
        <f>value(AUD!$B359)</f>
        <v>9289.197375</v>
      </c>
      <c r="D359" s="1">
        <f>value(EUR!$B359)</f>
        <v>12693.82409</v>
      </c>
      <c r="E359" s="1">
        <f>value(GBP!$B359)</f>
        <v>14117.18335</v>
      </c>
      <c r="F359" s="1">
        <f>value(CHF!$B359)</f>
        <v>9935.01165</v>
      </c>
      <c r="G359" s="1">
        <f>value(SGD!$B359)</f>
        <v>6965.7211</v>
      </c>
      <c r="H359" s="1">
        <f>value(MYR!$B359)</f>
        <v>2866.833335</v>
      </c>
      <c r="I359" s="1">
        <f>value(THB!$B359)</f>
        <v>284.1754</v>
      </c>
      <c r="J359" s="1">
        <f>value(VND!$B359)</f>
        <v>0.4178394118</v>
      </c>
      <c r="K359" s="1">
        <f>value(CNY!$B359)</f>
        <v>1314.51057</v>
      </c>
      <c r="L359" s="1">
        <f>value(HKD!$B359)</f>
        <v>1101.95003</v>
      </c>
      <c r="M359" s="1">
        <f>value(TWD!$B359)</f>
        <v>300.866425</v>
      </c>
      <c r="N359" s="1">
        <f>value(JPY!$B359)</f>
        <v>105.709825</v>
      </c>
      <c r="O359" s="1">
        <f>value(SAR!$B359)</f>
        <v>2276.014638</v>
      </c>
      <c r="P359" s="1">
        <f>value(AED!$B359)</f>
        <v>2337.70185</v>
      </c>
      <c r="Q359" s="1">
        <f>value(KWD!$B359)</f>
        <v>31045.7511</v>
      </c>
    </row>
    <row r="360">
      <c r="A360" s="4">
        <f>value(USD!A360)</f>
        <v>40665.99861</v>
      </c>
      <c r="B360" s="1">
        <f>value(USD!B360)</f>
        <v>8561.4</v>
      </c>
      <c r="C360" s="1">
        <f>value(AUD!$B360)</f>
        <v>9172.77944</v>
      </c>
      <c r="D360" s="1">
        <f>value(EUR!$B360)</f>
        <v>12654.71428</v>
      </c>
      <c r="E360" s="1">
        <f>value(GBP!$B360)</f>
        <v>14077.10536</v>
      </c>
      <c r="F360" s="1">
        <f>value(CHF!$B360)</f>
        <v>9908.51368</v>
      </c>
      <c r="G360" s="1">
        <f>value(SGD!$B360)</f>
        <v>6931.86268</v>
      </c>
      <c r="H360" s="1">
        <f>value(MYR!$B360)</f>
        <v>2860.57228</v>
      </c>
      <c r="I360" s="1">
        <f>value(THB!$B360)</f>
        <v>283.112584</v>
      </c>
      <c r="J360" s="1">
        <f>value(VND!$B360)</f>
        <v>0.4213275498</v>
      </c>
      <c r="K360" s="1">
        <f>value(CNY!$B360)</f>
        <v>1319.878564</v>
      </c>
      <c r="L360" s="1">
        <f>value(HKD!$B360)</f>
        <v>1098.394888</v>
      </c>
      <c r="M360" s="1">
        <f>value(TWD!$B360)</f>
        <v>298.219888</v>
      </c>
      <c r="N360" s="1">
        <f>value(JPY!$B360)</f>
        <v>105.83648</v>
      </c>
      <c r="O360" s="1">
        <f>value(SAR!$B360)</f>
        <v>2272.654459</v>
      </c>
      <c r="P360" s="1">
        <f>value(AED!$B360)</f>
        <v>2327.7375</v>
      </c>
      <c r="Q360" s="1">
        <f>value(KWD!$B360)</f>
        <v>31250.18101</v>
      </c>
    </row>
    <row r="361">
      <c r="A361" s="4">
        <f>value(USD!A361)</f>
        <v>40666.99861</v>
      </c>
      <c r="B361" s="1">
        <f>value(USD!B361)</f>
        <v>8559.5</v>
      </c>
      <c r="C361" s="1">
        <f>value(AUD!$B361)</f>
        <v>9098.75239</v>
      </c>
      <c r="D361" s="1">
        <f>value(EUR!$B361)</f>
        <v>12477.2102</v>
      </c>
      <c r="E361" s="1">
        <f>value(GBP!$B361)</f>
        <v>14058.74379</v>
      </c>
      <c r="F361" s="1">
        <f>value(CHF!$B361)</f>
        <v>9858.19744</v>
      </c>
      <c r="G361" s="1">
        <f>value(SGD!$B361)</f>
        <v>6919.273816</v>
      </c>
      <c r="H361" s="1">
        <f>value(MYR!$B361)</f>
        <v>2850.021356</v>
      </c>
      <c r="I361" s="1">
        <f>value(THB!$B361)</f>
        <v>282.925461</v>
      </c>
      <c r="J361" s="1">
        <f>value(VND!$B361)</f>
        <v>0.4198195052</v>
      </c>
      <c r="K361" s="1">
        <f>value(CNY!$B361)</f>
        <v>1285.756313</v>
      </c>
      <c r="L361" s="1">
        <f>value(HKD!$B361)</f>
        <v>1104.155871</v>
      </c>
      <c r="M361" s="1">
        <f>value(TWD!$B361)</f>
        <v>293.909525</v>
      </c>
      <c r="N361" s="1">
        <f>value(JPY!$B361)</f>
        <v>106.751372</v>
      </c>
      <c r="O361" s="1">
        <f>value(SAR!$B361)</f>
        <v>2274.30788</v>
      </c>
      <c r="P361" s="1">
        <f>value(AED!$B361)</f>
        <v>2343.065175</v>
      </c>
      <c r="Q361" s="1">
        <f>value(KWD!$B361)</f>
        <v>31045.37149</v>
      </c>
    </row>
    <row r="362">
      <c r="A362" s="4">
        <f>value(USD!A362)</f>
        <v>40667.99861</v>
      </c>
      <c r="B362" s="1">
        <f>value(USD!B362)</f>
        <v>8535.2</v>
      </c>
      <c r="C362" s="1">
        <f>value(AUD!$B362)</f>
        <v>9299.87838</v>
      </c>
      <c r="D362" s="1">
        <f>value(EUR!$B362)</f>
        <v>12443.30334</v>
      </c>
      <c r="E362" s="1">
        <f>value(GBP!$B362)</f>
        <v>14225.38884</v>
      </c>
      <c r="F362" s="1">
        <f>value(CHF!$B362)</f>
        <v>9888.40125</v>
      </c>
      <c r="G362" s="1">
        <f>value(SGD!$B362)</f>
        <v>7011.680598</v>
      </c>
      <c r="H362" s="1">
        <f>value(MYR!$B362)</f>
        <v>2856.118005</v>
      </c>
      <c r="I362" s="1">
        <f>value(THB!$B362)</f>
        <v>284.26437</v>
      </c>
      <c r="J362" s="1">
        <f>value(VND!$B362)</f>
        <v>0.4157592772</v>
      </c>
      <c r="K362" s="1">
        <f>value(CNY!$B362)</f>
        <v>1312.934344</v>
      </c>
      <c r="L362" s="1">
        <f>value(HKD!$B362)</f>
        <v>1118.628108</v>
      </c>
      <c r="M362" s="1">
        <f>value(TWD!$B362)</f>
        <v>298.521054</v>
      </c>
      <c r="N362" s="1">
        <f>value(JPY!$B362)</f>
        <v>107.79444</v>
      </c>
      <c r="O362" s="1">
        <f>value(SAR!$B362)</f>
        <v>2290.004231</v>
      </c>
      <c r="P362" s="1">
        <f>value(AED!$B362)</f>
        <v>2327.95554</v>
      </c>
      <c r="Q362" s="1">
        <f>value(KWD!$B362)</f>
        <v>31131.88057</v>
      </c>
    </row>
    <row r="363">
      <c r="A363" s="4">
        <f>value(USD!A363)</f>
        <v>40668.99861</v>
      </c>
      <c r="B363" s="1">
        <f>value(USD!B363)</f>
        <v>8581.3</v>
      </c>
      <c r="C363" s="1">
        <f>value(AUD!$B363)</f>
        <v>9126.90124</v>
      </c>
      <c r="D363" s="1">
        <f>value(EUR!$B363)</f>
        <v>12368.34232</v>
      </c>
      <c r="E363" s="1">
        <f>value(GBP!$B363)</f>
        <v>13967.72636</v>
      </c>
      <c r="F363" s="1">
        <f>value(CHF!$B363)</f>
        <v>9665.4345</v>
      </c>
      <c r="G363" s="1">
        <f>value(SGD!$B363)</f>
        <v>6883.837668</v>
      </c>
      <c r="H363" s="1">
        <f>value(MYR!$B363)</f>
        <v>2838.949344</v>
      </c>
      <c r="I363" s="1">
        <f>value(THB!$B363)</f>
        <v>279.50815</v>
      </c>
      <c r="J363" s="1">
        <f>value(VND!$B363)</f>
        <v>0.4220028459</v>
      </c>
      <c r="K363" s="1">
        <f>value(CNY!$B363)</f>
        <v>1314.4424</v>
      </c>
      <c r="L363" s="1">
        <f>value(HKD!$B363)</f>
        <v>1098.232328</v>
      </c>
      <c r="M363" s="1">
        <f>value(TWD!$B363)</f>
        <v>296.748042</v>
      </c>
      <c r="N363" s="1">
        <f>value(JPY!$B363)</f>
        <v>105.999732</v>
      </c>
      <c r="O363" s="1">
        <f>value(SAR!$B363)</f>
        <v>2280.1824</v>
      </c>
      <c r="P363" s="1">
        <f>value(AED!$B363)</f>
        <v>2339.2809</v>
      </c>
      <c r="Q363" s="1">
        <f>value(KWD!$B363)</f>
        <v>30365.70692</v>
      </c>
    </row>
    <row r="364">
      <c r="A364" s="4">
        <f>value(USD!A364)</f>
        <v>40669.99861</v>
      </c>
      <c r="B364" s="1">
        <f>value(USD!B364)</f>
        <v>8693.1</v>
      </c>
      <c r="C364" s="1">
        <f>value(AUD!$B364)</f>
        <v>9232.353875</v>
      </c>
      <c r="D364" s="1">
        <f>value(EUR!$B364)</f>
        <v>12371.56965</v>
      </c>
      <c r="E364" s="1">
        <f>value(GBP!$B364)</f>
        <v>14090.9205</v>
      </c>
      <c r="F364" s="1">
        <f>value(CHF!$B364)</f>
        <v>9808.48723</v>
      </c>
      <c r="G364" s="1">
        <f>value(SGD!$B364)</f>
        <v>6971.601419</v>
      </c>
      <c r="H364" s="1">
        <f>value(MYR!$B364)</f>
        <v>2838.609471</v>
      </c>
      <c r="I364" s="1">
        <f>value(THB!$B364)</f>
        <v>282.594057</v>
      </c>
      <c r="J364" s="1">
        <f>value(VND!$B364)</f>
        <v>0.4100582424</v>
      </c>
      <c r="K364" s="1">
        <f>value(CNY!$B364)</f>
        <v>1315.3646</v>
      </c>
      <c r="L364" s="1">
        <f>value(HKD!$B364)</f>
        <v>1108.916661</v>
      </c>
      <c r="M364" s="1">
        <f>value(TWD!$B364)</f>
        <v>296.814252</v>
      </c>
      <c r="N364" s="1">
        <f>value(JPY!$B364)</f>
        <v>106.694554</v>
      </c>
      <c r="O364" s="1">
        <f>value(SAR!$B364)</f>
        <v>2295.135657</v>
      </c>
      <c r="P364" s="1">
        <f>value(AED!$B364)</f>
        <v>2280.883275</v>
      </c>
      <c r="Q364" s="1">
        <f>value(KWD!$B364)</f>
        <v>30976.42528</v>
      </c>
    </row>
    <row r="365">
      <c r="A365" s="4">
        <f>value(USD!A365)</f>
        <v>40670.99861</v>
      </c>
      <c r="B365" s="1">
        <f>value(USD!B365)</f>
        <v>8534.6</v>
      </c>
      <c r="C365" s="1">
        <f>value(AUD!$B365)</f>
        <v>9202.0556</v>
      </c>
      <c r="D365" s="1">
        <f>value(EUR!$B365)</f>
        <v>12248.6706</v>
      </c>
      <c r="E365" s="1">
        <f>value(GBP!$B365)</f>
        <v>13983.7498</v>
      </c>
      <c r="F365" s="1">
        <f>value(CHF!$B365)</f>
        <v>9774.734</v>
      </c>
      <c r="G365" s="1">
        <f>value(SGD!$B365)</f>
        <v>6918.92658</v>
      </c>
      <c r="H365" s="1">
        <f>value(MYR!$B365)</f>
        <v>2864.07376</v>
      </c>
      <c r="I365" s="1">
        <f>value(THB!$B365)</f>
        <v>283.10084</v>
      </c>
      <c r="J365" s="1">
        <f>value(VND!$B365)</f>
        <v>0.4132188572</v>
      </c>
      <c r="K365" s="1">
        <f>value(CNY!$B365)</f>
        <v>1294.498125</v>
      </c>
      <c r="L365" s="1">
        <f>value(HKD!$B365)</f>
        <v>1096.27008</v>
      </c>
      <c r="M365" s="1">
        <f>value(TWD!$B365)</f>
        <v>297.16214</v>
      </c>
      <c r="N365" s="1">
        <f>value(JPY!$B365)</f>
        <v>106.0989</v>
      </c>
      <c r="O365" s="1">
        <f>value(SAR!$B365)</f>
        <v>2280.982464</v>
      </c>
      <c r="P365" s="1">
        <f>value(AED!$B365)</f>
        <v>2325.913425</v>
      </c>
      <c r="Q365" s="1">
        <f>value(KWD!$B365)</f>
        <v>31013.59709</v>
      </c>
    </row>
    <row r="366">
      <c r="A366" s="4">
        <f>value(USD!A366)</f>
        <v>40671.99861</v>
      </c>
      <c r="B366" s="1">
        <f>value(USD!B366)</f>
        <v>8618.3</v>
      </c>
      <c r="C366" s="1">
        <f>value(AUD!$B366)</f>
        <v>9248.8329</v>
      </c>
      <c r="D366" s="1">
        <f>value(EUR!$B366)</f>
        <v>12287.43056</v>
      </c>
      <c r="E366" s="1">
        <f>value(GBP!$B366)</f>
        <v>13958.01965</v>
      </c>
      <c r="F366" s="1">
        <f>value(CHF!$B366)</f>
        <v>9685.47674</v>
      </c>
      <c r="G366" s="1">
        <f>value(SGD!$B366)</f>
        <v>6925.068964</v>
      </c>
      <c r="H366" s="1">
        <f>value(MYR!$B366)</f>
        <v>2861.296382</v>
      </c>
      <c r="I366" s="1">
        <f>value(THB!$B366)</f>
        <v>283.306804</v>
      </c>
      <c r="J366" s="1">
        <f>value(VND!$B366)</f>
        <v>0.4140401797</v>
      </c>
      <c r="K366" s="1">
        <f>value(CNY!$B366)</f>
        <v>1321.82</v>
      </c>
      <c r="L366" s="1">
        <f>value(HKD!$B366)</f>
        <v>1097.323494</v>
      </c>
      <c r="M366" s="1">
        <f>value(TWD!$B366)</f>
        <v>299.680948</v>
      </c>
      <c r="N366" s="1">
        <f>value(JPY!$B366)</f>
        <v>105.237988</v>
      </c>
      <c r="O366" s="1">
        <f>value(SAR!$B366)</f>
        <v>2291.428793</v>
      </c>
      <c r="P366" s="1">
        <f>value(AED!$B366)</f>
        <v>2328.282</v>
      </c>
      <c r="Q366" s="1">
        <f>value(KWD!$B366)</f>
        <v>31063.52031</v>
      </c>
    </row>
    <row r="367">
      <c r="A367" s="4">
        <f>value(USD!A367)</f>
        <v>40672.99861</v>
      </c>
      <c r="B367" s="1">
        <f>value(USD!B367)</f>
        <v>8522</v>
      </c>
      <c r="C367" s="1">
        <f>value(AUD!$B367)</f>
        <v>9192.81396</v>
      </c>
      <c r="D367" s="1">
        <f>value(EUR!$B367)</f>
        <v>12202.41726</v>
      </c>
      <c r="E367" s="1">
        <f>value(GBP!$B367)</f>
        <v>14051.11224</v>
      </c>
      <c r="F367" s="1">
        <f>value(CHF!$B367)</f>
        <v>9692.55408</v>
      </c>
      <c r="G367" s="1">
        <f>value(SGD!$B367)</f>
        <v>6948.190854</v>
      </c>
      <c r="H367" s="1">
        <f>value(MYR!$B367)</f>
        <v>2866.550544</v>
      </c>
      <c r="I367" s="1">
        <f>value(THB!$B367)</f>
        <v>283.3578</v>
      </c>
      <c r="J367" s="1">
        <f>value(VND!$B367)</f>
        <v>0.4139298608</v>
      </c>
      <c r="K367" s="1">
        <f>value(CNY!$B367)</f>
        <v>1291.97146</v>
      </c>
      <c r="L367" s="1">
        <f>value(HKD!$B367)</f>
        <v>1104.751956</v>
      </c>
      <c r="M367" s="1">
        <f>value(TWD!$B367)</f>
        <v>296.495298</v>
      </c>
      <c r="N367" s="1">
        <f>value(JPY!$B367)</f>
        <v>105.958644</v>
      </c>
      <c r="O367" s="1">
        <f>value(SAR!$B367)</f>
        <v>2234.285395</v>
      </c>
      <c r="P367" s="1">
        <f>value(AED!$B367)</f>
        <v>2329.74434</v>
      </c>
      <c r="Q367" s="1">
        <f>value(KWD!$B367)</f>
        <v>30560.79799</v>
      </c>
    </row>
    <row r="368">
      <c r="A368" s="4">
        <f>value(USD!A368)</f>
        <v>40673.99861</v>
      </c>
      <c r="B368" s="1">
        <f>value(USD!B368)</f>
        <v>8528.2</v>
      </c>
      <c r="C368" s="1">
        <f>value(AUD!$B368)</f>
        <v>9117.72</v>
      </c>
      <c r="D368" s="1">
        <f>value(EUR!$B368)</f>
        <v>12173.49</v>
      </c>
      <c r="E368" s="1">
        <f>value(GBP!$B368)</f>
        <v>13921.11</v>
      </c>
      <c r="F368" s="1">
        <f>value(CHF!$B368)</f>
        <v>9666.63</v>
      </c>
      <c r="G368" s="1">
        <f>value(SGD!$B368)</f>
        <v>6899.5935</v>
      </c>
      <c r="H368" s="1">
        <f>value(MYR!$B368)</f>
        <v>2835.9495</v>
      </c>
      <c r="I368" s="1">
        <f>value(THB!$B368)</f>
        <v>281.8935</v>
      </c>
      <c r="J368" s="1">
        <f>value(VND!$B368)</f>
        <v>0.4092102053</v>
      </c>
      <c r="K368" s="1">
        <f>value(CNY!$B368)</f>
        <v>1321.957427</v>
      </c>
      <c r="L368" s="1">
        <f>value(HKD!$B368)</f>
        <v>1099.9575</v>
      </c>
      <c r="M368" s="1">
        <f>value(TWD!$B368)</f>
        <v>300.789</v>
      </c>
      <c r="N368" s="1">
        <f>value(JPY!$B368)</f>
        <v>105.4215</v>
      </c>
      <c r="O368" s="1">
        <f>value(SAR!$B368)</f>
        <v>2278.456333</v>
      </c>
      <c r="P368" s="1">
        <f>value(AED!$B368)</f>
        <v>2291.61951</v>
      </c>
      <c r="Q368" s="1">
        <f>value(KWD!$B368)</f>
        <v>31131.2174</v>
      </c>
    </row>
    <row r="369">
      <c r="A369" s="4">
        <f>value(USD!A369)</f>
        <v>40674.99861</v>
      </c>
      <c r="B369" s="1">
        <f>value(USD!B369)</f>
        <v>8586.6</v>
      </c>
      <c r="C369" s="1">
        <f>value(AUD!$B369)</f>
        <v>9097.71973</v>
      </c>
      <c r="D369" s="1">
        <f>value(EUR!$B369)</f>
        <v>12148.65308</v>
      </c>
      <c r="E369" s="1">
        <f>value(GBP!$B369)</f>
        <v>13936.18159</v>
      </c>
      <c r="F369" s="1">
        <f>value(CHF!$B369)</f>
        <v>9640.77726</v>
      </c>
      <c r="G369" s="1">
        <f>value(SGD!$B369)</f>
        <v>6909.395829</v>
      </c>
      <c r="H369" s="1">
        <f>value(MYR!$B369)</f>
        <v>2858.668608</v>
      </c>
      <c r="I369" s="1">
        <f>value(THB!$B369)</f>
        <v>283.577585</v>
      </c>
      <c r="J369" s="1">
        <f>value(VND!$B369)</f>
        <v>0.41646489</v>
      </c>
      <c r="K369" s="1">
        <f>value(CNY!$B369)</f>
        <v>1320.63575</v>
      </c>
      <c r="L369" s="1">
        <f>value(HKD!$B369)</f>
        <v>1107.114432</v>
      </c>
      <c r="M369" s="1">
        <f>value(TWD!$B369)</f>
        <v>297.261602</v>
      </c>
      <c r="N369" s="1">
        <f>value(JPY!$B369)</f>
        <v>106.545994</v>
      </c>
      <c r="O369" s="1">
        <f>value(SAR!$B369)</f>
        <v>2280.77658</v>
      </c>
      <c r="P369" s="1">
        <f>value(AED!$B369)</f>
        <v>2341.436</v>
      </c>
      <c r="Q369" s="1">
        <f>value(KWD!$B369)</f>
        <v>30444.76528</v>
      </c>
    </row>
    <row r="370">
      <c r="A370" s="4">
        <f>value(USD!A370)</f>
        <v>40675.99861</v>
      </c>
      <c r="B370" s="1">
        <f>value(USD!B370)</f>
        <v>8550</v>
      </c>
      <c r="C370" s="1">
        <f>value(AUD!$B370)</f>
        <v>9089.34034</v>
      </c>
      <c r="D370" s="1">
        <f>value(EUR!$B370)</f>
        <v>12148.66669</v>
      </c>
      <c r="E370" s="1">
        <f>value(GBP!$B370)</f>
        <v>13924.88317</v>
      </c>
      <c r="F370" s="1">
        <f>value(CHF!$B370)</f>
        <v>9628.91773</v>
      </c>
      <c r="G370" s="1">
        <f>value(SGD!$B370)</f>
        <v>6908.914131</v>
      </c>
      <c r="H370" s="1">
        <f>value(MYR!$B370)</f>
        <v>2858.641426</v>
      </c>
      <c r="I370" s="1">
        <f>value(THB!$B370)</f>
        <v>283.557815</v>
      </c>
      <c r="J370" s="1">
        <f>value(VND!$B370)</f>
        <v>0.4130411238</v>
      </c>
      <c r="K370" s="1">
        <f>value(CNY!$B370)</f>
        <v>1318.1467</v>
      </c>
      <c r="L370" s="1">
        <f>value(HKD!$B370)</f>
        <v>1107.037248</v>
      </c>
      <c r="M370" s="1">
        <f>value(TWD!$B370)</f>
        <v>297.326935</v>
      </c>
      <c r="N370" s="1">
        <f>value(JPY!$B370)</f>
        <v>106.452509</v>
      </c>
      <c r="O370" s="1">
        <f>value(SAR!$B370)</f>
        <v>2282.315904</v>
      </c>
      <c r="P370" s="1">
        <f>value(AED!$B370)</f>
        <v>2288.394992</v>
      </c>
      <c r="Q370" s="1">
        <f>value(KWD!$B370)</f>
        <v>31096.4494</v>
      </c>
    </row>
    <row r="371">
      <c r="A371" s="4">
        <f>value(USD!A371)</f>
        <v>40676.99861</v>
      </c>
      <c r="B371" s="1">
        <f>value(USD!B371)</f>
        <v>8606.3</v>
      </c>
      <c r="C371" s="1">
        <f>value(AUD!$B371)</f>
        <v>9032.8233</v>
      </c>
      <c r="D371" s="1">
        <f>value(EUR!$B371)</f>
        <v>12039.03174</v>
      </c>
      <c r="E371" s="1">
        <f>value(GBP!$B371)</f>
        <v>13831.9116</v>
      </c>
      <c r="F371" s="1">
        <f>value(CHF!$B371)</f>
        <v>9573.3729</v>
      </c>
      <c r="G371" s="1">
        <f>value(SGD!$B371)</f>
        <v>6858.82176</v>
      </c>
      <c r="H371" s="1">
        <f>value(MYR!$B371)</f>
        <v>2832.41148</v>
      </c>
      <c r="I371" s="1">
        <f>value(THB!$B371)</f>
        <v>281.13711</v>
      </c>
      <c r="J371" s="1">
        <f>value(VND!$B371)</f>
        <v>0.4180997525</v>
      </c>
      <c r="K371" s="1">
        <f>value(CNY!$B371)</f>
        <v>1285.996728</v>
      </c>
      <c r="L371" s="1">
        <f>value(HKD!$B371)</f>
        <v>1100.34345</v>
      </c>
      <c r="M371" s="1">
        <f>value(TWD!$B371)</f>
        <v>294.56532</v>
      </c>
      <c r="N371" s="1">
        <f>value(JPY!$B371)</f>
        <v>105.80061</v>
      </c>
      <c r="O371" s="1">
        <f>value(SAR!$B371)</f>
        <v>2245.439478</v>
      </c>
      <c r="P371" s="1">
        <f>value(AED!$B371)</f>
        <v>2339.158387</v>
      </c>
      <c r="Q371" s="1">
        <f>value(KWD!$B371)</f>
        <v>31097.00597</v>
      </c>
    </row>
    <row r="372">
      <c r="A372" s="4">
        <f>value(USD!A372)</f>
        <v>40677.99861</v>
      </c>
      <c r="B372" s="1">
        <f>value(USD!B372)</f>
        <v>8605.7</v>
      </c>
      <c r="C372" s="1">
        <f>value(AUD!$B372)</f>
        <v>9083.02604</v>
      </c>
      <c r="D372" s="1">
        <f>value(EUR!$B372)</f>
        <v>12161.68296</v>
      </c>
      <c r="E372" s="1">
        <f>value(GBP!$B372)</f>
        <v>13925.70268</v>
      </c>
      <c r="F372" s="1">
        <f>value(CHF!$B372)</f>
        <v>9714.56744</v>
      </c>
      <c r="G372" s="1">
        <f>value(SGD!$B372)</f>
        <v>6870.654888</v>
      </c>
      <c r="H372" s="1">
        <f>value(MYR!$B372)</f>
        <v>2807.738548</v>
      </c>
      <c r="I372" s="1">
        <f>value(THB!$B372)</f>
        <v>282.002568</v>
      </c>
      <c r="J372" s="1">
        <f>value(VND!$B372)</f>
        <v>0.418292676</v>
      </c>
      <c r="K372" s="1">
        <f>value(CNY!$B372)</f>
        <v>1315.759855</v>
      </c>
      <c r="L372" s="1">
        <f>value(HKD!$B372)</f>
        <v>1104.810792</v>
      </c>
      <c r="M372" s="1">
        <f>value(TWD!$B372)</f>
        <v>299.273292</v>
      </c>
      <c r="N372" s="1">
        <f>value(JPY!$B372)</f>
        <v>106.373912</v>
      </c>
      <c r="O372" s="1">
        <f>value(SAR!$B372)</f>
        <v>2283.287448</v>
      </c>
      <c r="P372" s="1">
        <f>value(AED!$B372)</f>
        <v>2334.54375</v>
      </c>
      <c r="Q372" s="1">
        <f>value(KWD!$B372)</f>
        <v>31070.59835</v>
      </c>
    </row>
    <row r="373">
      <c r="A373" s="4">
        <f>value(USD!A373)</f>
        <v>40678.99861</v>
      </c>
      <c r="B373" s="1">
        <f>value(USD!B373)</f>
        <v>8553</v>
      </c>
      <c r="C373" s="1">
        <f>value(AUD!$B373)</f>
        <v>8906.796827</v>
      </c>
      <c r="D373" s="1">
        <f>value(EUR!$B373)</f>
        <v>11951.91214</v>
      </c>
      <c r="E373" s="1">
        <f>value(GBP!$B373)</f>
        <v>13613.24971</v>
      </c>
      <c r="F373" s="1">
        <f>value(CHF!$B373)</f>
        <v>9526.51009</v>
      </c>
      <c r="G373" s="1">
        <f>value(SGD!$B373)</f>
        <v>6729.213059</v>
      </c>
      <c r="H373" s="1">
        <f>value(MYR!$B373)</f>
        <v>2715.109832</v>
      </c>
      <c r="I373" s="1">
        <f>value(THB!$B373)</f>
        <v>272.533087</v>
      </c>
      <c r="J373" s="1">
        <f>value(VND!$B373)</f>
        <v>0.4177623164</v>
      </c>
      <c r="K373" s="1">
        <f>value(CNY!$B373)</f>
        <v>1314.751221</v>
      </c>
      <c r="L373" s="1">
        <f>value(HKD!$B373)</f>
        <v>1077.565498</v>
      </c>
      <c r="M373" s="1">
        <f>value(TWD!$B373)</f>
        <v>291.55092</v>
      </c>
      <c r="N373" s="1">
        <f>value(JPY!$B373)</f>
        <v>102.880612</v>
      </c>
      <c r="O373" s="1">
        <f>value(SAR!$B373)</f>
        <v>2293.577946</v>
      </c>
      <c r="P373" s="1">
        <f>value(AED!$B373)</f>
        <v>2330.446387</v>
      </c>
      <c r="Q373" s="1">
        <f>value(KWD!$B373)</f>
        <v>30373.83482</v>
      </c>
    </row>
    <row r="374">
      <c r="A374" s="4">
        <f>value(USD!A374)</f>
        <v>40679.99861</v>
      </c>
      <c r="B374" s="1">
        <f>value(USD!B374)</f>
        <v>8592.4</v>
      </c>
      <c r="C374" s="1">
        <f>value(AUD!$B374)</f>
        <v>9080.67357</v>
      </c>
      <c r="D374" s="1">
        <f>value(EUR!$B374)</f>
        <v>12177.61982</v>
      </c>
      <c r="E374" s="1">
        <f>value(GBP!$B374)</f>
        <v>13808.02319</v>
      </c>
      <c r="F374" s="1">
        <f>value(CHF!$B374)</f>
        <v>9694.08251</v>
      </c>
      <c r="G374" s="1">
        <f>value(SGD!$B374)</f>
        <v>6887.523027</v>
      </c>
      <c r="H374" s="1">
        <f>value(MYR!$B374)</f>
        <v>2812.368927</v>
      </c>
      <c r="I374" s="1">
        <f>value(THB!$B374)</f>
        <v>281.672601</v>
      </c>
      <c r="J374" s="1">
        <f>value(VND!$B374)</f>
        <v>0.4137378114</v>
      </c>
      <c r="K374" s="1">
        <f>value(CNY!$B374)</f>
        <v>1317.8928</v>
      </c>
      <c r="L374" s="1">
        <f>value(HKD!$B374)</f>
        <v>1098.839246</v>
      </c>
      <c r="M374" s="1">
        <f>value(TWD!$B374)</f>
        <v>296.281644</v>
      </c>
      <c r="N374" s="1">
        <f>value(JPY!$B374)</f>
        <v>104.569992</v>
      </c>
      <c r="O374" s="1">
        <f>value(SAR!$B374)</f>
        <v>2241.72599</v>
      </c>
      <c r="P374" s="1">
        <f>value(AED!$B374)</f>
        <v>2275.533672</v>
      </c>
      <c r="Q374" s="1">
        <f>value(KWD!$B374)</f>
        <v>31155.69639</v>
      </c>
    </row>
    <row r="375">
      <c r="A375" s="4">
        <f>value(USD!A375)</f>
        <v>40680.99861</v>
      </c>
      <c r="B375" s="1">
        <f>value(USD!B375)</f>
        <v>8377.9</v>
      </c>
      <c r="C375" s="1">
        <f>value(AUD!$B375)</f>
        <v>9122.4184</v>
      </c>
      <c r="D375" s="1">
        <f>value(EUR!$B375)</f>
        <v>12243.0432</v>
      </c>
      <c r="E375" s="1">
        <f>value(GBP!$B375)</f>
        <v>13878.1856</v>
      </c>
      <c r="F375" s="1">
        <f>value(CHF!$B375)</f>
        <v>9703.0992</v>
      </c>
      <c r="G375" s="1">
        <f>value(SGD!$B375)</f>
        <v>6910.70016</v>
      </c>
      <c r="H375" s="1">
        <f>value(MYR!$B375)</f>
        <v>2831.73824</v>
      </c>
      <c r="I375" s="1">
        <f>value(THB!$B375)</f>
        <v>283.32776</v>
      </c>
      <c r="J375" s="1">
        <f>value(VND!$B375)</f>
        <v>0.4213655187</v>
      </c>
      <c r="K375" s="1">
        <f>value(CNY!$B375)</f>
        <v>1317.139623</v>
      </c>
      <c r="L375" s="1">
        <f>value(HKD!$B375)</f>
        <v>1100.04376</v>
      </c>
      <c r="M375" s="1">
        <f>value(TWD!$B375)</f>
        <v>297.43856</v>
      </c>
      <c r="N375" s="1">
        <f>value(JPY!$B375)</f>
        <v>104.59096</v>
      </c>
      <c r="O375" s="1">
        <f>value(SAR!$B375)</f>
        <v>2291.369961</v>
      </c>
      <c r="P375" s="1">
        <f>value(AED!$B375)</f>
        <v>2325.628401</v>
      </c>
      <c r="Q375" s="1">
        <f>value(KWD!$B375)</f>
        <v>31103.4587</v>
      </c>
    </row>
    <row r="376">
      <c r="A376" s="4">
        <f>value(USD!A376)</f>
        <v>40681.99861</v>
      </c>
      <c r="B376" s="1">
        <f>value(USD!B376)</f>
        <v>8543.3</v>
      </c>
      <c r="C376" s="1">
        <f>value(AUD!$B376)</f>
        <v>9120.2606</v>
      </c>
      <c r="D376" s="1">
        <f>value(EUR!$B376)</f>
        <v>12117.2722</v>
      </c>
      <c r="E376" s="1">
        <f>value(GBP!$B376)</f>
        <v>13887.9224</v>
      </c>
      <c r="F376" s="1">
        <f>value(CHF!$B376)</f>
        <v>9752.6968</v>
      </c>
      <c r="G376" s="1">
        <f>value(SGD!$B376)</f>
        <v>6908.8734</v>
      </c>
      <c r="H376" s="1">
        <f>value(MYR!$B376)</f>
        <v>2836.20678</v>
      </c>
      <c r="I376" s="1">
        <f>value(THB!$B376)</f>
        <v>281.72936</v>
      </c>
      <c r="J376" s="1">
        <f>value(VND!$B376)</f>
        <v>0.4212086817</v>
      </c>
      <c r="K376" s="1">
        <f>value(CNY!$B376)</f>
        <v>1314.109003</v>
      </c>
      <c r="L376" s="1">
        <f>value(HKD!$B376)</f>
        <v>1100.72996</v>
      </c>
      <c r="M376" s="1">
        <f>value(TWD!$B376)</f>
        <v>295.59332</v>
      </c>
      <c r="N376" s="1">
        <f>value(JPY!$B376)</f>
        <v>104.74992</v>
      </c>
      <c r="O376" s="1">
        <f>value(SAR!$B376)</f>
        <v>2286.910568</v>
      </c>
      <c r="P376" s="1">
        <f>value(AED!$B376)</f>
        <v>2324.272517</v>
      </c>
      <c r="Q376" s="1">
        <f>value(KWD!$B376)</f>
        <v>31077.1454</v>
      </c>
    </row>
    <row r="377">
      <c r="A377" s="4">
        <f>value(USD!A377)</f>
        <v>40682.99861</v>
      </c>
      <c r="B377" s="1">
        <f>value(USD!B377)</f>
        <v>8552</v>
      </c>
      <c r="C377" s="1">
        <f>value(AUD!$B377)</f>
        <v>8951.6124</v>
      </c>
      <c r="D377" s="1">
        <f>value(EUR!$B377)</f>
        <v>11930.4315</v>
      </c>
      <c r="E377" s="1">
        <f>value(GBP!$B377)</f>
        <v>13669.05825</v>
      </c>
      <c r="F377" s="1">
        <f>value(CHF!$B377)</f>
        <v>9583.0749</v>
      </c>
      <c r="G377" s="1">
        <f>value(SGD!$B377)</f>
        <v>6797.06235</v>
      </c>
      <c r="H377" s="1">
        <f>value(MYR!$B377)</f>
        <v>2792.41137</v>
      </c>
      <c r="I377" s="1">
        <f>value(THB!$B377)</f>
        <v>277.67511</v>
      </c>
      <c r="J377" s="1">
        <f>value(VND!$B377)</f>
        <v>0.4165853589</v>
      </c>
      <c r="K377" s="1">
        <f>value(CNY!$B377)</f>
        <v>1312.91614</v>
      </c>
      <c r="L377" s="1">
        <f>value(HKD!$B377)</f>
        <v>1082.91609</v>
      </c>
      <c r="M377" s="1">
        <f>value(TWD!$B377)</f>
        <v>291.062115</v>
      </c>
      <c r="N377" s="1">
        <f>value(JPY!$B377)</f>
        <v>103.05468</v>
      </c>
      <c r="O377" s="1">
        <f>value(SAR!$B377)</f>
        <v>2282.896806</v>
      </c>
      <c r="P377" s="1">
        <f>value(AED!$B377)</f>
        <v>2325.015</v>
      </c>
      <c r="Q377" s="1">
        <f>value(KWD!$B377)</f>
        <v>31054.90365</v>
      </c>
    </row>
    <row r="378">
      <c r="A378" s="4">
        <f>value(USD!A378)</f>
        <v>40683.99861</v>
      </c>
      <c r="B378" s="1">
        <f>value(USD!B378)</f>
        <v>8558</v>
      </c>
      <c r="C378" s="1">
        <f>value(AUD!$B378)</f>
        <v>9096.745687</v>
      </c>
      <c r="D378" s="1">
        <f>value(EUR!$B378)</f>
        <v>12074.48512</v>
      </c>
      <c r="E378" s="1">
        <f>value(GBP!$B378)</f>
        <v>13879.27946</v>
      </c>
      <c r="F378" s="1">
        <f>value(CHF!$B378)</f>
        <v>9747.430555</v>
      </c>
      <c r="G378" s="1">
        <f>value(SGD!$B378)</f>
        <v>6900.684258</v>
      </c>
      <c r="H378" s="1">
        <f>value(MYR!$B378)</f>
        <v>2826.369587</v>
      </c>
      <c r="I378" s="1">
        <f>value(THB!$B378)</f>
        <v>280.9931232</v>
      </c>
      <c r="J378" s="1">
        <f>value(VND!$B378)</f>
        <v>0.4170988939</v>
      </c>
      <c r="K378" s="1">
        <f>value(CNY!$B378)</f>
        <v>1309.85</v>
      </c>
      <c r="L378" s="1">
        <f>value(HKD!$B378)</f>
        <v>1101.198522</v>
      </c>
      <c r="M378" s="1">
        <f>value(TWD!$B378)</f>
        <v>294.6061356</v>
      </c>
      <c r="N378" s="1">
        <f>value(JPY!$B378)</f>
        <v>104.7945103</v>
      </c>
      <c r="O378" s="1">
        <f>value(SAR!$B378)</f>
        <v>2229.677797</v>
      </c>
      <c r="P378" s="1">
        <f>value(AED!$B378)</f>
        <v>2325.042225</v>
      </c>
      <c r="Q378" s="1">
        <f>value(KWD!$B378)</f>
        <v>30966.56159</v>
      </c>
    </row>
    <row r="379">
      <c r="A379" s="4">
        <f>value(USD!A379)</f>
        <v>40684.99861</v>
      </c>
      <c r="B379" s="1">
        <f>value(USD!B379)</f>
        <v>8419.5</v>
      </c>
      <c r="C379" s="1">
        <f>value(AUD!$B379)</f>
        <v>9035.418</v>
      </c>
      <c r="D379" s="1">
        <f>value(EUR!$B379)</f>
        <v>12071.304</v>
      </c>
      <c r="E379" s="1">
        <f>value(GBP!$B379)</f>
        <v>13851.246</v>
      </c>
      <c r="F379" s="1">
        <f>value(CHF!$B379)</f>
        <v>9724.02</v>
      </c>
      <c r="G379" s="1">
        <f>value(SGD!$B379)</f>
        <v>6884.386</v>
      </c>
      <c r="H379" s="1">
        <f>value(MYR!$B379)</f>
        <v>2812.028</v>
      </c>
      <c r="I379" s="1">
        <f>value(THB!$B379)</f>
        <v>282.854</v>
      </c>
      <c r="J379" s="1">
        <f>value(VND!$B379)</f>
        <v>0.4156317004</v>
      </c>
      <c r="K379" s="1">
        <f>value(CNY!$B379)</f>
        <v>1313.508162</v>
      </c>
      <c r="L379" s="1">
        <f>value(HKD!$B379)</f>
        <v>1105.616</v>
      </c>
      <c r="M379" s="1">
        <f>value(TWD!$B379)</f>
        <v>298.076</v>
      </c>
      <c r="N379" s="1">
        <f>value(JPY!$B379)</f>
        <v>104.92</v>
      </c>
      <c r="O379" s="1">
        <f>value(SAR!$B379)</f>
        <v>2282.835945</v>
      </c>
      <c r="P379" s="1">
        <f>value(AED!$B379)</f>
        <v>2319.692512</v>
      </c>
      <c r="Q379" s="1">
        <f>value(KWD!$B379)</f>
        <v>30983.44912</v>
      </c>
    </row>
    <row r="380">
      <c r="A380" s="4">
        <f>value(USD!A380)</f>
        <v>40685.99861</v>
      </c>
      <c r="B380" s="1">
        <f>value(USD!B380)</f>
        <v>8561.643</v>
      </c>
      <c r="C380" s="1">
        <f>value(AUD!$B380)</f>
        <v>8873.498712</v>
      </c>
      <c r="D380" s="1">
        <f>value(EUR!$B380)</f>
        <v>11849.65626</v>
      </c>
      <c r="E380" s="1">
        <f>value(GBP!$B380)</f>
        <v>13601.42498</v>
      </c>
      <c r="F380" s="1">
        <f>value(CHF!$B380)</f>
        <v>9550.66996</v>
      </c>
      <c r="G380" s="1">
        <f>value(SGD!$B380)</f>
        <v>6735.98783</v>
      </c>
      <c r="H380" s="1">
        <f>value(MYR!$B380)</f>
        <v>2750.966166</v>
      </c>
      <c r="I380" s="1">
        <f>value(THB!$B380)</f>
        <v>275.878356</v>
      </c>
      <c r="J380" s="1">
        <f>value(VND!$B380)</f>
        <v>0.4234184715</v>
      </c>
      <c r="K380" s="1">
        <f>value(CNY!$B380)</f>
        <v>1309.67505</v>
      </c>
      <c r="L380" s="1">
        <f>value(HKD!$B380)</f>
        <v>1080.733706</v>
      </c>
      <c r="M380" s="1">
        <f>value(TWD!$B380)</f>
        <v>290.504448</v>
      </c>
      <c r="N380" s="1">
        <f>value(JPY!$B380)</f>
        <v>102.382644</v>
      </c>
      <c r="O380" s="1">
        <f>value(SAR!$B380)</f>
        <v>2280.952975</v>
      </c>
      <c r="P380" s="1">
        <f>value(AED!$B380)</f>
        <v>2318.994735</v>
      </c>
      <c r="Q380" s="1">
        <f>value(KWD!$B380)</f>
        <v>31016.2365</v>
      </c>
    </row>
    <row r="381">
      <c r="A381" s="4">
        <f>value(USD!A381)</f>
        <v>40686.99861</v>
      </c>
      <c r="B381" s="1">
        <f>value(USD!B381)</f>
        <v>8600</v>
      </c>
      <c r="C381" s="1">
        <f>value(AUD!$B381)</f>
        <v>9050.76013</v>
      </c>
      <c r="D381" s="1">
        <f>value(EUR!$B381)</f>
        <v>12100.04318</v>
      </c>
      <c r="E381" s="1">
        <f>value(GBP!$B381)</f>
        <v>13984.25782</v>
      </c>
      <c r="F381" s="1">
        <f>value(CHF!$B381)</f>
        <v>9842.078725</v>
      </c>
      <c r="G381" s="1">
        <f>value(SGD!$B381)</f>
        <v>6889.02551</v>
      </c>
      <c r="H381" s="1">
        <f>value(MYR!$B381)</f>
        <v>2800.546102</v>
      </c>
      <c r="I381" s="1">
        <f>value(THB!$B381)</f>
        <v>281.472282</v>
      </c>
      <c r="J381" s="1">
        <f>value(VND!$B381)</f>
        <v>0.4184512345</v>
      </c>
      <c r="K381" s="1">
        <f>value(CNY!$B381)</f>
        <v>1315.2324</v>
      </c>
      <c r="L381" s="1">
        <f>value(HKD!$B381)</f>
        <v>1103.635977</v>
      </c>
      <c r="M381" s="1">
        <f>value(TWD!$B381)</f>
        <v>296.6800335</v>
      </c>
      <c r="N381" s="1">
        <f>value(JPY!$B381)</f>
        <v>104.7358705</v>
      </c>
      <c r="O381" s="1">
        <f>value(SAR!$B381)</f>
        <v>2276.773276</v>
      </c>
      <c r="P381" s="1">
        <f>value(AED!$B381)</f>
        <v>2319.096081</v>
      </c>
      <c r="Q381" s="1">
        <f>value(KWD!$B381)</f>
        <v>31078.28436</v>
      </c>
    </row>
    <row r="382">
      <c r="A382" s="4">
        <f>value(USD!A382)</f>
        <v>40687.99861</v>
      </c>
      <c r="B382" s="1">
        <f>value(USD!B382)</f>
        <v>8405.8</v>
      </c>
      <c r="C382" s="1">
        <f>value(AUD!$B382)</f>
        <v>9107.5075</v>
      </c>
      <c r="D382" s="1">
        <f>value(EUR!$B382)</f>
        <v>12117.6755</v>
      </c>
      <c r="E382" s="1">
        <f>value(GBP!$B382)</f>
        <v>14047.30775</v>
      </c>
      <c r="F382" s="1">
        <f>value(CHF!$B382)</f>
        <v>9904.9825</v>
      </c>
      <c r="G382" s="1">
        <f>value(SGD!$B382)</f>
        <v>6895.329</v>
      </c>
      <c r="H382" s="1">
        <f>value(MYR!$B382)</f>
        <v>2821.26075</v>
      </c>
      <c r="I382" s="1">
        <f>value(THB!$B382)</f>
        <v>282.1175</v>
      </c>
      <c r="J382" s="1">
        <f>value(VND!$B382)</f>
        <v>0.415387798</v>
      </c>
      <c r="K382" s="1">
        <f>value(CNY!$B382)</f>
        <v>1313.706467</v>
      </c>
      <c r="L382" s="1">
        <f>value(HKD!$B382)</f>
        <v>1101.716</v>
      </c>
      <c r="M382" s="1">
        <f>value(TWD!$B382)</f>
        <v>295.4945</v>
      </c>
      <c r="N382" s="1">
        <f>value(JPY!$B382)</f>
        <v>105.4725</v>
      </c>
      <c r="O382" s="1">
        <f>value(SAR!$B382)</f>
        <v>2277.576239</v>
      </c>
      <c r="P382" s="1">
        <f>value(AED!$B382)</f>
        <v>2314.125</v>
      </c>
      <c r="Q382" s="1">
        <f>value(KWD!$B382)</f>
        <v>30987.59093</v>
      </c>
    </row>
    <row r="383">
      <c r="A383" s="4">
        <f>value(USD!A383)</f>
        <v>40688.99861</v>
      </c>
      <c r="B383" s="1">
        <f>value(USD!B383)</f>
        <v>8591.95</v>
      </c>
      <c r="C383" s="1">
        <f>value(AUD!$B383)</f>
        <v>9147.16257</v>
      </c>
      <c r="D383" s="1">
        <f>value(EUR!$B383)</f>
        <v>12241.58449</v>
      </c>
      <c r="E383" s="1">
        <f>value(GBP!$B383)</f>
        <v>14127.34148</v>
      </c>
      <c r="F383" s="1">
        <f>value(CHF!$B383)</f>
        <v>10087.90107</v>
      </c>
      <c r="G383" s="1">
        <f>value(SGD!$B383)</f>
        <v>6922.174766</v>
      </c>
      <c r="H383" s="1">
        <f>value(MYR!$B383)</f>
        <v>2828.806676</v>
      </c>
      <c r="I383" s="1">
        <f>value(THB!$B383)</f>
        <v>282.3927505</v>
      </c>
      <c r="J383" s="1">
        <f>value(VND!$B383)</f>
        <v>0.413167879</v>
      </c>
      <c r="K383" s="1">
        <f>value(CNY!$B383)</f>
        <v>1308.63888</v>
      </c>
      <c r="L383" s="1">
        <f>value(HKD!$B383)</f>
        <v>1100.124774</v>
      </c>
      <c r="M383" s="1">
        <f>value(TWD!$B383)</f>
        <v>298.1430585</v>
      </c>
      <c r="N383" s="1">
        <f>value(JPY!$B383)</f>
        <v>105.8865815</v>
      </c>
      <c r="O383" s="1">
        <f>value(SAR!$B383)</f>
        <v>2277.542188</v>
      </c>
      <c r="P383" s="1">
        <f>value(AED!$B383)</f>
        <v>2318.331262</v>
      </c>
      <c r="Q383" s="1">
        <f>value(KWD!$B383)</f>
        <v>31094.8902</v>
      </c>
    </row>
    <row r="384">
      <c r="A384" s="4">
        <f>value(USD!A384)</f>
        <v>40689.99861</v>
      </c>
      <c r="B384" s="1">
        <f>value(USD!B384)</f>
        <v>8575</v>
      </c>
      <c r="C384" s="1">
        <f>value(AUD!$B384)</f>
        <v>8949.8082</v>
      </c>
      <c r="D384" s="1">
        <f>value(EUR!$B384)</f>
        <v>11941.99536</v>
      </c>
      <c r="E384" s="1">
        <f>value(GBP!$B384)</f>
        <v>13798.8402</v>
      </c>
      <c r="F384" s="1">
        <f>value(CHF!$B384)</f>
        <v>9821.79792</v>
      </c>
      <c r="G384" s="1">
        <f>value(SGD!$B384)</f>
        <v>6760.804668</v>
      </c>
      <c r="H384" s="1">
        <f>value(MYR!$B384)</f>
        <v>2759.015604</v>
      </c>
      <c r="I384" s="1">
        <f>value(THB!$B384)</f>
        <v>275.391576</v>
      </c>
      <c r="J384" s="1">
        <f>value(VND!$B384)</f>
        <v>0.4156097492</v>
      </c>
      <c r="K384" s="1">
        <f>value(CNY!$B384)</f>
        <v>1316.78319</v>
      </c>
      <c r="L384" s="1">
        <f>value(HKD!$B384)</f>
        <v>1073.809776</v>
      </c>
      <c r="M384" s="1">
        <f>value(TWD!$B384)</f>
        <v>290.774712</v>
      </c>
      <c r="N384" s="1">
        <f>value(JPY!$B384)</f>
        <v>103.501752</v>
      </c>
      <c r="O384" s="1">
        <f>value(SAR!$B384)</f>
        <v>2272.362349</v>
      </c>
      <c r="P384" s="1">
        <f>value(AED!$B384)</f>
        <v>2311.56585</v>
      </c>
      <c r="Q384" s="1">
        <f>value(KWD!$B384)</f>
        <v>31104.66801</v>
      </c>
    </row>
    <row r="385">
      <c r="A385" s="4">
        <f>value(USD!A385)</f>
        <v>40690.99861</v>
      </c>
      <c r="B385" s="1">
        <f>value(USD!B385)</f>
        <v>8559.95</v>
      </c>
      <c r="C385" s="1">
        <f>value(AUD!$B385)</f>
        <v>9166.850455</v>
      </c>
      <c r="D385" s="1">
        <f>value(EUR!$B385)</f>
        <v>12237.30452</v>
      </c>
      <c r="E385" s="1">
        <f>value(GBP!$B385)</f>
        <v>14130.76546</v>
      </c>
      <c r="F385" s="1">
        <f>value(CHF!$B385)</f>
        <v>10064.78921</v>
      </c>
      <c r="G385" s="1">
        <f>value(SGD!$B385)</f>
        <v>6921.57557</v>
      </c>
      <c r="H385" s="1">
        <f>value(MYR!$B385)</f>
        <v>2827.522684</v>
      </c>
      <c r="I385" s="1">
        <f>value(THB!$B385)</f>
        <v>282.2215515</v>
      </c>
      <c r="J385" s="1">
        <f>value(VND!$B385)</f>
        <v>0.4160438955</v>
      </c>
      <c r="K385" s="1">
        <f>value(CNY!$B385)</f>
        <v>1314.996355</v>
      </c>
      <c r="L385" s="1">
        <f>value(HKD!$B385)</f>
        <v>1099.953575</v>
      </c>
      <c r="M385" s="1">
        <f>value(TWD!$B385)</f>
        <v>297.9718595</v>
      </c>
      <c r="N385" s="1">
        <f>value(JPY!$B385)</f>
        <v>105.8865815</v>
      </c>
      <c r="O385" s="1">
        <f>value(SAR!$B385)</f>
        <v>2272.362349</v>
      </c>
      <c r="P385" s="1">
        <f>value(AED!$B385)</f>
        <v>2319.57</v>
      </c>
      <c r="Q385" s="1">
        <f>value(KWD!$B385)</f>
        <v>30995.98228</v>
      </c>
    </row>
    <row r="386">
      <c r="A386" s="4">
        <f>value(USD!A386)</f>
        <v>40691.99861</v>
      </c>
      <c r="B386" s="1">
        <f>value(USD!B386)</f>
        <v>8360.4</v>
      </c>
      <c r="C386" s="1">
        <f>value(AUD!$B386)</f>
        <v>9144.697612</v>
      </c>
      <c r="D386" s="1">
        <f>value(EUR!$B386)</f>
        <v>12239.07018</v>
      </c>
      <c r="E386" s="1">
        <f>value(GBP!$B386)</f>
        <v>14084.67138</v>
      </c>
      <c r="F386" s="1">
        <f>value(CHF!$B386)</f>
        <v>10040.58319</v>
      </c>
      <c r="G386" s="1">
        <f>value(SGD!$B386)</f>
        <v>6925.105836</v>
      </c>
      <c r="H386" s="1">
        <f>value(MYR!$B386)</f>
        <v>2838.978957</v>
      </c>
      <c r="I386" s="1">
        <f>value(THB!$B386)</f>
        <v>281.96685</v>
      </c>
      <c r="J386" s="1">
        <f>value(VND!$B386)</f>
        <v>0.4163277293</v>
      </c>
      <c r="K386" s="1">
        <f>value(CNY!$B386)</f>
        <v>1312.582048</v>
      </c>
      <c r="L386" s="1">
        <f>value(HKD!$B386)</f>
        <v>1098.218158</v>
      </c>
      <c r="M386" s="1">
        <f>value(TWD!$B386)</f>
        <v>297.175971</v>
      </c>
      <c r="N386" s="1">
        <f>value(JPY!$B386)</f>
        <v>105.609402</v>
      </c>
      <c r="O386" s="1">
        <f>value(SAR!$B386)</f>
        <v>2266.848</v>
      </c>
      <c r="P386" s="1">
        <f>value(AED!$B386)</f>
        <v>2321.993025</v>
      </c>
      <c r="Q386" s="1">
        <f>value(KWD!$B386)</f>
        <v>31109.10533</v>
      </c>
    </row>
    <row r="387">
      <c r="A387" s="4">
        <f>value(USD!A387)</f>
        <v>40692.99861</v>
      </c>
      <c r="B387" s="1">
        <f>value(USD!B387)</f>
        <v>8559.95</v>
      </c>
      <c r="C387" s="1">
        <f>value(AUD!$B387)</f>
        <v>9120.18478</v>
      </c>
      <c r="D387" s="1">
        <f>value(EUR!$B387)</f>
        <v>12316.77454</v>
      </c>
      <c r="E387" s="1">
        <f>value(GBP!$B387)</f>
        <v>14054.23719</v>
      </c>
      <c r="F387" s="1">
        <f>value(CHF!$B387)</f>
        <v>10009.83396</v>
      </c>
      <c r="G387" s="1">
        <f>value(SGD!$B387)</f>
        <v>6927.310544</v>
      </c>
      <c r="H387" s="1">
        <f>value(MYR!$B387)</f>
        <v>2843.889111</v>
      </c>
      <c r="I387" s="1">
        <f>value(THB!$B387)</f>
        <v>282.092216</v>
      </c>
      <c r="J387" s="1">
        <f>value(VND!$B387)</f>
        <v>0.4165585297</v>
      </c>
      <c r="K387" s="1">
        <f>value(CNY!$B387)</f>
        <v>1327.9203</v>
      </c>
      <c r="L387" s="1">
        <f>value(HKD!$B387)</f>
        <v>1097.717803</v>
      </c>
      <c r="M387" s="1">
        <f>value(TWD!$B387)</f>
        <v>297.887331</v>
      </c>
      <c r="N387" s="1">
        <f>value(JPY!$B387)</f>
        <v>104.760033</v>
      </c>
      <c r="O387" s="1">
        <f>value(SAR!$B387)</f>
        <v>2270.968329</v>
      </c>
      <c r="P387" s="1">
        <f>value(AED!$B387)</f>
        <v>2312.44128</v>
      </c>
      <c r="Q387" s="1">
        <f>value(KWD!$B387)</f>
        <v>31145.8026</v>
      </c>
    </row>
    <row r="388">
      <c r="A388" s="4">
        <f>value(USD!A388)</f>
        <v>40693.99861</v>
      </c>
      <c r="B388" s="1">
        <f>value(USD!B388)</f>
        <v>8544.45</v>
      </c>
      <c r="C388" s="1">
        <f>value(AUD!$B388)</f>
        <v>9074.604</v>
      </c>
      <c r="D388" s="1">
        <f>value(EUR!$B388)</f>
        <v>12247.641</v>
      </c>
      <c r="E388" s="1">
        <f>value(GBP!$B388)</f>
        <v>13944.966</v>
      </c>
      <c r="F388" s="1">
        <f>value(CHF!$B388)</f>
        <v>10145.52</v>
      </c>
      <c r="G388" s="1">
        <f>value(SGD!$B388)</f>
        <v>6891.5238</v>
      </c>
      <c r="H388" s="1">
        <f>value(MYR!$B388)</f>
        <v>2816.065</v>
      </c>
      <c r="I388" s="1">
        <f>value(THB!$B388)</f>
        <v>280.2828</v>
      </c>
      <c r="J388" s="1">
        <f>value(VND!$B388)</f>
        <v>0.4205366366</v>
      </c>
      <c r="K388" s="1">
        <f>value(CNY!$B388)</f>
        <v>1323.2934</v>
      </c>
      <c r="L388" s="1">
        <f>value(HKD!$B388)</f>
        <v>1097.7316</v>
      </c>
      <c r="M388" s="1">
        <f>value(TWD!$B388)</f>
        <v>297.619</v>
      </c>
      <c r="N388" s="1">
        <f>value(JPY!$B388)</f>
        <v>105.5544</v>
      </c>
      <c r="O388" s="1">
        <f>value(SAR!$B388)</f>
        <v>2264.4015</v>
      </c>
      <c r="P388" s="1">
        <f>value(AED!$B388)</f>
        <v>2324.865262</v>
      </c>
      <c r="Q388" s="1">
        <f>value(KWD!$B388)</f>
        <v>31032.76985</v>
      </c>
    </row>
    <row r="389">
      <c r="A389" s="4">
        <f>value(USD!A389)</f>
        <v>40694.99861</v>
      </c>
      <c r="B389" s="1">
        <f>value(USD!B389)</f>
        <v>8537.9</v>
      </c>
      <c r="C389" s="1">
        <f>value(AUD!$B389)</f>
        <v>9109.72467</v>
      </c>
      <c r="D389" s="1">
        <f>value(EUR!$B389)</f>
        <v>12369.48084</v>
      </c>
      <c r="E389" s="1">
        <f>value(GBP!$B389)</f>
        <v>13971.6036</v>
      </c>
      <c r="F389" s="1">
        <f>value(CHF!$B389)</f>
        <v>10129.41261</v>
      </c>
      <c r="G389" s="1">
        <f>value(SGD!$B389)</f>
        <v>6923.45907</v>
      </c>
      <c r="H389" s="1">
        <f>value(MYR!$B389)</f>
        <v>2839.156245</v>
      </c>
      <c r="I389" s="1">
        <f>value(THB!$B389)</f>
        <v>282.250305</v>
      </c>
      <c r="J389" s="1">
        <f>value(VND!$B389)</f>
        <v>0.4201350847</v>
      </c>
      <c r="K389" s="1">
        <f>value(CNY!$B389)</f>
        <v>1293.831636</v>
      </c>
      <c r="L389" s="1">
        <f>value(HKD!$B389)</f>
        <v>1098.086058</v>
      </c>
      <c r="M389" s="1">
        <f>value(TWD!$B389)</f>
        <v>297.024678</v>
      </c>
      <c r="N389" s="1">
        <f>value(JPY!$B389)</f>
        <v>105.470235</v>
      </c>
      <c r="O389" s="1">
        <f>value(SAR!$B389)</f>
        <v>2272.242337</v>
      </c>
      <c r="P389" s="1">
        <f>value(AED!$B389)</f>
        <v>2322.770511</v>
      </c>
      <c r="Q389" s="1">
        <f>value(KWD!$B389)</f>
        <v>31280.6466</v>
      </c>
    </row>
    <row r="390">
      <c r="A390" s="4">
        <f>value(USD!A390)</f>
        <v>40695.99861</v>
      </c>
      <c r="B390" s="1">
        <f>value(USD!B390)</f>
        <v>8540</v>
      </c>
      <c r="C390" s="1">
        <f>value(AUD!$B390)</f>
        <v>9128.81013</v>
      </c>
      <c r="D390" s="1">
        <f>value(EUR!$B390)</f>
        <v>12467.97448</v>
      </c>
      <c r="E390" s="1">
        <f>value(GBP!$B390)</f>
        <v>13993.13503</v>
      </c>
      <c r="F390" s="1">
        <f>value(CHF!$B390)</f>
        <v>10214.31546</v>
      </c>
      <c r="G390" s="1">
        <f>value(SGD!$B390)</f>
        <v>6929.426371</v>
      </c>
      <c r="H390" s="1">
        <f>value(MYR!$B390)</f>
        <v>2833.986874</v>
      </c>
      <c r="I390" s="1">
        <f>value(THB!$B390)</f>
        <v>281.4304635</v>
      </c>
      <c r="J390" s="1">
        <f>value(VND!$B390)</f>
        <v>0.4230750287</v>
      </c>
      <c r="K390" s="1">
        <f>value(CNY!$B390)</f>
        <v>1329.083476</v>
      </c>
      <c r="L390" s="1">
        <f>value(HKD!$B390)</f>
        <v>1095.389052</v>
      </c>
      <c r="M390" s="1">
        <f>value(TWD!$B390)</f>
        <v>299.408613</v>
      </c>
      <c r="N390" s="1">
        <f>value(JPY!$B390)</f>
        <v>106.0796025</v>
      </c>
      <c r="O390" s="1">
        <f>value(SAR!$B390)</f>
        <v>2274.555283</v>
      </c>
      <c r="P390" s="1">
        <f>value(AED!$B390)</f>
        <v>2320.0056</v>
      </c>
      <c r="Q390" s="1">
        <f>value(KWD!$B390)</f>
        <v>31211.34588</v>
      </c>
    </row>
    <row r="391">
      <c r="A391" s="4">
        <f>value(USD!A391)</f>
        <v>40696.99861</v>
      </c>
      <c r="B391" s="1">
        <f>value(USD!B391)</f>
        <v>8540.1</v>
      </c>
      <c r="C391" s="1">
        <f>value(AUD!$B391)</f>
        <v>9131.174864</v>
      </c>
      <c r="D391" s="1">
        <f>value(EUR!$B391)</f>
        <v>12461.66868</v>
      </c>
      <c r="E391" s="1">
        <f>value(GBP!$B391)</f>
        <v>13994.88834</v>
      </c>
      <c r="F391" s="1">
        <f>value(CHF!$B391)</f>
        <v>10195.91073</v>
      </c>
      <c r="G391" s="1">
        <f>value(SGD!$B391)</f>
        <v>6927.34196</v>
      </c>
      <c r="H391" s="1">
        <f>value(MYR!$B391)</f>
        <v>2833.134395</v>
      </c>
      <c r="I391" s="1">
        <f>value(THB!$B391)</f>
        <v>281.3458076</v>
      </c>
      <c r="J391" s="1">
        <f>value(VND!$B391)</f>
        <v>0.4149939479</v>
      </c>
      <c r="K391" s="1">
        <f>value(CNY!$B391)</f>
        <v>1327.324</v>
      </c>
      <c r="L391" s="1">
        <f>value(HKD!$B391)</f>
        <v>1095.059552</v>
      </c>
      <c r="M391" s="1">
        <f>value(TWD!$B391)</f>
        <v>299.2333703</v>
      </c>
      <c r="N391" s="1">
        <f>value(JPY!$B391)</f>
        <v>106.2180508</v>
      </c>
      <c r="O391" s="1">
        <f>value(SAR!$B391)</f>
        <v>2265.781248</v>
      </c>
      <c r="P391" s="1">
        <f>value(AED!$B391)</f>
        <v>2344.0725</v>
      </c>
      <c r="Q391" s="1">
        <f>value(KWD!$B391)</f>
        <v>30530.75319</v>
      </c>
    </row>
    <row r="392">
      <c r="A392" s="4">
        <f>value(USD!A392)</f>
        <v>40697.99861</v>
      </c>
      <c r="B392" s="1">
        <f>value(USD!B392)</f>
        <v>8520.45</v>
      </c>
      <c r="C392" s="1">
        <f>value(AUD!$B392)</f>
        <v>9156.586797</v>
      </c>
      <c r="D392" s="1">
        <f>value(EUR!$B392)</f>
        <v>12484.16334</v>
      </c>
      <c r="E392" s="1">
        <f>value(GBP!$B392)</f>
        <v>14016.14025</v>
      </c>
      <c r="F392" s="1">
        <f>value(CHF!$B392)</f>
        <v>10211.75932</v>
      </c>
      <c r="G392" s="1">
        <f>value(SGD!$B392)</f>
        <v>6940.75857</v>
      </c>
      <c r="H392" s="1">
        <f>value(MYR!$B392)</f>
        <v>2837.650668</v>
      </c>
      <c r="I392" s="1">
        <f>value(THB!$B392)</f>
        <v>282.026895</v>
      </c>
      <c r="J392" s="1">
        <f>value(VND!$B392)</f>
        <v>0.4108759491</v>
      </c>
      <c r="K392" s="1">
        <f>value(CNY!$B392)</f>
        <v>1326.5538</v>
      </c>
      <c r="L392" s="1">
        <f>value(HKD!$B392)</f>
        <v>1095.474256</v>
      </c>
      <c r="M392" s="1">
        <f>value(TWD!$B392)</f>
        <v>299.749431</v>
      </c>
      <c r="N392" s="1">
        <f>value(JPY!$B392)</f>
        <v>106.164807</v>
      </c>
      <c r="O392" s="1">
        <f>value(SAR!$B392)</f>
        <v>2271.501705</v>
      </c>
      <c r="P392" s="1">
        <f>value(AED!$B392)</f>
        <v>2335.905</v>
      </c>
      <c r="Q392" s="1">
        <f>value(KWD!$B392)</f>
        <v>31371.21825</v>
      </c>
    </row>
    <row r="393">
      <c r="A393" s="4">
        <f>value(USD!A393)</f>
        <v>40698.99861</v>
      </c>
      <c r="B393" s="1">
        <f>value(USD!B393)</f>
        <v>8517.887</v>
      </c>
      <c r="C393" s="1">
        <f>value(AUD!$B393)</f>
        <v>9117.95</v>
      </c>
      <c r="D393" s="1">
        <f>value(EUR!$B393)</f>
        <v>12391.3</v>
      </c>
      <c r="E393" s="1">
        <f>value(GBP!$B393)</f>
        <v>13898.35</v>
      </c>
      <c r="F393" s="1">
        <f>value(CHF!$B393)</f>
        <v>10178.75</v>
      </c>
      <c r="G393" s="1">
        <f>value(SGD!$B393)</f>
        <v>6903.275</v>
      </c>
      <c r="H393" s="1">
        <f>value(MYR!$B393)</f>
        <v>2818.43</v>
      </c>
      <c r="I393" s="1">
        <f>value(THB!$B393)</f>
        <v>279.48</v>
      </c>
      <c r="J393" s="1">
        <f>value(VND!$B393)</f>
        <v>0.4180291234</v>
      </c>
      <c r="K393" s="1">
        <f>value(CNY!$B393)</f>
        <v>1329.380271</v>
      </c>
      <c r="L393" s="1">
        <f>value(HKD!$B393)</f>
        <v>1092.675</v>
      </c>
      <c r="M393" s="1">
        <f>value(TWD!$B393)</f>
        <v>295.97</v>
      </c>
      <c r="N393" s="1">
        <f>value(JPY!$B393)</f>
        <v>106.08</v>
      </c>
      <c r="O393" s="1">
        <f>value(SAR!$B393)</f>
        <v>2277.429557</v>
      </c>
      <c r="P393" s="1">
        <f>value(AED!$B393)</f>
        <v>2282.719224</v>
      </c>
      <c r="Q393" s="1">
        <f>value(KWD!$B393)</f>
        <v>31363.9678</v>
      </c>
    </row>
    <row r="394">
      <c r="A394" s="4">
        <f>value(USD!A394)</f>
        <v>40699.99861</v>
      </c>
      <c r="B394" s="1">
        <f>value(USD!B394)</f>
        <v>8520.45</v>
      </c>
      <c r="C394" s="1">
        <f>value(AUD!$B394)</f>
        <v>9126.007765</v>
      </c>
      <c r="D394" s="1">
        <f>value(EUR!$B394)</f>
        <v>12502.38369</v>
      </c>
      <c r="E394" s="1">
        <f>value(GBP!$B394)</f>
        <v>14000.25134</v>
      </c>
      <c r="F394" s="1">
        <f>value(CHF!$B394)</f>
        <v>10173.40811</v>
      </c>
      <c r="G394" s="1">
        <f>value(SGD!$B394)</f>
        <v>6940.602677</v>
      </c>
      <c r="H394" s="1">
        <f>value(MYR!$B394)</f>
        <v>2833.260524</v>
      </c>
      <c r="I394" s="1">
        <f>value(THB!$B394)</f>
        <v>280.839541</v>
      </c>
      <c r="J394" s="1">
        <f>value(VND!$B394)</f>
        <v>0.4174757254</v>
      </c>
      <c r="K394" s="1">
        <f>value(CNY!$B394)</f>
        <v>1322.52225</v>
      </c>
      <c r="L394" s="1">
        <f>value(HKD!$B394)</f>
        <v>1094.490788</v>
      </c>
      <c r="M394" s="1">
        <f>value(TWD!$B394)</f>
        <v>296.7634325</v>
      </c>
      <c r="N394" s="1">
        <f>value(JPY!$B394)</f>
        <v>106.1876615</v>
      </c>
      <c r="O394" s="1">
        <f>value(SAR!$B394)</f>
        <v>2275.962733</v>
      </c>
      <c r="P394" s="1">
        <f>value(AED!$B394)</f>
        <v>2344.45365</v>
      </c>
      <c r="Q394" s="1">
        <f>value(KWD!$B394)</f>
        <v>31296.73404</v>
      </c>
    </row>
    <row r="395">
      <c r="A395" s="4">
        <f>value(USD!A395)</f>
        <v>40700.99861</v>
      </c>
      <c r="B395" s="1">
        <f>value(USD!B395)</f>
        <v>8500</v>
      </c>
      <c r="C395" s="1">
        <f>value(AUD!$B395)</f>
        <v>9035.866332</v>
      </c>
      <c r="D395" s="1">
        <f>value(EUR!$B395)</f>
        <v>12392.96466</v>
      </c>
      <c r="E395" s="1">
        <f>value(GBP!$B395)</f>
        <v>13926.28212</v>
      </c>
      <c r="F395" s="1">
        <f>value(CHF!$B395)</f>
        <v>10157.30478</v>
      </c>
      <c r="G395" s="1">
        <f>value(SGD!$B395)</f>
        <v>6890.631336</v>
      </c>
      <c r="H395" s="1">
        <f>value(MYR!$B395)</f>
        <v>2813.78484</v>
      </c>
      <c r="I395" s="1">
        <f>value(THB!$B395)</f>
        <v>279.086022</v>
      </c>
      <c r="J395" s="1">
        <f>value(VND!$B395)</f>
        <v>0.4173151725</v>
      </c>
      <c r="K395" s="1">
        <f>value(CNY!$B395)</f>
        <v>1302.873348</v>
      </c>
      <c r="L395" s="1">
        <f>value(HKD!$B395)</f>
        <v>1090.957194</v>
      </c>
      <c r="M395" s="1">
        <f>value(TWD!$B395)</f>
        <v>295.04835</v>
      </c>
      <c r="N395" s="1">
        <f>value(JPY!$B395)</f>
        <v>106.217406</v>
      </c>
      <c r="O395" s="1">
        <f>value(SAR!$B395)</f>
        <v>2272.669049</v>
      </c>
      <c r="P395" s="1">
        <f>value(AED!$B395)</f>
        <v>2341.35</v>
      </c>
      <c r="Q395" s="1">
        <f>value(KWD!$B395)</f>
        <v>31283.91771</v>
      </c>
    </row>
    <row r="396">
      <c r="A396" s="4">
        <f>value(USD!A396)</f>
        <v>40701.99861</v>
      </c>
      <c r="B396" s="1">
        <f>value(USD!B396)</f>
        <v>8515.45</v>
      </c>
      <c r="C396" s="1">
        <f>value(AUD!$B396)</f>
        <v>9051.3924</v>
      </c>
      <c r="D396" s="1">
        <f>value(EUR!$B396)</f>
        <v>12365.6724</v>
      </c>
      <c r="E396" s="1">
        <f>value(GBP!$B396)</f>
        <v>13942.128</v>
      </c>
      <c r="F396" s="1">
        <f>value(CHF!$B396)</f>
        <v>10126.02</v>
      </c>
      <c r="G396" s="1">
        <f>value(SGD!$B396)</f>
        <v>6925.7376</v>
      </c>
      <c r="H396" s="1">
        <f>value(MYR!$B396)</f>
        <v>2813.3892</v>
      </c>
      <c r="I396" s="1">
        <f>value(THB!$B396)</f>
        <v>279.3708</v>
      </c>
      <c r="J396" s="1">
        <f>value(VND!$B396)</f>
        <v>0.4183872493</v>
      </c>
      <c r="K396" s="1">
        <f>value(CNY!$B396)</f>
        <v>1330.4925</v>
      </c>
      <c r="L396" s="1">
        <f>value(HKD!$B396)</f>
        <v>1094.6496</v>
      </c>
      <c r="M396" s="1">
        <f>value(TWD!$B396)</f>
        <v>294.5364</v>
      </c>
      <c r="N396" s="1">
        <f>value(JPY!$B396)</f>
        <v>106.074</v>
      </c>
      <c r="O396" s="1">
        <f>value(SAR!$B396)</f>
        <v>2296.244897</v>
      </c>
      <c r="P396" s="1">
        <f>value(AED!$B396)</f>
        <v>2335.905</v>
      </c>
      <c r="Q396" s="1">
        <f>value(KWD!$B396)</f>
        <v>31210.1874</v>
      </c>
    </row>
    <row r="397">
      <c r="A397" s="4">
        <f>value(USD!A397)</f>
        <v>40702.99861</v>
      </c>
      <c r="B397" s="1">
        <f>value(USD!B397)</f>
        <v>8490.6</v>
      </c>
      <c r="C397" s="1">
        <f>value(AUD!$B397)</f>
        <v>8984.34326</v>
      </c>
      <c r="D397" s="1">
        <f>value(EUR!$B397)</f>
        <v>12234.70705</v>
      </c>
      <c r="E397" s="1">
        <f>value(GBP!$B397)</f>
        <v>13836.43447</v>
      </c>
      <c r="F397" s="1">
        <f>value(CHF!$B397)</f>
        <v>10113.56962</v>
      </c>
      <c r="G397" s="1">
        <f>value(SGD!$B397)</f>
        <v>6890.924755</v>
      </c>
      <c r="H397" s="1">
        <f>value(MYR!$B397)</f>
        <v>2817.09567</v>
      </c>
      <c r="I397" s="1">
        <f>value(THB!$B397)</f>
        <v>279.492053</v>
      </c>
      <c r="J397" s="1">
        <f>value(VND!$B397)</f>
        <v>0.422081111</v>
      </c>
      <c r="K397" s="1">
        <f>value(CNY!$B397)</f>
        <v>1329.5488</v>
      </c>
      <c r="L397" s="1">
        <f>value(HKD!$B397)</f>
        <v>1095.622494</v>
      </c>
      <c r="M397" s="1">
        <f>value(TWD!$B397)</f>
        <v>293.905894</v>
      </c>
      <c r="N397" s="1">
        <f>value(JPY!$B397)</f>
        <v>106.184805</v>
      </c>
      <c r="O397" s="1">
        <f>value(SAR!$B397)</f>
        <v>2288.244043</v>
      </c>
      <c r="P397" s="1">
        <f>value(AED!$B397)</f>
        <v>2341.164388</v>
      </c>
      <c r="Q397" s="1">
        <f>value(KWD!$B397)</f>
        <v>30746.49318</v>
      </c>
    </row>
    <row r="398">
      <c r="A398" s="4">
        <f>value(USD!A398)</f>
        <v>40703.99861</v>
      </c>
      <c r="B398" s="1">
        <f>value(USD!B398)</f>
        <v>8520</v>
      </c>
      <c r="C398" s="1">
        <f>value(AUD!$B398)</f>
        <v>8973.4752</v>
      </c>
      <c r="D398" s="1">
        <f>value(EUR!$B398)</f>
        <v>12202.8048</v>
      </c>
      <c r="E398" s="1">
        <f>value(GBP!$B398)</f>
        <v>13806</v>
      </c>
      <c r="F398" s="1">
        <f>value(CHF!$B398)</f>
        <v>10091.5488</v>
      </c>
      <c r="G398" s="1">
        <f>value(SGD!$B398)</f>
        <v>6864.3432</v>
      </c>
      <c r="H398" s="1">
        <f>value(MYR!$B398)</f>
        <v>2743.69824</v>
      </c>
      <c r="I398" s="1">
        <f>value(THB!$B398)</f>
        <v>272.80656</v>
      </c>
      <c r="J398" s="1">
        <f>value(VND!$B398)</f>
        <v>0.4158101916</v>
      </c>
      <c r="K398" s="1">
        <f>value(CNY!$B398)</f>
        <v>1331.835792</v>
      </c>
      <c r="L398" s="1">
        <f>value(HKD!$B398)</f>
        <v>1091.48112</v>
      </c>
      <c r="M398" s="1">
        <f>value(TWD!$B398)</f>
        <v>293.19696</v>
      </c>
      <c r="N398" s="1">
        <f>value(JPY!$B398)</f>
        <v>105.7752</v>
      </c>
      <c r="O398" s="1">
        <f>value(SAR!$B398)</f>
        <v>2236.658918</v>
      </c>
      <c r="P398" s="1">
        <f>value(AED!$B398)</f>
        <v>2333.9435</v>
      </c>
      <c r="Q398" s="1">
        <f>value(KWD!$B398)</f>
        <v>31397.88075</v>
      </c>
    </row>
    <row r="399">
      <c r="A399" s="4">
        <f>value(USD!A399)</f>
        <v>40704.99861</v>
      </c>
      <c r="B399" s="1">
        <f>value(USD!B399)</f>
        <v>8528.9</v>
      </c>
      <c r="C399" s="1">
        <f>value(AUD!$B399)</f>
        <v>8972.28183</v>
      </c>
      <c r="D399" s="1">
        <f>value(EUR!$B399)</f>
        <v>12205.50585</v>
      </c>
      <c r="E399" s="1">
        <f>value(GBP!$B399)</f>
        <v>13817.85913</v>
      </c>
      <c r="F399" s="1">
        <f>value(CHF!$B399)</f>
        <v>10105.95442</v>
      </c>
      <c r="G399" s="1">
        <f>value(SGD!$B399)</f>
        <v>6884.995533</v>
      </c>
      <c r="H399" s="1">
        <f>value(MYR!$B399)</f>
        <v>2744.237215</v>
      </c>
      <c r="I399" s="1">
        <f>value(THB!$B399)</f>
        <v>272.8139235</v>
      </c>
      <c r="J399" s="1">
        <f>value(VND!$B399)</f>
        <v>0.4203216333</v>
      </c>
      <c r="K399" s="1">
        <f>value(CNY!$B399)</f>
        <v>1325.29824</v>
      </c>
      <c r="L399" s="1">
        <f>value(HKD!$B399)</f>
        <v>1094.236801</v>
      </c>
      <c r="M399" s="1">
        <f>value(TWD!$B399)</f>
        <v>293.2558035</v>
      </c>
      <c r="N399" s="1">
        <f>value(JPY!$B399)</f>
        <v>106.0422525</v>
      </c>
      <c r="O399" s="1">
        <f>value(SAR!$B399)</f>
        <v>2295.015917</v>
      </c>
      <c r="P399" s="1">
        <f>value(AED!$B399)</f>
        <v>2299.267768</v>
      </c>
      <c r="Q399" s="1">
        <f>value(KWD!$B399)</f>
        <v>31402.54794</v>
      </c>
    </row>
    <row r="400">
      <c r="A400" s="4">
        <f>value(USD!A400)</f>
        <v>40705.99861</v>
      </c>
      <c r="B400" s="1">
        <f>value(USD!B400)</f>
        <v>8496</v>
      </c>
      <c r="C400" s="1">
        <f>value(AUD!$B400)</f>
        <v>9054.378835</v>
      </c>
      <c r="D400" s="1">
        <f>value(EUR!$B400)</f>
        <v>12309.61717</v>
      </c>
      <c r="E400" s="1">
        <f>value(GBP!$B400)</f>
        <v>13978.2257</v>
      </c>
      <c r="F400" s="1">
        <f>value(CHF!$B400)</f>
        <v>10200.37302</v>
      </c>
      <c r="G400" s="1">
        <f>value(SGD!$B400)</f>
        <v>6914.563454</v>
      </c>
      <c r="H400" s="1">
        <f>value(MYR!$B400)</f>
        <v>2814.261142</v>
      </c>
      <c r="I400" s="1">
        <f>value(THB!$B400)</f>
        <v>280.947905</v>
      </c>
      <c r="J400" s="1">
        <f>value(VND!$B400)</f>
        <v>0.419464716</v>
      </c>
      <c r="K400" s="1">
        <f>value(CNY!$B400)</f>
        <v>1321.12188</v>
      </c>
      <c r="L400" s="1">
        <f>value(HKD!$B400)</f>
        <v>1096.892352</v>
      </c>
      <c r="M400" s="1">
        <f>value(TWD!$B400)</f>
        <v>296.660493</v>
      </c>
      <c r="N400" s="1">
        <f>value(JPY!$B400)</f>
        <v>106.4869415</v>
      </c>
      <c r="O400" s="1">
        <f>value(SAR!$B400)</f>
        <v>2296.373275</v>
      </c>
      <c r="P400" s="1">
        <f>value(AED!$B400)</f>
        <v>2348.15625</v>
      </c>
      <c r="Q400" s="1">
        <f>value(KWD!$B400)</f>
        <v>31374.28909</v>
      </c>
    </row>
    <row r="401">
      <c r="A401" s="4">
        <f>value(USD!A401)</f>
        <v>40706.99861</v>
      </c>
      <c r="B401" s="1">
        <f>value(USD!B401)</f>
        <v>8517.45</v>
      </c>
      <c r="C401" s="1">
        <f>value(AUD!$B401)</f>
        <v>9124.49934</v>
      </c>
      <c r="D401" s="1">
        <f>value(EUR!$B401)</f>
        <v>12330.70435</v>
      </c>
      <c r="E401" s="1">
        <f>value(GBP!$B401)</f>
        <v>13974.34312</v>
      </c>
      <c r="F401" s="1">
        <f>value(CHF!$B401)</f>
        <v>10098.22303</v>
      </c>
      <c r="G401" s="1">
        <f>value(SGD!$B401)</f>
        <v>6937.077276</v>
      </c>
      <c r="H401" s="1">
        <f>value(MYR!$B401)</f>
        <v>2808.437605</v>
      </c>
      <c r="I401" s="1">
        <f>value(THB!$B401)</f>
        <v>279.401523</v>
      </c>
      <c r="J401" s="1">
        <f>value(VND!$B401)</f>
        <v>0.4195204416</v>
      </c>
      <c r="K401" s="1">
        <f>value(CNY!$B401)</f>
        <v>1293.335807</v>
      </c>
      <c r="L401" s="1">
        <f>value(HKD!$B401)</f>
        <v>1096.185877</v>
      </c>
      <c r="M401" s="1">
        <f>value(TWD!$B401)</f>
        <v>296.2134045</v>
      </c>
      <c r="N401" s="1">
        <f>value(JPY!$B401)</f>
        <v>105.9063195</v>
      </c>
      <c r="O401" s="1">
        <f>value(SAR!$B401)</f>
        <v>2293.577946</v>
      </c>
      <c r="P401" s="1">
        <f>value(AED!$B401)</f>
        <v>2346.7088</v>
      </c>
      <c r="Q401" s="1">
        <f>value(KWD!$B401)</f>
        <v>31258.6601</v>
      </c>
    </row>
    <row r="402">
      <c r="A402" s="4">
        <f>value(USD!A402)</f>
        <v>40707.99861</v>
      </c>
      <c r="B402" s="1">
        <f>value(USD!B402)</f>
        <v>8539.45</v>
      </c>
      <c r="C402" s="1">
        <f>value(AUD!$B402)</f>
        <v>9011.592</v>
      </c>
      <c r="D402" s="1">
        <f>value(EUR!$B402)</f>
        <v>12085.33312</v>
      </c>
      <c r="E402" s="1">
        <f>value(GBP!$B402)</f>
        <v>13798.17472</v>
      </c>
      <c r="F402" s="1">
        <f>value(CHF!$B402)</f>
        <v>9990.72384</v>
      </c>
      <c r="G402" s="1">
        <f>value(SGD!$B402)</f>
        <v>6882.811104</v>
      </c>
      <c r="H402" s="1">
        <f>value(MYR!$B402)</f>
        <v>2800.453408</v>
      </c>
      <c r="I402" s="1">
        <f>value(THB!$B402)</f>
        <v>277.974592</v>
      </c>
      <c r="J402" s="1">
        <f>value(VND!$B402)</f>
        <v>0.4231111106</v>
      </c>
      <c r="K402" s="1">
        <f>value(CNY!$B402)</f>
        <v>1317.059423</v>
      </c>
      <c r="L402" s="1">
        <f>value(HKD!$B402)</f>
        <v>1093.917792</v>
      </c>
      <c r="M402" s="1">
        <f>value(TWD!$B402)</f>
        <v>293.057824</v>
      </c>
      <c r="N402" s="1">
        <f>value(JPY!$B402)</f>
        <v>105.326976</v>
      </c>
      <c r="O402" s="1">
        <f>value(SAR!$B402)</f>
        <v>2288.18304</v>
      </c>
      <c r="P402" s="1">
        <f>value(AED!$B402)</f>
        <v>2345.964637</v>
      </c>
      <c r="Q402" s="1">
        <f>value(KWD!$B402)</f>
        <v>31160.15592</v>
      </c>
    </row>
    <row r="403">
      <c r="A403" s="4">
        <f>value(USD!A403)</f>
        <v>40708.99861</v>
      </c>
      <c r="B403" s="1">
        <f>value(USD!B403)</f>
        <v>8533.95</v>
      </c>
      <c r="C403" s="1">
        <f>value(AUD!$B403)</f>
        <v>9091.299</v>
      </c>
      <c r="D403" s="1">
        <f>value(EUR!$B403)</f>
        <v>12226.2</v>
      </c>
      <c r="E403" s="1">
        <f>value(GBP!$B403)</f>
        <v>13911.177</v>
      </c>
      <c r="F403" s="1">
        <f>value(CHF!$B403)</f>
        <v>10144.302</v>
      </c>
      <c r="G403" s="1">
        <f>value(SGD!$B403)</f>
        <v>6941.8986</v>
      </c>
      <c r="H403" s="1">
        <f>value(MYR!$B403)</f>
        <v>2831.4846</v>
      </c>
      <c r="I403" s="1">
        <f>value(THB!$B403)</f>
        <v>281.7192</v>
      </c>
      <c r="J403" s="1">
        <f>value(VND!$B403)</f>
        <v>0.4155193339</v>
      </c>
      <c r="K403" s="1">
        <f>value(CNY!$B403)</f>
        <v>1319.975144</v>
      </c>
      <c r="L403" s="1">
        <f>value(HKD!$B403)</f>
        <v>1103.1993</v>
      </c>
      <c r="M403" s="1">
        <f>value(TWD!$B403)</f>
        <v>298.8531</v>
      </c>
      <c r="N403" s="1">
        <f>value(JPY!$B403)</f>
        <v>106.8501</v>
      </c>
      <c r="O403" s="1">
        <f>value(SAR!$B403)</f>
        <v>2293.442233</v>
      </c>
      <c r="P403" s="1">
        <f>value(AED!$B403)</f>
        <v>2332.55232</v>
      </c>
      <c r="Q403" s="1">
        <f>value(KWD!$B403)</f>
        <v>30565.32816</v>
      </c>
    </row>
    <row r="404">
      <c r="A404" s="4">
        <f>value(USD!A404)</f>
        <v>40709.99861</v>
      </c>
      <c r="B404" s="1">
        <f>value(USD!B404)</f>
        <v>8521.6</v>
      </c>
      <c r="C404" s="1">
        <f>value(AUD!$B404)</f>
        <v>9112.818</v>
      </c>
      <c r="D404" s="1">
        <f>value(EUR!$B404)</f>
        <v>12277.98</v>
      </c>
      <c r="E404" s="1">
        <f>value(GBP!$B404)</f>
        <v>13891.878</v>
      </c>
      <c r="F404" s="1">
        <f>value(CHF!$B404)</f>
        <v>10109.814</v>
      </c>
      <c r="G404" s="1">
        <f>value(SGD!$B404)</f>
        <v>6950.1432</v>
      </c>
      <c r="H404" s="1">
        <f>value(MYR!$B404)</f>
        <v>2819.6454</v>
      </c>
      <c r="I404" s="1">
        <f>value(THB!$B404)</f>
        <v>280.2228</v>
      </c>
      <c r="J404" s="1">
        <f>value(VND!$B404)</f>
        <v>0.412963505</v>
      </c>
      <c r="K404" s="1">
        <f>value(CNY!$B404)</f>
        <v>1319.642733</v>
      </c>
      <c r="L404" s="1">
        <f>value(HKD!$B404)</f>
        <v>1101.3288</v>
      </c>
      <c r="M404" s="1">
        <f>value(TWD!$B404)</f>
        <v>296.439</v>
      </c>
      <c r="N404" s="1">
        <f>value(JPY!$B404)</f>
        <v>107.1642</v>
      </c>
      <c r="O404" s="1">
        <f>value(SAR!$B404)</f>
        <v>2286.788546</v>
      </c>
      <c r="P404" s="1">
        <f>value(AED!$B404)</f>
        <v>2325.28725</v>
      </c>
      <c r="Q404" s="1">
        <f>value(KWD!$B404)</f>
        <v>31137.9216</v>
      </c>
    </row>
    <row r="405">
      <c r="A405" s="4">
        <f>value(USD!A405)</f>
        <v>40710.99861</v>
      </c>
      <c r="B405" s="1">
        <f>value(USD!B405)</f>
        <v>8610</v>
      </c>
      <c r="C405" s="1">
        <f>value(AUD!$B405)</f>
        <v>8915.1684</v>
      </c>
      <c r="D405" s="1">
        <f>value(EUR!$B405)</f>
        <v>12013.25232</v>
      </c>
      <c r="E405" s="1">
        <f>value(GBP!$B405)</f>
        <v>13563.97164</v>
      </c>
      <c r="F405" s="1">
        <f>value(CHF!$B405)</f>
        <v>9895.58532</v>
      </c>
      <c r="G405" s="1">
        <f>value(SGD!$B405)</f>
        <v>6793.643472</v>
      </c>
      <c r="H405" s="1">
        <f>value(MYR!$B405)</f>
        <v>2758.670124</v>
      </c>
      <c r="I405" s="1">
        <f>value(THB!$B405)</f>
        <v>274.6677</v>
      </c>
      <c r="J405" s="1">
        <f>value(VND!$B405)</f>
        <v>0.4192881001</v>
      </c>
      <c r="K405" s="1">
        <f>value(CNY!$B405)</f>
        <v>1319.612708</v>
      </c>
      <c r="L405" s="1">
        <f>value(HKD!$B405)</f>
        <v>1076.110308</v>
      </c>
      <c r="M405" s="1">
        <f>value(TWD!$B405)</f>
        <v>290.015544</v>
      </c>
      <c r="N405" s="1">
        <f>value(JPY!$B405)</f>
        <v>104.667264</v>
      </c>
      <c r="O405" s="1">
        <f>value(SAR!$B405)</f>
        <v>2252.813401</v>
      </c>
      <c r="P405" s="1">
        <f>value(AED!$B405)</f>
        <v>2279.480282</v>
      </c>
      <c r="Q405" s="1">
        <f>value(KWD!$B405)</f>
        <v>31147.20444</v>
      </c>
    </row>
    <row r="406">
      <c r="A406" s="4">
        <f>value(USD!A406)</f>
        <v>40711.99861</v>
      </c>
      <c r="B406" s="1">
        <f>value(USD!B406)</f>
        <v>8580</v>
      </c>
      <c r="C406" s="1">
        <f>value(AUD!$B406)</f>
        <v>9129.08674</v>
      </c>
      <c r="D406" s="1">
        <f>value(EUR!$B406)</f>
        <v>12296.21202</v>
      </c>
      <c r="E406" s="1">
        <f>value(GBP!$B406)</f>
        <v>13920.39428</v>
      </c>
      <c r="F406" s="1">
        <f>value(CHF!$B406)</f>
        <v>10136.83189</v>
      </c>
      <c r="G406" s="1">
        <f>value(SGD!$B406)</f>
        <v>6971.685953</v>
      </c>
      <c r="H406" s="1">
        <f>value(MYR!$B406)</f>
        <v>2823.579713</v>
      </c>
      <c r="I406" s="1">
        <f>value(THB!$B406)</f>
        <v>281.1531521</v>
      </c>
      <c r="J406" s="1">
        <f>value(VND!$B406)</f>
        <v>0.4154476844</v>
      </c>
      <c r="K406" s="1">
        <f>value(CNY!$B406)</f>
        <v>1316.280143</v>
      </c>
      <c r="L406" s="1">
        <f>value(HKD!$B406)</f>
        <v>1104.3028</v>
      </c>
      <c r="M406" s="1">
        <f>value(TWD!$B406)</f>
        <v>296.9018595</v>
      </c>
      <c r="N406" s="1">
        <f>value(JPY!$B406)</f>
        <v>107.4010204</v>
      </c>
      <c r="O406" s="1">
        <f>value(SAR!$B406)</f>
        <v>2293.381088</v>
      </c>
      <c r="P406" s="1">
        <f>value(AED!$B406)</f>
        <v>2319.725665</v>
      </c>
      <c r="Q406" s="1">
        <f>value(KWD!$B406)</f>
        <v>31122.33267</v>
      </c>
    </row>
    <row r="407">
      <c r="A407" s="4">
        <f>value(USD!A407)</f>
        <v>40712.99861</v>
      </c>
      <c r="B407" s="1">
        <f>value(USD!B407)</f>
        <v>8386.8</v>
      </c>
      <c r="C407" s="1">
        <f>value(AUD!$B407)</f>
        <v>9120.33374</v>
      </c>
      <c r="D407" s="1">
        <f>value(EUR!$B407)</f>
        <v>12335.31381</v>
      </c>
      <c r="E407" s="1">
        <f>value(GBP!$B407)</f>
        <v>13953.91256</v>
      </c>
      <c r="F407" s="1">
        <f>value(CHF!$B407)</f>
        <v>10190.73076</v>
      </c>
      <c r="G407" s="1">
        <f>value(SGD!$B407)</f>
        <v>6969.981046</v>
      </c>
      <c r="H407" s="1">
        <f>value(MYR!$B407)</f>
        <v>2827.639304</v>
      </c>
      <c r="I407" s="1">
        <f>value(THB!$B407)</f>
        <v>281.506666</v>
      </c>
      <c r="J407" s="1">
        <f>value(VND!$B407)</f>
        <v>0.4155452713</v>
      </c>
      <c r="K407" s="1">
        <f>value(CNY!$B407)</f>
        <v>1314.407404</v>
      </c>
      <c r="L407" s="1">
        <f>value(HKD!$B407)</f>
        <v>1105.100962</v>
      </c>
      <c r="M407" s="1">
        <f>value(TWD!$B407)</f>
        <v>298.901694</v>
      </c>
      <c r="N407" s="1">
        <f>value(JPY!$B407)</f>
        <v>107.298044</v>
      </c>
      <c r="O407" s="1">
        <f>value(SAR!$B407)</f>
        <v>2300.12259</v>
      </c>
      <c r="P407" s="1">
        <f>value(AED!$B407)</f>
        <v>2324.320762</v>
      </c>
      <c r="Q407" s="1">
        <f>value(KWD!$B407)</f>
        <v>31098.5713</v>
      </c>
    </row>
    <row r="408">
      <c r="A408" s="4">
        <f>value(USD!A408)</f>
        <v>40713.99861</v>
      </c>
      <c r="B408" s="1">
        <f>value(USD!B408)</f>
        <v>8605.851</v>
      </c>
      <c r="C408" s="1">
        <f>value(AUD!$B408)</f>
        <v>9111.7</v>
      </c>
      <c r="D408" s="1">
        <f>value(EUR!$B408)</f>
        <v>12366.628</v>
      </c>
      <c r="E408" s="1">
        <f>value(GBP!$B408)</f>
        <v>13949.2</v>
      </c>
      <c r="F408" s="1">
        <f>value(CHF!$B408)</f>
        <v>10210.78</v>
      </c>
      <c r="G408" s="1">
        <f>value(SGD!$B408)</f>
        <v>6973.138</v>
      </c>
      <c r="H408" s="1">
        <f>value(MYR!$B408)</f>
        <v>2833.098</v>
      </c>
      <c r="I408" s="1">
        <f>value(THB!$B408)</f>
        <v>281.22</v>
      </c>
      <c r="J408" s="1">
        <f>value(VND!$B408)</f>
        <v>0.4156575739</v>
      </c>
      <c r="K408" s="1">
        <f>value(CNY!$B408)</f>
        <v>1318.282389</v>
      </c>
      <c r="L408" s="1">
        <f>value(HKD!$B408)</f>
        <v>1103.982</v>
      </c>
      <c r="M408" s="1">
        <f>value(TWD!$B408)</f>
        <v>297.474</v>
      </c>
      <c r="N408" s="1">
        <f>value(JPY!$B408)</f>
        <v>107.156</v>
      </c>
      <c r="O408" s="1">
        <f>value(SAR!$B408)</f>
        <v>2299.095799</v>
      </c>
      <c r="P408" s="1">
        <f>value(AED!$B408)</f>
        <v>2323.650072</v>
      </c>
      <c r="Q408" s="1">
        <f>value(KWD!$B408)</f>
        <v>31039.01453</v>
      </c>
    </row>
    <row r="409">
      <c r="A409" s="4">
        <f>value(USD!A409)</f>
        <v>40714.99861</v>
      </c>
      <c r="B409" s="1">
        <f>value(USD!B409)</f>
        <v>8611.4</v>
      </c>
      <c r="C409" s="1">
        <f>value(AUD!$B409)</f>
        <v>9051.042</v>
      </c>
      <c r="D409" s="1">
        <f>value(EUR!$B409)</f>
        <v>12279.696</v>
      </c>
      <c r="E409" s="1">
        <f>value(GBP!$B409)</f>
        <v>13776.6486</v>
      </c>
      <c r="F409" s="1">
        <f>value(CHF!$B409)</f>
        <v>10200.762</v>
      </c>
      <c r="G409" s="1">
        <f>value(SGD!$B409)</f>
        <v>6946.797</v>
      </c>
      <c r="H409" s="1">
        <f>value(MYR!$B409)</f>
        <v>2816.7282</v>
      </c>
      <c r="I409" s="1">
        <f>value(THB!$B409)</f>
        <v>279.8796</v>
      </c>
      <c r="J409" s="1">
        <f>value(VND!$B409)</f>
        <v>0.4145337144</v>
      </c>
      <c r="K409" s="1">
        <f>value(CNY!$B409)</f>
        <v>1324.193461</v>
      </c>
      <c r="L409" s="1">
        <f>value(HKD!$B409)</f>
        <v>1101.5862</v>
      </c>
      <c r="M409" s="1">
        <f>value(TWD!$B409)</f>
        <v>296.01</v>
      </c>
      <c r="N409" s="1">
        <f>value(JPY!$B409)</f>
        <v>106.6494</v>
      </c>
      <c r="O409" s="1">
        <f>value(SAR!$B409)</f>
        <v>2298.221047</v>
      </c>
      <c r="P409" s="1">
        <f>value(AED!$B409)</f>
        <v>2323.231762</v>
      </c>
      <c r="Q409" s="1">
        <f>value(KWD!$B409)</f>
        <v>31095.70745</v>
      </c>
    </row>
    <row r="410">
      <c r="A410" s="4">
        <f>value(USD!A410)</f>
        <v>40715.99861</v>
      </c>
      <c r="B410" s="1">
        <f>value(USD!B410)</f>
        <v>8600</v>
      </c>
      <c r="C410" s="1">
        <f>value(AUD!$B410)</f>
        <v>9057.46734</v>
      </c>
      <c r="D410" s="1">
        <f>value(EUR!$B410)</f>
        <v>12268.68867</v>
      </c>
      <c r="E410" s="1">
        <f>value(GBP!$B410)</f>
        <v>13779.26988</v>
      </c>
      <c r="F410" s="1">
        <f>value(CHF!$B410)</f>
        <v>10258.88035</v>
      </c>
      <c r="G410" s="1">
        <f>value(SGD!$B410)</f>
        <v>6960.71353</v>
      </c>
      <c r="H410" s="1">
        <f>value(MYR!$B410)</f>
        <v>2853.979407</v>
      </c>
      <c r="I410" s="1">
        <f>value(THB!$B410)</f>
        <v>282.766356</v>
      </c>
      <c r="J410" s="1">
        <f>value(VND!$B410)</f>
        <v>0.4185284369</v>
      </c>
      <c r="K410" s="1">
        <f>value(CNY!$B410)</f>
        <v>1319.607</v>
      </c>
      <c r="L410" s="1">
        <f>value(HKD!$B410)</f>
        <v>1103.803582</v>
      </c>
      <c r="M410" s="1">
        <f>value(TWD!$B410)</f>
        <v>298.3322655</v>
      </c>
      <c r="N410" s="1">
        <f>value(JPY!$B410)</f>
        <v>106.8973785</v>
      </c>
      <c r="O410" s="1">
        <f>value(SAR!$B410)</f>
        <v>2284.678105</v>
      </c>
      <c r="P410" s="1">
        <f>value(AED!$B410)</f>
        <v>2317.514512</v>
      </c>
      <c r="Q410" s="1">
        <f>value(KWD!$B410)</f>
        <v>31071.23894</v>
      </c>
    </row>
    <row r="411">
      <c r="A411" s="4">
        <f>value(USD!A411)</f>
        <v>40716.99861</v>
      </c>
      <c r="B411" s="1">
        <f>value(USD!B411)</f>
        <v>8580</v>
      </c>
      <c r="C411" s="1">
        <f>value(AUD!$B411)</f>
        <v>8993.46</v>
      </c>
      <c r="D411" s="1">
        <f>value(EUR!$B411)</f>
        <v>12156.7775</v>
      </c>
      <c r="E411" s="1">
        <f>value(GBP!$B411)</f>
        <v>13687.415</v>
      </c>
      <c r="F411" s="1">
        <f>value(CHF!$B411)</f>
        <v>10238.55</v>
      </c>
      <c r="G411" s="1">
        <f>value(SGD!$B411)</f>
        <v>6935.46</v>
      </c>
      <c r="H411" s="1">
        <f>value(MYR!$B411)</f>
        <v>2764.923</v>
      </c>
      <c r="I411" s="1">
        <f>value(THB!$B411)</f>
        <v>274.057</v>
      </c>
      <c r="J411" s="1">
        <f>value(VND!$B411)</f>
        <v>0.4152922548</v>
      </c>
      <c r="K411" s="1">
        <f>value(CNY!$B411)</f>
        <v>1318.698192</v>
      </c>
      <c r="L411" s="1">
        <f>value(HKD!$B411)</f>
        <v>1100.687</v>
      </c>
      <c r="M411" s="1">
        <f>value(TWD!$B411)</f>
        <v>295.58025</v>
      </c>
      <c r="N411" s="1">
        <f>value(JPY!$B411)</f>
        <v>106.5015</v>
      </c>
      <c r="O411" s="1">
        <f>value(SAR!$B411)</f>
        <v>2277.842934</v>
      </c>
      <c r="P411" s="1">
        <f>value(AED!$B411)</f>
        <v>2317.003765</v>
      </c>
      <c r="Q411" s="1">
        <f>value(KWD!$B411)</f>
        <v>31118.59774</v>
      </c>
    </row>
    <row r="412">
      <c r="A412" s="4">
        <f>value(USD!A412)</f>
        <v>40717.99861</v>
      </c>
      <c r="B412" s="1">
        <f>value(USD!B412)</f>
        <v>8599.95</v>
      </c>
      <c r="C412" s="1">
        <f>value(AUD!$B412)</f>
        <v>8858.99812</v>
      </c>
      <c r="D412" s="1">
        <f>value(EUR!$B412)</f>
        <v>11983.76536</v>
      </c>
      <c r="E412" s="1">
        <f>value(GBP!$B412)</f>
        <v>13480.68008</v>
      </c>
      <c r="F412" s="1">
        <f>value(CHF!$B412)</f>
        <v>10084.74488</v>
      </c>
      <c r="G412" s="1">
        <f>value(SGD!$B412)</f>
        <v>6832.41888</v>
      </c>
      <c r="H412" s="1">
        <f>value(MYR!$B412)</f>
        <v>2775.796884</v>
      </c>
      <c r="I412" s="1">
        <f>value(THB!$B412)</f>
        <v>274.800428</v>
      </c>
      <c r="J412" s="1">
        <f>value(VND!$B412)</f>
        <v>0.4170861671</v>
      </c>
      <c r="K412" s="1">
        <f>value(CNY!$B412)</f>
        <v>1320.031386</v>
      </c>
      <c r="L412" s="1">
        <f>value(HKD!$B412)</f>
        <v>1084.502888</v>
      </c>
      <c r="M412" s="1">
        <f>value(TWD!$B412)</f>
        <v>291.357724</v>
      </c>
      <c r="N412" s="1">
        <f>value(JPY!$B412)</f>
        <v>105.088144</v>
      </c>
      <c r="O412" s="1">
        <f>value(SAR!$B412)</f>
        <v>2233.544876</v>
      </c>
      <c r="P412" s="1">
        <f>value(AED!$B412)</f>
        <v>2321.189887</v>
      </c>
      <c r="Q412" s="1">
        <f>value(KWD!$B412)</f>
        <v>31102.2153</v>
      </c>
    </row>
    <row r="413">
      <c r="A413" s="4">
        <f>value(USD!A413)</f>
        <v>40718.99861</v>
      </c>
      <c r="B413" s="1">
        <f>value(USD!B413)</f>
        <v>8575</v>
      </c>
      <c r="C413" s="1">
        <f>value(AUD!$B413)</f>
        <v>9002.42766</v>
      </c>
      <c r="D413" s="1">
        <f>value(EUR!$B413)</f>
        <v>12185.26915</v>
      </c>
      <c r="E413" s="1">
        <f>value(GBP!$B413)</f>
        <v>13722.94021</v>
      </c>
      <c r="F413" s="1">
        <f>value(CHF!$B413)</f>
        <v>10299.30012</v>
      </c>
      <c r="G413" s="1">
        <f>value(SGD!$B413)</f>
        <v>6938.267661</v>
      </c>
      <c r="H413" s="1">
        <f>value(MYR!$B413)</f>
        <v>2822.159592</v>
      </c>
      <c r="I413" s="1">
        <f>value(THB!$B413)</f>
        <v>279.4123755</v>
      </c>
      <c r="J413" s="1">
        <f>value(VND!$B413)</f>
        <v>0.4161596476</v>
      </c>
      <c r="K413" s="1">
        <f>value(CNY!$B413)</f>
        <v>1292.646111</v>
      </c>
      <c r="L413" s="1">
        <f>value(HKD!$B413)</f>
        <v>1104.061581</v>
      </c>
      <c r="M413" s="1">
        <f>value(TWD!$B413)</f>
        <v>296.2682775</v>
      </c>
      <c r="N413" s="1">
        <f>value(JPY!$B413)</f>
        <v>106.8973785</v>
      </c>
      <c r="O413" s="1">
        <f>value(SAR!$B413)</f>
        <v>2274.533584</v>
      </c>
      <c r="P413" s="1">
        <f>value(AED!$B413)</f>
        <v>2332.352137</v>
      </c>
      <c r="Q413" s="1">
        <f>value(KWD!$B413)</f>
        <v>31161.24098</v>
      </c>
    </row>
    <row r="414">
      <c r="A414" s="4">
        <f>value(USD!A414)</f>
        <v>40719.99861</v>
      </c>
      <c r="B414" s="1">
        <f>value(USD!B414)</f>
        <v>8447.6</v>
      </c>
      <c r="C414" s="1">
        <f>value(AUD!$B414)</f>
        <v>9020.025</v>
      </c>
      <c r="D414" s="1">
        <f>value(EUR!$B414)</f>
        <v>12344.1</v>
      </c>
      <c r="E414" s="1">
        <f>value(GBP!$B414)</f>
        <v>13787.925</v>
      </c>
      <c r="F414" s="1">
        <f>value(CHF!$B414)</f>
        <v>10337.0625</v>
      </c>
      <c r="G414" s="1">
        <f>value(SGD!$B414)</f>
        <v>6949.5075</v>
      </c>
      <c r="H414" s="1">
        <f>value(MYR!$B414)</f>
        <v>2789.41125</v>
      </c>
      <c r="I414" s="1">
        <f>value(THB!$B414)</f>
        <v>276.1725</v>
      </c>
      <c r="J414" s="1">
        <f>value(VND!$B414)</f>
        <v>0.4153821749</v>
      </c>
      <c r="K414" s="1">
        <f>value(CNY!$B414)</f>
        <v>1348.979244</v>
      </c>
      <c r="L414" s="1">
        <f>value(HKD!$B414)</f>
        <v>1107.36375</v>
      </c>
      <c r="M414" s="1">
        <f>value(TWD!$B414)</f>
        <v>299.46</v>
      </c>
      <c r="N414" s="1">
        <f>value(JPY!$B414)</f>
        <v>106.69125</v>
      </c>
      <c r="O414" s="1">
        <f>value(SAR!$B414)</f>
        <v>2276.774678</v>
      </c>
      <c r="P414" s="1">
        <f>value(AED!$B414)</f>
        <v>2327.652</v>
      </c>
      <c r="Q414" s="1">
        <f>value(KWD!$B414)</f>
        <v>31174.24626</v>
      </c>
    </row>
    <row r="415">
      <c r="A415" s="4">
        <f>value(USD!A415)</f>
        <v>40720.99861</v>
      </c>
      <c r="B415" s="1">
        <f>value(USD!B415)</f>
        <v>8599.95</v>
      </c>
      <c r="C415" s="1">
        <f>value(AUD!$B415)</f>
        <v>9079.446</v>
      </c>
      <c r="D415" s="1">
        <f>value(EUR!$B415)</f>
        <v>12373.148</v>
      </c>
      <c r="E415" s="1">
        <f>value(GBP!$B415)</f>
        <v>13776.484</v>
      </c>
      <c r="F415" s="1">
        <f>value(CHF!$B415)</f>
        <v>10348.31</v>
      </c>
      <c r="G415" s="1">
        <f>value(SGD!$B415)</f>
        <v>6952.2024</v>
      </c>
      <c r="H415" s="1">
        <f>value(MYR!$B415)</f>
        <v>2823.05</v>
      </c>
      <c r="I415" s="1">
        <f>value(THB!$B415)</f>
        <v>277.8226</v>
      </c>
      <c r="J415" s="1">
        <f>value(VND!$B415)</f>
        <v>0.4153784356</v>
      </c>
      <c r="K415" s="1">
        <f>value(CNY!$B415)</f>
        <v>1323.590016</v>
      </c>
      <c r="L415" s="1">
        <f>value(HKD!$B415)</f>
        <v>1107.1528</v>
      </c>
      <c r="M415" s="1">
        <f>value(TWD!$B415)</f>
        <v>299.545</v>
      </c>
      <c r="N415" s="1">
        <f>value(JPY!$B415)</f>
        <v>106.2846</v>
      </c>
      <c r="O415" s="1">
        <f>value(SAR!$B415)</f>
        <v>2276.262086</v>
      </c>
      <c r="P415" s="1">
        <f>value(AED!$B415)</f>
        <v>2322.908707</v>
      </c>
      <c r="Q415" s="1">
        <f>value(KWD!$B415)</f>
        <v>30589.02999</v>
      </c>
    </row>
    <row r="416">
      <c r="A416" s="4">
        <f>value(USD!A416)</f>
        <v>40721.99861</v>
      </c>
      <c r="B416" s="1">
        <f>value(USD!B416)</f>
        <v>8625</v>
      </c>
      <c r="C416" s="1">
        <f>value(AUD!$B416)</f>
        <v>9208.07277</v>
      </c>
      <c r="D416" s="1">
        <f>value(EUR!$B416)</f>
        <v>12479.67017</v>
      </c>
      <c r="E416" s="1">
        <f>value(GBP!$B416)</f>
        <v>13848.30034</v>
      </c>
      <c r="F416" s="1">
        <f>value(CHF!$B416)</f>
        <v>10342.92508</v>
      </c>
      <c r="G416" s="1">
        <f>value(SGD!$B416)</f>
        <v>6986.795399</v>
      </c>
      <c r="H416" s="1">
        <f>value(MYR!$B416)</f>
        <v>2845.23072</v>
      </c>
      <c r="I416" s="1">
        <f>value(THB!$B416)</f>
        <v>280.395553</v>
      </c>
      <c r="J416" s="1">
        <f>value(VND!$B416)</f>
        <v>0.4125499263</v>
      </c>
      <c r="K416" s="1">
        <f>value(CNY!$B416)</f>
        <v>1320.1132</v>
      </c>
      <c r="L416" s="1">
        <f>value(HKD!$B416)</f>
        <v>1107.278075</v>
      </c>
      <c r="M416" s="1">
        <f>value(TWD!$B416)</f>
        <v>298.9219955</v>
      </c>
      <c r="N416" s="1">
        <f>value(JPY!$B416)</f>
        <v>106.7640105</v>
      </c>
      <c r="O416" s="1">
        <f>value(SAR!$B416)</f>
        <v>2276.01149</v>
      </c>
      <c r="P416" s="1">
        <f>value(AED!$B416)</f>
        <v>2323.367887</v>
      </c>
      <c r="Q416" s="1">
        <f>value(KWD!$B416)</f>
        <v>31214.14216</v>
      </c>
    </row>
    <row r="417">
      <c r="A417" s="4">
        <f>value(USD!A417)</f>
        <v>40722.99861</v>
      </c>
      <c r="B417" s="1">
        <f>value(USD!B417)</f>
        <v>8620</v>
      </c>
      <c r="C417" s="1">
        <f>value(AUD!$B417)</f>
        <v>9179.7552</v>
      </c>
      <c r="D417" s="1">
        <f>value(EUR!$B417)</f>
        <v>12418.37352</v>
      </c>
      <c r="E417" s="1">
        <f>value(GBP!$B417)</f>
        <v>13745.6424</v>
      </c>
      <c r="F417" s="1">
        <f>value(CHF!$B417)</f>
        <v>10184.7816</v>
      </c>
      <c r="G417" s="1">
        <f>value(SGD!$B417)</f>
        <v>6979.4928</v>
      </c>
      <c r="H417" s="1">
        <f>value(MYR!$B417)</f>
        <v>2790.34056</v>
      </c>
      <c r="I417" s="1">
        <f>value(THB!$B417)</f>
        <v>274.26168</v>
      </c>
      <c r="J417" s="1">
        <f>value(VND!$B417)</f>
        <v>0.4169230707</v>
      </c>
      <c r="K417" s="1">
        <f>value(CNY!$B417)</f>
        <v>1319.0792</v>
      </c>
      <c r="L417" s="1">
        <f>value(HKD!$B417)</f>
        <v>1100.90232</v>
      </c>
      <c r="M417" s="1">
        <f>value(TWD!$B417)</f>
        <v>297.90936</v>
      </c>
      <c r="N417" s="1">
        <f>value(JPY!$B417)</f>
        <v>106.2432</v>
      </c>
      <c r="O417" s="1">
        <f>value(SAR!$B417)</f>
        <v>2269.502421</v>
      </c>
      <c r="P417" s="1">
        <f>value(AED!$B417)</f>
        <v>2277.168759</v>
      </c>
      <c r="Q417" s="1">
        <f>value(KWD!$B417)</f>
        <v>31133.79122</v>
      </c>
    </row>
    <row r="418">
      <c r="A418" s="4">
        <f>value(USD!A418)</f>
        <v>40723.99861</v>
      </c>
      <c r="B418" s="1">
        <f>value(USD!B418)</f>
        <v>8616.95</v>
      </c>
      <c r="C418" s="1">
        <f>value(AUD!$B418)</f>
        <v>9196.0947</v>
      </c>
      <c r="D418" s="1">
        <f>value(EUR!$B418)</f>
        <v>12404.9484</v>
      </c>
      <c r="E418" s="1">
        <f>value(GBP!$B418)</f>
        <v>13725.387</v>
      </c>
      <c r="F418" s="1">
        <f>value(CHF!$B418)</f>
        <v>10069.839</v>
      </c>
      <c r="G418" s="1">
        <f>value(SGD!$B418)</f>
        <v>6963.13566</v>
      </c>
      <c r="H418" s="1">
        <f>value(MYR!$B418)</f>
        <v>2838.68676</v>
      </c>
      <c r="I418" s="1">
        <f>value(THB!$B418)</f>
        <v>277.41168</v>
      </c>
      <c r="J418" s="1">
        <f>value(VND!$B418)</f>
        <v>0.4158753263</v>
      </c>
      <c r="K418" s="1">
        <f>value(CNY!$B418)</f>
        <v>1322.12519</v>
      </c>
      <c r="L418" s="1">
        <f>value(HKD!$B418)</f>
        <v>1097.5185</v>
      </c>
      <c r="M418" s="1">
        <f>value(TWD!$B418)</f>
        <v>297.65385</v>
      </c>
      <c r="N418" s="1">
        <f>value(JPY!$B418)</f>
        <v>105.65217</v>
      </c>
      <c r="O418" s="1">
        <f>value(SAR!$B418)</f>
        <v>2270.168265</v>
      </c>
      <c r="P418" s="1">
        <f>value(AED!$B418)</f>
        <v>2331.525736</v>
      </c>
      <c r="Q418" s="1">
        <f>value(KWD!$B418)</f>
        <v>31120.02459</v>
      </c>
    </row>
    <row r="419">
      <c r="A419" s="4">
        <f>value(USD!A419)</f>
        <v>40724.99861</v>
      </c>
      <c r="B419" s="1">
        <f>value(USD!B419)</f>
        <v>8568</v>
      </c>
      <c r="C419" s="1">
        <f>value(AUD!$B419)</f>
        <v>9026.46722</v>
      </c>
      <c r="D419" s="1">
        <f>value(EUR!$B419)</f>
        <v>12147.79245</v>
      </c>
      <c r="E419" s="1">
        <f>value(GBP!$B419)</f>
        <v>13454.27685</v>
      </c>
      <c r="F419" s="1">
        <f>value(CHF!$B419)</f>
        <v>9889.08192</v>
      </c>
      <c r="G419" s="1">
        <f>value(SGD!$B419)</f>
        <v>6827.720974</v>
      </c>
      <c r="H419" s="1">
        <f>value(MYR!$B419)</f>
        <v>2779.880557</v>
      </c>
      <c r="I419" s="1">
        <f>value(THB!$B419)</f>
        <v>271.933003</v>
      </c>
      <c r="J419" s="1">
        <f>value(VND!$B419)</f>
        <v>0.4155907356</v>
      </c>
      <c r="K419" s="1">
        <f>value(CNY!$B419)</f>
        <v>1320.60775</v>
      </c>
      <c r="L419" s="1">
        <f>value(HKD!$B419)</f>
        <v>1076.258399</v>
      </c>
      <c r="M419" s="1">
        <f>value(TWD!$B419)</f>
        <v>291.44652</v>
      </c>
      <c r="N419" s="1">
        <f>value(JPY!$B419)</f>
        <v>103.597513</v>
      </c>
      <c r="O419" s="1">
        <f>value(SAR!$B419)</f>
        <v>2273.586609</v>
      </c>
      <c r="P419" s="1">
        <f>value(AED!$B419)</f>
        <v>2325.1004</v>
      </c>
      <c r="Q419" s="1">
        <f>value(KWD!$B419)</f>
        <v>31242.44912</v>
      </c>
    </row>
    <row r="420">
      <c r="A420" s="4">
        <f>value(USD!A420)</f>
        <v>40725.99861</v>
      </c>
      <c r="B420" s="1">
        <f>value(USD!B420)</f>
        <v>8541</v>
      </c>
      <c r="C420" s="1">
        <f>value(AUD!$B420)</f>
        <v>9205.756921</v>
      </c>
      <c r="D420" s="1">
        <f>value(EUR!$B420)</f>
        <v>12421.66612</v>
      </c>
      <c r="E420" s="1">
        <f>value(GBP!$B420)</f>
        <v>13727.41088</v>
      </c>
      <c r="F420" s="1">
        <f>value(CHF!$B420)</f>
        <v>10075.94009</v>
      </c>
      <c r="G420" s="1">
        <f>value(SGD!$B420)</f>
        <v>6966.25084</v>
      </c>
      <c r="H420" s="1">
        <f>value(MYR!$B420)</f>
        <v>2842.387579</v>
      </c>
      <c r="I420" s="1">
        <f>value(THB!$B420)</f>
        <v>277.9834885</v>
      </c>
      <c r="J420" s="1">
        <f>value(VND!$B420)</f>
        <v>0.4158304916</v>
      </c>
      <c r="K420" s="1">
        <f>value(CNY!$B420)</f>
        <v>1320.654016</v>
      </c>
      <c r="L420" s="1">
        <f>value(HKD!$B420)</f>
        <v>1098.00487</v>
      </c>
      <c r="M420" s="1">
        <f>value(TWD!$B420)</f>
        <v>298.065296</v>
      </c>
      <c r="N420" s="1">
        <f>value(JPY!$B420)</f>
        <v>105.621762</v>
      </c>
      <c r="O420" s="1">
        <f>value(SAR!$B420)</f>
        <v>2284.763672</v>
      </c>
      <c r="P420" s="1">
        <f>value(AED!$B420)</f>
        <v>2322.3778</v>
      </c>
      <c r="Q420" s="1">
        <f>value(KWD!$B420)</f>
        <v>31147.23837</v>
      </c>
    </row>
    <row r="421">
      <c r="A421" s="4">
        <f>value(USD!A421)</f>
        <v>40726.99861</v>
      </c>
      <c r="B421" s="1">
        <f>value(USD!B421)</f>
        <v>8374.9</v>
      </c>
      <c r="C421" s="1">
        <f>value(AUD!$B421)</f>
        <v>9157.372525</v>
      </c>
      <c r="D421" s="1">
        <f>value(EUR!$B421)</f>
        <v>12398.03413</v>
      </c>
      <c r="E421" s="1">
        <f>value(GBP!$B421)</f>
        <v>13716.03103</v>
      </c>
      <c r="F421" s="1">
        <f>value(CHF!$B421)</f>
        <v>10053.93426</v>
      </c>
      <c r="G421" s="1">
        <f>value(SGD!$B421)</f>
        <v>6951.421567</v>
      </c>
      <c r="H421" s="1">
        <f>value(MYR!$B421)</f>
        <v>2840.958707</v>
      </c>
      <c r="I421" s="1">
        <f>value(THB!$B421)</f>
        <v>279.9624825</v>
      </c>
      <c r="J421" s="1">
        <f>value(VND!$B421)</f>
        <v>0.4152459811</v>
      </c>
      <c r="K421" s="1">
        <f>value(CNY!$B421)</f>
        <v>1321.994774</v>
      </c>
      <c r="L421" s="1">
        <f>value(HKD!$B421)</f>
        <v>1095.305274</v>
      </c>
      <c r="M421" s="1">
        <f>value(TWD!$B421)</f>
        <v>297.5187295</v>
      </c>
      <c r="N421" s="1">
        <f>value(JPY!$B421)</f>
        <v>105.507931</v>
      </c>
      <c r="O421" s="1">
        <f>value(SAR!$B421)</f>
        <v>2279.939152</v>
      </c>
      <c r="P421" s="1">
        <f>value(AED!$B421)</f>
        <v>2324.28362</v>
      </c>
      <c r="Q421" s="1">
        <f>value(KWD!$B421)</f>
        <v>31217.09573</v>
      </c>
    </row>
    <row r="422">
      <c r="A422" s="4">
        <f>value(USD!A422)</f>
        <v>40727.99861</v>
      </c>
      <c r="B422" s="1">
        <f>value(USD!B422)</f>
        <v>8545.45</v>
      </c>
      <c r="C422" s="1">
        <f>value(AUD!$B422)</f>
        <v>9127.30242</v>
      </c>
      <c r="D422" s="1">
        <f>value(EUR!$B422)</f>
        <v>12312.71039</v>
      </c>
      <c r="E422" s="1">
        <f>value(GBP!$B422)</f>
        <v>13716.26717</v>
      </c>
      <c r="F422" s="1">
        <f>value(CHF!$B422)</f>
        <v>10153.58928</v>
      </c>
      <c r="G422" s="1">
        <f>value(SGD!$B422)</f>
        <v>6943.849583</v>
      </c>
      <c r="H422" s="1">
        <f>value(MYR!$B422)</f>
        <v>2826.920444</v>
      </c>
      <c r="I422" s="1">
        <f>value(THB!$B422)</f>
        <v>278.833117</v>
      </c>
      <c r="J422" s="1">
        <f>value(VND!$B422)</f>
        <v>0.4184184682</v>
      </c>
      <c r="K422" s="1">
        <f>value(CNY!$B422)</f>
        <v>1318.435</v>
      </c>
      <c r="L422" s="1">
        <f>value(HKD!$B422)</f>
        <v>1097.233074</v>
      </c>
      <c r="M422" s="1">
        <f>value(TWD!$B422)</f>
        <v>295.566519</v>
      </c>
      <c r="N422" s="1">
        <f>value(JPY!$B422)</f>
        <v>105.2667585</v>
      </c>
      <c r="O422" s="1">
        <f>value(SAR!$B422)</f>
        <v>2275.125947</v>
      </c>
      <c r="P422" s="1">
        <f>value(AED!$B422)</f>
        <v>2320.93125</v>
      </c>
      <c r="Q422" s="1">
        <f>value(KWD!$B422)</f>
        <v>31191.03101</v>
      </c>
    </row>
    <row r="423">
      <c r="A423" s="4">
        <f>value(USD!A423)</f>
        <v>40728.99861</v>
      </c>
      <c r="B423" s="1">
        <f>value(USD!B423)</f>
        <v>8522.45</v>
      </c>
      <c r="C423" s="1">
        <f>value(AUD!$B423)</f>
        <v>9125.94276</v>
      </c>
      <c r="D423" s="1">
        <f>value(EUR!$B423)</f>
        <v>12229.37784</v>
      </c>
      <c r="E423" s="1">
        <f>value(GBP!$B423)</f>
        <v>13659.04059</v>
      </c>
      <c r="F423" s="1">
        <f>value(CHF!$B423)</f>
        <v>10164.68877</v>
      </c>
      <c r="G423" s="1">
        <f>value(SGD!$B423)</f>
        <v>6949.44126</v>
      </c>
      <c r="H423" s="1">
        <f>value(MYR!$B423)</f>
        <v>2832.610011</v>
      </c>
      <c r="I423" s="1">
        <f>value(THB!$B423)</f>
        <v>279.616428</v>
      </c>
      <c r="J423" s="1">
        <f>value(VND!$B423)</f>
        <v>0.415247252</v>
      </c>
      <c r="K423" s="1">
        <f>value(CNY!$B423)</f>
        <v>1316.06712</v>
      </c>
      <c r="L423" s="1">
        <f>value(HKD!$B423)</f>
        <v>1096.700697</v>
      </c>
      <c r="M423" s="1">
        <f>value(TWD!$B423)</f>
        <v>295.748145</v>
      </c>
      <c r="N423" s="1">
        <f>value(JPY!$B423)</f>
        <v>105.410955</v>
      </c>
      <c r="O423" s="1">
        <f>value(SAR!$B423)</f>
        <v>2275.962733</v>
      </c>
      <c r="P423" s="1">
        <f>value(AED!$B423)</f>
        <v>2320.95052</v>
      </c>
      <c r="Q423" s="1">
        <f>value(KWD!$B423)</f>
        <v>31221.299</v>
      </c>
    </row>
    <row r="424">
      <c r="A424" s="4">
        <f>value(USD!A424)</f>
        <v>40729.99861</v>
      </c>
      <c r="B424" s="1">
        <f>value(USD!B424)</f>
        <v>8537.45</v>
      </c>
      <c r="C424" s="1">
        <f>value(AUD!$B424)</f>
        <v>9190.440315</v>
      </c>
      <c r="D424" s="1">
        <f>value(EUR!$B424)</f>
        <v>12260.51962</v>
      </c>
      <c r="E424" s="1">
        <f>value(GBP!$B424)</f>
        <v>13635.59975</v>
      </c>
      <c r="F424" s="1">
        <f>value(CHF!$B424)</f>
        <v>10101.04476</v>
      </c>
      <c r="G424" s="1">
        <f>value(SGD!$B424)</f>
        <v>6975.156695</v>
      </c>
      <c r="H424" s="1">
        <f>value(MYR!$B424)</f>
        <v>2836.262776</v>
      </c>
      <c r="I424" s="1">
        <f>value(THB!$B424)</f>
        <v>281.5185155</v>
      </c>
      <c r="J424" s="1">
        <f>value(VND!$B424)</f>
        <v>0.414028251</v>
      </c>
      <c r="K424" s="1">
        <f>value(CNY!$B424)</f>
        <v>1318.2541</v>
      </c>
      <c r="L424" s="1">
        <f>value(HKD!$B424)</f>
        <v>1096.377656</v>
      </c>
      <c r="M424" s="1">
        <f>value(TWD!$B424)</f>
        <v>297.817405</v>
      </c>
      <c r="N424" s="1">
        <f>value(JPY!$B424)</f>
        <v>105.0467695</v>
      </c>
      <c r="O424" s="1">
        <f>value(SAR!$B424)</f>
        <v>2231.197959</v>
      </c>
      <c r="P424" s="1">
        <f>value(AED!$B424)</f>
        <v>2320.202678</v>
      </c>
      <c r="Q424" s="1">
        <f>value(KWD!$B424)</f>
        <v>31138.02422</v>
      </c>
    </row>
    <row r="425">
      <c r="A425" s="4">
        <f>value(USD!A425)</f>
        <v>40730.99861</v>
      </c>
      <c r="B425" s="1">
        <f>value(USD!B425)</f>
        <v>8535.3</v>
      </c>
      <c r="C425" s="1">
        <f>value(AUD!$B425)</f>
        <v>9153.437485</v>
      </c>
      <c r="D425" s="1">
        <f>value(EUR!$B425)</f>
        <v>12140.45619</v>
      </c>
      <c r="E425" s="1">
        <f>value(GBP!$B425)</f>
        <v>13668.44096</v>
      </c>
      <c r="F425" s="1">
        <f>value(CHF!$B425)</f>
        <v>10173.22899</v>
      </c>
      <c r="G425" s="1">
        <f>value(SGD!$B425)</f>
        <v>6972.292421</v>
      </c>
      <c r="H425" s="1">
        <f>value(MYR!$B425)</f>
        <v>2844.094669</v>
      </c>
      <c r="I425" s="1">
        <f>value(THB!$B425)</f>
        <v>281.1662235</v>
      </c>
      <c r="J425" s="1">
        <f>value(VND!$B425)</f>
        <v>0.4128498399</v>
      </c>
      <c r="K425" s="1">
        <f>value(CNY!$B425)</f>
        <v>1318.86</v>
      </c>
      <c r="L425" s="1">
        <f>value(HKD!$B425)</f>
        <v>1093.7647</v>
      </c>
      <c r="M425" s="1">
        <f>value(TWD!$B425)</f>
        <v>295.722513</v>
      </c>
      <c r="N425" s="1">
        <f>value(JPY!$B425)</f>
        <v>105.55438</v>
      </c>
      <c r="O425" s="1">
        <f>value(SAR!$B425)</f>
        <v>2283.626609</v>
      </c>
      <c r="P425" s="1">
        <f>value(AED!$B425)</f>
        <v>2314.04</v>
      </c>
      <c r="Q425" s="1">
        <f>value(KWD!$B425)</f>
        <v>31088.74374</v>
      </c>
    </row>
    <row r="426">
      <c r="A426" s="4">
        <f>value(USD!A426)</f>
        <v>40731.99861</v>
      </c>
      <c r="B426" s="1">
        <f>value(USD!B426)</f>
        <v>8533.45</v>
      </c>
      <c r="C426" s="1">
        <f>value(AUD!$B426)</f>
        <v>9192.996738</v>
      </c>
      <c r="D426" s="1">
        <f>value(EUR!$B426)</f>
        <v>12180.18694</v>
      </c>
      <c r="E426" s="1">
        <f>value(GBP!$B426)</f>
        <v>13700.25514</v>
      </c>
      <c r="F426" s="1">
        <f>value(CHF!$B426)</f>
        <v>10201.53637</v>
      </c>
      <c r="G426" s="1">
        <f>value(SGD!$B426)</f>
        <v>6994.61945</v>
      </c>
      <c r="H426" s="1">
        <f>value(MYR!$B426)</f>
        <v>2853.372968</v>
      </c>
      <c r="I426" s="1">
        <f>value(THB!$B426)</f>
        <v>282.1519853</v>
      </c>
      <c r="J426" s="1">
        <f>value(VND!$B426)</f>
        <v>0.413583246</v>
      </c>
      <c r="K426" s="1">
        <f>value(CNY!$B426)</f>
        <v>1280.335455</v>
      </c>
      <c r="L426" s="1">
        <f>value(HKD!$B426)</f>
        <v>1097.267209</v>
      </c>
      <c r="M426" s="1">
        <f>value(TWD!$B426)</f>
        <v>296.6694906</v>
      </c>
      <c r="N426" s="1">
        <f>value(JPY!$B426)</f>
        <v>105.8923916</v>
      </c>
      <c r="O426" s="1">
        <f>value(SAR!$B426)</f>
        <v>2277.454715</v>
      </c>
      <c r="P426" s="1">
        <f>value(AED!$B426)</f>
        <v>2309.2245</v>
      </c>
      <c r="Q426" s="1">
        <f>value(KWD!$B426)</f>
        <v>31169.7805</v>
      </c>
    </row>
    <row r="427">
      <c r="A427" s="4">
        <f>value(USD!A427)</f>
        <v>40732.99861</v>
      </c>
      <c r="B427" s="1">
        <f>value(USD!B427)</f>
        <v>8512.45</v>
      </c>
      <c r="C427" s="1">
        <f>value(AUD!$B427)</f>
        <v>9124.495155</v>
      </c>
      <c r="D427" s="1">
        <f>value(EUR!$B427)</f>
        <v>12088.53024</v>
      </c>
      <c r="E427" s="1">
        <f>value(GBP!$B427)</f>
        <v>13637.79614</v>
      </c>
      <c r="F427" s="1">
        <f>value(CHF!$B427)</f>
        <v>10166.41903</v>
      </c>
      <c r="G427" s="1">
        <f>value(SGD!$B427)</f>
        <v>6957.480758</v>
      </c>
      <c r="H427" s="1">
        <f>value(MYR!$B427)</f>
        <v>2831.666492</v>
      </c>
      <c r="I427" s="1">
        <f>value(THB!$B427)</f>
        <v>280.3149785</v>
      </c>
      <c r="J427" s="1">
        <f>value(VND!$B427)</f>
        <v>0.4138266735</v>
      </c>
      <c r="K427" s="1">
        <f>value(CNY!$B427)</f>
        <v>1308.388704</v>
      </c>
      <c r="L427" s="1">
        <f>value(HKD!$B427)</f>
        <v>1093.849825</v>
      </c>
      <c r="M427" s="1">
        <f>value(TWD!$B427)</f>
        <v>294.4456455</v>
      </c>
      <c r="N427" s="1">
        <f>value(JPY!$B427)</f>
        <v>105.4692555</v>
      </c>
      <c r="O427" s="1">
        <f>value(SAR!$B427)</f>
        <v>2274.787906</v>
      </c>
      <c r="P427" s="1">
        <f>value(AED!$B427)</f>
        <v>2312.76375</v>
      </c>
      <c r="Q427" s="1">
        <f>value(KWD!$B427)</f>
        <v>30280.18533</v>
      </c>
    </row>
    <row r="428">
      <c r="A428" s="4">
        <f>value(USD!A428)</f>
        <v>40733.99861</v>
      </c>
      <c r="B428" s="1">
        <f>value(USD!B428)</f>
        <v>8539.709</v>
      </c>
      <c r="C428" s="1">
        <f>value(AUD!$B428)</f>
        <v>9069.053015</v>
      </c>
      <c r="D428" s="1">
        <f>value(EUR!$B428)</f>
        <v>11969.49594</v>
      </c>
      <c r="E428" s="1">
        <f>value(GBP!$B428)</f>
        <v>13558.81828</v>
      </c>
      <c r="F428" s="1">
        <f>value(CHF!$B428)</f>
        <v>10198.74139</v>
      </c>
      <c r="G428" s="1">
        <f>value(SGD!$B428)</f>
        <v>6945.750427</v>
      </c>
      <c r="H428" s="1">
        <f>value(MYR!$B428)</f>
        <v>2830.274362</v>
      </c>
      <c r="I428" s="1">
        <f>value(THB!$B428)</f>
        <v>280.9300525</v>
      </c>
      <c r="J428" s="1">
        <f>value(VND!$B428)</f>
        <v>0.4104648216</v>
      </c>
      <c r="K428" s="1">
        <f>value(CNY!$B428)</f>
        <v>1312.962797</v>
      </c>
      <c r="L428" s="1">
        <f>value(HKD!$B428)</f>
        <v>1094.476201</v>
      </c>
      <c r="M428" s="1">
        <f>value(TWD!$B428)</f>
        <v>294.2305345</v>
      </c>
      <c r="N428" s="1">
        <f>value(JPY!$B428)</f>
        <v>106.1480775</v>
      </c>
      <c r="O428" s="1">
        <f>value(SAR!$B428)</f>
        <v>2276.654672</v>
      </c>
      <c r="P428" s="1">
        <f>value(AED!$B428)</f>
        <v>2313.955</v>
      </c>
      <c r="Q428" s="1">
        <f>value(KWD!$B428)</f>
        <v>30893.4322</v>
      </c>
    </row>
    <row r="429">
      <c r="A429" s="4">
        <f>value(USD!A429)</f>
        <v>40734.99861</v>
      </c>
      <c r="B429" s="1">
        <f>value(USD!B429)</f>
        <v>8512.45</v>
      </c>
      <c r="C429" s="1">
        <f>value(AUD!$B429)</f>
        <v>9067.25988</v>
      </c>
      <c r="D429" s="1">
        <f>value(EUR!$B429)</f>
        <v>11965.45906</v>
      </c>
      <c r="E429" s="1">
        <f>value(GBP!$B429)</f>
        <v>13635.15762</v>
      </c>
      <c r="F429" s="1">
        <f>value(CHF!$B429)</f>
        <v>10300.04398</v>
      </c>
      <c r="G429" s="1">
        <f>value(SGD!$B429)</f>
        <v>6984.891343</v>
      </c>
      <c r="H429" s="1">
        <f>value(MYR!$B429)</f>
        <v>2812.958032</v>
      </c>
      <c r="I429" s="1">
        <f>value(THB!$B429)</f>
        <v>280.824621</v>
      </c>
      <c r="J429" s="1">
        <f>value(VND!$B429)</f>
        <v>0.4147740117</v>
      </c>
      <c r="K429" s="1">
        <f>value(CNY!$B429)</f>
        <v>1291.321772</v>
      </c>
      <c r="L429" s="1">
        <f>value(HKD!$B429)</f>
        <v>1099.054015</v>
      </c>
      <c r="M429" s="1">
        <f>value(TWD!$B429)</f>
        <v>297.101826</v>
      </c>
      <c r="N429" s="1">
        <f>value(JPY!$B429)</f>
        <v>107.94357</v>
      </c>
      <c r="O429" s="1">
        <f>value(SAR!$B429)</f>
        <v>2273.5152</v>
      </c>
      <c r="P429" s="1">
        <f>value(AED!$B429)</f>
        <v>2247.336735</v>
      </c>
      <c r="Q429" s="1">
        <f>value(KWD!$B429)</f>
        <v>31073.20448</v>
      </c>
    </row>
    <row r="430">
      <c r="A430" s="4">
        <f>value(USD!A430)</f>
        <v>40735.99861</v>
      </c>
      <c r="B430" s="1">
        <f>value(USD!B430)</f>
        <v>8525.95</v>
      </c>
      <c r="C430" s="1">
        <f>value(AUD!$B430)</f>
        <v>9218.61</v>
      </c>
      <c r="D430" s="1">
        <f>value(EUR!$B430)</f>
        <v>12170.925</v>
      </c>
      <c r="E430" s="1">
        <f>value(GBP!$B430)</f>
        <v>13824.4095</v>
      </c>
      <c r="F430" s="1">
        <f>value(CHF!$B430)</f>
        <v>10538.73</v>
      </c>
      <c r="G430" s="1">
        <f>value(SGD!$B430)</f>
        <v>7029.5535</v>
      </c>
      <c r="H430" s="1">
        <f>value(MYR!$B430)</f>
        <v>2841.507</v>
      </c>
      <c r="I430" s="1">
        <f>value(THB!$B430)</f>
        <v>284.9715</v>
      </c>
      <c r="J430" s="1">
        <f>value(VND!$B430)</f>
        <v>0.4181663222</v>
      </c>
      <c r="K430" s="1">
        <f>value(CNY!$B430)</f>
        <v>1313.984516</v>
      </c>
      <c r="L430" s="1">
        <f>value(HKD!$B430)</f>
        <v>1097.649</v>
      </c>
      <c r="M430" s="1">
        <f>value(TWD!$B430)</f>
        <v>299.592</v>
      </c>
      <c r="N430" s="1">
        <f>value(JPY!$B430)</f>
        <v>108.243</v>
      </c>
      <c r="O430" s="1">
        <f>value(SAR!$B430)</f>
        <v>2274.035241</v>
      </c>
      <c r="P430" s="1">
        <f>value(AED!$B430)</f>
        <v>2295.541584</v>
      </c>
      <c r="Q430" s="1">
        <f>value(KWD!$B430)</f>
        <v>30573.63098</v>
      </c>
    </row>
    <row r="431">
      <c r="A431" s="4">
        <f>value(USD!A431)</f>
        <v>40736.99861</v>
      </c>
      <c r="B431" s="1">
        <f>value(USD!B431)</f>
        <v>8566.95</v>
      </c>
      <c r="C431" s="1">
        <f>value(AUD!$B431)</f>
        <v>9147.95679</v>
      </c>
      <c r="D431" s="1">
        <f>value(EUR!$B431)</f>
        <v>12076.12203</v>
      </c>
      <c r="E431" s="1">
        <f>value(GBP!$B431)</f>
        <v>13774.83327</v>
      </c>
      <c r="F431" s="1">
        <f>value(CHF!$B431)</f>
        <v>10461.87709</v>
      </c>
      <c r="G431" s="1">
        <f>value(SGD!$B431)</f>
        <v>7005.498825</v>
      </c>
      <c r="H431" s="1">
        <f>value(MYR!$B431)</f>
        <v>2831.412927</v>
      </c>
      <c r="I431" s="1">
        <f>value(THB!$B431)</f>
        <v>282.6635035</v>
      </c>
      <c r="J431" s="1">
        <f>value(VND!$B431)</f>
        <v>0.4104318604</v>
      </c>
      <c r="K431" s="1">
        <f>value(CNY!$B431)</f>
        <v>1319.987549</v>
      </c>
      <c r="L431" s="1">
        <f>value(HKD!$B431)</f>
        <v>1095.246421</v>
      </c>
      <c r="M431" s="1">
        <f>value(TWD!$B431)</f>
        <v>295.20547</v>
      </c>
      <c r="N431" s="1">
        <f>value(JPY!$B431)</f>
        <v>107.7585285</v>
      </c>
      <c r="O431" s="1">
        <f>value(SAR!$B431)</f>
        <v>2273.029087</v>
      </c>
      <c r="P431" s="1">
        <f>value(AED!$B431)</f>
        <v>2304.755215</v>
      </c>
      <c r="Q431" s="1">
        <f>value(KWD!$B431)</f>
        <v>31034.42661</v>
      </c>
    </row>
    <row r="432">
      <c r="A432" s="4">
        <f>value(USD!A432)</f>
        <v>40737.99861</v>
      </c>
      <c r="B432" s="1">
        <f>value(USD!B432)</f>
        <v>8550</v>
      </c>
      <c r="C432" s="1">
        <f>value(AUD!$B432)</f>
        <v>9077.562615</v>
      </c>
      <c r="D432" s="1">
        <f>value(EUR!$B432)</f>
        <v>12079.80622</v>
      </c>
      <c r="E432" s="1">
        <f>value(GBP!$B432)</f>
        <v>13766.96814</v>
      </c>
      <c r="F432" s="1">
        <f>value(CHF!$B432)</f>
        <v>10463.47609</v>
      </c>
      <c r="G432" s="1">
        <f>value(SGD!$B432)</f>
        <v>6996.729586</v>
      </c>
      <c r="H432" s="1">
        <f>value(MYR!$B432)</f>
        <v>2835.660906</v>
      </c>
      <c r="I432" s="1">
        <f>value(THB!$B432)</f>
        <v>283.497819</v>
      </c>
      <c r="J432" s="1">
        <f>value(VND!$B432)</f>
        <v>0.4140148485</v>
      </c>
      <c r="K432" s="1">
        <f>value(CNY!$B432)</f>
        <v>1295.455634</v>
      </c>
      <c r="L432" s="1">
        <f>value(HKD!$B432)</f>
        <v>1094.820445</v>
      </c>
      <c r="M432" s="1">
        <f>value(TWD!$B432)</f>
        <v>295.616028</v>
      </c>
      <c r="N432" s="1">
        <f>value(JPY!$B432)</f>
        <v>107.7837885</v>
      </c>
      <c r="O432" s="1">
        <f>value(SAR!$B432)</f>
        <v>2266.848</v>
      </c>
      <c r="P432" s="1">
        <f>value(AED!$B432)</f>
        <v>2266.036188</v>
      </c>
      <c r="Q432" s="1">
        <f>value(KWD!$B432)</f>
        <v>31204.00497</v>
      </c>
    </row>
    <row r="433">
      <c r="A433" s="4">
        <f>value(USD!A433)</f>
        <v>40738.99861</v>
      </c>
      <c r="B433" s="1">
        <f>value(USD!B433)</f>
        <v>8531.95</v>
      </c>
      <c r="C433" s="1">
        <f>value(AUD!$B433)</f>
        <v>8903.20362</v>
      </c>
      <c r="D433" s="1">
        <f>value(EUR!$B433)</f>
        <v>11841.37794</v>
      </c>
      <c r="E433" s="1">
        <f>value(GBP!$B433)</f>
        <v>13492.84608</v>
      </c>
      <c r="F433" s="1">
        <f>value(CHF!$B433)</f>
        <v>10256.00199</v>
      </c>
      <c r="G433" s="1">
        <f>value(SGD!$B433)</f>
        <v>6859.114407</v>
      </c>
      <c r="H433" s="1">
        <f>value(MYR!$B433)</f>
        <v>2779.887708</v>
      </c>
      <c r="I433" s="1">
        <f>value(THB!$B433)</f>
        <v>277.921842</v>
      </c>
      <c r="J433" s="1">
        <f>value(VND!$B433)</f>
        <v>0.4194143356</v>
      </c>
      <c r="K433" s="1">
        <f>value(CNY!$B433)</f>
        <v>1315.408245</v>
      </c>
      <c r="L433" s="1">
        <f>value(HKD!$B433)</f>
        <v>1073.37063</v>
      </c>
      <c r="M433" s="1">
        <f>value(TWD!$B433)</f>
        <v>289.801704</v>
      </c>
      <c r="N433" s="1">
        <f>value(JPY!$B433)</f>
        <v>105.831165</v>
      </c>
      <c r="O433" s="1">
        <f>value(SAR!$B433)</f>
        <v>2262.047616</v>
      </c>
      <c r="P433" s="1">
        <f>value(AED!$B433)</f>
        <v>2306.102556</v>
      </c>
      <c r="Q433" s="1">
        <f>value(KWD!$B433)</f>
        <v>30624.07981</v>
      </c>
    </row>
    <row r="434">
      <c r="A434" s="4">
        <f>value(USD!A434)</f>
        <v>40739.99861</v>
      </c>
      <c r="B434" s="1">
        <f>value(USD!B434)</f>
        <v>8533.95</v>
      </c>
      <c r="C434" s="1">
        <f>value(AUD!$B434)</f>
        <v>9138.625558</v>
      </c>
      <c r="D434" s="1">
        <f>value(EUR!$B434)</f>
        <v>12122.74538</v>
      </c>
      <c r="E434" s="1">
        <f>value(GBP!$B434)</f>
        <v>13826.60785</v>
      </c>
      <c r="F434" s="1">
        <f>value(CHF!$B434)</f>
        <v>10581.97303</v>
      </c>
      <c r="G434" s="1">
        <f>value(SGD!$B434)</f>
        <v>7039.312495</v>
      </c>
      <c r="H434" s="1">
        <f>value(MYR!$B434)</f>
        <v>2845.750745</v>
      </c>
      <c r="I434" s="1">
        <f>value(THB!$B434)</f>
        <v>284.5493235</v>
      </c>
      <c r="J434" s="1">
        <f>value(VND!$B434)</f>
        <v>0.4113966389</v>
      </c>
      <c r="K434" s="1">
        <f>value(CNY!$B434)</f>
        <v>1322.442576</v>
      </c>
      <c r="L434" s="1">
        <f>value(HKD!$B434)</f>
        <v>1101.373263</v>
      </c>
      <c r="M434" s="1">
        <f>value(TWD!$B434)</f>
        <v>296.7381633</v>
      </c>
      <c r="N434" s="1">
        <f>value(JPY!$B434)</f>
        <v>108.4120047</v>
      </c>
      <c r="O434" s="1">
        <f>value(SAR!$B434)</f>
        <v>2265.51456</v>
      </c>
      <c r="P434" s="1">
        <f>value(AED!$B434)</f>
        <v>2317.599091</v>
      </c>
      <c r="Q434" s="1">
        <f>value(KWD!$B434)</f>
        <v>31056.03833</v>
      </c>
    </row>
    <row r="435">
      <c r="A435" s="4">
        <f>value(USD!A435)</f>
        <v>40740.99861</v>
      </c>
      <c r="B435" s="1">
        <f>value(USD!B435)</f>
        <v>8366.1</v>
      </c>
      <c r="C435" s="1">
        <f>value(AUD!$B435)</f>
        <v>9085.12324</v>
      </c>
      <c r="D435" s="1">
        <f>value(EUR!$B435)</f>
        <v>12083.2396</v>
      </c>
      <c r="E435" s="1">
        <f>value(GBP!$B435)</f>
        <v>13748.60289</v>
      </c>
      <c r="F435" s="1">
        <f>value(CHF!$B435)</f>
        <v>10473.2828</v>
      </c>
      <c r="G435" s="1">
        <f>value(SGD!$B435)</f>
        <v>7034.312312</v>
      </c>
      <c r="H435" s="1">
        <f>value(MYR!$B435)</f>
        <v>2852.620796</v>
      </c>
      <c r="I435" s="1">
        <f>value(THB!$B435)</f>
        <v>285.938604</v>
      </c>
      <c r="J435" s="1">
        <f>value(VND!$B435)</f>
        <v>0.4170749703</v>
      </c>
      <c r="K435" s="1">
        <f>value(CNY!$B435)</f>
        <v>1322.476674</v>
      </c>
      <c r="L435" s="1">
        <f>value(HKD!$B435)</f>
        <v>1098.367336</v>
      </c>
      <c r="M435" s="1">
        <f>value(TWD!$B435)</f>
        <v>297.413828</v>
      </c>
      <c r="N435" s="1">
        <f>value(JPY!$B435)</f>
        <v>108.32954</v>
      </c>
      <c r="O435" s="1">
        <f>value(SAR!$B435)</f>
        <v>2266.908435</v>
      </c>
      <c r="P435" s="1">
        <f>value(AED!$B435)</f>
        <v>2274.526606</v>
      </c>
      <c r="Q435" s="1">
        <f>value(KWD!$B435)</f>
        <v>31268.71434</v>
      </c>
    </row>
    <row r="436">
      <c r="A436" s="4">
        <f>value(USD!A436)</f>
        <v>40741.99861</v>
      </c>
      <c r="B436" s="1">
        <f>value(USD!B436)</f>
        <v>8583.69</v>
      </c>
      <c r="C436" s="1">
        <f>value(AUD!$B436)</f>
        <v>9165.128</v>
      </c>
      <c r="D436" s="1">
        <f>value(EUR!$B436)</f>
        <v>12100.2406</v>
      </c>
      <c r="E436" s="1">
        <f>value(GBP!$B436)</f>
        <v>13775.874</v>
      </c>
      <c r="F436" s="1">
        <f>value(CHF!$B436)</f>
        <v>10360.728</v>
      </c>
      <c r="G436" s="1">
        <f>value(SGD!$B436)</f>
        <v>7024.7478</v>
      </c>
      <c r="H436" s="1">
        <f>value(MYR!$B436)</f>
        <v>2840.831</v>
      </c>
      <c r="I436" s="1">
        <f>value(THB!$B436)</f>
        <v>285.236</v>
      </c>
      <c r="J436" s="1">
        <f>value(VND!$B436)</f>
        <v>0.4148249132</v>
      </c>
      <c r="K436" s="1">
        <f>value(CNY!$B436)</f>
        <v>1329.15266</v>
      </c>
      <c r="L436" s="1">
        <f>value(HKD!$B436)</f>
        <v>1095.5966</v>
      </c>
      <c r="M436" s="1">
        <f>value(TWD!$B436)</f>
        <v>295.2278</v>
      </c>
      <c r="N436" s="1">
        <f>value(JPY!$B436)</f>
        <v>107.8602</v>
      </c>
      <c r="O436" s="1">
        <f>value(SAR!$B436)</f>
        <v>2201.909472</v>
      </c>
      <c r="P436" s="1">
        <f>value(AED!$B436)</f>
        <v>2307.708477</v>
      </c>
      <c r="Q436" s="1">
        <f>value(KWD!$B436)</f>
        <v>31228.13863</v>
      </c>
    </row>
    <row r="437">
      <c r="A437" s="4">
        <f>value(USD!A437)</f>
        <v>40742.99861</v>
      </c>
      <c r="B437" s="1">
        <f>value(USD!B437)</f>
        <v>8563.6</v>
      </c>
      <c r="C437" s="1">
        <f>value(AUD!$B437)</f>
        <v>9183.398</v>
      </c>
      <c r="D437" s="1">
        <f>value(EUR!$B437)</f>
        <v>12168.4715</v>
      </c>
      <c r="E437" s="1">
        <f>value(GBP!$B437)</f>
        <v>13783.627</v>
      </c>
      <c r="F437" s="1">
        <f>value(CHF!$B437)</f>
        <v>10359.685</v>
      </c>
      <c r="G437" s="1">
        <f>value(SGD!$B437)</f>
        <v>7030.426</v>
      </c>
      <c r="H437" s="1">
        <f>value(MYR!$B437)</f>
        <v>2858.5736</v>
      </c>
      <c r="I437" s="1">
        <f>value(THB!$B437)</f>
        <v>286.608</v>
      </c>
      <c r="J437" s="1">
        <f>value(VND!$B437)</f>
        <v>0.4139823671</v>
      </c>
      <c r="K437" s="1">
        <f>value(CNY!$B437)</f>
        <v>1295.651448</v>
      </c>
      <c r="L437" s="1">
        <f>value(HKD!$B437)</f>
        <v>1094.7402</v>
      </c>
      <c r="M437" s="1">
        <f>value(TWD!$B437)</f>
        <v>296.4175</v>
      </c>
      <c r="N437" s="1">
        <f>value(JPY!$B437)</f>
        <v>108.2457</v>
      </c>
      <c r="O437" s="1">
        <f>value(SAR!$B437)</f>
        <v>2266.834665</v>
      </c>
      <c r="P437" s="1">
        <f>value(AED!$B437)</f>
        <v>2318.320368</v>
      </c>
      <c r="Q437" s="1">
        <f>value(KWD!$B437)</f>
        <v>31232.5177</v>
      </c>
    </row>
    <row r="438">
      <c r="A438" s="4">
        <f>value(USD!A438)</f>
        <v>40743.99861</v>
      </c>
      <c r="B438" s="1">
        <f>value(USD!B438)</f>
        <v>8540</v>
      </c>
      <c r="C438" s="1">
        <f>value(AUD!$B438)</f>
        <v>9248.9858</v>
      </c>
      <c r="D438" s="1">
        <f>value(EUR!$B438)</f>
        <v>12306.0855</v>
      </c>
      <c r="E438" s="1">
        <f>value(GBP!$B438)</f>
        <v>13932.384</v>
      </c>
      <c r="F438" s="1">
        <f>value(CHF!$B438)</f>
        <v>10441.6047</v>
      </c>
      <c r="G438" s="1">
        <f>value(SGD!$B438)</f>
        <v>7052.75718</v>
      </c>
      <c r="H438" s="1">
        <f>value(MYR!$B438)</f>
        <v>2857.16316</v>
      </c>
      <c r="I438" s="1">
        <f>value(THB!$B438)</f>
        <v>286.07487</v>
      </c>
      <c r="J438" s="1">
        <f>value(VND!$B438)</f>
        <v>0.4139569886</v>
      </c>
      <c r="K438" s="1">
        <f>value(CNY!$B438)</f>
        <v>1307.384267</v>
      </c>
      <c r="L438" s="1">
        <f>value(HKD!$B438)</f>
        <v>1095.55321</v>
      </c>
      <c r="M438" s="1">
        <f>value(TWD!$B438)</f>
        <v>300.58777</v>
      </c>
      <c r="N438" s="1">
        <f>value(JPY!$B438)</f>
        <v>108.67601</v>
      </c>
      <c r="O438" s="1">
        <f>value(SAR!$B438)</f>
        <v>2249.199879</v>
      </c>
      <c r="P438" s="1">
        <f>value(AED!$B438)</f>
        <v>2313.696657</v>
      </c>
      <c r="Q438" s="1">
        <f>value(KWD!$B438)</f>
        <v>30417.40798</v>
      </c>
    </row>
    <row r="439">
      <c r="A439" s="4">
        <f>value(USD!A439)</f>
        <v>40744.99861</v>
      </c>
      <c r="B439" s="1">
        <f>value(USD!B439)</f>
        <v>8530</v>
      </c>
      <c r="C439" s="1">
        <f>value(AUD!$B439)</f>
        <v>9247.92</v>
      </c>
      <c r="D439" s="1">
        <f>value(EUR!$B439)</f>
        <v>12239.3425</v>
      </c>
      <c r="E439" s="1">
        <f>value(GBP!$B439)</f>
        <v>13894.045</v>
      </c>
      <c r="F439" s="1">
        <f>value(CHF!$B439)</f>
        <v>10396.2375</v>
      </c>
      <c r="G439" s="1">
        <f>value(SGD!$B439)</f>
        <v>7051.88</v>
      </c>
      <c r="H439" s="1">
        <f>value(MYR!$B439)</f>
        <v>2861.5015</v>
      </c>
      <c r="I439" s="1">
        <f>value(THB!$B439)</f>
        <v>285.67275</v>
      </c>
      <c r="J439" s="1">
        <f>value(VND!$B439)</f>
        <v>0.40790457</v>
      </c>
      <c r="K439" s="1">
        <f>value(CNY!$B439)</f>
        <v>1308.88746</v>
      </c>
      <c r="L439" s="1">
        <f>value(HKD!$B439)</f>
        <v>1094.0985</v>
      </c>
      <c r="M439" s="1">
        <f>value(TWD!$B439)</f>
        <v>294.7945</v>
      </c>
      <c r="N439" s="1">
        <f>value(JPY!$B439)</f>
        <v>108.52325</v>
      </c>
      <c r="O439" s="1">
        <f>value(SAR!$B439)</f>
        <v>2258.167305</v>
      </c>
      <c r="P439" s="1">
        <f>value(AED!$B439)</f>
        <v>2316.061274</v>
      </c>
      <c r="Q439" s="1">
        <f>value(KWD!$B439)</f>
        <v>30702.29081</v>
      </c>
    </row>
    <row r="440">
      <c r="A440" s="4">
        <f>value(USD!A440)</f>
        <v>40745.99861</v>
      </c>
      <c r="B440" s="1">
        <f>value(USD!B440)</f>
        <v>8537</v>
      </c>
      <c r="C440" s="1">
        <f>value(AUD!$B440)</f>
        <v>9260.460439</v>
      </c>
      <c r="D440" s="1">
        <f>value(EUR!$B440)</f>
        <v>12265.58403</v>
      </c>
      <c r="E440" s="1">
        <f>value(GBP!$B440)</f>
        <v>13920.57964</v>
      </c>
      <c r="F440" s="1">
        <f>value(CHF!$B440)</f>
        <v>10428.69263</v>
      </c>
      <c r="G440" s="1">
        <f>value(SGD!$B440)</f>
        <v>7064.047284</v>
      </c>
      <c r="H440" s="1">
        <f>value(MYR!$B440)</f>
        <v>2867.463488</v>
      </c>
      <c r="I440" s="1">
        <f>value(THB!$B440)</f>
        <v>286.2510456</v>
      </c>
      <c r="J440" s="1">
        <f>value(VND!$B440)</f>
        <v>0.4081197129</v>
      </c>
      <c r="K440" s="1">
        <f>value(CNY!$B440)</f>
        <v>1329.6248</v>
      </c>
      <c r="L440" s="1">
        <f>value(HKD!$B440)</f>
        <v>1095.986253</v>
      </c>
      <c r="M440" s="1">
        <f>value(TWD!$B440)</f>
        <v>295.4739314</v>
      </c>
      <c r="N440" s="1">
        <f>value(JPY!$B440)</f>
        <v>108.7958926</v>
      </c>
      <c r="O440" s="1">
        <f>value(SAR!$B440)</f>
        <v>2220.290129</v>
      </c>
      <c r="P440" s="1">
        <f>value(AED!$B440)</f>
        <v>2257.190013</v>
      </c>
      <c r="Q440" s="1">
        <f>value(KWD!$B440)</f>
        <v>30787.49507</v>
      </c>
    </row>
    <row r="441">
      <c r="A441" s="4">
        <f>value(USD!A441)</f>
        <v>40746.99861</v>
      </c>
      <c r="B441" s="1">
        <f>value(USD!B441)</f>
        <v>8525</v>
      </c>
      <c r="C441" s="1">
        <f>value(AUD!$B441)</f>
        <v>9244.91919</v>
      </c>
      <c r="D441" s="1">
        <f>value(EUR!$B441)</f>
        <v>12267.72296</v>
      </c>
      <c r="E441" s="1">
        <f>value(GBP!$B441)</f>
        <v>13908.30814</v>
      </c>
      <c r="F441" s="1">
        <f>value(CHF!$B441)</f>
        <v>10475.35807</v>
      </c>
      <c r="G441" s="1">
        <f>value(SGD!$B441)</f>
        <v>7055.795316</v>
      </c>
      <c r="H441" s="1">
        <f>value(MYR!$B441)</f>
        <v>2810.226911</v>
      </c>
      <c r="I441" s="1">
        <f>value(THB!$B441)</f>
        <v>280.366116</v>
      </c>
      <c r="J441" s="1">
        <f>value(VND!$B441)</f>
        <v>0.4078608973</v>
      </c>
      <c r="K441" s="1">
        <f>value(CNY!$B441)</f>
        <v>1336.02042</v>
      </c>
      <c r="L441" s="1">
        <f>value(HKD!$B441)</f>
        <v>1094.348763</v>
      </c>
      <c r="M441" s="1">
        <f>value(TWD!$B441)</f>
        <v>295.4588175</v>
      </c>
      <c r="N441" s="1">
        <f>value(JPY!$B441)</f>
        <v>108.803882</v>
      </c>
      <c r="O441" s="1">
        <f>value(SAR!$B441)</f>
        <v>2259.487411</v>
      </c>
      <c r="P441" s="1">
        <f>value(AED!$B441)</f>
        <v>2275.154553</v>
      </c>
      <c r="Q441" s="1">
        <f>value(KWD!$B441)</f>
        <v>31424.36776</v>
      </c>
    </row>
    <row r="442">
      <c r="A442" s="4">
        <f>value(USD!A442)</f>
        <v>40747.99861</v>
      </c>
      <c r="B442" s="1">
        <f>value(USD!B442)</f>
        <v>8539.709</v>
      </c>
      <c r="C442" s="1">
        <f>value(AUD!$B442)</f>
        <v>9243.139275</v>
      </c>
      <c r="D442" s="1">
        <f>value(EUR!$B442)</f>
        <v>12247.47915</v>
      </c>
      <c r="E442" s="1">
        <f>value(GBP!$B442)</f>
        <v>13872.80571</v>
      </c>
      <c r="F442" s="1">
        <f>value(CHF!$B442)</f>
        <v>10566.75341</v>
      </c>
      <c r="G442" s="1">
        <f>value(SGD!$B442)</f>
        <v>7057.769665</v>
      </c>
      <c r="H442" s="1">
        <f>value(MYR!$B442)</f>
        <v>2867.376068</v>
      </c>
      <c r="I442" s="1">
        <f>value(THB!$B442)</f>
        <v>286.37112</v>
      </c>
      <c r="J442" s="1">
        <f>value(VND!$B442)</f>
        <v>0.4167680987</v>
      </c>
      <c r="K442" s="1">
        <f>value(CNY!$B442)</f>
        <v>1302.59866</v>
      </c>
      <c r="L442" s="1">
        <f>value(HKD!$B442)</f>
        <v>1093.750173</v>
      </c>
      <c r="M442" s="1">
        <f>value(TWD!$B442)</f>
        <v>295.405447</v>
      </c>
      <c r="N442" s="1">
        <f>value(JPY!$B442)</f>
        <v>108.8380715</v>
      </c>
      <c r="O442" s="1">
        <f>value(SAR!$B442)</f>
        <v>2270.834985</v>
      </c>
      <c r="P442" s="1">
        <f>value(AED!$B442)</f>
        <v>2279.373498</v>
      </c>
      <c r="Q442" s="1">
        <f>value(KWD!$B442)</f>
        <v>31337.97507</v>
      </c>
    </row>
    <row r="443">
      <c r="A443" s="4">
        <f>value(USD!A443)</f>
        <v>40748.99861</v>
      </c>
      <c r="B443" s="1">
        <f>value(USD!B443)</f>
        <v>8526.95</v>
      </c>
      <c r="C443" s="1">
        <f>value(AUD!$B443)</f>
        <v>9311.75</v>
      </c>
      <c r="D443" s="1">
        <f>value(EUR!$B443)</f>
        <v>12328.57</v>
      </c>
      <c r="E443" s="1">
        <f>value(GBP!$B443)</f>
        <v>13956.15</v>
      </c>
      <c r="F443" s="1">
        <f>value(CHF!$B443)</f>
        <v>10600.35</v>
      </c>
      <c r="G443" s="1">
        <f>value(SGD!$B443)</f>
        <v>7061.545</v>
      </c>
      <c r="H443" s="1">
        <f>value(MYR!$B443)</f>
        <v>2875.55</v>
      </c>
      <c r="I443" s="1">
        <f>value(THB!$B443)</f>
        <v>285.94</v>
      </c>
      <c r="J443" s="1">
        <f>value(VND!$B443)</f>
        <v>0.4105576916</v>
      </c>
      <c r="K443" s="1">
        <f>value(CNY!$B443)</f>
        <v>1333.73551</v>
      </c>
      <c r="L443" s="1">
        <f>value(HKD!$B443)</f>
        <v>1091.06</v>
      </c>
      <c r="M443" s="1">
        <f>value(TWD!$B443)</f>
        <v>295.46</v>
      </c>
      <c r="N443" s="1">
        <f>value(JPY!$B443)</f>
        <v>109.055</v>
      </c>
      <c r="O443" s="1">
        <f>value(SAR!$B443)</f>
        <v>2228.631609</v>
      </c>
      <c r="P443" s="1">
        <f>value(AED!$B443)</f>
        <v>2330.46</v>
      </c>
      <c r="Q443" s="1">
        <f>value(KWD!$B443)</f>
        <v>30631.03279</v>
      </c>
    </row>
    <row r="444">
      <c r="A444" s="4">
        <f>value(USD!A444)</f>
        <v>40749.99861</v>
      </c>
      <c r="B444" s="1">
        <f>value(USD!B444)</f>
        <v>8522.95</v>
      </c>
      <c r="C444" s="1">
        <f>value(AUD!$B444)</f>
        <v>9355.646</v>
      </c>
      <c r="D444" s="1">
        <f>value(EUR!$B444)</f>
        <v>12187.7858</v>
      </c>
      <c r="E444" s="1">
        <f>value(GBP!$B444)</f>
        <v>13846.69536</v>
      </c>
      <c r="F444" s="1">
        <f>value(CHF!$B444)</f>
        <v>10579.5986</v>
      </c>
      <c r="G444" s="1">
        <f>value(SGD!$B444)</f>
        <v>7040.14482</v>
      </c>
      <c r="H444" s="1">
        <f>value(MYR!$B444)</f>
        <v>2879.46936</v>
      </c>
      <c r="I444" s="1">
        <f>value(THB!$B444)</f>
        <v>284.5711</v>
      </c>
      <c r="J444" s="1">
        <f>value(VND!$B444)</f>
        <v>0.4088292956</v>
      </c>
      <c r="K444" s="1">
        <f>value(CNY!$B444)</f>
        <v>1334.67289</v>
      </c>
      <c r="L444" s="1">
        <f>value(HKD!$B444)</f>
        <v>1088.6647</v>
      </c>
      <c r="M444" s="1">
        <f>value(TWD!$B444)</f>
        <v>292.71382</v>
      </c>
      <c r="N444" s="1">
        <f>value(JPY!$B444)</f>
        <v>108.73924</v>
      </c>
      <c r="O444" s="1">
        <f>value(SAR!$B444)</f>
        <v>2270.834985</v>
      </c>
      <c r="P444" s="1">
        <f>value(AED!$B444)</f>
        <v>2324.9061</v>
      </c>
      <c r="Q444" s="1">
        <f>value(KWD!$B444)</f>
        <v>31351.44954</v>
      </c>
    </row>
    <row r="445">
      <c r="A445" s="4">
        <f>value(USD!A445)</f>
        <v>40750.99861</v>
      </c>
      <c r="B445" s="1">
        <f>value(USD!B445)</f>
        <v>8500</v>
      </c>
      <c r="C445" s="1">
        <f>value(AUD!$B445)</f>
        <v>9341.9515</v>
      </c>
      <c r="D445" s="1">
        <f>value(EUR!$B445)</f>
        <v>12173.335</v>
      </c>
      <c r="E445" s="1">
        <f>value(GBP!$B445)</f>
        <v>13902.4073</v>
      </c>
      <c r="F445" s="1">
        <f>value(CHF!$B445)</f>
        <v>10598.362</v>
      </c>
      <c r="G445" s="1">
        <f>value(SGD!$B445)</f>
        <v>7065.03665</v>
      </c>
      <c r="H445" s="1">
        <f>value(MYR!$B445)</f>
        <v>2883.8826</v>
      </c>
      <c r="I445" s="1">
        <f>value(THB!$B445)</f>
        <v>285.9417</v>
      </c>
      <c r="J445" s="1">
        <f>value(VND!$B445)</f>
        <v>0.4108277157</v>
      </c>
      <c r="K445" s="1">
        <f>value(CNY!$B445)</f>
        <v>1336.536</v>
      </c>
      <c r="L445" s="1">
        <f>value(HKD!$B445)</f>
        <v>1090.0784</v>
      </c>
      <c r="M445" s="1">
        <f>value(TWD!$B445)</f>
        <v>295.2862</v>
      </c>
      <c r="N445" s="1">
        <f>value(JPY!$B445)</f>
        <v>109.2457</v>
      </c>
      <c r="O445" s="1">
        <f>value(SAR!$B445)</f>
        <v>2261.06087</v>
      </c>
      <c r="P445" s="1">
        <f>value(AED!$B445)</f>
        <v>2269.790674</v>
      </c>
      <c r="Q445" s="1">
        <f>value(KWD!$B445)</f>
        <v>31385.00856</v>
      </c>
    </row>
    <row r="446">
      <c r="A446" s="4">
        <f>value(USD!A446)</f>
        <v>40751.99861</v>
      </c>
      <c r="B446" s="1">
        <f>value(USD!B446)</f>
        <v>8482</v>
      </c>
      <c r="C446" s="1">
        <f>value(AUD!$B446)</f>
        <v>9343.2</v>
      </c>
      <c r="D446" s="1">
        <f>value(EUR!$B446)</f>
        <v>12237.45</v>
      </c>
      <c r="E446" s="1">
        <f>value(GBP!$B446)</f>
        <v>13959.55</v>
      </c>
      <c r="F446" s="1">
        <f>value(CHF!$B446)</f>
        <v>10819.65</v>
      </c>
      <c r="G446" s="1">
        <f>value(SGD!$B446)</f>
        <v>7056.87</v>
      </c>
      <c r="H446" s="1">
        <f>value(MYR!$B446)</f>
        <v>2866.115</v>
      </c>
      <c r="I446" s="1">
        <f>value(THB!$B446)</f>
        <v>285.26</v>
      </c>
      <c r="J446" s="1">
        <f>value(VND!$B446)</f>
        <v>0.4110175525</v>
      </c>
      <c r="K446" s="1">
        <f>value(CNY!$B446)</f>
        <v>1345.47</v>
      </c>
      <c r="L446" s="1">
        <f>value(HKD!$B446)</f>
        <v>1090.55</v>
      </c>
      <c r="M446" s="1">
        <f>value(TWD!$B446)</f>
        <v>297.415</v>
      </c>
      <c r="N446" s="1">
        <f>value(JPY!$B446)</f>
        <v>110.67</v>
      </c>
      <c r="O446" s="1">
        <f>value(SAR!$B446)</f>
        <v>2271.481063</v>
      </c>
      <c r="P446" s="1">
        <f>value(AED!$B446)</f>
        <v>2324.19825</v>
      </c>
      <c r="Q446" s="1">
        <f>value(KWD!$B446)</f>
        <v>31404.9537</v>
      </c>
    </row>
    <row r="447">
      <c r="A447" s="4">
        <f>value(USD!A447)</f>
        <v>40752.99861</v>
      </c>
      <c r="B447" s="1">
        <f>value(USD!B447)</f>
        <v>8495</v>
      </c>
      <c r="C447" s="1">
        <f>value(AUD!$B447)</f>
        <v>9042.5188</v>
      </c>
      <c r="D447" s="1">
        <f>value(EUR!$B447)</f>
        <v>11876.1496</v>
      </c>
      <c r="E447" s="1">
        <f>value(GBP!$B447)</f>
        <v>13553.8704</v>
      </c>
      <c r="F447" s="1">
        <f>value(CHF!$B447)</f>
        <v>10482.4524</v>
      </c>
      <c r="G447" s="1">
        <f>value(SGD!$B447)</f>
        <v>6854.71143</v>
      </c>
      <c r="H447" s="1">
        <f>value(MYR!$B447)</f>
        <v>2781.532285</v>
      </c>
      <c r="I447" s="1">
        <f>value(THB!$B447)</f>
        <v>277.08814</v>
      </c>
      <c r="J447" s="1">
        <f>value(VND!$B447)</f>
        <v>0.4110576916</v>
      </c>
      <c r="K447" s="1">
        <f>value(CNY!$B447)</f>
        <v>1336.7088</v>
      </c>
      <c r="L447" s="1">
        <f>value(HKD!$B447)</f>
        <v>1059.061255</v>
      </c>
      <c r="M447" s="1">
        <f>value(TWD!$B447)</f>
        <v>288.64724</v>
      </c>
      <c r="N447" s="1">
        <f>value(JPY!$B447)</f>
        <v>106.921675</v>
      </c>
      <c r="O447" s="1">
        <f>value(SAR!$B447)</f>
        <v>2266.988443</v>
      </c>
      <c r="P447" s="1">
        <f>value(AED!$B447)</f>
        <v>2325.83175</v>
      </c>
      <c r="Q447" s="1">
        <f>value(KWD!$B447)</f>
        <v>31594.4134</v>
      </c>
    </row>
    <row r="448">
      <c r="A448" s="4">
        <f>value(USD!A448)</f>
        <v>40753.99861</v>
      </c>
      <c r="B448" s="1">
        <f>value(USD!B448)</f>
        <v>8500</v>
      </c>
      <c r="C448" s="1">
        <f>value(AUD!$B448)</f>
        <v>9355.894965</v>
      </c>
      <c r="D448" s="1">
        <f>value(EUR!$B448)</f>
        <v>12204.22821</v>
      </c>
      <c r="E448" s="1">
        <f>value(GBP!$B448)</f>
        <v>13945.86796</v>
      </c>
      <c r="F448" s="1">
        <f>value(CHF!$B448)</f>
        <v>10743.0868</v>
      </c>
      <c r="G448" s="1">
        <f>value(SGD!$B448)</f>
        <v>7064.478444</v>
      </c>
      <c r="H448" s="1">
        <f>value(MYR!$B448)</f>
        <v>2858.108187</v>
      </c>
      <c r="I448" s="1">
        <f>value(THB!$B448)</f>
        <v>284.748325</v>
      </c>
      <c r="J448" s="1">
        <f>value(VND!$B448)</f>
        <v>0.4136604128</v>
      </c>
      <c r="K448" s="1">
        <f>value(CNY!$B448)</f>
        <v>1306.877328</v>
      </c>
      <c r="L448" s="1">
        <f>value(HKD!$B448)</f>
        <v>1090.543585</v>
      </c>
      <c r="M448" s="1">
        <f>value(TWD!$B448)</f>
        <v>296.7332545</v>
      </c>
      <c r="N448" s="1">
        <f>value(JPY!$B448)</f>
        <v>109.989353</v>
      </c>
      <c r="O448" s="1">
        <f>value(SAR!$B448)</f>
        <v>2269.328198</v>
      </c>
      <c r="P448" s="1">
        <f>value(AED!$B448)</f>
        <v>2327.7375</v>
      </c>
      <c r="Q448" s="1">
        <f>value(KWD!$B448)</f>
        <v>31382.91513</v>
      </c>
    </row>
    <row r="449">
      <c r="A449" s="4">
        <f>value(USD!A449)</f>
        <v>40754.99861</v>
      </c>
      <c r="B449" s="1">
        <f>value(USD!B449)</f>
        <v>8256.5</v>
      </c>
      <c r="C449" s="1">
        <f>value(AUD!$B449)</f>
        <v>9255.285648</v>
      </c>
      <c r="D449" s="1">
        <f>value(EUR!$B449)</f>
        <v>12027.15696</v>
      </c>
      <c r="E449" s="1">
        <f>value(GBP!$B449)</f>
        <v>13748.45472</v>
      </c>
      <c r="F449" s="1">
        <f>value(CHF!$B449)</f>
        <v>10736.81616</v>
      </c>
      <c r="G449" s="1">
        <f>value(SGD!$B449)</f>
        <v>7014.562464</v>
      </c>
      <c r="H449" s="1">
        <f>value(MYR!$B449)</f>
        <v>2879.399712</v>
      </c>
      <c r="I449" s="1">
        <f>value(THB!$B449)</f>
        <v>284.21232</v>
      </c>
      <c r="J449" s="1">
        <f>value(VND!$B449)</f>
        <v>0.4115606864</v>
      </c>
      <c r="K449" s="1">
        <f>value(CNY!$B449)</f>
        <v>1333.7208</v>
      </c>
      <c r="L449" s="1">
        <f>value(HKD!$B449)</f>
        <v>1082.536896</v>
      </c>
      <c r="M449" s="1">
        <f>value(TWD!$B449)</f>
        <v>289.103808</v>
      </c>
      <c r="N449" s="1">
        <f>value(JPY!$B449)</f>
        <v>108.79344</v>
      </c>
      <c r="O449" s="1">
        <f>value(SAR!$B449)</f>
        <v>2211.563577</v>
      </c>
      <c r="P449" s="1">
        <f>value(AED!$B449)</f>
        <v>2341.35</v>
      </c>
      <c r="Q449" s="1">
        <f>value(KWD!$B449)</f>
        <v>30734.605</v>
      </c>
    </row>
    <row r="450">
      <c r="A450" s="4">
        <f>value(USD!A450)</f>
        <v>40755.99861</v>
      </c>
      <c r="B450" s="1">
        <f>value(USD!B450)</f>
        <v>8499.95</v>
      </c>
      <c r="C450" s="1">
        <f>value(AUD!$B450)</f>
        <v>9094.0413</v>
      </c>
      <c r="D450" s="1">
        <f>value(EUR!$B450)</f>
        <v>11999.30806</v>
      </c>
      <c r="E450" s="1">
        <f>value(GBP!$B450)</f>
        <v>13781.62162</v>
      </c>
      <c r="F450" s="1">
        <f>value(CHF!$B450)</f>
        <v>11064.41691</v>
      </c>
      <c r="G450" s="1">
        <f>value(SGD!$B450)</f>
        <v>7005.714106</v>
      </c>
      <c r="H450" s="1">
        <f>value(MYR!$B450)</f>
        <v>2847.51876</v>
      </c>
      <c r="I450" s="1">
        <f>value(THB!$B450)</f>
        <v>283.0668535</v>
      </c>
      <c r="J450" s="1">
        <f>value(VND!$B450)</f>
        <v>0.4073882702</v>
      </c>
      <c r="K450" s="1">
        <f>value(CNY!$B450)</f>
        <v>1337.198594</v>
      </c>
      <c r="L450" s="1">
        <f>value(HKD!$B450)</f>
        <v>1086.204486</v>
      </c>
      <c r="M450" s="1">
        <f>value(TWD!$B450)</f>
        <v>292.8890955</v>
      </c>
      <c r="N450" s="1">
        <f>value(JPY!$B450)</f>
        <v>109.568803</v>
      </c>
      <c r="O450" s="1">
        <f>value(SAR!$B450)</f>
        <v>2229.224415</v>
      </c>
      <c r="P450" s="1">
        <f>value(AED!$B450)</f>
        <v>2326.18944</v>
      </c>
      <c r="Q450" s="1">
        <f>value(KWD!$B450)</f>
        <v>31363.88364</v>
      </c>
    </row>
    <row r="451">
      <c r="A451" s="4">
        <f>value(USD!A451)</f>
        <v>40756.99861</v>
      </c>
      <c r="B451" s="1">
        <f>value(USD!B451)</f>
        <v>8433.6</v>
      </c>
      <c r="C451" s="1">
        <f>value(AUD!$B451)</f>
        <v>8957.9152</v>
      </c>
      <c r="D451" s="1">
        <f>value(EUR!$B451)</f>
        <v>11947.16151</v>
      </c>
      <c r="E451" s="1">
        <f>value(GBP!$B451)</f>
        <v>13680.30164</v>
      </c>
      <c r="F451" s="1">
        <f>value(CHF!$B451)</f>
        <v>10803.61204</v>
      </c>
      <c r="G451" s="1">
        <f>value(SGD!$B451)</f>
        <v>6906.003156</v>
      </c>
      <c r="H451" s="1">
        <f>value(MYR!$B451)</f>
        <v>2809.421992</v>
      </c>
      <c r="I451" s="1">
        <f>value(THB!$B451)</f>
        <v>280.059728</v>
      </c>
      <c r="J451" s="1">
        <f>value(VND!$B451)</f>
        <v>0.4096153839</v>
      </c>
      <c r="K451" s="1">
        <f>value(CNY!$B451)</f>
        <v>1337.198594</v>
      </c>
      <c r="L451" s="1">
        <f>value(HKD!$B451)</f>
        <v>1067.457144</v>
      </c>
      <c r="M451" s="1">
        <f>value(TWD!$B451)</f>
        <v>288.384928</v>
      </c>
      <c r="N451" s="1">
        <f>value(JPY!$B451)</f>
        <v>107.894592</v>
      </c>
      <c r="O451" s="1">
        <f>value(SAR!$B451)</f>
        <v>2233.298649</v>
      </c>
      <c r="P451" s="1">
        <f>value(AED!$B451)</f>
        <v>2275.37424</v>
      </c>
      <c r="Q451" s="1">
        <f>value(KWD!$B451)</f>
        <v>31371.13468</v>
      </c>
    </row>
    <row r="452">
      <c r="A452" s="4">
        <f>value(USD!A452)</f>
        <v>40757.99861</v>
      </c>
      <c r="B452" s="1">
        <f>value(USD!B452)</f>
        <v>8467.45</v>
      </c>
      <c r="C452" s="1">
        <f>value(AUD!$B452)</f>
        <v>8844.846704</v>
      </c>
      <c r="D452" s="1">
        <f>value(EUR!$B452)</f>
        <v>11917.27784</v>
      </c>
      <c r="E452" s="1">
        <f>value(GBP!$B452)</f>
        <v>13753.24692</v>
      </c>
      <c r="F452" s="1">
        <f>value(CHF!$B452)</f>
        <v>11059.87096</v>
      </c>
      <c r="G452" s="1">
        <f>value(SGD!$B452)</f>
        <v>6901.278144</v>
      </c>
      <c r="H452" s="1">
        <f>value(MYR!$B452)</f>
        <v>2822.071716</v>
      </c>
      <c r="I452" s="1">
        <f>value(THB!$B452)</f>
        <v>281.7073</v>
      </c>
      <c r="J452" s="1">
        <f>value(VND!$B452)</f>
        <v>0.4103366124</v>
      </c>
      <c r="K452" s="1">
        <f>value(CNY!$B452)</f>
        <v>1330.2981</v>
      </c>
      <c r="L452" s="1">
        <f>value(HKD!$B452)</f>
        <v>1085.992232</v>
      </c>
      <c r="M452" s="1">
        <f>value(TWD!$B452)</f>
        <v>288.90884</v>
      </c>
      <c r="N452" s="1">
        <f>value(JPY!$B452)</f>
        <v>106.921688</v>
      </c>
      <c r="O452" s="1">
        <f>value(SAR!$B452)</f>
        <v>2282.666609</v>
      </c>
      <c r="P452" s="1">
        <f>value(AED!$B452)</f>
        <v>2319.57</v>
      </c>
      <c r="Q452" s="1">
        <f>value(KWD!$B452)</f>
        <v>31405.76993</v>
      </c>
    </row>
    <row r="453">
      <c r="A453" s="4">
        <f>value(USD!A453)</f>
        <v>40758.99861</v>
      </c>
      <c r="B453" s="1">
        <f>value(USD!B453)</f>
        <v>8325.2</v>
      </c>
      <c r="C453" s="1">
        <f>value(AUD!$B453)</f>
        <v>8889.6078</v>
      </c>
      <c r="D453" s="1">
        <f>value(EUR!$B453)</f>
        <v>12159.3486</v>
      </c>
      <c r="E453" s="1">
        <f>value(GBP!$B453)</f>
        <v>13954.30006</v>
      </c>
      <c r="F453" s="1">
        <f>value(CHF!$B453)</f>
        <v>11094.97985</v>
      </c>
      <c r="G453" s="1">
        <f>value(SGD!$B453)</f>
        <v>6996.138368</v>
      </c>
      <c r="H453" s="1">
        <f>value(MYR!$B453)</f>
        <v>2851.997353</v>
      </c>
      <c r="I453" s="1">
        <f>value(THB!$B453)</f>
        <v>287.124114</v>
      </c>
      <c r="J453" s="1">
        <f>value(VND!$B453)</f>
        <v>0.4102379801</v>
      </c>
      <c r="K453" s="1">
        <f>value(CNY!$B453)</f>
        <v>1331.865</v>
      </c>
      <c r="L453" s="1">
        <f>value(HKD!$B453)</f>
        <v>1090.594796</v>
      </c>
      <c r="M453" s="1">
        <f>value(TWD!$B453)</f>
        <v>295.809363</v>
      </c>
      <c r="N453" s="1">
        <f>value(JPY!$B453)</f>
        <v>108.5656125</v>
      </c>
      <c r="O453" s="1">
        <f>value(SAR!$B453)</f>
        <v>2277.226609</v>
      </c>
      <c r="P453" s="1">
        <f>value(AED!$B453)</f>
        <v>2323.180967</v>
      </c>
      <c r="Q453" s="1">
        <f>value(KWD!$B453)</f>
        <v>31184.56806</v>
      </c>
    </row>
    <row r="454">
      <c r="A454" s="4">
        <f>value(USD!A454)</f>
        <v>40759.99861</v>
      </c>
      <c r="B454" s="1">
        <f>value(USD!B454)</f>
        <v>8472.4</v>
      </c>
      <c r="C454" s="1">
        <f>value(AUD!$B454)</f>
        <v>8726.06614</v>
      </c>
      <c r="D454" s="1">
        <f>value(EUR!$B454)</f>
        <v>11828.90885</v>
      </c>
      <c r="E454" s="1">
        <f>value(GBP!$B454)</f>
        <v>13696.6313</v>
      </c>
      <c r="F454" s="1">
        <f>value(CHF!$B454)</f>
        <v>11085.99822</v>
      </c>
      <c r="G454" s="1">
        <f>value(SGD!$B454)</f>
        <v>6866.115421</v>
      </c>
      <c r="H454" s="1">
        <f>value(MYR!$B454)</f>
        <v>2774.507967</v>
      </c>
      <c r="I454" s="1">
        <f>value(THB!$B454)</f>
        <v>279.531615</v>
      </c>
      <c r="J454" s="1">
        <f>value(VND!$B454)</f>
        <v>0.4081730762</v>
      </c>
      <c r="K454" s="1">
        <f>value(CNY!$B454)</f>
        <v>1314.57692</v>
      </c>
      <c r="L454" s="1">
        <f>value(HKD!$B454)</f>
        <v>1070.326136</v>
      </c>
      <c r="M454" s="1">
        <f>value(TWD!$B454)</f>
        <v>287.804748</v>
      </c>
      <c r="N454" s="1">
        <f>value(JPY!$B454)</f>
        <v>106.464358</v>
      </c>
      <c r="O454" s="1">
        <f>value(SAR!$B454)</f>
        <v>2224.05053</v>
      </c>
      <c r="P454" s="1">
        <f>value(AED!$B454)</f>
        <v>2323.180967</v>
      </c>
      <c r="Q454" s="1">
        <f>value(KWD!$B454)</f>
        <v>31221.299</v>
      </c>
    </row>
    <row r="455">
      <c r="A455" s="4">
        <f>value(USD!A455)</f>
        <v>40760.99861</v>
      </c>
      <c r="B455" s="1">
        <f>value(USD!B455)</f>
        <v>8514.95</v>
      </c>
      <c r="C455" s="1">
        <f>value(AUD!$B455)</f>
        <v>8836.389362</v>
      </c>
      <c r="D455" s="1">
        <f>value(EUR!$B455)</f>
        <v>12179.78448</v>
      </c>
      <c r="E455" s="1">
        <f>value(GBP!$B455)</f>
        <v>13980.6964</v>
      </c>
      <c r="F455" s="1">
        <f>value(CHF!$B455)</f>
        <v>11178.42636</v>
      </c>
      <c r="G455" s="1">
        <f>value(SGD!$B455)</f>
        <v>7007.633551</v>
      </c>
      <c r="H455" s="1">
        <f>value(MYR!$B455)</f>
        <v>2856.254828</v>
      </c>
      <c r="I455" s="1">
        <f>value(THB!$B455)</f>
        <v>287.8904595</v>
      </c>
      <c r="J455" s="1">
        <f>value(VND!$B455)</f>
        <v>0.408555628</v>
      </c>
      <c r="K455" s="1">
        <f>value(CNY!$B455)</f>
        <v>1309.799645</v>
      </c>
      <c r="L455" s="1">
        <f>value(HKD!$B455)</f>
        <v>1090.850244</v>
      </c>
      <c r="M455" s="1">
        <f>value(TWD!$B455)</f>
        <v>296.2351105</v>
      </c>
      <c r="N455" s="1">
        <f>value(JPY!$B455)</f>
        <v>108.7359115</v>
      </c>
      <c r="O455" s="1">
        <f>value(SAR!$B455)</f>
        <v>2287.265006</v>
      </c>
      <c r="P455" s="1">
        <f>value(AED!$B455)</f>
        <v>2311.4025</v>
      </c>
      <c r="Q455" s="1">
        <f>value(KWD!$B455)</f>
        <v>30878.34983</v>
      </c>
    </row>
    <row r="456">
      <c r="A456" s="4">
        <f>value(USD!A456)</f>
        <v>40761.99861</v>
      </c>
      <c r="B456" s="1">
        <f>value(USD!B456)</f>
        <v>8356.7</v>
      </c>
      <c r="C456" s="1">
        <f>value(AUD!$B456)</f>
        <v>8583.939618</v>
      </c>
      <c r="D456" s="1">
        <f>value(EUR!$B456)</f>
        <v>12013.66631</v>
      </c>
      <c r="E456" s="1">
        <f>value(GBP!$B456)</f>
        <v>13830.98992</v>
      </c>
      <c r="F456" s="1">
        <f>value(CHF!$B456)</f>
        <v>11239.68231</v>
      </c>
      <c r="G456" s="1">
        <f>value(SGD!$B456)</f>
        <v>6927.873279</v>
      </c>
      <c r="H456" s="1">
        <f>value(MYR!$B456)</f>
        <v>2792.158539</v>
      </c>
      <c r="I456" s="1">
        <f>value(THB!$B456)</f>
        <v>281.47956</v>
      </c>
      <c r="J456" s="1">
        <f>value(VND!$B456)</f>
        <v>0.4073499397</v>
      </c>
      <c r="K456" s="1">
        <f>value(CNY!$B456)</f>
        <v>1338.280086</v>
      </c>
      <c r="L456" s="1">
        <f>value(HKD!$B456)</f>
        <v>1085.815881</v>
      </c>
      <c r="M456" s="1">
        <f>value(TWD!$B456)</f>
        <v>290.381775</v>
      </c>
      <c r="N456" s="1">
        <f>value(JPY!$B456)</f>
        <v>109.285287</v>
      </c>
      <c r="O456" s="1">
        <f>value(SAR!$B456)</f>
        <v>2276.654672</v>
      </c>
      <c r="P456" s="1">
        <f>value(AED!$B456)</f>
        <v>2314.125</v>
      </c>
      <c r="Q456" s="1">
        <f>value(KWD!$B456)</f>
        <v>30699.75628</v>
      </c>
    </row>
    <row r="457">
      <c r="A457" s="4">
        <f>value(USD!A457)</f>
        <v>40762.99861</v>
      </c>
      <c r="B457" s="1">
        <f>value(USD!B457)</f>
        <v>8514.95</v>
      </c>
      <c r="C457" s="1">
        <f>value(AUD!$B457)</f>
        <v>8842.97232</v>
      </c>
      <c r="D457" s="1">
        <f>value(EUR!$B457)</f>
        <v>12244.30552</v>
      </c>
      <c r="E457" s="1">
        <f>value(GBP!$B457)</f>
        <v>13891.35384</v>
      </c>
      <c r="F457" s="1">
        <f>value(CHF!$B457)</f>
        <v>11776.43376</v>
      </c>
      <c r="G457" s="1">
        <f>value(SGD!$B457)</f>
        <v>7048.654704</v>
      </c>
      <c r="H457" s="1">
        <f>value(MYR!$B457)</f>
        <v>2841.301008</v>
      </c>
      <c r="I457" s="1">
        <f>value(THB!$B457)</f>
        <v>286.532064</v>
      </c>
      <c r="J457" s="1">
        <f>value(VND!$B457)</f>
        <v>0.4076623649</v>
      </c>
      <c r="K457" s="1">
        <f>value(CNY!$B457)</f>
        <v>1334.874</v>
      </c>
      <c r="L457" s="1">
        <f>value(HKD!$B457)</f>
        <v>1091.019384</v>
      </c>
      <c r="M457" s="1">
        <f>value(TWD!$B457)</f>
        <v>295.731072</v>
      </c>
      <c r="N457" s="1">
        <f>value(JPY!$B457)</f>
        <v>110.473272</v>
      </c>
      <c r="O457" s="1">
        <f>value(SAR!$B457)</f>
        <v>2278.011794</v>
      </c>
      <c r="P457" s="1">
        <f>value(AED!$B457)</f>
        <v>2286.85636</v>
      </c>
      <c r="Q457" s="1">
        <f>value(KWD!$B457)</f>
        <v>31272.21095</v>
      </c>
    </row>
    <row r="458">
      <c r="A458" s="4">
        <f>value(USD!A458)</f>
        <v>40763.99861</v>
      </c>
      <c r="B458" s="1">
        <f>value(USD!B458)</f>
        <v>8478.3</v>
      </c>
      <c r="C458" s="1">
        <f>value(AUD!$B458)</f>
        <v>8607.40378</v>
      </c>
      <c r="D458" s="1">
        <f>value(EUR!$B458)</f>
        <v>12007.52378</v>
      </c>
      <c r="E458" s="1">
        <f>value(GBP!$B458)</f>
        <v>13699.08348</v>
      </c>
      <c r="F458" s="1">
        <f>value(CHF!$B458)</f>
        <v>11697.26283</v>
      </c>
      <c r="G458" s="1">
        <f>value(SGD!$B458)</f>
        <v>6960.640661</v>
      </c>
      <c r="H458" s="1">
        <f>value(MYR!$B458)</f>
        <v>2813.684303</v>
      </c>
      <c r="I458" s="1">
        <f>value(THB!$B458)</f>
        <v>282.549972</v>
      </c>
      <c r="J458" s="1">
        <f>value(VND!$B458)</f>
        <v>0.4110019197</v>
      </c>
      <c r="K458" s="1">
        <f>value(CNY!$B458)</f>
        <v>1340.02738</v>
      </c>
      <c r="L458" s="1">
        <f>value(HKD!$B458)</f>
        <v>1088.88843</v>
      </c>
      <c r="M458" s="1">
        <f>value(TWD!$B458)</f>
        <v>288.415179</v>
      </c>
      <c r="N458" s="1">
        <f>value(JPY!$B458)</f>
        <v>110.758909</v>
      </c>
      <c r="O458" s="1">
        <f>value(SAR!$B458)</f>
        <v>2279.999943</v>
      </c>
      <c r="P458" s="1">
        <f>value(AED!$B458)</f>
        <v>2280.816105</v>
      </c>
      <c r="Q458" s="1">
        <f>value(KWD!$B458)</f>
        <v>31206.58024</v>
      </c>
    </row>
    <row r="459">
      <c r="A459" s="4">
        <f>value(USD!A459)</f>
        <v>40764.99861</v>
      </c>
      <c r="B459" s="1">
        <f>value(USD!B459)</f>
        <v>8517.6</v>
      </c>
      <c r="C459" s="1">
        <f>value(AUD!$B459)</f>
        <v>8795.21248</v>
      </c>
      <c r="D459" s="1">
        <f>value(EUR!$B459)</f>
        <v>12103.62832</v>
      </c>
      <c r="E459" s="1">
        <f>value(GBP!$B459)</f>
        <v>13809.74297</v>
      </c>
      <c r="F459" s="1">
        <f>value(CHF!$B459)</f>
        <v>11168.45625</v>
      </c>
      <c r="G459" s="1">
        <f>value(SGD!$B459)</f>
        <v>7014.471269</v>
      </c>
      <c r="H459" s="1">
        <f>value(MYR!$B459)</f>
        <v>2834.618016</v>
      </c>
      <c r="I459" s="1">
        <f>value(THB!$B459)</f>
        <v>283.35969</v>
      </c>
      <c r="J459" s="1">
        <f>value(VND!$B459)</f>
        <v>0.4102379158</v>
      </c>
      <c r="K459" s="1">
        <f>value(CNY!$B459)</f>
        <v>1341.454273</v>
      </c>
      <c r="L459" s="1">
        <f>value(HKD!$B459)</f>
        <v>1091.658097</v>
      </c>
      <c r="M459" s="1">
        <f>value(TWD!$B459)</f>
        <v>293.911222</v>
      </c>
      <c r="N459" s="1">
        <f>value(JPY!$B459)</f>
        <v>110.6209</v>
      </c>
      <c r="O459" s="1">
        <f>value(SAR!$B459)</f>
        <v>2293.149838</v>
      </c>
      <c r="P459" s="1">
        <f>value(AED!$B459)</f>
        <v>2328.540637</v>
      </c>
      <c r="Q459" s="1">
        <f>value(KWD!$B459)</f>
        <v>31298.44717</v>
      </c>
    </row>
    <row r="460">
      <c r="A460" s="4">
        <f>value(USD!A460)</f>
        <v>40765.99861</v>
      </c>
      <c r="B460" s="1">
        <f>value(USD!B460)</f>
        <v>8500.3</v>
      </c>
      <c r="C460" s="1">
        <f>value(AUD!$B460)</f>
        <v>8700.70084</v>
      </c>
      <c r="D460" s="1">
        <f>value(EUR!$B460)</f>
        <v>11974.57587</v>
      </c>
      <c r="E460" s="1">
        <f>value(GBP!$B460)</f>
        <v>13588.41822</v>
      </c>
      <c r="F460" s="1">
        <f>value(CHF!$B460)</f>
        <v>10571.53396</v>
      </c>
      <c r="G460" s="1">
        <f>value(SGD!$B460)</f>
        <v>6906.492268</v>
      </c>
      <c r="H460" s="1">
        <f>value(MYR!$B460)</f>
        <v>2757.156896</v>
      </c>
      <c r="I460" s="1">
        <f>value(THB!$B460)</f>
        <v>274.985932</v>
      </c>
      <c r="J460" s="1">
        <f>value(VND!$B460)</f>
        <v>0.4119206724</v>
      </c>
      <c r="K460" s="1">
        <f>value(CNY!$B460)</f>
        <v>1327.337627</v>
      </c>
      <c r="L460" s="1">
        <f>value(HKD!$B460)</f>
        <v>1064.368045</v>
      </c>
      <c r="M460" s="1">
        <f>value(TWD!$B460)</f>
        <v>289.41523</v>
      </c>
      <c r="N460" s="1">
        <f>value(JPY!$B460)</f>
        <v>107.888027</v>
      </c>
      <c r="O460" s="1">
        <f>value(SAR!$B460)</f>
        <v>2278.643019</v>
      </c>
      <c r="P460" s="1">
        <f>value(AED!$B460)</f>
        <v>2323.65375</v>
      </c>
      <c r="Q460" s="1">
        <f>value(KWD!$B460)</f>
        <v>31211.11515</v>
      </c>
    </row>
    <row r="461">
      <c r="A461" s="4">
        <f>value(USD!A461)</f>
        <v>40766.99861</v>
      </c>
      <c r="B461" s="1">
        <f>value(USD!B461)</f>
        <v>8509.3</v>
      </c>
      <c r="C461" s="1">
        <f>value(AUD!$B461)</f>
        <v>8753.23064</v>
      </c>
      <c r="D461" s="1">
        <f>value(EUR!$B461)</f>
        <v>12033.18452</v>
      </c>
      <c r="E461" s="1">
        <f>value(GBP!$B461)</f>
        <v>13740.03106</v>
      </c>
      <c r="F461" s="1">
        <f>value(CHF!$B461)</f>
        <v>10501.87068</v>
      </c>
      <c r="G461" s="1">
        <f>value(SGD!$B461)</f>
        <v>6959.202859</v>
      </c>
      <c r="H461" s="1">
        <f>value(MYR!$B461)</f>
        <v>2798.241999</v>
      </c>
      <c r="I461" s="1">
        <f>value(THB!$B461)</f>
        <v>279.514928</v>
      </c>
      <c r="J461" s="1">
        <f>value(VND!$B461)</f>
        <v>0.4119178004</v>
      </c>
      <c r="K461" s="1">
        <f>value(CNY!$B461)</f>
        <v>1338.564645</v>
      </c>
      <c r="L461" s="1">
        <f>value(HKD!$B461)</f>
        <v>1072.588384</v>
      </c>
      <c r="M461" s="1">
        <f>value(TWD!$B461)</f>
        <v>289.628955</v>
      </c>
      <c r="N461" s="1">
        <f>value(JPY!$B461)</f>
        <v>108.830274</v>
      </c>
      <c r="O461" s="1">
        <f>value(SAR!$B461)</f>
        <v>2229.179378</v>
      </c>
      <c r="P461" s="1">
        <f>value(AED!$B461)</f>
        <v>2332.453028</v>
      </c>
      <c r="Q461" s="1">
        <f>value(KWD!$B461)</f>
        <v>30926.13452</v>
      </c>
    </row>
    <row r="462">
      <c r="A462" s="4">
        <f>value(USD!A462)</f>
        <v>40770.99861</v>
      </c>
      <c r="B462" s="1">
        <f>value(USD!B462)</f>
        <v>8292.7</v>
      </c>
      <c r="C462" s="1">
        <f>value(AUD!$B462)</f>
        <v>8823.05712</v>
      </c>
      <c r="D462" s="1">
        <f>value(EUR!$B462)</f>
        <v>12081.45834</v>
      </c>
      <c r="E462" s="1">
        <f>value(GBP!$B462)</f>
        <v>13848.41454</v>
      </c>
      <c r="F462" s="1">
        <f>value(CHF!$B462)</f>
        <v>10602.57462</v>
      </c>
      <c r="G462" s="1">
        <f>value(SGD!$B462)</f>
        <v>6962.812332</v>
      </c>
      <c r="H462" s="1">
        <f>value(MYR!$B462)</f>
        <v>2810.38152</v>
      </c>
      <c r="I462" s="1">
        <f>value(THB!$B462)</f>
        <v>280.200732</v>
      </c>
      <c r="J462" s="1">
        <f>value(VND!$B462)</f>
        <v>0.409376654</v>
      </c>
      <c r="K462" s="1">
        <f>value(CNY!$B462)</f>
        <v>1347.73065</v>
      </c>
      <c r="L462" s="1">
        <f>value(HKD!$B462)</f>
        <v>1074.82857</v>
      </c>
      <c r="M462" s="1">
        <f>value(TWD!$B462)</f>
        <v>288.658674</v>
      </c>
      <c r="N462" s="1">
        <f>value(JPY!$B462)</f>
        <v>109.367052</v>
      </c>
      <c r="O462" s="1">
        <f>value(SAR!$B462)</f>
        <v>2275.696038</v>
      </c>
      <c r="P462" s="1">
        <f>value(AED!$B462)</f>
        <v>2333.168887</v>
      </c>
      <c r="Q462" s="1">
        <f>value(KWD!$B462)</f>
        <v>31136.89954</v>
      </c>
    </row>
    <row r="463">
      <c r="A463" s="4">
        <f>value(USD!A463)</f>
        <v>40771.99861</v>
      </c>
      <c r="B463" s="1">
        <f>value(USD!B463)</f>
        <v>8358.7</v>
      </c>
      <c r="C463" s="1">
        <f>value(AUD!$B463)</f>
        <v>8881</v>
      </c>
      <c r="D463" s="1">
        <f>value(EUR!$B463)</f>
        <v>12266.48</v>
      </c>
      <c r="E463" s="1">
        <f>value(GBP!$B463)</f>
        <v>14127.424</v>
      </c>
      <c r="F463" s="1">
        <f>value(CHF!$B463)</f>
        <v>10776.184</v>
      </c>
      <c r="G463" s="1">
        <f>value(SGD!$B463)</f>
        <v>7027.9312</v>
      </c>
      <c r="H463" s="1">
        <f>value(MYR!$B463)</f>
        <v>2868.5416</v>
      </c>
      <c r="I463" s="1">
        <f>value(THB!$B463)</f>
        <v>285.9896</v>
      </c>
      <c r="J463" s="1">
        <f>value(VND!$B463)</f>
        <v>0.412129807</v>
      </c>
      <c r="K463" s="1">
        <f>value(CNY!$B463)</f>
        <v>1362.579387</v>
      </c>
      <c r="L463" s="1">
        <f>value(HKD!$B463)</f>
        <v>1098.1624</v>
      </c>
      <c r="M463" s="1">
        <f>value(TWD!$B463)</f>
        <v>294.5496</v>
      </c>
      <c r="N463" s="1">
        <f>value(JPY!$B463)</f>
        <v>111.708</v>
      </c>
      <c r="O463" s="1">
        <f>value(SAR!$B463)</f>
        <v>2271.999943</v>
      </c>
      <c r="P463" s="1">
        <f>value(AED!$B463)</f>
        <v>2311.44074</v>
      </c>
      <c r="Q463" s="1">
        <f>value(KWD!$B463)</f>
        <v>31374.03887</v>
      </c>
    </row>
    <row r="464">
      <c r="A464" s="4">
        <f>value(USD!A464)</f>
        <v>40772.99861</v>
      </c>
      <c r="B464" s="1">
        <f>value(USD!B464)</f>
        <v>8374.2</v>
      </c>
      <c r="C464" s="1">
        <f>value(AUD!$B464)</f>
        <v>8886.30776</v>
      </c>
      <c r="D464" s="1">
        <f>value(EUR!$B464)</f>
        <v>12291.90024</v>
      </c>
      <c r="E464" s="1">
        <f>value(GBP!$B464)</f>
        <v>14057.88952</v>
      </c>
      <c r="F464" s="1">
        <f>value(CHF!$B464)</f>
        <v>10870.9108</v>
      </c>
      <c r="G464" s="1">
        <f>value(SGD!$B464)</f>
        <v>7055.161332</v>
      </c>
      <c r="H464" s="1">
        <f>value(MYR!$B464)</f>
        <v>2859.314268</v>
      </c>
      <c r="I464" s="1">
        <f>value(THB!$B464)</f>
        <v>285.564224</v>
      </c>
      <c r="J464" s="1">
        <f>value(VND!$B464)</f>
        <v>0.4203682028</v>
      </c>
      <c r="K464" s="1">
        <f>value(CNY!$B464)</f>
        <v>1376.8467</v>
      </c>
      <c r="L464" s="1">
        <f>value(HKD!$B464)</f>
        <v>1095.374492</v>
      </c>
      <c r="M464" s="1">
        <f>value(TWD!$B464)</f>
        <v>295.811744</v>
      </c>
      <c r="N464" s="1">
        <f>value(JPY!$B464)</f>
        <v>111.527176</v>
      </c>
      <c r="O464" s="1">
        <f>value(SAR!$B464)</f>
        <v>2275.392607</v>
      </c>
      <c r="P464" s="1">
        <f>value(AED!$B464)</f>
        <v>2333.808675</v>
      </c>
      <c r="Q464" s="1">
        <f>value(KWD!$B464)</f>
        <v>31680.10154</v>
      </c>
    </row>
    <row r="465">
      <c r="A465" s="4">
        <f>value(USD!A465)</f>
        <v>40773.99861</v>
      </c>
      <c r="B465" s="1">
        <f>value(USD!B465)</f>
        <v>8560</v>
      </c>
      <c r="C465" s="1">
        <f>value(AUD!$B465)</f>
        <v>8705.39527</v>
      </c>
      <c r="D465" s="1">
        <f>value(EUR!$B465)</f>
        <v>12013.59558</v>
      </c>
      <c r="E465" s="1">
        <f>value(GBP!$B465)</f>
        <v>13794.87006</v>
      </c>
      <c r="F465" s="1">
        <f>value(CHF!$B465)</f>
        <v>10610.09139</v>
      </c>
      <c r="G465" s="1">
        <f>value(SGD!$B465)</f>
        <v>6889.679481</v>
      </c>
      <c r="H465" s="1">
        <f>value(MYR!$B465)</f>
        <v>2794.49943</v>
      </c>
      <c r="I465" s="1">
        <f>value(THB!$B465)</f>
        <v>279.449943</v>
      </c>
      <c r="J465" s="1">
        <f>value(VND!$B465)</f>
        <v>0.4192283647</v>
      </c>
      <c r="K465" s="1">
        <f>value(CNY!$B465)</f>
        <v>1371.627025</v>
      </c>
      <c r="L465" s="1">
        <f>value(HKD!$B465)</f>
        <v>1069.431832</v>
      </c>
      <c r="M465" s="1">
        <f>value(TWD!$B465)</f>
        <v>289.123531</v>
      </c>
      <c r="N465" s="1">
        <f>value(JPY!$B465)</f>
        <v>108.994651</v>
      </c>
      <c r="O465" s="1">
        <f>value(SAR!$B465)</f>
        <v>2275.271268</v>
      </c>
      <c r="P465" s="1">
        <f>value(AED!$B465)</f>
        <v>2349.78975</v>
      </c>
      <c r="Q465" s="1">
        <f>value(KWD!$B465)</f>
        <v>32044.37597</v>
      </c>
    </row>
    <row r="466">
      <c r="A466" s="4">
        <f>value(USD!A466)</f>
        <v>40774.99861</v>
      </c>
      <c r="B466" s="1">
        <f>value(USD!B466)</f>
        <v>8539.6</v>
      </c>
      <c r="C466" s="1">
        <f>value(AUD!$B466)</f>
        <v>8924.527957</v>
      </c>
      <c r="D466" s="1">
        <f>value(EUR!$B466)</f>
        <v>12322.4695</v>
      </c>
      <c r="E466" s="1">
        <f>value(GBP!$B466)</f>
        <v>14128.64439</v>
      </c>
      <c r="F466" s="1">
        <f>value(CHF!$B466)</f>
        <v>10881.64623</v>
      </c>
      <c r="G466" s="1">
        <f>value(SGD!$B466)</f>
        <v>7085.505729</v>
      </c>
      <c r="H466" s="1">
        <f>value(MYR!$B466)</f>
        <v>2866.123388</v>
      </c>
      <c r="I466" s="1">
        <f>value(THB!$B466)</f>
        <v>286.6209151</v>
      </c>
      <c r="J466" s="1">
        <f>value(VND!$B466)</f>
        <v>0.4234078267</v>
      </c>
      <c r="K466" s="1">
        <f>value(CNY!$B466)</f>
        <v>1378.411776</v>
      </c>
      <c r="L466" s="1">
        <f>value(HKD!$B466)</f>
        <v>1099.742667</v>
      </c>
      <c r="M466" s="1">
        <f>value(TWD!$B466)</f>
        <v>296.5694568</v>
      </c>
      <c r="N466" s="1">
        <f>value(JPY!$B466)</f>
        <v>111.6638035</v>
      </c>
      <c r="O466" s="1">
        <f>value(SAR!$B466)</f>
        <v>2263.818851</v>
      </c>
      <c r="P466" s="1">
        <f>value(AED!$B466)</f>
        <v>2374.006387</v>
      </c>
      <c r="Q466" s="1">
        <f>value(KWD!$B466)</f>
        <v>31884.1359</v>
      </c>
    </row>
    <row r="467">
      <c r="A467" s="4">
        <f>value(USD!A467)</f>
        <v>40775.99861</v>
      </c>
      <c r="B467" s="1">
        <f>value(USD!B467)</f>
        <v>8339.3</v>
      </c>
      <c r="C467" s="1">
        <f>value(AUD!$B467)</f>
        <v>8876.7726</v>
      </c>
      <c r="D467" s="1">
        <f>value(EUR!$B467)</f>
        <v>12260.24181</v>
      </c>
      <c r="E467" s="1">
        <f>value(GBP!$B467)</f>
        <v>14055.74365</v>
      </c>
      <c r="F467" s="1">
        <f>value(CHF!$B467)</f>
        <v>10807.842</v>
      </c>
      <c r="G467" s="1">
        <f>value(SGD!$B467)</f>
        <v>7058.90382</v>
      </c>
      <c r="H467" s="1">
        <f>value(MYR!$B467)</f>
        <v>2872.18828</v>
      </c>
      <c r="I467" s="1">
        <f>value(THB!$B467)</f>
        <v>285.56265</v>
      </c>
      <c r="J467" s="1">
        <f>value(VND!$B467)</f>
        <v>0.4213918262</v>
      </c>
      <c r="K467" s="1">
        <f>value(CNY!$B467)</f>
        <v>1380.421328</v>
      </c>
      <c r="L467" s="1">
        <f>value(HKD!$B467)</f>
        <v>1094.52877</v>
      </c>
      <c r="M467" s="1">
        <f>value(TWD!$B467)</f>
        <v>292.98984</v>
      </c>
      <c r="N467" s="1">
        <f>value(JPY!$B467)</f>
        <v>111.06637</v>
      </c>
      <c r="O467" s="1">
        <f>value(SAR!$B467)</f>
        <v>2266.66661</v>
      </c>
      <c r="P467" s="1">
        <f>value(AED!$B467)</f>
        <v>2398.25025</v>
      </c>
      <c r="Q467" s="1">
        <f>value(KWD!$B467)</f>
        <v>32061.63382</v>
      </c>
    </row>
    <row r="468">
      <c r="A468" s="4">
        <f>value(USD!A468)</f>
        <v>40776.99861</v>
      </c>
      <c r="B468" s="1">
        <f>value(USD!B468)</f>
        <v>8576.329</v>
      </c>
      <c r="C468" s="1">
        <f>value(AUD!$B468)</f>
        <v>8987.236</v>
      </c>
      <c r="D468" s="1">
        <f>value(EUR!$B468)</f>
        <v>12330.9662</v>
      </c>
      <c r="E468" s="1">
        <f>value(GBP!$B468)</f>
        <v>14092.10565</v>
      </c>
      <c r="F468" s="1">
        <f>value(CHF!$B468)</f>
        <v>10765.0343</v>
      </c>
      <c r="G468" s="1">
        <f>value(SGD!$B468)</f>
        <v>7094.9615</v>
      </c>
      <c r="H468" s="1">
        <f>value(MYR!$B468)</f>
        <v>2879.24729</v>
      </c>
      <c r="I468" s="1">
        <f>value(THB!$B468)</f>
        <v>286.01964</v>
      </c>
      <c r="J468" s="1">
        <f>value(VND!$B468)</f>
        <v>0.4295856207</v>
      </c>
      <c r="K468" s="1">
        <f>value(CNY!$B468)</f>
        <v>1385.280621</v>
      </c>
      <c r="L468" s="1">
        <f>value(HKD!$B468)</f>
        <v>1095.72518</v>
      </c>
      <c r="M468" s="1">
        <f>value(TWD!$B468)</f>
        <v>294.13549</v>
      </c>
      <c r="N468" s="1">
        <f>value(JPY!$B468)</f>
        <v>111.40072</v>
      </c>
      <c r="O468" s="1">
        <f>value(SAR!$B468)</f>
        <v>2240.593015</v>
      </c>
      <c r="P468" s="1">
        <f>value(AED!$B468)</f>
        <v>2386.169988</v>
      </c>
      <c r="Q468" s="1">
        <f>value(KWD!$B468)</f>
        <v>31953.21985</v>
      </c>
    </row>
    <row r="469">
      <c r="A469" s="4">
        <f>value(USD!A469)</f>
        <v>40777.99861</v>
      </c>
      <c r="B469" s="1">
        <f>value(USD!B469)</f>
        <v>8537</v>
      </c>
      <c r="C469" s="1">
        <f>value(AUD!$B469)</f>
        <v>8945.865</v>
      </c>
      <c r="D469" s="1">
        <f>value(EUR!$B469)</f>
        <v>12323.115</v>
      </c>
      <c r="E469" s="1">
        <f>value(GBP!$B469)</f>
        <v>13992.93</v>
      </c>
      <c r="F469" s="1">
        <f>value(CHF!$B469)</f>
        <v>10744.785</v>
      </c>
      <c r="G469" s="1">
        <f>value(SGD!$B469)</f>
        <v>7085.4705</v>
      </c>
      <c r="H469" s="1">
        <f>value(MYR!$B469)</f>
        <v>2872.2015</v>
      </c>
      <c r="I469" s="1">
        <f>value(THB!$B469)</f>
        <v>285.399</v>
      </c>
      <c r="J469" s="1">
        <f>value(VND!$B469)</f>
        <v>0.423891293</v>
      </c>
      <c r="K469" s="1">
        <f>value(CNY!$B469)</f>
        <v>1369.123308</v>
      </c>
      <c r="L469" s="1">
        <f>value(HKD!$B469)</f>
        <v>1096.623</v>
      </c>
      <c r="M469" s="1">
        <f>value(TWD!$B469)</f>
        <v>293.8635</v>
      </c>
      <c r="N469" s="1">
        <f>value(JPY!$B469)</f>
        <v>110.8935</v>
      </c>
      <c r="O469" s="1">
        <f>value(SAR!$B469)</f>
        <v>2289.044972</v>
      </c>
      <c r="P469" s="1">
        <f>value(AED!$B469)</f>
        <v>2401.369056</v>
      </c>
      <c r="Q469" s="1">
        <f>value(KWD!$B469)</f>
        <v>32131.19898</v>
      </c>
    </row>
    <row r="470">
      <c r="A470" s="4">
        <f>value(USD!A470)</f>
        <v>40778.99861</v>
      </c>
      <c r="B470" s="1">
        <f>value(USD!B470)</f>
        <v>8543</v>
      </c>
      <c r="C470" s="1">
        <f>value(AUD!$B470)</f>
        <v>8975.82</v>
      </c>
      <c r="D470" s="1">
        <f>value(EUR!$B470)</f>
        <v>12360.78</v>
      </c>
      <c r="E470" s="1">
        <f>value(GBP!$B470)</f>
        <v>13999.596</v>
      </c>
      <c r="F470" s="1">
        <f>value(CHF!$B470)</f>
        <v>10827.4</v>
      </c>
      <c r="G470" s="1">
        <f>value(SGD!$B470)</f>
        <v>7098.612</v>
      </c>
      <c r="H470" s="1">
        <f>value(MYR!$B470)</f>
        <v>2873.604</v>
      </c>
      <c r="I470" s="1">
        <f>value(THB!$B470)</f>
        <v>285.95</v>
      </c>
      <c r="J470" s="1">
        <f>value(VND!$B470)</f>
        <v>0.4250432685</v>
      </c>
      <c r="K470" s="1">
        <f>value(CNY!$B470)</f>
        <v>1367.59375</v>
      </c>
      <c r="L470" s="1">
        <f>value(HKD!$B470)</f>
        <v>1103.208</v>
      </c>
      <c r="M470" s="1">
        <f>value(TWD!$B470)</f>
        <v>294.722</v>
      </c>
      <c r="N470" s="1">
        <f>value(JPY!$B470)</f>
        <v>111.026</v>
      </c>
      <c r="O470" s="1">
        <f>value(SAR!$B470)</f>
        <v>2234.533277</v>
      </c>
      <c r="P470" s="1">
        <f>value(AED!$B470)</f>
        <v>2399.081321</v>
      </c>
      <c r="Q470" s="1">
        <f>value(KWD!$B470)</f>
        <v>31678.65136</v>
      </c>
    </row>
    <row r="471">
      <c r="A471" s="4">
        <f>value(USD!A471)</f>
        <v>40779.99861</v>
      </c>
      <c r="B471" s="1">
        <f>value(USD!B471)</f>
        <v>8550</v>
      </c>
      <c r="C471" s="1">
        <f>value(AUD!$B471)</f>
        <v>9011.3568</v>
      </c>
      <c r="D471" s="1">
        <f>value(EUR!$B471)</f>
        <v>12375.1296</v>
      </c>
      <c r="E471" s="1">
        <f>value(GBP!$B471)</f>
        <v>13961.7504</v>
      </c>
      <c r="F471" s="1">
        <f>value(CHF!$B471)</f>
        <v>10574.9088</v>
      </c>
      <c r="G471" s="1">
        <f>value(SGD!$B471)</f>
        <v>7099.89312</v>
      </c>
      <c r="H471" s="1">
        <f>value(MYR!$B471)</f>
        <v>2865.48672</v>
      </c>
      <c r="I471" s="1">
        <f>value(THB!$B471)</f>
        <v>285.28416</v>
      </c>
      <c r="J471" s="1">
        <f>value(VND!$B471)</f>
        <v>0.4271067876</v>
      </c>
      <c r="K471" s="1">
        <f>value(CNY!$B471)</f>
        <v>1339.390625</v>
      </c>
      <c r="L471" s="1">
        <f>value(HKD!$B471)</f>
        <v>1095.85344</v>
      </c>
      <c r="M471" s="1">
        <f>value(TWD!$B471)</f>
        <v>295.36608</v>
      </c>
      <c r="N471" s="1">
        <f>value(JPY!$B471)</f>
        <v>111.41376</v>
      </c>
      <c r="O471" s="1">
        <f>value(SAR!$B471)</f>
        <v>2280.847421</v>
      </c>
      <c r="P471" s="1">
        <f>value(AED!$B471)</f>
        <v>2406.758207</v>
      </c>
      <c r="Q471" s="1">
        <f>value(KWD!$B471)</f>
        <v>31665.27881</v>
      </c>
    </row>
    <row r="472">
      <c r="A472" s="4">
        <f>value(USD!A472)</f>
        <v>40780.99861</v>
      </c>
      <c r="B472" s="1">
        <f>value(USD!B472)</f>
        <v>8600</v>
      </c>
      <c r="C472" s="1">
        <f>value(AUD!$B472)</f>
        <v>8835.6744</v>
      </c>
      <c r="D472" s="1">
        <f>value(EUR!$B472)</f>
        <v>12088.23912</v>
      </c>
      <c r="E472" s="1">
        <f>value(GBP!$B472)</f>
        <v>13641.37848</v>
      </c>
      <c r="F472" s="1">
        <f>value(CHF!$B472)</f>
        <v>10400.51664</v>
      </c>
      <c r="G472" s="1">
        <f>value(SGD!$B472)</f>
        <v>6946.328016</v>
      </c>
      <c r="H472" s="1">
        <f>value(MYR!$B472)</f>
        <v>2796.57036</v>
      </c>
      <c r="I472" s="1">
        <f>value(THB!$B472)</f>
        <v>278.444952</v>
      </c>
      <c r="J472" s="1">
        <f>value(VND!$B472)</f>
        <v>0.4250898436</v>
      </c>
      <c r="K472" s="1">
        <f>value(CNY!$B472)</f>
        <v>1418.296</v>
      </c>
      <c r="L472" s="1">
        <f>value(HKD!$B472)</f>
        <v>1072.0674</v>
      </c>
      <c r="M472" s="1">
        <f>value(TWD!$B472)</f>
        <v>288.225216</v>
      </c>
      <c r="N472" s="1">
        <f>value(JPY!$B472)</f>
        <v>109.003968</v>
      </c>
      <c r="O472" s="1">
        <f>value(SAR!$B472)</f>
        <v>2275.939259</v>
      </c>
      <c r="P472" s="1">
        <f>value(AED!$B472)</f>
        <v>2385.537878</v>
      </c>
      <c r="Q472" s="1">
        <f>value(KWD!$B472)</f>
        <v>31012.26338</v>
      </c>
    </row>
    <row r="473">
      <c r="A473" s="4">
        <f>value(USD!A473)</f>
        <v>40781.99861</v>
      </c>
      <c r="B473" s="1">
        <f>value(USD!B473)</f>
        <v>8544</v>
      </c>
      <c r="C473" s="1">
        <f>value(AUD!$B473)</f>
        <v>9023.594625</v>
      </c>
      <c r="D473" s="1">
        <f>value(EUR!$B473)</f>
        <v>12366.80443</v>
      </c>
      <c r="E473" s="1">
        <f>value(GBP!$B473)</f>
        <v>13947.10677</v>
      </c>
      <c r="F473" s="1">
        <f>value(CHF!$B473)</f>
        <v>10558.67233</v>
      </c>
      <c r="G473" s="1">
        <f>value(SGD!$B473)</f>
        <v>7088.321565</v>
      </c>
      <c r="H473" s="1">
        <f>value(MYR!$B473)</f>
        <v>2860.756817</v>
      </c>
      <c r="I473" s="1">
        <f>value(THB!$B473)</f>
        <v>284.829871</v>
      </c>
      <c r="J473" s="1">
        <f>value(VND!$B473)</f>
        <v>0.4179065905</v>
      </c>
      <c r="K473" s="1">
        <f>value(CNY!$B473)</f>
        <v>1390.775091</v>
      </c>
      <c r="L473" s="1">
        <f>value(HKD!$B473)</f>
        <v>1094.521496</v>
      </c>
      <c r="M473" s="1">
        <f>value(TWD!$B473)</f>
        <v>294.898752</v>
      </c>
      <c r="N473" s="1">
        <f>value(JPY!$B473)</f>
        <v>111.269668</v>
      </c>
      <c r="O473" s="1">
        <f>value(SAR!$B473)</f>
        <v>2284.847527</v>
      </c>
      <c r="P473" s="1">
        <f>value(AED!$B473)</f>
        <v>2382.282668</v>
      </c>
      <c r="Q473" s="1">
        <f>value(KWD!$B473)</f>
        <v>32720.71524</v>
      </c>
    </row>
    <row r="474">
      <c r="A474" s="4">
        <f>value(USD!A474)</f>
        <v>40782.99861</v>
      </c>
      <c r="B474" s="1">
        <f>value(USD!B474)</f>
        <v>8359.2</v>
      </c>
      <c r="C474" s="1">
        <f>value(AUD!$B474)</f>
        <v>9095.952</v>
      </c>
      <c r="D474" s="1">
        <f>value(EUR!$B474)</f>
        <v>12372.744</v>
      </c>
      <c r="E474" s="1">
        <f>value(GBP!$B474)</f>
        <v>13982.172</v>
      </c>
      <c r="F474" s="1">
        <f>value(CHF!$B474)</f>
        <v>10430.184</v>
      </c>
      <c r="G474" s="1">
        <f>value(SGD!$B474)</f>
        <v>7069.3848</v>
      </c>
      <c r="H474" s="1">
        <f>value(MYR!$B474)</f>
        <v>2856.1596</v>
      </c>
      <c r="I474" s="1">
        <f>value(THB!$B474)</f>
        <v>283.8864</v>
      </c>
      <c r="J474" s="1">
        <f>value(VND!$B474)</f>
        <v>0.4362238751</v>
      </c>
      <c r="K474" s="1">
        <f>value(CNY!$B474)</f>
        <v>1389.143587</v>
      </c>
      <c r="L474" s="1">
        <f>value(HKD!$B474)</f>
        <v>1093.2012</v>
      </c>
      <c r="M474" s="1">
        <f>value(TWD!$B474)</f>
        <v>293.94</v>
      </c>
      <c r="N474" s="1">
        <f>value(JPY!$B474)</f>
        <v>110.6748</v>
      </c>
      <c r="O474" s="1">
        <f>value(SAR!$B474)</f>
        <v>2285.25901</v>
      </c>
      <c r="P474" s="1">
        <f>value(AED!$B474)</f>
        <v>2333.154178</v>
      </c>
      <c r="Q474" s="1">
        <f>value(KWD!$B474)</f>
        <v>32205.96274</v>
      </c>
    </row>
    <row r="475">
      <c r="A475" s="4">
        <f>value(USD!A475)</f>
        <v>40783.99861</v>
      </c>
      <c r="B475" s="1">
        <f>value(USD!B475)</f>
        <v>8532.95</v>
      </c>
      <c r="C475" s="1">
        <f>value(AUD!$B475)</f>
        <v>9105.510945</v>
      </c>
      <c r="D475" s="1">
        <f>value(EUR!$B475)</f>
        <v>12312.96152</v>
      </c>
      <c r="E475" s="1">
        <f>value(GBP!$B475)</f>
        <v>13912.12168</v>
      </c>
      <c r="F475" s="1">
        <f>value(CHF!$B475)</f>
        <v>10407.63911</v>
      </c>
      <c r="G475" s="1">
        <f>value(SGD!$B475)</f>
        <v>7072.450278</v>
      </c>
      <c r="H475" s="1">
        <f>value(MYR!$B475)</f>
        <v>2857.428966</v>
      </c>
      <c r="I475" s="1">
        <f>value(THB!$B475)</f>
        <v>284.0619055</v>
      </c>
      <c r="J475" s="1">
        <f>value(VND!$B475)</f>
        <v>0.4279168644</v>
      </c>
      <c r="K475" s="1">
        <f>value(CNY!$B475)</f>
        <v>1397.232282</v>
      </c>
      <c r="L475" s="1">
        <f>value(HKD!$B475)</f>
        <v>1094.862814</v>
      </c>
      <c r="M475" s="1">
        <f>value(TWD!$B475)</f>
        <v>294.386775</v>
      </c>
      <c r="N475" s="1">
        <f>value(JPY!$B475)</f>
        <v>111.1843385</v>
      </c>
      <c r="O475" s="1">
        <f>value(SAR!$B475)</f>
        <v>2264.574028</v>
      </c>
      <c r="P475" s="1">
        <f>value(AED!$B475)</f>
        <v>2472.03</v>
      </c>
      <c r="Q475" s="1">
        <f>value(KWD!$B475)</f>
        <v>32151.7132</v>
      </c>
    </row>
    <row r="476">
      <c r="A476" s="4">
        <f>value(USD!A476)</f>
        <v>40784.99861</v>
      </c>
      <c r="B476" s="1">
        <f>value(USD!B476)</f>
        <v>8520</v>
      </c>
      <c r="C476" s="1">
        <f>value(AUD!$B476)</f>
        <v>9119.163665</v>
      </c>
      <c r="D476" s="1">
        <f>value(EUR!$B476)</f>
        <v>12262.70244</v>
      </c>
      <c r="E476" s="1">
        <f>value(GBP!$B476)</f>
        <v>13863.48386</v>
      </c>
      <c r="F476" s="1">
        <f>value(CHF!$B476)</f>
        <v>10574.88493</v>
      </c>
      <c r="G476" s="1">
        <f>value(SGD!$B476)</f>
        <v>7085.420362</v>
      </c>
      <c r="H476" s="1">
        <f>value(MYR!$B476)</f>
        <v>2851.199913</v>
      </c>
      <c r="I476" s="1">
        <f>value(THB!$B476)</f>
        <v>283.805917</v>
      </c>
      <c r="J476" s="1">
        <f>value(VND!$B476)</f>
        <v>0.4271960571</v>
      </c>
      <c r="K476" s="1">
        <f>value(CNY!$B476)</f>
        <v>1374.484481</v>
      </c>
      <c r="L476" s="1">
        <f>value(HKD!$B476)</f>
        <v>1095.63078</v>
      </c>
      <c r="M476" s="1">
        <f>value(TWD!$B476)</f>
        <v>292.7655145</v>
      </c>
      <c r="N476" s="1">
        <f>value(JPY!$B476)</f>
        <v>111.1843385</v>
      </c>
      <c r="O476" s="1">
        <f>value(SAR!$B476)</f>
        <v>2285.946609</v>
      </c>
      <c r="P476" s="1">
        <f>value(AED!$B476)</f>
        <v>2424.372637</v>
      </c>
      <c r="Q476" s="1">
        <f>value(KWD!$B476)</f>
        <v>32436.95288</v>
      </c>
    </row>
    <row r="477">
      <c r="A477" s="4">
        <f>value(USD!A477)</f>
        <v>40785.99861</v>
      </c>
      <c r="B477" s="1">
        <f>value(USD!B477)</f>
        <v>8532.95</v>
      </c>
      <c r="C477" s="1">
        <f>value(AUD!$B477)</f>
        <v>9102.978</v>
      </c>
      <c r="D477" s="1">
        <f>value(EUR!$B477)</f>
        <v>12106.74</v>
      </c>
      <c r="E477" s="1">
        <f>value(GBP!$B477)</f>
        <v>13739.367</v>
      </c>
      <c r="F477" s="1">
        <f>value(CHF!$B477)</f>
        <v>10670.232</v>
      </c>
      <c r="G477" s="1">
        <f>value(SGD!$B477)</f>
        <v>7046.7849</v>
      </c>
      <c r="H477" s="1">
        <f>value(MYR!$B477)</f>
        <v>2833.8771</v>
      </c>
      <c r="I477" s="1">
        <f>value(THB!$B477)</f>
        <v>282.4623</v>
      </c>
      <c r="J477" s="1">
        <f>value(VND!$B477)</f>
        <v>0.435840509</v>
      </c>
      <c r="K477" s="1">
        <f>value(CNY!$B477)</f>
        <v>1390.849384</v>
      </c>
      <c r="L477" s="1">
        <f>value(HKD!$B477)</f>
        <v>1090.7103</v>
      </c>
      <c r="M477" s="1">
        <f>value(TWD!$B477)</f>
        <v>292.8201</v>
      </c>
      <c r="N477" s="1">
        <f>value(JPY!$B477)</f>
        <v>110.4549</v>
      </c>
      <c r="O477" s="1">
        <f>value(SAR!$B477)</f>
        <v>2301.415843</v>
      </c>
      <c r="P477" s="1">
        <f>value(AED!$B477)</f>
        <v>2420.288887</v>
      </c>
      <c r="Q477" s="1">
        <f>value(KWD!$B477)</f>
        <v>31767.07267</v>
      </c>
    </row>
    <row r="478">
      <c r="A478" s="4">
        <f>value(USD!A478)</f>
        <v>40786.99861</v>
      </c>
      <c r="B478" s="1">
        <f>value(USD!B478)</f>
        <v>8532.95</v>
      </c>
      <c r="C478" s="1">
        <f>value(AUD!$B478)</f>
        <v>9036.35</v>
      </c>
      <c r="D478" s="1">
        <f>value(EUR!$B478)</f>
        <v>12062.35</v>
      </c>
      <c r="E478" s="1">
        <f>value(GBP!$B478)</f>
        <v>13764.9</v>
      </c>
      <c r="F478" s="1">
        <f>value(CHF!$B478)</f>
        <v>10726.15</v>
      </c>
      <c r="G478" s="1">
        <f>value(SGD!$B478)</f>
        <v>7059.76</v>
      </c>
      <c r="H478" s="1">
        <f>value(MYR!$B478)</f>
        <v>2865.52</v>
      </c>
      <c r="I478" s="1">
        <f>value(THB!$B478)</f>
        <v>283.73</v>
      </c>
      <c r="J478" s="1">
        <f>value(VND!$B478)</f>
        <v>0.4222892127</v>
      </c>
      <c r="K478" s="1">
        <f>value(CNY!$B478)</f>
        <v>1350.37764</v>
      </c>
      <c r="L478" s="1">
        <f>value(HKD!$B478)</f>
        <v>1091.23</v>
      </c>
      <c r="M478" s="1">
        <f>value(TWD!$B478)</f>
        <v>291.975</v>
      </c>
      <c r="N478" s="1">
        <f>value(JPY!$B478)</f>
        <v>110.67</v>
      </c>
      <c r="O478" s="1">
        <f>value(SAR!$B478)</f>
        <v>2325.319941</v>
      </c>
      <c r="P478" s="1">
        <f>value(AED!$B478)</f>
        <v>2437.34535</v>
      </c>
      <c r="Q478" s="1">
        <f>value(KWD!$B478)</f>
        <v>32120.75542</v>
      </c>
    </row>
    <row r="479">
      <c r="A479" s="4">
        <f>value(USD!A479)</f>
        <v>40787.99861</v>
      </c>
      <c r="B479" s="1">
        <f>value(USD!B479)</f>
        <v>8490</v>
      </c>
      <c r="C479" s="1">
        <f>value(AUD!$B479)</f>
        <v>8932.1662</v>
      </c>
      <c r="D479" s="1">
        <f>value(EUR!$B479)</f>
        <v>11923.2782</v>
      </c>
      <c r="E479" s="1">
        <f>value(GBP!$B479)</f>
        <v>13606.1988</v>
      </c>
      <c r="F479" s="1">
        <f>value(CHF!$B479)</f>
        <v>10599.123</v>
      </c>
      <c r="G479" s="1">
        <f>value(SGD!$B479)</f>
        <v>6978.36512</v>
      </c>
      <c r="H479" s="1">
        <f>value(MYR!$B479)</f>
        <v>2831.72606</v>
      </c>
      <c r="I479" s="1">
        <f>value(THB!$B479)</f>
        <v>280.71082</v>
      </c>
      <c r="J479" s="1">
        <f>value(VND!$B479)</f>
        <v>0.4276592085</v>
      </c>
      <c r="K479" s="1">
        <f>value(CNY!$B479)</f>
        <v>1402.735706</v>
      </c>
      <c r="L479" s="1">
        <f>value(HKD!$B479)</f>
        <v>1078.64876</v>
      </c>
      <c r="M479" s="1">
        <f>value(TWD!$B479)</f>
        <v>288.52468</v>
      </c>
      <c r="N479" s="1">
        <f>value(JPY!$B479)</f>
        <v>109.39404</v>
      </c>
      <c r="O479" s="1">
        <f>value(SAR!$B479)</f>
        <v>2349.003975</v>
      </c>
      <c r="P479" s="1">
        <f>value(AED!$B479)</f>
        <v>2393.063887</v>
      </c>
      <c r="Q479" s="1">
        <f>value(KWD!$B479)</f>
        <v>31112.87499</v>
      </c>
    </row>
    <row r="480">
      <c r="A480" s="4">
        <f>value(USD!A480)</f>
        <v>40788.99861</v>
      </c>
      <c r="B480" s="1">
        <f>value(USD!B480)</f>
        <v>8500</v>
      </c>
      <c r="C480" s="1">
        <f>value(AUD!$B480)</f>
        <v>9105.578352</v>
      </c>
      <c r="D480" s="1">
        <f>value(EUR!$B480)</f>
        <v>12151.07156</v>
      </c>
      <c r="E480" s="1">
        <f>value(GBP!$B480)</f>
        <v>13879.82673</v>
      </c>
      <c r="F480" s="1">
        <f>value(CHF!$B480)</f>
        <v>10853.21763</v>
      </c>
      <c r="G480" s="1">
        <f>value(SGD!$B480)</f>
        <v>7118.62579</v>
      </c>
      <c r="H480" s="1">
        <f>value(MYR!$B480)</f>
        <v>2882.832286</v>
      </c>
      <c r="I480" s="1">
        <f>value(THB!$B480)</f>
        <v>285.9227139</v>
      </c>
      <c r="J480" s="1">
        <f>value(VND!$B480)</f>
        <v>0.4254416228</v>
      </c>
      <c r="K480" s="1">
        <f>value(CNY!$B480)</f>
        <v>1391.4628</v>
      </c>
      <c r="L480" s="1">
        <f>value(HKD!$B480)</f>
        <v>1101.888285</v>
      </c>
      <c r="M480" s="1">
        <f>value(TWD!$B480)</f>
        <v>293.8197087</v>
      </c>
      <c r="N480" s="1">
        <f>value(JPY!$B480)</f>
        <v>111.58797</v>
      </c>
      <c r="O480" s="1">
        <f>value(SAR!$B480)</f>
        <v>2337.070666</v>
      </c>
      <c r="P480" s="1">
        <f>value(AED!$B480)</f>
        <v>2422.330762</v>
      </c>
      <c r="Q480" s="1">
        <f>value(KWD!$B480)</f>
        <v>32315.70967</v>
      </c>
    </row>
    <row r="481">
      <c r="A481" s="4">
        <f>value(USD!A481)</f>
        <v>40789.99861</v>
      </c>
      <c r="B481" s="1">
        <f>value(USD!B481)</f>
        <v>8402</v>
      </c>
      <c r="C481" s="1">
        <f>value(AUD!$B481)</f>
        <v>8807.69245</v>
      </c>
      <c r="D481" s="1">
        <f>value(EUR!$B481)</f>
        <v>11781.577</v>
      </c>
      <c r="E481" s="1">
        <f>value(GBP!$B481)</f>
        <v>13487.6432</v>
      </c>
      <c r="F481" s="1">
        <f>value(CHF!$B481)</f>
        <v>10663.7517</v>
      </c>
      <c r="G481" s="1">
        <f>value(SGD!$B481)</f>
        <v>6931.5224</v>
      </c>
      <c r="H481" s="1">
        <f>value(MYR!$B481)</f>
        <v>2804.367265</v>
      </c>
      <c r="I481" s="1">
        <f>value(THB!$B481)</f>
        <v>279.03735</v>
      </c>
      <c r="J481" s="1">
        <f>value(VND!$B481)</f>
        <v>0.430384428</v>
      </c>
      <c r="K481" s="1">
        <f>value(CNY!$B481)</f>
        <v>1394.586313</v>
      </c>
      <c r="L481" s="1">
        <f>value(HKD!$B481)</f>
        <v>1075.508825</v>
      </c>
      <c r="M481" s="1">
        <f>value(TWD!$B481)</f>
        <v>286.997875</v>
      </c>
      <c r="N481" s="1">
        <f>value(JPY!$B481)</f>
        <v>108.9335</v>
      </c>
      <c r="O481" s="1">
        <f>value(SAR!$B481)</f>
        <v>2337.257622</v>
      </c>
      <c r="P481" s="1">
        <f>value(AED!$B481)</f>
        <v>2346.73596</v>
      </c>
      <c r="Q481" s="1">
        <f>value(KWD!$B481)</f>
        <v>32024.49145</v>
      </c>
    </row>
    <row r="482">
      <c r="A482" s="4">
        <f>value(USD!A482)</f>
        <v>40790.99861</v>
      </c>
      <c r="B482" s="1">
        <f>value(USD!B482)</f>
        <v>8583.69</v>
      </c>
      <c r="C482" s="1">
        <f>value(AUD!$B482)</f>
        <v>8974.097258</v>
      </c>
      <c r="D482" s="1">
        <f>value(EUR!$B482)</f>
        <v>11976.69588</v>
      </c>
      <c r="E482" s="1">
        <f>value(GBP!$B482)</f>
        <v>13637.67877</v>
      </c>
      <c r="F482" s="1">
        <f>value(CHF!$B482)</f>
        <v>9926.55377</v>
      </c>
      <c r="G482" s="1">
        <f>value(SGD!$B482)</f>
        <v>7063.282698</v>
      </c>
      <c r="H482" s="1">
        <f>value(MYR!$B482)</f>
        <v>2867.376487</v>
      </c>
      <c r="I482" s="1">
        <f>value(THB!$B482)</f>
        <v>285.0698235</v>
      </c>
      <c r="J482" s="1">
        <f>value(VND!$B482)</f>
        <v>0.4270958425</v>
      </c>
      <c r="K482" s="1">
        <f>value(CNY!$B482)</f>
        <v>1393.518619</v>
      </c>
      <c r="L482" s="1">
        <f>value(HKD!$B482)</f>
        <v>1097.001367</v>
      </c>
      <c r="M482" s="1">
        <f>value(TWD!$B482)</f>
        <v>290.2015935</v>
      </c>
      <c r="N482" s="1">
        <f>value(JPY!$B482)</f>
        <v>110.161996</v>
      </c>
      <c r="O482" s="1">
        <f>value(SAR!$B482)</f>
        <v>2352.702668</v>
      </c>
      <c r="P482" s="1">
        <f>value(AED!$B482)</f>
        <v>2438.352675</v>
      </c>
      <c r="Q482" s="1">
        <f>value(KWD!$B482)</f>
        <v>32237.13407</v>
      </c>
    </row>
    <row r="483">
      <c r="A483" s="4">
        <f>value(USD!A483)</f>
        <v>40791.99861</v>
      </c>
      <c r="B483" s="1">
        <f>value(USD!B483)</f>
        <v>8379.5</v>
      </c>
      <c r="C483" s="1">
        <f>value(AUD!$B483)</f>
        <v>9087.2145</v>
      </c>
      <c r="D483" s="1">
        <f>value(EUR!$B483)</f>
        <v>12020.60865</v>
      </c>
      <c r="E483" s="1">
        <f>value(GBP!$B483)</f>
        <v>13641.40515</v>
      </c>
      <c r="F483" s="1">
        <f>value(CHF!$B483)</f>
        <v>9938.154</v>
      </c>
      <c r="G483" s="1">
        <f>value(SGD!$B483)</f>
        <v>7063.0539</v>
      </c>
      <c r="H483" s="1">
        <f>value(MYR!$B483)</f>
        <v>2863.40715</v>
      </c>
      <c r="I483" s="1">
        <f>value(THB!$B483)</f>
        <v>284.5569</v>
      </c>
      <c r="J483" s="1">
        <f>value(VND!$B483)</f>
        <v>0.4275564607</v>
      </c>
      <c r="K483" s="1">
        <f>value(CNY!$B483)</f>
        <v>1398.515611</v>
      </c>
      <c r="L483" s="1">
        <f>value(HKD!$B483)</f>
        <v>1095.0405</v>
      </c>
      <c r="M483" s="1">
        <f>value(TWD!$B483)</f>
        <v>293.86005</v>
      </c>
      <c r="N483" s="1">
        <f>value(JPY!$B483)</f>
        <v>110.35755</v>
      </c>
      <c r="O483" s="1">
        <f>value(SAR!$B483)</f>
        <v>2350.053274</v>
      </c>
      <c r="P483" s="1">
        <f>value(AED!$B483)</f>
        <v>2420.3025</v>
      </c>
      <c r="Q483" s="1">
        <f>value(KWD!$B483)</f>
        <v>32205.6282</v>
      </c>
    </row>
    <row r="484">
      <c r="A484" s="4">
        <f>value(USD!A484)</f>
        <v>40792.99861</v>
      </c>
      <c r="B484" s="1">
        <f>value(USD!B484)</f>
        <v>8552.95</v>
      </c>
      <c r="C484" s="1">
        <f>value(AUD!$B484)</f>
        <v>9085.45418</v>
      </c>
      <c r="D484" s="1">
        <f>value(EUR!$B484)</f>
        <v>11909.70753</v>
      </c>
      <c r="E484" s="1">
        <f>value(GBP!$B484)</f>
        <v>13685.75789</v>
      </c>
      <c r="F484" s="1">
        <f>value(CHF!$B484)</f>
        <v>9794.88044</v>
      </c>
      <c r="G484" s="1">
        <f>value(SGD!$B484)</f>
        <v>7053.564837</v>
      </c>
      <c r="H484" s="1">
        <f>value(MYR!$B484)</f>
        <v>2851.670798</v>
      </c>
      <c r="I484" s="1">
        <f>value(THB!$B484)</f>
        <v>283.941863</v>
      </c>
      <c r="J484" s="1">
        <f>value(VND!$B484)</f>
        <v>0.435957175</v>
      </c>
      <c r="K484" s="1">
        <f>value(CNY!$B484)</f>
        <v>1365.0822</v>
      </c>
      <c r="L484" s="1">
        <f>value(HKD!$B484)</f>
        <v>1099.267985</v>
      </c>
      <c r="M484" s="1">
        <f>value(TWD!$B484)</f>
        <v>290.7105435</v>
      </c>
      <c r="N484" s="1">
        <f>value(JPY!$B484)</f>
        <v>110.526555</v>
      </c>
      <c r="O484" s="1">
        <f>value(SAR!$B484)</f>
        <v>2357.573274</v>
      </c>
      <c r="P484" s="1">
        <f>value(AED!$B484)</f>
        <v>2422.330762</v>
      </c>
      <c r="Q484" s="1">
        <f>value(KWD!$B484)</f>
        <v>32247.05602</v>
      </c>
    </row>
    <row r="485">
      <c r="A485" s="4">
        <f>value(USD!A485)</f>
        <v>40793.99861</v>
      </c>
      <c r="B485" s="1">
        <f>value(USD!B485)</f>
        <v>8535</v>
      </c>
      <c r="C485" s="1">
        <f>value(AUD!$B485)</f>
        <v>8971.880655</v>
      </c>
      <c r="D485" s="1">
        <f>value(EUR!$B485)</f>
        <v>11702.26672</v>
      </c>
      <c r="E485" s="1">
        <f>value(GBP!$B485)</f>
        <v>13607.36661</v>
      </c>
      <c r="F485" s="1">
        <f>value(CHF!$B485)</f>
        <v>9694.32744</v>
      </c>
      <c r="G485" s="1">
        <f>value(SGD!$B485)</f>
        <v>6974.22531</v>
      </c>
      <c r="H485" s="1">
        <f>value(MYR!$B485)</f>
        <v>2844.966301</v>
      </c>
      <c r="I485" s="1">
        <f>value(THB!$B485)</f>
        <v>284.52234</v>
      </c>
      <c r="J485" s="1">
        <f>value(VND!$B485)</f>
        <v>0.432385973</v>
      </c>
      <c r="K485" s="1">
        <f>value(CNY!$B485)</f>
        <v>1388.960256</v>
      </c>
      <c r="L485" s="1">
        <f>value(HKD!$B485)</f>
        <v>1099.181787</v>
      </c>
      <c r="M485" s="1">
        <f>value(TWD!$B485)</f>
        <v>290.0928075</v>
      </c>
      <c r="N485" s="1">
        <f>value(JPY!$B485)</f>
        <v>110.380956</v>
      </c>
      <c r="O485" s="1">
        <f>value(SAR!$B485)</f>
        <v>2336.786608</v>
      </c>
      <c r="P485" s="1">
        <f>value(AED!$B485)</f>
        <v>2421.707941</v>
      </c>
      <c r="Q485" s="1">
        <f>value(KWD!$B485)</f>
        <v>31622.28606</v>
      </c>
    </row>
    <row r="486">
      <c r="A486" s="4">
        <f>value(USD!A486)</f>
        <v>40794.99861</v>
      </c>
      <c r="B486" s="1">
        <f>value(USD!B486)</f>
        <v>8567.95</v>
      </c>
      <c r="C486" s="1">
        <f>value(AUD!$B486)</f>
        <v>8984.548323</v>
      </c>
      <c r="D486" s="1">
        <f>value(EUR!$B486)</f>
        <v>11720.17032</v>
      </c>
      <c r="E486" s="1">
        <f>value(GBP!$B486)</f>
        <v>13618.02418</v>
      </c>
      <c r="F486" s="1">
        <f>value(CHF!$B486)</f>
        <v>9708.15339</v>
      </c>
      <c r="G486" s="1">
        <f>value(SGD!$B486)</f>
        <v>6985.406922</v>
      </c>
      <c r="H486" s="1">
        <f>value(MYR!$B486)</f>
        <v>2849.527569</v>
      </c>
      <c r="I486" s="1">
        <f>value(THB!$B486)</f>
        <v>284.978508</v>
      </c>
      <c r="J486" s="1">
        <f>value(VND!$B486)</f>
        <v>0.4249293162</v>
      </c>
      <c r="K486" s="1">
        <f>value(CNY!$B486)</f>
        <v>1389.388968</v>
      </c>
      <c r="L486" s="1">
        <f>value(HKD!$B486)</f>
        <v>1100.944079</v>
      </c>
      <c r="M486" s="1">
        <f>value(TWD!$B486)</f>
        <v>290.5579065</v>
      </c>
      <c r="N486" s="1">
        <f>value(JPY!$B486)</f>
        <v>110.5579272</v>
      </c>
      <c r="O486" s="1">
        <f>value(SAR!$B486)</f>
        <v>2333.964377</v>
      </c>
      <c r="P486" s="1">
        <f>value(AED!$B486)</f>
        <v>2420.347041</v>
      </c>
      <c r="Q486" s="1">
        <f>value(KWD!$B486)</f>
        <v>32145.16044</v>
      </c>
    </row>
    <row r="487">
      <c r="A487" s="4">
        <f>value(USD!A487)</f>
        <v>40795.99861</v>
      </c>
      <c r="B487" s="1">
        <f>value(USD!B487)</f>
        <v>8569.95</v>
      </c>
      <c r="C487" s="1">
        <f>value(AUD!$B487)</f>
        <v>8858.54144</v>
      </c>
      <c r="D487" s="1">
        <f>value(EUR!$B487)</f>
        <v>11545.65498</v>
      </c>
      <c r="E487" s="1">
        <f>value(GBP!$B487)</f>
        <v>13459.3445</v>
      </c>
      <c r="F487" s="1">
        <f>value(CHF!$B487)</f>
        <v>9563.35254</v>
      </c>
      <c r="G487" s="1">
        <f>value(SGD!$B487)</f>
        <v>6899.930835</v>
      </c>
      <c r="H487" s="1">
        <f>value(MYR!$B487)</f>
        <v>2805.912431</v>
      </c>
      <c r="I487" s="1">
        <f>value(THB!$B487)</f>
        <v>280.565768</v>
      </c>
      <c r="J487" s="1">
        <f>value(VND!$B487)</f>
        <v>0.425641516</v>
      </c>
      <c r="K487" s="1">
        <f>value(CNY!$B487)</f>
        <v>1386.138688</v>
      </c>
      <c r="L487" s="1">
        <f>value(HKD!$B487)</f>
        <v>1089.060525</v>
      </c>
      <c r="M487" s="1">
        <f>value(TWD!$B487)</f>
        <v>286.17029</v>
      </c>
      <c r="N487" s="1">
        <f>value(JPY!$B487)</f>
        <v>109.54293</v>
      </c>
      <c r="O487" s="1">
        <f>value(SAR!$B487)</f>
        <v>2285.832328</v>
      </c>
      <c r="P487" s="1">
        <f>value(AED!$B487)</f>
        <v>2372.68023</v>
      </c>
      <c r="Q487" s="1">
        <f>value(KWD!$B487)</f>
        <v>32137.4964</v>
      </c>
    </row>
    <row r="488">
      <c r="A488" s="4">
        <f>value(USD!A488)</f>
        <v>40796.99861</v>
      </c>
      <c r="B488" s="1">
        <f>value(USD!B488)</f>
        <v>8583.69</v>
      </c>
      <c r="C488" s="1">
        <f>value(AUD!$B488)</f>
        <v>8870.61604</v>
      </c>
      <c r="D488" s="1">
        <f>value(EUR!$B488)</f>
        <v>11708.13306</v>
      </c>
      <c r="E488" s="1">
        <f>value(GBP!$B488)</f>
        <v>13592.3246</v>
      </c>
      <c r="F488" s="1">
        <f>value(CHF!$B488)</f>
        <v>9721.84543</v>
      </c>
      <c r="G488" s="1">
        <f>value(SGD!$B488)</f>
        <v>6943.563</v>
      </c>
      <c r="H488" s="1">
        <f>value(MYR!$B488)</f>
        <v>2831.344967</v>
      </c>
      <c r="I488" s="1">
        <f>value(THB!$B488)</f>
        <v>284.171745</v>
      </c>
      <c r="J488" s="1">
        <f>value(VND!$B488)</f>
        <v>0.4263374108</v>
      </c>
      <c r="K488" s="1">
        <f>value(CNY!$B488)</f>
        <v>1351.525272</v>
      </c>
      <c r="L488" s="1">
        <f>value(HKD!$B488)</f>
        <v>1098.711691</v>
      </c>
      <c r="M488" s="1">
        <f>value(TWD!$B488)</f>
        <v>293.944167</v>
      </c>
      <c r="N488" s="1">
        <f>value(JPY!$B488)</f>
        <v>111.011285</v>
      </c>
      <c r="O488" s="1">
        <f>value(SAR!$B488)</f>
        <v>2341.319941</v>
      </c>
      <c r="P488" s="1">
        <f>value(AED!$B488)</f>
        <v>2411.4816</v>
      </c>
      <c r="Q488" s="1">
        <f>value(KWD!$B488)</f>
        <v>32097.19879</v>
      </c>
    </row>
    <row r="489">
      <c r="A489" s="4">
        <f>value(USD!A489)</f>
        <v>40797.99861</v>
      </c>
      <c r="B489" s="1">
        <f>value(USD!B489)</f>
        <v>8491.7</v>
      </c>
      <c r="C489" s="1">
        <f>value(AUD!$B489)</f>
        <v>8901.1503</v>
      </c>
      <c r="D489" s="1">
        <f>value(EUR!$B489)</f>
        <v>11809.7973</v>
      </c>
      <c r="E489" s="1">
        <f>value(GBP!$B489)</f>
        <v>13622.3073</v>
      </c>
      <c r="F489" s="1">
        <f>value(CHF!$B489)</f>
        <v>9808.2684</v>
      </c>
      <c r="G489" s="1">
        <f>value(SGD!$B489)</f>
        <v>6958.83006</v>
      </c>
      <c r="H489" s="1">
        <f>value(MYR!$B489)</f>
        <v>2819.66139</v>
      </c>
      <c r="I489" s="1">
        <f>value(THB!$B489)</f>
        <v>285.51348</v>
      </c>
      <c r="J489" s="1">
        <f>value(VND!$B489)</f>
        <v>0.4240153292</v>
      </c>
      <c r="K489" s="1">
        <f>value(CNY!$B489)</f>
        <v>1392.770568</v>
      </c>
      <c r="L489" s="1">
        <f>value(HKD!$B489)</f>
        <v>1105.80372</v>
      </c>
      <c r="M489" s="1">
        <f>value(TWD!$B489)</f>
        <v>293.79924</v>
      </c>
      <c r="N489" s="1">
        <f>value(JPY!$B489)</f>
        <v>112.11669</v>
      </c>
      <c r="O489" s="1">
        <f>value(SAR!$B489)</f>
        <v>2421.333272</v>
      </c>
      <c r="P489" s="1">
        <f>value(AED!$B489)</f>
        <v>2414.843887</v>
      </c>
      <c r="Q489" s="1">
        <f>value(KWD!$B489)</f>
        <v>31415.1585</v>
      </c>
    </row>
    <row r="490">
      <c r="A490" s="4">
        <f>value(USD!A490)</f>
        <v>40798.99861</v>
      </c>
      <c r="B490" s="1">
        <f>value(USD!B490)</f>
        <v>8572.3</v>
      </c>
      <c r="C490" s="1">
        <f>value(AUD!$B490)</f>
        <v>8958.004635</v>
      </c>
      <c r="D490" s="1">
        <f>value(EUR!$B490)</f>
        <v>11984.61208</v>
      </c>
      <c r="E490" s="1">
        <f>value(GBP!$B490)</f>
        <v>13747.87317</v>
      </c>
      <c r="F490" s="1">
        <f>value(CHF!$B490)</f>
        <v>9949.46295</v>
      </c>
      <c r="G490" s="1">
        <f>value(SGD!$B490)</f>
        <v>7007.875017</v>
      </c>
      <c r="H490" s="1">
        <f>value(MYR!$B490)</f>
        <v>2837.38453</v>
      </c>
      <c r="I490" s="1">
        <f>value(THB!$B490)</f>
        <v>288.107148</v>
      </c>
      <c r="J490" s="1">
        <f>value(VND!$B490)</f>
        <v>0.4212641391</v>
      </c>
      <c r="K490" s="1">
        <f>value(CNY!$B490)</f>
        <v>1390.7856</v>
      </c>
      <c r="L490" s="1">
        <f>value(HKD!$B490)</f>
        <v>1118.246388</v>
      </c>
      <c r="M490" s="1">
        <f>value(TWD!$B490)</f>
        <v>295.083108</v>
      </c>
      <c r="N490" s="1">
        <f>value(JPY!$B490)</f>
        <v>113.708148</v>
      </c>
      <c r="O490" s="1">
        <f>value(SAR!$B490)</f>
        <v>2374.653273</v>
      </c>
      <c r="P490" s="1">
        <f>value(AED!$B490)</f>
        <v>2409.1947</v>
      </c>
      <c r="Q490" s="1">
        <f>value(KWD!$B490)</f>
        <v>32262.29941</v>
      </c>
    </row>
    <row r="491">
      <c r="A491" s="4">
        <f>value(USD!A491)</f>
        <v>40799.99861</v>
      </c>
      <c r="B491" s="1">
        <f>value(USD!B491)</f>
        <v>8631</v>
      </c>
      <c r="C491" s="1">
        <f>value(AUD!$B491)</f>
        <v>9096.1734</v>
      </c>
      <c r="D491" s="1">
        <f>value(EUR!$B491)</f>
        <v>12216.3212</v>
      </c>
      <c r="E491" s="1">
        <f>value(GBP!$B491)</f>
        <v>13910.2919</v>
      </c>
      <c r="F491" s="1">
        <f>value(CHF!$B491)</f>
        <v>10115.3747</v>
      </c>
      <c r="G491" s="1">
        <f>value(SGD!$B491)</f>
        <v>7091.42118</v>
      </c>
      <c r="H491" s="1">
        <f>value(MYR!$B491)</f>
        <v>2851.73757</v>
      </c>
      <c r="I491" s="1">
        <f>value(THB!$B491)</f>
        <v>290.16846</v>
      </c>
      <c r="J491" s="1">
        <f>value(VND!$B491)</f>
        <v>0.4251951117</v>
      </c>
      <c r="K491" s="1">
        <f>value(CNY!$B491)</f>
        <v>1384.646096</v>
      </c>
      <c r="L491" s="1">
        <f>value(HKD!$B491)</f>
        <v>1130.63515</v>
      </c>
      <c r="M491" s="1">
        <f>value(TWD!$B491)</f>
        <v>298.44892</v>
      </c>
      <c r="N491" s="1">
        <f>value(JPY!$B491)</f>
        <v>114.78127</v>
      </c>
      <c r="O491" s="1">
        <f>value(SAR!$B491)</f>
        <v>2370.590066</v>
      </c>
      <c r="P491" s="1">
        <f>value(AED!$B491)</f>
        <v>2350.981968</v>
      </c>
      <c r="Q491" s="1">
        <f>value(KWD!$B491)</f>
        <v>32229.96</v>
      </c>
    </row>
    <row r="492">
      <c r="A492" s="4">
        <f>value(USD!A492)</f>
        <v>40800.99861</v>
      </c>
      <c r="B492" s="1">
        <f>value(USD!B492)</f>
        <v>8719.95</v>
      </c>
      <c r="C492" s="1">
        <f>value(AUD!$B492)</f>
        <v>9079.611705</v>
      </c>
      <c r="D492" s="1">
        <f>value(EUR!$B492)</f>
        <v>12094.7545</v>
      </c>
      <c r="E492" s="1">
        <f>value(GBP!$B492)</f>
        <v>13835.47357</v>
      </c>
      <c r="F492" s="1">
        <f>value(CHF!$B492)</f>
        <v>10005.19042</v>
      </c>
      <c r="G492" s="1">
        <f>value(SGD!$B492)</f>
        <v>7060.517823</v>
      </c>
      <c r="H492" s="1">
        <f>value(MYR!$B492)</f>
        <v>2838.353758</v>
      </c>
      <c r="I492" s="1">
        <f>value(THB!$B492)</f>
        <v>288.717453</v>
      </c>
      <c r="J492" s="1">
        <f>value(VND!$B492)</f>
        <v>0.4252873536</v>
      </c>
      <c r="K492" s="1">
        <f>value(CNY!$B492)</f>
        <v>1380.486928</v>
      </c>
      <c r="L492" s="1">
        <f>value(HKD!$B492)</f>
        <v>1124.806033</v>
      </c>
      <c r="M492" s="1">
        <f>value(TWD!$B492)</f>
        <v>296.1676605</v>
      </c>
      <c r="N492" s="1">
        <f>value(JPY!$B492)</f>
        <v>114.119649</v>
      </c>
      <c r="O492" s="1">
        <f>value(SAR!$B492)</f>
        <v>2387.423593</v>
      </c>
      <c r="P492" s="1">
        <f>value(AED!$B492)</f>
        <v>2417.63445</v>
      </c>
      <c r="Q492" s="1">
        <f>value(KWD!$B492)</f>
        <v>32107.49583</v>
      </c>
    </row>
    <row r="493">
      <c r="A493" s="4">
        <f>value(USD!A493)</f>
        <v>40801.99861</v>
      </c>
      <c r="B493" s="1">
        <f>value(USD!B493)</f>
        <v>8809</v>
      </c>
      <c r="C493" s="1">
        <f>value(AUD!$B493)</f>
        <v>9126.871534</v>
      </c>
      <c r="D493" s="1">
        <f>value(EUR!$B493)</f>
        <v>12147.13561</v>
      </c>
      <c r="E493" s="1">
        <f>value(GBP!$B493)</f>
        <v>13901.3205</v>
      </c>
      <c r="F493" s="1">
        <f>value(CHF!$B493)</f>
        <v>10048.45736</v>
      </c>
      <c r="G493" s="1">
        <f>value(SGD!$B493)</f>
        <v>7097.268168</v>
      </c>
      <c r="H493" s="1">
        <f>value(MYR!$B493)</f>
        <v>2850.836782</v>
      </c>
      <c r="I493" s="1">
        <f>value(THB!$B493)</f>
        <v>289.9559245</v>
      </c>
      <c r="J493" s="1">
        <f>value(VND!$B493)</f>
        <v>0.4226003803</v>
      </c>
      <c r="K493" s="1">
        <f>value(CNY!$B493)</f>
        <v>1386.7065</v>
      </c>
      <c r="L493" s="1">
        <f>value(HKD!$B493)</f>
        <v>1130.660704</v>
      </c>
      <c r="M493" s="1">
        <f>value(TWD!$B493)</f>
        <v>297.4449107</v>
      </c>
      <c r="N493" s="1">
        <f>value(JPY!$B493)</f>
        <v>114.7136474</v>
      </c>
      <c r="O493" s="1">
        <f>value(SAR!$B493)</f>
        <v>2344.049104</v>
      </c>
      <c r="P493" s="1">
        <f>value(AED!$B493)</f>
        <v>2417.58</v>
      </c>
      <c r="Q493" s="1">
        <f>value(KWD!$B493)</f>
        <v>32061.57284</v>
      </c>
    </row>
    <row r="494">
      <c r="A494" s="4">
        <f>value(USD!A494)</f>
        <v>40802.99861</v>
      </c>
      <c r="B494" s="1">
        <f>value(USD!B494)</f>
        <v>8764.95</v>
      </c>
      <c r="C494" s="1">
        <f>value(AUD!$B494)</f>
        <v>9033.15747</v>
      </c>
      <c r="D494" s="1">
        <f>value(EUR!$B494)</f>
        <v>12009.73449</v>
      </c>
      <c r="E494" s="1">
        <f>value(GBP!$B494)</f>
        <v>13779.37789</v>
      </c>
      <c r="F494" s="1">
        <f>value(CHF!$B494)</f>
        <v>9955.23021</v>
      </c>
      <c r="G494" s="1">
        <f>value(SGD!$B494)</f>
        <v>7037.290705</v>
      </c>
      <c r="H494" s="1">
        <f>value(MYR!$B494)</f>
        <v>2818.544971</v>
      </c>
      <c r="I494" s="1">
        <f>value(THB!$B494)</f>
        <v>286.7015145</v>
      </c>
      <c r="J494" s="1">
        <f>value(VND!$B494)</f>
        <v>0.4266971254</v>
      </c>
      <c r="K494" s="1">
        <f>value(CNY!$B494)</f>
        <v>1338.181396</v>
      </c>
      <c r="L494" s="1">
        <f>value(HKD!$B494)</f>
        <v>1124.543085</v>
      </c>
      <c r="M494" s="1">
        <f>value(TWD!$B494)</f>
        <v>294.0640725</v>
      </c>
      <c r="N494" s="1">
        <f>value(JPY!$B494)</f>
        <v>113.94435</v>
      </c>
      <c r="O494" s="1">
        <f>value(SAR!$B494)</f>
        <v>2372.779795</v>
      </c>
      <c r="P494" s="1">
        <f>value(AED!$B494)</f>
        <v>2406.9078</v>
      </c>
      <c r="Q494" s="1">
        <f>value(KWD!$B494)</f>
        <v>32152.581</v>
      </c>
    </row>
    <row r="495">
      <c r="A495" s="4">
        <f>value(USD!A495)</f>
        <v>40803.99861</v>
      </c>
      <c r="B495" s="1">
        <f>value(USD!B495)</f>
        <v>8810.572</v>
      </c>
      <c r="C495" s="1">
        <f>value(AUD!$B495)</f>
        <v>8960.02944</v>
      </c>
      <c r="D495" s="1">
        <f>value(EUR!$B495)</f>
        <v>12005.52192</v>
      </c>
      <c r="E495" s="1">
        <f>value(GBP!$B495)</f>
        <v>13811.55542</v>
      </c>
      <c r="F495" s="1">
        <f>value(CHF!$B495)</f>
        <v>9955.19616</v>
      </c>
      <c r="G495" s="1">
        <f>value(SGD!$B495)</f>
        <v>6975.87168</v>
      </c>
      <c r="H495" s="1">
        <f>value(MYR!$B495)</f>
        <v>2824.226688</v>
      </c>
      <c r="I495" s="1">
        <f>value(THB!$B495)</f>
        <v>287.698464</v>
      </c>
      <c r="J495" s="1">
        <f>value(VND!$B495)</f>
        <v>0.4230401509</v>
      </c>
      <c r="K495" s="1">
        <f>value(CNY!$B495)</f>
        <v>1384.24777</v>
      </c>
      <c r="L495" s="1">
        <f>value(HKD!$B495)</f>
        <v>1131.4728</v>
      </c>
      <c r="M495" s="1">
        <f>value(TWD!$B495)</f>
        <v>295.5504</v>
      </c>
      <c r="N495" s="1">
        <f>value(JPY!$B495)</f>
        <v>115.13232</v>
      </c>
      <c r="O495" s="1">
        <f>value(SAR!$B495)</f>
        <v>2299.261244</v>
      </c>
      <c r="P495" s="1">
        <f>value(AED!$B495)</f>
        <v>2402.592637</v>
      </c>
      <c r="Q495" s="1">
        <f>value(KWD!$B495)</f>
        <v>31083.00813</v>
      </c>
    </row>
    <row r="496">
      <c r="A496" s="4">
        <f>value(USD!A496)</f>
        <v>40804.99861</v>
      </c>
      <c r="B496" s="1">
        <f>value(USD!B496)</f>
        <v>8764.95</v>
      </c>
      <c r="C496" s="1">
        <f>value(AUD!$B496)</f>
        <v>9034.78004</v>
      </c>
      <c r="D496" s="1">
        <f>value(EUR!$B496)</f>
        <v>12065.46757</v>
      </c>
      <c r="E496" s="1">
        <f>value(GBP!$B496)</f>
        <v>13864.13964</v>
      </c>
      <c r="F496" s="1">
        <f>value(CHF!$B496)</f>
        <v>9928.38782</v>
      </c>
      <c r="G496" s="1">
        <f>value(SGD!$B496)</f>
        <v>6984.769766</v>
      </c>
      <c r="H496" s="1">
        <f>value(MYR!$B496)</f>
        <v>2821.121524</v>
      </c>
      <c r="I496" s="1">
        <f>value(THB!$B496)</f>
        <v>289.232814</v>
      </c>
      <c r="J496" s="1">
        <f>value(VND!$B496)</f>
        <v>0.4176927165</v>
      </c>
      <c r="K496" s="1">
        <f>value(CNY!$B496)</f>
        <v>1387.141163</v>
      </c>
      <c r="L496" s="1">
        <f>value(HKD!$B496)</f>
        <v>1131.286299</v>
      </c>
      <c r="M496" s="1">
        <f>value(TWD!$B496)</f>
        <v>294.872942</v>
      </c>
      <c r="N496" s="1">
        <f>value(JPY!$B496)</f>
        <v>115.270116</v>
      </c>
      <c r="O496" s="1">
        <f>value(SAR!$B496)</f>
        <v>2388.473965</v>
      </c>
      <c r="P496" s="1">
        <f>value(AED!$B496)</f>
        <v>2409.4125</v>
      </c>
      <c r="Q496" s="1">
        <f>value(KWD!$B496)</f>
        <v>32130.08006</v>
      </c>
    </row>
    <row r="497">
      <c r="A497" s="4">
        <f>value(USD!A497)</f>
        <v>40805.99861</v>
      </c>
      <c r="B497" s="1">
        <f>value(USD!B497)</f>
        <v>8822.4</v>
      </c>
      <c r="C497" s="1">
        <f>value(AUD!$B497)</f>
        <v>8898.100623</v>
      </c>
      <c r="D497" s="1">
        <f>value(EUR!$B497)</f>
        <v>12006.82629</v>
      </c>
      <c r="E497" s="1">
        <f>value(GBP!$B497)</f>
        <v>13709.58363</v>
      </c>
      <c r="F497" s="1">
        <f>value(CHF!$B497)</f>
        <v>9824.89217</v>
      </c>
      <c r="G497" s="1">
        <f>value(SGD!$B497)</f>
        <v>6858.77022</v>
      </c>
      <c r="H497" s="1">
        <f>value(MYR!$B497)</f>
        <v>2797.26076</v>
      </c>
      <c r="I497" s="1">
        <f>value(THB!$B497)</f>
        <v>285.649479</v>
      </c>
      <c r="J497" s="1">
        <f>value(VND!$B497)</f>
        <v>0.4224587795</v>
      </c>
      <c r="K497" s="1">
        <f>value(CNY!$B497)</f>
        <v>1393.408068</v>
      </c>
      <c r="L497" s="1">
        <f>value(HKD!$B497)</f>
        <v>1134.375879</v>
      </c>
      <c r="M497" s="1">
        <f>value(TWD!$B497)</f>
        <v>293.51788</v>
      </c>
      <c r="N497" s="1">
        <f>value(JPY!$B497)</f>
        <v>115.462154</v>
      </c>
      <c r="O497" s="1">
        <f>value(SAR!$B497)</f>
        <v>2370.729815</v>
      </c>
      <c r="P497" s="1">
        <f>value(AED!$B497)</f>
        <v>2328.748764</v>
      </c>
      <c r="Q497" s="1">
        <f>value(KWD!$B497)</f>
        <v>32240.2528</v>
      </c>
    </row>
    <row r="498">
      <c r="A498" s="4">
        <f>value(USD!A498)</f>
        <v>40806.99861</v>
      </c>
      <c r="B498" s="1">
        <f>value(USD!B498)</f>
        <v>8812.7</v>
      </c>
      <c r="C498" s="1">
        <f>value(AUD!$B498)</f>
        <v>8556.757786</v>
      </c>
      <c r="D498" s="1">
        <f>value(EUR!$B498)</f>
        <v>11809.2143</v>
      </c>
      <c r="E498" s="1">
        <f>value(GBP!$B498)</f>
        <v>13458.05098</v>
      </c>
      <c r="F498" s="1">
        <f>value(CHF!$B498)</f>
        <v>9652.389425</v>
      </c>
      <c r="G498" s="1">
        <f>value(SGD!$B498)</f>
        <v>6715.399103</v>
      </c>
      <c r="H498" s="1">
        <f>value(MYR!$B498)</f>
        <v>2787.319136</v>
      </c>
      <c r="I498" s="1">
        <f>value(THB!$B498)</f>
        <v>284.620616</v>
      </c>
      <c r="J498" s="1">
        <f>value(VND!$B498)</f>
        <v>0.4226337075</v>
      </c>
      <c r="K498" s="1">
        <f>value(CNY!$B498)</f>
        <v>1391.766028</v>
      </c>
      <c r="L498" s="1">
        <f>value(HKD!$B498)</f>
        <v>1123.147301</v>
      </c>
      <c r="M498" s="1">
        <f>value(TWD!$B498)</f>
        <v>289.0897205</v>
      </c>
      <c r="N498" s="1">
        <f>value(JPY!$B498)</f>
        <v>114.794645</v>
      </c>
      <c r="O498" s="1">
        <f>value(SAR!$B498)</f>
        <v>2372.779795</v>
      </c>
      <c r="P498" s="1">
        <f>value(AED!$B498)</f>
        <v>2406.499588</v>
      </c>
      <c r="Q498" s="1">
        <f>value(KWD!$B498)</f>
        <v>32305.2131</v>
      </c>
    </row>
    <row r="499">
      <c r="A499" s="4">
        <f>value(USD!A499)</f>
        <v>40807.99861</v>
      </c>
      <c r="B499" s="1">
        <f>value(USD!B499)</f>
        <v>8840.9</v>
      </c>
      <c r="C499" s="1">
        <f>value(AUD!$B499)</f>
        <v>8562.66858</v>
      </c>
      <c r="D499" s="1">
        <f>value(EUR!$B499)</f>
        <v>11815.13474</v>
      </c>
      <c r="E499" s="1">
        <f>value(GBP!$B499)</f>
        <v>13522.767</v>
      </c>
      <c r="F499" s="1">
        <f>value(CHF!$B499)</f>
        <v>9670.74774</v>
      </c>
      <c r="G499" s="1">
        <f>value(SGD!$B499)</f>
        <v>6742.652936</v>
      </c>
      <c r="H499" s="1">
        <f>value(MYR!$B499)</f>
        <v>2758.731994</v>
      </c>
      <c r="I499" s="1">
        <f>value(THB!$B499)</f>
        <v>282.183824</v>
      </c>
      <c r="J499" s="1">
        <f>value(VND!$B499)</f>
        <v>0.4296620005</v>
      </c>
      <c r="K499" s="1">
        <f>value(CNY!$B499)</f>
        <v>1382.736522</v>
      </c>
      <c r="L499" s="1">
        <f>value(HKD!$B499)</f>
        <v>1121.470638</v>
      </c>
      <c r="M499" s="1">
        <f>value(TWD!$B499)</f>
        <v>288.8358</v>
      </c>
      <c r="N499" s="1">
        <f>value(JPY!$B499)</f>
        <v>114.22143</v>
      </c>
      <c r="O499" s="1">
        <f>value(SAR!$B499)</f>
        <v>2372.716534</v>
      </c>
      <c r="P499" s="1">
        <f>value(AED!$B499)</f>
        <v>2409.398887</v>
      </c>
      <c r="Q499" s="1">
        <f>value(KWD!$B499)</f>
        <v>32345.57045</v>
      </c>
    </row>
    <row r="500">
      <c r="A500" s="4">
        <f>value(USD!A500)</f>
        <v>40808.99861</v>
      </c>
      <c r="B500" s="1">
        <f>value(USD!B500)</f>
        <v>8762.95</v>
      </c>
      <c r="C500" s="1">
        <f>value(AUD!$B500)</f>
        <v>8384.37101</v>
      </c>
      <c r="D500" s="1">
        <f>value(EUR!$B500)</f>
        <v>11583.47873</v>
      </c>
      <c r="E500" s="1">
        <f>value(GBP!$B500)</f>
        <v>13262.75312</v>
      </c>
      <c r="F500" s="1">
        <f>value(CHF!$B500)</f>
        <v>9473.88492</v>
      </c>
      <c r="G500" s="1">
        <f>value(SGD!$B500)</f>
        <v>6603.602956</v>
      </c>
      <c r="H500" s="1">
        <f>value(MYR!$B500)</f>
        <v>2704.668992</v>
      </c>
      <c r="I500" s="1">
        <f>value(THB!$B500)</f>
        <v>276.964551</v>
      </c>
      <c r="J500" s="1">
        <f>value(VND!$B500)</f>
        <v>0.4223515365</v>
      </c>
      <c r="K500" s="1">
        <f>value(CNY!$B500)</f>
        <v>1386.50176</v>
      </c>
      <c r="L500" s="1">
        <f>value(HKD!$B500)</f>
        <v>1098.600336</v>
      </c>
      <c r="M500" s="1">
        <f>value(TWD!$B500)</f>
        <v>283.222184</v>
      </c>
      <c r="N500" s="1">
        <f>value(JPY!$B500)</f>
        <v>112.29451</v>
      </c>
      <c r="O500" s="1">
        <f>value(SAR!$B500)</f>
        <v>2371.31994</v>
      </c>
      <c r="P500" s="1">
        <f>value(AED!$B500)</f>
        <v>2415.660637</v>
      </c>
      <c r="Q500" s="1">
        <f>value(KWD!$B500)</f>
        <v>32220.50899</v>
      </c>
    </row>
    <row r="501">
      <c r="A501" s="4">
        <f>value(USD!A501)</f>
        <v>40809.99861</v>
      </c>
      <c r="B501" s="1">
        <f>value(USD!B501)</f>
        <v>8752.6</v>
      </c>
      <c r="C501" s="1">
        <f>value(AUD!$B501)</f>
        <v>8624.281486</v>
      </c>
      <c r="D501" s="1">
        <f>value(EUR!$B501)</f>
        <v>11892.44227</v>
      </c>
      <c r="E501" s="1">
        <f>value(GBP!$B501)</f>
        <v>13601.81074</v>
      </c>
      <c r="F501" s="1">
        <f>value(CHF!$B501)</f>
        <v>9714.13668</v>
      </c>
      <c r="G501" s="1">
        <f>value(SGD!$B501)</f>
        <v>6773.116828</v>
      </c>
      <c r="H501" s="1">
        <f>value(MYR!$B501)</f>
        <v>2776.834786</v>
      </c>
      <c r="I501" s="1">
        <f>value(THB!$B501)</f>
        <v>284.3825805</v>
      </c>
      <c r="J501" s="1">
        <f>value(VND!$B501)</f>
        <v>0.4198188722</v>
      </c>
      <c r="K501" s="1">
        <f>value(CNY!$B501)</f>
        <v>1392.74982</v>
      </c>
      <c r="L501" s="1">
        <f>value(HKD!$B501)</f>
        <v>1124.974993</v>
      </c>
      <c r="M501" s="1">
        <f>value(TWD!$B501)</f>
        <v>290.791944</v>
      </c>
      <c r="N501" s="1">
        <f>value(JPY!$B501)</f>
        <v>114.666147</v>
      </c>
      <c r="O501" s="1">
        <f>value(SAR!$B501)</f>
        <v>2324.65723</v>
      </c>
      <c r="P501" s="1">
        <f>value(AED!$B501)</f>
        <v>2410.753396</v>
      </c>
      <c r="Q501" s="1">
        <f>value(KWD!$B501)</f>
        <v>32151.54606</v>
      </c>
    </row>
    <row r="502">
      <c r="A502" s="4">
        <f>value(USD!A502)</f>
        <v>40810.99861</v>
      </c>
      <c r="B502" s="1">
        <f>value(USD!B502)</f>
        <v>8572.1</v>
      </c>
      <c r="C502" s="1">
        <f>value(AUD!$B502)</f>
        <v>8914.744</v>
      </c>
      <c r="D502" s="1">
        <f>value(EUR!$B502)</f>
        <v>12272.528</v>
      </c>
      <c r="E502" s="1">
        <f>value(GBP!$B502)</f>
        <v>14118.2196</v>
      </c>
      <c r="F502" s="1">
        <f>value(CHF!$B502)</f>
        <v>10064.272</v>
      </c>
      <c r="G502" s="1">
        <f>value(SGD!$B502)</f>
        <v>7018.6584</v>
      </c>
      <c r="H502" s="1">
        <f>value(MYR!$B502)</f>
        <v>2852.028</v>
      </c>
      <c r="I502" s="1">
        <f>value(THB!$B502)</f>
        <v>291.1956</v>
      </c>
      <c r="J502" s="1">
        <f>value(VND!$B502)</f>
        <v>0.4257610031</v>
      </c>
      <c r="K502" s="1">
        <f>value(CNY!$B502)</f>
        <v>1397.943942</v>
      </c>
      <c r="L502" s="1">
        <f>value(HKD!$B502)</f>
        <v>1164.3284</v>
      </c>
      <c r="M502" s="1">
        <f>value(TWD!$B502)</f>
        <v>297.9148</v>
      </c>
      <c r="N502" s="1">
        <f>value(JPY!$B502)</f>
        <v>118.948</v>
      </c>
      <c r="O502" s="1">
        <f>value(SAR!$B502)</f>
        <v>2361.837675</v>
      </c>
      <c r="P502" s="1">
        <f>value(AED!$B502)</f>
        <v>2398.011628</v>
      </c>
      <c r="Q502" s="1">
        <f>value(KWD!$B502)</f>
        <v>32237.12216</v>
      </c>
    </row>
    <row r="503">
      <c r="A503" s="4">
        <f>value(USD!A503)</f>
        <v>40811.99861</v>
      </c>
      <c r="B503" s="1">
        <f>value(USD!B503)</f>
        <v>8779.95</v>
      </c>
      <c r="C503" s="1">
        <f>value(AUD!$B503)</f>
        <v>8818.571985</v>
      </c>
      <c r="D503" s="1">
        <f>value(EUR!$B503)</f>
        <v>12093.81259</v>
      </c>
      <c r="E503" s="1">
        <f>value(GBP!$B503)</f>
        <v>13923.77982</v>
      </c>
      <c r="F503" s="1">
        <f>value(CHF!$B503)</f>
        <v>9929.909745</v>
      </c>
      <c r="G503" s="1">
        <f>value(SGD!$B503)</f>
        <v>6932.058327</v>
      </c>
      <c r="H503" s="1">
        <f>value(MYR!$B503)</f>
        <v>2824.56109</v>
      </c>
      <c r="I503" s="1">
        <f>value(THB!$B503)</f>
        <v>287.3627365</v>
      </c>
      <c r="J503" s="1">
        <f>value(VND!$B503)</f>
        <v>0.4276928196</v>
      </c>
      <c r="K503" s="1">
        <f>value(CNY!$B503)</f>
        <v>1406.291664</v>
      </c>
      <c r="L503" s="1">
        <f>value(HKD!$B503)</f>
        <v>1141.881738</v>
      </c>
      <c r="M503" s="1">
        <f>value(TWD!$B503)</f>
        <v>293.2400035</v>
      </c>
      <c r="N503" s="1">
        <f>value(JPY!$B503)</f>
        <v>115.942449</v>
      </c>
      <c r="O503" s="1">
        <f>value(SAR!$B503)</f>
        <v>2365.383006</v>
      </c>
      <c r="P503" s="1">
        <f>value(AED!$B503)</f>
        <v>2402.151808</v>
      </c>
      <c r="Q503" s="1">
        <f>value(KWD!$B503)</f>
        <v>32219.72403</v>
      </c>
    </row>
    <row r="504">
      <c r="A504" s="4">
        <f>value(USD!A504)</f>
        <v>40812.99861</v>
      </c>
      <c r="B504" s="1">
        <f>value(USD!B504)</f>
        <v>9080</v>
      </c>
      <c r="C504" s="1">
        <f>value(AUD!$B504)</f>
        <v>8659.700295</v>
      </c>
      <c r="D504" s="1">
        <f>value(EUR!$B504)</f>
        <v>12032.01392</v>
      </c>
      <c r="E504" s="1">
        <f>value(GBP!$B504)</f>
        <v>13844.31913</v>
      </c>
      <c r="F504" s="1">
        <f>value(CHF!$B504)</f>
        <v>9863.399525</v>
      </c>
      <c r="G504" s="1">
        <f>value(SGD!$B504)</f>
        <v>6842.594515</v>
      </c>
      <c r="H504" s="1">
        <f>value(MYR!$B504)</f>
        <v>2789.399611</v>
      </c>
      <c r="I504" s="1">
        <f>value(THB!$B504)</f>
        <v>284.122802</v>
      </c>
      <c r="J504" s="1">
        <f>value(VND!$B504)</f>
        <v>0.4295704609</v>
      </c>
      <c r="K504" s="1">
        <f>value(CNY!$B504)</f>
        <v>1404.27555</v>
      </c>
      <c r="L504" s="1">
        <f>value(HKD!$B504)</f>
        <v>1140.580585</v>
      </c>
      <c r="M504" s="1">
        <f>value(TWD!$B504)</f>
        <v>289.634571</v>
      </c>
      <c r="N504" s="1">
        <f>value(JPY!$B504)</f>
        <v>116.102747</v>
      </c>
      <c r="O504" s="1">
        <f>value(SAR!$B504)</f>
        <v>2359.786607</v>
      </c>
      <c r="P504" s="1">
        <f>value(AED!$B504)</f>
        <v>2413.28397</v>
      </c>
      <c r="Q504" s="1">
        <f>value(KWD!$B504)</f>
        <v>32522.17612</v>
      </c>
    </row>
    <row r="505">
      <c r="A505" s="4">
        <f>value(USD!A505)</f>
        <v>40813.99861</v>
      </c>
      <c r="B505" s="1">
        <f>value(USD!B505)</f>
        <v>8904.95</v>
      </c>
      <c r="C505" s="1">
        <f>value(AUD!$B505)</f>
        <v>8741.31864</v>
      </c>
      <c r="D505" s="1">
        <f>value(EUR!$B505)</f>
        <v>12162.1071</v>
      </c>
      <c r="E505" s="1">
        <f>value(GBP!$B505)</f>
        <v>13961.5797</v>
      </c>
      <c r="F505" s="1">
        <f>value(CHF!$B505)</f>
        <v>9972.30114</v>
      </c>
      <c r="G505" s="1">
        <f>value(SGD!$B505)</f>
        <v>6897.799248</v>
      </c>
      <c r="H505" s="1">
        <f>value(MYR!$B505)</f>
        <v>2803.864794</v>
      </c>
      <c r="I505" s="1">
        <f>value(THB!$B505)</f>
        <v>285.498414</v>
      </c>
      <c r="J505" s="1">
        <f>value(VND!$B505)</f>
        <v>0.4321205963</v>
      </c>
      <c r="K505" s="1">
        <f>value(CNY!$B505)</f>
        <v>1391.467908</v>
      </c>
      <c r="L505" s="1">
        <f>value(HKD!$B505)</f>
        <v>1148.887158</v>
      </c>
      <c r="M505" s="1">
        <f>value(TWD!$B505)</f>
        <v>293.018598</v>
      </c>
      <c r="N505" s="1">
        <f>value(JPY!$B505)</f>
        <v>116.652378</v>
      </c>
      <c r="O505" s="1">
        <f>value(SAR!$B505)</f>
        <v>2303.544268</v>
      </c>
      <c r="P505" s="1">
        <f>value(AED!$B505)</f>
        <v>2422.592526</v>
      </c>
      <c r="Q505" s="1">
        <f>value(KWD!$B505)</f>
        <v>32497.7217</v>
      </c>
    </row>
    <row r="506">
      <c r="A506" s="4">
        <f>value(USD!A506)</f>
        <v>40814.99861</v>
      </c>
      <c r="B506" s="1">
        <f>value(USD!B506)</f>
        <v>8889.95</v>
      </c>
      <c r="C506" s="1">
        <f>value(AUD!$B506)</f>
        <v>8490.212705</v>
      </c>
      <c r="D506" s="1">
        <f>value(EUR!$B506)</f>
        <v>11765.34807</v>
      </c>
      <c r="E506" s="1">
        <f>value(GBP!$B506)</f>
        <v>13695.62109</v>
      </c>
      <c r="F506" s="1">
        <f>value(CHF!$B506)</f>
        <v>9675.97696</v>
      </c>
      <c r="G506" s="1">
        <f>value(SGD!$B506)</f>
        <v>6721.147368</v>
      </c>
      <c r="H506" s="1">
        <f>value(MYR!$B506)</f>
        <v>2738.333123</v>
      </c>
      <c r="I506" s="1">
        <f>value(THB!$B506)</f>
        <v>280.3115055</v>
      </c>
      <c r="J506" s="1">
        <f>value(VND!$B506)</f>
        <v>0.4259523754</v>
      </c>
      <c r="K506" s="1">
        <f>value(CNY!$B506)</f>
        <v>1409.777778</v>
      </c>
      <c r="L506" s="1">
        <f>value(HKD!$B506)</f>
        <v>1129.069077</v>
      </c>
      <c r="M506" s="1">
        <f>value(TWD!$B506)</f>
        <v>286.024973</v>
      </c>
      <c r="N506" s="1">
        <f>value(JPY!$B506)</f>
        <v>114.0056515</v>
      </c>
      <c r="O506" s="1">
        <f>value(SAR!$B506)</f>
        <v>2368.17955</v>
      </c>
      <c r="P506" s="1">
        <f>value(AED!$B506)</f>
        <v>2434.984536</v>
      </c>
      <c r="Q506" s="1">
        <f>value(KWD!$B506)</f>
        <v>32103.17138</v>
      </c>
    </row>
    <row r="507">
      <c r="A507" s="4">
        <f>value(USD!A507)</f>
        <v>40815.99861</v>
      </c>
      <c r="B507" s="1">
        <f>value(USD!B507)</f>
        <v>8952.6</v>
      </c>
      <c r="C507" s="1">
        <f>value(AUD!$B507)</f>
        <v>8742.753609</v>
      </c>
      <c r="D507" s="1">
        <f>value(EUR!$B507)</f>
        <v>12128.62316</v>
      </c>
      <c r="E507" s="1">
        <f>value(GBP!$B507)</f>
        <v>14114.13041</v>
      </c>
      <c r="F507" s="1">
        <f>value(CHF!$B507)</f>
        <v>9984.601433</v>
      </c>
      <c r="G507" s="1">
        <f>value(SGD!$B507)</f>
        <v>6926.086945</v>
      </c>
      <c r="H507" s="1">
        <f>value(MYR!$B507)</f>
        <v>2822.826082</v>
      </c>
      <c r="I507" s="1">
        <f>value(THB!$B507)</f>
        <v>288.9492749</v>
      </c>
      <c r="J507" s="1">
        <f>value(VND!$B507)</f>
        <v>0.423950484</v>
      </c>
      <c r="K507" s="1">
        <f>value(CNY!$B507)</f>
        <v>1403.48845</v>
      </c>
      <c r="L507" s="1">
        <f>value(HKD!$B507)</f>
        <v>1163.496374</v>
      </c>
      <c r="M507" s="1">
        <f>value(TWD!$B507)</f>
        <v>294.836956</v>
      </c>
      <c r="N507" s="1">
        <f>value(JPY!$B507)</f>
        <v>117.3913041</v>
      </c>
      <c r="O507" s="1">
        <f>value(SAR!$B507)</f>
        <v>2368.126214</v>
      </c>
      <c r="P507" s="1">
        <f>value(AED!$B507)</f>
        <v>2435.1868</v>
      </c>
      <c r="Q507" s="1">
        <f>value(KWD!$B507)</f>
        <v>32551.6104</v>
      </c>
    </row>
    <row r="508">
      <c r="A508" s="4">
        <f>value(USD!A508)</f>
        <v>40816.99861</v>
      </c>
      <c r="B508" s="1">
        <f>value(USD!B508)</f>
        <v>8789.95</v>
      </c>
      <c r="C508" s="1">
        <f>value(AUD!$B508)</f>
        <v>8503.39763</v>
      </c>
      <c r="D508" s="1">
        <f>value(EUR!$B508)</f>
        <v>11742.4942</v>
      </c>
      <c r="E508" s="1">
        <f>value(GBP!$B508)</f>
        <v>13692.98411</v>
      </c>
      <c r="F508" s="1">
        <f>value(CHF!$B508)</f>
        <v>9661.91304</v>
      </c>
      <c r="G508" s="1">
        <f>value(SGD!$B508)</f>
        <v>6724.22385</v>
      </c>
      <c r="H508" s="1">
        <f>value(MYR!$B508)</f>
        <v>2732.707555</v>
      </c>
      <c r="I508" s="1">
        <f>value(THB!$B508)</f>
        <v>279.696209</v>
      </c>
      <c r="J508" s="1">
        <f>value(VND!$B508)</f>
        <v>0.4266293458</v>
      </c>
      <c r="K508" s="1">
        <f>value(CNY!$B508)</f>
        <v>1400.256024</v>
      </c>
      <c r="L508" s="1">
        <f>value(HKD!$B508)</f>
        <v>1128.54168</v>
      </c>
      <c r="M508" s="1">
        <f>value(TWD!$B508)</f>
        <v>285.497576</v>
      </c>
      <c r="N508" s="1">
        <f>value(JPY!$B508)</f>
        <v>113.8298525</v>
      </c>
      <c r="O508" s="1">
        <f>value(SAR!$B508)</f>
        <v>2357.672323</v>
      </c>
      <c r="P508" s="1">
        <f>value(AED!$B508)</f>
        <v>2405.091352</v>
      </c>
      <c r="Q508" s="1">
        <f>value(KWD!$B508)</f>
        <v>32429.97069</v>
      </c>
    </row>
    <row r="509">
      <c r="A509" s="4">
        <f>value(USD!A509)</f>
        <v>40817.99861</v>
      </c>
      <c r="B509" s="1">
        <f>value(USD!B509)</f>
        <v>9057.971</v>
      </c>
      <c r="C509" s="1">
        <f>value(AUD!$B509)</f>
        <v>8471.262145</v>
      </c>
      <c r="D509" s="1">
        <f>value(EUR!$B509)</f>
        <v>11737.51604</v>
      </c>
      <c r="E509" s="1">
        <f>value(GBP!$B509)</f>
        <v>13728.76535</v>
      </c>
      <c r="F509" s="1">
        <f>value(CHF!$B509)</f>
        <v>9666.18968</v>
      </c>
      <c r="G509" s="1">
        <f>value(SGD!$B509)</f>
        <v>6755.299938</v>
      </c>
      <c r="H509" s="1">
        <f>value(MYR!$B509)</f>
        <v>2751.002565</v>
      </c>
      <c r="I509" s="1">
        <f>value(THB!$B509)</f>
        <v>283.3837825</v>
      </c>
      <c r="J509" s="1">
        <f>value(VND!$B509)</f>
        <v>0.4247260586</v>
      </c>
      <c r="K509" s="1">
        <f>value(CNY!$B509)</f>
        <v>1412.856824</v>
      </c>
      <c r="L509" s="1">
        <f>value(HKD!$B509)</f>
        <v>1142.343605</v>
      </c>
      <c r="M509" s="1">
        <f>value(TWD!$B509)</f>
        <v>287.2986605</v>
      </c>
      <c r="N509" s="1">
        <f>value(JPY!$B509)</f>
        <v>116.1117225</v>
      </c>
      <c r="O509" s="1">
        <f>value(SAR!$B509)</f>
        <v>2353.445431</v>
      </c>
      <c r="P509" s="1">
        <f>value(AED!$B509)</f>
        <v>2437.895588</v>
      </c>
      <c r="Q509" s="1">
        <f>value(KWD!$B509)</f>
        <v>32309.46537</v>
      </c>
    </row>
    <row r="510">
      <c r="A510" s="4">
        <f>value(USD!A510)</f>
        <v>40818.99861</v>
      </c>
      <c r="B510" s="1">
        <f>value(USD!B510)</f>
        <v>8789.95</v>
      </c>
      <c r="C510" s="1">
        <f>value(AUD!$B510)</f>
        <v>8245.82214</v>
      </c>
      <c r="D510" s="1">
        <f>value(EUR!$B510)</f>
        <v>11488.815</v>
      </c>
      <c r="E510" s="1">
        <f>value(GBP!$B510)</f>
        <v>13333.14702</v>
      </c>
      <c r="F510" s="1">
        <f>value(CHF!$B510)</f>
        <v>9383.3226</v>
      </c>
      <c r="G510" s="1">
        <f>value(SGD!$B510)</f>
        <v>6586.17336</v>
      </c>
      <c r="H510" s="1">
        <f>value(MYR!$B510)</f>
        <v>2661.69762</v>
      </c>
      <c r="I510" s="1">
        <f>value(THB!$B510)</f>
        <v>274.35204</v>
      </c>
      <c r="J510" s="1">
        <f>value(VND!$B510)</f>
        <v>0.4288446627</v>
      </c>
      <c r="K510" s="1">
        <f>value(CNY!$B510)</f>
        <v>1409.575068</v>
      </c>
      <c r="L510" s="1">
        <f>value(HKD!$B510)</f>
        <v>1107.4959</v>
      </c>
      <c r="M510" s="1">
        <f>value(TWD!$B510)</f>
        <v>284.00868</v>
      </c>
      <c r="N510" s="1">
        <f>value(JPY!$B510)</f>
        <v>112.25844</v>
      </c>
      <c r="O510" s="1">
        <f>value(SAR!$B510)</f>
        <v>2360.125788</v>
      </c>
      <c r="P510" s="1">
        <f>value(AED!$B510)</f>
        <v>2427.10875</v>
      </c>
      <c r="Q510" s="1">
        <f>value(KWD!$B510)</f>
        <v>32529.28148</v>
      </c>
    </row>
    <row r="511">
      <c r="A511" s="4">
        <f>value(USD!A511)</f>
        <v>40819.99861</v>
      </c>
      <c r="B511" s="1">
        <f>value(USD!B511)</f>
        <v>8897.45</v>
      </c>
      <c r="C511" s="1">
        <f>value(AUD!$B511)</f>
        <v>8629.39505</v>
      </c>
      <c r="D511" s="1">
        <f>value(EUR!$B511)</f>
        <v>11945.91294</v>
      </c>
      <c r="E511" s="1">
        <f>value(GBP!$B511)</f>
        <v>13847.33543</v>
      </c>
      <c r="F511" s="1">
        <f>value(CHF!$B511)</f>
        <v>9693.40349</v>
      </c>
      <c r="G511" s="1">
        <f>value(SGD!$B511)</f>
        <v>6873.06462</v>
      </c>
      <c r="H511" s="1">
        <f>value(MYR!$B511)</f>
        <v>2806.814857</v>
      </c>
      <c r="I511" s="1">
        <f>value(THB!$B511)</f>
        <v>286.959852</v>
      </c>
      <c r="J511" s="1">
        <f>value(VND!$B511)</f>
        <v>0.4274457897</v>
      </c>
      <c r="K511" s="1">
        <f>value(CNY!$B511)</f>
        <v>1411.645009</v>
      </c>
      <c r="L511" s="1">
        <f>value(HKD!$B511)</f>
        <v>1150.347172</v>
      </c>
      <c r="M511" s="1">
        <f>value(TWD!$B511)</f>
        <v>292.064943</v>
      </c>
      <c r="N511" s="1">
        <f>value(JPY!$B511)</f>
        <v>116.611026</v>
      </c>
      <c r="O511" s="1">
        <f>value(SAR!$B511)</f>
        <v>2281.614936</v>
      </c>
      <c r="P511" s="1">
        <f>value(AED!$B511)</f>
        <v>2420.199988</v>
      </c>
      <c r="Q511" s="1">
        <f>value(KWD!$B511)</f>
        <v>32539.23585</v>
      </c>
    </row>
    <row r="512">
      <c r="A512" s="4">
        <f>value(USD!A512)</f>
        <v>40820.99861</v>
      </c>
      <c r="B512" s="1">
        <f>value(USD!B512)</f>
        <v>8622</v>
      </c>
      <c r="C512" s="1">
        <f>value(AUD!$B512)</f>
        <v>8655.3929</v>
      </c>
      <c r="D512" s="1">
        <f>value(EUR!$B512)</f>
        <v>11937.492</v>
      </c>
      <c r="E512" s="1">
        <f>value(GBP!$B512)</f>
        <v>13719.5814</v>
      </c>
      <c r="F512" s="1">
        <f>value(CHF!$B512)</f>
        <v>9649.206</v>
      </c>
      <c r="G512" s="1">
        <f>value(SGD!$B512)</f>
        <v>6837.3879</v>
      </c>
      <c r="H512" s="1">
        <f>value(MYR!$B512)</f>
        <v>2801.5946</v>
      </c>
      <c r="I512" s="1">
        <f>value(THB!$B512)</f>
        <v>286.8803</v>
      </c>
      <c r="J512" s="1">
        <f>value(VND!$B512)</f>
        <v>0.4268255452</v>
      </c>
      <c r="K512" s="1">
        <f>value(CNY!$B512)</f>
        <v>1408.393645</v>
      </c>
      <c r="L512" s="1">
        <f>value(HKD!$B512)</f>
        <v>1142.365</v>
      </c>
      <c r="M512" s="1">
        <f>value(TWD!$B512)</f>
        <v>292.2143</v>
      </c>
      <c r="N512" s="1">
        <f>value(JPY!$B512)</f>
        <v>115.9256</v>
      </c>
      <c r="O512" s="1">
        <f>value(SAR!$B512)</f>
        <v>2362.779262</v>
      </c>
      <c r="P512" s="1">
        <f>value(AED!$B512)</f>
        <v>2442.068887</v>
      </c>
      <c r="Q512" s="1">
        <f>value(KWD!$B512)</f>
        <v>32610.72156</v>
      </c>
    </row>
    <row r="513">
      <c r="A513" s="4">
        <f>value(USD!A513)</f>
        <v>40821.99861</v>
      </c>
      <c r="B513" s="1">
        <f>value(USD!B513)</f>
        <v>8956.3</v>
      </c>
      <c r="C513" s="1">
        <f>value(AUD!$B513)</f>
        <v>8690.139415</v>
      </c>
      <c r="D513" s="1">
        <f>value(EUR!$B513)</f>
        <v>11900.33937</v>
      </c>
      <c r="E513" s="1">
        <f>value(GBP!$B513)</f>
        <v>13842.65271</v>
      </c>
      <c r="F513" s="1">
        <f>value(CHF!$B513)</f>
        <v>9592.340845</v>
      </c>
      <c r="G513" s="1">
        <f>value(SGD!$B513)</f>
        <v>6853.705735</v>
      </c>
      <c r="H513" s="1">
        <f>value(MYR!$B513)</f>
        <v>2786.859289</v>
      </c>
      <c r="I513" s="1">
        <f>value(THB!$B513)</f>
        <v>284.4514765</v>
      </c>
      <c r="J513" s="1">
        <f>value(VND!$B513)</f>
        <v>0.4365452868</v>
      </c>
      <c r="K513" s="1">
        <f>value(CNY!$B513)</f>
        <v>1414.995584</v>
      </c>
      <c r="L513" s="1">
        <f>value(HKD!$B513)</f>
        <v>1143.23335</v>
      </c>
      <c r="M513" s="1">
        <f>value(TWD!$B513)</f>
        <v>290.5017425</v>
      </c>
      <c r="N513" s="1">
        <f>value(JPY!$B513)</f>
        <v>115.9337735</v>
      </c>
      <c r="O513" s="1">
        <f>value(SAR!$B513)</f>
        <v>2357.382793</v>
      </c>
      <c r="P513" s="1">
        <f>value(AED!$B513)</f>
        <v>2437.854752</v>
      </c>
      <c r="Q513" s="1">
        <f>value(KWD!$B513)</f>
        <v>32576.11811</v>
      </c>
    </row>
    <row r="514">
      <c r="A514" s="4">
        <f>value(USD!A514)</f>
        <v>40822.99861</v>
      </c>
      <c r="B514" s="1">
        <f>value(USD!B514)</f>
        <v>8890</v>
      </c>
      <c r="C514" s="1">
        <f>value(AUD!$B514)</f>
        <v>8858.567409</v>
      </c>
      <c r="D514" s="1">
        <f>value(EUR!$B514)</f>
        <v>12135.99256</v>
      </c>
      <c r="E514" s="1">
        <f>value(GBP!$B514)</f>
        <v>14103.35427</v>
      </c>
      <c r="F514" s="1">
        <f>value(CHF!$B514)</f>
        <v>9775.15851</v>
      </c>
      <c r="G514" s="1">
        <f>value(SGD!$B514)</f>
        <v>6983.680764</v>
      </c>
      <c r="H514" s="1">
        <f>value(MYR!$B514)</f>
        <v>2841.795061</v>
      </c>
      <c r="I514" s="1">
        <f>value(THB!$B514)</f>
        <v>290.117856</v>
      </c>
      <c r="J514" s="1">
        <f>value(VND!$B514)</f>
        <v>0.4326086915</v>
      </c>
      <c r="K514" s="1">
        <f>value(CNY!$B514)</f>
        <v>1415.029423</v>
      </c>
      <c r="L514" s="1">
        <f>value(HKD!$B514)</f>
        <v>1164.913853</v>
      </c>
      <c r="M514" s="1">
        <f>value(TWD!$B514)</f>
        <v>296.2828604</v>
      </c>
      <c r="N514" s="1">
        <f>value(JPY!$B514)</f>
        <v>118.1323644</v>
      </c>
      <c r="O514" s="1">
        <f>value(SAR!$B514)</f>
        <v>2360.112453</v>
      </c>
      <c r="P514" s="1">
        <f>value(AED!$B514)</f>
        <v>2440.896631</v>
      </c>
      <c r="Q514" s="1">
        <f>value(KWD!$B514)</f>
        <v>32655.46436</v>
      </c>
    </row>
    <row r="515">
      <c r="A515" s="4">
        <f>value(USD!A515)</f>
        <v>40823.99861</v>
      </c>
      <c r="B515" s="1">
        <f>value(USD!B515)</f>
        <v>8897.45</v>
      </c>
      <c r="C515" s="1">
        <f>value(AUD!$B515)</f>
        <v>8686.580435</v>
      </c>
      <c r="D515" s="1">
        <f>value(EUR!$B515)</f>
        <v>11906.56759</v>
      </c>
      <c r="E515" s="1">
        <f>value(GBP!$B515)</f>
        <v>13816.8501</v>
      </c>
      <c r="F515" s="1">
        <f>value(CHF!$B515)</f>
        <v>9598.56906</v>
      </c>
      <c r="G515" s="1">
        <f>value(SGD!$B515)</f>
        <v>6854.773429</v>
      </c>
      <c r="H515" s="1">
        <f>value(MYR!$B515)</f>
        <v>2754.027698</v>
      </c>
      <c r="I515" s="1">
        <f>value(THB!$B515)</f>
        <v>284.8073745</v>
      </c>
      <c r="J515" s="1">
        <f>value(VND!$B515)</f>
        <v>0.4343917441</v>
      </c>
      <c r="K515" s="1">
        <f>value(CNY!$B515)</f>
        <v>1410.598167</v>
      </c>
      <c r="L515" s="1">
        <f>value(HKD!$B515)</f>
        <v>1143.23335</v>
      </c>
      <c r="M515" s="1">
        <f>value(TWD!$B515)</f>
        <v>290.6796915</v>
      </c>
      <c r="N515" s="1">
        <f>value(JPY!$B515)</f>
        <v>115.844799</v>
      </c>
      <c r="O515" s="1">
        <f>value(SAR!$B515)</f>
        <v>2366.246114</v>
      </c>
      <c r="P515" s="1">
        <f>value(AED!$B515)</f>
        <v>2440.080091</v>
      </c>
      <c r="Q515" s="1">
        <f>value(KWD!$B515)</f>
        <v>32608.58591</v>
      </c>
    </row>
    <row r="516">
      <c r="A516" s="4">
        <f>value(USD!A516)</f>
        <v>40824.99861</v>
      </c>
      <c r="B516" s="1">
        <f>value(USD!B516)</f>
        <v>9066.183</v>
      </c>
      <c r="C516" s="1">
        <f>value(AUD!$B516)</f>
        <v>8879.111325</v>
      </c>
      <c r="D516" s="1">
        <f>value(EUR!$B516)</f>
        <v>12123.96633</v>
      </c>
      <c r="E516" s="1">
        <f>value(GBP!$B516)</f>
        <v>13921.13047</v>
      </c>
      <c r="F516" s="1">
        <f>value(CHF!$B516)</f>
        <v>9831.49272</v>
      </c>
      <c r="G516" s="1">
        <f>value(SGD!$B516)</f>
        <v>6966.256405</v>
      </c>
      <c r="H516" s="1">
        <f>value(MYR!$B516)</f>
        <v>2832.778872</v>
      </c>
      <c r="I516" s="1">
        <f>value(THB!$B516)</f>
        <v>286.9593615</v>
      </c>
      <c r="J516" s="1">
        <f>value(VND!$B516)</f>
        <v>0.4344242044</v>
      </c>
      <c r="K516" s="1">
        <f>value(CNY!$B516)</f>
        <v>1412.115075</v>
      </c>
      <c r="L516" s="1">
        <f>value(HKD!$B516)</f>
        <v>1142.768749</v>
      </c>
      <c r="M516" s="1">
        <f>value(TWD!$B516)</f>
        <v>292.739454</v>
      </c>
      <c r="N516" s="1">
        <f>value(JPY!$B516)</f>
        <v>115.957548</v>
      </c>
      <c r="O516" s="1">
        <f>value(SAR!$B516)</f>
        <v>2361.35252</v>
      </c>
      <c r="P516" s="1">
        <f>value(AED!$B516)</f>
        <v>2448.245491</v>
      </c>
      <c r="Q516" s="1">
        <f>value(KWD!$B516)</f>
        <v>32509.77896</v>
      </c>
    </row>
    <row r="517">
      <c r="A517" s="4">
        <f>value(USD!A517)</f>
        <v>40825.99861</v>
      </c>
      <c r="B517" s="1">
        <f>value(USD!B517)</f>
        <v>8897.45</v>
      </c>
      <c r="C517" s="1">
        <f>value(AUD!$B517)</f>
        <v>8675.1584</v>
      </c>
      <c r="D517" s="1">
        <f>value(EUR!$B517)</f>
        <v>11893.4748</v>
      </c>
      <c r="E517" s="1">
        <f>value(GBP!$B517)</f>
        <v>13584.65997</v>
      </c>
      <c r="F517" s="1">
        <f>value(CHF!$B517)</f>
        <v>9593.0585</v>
      </c>
      <c r="G517" s="1">
        <f>value(SGD!$B517)</f>
        <v>6791.06602</v>
      </c>
      <c r="H517" s="1">
        <f>value(MYR!$B517)</f>
        <v>2768.43203</v>
      </c>
      <c r="I517" s="1">
        <f>value(THB!$B517)</f>
        <v>281.29759</v>
      </c>
      <c r="J517" s="1">
        <f>value(VND!$B517)</f>
        <v>0.4325234942</v>
      </c>
      <c r="K517" s="1">
        <f>value(CNY!$B517)</f>
        <v>1397.792115</v>
      </c>
      <c r="L517" s="1">
        <f>value(HKD!$B517)</f>
        <v>1120.30884</v>
      </c>
      <c r="M517" s="1">
        <f>value(TWD!$B517)</f>
        <v>288.35836</v>
      </c>
      <c r="N517" s="1">
        <f>value(JPY!$B517)</f>
        <v>113.66968</v>
      </c>
      <c r="O517" s="1">
        <f>value(SAR!$B517)</f>
        <v>2348.871854</v>
      </c>
      <c r="P517" s="1">
        <f>value(AED!$B517)</f>
        <v>2447.837221</v>
      </c>
      <c r="Q517" s="1">
        <f>value(KWD!$B517)</f>
        <v>32637.023</v>
      </c>
    </row>
    <row r="518">
      <c r="A518" s="4">
        <f>value(USD!A518)</f>
        <v>40826.99861</v>
      </c>
      <c r="B518" s="1">
        <f>value(USD!B518)</f>
        <v>8892.45</v>
      </c>
      <c r="C518" s="1">
        <f>value(AUD!$B518)</f>
        <v>8992.23552</v>
      </c>
      <c r="D518" s="1">
        <f>value(EUR!$B518)</f>
        <v>12213.74464</v>
      </c>
      <c r="E518" s="1">
        <f>value(GBP!$B518)</f>
        <v>13948.06272</v>
      </c>
      <c r="F518" s="1">
        <f>value(CHF!$B518)</f>
        <v>9893.9392</v>
      </c>
      <c r="G518" s="1">
        <f>value(SGD!$B518)</f>
        <v>6933.552128</v>
      </c>
      <c r="H518" s="1">
        <f>value(MYR!$B518)</f>
        <v>2827.700224</v>
      </c>
      <c r="I518" s="1">
        <f>value(THB!$B518)</f>
        <v>286.54336</v>
      </c>
      <c r="J518" s="1">
        <f>value(VND!$B518)</f>
        <v>0.4335133306</v>
      </c>
      <c r="K518" s="1">
        <f>value(CNY!$B518)</f>
        <v>1416.556152</v>
      </c>
      <c r="L518" s="1">
        <f>value(HKD!$B518)</f>
        <v>1138.378752</v>
      </c>
      <c r="M518" s="1">
        <f>value(TWD!$B518)</f>
        <v>292.123648</v>
      </c>
      <c r="N518" s="1">
        <f>value(JPY!$B518)</f>
        <v>114.70592</v>
      </c>
      <c r="O518" s="1">
        <f>value(SAR!$B518)</f>
        <v>2353.821624</v>
      </c>
      <c r="P518" s="1">
        <f>value(AED!$B518)</f>
        <v>2442.189486</v>
      </c>
      <c r="Q518" s="1">
        <f>value(KWD!$B518)</f>
        <v>32305.98852</v>
      </c>
    </row>
    <row r="519">
      <c r="A519" s="4">
        <f>value(USD!A519)</f>
        <v>40827.99861</v>
      </c>
      <c r="B519" s="1">
        <f>value(USD!B519)</f>
        <v>8717</v>
      </c>
      <c r="C519" s="1">
        <f>value(AUD!$B519)</f>
        <v>9004.77324</v>
      </c>
      <c r="D519" s="1">
        <f>value(EUR!$B519)</f>
        <v>12187.2226</v>
      </c>
      <c r="E519" s="1">
        <f>value(GBP!$B519)</f>
        <v>13962.18829</v>
      </c>
      <c r="F519" s="1">
        <f>value(CHF!$B519)</f>
        <v>9857.175435</v>
      </c>
      <c r="G519" s="1">
        <f>value(SGD!$B519)</f>
        <v>6940.469776</v>
      </c>
      <c r="H519" s="1">
        <f>value(MYR!$B519)</f>
        <v>2823.925981</v>
      </c>
      <c r="I519" s="1">
        <f>value(THB!$B519)</f>
        <v>286.854183</v>
      </c>
      <c r="J519" s="1">
        <f>value(VND!$B519)</f>
        <v>0.4273237935</v>
      </c>
      <c r="K519" s="1">
        <f>value(CNY!$B519)</f>
        <v>1419.514453</v>
      </c>
      <c r="L519" s="1">
        <f>value(HKD!$B519)</f>
        <v>1140.143373</v>
      </c>
      <c r="M519" s="1">
        <f>value(TWD!$B519)</f>
        <v>293.240547</v>
      </c>
      <c r="N519" s="1">
        <f>value(JPY!$B519)</f>
        <v>115.30935</v>
      </c>
      <c r="O519" s="1">
        <f>value(SAR!$B519)</f>
        <v>2353.556024</v>
      </c>
      <c r="P519" s="1">
        <f>value(AED!$B519)</f>
        <v>2447.30647</v>
      </c>
      <c r="Q519" s="1">
        <f>value(KWD!$B519)</f>
        <v>32699.09054</v>
      </c>
    </row>
    <row r="520">
      <c r="A520" s="4">
        <f>value(USD!A520)</f>
        <v>40828.99861</v>
      </c>
      <c r="B520" s="1">
        <f>value(USD!B520)</f>
        <v>8857.6</v>
      </c>
      <c r="C520" s="1">
        <f>value(AUD!$B520)</f>
        <v>9148.30296</v>
      </c>
      <c r="D520" s="1">
        <f>value(EUR!$B520)</f>
        <v>12282.6896</v>
      </c>
      <c r="E520" s="1">
        <f>value(GBP!$B520)</f>
        <v>13996.77964</v>
      </c>
      <c r="F520" s="1">
        <f>value(CHF!$B520)</f>
        <v>9920.83812</v>
      </c>
      <c r="G520" s="1">
        <f>value(SGD!$B520)</f>
        <v>6993.168792</v>
      </c>
      <c r="H520" s="1">
        <f>value(MYR!$B520)</f>
        <v>2830.947572</v>
      </c>
      <c r="I520" s="1">
        <f>value(THB!$B520)</f>
        <v>287.333524</v>
      </c>
      <c r="J520" s="1">
        <f>value(VND!$B520)</f>
        <v>0.435651186</v>
      </c>
      <c r="K520" s="1">
        <f>value(CNY!$B520)</f>
        <v>1416.104145</v>
      </c>
      <c r="L520" s="1">
        <f>value(HKD!$B520)</f>
        <v>1137.653152</v>
      </c>
      <c r="M520" s="1">
        <f>value(TWD!$B520)</f>
        <v>293.970424</v>
      </c>
      <c r="N520" s="1">
        <f>value(JPY!$B520)</f>
        <v>114.59714</v>
      </c>
      <c r="O520" s="1">
        <f>value(SAR!$B520)</f>
        <v>2364.589152</v>
      </c>
      <c r="P520" s="1">
        <f>value(AED!$B520)</f>
        <v>2422.483654</v>
      </c>
      <c r="Q520" s="1">
        <f>value(KWD!$B520)</f>
        <v>32796.50931</v>
      </c>
    </row>
    <row r="521">
      <c r="A521" s="4">
        <f>value(USD!A521)</f>
        <v>40829.99861</v>
      </c>
      <c r="B521" s="1">
        <f>value(USD!B521)</f>
        <v>8869.95</v>
      </c>
      <c r="C521" s="1">
        <f>value(AUD!$B521)</f>
        <v>8890.68168</v>
      </c>
      <c r="D521" s="1">
        <f>value(EUR!$B521)</f>
        <v>11969.98608</v>
      </c>
      <c r="E521" s="1">
        <f>value(GBP!$B521)</f>
        <v>13651.7268</v>
      </c>
      <c r="F521" s="1">
        <f>value(CHF!$B521)</f>
        <v>9666.33816</v>
      </c>
      <c r="G521" s="1">
        <f>value(SGD!$B521)</f>
        <v>6825.949776</v>
      </c>
      <c r="H521" s="1">
        <f>value(MYR!$B521)</f>
        <v>2758.935816</v>
      </c>
      <c r="I521" s="1">
        <f>value(THB!$B521)</f>
        <v>276.748704</v>
      </c>
      <c r="J521" s="1">
        <f>value(VND!$B521)</f>
        <v>0.4364059574</v>
      </c>
      <c r="K521" s="1">
        <f>value(CNY!$B521)</f>
        <v>1406.379808</v>
      </c>
      <c r="L521" s="1">
        <f>value(HKD!$B521)</f>
        <v>1110.449856</v>
      </c>
      <c r="M521" s="1">
        <f>value(TWD!$B521)</f>
        <v>286.509192</v>
      </c>
      <c r="N521" s="1">
        <f>value(JPY!$B521)</f>
        <v>111.597792</v>
      </c>
      <c r="O521" s="1">
        <f>value(SAR!$B521)</f>
        <v>2373.583224</v>
      </c>
      <c r="P521" s="1">
        <f>value(AED!$B521)</f>
        <v>2456.410891</v>
      </c>
      <c r="Q521" s="1">
        <f>value(KWD!$B521)</f>
        <v>32699.54439</v>
      </c>
    </row>
    <row r="522">
      <c r="A522" s="4">
        <f>value(USD!A522)</f>
        <v>40830.99861</v>
      </c>
      <c r="B522" s="1">
        <f>value(USD!B522)</f>
        <v>8849.2</v>
      </c>
      <c r="C522" s="1">
        <f>value(AUD!$B522)</f>
        <v>9181.332415</v>
      </c>
      <c r="D522" s="1">
        <f>value(EUR!$B522)</f>
        <v>12334.22098</v>
      </c>
      <c r="E522" s="1">
        <f>value(GBP!$B522)</f>
        <v>14064.88748</v>
      </c>
      <c r="F522" s="1">
        <f>value(CHF!$B522)</f>
        <v>9964.443448</v>
      </c>
      <c r="G522" s="1">
        <f>value(SGD!$B522)</f>
        <v>7021.777075</v>
      </c>
      <c r="H522" s="1">
        <f>value(MYR!$B522)</f>
        <v>2842.666382</v>
      </c>
      <c r="I522" s="1">
        <f>value(THB!$B522)</f>
        <v>285.155527</v>
      </c>
      <c r="J522" s="1">
        <f>value(VND!$B522)</f>
        <v>0.4354097172</v>
      </c>
      <c r="K522" s="1">
        <f>value(CNY!$B522)</f>
        <v>1412.121304</v>
      </c>
      <c r="L522" s="1">
        <f>value(HKD!$B522)</f>
        <v>1142.755441</v>
      </c>
      <c r="M522" s="1">
        <f>value(TWD!$B522)</f>
        <v>295.1999704</v>
      </c>
      <c r="N522" s="1">
        <f>value(JPY!$B522)</f>
        <v>115.1110996</v>
      </c>
      <c r="O522" s="1">
        <f>value(SAR!$B522)</f>
        <v>2385.023529</v>
      </c>
      <c r="P522" s="1">
        <f>value(AED!$B522)</f>
        <v>2461.854491</v>
      </c>
      <c r="Q522" s="1">
        <f>value(KWD!$B522)</f>
        <v>32437.20204</v>
      </c>
    </row>
    <row r="523">
      <c r="A523" s="4">
        <f>value(USD!A523)</f>
        <v>40831.99861</v>
      </c>
      <c r="B523" s="1">
        <f>value(USD!B523)</f>
        <v>8637.6</v>
      </c>
      <c r="C523" s="1">
        <f>value(AUD!$B523)</f>
        <v>9030.27538</v>
      </c>
      <c r="D523" s="1">
        <f>value(EUR!$B523)</f>
        <v>12201.3948</v>
      </c>
      <c r="E523" s="1">
        <f>value(GBP!$B523)</f>
        <v>13978.32282</v>
      </c>
      <c r="F523" s="1">
        <f>value(CHF!$B523)</f>
        <v>9879.2225</v>
      </c>
      <c r="G523" s="1">
        <f>value(SGD!$B523)</f>
        <v>6973.62106</v>
      </c>
      <c r="H523" s="1">
        <f>value(MYR!$B523)</f>
        <v>2855.961122</v>
      </c>
      <c r="I523" s="1">
        <f>value(THB!$B523)</f>
        <v>289.05051</v>
      </c>
      <c r="J523" s="1">
        <f>value(VND!$B523)</f>
        <v>0.4325482601</v>
      </c>
      <c r="K523" s="1">
        <f>value(CNY!$B523)</f>
        <v>1413.20074</v>
      </c>
      <c r="L523" s="1">
        <f>value(HKD!$B523)</f>
        <v>1141.638512</v>
      </c>
      <c r="M523" s="1">
        <f>value(TWD!$B523)</f>
        <v>294.201026</v>
      </c>
      <c r="N523" s="1">
        <f>value(JPY!$B523)</f>
        <v>115.531402</v>
      </c>
      <c r="O523" s="1">
        <f>value(SAR!$B523)</f>
        <v>2385.269674</v>
      </c>
      <c r="P523" s="1">
        <f>value(AED!$B523)</f>
        <v>2454.40018</v>
      </c>
      <c r="Q523" s="1">
        <f>value(KWD!$B523)</f>
        <v>32587.00087</v>
      </c>
    </row>
    <row r="524">
      <c r="A524" s="4">
        <f>value(USD!A524)</f>
        <v>40832.99861</v>
      </c>
      <c r="B524" s="1">
        <f>value(USD!B524)</f>
        <v>8888.888</v>
      </c>
      <c r="C524" s="1">
        <f>value(AUD!$B524)</f>
        <v>9103.776</v>
      </c>
      <c r="D524" s="1">
        <f>value(EUR!$B524)</f>
        <v>12198.012</v>
      </c>
      <c r="E524" s="1">
        <f>value(GBP!$B524)</f>
        <v>13945.152</v>
      </c>
      <c r="F524" s="1">
        <f>value(CHF!$B524)</f>
        <v>9871.008</v>
      </c>
      <c r="G524" s="1">
        <f>value(SGD!$B524)</f>
        <v>6992.112</v>
      </c>
      <c r="H524" s="1">
        <f>value(MYR!$B524)</f>
        <v>2834.7624</v>
      </c>
      <c r="I524" s="1">
        <f>value(THB!$B524)</f>
        <v>289.1328</v>
      </c>
      <c r="J524" s="1">
        <f>value(VND!$B524)</f>
        <v>0.4361097623</v>
      </c>
      <c r="K524" s="1">
        <f>value(CNY!$B524)</f>
        <v>1416.556378</v>
      </c>
      <c r="L524" s="1">
        <f>value(HKD!$B524)</f>
        <v>1141.7904</v>
      </c>
      <c r="M524" s="1">
        <f>value(TWD!$B524)</f>
        <v>294.9048</v>
      </c>
      <c r="N524" s="1">
        <f>value(JPY!$B524)</f>
        <v>115.6176</v>
      </c>
      <c r="O524" s="1">
        <f>value(SAR!$B524)</f>
        <v>2356.498928</v>
      </c>
      <c r="P524" s="1">
        <f>value(AED!$B524)</f>
        <v>2439.475656</v>
      </c>
      <c r="Q524" s="1">
        <f>value(KWD!$B524)</f>
        <v>32661.43226</v>
      </c>
    </row>
    <row r="525">
      <c r="A525" s="4">
        <f>value(USD!A525)</f>
        <v>40833.99861</v>
      </c>
      <c r="B525" s="1">
        <f>value(USD!B525)</f>
        <v>8880.2</v>
      </c>
      <c r="C525" s="1">
        <f>value(AUD!$B525)</f>
        <v>9047.67472</v>
      </c>
      <c r="D525" s="1">
        <f>value(EUR!$B525)</f>
        <v>12167.2394</v>
      </c>
      <c r="E525" s="1">
        <f>value(GBP!$B525)</f>
        <v>13944.59384</v>
      </c>
      <c r="F525" s="1">
        <f>value(CHF!$B525)</f>
        <v>9791.186</v>
      </c>
      <c r="G525" s="1">
        <f>value(SGD!$B525)</f>
        <v>6975.568016</v>
      </c>
      <c r="H525" s="1">
        <f>value(MYR!$B525)</f>
        <v>2842.75924</v>
      </c>
      <c r="I525" s="1">
        <f>value(THB!$B525)</f>
        <v>286.972368</v>
      </c>
      <c r="J525" s="1">
        <f>value(VND!$B525)</f>
        <v>0.4363798843</v>
      </c>
      <c r="K525" s="1">
        <f>value(CNY!$B525)</f>
        <v>1425.031283</v>
      </c>
      <c r="L525" s="1">
        <f>value(HKD!$B525)</f>
        <v>1136.750064</v>
      </c>
      <c r="M525" s="1">
        <f>value(TWD!$B525)</f>
        <v>292.011624</v>
      </c>
      <c r="N525" s="1">
        <f>value(JPY!$B525)</f>
        <v>115.107216</v>
      </c>
      <c r="O525" s="1">
        <f>value(SAR!$B525)</f>
        <v>2388.113946</v>
      </c>
      <c r="P525" s="1">
        <f>value(AED!$B525)</f>
        <v>2456.950254</v>
      </c>
      <c r="Q525" s="1">
        <f>value(KWD!$B525)</f>
        <v>32738.98667</v>
      </c>
    </row>
    <row r="526">
      <c r="A526" s="4">
        <f>value(USD!A526)</f>
        <v>40834.99861</v>
      </c>
      <c r="B526" s="1">
        <f>value(USD!B526)</f>
        <v>8880</v>
      </c>
      <c r="C526" s="1">
        <f>value(AUD!$B526)</f>
        <v>9028.806345</v>
      </c>
      <c r="D526" s="1">
        <f>value(EUR!$B526)</f>
        <v>12161.66359</v>
      </c>
      <c r="E526" s="1">
        <f>value(GBP!$B526)</f>
        <v>13936.36104</v>
      </c>
      <c r="F526" s="1">
        <f>value(CHF!$B526)</f>
        <v>9870.706575</v>
      </c>
      <c r="G526" s="1">
        <f>value(SGD!$B526)</f>
        <v>6931.821726</v>
      </c>
      <c r="H526" s="1">
        <f>value(MYR!$B526)</f>
        <v>2843.663638</v>
      </c>
      <c r="I526" s="1">
        <f>value(THB!$B526)</f>
        <v>286.457877</v>
      </c>
      <c r="J526" s="1">
        <f>value(VND!$B526)</f>
        <v>0.4372048594</v>
      </c>
      <c r="K526" s="1">
        <f>value(CNY!$B526)</f>
        <v>1428.361505</v>
      </c>
      <c r="L526" s="1">
        <f>value(HKD!$B526)</f>
        <v>1134.270823</v>
      </c>
      <c r="M526" s="1">
        <f>value(TWD!$B526)</f>
        <v>290.9586015</v>
      </c>
      <c r="N526" s="1">
        <f>value(JPY!$B526)</f>
        <v>114.8125995</v>
      </c>
      <c r="O526" s="1">
        <f>value(SAR!$B526)</f>
        <v>2377.460045</v>
      </c>
      <c r="P526" s="1">
        <f>value(AED!$B526)</f>
        <v>2458.828365</v>
      </c>
      <c r="Q526" s="1">
        <f>value(KWD!$B526)</f>
        <v>32947.58189</v>
      </c>
    </row>
    <row r="527">
      <c r="A527" s="4">
        <f>value(USD!A527)</f>
        <v>40835.99861</v>
      </c>
      <c r="B527" s="1">
        <f>value(USD!B527)</f>
        <v>8840.8</v>
      </c>
      <c r="C527" s="1">
        <f>value(AUD!$B527)</f>
        <v>9181.875</v>
      </c>
      <c r="D527" s="1">
        <f>value(EUR!$B527)</f>
        <v>12295.305</v>
      </c>
      <c r="E527" s="1">
        <f>value(GBP!$B527)</f>
        <v>14113.98</v>
      </c>
      <c r="F527" s="1">
        <f>value(CHF!$B527)</f>
        <v>10025.28</v>
      </c>
      <c r="G527" s="1">
        <f>value(SGD!$B527)</f>
        <v>6949.905</v>
      </c>
      <c r="H527" s="1">
        <f>value(MYR!$B527)</f>
        <v>2813.238</v>
      </c>
      <c r="I527" s="1">
        <f>value(THB!$B527)</f>
        <v>285.9435</v>
      </c>
      <c r="J527" s="1">
        <f>value(VND!$B527)</f>
        <v>0.4381976755</v>
      </c>
      <c r="K527" s="1">
        <f>value(CNY!$B527)</f>
        <v>1422.772725</v>
      </c>
      <c r="L527" s="1">
        <f>value(HKD!$B527)</f>
        <v>1137.225</v>
      </c>
      <c r="M527" s="1">
        <f>value(TWD!$B527)</f>
        <v>295.236</v>
      </c>
      <c r="N527" s="1">
        <f>value(JPY!$B527)</f>
        <v>115.935</v>
      </c>
      <c r="O527" s="1">
        <f>value(SAR!$B527)</f>
        <v>2370.779689</v>
      </c>
      <c r="P527" s="1">
        <f>value(AED!$B527)</f>
        <v>2464.66684</v>
      </c>
      <c r="Q527" s="1">
        <f>value(KWD!$B527)</f>
        <v>32967.64333</v>
      </c>
    </row>
    <row r="528">
      <c r="A528" s="4">
        <f>value(USD!A528)</f>
        <v>40836.99861</v>
      </c>
      <c r="B528" s="1">
        <f>value(USD!B528)</f>
        <v>8824.95</v>
      </c>
      <c r="C528" s="1">
        <f>value(AUD!$B528)</f>
        <v>8835.36812</v>
      </c>
      <c r="D528" s="1">
        <f>value(EUR!$B528)</f>
        <v>11868.32832</v>
      </c>
      <c r="E528" s="1">
        <f>value(GBP!$B528)</f>
        <v>13640.19308</v>
      </c>
      <c r="F528" s="1">
        <f>value(CHF!$B528)</f>
        <v>9678.95028</v>
      </c>
      <c r="G528" s="1">
        <f>value(SGD!$B528)</f>
        <v>6718.71268</v>
      </c>
      <c r="H528" s="1">
        <f>value(MYR!$B528)</f>
        <v>2715.290772</v>
      </c>
      <c r="I528" s="1">
        <f>value(THB!$B528)</f>
        <v>276.260324</v>
      </c>
      <c r="J528" s="1">
        <f>value(VND!$B528)</f>
        <v>0.4391400633</v>
      </c>
      <c r="K528" s="1">
        <f>value(CNY!$B528)</f>
        <v>1409.958412</v>
      </c>
      <c r="L528" s="1">
        <f>value(HKD!$B528)</f>
        <v>1099.3946</v>
      </c>
      <c r="M528" s="1">
        <f>value(TWD!$B528)</f>
        <v>284.90148</v>
      </c>
      <c r="N528" s="1">
        <f>value(JPY!$B528)</f>
        <v>112.420584</v>
      </c>
      <c r="O528" s="1">
        <f>value(SAR!$B528)</f>
        <v>2392.114159</v>
      </c>
      <c r="P528" s="1">
        <f>value(AED!$B528)</f>
        <v>2480.99824</v>
      </c>
      <c r="Q528" s="1">
        <f>value(KWD!$B528)</f>
        <v>32856.82802</v>
      </c>
    </row>
    <row r="529">
      <c r="A529" s="4">
        <f>value(USD!A529)</f>
        <v>40837.99861</v>
      </c>
      <c r="B529" s="1">
        <f>value(USD!B529)</f>
        <v>8850</v>
      </c>
      <c r="C529" s="1">
        <f>value(AUD!$B529)</f>
        <v>9145.24039</v>
      </c>
      <c r="D529" s="1">
        <f>value(EUR!$B529)</f>
        <v>12271.03075</v>
      </c>
      <c r="E529" s="1">
        <f>value(GBP!$B529)</f>
        <v>14122.7603</v>
      </c>
      <c r="F529" s="1">
        <f>value(CHF!$B529)</f>
        <v>10026.80541</v>
      </c>
      <c r="G529" s="1">
        <f>value(SGD!$B529)</f>
        <v>6951.693969</v>
      </c>
      <c r="H529" s="1">
        <f>value(MYR!$B529)</f>
        <v>2807.275157</v>
      </c>
      <c r="I529" s="1">
        <f>value(THB!$B529)</f>
        <v>285.5561885</v>
      </c>
      <c r="J529" s="1">
        <f>value(VND!$B529)</f>
        <v>0.4325327566</v>
      </c>
      <c r="K529" s="1">
        <f>value(CNY!$B529)</f>
        <v>1414.8141</v>
      </c>
      <c r="L529" s="1">
        <f>value(HKD!$B529)</f>
        <v>1138.769373</v>
      </c>
      <c r="M529" s="1">
        <f>value(TWD!$B529)</f>
        <v>294.5933375</v>
      </c>
      <c r="N529" s="1">
        <f>value(JPY!$B529)</f>
        <v>116.1539445</v>
      </c>
      <c r="O529" s="1">
        <f>value(SAR!$B529)</f>
        <v>2388.010275</v>
      </c>
      <c r="P529" s="1">
        <f>value(AED!$B529)</f>
        <v>2482.691305</v>
      </c>
      <c r="Q529" s="1">
        <f>value(KWD!$B529)</f>
        <v>32560.90045</v>
      </c>
    </row>
    <row r="530">
      <c r="A530" s="4">
        <f>value(USD!A530)</f>
        <v>40838.99861</v>
      </c>
      <c r="B530" s="1">
        <f>value(USD!B530)</f>
        <v>8555.6</v>
      </c>
      <c r="C530" s="1">
        <f>value(AUD!$B530)</f>
        <v>9248.797687</v>
      </c>
      <c r="D530" s="1">
        <f>value(EUR!$B530)</f>
        <v>12308.74638</v>
      </c>
      <c r="E530" s="1">
        <f>value(GBP!$B530)</f>
        <v>14138.61603</v>
      </c>
      <c r="F530" s="1">
        <f>value(CHF!$B530)</f>
        <v>10038.64722</v>
      </c>
      <c r="G530" s="1">
        <f>value(SGD!$B530)</f>
        <v>6990.897658</v>
      </c>
      <c r="H530" s="1">
        <f>value(MYR!$B530)</f>
        <v>2816.496469</v>
      </c>
      <c r="I530" s="1">
        <f>value(THB!$B530)</f>
        <v>285.883983</v>
      </c>
      <c r="J530" s="1">
        <f>value(VND!$B530)</f>
        <v>0.4337214854</v>
      </c>
      <c r="K530" s="1">
        <f>value(CNY!$B530)</f>
        <v>1414.625954</v>
      </c>
      <c r="L530" s="1">
        <f>value(HKD!$B530)</f>
        <v>1136.552371</v>
      </c>
      <c r="M530" s="1">
        <f>value(TWD!$B530)</f>
        <v>295.431129</v>
      </c>
      <c r="N530" s="1">
        <f>value(JPY!$B530)</f>
        <v>116.0685435</v>
      </c>
      <c r="O530" s="1">
        <f>value(SAR!$B530)</f>
        <v>2391.517035</v>
      </c>
      <c r="P530" s="1">
        <f>value(AED!$B530)</f>
        <v>2470.496206</v>
      </c>
      <c r="Q530" s="1">
        <f>value(KWD!$B530)</f>
        <v>32598.07773</v>
      </c>
    </row>
    <row r="531">
      <c r="A531" s="4">
        <f>value(USD!A531)</f>
        <v>40839.99861</v>
      </c>
      <c r="B531" s="1">
        <f>value(USD!B531)</f>
        <v>8859.95</v>
      </c>
      <c r="C531" s="1">
        <f>value(AUD!$B531)</f>
        <v>9226.072875</v>
      </c>
      <c r="D531" s="1">
        <f>value(EUR!$B531)</f>
        <v>12304.97048</v>
      </c>
      <c r="E531" s="1">
        <f>value(GBP!$B531)</f>
        <v>14155.49502</v>
      </c>
      <c r="F531" s="1">
        <f>value(CHF!$B531)</f>
        <v>10073.89808</v>
      </c>
      <c r="G531" s="1">
        <f>value(SGD!$B531)</f>
        <v>6997.655465</v>
      </c>
      <c r="H531" s="1">
        <f>value(MYR!$B531)</f>
        <v>2824.638541</v>
      </c>
      <c r="I531" s="1">
        <f>value(THB!$B531)</f>
        <v>286.561381</v>
      </c>
      <c r="J531" s="1">
        <f>value(VND!$B531)</f>
        <v>0.4295925612</v>
      </c>
      <c r="K531" s="1">
        <f>value(CNY!$B531)</f>
        <v>1420.384998</v>
      </c>
      <c r="L531" s="1">
        <f>value(HKD!$B531)</f>
        <v>1138.192069</v>
      </c>
      <c r="M531" s="1">
        <f>value(TWD!$B531)</f>
        <v>293.110344</v>
      </c>
      <c r="N531" s="1">
        <f>value(JPY!$B531)</f>
        <v>116.288343</v>
      </c>
      <c r="O531" s="1">
        <f>value(SAR!$B531)</f>
        <v>2390.780755</v>
      </c>
      <c r="P531" s="1">
        <f>value(AED!$B531)</f>
        <v>2448.875137</v>
      </c>
      <c r="Q531" s="1">
        <f>value(KWD!$B531)</f>
        <v>32610.86944</v>
      </c>
    </row>
    <row r="532">
      <c r="A532" s="4">
        <f>value(USD!A532)</f>
        <v>40840.99861</v>
      </c>
      <c r="B532" s="1">
        <f>value(USD!B532)</f>
        <v>8839.95</v>
      </c>
      <c r="C532" s="1">
        <f>value(AUD!$B532)</f>
        <v>9230.529885</v>
      </c>
      <c r="D532" s="1">
        <f>value(EUR!$B532)</f>
        <v>12321.86566</v>
      </c>
      <c r="E532" s="1">
        <f>value(GBP!$B532)</f>
        <v>14163.00279</v>
      </c>
      <c r="F532" s="1">
        <f>value(CHF!$B532)</f>
        <v>10063.69989</v>
      </c>
      <c r="G532" s="1">
        <f>value(SGD!$B532)</f>
        <v>6994.280296</v>
      </c>
      <c r="H532" s="1">
        <f>value(MYR!$B532)</f>
        <v>2843.780475</v>
      </c>
      <c r="I532" s="1">
        <f>value(THB!$B532)</f>
        <v>288.903252</v>
      </c>
      <c r="J532" s="1">
        <f>value(VND!$B532)</f>
        <v>0.4270809291</v>
      </c>
      <c r="K532" s="1">
        <f>value(CNY!$B532)</f>
        <v>1424.630916</v>
      </c>
      <c r="L532" s="1">
        <f>value(HKD!$B532)</f>
        <v>1141.416288</v>
      </c>
      <c r="M532" s="1">
        <f>value(TWD!$B532)</f>
        <v>293.9608335</v>
      </c>
      <c r="N532" s="1">
        <f>value(JPY!$B532)</f>
        <v>116.5018335</v>
      </c>
      <c r="O532" s="1">
        <f>value(SAR!$B532)</f>
        <v>2398.589319</v>
      </c>
      <c r="P532" s="1">
        <f>value(AED!$B532)</f>
        <v>2454.33375</v>
      </c>
      <c r="Q532" s="1">
        <f>value(KWD!$B532)</f>
        <v>32609.76015</v>
      </c>
    </row>
    <row r="533">
      <c r="A533" s="4">
        <f>value(USD!A533)</f>
        <v>40841.99861</v>
      </c>
      <c r="B533" s="1">
        <f>value(USD!B533)</f>
        <v>8849.95</v>
      </c>
      <c r="C533" s="1">
        <f>value(AUD!$B533)</f>
        <v>9472.031258</v>
      </c>
      <c r="D533" s="1">
        <f>value(EUR!$B533)</f>
        <v>12548.73912</v>
      </c>
      <c r="E533" s="1">
        <f>value(GBP!$B533)</f>
        <v>14241.03027</v>
      </c>
      <c r="F533" s="1">
        <f>value(CHF!$B533)</f>
        <v>10286.38882</v>
      </c>
      <c r="G533" s="1">
        <f>value(SGD!$B533)</f>
        <v>7121.31205</v>
      </c>
      <c r="H533" s="1">
        <f>value(MYR!$B533)</f>
        <v>2852.06666</v>
      </c>
      <c r="I533" s="1">
        <f>value(THB!$B533)</f>
        <v>289.811058</v>
      </c>
      <c r="J533" s="1">
        <f>value(VND!$B533)</f>
        <v>0.4316057772</v>
      </c>
      <c r="K533" s="1">
        <f>value(CNY!$B533)</f>
        <v>1417.211526</v>
      </c>
      <c r="L533" s="1">
        <f>value(HKD!$B533)</f>
        <v>1139.852658</v>
      </c>
      <c r="M533" s="1">
        <f>value(TWD!$B533)</f>
        <v>297.51456</v>
      </c>
      <c r="N533" s="1">
        <f>value(JPY!$B533)</f>
        <v>116.526536</v>
      </c>
      <c r="O533" s="1">
        <f>value(SAR!$B533)</f>
        <v>2398.253273</v>
      </c>
      <c r="P533" s="1">
        <f>value(AED!$B533)</f>
        <v>2453.689091</v>
      </c>
      <c r="Q533" s="1">
        <f>value(KWD!$B533)</f>
        <v>32676.12542</v>
      </c>
    </row>
    <row r="534">
      <c r="A534" s="4">
        <f>value(USD!A534)</f>
        <v>40842.99861</v>
      </c>
      <c r="B534" s="1">
        <f>value(USD!B534)</f>
        <v>8872.95</v>
      </c>
      <c r="C534" s="1">
        <f>value(AUD!$B534)</f>
        <v>9423.46522</v>
      </c>
      <c r="D534" s="1">
        <f>value(EUR!$B534)</f>
        <v>12459.51388</v>
      </c>
      <c r="E534" s="1">
        <f>value(GBP!$B534)</f>
        <v>14206.9814</v>
      </c>
      <c r="F534" s="1">
        <f>value(CHF!$B534)</f>
        <v>10201.19396</v>
      </c>
      <c r="G534" s="1">
        <f>value(SGD!$B534)</f>
        <v>7089.310142</v>
      </c>
      <c r="H534" s="1">
        <f>value(MYR!$B534)</f>
        <v>2869.052772</v>
      </c>
      <c r="I534" s="1">
        <f>value(THB!$B534)</f>
        <v>288.103138</v>
      </c>
      <c r="J534" s="1">
        <f>value(VND!$B534)</f>
        <v>0.4297712077</v>
      </c>
      <c r="K534" s="1">
        <f>value(CNY!$B534)</f>
        <v>1412.1172</v>
      </c>
      <c r="L534" s="1">
        <f>value(HKD!$B534)</f>
        <v>1134.356562</v>
      </c>
      <c r="M534" s="1">
        <f>value(TWD!$B534)</f>
        <v>294.708988</v>
      </c>
      <c r="N534" s="1">
        <f>value(JPY!$B534)</f>
        <v>116.086804</v>
      </c>
      <c r="O534" s="1">
        <f>value(SAR!$B534)</f>
        <v>2392.783736</v>
      </c>
      <c r="P534" s="1">
        <f>value(AED!$B534)</f>
        <v>2454.76935</v>
      </c>
      <c r="Q534" s="1">
        <f>value(KWD!$B534)</f>
        <v>32654.72374</v>
      </c>
    </row>
    <row r="535">
      <c r="A535" s="4">
        <f>value(USD!A535)</f>
        <v>40843.99861</v>
      </c>
      <c r="B535" s="1">
        <f>value(USD!B535)</f>
        <v>8854.6</v>
      </c>
      <c r="C535" s="1">
        <f>value(AUD!$B535)</f>
        <v>9442.680613</v>
      </c>
      <c r="D535" s="1">
        <f>value(EUR!$B535)</f>
        <v>12473.54475</v>
      </c>
      <c r="E535" s="1">
        <f>value(GBP!$B535)</f>
        <v>14218.69464</v>
      </c>
      <c r="F535" s="1">
        <f>value(CHF!$B535)</f>
        <v>10226.63121</v>
      </c>
      <c r="G535" s="1">
        <f>value(SGD!$B535)</f>
        <v>7097.795292</v>
      </c>
      <c r="H535" s="1">
        <f>value(MYR!$B535)</f>
        <v>2872.398539</v>
      </c>
      <c r="I535" s="1">
        <f>value(THB!$B535)</f>
        <v>288.4479668</v>
      </c>
      <c r="J535" s="1">
        <f>value(VND!$B535)</f>
        <v>0.4307485053</v>
      </c>
      <c r="K535" s="1">
        <f>value(CNY!$B535)</f>
        <v>1420.307</v>
      </c>
      <c r="L535" s="1">
        <f>value(HKD!$B535)</f>
        <v>1135.714266</v>
      </c>
      <c r="M535" s="1">
        <f>value(TWD!$B535)</f>
        <v>295.0617233</v>
      </c>
      <c r="N535" s="1">
        <f>value(JPY!$B535)</f>
        <v>116.3139309</v>
      </c>
      <c r="O535" s="1">
        <f>value(SAR!$B535)</f>
        <v>2397.861132</v>
      </c>
      <c r="P535" s="1">
        <f>value(AED!$B535)</f>
        <v>2459.584438</v>
      </c>
      <c r="Q535" s="1">
        <f>value(KWD!$B535)</f>
        <v>32513.82089</v>
      </c>
    </row>
    <row r="536">
      <c r="A536" s="4">
        <f>value(USD!A536)</f>
        <v>40844.99861</v>
      </c>
      <c r="B536" s="1">
        <f>value(USD!B536)</f>
        <v>8807.8</v>
      </c>
      <c r="C536" s="1">
        <f>value(AUD!$B536)</f>
        <v>9415.71015</v>
      </c>
      <c r="D536" s="1">
        <f>value(EUR!$B536)</f>
        <v>12482.08249</v>
      </c>
      <c r="E536" s="1">
        <f>value(GBP!$B536)</f>
        <v>14220.6526</v>
      </c>
      <c r="F536" s="1">
        <f>value(CHF!$B536)</f>
        <v>10231.2441</v>
      </c>
      <c r="G536" s="1">
        <f>value(SGD!$B536)</f>
        <v>7089.231861</v>
      </c>
      <c r="H536" s="1">
        <f>value(MYR!$B536)</f>
        <v>2874.051083</v>
      </c>
      <c r="I536" s="1">
        <f>value(THB!$B536)</f>
        <v>288.8790712</v>
      </c>
      <c r="J536" s="1">
        <f>value(VND!$B536)</f>
        <v>0.430388553</v>
      </c>
      <c r="K536" s="1">
        <f>value(CNY!$B536)</f>
        <v>1396.639888</v>
      </c>
      <c r="L536" s="1">
        <f>value(HKD!$B536)</f>
        <v>1136.628377</v>
      </c>
      <c r="M536" s="1">
        <f>value(TWD!$B536)</f>
        <v>295.3221425</v>
      </c>
      <c r="N536" s="1">
        <f>value(JPY!$B536)</f>
        <v>116.4165887</v>
      </c>
      <c r="O536" s="1">
        <f>value(SAR!$B536)</f>
        <v>2373.349992</v>
      </c>
      <c r="P536" s="1">
        <f>value(AED!$B536)</f>
        <v>2457.70965</v>
      </c>
      <c r="Q536" s="1">
        <f>value(KWD!$B536)</f>
        <v>32730.5558</v>
      </c>
    </row>
    <row r="537">
      <c r="A537" s="4">
        <f>value(USD!A537)</f>
        <v>40845.99861</v>
      </c>
      <c r="B537" s="1">
        <f>value(USD!B537)</f>
        <v>8818.342</v>
      </c>
      <c r="C537" s="1">
        <f>value(AUD!$B537)</f>
        <v>9300.41728</v>
      </c>
      <c r="D537" s="1">
        <f>value(EUR!$B537)</f>
        <v>12228.75136</v>
      </c>
      <c r="E537" s="1">
        <f>value(GBP!$B537)</f>
        <v>14185.38688</v>
      </c>
      <c r="F537" s="1">
        <f>value(CHF!$B537)</f>
        <v>10057.65376</v>
      </c>
      <c r="G537" s="1">
        <f>value(SGD!$B537)</f>
        <v>7036.297856</v>
      </c>
      <c r="H537" s="1">
        <f>value(MYR!$B537)</f>
        <v>2859.4944</v>
      </c>
      <c r="I537" s="1">
        <f>value(THB!$B537)</f>
        <v>285.331648</v>
      </c>
      <c r="J537" s="1">
        <f>value(VND!$B537)</f>
        <v>0.4289437277</v>
      </c>
      <c r="K537" s="1">
        <f>value(CNY!$B537)</f>
        <v>1421.294647</v>
      </c>
      <c r="L537" s="1">
        <f>value(HKD!$B537)</f>
        <v>1136.119488</v>
      </c>
      <c r="M537" s="1">
        <f>value(TWD!$B537)</f>
        <v>291.68608</v>
      </c>
      <c r="N537" s="1">
        <f>value(JPY!$B537)</f>
        <v>112.614656</v>
      </c>
      <c r="O537" s="1">
        <f>value(SAR!$B537)</f>
        <v>2405.448203</v>
      </c>
      <c r="P537" s="1">
        <f>value(AED!$B537)</f>
        <v>2448.875137</v>
      </c>
      <c r="Q537" s="1">
        <f>value(KWD!$B537)</f>
        <v>32197.46365</v>
      </c>
    </row>
    <row r="538">
      <c r="A538" s="4">
        <f>value(USD!A538)</f>
        <v>40846.99861</v>
      </c>
      <c r="B538" s="1">
        <f>value(USD!B538)</f>
        <v>8826.125</v>
      </c>
      <c r="C538" s="1">
        <f>value(AUD!$B538)</f>
        <v>9138.70155</v>
      </c>
      <c r="D538" s="1">
        <f>value(EUR!$B538)</f>
        <v>12108.97905</v>
      </c>
      <c r="E538" s="1">
        <f>value(GBP!$B538)</f>
        <v>14134.53097</v>
      </c>
      <c r="F538" s="1">
        <f>value(CHF!$B538)</f>
        <v>9969.4926</v>
      </c>
      <c r="G538" s="1">
        <f>value(SGD!$B538)</f>
        <v>6932.18436</v>
      </c>
      <c r="H538" s="1">
        <f>value(MYR!$B538)</f>
        <v>2834.62005</v>
      </c>
      <c r="I538" s="1">
        <f>value(THB!$B538)</f>
        <v>286.03329</v>
      </c>
      <c r="J538" s="1">
        <f>value(VND!$B538)</f>
        <v>0.4314660262</v>
      </c>
      <c r="K538" s="1">
        <f>value(CNY!$B538)</f>
        <v>1432.239878</v>
      </c>
      <c r="L538" s="1">
        <f>value(HKD!$B538)</f>
        <v>1140.675225</v>
      </c>
      <c r="M538" s="1">
        <f>value(TWD!$B538)</f>
        <v>294.279135</v>
      </c>
      <c r="N538" s="1">
        <f>value(JPY!$B538)</f>
        <v>113.225205</v>
      </c>
      <c r="O538" s="1">
        <f>value(SAR!$B538)</f>
        <v>2406.71744</v>
      </c>
      <c r="P538" s="1">
        <f>value(AED!$B538)</f>
        <v>2463.8625</v>
      </c>
      <c r="Q538" s="1">
        <f>value(KWD!$B538)</f>
        <v>32694.89916</v>
      </c>
    </row>
    <row r="539">
      <c r="A539" s="4">
        <f>value(USD!A539)</f>
        <v>40847.99861</v>
      </c>
      <c r="B539" s="1">
        <f>value(USD!B539)</f>
        <v>8825.6</v>
      </c>
      <c r="C539" s="1">
        <f>value(AUD!$B539)</f>
        <v>9137.102592</v>
      </c>
      <c r="D539" s="1">
        <f>value(EUR!$B539)</f>
        <v>12190.39872</v>
      </c>
      <c r="E539" s="1">
        <f>value(GBP!$B539)</f>
        <v>14161.90377</v>
      </c>
      <c r="F539" s="1">
        <f>value(CHF!$B539)</f>
        <v>10039.9896</v>
      </c>
      <c r="G539" s="1">
        <f>value(SGD!$B539)</f>
        <v>6960.703428</v>
      </c>
      <c r="H539" s="1">
        <f>value(MYR!$B539)</f>
        <v>2831.935719</v>
      </c>
      <c r="I539" s="1">
        <f>value(THB!$B539)</f>
        <v>287.848638</v>
      </c>
      <c r="J539" s="1">
        <f>value(VND!$B539)</f>
        <v>0.428751682</v>
      </c>
      <c r="K539" s="1">
        <f>value(CNY!$B539)</f>
        <v>1427.881</v>
      </c>
      <c r="L539" s="1">
        <f>value(HKD!$B539)</f>
        <v>1145.431083</v>
      </c>
      <c r="M539" s="1">
        <f>value(TWD!$B539)</f>
        <v>293.990121</v>
      </c>
      <c r="N539" s="1">
        <f>value(JPY!$B539)</f>
        <v>113.839953</v>
      </c>
      <c r="O539" s="1">
        <f>value(SAR!$B539)</f>
        <v>2412.115225</v>
      </c>
      <c r="P539" s="1">
        <f>value(AED!$B539)</f>
        <v>2423.109668</v>
      </c>
      <c r="Q539" s="1">
        <f>value(KWD!$B539)</f>
        <v>32866.00522</v>
      </c>
    </row>
    <row r="540">
      <c r="A540" s="4">
        <f>value(USD!A540)</f>
        <v>40848.99861</v>
      </c>
      <c r="B540" s="1">
        <f>value(USD!B540)</f>
        <v>8866.5</v>
      </c>
      <c r="C540" s="1">
        <f>value(AUD!$B540)</f>
        <v>9320.930484</v>
      </c>
      <c r="D540" s="1">
        <f>value(EUR!$B540)</f>
        <v>12367.29951</v>
      </c>
      <c r="E540" s="1">
        <f>value(GBP!$B540)</f>
        <v>14341.0626</v>
      </c>
      <c r="F540" s="1">
        <f>value(CHF!$B540)</f>
        <v>10189.44348</v>
      </c>
      <c r="G540" s="1">
        <f>value(SGD!$B540)</f>
        <v>7075.639704</v>
      </c>
      <c r="H540" s="1">
        <f>value(MYR!$B540)</f>
        <v>2850.7725</v>
      </c>
      <c r="I540" s="1">
        <f>value(THB!$B540)</f>
        <v>291.650796</v>
      </c>
      <c r="J540" s="1">
        <f>value(VND!$B540)</f>
        <v>0.434529693</v>
      </c>
      <c r="K540" s="1">
        <f>value(CNY!$B540)</f>
        <v>1426.304054</v>
      </c>
      <c r="L540" s="1">
        <f>value(HKD!$B540)</f>
        <v>1151.309628</v>
      </c>
      <c r="M540" s="1">
        <f>value(TWD!$B540)</f>
        <v>296.569776</v>
      </c>
      <c r="N540" s="1">
        <f>value(JPY!$B540)</f>
        <v>114.567516</v>
      </c>
      <c r="O540" s="1">
        <f>value(SAR!$B540)</f>
        <v>2404.570716</v>
      </c>
      <c r="P540" s="1">
        <f>value(AED!$B540)</f>
        <v>2463.848887</v>
      </c>
      <c r="Q540" s="1">
        <f>value(KWD!$B540)</f>
        <v>32763.276</v>
      </c>
    </row>
    <row r="541">
      <c r="A541" s="4">
        <f>value(USD!A541)</f>
        <v>40849.99861</v>
      </c>
      <c r="B541" s="1">
        <f>value(USD!B541)</f>
        <v>8900.7</v>
      </c>
      <c r="C541" s="1">
        <f>value(AUD!$B541)</f>
        <v>9278.6485</v>
      </c>
      <c r="D541" s="1">
        <f>value(EUR!$B541)</f>
        <v>12336.0495</v>
      </c>
      <c r="E541" s="1">
        <f>value(GBP!$B541)</f>
        <v>14337.9405</v>
      </c>
      <c r="F541" s="1">
        <f>value(CHF!$B541)</f>
        <v>10108.7445</v>
      </c>
      <c r="G541" s="1">
        <f>value(SGD!$B541)</f>
        <v>7065.56605</v>
      </c>
      <c r="H541" s="1">
        <f>value(MYR!$B541)</f>
        <v>2879.84275</v>
      </c>
      <c r="I541" s="1">
        <f>value(THB!$B541)</f>
        <v>291.87535</v>
      </c>
      <c r="J541" s="1">
        <f>value(VND!$B541)</f>
        <v>0.4355688315</v>
      </c>
      <c r="K541" s="1">
        <f>value(CNY!$B541)</f>
        <v>1423.096664</v>
      </c>
      <c r="L541" s="1">
        <f>value(HKD!$B541)</f>
        <v>1151.48985</v>
      </c>
      <c r="M541" s="1">
        <f>value(TWD!$B541)</f>
        <v>297.06345</v>
      </c>
      <c r="N541" s="1">
        <f>value(JPY!$B541)</f>
        <v>114.3171</v>
      </c>
      <c r="O541" s="1">
        <f>value(SAR!$B541)</f>
        <v>2390.164531</v>
      </c>
      <c r="P541" s="1">
        <f>value(AED!$B541)</f>
        <v>2480.769225</v>
      </c>
      <c r="Q541" s="1">
        <f>value(KWD!$B541)</f>
        <v>32709.42151</v>
      </c>
    </row>
    <row r="542">
      <c r="A542" s="4">
        <f>value(USD!A542)</f>
        <v>40850.99861</v>
      </c>
      <c r="B542" s="1">
        <f>value(USD!B542)</f>
        <v>8943.6</v>
      </c>
      <c r="C542" s="1">
        <f>value(AUD!$B542)</f>
        <v>9141.2558</v>
      </c>
      <c r="D542" s="1">
        <f>value(EUR!$B542)</f>
        <v>12146.51544</v>
      </c>
      <c r="E542" s="1">
        <f>value(GBP!$B542)</f>
        <v>14152.37824</v>
      </c>
      <c r="F542" s="1">
        <f>value(CHF!$B542)</f>
        <v>9973.64468</v>
      </c>
      <c r="G542" s="1">
        <f>value(SGD!$B542)</f>
        <v>6979.783996</v>
      </c>
      <c r="H542" s="1">
        <f>value(MYR!$B542)</f>
        <v>2835.777488</v>
      </c>
      <c r="I542" s="1">
        <f>value(THB!$B542)</f>
        <v>287.536456</v>
      </c>
      <c r="J542" s="1">
        <f>value(VND!$B542)</f>
        <v>0.4337464222</v>
      </c>
      <c r="K542" s="1">
        <f>value(CNY!$B542)</f>
        <v>1418.024955</v>
      </c>
      <c r="L542" s="1">
        <f>value(HKD!$B542)</f>
        <v>1137.509772</v>
      </c>
      <c r="M542" s="1">
        <f>value(TWD!$B542)</f>
        <v>292.573204</v>
      </c>
      <c r="N542" s="1">
        <f>value(JPY!$B542)</f>
        <v>112.929192</v>
      </c>
      <c r="O542" s="1">
        <f>value(SAR!$B542)</f>
        <v>2407.221631</v>
      </c>
      <c r="P542" s="1">
        <f>value(AED!$B542)</f>
        <v>2477.475</v>
      </c>
      <c r="Q542" s="1">
        <f>value(KWD!$B542)</f>
        <v>32634.52963</v>
      </c>
    </row>
    <row r="543">
      <c r="A543" s="4">
        <f>value(USD!A543)</f>
        <v>40851.99861</v>
      </c>
      <c r="B543" s="1">
        <f>value(USD!B543)</f>
        <v>8945</v>
      </c>
      <c r="C543" s="1">
        <f>value(AUD!$B543)</f>
        <v>9299.893045</v>
      </c>
      <c r="D543" s="1">
        <f>value(EUR!$B543)</f>
        <v>12331.24111</v>
      </c>
      <c r="E543" s="1">
        <f>value(GBP!$B543)</f>
        <v>14341.39988</v>
      </c>
      <c r="F543" s="1">
        <f>value(CHF!$B543)</f>
        <v>10040.05391</v>
      </c>
      <c r="G543" s="1">
        <f>value(SGD!$B543)</f>
        <v>7060.526055</v>
      </c>
      <c r="H543" s="1">
        <f>value(MYR!$B543)</f>
        <v>2879.109415</v>
      </c>
      <c r="I543" s="1">
        <f>value(THB!$B543)</f>
        <v>291.947369</v>
      </c>
      <c r="J543" s="1">
        <f>value(VND!$B543)</f>
        <v>0.4331641599</v>
      </c>
      <c r="K543" s="1">
        <f>value(CNY!$B543)</f>
        <v>1445.801409</v>
      </c>
      <c r="L543" s="1">
        <f>value(HKD!$B543)</f>
        <v>1152.127063</v>
      </c>
      <c r="M543" s="1">
        <f>value(TWD!$B543)</f>
        <v>297.0488405</v>
      </c>
      <c r="N543" s="1">
        <f>value(JPY!$B543)</f>
        <v>114.4698605</v>
      </c>
      <c r="O543" s="1">
        <f>value(SAR!$B543)</f>
        <v>2409.061729</v>
      </c>
      <c r="P543" s="1">
        <f>value(AED!$B543)</f>
        <v>2474.738887</v>
      </c>
      <c r="Q543" s="1">
        <f>value(KWD!$B543)</f>
        <v>32433.45051</v>
      </c>
    </row>
    <row r="544">
      <c r="A544" s="4">
        <f>value(USD!A544)</f>
        <v>40852.99861</v>
      </c>
      <c r="B544" s="1">
        <f>value(USD!B544)</f>
        <v>8836.4</v>
      </c>
      <c r="C544" s="1">
        <f>value(AUD!$B544)</f>
        <v>9272.492527</v>
      </c>
      <c r="D544" s="1">
        <f>value(EUR!$B544)</f>
        <v>12320.84705</v>
      </c>
      <c r="E544" s="1">
        <f>value(GBP!$B544)</f>
        <v>14378.96321</v>
      </c>
      <c r="F544" s="1">
        <f>value(CHF!$B544)</f>
        <v>9933.726035</v>
      </c>
      <c r="G544" s="1">
        <f>value(SGD!$B544)</f>
        <v>7050.590333</v>
      </c>
      <c r="H544" s="1">
        <f>value(MYR!$B544)</f>
        <v>2867.554089</v>
      </c>
      <c r="I544" s="1">
        <f>value(THB!$B544)</f>
        <v>291.6627215</v>
      </c>
      <c r="J544" s="1">
        <f>value(VND!$B544)</f>
        <v>0.4324308836</v>
      </c>
      <c r="K544" s="1">
        <f>value(CNY!$B544)</f>
        <v>1425.087476</v>
      </c>
      <c r="L544" s="1">
        <f>value(HKD!$B544)</f>
        <v>1152.681164</v>
      </c>
      <c r="M544" s="1">
        <f>value(TWD!$B544)</f>
        <v>297.5729885</v>
      </c>
      <c r="N544" s="1">
        <f>value(JPY!$B544)</f>
        <v>114.7129095</v>
      </c>
      <c r="O544" s="1">
        <f>value(SAR!$B544)</f>
        <v>2414.653272</v>
      </c>
      <c r="P544" s="1">
        <f>value(AED!$B544)</f>
        <v>2469.9609</v>
      </c>
      <c r="Q544" s="1">
        <f>value(KWD!$B544)</f>
        <v>32820.66721</v>
      </c>
    </row>
    <row r="545">
      <c r="A545" s="4">
        <f>value(USD!A545)</f>
        <v>40853.99861</v>
      </c>
      <c r="B545" s="1">
        <f>value(USD!B545)</f>
        <v>8949.95</v>
      </c>
      <c r="C545" s="1">
        <f>value(AUD!$B545)</f>
        <v>9256.4445</v>
      </c>
      <c r="D545" s="1">
        <f>value(EUR!$B545)</f>
        <v>12326.7705</v>
      </c>
      <c r="E545" s="1">
        <f>value(GBP!$B545)</f>
        <v>14349.584</v>
      </c>
      <c r="F545" s="1">
        <f>value(CHF!$B545)</f>
        <v>9961.621</v>
      </c>
      <c r="G545" s="1">
        <f>value(SGD!$B545)</f>
        <v>7031.88455</v>
      </c>
      <c r="H545" s="1">
        <f>value(MYR!$B545)</f>
        <v>2856.366</v>
      </c>
      <c r="I545" s="1">
        <f>value(THB!$B545)</f>
        <v>290.89645</v>
      </c>
      <c r="J545" s="1">
        <f>value(VND!$B545)</f>
        <v>0.4351802634</v>
      </c>
      <c r="K545" s="1">
        <f>value(CNY!$B545)</f>
        <v>1423.899075</v>
      </c>
      <c r="L545" s="1">
        <f>value(HKD!$B545)</f>
        <v>1147.44965</v>
      </c>
      <c r="M545" s="1">
        <f>value(TWD!$B545)</f>
        <v>297.5827</v>
      </c>
      <c r="N545" s="1">
        <f>value(JPY!$B545)</f>
        <v>114.73605</v>
      </c>
      <c r="O545" s="1">
        <f>value(SAR!$B545)</f>
        <v>2430.718079</v>
      </c>
      <c r="P545" s="1">
        <f>value(AED!$B545)</f>
        <v>2454.11097</v>
      </c>
      <c r="Q545" s="1">
        <f>value(KWD!$B545)</f>
        <v>32554.68527</v>
      </c>
    </row>
    <row r="546">
      <c r="A546" s="4">
        <f>value(USD!A546)</f>
        <v>40854.99861</v>
      </c>
      <c r="B546" s="1">
        <f>value(USD!B546)</f>
        <v>8954.95</v>
      </c>
      <c r="C546" s="1">
        <f>value(AUD!$B546)</f>
        <v>9010.85332</v>
      </c>
      <c r="D546" s="1">
        <f>value(EUR!$B546)</f>
        <v>12023.65737</v>
      </c>
      <c r="E546" s="1">
        <f>value(GBP!$B546)</f>
        <v>14146.22183</v>
      </c>
      <c r="F546" s="1">
        <f>value(CHF!$B546)</f>
        <v>9757.60912</v>
      </c>
      <c r="G546" s="1">
        <f>value(SGD!$B546)</f>
        <v>6894.067325</v>
      </c>
      <c r="H546" s="1">
        <f>value(MYR!$B546)</f>
        <v>2835.182854</v>
      </c>
      <c r="I546" s="1">
        <f>value(THB!$B546)</f>
        <v>287.323184</v>
      </c>
      <c r="J546" s="1">
        <f>value(VND!$B546)</f>
        <v>0.4342210561</v>
      </c>
      <c r="K546" s="1">
        <f>value(CNY!$B546)</f>
        <v>1444.754745</v>
      </c>
      <c r="L546" s="1">
        <f>value(HKD!$B546)</f>
        <v>1143.514268</v>
      </c>
      <c r="M546" s="1">
        <f>value(TWD!$B546)</f>
        <v>293.4572495</v>
      </c>
      <c r="N546" s="1">
        <f>value(JPY!$B546)</f>
        <v>114.324757</v>
      </c>
      <c r="O546" s="1">
        <f>value(SAR!$B546)</f>
        <v>2432.262966</v>
      </c>
      <c r="P546" s="1">
        <f>value(AED!$B546)</f>
        <v>2481.277032</v>
      </c>
      <c r="Q546" s="1">
        <f>value(KWD!$B546)</f>
        <v>32553.99547</v>
      </c>
    </row>
    <row r="547">
      <c r="A547" s="4">
        <f>value(USD!A547)</f>
        <v>40855.99861</v>
      </c>
      <c r="B547" s="1">
        <f>value(USD!B547)</f>
        <v>8915</v>
      </c>
      <c r="C547" s="1">
        <f>value(AUD!$B547)</f>
        <v>9102.525861</v>
      </c>
      <c r="D547" s="1">
        <f>value(EUR!$B547)</f>
        <v>12209.26804</v>
      </c>
      <c r="E547" s="1">
        <f>value(GBP!$B547)</f>
        <v>14293.61532</v>
      </c>
      <c r="F547" s="1">
        <f>value(CHF!$B547)</f>
        <v>9901.03081</v>
      </c>
      <c r="G547" s="1">
        <f>value(SGD!$B547)</f>
        <v>6946.957176</v>
      </c>
      <c r="H547" s="1">
        <f>value(MYR!$B547)</f>
        <v>2846.434233</v>
      </c>
      <c r="I547" s="1">
        <f>value(THB!$B547)</f>
        <v>290.7160795</v>
      </c>
      <c r="J547" s="1">
        <f>value(VND!$B547)</f>
        <v>0.4308380896</v>
      </c>
      <c r="K547" s="1">
        <f>value(CNY!$B547)</f>
        <v>1425.4272</v>
      </c>
      <c r="L547" s="1">
        <f>value(HKD!$B547)</f>
        <v>1152.997373</v>
      </c>
      <c r="M547" s="1">
        <f>value(TWD!$B547)</f>
        <v>296.725946</v>
      </c>
      <c r="N547" s="1">
        <f>value(JPY!$B547)</f>
        <v>115.4432565</v>
      </c>
      <c r="O547" s="1">
        <f>value(SAR!$B547)</f>
        <v>2420.517808</v>
      </c>
      <c r="P547" s="1">
        <f>value(AED!$B547)</f>
        <v>2463.2091</v>
      </c>
      <c r="Q547" s="1">
        <f>value(KWD!$B547)</f>
        <v>32876.92778</v>
      </c>
    </row>
    <row r="548">
      <c r="A548" s="4">
        <f>value(USD!A548)</f>
        <v>40856.99861</v>
      </c>
      <c r="B548" s="1">
        <f>value(USD!B548)</f>
        <v>8889.95</v>
      </c>
      <c r="C548" s="1">
        <f>value(AUD!$B548)</f>
        <v>9200.16152</v>
      </c>
      <c r="D548" s="1">
        <f>value(EUR!$B548)</f>
        <v>12310.16356</v>
      </c>
      <c r="E548" s="1">
        <f>value(GBP!$B548)</f>
        <v>14383.19976</v>
      </c>
      <c r="F548" s="1">
        <f>value(CHF!$B548)</f>
        <v>9946.99184</v>
      </c>
      <c r="G548" s="1">
        <f>value(SGD!$B548)</f>
        <v>6995.400212</v>
      </c>
      <c r="H548" s="1">
        <f>value(MYR!$B548)</f>
        <v>2841.35804</v>
      </c>
      <c r="I548" s="1">
        <f>value(THB!$B548)</f>
        <v>289.956424</v>
      </c>
      <c r="J548" s="1">
        <f>value(VND!$B548)</f>
        <v>0.4366731025</v>
      </c>
      <c r="K548" s="1">
        <f>value(CNY!$B548)</f>
        <v>1423.909536</v>
      </c>
      <c r="L548" s="1">
        <f>value(HKD!$B548)</f>
        <v>1151.229088</v>
      </c>
      <c r="M548" s="1">
        <f>value(TWD!$B548)</f>
        <v>299.179868</v>
      </c>
      <c r="N548" s="1">
        <f>value(JPY!$B548)</f>
        <v>115.96466</v>
      </c>
      <c r="O548" s="1">
        <f>value(SAR!$B548)</f>
        <v>2398.717227</v>
      </c>
      <c r="P548" s="1">
        <f>value(AED!$B548)</f>
        <v>2461.45983</v>
      </c>
      <c r="Q548" s="1">
        <f>value(KWD!$B548)</f>
        <v>32541.39648</v>
      </c>
    </row>
    <row r="549">
      <c r="A549" s="4">
        <f>value(USD!A549)</f>
        <v>40857.99861</v>
      </c>
      <c r="B549" s="1">
        <f>value(USD!B549)</f>
        <v>8969.95</v>
      </c>
      <c r="C549" s="1">
        <f>value(AUD!$B549)</f>
        <v>9220.429617</v>
      </c>
      <c r="D549" s="1">
        <f>value(EUR!$B549)</f>
        <v>12345.87747</v>
      </c>
      <c r="E549" s="1">
        <f>value(GBP!$B549)</f>
        <v>14408.60138</v>
      </c>
      <c r="F549" s="1">
        <f>value(CHF!$B549)</f>
        <v>9999.10341</v>
      </c>
      <c r="G549" s="1">
        <f>value(SGD!$B549)</f>
        <v>6999.910021</v>
      </c>
      <c r="H549" s="1">
        <f>value(MYR!$B549)</f>
        <v>2849.193396</v>
      </c>
      <c r="I549" s="1">
        <f>value(THB!$B549)</f>
        <v>290.7705938</v>
      </c>
      <c r="J549" s="1">
        <f>value(VND!$B549)</f>
        <v>0.4352787026</v>
      </c>
      <c r="K549" s="1">
        <f>value(CNY!$B549)</f>
        <v>1433.42716</v>
      </c>
      <c r="L549" s="1">
        <f>value(HKD!$B549)</f>
        <v>1151.971264</v>
      </c>
      <c r="M549" s="1">
        <f>value(TWD!$B549)</f>
        <v>300.0895897</v>
      </c>
      <c r="N549" s="1">
        <f>value(JPY!$B549)</f>
        <v>116.129026</v>
      </c>
      <c r="O549" s="1">
        <f>value(SAR!$B549)</f>
        <v>2404.128133</v>
      </c>
      <c r="P549" s="1">
        <f>value(AED!$B549)</f>
        <v>2487.412125</v>
      </c>
      <c r="Q549" s="1">
        <f>value(KWD!$B549)</f>
        <v>32543.83476</v>
      </c>
    </row>
    <row r="550">
      <c r="A550" s="4">
        <f>value(USD!A550)</f>
        <v>40858.99861</v>
      </c>
      <c r="B550" s="1">
        <f>value(USD!B550)</f>
        <v>8954.8</v>
      </c>
      <c r="C550" s="1">
        <f>value(AUD!$B550)</f>
        <v>9264.789145</v>
      </c>
      <c r="D550" s="1">
        <f>value(EUR!$B550)</f>
        <v>12366.44433</v>
      </c>
      <c r="E550" s="1">
        <f>value(GBP!$B550)</f>
        <v>14413.28924</v>
      </c>
      <c r="F550" s="1">
        <f>value(CHF!$B550)</f>
        <v>9968.77322</v>
      </c>
      <c r="G550" s="1">
        <f>value(SGD!$B550)</f>
        <v>7030.334723</v>
      </c>
      <c r="H550" s="1">
        <f>value(MYR!$B550)</f>
        <v>2853.960408</v>
      </c>
      <c r="I550" s="1">
        <f>value(THB!$B550)</f>
        <v>291.1893365</v>
      </c>
      <c r="J550" s="1">
        <f>value(VND!$B550)</f>
        <v>0.4305787075</v>
      </c>
      <c r="K550" s="1">
        <f>value(CNY!$B550)</f>
        <v>1431.2763</v>
      </c>
      <c r="L550" s="1">
        <f>value(HKD!$B550)</f>
        <v>1152.919652</v>
      </c>
      <c r="M550" s="1">
        <f>value(TWD!$B550)</f>
        <v>300.5160045</v>
      </c>
      <c r="N550" s="1">
        <f>value(JPY!$B550)</f>
        <v>116.1349525</v>
      </c>
      <c r="O550" s="1">
        <f>value(SAR!$B550)</f>
        <v>2393.765107</v>
      </c>
      <c r="P550" s="1">
        <f>value(AED!$B550)</f>
        <v>2461.14</v>
      </c>
      <c r="Q550" s="1">
        <f>value(KWD!$B550)</f>
        <v>32732.89967</v>
      </c>
    </row>
    <row r="551">
      <c r="A551" s="4">
        <f>value(USD!A551)</f>
        <v>40859.99861</v>
      </c>
      <c r="B551" s="1">
        <f>value(USD!B551)</f>
        <v>8960.573</v>
      </c>
      <c r="C551" s="1">
        <f>value(AUD!$B551)</f>
        <v>9144.249</v>
      </c>
      <c r="D551" s="1">
        <f>value(EUR!$B551)</f>
        <v>12209.3654</v>
      </c>
      <c r="E551" s="1">
        <f>value(GBP!$B551)</f>
        <v>14248.89153</v>
      </c>
      <c r="F551" s="1">
        <f>value(CHF!$B551)</f>
        <v>9863.23799</v>
      </c>
      <c r="G551" s="1">
        <f>value(SGD!$B551)</f>
        <v>6947.925899</v>
      </c>
      <c r="H551" s="1">
        <f>value(MYR!$B551)</f>
        <v>2855.784822</v>
      </c>
      <c r="I551" s="1">
        <f>value(THB!$B551)</f>
        <v>290.822978</v>
      </c>
      <c r="J551" s="1">
        <f>value(VND!$B551)</f>
        <v>0.4356485209</v>
      </c>
      <c r="K551" s="1">
        <f>value(CNY!$B551)</f>
        <v>1399.0584</v>
      </c>
      <c r="L551" s="1">
        <f>value(HKD!$B551)</f>
        <v>1151.906425</v>
      </c>
      <c r="M551" s="1">
        <f>value(TWD!$B551)</f>
        <v>296.1122985</v>
      </c>
      <c r="N551" s="1">
        <f>value(JPY!$B551)</f>
        <v>116.2754015</v>
      </c>
      <c r="O551" s="1">
        <f>value(SAR!$B551)</f>
        <v>2404.114799</v>
      </c>
      <c r="P551" s="1">
        <f>value(AED!$B551)</f>
        <v>2459.981328</v>
      </c>
      <c r="Q551" s="1">
        <f>value(KWD!$B551)</f>
        <v>32591.25645</v>
      </c>
    </row>
    <row r="552">
      <c r="A552" s="4">
        <f>value(USD!A552)</f>
        <v>40860.99861</v>
      </c>
      <c r="B552" s="1">
        <f>value(USD!B552)</f>
        <v>8967.95</v>
      </c>
      <c r="C552" s="1">
        <f>value(AUD!$B552)</f>
        <v>9128.974755</v>
      </c>
      <c r="D552" s="1">
        <f>value(EUR!$B552)</f>
        <v>12155.50558</v>
      </c>
      <c r="E552" s="1">
        <f>value(GBP!$B552)</f>
        <v>14213.81999</v>
      </c>
      <c r="F552" s="1">
        <f>value(CHF!$B552)</f>
        <v>9804.4955</v>
      </c>
      <c r="G552" s="1">
        <f>value(SGD!$B552)</f>
        <v>6953.995845</v>
      </c>
      <c r="H552" s="1">
        <f>value(MYR!$B552)</f>
        <v>2847.441372</v>
      </c>
      <c r="I552" s="1">
        <f>value(THB!$B552)</f>
        <v>291.256481</v>
      </c>
      <c r="J552" s="1">
        <f>value(VND!$B552)</f>
        <v>0.4322212229</v>
      </c>
      <c r="K552" s="1">
        <f>value(CNY!$B552)</f>
        <v>1436.463</v>
      </c>
      <c r="L552" s="1">
        <f>value(HKD!$B552)</f>
        <v>1155.671176</v>
      </c>
      <c r="M552" s="1">
        <f>value(TWD!$B552)</f>
        <v>297.2830975</v>
      </c>
      <c r="N552" s="1">
        <f>value(JPY!$B552)</f>
        <v>116.6645015</v>
      </c>
      <c r="O552" s="1">
        <f>value(SAR!$B552)</f>
        <v>2404.554822</v>
      </c>
      <c r="P552" s="1">
        <f>value(AED!$B552)</f>
        <v>2475.602884</v>
      </c>
      <c r="Q552" s="1">
        <f>value(KWD!$B552)</f>
        <v>32586.55715</v>
      </c>
    </row>
    <row r="553">
      <c r="A553" s="4">
        <f>value(USD!A553)</f>
        <v>40861.99861</v>
      </c>
      <c r="B553" s="1">
        <f>value(USD!B553)</f>
        <v>8964.95</v>
      </c>
      <c r="C553" s="1">
        <f>value(AUD!$B553)</f>
        <v>9032.0319</v>
      </c>
      <c r="D553" s="1">
        <f>value(EUR!$B553)</f>
        <v>12084.49876</v>
      </c>
      <c r="E553" s="1">
        <f>value(GBP!$B553)</f>
        <v>14125.2025</v>
      </c>
      <c r="F553" s="1">
        <f>value(CHF!$B553)</f>
        <v>9751.597835</v>
      </c>
      <c r="G553" s="1">
        <f>value(SGD!$B553)</f>
        <v>6929.273356</v>
      </c>
      <c r="H553" s="1">
        <f>value(MYR!$B553)</f>
        <v>2837.613344</v>
      </c>
      <c r="I553" s="1">
        <f>value(THB!$B553)</f>
        <v>289.8588935</v>
      </c>
      <c r="J553" s="1">
        <f>value(VND!$B553)</f>
        <v>0.4315238039</v>
      </c>
      <c r="K553" s="1">
        <f>value(CNY!$B553)</f>
        <v>1436.123</v>
      </c>
      <c r="L553" s="1">
        <f>value(HKD!$B553)</f>
        <v>1155.298587</v>
      </c>
      <c r="M553" s="1">
        <f>value(TWD!$B553)</f>
        <v>296.8737845</v>
      </c>
      <c r="N553" s="1">
        <f>value(JPY!$B553)</f>
        <v>116.6450465</v>
      </c>
      <c r="O553" s="1">
        <f>value(SAR!$B553)</f>
        <v>2409.448416</v>
      </c>
      <c r="P553" s="1">
        <f>value(AED!$B553)</f>
        <v>2466.94826</v>
      </c>
      <c r="Q553" s="1">
        <f>value(KWD!$B553)</f>
        <v>31857.52494</v>
      </c>
    </row>
    <row r="554">
      <c r="A554" s="4">
        <f>value(USD!A554)</f>
        <v>40862.99861</v>
      </c>
      <c r="B554" s="1">
        <f>value(USD!B554)</f>
        <v>8994.95</v>
      </c>
      <c r="C554" s="1">
        <f>value(AUD!$B554)</f>
        <v>8958.433407</v>
      </c>
      <c r="D554" s="1">
        <f>value(EUR!$B554)</f>
        <v>12074.92129</v>
      </c>
      <c r="E554" s="1">
        <f>value(GBP!$B554)</f>
        <v>14130.20796</v>
      </c>
      <c r="F554" s="1">
        <f>value(CHF!$B554)</f>
        <v>9730.89315</v>
      </c>
      <c r="G554" s="1">
        <f>value(SGD!$B554)</f>
        <v>6912.209172</v>
      </c>
      <c r="H554" s="1">
        <f>value(MYR!$B554)</f>
        <v>2826.4005</v>
      </c>
      <c r="I554" s="1">
        <f>value(THB!$B554)</f>
        <v>288.472305</v>
      </c>
      <c r="J554" s="1">
        <f>value(VND!$B554)</f>
        <v>0.4306857086</v>
      </c>
      <c r="K554" s="1">
        <f>value(CNY!$B554)</f>
        <v>1412.409794</v>
      </c>
      <c r="L554" s="1">
        <f>value(HKD!$B554)</f>
        <v>1152.004953</v>
      </c>
      <c r="M554" s="1">
        <f>value(TWD!$B554)</f>
        <v>296.906643</v>
      </c>
      <c r="N554" s="1">
        <f>value(JPY!$B554)</f>
        <v>116.555373</v>
      </c>
      <c r="O554" s="1">
        <f>value(SAR!$B554)</f>
        <v>2407.370791</v>
      </c>
      <c r="P554" s="1">
        <f>value(AED!$B554)</f>
        <v>2462.3379</v>
      </c>
      <c r="Q554" s="1">
        <f>value(KWD!$B554)</f>
        <v>32572.34892</v>
      </c>
    </row>
    <row r="555">
      <c r="A555" s="4">
        <f>value(USD!A555)</f>
        <v>40863.99861</v>
      </c>
      <c r="B555" s="1">
        <f>value(USD!B555)</f>
        <v>8993.45</v>
      </c>
      <c r="C555" s="1">
        <f>value(AUD!$B555)</f>
        <v>8991.5</v>
      </c>
      <c r="D555" s="1">
        <f>value(EUR!$B555)</f>
        <v>12159.20545</v>
      </c>
      <c r="E555" s="1">
        <f>value(GBP!$B555)</f>
        <v>14210.1666</v>
      </c>
      <c r="F555" s="1">
        <f>value(CHF!$B555)</f>
        <v>9804.3316</v>
      </c>
      <c r="G555" s="1">
        <f>value(SGD!$B555)</f>
        <v>6919.228995</v>
      </c>
      <c r="H555" s="1">
        <f>value(MYR!$B555)</f>
        <v>2841.49383</v>
      </c>
      <c r="I555" s="1">
        <f>value(THB!$B555)</f>
        <v>289.5263</v>
      </c>
      <c r="J555" s="1">
        <f>value(VND!$B555)</f>
        <v>0.4216571373</v>
      </c>
      <c r="K555" s="1">
        <f>value(CNY!$B555)</f>
        <v>1447.0974</v>
      </c>
      <c r="L555" s="1">
        <f>value(HKD!$B555)</f>
        <v>1154.32877</v>
      </c>
      <c r="M555" s="1">
        <f>value(TWD!$B555)</f>
        <v>295.64052</v>
      </c>
      <c r="N555" s="1">
        <f>value(JPY!$B555)</f>
        <v>116.8895</v>
      </c>
      <c r="O555" s="1">
        <f>value(SAR!$B555)</f>
        <v>2398.589319</v>
      </c>
      <c r="P555" s="1">
        <f>value(AED!$B555)</f>
        <v>2410.542204</v>
      </c>
      <c r="Q555" s="1">
        <f>value(KWD!$B555)</f>
        <v>32576.62114</v>
      </c>
    </row>
    <row r="556">
      <c r="A556" s="4">
        <f>value(USD!A556)</f>
        <v>40864.99861</v>
      </c>
      <c r="B556" s="1">
        <f>value(USD!B556)</f>
        <v>8972.7</v>
      </c>
      <c r="C556" s="1">
        <f>value(AUD!$B556)</f>
        <v>8927.0009</v>
      </c>
      <c r="D556" s="1">
        <f>value(EUR!$B556)</f>
        <v>12031.42554</v>
      </c>
      <c r="E556" s="1">
        <f>value(GBP!$B556)</f>
        <v>14043.78337</v>
      </c>
      <c r="F556" s="1">
        <f>value(CHF!$B556)</f>
        <v>9717.34754</v>
      </c>
      <c r="G556" s="1">
        <f>value(SGD!$B556)</f>
        <v>6849.047859</v>
      </c>
      <c r="H556" s="1">
        <f>value(MYR!$B556)</f>
        <v>2811.60477</v>
      </c>
      <c r="I556" s="1">
        <f>value(THB!$B556)</f>
        <v>280.35945</v>
      </c>
      <c r="J556" s="1">
        <f>value(VND!$B556)</f>
        <v>0.4315313152</v>
      </c>
      <c r="K556" s="1">
        <f>value(CNY!$B556)</f>
        <v>1447.680198</v>
      </c>
      <c r="L556" s="1">
        <f>value(HKD!$B556)</f>
        <v>1142.620514</v>
      </c>
      <c r="M556" s="1">
        <f>value(TWD!$B556)</f>
        <v>292.552861</v>
      </c>
      <c r="N556" s="1">
        <f>value(JPY!$B556)</f>
        <v>115.614897</v>
      </c>
      <c r="O556" s="1">
        <f>value(SAR!$B556)</f>
        <v>2413.204582</v>
      </c>
      <c r="P556" s="1">
        <f>value(AED!$B556)</f>
        <v>2466.4038</v>
      </c>
      <c r="Q556" s="1">
        <f>value(KWD!$B556)</f>
        <v>32019.98802</v>
      </c>
    </row>
    <row r="557">
      <c r="A557" s="4">
        <f>value(USD!A557)</f>
        <v>40865.99861</v>
      </c>
      <c r="B557" s="1">
        <f>value(USD!B557)</f>
        <v>8991.5</v>
      </c>
      <c r="C557" s="1">
        <f>value(AUD!$B557)</f>
        <v>9019.95</v>
      </c>
      <c r="D557" s="1">
        <f>value(EUR!$B557)</f>
        <v>12201.28636</v>
      </c>
      <c r="E557" s="1">
        <f>value(GBP!$B557)</f>
        <v>14226.26514</v>
      </c>
      <c r="F557" s="1">
        <f>value(CHF!$B557)</f>
        <v>9832.647495</v>
      </c>
      <c r="G557" s="1">
        <f>value(SGD!$B557)</f>
        <v>6942.655515</v>
      </c>
      <c r="H557" s="1">
        <f>value(MYR!$B557)</f>
        <v>2850.394399</v>
      </c>
      <c r="I557" s="1">
        <f>value(THB!$B557)</f>
        <v>284.2186245</v>
      </c>
      <c r="J557" s="1">
        <f>value(VND!$B557)</f>
        <v>0.4376510319</v>
      </c>
      <c r="K557" s="1">
        <f>value(CNY!$B557)</f>
        <v>1443.7528</v>
      </c>
      <c r="L557" s="1">
        <f>value(HKD!$B557)</f>
        <v>1157.981181</v>
      </c>
      <c r="M557" s="1">
        <f>value(TWD!$B557)</f>
        <v>296.575956</v>
      </c>
      <c r="N557" s="1">
        <f>value(JPY!$B557)</f>
        <v>117.25935</v>
      </c>
      <c r="O557" s="1">
        <f>value(SAR!$B557)</f>
        <v>2373.963309</v>
      </c>
      <c r="P557" s="1">
        <f>value(AED!$B557)</f>
        <v>2464.68045</v>
      </c>
      <c r="Q557" s="1">
        <f>value(KWD!$B557)</f>
        <v>32823.18792</v>
      </c>
    </row>
    <row r="558">
      <c r="A558" s="4">
        <f>value(USD!A558)</f>
        <v>40866.99861</v>
      </c>
      <c r="B558" s="1">
        <f>value(USD!B558)</f>
        <v>8900.3</v>
      </c>
      <c r="C558" s="1">
        <f>value(AUD!$B558)</f>
        <v>8884.792526</v>
      </c>
      <c r="D558" s="1">
        <f>value(EUR!$B558)</f>
        <v>12168.34008</v>
      </c>
      <c r="E558" s="1">
        <f>value(GBP!$B558)</f>
        <v>14109.60683</v>
      </c>
      <c r="F558" s="1">
        <f>value(CHF!$B558)</f>
        <v>9831.78053</v>
      </c>
      <c r="G558" s="1">
        <f>value(SGD!$B558)</f>
        <v>6915.638686</v>
      </c>
      <c r="H558" s="1">
        <f>value(MYR!$B558)</f>
        <v>2823.00436</v>
      </c>
      <c r="I558" s="1">
        <f>value(THB!$B558)</f>
        <v>287.534907</v>
      </c>
      <c r="J558" s="1">
        <f>value(VND!$B558)</f>
        <v>0.4295542237</v>
      </c>
      <c r="K558" s="1">
        <f>value(CNY!$B558)</f>
        <v>1438.947</v>
      </c>
      <c r="L558" s="1">
        <f>value(HKD!$B558)</f>
        <v>1158.532831</v>
      </c>
      <c r="M558" s="1">
        <f>value(TWD!$B558)</f>
        <v>299.086843</v>
      </c>
      <c r="N558" s="1">
        <f>value(JPY!$B558)</f>
        <v>117.2341005</v>
      </c>
      <c r="O558" s="1">
        <f>value(SAR!$B558)</f>
        <v>2426.512901</v>
      </c>
      <c r="P558" s="1">
        <f>value(AED!$B558)</f>
        <v>2423.436284</v>
      </c>
      <c r="Q558" s="1">
        <f>value(KWD!$B558)</f>
        <v>32789.45967</v>
      </c>
    </row>
    <row r="559">
      <c r="A559" s="4">
        <f>value(USD!A559)</f>
        <v>40867.99861</v>
      </c>
      <c r="B559" s="1">
        <f>value(USD!B559)</f>
        <v>9019.95</v>
      </c>
      <c r="C559" s="1">
        <f>value(AUD!$B559)</f>
        <v>8906.562265</v>
      </c>
      <c r="D559" s="1">
        <f>value(EUR!$B559)</f>
        <v>12226.96341</v>
      </c>
      <c r="E559" s="1">
        <f>value(GBP!$B559)</f>
        <v>14150.82427</v>
      </c>
      <c r="F559" s="1">
        <f>value(CHF!$B559)</f>
        <v>9899.697775</v>
      </c>
      <c r="G559" s="1">
        <f>value(SGD!$B559)</f>
        <v>6955.4761</v>
      </c>
      <c r="H559" s="1">
        <f>value(MYR!$B559)</f>
        <v>2848.073856</v>
      </c>
      <c r="I559" s="1">
        <f>value(THB!$B559)</f>
        <v>289.800198</v>
      </c>
      <c r="J559" s="1">
        <f>value(VND!$B559)</f>
        <v>0.4397857702</v>
      </c>
      <c r="K559" s="1">
        <f>value(CNY!$B559)</f>
        <v>1433.401216</v>
      </c>
      <c r="L559" s="1">
        <f>value(HKD!$B559)</f>
        <v>1160.738433</v>
      </c>
      <c r="M559" s="1">
        <f>value(TWD!$B559)</f>
        <v>297.759754</v>
      </c>
      <c r="N559" s="1">
        <f>value(JPY!$B559)</f>
        <v>117.4939005</v>
      </c>
      <c r="O559" s="1">
        <f>value(SAR!$B559)</f>
        <v>2413.384284</v>
      </c>
      <c r="P559" s="1">
        <f>value(AED!$B559)</f>
        <v>2481.6499</v>
      </c>
      <c r="Q559" s="1">
        <f>value(KWD!$B559)</f>
        <v>32710.94904</v>
      </c>
    </row>
    <row r="560">
      <c r="A560" s="4">
        <f>value(USD!A560)</f>
        <v>40868.99861</v>
      </c>
      <c r="B560" s="1">
        <f>value(USD!B560)</f>
        <v>9024.95</v>
      </c>
      <c r="C560" s="1">
        <f>value(AUD!$B560)</f>
        <v>8740.08117</v>
      </c>
      <c r="D560" s="1">
        <f>value(EUR!$B560)</f>
        <v>12032.15136</v>
      </c>
      <c r="E560" s="1">
        <f>value(GBP!$B560)</f>
        <v>14002.88502</v>
      </c>
      <c r="F560" s="1">
        <f>value(CHF!$B560)</f>
        <v>9800.46861</v>
      </c>
      <c r="G560" s="1">
        <f>value(SGD!$B560)</f>
        <v>6879.984869</v>
      </c>
      <c r="H560" s="1">
        <f>value(MYR!$B560)</f>
        <v>2829.052375</v>
      </c>
      <c r="I560" s="1">
        <f>value(THB!$B560)</f>
        <v>286.73742</v>
      </c>
      <c r="J560" s="1">
        <f>value(VND!$B560)</f>
        <v>0.4399942055</v>
      </c>
      <c r="K560" s="1">
        <f>value(CNY!$B560)</f>
        <v>1448.2691</v>
      </c>
      <c r="L560" s="1">
        <f>value(HKD!$B560)</f>
        <v>1156.86827</v>
      </c>
      <c r="M560" s="1">
        <f>value(TWD!$B560)</f>
        <v>295.573982</v>
      </c>
      <c r="N560" s="1">
        <f>value(JPY!$B560)</f>
        <v>116.588517</v>
      </c>
      <c r="O560" s="1">
        <f>value(SAR!$B560)</f>
        <v>2429.828485</v>
      </c>
      <c r="P560" s="1">
        <f>value(AED!$B560)</f>
        <v>2481.77655</v>
      </c>
      <c r="Q560" s="1">
        <f>value(KWD!$B560)</f>
        <v>32627.41875</v>
      </c>
    </row>
    <row r="561">
      <c r="A561" s="4">
        <f>value(USD!A561)</f>
        <v>40869.99861</v>
      </c>
      <c r="B561" s="1">
        <f>value(USD!B561)</f>
        <v>9044.95</v>
      </c>
      <c r="C561" s="1">
        <f>value(AUD!$B561)</f>
        <v>8697.11296</v>
      </c>
      <c r="D561" s="1">
        <f>value(EUR!$B561)</f>
        <v>11945.08672</v>
      </c>
      <c r="E561" s="1">
        <f>value(GBP!$B561)</f>
        <v>13867.61114</v>
      </c>
      <c r="F561" s="1">
        <f>value(CHF!$B561)</f>
        <v>9731.37392</v>
      </c>
      <c r="G561" s="1">
        <f>value(SGD!$B561)</f>
        <v>6844.674504</v>
      </c>
      <c r="H561" s="1">
        <f>value(MYR!$B561)</f>
        <v>2810.698264</v>
      </c>
      <c r="I561" s="1">
        <f>value(THB!$B561)</f>
        <v>285.721312</v>
      </c>
      <c r="J561" s="1">
        <f>value(VND!$B561)</f>
        <v>0.4338095181</v>
      </c>
      <c r="K561" s="1">
        <f>value(CNY!$B561)</f>
        <v>1448.3851</v>
      </c>
      <c r="L561" s="1">
        <f>value(HKD!$B561)</f>
        <v>1149.517424</v>
      </c>
      <c r="M561" s="1">
        <f>value(TWD!$B561)</f>
        <v>292.891232</v>
      </c>
      <c r="N561" s="1">
        <f>value(JPY!$B561)</f>
        <v>116.06308</v>
      </c>
      <c r="O561" s="1">
        <f>value(SAR!$B561)</f>
        <v>2426.666606</v>
      </c>
      <c r="P561" s="1">
        <f>value(AED!$B561)</f>
        <v>2480.1975</v>
      </c>
      <c r="Q561" s="1">
        <f>value(KWD!$B561)</f>
        <v>32517.49104</v>
      </c>
    </row>
    <row r="562">
      <c r="A562" s="4">
        <f>value(USD!A562)</f>
        <v>40870.99861</v>
      </c>
      <c r="B562" s="1">
        <f>value(USD!B562)</f>
        <v>9016.9</v>
      </c>
      <c r="C562" s="1">
        <f>value(AUD!$B562)</f>
        <v>8763.92594</v>
      </c>
      <c r="D562" s="1">
        <f>value(EUR!$B562)</f>
        <v>11948.51042</v>
      </c>
      <c r="E562" s="1">
        <f>value(GBP!$B562)</f>
        <v>13934.36242</v>
      </c>
      <c r="F562" s="1">
        <f>value(CHF!$B562)</f>
        <v>9696.37372</v>
      </c>
      <c r="G562" s="1">
        <f>value(SGD!$B562)</f>
        <v>6871.679782</v>
      </c>
      <c r="H562" s="1">
        <f>value(MYR!$B562)</f>
        <v>2820.722234</v>
      </c>
      <c r="I562" s="1">
        <f>value(THB!$B562)</f>
        <v>286.775082</v>
      </c>
      <c r="J562" s="1">
        <f>value(VND!$B562)</f>
        <v>0.4498886339</v>
      </c>
      <c r="K562" s="1">
        <f>value(CNY!$B562)</f>
        <v>1454.5932</v>
      </c>
      <c r="L562" s="1">
        <f>value(HKD!$B562)</f>
        <v>1157.66145</v>
      </c>
      <c r="M562" s="1">
        <f>value(TWD!$B562)</f>
        <v>296.433544</v>
      </c>
      <c r="N562" s="1">
        <f>value(JPY!$B562)</f>
        <v>116.082076</v>
      </c>
      <c r="O562" s="1">
        <f>value(SAR!$B562)</f>
        <v>2423.986606</v>
      </c>
      <c r="P562" s="1">
        <f>value(AED!$B562)</f>
        <v>2474.7525</v>
      </c>
      <c r="Q562" s="1">
        <f>value(KWD!$B562)</f>
        <v>32769.61497</v>
      </c>
    </row>
    <row r="563">
      <c r="A563" s="4">
        <f>value(USD!A563)</f>
        <v>40871.99861</v>
      </c>
      <c r="B563" s="1">
        <f>value(USD!B563)</f>
        <v>8962.4</v>
      </c>
      <c r="C563" s="1">
        <f>value(AUD!$B563)</f>
        <v>8795.91895</v>
      </c>
      <c r="D563" s="1">
        <f>value(EUR!$B563)</f>
        <v>11961.25735</v>
      </c>
      <c r="E563" s="1">
        <f>value(GBP!$B563)</f>
        <v>13968.50105</v>
      </c>
      <c r="F563" s="1">
        <f>value(CHF!$B563)</f>
        <v>9722.75605</v>
      </c>
      <c r="G563" s="1">
        <f>value(SGD!$B563)</f>
        <v>6875.848525</v>
      </c>
      <c r="H563" s="1">
        <f>value(MYR!$B563)</f>
        <v>2823.781765</v>
      </c>
      <c r="I563" s="1">
        <f>value(THB!$B563)</f>
        <v>282.296875</v>
      </c>
      <c r="J563" s="1">
        <f>value(VND!$B563)</f>
        <v>0.4346015418</v>
      </c>
      <c r="K563" s="1">
        <f>value(CNY!$B563)</f>
        <v>1445.9745</v>
      </c>
      <c r="L563" s="1">
        <f>value(HKD!$B563)</f>
        <v>1158.546375</v>
      </c>
      <c r="M563" s="1">
        <f>value(TWD!$B563)</f>
        <v>296.750475</v>
      </c>
      <c r="N563" s="1">
        <f>value(JPY!$B563)</f>
        <v>116.261145</v>
      </c>
      <c r="O563" s="1">
        <f>value(SAR!$B563)</f>
        <v>2419.177596</v>
      </c>
      <c r="P563" s="1">
        <f>value(AED!$B563)</f>
        <v>2465.515312</v>
      </c>
      <c r="Q563" s="1">
        <f>value(KWD!$B563)</f>
        <v>32789.52553</v>
      </c>
    </row>
    <row r="564">
      <c r="A564" s="4">
        <f>value(USD!A564)</f>
        <v>40872.99861</v>
      </c>
      <c r="B564" s="1">
        <f>value(USD!B564)</f>
        <v>9026.6</v>
      </c>
      <c r="C564" s="1">
        <f>value(AUD!$B564)</f>
        <v>8896.397825</v>
      </c>
      <c r="D564" s="1">
        <f>value(EUR!$B564)</f>
        <v>12047.61097</v>
      </c>
      <c r="E564" s="1">
        <f>value(GBP!$B564)</f>
        <v>14016.1571</v>
      </c>
      <c r="F564" s="1">
        <f>value(CHF!$B564)</f>
        <v>9758.519615</v>
      </c>
      <c r="G564" s="1">
        <f>value(SGD!$B564)</f>
        <v>6946.685991</v>
      </c>
      <c r="H564" s="1">
        <f>value(MYR!$B564)</f>
        <v>2844.159795</v>
      </c>
      <c r="I564" s="1">
        <f>value(THB!$B564)</f>
        <v>289.3056525</v>
      </c>
      <c r="J564" s="1">
        <f>value(VND!$B564)</f>
        <v>0.4354201339</v>
      </c>
      <c r="K564" s="1">
        <f>value(CNY!$B564)</f>
        <v>1437.0474</v>
      </c>
      <c r="L564" s="1">
        <f>value(HKD!$B564)</f>
        <v>1161.478436</v>
      </c>
      <c r="M564" s="1">
        <f>value(TWD!$B564)</f>
        <v>298.9038995</v>
      </c>
      <c r="N564" s="1">
        <f>value(JPY!$B564)</f>
        <v>116.5372065</v>
      </c>
      <c r="O564" s="1">
        <f>value(SAR!$B564)</f>
        <v>2410.442167</v>
      </c>
      <c r="P564" s="1">
        <f>value(AED!$B564)</f>
        <v>2489.9985</v>
      </c>
      <c r="Q564" s="1">
        <f>value(KWD!$B564)</f>
        <v>32909.5738</v>
      </c>
    </row>
    <row r="565">
      <c r="A565" s="4">
        <f>value(USD!A565)</f>
        <v>40873.99861</v>
      </c>
      <c r="B565" s="1">
        <f>value(USD!B565)</f>
        <v>9033.5</v>
      </c>
      <c r="C565" s="1">
        <f>value(AUD!$B565)</f>
        <v>9026.534985</v>
      </c>
      <c r="D565" s="1">
        <f>value(EUR!$B565)</f>
        <v>12135.82672</v>
      </c>
      <c r="E565" s="1">
        <f>value(GBP!$B565)</f>
        <v>14123.61502</v>
      </c>
      <c r="F565" s="1">
        <f>value(CHF!$B565)</f>
        <v>9875.13683</v>
      </c>
      <c r="G565" s="1">
        <f>value(SGD!$B565)</f>
        <v>7006.115168</v>
      </c>
      <c r="H565" s="1">
        <f>value(MYR!$B565)</f>
        <v>2788.080906</v>
      </c>
      <c r="I565" s="1">
        <f>value(THB!$B565)</f>
        <v>284.4775895</v>
      </c>
      <c r="J565" s="1">
        <f>value(VND!$B565)</f>
        <v>0.4354761848</v>
      </c>
      <c r="K565" s="1">
        <f>value(CNY!$B565)</f>
        <v>1433.345657</v>
      </c>
      <c r="L565" s="1">
        <f>value(HKD!$B565)</f>
        <v>1169.265786</v>
      </c>
      <c r="M565" s="1">
        <f>value(TWD!$B565)</f>
        <v>301.0667985</v>
      </c>
      <c r="N565" s="1">
        <f>value(JPY!$B565)</f>
        <v>116.67136</v>
      </c>
      <c r="O565" s="1">
        <f>value(SAR!$B565)</f>
        <v>2430.415136</v>
      </c>
      <c r="P565" s="1">
        <f>value(AED!$B565)</f>
        <v>2489.72625</v>
      </c>
      <c r="Q565" s="1">
        <f>value(KWD!$B565)</f>
        <v>32835.7083</v>
      </c>
    </row>
    <row r="566">
      <c r="A566" s="4">
        <f>value(USD!A566)</f>
        <v>40874.99861</v>
      </c>
      <c r="B566" s="1">
        <f>value(USD!B566)</f>
        <v>9054.95</v>
      </c>
      <c r="C566" s="1">
        <f>value(AUD!$B566)</f>
        <v>9136.9169</v>
      </c>
      <c r="D566" s="1">
        <f>value(EUR!$B566)</f>
        <v>12151.24215</v>
      </c>
      <c r="E566" s="1">
        <f>value(GBP!$B566)</f>
        <v>14222.78131</v>
      </c>
      <c r="F566" s="1">
        <f>value(CHF!$B566)</f>
        <v>9898.47865</v>
      </c>
      <c r="G566" s="1">
        <f>value(SGD!$B566)</f>
        <v>7031.996705</v>
      </c>
      <c r="H566" s="1">
        <f>value(MYR!$B566)</f>
        <v>2861.192055</v>
      </c>
      <c r="I566" s="1">
        <f>value(THB!$B566)</f>
        <v>290.852745</v>
      </c>
      <c r="J566" s="1">
        <f>value(VND!$B566)</f>
        <v>0.4375148732</v>
      </c>
      <c r="K566" s="1">
        <f>value(CNY!$B566)</f>
        <v>1438.512192</v>
      </c>
      <c r="L566" s="1">
        <f>value(HKD!$B566)</f>
        <v>1170.798585</v>
      </c>
      <c r="M566" s="1">
        <f>value(TWD!$B566)</f>
        <v>301.432525</v>
      </c>
      <c r="N566" s="1">
        <f>value(JPY!$B566)</f>
        <v>116.92481</v>
      </c>
      <c r="O566" s="1">
        <f>value(SAR!$B566)</f>
        <v>2412.564616</v>
      </c>
      <c r="P566" s="1">
        <f>value(AED!$B566)</f>
        <v>2501.9775</v>
      </c>
      <c r="Q566" s="1">
        <f>value(KWD!$B566)</f>
        <v>32566.80755</v>
      </c>
    </row>
    <row r="567">
      <c r="A567" s="4">
        <f>value(USD!A567)</f>
        <v>40875.99861</v>
      </c>
      <c r="B567" s="1">
        <f>value(USD!B567)</f>
        <v>9114.95</v>
      </c>
      <c r="C567" s="1">
        <f>value(AUD!$B567)</f>
        <v>9302.70983</v>
      </c>
      <c r="D567" s="1">
        <f>value(EUR!$B567)</f>
        <v>12202.71548</v>
      </c>
      <c r="E567" s="1">
        <f>value(GBP!$B567)</f>
        <v>14251.41743</v>
      </c>
      <c r="F567" s="1">
        <f>value(CHF!$B567)</f>
        <v>9931.72514</v>
      </c>
      <c r="G567" s="1">
        <f>value(SGD!$B567)</f>
        <v>7078.373728</v>
      </c>
      <c r="H567" s="1">
        <f>value(MYR!$B567)</f>
        <v>2849.993033</v>
      </c>
      <c r="I567" s="1">
        <f>value(THB!$B567)</f>
        <v>293.086643</v>
      </c>
      <c r="J567" s="1">
        <f>value(VND!$B567)</f>
        <v>0.4355068953</v>
      </c>
      <c r="K567" s="1">
        <f>value(CNY!$B567)</f>
        <v>1435.3275</v>
      </c>
      <c r="L567" s="1">
        <f>value(HKD!$B567)</f>
        <v>1167.26362</v>
      </c>
      <c r="M567" s="1">
        <f>value(TWD!$B567)</f>
        <v>302.798712</v>
      </c>
      <c r="N567" s="1">
        <f>value(JPY!$B567)</f>
        <v>116.907896</v>
      </c>
      <c r="O567" s="1">
        <f>value(SAR!$B567)</f>
        <v>2414.110596</v>
      </c>
      <c r="P567" s="1">
        <f>value(AED!$B567)</f>
        <v>2491.0875</v>
      </c>
      <c r="Q567" s="1">
        <f>value(KWD!$B567)</f>
        <v>32436.04279</v>
      </c>
    </row>
    <row r="568">
      <c r="A568" s="4">
        <f>value(USD!A568)</f>
        <v>40876.99861</v>
      </c>
      <c r="B568" s="1">
        <f>value(USD!B568)</f>
        <v>9120.5</v>
      </c>
      <c r="C568" s="1">
        <f>value(AUD!$B568)</f>
        <v>9192.8389</v>
      </c>
      <c r="D568" s="1">
        <f>value(EUR!$B568)</f>
        <v>12111.52027</v>
      </c>
      <c r="E568" s="1">
        <f>value(GBP!$B568)</f>
        <v>14104.0816</v>
      </c>
      <c r="F568" s="1">
        <f>value(CHF!$B568)</f>
        <v>9824.28439</v>
      </c>
      <c r="G568" s="1">
        <f>value(SGD!$B568)</f>
        <v>7008.145444</v>
      </c>
      <c r="H568" s="1">
        <f>value(MYR!$B568)</f>
        <v>2858.055413</v>
      </c>
      <c r="I568" s="1">
        <f>value(THB!$B568)</f>
        <v>290.896683</v>
      </c>
      <c r="J568" s="1">
        <f>value(VND!$B568)</f>
        <v>0.4321828095</v>
      </c>
      <c r="K568" s="1">
        <f>value(CNY!$B568)</f>
        <v>1427.153283</v>
      </c>
      <c r="L568" s="1">
        <f>value(HKD!$B568)</f>
        <v>1157.470166</v>
      </c>
      <c r="M568" s="1">
        <f>value(TWD!$B568)</f>
        <v>298.1825925</v>
      </c>
      <c r="N568" s="1">
        <f>value(JPY!$B568)</f>
        <v>115.675057</v>
      </c>
      <c r="O568" s="1">
        <f>value(SAR!$B568)</f>
        <v>2436.399939</v>
      </c>
      <c r="P568" s="1">
        <f>value(AED!$B568)</f>
        <v>2471.4855</v>
      </c>
      <c r="Q568" s="1">
        <f>value(KWD!$B568)</f>
        <v>32589.26257</v>
      </c>
    </row>
    <row r="569">
      <c r="A569" s="4">
        <f>value(USD!A569)</f>
        <v>40877.99861</v>
      </c>
      <c r="B569" s="1">
        <f>value(USD!B569)</f>
        <v>9076.7</v>
      </c>
      <c r="C569" s="1">
        <f>value(AUD!$B569)</f>
        <v>9207.0195</v>
      </c>
      <c r="D569" s="1">
        <f>value(EUR!$B569)</f>
        <v>12071.9865</v>
      </c>
      <c r="E569" s="1">
        <f>value(GBP!$B569)</f>
        <v>14057.991</v>
      </c>
      <c r="F569" s="1">
        <f>value(CHF!$B569)</f>
        <v>9780.3735</v>
      </c>
      <c r="G569" s="1">
        <f>value(SGD!$B569)</f>
        <v>7010.064</v>
      </c>
      <c r="H569" s="1">
        <f>value(MYR!$B569)</f>
        <v>2880.4728</v>
      </c>
      <c r="I569" s="1">
        <f>value(THB!$B569)</f>
        <v>292.17615</v>
      </c>
      <c r="J569" s="1">
        <f>value(VND!$B569)</f>
        <v>0.4334019475</v>
      </c>
      <c r="K569" s="1">
        <f>value(CNY!$B569)</f>
        <v>1413.75725</v>
      </c>
      <c r="L569" s="1">
        <f>value(HKD!$B569)</f>
        <v>1160.4108</v>
      </c>
      <c r="M569" s="1">
        <f>value(TWD!$B569)</f>
        <v>296.5935</v>
      </c>
      <c r="N569" s="1">
        <f>value(JPY!$B569)</f>
        <v>115.5723</v>
      </c>
      <c r="O569" s="1">
        <f>value(SAR!$B569)</f>
        <v>2410.666606</v>
      </c>
      <c r="P569" s="1">
        <f>value(AED!$B569)</f>
        <v>2464.018322</v>
      </c>
      <c r="Q569" s="1">
        <f>value(KWD!$B569)</f>
        <v>32508.95703</v>
      </c>
    </row>
    <row r="570">
      <c r="A570" s="4">
        <f>value(USD!A570)</f>
        <v>40878.99861</v>
      </c>
      <c r="B570" s="1">
        <f>value(USD!B570)</f>
        <v>8994.95</v>
      </c>
      <c r="C570" s="1">
        <f>value(AUD!$B570)</f>
        <v>9094.429344</v>
      </c>
      <c r="D570" s="1">
        <f>value(EUR!$B570)</f>
        <v>11939.38902</v>
      </c>
      <c r="E570" s="1">
        <f>value(GBP!$B570)</f>
        <v>13893.98499</v>
      </c>
      <c r="F570" s="1">
        <f>value(CHF!$B570)</f>
        <v>9650.06048</v>
      </c>
      <c r="G570" s="1">
        <f>value(SGD!$B570)</f>
        <v>6930.068816</v>
      </c>
      <c r="H570" s="1">
        <f>value(MYR!$B570)</f>
        <v>2774.14744</v>
      </c>
      <c r="I570" s="1">
        <f>value(THB!$B570)</f>
        <v>281.823808</v>
      </c>
      <c r="J570" s="1">
        <f>value(VND!$B570)</f>
        <v>0.439629928</v>
      </c>
      <c r="K570" s="1">
        <f>value(CNY!$B570)</f>
        <v>1411.4947</v>
      </c>
      <c r="L570" s="1">
        <f>value(HKD!$B570)</f>
        <v>1146.534784</v>
      </c>
      <c r="M570" s="1">
        <f>value(TWD!$B570)</f>
        <v>293.314096</v>
      </c>
      <c r="N570" s="1">
        <f>value(JPY!$B570)</f>
        <v>114.190304</v>
      </c>
      <c r="O570" s="1">
        <f>value(SAR!$B570)</f>
        <v>2413.651212</v>
      </c>
      <c r="P570" s="1">
        <f>value(AED!$B570)</f>
        <v>2476.810782</v>
      </c>
      <c r="Q570" s="1">
        <f>value(KWD!$B570)</f>
        <v>32281.31005</v>
      </c>
    </row>
    <row r="571">
      <c r="A571" s="4">
        <f>value(USD!A571)</f>
        <v>40879.99861</v>
      </c>
      <c r="B571" s="1">
        <f>value(USD!B571)</f>
        <v>9015</v>
      </c>
      <c r="C571" s="1">
        <f>value(AUD!$B571)</f>
        <v>9229.50581</v>
      </c>
      <c r="D571" s="1">
        <f>value(EUR!$B571)</f>
        <v>12094.45692</v>
      </c>
      <c r="E571" s="1">
        <f>value(GBP!$B571)</f>
        <v>14067.82947</v>
      </c>
      <c r="F571" s="1">
        <f>value(CHF!$B571)</f>
        <v>9791.137195</v>
      </c>
      <c r="G571" s="1">
        <f>value(SGD!$B571)</f>
        <v>7026.432329</v>
      </c>
      <c r="H571" s="1">
        <f>value(MYR!$B571)</f>
        <v>2885.865794</v>
      </c>
      <c r="I571" s="1">
        <f>value(THB!$B571)</f>
        <v>285.5034665</v>
      </c>
      <c r="J571" s="1">
        <f>value(VND!$B571)</f>
        <v>0.4318019478</v>
      </c>
      <c r="K571" s="1">
        <f>value(CNY!$B571)</f>
        <v>1405.8812</v>
      </c>
      <c r="L571" s="1">
        <f>value(HKD!$B571)</f>
        <v>1160.404364</v>
      </c>
      <c r="M571" s="1">
        <f>value(TWD!$B571)</f>
        <v>297.132752</v>
      </c>
      <c r="N571" s="1">
        <f>value(JPY!$B571)</f>
        <v>115.4815095</v>
      </c>
      <c r="O571" s="1">
        <f>value(SAR!$B571)</f>
        <v>2427.67343</v>
      </c>
      <c r="P571" s="1">
        <f>value(AED!$B571)</f>
        <v>2469.3075</v>
      </c>
      <c r="Q571" s="1">
        <f>value(KWD!$B571)</f>
        <v>32156.58623</v>
      </c>
    </row>
    <row r="572">
      <c r="A572" s="4">
        <f>value(USD!A572)</f>
        <v>40880.99861</v>
      </c>
      <c r="B572" s="1">
        <f>value(USD!B572)</f>
        <v>8907.2</v>
      </c>
      <c r="C572" s="1">
        <f>value(AUD!$B572)</f>
        <v>9248.32662</v>
      </c>
      <c r="D572" s="1">
        <f>value(EUR!$B572)</f>
        <v>12067.81744</v>
      </c>
      <c r="E572" s="1">
        <f>value(GBP!$B572)</f>
        <v>14098.62625</v>
      </c>
      <c r="F572" s="1">
        <f>value(CHF!$B572)</f>
        <v>9783.91266</v>
      </c>
      <c r="G572" s="1">
        <f>value(SGD!$B572)</f>
        <v>7027.718372</v>
      </c>
      <c r="H572" s="1">
        <f>value(MYR!$B572)</f>
        <v>2857.450706</v>
      </c>
      <c r="I572" s="1">
        <f>value(THB!$B572)</f>
        <v>290.78535</v>
      </c>
      <c r="J572" s="1">
        <f>value(VND!$B572)</f>
        <v>0.4287529686</v>
      </c>
      <c r="K572" s="1">
        <f>value(CNY!$B572)</f>
        <v>1412.3036</v>
      </c>
      <c r="L572" s="1">
        <f>value(HKD!$B572)</f>
        <v>1160.256088</v>
      </c>
      <c r="M572" s="1">
        <f>value(TWD!$B572)</f>
        <v>297.728132</v>
      </c>
      <c r="N572" s="1">
        <f>value(JPY!$B572)</f>
        <v>115.86331</v>
      </c>
      <c r="O572" s="1">
        <f>value(SAR!$B572)</f>
        <v>2416.468842</v>
      </c>
      <c r="P572" s="1">
        <f>value(AED!$B572)</f>
        <v>2452.455225</v>
      </c>
      <c r="Q572" s="1">
        <f>value(KWD!$B572)</f>
        <v>32130.78784</v>
      </c>
    </row>
    <row r="573">
      <c r="A573" s="4">
        <f>value(USD!A573)</f>
        <v>40881.99861</v>
      </c>
      <c r="B573" s="1">
        <f>value(USD!B573)</f>
        <v>9014.95</v>
      </c>
      <c r="C573" s="1">
        <f>value(AUD!$B573)</f>
        <v>9252.692295</v>
      </c>
      <c r="D573" s="1">
        <f>value(EUR!$B573)</f>
        <v>12114.96445</v>
      </c>
      <c r="E573" s="1">
        <f>value(GBP!$B573)</f>
        <v>14098.94912</v>
      </c>
      <c r="F573" s="1">
        <f>value(CHF!$B573)</f>
        <v>9764.97396</v>
      </c>
      <c r="G573" s="1">
        <f>value(SGD!$B573)</f>
        <v>7038.768147</v>
      </c>
      <c r="H573" s="1">
        <f>value(MYR!$B573)</f>
        <v>2880.703458</v>
      </c>
      <c r="I573" s="1">
        <f>value(THB!$B573)</f>
        <v>292.551681</v>
      </c>
      <c r="J573" s="1">
        <f>value(VND!$B573)</f>
        <v>0.4364905067</v>
      </c>
      <c r="K573" s="1">
        <f>value(CNY!$B573)</f>
        <v>1416.52854</v>
      </c>
      <c r="L573" s="1">
        <f>value(HKD!$B573)</f>
        <v>1162.255968</v>
      </c>
      <c r="M573" s="1">
        <f>value(TWD!$B573)</f>
        <v>299.1471945</v>
      </c>
      <c r="N573" s="1">
        <f>value(JPY!$B573)</f>
        <v>116.189457</v>
      </c>
      <c r="O573" s="1">
        <f>value(SAR!$B573)</f>
        <v>2411.775634</v>
      </c>
      <c r="P573" s="1">
        <f>value(AED!$B573)</f>
        <v>2434.6501</v>
      </c>
      <c r="Q573" s="1">
        <f>value(KWD!$B573)</f>
        <v>32062.11044</v>
      </c>
    </row>
    <row r="574">
      <c r="A574" s="4">
        <f>value(USD!A574)</f>
        <v>40882.99861</v>
      </c>
      <c r="B574" s="1">
        <f>value(USD!B574)</f>
        <v>9016.6</v>
      </c>
      <c r="C574" s="1">
        <f>value(AUD!$B574)</f>
        <v>9281.97268</v>
      </c>
      <c r="D574" s="1">
        <f>value(EUR!$B574)</f>
        <v>12102.13244</v>
      </c>
      <c r="E574" s="1">
        <f>value(GBP!$B574)</f>
        <v>14172.11526</v>
      </c>
      <c r="F574" s="1">
        <f>value(CHF!$B574)</f>
        <v>9768.54954</v>
      </c>
      <c r="G574" s="1">
        <f>value(SGD!$B574)</f>
        <v>7029.546106</v>
      </c>
      <c r="H574" s="1">
        <f>value(MYR!$B574)</f>
        <v>2890.754028</v>
      </c>
      <c r="I574" s="1">
        <f>value(THB!$B574)</f>
        <v>293.3905</v>
      </c>
      <c r="J574" s="1">
        <f>value(VND!$B574)</f>
        <v>0.4257081607</v>
      </c>
      <c r="K574" s="1">
        <f>value(CNY!$B574)</f>
        <v>1433.072004</v>
      </c>
      <c r="L574" s="1">
        <f>value(HKD!$B574)</f>
        <v>1161.284736</v>
      </c>
      <c r="M574" s="1">
        <f>value(TWD!$B574)</f>
        <v>300.070776</v>
      </c>
      <c r="N574" s="1">
        <f>value(JPY!$B574)</f>
        <v>116.182638</v>
      </c>
      <c r="O574" s="1">
        <f>value(SAR!$B574)</f>
        <v>2361.216983</v>
      </c>
      <c r="P574" s="1">
        <f>value(AED!$B574)</f>
        <v>2434.4595</v>
      </c>
      <c r="Q574" s="1">
        <f>value(KWD!$B574)</f>
        <v>32051.73648</v>
      </c>
    </row>
    <row r="575">
      <c r="A575" s="4">
        <f>value(USD!A575)</f>
        <v>40883.99861</v>
      </c>
      <c r="B575" s="1">
        <f>value(USD!B575)</f>
        <v>9034.95</v>
      </c>
      <c r="C575" s="1">
        <f>value(AUD!$B575)</f>
        <v>9150.562635</v>
      </c>
      <c r="D575" s="1">
        <f>value(EUR!$B575)</f>
        <v>12003.04117</v>
      </c>
      <c r="E575" s="1">
        <f>value(GBP!$B575)</f>
        <v>14063.24452</v>
      </c>
      <c r="F575" s="1">
        <f>value(CHF!$B575)</f>
        <v>9713.646505</v>
      </c>
      <c r="G575" s="1">
        <f>value(SGD!$B575)</f>
        <v>6944.281299</v>
      </c>
      <c r="H575" s="1">
        <f>value(MYR!$B575)</f>
        <v>2872.267434</v>
      </c>
      <c r="I575" s="1">
        <f>value(THB!$B575)</f>
        <v>292.155976</v>
      </c>
      <c r="J575" s="1">
        <f>value(VND!$B575)</f>
        <v>0.4352918165</v>
      </c>
      <c r="K575" s="1">
        <f>value(CNY!$B575)</f>
        <v>1420.837587</v>
      </c>
      <c r="L575" s="1">
        <f>value(HKD!$B575)</f>
        <v>1156.66062</v>
      </c>
      <c r="M575" s="1">
        <f>value(TWD!$B575)</f>
        <v>297.193148</v>
      </c>
      <c r="N575" s="1">
        <f>value(JPY!$B575)</f>
        <v>115.7650065</v>
      </c>
      <c r="O575" s="1">
        <f>value(SAR!$B575)</f>
        <v>2415.999939</v>
      </c>
      <c r="P575" s="1">
        <f>value(AED!$B575)</f>
        <v>2427.8456</v>
      </c>
      <c r="Q575" s="1">
        <f>value(KWD!$B575)</f>
        <v>32194.06662</v>
      </c>
    </row>
    <row r="576">
      <c r="A576" s="4">
        <f>value(USD!A576)</f>
        <v>40884.99861</v>
      </c>
      <c r="B576" s="1">
        <f>value(USD!B576)</f>
        <v>9027.4</v>
      </c>
      <c r="C576" s="1">
        <f>value(AUD!$B576)</f>
        <v>9242.765</v>
      </c>
      <c r="D576" s="1">
        <f>value(EUR!$B576)</f>
        <v>12112.52</v>
      </c>
      <c r="E576" s="1">
        <f>value(GBP!$B576)</f>
        <v>14178.635</v>
      </c>
      <c r="F576" s="1">
        <f>value(CHF!$B576)</f>
        <v>9799.34</v>
      </c>
      <c r="G576" s="1">
        <f>value(SGD!$B576)</f>
        <v>6997.641</v>
      </c>
      <c r="H576" s="1">
        <f>value(MYR!$B576)</f>
        <v>2871.8365</v>
      </c>
      <c r="I576" s="1">
        <f>value(THB!$B576)</f>
        <v>292.5865</v>
      </c>
      <c r="J576" s="1">
        <f>value(VND!$B576)</f>
        <v>0.4244587173</v>
      </c>
      <c r="K576" s="1">
        <f>value(CNY!$B576)</f>
        <v>1421.375909</v>
      </c>
      <c r="L576" s="1">
        <f>value(HKD!$B576)</f>
        <v>1162.8345</v>
      </c>
      <c r="M576" s="1">
        <f>value(TWD!$B576)</f>
        <v>299.1025</v>
      </c>
      <c r="N576" s="1">
        <f>value(JPY!$B576)</f>
        <v>116.4735</v>
      </c>
      <c r="O576" s="1">
        <f>value(SAR!$B576)</f>
        <v>2415.053073</v>
      </c>
      <c r="P576" s="1">
        <f>value(AED!$B576)</f>
        <v>2428.47</v>
      </c>
      <c r="Q576" s="1">
        <f>value(KWD!$B576)</f>
        <v>32567.82384</v>
      </c>
    </row>
    <row r="577">
      <c r="A577" s="4">
        <f>value(USD!A577)</f>
        <v>40885.99861</v>
      </c>
      <c r="B577" s="1">
        <f>value(USD!B577)</f>
        <v>8994.95</v>
      </c>
      <c r="C577" s="1">
        <f>value(AUD!$B577)</f>
        <v>9070.85914</v>
      </c>
      <c r="D577" s="1">
        <f>value(EUR!$B577)</f>
        <v>11898.3249</v>
      </c>
      <c r="E577" s="1">
        <f>value(GBP!$B577)</f>
        <v>13920.99562</v>
      </c>
      <c r="F577" s="1">
        <f>value(CHF!$B577)</f>
        <v>9628.1619</v>
      </c>
      <c r="G577" s="1">
        <f>value(SGD!$B577)</f>
        <v>6883.668372</v>
      </c>
      <c r="H577" s="1">
        <f>value(MYR!$B577)</f>
        <v>2821.23394</v>
      </c>
      <c r="I577" s="1">
        <f>value(THB!$B577)</f>
        <v>281.589238</v>
      </c>
      <c r="J577" s="1">
        <f>value(VND!$B577)</f>
        <v>0.4263683899</v>
      </c>
      <c r="K577" s="1">
        <f>value(CNY!$B577)</f>
        <v>1411.10376</v>
      </c>
      <c r="L577" s="1">
        <f>value(HKD!$B577)</f>
        <v>1143.806048</v>
      </c>
      <c r="M577" s="1">
        <f>value(TWD!$B577)</f>
        <v>293.7858</v>
      </c>
      <c r="N577" s="1">
        <f>value(JPY!$B577)</f>
        <v>114.665488</v>
      </c>
      <c r="O577" s="1">
        <f>value(SAR!$B577)</f>
        <v>2376.881964</v>
      </c>
      <c r="P577" s="1">
        <f>value(AED!$B577)</f>
        <v>2438.8155</v>
      </c>
      <c r="Q577" s="1">
        <f>value(KWD!$B577)</f>
        <v>32309.2706</v>
      </c>
    </row>
    <row r="578">
      <c r="A578" s="4">
        <f>value(USD!A578)</f>
        <v>40886.99861</v>
      </c>
      <c r="B578" s="1">
        <f>value(USD!B578)</f>
        <v>9050</v>
      </c>
      <c r="C578" s="1">
        <f>value(AUD!$B578)</f>
        <v>9285.077267</v>
      </c>
      <c r="D578" s="1">
        <f>value(EUR!$B578)</f>
        <v>12165.60499</v>
      </c>
      <c r="E578" s="1">
        <f>value(GBP!$B578)</f>
        <v>14241.12818</v>
      </c>
      <c r="F578" s="1">
        <f>value(CHF!$B578)</f>
        <v>9824.385725</v>
      </c>
      <c r="G578" s="1">
        <f>value(SGD!$B578)</f>
        <v>7031.847076</v>
      </c>
      <c r="H578" s="1">
        <f>value(MYR!$B578)</f>
        <v>2884.258393</v>
      </c>
      <c r="I578" s="1">
        <f>value(THB!$B578)</f>
        <v>287.807095</v>
      </c>
      <c r="J578" s="1">
        <f>value(VND!$B578)</f>
        <v>0.4309809467</v>
      </c>
      <c r="K578" s="1">
        <f>value(CNY!$B578)</f>
        <v>1414.52552</v>
      </c>
      <c r="L578" s="1">
        <f>value(HKD!$B578)</f>
        <v>1169.244758</v>
      </c>
      <c r="M578" s="1">
        <f>value(TWD!$B578)</f>
        <v>300.3639648</v>
      </c>
      <c r="N578" s="1">
        <f>value(JPY!$B578)</f>
        <v>117.1974512</v>
      </c>
      <c r="O578" s="1">
        <f>value(SAR!$B578)</f>
        <v>2430.601798</v>
      </c>
      <c r="P578" s="1">
        <f>value(AED!$B578)</f>
        <v>2464.02585</v>
      </c>
      <c r="Q578" s="1">
        <f>value(KWD!$B578)</f>
        <v>32350.62521</v>
      </c>
    </row>
    <row r="579">
      <c r="A579" s="4">
        <f>value(USD!A579)</f>
        <v>40887.99861</v>
      </c>
      <c r="B579" s="1">
        <f>value(USD!B579)</f>
        <v>8902.6</v>
      </c>
      <c r="C579" s="1">
        <f>value(AUD!$B579)</f>
        <v>9106.05969</v>
      </c>
      <c r="D579" s="1">
        <f>value(EUR!$B579)</f>
        <v>11922.40413</v>
      </c>
      <c r="E579" s="1">
        <f>value(GBP!$B579)</f>
        <v>14098.9171</v>
      </c>
      <c r="F579" s="1">
        <f>value(CHF!$B579)</f>
        <v>9650.86668</v>
      </c>
      <c r="G579" s="1">
        <f>value(SGD!$B579)</f>
        <v>6946.560621</v>
      </c>
      <c r="H579" s="1">
        <f>value(MYR!$B579)</f>
        <v>2791.276078</v>
      </c>
      <c r="I579" s="1">
        <f>value(THB!$B579)</f>
        <v>283.625433</v>
      </c>
      <c r="J579" s="1">
        <f>value(VND!$B579)</f>
        <v>0.4272268467</v>
      </c>
      <c r="K579" s="1">
        <f>value(CNY!$B579)</f>
        <v>1423.451512</v>
      </c>
      <c r="L579" s="1">
        <f>value(HKD!$B579)</f>
        <v>1162.647076</v>
      </c>
      <c r="M579" s="1">
        <f>value(TWD!$B579)</f>
        <v>297.6528555</v>
      </c>
      <c r="N579" s="1">
        <f>value(JPY!$B579)</f>
        <v>116.1108585</v>
      </c>
      <c r="O579" s="1">
        <f>value(SAR!$B579)</f>
        <v>2433.280767</v>
      </c>
      <c r="P579" s="1">
        <f>value(AED!$B579)</f>
        <v>2443.054536</v>
      </c>
      <c r="Q579" s="1">
        <f>value(KWD!$B579)</f>
        <v>32265.27285</v>
      </c>
    </row>
    <row r="580">
      <c r="A580" s="4">
        <f>value(USD!A580)</f>
        <v>40888.99861</v>
      </c>
      <c r="B580" s="1">
        <f>value(USD!B580)</f>
        <v>9099.181</v>
      </c>
      <c r="C580" s="1">
        <f>value(AUD!$B580)</f>
        <v>9112.1</v>
      </c>
      <c r="D580" s="1">
        <f>value(EUR!$B580)</f>
        <v>11864.86541</v>
      </c>
      <c r="E580" s="1">
        <f>value(GBP!$B580)</f>
        <v>14098.24112</v>
      </c>
      <c r="F580" s="1">
        <f>value(CHF!$B580)</f>
        <v>9627.84486</v>
      </c>
      <c r="G580" s="1">
        <f>value(SGD!$B580)</f>
        <v>6969.663048</v>
      </c>
      <c r="H580" s="1">
        <f>value(MYR!$B580)</f>
        <v>2845.70883</v>
      </c>
      <c r="I580" s="1">
        <f>value(THB!$B580)</f>
        <v>290.129264</v>
      </c>
      <c r="J580" s="1">
        <f>value(VND!$B580)</f>
        <v>0.4272870001</v>
      </c>
      <c r="K580" s="1">
        <f>value(CNY!$B580)</f>
        <v>1423.779</v>
      </c>
      <c r="L580" s="1">
        <f>value(HKD!$B580)</f>
        <v>1171.178213</v>
      </c>
      <c r="M580" s="1">
        <f>value(TWD!$B580)</f>
        <v>296.963339</v>
      </c>
      <c r="N580" s="1">
        <f>value(JPY!$B580)</f>
        <v>116.817122</v>
      </c>
      <c r="O580" s="1">
        <f>value(SAR!$B580)</f>
        <v>2429.333272</v>
      </c>
      <c r="P580" s="1">
        <f>value(AED!$B580)</f>
        <v>2444.069925</v>
      </c>
      <c r="Q580" s="1">
        <f>value(KWD!$B580)</f>
        <v>32384.03923</v>
      </c>
    </row>
    <row r="581">
      <c r="A581" s="4">
        <f>value(USD!A581)</f>
        <v>40889.99861</v>
      </c>
      <c r="B581" s="1">
        <f>value(USD!B581)</f>
        <v>9049.95</v>
      </c>
      <c r="C581" s="1">
        <f>value(AUD!$B581)</f>
        <v>9010.82</v>
      </c>
      <c r="D581" s="1">
        <f>value(EUR!$B581)</f>
        <v>11817.26</v>
      </c>
      <c r="E581" s="1">
        <f>value(GBP!$B581)</f>
        <v>14077.336</v>
      </c>
      <c r="F581" s="1">
        <f>value(CHF!$B581)</f>
        <v>9538.62</v>
      </c>
      <c r="G581" s="1">
        <f>value(SGD!$B581)</f>
        <v>6944.938</v>
      </c>
      <c r="H581" s="1">
        <f>value(MYR!$B581)</f>
        <v>2858.31</v>
      </c>
      <c r="I581" s="1">
        <f>value(THB!$B581)</f>
        <v>290.017</v>
      </c>
      <c r="J581" s="1">
        <f>value(VND!$B581)</f>
        <v>0.4364487263</v>
      </c>
      <c r="K581" s="1">
        <f>value(CNY!$B581)</f>
        <v>1420.86568</v>
      </c>
      <c r="L581" s="1">
        <f>value(HKD!$B581)</f>
        <v>1168.986</v>
      </c>
      <c r="M581" s="1">
        <f>value(TWD!$B581)</f>
        <v>300.209</v>
      </c>
      <c r="N581" s="1">
        <f>value(JPY!$B581)</f>
        <v>116.48</v>
      </c>
      <c r="O581" s="1">
        <f>value(SAR!$B581)</f>
        <v>2423.999939</v>
      </c>
      <c r="P581" s="1">
        <f>value(AED!$B581)</f>
        <v>2436.55536</v>
      </c>
      <c r="Q581" s="1">
        <f>value(KWD!$B581)</f>
        <v>32402.23119</v>
      </c>
    </row>
    <row r="582">
      <c r="A582" s="4">
        <f>value(USD!A582)</f>
        <v>40890.99861</v>
      </c>
      <c r="B582" s="1">
        <f>value(USD!B582)</f>
        <v>9112.1</v>
      </c>
      <c r="C582" s="1">
        <f>value(AUD!$B582)</f>
        <v>9031.77432</v>
      </c>
      <c r="D582" s="1">
        <f>value(EUR!$B582)</f>
        <v>11840.56887</v>
      </c>
      <c r="E582" s="1">
        <f>value(GBP!$B582)</f>
        <v>14106.6934</v>
      </c>
      <c r="F582" s="1">
        <f>value(CHF!$B582)</f>
        <v>9670.797805</v>
      </c>
      <c r="G582" s="1">
        <f>value(SGD!$B582)</f>
        <v>6960.720112</v>
      </c>
      <c r="H582" s="1">
        <f>value(MYR!$B582)</f>
        <v>2853.880702</v>
      </c>
      <c r="I582" s="1">
        <f>value(THB!$B582)</f>
        <v>288.9695105</v>
      </c>
      <c r="J582" s="1">
        <f>value(VND!$B582)</f>
        <v>0.4348373916</v>
      </c>
      <c r="K582" s="1">
        <f>value(CNY!$B582)</f>
        <v>1420.116495</v>
      </c>
      <c r="L582" s="1">
        <f>value(HKD!$B582)</f>
        <v>1168.149474</v>
      </c>
      <c r="M582" s="1">
        <f>value(TWD!$B582)</f>
        <v>300.331948</v>
      </c>
      <c r="N582" s="1">
        <f>value(JPY!$B582)</f>
        <v>116.714958</v>
      </c>
      <c r="O582" s="1">
        <f>value(SAR!$B582)</f>
        <v>2416.153191</v>
      </c>
      <c r="P582" s="1">
        <f>value(AED!$B582)</f>
        <v>2441.99896</v>
      </c>
      <c r="Q582" s="1">
        <f>value(KWD!$B582)</f>
        <v>32418.76984</v>
      </c>
    </row>
    <row r="583">
      <c r="A583" s="4">
        <f>value(USD!A583)</f>
        <v>40891.99861</v>
      </c>
      <c r="B583" s="1">
        <f>value(USD!B583)</f>
        <v>9100</v>
      </c>
      <c r="C583" s="1">
        <f>value(AUD!$B583)</f>
        <v>9045.1828</v>
      </c>
      <c r="D583" s="1">
        <f>value(EUR!$B583)</f>
        <v>11834.03856</v>
      </c>
      <c r="E583" s="1">
        <f>value(GBP!$B583)</f>
        <v>14102.13856</v>
      </c>
      <c r="F583" s="1">
        <f>value(CHF!$B583)</f>
        <v>9690.23044</v>
      </c>
      <c r="G583" s="1">
        <f>value(SGD!$B583)</f>
        <v>6944.01496</v>
      </c>
      <c r="H583" s="1">
        <f>value(MYR!$B583)</f>
        <v>2857.170932</v>
      </c>
      <c r="I583" s="1">
        <f>value(THB!$B583)</f>
        <v>289.681732</v>
      </c>
      <c r="J583" s="1">
        <f>value(VND!$B583)</f>
        <v>0.4273025663</v>
      </c>
      <c r="K583" s="1">
        <f>value(CNY!$B583)</f>
        <v>1414.032478</v>
      </c>
      <c r="L583" s="1">
        <f>value(HKD!$B583)</f>
        <v>1165.259056</v>
      </c>
      <c r="M583" s="1">
        <f>value(TWD!$B583)</f>
        <v>299.207752</v>
      </c>
      <c r="N583" s="1">
        <f>value(JPY!$B583)</f>
        <v>116.671064</v>
      </c>
      <c r="O583" s="1">
        <f>value(SAR!$B583)</f>
        <v>2438.868244</v>
      </c>
      <c r="P583" s="1">
        <f>value(AED!$B583)</f>
        <v>2445.232456</v>
      </c>
      <c r="Q583" s="1">
        <f>value(KWD!$B583)</f>
        <v>32318.89787</v>
      </c>
    </row>
    <row r="584">
      <c r="A584" s="4">
        <f>value(USD!A584)</f>
        <v>40892.99861</v>
      </c>
      <c r="B584" s="1">
        <f>value(USD!B584)</f>
        <v>9089.95</v>
      </c>
      <c r="C584" s="1">
        <f>value(AUD!$B584)</f>
        <v>9047.18677</v>
      </c>
      <c r="D584" s="1">
        <f>value(EUR!$B584)</f>
        <v>11836.6604</v>
      </c>
      <c r="E584" s="1">
        <f>value(GBP!$B584)</f>
        <v>14085.2992</v>
      </c>
      <c r="F584" s="1">
        <f>value(CHF!$B584)</f>
        <v>9692.377321</v>
      </c>
      <c r="G584" s="1">
        <f>value(SGD!$B584)</f>
        <v>6945.553414</v>
      </c>
      <c r="H584" s="1">
        <f>value(MYR!$B584)</f>
        <v>2857.803941</v>
      </c>
      <c r="I584" s="1">
        <f>value(THB!$B584)</f>
        <v>289.7459113</v>
      </c>
      <c r="J584" s="1">
        <f>value(VND!$B584)</f>
        <v>0.4274155103</v>
      </c>
      <c r="K584" s="1">
        <f>value(CNY!$B584)</f>
        <v>1422.527396</v>
      </c>
      <c r="L584" s="1">
        <f>value(HKD!$B584)</f>
        <v>1165.51722</v>
      </c>
      <c r="M584" s="1">
        <f>value(TWD!$B584)</f>
        <v>299.2740418</v>
      </c>
      <c r="N584" s="1">
        <f>value(JPY!$B584)</f>
        <v>116.6969126</v>
      </c>
      <c r="O584" s="1">
        <f>value(SAR!$B584)</f>
        <v>2438.601584</v>
      </c>
      <c r="P584" s="1">
        <f>value(AED!$B584)</f>
        <v>2444.805</v>
      </c>
      <c r="Q584" s="1">
        <f>value(KWD!$B584)</f>
        <v>32341.21624</v>
      </c>
    </row>
    <row r="585">
      <c r="A585" s="4">
        <f>value(USD!A585)</f>
        <v>40893.99861</v>
      </c>
      <c r="B585" s="1">
        <f>value(USD!B585)</f>
        <v>9072.4</v>
      </c>
      <c r="C585" s="1">
        <f>value(AUD!$B585)</f>
        <v>8976.8274</v>
      </c>
      <c r="D585" s="1">
        <f>value(EUR!$B585)</f>
        <v>11749.40115</v>
      </c>
      <c r="E585" s="1">
        <f>value(GBP!$B585)</f>
        <v>13992.70635</v>
      </c>
      <c r="F585" s="1">
        <f>value(CHF!$B585)</f>
        <v>9624.2121</v>
      </c>
      <c r="G585" s="1">
        <f>value(SGD!$B585)</f>
        <v>6915.024345</v>
      </c>
      <c r="H585" s="1">
        <f>value(MYR!$B585)</f>
        <v>2836.5909</v>
      </c>
      <c r="I585" s="1">
        <f>value(THB!$B585)</f>
        <v>287.716515</v>
      </c>
      <c r="J585" s="1">
        <f>value(VND!$B585)</f>
        <v>0.426406467</v>
      </c>
      <c r="K585" s="1">
        <f>value(CNY!$B585)</f>
        <v>1420.99928</v>
      </c>
      <c r="L585" s="1">
        <f>value(HKD!$B585)</f>
        <v>1158.25959</v>
      </c>
      <c r="M585" s="1">
        <f>value(TWD!$B585)</f>
        <v>297.093675</v>
      </c>
      <c r="N585" s="1">
        <f>value(JPY!$B585)</f>
        <v>115.862025</v>
      </c>
      <c r="O585" s="1">
        <f>value(SAR!$B585)</f>
        <v>2450.601264</v>
      </c>
      <c r="P585" s="1">
        <f>value(AED!$B585)</f>
        <v>2439.0333</v>
      </c>
      <c r="Q585" s="1">
        <f>value(KWD!$B585)</f>
        <v>32237.22635</v>
      </c>
    </row>
    <row r="586">
      <c r="A586" s="4">
        <f>value(USD!A586)</f>
        <v>40894.99861</v>
      </c>
      <c r="B586" s="1">
        <f>value(USD!B586)</f>
        <v>9074.41</v>
      </c>
      <c r="C586" s="1">
        <f>value(AUD!$B586)</f>
        <v>9035.00559</v>
      </c>
      <c r="D586" s="1">
        <f>value(EUR!$B586)</f>
        <v>11852.23572</v>
      </c>
      <c r="E586" s="1">
        <f>value(GBP!$B586)</f>
        <v>14133.54501</v>
      </c>
      <c r="F586" s="1">
        <f>value(CHF!$B586)</f>
        <v>9727.69239</v>
      </c>
      <c r="G586" s="1">
        <f>value(SGD!$B586)</f>
        <v>6965.968347</v>
      </c>
      <c r="H586" s="1">
        <f>value(MYR!$B586)</f>
        <v>2858.882481</v>
      </c>
      <c r="I586" s="1">
        <f>value(THB!$B586)</f>
        <v>290.472741</v>
      </c>
      <c r="J586" s="1">
        <f>value(VND!$B586)</f>
        <v>0.4277411573</v>
      </c>
      <c r="K586" s="1">
        <f>value(CNY!$B586)</f>
        <v>1413.7976</v>
      </c>
      <c r="L586" s="1">
        <f>value(HKD!$B586)</f>
        <v>1170.731835</v>
      </c>
      <c r="M586" s="1">
        <f>value(TWD!$B586)</f>
        <v>299.678184</v>
      </c>
      <c r="N586" s="1">
        <f>value(JPY!$B586)</f>
        <v>116.754183</v>
      </c>
      <c r="O586" s="1">
        <f>value(SAR!$B586)</f>
        <v>2440.1952</v>
      </c>
      <c r="P586" s="1">
        <f>value(AED!$B586)</f>
        <v>2438.516025</v>
      </c>
      <c r="Q586" s="1">
        <f>value(KWD!$B586)</f>
        <v>32422.67204</v>
      </c>
    </row>
    <row r="587">
      <c r="A587" s="4">
        <f>value(USD!A587)</f>
        <v>40895.99861</v>
      </c>
      <c r="B587" s="1">
        <f>value(USD!B587)</f>
        <v>9016.5</v>
      </c>
      <c r="C587" s="1">
        <f>value(AUD!$B587)</f>
        <v>9114.55224</v>
      </c>
      <c r="D587" s="1">
        <f>value(EUR!$B587)</f>
        <v>11837.87984</v>
      </c>
      <c r="E587" s="1">
        <f>value(GBP!$B587)</f>
        <v>14174.87492</v>
      </c>
      <c r="F587" s="1">
        <f>value(CHF!$B587)</f>
        <v>9710.78908</v>
      </c>
      <c r="G587" s="1">
        <f>value(SGD!$B587)</f>
        <v>6970.451992</v>
      </c>
      <c r="H587" s="1">
        <f>value(MYR!$B587)</f>
        <v>2845.832104</v>
      </c>
      <c r="I587" s="1">
        <f>value(THB!$B587)</f>
        <v>289.251772</v>
      </c>
      <c r="J587" s="1">
        <f>value(VND!$B587)</f>
        <v>0.4300418997</v>
      </c>
      <c r="K587" s="1">
        <f>value(CNY!$B587)</f>
        <v>1403.49384</v>
      </c>
      <c r="L587" s="1">
        <f>value(HKD!$B587)</f>
        <v>1162.526124</v>
      </c>
      <c r="M587" s="1">
        <f>value(TWD!$B587)</f>
        <v>298.480324</v>
      </c>
      <c r="N587" s="1">
        <f>value(JPY!$B587)</f>
        <v>116.171184</v>
      </c>
      <c r="O587" s="1">
        <f>value(SAR!$B587)</f>
        <v>2422.414915</v>
      </c>
      <c r="P587" s="1">
        <f>value(AED!$B587)</f>
        <v>2430.050258</v>
      </c>
      <c r="Q587" s="1">
        <f>value(KWD!$B587)</f>
        <v>32249.90916</v>
      </c>
    </row>
    <row r="588">
      <c r="A588" s="4">
        <f>value(USD!A588)</f>
        <v>40896.99861</v>
      </c>
      <c r="B588" s="1">
        <f>value(USD!B588)</f>
        <v>9114.3</v>
      </c>
      <c r="C588" s="1">
        <f>value(AUD!$B588)</f>
        <v>9112.2306</v>
      </c>
      <c r="D588" s="1">
        <f>value(EUR!$B588)</f>
        <v>11790.9153</v>
      </c>
      <c r="E588" s="1">
        <f>value(GBP!$B588)</f>
        <v>14168.45145</v>
      </c>
      <c r="F588" s="1">
        <f>value(CHF!$B588)</f>
        <v>9657.55365</v>
      </c>
      <c r="G588" s="1">
        <f>value(SGD!$B588)</f>
        <v>6978.959385</v>
      </c>
      <c r="H588" s="1">
        <f>value(MYR!$B588)</f>
        <v>2857.20339</v>
      </c>
      <c r="I588" s="1">
        <f>value(THB!$B588)</f>
        <v>288.578085</v>
      </c>
      <c r="J588" s="1">
        <f>value(VND!$B588)</f>
        <v>0.4297536468</v>
      </c>
      <c r="K588" s="1">
        <f>value(CNY!$B588)</f>
        <v>1414.712</v>
      </c>
      <c r="L588" s="1">
        <f>value(HKD!$B588)</f>
        <v>1162.27062</v>
      </c>
      <c r="M588" s="1">
        <f>value(TWD!$B588)</f>
        <v>297.53115</v>
      </c>
      <c r="N588" s="1">
        <f>value(JPY!$B588)</f>
        <v>115.7568</v>
      </c>
      <c r="O588" s="1">
        <f>value(SAR!$B588)</f>
        <v>2415.65266</v>
      </c>
      <c r="P588" s="1">
        <f>value(AED!$B588)</f>
        <v>2445.26512</v>
      </c>
      <c r="Q588" s="1">
        <f>value(KWD!$B588)</f>
        <v>31972.18449</v>
      </c>
    </row>
    <row r="589">
      <c r="A589" s="4">
        <f>value(USD!A589)</f>
        <v>40897.99861</v>
      </c>
      <c r="B589" s="1">
        <f>value(USD!B589)</f>
        <v>9047.6</v>
      </c>
      <c r="C589" s="1">
        <f>value(AUD!$B589)</f>
        <v>9254.36085</v>
      </c>
      <c r="D589" s="1">
        <f>value(EUR!$B589)</f>
        <v>11927.70075</v>
      </c>
      <c r="E589" s="1">
        <f>value(GBP!$B589)</f>
        <v>14321.46375</v>
      </c>
      <c r="F589" s="1">
        <f>value(CHF!$B589)</f>
        <v>9765.0912</v>
      </c>
      <c r="G589" s="1">
        <f>value(SGD!$B589)</f>
        <v>7057.94625</v>
      </c>
      <c r="H589" s="1">
        <f>value(MYR!$B589)</f>
        <v>2885.763525</v>
      </c>
      <c r="I589" s="1">
        <f>value(THB!$B589)</f>
        <v>292.093905</v>
      </c>
      <c r="J589" s="1">
        <f>value(VND!$B589)</f>
        <v>0.4276819896</v>
      </c>
      <c r="K589" s="1">
        <f>value(CNY!$B589)</f>
        <v>1421.3111</v>
      </c>
      <c r="L589" s="1">
        <f>value(HKD!$B589)</f>
        <v>1174.04025</v>
      </c>
      <c r="M589" s="1">
        <f>value(TWD!$B589)</f>
        <v>301.595865</v>
      </c>
      <c r="N589" s="1">
        <f>value(JPY!$B589)</f>
        <v>116.855835</v>
      </c>
      <c r="O589" s="1">
        <f>value(SAR!$B589)</f>
        <v>2428.906906</v>
      </c>
      <c r="P589" s="1">
        <f>value(AED!$B589)</f>
        <v>2430.5674</v>
      </c>
      <c r="Q589" s="1">
        <f>value(KWD!$B589)</f>
        <v>32191.7002</v>
      </c>
    </row>
    <row r="590">
      <c r="A590" s="4">
        <f>value(USD!A590)</f>
        <v>40898.99861</v>
      </c>
      <c r="B590" s="1">
        <f>value(USD!B590)</f>
        <v>9043.5</v>
      </c>
      <c r="C590" s="1">
        <f>value(AUD!$B590)</f>
        <v>9171.08</v>
      </c>
      <c r="D590" s="1">
        <f>value(EUR!$B590)</f>
        <v>11792.68</v>
      </c>
      <c r="E590" s="1">
        <f>value(GBP!$B590)</f>
        <v>14088.84</v>
      </c>
      <c r="F590" s="1">
        <f>value(CHF!$B590)</f>
        <v>9642.064</v>
      </c>
      <c r="G590" s="1">
        <f>value(SGD!$B590)</f>
        <v>6992.0784</v>
      </c>
      <c r="H590" s="1">
        <f>value(MYR!$B590)</f>
        <v>2861.612</v>
      </c>
      <c r="I590" s="1">
        <f>value(THB!$B590)</f>
        <v>288.4664</v>
      </c>
      <c r="J590" s="1">
        <f>value(VND!$B590)</f>
        <v>0.4282085994</v>
      </c>
      <c r="K590" s="1">
        <f>value(CNY!$B590)</f>
        <v>1421.3111</v>
      </c>
      <c r="L590" s="1">
        <f>value(HKD!$B590)</f>
        <v>1162.3632</v>
      </c>
      <c r="M590" s="1">
        <f>value(TWD!$B590)</f>
        <v>298.0488</v>
      </c>
      <c r="N590" s="1">
        <f>value(JPY!$B590)</f>
        <v>115.712</v>
      </c>
      <c r="O590" s="1">
        <f>value(SAR!$B590)</f>
        <v>2418.666606</v>
      </c>
      <c r="P590" s="1">
        <f>value(AED!$B590)</f>
        <v>2409.20127</v>
      </c>
      <c r="Q590" s="1">
        <f>value(KWD!$B590)</f>
        <v>32393.85308</v>
      </c>
    </row>
    <row r="591">
      <c r="A591" s="4">
        <f>value(USD!A591)</f>
        <v>40899.99861</v>
      </c>
      <c r="B591" s="1">
        <f>value(USD!B591)</f>
        <v>9136.5</v>
      </c>
      <c r="C591" s="1">
        <f>value(AUD!$B591)</f>
        <v>9171.26448</v>
      </c>
      <c r="D591" s="1">
        <f>value(EUR!$B591)</f>
        <v>11785.16976</v>
      </c>
      <c r="E591" s="1">
        <f>value(GBP!$B591)</f>
        <v>14109.84624</v>
      </c>
      <c r="F591" s="1">
        <f>value(CHF!$B591)</f>
        <v>9626.79984</v>
      </c>
      <c r="G591" s="1">
        <f>value(SGD!$B591)</f>
        <v>6990.840864</v>
      </c>
      <c r="H591" s="1">
        <f>value(MYR!$B591)</f>
        <v>2859.840144</v>
      </c>
      <c r="I591" s="1">
        <f>value(THB!$B591)</f>
        <v>288.686496</v>
      </c>
      <c r="J591" s="1">
        <f>value(VND!$B591)</f>
        <v>0.4265901424</v>
      </c>
      <c r="K591" s="1">
        <f>value(CNY!$B591)</f>
        <v>1421.3111</v>
      </c>
      <c r="L591" s="1">
        <f>value(HKD!$B591)</f>
        <v>1162.157472</v>
      </c>
      <c r="M591" s="1">
        <f>value(TWD!$B591)</f>
        <v>297.905664</v>
      </c>
      <c r="N591" s="1">
        <f>value(JPY!$B591)</f>
        <v>115.601136</v>
      </c>
      <c r="O591" s="1">
        <f>value(SAR!$B591)</f>
        <v>2402.159939</v>
      </c>
      <c r="P591" s="1">
        <f>value(AED!$B591)</f>
        <v>2427.8456</v>
      </c>
      <c r="Q591" s="1">
        <f>value(KWD!$B591)</f>
        <v>32393.85308</v>
      </c>
    </row>
    <row r="592">
      <c r="A592" s="4">
        <f>value(USD!A592)</f>
        <v>40900.99861</v>
      </c>
      <c r="B592" s="1">
        <f>value(USD!B592)</f>
        <v>9040</v>
      </c>
      <c r="C592" s="1">
        <f>value(AUD!$B592)</f>
        <v>9231.483091</v>
      </c>
      <c r="D592" s="1">
        <f>value(EUR!$B592)</f>
        <v>11866.24194</v>
      </c>
      <c r="E592" s="1">
        <f>value(GBP!$B592)</f>
        <v>14188.35293</v>
      </c>
      <c r="F592" s="1">
        <f>value(CHF!$B592)</f>
        <v>9708.826127</v>
      </c>
      <c r="G592" s="1">
        <f>value(SGD!$B592)</f>
        <v>7025.841617</v>
      </c>
      <c r="H592" s="1">
        <f>value(MYR!$B592)</f>
        <v>2879.07186</v>
      </c>
      <c r="I592" s="1">
        <f>value(THB!$B592)</f>
        <v>290.6278411</v>
      </c>
      <c r="J592" s="1">
        <f>value(VND!$B592)</f>
        <v>0.4290500091</v>
      </c>
      <c r="K592" s="1">
        <f>value(CNY!$B592)</f>
        <v>1422.251895</v>
      </c>
      <c r="L592" s="1">
        <f>value(HKD!$B592)</f>
        <v>1169.790709</v>
      </c>
      <c r="M592" s="1">
        <f>value(TWD!$B592)</f>
        <v>299.9090057</v>
      </c>
      <c r="N592" s="1">
        <f>value(JPY!$B592)</f>
        <v>116.4695168</v>
      </c>
      <c r="O592" s="1">
        <f>value(SAR!$B592)</f>
        <v>2385.52416</v>
      </c>
      <c r="P592" s="1">
        <f>value(AED!$B592)</f>
        <v>2440.0937</v>
      </c>
      <c r="Q592" s="1">
        <f>value(KWD!$B592)</f>
        <v>32393.85308</v>
      </c>
    </row>
    <row r="593">
      <c r="A593" s="4">
        <f>value(USD!A593)</f>
        <v>40901.99861</v>
      </c>
      <c r="B593" s="1">
        <f>value(USD!B593)</f>
        <v>9038.4</v>
      </c>
      <c r="C593" s="1">
        <f>value(AUD!$B593)</f>
        <v>9232.72718</v>
      </c>
      <c r="D593" s="1">
        <f>value(EUR!$B593)</f>
        <v>11865.45442</v>
      </c>
      <c r="E593" s="1">
        <f>value(GBP!$B593)</f>
        <v>14197.27258</v>
      </c>
      <c r="F593" s="1">
        <f>value(CHF!$B593)</f>
        <v>9701.818084</v>
      </c>
      <c r="G593" s="1">
        <f>value(SGD!$B593)</f>
        <v>7034.636293</v>
      </c>
      <c r="H593" s="1">
        <f>value(MYR!$B593)</f>
        <v>2878.999971</v>
      </c>
      <c r="I593" s="1">
        <f>value(THB!$B593)</f>
        <v>290.6363607</v>
      </c>
      <c r="J593" s="1">
        <f>value(VND!$B593)</f>
        <v>0.433825306</v>
      </c>
      <c r="K593" s="1">
        <f>value(CNY!$B593)</f>
        <v>1425.7331</v>
      </c>
      <c r="L593" s="1">
        <f>value(HKD!$B593)</f>
        <v>1168.81817</v>
      </c>
      <c r="M593" s="1">
        <f>value(TWD!$B593)</f>
        <v>299.9090879</v>
      </c>
      <c r="N593" s="1">
        <f>value(JPY!$B593)</f>
        <v>116.5454533</v>
      </c>
      <c r="O593" s="1">
        <f>value(SAR!$B593)</f>
        <v>2384.469696</v>
      </c>
      <c r="P593" s="1">
        <f>value(AED!$B593)</f>
        <v>2440.0937</v>
      </c>
      <c r="Q593" s="1">
        <f>value(KWD!$B593)</f>
        <v>32390.41651</v>
      </c>
    </row>
    <row r="594">
      <c r="A594" s="4">
        <f>value(USD!A594)</f>
        <v>40902.99861</v>
      </c>
      <c r="B594" s="1">
        <f>value(USD!B594)</f>
        <v>9099.181</v>
      </c>
      <c r="C594" s="1">
        <f>value(AUD!$B594)</f>
        <v>9191.5866</v>
      </c>
      <c r="D594" s="1">
        <f>value(EUR!$B594)</f>
        <v>11842.2216</v>
      </c>
      <c r="E594" s="1">
        <f>value(GBP!$B594)</f>
        <v>14192.9044</v>
      </c>
      <c r="F594" s="1">
        <f>value(CHF!$B594)</f>
        <v>9699.0586</v>
      </c>
      <c r="G594" s="1">
        <f>value(SGD!$B594)</f>
        <v>6991.7861</v>
      </c>
      <c r="H594" s="1">
        <f>value(MYR!$B594)</f>
        <v>2851.99264</v>
      </c>
      <c r="I594" s="1">
        <f>value(THB!$B594)</f>
        <v>287.53726</v>
      </c>
      <c r="J594" s="1">
        <f>value(VND!$B594)</f>
        <v>0.433825306</v>
      </c>
      <c r="K594" s="1">
        <f>value(CNY!$B594)</f>
        <v>1415.1371</v>
      </c>
      <c r="L594" s="1">
        <f>value(HKD!$B594)</f>
        <v>1165.10134</v>
      </c>
      <c r="M594" s="1">
        <f>value(TWD!$B594)</f>
        <v>299.046</v>
      </c>
      <c r="N594" s="1">
        <f>value(JPY!$B594)</f>
        <v>116.35608</v>
      </c>
      <c r="O594" s="1">
        <f>value(SAR!$B594)</f>
        <v>2381.142977</v>
      </c>
      <c r="P594" s="1">
        <f>value(AED!$B594)</f>
        <v>2440.0937</v>
      </c>
      <c r="Q594" s="1">
        <f>value(KWD!$B594)</f>
        <v>32442.75689</v>
      </c>
    </row>
    <row r="595">
      <c r="A595" s="4">
        <f>value(USD!A595)</f>
        <v>40903.99861</v>
      </c>
      <c r="B595" s="1">
        <f>value(USD!B595)</f>
        <v>9090.909</v>
      </c>
      <c r="C595" s="1">
        <f>value(AUD!$B595)</f>
        <v>9120.37296</v>
      </c>
      <c r="D595" s="1">
        <f>value(EUR!$B595)</f>
        <v>11692.60032</v>
      </c>
      <c r="E595" s="1">
        <f>value(GBP!$B595)</f>
        <v>13965.45804</v>
      </c>
      <c r="F595" s="1">
        <f>value(CHF!$B595)</f>
        <v>9587.96844</v>
      </c>
      <c r="G595" s="1">
        <f>value(SGD!$B595)</f>
        <v>6958.851804</v>
      </c>
      <c r="H595" s="1">
        <f>value(MYR!$B595)</f>
        <v>2855.31708</v>
      </c>
      <c r="I595" s="1">
        <f>value(THB!$B595)</f>
        <v>285.80304</v>
      </c>
      <c r="J595" s="1">
        <f>value(VND!$B595)</f>
        <v>0.4308043156</v>
      </c>
      <c r="K595" s="1">
        <f>value(CNY!$B595)</f>
        <v>1422.3422</v>
      </c>
      <c r="L595" s="1">
        <f>value(HKD!$B595)</f>
        <v>1163.10984</v>
      </c>
      <c r="M595" s="1">
        <f>value(TWD!$B595)</f>
        <v>295.29966</v>
      </c>
      <c r="N595" s="1">
        <f>value(JPY!$B595)</f>
        <v>116.039652</v>
      </c>
      <c r="O595" s="1">
        <f>value(SAR!$B595)</f>
        <v>2378.666607</v>
      </c>
      <c r="P595" s="1">
        <f>value(AED!$B595)</f>
        <v>2441.86287</v>
      </c>
      <c r="Q595" s="1">
        <f>value(KWD!$B595)</f>
        <v>32169.74455</v>
      </c>
    </row>
    <row r="596">
      <c r="A596" s="4">
        <f>value(USD!A596)</f>
        <v>40904.99861</v>
      </c>
      <c r="B596" s="1">
        <f>value(USD!B596)</f>
        <v>9062</v>
      </c>
      <c r="C596" s="1">
        <f>value(AUD!$B596)</f>
        <v>8974.3398</v>
      </c>
      <c r="D596" s="1">
        <f>value(EUR!$B596)</f>
        <v>11465.19504</v>
      </c>
      <c r="E596" s="1">
        <f>value(GBP!$B596)</f>
        <v>13643.47584</v>
      </c>
      <c r="F596" s="1">
        <f>value(CHF!$B596)</f>
        <v>9409.11048</v>
      </c>
      <c r="G596" s="1">
        <f>value(SGD!$B596)</f>
        <v>6812.44038</v>
      </c>
      <c r="H596" s="1">
        <f>value(MYR!$B596)</f>
        <v>2783.329284</v>
      </c>
      <c r="I596" s="1">
        <f>value(THB!$B596)</f>
        <v>278.394912</v>
      </c>
      <c r="J596" s="1">
        <f>value(VND!$B596)</f>
        <v>0.4322844084</v>
      </c>
      <c r="K596" s="1">
        <f>value(CNY!$B596)</f>
        <v>1427.51568</v>
      </c>
      <c r="L596" s="1">
        <f>value(HKD!$B596)</f>
        <v>1139.17002</v>
      </c>
      <c r="M596" s="1">
        <f>value(TWD!$B596)</f>
        <v>294.333552</v>
      </c>
      <c r="N596" s="1">
        <f>value(JPY!$B596)</f>
        <v>113.961276</v>
      </c>
      <c r="O596" s="1">
        <f>value(SAR!$B596)</f>
        <v>2388.736248</v>
      </c>
      <c r="P596" s="1">
        <f>value(AED!$B596)</f>
        <v>2449.07564</v>
      </c>
      <c r="Q596" s="1">
        <f>value(KWD!$B596)</f>
        <v>32379.02436</v>
      </c>
    </row>
    <row r="597">
      <c r="A597" s="4">
        <f>value(USD!A597)</f>
        <v>40905.99861</v>
      </c>
      <c r="B597" s="1">
        <f>value(USD!B597)</f>
        <v>9044.4</v>
      </c>
      <c r="C597" s="1">
        <f>value(AUD!$B597)</f>
        <v>9236.67</v>
      </c>
      <c r="D597" s="1">
        <f>value(EUR!$B597)</f>
        <v>11739.042</v>
      </c>
      <c r="E597" s="1">
        <f>value(GBP!$B597)</f>
        <v>14062.026</v>
      </c>
      <c r="F597" s="1">
        <f>value(CHF!$B597)</f>
        <v>9627.156</v>
      </c>
      <c r="G597" s="1">
        <f>value(SGD!$B597)</f>
        <v>6985.3506</v>
      </c>
      <c r="H597" s="1">
        <f>value(MYR!$B597)</f>
        <v>2851.9068</v>
      </c>
      <c r="I597" s="1">
        <f>value(THB!$B597)</f>
        <v>286.2054</v>
      </c>
      <c r="J597" s="1">
        <f>value(VND!$B597)</f>
        <v>0.4293269223</v>
      </c>
      <c r="K597" s="1">
        <f>value(CNY!$B597)</f>
        <v>1424.376192</v>
      </c>
      <c r="L597" s="1">
        <f>value(HKD!$B597)</f>
        <v>1166.475</v>
      </c>
      <c r="M597" s="1">
        <f>value(TWD!$B597)</f>
        <v>299.6142</v>
      </c>
      <c r="N597" s="1">
        <f>value(JPY!$B597)</f>
        <v>117.78</v>
      </c>
      <c r="O597" s="1">
        <f>value(SAR!$B597)</f>
        <v>2413.428923</v>
      </c>
      <c r="P597" s="1">
        <f>value(AED!$B597)</f>
        <v>2430.5674</v>
      </c>
      <c r="Q597" s="1">
        <f>value(KWD!$B597)</f>
        <v>32476.00872</v>
      </c>
    </row>
    <row r="598">
      <c r="A598" s="4">
        <f>value(USD!A598)</f>
        <v>40906.99861</v>
      </c>
      <c r="B598" s="1">
        <f>value(USD!B598)</f>
        <v>8854.8</v>
      </c>
      <c r="C598" s="1">
        <f>value(AUD!$B598)</f>
        <v>9231.5725</v>
      </c>
      <c r="D598" s="1">
        <f>value(EUR!$B598)</f>
        <v>11732.5635</v>
      </c>
      <c r="E598" s="1">
        <f>value(GBP!$B598)</f>
        <v>14054.2655</v>
      </c>
      <c r="F598" s="1">
        <f>value(CHF!$B598)</f>
        <v>9621.843</v>
      </c>
      <c r="G598" s="1">
        <f>value(SGD!$B598)</f>
        <v>6981.49555</v>
      </c>
      <c r="H598" s="1">
        <f>value(MYR!$B598)</f>
        <v>2850.3329</v>
      </c>
      <c r="I598" s="1">
        <f>value(THB!$B598)</f>
        <v>286.40965</v>
      </c>
      <c r="J598" s="1">
        <f>value(VND!$B598)</f>
        <v>0.4374725895</v>
      </c>
      <c r="K598" s="1">
        <f>value(CNY!$B598)</f>
        <v>1424.376192</v>
      </c>
      <c r="L598" s="1">
        <f>value(HKD!$B598)</f>
        <v>1165.7407</v>
      </c>
      <c r="M598" s="1">
        <f>value(TWD!$B598)</f>
        <v>299.44885</v>
      </c>
      <c r="N598" s="1">
        <f>value(JPY!$B598)</f>
        <v>117.5339</v>
      </c>
      <c r="O598" s="1">
        <f>value(SAR!$B598)</f>
        <v>2393.03994</v>
      </c>
      <c r="P598" s="1">
        <f>value(AED!$B598)</f>
        <v>2444.1764</v>
      </c>
      <c r="Q598" s="1">
        <f>value(KWD!$B598)</f>
        <v>32404.58531</v>
      </c>
    </row>
    <row r="599">
      <c r="A599" s="4">
        <f>value(USD!A599)</f>
        <v>40907.99861</v>
      </c>
      <c r="B599" s="1">
        <f>value(USD!B599)</f>
        <v>9060</v>
      </c>
      <c r="C599" s="1">
        <f>value(AUD!$B599)</f>
        <v>9293.260347</v>
      </c>
      <c r="D599" s="1">
        <f>value(EUR!$B599)</f>
        <v>11800.54628</v>
      </c>
      <c r="E599" s="1">
        <f>value(GBP!$B599)</f>
        <v>14135.70108</v>
      </c>
      <c r="F599" s="1">
        <f>value(CHF!$B599)</f>
        <v>9706.739394</v>
      </c>
      <c r="G599" s="1">
        <f>value(SGD!$B599)</f>
        <v>7021.948902</v>
      </c>
      <c r="H599" s="1">
        <f>value(MYR!$B599)</f>
        <v>2866.757702</v>
      </c>
      <c r="I599" s="1">
        <f>value(THB!$B599)</f>
        <v>288.0692128</v>
      </c>
      <c r="J599" s="1">
        <f>value(VND!$B599)</f>
        <v>0.4327325081</v>
      </c>
      <c r="K599" s="1">
        <f>value(CNY!$B599)</f>
        <v>1421.460304</v>
      </c>
      <c r="L599" s="1">
        <f>value(HKD!$B599)</f>
        <v>1172.586505</v>
      </c>
      <c r="M599" s="1">
        <f>value(TWD!$B599)</f>
        <v>301.1839667</v>
      </c>
      <c r="N599" s="1">
        <f>value(JPY!$B599)</f>
        <v>118.2149346</v>
      </c>
      <c r="O599" s="1">
        <f>value(SAR!$B599)</f>
        <v>2393.946606</v>
      </c>
      <c r="P599" s="1">
        <f>value(AED!$B599)</f>
        <v>2450.43654</v>
      </c>
      <c r="Q599" s="1">
        <f>value(KWD!$B599)</f>
        <v>32404.58531</v>
      </c>
    </row>
    <row r="600">
      <c r="A600" s="4">
        <f>value(USD!A600)</f>
        <v>40908.99861</v>
      </c>
      <c r="B600" s="1">
        <f>value(USD!B600)</f>
        <v>9055</v>
      </c>
      <c r="C600" s="1">
        <f>value(AUD!$B600)</f>
        <v>9122.83348</v>
      </c>
      <c r="D600" s="1">
        <f>value(EUR!$B600)</f>
        <v>11518.84606</v>
      </c>
      <c r="E600" s="1">
        <f>value(GBP!$B600)</f>
        <v>13814.2457</v>
      </c>
      <c r="F600" s="1">
        <f>value(CHF!$B600)</f>
        <v>9474.53358</v>
      </c>
      <c r="G600" s="1">
        <f>value(SGD!$B600)</f>
        <v>6863.850382</v>
      </c>
      <c r="H600" s="1">
        <f>value(MYR!$B600)</f>
        <v>2807.457178</v>
      </c>
      <c r="I600" s="1">
        <f>value(THB!$B600)</f>
        <v>281.983346</v>
      </c>
      <c r="J600" s="1">
        <f>value(VND!$B600)</f>
        <v>0.4380980246</v>
      </c>
      <c r="K600" s="1">
        <f>value(CNY!$B600)</f>
        <v>1431.7968</v>
      </c>
      <c r="L600" s="1">
        <f>value(HKD!$B600)</f>
        <v>1146.186174</v>
      </c>
      <c r="M600" s="1">
        <f>value(TWD!$B600)</f>
        <v>293.469248</v>
      </c>
      <c r="N600" s="1">
        <f>value(JPY!$B600)</f>
        <v>115.660362</v>
      </c>
      <c r="O600" s="1">
        <f>value(SAR!$B600)</f>
        <v>2394.863478</v>
      </c>
      <c r="P600" s="1">
        <f>value(AED!$B600)</f>
        <v>2445.047376</v>
      </c>
      <c r="Q600" s="1">
        <f>value(KWD!$B600)</f>
        <v>32354.56817</v>
      </c>
    </row>
    <row r="601">
      <c r="A601" s="4">
        <f>value(USD!A601)</f>
        <v>40909.99861</v>
      </c>
      <c r="B601" s="1">
        <f>value(USD!B601)</f>
        <v>9107.468</v>
      </c>
      <c r="C601" s="1">
        <f>value(AUD!$B601)</f>
        <v>9449.1559</v>
      </c>
      <c r="D601" s="1">
        <f>value(EUR!$B601)</f>
        <v>11895.71305</v>
      </c>
      <c r="E601" s="1">
        <f>value(GBP!$B601)</f>
        <v>14256.4069</v>
      </c>
      <c r="F601" s="1">
        <f>value(CHF!$B601)</f>
        <v>9778.572</v>
      </c>
      <c r="G601" s="1">
        <f>value(SGD!$B601)</f>
        <v>7095.57175</v>
      </c>
      <c r="H601" s="1">
        <f>value(MYR!$B601)</f>
        <v>2889.6373</v>
      </c>
      <c r="I601" s="1">
        <f>value(THB!$B601)</f>
        <v>290.0393</v>
      </c>
      <c r="J601" s="1">
        <f>value(VND!$B601)</f>
        <v>0.4380980246</v>
      </c>
      <c r="K601" s="1">
        <f>value(CNY!$B601)</f>
        <v>1433.6536</v>
      </c>
      <c r="L601" s="1">
        <f>value(HKD!$B601)</f>
        <v>1173.37395</v>
      </c>
      <c r="M601" s="1">
        <f>value(TWD!$B601)</f>
        <v>301.06845</v>
      </c>
      <c r="N601" s="1">
        <f>value(JPY!$B601)</f>
        <v>118.76845</v>
      </c>
      <c r="O601" s="1">
        <f>value(SAR!$B601)</f>
        <v>2400.303936</v>
      </c>
      <c r="P601" s="1">
        <f>value(AED!$B601)</f>
        <v>2445.047376</v>
      </c>
      <c r="Q601" s="1">
        <f>value(KWD!$B601)</f>
        <v>32564.00406</v>
      </c>
    </row>
    <row r="602">
      <c r="A602" s="4">
        <f>value(USD!A602)</f>
        <v>40910.99861</v>
      </c>
      <c r="B602" s="1">
        <f>value(USD!B602)</f>
        <v>8903.8</v>
      </c>
      <c r="C602" s="1">
        <f>value(AUD!$B602)</f>
        <v>9425.7372</v>
      </c>
      <c r="D602" s="1">
        <f>value(EUR!$B602)</f>
        <v>11787.64098</v>
      </c>
      <c r="E602" s="1">
        <f>value(GBP!$B602)</f>
        <v>14227.576</v>
      </c>
      <c r="F602" s="1">
        <f>value(CHF!$B602)</f>
        <v>9670.95222</v>
      </c>
      <c r="G602" s="1">
        <f>value(SGD!$B602)</f>
        <v>7074.498906</v>
      </c>
      <c r="H602" s="1">
        <f>value(MYR!$B602)</f>
        <v>2905.023144</v>
      </c>
      <c r="I602" s="1">
        <f>value(THB!$B602)</f>
        <v>288.788544</v>
      </c>
      <c r="J602" s="1">
        <f>value(VND!$B602)</f>
        <v>0.4360225501</v>
      </c>
      <c r="K602" s="1">
        <f>value(CNY!$B602)</f>
        <v>1432.84</v>
      </c>
      <c r="L602" s="1">
        <f>value(HKD!$B602)</f>
        <v>1173.476934</v>
      </c>
      <c r="M602" s="1">
        <f>value(TWD!$B602)</f>
        <v>300.000978</v>
      </c>
      <c r="N602" s="1">
        <f>value(JPY!$B602)</f>
        <v>118.778874</v>
      </c>
      <c r="O602" s="1">
        <f>value(SAR!$B602)</f>
        <v>2392.597064</v>
      </c>
      <c r="P602" s="1">
        <f>value(AED!$B602)</f>
        <v>2441.890088</v>
      </c>
      <c r="Q602" s="1">
        <f>value(KWD!$B602)</f>
        <v>32607.12632</v>
      </c>
    </row>
    <row r="603">
      <c r="A603" s="4">
        <f>value(USD!A603)</f>
        <v>40911.99861</v>
      </c>
      <c r="B603" s="1">
        <f>value(USD!B603)</f>
        <v>9115</v>
      </c>
      <c r="C603" s="1">
        <f>value(AUD!$B603)</f>
        <v>9334.106</v>
      </c>
      <c r="D603" s="1">
        <f>value(EUR!$B603)</f>
        <v>11651.69</v>
      </c>
      <c r="E603" s="1">
        <f>value(GBP!$B603)</f>
        <v>14115.034</v>
      </c>
      <c r="F603" s="1">
        <f>value(CHF!$B603)</f>
        <v>9563.678</v>
      </c>
      <c r="G603" s="1">
        <f>value(SGD!$B603)</f>
        <v>7048.8625</v>
      </c>
      <c r="H603" s="1">
        <f>value(MYR!$B603)</f>
        <v>2893.0627</v>
      </c>
      <c r="I603" s="1">
        <f>value(THB!$B603)</f>
        <v>287.5116</v>
      </c>
      <c r="J603" s="1">
        <f>value(VND!$B603)</f>
        <v>0.4341346146</v>
      </c>
      <c r="K603" s="1">
        <f>value(CNY!$B603)</f>
        <v>1433.0208</v>
      </c>
      <c r="L603" s="1">
        <f>value(HKD!$B603)</f>
        <v>1173.0036</v>
      </c>
      <c r="M603" s="1">
        <f>value(TWD!$B603)</f>
        <v>299.9923</v>
      </c>
      <c r="N603" s="1">
        <f>value(JPY!$B603)</f>
        <v>118.0656</v>
      </c>
      <c r="O603" s="1">
        <f>value(SAR!$B603)</f>
        <v>2395.364947</v>
      </c>
      <c r="P603" s="1">
        <f>value(AED!$B603)</f>
        <v>2457.7854</v>
      </c>
      <c r="Q603" s="1">
        <f>value(KWD!$B603)</f>
        <v>32673.11832</v>
      </c>
    </row>
    <row r="604">
      <c r="A604" s="4">
        <f>value(USD!A604)</f>
        <v>40912.99861</v>
      </c>
      <c r="B604" s="1">
        <f>value(USD!B604)</f>
        <v>9115.8</v>
      </c>
      <c r="C604" s="1">
        <f>value(AUD!$B604)</f>
        <v>9295.434</v>
      </c>
      <c r="D604" s="1">
        <f>value(EUR!$B604)</f>
        <v>11557.935</v>
      </c>
      <c r="E604" s="1">
        <f>value(GBP!$B604)</f>
        <v>14005.872</v>
      </c>
      <c r="F604" s="1">
        <f>value(CHF!$B604)</f>
        <v>9509.049</v>
      </c>
      <c r="G604" s="1">
        <f>value(SGD!$B604)</f>
        <v>7019.8434</v>
      </c>
      <c r="H604" s="1">
        <f>value(MYR!$B604)</f>
        <v>2883.5298</v>
      </c>
      <c r="I604" s="1">
        <f>value(THB!$B604)</f>
        <v>285.8805</v>
      </c>
      <c r="J604" s="1">
        <f>value(VND!$B604)</f>
        <v>0.4345109267</v>
      </c>
      <c r="K604" s="1">
        <f>value(CNY!$B604)</f>
        <v>1429.993068</v>
      </c>
      <c r="L604" s="1">
        <f>value(HKD!$B604)</f>
        <v>1170.6102</v>
      </c>
      <c r="M604" s="1">
        <f>value(TWD!$B604)</f>
        <v>298.6974</v>
      </c>
      <c r="N604" s="1">
        <f>value(JPY!$B604)</f>
        <v>118.0791</v>
      </c>
      <c r="O604" s="1">
        <f>value(SAR!$B604)</f>
        <v>2394.85824</v>
      </c>
      <c r="P604" s="1">
        <f>value(AED!$B604)</f>
        <v>2460.5072</v>
      </c>
      <c r="Q604" s="1">
        <f>value(KWD!$B604)</f>
        <v>32710.95072</v>
      </c>
    </row>
    <row r="605">
      <c r="A605" s="4">
        <f>value(USD!A605)</f>
        <v>40913.99861</v>
      </c>
      <c r="B605" s="1">
        <f>value(USD!B605)</f>
        <v>9110</v>
      </c>
      <c r="C605" s="1">
        <f>value(AUD!$B605)</f>
        <v>9269.46072</v>
      </c>
      <c r="D605" s="1">
        <f>value(EUR!$B605)</f>
        <v>11524.09648</v>
      </c>
      <c r="E605" s="1">
        <f>value(GBP!$B605)</f>
        <v>13975.29952</v>
      </c>
      <c r="F605" s="1">
        <f>value(CHF!$B605)</f>
        <v>9471.46304</v>
      </c>
      <c r="G605" s="1">
        <f>value(SGD!$B605)</f>
        <v>6995.439984</v>
      </c>
      <c r="H605" s="1">
        <f>value(MYR!$B605)</f>
        <v>2874.954992</v>
      </c>
      <c r="I605" s="1">
        <f>value(THB!$B605)</f>
        <v>285.3396</v>
      </c>
      <c r="J605" s="1">
        <f>value(VND!$B605)</f>
        <v>0.4348244339</v>
      </c>
      <c r="K605" s="1">
        <f>value(CNY!$B605)</f>
        <v>1439.739325</v>
      </c>
      <c r="L605" s="1">
        <f>value(HKD!$B605)</f>
        <v>1166.359584</v>
      </c>
      <c r="M605" s="1">
        <f>value(TWD!$B605)</f>
        <v>297.840192</v>
      </c>
      <c r="N605" s="1">
        <f>value(JPY!$B605)</f>
        <v>117.487448</v>
      </c>
      <c r="O605" s="1">
        <f>value(SAR!$B605)</f>
        <v>2388.949576</v>
      </c>
      <c r="P605" s="1">
        <f>value(AED!$B605)</f>
        <v>2460.5072</v>
      </c>
      <c r="Q605" s="1">
        <f>value(KWD!$B605)</f>
        <v>32641.83798</v>
      </c>
    </row>
    <row r="606">
      <c r="A606" s="4">
        <f>value(USD!A606)</f>
        <v>40914.99861</v>
      </c>
      <c r="B606" s="1">
        <f>value(USD!B606)</f>
        <v>9090</v>
      </c>
      <c r="C606" s="1">
        <f>value(AUD!$B606)</f>
        <v>9292.615938</v>
      </c>
      <c r="D606" s="1">
        <f>value(EUR!$B606)</f>
        <v>11556.06162</v>
      </c>
      <c r="E606" s="1">
        <f>value(GBP!$B606)</f>
        <v>14052.87103</v>
      </c>
      <c r="F606" s="1">
        <f>value(CHF!$B606)</f>
        <v>9506.836533</v>
      </c>
      <c r="G606" s="1">
        <f>value(SGD!$B606)</f>
        <v>7028.349827</v>
      </c>
      <c r="H606" s="1">
        <f>value(MYR!$B606)</f>
        <v>2883.318051</v>
      </c>
      <c r="I606" s="1">
        <f>value(THB!$B606)</f>
        <v>286.1440203</v>
      </c>
      <c r="J606" s="1">
        <f>value(VND!$B606)</f>
        <v>0.4401382724</v>
      </c>
      <c r="K606" s="1">
        <f>value(CNY!$B606)</f>
        <v>1442.7783</v>
      </c>
      <c r="L606" s="1">
        <f>value(HKD!$B606)</f>
        <v>1173.837702</v>
      </c>
      <c r="M606" s="1">
        <f>value(TWD!$B606)</f>
        <v>298.6326252</v>
      </c>
      <c r="N606" s="1">
        <f>value(JPY!$B606)</f>
        <v>118.4138523</v>
      </c>
      <c r="O606" s="1">
        <f>value(SAR!$B606)</f>
        <v>2388.442923</v>
      </c>
      <c r="P606" s="1">
        <f>value(AED!$B606)</f>
        <v>2460.5072</v>
      </c>
      <c r="Q606" s="1">
        <f>value(KWD!$B606)</f>
        <v>32890.21912</v>
      </c>
    </row>
    <row r="607">
      <c r="A607" s="4">
        <f>value(USD!A607)</f>
        <v>40915.99861</v>
      </c>
      <c r="B607" s="1">
        <f>value(USD!B607)</f>
        <v>9058.4</v>
      </c>
      <c r="C607" s="1">
        <f>value(AUD!$B607)</f>
        <v>9374.65</v>
      </c>
      <c r="D607" s="1">
        <f>value(EUR!$B607)</f>
        <v>11680.72244</v>
      </c>
      <c r="E607" s="1">
        <f>value(GBP!$B607)</f>
        <v>14137.06366</v>
      </c>
      <c r="F607" s="1">
        <f>value(CHF!$B607)</f>
        <v>9645.3716</v>
      </c>
      <c r="G607" s="1">
        <f>value(SGD!$B607)</f>
        <v>7063.08996</v>
      </c>
      <c r="H607" s="1">
        <f>value(MYR!$B607)</f>
        <v>2904.03792</v>
      </c>
      <c r="I607" s="1">
        <f>value(THB!$B607)</f>
        <v>287.82462</v>
      </c>
      <c r="J607" s="1">
        <f>value(VND!$B607)</f>
        <v>0.4404306211</v>
      </c>
      <c r="K607" s="1">
        <f>value(CNY!$B607)</f>
        <v>1427.02235</v>
      </c>
      <c r="L607" s="1">
        <f>value(HKD!$B607)</f>
        <v>1177.73042</v>
      </c>
      <c r="M607" s="1">
        <f>value(TWD!$B607)</f>
        <v>303.00698</v>
      </c>
      <c r="N607" s="1">
        <f>value(JPY!$B607)</f>
        <v>118.98946</v>
      </c>
      <c r="O607" s="1">
        <f>value(SAR!$B607)</f>
        <v>2380.826607</v>
      </c>
      <c r="P607" s="1">
        <f>value(AED!$B607)</f>
        <v>2455.308562</v>
      </c>
      <c r="Q607" s="1">
        <f>value(KWD!$B607)</f>
        <v>32546.61841</v>
      </c>
    </row>
    <row r="608">
      <c r="A608" s="4">
        <f>value(USD!A608)</f>
        <v>40916.99861</v>
      </c>
      <c r="B608" s="1">
        <f>value(USD!B608)</f>
        <v>9115.77</v>
      </c>
      <c r="C608" s="1">
        <f>value(AUD!$B608)</f>
        <v>9420.8132</v>
      </c>
      <c r="D608" s="1">
        <f>value(EUR!$B608)</f>
        <v>11672.678</v>
      </c>
      <c r="E608" s="1">
        <f>value(GBP!$B608)</f>
        <v>14155.5455</v>
      </c>
      <c r="F608" s="1">
        <f>value(CHF!$B608)</f>
        <v>9626.027</v>
      </c>
      <c r="G608" s="1">
        <f>value(SGD!$B608)</f>
        <v>7090.4843</v>
      </c>
      <c r="H608" s="1">
        <f>value(MYR!$B608)</f>
        <v>2908.01855</v>
      </c>
      <c r="I608" s="1">
        <f>value(THB!$B608)</f>
        <v>288.2504</v>
      </c>
      <c r="J608" s="1">
        <f>value(VND!$B608)</f>
        <v>0.4377403839</v>
      </c>
      <c r="K608" s="1">
        <f>value(CNY!$B608)</f>
        <v>1429.2563</v>
      </c>
      <c r="L608" s="1">
        <f>value(HKD!$B608)</f>
        <v>1177.3273</v>
      </c>
      <c r="M608" s="1">
        <f>value(TWD!$B608)</f>
        <v>304.3456</v>
      </c>
      <c r="N608" s="1">
        <f>value(JPY!$B608)</f>
        <v>118.97645</v>
      </c>
      <c r="O608" s="1">
        <f>value(SAR!$B608)</f>
        <v>2391.75654</v>
      </c>
      <c r="P608" s="1">
        <f>value(AED!$B608)</f>
        <v>2478.1989</v>
      </c>
      <c r="Q608" s="1">
        <f>value(KWD!$B608)</f>
        <v>32478.99572</v>
      </c>
    </row>
    <row r="609">
      <c r="A609" s="4">
        <f>value(USD!A609)</f>
        <v>40917.99861</v>
      </c>
      <c r="B609" s="1">
        <f>value(USD!B609)</f>
        <v>9146</v>
      </c>
      <c r="C609" s="1">
        <f>value(AUD!$B609)</f>
        <v>9473.971</v>
      </c>
      <c r="D609" s="1">
        <f>value(EUR!$B609)</f>
        <v>11687.842</v>
      </c>
      <c r="E609" s="1">
        <f>value(GBP!$B609)</f>
        <v>14088.27</v>
      </c>
      <c r="F609" s="1">
        <f>value(CHF!$B609)</f>
        <v>9638.472</v>
      </c>
      <c r="G609" s="1">
        <f>value(SGD!$B609)</f>
        <v>7116.2765</v>
      </c>
      <c r="H609" s="1">
        <f>value(MYR!$B609)</f>
        <v>2931.9776</v>
      </c>
      <c r="I609" s="1">
        <f>value(THB!$B609)</f>
        <v>289.5769</v>
      </c>
      <c r="J609" s="1">
        <f>value(VND!$B609)</f>
        <v>0.4329326916</v>
      </c>
      <c r="K609" s="1">
        <f>value(CNY!$B609)</f>
        <v>1435.2175</v>
      </c>
      <c r="L609" s="1">
        <f>value(HKD!$B609)</f>
        <v>1183.0287</v>
      </c>
      <c r="M609" s="1">
        <f>value(TWD!$B609)</f>
        <v>306.946</v>
      </c>
      <c r="N609" s="1">
        <f>value(JPY!$B609)</f>
        <v>119.47</v>
      </c>
      <c r="O609" s="1">
        <f>value(SAR!$B609)</f>
        <v>2395.924992</v>
      </c>
      <c r="P609" s="1">
        <f>value(AED!$B609)</f>
        <v>2450.9809</v>
      </c>
      <c r="Q609" s="1">
        <f>value(KWD!$B609)</f>
        <v>32697.7861</v>
      </c>
    </row>
    <row r="610">
      <c r="A610" s="4">
        <f>value(USD!A610)</f>
        <v>40918.99861</v>
      </c>
      <c r="B610" s="1">
        <f>value(USD!B610)</f>
        <v>9145</v>
      </c>
      <c r="C610" s="1">
        <f>value(AUD!$B610)</f>
        <v>9453.78</v>
      </c>
      <c r="D610" s="1">
        <f>value(EUR!$B610)</f>
        <v>11729.385</v>
      </c>
      <c r="E610" s="1">
        <f>value(GBP!$B610)</f>
        <v>14035.551</v>
      </c>
      <c r="F610" s="1">
        <f>value(CHF!$B610)</f>
        <v>9690.765</v>
      </c>
      <c r="G610" s="1">
        <f>value(SGD!$B610)</f>
        <v>7092.4395</v>
      </c>
      <c r="H610" s="1">
        <f>value(MYR!$B610)</f>
        <v>2910.615</v>
      </c>
      <c r="I610" s="1">
        <f>value(THB!$B610)</f>
        <v>287.7675</v>
      </c>
      <c r="J610" s="1">
        <f>value(VND!$B610)</f>
        <v>0.4330689656</v>
      </c>
      <c r="K610" s="1">
        <f>value(CNY!$B610)</f>
        <v>1435.2175</v>
      </c>
      <c r="L610" s="1">
        <f>value(HKD!$B610)</f>
        <v>1177.8795</v>
      </c>
      <c r="M610" s="1">
        <f>value(TWD!$B610)</f>
        <v>306.7995</v>
      </c>
      <c r="N610" s="1">
        <f>value(JPY!$B610)</f>
        <v>119.133</v>
      </c>
      <c r="O610" s="1">
        <f>value(SAR!$B610)</f>
        <v>2381.460258</v>
      </c>
      <c r="P610" s="1">
        <f>value(AED!$B610)</f>
        <v>2452.3418</v>
      </c>
      <c r="Q610" s="1">
        <f>value(KWD!$B610)</f>
        <v>32587.17927</v>
      </c>
    </row>
    <row r="611">
      <c r="A611" s="4">
        <f>value(USD!A611)</f>
        <v>40919.99861</v>
      </c>
      <c r="B611" s="1">
        <f>value(USD!B611)</f>
        <v>9190</v>
      </c>
      <c r="C611" s="1">
        <f>value(AUD!$B611)</f>
        <v>9369.4038</v>
      </c>
      <c r="D611" s="1">
        <f>value(EUR!$B611)</f>
        <v>11509.0884</v>
      </c>
      <c r="E611" s="1">
        <f>value(GBP!$B611)</f>
        <v>13903.8648</v>
      </c>
      <c r="F611" s="1">
        <f>value(CHF!$B611)</f>
        <v>9533.7156</v>
      </c>
      <c r="G611" s="1">
        <f>value(SGD!$B611)</f>
        <v>7019.29116</v>
      </c>
      <c r="H611" s="1">
        <f>value(MYR!$B611)</f>
        <v>2892.79548</v>
      </c>
      <c r="I611" s="1">
        <f>value(THB!$B611)</f>
        <v>285.0492</v>
      </c>
      <c r="J611" s="1">
        <f>value(VND!$B611)</f>
        <v>0.4353365377</v>
      </c>
      <c r="K611" s="1">
        <f>value(CNY!$B611)</f>
        <v>1435.2175</v>
      </c>
      <c r="L611" s="1">
        <f>value(HKD!$B611)</f>
        <v>1168.97406</v>
      </c>
      <c r="M611" s="1">
        <f>value(TWD!$B611)</f>
        <v>300.39102</v>
      </c>
      <c r="N611" s="1">
        <f>value(JPY!$B611)</f>
        <v>117.92322</v>
      </c>
      <c r="O611" s="1">
        <f>value(SAR!$B611)</f>
        <v>2360.525809</v>
      </c>
      <c r="P611" s="1">
        <f>value(AED!$B611)</f>
        <v>2464.5899</v>
      </c>
      <c r="Q611" s="1">
        <f>value(KWD!$B611)</f>
        <v>32587.17927</v>
      </c>
    </row>
    <row r="612">
      <c r="A612" s="4">
        <f>value(USD!A612)</f>
        <v>40920.99861</v>
      </c>
      <c r="B612" s="1">
        <f>value(USD!B612)</f>
        <v>9150</v>
      </c>
      <c r="C612" s="1">
        <f>value(AUD!$B612)</f>
        <v>9316.33939</v>
      </c>
      <c r="D612" s="1">
        <f>value(EUR!$B612)</f>
        <v>11479.0772</v>
      </c>
      <c r="E612" s="1">
        <f>value(GBP!$B612)</f>
        <v>13849.12642</v>
      </c>
      <c r="F612" s="1">
        <f>value(CHF!$B612)</f>
        <v>9493.77623</v>
      </c>
      <c r="G612" s="1">
        <f>value(SGD!$B612)</f>
        <v>6999.883338</v>
      </c>
      <c r="H612" s="1">
        <f>value(MYR!$B612)</f>
        <v>2884.797114</v>
      </c>
      <c r="I612" s="1">
        <f>value(THB!$B612)</f>
        <v>284.26106</v>
      </c>
      <c r="J612" s="1">
        <f>value(VND!$B612)</f>
        <v>0.4351273401</v>
      </c>
      <c r="K612" s="1">
        <f>value(CNY!$B612)</f>
        <v>1435.2175</v>
      </c>
      <c r="L612" s="1">
        <f>value(HKD!$B612)</f>
        <v>1165.289288</v>
      </c>
      <c r="M612" s="1">
        <f>value(TWD!$B612)</f>
        <v>299.560461</v>
      </c>
      <c r="N612" s="1">
        <f>value(JPY!$B612)</f>
        <v>117.6877</v>
      </c>
      <c r="O612" s="1">
        <f>value(SAR!$B612)</f>
        <v>2378.730028</v>
      </c>
      <c r="P612" s="1">
        <f>value(AED!$B612)</f>
        <v>2464.5899</v>
      </c>
      <c r="Q612" s="1">
        <f>value(KWD!$B612)</f>
        <v>32587.17927</v>
      </c>
    </row>
    <row r="613">
      <c r="A613" s="4">
        <f>value(USD!A613)</f>
        <v>40921.99861</v>
      </c>
      <c r="B613" s="1">
        <f>value(USD!B613)</f>
        <v>9078</v>
      </c>
      <c r="C613" s="1">
        <f>value(AUD!$B613)</f>
        <v>9370.19114</v>
      </c>
      <c r="D613" s="1">
        <f>value(EUR!$B613)</f>
        <v>11532.17831</v>
      </c>
      <c r="E613" s="1">
        <f>value(GBP!$B613)</f>
        <v>13947.1281</v>
      </c>
      <c r="F613" s="1">
        <f>value(CHF!$B613)</f>
        <v>9550.592229</v>
      </c>
      <c r="G613" s="1">
        <f>value(SGD!$B613)</f>
        <v>7049.042625</v>
      </c>
      <c r="H613" s="1">
        <f>value(MYR!$B613)</f>
        <v>2898.267913</v>
      </c>
      <c r="I613" s="1">
        <f>value(THB!$B613)</f>
        <v>285.5059164</v>
      </c>
      <c r="J613" s="1">
        <f>value(VND!$B613)</f>
        <v>0.4399688946</v>
      </c>
      <c r="K613" s="1">
        <f>value(CNY!$B613)</f>
        <v>1443.13468</v>
      </c>
      <c r="L613" s="1">
        <f>value(HKD!$B613)</f>
        <v>1173.564229</v>
      </c>
      <c r="M613" s="1">
        <f>value(TWD!$B613)</f>
        <v>300.9115677</v>
      </c>
      <c r="N613" s="1">
        <f>value(JPY!$B613)</f>
        <v>118.50501</v>
      </c>
      <c r="O613" s="1">
        <f>value(SAR!$B613)</f>
        <v>2392.836136</v>
      </c>
      <c r="P613" s="1">
        <f>value(AED!$B613)</f>
        <v>2464.5899</v>
      </c>
      <c r="Q613" s="1">
        <f>value(KWD!$B613)</f>
        <v>32827.80546</v>
      </c>
    </row>
    <row r="614">
      <c r="A614" s="4">
        <f>value(USD!A614)</f>
        <v>40922.99861</v>
      </c>
      <c r="B614" s="1">
        <f>value(USD!B614)</f>
        <v>9052.9</v>
      </c>
      <c r="C614" s="1">
        <f>value(AUD!$B614)</f>
        <v>9385.63686</v>
      </c>
      <c r="D614" s="1">
        <f>value(EUR!$B614)</f>
        <v>11526.38833</v>
      </c>
      <c r="E614" s="1">
        <f>value(GBP!$B614)</f>
        <v>13940.13681</v>
      </c>
      <c r="F614" s="1">
        <f>value(CHF!$B614)</f>
        <v>9524.86533</v>
      </c>
      <c r="G614" s="1">
        <f>value(SGD!$B614)</f>
        <v>7046.96256</v>
      </c>
      <c r="H614" s="1">
        <f>value(MYR!$B614)</f>
        <v>2893.404204</v>
      </c>
      <c r="I614" s="1">
        <f>value(THB!$B614)</f>
        <v>284.644872</v>
      </c>
      <c r="J614" s="1">
        <f>value(VND!$B614)</f>
        <v>0.4399688946</v>
      </c>
      <c r="K614" s="1">
        <f>value(CNY!$B614)</f>
        <v>1442.3576</v>
      </c>
      <c r="L614" s="1">
        <f>value(HKD!$B614)</f>
        <v>1171.430127</v>
      </c>
      <c r="M614" s="1">
        <f>value(TWD!$B614)</f>
        <v>302.844672</v>
      </c>
      <c r="N614" s="1">
        <f>value(JPY!$B614)</f>
        <v>118.389699</v>
      </c>
      <c r="O614" s="1">
        <f>value(SAR!$B614)</f>
        <v>2393.027718</v>
      </c>
      <c r="P614" s="1">
        <f>value(AED!$B614)</f>
        <v>2464.5899</v>
      </c>
      <c r="Q614" s="1">
        <f>value(KWD!$B614)</f>
        <v>32786.58208</v>
      </c>
    </row>
    <row r="615">
      <c r="A615" s="4">
        <f>value(USD!A615)</f>
        <v>40923.99861</v>
      </c>
      <c r="B615" s="1">
        <f>value(USD!B615)</f>
        <v>9115.77</v>
      </c>
      <c r="C615" s="1">
        <f>value(AUD!$B615)</f>
        <v>9409.9436</v>
      </c>
      <c r="D615" s="1">
        <f>value(EUR!$B615)</f>
        <v>11557.0847</v>
      </c>
      <c r="E615" s="1">
        <f>value(GBP!$B615)</f>
        <v>13909.2985</v>
      </c>
      <c r="F615" s="1">
        <f>value(CHF!$B615)</f>
        <v>9552.524</v>
      </c>
      <c r="G615" s="1">
        <f>value(SGD!$B615)</f>
        <v>7056.7321</v>
      </c>
      <c r="H615" s="1">
        <f>value(MYR!$B615)</f>
        <v>2901.3116</v>
      </c>
      <c r="I615" s="1">
        <f>value(THB!$B615)</f>
        <v>284.9794</v>
      </c>
      <c r="J615" s="1">
        <f>value(VND!$B615)</f>
        <v>0.4379565546</v>
      </c>
      <c r="K615" s="1">
        <f>value(CNY!$B615)</f>
        <v>1436.97445</v>
      </c>
      <c r="L615" s="1">
        <f>value(HKD!$B615)</f>
        <v>1168.0346</v>
      </c>
      <c r="M615" s="1">
        <f>value(TWD!$B615)</f>
        <v>301.9403</v>
      </c>
      <c r="N615" s="1">
        <f>value(JPY!$B615)</f>
        <v>118.0007</v>
      </c>
      <c r="O615" s="1">
        <f>value(SAR!$B615)</f>
        <v>2392.836136</v>
      </c>
      <c r="P615" s="1">
        <f>value(AED!$B615)</f>
        <v>2480.37634</v>
      </c>
      <c r="Q615" s="1">
        <f>value(KWD!$B615)</f>
        <v>32709.2706</v>
      </c>
    </row>
    <row r="616">
      <c r="A616" s="4">
        <f>value(USD!A616)</f>
        <v>40924.99861</v>
      </c>
      <c r="B616" s="1">
        <f>value(USD!B616)</f>
        <v>9099.9</v>
      </c>
      <c r="C616" s="1">
        <f>value(AUD!$B616)</f>
        <v>9382.83696</v>
      </c>
      <c r="D616" s="1">
        <f>value(EUR!$B616)</f>
        <v>11585.31741</v>
      </c>
      <c r="E616" s="1">
        <f>value(GBP!$B616)</f>
        <v>13899.4983</v>
      </c>
      <c r="F616" s="1">
        <f>value(CHF!$B616)</f>
        <v>9590.92407</v>
      </c>
      <c r="G616" s="1">
        <f>value(SGD!$B616)</f>
        <v>7053.522462</v>
      </c>
      <c r="H616" s="1">
        <f>value(MYR!$B616)</f>
        <v>2894.122368</v>
      </c>
      <c r="I616" s="1">
        <f>value(THB!$B616)</f>
        <v>284.115474</v>
      </c>
      <c r="J616" s="1">
        <f>value(VND!$B616)</f>
        <v>0.4381158293</v>
      </c>
      <c r="K616" s="1">
        <f>value(CNY!$B616)</f>
        <v>1439.3184</v>
      </c>
      <c r="L616" s="1">
        <f>value(HKD!$B616)</f>
        <v>1160.603604</v>
      </c>
      <c r="M616" s="1">
        <f>value(TWD!$B616)</f>
        <v>301.320945</v>
      </c>
      <c r="N616" s="1">
        <f>value(JPY!$B616)</f>
        <v>117.285462</v>
      </c>
      <c r="O616" s="1">
        <f>value(SAR!$B616)</f>
        <v>2392.463727</v>
      </c>
      <c r="P616" s="1">
        <f>value(AED!$B616)</f>
        <v>2480.9207</v>
      </c>
      <c r="Q616" s="1">
        <f>value(KWD!$B616)</f>
        <v>32820.26541</v>
      </c>
    </row>
    <row r="617">
      <c r="A617" s="4">
        <f>value(USD!A617)</f>
        <v>40925.99861</v>
      </c>
      <c r="B617" s="1">
        <f>value(USD!B617)</f>
        <v>9070</v>
      </c>
      <c r="C617" s="1">
        <f>value(AUD!$B617)</f>
        <v>9315.323</v>
      </c>
      <c r="D617" s="1">
        <f>value(EUR!$B617)</f>
        <v>11593.6145</v>
      </c>
      <c r="E617" s="1">
        <f>value(GBP!$B617)</f>
        <v>13847.7545</v>
      </c>
      <c r="F617" s="1">
        <f>value(CHF!$B617)</f>
        <v>9591.7235</v>
      </c>
      <c r="G617" s="1">
        <f>value(SGD!$B617)</f>
        <v>7028.89155</v>
      </c>
      <c r="H617" s="1">
        <f>value(MYR!$B617)</f>
        <v>2882.6157</v>
      </c>
      <c r="I617" s="1">
        <f>value(THB!$B617)</f>
        <v>278.5473</v>
      </c>
      <c r="J617" s="1">
        <f>value(VND!$B617)</f>
        <v>0.4370940495</v>
      </c>
      <c r="K617" s="1">
        <f>value(CNY!$B617)</f>
        <v>1440.50205</v>
      </c>
      <c r="L617" s="1">
        <f>value(HKD!$B617)</f>
        <v>1152.56325</v>
      </c>
      <c r="M617" s="1">
        <f>value(TWD!$B617)</f>
        <v>300.28365</v>
      </c>
      <c r="N617" s="1">
        <f>value(JPY!$B617)</f>
        <v>116.01665</v>
      </c>
      <c r="O617" s="1">
        <f>value(SAR!$B617)</f>
        <v>2399.594558</v>
      </c>
      <c r="P617" s="1">
        <f>value(AED!$B617)</f>
        <v>2472.7553</v>
      </c>
      <c r="Q617" s="1">
        <f>value(KWD!$B617)</f>
        <v>32714.13753</v>
      </c>
    </row>
    <row r="618">
      <c r="A618" s="4">
        <f>value(USD!A618)</f>
        <v>40926.99861</v>
      </c>
      <c r="B618" s="1">
        <f>value(USD!B618)</f>
        <v>9008.1</v>
      </c>
      <c r="C618" s="1">
        <f>value(AUD!$B618)</f>
        <v>9373.8986</v>
      </c>
      <c r="D618" s="1">
        <f>value(EUR!$B618)</f>
        <v>11561.1118</v>
      </c>
      <c r="E618" s="1">
        <f>value(GBP!$B618)</f>
        <v>13926.2708</v>
      </c>
      <c r="F618" s="1">
        <f>value(CHF!$B618)</f>
        <v>9567.0458</v>
      </c>
      <c r="G618" s="1">
        <f>value(SGD!$B618)</f>
        <v>7028.76968</v>
      </c>
      <c r="H618" s="1">
        <f>value(MYR!$B618)</f>
        <v>2871.7233</v>
      </c>
      <c r="I618" s="1">
        <f>value(THB!$B618)</f>
        <v>282.83546</v>
      </c>
      <c r="J618" s="1">
        <f>value(VND!$B618)</f>
        <v>0.4376351756</v>
      </c>
      <c r="K618" s="1">
        <f>value(CNY!$B618)</f>
        <v>1450.102155</v>
      </c>
      <c r="L618" s="1">
        <f>value(HKD!$B618)</f>
        <v>1151.81902</v>
      </c>
      <c r="M618" s="1">
        <f>value(TWD!$B618)</f>
        <v>299.1099</v>
      </c>
      <c r="N618" s="1">
        <f>value(JPY!$B618)</f>
        <v>116.06716</v>
      </c>
      <c r="O618" s="1">
        <f>value(SAR!$B618)</f>
        <v>2381.587332</v>
      </c>
      <c r="P618" s="1">
        <f>value(AED!$B618)</f>
        <v>2478.1989</v>
      </c>
      <c r="Q618" s="1">
        <f>value(KWD!$B618)</f>
        <v>32844.24072</v>
      </c>
    </row>
    <row r="619">
      <c r="A619" s="4">
        <f>value(USD!A619)</f>
        <v>40927.99861</v>
      </c>
      <c r="B619" s="1">
        <f>value(USD!B619)</f>
        <v>8945</v>
      </c>
      <c r="C619" s="1">
        <f>value(AUD!$B619)</f>
        <v>9338.348</v>
      </c>
      <c r="D619" s="1">
        <f>value(EUR!$B619)</f>
        <v>11547.832</v>
      </c>
      <c r="E619" s="1">
        <f>value(GBP!$B619)</f>
        <v>13860.788</v>
      </c>
      <c r="F619" s="1">
        <f>value(CHF!$B619)</f>
        <v>9547.076</v>
      </c>
      <c r="G619" s="1">
        <f>value(SGD!$B619)</f>
        <v>7011.4768</v>
      </c>
      <c r="H619" s="1">
        <f>value(MYR!$B619)</f>
        <v>2868.1368</v>
      </c>
      <c r="I619" s="1">
        <f>value(THB!$B619)</f>
        <v>278.1256</v>
      </c>
      <c r="J619" s="1">
        <f>value(VND!$B619)</f>
        <v>0.4377403839</v>
      </c>
      <c r="K619" s="1">
        <f>value(CNY!$B619)</f>
        <v>1447.137342</v>
      </c>
      <c r="L619" s="1">
        <f>value(HKD!$B619)</f>
        <v>1149.1636</v>
      </c>
      <c r="M619" s="1">
        <f>value(TWD!$B619)</f>
        <v>298.7308</v>
      </c>
      <c r="N619" s="1">
        <f>value(JPY!$B619)</f>
        <v>115.8708</v>
      </c>
      <c r="O619" s="1">
        <f>value(SAR!$B619)</f>
        <v>2396.711801</v>
      </c>
      <c r="P619" s="1">
        <f>value(AED!$B619)</f>
        <v>2478.1989</v>
      </c>
      <c r="Q619" s="1">
        <f>value(KWD!$B619)</f>
        <v>32785.28721</v>
      </c>
    </row>
    <row r="620">
      <c r="A620" s="4">
        <f>value(USD!A620)</f>
        <v>40928.99861</v>
      </c>
      <c r="B620" s="1">
        <f>value(USD!B620)</f>
        <v>8942</v>
      </c>
      <c r="C620" s="1">
        <f>value(AUD!$B620)</f>
        <v>9386.994609</v>
      </c>
      <c r="D620" s="1">
        <f>value(EUR!$B620)</f>
        <v>11560.537</v>
      </c>
      <c r="E620" s="1">
        <f>value(GBP!$B620)</f>
        <v>13939.90896</v>
      </c>
      <c r="F620" s="1">
        <f>value(CHF!$B620)</f>
        <v>9573.990107</v>
      </c>
      <c r="G620" s="1">
        <f>value(SGD!$B620)</f>
        <v>7043.586764</v>
      </c>
      <c r="H620" s="1">
        <f>value(MYR!$B620)</f>
        <v>2871.210485</v>
      </c>
      <c r="I620" s="1">
        <f>value(THB!$B620)</f>
        <v>278.3856233</v>
      </c>
      <c r="J620" s="1">
        <f>value(VND!$B620)</f>
        <v>0.438875538</v>
      </c>
      <c r="K620" s="1">
        <f>value(CNY!$B620)</f>
        <v>1441.46139</v>
      </c>
      <c r="L620" s="1">
        <f>value(HKD!$B620)</f>
        <v>1155.425897</v>
      </c>
      <c r="M620" s="1">
        <f>value(TWD!$B620)</f>
        <v>299.1031101</v>
      </c>
      <c r="N620" s="1">
        <f>value(JPY!$B620)</f>
        <v>116.5022309</v>
      </c>
      <c r="O620" s="1">
        <f>value(SAR!$B620)</f>
        <v>2402.914564</v>
      </c>
      <c r="P620" s="1">
        <f>value(AED!$B620)</f>
        <v>2485.81994</v>
      </c>
      <c r="Q620" s="1">
        <f>value(KWD!$B620)</f>
        <v>32850.52786</v>
      </c>
    </row>
    <row r="621">
      <c r="A621" s="4">
        <f>value(USD!A621)</f>
        <v>40929.99861</v>
      </c>
      <c r="B621" s="1">
        <f>value(USD!B621)</f>
        <v>8920</v>
      </c>
      <c r="C621" s="1">
        <f>value(AUD!$B621)</f>
        <v>9391.868</v>
      </c>
      <c r="D621" s="1">
        <f>value(EUR!$B621)</f>
        <v>11617.408</v>
      </c>
      <c r="E621" s="1">
        <f>value(GBP!$B621)</f>
        <v>13893.792</v>
      </c>
      <c r="F621" s="1">
        <f>value(CHF!$B621)</f>
        <v>9619.328</v>
      </c>
      <c r="G621" s="1">
        <f>value(SGD!$B621)</f>
        <v>7034.6688</v>
      </c>
      <c r="H621" s="1">
        <f>value(MYR!$B621)</f>
        <v>2865.996</v>
      </c>
      <c r="I621" s="1">
        <f>value(THB!$B621)</f>
        <v>283.656</v>
      </c>
      <c r="J621" s="1">
        <f>value(VND!$B621)</f>
        <v>0.4386647392</v>
      </c>
      <c r="K621" s="1">
        <f>value(CNY!$B621)</f>
        <v>1441.46139</v>
      </c>
      <c r="L621" s="1">
        <f>value(HKD!$B621)</f>
        <v>1149.2528</v>
      </c>
      <c r="M621" s="1">
        <f>value(TWD!$B621)</f>
        <v>298.2848</v>
      </c>
      <c r="N621" s="1">
        <f>value(JPY!$B621)</f>
        <v>115.8708</v>
      </c>
      <c r="O621" s="1">
        <f>value(SAR!$B621)</f>
        <v>2398.205916</v>
      </c>
      <c r="P621" s="1">
        <f>value(AED!$B621)</f>
        <v>2485.81994</v>
      </c>
      <c r="Q621" s="1">
        <f>value(KWD!$B621)</f>
        <v>32878.8232</v>
      </c>
    </row>
    <row r="622">
      <c r="A622" s="4">
        <f>value(USD!A622)</f>
        <v>40930.99861</v>
      </c>
      <c r="B622" s="1">
        <f>value(USD!B622)</f>
        <v>8968.609</v>
      </c>
      <c r="C622" s="1">
        <f>value(AUD!$B622)</f>
        <v>9383.505</v>
      </c>
      <c r="D622" s="1">
        <f>value(EUR!$B622)</f>
        <v>11678.5446</v>
      </c>
      <c r="E622" s="1">
        <f>value(GBP!$B622)</f>
        <v>13994.1876</v>
      </c>
      <c r="F622" s="1">
        <f>value(CHF!$B622)</f>
        <v>9657.6198</v>
      </c>
      <c r="G622" s="1">
        <f>value(SGD!$B622)</f>
        <v>7066.33914</v>
      </c>
      <c r="H622" s="1">
        <f>value(MYR!$B622)</f>
        <v>2887.25298</v>
      </c>
      <c r="I622" s="1">
        <f>value(THB!$B622)</f>
        <v>284.68524</v>
      </c>
      <c r="J622" s="1">
        <f>value(VND!$B622)</f>
        <v>0.4404229669</v>
      </c>
      <c r="K622" s="1">
        <f>value(CNY!$B622)</f>
        <v>1444.45532</v>
      </c>
      <c r="L622" s="1">
        <f>value(HKD!$B622)</f>
        <v>1154.32788</v>
      </c>
      <c r="M622" s="1">
        <f>value(TWD!$B622)</f>
        <v>299.91384</v>
      </c>
      <c r="N622" s="1">
        <f>value(JPY!$B622)</f>
        <v>115.28946</v>
      </c>
      <c r="O622" s="1">
        <f>value(SAR!$B622)</f>
        <v>2398.141956</v>
      </c>
      <c r="P622" s="1">
        <f>value(AED!$B622)</f>
        <v>2493.98534</v>
      </c>
      <c r="Q622" s="1">
        <f>value(KWD!$B622)</f>
        <v>32628.1774</v>
      </c>
    </row>
    <row r="623">
      <c r="A623" s="4">
        <f>value(USD!A623)</f>
        <v>40931.99861</v>
      </c>
      <c r="B623" s="1">
        <f>value(USD!B623)</f>
        <v>8920</v>
      </c>
      <c r="C623" s="1">
        <f>value(AUD!$B623)</f>
        <v>9586.39552</v>
      </c>
      <c r="D623" s="1">
        <f>value(EUR!$B623)</f>
        <v>11863.52648</v>
      </c>
      <c r="E623" s="1">
        <f>value(GBP!$B623)</f>
        <v>14170.52442</v>
      </c>
      <c r="F623" s="1">
        <f>value(CHF!$B623)</f>
        <v>9817.18582</v>
      </c>
      <c r="G623" s="1">
        <f>value(SGD!$B623)</f>
        <v>7178.48339</v>
      </c>
      <c r="H623" s="1">
        <f>value(MYR!$B623)</f>
        <v>2968.777812</v>
      </c>
      <c r="I623" s="1">
        <f>value(THB!$B623)</f>
        <v>288.895152</v>
      </c>
      <c r="J623" s="1">
        <f>value(VND!$B623)</f>
        <v>0.4404229669</v>
      </c>
      <c r="K623" s="1">
        <f>value(CNY!$B623)</f>
        <v>1445.09673</v>
      </c>
      <c r="L623" s="1">
        <f>value(HKD!$B623)</f>
        <v>1166.260316</v>
      </c>
      <c r="M623" s="1">
        <f>value(TWD!$B623)</f>
        <v>305.548256</v>
      </c>
      <c r="N623" s="1">
        <f>value(JPY!$B623)</f>
        <v>116.390716</v>
      </c>
      <c r="O623" s="1">
        <f>value(SAR!$B623)</f>
        <v>2392.490394</v>
      </c>
      <c r="P623" s="1">
        <f>value(AED!$B623)</f>
        <v>2493.98534</v>
      </c>
      <c r="Q623" s="1">
        <f>value(KWD!$B623)</f>
        <v>32578.33875</v>
      </c>
    </row>
    <row r="624">
      <c r="A624" s="4">
        <f>value(USD!A624)</f>
        <v>40932.99861</v>
      </c>
      <c r="B624" s="1">
        <f>value(USD!B624)</f>
        <v>8958</v>
      </c>
      <c r="C624" s="1">
        <f>value(AUD!$B624)</f>
        <v>9524.89746</v>
      </c>
      <c r="D624" s="1">
        <f>value(EUR!$B624)</f>
        <v>11752.84761</v>
      </c>
      <c r="E624" s="1">
        <f>value(GBP!$B624)</f>
        <v>14072.86998</v>
      </c>
      <c r="F624" s="1">
        <f>value(CHF!$B624)</f>
        <v>9740.27106</v>
      </c>
      <c r="G624" s="1">
        <f>value(SGD!$B624)</f>
        <v>7130.66094</v>
      </c>
      <c r="H624" s="1">
        <f>value(MYR!$B624)</f>
        <v>2935.452429</v>
      </c>
      <c r="I624" s="1">
        <f>value(THB!$B624)</f>
        <v>285.549498</v>
      </c>
      <c r="J624" s="1">
        <f>value(VND!$B624)</f>
        <v>0.4373948488</v>
      </c>
      <c r="K624" s="1">
        <f>value(CNY!$B624)</f>
        <v>1437.163</v>
      </c>
      <c r="L624" s="1">
        <f>value(HKD!$B624)</f>
        <v>1156.73571</v>
      </c>
      <c r="M624" s="1">
        <f>value(TWD!$B624)</f>
        <v>298.471914</v>
      </c>
      <c r="N624" s="1">
        <f>value(JPY!$B624)</f>
        <v>115.853049</v>
      </c>
      <c r="O624" s="1">
        <f>value(SAR!$B624)</f>
        <v>2408.19264</v>
      </c>
      <c r="P624" s="1">
        <f>value(AED!$B624)</f>
        <v>2476.838</v>
      </c>
      <c r="Q624" s="1">
        <f>value(KWD!$B624)</f>
        <v>32722.70094</v>
      </c>
    </row>
    <row r="625">
      <c r="A625" s="4">
        <f>value(USD!A625)</f>
        <v>40933.99861</v>
      </c>
      <c r="B625" s="1">
        <f>value(USD!B625)</f>
        <v>9050.6</v>
      </c>
      <c r="C625" s="1">
        <f>value(AUD!$B625)</f>
        <v>9566.21088</v>
      </c>
      <c r="D625" s="1">
        <f>value(EUR!$B625)</f>
        <v>11865.29741</v>
      </c>
      <c r="E625" s="1">
        <f>value(GBP!$B625)</f>
        <v>14119.49744</v>
      </c>
      <c r="F625" s="1">
        <f>value(CHF!$B625)</f>
        <v>9834.63215</v>
      </c>
      <c r="G625" s="1">
        <f>value(SGD!$B625)</f>
        <v>7172.054743</v>
      </c>
      <c r="H625" s="1">
        <f>value(MYR!$B625)</f>
        <v>2953.980565</v>
      </c>
      <c r="I625" s="1">
        <f>value(THB!$B625)</f>
        <v>289.158833</v>
      </c>
      <c r="J625" s="1">
        <f>value(VND!$B625)</f>
        <v>0.4463378623</v>
      </c>
      <c r="K625" s="1">
        <f>value(CNY!$B625)</f>
        <v>1434.967773</v>
      </c>
      <c r="L625" s="1">
        <f>value(HKD!$B625)</f>
        <v>1157.622835</v>
      </c>
      <c r="M625" s="1">
        <f>value(TWD!$B625)</f>
        <v>302.086145</v>
      </c>
      <c r="N625" s="1">
        <f>value(JPY!$B625)</f>
        <v>117.063992</v>
      </c>
      <c r="O625" s="1">
        <f>value(SAR!$B625)</f>
        <v>2410.73088</v>
      </c>
      <c r="P625" s="1">
        <f>value(AED!$B625)</f>
        <v>2473.054698</v>
      </c>
      <c r="Q625" s="1">
        <f>value(KWD!$B625)</f>
        <v>32889.76387</v>
      </c>
    </row>
    <row r="626">
      <c r="A626" s="4">
        <f>value(USD!A626)</f>
        <v>40934.99861</v>
      </c>
      <c r="B626" s="1">
        <f>value(USD!B626)</f>
        <v>8973.9</v>
      </c>
      <c r="C626" s="1">
        <f>value(AUD!$B626)</f>
        <v>9529.404</v>
      </c>
      <c r="D626" s="1">
        <f>value(EUR!$B626)</f>
        <v>11807.688</v>
      </c>
      <c r="E626" s="1">
        <f>value(GBP!$B626)</f>
        <v>14068.9632</v>
      </c>
      <c r="F626" s="1">
        <f>value(CHF!$B626)</f>
        <v>9781.8504</v>
      </c>
      <c r="G626" s="1">
        <f>value(SGD!$B626)</f>
        <v>7151.84232</v>
      </c>
      <c r="H626" s="1">
        <f>value(MYR!$B626)</f>
        <v>2939.3892</v>
      </c>
      <c r="I626" s="1">
        <f>value(THB!$B626)</f>
        <v>283.42032</v>
      </c>
      <c r="J626" s="1">
        <f>value(VND!$B626)</f>
        <v>0.4377703002</v>
      </c>
      <c r="K626" s="1">
        <f>value(CNY!$B626)</f>
        <v>1442.398862</v>
      </c>
      <c r="L626" s="1">
        <f>value(HKD!$B626)</f>
        <v>1154.27088</v>
      </c>
      <c r="M626" s="1">
        <f>value(TWD!$B626)</f>
        <v>300.69768</v>
      </c>
      <c r="N626" s="1">
        <f>value(JPY!$B626)</f>
        <v>116.73408</v>
      </c>
      <c r="O626" s="1">
        <f>value(SAR!$B626)</f>
        <v>2410.85952</v>
      </c>
      <c r="P626" s="1">
        <f>value(AED!$B626)</f>
        <v>2480.1975</v>
      </c>
      <c r="Q626" s="1">
        <f>value(KWD!$B626)</f>
        <v>32913.44028</v>
      </c>
    </row>
    <row r="627">
      <c r="A627" s="4">
        <f>value(USD!A627)</f>
        <v>40935.99861</v>
      </c>
      <c r="B627" s="1">
        <f>value(USD!B627)</f>
        <v>8977.3</v>
      </c>
      <c r="C627" s="1">
        <f>value(AUD!$B627)</f>
        <v>9572.45715</v>
      </c>
      <c r="D627" s="1">
        <f>value(EUR!$B627)</f>
        <v>11887.48863</v>
      </c>
      <c r="E627" s="1">
        <f>value(GBP!$B627)</f>
        <v>14149.4148</v>
      </c>
      <c r="F627" s="1">
        <f>value(CHF!$B627)</f>
        <v>9854.18532</v>
      </c>
      <c r="G627" s="1">
        <f>value(SGD!$B627)</f>
        <v>7192.079136</v>
      </c>
      <c r="H627" s="1">
        <f>value(MYR!$B627)</f>
        <v>2959.49592</v>
      </c>
      <c r="I627" s="1">
        <f>value(THB!$B627)</f>
        <v>285.418539</v>
      </c>
      <c r="J627" s="1">
        <f>value(VND!$B627)</f>
        <v>0.4395577903</v>
      </c>
      <c r="K627" s="1">
        <f>value(CNY!$B627)</f>
        <v>1438.9245</v>
      </c>
      <c r="L627" s="1">
        <f>value(HKD!$B627)</f>
        <v>1160.576046</v>
      </c>
      <c r="M627" s="1">
        <f>value(TWD!$B627)</f>
        <v>302.700267</v>
      </c>
      <c r="N627" s="1">
        <f>value(JPY!$B627)</f>
        <v>117.281727</v>
      </c>
      <c r="O627" s="1">
        <f>value(SAR!$B627)</f>
        <v>2412.725466</v>
      </c>
      <c r="P627" s="1">
        <f>value(AED!$B627)</f>
        <v>2489.0861</v>
      </c>
      <c r="Q627" s="1">
        <f>value(KWD!$B627)</f>
        <v>33177.39552</v>
      </c>
    </row>
    <row r="628">
      <c r="A628" s="4">
        <f>value(USD!A628)</f>
        <v>40936.99861</v>
      </c>
      <c r="B628" s="1">
        <f>value(USD!B628)</f>
        <v>8952</v>
      </c>
      <c r="C628" s="1">
        <f>value(AUD!$B628)</f>
        <v>9495.0676</v>
      </c>
      <c r="D628" s="1">
        <f>value(EUR!$B628)</f>
        <v>11788.3108</v>
      </c>
      <c r="E628" s="1">
        <f>value(GBP!$B628)</f>
        <v>14088.7316</v>
      </c>
      <c r="F628" s="1">
        <f>value(CHF!$B628)</f>
        <v>9777.6856</v>
      </c>
      <c r="G628" s="1">
        <f>value(SGD!$B628)</f>
        <v>7133.09888</v>
      </c>
      <c r="H628" s="1">
        <f>value(MYR!$B628)</f>
        <v>2936.087</v>
      </c>
      <c r="I628" s="1">
        <f>value(THB!$B628)</f>
        <v>282.34884</v>
      </c>
      <c r="J628" s="1">
        <f>value(VND!$B628)</f>
        <v>0.4395577903</v>
      </c>
      <c r="K628" s="1">
        <f>value(CNY!$B628)</f>
        <v>1443.8126</v>
      </c>
      <c r="L628" s="1">
        <f>value(HKD!$B628)</f>
        <v>1156.67024</v>
      </c>
      <c r="M628" s="1">
        <f>value(TWD!$B628)</f>
        <v>301.99752</v>
      </c>
      <c r="N628" s="1">
        <f>value(JPY!$B628)</f>
        <v>117.44348</v>
      </c>
      <c r="O628" s="1">
        <f>value(SAR!$B628)</f>
        <v>2407.499325</v>
      </c>
      <c r="P628" s="1">
        <f>value(AED!$B628)</f>
        <v>2489.0861</v>
      </c>
      <c r="Q628" s="1">
        <f>value(KWD!$B628)</f>
        <v>32960.89368</v>
      </c>
    </row>
    <row r="629">
      <c r="A629" s="4">
        <f>value(USD!A629)</f>
        <v>40937.99861</v>
      </c>
      <c r="B629" s="1">
        <f>value(USD!B629)</f>
        <v>9000.9</v>
      </c>
      <c r="C629" s="1">
        <f>value(AUD!$B629)</f>
        <v>9525.30495</v>
      </c>
      <c r="D629" s="1">
        <f>value(EUR!$B629)</f>
        <v>11742.03787</v>
      </c>
      <c r="E629" s="1">
        <f>value(GBP!$B629)</f>
        <v>14150.98345</v>
      </c>
      <c r="F629" s="1">
        <f>value(CHF!$B629)</f>
        <v>9755.24159</v>
      </c>
      <c r="G629" s="1">
        <f>value(SGD!$B629)</f>
        <v>7135.22136</v>
      </c>
      <c r="H629" s="1">
        <f>value(MYR!$B629)</f>
        <v>2955.314557</v>
      </c>
      <c r="I629" s="1">
        <f>value(THB!$B629)</f>
        <v>290.025551</v>
      </c>
      <c r="J629" s="1">
        <f>value(VND!$B629)</f>
        <v>0.4431626929</v>
      </c>
      <c r="K629" s="1">
        <f>value(CNY!$B629)</f>
        <v>1443.8126</v>
      </c>
      <c r="L629" s="1">
        <f>value(HKD!$B629)</f>
        <v>1158.126186</v>
      </c>
      <c r="M629" s="1">
        <f>value(TWD!$B629)</f>
        <v>301.073288</v>
      </c>
      <c r="N629" s="1">
        <f>value(JPY!$B629)</f>
        <v>117.66289</v>
      </c>
      <c r="O629" s="1">
        <f>value(SAR!$B629)</f>
        <v>2417.7132</v>
      </c>
      <c r="P629" s="1">
        <f>value(AED!$B629)</f>
        <v>2510.145</v>
      </c>
      <c r="Q629" s="1">
        <f>value(KWD!$B629)</f>
        <v>32277.88774</v>
      </c>
    </row>
    <row r="630">
      <c r="A630" s="4">
        <f>value(USD!A630)</f>
        <v>40938.99861</v>
      </c>
      <c r="B630" s="1">
        <f>value(USD!B630)</f>
        <v>8972</v>
      </c>
      <c r="C630" s="1">
        <f>value(AUD!$B630)</f>
        <v>9619.1964</v>
      </c>
      <c r="D630" s="1">
        <f>value(EUR!$B630)</f>
        <v>11823.068</v>
      </c>
      <c r="E630" s="1">
        <f>value(GBP!$B630)</f>
        <v>14225.5772</v>
      </c>
      <c r="F630" s="1">
        <f>value(CHF!$B630)</f>
        <v>9813.344</v>
      </c>
      <c r="G630" s="1">
        <f>value(SGD!$B630)</f>
        <v>7178.7916</v>
      </c>
      <c r="H630" s="1">
        <f>value(MYR!$B630)</f>
        <v>2940.7704</v>
      </c>
      <c r="I630" s="1">
        <f>value(THB!$B630)</f>
        <v>288.5274</v>
      </c>
      <c r="J630" s="1">
        <f>value(VND!$B630)</f>
        <v>0.4391989222</v>
      </c>
      <c r="K630" s="1">
        <f>value(CNY!$B630)</f>
        <v>1460.8168</v>
      </c>
      <c r="L630" s="1">
        <f>value(HKD!$B630)</f>
        <v>1157.971</v>
      </c>
      <c r="M630" s="1">
        <f>value(TWD!$B630)</f>
        <v>303.4342</v>
      </c>
      <c r="N630" s="1">
        <f>value(JPY!$B630)</f>
        <v>117.8176</v>
      </c>
      <c r="O630" s="1">
        <f>value(SAR!$B630)</f>
        <v>2428.19424</v>
      </c>
      <c r="P630" s="1">
        <f>value(AED!$B630)</f>
        <v>2489.0861</v>
      </c>
      <c r="Q630" s="1">
        <f>value(KWD!$B630)</f>
        <v>33005.08395</v>
      </c>
    </row>
    <row r="631">
      <c r="A631" s="4">
        <f>value(USD!A631)</f>
        <v>40939.99861</v>
      </c>
      <c r="B631" s="1">
        <f>value(USD!B631)</f>
        <v>8981.9</v>
      </c>
      <c r="C631" s="1">
        <f>value(AUD!$B631)</f>
        <v>9585.02012</v>
      </c>
      <c r="D631" s="1">
        <f>value(EUR!$B631)</f>
        <v>11768.27968</v>
      </c>
      <c r="E631" s="1">
        <f>value(GBP!$B631)</f>
        <v>14155.79988</v>
      </c>
      <c r="F631" s="1">
        <f>value(CHF!$B631)</f>
        <v>9766.88376</v>
      </c>
      <c r="G631" s="1">
        <f>value(SGD!$B631)</f>
        <v>7180.657376</v>
      </c>
      <c r="H631" s="1">
        <f>value(MYR!$B631)</f>
        <v>2958.554112</v>
      </c>
      <c r="I631" s="1">
        <f>value(THB!$B631)</f>
        <v>288.742124</v>
      </c>
      <c r="J631" s="1">
        <f>value(VND!$B631)</f>
        <v>0.4364491403</v>
      </c>
      <c r="K631" s="1">
        <f>value(CNY!$B631)</f>
        <v>1447.4706</v>
      </c>
      <c r="L631" s="1">
        <f>value(HKD!$B631)</f>
        <v>1155.147672</v>
      </c>
      <c r="M631" s="1">
        <f>value(TWD!$B631)</f>
        <v>303.344968</v>
      </c>
      <c r="N631" s="1">
        <f>value(JPY!$B631)</f>
        <v>117.629044</v>
      </c>
      <c r="O631" s="1">
        <f>value(SAR!$B631)</f>
        <v>2401.397298</v>
      </c>
      <c r="P631" s="1">
        <f>value(AED!$B631)</f>
        <v>2437.50799</v>
      </c>
      <c r="Q631" s="1">
        <f>value(KWD!$B631)</f>
        <v>32990.8008</v>
      </c>
    </row>
    <row r="632">
      <c r="A632" s="4">
        <f>value(USD!A632)</f>
        <v>40940.99861</v>
      </c>
      <c r="B632" s="1">
        <f>value(USD!B632)</f>
        <v>8980</v>
      </c>
      <c r="C632" s="1">
        <f>value(AUD!$B632)</f>
        <v>9637.6244</v>
      </c>
      <c r="D632" s="1">
        <f>value(EUR!$B632)</f>
        <v>11785.48902</v>
      </c>
      <c r="E632" s="1">
        <f>value(GBP!$B632)</f>
        <v>14162.65028</v>
      </c>
      <c r="F632" s="1">
        <f>value(CHF!$B632)</f>
        <v>9754.95979</v>
      </c>
      <c r="G632" s="1">
        <f>value(SGD!$B632)</f>
        <v>7210.483638</v>
      </c>
      <c r="H632" s="1">
        <f>value(MYR!$B632)</f>
        <v>2983.274683</v>
      </c>
      <c r="I632" s="1">
        <f>value(THB!$B632)</f>
        <v>290.561836</v>
      </c>
      <c r="J632" s="1">
        <f>value(VND!$B632)</f>
        <v>0.4459064284</v>
      </c>
      <c r="K632" s="1">
        <f>value(CNY!$B632)</f>
        <v>1417.47654</v>
      </c>
      <c r="L632" s="1">
        <f>value(HKD!$B632)</f>
        <v>1155.081824</v>
      </c>
      <c r="M632" s="1">
        <f>value(TWD!$B632)</f>
        <v>303.191065</v>
      </c>
      <c r="N632" s="1">
        <f>value(JPY!$B632)</f>
        <v>116.887545</v>
      </c>
      <c r="O632" s="1">
        <f>value(SAR!$B632)</f>
        <v>2402.794728</v>
      </c>
      <c r="P632" s="1">
        <f>value(AED!$B632)</f>
        <v>2490.447</v>
      </c>
      <c r="Q632" s="1">
        <f>value(KWD!$B632)</f>
        <v>32977.72545</v>
      </c>
    </row>
    <row r="633">
      <c r="A633" s="4">
        <f>value(USD!A633)</f>
        <v>40941.99861</v>
      </c>
      <c r="B633" s="1">
        <f>value(USD!B633)</f>
        <v>8958.8</v>
      </c>
      <c r="C633" s="1">
        <f>value(AUD!$B633)</f>
        <v>9606.6356</v>
      </c>
      <c r="D633" s="1">
        <f>value(EUR!$B633)</f>
        <v>11743.12993</v>
      </c>
      <c r="E633" s="1">
        <f>value(GBP!$B633)</f>
        <v>14119.79015</v>
      </c>
      <c r="F633" s="1">
        <f>value(CHF!$B633)</f>
        <v>9731.629</v>
      </c>
      <c r="G633" s="1">
        <f>value(SGD!$B633)</f>
        <v>7187.299062</v>
      </c>
      <c r="H633" s="1">
        <f>value(MYR!$B633)</f>
        <v>2962.165018</v>
      </c>
      <c r="I633" s="1">
        <f>value(THB!$B633)</f>
        <v>288.556192</v>
      </c>
      <c r="J633" s="1">
        <f>value(VND!$B633)</f>
        <v>0.4394812618</v>
      </c>
      <c r="K633" s="1">
        <f>value(CNY!$B633)</f>
        <v>1451.620507</v>
      </c>
      <c r="L633" s="1">
        <f>value(HKD!$B633)</f>
        <v>1151.189214</v>
      </c>
      <c r="M633" s="1">
        <f>value(TWD!$B633)</f>
        <v>300.966251</v>
      </c>
      <c r="N633" s="1">
        <f>value(JPY!$B633)</f>
        <v>116.511705</v>
      </c>
      <c r="O633" s="1">
        <f>value(SAR!$B633)</f>
        <v>2414.795368</v>
      </c>
      <c r="P633" s="1">
        <f>value(AED!$B633)</f>
        <v>2491.0875</v>
      </c>
      <c r="Q633" s="1">
        <f>value(KWD!$B633)</f>
        <v>32980.0953</v>
      </c>
    </row>
    <row r="634">
      <c r="A634" s="4">
        <f>value(USD!A634)</f>
        <v>40942.99861</v>
      </c>
      <c r="B634" s="1">
        <f>value(USD!B634)</f>
        <v>8956.9</v>
      </c>
      <c r="C634" s="1">
        <f>value(AUD!$B634)</f>
        <v>9641.703105</v>
      </c>
      <c r="D634" s="1">
        <f>value(EUR!$B634)</f>
        <v>11771.29931</v>
      </c>
      <c r="E634" s="1">
        <f>value(GBP!$B634)</f>
        <v>14165.91791</v>
      </c>
      <c r="F634" s="1">
        <f>value(CHF!$B634)</f>
        <v>9754.259148</v>
      </c>
      <c r="G634" s="1">
        <f>value(SGD!$B634)</f>
        <v>7211.210066</v>
      </c>
      <c r="H634" s="1">
        <f>value(MYR!$B634)</f>
        <v>2979.730654</v>
      </c>
      <c r="I634" s="1">
        <f>value(THB!$B634)</f>
        <v>290.3138733</v>
      </c>
      <c r="J634" s="1">
        <f>value(VND!$B634)</f>
        <v>0.439692453</v>
      </c>
      <c r="K634" s="1">
        <f>value(CNY!$B634)</f>
        <v>1446.615</v>
      </c>
      <c r="L634" s="1">
        <f>value(HKD!$B634)</f>
        <v>1156.412444</v>
      </c>
      <c r="M634" s="1">
        <f>value(TWD!$B634)</f>
        <v>302.7802398</v>
      </c>
      <c r="N634" s="1">
        <f>value(JPY!$B634)</f>
        <v>117.1300335</v>
      </c>
      <c r="O634" s="1">
        <f>value(SAR!$B634)</f>
        <v>2414.795368</v>
      </c>
      <c r="P634" s="1">
        <f>value(AED!$B634)</f>
        <v>2490.447</v>
      </c>
      <c r="Q634" s="1">
        <f>value(KWD!$B634)</f>
        <v>32899.24176</v>
      </c>
    </row>
    <row r="635">
      <c r="A635" s="4">
        <f>value(USD!A635)</f>
        <v>40943.99861</v>
      </c>
      <c r="B635" s="1">
        <f>value(USD!B635)</f>
        <v>8928.1</v>
      </c>
      <c r="C635" s="1">
        <f>value(AUD!$B635)</f>
        <v>9628.1528</v>
      </c>
      <c r="D635" s="1">
        <f>value(EUR!$B635)</f>
        <v>11785.2112</v>
      </c>
      <c r="E635" s="1">
        <f>value(GBP!$B635)</f>
        <v>14203.704</v>
      </c>
      <c r="F635" s="1">
        <f>value(CHF!$B635)</f>
        <v>9768.3032</v>
      </c>
      <c r="G635" s="1">
        <f>value(SGD!$B635)</f>
        <v>7188.90696</v>
      </c>
      <c r="H635" s="1">
        <f>value(MYR!$B635)</f>
        <v>2980.62168</v>
      </c>
      <c r="I635" s="1">
        <f>value(THB!$B635)</f>
        <v>290.00352</v>
      </c>
      <c r="J635" s="1">
        <f>value(VND!$B635)</f>
        <v>0.439692453</v>
      </c>
      <c r="K635" s="1">
        <f>value(CNY!$B635)</f>
        <v>1448.811</v>
      </c>
      <c r="L635" s="1">
        <f>value(HKD!$B635)</f>
        <v>1158.57664</v>
      </c>
      <c r="M635" s="1">
        <f>value(TWD!$B635)</f>
        <v>305.0068</v>
      </c>
      <c r="N635" s="1">
        <f>value(JPY!$B635)</f>
        <v>117.2412</v>
      </c>
      <c r="O635" s="1">
        <f>value(SAR!$B635)</f>
        <v>2417.051421</v>
      </c>
      <c r="P635" s="1">
        <f>value(AED!$B635)</f>
        <v>2490.447</v>
      </c>
      <c r="Q635" s="1">
        <f>value(KWD!$B635)</f>
        <v>32870.38277</v>
      </c>
    </row>
    <row r="636">
      <c r="A636" s="4">
        <f>value(USD!A636)</f>
        <v>40944.99861</v>
      </c>
      <c r="B636" s="1">
        <f>value(USD!B636)</f>
        <v>8968.609</v>
      </c>
      <c r="C636" s="1">
        <f>value(AUD!$B636)</f>
        <v>9638.6848</v>
      </c>
      <c r="D636" s="1">
        <f>value(EUR!$B636)</f>
        <v>11831.357</v>
      </c>
      <c r="E636" s="1">
        <f>value(GBP!$B636)</f>
        <v>14188.877</v>
      </c>
      <c r="F636" s="1">
        <f>value(CHF!$B636)</f>
        <v>9788.173</v>
      </c>
      <c r="G636" s="1">
        <f>value(SGD!$B636)</f>
        <v>7170.3435</v>
      </c>
      <c r="H636" s="1">
        <f>value(MYR!$B636)</f>
        <v>2962.7954</v>
      </c>
      <c r="I636" s="1">
        <f>value(THB!$B636)</f>
        <v>288.8855</v>
      </c>
      <c r="J636" s="1">
        <f>value(VND!$B636)</f>
        <v>0.4403272342</v>
      </c>
      <c r="K636" s="1">
        <f>value(CNY!$B636)</f>
        <v>1448.7195</v>
      </c>
      <c r="L636" s="1">
        <f>value(HKD!$B636)</f>
        <v>1151.6128</v>
      </c>
      <c r="M636" s="1">
        <f>value(TWD!$B636)</f>
        <v>305.0488</v>
      </c>
      <c r="N636" s="1">
        <f>value(JPY!$B636)</f>
        <v>116.2686</v>
      </c>
      <c r="O636" s="1">
        <f>value(SAR!$B636)</f>
        <v>2414.666606</v>
      </c>
      <c r="P636" s="1">
        <f>value(AED!$B636)</f>
        <v>2482.2816</v>
      </c>
      <c r="Q636" s="1">
        <f>value(KWD!$B636)</f>
        <v>32908.64912</v>
      </c>
    </row>
    <row r="637">
      <c r="A637" s="4">
        <f>value(USD!A637)</f>
        <v>40945.99861</v>
      </c>
      <c r="B637" s="1">
        <f>value(USD!B637)</f>
        <v>8984</v>
      </c>
      <c r="C637" s="1">
        <f>value(AUD!$B637)</f>
        <v>9550.7685</v>
      </c>
      <c r="D637" s="1">
        <f>value(EUR!$B637)</f>
        <v>11729.74225</v>
      </c>
      <c r="E637" s="1">
        <f>value(GBP!$B637)</f>
        <v>13997.31952</v>
      </c>
      <c r="F637" s="1">
        <f>value(CHF!$B637)</f>
        <v>9693.27765</v>
      </c>
      <c r="G637" s="1">
        <f>value(SGD!$B637)</f>
        <v>7098.814485</v>
      </c>
      <c r="H637" s="1">
        <f>value(MYR!$B637)</f>
        <v>2939.05206</v>
      </c>
      <c r="I637" s="1">
        <f>value(THB!$B637)</f>
        <v>288.02781</v>
      </c>
      <c r="J637" s="1">
        <f>value(VND!$B637)</f>
        <v>0.4387779561</v>
      </c>
      <c r="K637" s="1">
        <f>value(CNY!$B637)</f>
        <v>1448.7195</v>
      </c>
      <c r="L637" s="1">
        <f>value(HKD!$B637)</f>
        <v>1141.48944</v>
      </c>
      <c r="M637" s="1">
        <f>value(TWD!$B637)</f>
        <v>299.1807</v>
      </c>
      <c r="N637" s="1">
        <f>value(JPY!$B637)</f>
        <v>114.89247</v>
      </c>
      <c r="O637" s="1">
        <f>value(SAR!$B637)</f>
        <v>2430.133272</v>
      </c>
      <c r="P637" s="1">
        <f>value(AED!$B637)</f>
        <v>2480.10416</v>
      </c>
      <c r="Q637" s="1">
        <f>value(KWD!$B637)</f>
        <v>32889.33505</v>
      </c>
    </row>
    <row r="638">
      <c r="A638" s="4">
        <f>value(USD!A638)</f>
        <v>40946.99861</v>
      </c>
      <c r="B638" s="1">
        <f>value(USD!B638)</f>
        <v>8930</v>
      </c>
      <c r="C638" s="1">
        <f>value(AUD!$B638)</f>
        <v>9603.272</v>
      </c>
      <c r="D638" s="1">
        <f>value(EUR!$B638)</f>
        <v>11842.9056</v>
      </c>
      <c r="E638" s="1">
        <f>value(GBP!$B638)</f>
        <v>14099.844</v>
      </c>
      <c r="F638" s="1">
        <f>value(CHF!$B638)</f>
        <v>9775.428</v>
      </c>
      <c r="G638" s="1">
        <f>value(SGD!$B638)</f>
        <v>7141.7088</v>
      </c>
      <c r="H638" s="1">
        <f>value(MYR!$B638)</f>
        <v>2962.0644</v>
      </c>
      <c r="I638" s="1">
        <f>value(THB!$B638)</f>
        <v>289.5432</v>
      </c>
      <c r="J638" s="1">
        <f>value(VND!$B638)</f>
        <v>0.4437518213</v>
      </c>
      <c r="K638" s="1">
        <f>value(CNY!$B638)</f>
        <v>1445.3376</v>
      </c>
      <c r="L638" s="1">
        <f>value(HKD!$B638)</f>
        <v>1150.1448</v>
      </c>
      <c r="M638" s="1">
        <f>value(TWD!$B638)</f>
        <v>303.0124</v>
      </c>
      <c r="N638" s="1">
        <f>value(JPY!$B638)</f>
        <v>114.8896</v>
      </c>
      <c r="O638" s="1">
        <f>value(SAR!$B638)</f>
        <v>2430.796221</v>
      </c>
      <c r="P638" s="1">
        <f>value(AED!$B638)</f>
        <v>2481.82842</v>
      </c>
      <c r="Q638" s="1">
        <f>value(KWD!$B638)</f>
        <v>32853.69338</v>
      </c>
    </row>
    <row r="639">
      <c r="A639" s="4">
        <f>value(USD!A639)</f>
        <v>40947.99861</v>
      </c>
      <c r="B639" s="1">
        <f>value(USD!B639)</f>
        <v>8851.5</v>
      </c>
      <c r="C639" s="1">
        <f>value(AUD!$B639)</f>
        <v>9562.9655</v>
      </c>
      <c r="D639" s="1">
        <f>value(EUR!$B639)</f>
        <v>11831.1105</v>
      </c>
      <c r="E639" s="1">
        <f>value(GBP!$B639)</f>
        <v>14122.5645</v>
      </c>
      <c r="F639" s="1">
        <f>value(CHF!$B639)</f>
        <v>9781.7115</v>
      </c>
      <c r="G639" s="1">
        <f>value(SGD!$B639)</f>
        <v>7105.4797</v>
      </c>
      <c r="H639" s="1">
        <f>value(MYR!$B639)</f>
        <v>2957.82245</v>
      </c>
      <c r="I639" s="1">
        <f>value(THB!$B639)</f>
        <v>289.9281</v>
      </c>
      <c r="J639" s="1">
        <f>value(VND!$B639)</f>
        <v>0.438787292</v>
      </c>
      <c r="K639" s="1">
        <f>value(CNY!$B639)</f>
        <v>1444.06976</v>
      </c>
      <c r="L639" s="1">
        <f>value(HKD!$B639)</f>
        <v>1155.9471</v>
      </c>
      <c r="M639" s="1">
        <f>value(TWD!$B639)</f>
        <v>302.56875</v>
      </c>
      <c r="N639" s="1">
        <f>value(JPY!$B639)</f>
        <v>115.4692</v>
      </c>
      <c r="O639" s="1">
        <f>value(SAR!$B639)</f>
        <v>2422.795794</v>
      </c>
      <c r="P639" s="1">
        <f>value(AED!$B639)</f>
        <v>2487.276</v>
      </c>
      <c r="Q639" s="1">
        <f>value(KWD!$B639)</f>
        <v>32643.44977</v>
      </c>
    </row>
    <row r="640">
      <c r="A640" s="4">
        <f>value(USD!A640)</f>
        <v>40948.99861</v>
      </c>
      <c r="B640" s="1">
        <f>value(USD!B640)</f>
        <v>8920</v>
      </c>
      <c r="C640" s="1">
        <f>value(AUD!$B640)</f>
        <v>9559.3795</v>
      </c>
      <c r="D640" s="1">
        <f>value(EUR!$B640)</f>
        <v>11829.3175</v>
      </c>
      <c r="E640" s="1">
        <f>value(GBP!$B640)</f>
        <v>14124.3575</v>
      </c>
      <c r="F640" s="1">
        <f>value(CHF!$B640)</f>
        <v>9782.608</v>
      </c>
      <c r="G640" s="1">
        <f>value(SGD!$B640)</f>
        <v>7105.4797</v>
      </c>
      <c r="H640" s="1">
        <f>value(MYR!$B640)</f>
        <v>2957.3742</v>
      </c>
      <c r="I640" s="1">
        <f>value(THB!$B640)</f>
        <v>289.83845</v>
      </c>
      <c r="J640" s="1">
        <f>value(VND!$B640)</f>
        <v>0.439547742</v>
      </c>
      <c r="K640" s="1">
        <f>value(CNY!$B640)</f>
        <v>1455.875576</v>
      </c>
      <c r="L640" s="1">
        <f>value(HKD!$B640)</f>
        <v>1155.85745</v>
      </c>
      <c r="M640" s="1">
        <f>value(TWD!$B640)</f>
        <v>302.56875</v>
      </c>
      <c r="N640" s="1">
        <f>value(JPY!$B640)</f>
        <v>115.37955</v>
      </c>
      <c r="O640" s="1">
        <f>value(SAR!$B640)</f>
        <v>2427.999939</v>
      </c>
      <c r="P640" s="1">
        <f>value(AED!$B640)</f>
        <v>2485.81994</v>
      </c>
      <c r="Q640" s="1">
        <f>value(KWD!$B640)</f>
        <v>33093.88211</v>
      </c>
    </row>
    <row r="641">
      <c r="A641" s="4">
        <f>value(USD!A641)</f>
        <v>40949.99861</v>
      </c>
      <c r="B641" s="1">
        <f>value(USD!B641)</f>
        <v>8965</v>
      </c>
      <c r="C641" s="1">
        <f>value(AUD!$B641)</f>
        <v>9597.0325</v>
      </c>
      <c r="D641" s="1">
        <f>value(EUR!$B641)</f>
        <v>11861.5915</v>
      </c>
      <c r="E641" s="1">
        <f>value(GBP!$B641)</f>
        <v>14141.391</v>
      </c>
      <c r="F641" s="1">
        <f>value(CHF!$B641)</f>
        <v>9802.331</v>
      </c>
      <c r="G641" s="1">
        <f>value(SGD!$B641)</f>
        <v>7132.0161</v>
      </c>
      <c r="H641" s="1">
        <f>value(MYR!$B641)</f>
        <v>2965.17375</v>
      </c>
      <c r="I641" s="1">
        <f>value(THB!$B641)</f>
        <v>284.5491</v>
      </c>
      <c r="J641" s="1">
        <f>value(VND!$B641)</f>
        <v>0.4394034071</v>
      </c>
      <c r="K641" s="1">
        <f>value(CNY!$B641)</f>
        <v>1445.38536</v>
      </c>
      <c r="L641" s="1">
        <f>value(HKD!$B641)</f>
        <v>1155.7678</v>
      </c>
      <c r="M641" s="1">
        <f>value(TWD!$B641)</f>
        <v>303.28595</v>
      </c>
      <c r="N641" s="1">
        <f>value(JPY!$B641)</f>
        <v>115.37955</v>
      </c>
      <c r="O641" s="1">
        <f>value(SAR!$B641)</f>
        <v>2428.129412</v>
      </c>
      <c r="P641" s="1">
        <f>value(AED!$B641)</f>
        <v>2472.7553</v>
      </c>
      <c r="Q641" s="1">
        <f>value(KWD!$B641)</f>
        <v>32642.73115</v>
      </c>
    </row>
    <row r="642">
      <c r="A642" s="4">
        <f>value(USD!A642)</f>
        <v>40950.99861</v>
      </c>
      <c r="B642" s="1">
        <f>value(USD!B642)</f>
        <v>8965</v>
      </c>
      <c r="C642" s="1">
        <f>value(AUD!$B642)</f>
        <v>9602.106735</v>
      </c>
      <c r="D642" s="1">
        <f>value(EUR!$B642)</f>
        <v>11800.21395</v>
      </c>
      <c r="E642" s="1">
        <f>value(GBP!$B642)</f>
        <v>14101.4037</v>
      </c>
      <c r="F642" s="1">
        <f>value(CHF!$B642)</f>
        <v>9764.5806</v>
      </c>
      <c r="G642" s="1">
        <f>value(SGD!$B642)</f>
        <v>7128.7539</v>
      </c>
      <c r="H642" s="1">
        <f>value(MYR!$B642)</f>
        <v>2957.813835</v>
      </c>
      <c r="I642" s="1">
        <f>value(THB!$B642)</f>
        <v>291.03546</v>
      </c>
      <c r="J642" s="1">
        <f>value(VND!$B642)</f>
        <v>0.4367788454</v>
      </c>
      <c r="K642" s="1">
        <f>value(CNY!$B642)</f>
        <v>1448.23872</v>
      </c>
      <c r="L642" s="1">
        <f>value(HKD!$B642)</f>
        <v>1156.874925</v>
      </c>
      <c r="M642" s="1">
        <f>value(TWD!$B642)</f>
        <v>301.4424</v>
      </c>
      <c r="N642" s="1">
        <f>value(JPY!$B642)</f>
        <v>115.73235</v>
      </c>
      <c r="O642" s="1">
        <f>value(SAR!$B642)</f>
        <v>2439.898039</v>
      </c>
      <c r="P642" s="1">
        <f>value(AED!$B642)</f>
        <v>2504.727225</v>
      </c>
      <c r="Q642" s="1">
        <f>value(KWD!$B642)</f>
        <v>32643.44977</v>
      </c>
    </row>
    <row r="643">
      <c r="A643" s="4">
        <f>value(USD!A643)</f>
        <v>40951.99861</v>
      </c>
      <c r="B643" s="1">
        <f>value(USD!B643)</f>
        <v>8965</v>
      </c>
      <c r="C643" s="1">
        <f>value(AUD!$B643)</f>
        <v>9628.7598</v>
      </c>
      <c r="D643" s="1">
        <f>value(EUR!$B643)</f>
        <v>11817.9732</v>
      </c>
      <c r="E643" s="1">
        <f>value(GBP!$B643)</f>
        <v>14118.7618</v>
      </c>
      <c r="F643" s="1">
        <f>value(CHF!$B643)</f>
        <v>9785.325</v>
      </c>
      <c r="G643" s="1">
        <f>value(SGD!$B643)</f>
        <v>7119.75748</v>
      </c>
      <c r="H643" s="1">
        <f>value(MYR!$B643)</f>
        <v>2946.845</v>
      </c>
      <c r="I643" s="1">
        <f>value(THB!$B643)</f>
        <v>291.71516</v>
      </c>
      <c r="J643" s="1">
        <f>value(VND!$B643)</f>
        <v>0.4422061921</v>
      </c>
      <c r="K643" s="1">
        <f>value(CNY!$B643)</f>
        <v>1447.85449</v>
      </c>
      <c r="L643" s="1">
        <f>value(HKD!$B643)</f>
        <v>1160.38208</v>
      </c>
      <c r="M643" s="1">
        <f>value(TWD!$B643)</f>
        <v>302.7827</v>
      </c>
      <c r="N643" s="1">
        <f>value(JPY!$B643)</f>
        <v>114.7245</v>
      </c>
      <c r="O643" s="1">
        <f>value(SAR!$B643)</f>
        <v>2435.319939</v>
      </c>
      <c r="P643" s="1">
        <f>value(AED!$B643)</f>
        <v>2472.700864</v>
      </c>
      <c r="Q643" s="1">
        <f>value(KWD!$B643)</f>
        <v>32919.06198</v>
      </c>
    </row>
    <row r="644">
      <c r="A644" s="4">
        <f>value(USD!A644)</f>
        <v>40952.99861</v>
      </c>
      <c r="B644" s="1">
        <f>value(USD!B644)</f>
        <v>8971.5</v>
      </c>
      <c r="C644" s="1">
        <f>value(AUD!$B644)</f>
        <v>9544.384</v>
      </c>
      <c r="D644" s="1">
        <f>value(EUR!$B644)</f>
        <v>11661.687</v>
      </c>
      <c r="E644" s="1">
        <f>value(GBP!$B644)</f>
        <v>14007.598</v>
      </c>
      <c r="F644" s="1">
        <f>value(CHF!$B644)</f>
        <v>9661.367</v>
      </c>
      <c r="G644" s="1">
        <f>value(SGD!$B644)</f>
        <v>7064.8802</v>
      </c>
      <c r="H644" s="1">
        <f>value(MYR!$B644)</f>
        <v>2933.4157</v>
      </c>
      <c r="I644" s="1">
        <f>value(THB!$B644)</f>
        <v>289.5999</v>
      </c>
      <c r="J644" s="1">
        <f>value(VND!$B644)</f>
        <v>0.4426643204</v>
      </c>
      <c r="K644" s="1">
        <f>value(CNY!$B644)</f>
        <v>1436.97445</v>
      </c>
      <c r="L644" s="1">
        <f>value(HKD!$B644)</f>
        <v>1151.6128</v>
      </c>
      <c r="M644" s="1">
        <f>value(TWD!$B644)</f>
        <v>300.5838</v>
      </c>
      <c r="N644" s="1">
        <f>value(JPY!$B644)</f>
        <v>113.7682</v>
      </c>
      <c r="O644" s="1">
        <f>value(SAR!$B644)</f>
        <v>2435.466605</v>
      </c>
      <c r="P644" s="1">
        <f>value(AED!$B644)</f>
        <v>2472.7553</v>
      </c>
      <c r="Q644" s="1">
        <f>value(KWD!$B644)</f>
        <v>32925.46694</v>
      </c>
    </row>
    <row r="645">
      <c r="A645" s="4">
        <f>value(USD!A645)</f>
        <v>40953.99861</v>
      </c>
      <c r="B645" s="1">
        <f>value(USD!B645)</f>
        <v>8998</v>
      </c>
      <c r="C645" s="1">
        <f>value(AUD!$B645)</f>
        <v>9650.806</v>
      </c>
      <c r="D645" s="1">
        <f>value(EUR!$B645)</f>
        <v>11788.046</v>
      </c>
      <c r="E645" s="1">
        <f>value(GBP!$B645)</f>
        <v>14191.094</v>
      </c>
      <c r="F645" s="1">
        <f>value(CHF!$B645)</f>
        <v>9765.75</v>
      </c>
      <c r="G645" s="1">
        <f>value(SGD!$B645)</f>
        <v>7115.1234</v>
      </c>
      <c r="H645" s="1">
        <f>value(MYR!$B645)</f>
        <v>2942.297</v>
      </c>
      <c r="I645" s="1">
        <f>value(THB!$B645)</f>
        <v>291.0418</v>
      </c>
      <c r="J645" s="1">
        <f>value(VND!$B645)</f>
        <v>0.4426740656</v>
      </c>
      <c r="K645" s="1">
        <f>value(CNY!$B645)</f>
        <v>1458.123849</v>
      </c>
      <c r="L645" s="1">
        <f>value(HKD!$B645)</f>
        <v>1158.0608</v>
      </c>
      <c r="M645" s="1">
        <f>value(TWD!$B645)</f>
        <v>306.1282</v>
      </c>
      <c r="N645" s="1">
        <f>value(JPY!$B645)</f>
        <v>113.9562</v>
      </c>
      <c r="O645" s="1">
        <f>value(SAR!$B645)</f>
        <v>2435.466605</v>
      </c>
      <c r="P645" s="1">
        <f>value(AED!$B645)</f>
        <v>2491.495875</v>
      </c>
      <c r="Q645" s="1">
        <f>value(KWD!$B645)</f>
        <v>32952.74011</v>
      </c>
    </row>
    <row r="646">
      <c r="A646" s="4">
        <f>value(USD!A646)</f>
        <v>40954.99861</v>
      </c>
      <c r="B646" s="1">
        <f>value(USD!B646)</f>
        <v>8930</v>
      </c>
      <c r="C646" s="1">
        <f>value(AUD!$B646)</f>
        <v>9636.8112</v>
      </c>
      <c r="D646" s="1">
        <f>value(EUR!$B646)</f>
        <v>11830.8423</v>
      </c>
      <c r="E646" s="1">
        <f>value(GBP!$B646)</f>
        <v>14249.9484</v>
      </c>
      <c r="F646" s="1">
        <f>value(CHF!$B646)</f>
        <v>9786.261</v>
      </c>
      <c r="G646" s="1">
        <f>value(SGD!$B646)</f>
        <v>7149.82248</v>
      </c>
      <c r="H646" s="1">
        <f>value(MYR!$B646)</f>
        <v>2953.70424</v>
      </c>
      <c r="I646" s="1">
        <f>value(THB!$B646)</f>
        <v>291.78723</v>
      </c>
      <c r="J646" s="1">
        <f>value(VND!$B646)</f>
        <v>0.4399759608</v>
      </c>
      <c r="K646" s="1">
        <f>value(CNY!$B646)</f>
        <v>1436.942816</v>
      </c>
      <c r="L646" s="1">
        <f>value(HKD!$B646)</f>
        <v>1161.02688</v>
      </c>
      <c r="M646" s="1">
        <f>value(TWD!$B646)</f>
        <v>304.66152</v>
      </c>
      <c r="N646" s="1">
        <f>value(JPY!$B646)</f>
        <v>113.16771</v>
      </c>
      <c r="O646" s="1">
        <f>value(SAR!$B646)</f>
        <v>2443.466605</v>
      </c>
      <c r="P646" s="1">
        <f>value(AED!$B646)</f>
        <v>2490.17482</v>
      </c>
      <c r="Q646" s="1">
        <f>value(KWD!$B646)</f>
        <v>32981.24839</v>
      </c>
    </row>
    <row r="647">
      <c r="A647" s="4">
        <f>value(USD!A647)</f>
        <v>40955.99861</v>
      </c>
      <c r="B647" s="1">
        <f>value(USD!B647)</f>
        <v>8980</v>
      </c>
      <c r="C647" s="1">
        <f>value(AUD!$B647)</f>
        <v>9613.82064</v>
      </c>
      <c r="D647" s="1">
        <f>value(EUR!$B647)</f>
        <v>11804.82312</v>
      </c>
      <c r="E647" s="1">
        <f>value(GBP!$B647)</f>
        <v>14220.4056</v>
      </c>
      <c r="F647" s="1">
        <f>value(CHF!$B647)</f>
        <v>9775.51824</v>
      </c>
      <c r="G647" s="1">
        <f>value(SGD!$B647)</f>
        <v>7134.098112</v>
      </c>
      <c r="H647" s="1">
        <f>value(MYR!$B647)</f>
        <v>2948.825232</v>
      </c>
      <c r="I647" s="1">
        <f>value(THB!$B647)</f>
        <v>291.325176</v>
      </c>
      <c r="J647" s="1">
        <f>value(VND!$B647)</f>
        <v>0.4398557685</v>
      </c>
      <c r="K647" s="1">
        <f>value(CNY!$B647)</f>
        <v>1436.97445</v>
      </c>
      <c r="L647" s="1">
        <f>value(HKD!$B647)</f>
        <v>1158.473472</v>
      </c>
      <c r="M647" s="1">
        <f>value(TWD!$B647)</f>
        <v>304.08132</v>
      </c>
      <c r="N647" s="1">
        <f>value(JPY!$B647)</f>
        <v>112.918824</v>
      </c>
      <c r="O647" s="1">
        <f>value(SAR!$B647)</f>
        <v>2443.466605</v>
      </c>
      <c r="P647" s="1">
        <f>value(AED!$B647)</f>
        <v>2490.17482</v>
      </c>
      <c r="Q647" s="1">
        <f>value(KWD!$B647)</f>
        <v>32787.76703</v>
      </c>
    </row>
    <row r="648">
      <c r="A648" s="4">
        <f>value(USD!A648)</f>
        <v>40956.99861</v>
      </c>
      <c r="B648" s="1">
        <f>value(USD!B648)</f>
        <v>9003</v>
      </c>
      <c r="C648" s="1">
        <f>value(AUD!$B648)</f>
        <v>9705.44928</v>
      </c>
      <c r="D648" s="1">
        <f>value(EUR!$B648)</f>
        <v>11882.97696</v>
      </c>
      <c r="E648" s="1">
        <f>value(GBP!$B648)</f>
        <v>14258.13504</v>
      </c>
      <c r="F648" s="1">
        <f>value(CHF!$B648)</f>
        <v>9821.33256</v>
      </c>
      <c r="G648" s="1">
        <f>value(SGD!$B648)</f>
        <v>7183.685376</v>
      </c>
      <c r="H648" s="1">
        <f>value(MYR!$B648)</f>
        <v>2966.7018</v>
      </c>
      <c r="I648" s="1">
        <f>value(THB!$B648)</f>
        <v>288.181056</v>
      </c>
      <c r="J648" s="1">
        <f>value(VND!$B648)</f>
        <v>0.4396443991</v>
      </c>
      <c r="K648" s="1">
        <f>value(CNY!$B648)</f>
        <v>1450.970325</v>
      </c>
      <c r="L648" s="1">
        <f>value(HKD!$B648)</f>
        <v>1158.473472</v>
      </c>
      <c r="M648" s="1">
        <f>value(TWD!$B648)</f>
        <v>305.967792</v>
      </c>
      <c r="N648" s="1">
        <f>value(JPY!$B648)</f>
        <v>112.469664</v>
      </c>
      <c r="O648" s="1">
        <f>value(SAR!$B648)</f>
        <v>2426.8608</v>
      </c>
      <c r="P648" s="1">
        <f>value(AED!$B648)</f>
        <v>2490.17482</v>
      </c>
      <c r="Q648" s="1">
        <f>value(KWD!$B648)</f>
        <v>32468.7023</v>
      </c>
    </row>
    <row r="649">
      <c r="A649" s="4">
        <f>value(USD!A649)</f>
        <v>40957.99861</v>
      </c>
      <c r="B649" s="1">
        <f>value(USD!B649)</f>
        <v>8983.2</v>
      </c>
      <c r="C649" s="1">
        <f>value(AUD!$B649)</f>
        <v>9615.76088</v>
      </c>
      <c r="D649" s="1">
        <f>value(EUR!$B649)</f>
        <v>11843.40916</v>
      </c>
      <c r="E649" s="1">
        <f>value(GBP!$B649)</f>
        <v>14196.65984</v>
      </c>
      <c r="F649" s="1">
        <f>value(CHF!$B649)</f>
        <v>9813.13608</v>
      </c>
      <c r="G649" s="1">
        <f>value(SGD!$B649)</f>
        <v>7147.584004</v>
      </c>
      <c r="H649" s="1">
        <f>value(MYR!$B649)</f>
        <v>2960.358852</v>
      </c>
      <c r="I649" s="1">
        <f>value(THB!$B649)</f>
        <v>291.487284</v>
      </c>
      <c r="J649" s="1">
        <f>value(VND!$B649)</f>
        <v>0.4398557685</v>
      </c>
      <c r="K649" s="1">
        <f>value(CNY!$B649)</f>
        <v>1447.09733</v>
      </c>
      <c r="L649" s="1">
        <f>value(HKD!$B649)</f>
        <v>1156.88782</v>
      </c>
      <c r="M649" s="1">
        <f>value(TWD!$B649)</f>
        <v>302.253204</v>
      </c>
      <c r="N649" s="1">
        <f>value(JPY!$B649)</f>
        <v>112.683296</v>
      </c>
      <c r="O649" s="1">
        <f>value(SAR!$B649)</f>
        <v>2423.153836</v>
      </c>
      <c r="P649" s="1">
        <f>value(AED!$B649)</f>
        <v>2480.9207</v>
      </c>
      <c r="Q649" s="1">
        <f>value(KWD!$B649)</f>
        <v>32994.55591</v>
      </c>
    </row>
    <row r="650">
      <c r="A650" s="4">
        <f>value(USD!A650)</f>
        <v>40958.99861</v>
      </c>
      <c r="B650" s="1">
        <f>value(USD!B650)</f>
        <v>8983.2</v>
      </c>
      <c r="C650" s="1">
        <f>value(AUD!$B650)</f>
        <v>9632.8428</v>
      </c>
      <c r="D650" s="1">
        <f>value(EUR!$B650)</f>
        <v>11957.4357</v>
      </c>
      <c r="E650" s="1">
        <f>value(GBP!$B650)</f>
        <v>14256.7446</v>
      </c>
      <c r="F650" s="1">
        <f>value(CHF!$B650)</f>
        <v>9899.589</v>
      </c>
      <c r="G650" s="1">
        <f>value(SGD!$B650)</f>
        <v>7184.3583</v>
      </c>
      <c r="H650" s="1">
        <f>value(MYR!$B650)</f>
        <v>2982.2478</v>
      </c>
      <c r="I650" s="1">
        <f>value(THB!$B650)</f>
        <v>293.8362</v>
      </c>
      <c r="J650" s="1">
        <f>value(VND!$B650)</f>
        <v>0.4380105693</v>
      </c>
      <c r="K650" s="1">
        <f>value(CNY!$B650)</f>
        <v>1447.82925</v>
      </c>
      <c r="L650" s="1">
        <f>value(HKD!$B650)</f>
        <v>1164.4185</v>
      </c>
      <c r="M650" s="1">
        <f>value(TWD!$B650)</f>
        <v>306.3879</v>
      </c>
      <c r="N650" s="1">
        <f>value(JPY!$B650)</f>
        <v>113.1459</v>
      </c>
      <c r="O650" s="1">
        <f>value(SAR!$B650)</f>
        <v>2431.999939</v>
      </c>
      <c r="P650" s="1">
        <f>value(AED!$B650)</f>
        <v>2456.778334</v>
      </c>
      <c r="Q650" s="1">
        <f>value(KWD!$B650)</f>
        <v>32974.35083</v>
      </c>
    </row>
    <row r="651">
      <c r="A651" s="4">
        <f>value(USD!A651)</f>
        <v>40959.99861</v>
      </c>
      <c r="B651" s="1">
        <f>value(USD!B651)</f>
        <v>8971.6</v>
      </c>
      <c r="C651" s="1">
        <f>value(AUD!$B651)</f>
        <v>9609.3392</v>
      </c>
      <c r="D651" s="1">
        <f>value(EUR!$B651)</f>
        <v>11978.904</v>
      </c>
      <c r="E651" s="1">
        <f>value(GBP!$B651)</f>
        <v>14162.968</v>
      </c>
      <c r="F651" s="1">
        <f>value(CHF!$B651)</f>
        <v>9925.92</v>
      </c>
      <c r="G651" s="1">
        <f>value(SGD!$B651)</f>
        <v>7184.2688</v>
      </c>
      <c r="H651" s="1">
        <f>value(MYR!$B651)</f>
        <v>2985.1888</v>
      </c>
      <c r="I651" s="1">
        <f>value(THB!$B651)</f>
        <v>295.8792</v>
      </c>
      <c r="J651" s="1">
        <f>value(VND!$B651)</f>
        <v>0.4368762326</v>
      </c>
      <c r="K651" s="1">
        <f>value(CNY!$B651)</f>
        <v>1448.2867</v>
      </c>
      <c r="L651" s="1">
        <f>value(HKD!$B651)</f>
        <v>1165.6176</v>
      </c>
      <c r="M651" s="1">
        <f>value(TWD!$B651)</f>
        <v>306.3656</v>
      </c>
      <c r="N651" s="1">
        <f>value(JPY!$B651)</f>
        <v>112.6384</v>
      </c>
      <c r="O651" s="1">
        <f>value(SAR!$B651)</f>
        <v>2429.333272</v>
      </c>
      <c r="P651" s="1">
        <f>value(AED!$B651)</f>
        <v>2491.8079</v>
      </c>
      <c r="Q651" s="1">
        <f>value(KWD!$B651)</f>
        <v>32943.49848</v>
      </c>
    </row>
    <row r="652">
      <c r="A652" s="4">
        <f>value(USD!A652)</f>
        <v>40960.99861</v>
      </c>
      <c r="B652" s="1">
        <f>value(USD!B652)</f>
        <v>9030</v>
      </c>
      <c r="C652" s="1">
        <f>value(AUD!$B652)</f>
        <v>9696.304</v>
      </c>
      <c r="D652" s="1">
        <f>value(EUR!$B652)</f>
        <v>12087.384</v>
      </c>
      <c r="E652" s="1">
        <f>value(GBP!$B652)</f>
        <v>14230.768</v>
      </c>
      <c r="F652" s="1">
        <f>value(CHF!$B652)</f>
        <v>10028.976</v>
      </c>
      <c r="G652" s="1">
        <f>value(SGD!$B652)</f>
        <v>7217.1744</v>
      </c>
      <c r="H652" s="1">
        <f>value(MYR!$B652)</f>
        <v>2997.8448</v>
      </c>
      <c r="I652" s="1">
        <f>value(THB!$B652)</f>
        <v>298.32</v>
      </c>
      <c r="J652" s="1">
        <f>value(VND!$B652)</f>
        <v>0.4425482901</v>
      </c>
      <c r="K652" s="1">
        <f>value(CNY!$B652)</f>
        <v>1443.816</v>
      </c>
      <c r="L652" s="1">
        <f>value(HKD!$B652)</f>
        <v>1165.5272</v>
      </c>
      <c r="M652" s="1">
        <f>value(TWD!$B652)</f>
        <v>307.36</v>
      </c>
      <c r="N652" s="1">
        <f>value(JPY!$B652)</f>
        <v>113.0904</v>
      </c>
      <c r="O652" s="1">
        <f>value(SAR!$B652)</f>
        <v>2438.796647</v>
      </c>
      <c r="P652" s="1">
        <f>value(AED!$B652)</f>
        <v>2491.8079</v>
      </c>
      <c r="Q652" s="1">
        <f>value(KWD!$B652)</f>
        <v>32938.71919</v>
      </c>
    </row>
    <row r="653">
      <c r="A653" s="4">
        <f>value(USD!A653)</f>
        <v>40961.99861</v>
      </c>
      <c r="B653" s="1">
        <f>value(USD!B653)</f>
        <v>9040</v>
      </c>
      <c r="C653" s="1">
        <f>value(AUD!$B653)</f>
        <v>9666.472</v>
      </c>
      <c r="D653" s="1">
        <f>value(EUR!$B653)</f>
        <v>12154.28</v>
      </c>
      <c r="E653" s="1">
        <f>value(GBP!$B653)</f>
        <v>14349.192</v>
      </c>
      <c r="F653" s="1">
        <f>value(CHF!$B653)</f>
        <v>10089.544</v>
      </c>
      <c r="G653" s="1">
        <f>value(SGD!$B653)</f>
        <v>7196.292</v>
      </c>
      <c r="H653" s="1">
        <f>value(MYR!$B653)</f>
        <v>2997.8448</v>
      </c>
      <c r="I653" s="1">
        <f>value(THB!$B653)</f>
        <v>297.7776</v>
      </c>
      <c r="J653" s="1">
        <f>value(VND!$B653)</f>
        <v>0.44014423</v>
      </c>
      <c r="K653" s="1">
        <f>value(CNY!$B653)</f>
        <v>1429.76592</v>
      </c>
      <c r="L653" s="1">
        <f>value(HKD!$B653)</f>
        <v>1165.708</v>
      </c>
      <c r="M653" s="1">
        <f>value(TWD!$B653)</f>
        <v>306.5464</v>
      </c>
      <c r="N653" s="1">
        <f>value(JPY!$B653)</f>
        <v>111.2824</v>
      </c>
      <c r="O653" s="1">
        <f>value(SAR!$B653)</f>
        <v>2438.666605</v>
      </c>
      <c r="P653" s="1">
        <f>value(AED!$B653)</f>
        <v>2491.8079</v>
      </c>
      <c r="Q653" s="1">
        <f>value(KWD!$B653)</f>
        <v>32979.06087</v>
      </c>
    </row>
    <row r="654">
      <c r="A654" s="4">
        <f>value(USD!A654)</f>
        <v>40962.99861</v>
      </c>
      <c r="B654" s="1">
        <f>value(USD!B654)</f>
        <v>9040</v>
      </c>
      <c r="C654" s="1">
        <f>value(AUD!$B654)</f>
        <v>9646.04837</v>
      </c>
      <c r="D654" s="1">
        <f>value(EUR!$B654)</f>
        <v>12130.40423</v>
      </c>
      <c r="E654" s="1">
        <f>value(GBP!$B654)</f>
        <v>14317.97248</v>
      </c>
      <c r="F654" s="1">
        <f>value(CHF!$B654)</f>
        <v>10049.2826</v>
      </c>
      <c r="G654" s="1">
        <f>value(SGD!$B654)</f>
        <v>7181.087445</v>
      </c>
      <c r="H654" s="1">
        <f>value(MYR!$B654)</f>
        <v>2991.601067</v>
      </c>
      <c r="I654" s="1">
        <f>value(THB!$B654)</f>
        <v>297.148446</v>
      </c>
      <c r="J654" s="1">
        <f>value(VND!$B654)</f>
        <v>0.44014423</v>
      </c>
      <c r="K654" s="1">
        <f>value(CNY!$B654)</f>
        <v>1451.200314</v>
      </c>
      <c r="L654" s="1">
        <f>value(HKD!$B654)</f>
        <v>1163.245055</v>
      </c>
      <c r="M654" s="1">
        <f>value(TWD!$B654)</f>
        <v>305.898719</v>
      </c>
      <c r="N654" s="1">
        <f>value(JPY!$B654)</f>
        <v>111.408115</v>
      </c>
      <c r="O654" s="1">
        <f>value(SAR!$B654)</f>
        <v>2458.732159</v>
      </c>
      <c r="P654" s="1">
        <f>value(AED!$B654)</f>
        <v>2491.53572</v>
      </c>
      <c r="Q654" s="1">
        <f>value(KWD!$B654)</f>
        <v>32941.95312</v>
      </c>
    </row>
    <row r="655">
      <c r="A655" s="4">
        <f>value(USD!A655)</f>
        <v>40963.99861</v>
      </c>
      <c r="B655" s="1">
        <f>value(USD!B655)</f>
        <v>9040</v>
      </c>
      <c r="C655" s="1">
        <f>value(AUD!$B655)</f>
        <v>9689.029772</v>
      </c>
      <c r="D655" s="1">
        <f>value(EUR!$B655)</f>
        <v>12211.24188</v>
      </c>
      <c r="E655" s="1">
        <f>value(GBP!$B655)</f>
        <v>14399.81845</v>
      </c>
      <c r="F655" s="1">
        <f>value(CHF!$B655)</f>
        <v>10137.89649</v>
      </c>
      <c r="G655" s="1">
        <f>value(SGD!$B655)</f>
        <v>7220.036155</v>
      </c>
      <c r="H655" s="1">
        <f>value(MYR!$B655)</f>
        <v>3010.516726</v>
      </c>
      <c r="I655" s="1">
        <f>value(THB!$B655)</f>
        <v>299.0027153</v>
      </c>
      <c r="J655" s="1">
        <f>value(VND!$B655)</f>
        <v>0.440038444</v>
      </c>
      <c r="K655" s="1">
        <f>value(CNY!$B655)</f>
        <v>1447.4055</v>
      </c>
      <c r="L655" s="1">
        <f>value(HKD!$B655)</f>
        <v>1169.174959</v>
      </c>
      <c r="M655" s="1">
        <f>value(TWD!$B655)</f>
        <v>307.7969128</v>
      </c>
      <c r="N655" s="1">
        <f>value(JPY!$B655)</f>
        <v>111.2420654</v>
      </c>
      <c r="O655" s="1">
        <f>value(SAR!$B655)</f>
        <v>2441.075124</v>
      </c>
      <c r="P655" s="1">
        <f>value(AED!$B655)</f>
        <v>2491.53572</v>
      </c>
      <c r="Q655" s="1">
        <f>value(KWD!$B655)</f>
        <v>33011.48512</v>
      </c>
    </row>
    <row r="656">
      <c r="A656" s="4">
        <f>value(USD!A656)</f>
        <v>40964.99861</v>
      </c>
      <c r="B656" s="1">
        <f>value(USD!B656)</f>
        <v>9020.9</v>
      </c>
      <c r="C656" s="1">
        <f>value(AUD!$B656)</f>
        <v>9793.338</v>
      </c>
      <c r="D656" s="1">
        <f>value(EUR!$B656)</f>
        <v>12207.0735</v>
      </c>
      <c r="E656" s="1">
        <f>value(GBP!$B656)</f>
        <v>14412.3045</v>
      </c>
      <c r="F656" s="1">
        <f>value(CHF!$B656)</f>
        <v>10129.3125</v>
      </c>
      <c r="G656" s="1">
        <f>value(SGD!$B656)</f>
        <v>7254.40875</v>
      </c>
      <c r="H656" s="1">
        <f>value(MYR!$B656)</f>
        <v>3014.02815</v>
      </c>
      <c r="I656" s="1">
        <f>value(THB!$B656)</f>
        <v>299.1903</v>
      </c>
      <c r="J656" s="1">
        <f>value(VND!$B656)</f>
        <v>0.4399903786</v>
      </c>
      <c r="K656" s="1">
        <f>value(CNY!$B656)</f>
        <v>1450.79285</v>
      </c>
      <c r="L656" s="1">
        <f>value(HKD!$B656)</f>
        <v>1173.9987</v>
      </c>
      <c r="M656" s="1">
        <f>value(TWD!$B656)</f>
        <v>308.1132</v>
      </c>
      <c r="N656" s="1">
        <f>value(JPY!$B656)</f>
        <v>113.17515</v>
      </c>
      <c r="O656" s="1">
        <f>value(SAR!$B656)</f>
        <v>2390.491883</v>
      </c>
      <c r="P656" s="1">
        <f>value(AED!$B656)</f>
        <v>2488.732266</v>
      </c>
      <c r="Q656" s="1">
        <f>value(KWD!$B656)</f>
        <v>33025.77023</v>
      </c>
    </row>
    <row r="657">
      <c r="A657" s="4">
        <f>value(USD!A657)</f>
        <v>40965.99861</v>
      </c>
      <c r="B657" s="1">
        <f>value(USD!B657)</f>
        <v>9066.183</v>
      </c>
      <c r="C657" s="1">
        <f>value(AUD!$B657)</f>
        <v>9713.6935</v>
      </c>
      <c r="D657" s="1">
        <f>value(EUR!$B657)</f>
        <v>12129.735</v>
      </c>
      <c r="E657" s="1">
        <f>value(GBP!$B657)</f>
        <v>14330.557</v>
      </c>
      <c r="F657" s="1">
        <f>value(CHF!$B657)</f>
        <v>10062.187</v>
      </c>
      <c r="G657" s="1">
        <f>value(SGD!$B657)</f>
        <v>7209.7632</v>
      </c>
      <c r="H657" s="1">
        <f>value(MYR!$B657)</f>
        <v>2991.1008</v>
      </c>
      <c r="I657" s="1">
        <f>value(THB!$B657)</f>
        <v>296.8048</v>
      </c>
      <c r="J657" s="1">
        <f>value(VND!$B657)</f>
        <v>0.4398846682</v>
      </c>
      <c r="K657" s="1">
        <f>value(CNY!$B657)</f>
        <v>1450.152</v>
      </c>
      <c r="L657" s="1">
        <f>value(HKD!$B657)</f>
        <v>1161.1047</v>
      </c>
      <c r="M657" s="1">
        <f>value(TWD!$B657)</f>
        <v>305.2695</v>
      </c>
      <c r="N657" s="1">
        <f>value(JPY!$B657)</f>
        <v>111.8421</v>
      </c>
      <c r="O657" s="1">
        <f>value(SAR!$B657)</f>
        <v>2440.130052</v>
      </c>
      <c r="P657" s="1">
        <f>value(AED!$B657)</f>
        <v>2493.98534</v>
      </c>
      <c r="Q657" s="1">
        <f>value(KWD!$B657)</f>
        <v>33032.90821</v>
      </c>
    </row>
    <row r="658">
      <c r="A658" s="4">
        <f>value(USD!A658)</f>
        <v>40966.99861</v>
      </c>
      <c r="B658" s="1">
        <f>value(USD!B658)</f>
        <v>9105</v>
      </c>
      <c r="C658" s="1">
        <f>value(AUD!$B658)</f>
        <v>9676.74</v>
      </c>
      <c r="D658" s="1">
        <f>value(EUR!$B658)</f>
        <v>12000.8695</v>
      </c>
      <c r="E658" s="1">
        <f>value(GBP!$B658)</f>
        <v>14342.2081</v>
      </c>
      <c r="F658" s="1">
        <f>value(CHF!$B658)</f>
        <v>9956.05</v>
      </c>
      <c r="G658" s="1">
        <f>value(SGD!$B658)</f>
        <v>7199.9811</v>
      </c>
      <c r="H658" s="1">
        <f>value(MYR!$B658)</f>
        <v>2999.3389</v>
      </c>
      <c r="I658" s="1">
        <f>value(THB!$B658)</f>
        <v>295.528</v>
      </c>
      <c r="J658" s="1">
        <f>value(VND!$B658)</f>
        <v>0.4459906332</v>
      </c>
      <c r="K658" s="1">
        <f>value(CNY!$B658)</f>
        <v>1449.81052</v>
      </c>
      <c r="L658" s="1">
        <f>value(HKD!$B658)</f>
        <v>1161.6593</v>
      </c>
      <c r="M658" s="1">
        <f>value(TWD!$B658)</f>
        <v>303.637</v>
      </c>
      <c r="N658" s="1">
        <f>value(JPY!$B658)</f>
        <v>110.823</v>
      </c>
      <c r="O658" s="1">
        <f>value(SAR!$B658)</f>
        <v>2440.130052</v>
      </c>
      <c r="P658" s="1">
        <f>value(AED!$B658)</f>
        <v>2493.98534</v>
      </c>
      <c r="Q658" s="1">
        <f>value(KWD!$B658)</f>
        <v>33000.6827</v>
      </c>
    </row>
    <row r="659">
      <c r="A659" s="4">
        <f>value(USD!A659)</f>
        <v>40967.99861</v>
      </c>
      <c r="B659" s="1">
        <f>value(USD!B659)</f>
        <v>9005</v>
      </c>
      <c r="C659" s="1">
        <f>value(AUD!$B659)</f>
        <v>9780.3055</v>
      </c>
      <c r="D659" s="1">
        <f>value(EUR!$B659)</f>
        <v>12057.4569</v>
      </c>
      <c r="E659" s="1">
        <f>value(GBP!$B659)</f>
        <v>14445.4415</v>
      </c>
      <c r="F659" s="1">
        <f>value(CHF!$B659)</f>
        <v>9996.72</v>
      </c>
      <c r="G659" s="1">
        <f>value(SGD!$B659)</f>
        <v>7247.4409</v>
      </c>
      <c r="H659" s="1">
        <f>value(MYR!$B659)</f>
        <v>3015.1339</v>
      </c>
      <c r="I659" s="1">
        <f>value(THB!$B659)</f>
        <v>296.55125</v>
      </c>
      <c r="J659" s="1">
        <f>value(VND!$B659)</f>
        <v>0.4404229669</v>
      </c>
      <c r="K659" s="1">
        <f>value(CNY!$B659)</f>
        <v>1448.80358</v>
      </c>
      <c r="L659" s="1">
        <f>value(HKD!$B659)</f>
        <v>1167.5517</v>
      </c>
      <c r="M659" s="1">
        <f>value(TWD!$B659)</f>
        <v>306.9645</v>
      </c>
      <c r="N659" s="1">
        <f>value(JPY!$B659)</f>
        <v>111.64815</v>
      </c>
      <c r="O659" s="1">
        <f>value(SAR!$B659)</f>
        <v>2440.064995</v>
      </c>
      <c r="P659" s="1">
        <f>value(AED!$B659)</f>
        <v>2493.98534</v>
      </c>
      <c r="Q659" s="1">
        <f>value(KWD!$B659)</f>
        <v>33177.88934</v>
      </c>
    </row>
    <row r="660">
      <c r="A660" s="4">
        <f>value(USD!A660)</f>
        <v>40968.99861</v>
      </c>
      <c r="B660" s="1">
        <f>value(USD!B660)</f>
        <v>9010</v>
      </c>
      <c r="C660" s="1">
        <f>value(AUD!$B660)</f>
        <v>9700.6215</v>
      </c>
      <c r="D660" s="1">
        <f>value(EUR!$B660)</f>
        <v>11954.411</v>
      </c>
      <c r="E660" s="1">
        <f>value(GBP!$B660)</f>
        <v>14336.7815</v>
      </c>
      <c r="F660" s="1">
        <f>value(CHF!$B660)</f>
        <v>9885.3435</v>
      </c>
      <c r="G660" s="1">
        <f>value(SGD!$B660)</f>
        <v>7229.512</v>
      </c>
      <c r="H660" s="1">
        <f>value(MYR!$B660)</f>
        <v>3017.39765</v>
      </c>
      <c r="I660" s="1">
        <f>value(THB!$B660)</f>
        <v>296.0985</v>
      </c>
      <c r="J660" s="1">
        <f>value(VND!$B660)</f>
        <v>0.4405288454</v>
      </c>
      <c r="K660" s="1">
        <f>value(CNY!$B660)</f>
        <v>1459.147283</v>
      </c>
      <c r="L660" s="1">
        <f>value(HKD!$B660)</f>
        <v>1166.91785</v>
      </c>
      <c r="M660" s="1">
        <f>value(TWD!$B660)</f>
        <v>306.6023</v>
      </c>
      <c r="N660" s="1">
        <f>value(JPY!$B660)</f>
        <v>110.6521</v>
      </c>
      <c r="O660" s="1">
        <f>value(SAR!$B660)</f>
        <v>2440.064995</v>
      </c>
      <c r="P660" s="1">
        <f>value(AED!$B660)</f>
        <v>2492.270606</v>
      </c>
      <c r="Q660" s="1">
        <f>value(KWD!$B660)</f>
        <v>33143.19187</v>
      </c>
    </row>
    <row r="661">
      <c r="A661" s="4">
        <f>value(USD!A661)</f>
        <v>40969.99861</v>
      </c>
      <c r="B661" s="1">
        <f>value(USD!B661)</f>
        <v>9055</v>
      </c>
      <c r="C661" s="1">
        <f>value(AUD!$B661)</f>
        <v>9717.826</v>
      </c>
      <c r="D661" s="1">
        <f>value(EUR!$B661)</f>
        <v>11953.5055</v>
      </c>
      <c r="E661" s="1">
        <f>value(GBP!$B661)</f>
        <v>14337.687</v>
      </c>
      <c r="F661" s="1">
        <f>value(CHF!$B661)</f>
        <v>9899.8315</v>
      </c>
      <c r="G661" s="1">
        <f>value(SGD!$B661)</f>
        <v>7229.512</v>
      </c>
      <c r="H661" s="1">
        <f>value(MYR!$B661)</f>
        <v>2947.7647</v>
      </c>
      <c r="I661" s="1">
        <f>value(THB!$B661)</f>
        <v>290.57495</v>
      </c>
      <c r="J661" s="1">
        <f>value(VND!$B661)</f>
        <v>0.4403171526</v>
      </c>
      <c r="K661" s="1">
        <f>value(CNY!$B661)</f>
        <v>1447.173399</v>
      </c>
      <c r="L661" s="1">
        <f>value(HKD!$B661)</f>
        <v>1166.91785</v>
      </c>
      <c r="M661" s="1">
        <f>value(TWD!$B661)</f>
        <v>306.69285</v>
      </c>
      <c r="N661" s="1">
        <f>value(JPY!$B661)</f>
        <v>110.6521</v>
      </c>
      <c r="O661" s="1">
        <f>value(SAR!$B661)</f>
        <v>2442.018703</v>
      </c>
      <c r="P661" s="1">
        <f>value(AED!$B661)</f>
        <v>2501.599748</v>
      </c>
      <c r="Q661" s="1">
        <f>value(KWD!$B661)</f>
        <v>33085.76022</v>
      </c>
    </row>
    <row r="662">
      <c r="A662" s="4">
        <f>value(USD!A662)</f>
        <v>40970.99861</v>
      </c>
      <c r="B662" s="1">
        <f>value(USD!B662)</f>
        <v>9055</v>
      </c>
      <c r="C662" s="1">
        <f>value(AUD!$B662)</f>
        <v>9716.015</v>
      </c>
      <c r="D662" s="1">
        <f>value(EUR!$B662)</f>
        <v>11946.2615</v>
      </c>
      <c r="E662" s="1">
        <f>value(GBP!$B662)</f>
        <v>14337.687</v>
      </c>
      <c r="F662" s="1">
        <f>value(CHF!$B662)</f>
        <v>9902.548</v>
      </c>
      <c r="G662" s="1">
        <f>value(SGD!$B662)</f>
        <v>7225.07505</v>
      </c>
      <c r="H662" s="1">
        <f>value(MYR!$B662)</f>
        <v>3015.40555</v>
      </c>
      <c r="I662" s="1">
        <f>value(THB!$B662)</f>
        <v>295.9174</v>
      </c>
      <c r="J662" s="1">
        <f>value(VND!$B662)</f>
        <v>0.4444784147</v>
      </c>
      <c r="K662" s="1">
        <f>value(CNY!$B662)</f>
        <v>1450.22801</v>
      </c>
      <c r="L662" s="1">
        <f>value(HKD!$B662)</f>
        <v>1167.0084</v>
      </c>
      <c r="M662" s="1">
        <f>value(TWD!$B662)</f>
        <v>306.51175</v>
      </c>
      <c r="N662" s="1">
        <f>value(JPY!$B662)</f>
        <v>110.92375</v>
      </c>
      <c r="O662" s="1">
        <f>value(SAR!$B662)</f>
        <v>2434.401873</v>
      </c>
      <c r="P662" s="1">
        <f>value(AED!$B662)</f>
        <v>2501.048411</v>
      </c>
      <c r="Q662" s="1">
        <f>value(KWD!$B662)</f>
        <v>33050.84133</v>
      </c>
    </row>
    <row r="663">
      <c r="A663" s="4">
        <f>value(USD!A663)</f>
        <v>40971.99861</v>
      </c>
      <c r="B663" s="1">
        <f>value(USD!B663)</f>
        <v>9055</v>
      </c>
      <c r="C663" s="1">
        <f>value(AUD!$B663)</f>
        <v>9726.3049</v>
      </c>
      <c r="D663" s="1">
        <f>value(EUR!$B663)</f>
        <v>12048.2973</v>
      </c>
      <c r="E663" s="1">
        <f>value(GBP!$B663)</f>
        <v>14464.1536</v>
      </c>
      <c r="F663" s="1">
        <f>value(CHF!$B663)</f>
        <v>9991.4932</v>
      </c>
      <c r="G663" s="1">
        <f>value(SGD!$B663)</f>
        <v>7248.66246</v>
      </c>
      <c r="H663" s="1">
        <f>value(MYR!$B663)</f>
        <v>3020.23046</v>
      </c>
      <c r="I663" s="1">
        <f>value(THB!$B663)</f>
        <v>296.90154</v>
      </c>
      <c r="J663" s="1">
        <f>value(VND!$B663)</f>
        <v>0.4414580812</v>
      </c>
      <c r="K663" s="1">
        <f>value(CNY!$B663)</f>
        <v>1450.22801</v>
      </c>
      <c r="L663" s="1">
        <f>value(HKD!$B663)</f>
        <v>1173.7544</v>
      </c>
      <c r="M663" s="1">
        <f>value(TWD!$B663)</f>
        <v>309.65974</v>
      </c>
      <c r="N663" s="1">
        <f>value(JPY!$B663)</f>
        <v>111.72538</v>
      </c>
      <c r="O663" s="1">
        <f>value(SAR!$B663)</f>
        <v>2432.201555</v>
      </c>
      <c r="P663" s="1">
        <f>value(AED!$B663)</f>
        <v>2499.608925</v>
      </c>
      <c r="Q663" s="1">
        <f>value(KWD!$B663)</f>
        <v>33003.23832</v>
      </c>
    </row>
    <row r="664">
      <c r="A664" s="4">
        <f>value(USD!A664)</f>
        <v>40972.99861</v>
      </c>
      <c r="B664" s="1">
        <f>value(USD!B664)</f>
        <v>9055</v>
      </c>
      <c r="C664" s="1">
        <f>value(AUD!$B664)</f>
        <v>9630.909</v>
      </c>
      <c r="D664" s="1">
        <f>value(EUR!$B664)</f>
        <v>11959.7915</v>
      </c>
      <c r="E664" s="1">
        <f>value(GBP!$B664)</f>
        <v>14328.78</v>
      </c>
      <c r="F664" s="1">
        <f>value(CHF!$B664)</f>
        <v>9922.589</v>
      </c>
      <c r="G664" s="1">
        <f>value(SGD!$B664)</f>
        <v>7214.61365</v>
      </c>
      <c r="H664" s="1">
        <f>value(MYR!$B664)</f>
        <v>3012.8721</v>
      </c>
      <c r="I664" s="1">
        <f>value(THB!$B664)</f>
        <v>295.78175</v>
      </c>
      <c r="J664" s="1">
        <f>value(VND!$B664)</f>
        <v>0.4414580812</v>
      </c>
      <c r="K664" s="1">
        <f>value(CNY!$B664)</f>
        <v>1451.23594</v>
      </c>
      <c r="L664" s="1">
        <f>value(HKD!$B664)</f>
        <v>1174.10315</v>
      </c>
      <c r="M664" s="1">
        <f>value(TWD!$B664)</f>
        <v>308.4516</v>
      </c>
      <c r="N664" s="1">
        <f>value(JPY!$B664)</f>
        <v>113.026</v>
      </c>
      <c r="O664" s="1">
        <f>value(SAR!$B664)</f>
        <v>2446.589234</v>
      </c>
      <c r="P664" s="1">
        <f>value(AED!$B664)</f>
        <v>2494.5297</v>
      </c>
      <c r="Q664" s="1">
        <f>value(KWD!$B664)</f>
        <v>33152.77219</v>
      </c>
    </row>
    <row r="665">
      <c r="A665" s="4">
        <f>value(USD!A665)</f>
        <v>40973.99861</v>
      </c>
      <c r="B665" s="1">
        <f>value(USD!B665)</f>
        <v>9113</v>
      </c>
      <c r="C665" s="1">
        <f>value(AUD!$B665)</f>
        <v>9603.11755</v>
      </c>
      <c r="D665" s="1">
        <f>value(EUR!$B665)</f>
        <v>11941.41485</v>
      </c>
      <c r="E665" s="1">
        <f>value(GBP!$B665)</f>
        <v>14292.522</v>
      </c>
      <c r="F665" s="1">
        <f>value(CHF!$B665)</f>
        <v>9907.1925</v>
      </c>
      <c r="G665" s="1">
        <f>value(SGD!$B665)</f>
        <v>7216.0338</v>
      </c>
      <c r="H665" s="1">
        <f>value(MYR!$B665)</f>
        <v>3002.7742</v>
      </c>
      <c r="I665" s="1">
        <f>value(THB!$B665)</f>
        <v>295.4442</v>
      </c>
      <c r="J665" s="1">
        <f>value(VND!$B665)</f>
        <v>0.4411965375</v>
      </c>
      <c r="K665" s="1">
        <f>value(CNY!$B665)</f>
        <v>1449.871878</v>
      </c>
      <c r="L665" s="1">
        <f>value(HKD!$B665)</f>
        <v>1170.148</v>
      </c>
      <c r="M665" s="1">
        <f>value(TWD!$B665)</f>
        <v>307.6181</v>
      </c>
      <c r="N665" s="1">
        <f>value(JPY!$B665)</f>
        <v>111.7455</v>
      </c>
      <c r="O665" s="1">
        <f>value(SAR!$B665)</f>
        <v>2433.868013</v>
      </c>
      <c r="P665" s="1">
        <f>value(AED!$B665)</f>
        <v>2494.5297</v>
      </c>
      <c r="Q665" s="1">
        <f>value(KWD!$B665)</f>
        <v>32639.24414</v>
      </c>
    </row>
    <row r="666">
      <c r="A666" s="4">
        <f>value(USD!A666)</f>
        <v>40974.99861</v>
      </c>
      <c r="B666" s="1">
        <f>value(USD!B666)</f>
        <v>9115</v>
      </c>
      <c r="C666" s="1">
        <f>value(AUD!$B666)</f>
        <v>9691.362</v>
      </c>
      <c r="D666" s="1">
        <f>value(EUR!$B666)</f>
        <v>12085.0665</v>
      </c>
      <c r="E666" s="1">
        <f>value(GBP!$B666)</f>
        <v>14405.931</v>
      </c>
      <c r="F666" s="1">
        <f>value(CHF!$B666)</f>
        <v>10023.6945</v>
      </c>
      <c r="G666" s="1">
        <f>value(SGD!$B666)</f>
        <v>7273.52925</v>
      </c>
      <c r="H666" s="1">
        <f>value(MYR!$B666)</f>
        <v>3028.5051</v>
      </c>
      <c r="I666" s="1">
        <f>value(THB!$B666)</f>
        <v>297.64245</v>
      </c>
      <c r="J666" s="1">
        <f>value(VND!$B666)</f>
        <v>0.4403074687</v>
      </c>
      <c r="K666" s="1">
        <f>value(CNY!$B666)</f>
        <v>1454.335116</v>
      </c>
      <c r="L666" s="1">
        <f>value(HKD!$B666)</f>
        <v>1173.72555</v>
      </c>
      <c r="M666" s="1">
        <f>value(TWD!$B666)</f>
        <v>309.11475</v>
      </c>
      <c r="N666" s="1">
        <f>value(JPY!$B666)</f>
        <v>111.6273</v>
      </c>
      <c r="O666" s="1">
        <f>value(SAR!$B666)</f>
        <v>2436.396519</v>
      </c>
      <c r="P666" s="1">
        <f>value(AED!$B666)</f>
        <v>2501.320591</v>
      </c>
      <c r="Q666" s="1">
        <f>value(KWD!$B666)</f>
        <v>33021.24336</v>
      </c>
    </row>
    <row r="667">
      <c r="A667" s="4">
        <f>value(USD!A667)</f>
        <v>40975.99861</v>
      </c>
      <c r="B667" s="1">
        <f>value(USD!B667)</f>
        <v>9085</v>
      </c>
      <c r="C667" s="1">
        <f>value(AUD!$B667)</f>
        <v>9627.627</v>
      </c>
      <c r="D667" s="1">
        <f>value(EUR!$B667)</f>
        <v>11947.581</v>
      </c>
      <c r="E667" s="1">
        <f>value(GBP!$B667)</f>
        <v>14265.714</v>
      </c>
      <c r="F667" s="1">
        <f>value(CHF!$B667)</f>
        <v>9908.061</v>
      </c>
      <c r="G667" s="1">
        <f>value(SGD!$B667)</f>
        <v>7256.685</v>
      </c>
      <c r="H667" s="1">
        <f>value(MYR!$B667)</f>
        <v>3022.3137</v>
      </c>
      <c r="I667" s="1">
        <f>value(THB!$B667)</f>
        <v>297.7335</v>
      </c>
      <c r="J667" s="1">
        <f>value(VND!$B667)</f>
        <v>0.4405190977</v>
      </c>
      <c r="K667" s="1">
        <f>value(CNY!$B667)</f>
        <v>1453.967558</v>
      </c>
      <c r="L667" s="1">
        <f>value(HKD!$B667)</f>
        <v>1173.54345</v>
      </c>
      <c r="M667" s="1">
        <f>value(TWD!$B667)</f>
        <v>306.4743</v>
      </c>
      <c r="N667" s="1">
        <f>value(JPY!$B667)</f>
        <v>110.44365</v>
      </c>
      <c r="O667" s="1">
        <f>value(SAR!$B667)</f>
        <v>2435.596477</v>
      </c>
      <c r="P667" s="1">
        <f>value(AED!$B667)</f>
        <v>2462.575768</v>
      </c>
      <c r="Q667" s="1">
        <f>value(KWD!$B667)</f>
        <v>32999.70818</v>
      </c>
    </row>
    <row r="668">
      <c r="A668" s="4">
        <f>value(USD!A668)</f>
        <v>40976.99861</v>
      </c>
      <c r="B668" s="1">
        <f>value(USD!B668)</f>
        <v>9105</v>
      </c>
      <c r="C668" s="1">
        <f>value(AUD!$B668)</f>
        <v>9635.863716</v>
      </c>
      <c r="D668" s="1">
        <f>value(EUR!$B668)</f>
        <v>12004.57347</v>
      </c>
      <c r="E668" s="1">
        <f>value(GBP!$B668)</f>
        <v>14334.85688</v>
      </c>
      <c r="F668" s="1">
        <f>value(CHF!$B668)</f>
        <v>9954.25344</v>
      </c>
      <c r="G668" s="1">
        <f>value(SGD!$B668)</f>
        <v>7291.85661</v>
      </c>
      <c r="H668" s="1">
        <f>value(MYR!$B668)</f>
        <v>3037.053703</v>
      </c>
      <c r="I668" s="1">
        <f>value(THB!$B668)</f>
        <v>299.176551</v>
      </c>
      <c r="J668" s="1">
        <f>value(VND!$B668)</f>
        <v>0.4416122031</v>
      </c>
      <c r="K668" s="1">
        <f>value(CNY!$B668)</f>
        <v>1461.846586</v>
      </c>
      <c r="L668" s="1">
        <f>value(HKD!$B668)</f>
        <v>1179.231365</v>
      </c>
      <c r="M668" s="1">
        <f>value(TWD!$B668)</f>
        <v>307.9597158</v>
      </c>
      <c r="N668" s="1">
        <f>value(JPY!$B668)</f>
        <v>110.8874556</v>
      </c>
      <c r="O668" s="1">
        <f>value(SAR!$B668)</f>
        <v>2422.7312</v>
      </c>
      <c r="P668" s="1">
        <f>value(AED!$B668)</f>
        <v>2495.8906</v>
      </c>
      <c r="Q668" s="1">
        <f>value(KWD!$B668)</f>
        <v>33162.94896</v>
      </c>
    </row>
    <row r="669">
      <c r="A669" s="4">
        <f>value(USD!A669)</f>
        <v>40977.99861</v>
      </c>
      <c r="B669" s="1">
        <f>value(USD!B669)</f>
        <v>9105</v>
      </c>
      <c r="C669" s="1">
        <f>value(AUD!$B669)</f>
        <v>9647.52018</v>
      </c>
      <c r="D669" s="1">
        <f>value(EUR!$B669)</f>
        <v>11981.7744</v>
      </c>
      <c r="E669" s="1">
        <f>value(GBP!$B669)</f>
        <v>14310.54915</v>
      </c>
      <c r="F669" s="1">
        <f>value(CHF!$B669)</f>
        <v>9933.365865</v>
      </c>
      <c r="G669" s="1">
        <f>value(SGD!$B669)</f>
        <v>7265.868544</v>
      </c>
      <c r="H669" s="1">
        <f>value(MYR!$B669)</f>
        <v>3030.877506</v>
      </c>
      <c r="I669" s="1">
        <f>value(THB!$B669)</f>
        <v>298.631115</v>
      </c>
      <c r="J669" s="1">
        <f>value(VND!$B669)</f>
        <v>0.4387752099</v>
      </c>
      <c r="K669" s="1">
        <f>value(CNY!$B669)</f>
        <v>1450.8195</v>
      </c>
      <c r="L669" s="1">
        <f>value(HKD!$B669)</f>
        <v>1177.172805</v>
      </c>
      <c r="M669" s="1">
        <f>value(TWD!$B669)</f>
        <v>307.398267</v>
      </c>
      <c r="N669" s="1">
        <f>value(JPY!$B669)</f>
        <v>110.867943</v>
      </c>
      <c r="O669" s="1">
        <f>value(SAR!$B669)</f>
        <v>2453.425351</v>
      </c>
      <c r="P669" s="1">
        <f>value(AED!$B669)</f>
        <v>2494.80188</v>
      </c>
      <c r="Q669" s="1">
        <f>value(KWD!$B669)</f>
        <v>33021.24336</v>
      </c>
    </row>
    <row r="670">
      <c r="A670" s="4">
        <f>value(USD!A670)</f>
        <v>40978.99861</v>
      </c>
      <c r="B670" s="1">
        <f>value(USD!B670)</f>
        <v>9149.13</v>
      </c>
      <c r="C670" s="1">
        <f>value(AUD!$B670)</f>
        <v>9617.049</v>
      </c>
      <c r="D670" s="1">
        <f>value(EUR!$B670)</f>
        <v>12028.161</v>
      </c>
      <c r="E670" s="1">
        <f>value(GBP!$B670)</f>
        <v>14294.0583</v>
      </c>
      <c r="F670" s="1">
        <f>value(CHF!$B670)</f>
        <v>9975.9759</v>
      </c>
      <c r="G670" s="1">
        <f>value(SGD!$B670)</f>
        <v>7265.11884</v>
      </c>
      <c r="H670" s="1">
        <f>value(MYR!$B670)</f>
        <v>3012.79404</v>
      </c>
      <c r="I670" s="1">
        <f>value(THB!$B670)</f>
        <v>298.19245</v>
      </c>
      <c r="J670" s="1">
        <f>value(VND!$B670)</f>
        <v>0.4387778833</v>
      </c>
      <c r="K670" s="1">
        <f>value(CNY!$B670)</f>
        <v>1451.46105</v>
      </c>
      <c r="L670" s="1">
        <f>value(HKD!$B670)</f>
        <v>1177.15237</v>
      </c>
      <c r="M670" s="1">
        <f>value(TWD!$B670)</f>
        <v>310.24801</v>
      </c>
      <c r="N670" s="1">
        <f>value(JPY!$B670)</f>
        <v>110.87462</v>
      </c>
      <c r="O670" s="1">
        <f>value(SAR!$B670)</f>
        <v>2422.677865</v>
      </c>
      <c r="P670" s="1">
        <f>value(AED!$B670)</f>
        <v>2507.59434</v>
      </c>
      <c r="Q670" s="1">
        <f>value(KWD!$B670)</f>
        <v>33022.86692</v>
      </c>
    </row>
    <row r="671">
      <c r="A671" s="4">
        <f>value(USD!A671)</f>
        <v>40979.99861</v>
      </c>
      <c r="B671" s="1">
        <f>value(USD!B671)</f>
        <v>9132.45</v>
      </c>
      <c r="C671" s="1">
        <f>value(AUD!$B671)</f>
        <v>9621.6155</v>
      </c>
      <c r="D671" s="1">
        <f>value(EUR!$B671)</f>
        <v>11941.3975</v>
      </c>
      <c r="E671" s="1">
        <f>value(GBP!$B671)</f>
        <v>14339.7233</v>
      </c>
      <c r="F671" s="1">
        <f>value(CHF!$B671)</f>
        <v>9882.8193</v>
      </c>
      <c r="G671" s="1">
        <f>value(SGD!$B671)</f>
        <v>7257.0818</v>
      </c>
      <c r="H671" s="1">
        <f>value(MYR!$B671)</f>
        <v>3011.51542</v>
      </c>
      <c r="I671" s="1">
        <f>value(THB!$B671)</f>
        <v>297.82713</v>
      </c>
      <c r="J671" s="1">
        <f>value(VND!$B671)</f>
        <v>0.4408653839</v>
      </c>
      <c r="K671" s="1">
        <f>value(CNY!$B671)</f>
        <v>1455.412381</v>
      </c>
      <c r="L671" s="1">
        <f>value(HKD!$B671)</f>
        <v>1176.87838</v>
      </c>
      <c r="M671" s="1">
        <f>value(TWD!$B671)</f>
        <v>308.6954</v>
      </c>
      <c r="N671" s="1">
        <f>value(JPY!$B671)</f>
        <v>110.05265</v>
      </c>
      <c r="O671" s="1">
        <f>value(SAR!$B671)</f>
        <v>2430.704105</v>
      </c>
      <c r="P671" s="1">
        <f>value(AED!$B671)</f>
        <v>2495.8906</v>
      </c>
      <c r="Q671" s="1">
        <f>value(KWD!$B671)</f>
        <v>33010.28061</v>
      </c>
    </row>
    <row r="672">
      <c r="A672" s="4">
        <f>value(USD!A672)</f>
        <v>40980.99861</v>
      </c>
      <c r="B672" s="1">
        <f>value(USD!B672)</f>
        <v>9133</v>
      </c>
      <c r="C672" s="1">
        <f>value(AUD!$B672)</f>
        <v>9557.009</v>
      </c>
      <c r="D672" s="1">
        <f>value(EUR!$B672)</f>
        <v>11926.5608</v>
      </c>
      <c r="E672" s="1">
        <f>value(GBP!$B672)</f>
        <v>14341.0113</v>
      </c>
      <c r="F672" s="1">
        <f>value(CHF!$B672)</f>
        <v>9830.9827</v>
      </c>
      <c r="G672" s="1">
        <f>value(SGD!$B672)</f>
        <v>7217.78673</v>
      </c>
      <c r="H672" s="1">
        <f>value(MYR!$B672)</f>
        <v>2993.91862</v>
      </c>
      <c r="I672" s="1">
        <f>value(THB!$B672)</f>
        <v>297.15609</v>
      </c>
      <c r="J672" s="1">
        <f>value(VND!$B672)</f>
        <v>0.446272943</v>
      </c>
      <c r="K672" s="1">
        <f>value(CNY!$B672)</f>
        <v>1438.268775</v>
      </c>
      <c r="L672" s="1">
        <f>value(HKD!$B672)</f>
        <v>1180.46929</v>
      </c>
      <c r="M672" s="1">
        <f>value(TWD!$B672)</f>
        <v>308.97636</v>
      </c>
      <c r="N672" s="1">
        <f>value(JPY!$B672)</f>
        <v>109.22296</v>
      </c>
      <c r="O672" s="1">
        <f>value(SAR!$B672)</f>
        <v>2440.595232</v>
      </c>
      <c r="P672" s="1">
        <f>value(AED!$B672)</f>
        <v>2499.42894</v>
      </c>
      <c r="Q672" s="1">
        <f>value(KWD!$B672)</f>
        <v>33003.23832</v>
      </c>
    </row>
    <row r="673">
      <c r="A673" s="4">
        <f>value(USD!A673)</f>
        <v>40981.99861</v>
      </c>
      <c r="B673" s="1">
        <f>value(USD!B673)</f>
        <v>9133</v>
      </c>
      <c r="C673" s="1">
        <f>value(AUD!$B673)</f>
        <v>9635.8108</v>
      </c>
      <c r="D673" s="1">
        <f>value(EUR!$B673)</f>
        <v>11979.7062</v>
      </c>
      <c r="E673" s="1">
        <f>value(GBP!$B673)</f>
        <v>14387.7426</v>
      </c>
      <c r="F673" s="1">
        <f>value(CHF!$B673)</f>
        <v>9918.9475</v>
      </c>
      <c r="G673" s="1">
        <f>value(SGD!$B673)</f>
        <v>7247.74974</v>
      </c>
      <c r="H673" s="1">
        <f>value(MYR!$B673)</f>
        <v>2999.23316</v>
      </c>
      <c r="I673" s="1">
        <f>value(THB!$B673)</f>
        <v>297.70587</v>
      </c>
      <c r="J673" s="1">
        <f>value(VND!$B673)</f>
        <v>0.4428262353</v>
      </c>
      <c r="K673" s="1">
        <f>value(CNY!$B673)</f>
        <v>1432.868412</v>
      </c>
      <c r="L673" s="1">
        <f>value(HKD!$B673)</f>
        <v>1180.37766</v>
      </c>
      <c r="M673" s="1">
        <f>value(TWD!$B673)</f>
        <v>310.53407</v>
      </c>
      <c r="N673" s="1">
        <f>value(JPY!$B673)</f>
        <v>109.68111</v>
      </c>
      <c r="O673" s="1">
        <f>value(SAR!$B673)</f>
        <v>2442.208076</v>
      </c>
      <c r="P673" s="1">
        <f>value(AED!$B673)</f>
        <v>2498.47631</v>
      </c>
      <c r="Q673" s="1">
        <f>value(KWD!$B673)</f>
        <v>33266.1119</v>
      </c>
    </row>
    <row r="674">
      <c r="A674" s="4">
        <f>value(USD!A674)</f>
        <v>40982.99861</v>
      </c>
      <c r="B674" s="1">
        <f>value(USD!B674)</f>
        <v>9163</v>
      </c>
      <c r="C674" s="1">
        <f>value(AUD!$B674)</f>
        <v>9633.26</v>
      </c>
      <c r="D674" s="1">
        <f>value(EUR!$B674)</f>
        <v>11988.34</v>
      </c>
      <c r="E674" s="1">
        <f>value(GBP!$B674)</f>
        <v>14415.31</v>
      </c>
      <c r="F674" s="1">
        <f>value(CHF!$B674)</f>
        <v>9936.29</v>
      </c>
      <c r="G674" s="1">
        <f>value(SGD!$B674)</f>
        <v>7234.318</v>
      </c>
      <c r="H674" s="1">
        <f>value(MYR!$B674)</f>
        <v>2973.425</v>
      </c>
      <c r="I674" s="1">
        <f>value(THB!$B674)</f>
        <v>296.023</v>
      </c>
      <c r="J674" s="1">
        <f>value(VND!$B674)</f>
        <v>0.4407594245</v>
      </c>
      <c r="K674" s="1">
        <f>value(CNY!$B674)</f>
        <v>1451.2442</v>
      </c>
      <c r="L674" s="1">
        <f>value(HKD!$B674)</f>
        <v>1172.08</v>
      </c>
      <c r="M674" s="1">
        <f>value(TWD!$B674)</f>
        <v>310.219</v>
      </c>
      <c r="N674" s="1">
        <f>value(JPY!$B674)</f>
        <v>109.018</v>
      </c>
      <c r="O674" s="1">
        <f>value(SAR!$B674)</f>
        <v>2442.012471</v>
      </c>
      <c r="P674" s="1">
        <f>value(AED!$B674)</f>
        <v>2494.5297</v>
      </c>
      <c r="Q674" s="1">
        <f>value(KWD!$B674)</f>
        <v>33152.69697</v>
      </c>
    </row>
    <row r="675">
      <c r="A675" s="4">
        <f>value(USD!A675)</f>
        <v>40983.99861</v>
      </c>
      <c r="B675" s="1">
        <f>value(USD!B675)</f>
        <v>9163</v>
      </c>
      <c r="C675" s="1">
        <f>value(AUD!$B675)</f>
        <v>9621.27129</v>
      </c>
      <c r="D675" s="1">
        <f>value(EUR!$B675)</f>
        <v>11970.02814</v>
      </c>
      <c r="E675" s="1">
        <f>value(GBP!$B675)</f>
        <v>14392.3824</v>
      </c>
      <c r="F675" s="1">
        <f>value(CHF!$B675)</f>
        <v>9922.92981</v>
      </c>
      <c r="G675" s="1">
        <f>value(SGD!$B675)</f>
        <v>7223.267778</v>
      </c>
      <c r="H675" s="1">
        <f>value(MYR!$B675)</f>
        <v>2969.155758</v>
      </c>
      <c r="I675" s="1">
        <f>value(THB!$B675)</f>
        <v>295.570833</v>
      </c>
      <c r="J675" s="1">
        <f>value(VND!$B675)</f>
        <v>0.441278229</v>
      </c>
      <c r="K675" s="1">
        <f>value(CNY!$B675)</f>
        <v>1450.61116</v>
      </c>
      <c r="L675" s="1">
        <f>value(HKD!$B675)</f>
        <v>1170.198819</v>
      </c>
      <c r="M675" s="1">
        <f>value(TWD!$B675)</f>
        <v>309.83601</v>
      </c>
      <c r="N675" s="1">
        <f>value(JPY!$B675)</f>
        <v>108.851478</v>
      </c>
      <c r="O675" s="1">
        <f>value(SAR!$B675)</f>
        <v>2441.94733</v>
      </c>
      <c r="P675" s="1">
        <f>value(AED!$B675)</f>
        <v>2514.39884</v>
      </c>
      <c r="Q675" s="1">
        <f>value(KWD!$B675)</f>
        <v>33134.8584</v>
      </c>
    </row>
    <row r="676">
      <c r="A676" s="4">
        <f>value(USD!A676)</f>
        <v>40984.99861</v>
      </c>
      <c r="B676" s="1">
        <f>value(USD!B676)</f>
        <v>9100</v>
      </c>
      <c r="C676" s="1">
        <f>value(AUD!$B676)</f>
        <v>9668.112</v>
      </c>
      <c r="D676" s="1">
        <f>value(EUR!$B676)</f>
        <v>12019.248</v>
      </c>
      <c r="E676" s="1">
        <f>value(GBP!$B676)</f>
        <v>14445.168</v>
      </c>
      <c r="F676" s="1">
        <f>value(CHF!$B676)</f>
        <v>9960.864</v>
      </c>
      <c r="G676" s="1">
        <f>value(SGD!$B676)</f>
        <v>7250.7648</v>
      </c>
      <c r="H676" s="1">
        <f>value(MYR!$B676)</f>
        <v>2981.1456</v>
      </c>
      <c r="I676" s="1">
        <f>value(THB!$B676)</f>
        <v>296.7648</v>
      </c>
      <c r="J676" s="1">
        <f>value(VND!$B676)</f>
        <v>0.4464737326</v>
      </c>
      <c r="K676" s="1">
        <f>value(CNY!$B676)</f>
        <v>1458.04938</v>
      </c>
      <c r="L676" s="1">
        <f>value(HKD!$B676)</f>
        <v>1174.7472</v>
      </c>
      <c r="M676" s="1">
        <f>value(TWD!$B676)</f>
        <v>311.0832</v>
      </c>
      <c r="N676" s="1">
        <f>value(JPY!$B676)</f>
        <v>109.2576</v>
      </c>
      <c r="O676" s="1">
        <f>value(SAR!$B676)</f>
        <v>2433.52197</v>
      </c>
      <c r="P676" s="1">
        <f>value(AED!$B676)</f>
        <v>2514.39884</v>
      </c>
      <c r="Q676" s="1">
        <f>value(KWD!$B676)</f>
        <v>33035.83869</v>
      </c>
    </row>
    <row r="677">
      <c r="A677" s="4">
        <f>value(USD!A677)</f>
        <v>40985.99861</v>
      </c>
      <c r="B677" s="1">
        <f>value(USD!B677)</f>
        <v>9086.1</v>
      </c>
      <c r="C677" s="1">
        <f>value(AUD!$B677)</f>
        <v>9655.689</v>
      </c>
      <c r="D677" s="1">
        <f>value(EUR!$B677)</f>
        <v>12052.53</v>
      </c>
      <c r="E677" s="1">
        <f>value(GBP!$B677)</f>
        <v>14473.057</v>
      </c>
      <c r="F677" s="1">
        <f>value(CHF!$B677)</f>
        <v>9991.848</v>
      </c>
      <c r="G677" s="1">
        <f>value(SGD!$B677)</f>
        <v>7248.5537</v>
      </c>
      <c r="H677" s="1">
        <f>value(MYR!$B677)</f>
        <v>2985.8936</v>
      </c>
      <c r="I677" s="1">
        <f>value(THB!$B677)</f>
        <v>296.5305</v>
      </c>
      <c r="J677" s="1">
        <f>value(VND!$B677)</f>
        <v>0.4457684797</v>
      </c>
      <c r="K677" s="1">
        <f>value(CNY!$B677)</f>
        <v>1450.5106</v>
      </c>
      <c r="L677" s="1">
        <f>value(HKD!$B677)</f>
        <v>1173.4591</v>
      </c>
      <c r="M677" s="1">
        <f>value(TWD!$B677)</f>
        <v>310.2866</v>
      </c>
      <c r="N677" s="1">
        <f>value(JPY!$B677)</f>
        <v>109.2289</v>
      </c>
      <c r="O677" s="1">
        <f>value(SAR!$B677)</f>
        <v>2409.776494</v>
      </c>
      <c r="P677" s="1">
        <f>value(AED!$B677)</f>
        <v>2514.39884</v>
      </c>
      <c r="Q677" s="1">
        <f>value(KWD!$B677)</f>
        <v>33045.1859</v>
      </c>
    </row>
    <row r="678">
      <c r="A678" s="4">
        <f>value(USD!A678)</f>
        <v>40986.99861</v>
      </c>
      <c r="B678" s="1">
        <f>value(USD!B678)</f>
        <v>9120</v>
      </c>
      <c r="C678" s="1">
        <f>value(AUD!$B678)</f>
        <v>9582.131</v>
      </c>
      <c r="D678" s="1">
        <f>value(EUR!$B678)</f>
        <v>12104.322</v>
      </c>
      <c r="E678" s="1">
        <f>value(GBP!$B678)</f>
        <v>14503.97</v>
      </c>
      <c r="F678" s="1">
        <f>value(CHF!$B678)</f>
        <v>10031.1505</v>
      </c>
      <c r="G678" s="1">
        <f>value(SGD!$B678)</f>
        <v>7234.9753</v>
      </c>
      <c r="H678" s="1">
        <f>value(MYR!$B678)</f>
        <v>2964.6261</v>
      </c>
      <c r="I678" s="1">
        <f>value(THB!$B678)</f>
        <v>296.6638</v>
      </c>
      <c r="J678" s="1">
        <f>value(VND!$B678)</f>
        <v>0.4440278695</v>
      </c>
      <c r="K678" s="1">
        <f>value(CNY!$B678)</f>
        <v>1452.7506</v>
      </c>
      <c r="L678" s="1">
        <f>value(HKD!$B678)</f>
        <v>1177.876</v>
      </c>
      <c r="M678" s="1">
        <f>value(TWD!$B678)</f>
        <v>310.7471</v>
      </c>
      <c r="N678" s="1">
        <f>value(JPY!$B678)</f>
        <v>109.28275</v>
      </c>
      <c r="O678" s="1">
        <f>value(SAR!$B678)</f>
        <v>2437.514985</v>
      </c>
      <c r="P678" s="1">
        <f>value(AED!$B678)</f>
        <v>2508.68306</v>
      </c>
      <c r="Q678" s="1">
        <f>value(KWD!$B678)</f>
        <v>32290.61814</v>
      </c>
    </row>
    <row r="679">
      <c r="A679" s="4">
        <f>value(USD!A679)</f>
        <v>40987.99861</v>
      </c>
      <c r="B679" s="1">
        <f>value(USD!B679)</f>
        <v>9110</v>
      </c>
      <c r="C679" s="1">
        <f>value(AUD!$B679)</f>
        <v>9562.012</v>
      </c>
      <c r="D679" s="1">
        <f>value(EUR!$B679)</f>
        <v>12086.032</v>
      </c>
      <c r="E679" s="1">
        <f>value(GBP!$B679)</f>
        <v>14511.286</v>
      </c>
      <c r="F679" s="1">
        <f>value(CHF!$B679)</f>
        <v>10022.0055</v>
      </c>
      <c r="G679" s="1">
        <f>value(SGD!$B679)</f>
        <v>7228.84815</v>
      </c>
      <c r="H679" s="1">
        <f>value(MYR!$B679)</f>
        <v>2964.0774</v>
      </c>
      <c r="I679" s="1">
        <f>value(THB!$B679)</f>
        <v>297.12105</v>
      </c>
      <c r="J679" s="1">
        <f>value(VND!$B679)</f>
        <v>0.4439211891</v>
      </c>
      <c r="K679" s="1">
        <f>value(CNY!$B679)</f>
        <v>1452.1969</v>
      </c>
      <c r="L679" s="1">
        <f>value(HKD!$B679)</f>
        <v>1177.78455</v>
      </c>
      <c r="M679" s="1">
        <f>value(TWD!$B679)</f>
        <v>308.7352</v>
      </c>
      <c r="N679" s="1">
        <f>value(JPY!$B679)</f>
        <v>109.83145</v>
      </c>
      <c r="O679" s="1">
        <f>value(SAR!$B679)</f>
        <v>2443.744424</v>
      </c>
      <c r="P679" s="1">
        <f>value(AED!$B679)</f>
        <v>2505.525772</v>
      </c>
      <c r="Q679" s="1">
        <f>value(KWD!$B679)</f>
        <v>33134.96265</v>
      </c>
    </row>
    <row r="680">
      <c r="A680" s="4">
        <f>value(USD!A680)</f>
        <v>40988.99861</v>
      </c>
      <c r="B680" s="1">
        <f>value(USD!B680)</f>
        <v>9145</v>
      </c>
      <c r="C680" s="1">
        <f>value(AUD!$B680)</f>
        <v>9589.722</v>
      </c>
      <c r="D680" s="1">
        <f>value(EUR!$B680)</f>
        <v>12168.556</v>
      </c>
      <c r="E680" s="1">
        <f>value(GBP!$B680)</f>
        <v>14590.65</v>
      </c>
      <c r="F680" s="1">
        <f>value(CHF!$B680)</f>
        <v>10092.212</v>
      </c>
      <c r="G680" s="1">
        <f>value(SGD!$B680)</f>
        <v>7287.3958</v>
      </c>
      <c r="H680" s="1">
        <f>value(MYR!$B680)</f>
        <v>2978.2444</v>
      </c>
      <c r="I680" s="1">
        <f>value(THB!$B680)</f>
        <v>299.2812</v>
      </c>
      <c r="J680" s="1">
        <f>value(VND!$B680)</f>
        <v>0.4439211891</v>
      </c>
      <c r="K680" s="1">
        <f>value(CNY!$B680)</f>
        <v>1450.0863</v>
      </c>
      <c r="L680" s="1">
        <f>value(HKD!$B680)</f>
        <v>1187.1672</v>
      </c>
      <c r="M680" s="1">
        <f>value(TWD!$B680)</f>
        <v>312.8346</v>
      </c>
      <c r="N680" s="1">
        <f>value(JPY!$B680)</f>
        <v>111.6542</v>
      </c>
      <c r="O680" s="1">
        <f>value(SAR!$B680)</f>
        <v>2441.52864</v>
      </c>
      <c r="P680" s="1">
        <f>value(AED!$B680)</f>
        <v>2448.313536</v>
      </c>
      <c r="Q680" s="1">
        <f>value(KWD!$B680)</f>
        <v>33019.02888</v>
      </c>
    </row>
    <row r="681">
      <c r="A681" s="4">
        <f>value(USD!A681)</f>
        <v>40989.99861</v>
      </c>
      <c r="B681" s="1">
        <f>value(USD!B681)</f>
        <v>9145</v>
      </c>
      <c r="C681" s="1">
        <f>value(AUD!$B681)</f>
        <v>9564.7555</v>
      </c>
      <c r="D681" s="1">
        <f>value(EUR!$B681)</f>
        <v>12134.5005</v>
      </c>
      <c r="E681" s="1">
        <f>value(GBP!$B681)</f>
        <v>14511.286</v>
      </c>
      <c r="F681" s="1">
        <f>value(CHF!$B681)</f>
        <v>10068.645</v>
      </c>
      <c r="G681" s="1">
        <f>value(SGD!$B681)</f>
        <v>7248.6928</v>
      </c>
      <c r="H681" s="1">
        <f>value(MYR!$B681)</f>
        <v>2969.9302</v>
      </c>
      <c r="I681" s="1">
        <f>value(THB!$B681)</f>
        <v>297.12105</v>
      </c>
      <c r="J681" s="1">
        <f>value(VND!$B681)</f>
        <v>0.4487341705</v>
      </c>
      <c r="K681" s="1">
        <f>value(CNY!$B681)</f>
        <v>1458.95734</v>
      </c>
      <c r="L681" s="1">
        <f>value(HKD!$B681)</f>
        <v>1177.1444</v>
      </c>
      <c r="M681" s="1">
        <f>value(TWD!$B681)</f>
        <v>310.1984</v>
      </c>
      <c r="N681" s="1">
        <f>value(JPY!$B681)</f>
        <v>111.0203</v>
      </c>
      <c r="O681" s="1">
        <f>value(SAR!$B681)</f>
        <v>2443.679241</v>
      </c>
      <c r="P681" s="1">
        <f>value(AED!$B681)</f>
        <v>2515.75974</v>
      </c>
      <c r="Q681" s="1">
        <f>value(KWD!$B681)</f>
        <v>33130.47519</v>
      </c>
    </row>
    <row r="682">
      <c r="A682" s="4">
        <f>value(USD!A682)</f>
        <v>40990.99861</v>
      </c>
      <c r="B682" s="1">
        <f>value(USD!B682)</f>
        <v>9220</v>
      </c>
      <c r="C682" s="1">
        <f>value(AUD!$B682)</f>
        <v>9369.2441</v>
      </c>
      <c r="D682" s="1">
        <f>value(EUR!$B682)</f>
        <v>11881.26185</v>
      </c>
      <c r="E682" s="1">
        <f>value(GBP!$B682)</f>
        <v>14211.48295</v>
      </c>
      <c r="F682" s="1">
        <f>value(CHF!$B682)</f>
        <v>9860.90105</v>
      </c>
      <c r="G682" s="1">
        <f>value(SGD!$B682)</f>
        <v>7098.48752</v>
      </c>
      <c r="H682" s="1">
        <f>value(MYR!$B682)</f>
        <v>2863.342015</v>
      </c>
      <c r="I682" s="1">
        <f>value(THB!$B682)</f>
        <v>286.128225</v>
      </c>
      <c r="J682" s="1">
        <f>value(VND!$B682)</f>
        <v>0.4425673069</v>
      </c>
      <c r="K682" s="1">
        <f>value(CNY!$B682)</f>
        <v>1459.51162</v>
      </c>
      <c r="L682" s="1">
        <f>value(HKD!$B682)</f>
        <v>1152.75196</v>
      </c>
      <c r="M682" s="1">
        <f>value(TWD!$B682)</f>
        <v>303.77056</v>
      </c>
      <c r="N682" s="1">
        <f>value(JPY!$B682)</f>
        <v>108.71977</v>
      </c>
      <c r="O682" s="1">
        <f>value(SAR!$B682)</f>
        <v>2443.281873</v>
      </c>
      <c r="P682" s="1">
        <f>value(AED!$B682)</f>
        <v>2506.7778</v>
      </c>
      <c r="Q682" s="1">
        <f>value(KWD!$B682)</f>
        <v>33077.19415</v>
      </c>
    </row>
    <row r="683">
      <c r="A683" s="4">
        <f>value(USD!A683)</f>
        <v>40991.99861</v>
      </c>
      <c r="B683" s="1">
        <f>value(USD!B683)</f>
        <v>9145</v>
      </c>
      <c r="C683" s="1">
        <f>value(AUD!$B683)</f>
        <v>9581.88</v>
      </c>
      <c r="D683" s="1">
        <f>value(EUR!$B683)</f>
        <v>12145.71</v>
      </c>
      <c r="E683" s="1">
        <f>value(GBP!$B683)</f>
        <v>14524.71</v>
      </c>
      <c r="F683" s="1">
        <f>value(CHF!$B683)</f>
        <v>10078.725</v>
      </c>
      <c r="G683" s="1">
        <f>value(SGD!$B683)</f>
        <v>7254.3945</v>
      </c>
      <c r="H683" s="1">
        <f>value(MYR!$B683)</f>
        <v>2927.1765</v>
      </c>
      <c r="I683" s="1">
        <f>value(THB!$B683)</f>
        <v>292.5255</v>
      </c>
      <c r="J683" s="1">
        <f>value(VND!$B683)</f>
        <v>0.4412439832</v>
      </c>
      <c r="K683" s="1">
        <f>value(CNY!$B683)</f>
        <v>1458.86496</v>
      </c>
      <c r="L683" s="1">
        <f>value(HKD!$B683)</f>
        <v>1177.971</v>
      </c>
      <c r="M683" s="1">
        <f>value(TWD!$B683)</f>
        <v>310.551</v>
      </c>
      <c r="N683" s="1">
        <f>value(JPY!$B683)</f>
        <v>110.8065</v>
      </c>
      <c r="O683" s="1">
        <f>value(SAR!$B683)</f>
        <v>2443.412318</v>
      </c>
      <c r="P683" s="1">
        <f>value(AED!$B683)</f>
        <v>2519.0259</v>
      </c>
      <c r="Q683" s="1">
        <f>value(KWD!$B683)</f>
        <v>33120.03095</v>
      </c>
    </row>
    <row r="684">
      <c r="A684" s="4">
        <f>value(USD!A684)</f>
        <v>40992.99861</v>
      </c>
      <c r="B684" s="1">
        <f>value(USD!B684)</f>
        <v>8955.5</v>
      </c>
      <c r="C684" s="1">
        <f>value(AUD!$B684)</f>
        <v>9630.375</v>
      </c>
      <c r="D684" s="1">
        <f>value(EUR!$B684)</f>
        <v>12220.74</v>
      </c>
      <c r="E684" s="1">
        <f>value(GBP!$B684)</f>
        <v>14600.655</v>
      </c>
      <c r="F684" s="1">
        <f>value(CHF!$B684)</f>
        <v>10130.88</v>
      </c>
      <c r="G684" s="1">
        <f>value(SGD!$B684)</f>
        <v>7277.544</v>
      </c>
      <c r="H684" s="1">
        <f>value(MYR!$B684)</f>
        <v>2972.7435</v>
      </c>
      <c r="I684" s="1">
        <f>value(THB!$B684)</f>
        <v>298.1985</v>
      </c>
      <c r="J684" s="1">
        <f>value(VND!$B684)</f>
        <v>0.4441614582</v>
      </c>
      <c r="K684" s="1">
        <f>value(CNY!$B684)</f>
        <v>1454.71911</v>
      </c>
      <c r="L684" s="1">
        <f>value(HKD!$B684)</f>
        <v>1177.788</v>
      </c>
      <c r="M684" s="1">
        <f>value(TWD!$B684)</f>
        <v>311.7405</v>
      </c>
      <c r="N684" s="1">
        <f>value(JPY!$B684)</f>
        <v>110.4405</v>
      </c>
      <c r="O684" s="1">
        <f>value(SAR!$B684)</f>
        <v>2455.592544</v>
      </c>
      <c r="P684" s="1">
        <f>value(AED!$B684)</f>
        <v>2519.5812</v>
      </c>
      <c r="Q684" s="1">
        <f>value(KWD!$B684)</f>
        <v>33200.28402</v>
      </c>
    </row>
    <row r="685">
      <c r="A685" s="4">
        <f>value(USD!A685)</f>
        <v>40993.99861</v>
      </c>
      <c r="B685" s="1">
        <f>value(USD!B685)</f>
        <v>9150</v>
      </c>
      <c r="C685" s="1">
        <f>value(AUD!$B685)</f>
        <v>9559.005</v>
      </c>
      <c r="D685" s="1">
        <f>value(EUR!$B685)</f>
        <v>12187.8</v>
      </c>
      <c r="E685" s="1">
        <f>value(GBP!$B685)</f>
        <v>14592.6945</v>
      </c>
      <c r="F685" s="1">
        <f>value(CHF!$B685)</f>
        <v>10109.835</v>
      </c>
      <c r="G685" s="1">
        <f>value(SGD!$B685)</f>
        <v>7275.165</v>
      </c>
      <c r="H685" s="1">
        <f>value(MYR!$B685)</f>
        <v>2990.6775</v>
      </c>
      <c r="I685" s="1">
        <f>value(THB!$B685)</f>
        <v>297.6495</v>
      </c>
      <c r="J685" s="1">
        <f>value(VND!$B685)</f>
        <v>0.4458752844</v>
      </c>
      <c r="K685" s="1">
        <f>value(CNY!$B685)</f>
        <v>1452.15185</v>
      </c>
      <c r="L685" s="1">
        <f>value(HKD!$B685)</f>
        <v>1178.337</v>
      </c>
      <c r="M685" s="1">
        <f>value(TWD!$B685)</f>
        <v>308.538</v>
      </c>
      <c r="N685" s="1">
        <f>value(JPY!$B685)</f>
        <v>110.0745</v>
      </c>
      <c r="O685" s="1">
        <f>value(SAR!$B685)</f>
        <v>2438.449962</v>
      </c>
      <c r="P685" s="1">
        <f>value(AED!$B685)</f>
        <v>2521.7477</v>
      </c>
      <c r="Q685" s="1">
        <f>value(KWD!$B685)</f>
        <v>33120.03095</v>
      </c>
    </row>
    <row r="686">
      <c r="A686" s="4">
        <f>value(USD!A686)</f>
        <v>40994.99861</v>
      </c>
      <c r="B686" s="1">
        <f>value(USD!B686)</f>
        <v>9150</v>
      </c>
      <c r="C686" s="1">
        <f>value(AUD!$B686)</f>
        <v>9510.144</v>
      </c>
      <c r="D686" s="1">
        <f>value(EUR!$B686)</f>
        <v>12183.225</v>
      </c>
      <c r="E686" s="1">
        <f>value(GBP!$B686)</f>
        <v>14535.69</v>
      </c>
      <c r="F686" s="1">
        <f>value(CHF!$B686)</f>
        <v>10107.09</v>
      </c>
      <c r="G686" s="1">
        <f>value(SGD!$B686)</f>
        <v>7273.4265</v>
      </c>
      <c r="H686" s="1">
        <f>value(MYR!$B686)</f>
        <v>2982.8085</v>
      </c>
      <c r="I686" s="1">
        <f>value(THB!$B686)</f>
        <v>296.7345</v>
      </c>
      <c r="J686" s="1">
        <f>value(VND!$B686)</f>
        <v>0.4480104499</v>
      </c>
      <c r="K686" s="1">
        <f>value(CNY!$B686)</f>
        <v>1418.9928</v>
      </c>
      <c r="L686" s="1">
        <f>value(HKD!$B686)</f>
        <v>1178.2455</v>
      </c>
      <c r="M686" s="1">
        <f>value(TWD!$B686)</f>
        <v>308.904</v>
      </c>
      <c r="N686" s="1">
        <f>value(JPY!$B686)</f>
        <v>110.349</v>
      </c>
      <c r="O686" s="1">
        <f>value(SAR!$B686)</f>
        <v>2443.662144</v>
      </c>
      <c r="P686" s="1">
        <f>value(AED!$B686)</f>
        <v>2527.858141</v>
      </c>
      <c r="Q686" s="1">
        <f>value(KWD!$B686)</f>
        <v>33477.43584</v>
      </c>
    </row>
    <row r="687">
      <c r="A687" s="4">
        <f>value(USD!A687)</f>
        <v>40995.99861</v>
      </c>
      <c r="B687" s="1">
        <f>value(USD!B687)</f>
        <v>9150</v>
      </c>
      <c r="C687" s="1">
        <f>value(AUD!$B687)</f>
        <v>9501.36</v>
      </c>
      <c r="D687" s="1">
        <f>value(EUR!$B687)</f>
        <v>12174.075</v>
      </c>
      <c r="E687" s="1">
        <f>value(GBP!$B687)</f>
        <v>14598.825</v>
      </c>
      <c r="F687" s="1">
        <f>value(CHF!$B687)</f>
        <v>10096.11</v>
      </c>
      <c r="G687" s="1">
        <f>value(SGD!$B687)</f>
        <v>7274.799</v>
      </c>
      <c r="H687" s="1">
        <f>value(MYR!$B687)</f>
        <v>2983.3575</v>
      </c>
      <c r="I687" s="1">
        <f>value(THB!$B687)</f>
        <v>296.1855</v>
      </c>
      <c r="J687" s="1">
        <f>value(VND!$B687)</f>
        <v>0.4491846225</v>
      </c>
      <c r="K687" s="1">
        <f>value(CNY!$B687)</f>
        <v>1466.375283</v>
      </c>
      <c r="L687" s="1">
        <f>value(HKD!$B687)</f>
        <v>1178.4285</v>
      </c>
      <c r="M687" s="1">
        <f>value(TWD!$B687)</f>
        <v>310.185</v>
      </c>
      <c r="N687" s="1">
        <f>value(JPY!$B687)</f>
        <v>110.898</v>
      </c>
      <c r="O687" s="1">
        <f>value(SAR!$B687)</f>
        <v>2445.227184</v>
      </c>
      <c r="P687" s="1">
        <f>value(AED!$B687)</f>
        <v>2521.7477</v>
      </c>
      <c r="Q687" s="1">
        <f>value(KWD!$B687)</f>
        <v>33535.27331</v>
      </c>
    </row>
    <row r="688">
      <c r="A688" s="4">
        <f>value(USD!A688)</f>
        <v>40996.99861</v>
      </c>
      <c r="B688" s="1">
        <f>value(USD!B688)</f>
        <v>9150</v>
      </c>
      <c r="C688" s="1">
        <f>value(AUD!$B688)</f>
        <v>9435.552</v>
      </c>
      <c r="D688" s="1">
        <f>value(EUR!$B688)</f>
        <v>12166.08</v>
      </c>
      <c r="E688" s="1">
        <f>value(GBP!$B688)</f>
        <v>14601.12</v>
      </c>
      <c r="F688" s="1">
        <f>value(CHF!$B688)</f>
        <v>10104.96</v>
      </c>
      <c r="G688" s="1">
        <f>value(SGD!$B688)</f>
        <v>7247.8464</v>
      </c>
      <c r="H688" s="1">
        <f>value(MYR!$B688)</f>
        <v>2975.3088</v>
      </c>
      <c r="I688" s="1">
        <f>value(THB!$B688)</f>
        <v>295.3968</v>
      </c>
      <c r="J688" s="1">
        <f>value(VND!$B688)</f>
        <v>0.4489291543</v>
      </c>
      <c r="K688" s="1">
        <f>value(CNY!$B688)</f>
        <v>1458.5454</v>
      </c>
      <c r="L688" s="1">
        <f>value(HKD!$B688)</f>
        <v>1174.2912</v>
      </c>
      <c r="M688" s="1">
        <f>value(TWD!$B688)</f>
        <v>309.168</v>
      </c>
      <c r="N688" s="1">
        <f>value(JPY!$B688)</f>
        <v>110.0784</v>
      </c>
      <c r="O688" s="1">
        <f>value(SAR!$B688)</f>
        <v>2445.096703</v>
      </c>
      <c r="P688" s="1">
        <f>value(AED!$B688)</f>
        <v>2550.3266</v>
      </c>
      <c r="Q688" s="1">
        <f>value(KWD!$B688)</f>
        <v>33430.8</v>
      </c>
    </row>
    <row r="689">
      <c r="A689" s="4">
        <f>value(USD!A689)</f>
        <v>40997.99861</v>
      </c>
      <c r="B689" s="1">
        <f>value(USD!B689)</f>
        <v>9150</v>
      </c>
      <c r="C689" s="1">
        <f>value(AUD!$B689)</f>
        <v>9429.0976</v>
      </c>
      <c r="D689" s="1">
        <f>value(EUR!$B689)</f>
        <v>12155.408</v>
      </c>
      <c r="E689" s="1">
        <f>value(GBP!$B689)</f>
        <v>14588.312</v>
      </c>
      <c r="F689" s="1">
        <f>value(CHF!$B689)</f>
        <v>10093.3624</v>
      </c>
      <c r="G689" s="1">
        <f>value(SGD!$B689)</f>
        <v>7241.48864</v>
      </c>
      <c r="H689" s="1">
        <f>value(MYR!$B689)</f>
        <v>2973.15448</v>
      </c>
      <c r="I689" s="1">
        <f>value(THB!$B689)</f>
        <v>295.2288</v>
      </c>
      <c r="J689" s="1">
        <f>value(VND!$B689)</f>
        <v>0.4501260067</v>
      </c>
      <c r="K689" s="1">
        <f>value(CNY!$B689)</f>
        <v>1454.8116</v>
      </c>
      <c r="L689" s="1">
        <f>value(HKD!$B689)</f>
        <v>1173.17</v>
      </c>
      <c r="M689" s="1">
        <f>value(TWD!$B689)</f>
        <v>308.98792</v>
      </c>
      <c r="N689" s="1">
        <f>value(JPY!$B689)</f>
        <v>109.98184</v>
      </c>
      <c r="O689" s="1">
        <f>value(SAR!$B689)</f>
        <v>2444.198205</v>
      </c>
      <c r="P689" s="1">
        <f>value(AED!$B689)</f>
        <v>2561.2138</v>
      </c>
      <c r="Q689" s="1">
        <f>value(KWD!$B689)</f>
        <v>33377.24062</v>
      </c>
    </row>
    <row r="690">
      <c r="A690" s="4">
        <f>value(USD!A690)</f>
        <v>40998.99861</v>
      </c>
      <c r="B690" s="1">
        <f>value(USD!B690)</f>
        <v>9120</v>
      </c>
      <c r="C690" s="1">
        <f>value(AUD!$B690)</f>
        <v>9568.285097</v>
      </c>
      <c r="D690" s="1">
        <f>value(EUR!$B690)</f>
        <v>12258.47733</v>
      </c>
      <c r="E690" s="1">
        <f>value(GBP!$B690)</f>
        <v>14682.85841</v>
      </c>
      <c r="F690" s="1">
        <f>value(CHF!$B690)</f>
        <v>10176.90099</v>
      </c>
      <c r="G690" s="1">
        <f>value(SGD!$B690)</f>
        <v>7315.764681</v>
      </c>
      <c r="H690" s="1">
        <f>value(MYR!$B690)</f>
        <v>2997.708249</v>
      </c>
      <c r="I690" s="1">
        <f>value(THB!$B690)</f>
        <v>297.7084969</v>
      </c>
      <c r="J690" s="1">
        <f>value(VND!$B690)</f>
        <v>0.4494518208</v>
      </c>
      <c r="K690" s="1">
        <f>value(CNY!$B690)</f>
        <v>1458.9582</v>
      </c>
      <c r="L690" s="1">
        <f>value(HKD!$B690)</f>
        <v>1180.476518</v>
      </c>
      <c r="M690" s="1">
        <f>value(TWD!$B690)</f>
        <v>311.5490089</v>
      </c>
      <c r="N690" s="1">
        <f>value(JPY!$B690)</f>
        <v>110.6324371</v>
      </c>
      <c r="O690" s="1">
        <f>value(SAR!$B690)</f>
        <v>2450.517272</v>
      </c>
      <c r="P690" s="1">
        <f>value(AED!$B690)</f>
        <v>2551.6875</v>
      </c>
      <c r="Q690" s="1">
        <f>value(KWD!$B690)</f>
        <v>33421.5656</v>
      </c>
    </row>
    <row r="691">
      <c r="A691" s="4">
        <f>value(USD!A691)</f>
        <v>40999.99861</v>
      </c>
      <c r="B691" s="1">
        <f>value(USD!B691)</f>
        <v>9112</v>
      </c>
      <c r="C691" s="1">
        <f>value(AUD!$B691)</f>
        <v>9499.1324</v>
      </c>
      <c r="D691" s="1">
        <f>value(EUR!$B691)</f>
        <v>12148.8232</v>
      </c>
      <c r="E691" s="1">
        <f>value(GBP!$B691)</f>
        <v>14616.154</v>
      </c>
      <c r="F691" s="1">
        <f>value(CHF!$B691)</f>
        <v>10090.8906</v>
      </c>
      <c r="G691" s="1">
        <f>value(SGD!$B691)</f>
        <v>7273.4286</v>
      </c>
      <c r="H691" s="1">
        <f>value(MYR!$B691)</f>
        <v>2982.68016</v>
      </c>
      <c r="I691" s="1">
        <f>value(THB!$B691)</f>
        <v>296.06146</v>
      </c>
      <c r="J691" s="1">
        <f>value(VND!$B691)</f>
        <v>0.4546777882</v>
      </c>
      <c r="K691" s="1">
        <f>value(CNY!$B691)</f>
        <v>1455.90405</v>
      </c>
      <c r="L691" s="1">
        <f>value(HKD!$B691)</f>
        <v>1174.03368</v>
      </c>
      <c r="M691" s="1">
        <f>value(TWD!$B691)</f>
        <v>308.73548</v>
      </c>
      <c r="N691" s="1">
        <f>value(JPY!$B691)</f>
        <v>111.05724</v>
      </c>
      <c r="O691" s="1">
        <f>value(SAR!$B691)</f>
        <v>2451.110903</v>
      </c>
      <c r="P691" s="1">
        <f>value(AED!$B691)</f>
        <v>2551.6875</v>
      </c>
      <c r="Q691" s="1">
        <f>value(KWD!$B691)</f>
        <v>33479.74687</v>
      </c>
    </row>
    <row r="692">
      <c r="A692" s="4">
        <f>value(USD!A692)</f>
        <v>41000.99861</v>
      </c>
      <c r="B692" s="1">
        <f>value(USD!B692)</f>
        <v>9165.902</v>
      </c>
      <c r="C692" s="1">
        <f>value(AUD!$B692)</f>
        <v>9419.30736</v>
      </c>
      <c r="D692" s="1">
        <f>value(EUR!$B692)</f>
        <v>12075.9648</v>
      </c>
      <c r="E692" s="1">
        <f>value(GBP!$B692)</f>
        <v>14527.1536</v>
      </c>
      <c r="F692" s="1">
        <f>value(CHF!$B692)</f>
        <v>10024.0192</v>
      </c>
      <c r="G692" s="1">
        <f>value(SGD!$B692)</f>
        <v>7272.80416</v>
      </c>
      <c r="H692" s="1">
        <f>value(MYR!$B692)</f>
        <v>2991.30912</v>
      </c>
      <c r="I692" s="1">
        <f>value(THB!$B692)</f>
        <v>295.5496</v>
      </c>
      <c r="J692" s="1">
        <f>value(VND!$B692)</f>
        <v>0.4556018151</v>
      </c>
      <c r="K692" s="1">
        <f>value(CNY!$B692)</f>
        <v>1457.66245</v>
      </c>
      <c r="L692" s="1">
        <f>value(HKD!$B692)</f>
        <v>1176.44272</v>
      </c>
      <c r="M692" s="1">
        <f>value(TWD!$B692)</f>
        <v>307.24368</v>
      </c>
      <c r="N692" s="1">
        <f>value(JPY!$B692)</f>
        <v>110.27152</v>
      </c>
      <c r="O692" s="1">
        <f>value(SAR!$B692)</f>
        <v>2450.582697</v>
      </c>
      <c r="P692" s="1">
        <f>value(AED!$B692)</f>
        <v>2555.076141</v>
      </c>
      <c r="Q692" s="1">
        <f>value(KWD!$B692)</f>
        <v>33498.83494</v>
      </c>
    </row>
    <row r="693">
      <c r="A693" s="4">
        <f>value(USD!A693)</f>
        <v>41001.99861</v>
      </c>
      <c r="B693" s="1">
        <f>value(USD!B693)</f>
        <v>9118</v>
      </c>
      <c r="C693" s="1">
        <f>value(AUD!$B693)</f>
        <v>9384.1575</v>
      </c>
      <c r="D693" s="1">
        <f>value(EUR!$B693)</f>
        <v>12000.762</v>
      </c>
      <c r="E693" s="1">
        <f>value(GBP!$B693)</f>
        <v>14514.1636</v>
      </c>
      <c r="F693" s="1">
        <f>value(CHF!$B693)</f>
        <v>9971.4094</v>
      </c>
      <c r="G693" s="1">
        <f>value(SGD!$B693)</f>
        <v>7253.61126</v>
      </c>
      <c r="H693" s="1">
        <f>value(MYR!$B693)</f>
        <v>2978.17997</v>
      </c>
      <c r="I693" s="1">
        <f>value(THB!$B693)</f>
        <v>294.26526</v>
      </c>
      <c r="J693" s="1">
        <f>value(VND!$B693)</f>
        <v>0.4549866468</v>
      </c>
      <c r="K693" s="1">
        <f>value(CNY!$B693)</f>
        <v>1469.513721</v>
      </c>
      <c r="L693" s="1">
        <f>value(HKD!$B693)</f>
        <v>1176.14774</v>
      </c>
      <c r="M693" s="1">
        <f>value(TWD!$B693)</f>
        <v>309.51737</v>
      </c>
      <c r="N693" s="1">
        <f>value(JPY!$B693)</f>
        <v>110.87462</v>
      </c>
      <c r="O693" s="1">
        <f>value(SAR!$B693)</f>
        <v>2448.477163</v>
      </c>
      <c r="P693" s="1">
        <f>value(AED!$B693)</f>
        <v>2551.78125</v>
      </c>
      <c r="Q693" s="1">
        <f>value(KWD!$B693)</f>
        <v>33162.89235</v>
      </c>
    </row>
    <row r="694">
      <c r="A694" s="4">
        <f>value(USD!A694)</f>
        <v>41002.99861</v>
      </c>
      <c r="B694" s="1">
        <f>value(USD!B694)</f>
        <v>9136</v>
      </c>
      <c r="C694" s="1">
        <f>value(AUD!$B694)</f>
        <v>9354.8245</v>
      </c>
      <c r="D694" s="1">
        <f>value(EUR!$B694)</f>
        <v>11866.827</v>
      </c>
      <c r="E694" s="1">
        <f>value(GBP!$B694)</f>
        <v>14375.1955</v>
      </c>
      <c r="F694" s="1">
        <f>value(CHF!$B694)</f>
        <v>9874.4865</v>
      </c>
      <c r="G694" s="1">
        <f>value(SGD!$B694)</f>
        <v>7210.31025</v>
      </c>
      <c r="H694" s="1">
        <f>value(MYR!$B694)</f>
        <v>2958.71195</v>
      </c>
      <c r="I694" s="1">
        <f>value(THB!$B694)</f>
        <v>292.80955</v>
      </c>
      <c r="J694" s="1">
        <f>value(VND!$B694)</f>
        <v>0.4604164593</v>
      </c>
      <c r="K694" s="1">
        <f>value(CNY!$B694)</f>
        <v>1461.194508</v>
      </c>
      <c r="L694" s="1">
        <f>value(HKD!$B694)</f>
        <v>1170.05715</v>
      </c>
      <c r="M694" s="1">
        <f>value(TWD!$B694)</f>
        <v>307.7998</v>
      </c>
      <c r="N694" s="1">
        <f>value(JPY!$B694)</f>
        <v>110.38275</v>
      </c>
      <c r="O694" s="1">
        <f>value(SAR!$B694)</f>
        <v>2444.130265</v>
      </c>
      <c r="P694" s="1">
        <f>value(AED!$B694)</f>
        <v>2552.50404</v>
      </c>
      <c r="Q694" s="1">
        <f>value(KWD!$B694)</f>
        <v>33428.61441</v>
      </c>
    </row>
    <row r="695">
      <c r="A695" s="4">
        <f>value(USD!A695)</f>
        <v>41003.99861</v>
      </c>
      <c r="B695" s="1">
        <f>value(USD!B695)</f>
        <v>9133</v>
      </c>
      <c r="C695" s="1">
        <f>value(AUD!$B695)</f>
        <v>9479.78304</v>
      </c>
      <c r="D695" s="1">
        <f>value(EUR!$B695)</f>
        <v>12047.53095</v>
      </c>
      <c r="E695" s="1">
        <f>value(GBP!$B695)</f>
        <v>14604.23874</v>
      </c>
      <c r="F695" s="1">
        <f>value(CHF!$B695)</f>
        <v>10031.78904</v>
      </c>
      <c r="G695" s="1">
        <f>value(SGD!$B695)</f>
        <v>7296.415308</v>
      </c>
      <c r="H695" s="1">
        <f>value(MYR!$B695)</f>
        <v>3004.016652</v>
      </c>
      <c r="I695" s="1">
        <f>value(THB!$B695)</f>
        <v>297.255231</v>
      </c>
      <c r="J695" s="1">
        <f>value(VND!$B695)</f>
        <v>0.4610278924</v>
      </c>
      <c r="K695" s="1">
        <f>value(CNY!$B695)</f>
        <v>1457.66245</v>
      </c>
      <c r="L695" s="1">
        <f>value(HKD!$B695)</f>
        <v>1184.788878</v>
      </c>
      <c r="M695" s="1">
        <f>value(TWD!$B695)</f>
        <v>312.435396</v>
      </c>
      <c r="N695" s="1">
        <f>value(JPY!$B695)</f>
        <v>112.701225</v>
      </c>
      <c r="O695" s="1">
        <f>value(SAR!$B695)</f>
        <v>2444.130265</v>
      </c>
      <c r="P695" s="1">
        <f>value(AED!$B695)</f>
        <v>2524.4695</v>
      </c>
      <c r="Q695" s="1">
        <f>value(KWD!$B695)</f>
        <v>33422.5944</v>
      </c>
    </row>
    <row r="696">
      <c r="A696" s="4">
        <f>value(USD!A696)</f>
        <v>41004.99861</v>
      </c>
      <c r="B696" s="1">
        <f>value(USD!B696)</f>
        <v>9085</v>
      </c>
      <c r="C696" s="1">
        <f>value(AUD!$B696)</f>
        <v>9361.8864</v>
      </c>
      <c r="D696" s="1">
        <f>value(EUR!$B696)</f>
        <v>11895.63712</v>
      </c>
      <c r="E696" s="1">
        <f>value(GBP!$B696)</f>
        <v>14422.12</v>
      </c>
      <c r="F696" s="1">
        <f>value(CHF!$B696)</f>
        <v>9876.99456</v>
      </c>
      <c r="G696" s="1">
        <f>value(SGD!$B696)</f>
        <v>7204.973184</v>
      </c>
      <c r="H696" s="1">
        <f>value(MYR!$B696)</f>
        <v>2904.047168</v>
      </c>
      <c r="I696" s="1">
        <f>value(THB!$B696)</f>
        <v>287.261376</v>
      </c>
      <c r="J696" s="1">
        <f>value(VND!$B696)</f>
        <v>0.4572724593</v>
      </c>
      <c r="K696" s="1">
        <f>value(CNY!$B696)</f>
        <v>1473.8073</v>
      </c>
      <c r="L696" s="1">
        <f>value(HKD!$B696)</f>
        <v>1169.940544</v>
      </c>
      <c r="M696" s="1">
        <f>value(TWD!$B696)</f>
        <v>307.883872</v>
      </c>
      <c r="N696" s="1">
        <f>value(JPY!$B696)</f>
        <v>110.289472</v>
      </c>
      <c r="O696" s="1">
        <f>value(SAR!$B696)</f>
        <v>2450.783953</v>
      </c>
      <c r="P696" s="1">
        <f>value(AED!$B696)</f>
        <v>2546.2439</v>
      </c>
      <c r="Q696" s="1">
        <f>value(KWD!$B696)</f>
        <v>33511.68561</v>
      </c>
    </row>
    <row r="697">
      <c r="A697" s="4">
        <f>value(USD!A697)</f>
        <v>41005.99861</v>
      </c>
      <c r="B697" s="1">
        <f>value(USD!B697)</f>
        <v>9200.1</v>
      </c>
      <c r="C697" s="1">
        <f>value(AUD!$B697)</f>
        <v>9343.014</v>
      </c>
      <c r="D697" s="1">
        <f>value(EUR!$B697)</f>
        <v>11885.9055</v>
      </c>
      <c r="E697" s="1">
        <f>value(GBP!$B697)</f>
        <v>14420.6205</v>
      </c>
      <c r="F697" s="1">
        <f>value(CHF!$B697)</f>
        <v>9894.4735</v>
      </c>
      <c r="G697" s="1">
        <f>value(SGD!$B697)</f>
        <v>7201.1344</v>
      </c>
      <c r="H697" s="1">
        <f>value(MYR!$B697)</f>
        <v>2963.527</v>
      </c>
      <c r="I697" s="1">
        <f>value(THB!$B697)</f>
        <v>287.72195</v>
      </c>
      <c r="J697" s="1">
        <f>value(VND!$B697)</f>
        <v>0.45526481</v>
      </c>
      <c r="K697" s="1">
        <f>value(CNY!$B697)</f>
        <v>1477.8405</v>
      </c>
      <c r="L697" s="1">
        <f>value(HKD!$B697)</f>
        <v>1169.87545</v>
      </c>
      <c r="M697" s="1">
        <f>value(TWD!$B697)</f>
        <v>308.25405</v>
      </c>
      <c r="N697" s="1">
        <f>value(JPY!$B697)</f>
        <v>111.7455</v>
      </c>
      <c r="O697" s="1">
        <f>value(SAR!$B697)</f>
        <v>2413.404058</v>
      </c>
      <c r="P697" s="1">
        <f>value(AED!$B697)</f>
        <v>2547.6048</v>
      </c>
      <c r="Q697" s="1">
        <f>value(KWD!$B697)</f>
        <v>33467.72744</v>
      </c>
    </row>
    <row r="698">
      <c r="A698" s="4">
        <f>value(USD!A698)</f>
        <v>41006.99861</v>
      </c>
      <c r="B698" s="1">
        <f>value(USD!B698)</f>
        <v>9084.8</v>
      </c>
      <c r="C698" s="1">
        <f>value(AUD!$B698)</f>
        <v>9427.8753</v>
      </c>
      <c r="D698" s="1">
        <f>value(EUR!$B698)</f>
        <v>11997.6165</v>
      </c>
      <c r="E698" s="1">
        <f>value(GBP!$B698)</f>
        <v>14553.63045</v>
      </c>
      <c r="F698" s="1">
        <f>value(CHF!$B698)</f>
        <v>9983.37135</v>
      </c>
      <c r="G698" s="1">
        <f>value(SGD!$B698)</f>
        <v>7253.84496</v>
      </c>
      <c r="H698" s="1">
        <f>value(MYR!$B698)</f>
        <v>2991.44232</v>
      </c>
      <c r="I698" s="1">
        <f>value(THB!$B698)</f>
        <v>290.377095</v>
      </c>
      <c r="J698" s="1">
        <f>value(VND!$B698)</f>
        <v>0.4510967296</v>
      </c>
      <c r="K698" s="1">
        <f>value(CNY!$B698)</f>
        <v>1469.90625</v>
      </c>
      <c r="L698" s="1">
        <f>value(HKD!$B698)</f>
        <v>1178.438655</v>
      </c>
      <c r="M698" s="1">
        <f>value(TWD!$B698)</f>
        <v>311.151</v>
      </c>
      <c r="N698" s="1">
        <f>value(JPY!$B698)</f>
        <v>112.105875</v>
      </c>
      <c r="O698" s="1">
        <f>value(SAR!$B698)</f>
        <v>2412.886348</v>
      </c>
      <c r="P698" s="1">
        <f>value(AED!$B698)</f>
        <v>2554.395691</v>
      </c>
      <c r="Q698" s="1">
        <f>value(KWD!$B698)</f>
        <v>33607.28151</v>
      </c>
    </row>
    <row r="699">
      <c r="A699" s="4">
        <f>value(USD!A699)</f>
        <v>41007.99861</v>
      </c>
      <c r="B699" s="1">
        <f>value(USD!B699)</f>
        <v>9085</v>
      </c>
      <c r="C699" s="1">
        <f>value(AUD!$B699)</f>
        <v>9365.8313</v>
      </c>
      <c r="D699" s="1">
        <f>value(EUR!$B699)</f>
        <v>11963.2324</v>
      </c>
      <c r="E699" s="1">
        <f>value(GBP!$B699)</f>
        <v>14510.314</v>
      </c>
      <c r="F699" s="1">
        <f>value(CHF!$B699)</f>
        <v>9956.8567</v>
      </c>
      <c r="G699" s="1">
        <f>value(SGD!$B699)</f>
        <v>7245.00161</v>
      </c>
      <c r="H699" s="1">
        <f>value(MYR!$B699)</f>
        <v>2980.83569</v>
      </c>
      <c r="I699" s="1">
        <f>value(THB!$B699)</f>
        <v>295.42121</v>
      </c>
      <c r="J699" s="1">
        <f>value(VND!$B699)</f>
        <v>0.4510607454</v>
      </c>
      <c r="K699" s="1">
        <f>value(CNY!$B699)</f>
        <v>1468.875</v>
      </c>
      <c r="L699" s="1">
        <f>value(HKD!$B699)</f>
        <v>1178.20822</v>
      </c>
      <c r="M699" s="1">
        <f>value(TWD!$B699)</f>
        <v>309.87663</v>
      </c>
      <c r="N699" s="1">
        <f>value(JPY!$B699)</f>
        <v>113.35611</v>
      </c>
      <c r="O699" s="1">
        <f>value(SAR!$B699)</f>
        <v>2445.463669</v>
      </c>
      <c r="P699" s="1">
        <f>value(AED!$B699)</f>
        <v>2553.0484</v>
      </c>
      <c r="Q699" s="1">
        <f>value(KWD!$B699)</f>
        <v>33577.55149</v>
      </c>
    </row>
    <row r="700">
      <c r="A700" s="4">
        <f>value(USD!A700)</f>
        <v>41008.99861</v>
      </c>
      <c r="B700" s="1">
        <f>value(USD!B700)</f>
        <v>9151.5</v>
      </c>
      <c r="C700" s="1">
        <f>value(AUD!$B700)</f>
        <v>9427.67854</v>
      </c>
      <c r="D700" s="1">
        <f>value(EUR!$B700)</f>
        <v>11999.8284</v>
      </c>
      <c r="E700" s="1">
        <f>value(GBP!$B700)</f>
        <v>14562.4633</v>
      </c>
      <c r="F700" s="1">
        <f>value(CHF!$B700)</f>
        <v>9973.3249</v>
      </c>
      <c r="G700" s="1">
        <f>value(SGD!$B700)</f>
        <v>7270.89328</v>
      </c>
      <c r="H700" s="1">
        <f>value(MYR!$B700)</f>
        <v>2979.46334</v>
      </c>
      <c r="I700" s="1">
        <f>value(THB!$B700)</f>
        <v>296.33611</v>
      </c>
      <c r="J700" s="1">
        <f>value(VND!$B700)</f>
        <v>0.4469913957</v>
      </c>
      <c r="K700" s="1">
        <f>value(CNY!$B700)</f>
        <v>1479.69565</v>
      </c>
      <c r="L700" s="1">
        <f>value(HKD!$B700)</f>
        <v>1178.20822</v>
      </c>
      <c r="M700" s="1">
        <f>value(TWD!$B700)</f>
        <v>308.96173</v>
      </c>
      <c r="N700" s="1">
        <f>value(JPY!$B700)</f>
        <v>113.08164</v>
      </c>
      <c r="O700" s="1">
        <f>value(SAR!$B700)</f>
        <v>2446.680654</v>
      </c>
      <c r="P700" s="1">
        <f>value(AED!$B700)</f>
        <v>2559.8529</v>
      </c>
      <c r="Q700" s="1">
        <f>value(KWD!$B700)</f>
        <v>33628.03083</v>
      </c>
    </row>
    <row r="701">
      <c r="A701" s="4">
        <f>value(USD!A701)</f>
        <v>41009.99861</v>
      </c>
      <c r="B701" s="1">
        <f>value(USD!B701)</f>
        <v>9149</v>
      </c>
      <c r="C701" s="1">
        <f>value(AUD!$B701)</f>
        <v>9545.1517</v>
      </c>
      <c r="D701" s="1">
        <f>value(EUR!$B701)</f>
        <v>12062.9565</v>
      </c>
      <c r="E701" s="1">
        <f>value(GBP!$B701)</f>
        <v>14597.2295</v>
      </c>
      <c r="F701" s="1">
        <f>value(CHF!$B701)</f>
        <v>10036.453</v>
      </c>
      <c r="G701" s="1">
        <f>value(SGD!$B701)</f>
        <v>7305.20203</v>
      </c>
      <c r="H701" s="1">
        <f>value(MYR!$B701)</f>
        <v>2976.07821</v>
      </c>
      <c r="I701" s="1">
        <f>value(THB!$B701)</f>
        <v>297.43399</v>
      </c>
      <c r="J701" s="1">
        <f>value(VND!$B701)</f>
        <v>0.4452348497</v>
      </c>
      <c r="K701" s="1">
        <f>value(CNY!$B701)</f>
        <v>1470.825666</v>
      </c>
      <c r="L701" s="1">
        <f>value(HKD!$B701)</f>
        <v>1178.3912</v>
      </c>
      <c r="M701" s="1">
        <f>value(TWD!$B701)</f>
        <v>310.79153</v>
      </c>
      <c r="N701" s="1">
        <f>value(JPY!$B701)</f>
        <v>113.08164</v>
      </c>
      <c r="O701" s="1">
        <f>value(SAR!$B701)</f>
        <v>2456.996544</v>
      </c>
      <c r="P701" s="1">
        <f>value(AED!$B701)</f>
        <v>2557.1311</v>
      </c>
      <c r="Q701" s="1">
        <f>value(KWD!$B701)</f>
        <v>33537.45102</v>
      </c>
    </row>
    <row r="702">
      <c r="A702" s="4">
        <f>value(USD!A702)</f>
        <v>41010.99861</v>
      </c>
      <c r="B702" s="1">
        <f>value(USD!B702)</f>
        <v>9149</v>
      </c>
      <c r="C702" s="1">
        <f>value(AUD!$B702)</f>
        <v>9451.3435</v>
      </c>
      <c r="D702" s="1">
        <f>value(EUR!$B702)</f>
        <v>11917.8625</v>
      </c>
      <c r="E702" s="1">
        <f>value(GBP!$B702)</f>
        <v>14443.629</v>
      </c>
      <c r="F702" s="1">
        <f>value(CHF!$B702)</f>
        <v>9908.005</v>
      </c>
      <c r="G702" s="1">
        <f>value(SGD!$B702)</f>
        <v>7300.7504</v>
      </c>
      <c r="H702" s="1">
        <f>value(MYR!$B702)</f>
        <v>2979.1466</v>
      </c>
      <c r="I702" s="1">
        <f>value(THB!$B702)</f>
        <v>295.8729</v>
      </c>
      <c r="J702" s="1">
        <f>value(VND!$B702)</f>
        <v>0.4563110784</v>
      </c>
      <c r="K702" s="1">
        <f>value(CNY!$B702)</f>
        <v>1470.75</v>
      </c>
      <c r="L702" s="1">
        <f>value(HKD!$B702)</f>
        <v>1174.65005</v>
      </c>
      <c r="M702" s="1">
        <f>value(TWD!$B702)</f>
        <v>306.90205</v>
      </c>
      <c r="N702" s="1">
        <f>value(JPY!$B702)</f>
        <v>112.57025</v>
      </c>
      <c r="O702" s="1">
        <f>value(SAR!$B702)</f>
        <v>2445.52896</v>
      </c>
      <c r="P702" s="1">
        <f>value(AED!$B702)</f>
        <v>2557.1311</v>
      </c>
      <c r="Q702" s="1">
        <f>value(KWD!$B702)</f>
        <v>33279.60836</v>
      </c>
    </row>
    <row r="703">
      <c r="A703" s="4">
        <f>value(USD!A703)</f>
        <v>41011.99861</v>
      </c>
      <c r="B703" s="1">
        <f>value(USD!B703)</f>
        <v>9149</v>
      </c>
      <c r="C703" s="1">
        <f>value(AUD!$B703)</f>
        <v>9360.2731</v>
      </c>
      <c r="D703" s="1">
        <f>value(EUR!$B703)</f>
        <v>11807.30303</v>
      </c>
      <c r="E703" s="1">
        <f>value(GBP!$B703)</f>
        <v>14303.07498</v>
      </c>
      <c r="F703" s="1">
        <f>value(CHF!$B703)</f>
        <v>9814.29599</v>
      </c>
      <c r="G703" s="1">
        <f>value(SGD!$B703)</f>
        <v>7229.705248</v>
      </c>
      <c r="H703" s="1">
        <f>value(MYR!$B703)</f>
        <v>2880.29233</v>
      </c>
      <c r="I703" s="1">
        <f>value(THB!$B703)</f>
        <v>286.223973</v>
      </c>
      <c r="J703" s="1">
        <f>value(VND!$B703)</f>
        <v>0.4504850618</v>
      </c>
      <c r="K703" s="1">
        <f>value(CNY!$B703)</f>
        <v>1470.4704</v>
      </c>
      <c r="L703" s="1">
        <f>value(HKD!$B703)</f>
        <v>1163.129018</v>
      </c>
      <c r="M703" s="1">
        <f>value(TWD!$B703)</f>
        <v>304.096047</v>
      </c>
      <c r="N703" s="1">
        <f>value(JPY!$B703)</f>
        <v>111.474805</v>
      </c>
      <c r="O703" s="1">
        <f>value(SAR!$B703)</f>
        <v>2448.995904</v>
      </c>
      <c r="P703" s="1">
        <f>value(AED!$B703)</f>
        <v>2548.9657</v>
      </c>
      <c r="Q703" s="1">
        <f>value(KWD!$B703)</f>
        <v>33481.10248</v>
      </c>
    </row>
    <row r="704">
      <c r="A704" s="4">
        <f>value(USD!A704)</f>
        <v>41012.99861</v>
      </c>
      <c r="B704" s="1">
        <f>value(USD!B704)</f>
        <v>9115</v>
      </c>
      <c r="C704" s="1">
        <f>value(AUD!$B704)</f>
        <v>9468.074205</v>
      </c>
      <c r="D704" s="1">
        <f>value(EUR!$B704)</f>
        <v>11940.43068</v>
      </c>
      <c r="E704" s="1">
        <f>value(GBP!$B704)</f>
        <v>14486.82075</v>
      </c>
      <c r="F704" s="1">
        <f>value(CHF!$B704)</f>
        <v>9927.81369</v>
      </c>
      <c r="G704" s="1">
        <f>value(SGD!$B704)</f>
        <v>7327.223716</v>
      </c>
      <c r="H704" s="1">
        <f>value(MYR!$B704)</f>
        <v>2912.902065</v>
      </c>
      <c r="I704" s="1">
        <f>value(THB!$B704)</f>
        <v>289.553616</v>
      </c>
      <c r="J704" s="1">
        <f>value(VND!$B704)</f>
        <v>0.4568860781</v>
      </c>
      <c r="K704" s="1">
        <f>value(CNY!$B704)</f>
        <v>1455.71125</v>
      </c>
      <c r="L704" s="1">
        <f>value(HKD!$B704)</f>
        <v>1177.773957</v>
      </c>
      <c r="M704" s="1">
        <f>value(TWD!$B704)</f>
        <v>307.467918</v>
      </c>
      <c r="N704" s="1">
        <f>value(JPY!$B704)</f>
        <v>112.969782</v>
      </c>
      <c r="O704" s="1">
        <f>value(SAR!$B704)</f>
        <v>2448.127762</v>
      </c>
      <c r="P704" s="1">
        <f>value(AED!$B704)</f>
        <v>2529.36874</v>
      </c>
      <c r="Q704" s="1">
        <f>value(KWD!$B704)</f>
        <v>33612.243</v>
      </c>
    </row>
    <row r="705">
      <c r="A705" s="4">
        <f>value(USD!A705)</f>
        <v>41013.99861</v>
      </c>
      <c r="B705" s="1">
        <f>value(USD!B705)</f>
        <v>9026.3</v>
      </c>
      <c r="C705" s="1">
        <f>value(AUD!$B705)</f>
        <v>9487.3265</v>
      </c>
      <c r="D705" s="1">
        <f>value(EUR!$B705)</f>
        <v>12025.0925</v>
      </c>
      <c r="E705" s="1">
        <f>value(GBP!$B705)</f>
        <v>14558.281</v>
      </c>
      <c r="F705" s="1">
        <f>value(CHF!$B705)</f>
        <v>10003.6685</v>
      </c>
      <c r="G705" s="1">
        <f>value(SGD!$B705)</f>
        <v>7322.26055</v>
      </c>
      <c r="H705" s="1">
        <f>value(MYR!$B705)</f>
        <v>2975.9243</v>
      </c>
      <c r="I705" s="1">
        <f>value(THB!$B705)</f>
        <v>297.26285</v>
      </c>
      <c r="J705" s="1">
        <f>value(VND!$B705)</f>
        <v>0.4564224596</v>
      </c>
      <c r="K705" s="1">
        <f>value(CNY!$B705)</f>
        <v>1467.7995</v>
      </c>
      <c r="L705" s="1">
        <f>value(HKD!$B705)</f>
        <v>1179.98795</v>
      </c>
      <c r="M705" s="1">
        <f>value(TWD!$B705)</f>
        <v>312.82635</v>
      </c>
      <c r="N705" s="1">
        <f>value(JPY!$B705)</f>
        <v>113.79665</v>
      </c>
      <c r="O705" s="1">
        <f>value(SAR!$B705)</f>
        <v>2444.19552</v>
      </c>
      <c r="P705" s="1">
        <f>value(AED!$B705)</f>
        <v>2546.869914</v>
      </c>
      <c r="Q705" s="1">
        <f>value(KWD!$B705)</f>
        <v>33635.28459</v>
      </c>
    </row>
    <row r="706">
      <c r="A706" s="4">
        <f>value(USD!A706)</f>
        <v>41014.99861</v>
      </c>
      <c r="B706" s="1">
        <f>value(USD!B706)</f>
        <v>9139.95</v>
      </c>
      <c r="C706" s="1">
        <f>value(AUD!$B706)</f>
        <v>9522.93945</v>
      </c>
      <c r="D706" s="1">
        <f>value(EUR!$B706)</f>
        <v>12022.346</v>
      </c>
      <c r="E706" s="1">
        <f>value(GBP!$B706)</f>
        <v>14585.746</v>
      </c>
      <c r="F706" s="1">
        <f>value(CHF!$B706)</f>
        <v>10005.4995</v>
      </c>
      <c r="G706" s="1">
        <f>value(SGD!$B706)</f>
        <v>7332.2395</v>
      </c>
      <c r="H706" s="1">
        <f>value(MYR!$B706)</f>
        <v>2981.2342</v>
      </c>
      <c r="I706" s="1">
        <f>value(THB!$B706)</f>
        <v>297.07975</v>
      </c>
      <c r="J706" s="1">
        <f>value(VND!$B706)</f>
        <v>0.4573556556</v>
      </c>
      <c r="K706" s="1">
        <f>value(CNY!$B706)</f>
        <v>1466.9928</v>
      </c>
      <c r="L706" s="1">
        <f>value(HKD!$B706)</f>
        <v>1179.7133</v>
      </c>
      <c r="M706" s="1">
        <f>value(TWD!$B706)</f>
        <v>310.3545</v>
      </c>
      <c r="N706" s="1">
        <f>value(JPY!$B706)</f>
        <v>113.06425</v>
      </c>
      <c r="O706" s="1">
        <f>value(SAR!$B706)</f>
        <v>2463.597969</v>
      </c>
      <c r="P706" s="1">
        <f>value(AED!$B706)</f>
        <v>2551.905244</v>
      </c>
      <c r="Q706" s="1">
        <f>value(KWD!$B706)</f>
        <v>33676.90893</v>
      </c>
    </row>
    <row r="707">
      <c r="A707" s="4">
        <f>value(USD!A707)</f>
        <v>41015.99861</v>
      </c>
      <c r="B707" s="1">
        <f>value(USD!B707)</f>
        <v>9155</v>
      </c>
      <c r="C707" s="1">
        <f>value(AUD!$B707)</f>
        <v>9476.3405</v>
      </c>
      <c r="D707" s="1">
        <f>value(EUR!$B707)</f>
        <v>12004.9515</v>
      </c>
      <c r="E707" s="1">
        <f>value(GBP!$B707)</f>
        <v>14661.7325</v>
      </c>
      <c r="F707" s="1">
        <f>value(CHF!$B707)</f>
        <v>9988.105</v>
      </c>
      <c r="G707" s="1">
        <f>value(SGD!$B707)</f>
        <v>7314.6619</v>
      </c>
      <c r="H707" s="1">
        <f>value(MYR!$B707)</f>
        <v>2985.2624</v>
      </c>
      <c r="I707" s="1">
        <f>value(THB!$B707)</f>
        <v>296.34735</v>
      </c>
      <c r="J707" s="1">
        <f>value(VND!$B707)</f>
        <v>0.4478718255</v>
      </c>
      <c r="K707" s="1">
        <f>value(CNY!$B707)</f>
        <v>1436.547872</v>
      </c>
      <c r="L707" s="1">
        <f>value(HKD!$B707)</f>
        <v>1179.43865</v>
      </c>
      <c r="M707" s="1">
        <f>value(TWD!$B707)</f>
        <v>310.99535</v>
      </c>
      <c r="N707" s="1">
        <f>value(JPY!$B707)</f>
        <v>112.6065</v>
      </c>
      <c r="O707" s="1">
        <f>value(SAR!$B707)</f>
        <v>2463.597969</v>
      </c>
      <c r="P707" s="1">
        <f>value(AED!$B707)</f>
        <v>2555.851854</v>
      </c>
      <c r="Q707" s="1">
        <f>value(KWD!$B707)</f>
        <v>33617.85176</v>
      </c>
    </row>
    <row r="708">
      <c r="A708" s="4">
        <f>value(USD!A708)</f>
        <v>41016.99861</v>
      </c>
      <c r="B708" s="1">
        <f>value(USD!B708)</f>
        <v>9155</v>
      </c>
      <c r="C708" s="1">
        <f>value(AUD!$B708)</f>
        <v>9464.3206</v>
      </c>
      <c r="D708" s="1">
        <f>value(EUR!$B708)</f>
        <v>12030.1868</v>
      </c>
      <c r="E708" s="1">
        <f>value(GBP!$B708)</f>
        <v>14697.57086</v>
      </c>
      <c r="F708" s="1">
        <f>value(CHF!$B708)</f>
        <v>10006.2374</v>
      </c>
      <c r="G708" s="1">
        <f>value(SGD!$B708)</f>
        <v>7315.05294</v>
      </c>
      <c r="H708" s="1">
        <f>value(MYR!$B708)</f>
        <v>2982.73936</v>
      </c>
      <c r="I708" s="1">
        <f>value(THB!$B708)</f>
        <v>296.1319</v>
      </c>
      <c r="J708" s="1">
        <f>value(VND!$B708)</f>
        <v>0.4509851453</v>
      </c>
      <c r="K708" s="1">
        <f>value(CNY!$B708)</f>
        <v>1470.903213</v>
      </c>
      <c r="L708" s="1">
        <f>value(HKD!$B708)</f>
        <v>1179.21828</v>
      </c>
      <c r="M708" s="1">
        <f>value(TWD!$B708)</f>
        <v>310.96138</v>
      </c>
      <c r="N708" s="1">
        <f>value(JPY!$B708)</f>
        <v>112.04496</v>
      </c>
      <c r="O708" s="1">
        <f>value(SAR!$B708)</f>
        <v>2465.767975</v>
      </c>
      <c r="P708" s="1">
        <f>value(AED!$B708)</f>
        <v>2558.464782</v>
      </c>
      <c r="Q708" s="1">
        <f>value(KWD!$B708)</f>
        <v>33296.42324</v>
      </c>
    </row>
    <row r="709">
      <c r="A709" s="4">
        <f>value(USD!A709)</f>
        <v>41017.99861</v>
      </c>
      <c r="B709" s="1">
        <f>value(USD!B709)</f>
        <v>9155</v>
      </c>
      <c r="C709" s="1">
        <f>value(AUD!$B709)</f>
        <v>9500.0212</v>
      </c>
      <c r="D709" s="1">
        <f>value(EUR!$B709)</f>
        <v>12098.8418</v>
      </c>
      <c r="E709" s="1">
        <f>value(GBP!$B709)</f>
        <v>14758.0788</v>
      </c>
      <c r="F709" s="1">
        <f>value(CHF!$B709)</f>
        <v>10067.5692</v>
      </c>
      <c r="G709" s="1">
        <f>value(SGD!$B709)</f>
        <v>7330.24858</v>
      </c>
      <c r="H709" s="1">
        <f>value(MYR!$B709)</f>
        <v>2986.9502</v>
      </c>
      <c r="I709" s="1">
        <f>value(THB!$B709)</f>
        <v>295.85728</v>
      </c>
      <c r="J709" s="1">
        <f>value(VND!$B709)</f>
        <v>0.4471827937</v>
      </c>
      <c r="K709" s="1">
        <f>value(CNY!$B709)</f>
        <v>1470.4088</v>
      </c>
      <c r="L709" s="1">
        <f>value(HKD!$B709)</f>
        <v>1179.4929</v>
      </c>
      <c r="M709" s="1">
        <f>value(TWD!$B709)</f>
        <v>311.05292</v>
      </c>
      <c r="N709" s="1">
        <f>value(JPY!$B709)</f>
        <v>112.22804</v>
      </c>
      <c r="O709" s="1">
        <f>value(SAR!$B709)</f>
        <v>2457.99767</v>
      </c>
      <c r="P709" s="1">
        <f>value(AED!$B709)</f>
        <v>2562.03034</v>
      </c>
      <c r="Q709" s="1">
        <f>value(KWD!$B709)</f>
        <v>33705.17317</v>
      </c>
    </row>
    <row r="710">
      <c r="A710" s="4">
        <f>value(USD!A710)</f>
        <v>41018.99861</v>
      </c>
      <c r="B710" s="1">
        <f>value(USD!B710)</f>
        <v>9154</v>
      </c>
      <c r="C710" s="1">
        <f>value(AUD!$B710)</f>
        <v>9551.977905</v>
      </c>
      <c r="D710" s="1">
        <f>value(EUR!$B710)</f>
        <v>12157.31368</v>
      </c>
      <c r="E710" s="1">
        <f>value(GBP!$B710)</f>
        <v>14833.48663</v>
      </c>
      <c r="F710" s="1">
        <f>value(CHF!$B710)</f>
        <v>10122.35508</v>
      </c>
      <c r="G710" s="1">
        <f>value(SGD!$B710)</f>
        <v>7366.789316</v>
      </c>
      <c r="H710" s="1">
        <f>value(MYR!$B710)</f>
        <v>3002.207906</v>
      </c>
      <c r="I710" s="1">
        <f>value(THB!$B710)</f>
        <v>297.3321062</v>
      </c>
      <c r="J710" s="1">
        <f>value(VND!$B710)</f>
        <v>0.4568880594</v>
      </c>
      <c r="K710" s="1">
        <f>value(CNY!$B710)</f>
        <v>1474.42185</v>
      </c>
      <c r="L710" s="1">
        <f>value(HKD!$B710)</f>
        <v>1185.372583</v>
      </c>
      <c r="M710" s="1">
        <f>value(TWD!$B710)</f>
        <v>312.6034953</v>
      </c>
      <c r="N710" s="1">
        <f>value(JPY!$B710)</f>
        <v>112.8794846</v>
      </c>
      <c r="O710" s="1">
        <f>value(SAR!$B710)</f>
        <v>2454.969715</v>
      </c>
      <c r="P710" s="1">
        <f>value(AED!$B710)</f>
        <v>2537.53414</v>
      </c>
      <c r="Q710" s="1">
        <f>value(KWD!$B710)</f>
        <v>33611.32287</v>
      </c>
    </row>
    <row r="711">
      <c r="A711" s="4">
        <f>value(USD!A711)</f>
        <v>41019.99861</v>
      </c>
      <c r="B711" s="1">
        <f>value(USD!B711)</f>
        <v>9154</v>
      </c>
      <c r="C711" s="1">
        <f>value(AUD!$B711)</f>
        <v>9483.84564</v>
      </c>
      <c r="D711" s="1">
        <f>value(EUR!$B711)</f>
        <v>12072.70142</v>
      </c>
      <c r="E711" s="1">
        <f>value(GBP!$B711)</f>
        <v>14744.39912</v>
      </c>
      <c r="F711" s="1">
        <f>value(CHF!$B711)</f>
        <v>10042.52571</v>
      </c>
      <c r="G711" s="1">
        <f>value(SGD!$B711)</f>
        <v>7320.263346</v>
      </c>
      <c r="H711" s="1">
        <f>value(MYR!$B711)</f>
        <v>2980.114704</v>
      </c>
      <c r="I711" s="1">
        <f>value(THB!$B711)</f>
        <v>295.158636</v>
      </c>
      <c r="J711" s="1">
        <f>value(VND!$B711)</f>
        <v>0.4558840593</v>
      </c>
      <c r="K711" s="1">
        <f>value(CNY!$B711)</f>
        <v>1472.85415</v>
      </c>
      <c r="L711" s="1">
        <f>value(HKD!$B711)</f>
        <v>1178.074308</v>
      </c>
      <c r="M711" s="1">
        <f>value(TWD!$B711)</f>
        <v>310.337178</v>
      </c>
      <c r="N711" s="1">
        <f>value(JPY!$B711)</f>
        <v>112.010325</v>
      </c>
      <c r="O711" s="1">
        <f>value(SAR!$B711)</f>
        <v>2398.975853</v>
      </c>
      <c r="P711" s="1">
        <f>value(AED!$B711)</f>
        <v>2568.685141</v>
      </c>
      <c r="Q711" s="1">
        <f>value(KWD!$B711)</f>
        <v>33631.876</v>
      </c>
    </row>
    <row r="712">
      <c r="A712" s="4">
        <f>value(USD!A712)</f>
        <v>41020.99861</v>
      </c>
      <c r="B712" s="1">
        <f>value(USD!B712)</f>
        <v>9199.632</v>
      </c>
      <c r="C712" s="1">
        <f>value(AUD!$B712)</f>
        <v>9457.1323</v>
      </c>
      <c r="D712" s="1">
        <f>value(EUR!$B712)</f>
        <v>12052.0939</v>
      </c>
      <c r="E712" s="1">
        <f>value(GBP!$B712)</f>
        <v>14772.5886</v>
      </c>
      <c r="F712" s="1">
        <f>value(CHF!$B712)</f>
        <v>10027.0709</v>
      </c>
      <c r="G712" s="1">
        <f>value(SGD!$B712)</f>
        <v>7342.12864</v>
      </c>
      <c r="H712" s="1">
        <f>value(MYR!$B712)</f>
        <v>2986.03844</v>
      </c>
      <c r="I712" s="1">
        <f>value(THB!$B712)</f>
        <v>295.59838</v>
      </c>
      <c r="J712" s="1">
        <f>value(VND!$B712)</f>
        <v>0.4517228069</v>
      </c>
      <c r="K712" s="1">
        <f>value(CNY!$B712)</f>
        <v>1472.47835</v>
      </c>
      <c r="L712" s="1">
        <f>value(HKD!$B712)</f>
        <v>1180.65255</v>
      </c>
      <c r="M712" s="1">
        <f>value(TWD!$B712)</f>
        <v>311.26711</v>
      </c>
      <c r="N712" s="1">
        <f>value(JPY!$B712)</f>
        <v>112.88816</v>
      </c>
      <c r="O712" s="1">
        <f>value(SAR!$B712)</f>
        <v>2473.91443</v>
      </c>
      <c r="P712" s="1">
        <f>value(AED!$B712)</f>
        <v>2561.34989</v>
      </c>
      <c r="Q712" s="1">
        <f>value(KWD!$B712)</f>
        <v>33618.63077</v>
      </c>
    </row>
    <row r="713">
      <c r="A713" s="4">
        <f>value(USD!A713)</f>
        <v>41021.99861</v>
      </c>
      <c r="B713" s="1">
        <f>value(USD!B713)</f>
        <v>9143.7</v>
      </c>
      <c r="C713" s="1">
        <f>value(AUD!$B713)</f>
        <v>9461.7138</v>
      </c>
      <c r="D713" s="1">
        <f>value(EUR!$B713)</f>
        <v>12095.16</v>
      </c>
      <c r="E713" s="1">
        <f>value(GBP!$B713)</f>
        <v>14791.8309</v>
      </c>
      <c r="F713" s="1">
        <f>value(CHF!$B713)</f>
        <v>10063.7229</v>
      </c>
      <c r="G713" s="1">
        <f>value(SGD!$B713)</f>
        <v>7353.3075</v>
      </c>
      <c r="H713" s="1">
        <f>value(MYR!$B713)</f>
        <v>2986.13007</v>
      </c>
      <c r="I713" s="1">
        <f>value(THB!$B713)</f>
        <v>296.14816</v>
      </c>
      <c r="J713" s="1">
        <f>value(VND!$B713)</f>
        <v>0.4501673778</v>
      </c>
      <c r="K713" s="1">
        <f>value(CNY!$B713)</f>
        <v>1469.08755</v>
      </c>
      <c r="L713" s="1">
        <f>value(HKD!$B713)</f>
        <v>1180.74418</v>
      </c>
      <c r="M713" s="1">
        <f>value(TWD!$B713)</f>
        <v>311.72526</v>
      </c>
      <c r="N713" s="1">
        <f>value(JPY!$B713)</f>
        <v>112.61327</v>
      </c>
      <c r="O713" s="1">
        <f>value(SAR!$B713)</f>
        <v>2464.931373</v>
      </c>
      <c r="P713" s="1">
        <f>value(AED!$B713)</f>
        <v>2561.268236</v>
      </c>
      <c r="Q713" s="1">
        <f>value(KWD!$B713)</f>
        <v>33585.18272</v>
      </c>
    </row>
    <row r="714">
      <c r="A714" s="4">
        <f>value(USD!A714)</f>
        <v>41022.99861</v>
      </c>
      <c r="B714" s="1">
        <f>value(USD!B714)</f>
        <v>9163</v>
      </c>
      <c r="C714" s="1">
        <f>value(AUD!$B714)</f>
        <v>9484.6213</v>
      </c>
      <c r="D714" s="1">
        <f>value(EUR!$B714)</f>
        <v>12111.6534</v>
      </c>
      <c r="E714" s="1">
        <f>value(GBP!$B714)</f>
        <v>14809.2406</v>
      </c>
      <c r="F714" s="1">
        <f>value(CHF!$B714)</f>
        <v>10079.3</v>
      </c>
      <c r="G714" s="1">
        <f>value(SGD!$B714)</f>
        <v>7368.70134</v>
      </c>
      <c r="H714" s="1">
        <f>value(MYR!$B714)</f>
        <v>2994.01025</v>
      </c>
      <c r="I714" s="1">
        <f>value(THB!$B714)</f>
        <v>295.78164</v>
      </c>
      <c r="J714" s="1">
        <f>value(VND!$B714)</f>
        <v>0.4536077401</v>
      </c>
      <c r="K714" s="1">
        <f>value(CNY!$B714)</f>
        <v>1457.79291</v>
      </c>
      <c r="L714" s="1">
        <f>value(HKD!$B714)</f>
        <v>1180.74418</v>
      </c>
      <c r="M714" s="1">
        <f>value(TWD!$B714)</f>
        <v>311.26711</v>
      </c>
      <c r="N714" s="1">
        <f>value(JPY!$B714)</f>
        <v>112.7049</v>
      </c>
      <c r="O714" s="1">
        <f>value(SAR!$B714)</f>
        <v>2456.130904</v>
      </c>
      <c r="P714" s="1">
        <f>value(AED!$B714)</f>
        <v>2562.547482</v>
      </c>
      <c r="Q714" s="1">
        <f>value(KWD!$B714)</f>
        <v>33522.98517</v>
      </c>
    </row>
    <row r="715">
      <c r="A715" s="4">
        <f>value(USD!A715)</f>
        <v>41023.99861</v>
      </c>
      <c r="B715" s="1">
        <f>value(USD!B715)</f>
        <v>9163</v>
      </c>
      <c r="C715" s="1">
        <f>value(AUD!$B715)</f>
        <v>9486.3412</v>
      </c>
      <c r="D715" s="1">
        <f>value(EUR!$B715)</f>
        <v>12068.5306</v>
      </c>
      <c r="E715" s="1">
        <f>value(GBP!$B715)</f>
        <v>14808.21524</v>
      </c>
      <c r="F715" s="1">
        <f>value(CHF!$B715)</f>
        <v>10043.06856</v>
      </c>
      <c r="G715" s="1">
        <f>value(SGD!$B715)</f>
        <v>7369.586861</v>
      </c>
      <c r="H715" s="1">
        <f>value(MYR!$B715)</f>
        <v>2935.363319</v>
      </c>
      <c r="I715" s="1">
        <f>value(THB!$B715)</f>
        <v>296.402379</v>
      </c>
      <c r="J715" s="1">
        <f>value(VND!$B715)</f>
        <v>0.4591762702</v>
      </c>
      <c r="K715" s="1">
        <f>value(CNY!$B715)</f>
        <v>1504.404492</v>
      </c>
      <c r="L715" s="1">
        <f>value(HKD!$B715)</f>
        <v>1180.023929</v>
      </c>
      <c r="M715" s="1">
        <f>value(TWD!$B715)</f>
        <v>311.602501</v>
      </c>
      <c r="N715" s="1">
        <f>value(JPY!$B715)</f>
        <v>112.993678</v>
      </c>
      <c r="O715" s="1">
        <f>value(SAR!$B715)</f>
        <v>2468.19744</v>
      </c>
      <c r="P715" s="1">
        <f>value(AED!$B715)</f>
        <v>2562.465828</v>
      </c>
      <c r="Q715" s="1">
        <f>value(KWD!$B715)</f>
        <v>33522.98517</v>
      </c>
    </row>
    <row r="716">
      <c r="A716" s="4">
        <f>value(USD!A716)</f>
        <v>41024.99861</v>
      </c>
      <c r="B716" s="1">
        <f>value(USD!B716)</f>
        <v>9163</v>
      </c>
      <c r="C716" s="1">
        <f>value(AUD!$B716)</f>
        <v>9617.15507</v>
      </c>
      <c r="D716" s="1">
        <f>value(EUR!$B716)</f>
        <v>12175.35875</v>
      </c>
      <c r="E716" s="1">
        <f>value(GBP!$B716)</f>
        <v>14945.82717</v>
      </c>
      <c r="F716" s="1">
        <f>value(CHF!$B716)</f>
        <v>10133.57406</v>
      </c>
      <c r="G716" s="1">
        <f>value(SGD!$B716)</f>
        <v>7424.212152</v>
      </c>
      <c r="H716" s="1">
        <f>value(MYR!$B716)</f>
        <v>3016.364727</v>
      </c>
      <c r="I716" s="1">
        <f>value(THB!$B716)</f>
        <v>298.5489855</v>
      </c>
      <c r="J716" s="1">
        <f>value(VND!$B716)</f>
        <v>0.4504786964</v>
      </c>
      <c r="K716" s="1">
        <f>value(CNY!$B716)</f>
        <v>1469.563965</v>
      </c>
      <c r="L716" s="1">
        <f>value(HKD!$B716)</f>
        <v>1184.179986</v>
      </c>
      <c r="M716" s="1">
        <f>value(TWD!$B716)</f>
        <v>315.0890955</v>
      </c>
      <c r="N716" s="1">
        <f>value(JPY!$B716)</f>
        <v>114.4024275</v>
      </c>
      <c r="O716" s="1">
        <f>value(SAR!$B716)</f>
        <v>2470.305543</v>
      </c>
      <c r="P716" s="1">
        <f>value(AED!$B716)</f>
        <v>2549.78224</v>
      </c>
      <c r="Q716" s="1">
        <f>value(KWD!$B716)</f>
        <v>33535.09055</v>
      </c>
    </row>
    <row r="717">
      <c r="A717" s="4">
        <f>value(USD!A717)</f>
        <v>41025.99861</v>
      </c>
      <c r="B717" s="1">
        <f>value(USD!B717)</f>
        <v>9156.7</v>
      </c>
      <c r="C717" s="1">
        <f>value(AUD!$B717)</f>
        <v>9613.050978</v>
      </c>
      <c r="D717" s="1">
        <f>value(EUR!$B717)</f>
        <v>12155.33026</v>
      </c>
      <c r="E717" s="1">
        <f>value(GBP!$B717)</f>
        <v>14941.1757</v>
      </c>
      <c r="F717" s="1">
        <f>value(CHF!$B717)</f>
        <v>10115.8083</v>
      </c>
      <c r="G717" s="1">
        <f>value(SGD!$B717)</f>
        <v>7426.010649</v>
      </c>
      <c r="H717" s="1">
        <f>value(MYR!$B717)</f>
        <v>3011.121169</v>
      </c>
      <c r="I717" s="1">
        <f>value(THB!$B717)</f>
        <v>298.0698376</v>
      </c>
      <c r="J717" s="1">
        <f>value(VND!$B717)</f>
        <v>0.456672809</v>
      </c>
      <c r="K717" s="1">
        <f>value(CNY!$B717)</f>
        <v>1473.125696</v>
      </c>
      <c r="L717" s="1">
        <f>value(HKD!$B717)</f>
        <v>1184.466851</v>
      </c>
      <c r="M717" s="1">
        <f>value(TWD!$B717)</f>
        <v>314.6139544</v>
      </c>
      <c r="N717" s="1">
        <f>value(JPY!$B717)</f>
        <v>114.5220529</v>
      </c>
      <c r="O717" s="1">
        <f>value(SAR!$B717)</f>
        <v>2473.040761</v>
      </c>
      <c r="P717" s="1">
        <f>value(AED!$B717)</f>
        <v>2549.78224</v>
      </c>
      <c r="Q717" s="1">
        <f>value(KWD!$B717)</f>
        <v>33326.88573</v>
      </c>
    </row>
    <row r="718">
      <c r="A718" s="4">
        <f>value(USD!A718)</f>
        <v>41026.99861</v>
      </c>
      <c r="B718" s="1">
        <f>value(USD!B718)</f>
        <v>9188.95</v>
      </c>
      <c r="C718" s="1">
        <f>value(AUD!$B718)</f>
        <v>9605.209435</v>
      </c>
      <c r="D718" s="1">
        <f>value(EUR!$B718)</f>
        <v>12164.33201</v>
      </c>
      <c r="E718" s="1">
        <f>value(GBP!$B718)</f>
        <v>14947.66496</v>
      </c>
      <c r="F718" s="1">
        <f>value(CHF!$B718)</f>
        <v>10126.2229</v>
      </c>
      <c r="G718" s="1">
        <f>value(SGD!$B718)</f>
        <v>7420.628462</v>
      </c>
      <c r="H718" s="1">
        <f>value(MYR!$B718)</f>
        <v>3013.516152</v>
      </c>
      <c r="I718" s="1">
        <f>value(THB!$B718)</f>
        <v>298.273317</v>
      </c>
      <c r="J718" s="1">
        <f>value(VND!$B718)</f>
        <v>0.4506893235</v>
      </c>
      <c r="K718" s="1">
        <f>value(CNY!$B718)</f>
        <v>1474.183197</v>
      </c>
      <c r="L718" s="1">
        <f>value(HKD!$B718)</f>
        <v>1184.179986</v>
      </c>
      <c r="M718" s="1">
        <f>value(TWD!$B718)</f>
        <v>314.813427</v>
      </c>
      <c r="N718" s="1">
        <f>value(JPY!$B718)</f>
        <v>114.4024275</v>
      </c>
      <c r="O718" s="1">
        <f>value(SAR!$B718)</f>
        <v>2485.315478</v>
      </c>
      <c r="P718" s="1">
        <f>value(AED!$B718)</f>
        <v>2553.715241</v>
      </c>
      <c r="Q718" s="1">
        <f>value(KWD!$B718)</f>
        <v>33342.0255</v>
      </c>
    </row>
    <row r="719">
      <c r="A719" s="4">
        <f>value(USD!A719)</f>
        <v>41027.99861</v>
      </c>
      <c r="B719" s="1">
        <f>value(USD!B719)</f>
        <v>9191.176</v>
      </c>
      <c r="C719" s="1">
        <f>value(AUD!$B719)</f>
        <v>9484.2829</v>
      </c>
      <c r="D719" s="1">
        <f>value(EUR!$B719)</f>
        <v>12151.45055</v>
      </c>
      <c r="E719" s="1">
        <f>value(GBP!$B719)</f>
        <v>14892.0686</v>
      </c>
      <c r="F719" s="1">
        <f>value(CHF!$B719)</f>
        <v>10111.36569</v>
      </c>
      <c r="G719" s="1">
        <f>value(SGD!$B719)</f>
        <v>7423.448302</v>
      </c>
      <c r="H719" s="1">
        <f>value(MYR!$B719)</f>
        <v>3030.563504</v>
      </c>
      <c r="I719" s="1">
        <f>value(THB!$B719)</f>
        <v>298.484063</v>
      </c>
      <c r="J719" s="1">
        <f>value(VND!$B719)</f>
        <v>0.4515395617</v>
      </c>
      <c r="K719" s="1">
        <f>value(CNY!$B719)</f>
        <v>1474.562313</v>
      </c>
      <c r="L719" s="1">
        <f>value(HKD!$B719)</f>
        <v>1183.377757</v>
      </c>
      <c r="M719" s="1">
        <f>value(TWD!$B719)</f>
        <v>315.010403</v>
      </c>
      <c r="N719" s="1">
        <f>value(JPY!$B719)</f>
        <v>114.582624</v>
      </c>
      <c r="O719" s="1">
        <f>value(SAR!$B719)</f>
        <v>2476.851465</v>
      </c>
      <c r="P719" s="1">
        <f>value(AED!$B719)</f>
        <v>2534.866776</v>
      </c>
      <c r="Q719" s="1">
        <f>value(KWD!$B719)</f>
        <v>33397.06453</v>
      </c>
    </row>
    <row r="720">
      <c r="A720" s="4">
        <f>value(USD!A720)</f>
        <v>41029.99861</v>
      </c>
      <c r="B720" s="1">
        <f>value(USD!B720)</f>
        <v>9188.95</v>
      </c>
      <c r="C720" s="1">
        <f>value(AUD!$B720)</f>
        <v>9452.781</v>
      </c>
      <c r="D720" s="1">
        <f>value(EUR!$B720)</f>
        <v>12054.44955</v>
      </c>
      <c r="E720" s="1">
        <f>value(GBP!$B720)</f>
        <v>14843.634</v>
      </c>
      <c r="F720" s="1">
        <f>value(CHF!$B720)</f>
        <v>10032.009</v>
      </c>
      <c r="G720" s="1">
        <f>value(SGD!$B720)</f>
        <v>7389.3729</v>
      </c>
      <c r="H720" s="1">
        <f>value(MYR!$B720)</f>
        <v>3023.44185</v>
      </c>
      <c r="I720" s="1">
        <f>value(THB!$B720)</f>
        <v>296.946</v>
      </c>
      <c r="J720" s="1">
        <f>value(VND!$B720)</f>
        <v>0.4581153037</v>
      </c>
      <c r="K720" s="1">
        <f>value(CNY!$B720)</f>
        <v>1476.61731</v>
      </c>
      <c r="L720" s="1">
        <f>value(HKD!$B720)</f>
        <v>1181.1852</v>
      </c>
      <c r="M720" s="1">
        <f>value(TWD!$B720)</f>
        <v>314.1762</v>
      </c>
      <c r="N720" s="1">
        <f>value(JPY!$B720)</f>
        <v>114.3792</v>
      </c>
      <c r="O720" s="1">
        <f>value(SAR!$B720)</f>
        <v>2470.930194</v>
      </c>
      <c r="P720" s="1">
        <f>value(AED!$B720)</f>
        <v>2540.010978</v>
      </c>
      <c r="Q720" s="1">
        <f>value(KWD!$B720)</f>
        <v>33524.37874</v>
      </c>
    </row>
    <row r="721">
      <c r="A721" s="4">
        <f>value(USD!A721)</f>
        <v>41030.99861</v>
      </c>
      <c r="B721" s="1">
        <f>value(USD!B721)</f>
        <v>9181.3</v>
      </c>
      <c r="C721" s="1">
        <f>value(AUD!$B721)</f>
        <v>9401.457</v>
      </c>
      <c r="D721" s="1">
        <f>value(EUR!$B721)</f>
        <v>12051.0585</v>
      </c>
      <c r="E721" s="1">
        <f>value(GBP!$B721)</f>
        <v>14828.97</v>
      </c>
      <c r="F721" s="1">
        <f>value(CHF!$B721)</f>
        <v>10028.343</v>
      </c>
      <c r="G721" s="1">
        <f>value(SGD!$B721)</f>
        <v>7368.56835</v>
      </c>
      <c r="H721" s="1">
        <f>value(MYR!$B721)</f>
        <v>3016.84305</v>
      </c>
      <c r="I721" s="1">
        <f>value(THB!$B721)</f>
        <v>296.12115</v>
      </c>
      <c r="J721" s="1">
        <f>value(VND!$B721)</f>
        <v>0.4580929048</v>
      </c>
      <c r="K721" s="1">
        <f>value(CNY!$B721)</f>
        <v>1462.49901</v>
      </c>
      <c r="L721" s="1">
        <f>value(HKD!$B721)</f>
        <v>1181.09355</v>
      </c>
      <c r="M721" s="1">
        <f>value(TWD!$B721)</f>
        <v>313.9929</v>
      </c>
      <c r="N721" s="1">
        <f>value(JPY!$B721)</f>
        <v>114.1959</v>
      </c>
      <c r="O721" s="1">
        <f>value(SAR!$B721)</f>
        <v>2501.267903</v>
      </c>
      <c r="P721" s="1">
        <f>value(AED!$B721)</f>
        <v>2548.203596</v>
      </c>
      <c r="Q721" s="1">
        <f>value(KWD!$B721)</f>
        <v>33092.19656</v>
      </c>
    </row>
    <row r="722">
      <c r="A722" s="4">
        <f>value(USD!A722)</f>
        <v>41031.99861</v>
      </c>
      <c r="B722" s="1">
        <f>value(USD!B722)</f>
        <v>9165</v>
      </c>
      <c r="C722" s="1">
        <f>value(AUD!$B722)</f>
        <v>9355.3691</v>
      </c>
      <c r="D722" s="1">
        <f>value(EUR!$B722)</f>
        <v>12023.21158</v>
      </c>
      <c r="E722" s="1">
        <f>value(GBP!$B722)</f>
        <v>14838.09327</v>
      </c>
      <c r="F722" s="1">
        <f>value(CHF!$B722)</f>
        <v>9991.31364</v>
      </c>
      <c r="G722" s="1">
        <f>value(SGD!$B722)</f>
        <v>7382.103036</v>
      </c>
      <c r="H722" s="1">
        <f>value(MYR!$B722)</f>
        <v>3012.557509</v>
      </c>
      <c r="I722" s="1">
        <f>value(THB!$B722)</f>
        <v>296.9272845</v>
      </c>
      <c r="J722" s="1">
        <f>value(VND!$B722)</f>
        <v>0.4545760621</v>
      </c>
      <c r="K722" s="1">
        <f>value(CNY!$B722)</f>
        <v>1480.452781</v>
      </c>
      <c r="L722" s="1">
        <f>value(HKD!$B722)</f>
        <v>1184.033158</v>
      </c>
      <c r="M722" s="1">
        <f>value(TWD!$B722)</f>
        <v>313.193496</v>
      </c>
      <c r="N722" s="1">
        <f>value(JPY!$B722)</f>
        <v>115.058174</v>
      </c>
      <c r="O722" s="1">
        <f>value(SAR!$B722)</f>
        <v>2509.53408</v>
      </c>
      <c r="P722" s="1">
        <f>value(AED!$B722)</f>
        <v>2563.11906</v>
      </c>
      <c r="Q722" s="1">
        <f>value(KWD!$B722)</f>
        <v>33419.55275</v>
      </c>
    </row>
    <row r="723">
      <c r="A723" s="4">
        <f>value(USD!A723)</f>
        <v>41032.99861</v>
      </c>
      <c r="B723" s="1">
        <f>value(USD!B723)</f>
        <v>9165</v>
      </c>
      <c r="C723" s="1">
        <f>value(AUD!$B723)</f>
        <v>9211.28247</v>
      </c>
      <c r="D723" s="1">
        <f>value(EUR!$B723)</f>
        <v>11837.38933</v>
      </c>
      <c r="E723" s="1">
        <f>value(GBP!$B723)</f>
        <v>14611.90471</v>
      </c>
      <c r="F723" s="1">
        <f>value(CHF!$B723)</f>
        <v>9837.49403</v>
      </c>
      <c r="G723" s="1">
        <f>value(SGD!$B723)</f>
        <v>7269.121704</v>
      </c>
      <c r="H723" s="1">
        <f>value(MYR!$B723)</f>
        <v>2905.277765</v>
      </c>
      <c r="I723" s="1">
        <f>value(THB!$B723)</f>
        <v>285.686401</v>
      </c>
      <c r="J723" s="1">
        <f>value(VND!$B723)</f>
        <v>0.4473198784</v>
      </c>
      <c r="K723" s="1">
        <f>value(CNY!$B723)</f>
        <v>1476.50745</v>
      </c>
      <c r="L723" s="1">
        <f>value(HKD!$B723)</f>
        <v>1165.911812</v>
      </c>
      <c r="M723" s="1">
        <f>value(TWD!$B723)</f>
        <v>308.400144</v>
      </c>
      <c r="N723" s="1">
        <f>value(JPY!$B723)</f>
        <v>113.387729</v>
      </c>
      <c r="O723" s="1">
        <f>value(SAR!$B723)</f>
        <v>2500.13325</v>
      </c>
      <c r="P723" s="1">
        <f>value(AED!$B723)</f>
        <v>2530.076408</v>
      </c>
      <c r="Q723" s="1">
        <f>value(KWD!$B723)</f>
        <v>33413.67715</v>
      </c>
    </row>
    <row r="724">
      <c r="A724" s="4">
        <f>value(USD!A724)</f>
        <v>41033.99861</v>
      </c>
      <c r="B724" s="1">
        <f>value(USD!B724)</f>
        <v>9189.95</v>
      </c>
      <c r="C724" s="1">
        <f>value(AUD!$B724)</f>
        <v>9158.88548</v>
      </c>
      <c r="D724" s="1">
        <f>value(EUR!$B724)</f>
        <v>11741.97528</v>
      </c>
      <c r="E724" s="1">
        <f>value(GBP!$B724)</f>
        <v>14589.255</v>
      </c>
      <c r="F724" s="1">
        <f>value(CHF!$B724)</f>
        <v>9774.12228</v>
      </c>
      <c r="G724" s="1">
        <f>value(SGD!$B724)</f>
        <v>7232.470488</v>
      </c>
      <c r="H724" s="1">
        <f>value(MYR!$B724)</f>
        <v>2882.655836</v>
      </c>
      <c r="I724" s="1">
        <f>value(THB!$B724)</f>
        <v>283.461308</v>
      </c>
      <c r="J724" s="1">
        <f>value(VND!$B724)</f>
        <v>0.4523777189</v>
      </c>
      <c r="K724" s="1">
        <f>value(CNY!$B724)</f>
        <v>1476.554482</v>
      </c>
      <c r="L724" s="1">
        <f>value(HKD!$B724)</f>
        <v>1165.602308</v>
      </c>
      <c r="M724" s="1">
        <f>value(TWD!$B724)</f>
        <v>305.989832</v>
      </c>
      <c r="N724" s="1">
        <f>value(JPY!$B724)</f>
        <v>113.366428</v>
      </c>
      <c r="O724" s="1">
        <f>value(SAR!$B724)</f>
        <v>2500.266656</v>
      </c>
      <c r="P724" s="1">
        <f>value(AED!$B724)</f>
        <v>2552.830656</v>
      </c>
      <c r="Q724" s="1">
        <f>value(KWD!$B724)</f>
        <v>33378.73695</v>
      </c>
    </row>
    <row r="725">
      <c r="A725" s="4">
        <f>value(USD!A725)</f>
        <v>41034.99861</v>
      </c>
      <c r="B725" s="1">
        <f>value(USD!B725)</f>
        <v>9049.3</v>
      </c>
      <c r="C725" s="1">
        <f>value(AUD!$B725)</f>
        <v>9364.5874</v>
      </c>
      <c r="D725" s="1">
        <f>value(EUR!$B725)</f>
        <v>11973.269</v>
      </c>
      <c r="E725" s="1">
        <f>value(GBP!$B725)</f>
        <v>14848.064</v>
      </c>
      <c r="F725" s="1">
        <f>value(CHF!$B725)</f>
        <v>9965.039</v>
      </c>
      <c r="G725" s="1">
        <f>value(SGD!$B725)</f>
        <v>7361.3092</v>
      </c>
      <c r="H725" s="1">
        <f>value(MYR!$B725)</f>
        <v>3000.9742</v>
      </c>
      <c r="I725" s="1">
        <f>value(THB!$B725)</f>
        <v>295.5491</v>
      </c>
      <c r="J725" s="1">
        <f>value(VND!$B725)</f>
        <v>0.4507993015</v>
      </c>
      <c r="K725" s="1">
        <f>value(CNY!$B725)</f>
        <v>1478.704194</v>
      </c>
      <c r="L725" s="1">
        <f>value(HKD!$B725)</f>
        <v>1181.096</v>
      </c>
      <c r="M725" s="1">
        <f>value(TWD!$B725)</f>
        <v>313.2472</v>
      </c>
      <c r="N725" s="1">
        <f>value(JPY!$B725)</f>
        <v>114.8084</v>
      </c>
      <c r="O725" s="1">
        <f>value(SAR!$B725)</f>
        <v>2513.62008</v>
      </c>
      <c r="P725" s="1">
        <f>value(AED!$B725)</f>
        <v>2558.110948</v>
      </c>
      <c r="Q725" s="1">
        <f>value(KWD!$B725)</f>
        <v>33459.14476</v>
      </c>
    </row>
    <row r="726">
      <c r="A726" s="4">
        <f>value(USD!A726)</f>
        <v>41035.99861</v>
      </c>
      <c r="B726" s="1">
        <f>value(USD!B726)</f>
        <v>9047.6</v>
      </c>
      <c r="C726" s="1">
        <f>value(AUD!$B726)</f>
        <v>9250.3272</v>
      </c>
      <c r="D726" s="1">
        <f>value(EUR!$B726)</f>
        <v>11906.634</v>
      </c>
      <c r="E726" s="1">
        <f>value(GBP!$B726)</f>
        <v>14801.2568</v>
      </c>
      <c r="F726" s="1">
        <f>value(CHF!$B726)</f>
        <v>9912.1124</v>
      </c>
      <c r="G726" s="1">
        <f>value(SGD!$B726)</f>
        <v>7340.86608</v>
      </c>
      <c r="H726" s="1">
        <f>value(MYR!$B726)</f>
        <v>2997.19034</v>
      </c>
      <c r="I726" s="1">
        <f>value(THB!$B726)</f>
        <v>295.23686</v>
      </c>
      <c r="J726" s="1">
        <f>value(VND!$B726)</f>
        <v>0.4546420057</v>
      </c>
      <c r="K726" s="1">
        <f>value(CNY!$B726)</f>
        <v>1478.56293</v>
      </c>
      <c r="L726" s="1">
        <f>value(HKD!$B726)</f>
        <v>1180.76412</v>
      </c>
      <c r="M726" s="1">
        <f>value(TWD!$B726)</f>
        <v>311.73566</v>
      </c>
      <c r="N726" s="1">
        <f>value(JPY!$B726)</f>
        <v>114.75832</v>
      </c>
      <c r="O726" s="1">
        <f>value(SAR!$B726)</f>
        <v>2503.453426</v>
      </c>
      <c r="P726" s="1">
        <f>value(AED!$B726)</f>
        <v>2554.164338</v>
      </c>
      <c r="Q726" s="1">
        <f>value(KWD!$B726)</f>
        <v>33521.87019</v>
      </c>
    </row>
    <row r="727">
      <c r="A727" s="4">
        <f>value(USD!A727)</f>
        <v>41036.99861</v>
      </c>
      <c r="B727" s="1">
        <f>value(USD!B727)</f>
        <v>9170</v>
      </c>
      <c r="C727" s="1">
        <f>value(AUD!$B727)</f>
        <v>9257.2224</v>
      </c>
      <c r="D727" s="1">
        <f>value(EUR!$B727)</f>
        <v>11917.0155</v>
      </c>
      <c r="E727" s="1">
        <f>value(GBP!$B727)</f>
        <v>14860.569</v>
      </c>
      <c r="F727" s="1">
        <f>value(CHF!$B727)</f>
        <v>9921.4797</v>
      </c>
      <c r="G727" s="1">
        <f>value(SGD!$B727)</f>
        <v>7349.2101</v>
      </c>
      <c r="H727" s="1">
        <f>value(MYR!$B727)</f>
        <v>2998.18659</v>
      </c>
      <c r="I727" s="1">
        <f>value(THB!$B727)</f>
        <v>295.64517</v>
      </c>
      <c r="J727" s="1">
        <f>value(VND!$B727)</f>
        <v>0.4488459658</v>
      </c>
      <c r="K727" s="1">
        <f>value(CNY!$B727)</f>
        <v>1472.08752</v>
      </c>
      <c r="L727" s="1">
        <f>value(HKD!$B727)</f>
        <v>1186.6344</v>
      </c>
      <c r="M727" s="1">
        <f>value(TWD!$B727)</f>
        <v>312.78135</v>
      </c>
      <c r="N727" s="1">
        <f>value(JPY!$B727)</f>
        <v>115.62315</v>
      </c>
      <c r="O727" s="1">
        <f>value(SAR!$B727)</f>
        <v>2499.999937</v>
      </c>
      <c r="P727" s="1">
        <f>value(AED!$B727)</f>
        <v>2562.411392</v>
      </c>
      <c r="Q727" s="1">
        <f>value(KWD!$B727)</f>
        <v>33521.87019</v>
      </c>
    </row>
    <row r="728">
      <c r="A728" s="4">
        <f>value(USD!A728)</f>
        <v>41037.99861</v>
      </c>
      <c r="B728" s="1">
        <f>value(USD!B728)</f>
        <v>9166</v>
      </c>
      <c r="C728" s="1">
        <f>value(AUD!$B728)</f>
        <v>9225.937</v>
      </c>
      <c r="D728" s="1">
        <f>value(EUR!$B728)</f>
        <v>11861.395</v>
      </c>
      <c r="E728" s="1">
        <f>value(GBP!$B728)</f>
        <v>14793.961</v>
      </c>
      <c r="F728" s="1">
        <f>value(CHF!$B728)</f>
        <v>9875.173</v>
      </c>
      <c r="G728" s="1">
        <f>value(SGD!$B728)</f>
        <v>7323.6205</v>
      </c>
      <c r="H728" s="1">
        <f>value(MYR!$B728)</f>
        <v>2986.9441</v>
      </c>
      <c r="I728" s="1">
        <f>value(THB!$B728)</f>
        <v>294.1736</v>
      </c>
      <c r="J728" s="1">
        <f>value(VND!$B728)</f>
        <v>0.4568088806</v>
      </c>
      <c r="K728" s="1">
        <f>value(CNY!$B728)</f>
        <v>1472.08752</v>
      </c>
      <c r="L728" s="1">
        <f>value(HKD!$B728)</f>
        <v>1181.1877</v>
      </c>
      <c r="M728" s="1">
        <f>value(TWD!$B728)</f>
        <v>312.3302</v>
      </c>
      <c r="N728" s="1">
        <f>value(JPY!$B728)</f>
        <v>114.8084</v>
      </c>
      <c r="O728" s="1">
        <f>value(SAR!$B728)</f>
        <v>2503.203049</v>
      </c>
      <c r="P728" s="1">
        <f>value(AED!$B728)</f>
        <v>2564.75214</v>
      </c>
      <c r="Q728" s="1">
        <f>value(KWD!$B728)</f>
        <v>33530.16364</v>
      </c>
    </row>
    <row r="729">
      <c r="A729" s="4">
        <f>value(USD!A729)</f>
        <v>41038.99861</v>
      </c>
      <c r="B729" s="1">
        <f>value(USD!B729)</f>
        <v>9213</v>
      </c>
      <c r="C729" s="1">
        <f>value(AUD!$B729)</f>
        <v>9199.5294</v>
      </c>
      <c r="D729" s="1">
        <f>value(EUR!$B729)</f>
        <v>11859.8445</v>
      </c>
      <c r="E729" s="1">
        <f>value(GBP!$B729)</f>
        <v>14753.4078</v>
      </c>
      <c r="F729" s="1">
        <f>value(CHF!$B729)</f>
        <v>9872.6433</v>
      </c>
      <c r="G729" s="1">
        <f>value(SGD!$B729)</f>
        <v>7328.12583</v>
      </c>
      <c r="H729" s="1">
        <f>value(MYR!$B729)</f>
        <v>2986.03611</v>
      </c>
      <c r="I729" s="1">
        <f>value(THB!$B729)</f>
        <v>293.94783</v>
      </c>
      <c r="J729" s="1">
        <f>value(VND!$B729)</f>
        <v>0.4550939339</v>
      </c>
      <c r="K729" s="1">
        <f>value(CNY!$B729)</f>
        <v>1481.838565</v>
      </c>
      <c r="L729" s="1">
        <f>value(HKD!$B729)</f>
        <v>1182.40308</v>
      </c>
      <c r="M729" s="1">
        <f>value(TWD!$B729)</f>
        <v>311.94651</v>
      </c>
      <c r="N729" s="1">
        <f>value(JPY!$B729)</f>
        <v>114.87933</v>
      </c>
      <c r="O729" s="1">
        <f>value(SAR!$B729)</f>
        <v>2473.399216</v>
      </c>
      <c r="P729" s="1">
        <f>value(AED!$B729)</f>
        <v>2564.75214</v>
      </c>
      <c r="Q729" s="1">
        <f>value(KWD!$B729)</f>
        <v>33454.68075</v>
      </c>
    </row>
    <row r="730">
      <c r="A730" s="4">
        <f>value(USD!A730)</f>
        <v>41039.99861</v>
      </c>
      <c r="B730" s="1">
        <f>value(USD!B730)</f>
        <v>9170</v>
      </c>
      <c r="C730" s="1">
        <f>value(AUD!$B730)</f>
        <v>9196.94105</v>
      </c>
      <c r="D730" s="1">
        <f>value(EUR!$B730)</f>
        <v>11854.4063</v>
      </c>
      <c r="E730" s="1">
        <f>value(GBP!$B730)</f>
        <v>14751.4565</v>
      </c>
      <c r="F730" s="1">
        <f>value(CHF!$B730)</f>
        <v>9855.1112</v>
      </c>
      <c r="G730" s="1">
        <f>value(SGD!$B730)</f>
        <v>7325.332795</v>
      </c>
      <c r="H730" s="1">
        <f>value(MYR!$B730)</f>
        <v>2985.54058</v>
      </c>
      <c r="I730" s="1">
        <f>value(THB!$B730)</f>
        <v>293.835795</v>
      </c>
      <c r="J730" s="1">
        <f>value(VND!$B730)</f>
        <v>0.4548984421</v>
      </c>
      <c r="K730" s="1">
        <f>value(CNY!$B730)</f>
        <v>1475.484087</v>
      </c>
      <c r="L730" s="1">
        <f>value(HKD!$B730)</f>
        <v>1181.95242</v>
      </c>
      <c r="M730" s="1">
        <f>value(TWD!$B730)</f>
        <v>311.827615</v>
      </c>
      <c r="N730" s="1">
        <f>value(JPY!$B730)</f>
        <v>114.835545</v>
      </c>
      <c r="O730" s="1">
        <f>value(SAR!$B730)</f>
        <v>2494.666604</v>
      </c>
      <c r="P730" s="1">
        <f>value(AED!$B730)</f>
        <v>2564.017254</v>
      </c>
      <c r="Q730" s="1">
        <f>value(KWD!$B730)</f>
        <v>33505.25738</v>
      </c>
    </row>
    <row r="731">
      <c r="A731" s="4">
        <f>value(USD!A731)</f>
        <v>41040.99861</v>
      </c>
      <c r="B731" s="1">
        <f>value(USD!B731)</f>
        <v>9183</v>
      </c>
      <c r="C731" s="1">
        <f>value(AUD!$B731)</f>
        <v>9176.7312</v>
      </c>
      <c r="D731" s="1">
        <f>value(EUR!$B731)</f>
        <v>11817.5343</v>
      </c>
      <c r="E731" s="1">
        <f>value(GBP!$B731)</f>
        <v>14728.155</v>
      </c>
      <c r="F731" s="1">
        <f>value(CHF!$B731)</f>
        <v>9835.878</v>
      </c>
      <c r="G731" s="1">
        <f>value(SGD!$B731)</f>
        <v>7312.11195</v>
      </c>
      <c r="H731" s="1">
        <f>value(MYR!$B731)</f>
        <v>2980.2747</v>
      </c>
      <c r="I731" s="1">
        <f>value(THB!$B731)</f>
        <v>287.2311</v>
      </c>
      <c r="J731" s="1">
        <f>value(VND!$B731)</f>
        <v>0.4587467095</v>
      </c>
      <c r="K731" s="1">
        <f>value(CNY!$B731)</f>
        <v>1463.755644</v>
      </c>
      <c r="L731" s="1">
        <f>value(HKD!$B731)</f>
        <v>1180.0854</v>
      </c>
      <c r="M731" s="1">
        <f>value(TWD!$B731)</f>
        <v>310.78515</v>
      </c>
      <c r="N731" s="1">
        <f>value(JPY!$B731)</f>
        <v>114.65415</v>
      </c>
      <c r="O731" s="1">
        <f>value(SAR!$B731)</f>
        <v>2496.133036</v>
      </c>
      <c r="P731" s="1">
        <f>value(AED!$B731)</f>
        <v>2561.159364</v>
      </c>
      <c r="Q731" s="1">
        <f>value(KWD!$B731)</f>
        <v>33490.28419</v>
      </c>
    </row>
    <row r="732">
      <c r="A732" s="4">
        <f>value(USD!A732)</f>
        <v>41041.99861</v>
      </c>
      <c r="B732" s="1">
        <f>value(USD!B732)</f>
        <v>9179.5</v>
      </c>
      <c r="C732" s="1">
        <f>value(AUD!$B732)</f>
        <v>9209.3622</v>
      </c>
      <c r="D732" s="1">
        <f>value(EUR!$B732)</f>
        <v>11851.4302</v>
      </c>
      <c r="E732" s="1">
        <f>value(GBP!$B732)</f>
        <v>14872.2562</v>
      </c>
      <c r="F732" s="1">
        <f>value(CHF!$B732)</f>
        <v>9866.184</v>
      </c>
      <c r="G732" s="1">
        <f>value(SGD!$B732)</f>
        <v>7341.4386</v>
      </c>
      <c r="H732" s="1">
        <f>value(MYR!$B732)</f>
        <v>2999.5786</v>
      </c>
      <c r="I732" s="1">
        <f>value(THB!$B732)</f>
        <v>294.41506</v>
      </c>
      <c r="J732" s="1">
        <f>value(VND!$B732)</f>
        <v>0.452376378</v>
      </c>
      <c r="K732" s="1">
        <f>value(CNY!$B732)</f>
        <v>1467.846009</v>
      </c>
      <c r="L732" s="1">
        <f>value(HKD!$B732)</f>
        <v>1189.3925</v>
      </c>
      <c r="M732" s="1">
        <f>value(TWD!$B732)</f>
        <v>311.69012</v>
      </c>
      <c r="N732" s="1">
        <f>value(JPY!$B732)</f>
        <v>115.65976</v>
      </c>
      <c r="O732" s="1">
        <f>value(SAR!$B732)</f>
        <v>2493.179316</v>
      </c>
      <c r="P732" s="1">
        <f>value(AED!$B732)</f>
        <v>2563.66342</v>
      </c>
      <c r="Q732" s="1">
        <f>value(KWD!$B732)</f>
        <v>33528.9851</v>
      </c>
    </row>
    <row r="733">
      <c r="A733" s="4">
        <f>value(USD!A733)</f>
        <v>41042.99861</v>
      </c>
      <c r="B733" s="1">
        <f>value(USD!B733)</f>
        <v>9165</v>
      </c>
      <c r="C733" s="1">
        <f>value(AUD!$B733)</f>
        <v>9180.2625</v>
      </c>
      <c r="D733" s="1">
        <f>value(EUR!$B733)</f>
        <v>11764.593</v>
      </c>
      <c r="E733" s="1">
        <f>value(GBP!$B733)</f>
        <v>14771.562</v>
      </c>
      <c r="F733" s="1">
        <f>value(CHF!$B733)</f>
        <v>9793.2038</v>
      </c>
      <c r="G733" s="1">
        <f>value(SGD!$B733)</f>
        <v>7319.54454</v>
      </c>
      <c r="H733" s="1">
        <f>value(MYR!$B733)</f>
        <v>2996.06816</v>
      </c>
      <c r="I733" s="1">
        <f>value(THB!$B733)</f>
        <v>294.2303</v>
      </c>
      <c r="J733" s="1">
        <f>value(VND!$B733)</f>
        <v>0.4605571816</v>
      </c>
      <c r="K733" s="1">
        <f>value(CNY!$B733)</f>
        <v>1470.614376</v>
      </c>
      <c r="L733" s="1">
        <f>value(HKD!$B733)</f>
        <v>1189.20774</v>
      </c>
      <c r="M733" s="1">
        <f>value(TWD!$B733)</f>
        <v>310.3968</v>
      </c>
      <c r="N733" s="1">
        <f>value(JPY!$B733)</f>
        <v>115.10548</v>
      </c>
      <c r="O733" s="1">
        <f>value(SAR!$B733)</f>
        <v>2502.65327</v>
      </c>
      <c r="P733" s="1">
        <f>value(AED!$B733)</f>
        <v>2563.064624</v>
      </c>
      <c r="Q733" s="1">
        <f>value(KWD!$B733)</f>
        <v>33528.9851</v>
      </c>
    </row>
    <row r="734">
      <c r="A734" s="4">
        <f>value(USD!A734)</f>
        <v>41043.99861</v>
      </c>
      <c r="B734" s="1">
        <f>value(USD!B734)</f>
        <v>9238</v>
      </c>
      <c r="C734" s="1">
        <f>value(AUD!$B734)</f>
        <v>9165.0198</v>
      </c>
      <c r="D734" s="1">
        <f>value(EUR!$B734)</f>
        <v>11751.6598</v>
      </c>
      <c r="E734" s="1">
        <f>value(GBP!$B734)</f>
        <v>14700.4294</v>
      </c>
      <c r="F734" s="1">
        <f>value(CHF!$B734)</f>
        <v>9783.9658</v>
      </c>
      <c r="G734" s="1">
        <f>value(SGD!$B734)</f>
        <v>7287.21154</v>
      </c>
      <c r="H734" s="1">
        <f>value(MYR!$B734)</f>
        <v>2961.33328</v>
      </c>
      <c r="I734" s="1">
        <f>value(THB!$B734)</f>
        <v>294.13792</v>
      </c>
      <c r="J734" s="1">
        <f>value(VND!$B734)</f>
        <v>0.4620511983</v>
      </c>
      <c r="K734" s="1">
        <f>value(CNY!$B734)</f>
        <v>1477.33896</v>
      </c>
      <c r="L734" s="1">
        <f>value(HKD!$B734)</f>
        <v>1189.11536</v>
      </c>
      <c r="M734" s="1">
        <f>value(TWD!$B734)</f>
        <v>312.33678</v>
      </c>
      <c r="N734" s="1">
        <f>value(JPY!$B734)</f>
        <v>114.92072</v>
      </c>
      <c r="O734" s="1">
        <f>value(SAR!$B734)</f>
        <v>2501.33327</v>
      </c>
      <c r="P734" s="1">
        <f>value(AED!$B734)</f>
        <v>2565.2965</v>
      </c>
      <c r="Q734" s="1">
        <f>value(KWD!$B734)</f>
        <v>33449.2723</v>
      </c>
    </row>
    <row r="735">
      <c r="A735" s="4">
        <f>value(USD!A735)</f>
        <v>41044.99861</v>
      </c>
      <c r="B735" s="1">
        <f>value(USD!B735)</f>
        <v>9238</v>
      </c>
      <c r="C735" s="1">
        <f>value(AUD!$B735)</f>
        <v>9111.0045</v>
      </c>
      <c r="D735" s="1">
        <f>value(EUR!$B735)</f>
        <v>11697.2947</v>
      </c>
      <c r="E735" s="1">
        <f>value(GBP!$B735)</f>
        <v>14549.0345</v>
      </c>
      <c r="F735" s="1">
        <f>value(CHF!$B735)</f>
        <v>9736.8388</v>
      </c>
      <c r="G735" s="1">
        <f>value(SGD!$B735)</f>
        <v>7243.17945</v>
      </c>
      <c r="H735" s="1">
        <f>value(MYR!$B735)</f>
        <v>2956.99794</v>
      </c>
      <c r="I735" s="1">
        <f>value(THB!$B735)</f>
        <v>293.37711</v>
      </c>
      <c r="J735" s="1">
        <f>value(VND!$B735)</f>
        <v>0.4519596478</v>
      </c>
      <c r="K735" s="1">
        <f>value(CNY!$B735)</f>
        <v>1458.293728</v>
      </c>
      <c r="L735" s="1">
        <f>value(HKD!$B735)</f>
        <v>1186.2279</v>
      </c>
      <c r="M735" s="1">
        <f>value(TWD!$B735)</f>
        <v>311.5346</v>
      </c>
      <c r="N735" s="1">
        <f>value(JPY!$B735)</f>
        <v>116.1342</v>
      </c>
      <c r="O735" s="1">
        <f>value(SAR!$B735)</f>
        <v>2510.678011</v>
      </c>
      <c r="P735" s="1">
        <f>value(AED!$B735)</f>
        <v>2565.2965</v>
      </c>
      <c r="Q735" s="1">
        <f>value(KWD!$B735)</f>
        <v>33479.52401</v>
      </c>
    </row>
    <row r="736">
      <c r="A736" s="4">
        <f>value(USD!A736)</f>
        <v>41045.99861</v>
      </c>
      <c r="B736" s="1">
        <f>value(USD!B736)</f>
        <v>9238</v>
      </c>
      <c r="C736" s="1">
        <f>value(AUD!$B736)</f>
        <v>9059.95468</v>
      </c>
      <c r="D736" s="1">
        <f>value(EUR!$B736)</f>
        <v>11763.58066</v>
      </c>
      <c r="E736" s="1">
        <f>value(GBP!$B736)</f>
        <v>14554.65794</v>
      </c>
      <c r="F736" s="1">
        <f>value(CHF!$B736)</f>
        <v>9793.62506</v>
      </c>
      <c r="G736" s="1">
        <f>value(SGD!$B736)</f>
        <v>7217.309762</v>
      </c>
      <c r="H736" s="1">
        <f>value(MYR!$B736)</f>
        <v>2935.049736</v>
      </c>
      <c r="I736" s="1">
        <f>value(THB!$B736)</f>
        <v>292.73172</v>
      </c>
      <c r="J736" s="1">
        <f>value(VND!$B736)</f>
        <v>0.4606994341</v>
      </c>
      <c r="K736" s="1">
        <f>value(CNY!$B736)</f>
        <v>1483.463665</v>
      </c>
      <c r="L736" s="1">
        <f>value(HKD!$B736)</f>
        <v>1185.103196</v>
      </c>
      <c r="M736" s="1">
        <f>value(TWD!$B736)</f>
        <v>313.535924</v>
      </c>
      <c r="N736" s="1">
        <f>value(JPY!$B736)</f>
        <v>116.44831</v>
      </c>
      <c r="O736" s="1">
        <f>value(SAR!$B736)</f>
        <v>2507.60686</v>
      </c>
      <c r="P736" s="1">
        <f>value(AED!$B736)</f>
        <v>2565.02432</v>
      </c>
      <c r="Q736" s="1">
        <f>value(KWD!$B736)</f>
        <v>33565.89961</v>
      </c>
    </row>
    <row r="737">
      <c r="A737" s="4">
        <f>value(USD!A737)</f>
        <v>41046.99861</v>
      </c>
      <c r="B737" s="1">
        <f>value(USD!B737)</f>
        <v>9217</v>
      </c>
      <c r="C737" s="1">
        <f>value(AUD!$B737)</f>
        <v>8853.07584</v>
      </c>
      <c r="D737" s="1">
        <f>value(EUR!$B737)</f>
        <v>11495.8656</v>
      </c>
      <c r="E737" s="1">
        <f>value(GBP!$B737)</f>
        <v>14226.80832</v>
      </c>
      <c r="F737" s="1">
        <f>value(CHF!$B737)</f>
        <v>9569.09376</v>
      </c>
      <c r="G737" s="1">
        <f>value(SGD!$B737)</f>
        <v>7052.506656</v>
      </c>
      <c r="H737" s="1">
        <f>value(MYR!$B737)</f>
        <v>2868.659232</v>
      </c>
      <c r="I737" s="1">
        <f>value(THB!$B737)</f>
        <v>286.04736</v>
      </c>
      <c r="J737" s="1">
        <f>value(VND!$B737)</f>
        <v>0.4521872684</v>
      </c>
      <c r="K737" s="1">
        <f>value(CNY!$B737)</f>
        <v>1469.814432</v>
      </c>
      <c r="L737" s="1">
        <f>value(HKD!$B737)</f>
        <v>1157.952096</v>
      </c>
      <c r="M737" s="1">
        <f>value(TWD!$B737)</f>
        <v>306.466464</v>
      </c>
      <c r="N737" s="1">
        <f>value(JPY!$B737)</f>
        <v>113.879232</v>
      </c>
      <c r="O737" s="1">
        <f>value(SAR!$B737)</f>
        <v>2507.740739</v>
      </c>
      <c r="P737" s="1">
        <f>value(AED!$B737)</f>
        <v>2568.072736</v>
      </c>
      <c r="Q737" s="1">
        <f>value(KWD!$B737)</f>
        <v>33570.00455</v>
      </c>
    </row>
    <row r="738">
      <c r="A738" s="4">
        <f>value(USD!A738)</f>
        <v>41047.99861</v>
      </c>
      <c r="B738" s="1">
        <f>value(USD!B738)</f>
        <v>9205.4</v>
      </c>
      <c r="C738" s="1">
        <f>value(AUD!$B738)</f>
        <v>9115.026996</v>
      </c>
      <c r="D738" s="1">
        <f>value(EUR!$B738)</f>
        <v>11836.73361</v>
      </c>
      <c r="E738" s="1">
        <f>value(GBP!$B738)</f>
        <v>14660.48103</v>
      </c>
      <c r="F738" s="1">
        <f>value(CHF!$B738)</f>
        <v>9853.431381</v>
      </c>
      <c r="G738" s="1">
        <f>value(SGD!$B738)</f>
        <v>7275.602303</v>
      </c>
      <c r="H738" s="1">
        <f>value(MYR!$B738)</f>
        <v>2953.803069</v>
      </c>
      <c r="I738" s="1">
        <f>value(THB!$B738)</f>
        <v>294.6196391</v>
      </c>
      <c r="J738" s="1">
        <f>value(VND!$B738)</f>
        <v>0.456482778</v>
      </c>
      <c r="K738" s="1">
        <f>value(CNY!$B738)</f>
        <v>1474.076424</v>
      </c>
      <c r="L738" s="1">
        <f>value(HKD!$B738)</f>
        <v>1194.248499</v>
      </c>
      <c r="M738" s="1">
        <f>value(TWD!$B738)</f>
        <v>315.4916223</v>
      </c>
      <c r="N738" s="1">
        <f>value(JPY!$B738)</f>
        <v>117.1613993</v>
      </c>
      <c r="O738" s="1">
        <f>value(SAR!$B738)</f>
        <v>2499.866503</v>
      </c>
      <c r="P738" s="1">
        <f>value(AED!$B738)</f>
        <v>2573.05363</v>
      </c>
      <c r="Q738" s="1">
        <f>value(KWD!$B738)</f>
        <v>33522.92389</v>
      </c>
    </row>
    <row r="739">
      <c r="A739" s="4">
        <f>value(USD!A739)</f>
        <v>41048.99861</v>
      </c>
      <c r="B739" s="1">
        <f>value(USD!B739)</f>
        <v>8995.2</v>
      </c>
      <c r="C739" s="1">
        <f>value(AUD!$B739)</f>
        <v>9163.60263</v>
      </c>
      <c r="D739" s="1">
        <f>value(EUR!$B739)</f>
        <v>11840.283</v>
      </c>
      <c r="E739" s="1">
        <f>value(GBP!$B739)</f>
        <v>14626.21563</v>
      </c>
      <c r="F739" s="1">
        <f>value(CHF!$B739)</f>
        <v>9857.6595</v>
      </c>
      <c r="G739" s="1">
        <f>value(SGD!$B739)</f>
        <v>7281.35811</v>
      </c>
      <c r="H739" s="1">
        <f>value(MYR!$B739)</f>
        <v>2947.03812</v>
      </c>
      <c r="I739" s="1">
        <f>value(THB!$B739)</f>
        <v>294.94413</v>
      </c>
      <c r="J739" s="1">
        <f>value(VND!$B739)</f>
        <v>0.456482778</v>
      </c>
      <c r="K739" s="1">
        <f>value(CNY!$B739)</f>
        <v>1471.239198</v>
      </c>
      <c r="L739" s="1">
        <f>value(HKD!$B739)</f>
        <v>1190.40597</v>
      </c>
      <c r="M739" s="1">
        <f>value(TWD!$B739)</f>
        <v>313.79985</v>
      </c>
      <c r="N739" s="1">
        <f>value(JPY!$B739)</f>
        <v>116.4618</v>
      </c>
      <c r="O739" s="1">
        <f>value(SAR!$B739)</f>
        <v>2480.911878</v>
      </c>
      <c r="P739" s="1">
        <f>value(AED!$B739)</f>
        <v>2571.175588</v>
      </c>
      <c r="Q739" s="1">
        <f>value(KWD!$B739)</f>
        <v>33522.92389</v>
      </c>
    </row>
    <row r="740">
      <c r="A740" s="4">
        <f>value(USD!A740)</f>
        <v>41049.99861</v>
      </c>
      <c r="B740" s="1">
        <f>value(USD!B740)</f>
        <v>9276.437</v>
      </c>
      <c r="C740" s="1">
        <f>value(AUD!$B740)</f>
        <v>9018.432</v>
      </c>
      <c r="D740" s="1">
        <f>value(EUR!$B740)</f>
        <v>11671.833</v>
      </c>
      <c r="E740" s="1">
        <f>value(GBP!$B740)</f>
        <v>14520.486</v>
      </c>
      <c r="F740" s="1">
        <f>value(CHF!$B740)</f>
        <v>9718.392</v>
      </c>
      <c r="G740" s="1">
        <f>value(SGD!$B740)</f>
        <v>7219.5348</v>
      </c>
      <c r="H740" s="1">
        <f>value(MYR!$B740)</f>
        <v>2949.1341</v>
      </c>
      <c r="I740" s="1">
        <f>value(THB!$B740)</f>
        <v>292.878</v>
      </c>
      <c r="J740" s="1">
        <f>value(VND!$B740)</f>
        <v>0.452968028</v>
      </c>
      <c r="K740" s="1">
        <f>value(CNY!$B740)</f>
        <v>1474.76576</v>
      </c>
      <c r="L740" s="1">
        <f>value(HKD!$B740)</f>
        <v>1186.0638</v>
      </c>
      <c r="M740" s="1">
        <f>value(TWD!$B740)</f>
        <v>309.9165</v>
      </c>
      <c r="N740" s="1">
        <f>value(JPY!$B740)</f>
        <v>115.125</v>
      </c>
      <c r="O740" s="1">
        <f>value(SAR!$B740)</f>
        <v>2554.278336</v>
      </c>
      <c r="P740" s="1">
        <f>value(AED!$B740)</f>
        <v>2566.6574</v>
      </c>
      <c r="Q740" s="1">
        <f>value(KWD!$B740)</f>
        <v>33468.28051</v>
      </c>
    </row>
    <row r="741">
      <c r="A741" s="4">
        <f>value(USD!A741)</f>
        <v>41050.99861</v>
      </c>
      <c r="B741" s="1">
        <f>value(USD!B741)</f>
        <v>9243</v>
      </c>
      <c r="C741" s="1">
        <f>value(AUD!$B741)</f>
        <v>9037.6926</v>
      </c>
      <c r="D741" s="1">
        <f>value(EUR!$B741)</f>
        <v>11656.6725</v>
      </c>
      <c r="E741" s="1">
        <f>value(GBP!$B741)</f>
        <v>14528.499</v>
      </c>
      <c r="F741" s="1">
        <f>value(CHF!$B741)</f>
        <v>9704.793</v>
      </c>
      <c r="G741" s="1">
        <f>value(SGD!$B741)</f>
        <v>7253.6988</v>
      </c>
      <c r="H741" s="1">
        <f>value(MYR!$B741)</f>
        <v>2940.03585</v>
      </c>
      <c r="I741" s="1">
        <f>value(THB!$B741)</f>
        <v>293.47605</v>
      </c>
      <c r="J741" s="1">
        <f>value(VND!$B741)</f>
        <v>0.4580416437</v>
      </c>
      <c r="K741" s="1">
        <f>value(CNY!$B741)</f>
        <v>1474.79373</v>
      </c>
      <c r="L741" s="1">
        <f>value(HKD!$B741)</f>
        <v>1191.8589</v>
      </c>
      <c r="M741" s="1">
        <f>value(TWD!$B741)</f>
        <v>311.1531</v>
      </c>
      <c r="N741" s="1">
        <f>value(JPY!$B741)</f>
        <v>116.4279</v>
      </c>
      <c r="O741" s="1">
        <f>value(SAR!$B741)</f>
        <v>2497.611028</v>
      </c>
      <c r="P741" s="1">
        <f>value(AED!$B741)</f>
        <v>2566.6574</v>
      </c>
      <c r="Q741" s="1">
        <f>value(KWD!$B741)</f>
        <v>33454.38107</v>
      </c>
    </row>
    <row r="742">
      <c r="A742" s="4">
        <f>value(USD!A742)</f>
        <v>41051.99861</v>
      </c>
      <c r="B742" s="1">
        <f>value(USD!B742)</f>
        <v>9210</v>
      </c>
      <c r="C742" s="1">
        <f>value(AUD!$B742)</f>
        <v>9033.8055</v>
      </c>
      <c r="D742" s="1">
        <f>value(EUR!$B742)</f>
        <v>11604.8445</v>
      </c>
      <c r="E742" s="1">
        <f>value(GBP!$B742)</f>
        <v>14497.032</v>
      </c>
      <c r="F742" s="1">
        <f>value(CHF!$B742)</f>
        <v>9657.5925</v>
      </c>
      <c r="G742" s="1">
        <f>value(SGD!$B742)</f>
        <v>7246.2948</v>
      </c>
      <c r="H742" s="1">
        <f>value(MYR!$B742)</f>
        <v>2937.1668</v>
      </c>
      <c r="I742" s="1">
        <f>value(THB!$B742)</f>
        <v>292.55055</v>
      </c>
      <c r="J742" s="1">
        <f>value(VND!$B742)</f>
        <v>0.4542767873</v>
      </c>
      <c r="K742" s="1">
        <f>value(CNY!$B742)</f>
        <v>1474.79373</v>
      </c>
      <c r="L742" s="1">
        <f>value(HKD!$B742)</f>
        <v>1192.044</v>
      </c>
      <c r="M742" s="1">
        <f>value(TWD!$B742)</f>
        <v>311.7084</v>
      </c>
      <c r="N742" s="1">
        <f>value(JPY!$B742)</f>
        <v>116.33535</v>
      </c>
      <c r="O742" s="1">
        <f>value(SAR!$B742)</f>
        <v>2502.749424</v>
      </c>
      <c r="P742" s="1">
        <f>value(AED!$B742)</f>
        <v>2565.02432</v>
      </c>
      <c r="Q742" s="1">
        <f>value(KWD!$B742)</f>
        <v>33449.18011</v>
      </c>
    </row>
    <row r="743">
      <c r="A743" s="4">
        <f>value(USD!A743)</f>
        <v>41052.99861</v>
      </c>
      <c r="B743" s="1">
        <f>value(USD!B743)</f>
        <v>9255</v>
      </c>
      <c r="C743" s="1">
        <f>value(AUD!$B743)</f>
        <v>9039.8605</v>
      </c>
      <c r="D743" s="1">
        <f>value(EUR!$B743)</f>
        <v>11595.1475</v>
      </c>
      <c r="E743" s="1">
        <f>value(GBP!$B743)</f>
        <v>14512.696</v>
      </c>
      <c r="F743" s="1">
        <f>value(CHF!$B743)</f>
        <v>9652.277</v>
      </c>
      <c r="G743" s="1">
        <f>value(SGD!$B743)</f>
        <v>7228.08975</v>
      </c>
      <c r="H743" s="1">
        <f>value(MYR!$B743)</f>
        <v>2935.24465</v>
      </c>
      <c r="I743" s="1">
        <f>value(THB!$B743)</f>
        <v>292.2181</v>
      </c>
      <c r="J743" s="1">
        <f>value(VND!$B743)</f>
        <v>0.453727179</v>
      </c>
      <c r="K743" s="1">
        <f>value(CNY!$B743)</f>
        <v>1481.213768</v>
      </c>
      <c r="L743" s="1">
        <f>value(HKD!$B743)</f>
        <v>1193.332</v>
      </c>
      <c r="M743" s="1">
        <f>value(TWD!$B743)</f>
        <v>311.02605</v>
      </c>
      <c r="N743" s="1">
        <f>value(JPY!$B743)</f>
        <v>116.27575</v>
      </c>
      <c r="O743" s="1">
        <f>value(SAR!$B743)</f>
        <v>2506.486201</v>
      </c>
      <c r="P743" s="1">
        <f>value(AED!$B743)</f>
        <v>2562.411392</v>
      </c>
      <c r="Q743" s="1">
        <f>value(KWD!$B743)</f>
        <v>33530.91429</v>
      </c>
    </row>
    <row r="744">
      <c r="A744" s="4">
        <f>value(USD!A744)</f>
        <v>41053.99861</v>
      </c>
      <c r="B744" s="1">
        <f>value(USD!B744)</f>
        <v>9255</v>
      </c>
      <c r="C744" s="1">
        <f>value(AUD!$B744)</f>
        <v>9083.797941</v>
      </c>
      <c r="D744" s="1">
        <f>value(EUR!$B744)</f>
        <v>11654.56117</v>
      </c>
      <c r="E744" s="1">
        <f>value(GBP!$B744)</f>
        <v>14583.79737</v>
      </c>
      <c r="F744" s="1">
        <f>value(CHF!$B744)</f>
        <v>9703.909609</v>
      </c>
      <c r="G744" s="1">
        <f>value(SGD!$B744)</f>
        <v>7263.965727</v>
      </c>
      <c r="H744" s="1">
        <f>value(MYR!$B744)</f>
        <v>2949.999694</v>
      </c>
      <c r="I744" s="1">
        <f>value(THB!$B744)</f>
        <v>293.6684984</v>
      </c>
      <c r="J744" s="1">
        <f>value(VND!$B744)</f>
        <v>0.4529298687</v>
      </c>
      <c r="K744" s="1">
        <f>value(CNY!$B744)</f>
        <v>1474.559559</v>
      </c>
      <c r="L744" s="1">
        <f>value(HKD!$B744)</f>
        <v>1199.254996</v>
      </c>
      <c r="M744" s="1">
        <f>value(TWD!$B744)</f>
        <v>312.6629098</v>
      </c>
      <c r="N744" s="1">
        <f>value(JPY!$B744)</f>
        <v>116.8528743</v>
      </c>
      <c r="O744" s="1">
        <f>value(SAR!$B744)</f>
        <v>2509.249537</v>
      </c>
      <c r="P744" s="1">
        <f>value(AED!$B744)</f>
        <v>2561.921468</v>
      </c>
      <c r="Q744" s="1">
        <f>value(KWD!$B744)</f>
        <v>33533.37724</v>
      </c>
    </row>
    <row r="745">
      <c r="A745" s="4">
        <f>value(USD!A745)</f>
        <v>41054.99861</v>
      </c>
      <c r="B745" s="1">
        <f>value(USD!B745)</f>
        <v>9265</v>
      </c>
      <c r="C745" s="1">
        <f>value(AUD!$B745)</f>
        <v>9120.2759</v>
      </c>
      <c r="D745" s="1">
        <f>value(EUR!$B745)</f>
        <v>11679.89712</v>
      </c>
      <c r="E745" s="1">
        <f>value(GBP!$B745)</f>
        <v>14571.0803</v>
      </c>
      <c r="F745" s="1">
        <f>value(CHF!$B745)</f>
        <v>9710.028975</v>
      </c>
      <c r="G745" s="1">
        <f>value(SGD!$B745)</f>
        <v>7279.131812</v>
      </c>
      <c r="H745" s="1">
        <f>value(MYR!$B745)</f>
        <v>2887.468205</v>
      </c>
      <c r="I745" s="1">
        <f>value(THB!$B745)</f>
        <v>287.4465775</v>
      </c>
      <c r="J745" s="1">
        <f>value(VND!$B745)</f>
        <v>0.4590594819</v>
      </c>
      <c r="K745" s="1">
        <f>value(CNY!$B745)</f>
        <v>1474.233366</v>
      </c>
      <c r="L745" s="1">
        <f>value(HKD!$B745)</f>
        <v>1196.316434</v>
      </c>
      <c r="M745" s="1">
        <f>value(TWD!$B745)</f>
        <v>313.358563</v>
      </c>
      <c r="N745" s="1">
        <f>value(JPY!$B745)</f>
        <v>116.7432465</v>
      </c>
      <c r="O745" s="1">
        <f>value(SAR!$B745)</f>
        <v>2512.612372</v>
      </c>
      <c r="P745" s="1">
        <f>value(AED!$B745)</f>
        <v>2568.181608</v>
      </c>
      <c r="Q745" s="1">
        <f>value(KWD!$B745)</f>
        <v>33490.4085</v>
      </c>
    </row>
    <row r="746">
      <c r="A746" s="4">
        <f>value(USD!A746)</f>
        <v>41055.99861</v>
      </c>
      <c r="B746" s="1">
        <f>value(USD!B746)</f>
        <v>9310.986</v>
      </c>
      <c r="C746" s="1">
        <f>value(AUD!$B746)</f>
        <v>9127.878</v>
      </c>
      <c r="D746" s="1">
        <f>value(EUR!$B746)</f>
        <v>11617.47615</v>
      </c>
      <c r="E746" s="1">
        <f>value(GBP!$B746)</f>
        <v>14528.35385</v>
      </c>
      <c r="F746" s="1">
        <f>value(CHF!$B746)</f>
        <v>9665.248</v>
      </c>
      <c r="G746" s="1">
        <f>value(SGD!$B746)</f>
        <v>7253.0126</v>
      </c>
      <c r="H746" s="1">
        <f>value(MYR!$B746)</f>
        <v>2940.80365</v>
      </c>
      <c r="I746" s="1">
        <f>value(THB!$B746)</f>
        <v>292.86665</v>
      </c>
      <c r="J746" s="1">
        <f>value(VND!$B746)</f>
        <v>0.4585888032</v>
      </c>
      <c r="K746" s="1">
        <f>value(CNY!$B746)</f>
        <v>1476.42825</v>
      </c>
      <c r="L746" s="1">
        <f>value(HKD!$B746)</f>
        <v>1193.5173</v>
      </c>
      <c r="M746" s="1">
        <f>value(TWD!$B746)</f>
        <v>311.6746</v>
      </c>
      <c r="N746" s="1">
        <f>value(JPY!$B746)</f>
        <v>116.46105</v>
      </c>
      <c r="O746" s="1">
        <f>value(SAR!$B746)</f>
        <v>2488.655142</v>
      </c>
      <c r="P746" s="1">
        <f>value(AED!$B746)</f>
        <v>2570.19574</v>
      </c>
      <c r="Q746" s="1">
        <f>value(KWD!$B746)</f>
        <v>33523.42959</v>
      </c>
    </row>
    <row r="747">
      <c r="A747" s="4">
        <f>value(USD!A747)</f>
        <v>41056.99861</v>
      </c>
      <c r="B747" s="1">
        <f>value(USD!B747)</f>
        <v>9287.45</v>
      </c>
      <c r="C747" s="1">
        <f>value(AUD!$B747)</f>
        <v>9207.899</v>
      </c>
      <c r="D747" s="1">
        <f>value(EUR!$B747)</f>
        <v>11690.949</v>
      </c>
      <c r="E747" s="1">
        <f>value(GBP!$B747)</f>
        <v>14644.373</v>
      </c>
      <c r="F747" s="1">
        <f>value(CHF!$B747)</f>
        <v>9732.619</v>
      </c>
      <c r="G747" s="1">
        <f>value(SGD!$B747)</f>
        <v>7323.7794</v>
      </c>
      <c r="H747" s="1">
        <f>value(MYR!$B747)</f>
        <v>2971.227</v>
      </c>
      <c r="I747" s="1">
        <f>value(THB!$B747)</f>
        <v>294.8739</v>
      </c>
      <c r="J747" s="1">
        <f>value(VND!$B747)</f>
        <v>0.451963512</v>
      </c>
      <c r="K747" s="1">
        <f>value(CNY!$B747)</f>
        <v>1475.330056</v>
      </c>
      <c r="L747" s="1">
        <f>value(HKD!$B747)</f>
        <v>1206.7623</v>
      </c>
      <c r="M747" s="1">
        <f>value(TWD!$B747)</f>
        <v>314.5509</v>
      </c>
      <c r="N747" s="1">
        <f>value(JPY!$B747)</f>
        <v>117.8746</v>
      </c>
      <c r="O747" s="1">
        <f>value(SAR!$B747)</f>
        <v>2519.407873</v>
      </c>
      <c r="P747" s="1">
        <f>value(AED!$B747)</f>
        <v>2566.902362</v>
      </c>
      <c r="Q747" s="1">
        <f>value(KWD!$B747)</f>
        <v>33640.00637</v>
      </c>
    </row>
    <row r="748">
      <c r="A748" s="4">
        <f>value(USD!A748)</f>
        <v>41057.99861</v>
      </c>
      <c r="B748" s="1">
        <f>value(USD!B748)</f>
        <v>9265</v>
      </c>
      <c r="C748" s="1">
        <f>value(AUD!$B748)</f>
        <v>9124.877</v>
      </c>
      <c r="D748" s="1">
        <f>value(EUR!$B748)</f>
        <v>11632.642</v>
      </c>
      <c r="E748" s="1">
        <f>value(GBP!$B748)</f>
        <v>14558.7756</v>
      </c>
      <c r="F748" s="1">
        <f>value(CHF!$B748)</f>
        <v>9683.831</v>
      </c>
      <c r="G748" s="1">
        <f>value(SGD!$B748)</f>
        <v>7300.0898</v>
      </c>
      <c r="H748" s="1">
        <f>value(MYR!$B748)</f>
        <v>2971.4898</v>
      </c>
      <c r="I748" s="1">
        <f>value(THB!$B748)</f>
        <v>294.6271</v>
      </c>
      <c r="J748" s="1">
        <f>value(VND!$B748)</f>
        <v>0.4553308823</v>
      </c>
      <c r="K748" s="1">
        <f>value(CNY!$B748)</f>
        <v>1476.42625</v>
      </c>
      <c r="L748" s="1">
        <f>value(HKD!$B748)</f>
        <v>1211.5375</v>
      </c>
      <c r="M748" s="1">
        <f>value(TWD!$B748)</f>
        <v>314.4822</v>
      </c>
      <c r="N748" s="1">
        <f>value(JPY!$B748)</f>
        <v>118.9424</v>
      </c>
      <c r="O748" s="1">
        <f>value(SAR!$B748)</f>
        <v>2511.878044</v>
      </c>
      <c r="P748" s="1">
        <f>value(AED!$B748)</f>
        <v>2567.88221</v>
      </c>
      <c r="Q748" s="1">
        <f>value(KWD!$B748)</f>
        <v>33504.51787</v>
      </c>
    </row>
    <row r="749">
      <c r="A749" s="4">
        <f>value(USD!A749)</f>
        <v>41058.99861</v>
      </c>
      <c r="B749" s="1">
        <f>value(USD!B749)</f>
        <v>9370</v>
      </c>
      <c r="C749" s="1">
        <f>value(AUD!$B749)</f>
        <v>9111.5625</v>
      </c>
      <c r="D749" s="1">
        <f>value(EUR!$B749)</f>
        <v>11589.375</v>
      </c>
      <c r="E749" s="1">
        <f>value(GBP!$B749)</f>
        <v>14440.3125</v>
      </c>
      <c r="F749" s="1">
        <f>value(CHF!$B749)</f>
        <v>9648.75</v>
      </c>
      <c r="G749" s="1">
        <f>value(SGD!$B749)</f>
        <v>7274.25</v>
      </c>
      <c r="H749" s="1">
        <f>value(MYR!$B749)</f>
        <v>2952.75</v>
      </c>
      <c r="I749" s="1">
        <f>value(THB!$B749)</f>
        <v>294.375</v>
      </c>
      <c r="J749" s="1">
        <f>value(VND!$B749)</f>
        <v>0.4561345768</v>
      </c>
      <c r="K749" s="1">
        <f>value(CNY!$B749)</f>
        <v>1476.42625</v>
      </c>
      <c r="L749" s="1">
        <f>value(HKD!$B749)</f>
        <v>1207.59375</v>
      </c>
      <c r="M749" s="1">
        <f>value(TWD!$B749)</f>
        <v>313.3125</v>
      </c>
      <c r="N749" s="1">
        <f>value(JPY!$B749)</f>
        <v>119.625</v>
      </c>
      <c r="O749" s="1">
        <f>value(SAR!$B749)</f>
        <v>2511.730872</v>
      </c>
      <c r="P749" s="1">
        <f>value(AED!$B749)</f>
        <v>2577.5446</v>
      </c>
      <c r="Q749" s="1">
        <f>value(KWD!$B749)</f>
        <v>33477.17649</v>
      </c>
    </row>
    <row r="750">
      <c r="A750" s="4">
        <f>value(USD!A750)</f>
        <v>41059.99861</v>
      </c>
      <c r="B750" s="1">
        <f>value(USD!B750)</f>
        <v>9410</v>
      </c>
      <c r="C750" s="1">
        <f>value(AUD!$B750)</f>
        <v>9089.0625</v>
      </c>
      <c r="D750" s="1">
        <f>value(EUR!$B750)</f>
        <v>11653.125</v>
      </c>
      <c r="E750" s="1">
        <f>value(GBP!$B750)</f>
        <v>14400.9375</v>
      </c>
      <c r="F750" s="1">
        <f>value(CHF!$B750)</f>
        <v>9702.1875</v>
      </c>
      <c r="G750" s="1">
        <f>value(SGD!$B750)</f>
        <v>7250.0625</v>
      </c>
      <c r="H750" s="1">
        <f>value(MYR!$B750)</f>
        <v>2912.25</v>
      </c>
      <c r="I750" s="1">
        <f>value(THB!$B750)</f>
        <v>296.0625</v>
      </c>
      <c r="J750" s="1">
        <f>value(VND!$B750)</f>
        <v>0.463460117</v>
      </c>
      <c r="K750" s="1">
        <f>value(CNY!$B750)</f>
        <v>1487.130366</v>
      </c>
      <c r="L750" s="1">
        <f>value(HKD!$B750)</f>
        <v>1207.96875</v>
      </c>
      <c r="M750" s="1">
        <f>value(TWD!$B750)</f>
        <v>315.65625</v>
      </c>
      <c r="N750" s="1">
        <f>value(JPY!$B750)</f>
        <v>120.09375</v>
      </c>
      <c r="O750" s="1">
        <f>value(SAR!$B750)</f>
        <v>2510.840851</v>
      </c>
      <c r="P750" s="1">
        <f>value(AED!$B750)</f>
        <v>2569.351982</v>
      </c>
      <c r="Q750" s="1">
        <f>value(KWD!$B750)</f>
        <v>33499.85468</v>
      </c>
    </row>
    <row r="751">
      <c r="A751" s="4">
        <f>value(USD!A751)</f>
        <v>41060.99861</v>
      </c>
      <c r="B751" s="1">
        <f>value(USD!B751)</f>
        <v>9375</v>
      </c>
      <c r="C751" s="1">
        <f>value(AUD!$B751)</f>
        <v>9137.605365</v>
      </c>
      <c r="D751" s="1">
        <f>value(EUR!$B751)</f>
        <v>11706.87944</v>
      </c>
      <c r="E751" s="1">
        <f>value(GBP!$B751)</f>
        <v>14476.90752</v>
      </c>
      <c r="F751" s="1">
        <f>value(CHF!$B751)</f>
        <v>9740.809845</v>
      </c>
      <c r="G751" s="1">
        <f>value(SGD!$B751)</f>
        <v>7288.783633</v>
      </c>
      <c r="H751" s="1">
        <f>value(MYR!$B751)</f>
        <v>2925.070474</v>
      </c>
      <c r="I751" s="1">
        <f>value(THB!$B751)</f>
        <v>297.4552092</v>
      </c>
      <c r="J751" s="1">
        <f>value(VND!$B751)</f>
        <v>0.4628662519</v>
      </c>
      <c r="K751" s="1">
        <f>value(CNY!$B751)</f>
        <v>1473.4424</v>
      </c>
      <c r="L751" s="1">
        <f>value(HKD!$B751)</f>
        <v>1214.420269</v>
      </c>
      <c r="M751" s="1">
        <f>value(TWD!$B751)</f>
        <v>317.0593548</v>
      </c>
      <c r="N751" s="1">
        <f>value(JPY!$B751)</f>
        <v>120.5466453</v>
      </c>
      <c r="O751" s="1">
        <f>value(SAR!$B751)</f>
        <v>2513.30787</v>
      </c>
      <c r="P751" s="1">
        <f>value(AED!$B751)</f>
        <v>2569.624162</v>
      </c>
      <c r="Q751" s="1">
        <f>value(KWD!$B751)</f>
        <v>33516.51898</v>
      </c>
    </row>
    <row r="752">
      <c r="A752" s="4">
        <f>value(USD!A752)</f>
        <v>41061.99861</v>
      </c>
      <c r="B752" s="1">
        <f>value(USD!B752)</f>
        <v>9375</v>
      </c>
      <c r="C752" s="1">
        <f>value(AUD!$B752)</f>
        <v>9065.460465</v>
      </c>
      <c r="D752" s="1">
        <f>value(EUR!$B752)</f>
        <v>11654.51917</v>
      </c>
      <c r="E752" s="1">
        <f>value(GBP!$B752)</f>
        <v>14411.61324</v>
      </c>
      <c r="F752" s="1">
        <f>value(CHF!$B752)</f>
        <v>9702.86832</v>
      </c>
      <c r="G752" s="1">
        <f>value(SGD!$B752)</f>
        <v>7259.127336</v>
      </c>
      <c r="H752" s="1">
        <f>value(MYR!$B752)</f>
        <v>2911.893115</v>
      </c>
      <c r="I752" s="1">
        <f>value(THB!$B752)</f>
        <v>290.635452</v>
      </c>
      <c r="J752" s="1">
        <f>value(VND!$B752)</f>
        <v>0.4610741853</v>
      </c>
      <c r="K752" s="1">
        <f>value(CNY!$B752)</f>
        <v>1475.19352</v>
      </c>
      <c r="L752" s="1">
        <f>value(HKD!$B752)</f>
        <v>1209.479058</v>
      </c>
      <c r="M752" s="1">
        <f>value(TWD!$B752)</f>
        <v>315.6999435</v>
      </c>
      <c r="N752" s="1">
        <f>value(JPY!$B752)</f>
        <v>120.0654855</v>
      </c>
      <c r="O752" s="1">
        <f>value(SAR!$B752)</f>
        <v>2500.934302</v>
      </c>
      <c r="P752" s="1">
        <f>value(AED!$B752)</f>
        <v>2571.638294</v>
      </c>
      <c r="Q752" s="1">
        <f>value(KWD!$B752)</f>
        <v>33551.21691</v>
      </c>
    </row>
    <row r="753">
      <c r="A753" s="4">
        <f>value(USD!A753)</f>
        <v>41062.99861</v>
      </c>
      <c r="B753" s="1">
        <f>value(USD!B753)</f>
        <v>9425.07</v>
      </c>
      <c r="C753" s="1">
        <f>value(AUD!$B753)</f>
        <v>9120.9375</v>
      </c>
      <c r="D753" s="1">
        <f>value(EUR!$B753)</f>
        <v>11719.6875</v>
      </c>
      <c r="E753" s="1">
        <f>value(GBP!$B753)</f>
        <v>14416.875</v>
      </c>
      <c r="F753" s="1">
        <f>value(CHF!$B753)</f>
        <v>9757.5</v>
      </c>
      <c r="G753" s="1">
        <f>value(SGD!$B753)</f>
        <v>7283.0625</v>
      </c>
      <c r="H753" s="1">
        <f>value(MYR!$B753)</f>
        <v>2927.625</v>
      </c>
      <c r="I753" s="1">
        <f>value(THB!$B753)</f>
        <v>297.9375</v>
      </c>
      <c r="J753" s="1">
        <f>value(VND!$B753)</f>
        <v>0.4603344272</v>
      </c>
      <c r="K753" s="1">
        <f>value(CNY!$B753)</f>
        <v>1477.487515</v>
      </c>
      <c r="L753" s="1">
        <f>value(HKD!$B753)</f>
        <v>1208.25</v>
      </c>
      <c r="M753" s="1">
        <f>value(TWD!$B753)</f>
        <v>313.78125</v>
      </c>
      <c r="N753" s="1">
        <f>value(JPY!$B753)</f>
        <v>119.625</v>
      </c>
      <c r="O753" s="1">
        <f>value(SAR!$B753)</f>
        <v>2500.867602</v>
      </c>
      <c r="P753" s="1">
        <f>value(AED!$B753)</f>
        <v>2572.91754</v>
      </c>
      <c r="Q753" s="1">
        <f>value(KWD!$B753)</f>
        <v>33483.64835</v>
      </c>
    </row>
    <row r="754">
      <c r="A754" s="4">
        <f>value(USD!A754)</f>
        <v>41063.99861</v>
      </c>
      <c r="B754" s="1">
        <f>value(USD!B754)</f>
        <v>9387.45</v>
      </c>
      <c r="C754" s="1">
        <f>value(AUD!$B754)</f>
        <v>9132.2964</v>
      </c>
      <c r="D754" s="1">
        <f>value(EUR!$B754)</f>
        <v>11667.1698</v>
      </c>
      <c r="E754" s="1">
        <f>value(GBP!$B754)</f>
        <v>14418.675</v>
      </c>
      <c r="F754" s="1">
        <f>value(CHF!$B754)</f>
        <v>9713.7324</v>
      </c>
      <c r="G754" s="1">
        <f>value(SGD!$B754)</f>
        <v>7285.01796</v>
      </c>
      <c r="H754" s="1">
        <f>value(MYR!$B754)</f>
        <v>2928.09294</v>
      </c>
      <c r="I754" s="1">
        <f>value(THB!$B754)</f>
        <v>296.3448</v>
      </c>
      <c r="J754" s="1">
        <f>value(VND!$B754)</f>
        <v>0.4598772269</v>
      </c>
      <c r="K754" s="1">
        <f>value(CNY!$B754)</f>
        <v>1477.353774</v>
      </c>
      <c r="L754" s="1">
        <f>value(HKD!$B754)</f>
        <v>1208.63664</v>
      </c>
      <c r="M754" s="1">
        <f>value(TWD!$B754)</f>
        <v>313.2252</v>
      </c>
      <c r="N754" s="1">
        <f>value(JPY!$B754)</f>
        <v>119.00682</v>
      </c>
      <c r="O754" s="1">
        <f>value(SAR!$B754)</f>
        <v>2513.666532</v>
      </c>
      <c r="P754" s="1">
        <f>value(AED!$B754)</f>
        <v>2573.298592</v>
      </c>
      <c r="Q754" s="1">
        <f>value(KWD!$B754)</f>
        <v>33537.3635</v>
      </c>
    </row>
    <row r="755">
      <c r="A755" s="4">
        <f>value(USD!A755)</f>
        <v>41064.99861</v>
      </c>
      <c r="B755" s="1">
        <f>value(USD!B755)</f>
        <v>9375</v>
      </c>
      <c r="C755" s="1">
        <f>value(AUD!$B755)</f>
        <v>9193.38</v>
      </c>
      <c r="D755" s="1">
        <f>value(EUR!$B755)</f>
        <v>11663.3125</v>
      </c>
      <c r="E755" s="1">
        <f>value(GBP!$B755)</f>
        <v>14365.12</v>
      </c>
      <c r="F755" s="1">
        <f>value(CHF!$B755)</f>
        <v>9710.925</v>
      </c>
      <c r="G755" s="1">
        <f>value(SGD!$B755)</f>
        <v>7280.78225</v>
      </c>
      <c r="H755" s="1">
        <f>value(MYR!$B755)</f>
        <v>2917.82225</v>
      </c>
      <c r="I755" s="1">
        <f>value(THB!$B755)</f>
        <v>294.3885</v>
      </c>
      <c r="J755" s="1">
        <f>value(VND!$B755)</f>
        <v>0.4534534038</v>
      </c>
      <c r="K755" s="1">
        <f>value(CNY!$B755)</f>
        <v>1475.5121</v>
      </c>
      <c r="L755" s="1">
        <f>value(HKD!$B755)</f>
        <v>1195.45475</v>
      </c>
      <c r="M755" s="1">
        <f>value(TWD!$B755)</f>
        <v>312.1965</v>
      </c>
      <c r="N755" s="1">
        <f>value(JPY!$B755)</f>
        <v>116.865</v>
      </c>
      <c r="O755" s="1">
        <f>value(SAR!$B755)</f>
        <v>2504.32396</v>
      </c>
      <c r="P755" s="1">
        <f>value(AED!$B755)</f>
        <v>2572.672578</v>
      </c>
      <c r="Q755" s="1">
        <f>value(KWD!$B755)</f>
        <v>33539.33897</v>
      </c>
    </row>
    <row r="756">
      <c r="A756" s="4">
        <f>value(USD!A756)</f>
        <v>41065.99861</v>
      </c>
      <c r="B756" s="1">
        <f>value(USD!B756)</f>
        <v>9378</v>
      </c>
      <c r="C756" s="1">
        <f>value(AUD!$B756)</f>
        <v>9262.5726</v>
      </c>
      <c r="D756" s="1">
        <f>value(EUR!$B756)</f>
        <v>11758.2995</v>
      </c>
      <c r="E756" s="1">
        <f>value(GBP!$B756)</f>
        <v>14530.186</v>
      </c>
      <c r="F756" s="1">
        <f>value(CHF!$B756)</f>
        <v>9789.072</v>
      </c>
      <c r="G756" s="1">
        <f>value(SGD!$B756)</f>
        <v>7322.7198</v>
      </c>
      <c r="H756" s="1">
        <f>value(MYR!$B756)</f>
        <v>2957.58325</v>
      </c>
      <c r="I756" s="1">
        <f>value(THB!$B756)</f>
        <v>295.52445</v>
      </c>
      <c r="J756" s="1">
        <f>value(VND!$B756)</f>
        <v>0.4609826231</v>
      </c>
      <c r="K756" s="1">
        <f>value(CNY!$B756)</f>
        <v>1485.522215</v>
      </c>
      <c r="L756" s="1">
        <f>value(HKD!$B756)</f>
        <v>1205.76595</v>
      </c>
      <c r="M756" s="1">
        <f>value(TWD!$B756)</f>
        <v>312.6441</v>
      </c>
      <c r="N756" s="1">
        <f>value(JPY!$B756)</f>
        <v>117.40525</v>
      </c>
      <c r="O756" s="1">
        <f>value(SAR!$B756)</f>
        <v>2483.718681</v>
      </c>
      <c r="P756" s="1">
        <f>value(AED!$B756)</f>
        <v>2576.891368</v>
      </c>
      <c r="Q756" s="1">
        <f>value(KWD!$B756)</f>
        <v>33572.15623</v>
      </c>
    </row>
    <row r="757">
      <c r="A757" s="4">
        <f>value(USD!A757)</f>
        <v>41066.99861</v>
      </c>
      <c r="B757" s="1">
        <f>value(USD!B757)</f>
        <v>9275</v>
      </c>
      <c r="C757" s="1">
        <f>value(AUD!$B757)</f>
        <v>9280.44</v>
      </c>
      <c r="D757" s="1">
        <f>value(EUR!$B757)</f>
        <v>11717.784</v>
      </c>
      <c r="E757" s="1">
        <f>value(GBP!$B757)</f>
        <v>14480.856</v>
      </c>
      <c r="F757" s="1">
        <f>value(CHF!$B757)</f>
        <v>9752.184</v>
      </c>
      <c r="G757" s="1">
        <f>value(SGD!$B757)</f>
        <v>7292.5632</v>
      </c>
      <c r="H757" s="1">
        <f>value(MYR!$B757)</f>
        <v>2936.0448</v>
      </c>
      <c r="I757" s="1">
        <f>value(THB!$B757)</f>
        <v>295.1208</v>
      </c>
      <c r="J757" s="1">
        <f>value(VND!$B757)</f>
        <v>0.4613019665</v>
      </c>
      <c r="K757" s="1">
        <f>value(CNY!$B757)</f>
        <v>1475.5121</v>
      </c>
      <c r="L757" s="1">
        <f>value(HKD!$B757)</f>
        <v>1206.3168</v>
      </c>
      <c r="M757" s="1">
        <f>value(TWD!$B757)</f>
        <v>313.7472</v>
      </c>
      <c r="N757" s="1">
        <f>value(JPY!$B757)</f>
        <v>117.7488</v>
      </c>
      <c r="O757" s="1">
        <f>value(SAR!$B757)</f>
        <v>2488.759084</v>
      </c>
      <c r="P757" s="1">
        <f>value(AED!$B757)</f>
        <v>2574.577838</v>
      </c>
      <c r="Q757" s="1">
        <f>value(KWD!$B757)</f>
        <v>33572.15623</v>
      </c>
    </row>
    <row r="758">
      <c r="A758" s="4">
        <f>value(USD!A758)</f>
        <v>41067.99861</v>
      </c>
      <c r="B758" s="1">
        <f>value(USD!B758)</f>
        <v>9355</v>
      </c>
      <c r="C758" s="1">
        <f>value(AUD!$B758)</f>
        <v>9077.03671</v>
      </c>
      <c r="D758" s="1">
        <f>value(EUR!$B758)</f>
        <v>11457.77871</v>
      </c>
      <c r="E758" s="1">
        <f>value(GBP!$B758)</f>
        <v>14167.24624</v>
      </c>
      <c r="F758" s="1">
        <f>value(CHF!$B758)</f>
        <v>9528.46202</v>
      </c>
      <c r="G758" s="1">
        <f>value(SGD!$B758)</f>
        <v>7134.168104</v>
      </c>
      <c r="H758" s="1">
        <f>value(MYR!$B758)</f>
        <v>2832.075743</v>
      </c>
      <c r="I758" s="1">
        <f>value(THB!$B758)</f>
        <v>284.864937</v>
      </c>
      <c r="J758" s="1">
        <f>value(VND!$B758)</f>
        <v>0.4603817621</v>
      </c>
      <c r="K758" s="1">
        <f>value(CNY!$B758)</f>
        <v>1474.95024</v>
      </c>
      <c r="L758" s="1">
        <f>value(HKD!$B758)</f>
        <v>1180.115496</v>
      </c>
      <c r="M758" s="1">
        <f>value(TWD!$B758)</f>
        <v>306.932584</v>
      </c>
      <c r="N758" s="1">
        <f>value(JPY!$B758)</f>
        <v>115.282853</v>
      </c>
      <c r="O758" s="1">
        <f>value(SAR!$B758)</f>
        <v>2496.852958</v>
      </c>
      <c r="P758" s="1">
        <f>value(AED!$B758)</f>
        <v>2576.1837</v>
      </c>
      <c r="Q758" s="1">
        <f>value(KWD!$B758)</f>
        <v>33660.65336</v>
      </c>
    </row>
    <row r="759">
      <c r="A759" s="4">
        <f>value(USD!A759)</f>
        <v>41068.99861</v>
      </c>
      <c r="B759" s="1">
        <f>value(USD!B759)</f>
        <v>9360</v>
      </c>
      <c r="C759" s="1">
        <f>value(AUD!$B759)</f>
        <v>9366.1801</v>
      </c>
      <c r="D759" s="1">
        <f>value(EUR!$B759)</f>
        <v>11862.10755</v>
      </c>
      <c r="E759" s="1">
        <f>value(GBP!$B759)</f>
        <v>14575.76584</v>
      </c>
      <c r="F759" s="1">
        <f>value(CHF!$B759)</f>
        <v>9871.09041</v>
      </c>
      <c r="G759" s="1">
        <f>value(SGD!$B759)</f>
        <v>7353.014475</v>
      </c>
      <c r="H759" s="1">
        <f>value(MYR!$B759)</f>
        <v>2932.139928</v>
      </c>
      <c r="I759" s="1">
        <f>value(THB!$B759)</f>
        <v>294.9689785</v>
      </c>
      <c r="J759" s="1">
        <f>value(VND!$B759)</f>
        <v>0.4570868919</v>
      </c>
      <c r="K759" s="1">
        <f>value(CNY!$B759)</f>
        <v>1477.495936</v>
      </c>
      <c r="L759" s="1">
        <f>value(HKD!$B759)</f>
        <v>1209.626205</v>
      </c>
      <c r="M759" s="1">
        <f>value(TWD!$B759)</f>
        <v>317.8682565</v>
      </c>
      <c r="N759" s="1">
        <f>value(JPY!$B759)</f>
        <v>117.9688215</v>
      </c>
      <c r="O759" s="1">
        <f>value(SAR!$B759)</f>
        <v>2511.668809</v>
      </c>
      <c r="P759" s="1">
        <f>value(AED!$B759)</f>
        <v>2576.1837</v>
      </c>
      <c r="Q759" s="1">
        <f>value(KWD!$B759)</f>
        <v>33554.67692</v>
      </c>
    </row>
    <row r="760">
      <c r="A760" s="4">
        <f>value(USD!A760)</f>
        <v>41069.99861</v>
      </c>
      <c r="B760" s="1">
        <f>value(USD!B760)</f>
        <v>9156.7</v>
      </c>
      <c r="C760" s="1">
        <f>value(AUD!$B760)</f>
        <v>9247.742</v>
      </c>
      <c r="D760" s="1">
        <f>value(EUR!$B760)</f>
        <v>11694.046</v>
      </c>
      <c r="E760" s="1">
        <f>value(GBP!$B760)</f>
        <v>14518.364</v>
      </c>
      <c r="F760" s="1">
        <f>value(CHF!$B760)</f>
        <v>9736.44</v>
      </c>
      <c r="G760" s="1">
        <f>value(SGD!$B760)</f>
        <v>7289.3856</v>
      </c>
      <c r="H760" s="1">
        <f>value(MYR!$B760)</f>
        <v>2956.107</v>
      </c>
      <c r="I760" s="1">
        <f>value(THB!$B760)</f>
        <v>295.7514</v>
      </c>
      <c r="J760" s="1">
        <f>value(VND!$B760)</f>
        <v>0.4613390495</v>
      </c>
      <c r="K760" s="1">
        <f>value(CNY!$B760)</f>
        <v>1475.707428</v>
      </c>
      <c r="L760" s="1">
        <f>value(HKD!$B760)</f>
        <v>1208.7068</v>
      </c>
      <c r="M760" s="1">
        <f>value(TWD!$B760)</f>
        <v>311.3222</v>
      </c>
      <c r="N760" s="1">
        <f>value(JPY!$B760)</f>
        <v>118.2818</v>
      </c>
      <c r="O760" s="1">
        <f>value(SAR!$B760)</f>
        <v>2501.372338</v>
      </c>
      <c r="P760" s="1">
        <f>value(AED!$B760)</f>
        <v>2582.974591</v>
      </c>
      <c r="Q760" s="1">
        <f>value(KWD!$B760)</f>
        <v>33592.41133</v>
      </c>
    </row>
    <row r="761">
      <c r="A761" s="4">
        <f>value(USD!A761)</f>
        <v>41070.99861</v>
      </c>
      <c r="B761" s="1">
        <f>value(USD!B761)</f>
        <v>9384.95</v>
      </c>
      <c r="C761" s="1">
        <f>value(AUD!$B761)</f>
        <v>9368.3205</v>
      </c>
      <c r="D761" s="1">
        <f>value(EUR!$B761)</f>
        <v>11767.536</v>
      </c>
      <c r="E761" s="1">
        <f>value(GBP!$B761)</f>
        <v>14648.2875</v>
      </c>
      <c r="F761" s="1">
        <f>value(CHF!$B761)</f>
        <v>9796.248</v>
      </c>
      <c r="G761" s="1">
        <f>value(SGD!$B761)</f>
        <v>7337.31075</v>
      </c>
      <c r="H761" s="1">
        <f>value(MYR!$B761)</f>
        <v>2953.45215</v>
      </c>
      <c r="I761" s="1">
        <f>value(THB!$B761)</f>
        <v>297.9504</v>
      </c>
      <c r="J761" s="1">
        <f>value(VND!$B761)</f>
        <v>0.4638860216</v>
      </c>
      <c r="K761" s="1">
        <f>value(CNY!$B761)</f>
        <v>1479.50208</v>
      </c>
      <c r="L761" s="1">
        <f>value(HKD!$B761)</f>
        <v>1212.21045</v>
      </c>
      <c r="M761" s="1">
        <f>value(TWD!$B761)</f>
        <v>314.127</v>
      </c>
      <c r="N761" s="1">
        <f>value(JPY!$B761)</f>
        <v>118.03275</v>
      </c>
      <c r="O761" s="1">
        <f>value(SAR!$B761)</f>
        <v>2518.121893</v>
      </c>
      <c r="P761" s="1">
        <f>value(AED!$B761)</f>
        <v>2574.659492</v>
      </c>
      <c r="Q761" s="1">
        <f>value(KWD!$B761)</f>
        <v>33619.52996</v>
      </c>
    </row>
    <row r="762">
      <c r="A762" s="4">
        <f>value(USD!A762)</f>
        <v>41071.99861</v>
      </c>
      <c r="B762" s="1">
        <f>value(USD!B762)</f>
        <v>9380</v>
      </c>
      <c r="C762" s="1">
        <f>value(AUD!$B762)</f>
        <v>9345.2065</v>
      </c>
      <c r="D762" s="1">
        <f>value(EUR!$B762)</f>
        <v>11808.5755</v>
      </c>
      <c r="E762" s="1">
        <f>value(GBP!$B762)</f>
        <v>14576.3425</v>
      </c>
      <c r="F762" s="1">
        <f>value(CHF!$B762)</f>
        <v>9831.8675</v>
      </c>
      <c r="G762" s="1">
        <f>value(SGD!$B762)</f>
        <v>7332.9854</v>
      </c>
      <c r="H762" s="1">
        <f>value(MYR!$B762)</f>
        <v>2954.3517</v>
      </c>
      <c r="I762" s="1">
        <f>value(THB!$B762)</f>
        <v>297.4457</v>
      </c>
      <c r="J762" s="1">
        <f>value(VND!$B762)</f>
        <v>0.4601137441</v>
      </c>
      <c r="K762" s="1">
        <f>value(CNY!$B762)</f>
        <v>1479.52924</v>
      </c>
      <c r="L762" s="1">
        <f>value(HKD!$B762)</f>
        <v>1210.8276</v>
      </c>
      <c r="M762" s="1">
        <f>value(TWD!$B762)</f>
        <v>314.7325</v>
      </c>
      <c r="N762" s="1">
        <f>value(JPY!$B762)</f>
        <v>118.1891</v>
      </c>
      <c r="O762" s="1">
        <f>value(SAR!$B762)</f>
        <v>2501.320089</v>
      </c>
      <c r="P762" s="1">
        <f>value(AED!$B762)</f>
        <v>2576.1837</v>
      </c>
      <c r="Q762" s="1">
        <f>value(KWD!$B762)</f>
        <v>33673.14012</v>
      </c>
    </row>
    <row r="763">
      <c r="A763" s="4">
        <f>value(USD!A763)</f>
        <v>41072.99861</v>
      </c>
      <c r="B763" s="1">
        <f>value(USD!B763)</f>
        <v>9405</v>
      </c>
      <c r="C763" s="1">
        <f>value(AUD!$B763)</f>
        <v>9418.4875</v>
      </c>
      <c r="D763" s="1">
        <f>value(EUR!$B763)</f>
        <v>11864.9455</v>
      </c>
      <c r="E763" s="1">
        <f>value(GBP!$B763)</f>
        <v>14606.4065</v>
      </c>
      <c r="F763" s="1">
        <f>value(CHF!$B763)</f>
        <v>9877.903</v>
      </c>
      <c r="G763" s="1">
        <f>value(SGD!$B763)</f>
        <v>7347.4537</v>
      </c>
      <c r="H763" s="1">
        <f>value(MYR!$B763)</f>
        <v>2943.35955</v>
      </c>
      <c r="I763" s="1">
        <f>value(THB!$B763)</f>
        <v>298.0094</v>
      </c>
      <c r="J763" s="1">
        <f>value(VND!$B763)</f>
        <v>0.4601137441</v>
      </c>
      <c r="K763" s="1">
        <f>value(CNY!$B763)</f>
        <v>1477.633412</v>
      </c>
      <c r="L763" s="1">
        <f>value(HKD!$B763)</f>
        <v>1210.8276</v>
      </c>
      <c r="M763" s="1">
        <f>value(TWD!$B763)</f>
        <v>314.82645</v>
      </c>
      <c r="N763" s="1">
        <f>value(JPY!$B763)</f>
        <v>118.1891</v>
      </c>
      <c r="O763" s="1">
        <f>value(SAR!$B763)</f>
        <v>2506.493836</v>
      </c>
      <c r="P763" s="1">
        <f>value(AED!$B763)</f>
        <v>2575.884302</v>
      </c>
      <c r="Q763" s="1">
        <f>value(KWD!$B763)</f>
        <v>33673.14012</v>
      </c>
    </row>
    <row r="764">
      <c r="A764" s="4">
        <f>value(USD!A764)</f>
        <v>41073.99861</v>
      </c>
      <c r="B764" s="1">
        <f>value(USD!B764)</f>
        <v>9395</v>
      </c>
      <c r="C764" s="1">
        <f>value(AUD!$B764)</f>
        <v>9438.047</v>
      </c>
      <c r="D764" s="1">
        <f>value(EUR!$B764)</f>
        <v>11838.2965</v>
      </c>
      <c r="E764" s="1">
        <f>value(GBP!$B764)</f>
        <v>14717.0975</v>
      </c>
      <c r="F764" s="1">
        <f>value(CHF!$B764)</f>
        <v>9855.726</v>
      </c>
      <c r="G764" s="1">
        <f>value(SGD!$B764)</f>
        <v>7367.72645</v>
      </c>
      <c r="H764" s="1">
        <f>value(MYR!$B764)</f>
        <v>2962.61775</v>
      </c>
      <c r="I764" s="1">
        <f>value(THB!$B764)</f>
        <v>296.77685</v>
      </c>
      <c r="J764" s="1">
        <f>value(VND!$B764)</f>
        <v>0.4613266166</v>
      </c>
      <c r="K764" s="1">
        <f>value(CNY!$B764)</f>
        <v>1489.078837</v>
      </c>
      <c r="L764" s="1">
        <f>value(HKD!$B764)</f>
        <v>1206.7739</v>
      </c>
      <c r="M764" s="1">
        <f>value(TWD!$B764)</f>
        <v>313.7275</v>
      </c>
      <c r="N764" s="1">
        <f>value(JPY!$B764)</f>
        <v>118.9355</v>
      </c>
      <c r="O764" s="1">
        <f>value(SAR!$B764)</f>
        <v>2502.62686</v>
      </c>
      <c r="P764" s="1">
        <f>value(AED!$B764)</f>
        <v>2580.2664</v>
      </c>
      <c r="Q764" s="1">
        <f>value(KWD!$B764)</f>
        <v>33696.88525</v>
      </c>
    </row>
    <row r="765">
      <c r="A765" s="4">
        <f>value(USD!A765)</f>
        <v>41074.99861</v>
      </c>
      <c r="B765" s="1">
        <f>value(USD!B765)</f>
        <v>9395</v>
      </c>
      <c r="C765" s="1">
        <f>value(AUD!$B765)</f>
        <v>9369.2026</v>
      </c>
      <c r="D765" s="1">
        <f>value(EUR!$B765)</f>
        <v>11763.0794</v>
      </c>
      <c r="E765" s="1">
        <f>value(GBP!$B765)</f>
        <v>14603.0202</v>
      </c>
      <c r="F765" s="1">
        <f>value(CHF!$B765)</f>
        <v>9776.236</v>
      </c>
      <c r="G765" s="1">
        <f>value(SGD!$B765)</f>
        <v>7311.08189</v>
      </c>
      <c r="H765" s="1">
        <f>value(MYR!$B765)</f>
        <v>2889.00784</v>
      </c>
      <c r="I765" s="1">
        <f>value(THB!$B765)</f>
        <v>290.12746</v>
      </c>
      <c r="J765" s="1">
        <f>value(VND!$B765)</f>
        <v>0.4618847656</v>
      </c>
      <c r="K765" s="1">
        <f>value(CNY!$B765)</f>
        <v>1477.82008</v>
      </c>
      <c r="L765" s="1">
        <f>value(HKD!$B765)</f>
        <v>1197.40305</v>
      </c>
      <c r="M765" s="1">
        <f>value(TWD!$B765)</f>
        <v>311.22257</v>
      </c>
      <c r="N765" s="1">
        <f>value(JPY!$B765)</f>
        <v>118.0211</v>
      </c>
      <c r="O765" s="1">
        <f>value(SAR!$B765)</f>
        <v>2510.774443</v>
      </c>
      <c r="P765" s="1">
        <f>value(AED!$B765)</f>
        <v>2580.2664</v>
      </c>
      <c r="Q765" s="1">
        <f>value(KWD!$B765)</f>
        <v>33753.19256</v>
      </c>
    </row>
    <row r="766">
      <c r="A766" s="4">
        <f>value(USD!A766)</f>
        <v>41075.99861</v>
      </c>
      <c r="B766" s="1">
        <f>value(USD!B766)</f>
        <v>9365</v>
      </c>
      <c r="C766" s="1">
        <f>value(AUD!$B766)</f>
        <v>9683.1417</v>
      </c>
      <c r="D766" s="1">
        <f>value(EUR!$B766)</f>
        <v>12191.5708</v>
      </c>
      <c r="E766" s="1">
        <f>value(GBP!$B766)</f>
        <v>15054.5976</v>
      </c>
      <c r="F766" s="1">
        <f>value(CHF!$B766)</f>
        <v>10147.50951</v>
      </c>
      <c r="G766" s="1">
        <f>value(SGD!$B766)</f>
        <v>7566.570832</v>
      </c>
      <c r="H766" s="1">
        <f>value(MYR!$B766)</f>
        <v>3000.766264</v>
      </c>
      <c r="I766" s="1">
        <f>value(THB!$B766)</f>
        <v>301.3409942</v>
      </c>
      <c r="J766" s="1">
        <f>value(VND!$B766)</f>
        <v>0.4638341612</v>
      </c>
      <c r="K766" s="1">
        <f>value(CNY!$B766)</f>
        <v>1485.0854</v>
      </c>
      <c r="L766" s="1">
        <f>value(HKD!$B766)</f>
        <v>1234.48275</v>
      </c>
      <c r="M766" s="1">
        <f>value(TWD!$B766)</f>
        <v>323.1800745</v>
      </c>
      <c r="N766" s="1">
        <f>value(JPY!$B766)</f>
        <v>121.1685816</v>
      </c>
      <c r="O766" s="1">
        <f>value(SAR!$B766)</f>
        <v>2513.20211</v>
      </c>
      <c r="P766" s="1">
        <f>value(AED!$B766)</f>
        <v>2581.6273</v>
      </c>
      <c r="Q766" s="1">
        <f>value(KWD!$B766)</f>
        <v>33775.05658</v>
      </c>
    </row>
    <row r="767">
      <c r="A767" s="4">
        <f>value(USD!A767)</f>
        <v>41076.99861</v>
      </c>
      <c r="B767" s="1">
        <f>value(USD!B767)</f>
        <v>9293</v>
      </c>
      <c r="C767" s="1">
        <f>value(AUD!$B767)</f>
        <v>9463.97322</v>
      </c>
      <c r="D767" s="1">
        <f>value(EUR!$B767)</f>
        <v>11771.4834</v>
      </c>
      <c r="E767" s="1">
        <f>value(GBP!$B767)</f>
        <v>14666.81916</v>
      </c>
      <c r="F767" s="1">
        <f>value(CHF!$B767)</f>
        <v>9799.90029</v>
      </c>
      <c r="G767" s="1">
        <f>value(SGD!$B767)</f>
        <v>7370.183772</v>
      </c>
      <c r="H767" s="1">
        <f>value(MYR!$B767)</f>
        <v>2960.556147</v>
      </c>
      <c r="I767" s="1">
        <f>value(THB!$B767)</f>
        <v>297.000702</v>
      </c>
      <c r="J767" s="1">
        <f>value(VND!$B767)</f>
        <v>0.4604183848</v>
      </c>
      <c r="K767" s="1">
        <f>value(CNY!$B767)</f>
        <v>1481.497906</v>
      </c>
      <c r="L767" s="1">
        <f>value(HKD!$B767)</f>
        <v>1205.968824</v>
      </c>
      <c r="M767" s="1">
        <f>value(TWD!$B767)</f>
        <v>311.785236</v>
      </c>
      <c r="N767" s="1">
        <f>value(JPY!$B767)</f>
        <v>118.369845</v>
      </c>
      <c r="O767" s="1">
        <f>value(SAR!$B767)</f>
        <v>2515.550322</v>
      </c>
      <c r="P767" s="1">
        <f>value(AED!$B767)</f>
        <v>2587.043682</v>
      </c>
      <c r="Q767" s="1">
        <f>value(KWD!$B767)</f>
        <v>33793.64229</v>
      </c>
    </row>
    <row r="768">
      <c r="A768" s="4">
        <f>value(USD!A768)</f>
        <v>41077.99861</v>
      </c>
      <c r="B768" s="1">
        <f>value(USD!B768)</f>
        <v>9578.544</v>
      </c>
      <c r="C768" s="1">
        <f>value(AUD!$B768)</f>
        <v>9551.12746</v>
      </c>
      <c r="D768" s="1">
        <f>value(EUR!$B768)</f>
        <v>11896.01504</v>
      </c>
      <c r="E768" s="1">
        <f>value(GBP!$B768)</f>
        <v>14742.50792</v>
      </c>
      <c r="F768" s="1">
        <f>value(CHF!$B768)</f>
        <v>9904.59512</v>
      </c>
      <c r="G768" s="1">
        <f>value(SGD!$B768)</f>
        <v>7403.506712</v>
      </c>
      <c r="H768" s="1">
        <f>value(MYR!$B768)</f>
        <v>2967.4407</v>
      </c>
      <c r="I768" s="1">
        <f>value(THB!$B768)</f>
        <v>298.337956</v>
      </c>
      <c r="J768" s="1">
        <f>value(VND!$B768)</f>
        <v>0.4611343507</v>
      </c>
      <c r="K768" s="1">
        <f>value(CNY!$B768)</f>
        <v>1482.2213</v>
      </c>
      <c r="L768" s="1">
        <f>value(HKD!$B768)</f>
        <v>1208.353104</v>
      </c>
      <c r="M768" s="1">
        <f>value(TWD!$B768)</f>
        <v>315.683186</v>
      </c>
      <c r="N768" s="1">
        <f>value(JPY!$B768)</f>
        <v>118.60387</v>
      </c>
      <c r="O768" s="1">
        <f>value(SAR!$B768)</f>
        <v>2525.454286</v>
      </c>
      <c r="P768" s="1">
        <f>value(AED!$B768)</f>
        <v>2590.282624</v>
      </c>
      <c r="Q768" s="1">
        <f>value(KWD!$B768)</f>
        <v>33792.90057</v>
      </c>
    </row>
    <row r="769">
      <c r="A769" s="4">
        <f>value(USD!A769)</f>
        <v>41078.99861</v>
      </c>
      <c r="B769" s="1">
        <f>value(USD!B769)</f>
        <v>9357.3</v>
      </c>
      <c r="C769" s="1">
        <f>value(AUD!$B769)</f>
        <v>9567.77667</v>
      </c>
      <c r="D769" s="1">
        <f>value(EUR!$B769)</f>
        <v>11917.22973</v>
      </c>
      <c r="E769" s="1">
        <f>value(GBP!$B769)</f>
        <v>14754.97839</v>
      </c>
      <c r="F769" s="1">
        <f>value(CHF!$B769)</f>
        <v>9920.85195</v>
      </c>
      <c r="G769" s="1">
        <f>value(SGD!$B769)</f>
        <v>7396.833213</v>
      </c>
      <c r="H769" s="1">
        <f>value(MYR!$B769)</f>
        <v>2973.250689</v>
      </c>
      <c r="I769" s="1">
        <f>value(THB!$B769)</f>
        <v>297.390801</v>
      </c>
      <c r="J769" s="1">
        <f>value(VND!$B769)</f>
        <v>0.4611567804</v>
      </c>
      <c r="K769" s="1">
        <f>value(CNY!$B769)</f>
        <v>1483.194134</v>
      </c>
      <c r="L769" s="1">
        <f>value(HKD!$B769)</f>
        <v>1210.127961</v>
      </c>
      <c r="M769" s="1">
        <f>value(TWD!$B769)</f>
        <v>314.481147</v>
      </c>
      <c r="N769" s="1">
        <f>value(JPY!$B769)</f>
        <v>118.129974</v>
      </c>
      <c r="O769" s="1">
        <f>value(SAR!$B769)</f>
        <v>2514.6952</v>
      </c>
      <c r="P769" s="1">
        <f>value(AED!$B769)</f>
        <v>2589.683828</v>
      </c>
      <c r="Q769" s="1">
        <f>value(KWD!$B769)</f>
        <v>33792.90057</v>
      </c>
    </row>
    <row r="770">
      <c r="A770" s="4">
        <f>value(USD!A770)</f>
        <v>41079.99861</v>
      </c>
      <c r="B770" s="1">
        <f>value(USD!B770)</f>
        <v>9375.8</v>
      </c>
      <c r="C770" s="1">
        <f>value(AUD!$B770)</f>
        <v>9438.157593</v>
      </c>
      <c r="D770" s="1">
        <f>value(EUR!$B770)</f>
        <v>11792.17455</v>
      </c>
      <c r="E770" s="1">
        <f>value(GBP!$B770)</f>
        <v>14658.20406</v>
      </c>
      <c r="F770" s="1">
        <f>value(CHF!$B770)</f>
        <v>9818.19555</v>
      </c>
      <c r="G770" s="1">
        <f>value(SGD!$B770)</f>
        <v>7350.533802</v>
      </c>
      <c r="H770" s="1">
        <f>value(MYR!$B770)</f>
        <v>2956.26855</v>
      </c>
      <c r="I770" s="1">
        <f>value(THB!$B770)</f>
        <v>295.250859</v>
      </c>
      <c r="J770" s="1">
        <f>value(VND!$B770)</f>
        <v>0.4606157677</v>
      </c>
      <c r="K770" s="1">
        <f>value(CNY!$B770)</f>
        <v>1483.93194</v>
      </c>
      <c r="L770" s="1">
        <f>value(HKD!$B770)</f>
        <v>1211.177115</v>
      </c>
      <c r="M770" s="1">
        <f>value(TWD!$B770)</f>
        <v>311.324688</v>
      </c>
      <c r="N770" s="1">
        <f>value(JPY!$B770)</f>
        <v>117.216753</v>
      </c>
      <c r="O770" s="1">
        <f>value(SAR!$B770)</f>
        <v>2511.892285</v>
      </c>
      <c r="P770" s="1">
        <f>value(AED!$B770)</f>
        <v>2588.4318</v>
      </c>
      <c r="Q770" s="1">
        <f>value(KWD!$B770)</f>
        <v>33881.55807</v>
      </c>
    </row>
    <row r="771">
      <c r="A771" s="4">
        <f>value(USD!A771)</f>
        <v>41080.99861</v>
      </c>
      <c r="B771" s="1">
        <f>value(USD!B771)</f>
        <v>9390.3</v>
      </c>
      <c r="C771" s="1">
        <f>value(AUD!$B771)</f>
        <v>9470.4193</v>
      </c>
      <c r="D771" s="1">
        <f>value(EUR!$B771)</f>
        <v>11834.0236</v>
      </c>
      <c r="E771" s="1">
        <f>value(GBP!$B771)</f>
        <v>14669.2192</v>
      </c>
      <c r="F771" s="1">
        <f>value(CHF!$B771)</f>
        <v>9849.7632</v>
      </c>
      <c r="G771" s="1">
        <f>value(SGD!$B771)</f>
        <v>7369.4377</v>
      </c>
      <c r="H771" s="1">
        <f>value(MYR!$B771)</f>
        <v>2947.02204</v>
      </c>
      <c r="I771" s="1">
        <f>value(THB!$B771)</f>
        <v>295.47407</v>
      </c>
      <c r="J771" s="1">
        <f>value(VND!$B771)</f>
        <v>0.4632017499</v>
      </c>
      <c r="K771" s="1">
        <f>value(CNY!$B771)</f>
        <v>1490.305603</v>
      </c>
      <c r="L771" s="1">
        <f>value(HKD!$B771)</f>
        <v>1212.86505</v>
      </c>
      <c r="M771" s="1">
        <f>value(TWD!$B771)</f>
        <v>314.58246</v>
      </c>
      <c r="N771" s="1">
        <f>value(JPY!$B771)</f>
        <v>117.00359</v>
      </c>
      <c r="O771" s="1">
        <f>value(SAR!$B771)</f>
        <v>2514.41533</v>
      </c>
      <c r="P771" s="1">
        <f>value(AED!$B771)</f>
        <v>2588.4318</v>
      </c>
      <c r="Q771" s="1">
        <f>value(KWD!$B771)</f>
        <v>33761.32121</v>
      </c>
    </row>
    <row r="772">
      <c r="A772" s="4">
        <f>value(USD!A772)</f>
        <v>41081.99861</v>
      </c>
      <c r="B772" s="1">
        <f>value(USD!B772)</f>
        <v>9399.9</v>
      </c>
      <c r="C772" s="1">
        <f>value(AUD!$B772)</f>
        <v>9379.8703</v>
      </c>
      <c r="D772" s="1">
        <f>value(EUR!$B772)</f>
        <v>11722.7402</v>
      </c>
      <c r="E772" s="1">
        <f>value(GBP!$B772)</f>
        <v>14528.0309</v>
      </c>
      <c r="F772" s="1">
        <f>value(CHF!$B772)</f>
        <v>9759.3164</v>
      </c>
      <c r="G772" s="1">
        <f>value(SGD!$B772)</f>
        <v>7298.9767</v>
      </c>
      <c r="H772" s="1">
        <f>value(MYR!$B772)</f>
        <v>2919.21776</v>
      </c>
      <c r="I772" s="1">
        <f>value(THB!$B772)</f>
        <v>288.17393</v>
      </c>
      <c r="J772" s="1">
        <f>value(VND!$B772)</f>
        <v>0.4622049475</v>
      </c>
      <c r="K772" s="1">
        <f>value(CNY!$B772)</f>
        <v>1483.773536</v>
      </c>
      <c r="L772" s="1">
        <f>value(HKD!$B772)</f>
        <v>1201.26855</v>
      </c>
      <c r="M772" s="1">
        <f>value(TWD!$B772)</f>
        <v>311.57466</v>
      </c>
      <c r="N772" s="1">
        <f>value(JPY!$B772)</f>
        <v>115.88489</v>
      </c>
      <c r="O772" s="1">
        <f>value(SAR!$B772)</f>
        <v>2513.828037</v>
      </c>
      <c r="P772" s="1">
        <f>value(AED!$B772)</f>
        <v>2595.222691</v>
      </c>
      <c r="Q772" s="1">
        <f>value(KWD!$B772)</f>
        <v>33867.80023</v>
      </c>
    </row>
    <row r="773">
      <c r="A773" s="4">
        <f>value(USD!A773)</f>
        <v>41082.99861</v>
      </c>
      <c r="B773" s="1">
        <f>value(USD!B773)</f>
        <v>9413</v>
      </c>
      <c r="C773" s="1">
        <f>value(AUD!$B773)</f>
        <v>9470.481075</v>
      </c>
      <c r="D773" s="1">
        <f>value(EUR!$B773)</f>
        <v>11831.73106</v>
      </c>
      <c r="E773" s="1">
        <f>value(GBP!$B773)</f>
        <v>14707.32208</v>
      </c>
      <c r="F773" s="1">
        <f>value(CHF!$B773)</f>
        <v>9850.81031</v>
      </c>
      <c r="G773" s="1">
        <f>value(SGD!$B773)</f>
        <v>7381.690266</v>
      </c>
      <c r="H773" s="1">
        <f>value(MYR!$B773)</f>
        <v>2898.14652</v>
      </c>
      <c r="I773" s="1">
        <f>value(THB!$B773)</f>
        <v>295.4865595</v>
      </c>
      <c r="J773" s="1">
        <f>value(VND!$B773)</f>
        <v>0.4619410515</v>
      </c>
      <c r="K773" s="1">
        <f>value(CNY!$B773)</f>
        <v>1484.168742</v>
      </c>
      <c r="L773" s="1">
        <f>value(HKD!$B773)</f>
        <v>1216.015432</v>
      </c>
      <c r="M773" s="1">
        <f>value(TWD!$B773)</f>
        <v>314.644583</v>
      </c>
      <c r="N773" s="1">
        <f>value(JPY!$B773)</f>
        <v>117.1187545</v>
      </c>
      <c r="O773" s="1">
        <f>value(SAR!$B773)</f>
        <v>2515.61412</v>
      </c>
      <c r="P773" s="1">
        <f>value(AED!$B773)</f>
        <v>2587.20699</v>
      </c>
      <c r="Q773" s="1">
        <f>value(KWD!$B773)</f>
        <v>33907.66448</v>
      </c>
    </row>
    <row r="774">
      <c r="A774" s="4">
        <f>value(USD!A774)</f>
        <v>41083.99861</v>
      </c>
      <c r="B774" s="1">
        <f>value(USD!B774)</f>
        <v>9323</v>
      </c>
      <c r="C774" s="1">
        <f>value(AUD!$B774)</f>
        <v>9410.5</v>
      </c>
      <c r="D774" s="1">
        <f>value(EUR!$B774)</f>
        <v>11765.94815</v>
      </c>
      <c r="E774" s="1">
        <f>value(GBP!$B774)</f>
        <v>14649.32535</v>
      </c>
      <c r="F774" s="1">
        <f>value(CHF!$B774)</f>
        <v>9796.3305</v>
      </c>
      <c r="G774" s="1">
        <f>value(SGD!$B774)</f>
        <v>7342.166205</v>
      </c>
      <c r="H774" s="1">
        <f>value(MYR!$B774)</f>
        <v>2941.251775</v>
      </c>
      <c r="I774" s="1">
        <f>value(THB!$B774)</f>
        <v>295.4897</v>
      </c>
      <c r="J774" s="1">
        <f>value(VND!$B774)</f>
        <v>0.4631568663</v>
      </c>
      <c r="K774" s="1">
        <f>value(CNY!$B774)</f>
        <v>1485.750468</v>
      </c>
      <c r="L774" s="1">
        <f>value(HKD!$B774)</f>
        <v>1212.63703</v>
      </c>
      <c r="M774" s="1">
        <f>value(TWD!$B774)</f>
        <v>314.49891</v>
      </c>
      <c r="N774" s="1">
        <f>value(JPY!$B774)</f>
        <v>118.19588</v>
      </c>
      <c r="O774" s="1">
        <f>value(SAR!$B774)</f>
        <v>2515.815532</v>
      </c>
      <c r="P774" s="1">
        <f>value(AED!$B774)</f>
        <v>2596.842162</v>
      </c>
      <c r="Q774" s="1">
        <f>value(KWD!$B774)</f>
        <v>33863.33083</v>
      </c>
    </row>
    <row r="775">
      <c r="A775" s="4">
        <f>value(USD!A775)</f>
        <v>41084.99861</v>
      </c>
      <c r="B775" s="1">
        <f>value(USD!B775)</f>
        <v>9437.45</v>
      </c>
      <c r="C775" s="1">
        <f>value(AUD!$B775)</f>
        <v>9465.72018</v>
      </c>
      <c r="D775" s="1">
        <f>value(EUR!$B775)</f>
        <v>11755.22184</v>
      </c>
      <c r="E775" s="1">
        <f>value(GBP!$B775)</f>
        <v>14710.96566</v>
      </c>
      <c r="F775" s="1">
        <f>value(CHF!$B775)</f>
        <v>9787.54902</v>
      </c>
      <c r="G775" s="1">
        <f>value(SGD!$B775)</f>
        <v>7363.01099</v>
      </c>
      <c r="H775" s="1">
        <f>value(MYR!$B775)</f>
        <v>2944.545682</v>
      </c>
      <c r="I775" s="1">
        <f>value(THB!$B775)</f>
        <v>295.668484</v>
      </c>
      <c r="J775" s="1">
        <f>value(VND!$B775)</f>
        <v>0.4631117509</v>
      </c>
      <c r="K775" s="1">
        <f>value(CNY!$B775)</f>
        <v>1483.565244</v>
      </c>
      <c r="L775" s="1">
        <f>value(HKD!$B775)</f>
        <v>1212.692474</v>
      </c>
      <c r="M775" s="1">
        <f>value(TWD!$B775)</f>
        <v>314.112476</v>
      </c>
      <c r="N775" s="1">
        <f>value(JPY!$B775)</f>
        <v>118.380316</v>
      </c>
      <c r="O775" s="1">
        <f>value(SAR!$B775)</f>
        <v>2527.78059</v>
      </c>
      <c r="P775" s="1">
        <f>value(AED!$B775)</f>
        <v>2596.760508</v>
      </c>
      <c r="Q775" s="1">
        <f>value(KWD!$B775)</f>
        <v>33993.3721</v>
      </c>
    </row>
    <row r="776">
      <c r="A776" s="4">
        <f>value(USD!A776)</f>
        <v>41085.99861</v>
      </c>
      <c r="B776" s="1">
        <f>value(USD!B776)</f>
        <v>9410.5</v>
      </c>
      <c r="C776" s="1">
        <f>value(AUD!$B776)</f>
        <v>9495.773991</v>
      </c>
      <c r="D776" s="1">
        <f>value(EUR!$B776)</f>
        <v>11742.92232</v>
      </c>
      <c r="E776" s="1">
        <f>value(GBP!$B776)</f>
        <v>14658.05781</v>
      </c>
      <c r="F776" s="1">
        <f>value(CHF!$B776)</f>
        <v>9775.49067</v>
      </c>
      <c r="G776" s="1">
        <f>value(SGD!$B776)</f>
        <v>7373.937978</v>
      </c>
      <c r="H776" s="1">
        <f>value(MYR!$B776)</f>
        <v>2946.487104</v>
      </c>
      <c r="I776" s="1">
        <f>value(THB!$B776)</f>
        <v>295.251264</v>
      </c>
      <c r="J776" s="1">
        <f>value(VND!$B776)</f>
        <v>0.4643267497</v>
      </c>
      <c r="K776" s="1">
        <f>value(CNY!$B776)</f>
        <v>1486.28895</v>
      </c>
      <c r="L776" s="1">
        <f>value(HKD!$B776)</f>
        <v>1213.392312</v>
      </c>
      <c r="M776" s="1">
        <f>value(TWD!$B776)</f>
        <v>314.081064</v>
      </c>
      <c r="N776" s="1">
        <f>value(JPY!$B776)</f>
        <v>118.062846</v>
      </c>
      <c r="O776" s="1">
        <f>value(SAR!$B776)</f>
        <v>2513.334716</v>
      </c>
      <c r="P776" s="1">
        <f>value(AED!$B776)</f>
        <v>2595.209082</v>
      </c>
      <c r="Q776" s="1">
        <f>value(KWD!$B776)</f>
        <v>33982.33182</v>
      </c>
    </row>
    <row r="777">
      <c r="A777" s="4">
        <f>value(USD!A777)</f>
        <v>41086.99861</v>
      </c>
      <c r="B777" s="1">
        <f>value(USD!B777)</f>
        <v>9410.2</v>
      </c>
      <c r="C777" s="1">
        <f>value(AUD!$B777)</f>
        <v>9442.37307</v>
      </c>
      <c r="D777" s="1">
        <f>value(EUR!$B777)</f>
        <v>11713.64532</v>
      </c>
      <c r="E777" s="1">
        <f>value(GBP!$B777)</f>
        <v>14603.92752</v>
      </c>
      <c r="F777" s="1">
        <f>value(CHF!$B777)</f>
        <v>9752.58414</v>
      </c>
      <c r="G777" s="1">
        <f>value(SGD!$B777)</f>
        <v>7344.32946</v>
      </c>
      <c r="H777" s="1">
        <f>value(MYR!$B777)</f>
        <v>2943.380544</v>
      </c>
      <c r="I777" s="1">
        <f>value(THB!$B777)</f>
        <v>295.14771</v>
      </c>
      <c r="J777" s="1">
        <f>value(VND!$B777)</f>
        <v>0.4638639419</v>
      </c>
      <c r="K777" s="1">
        <f>value(CNY!$B777)</f>
        <v>1486.28895</v>
      </c>
      <c r="L777" s="1">
        <f>value(HKD!$B777)</f>
        <v>1213.259502</v>
      </c>
      <c r="M777" s="1">
        <f>value(TWD!$B777)</f>
        <v>314.824224</v>
      </c>
      <c r="N777" s="1">
        <f>value(JPY!$B777)</f>
        <v>118.62396</v>
      </c>
      <c r="O777" s="1">
        <f>value(SAR!$B777)</f>
        <v>2518.67267</v>
      </c>
      <c r="P777" s="1">
        <f>value(AED!$B777)</f>
        <v>2597.9581</v>
      </c>
      <c r="Q777" s="1">
        <f>value(KWD!$B777)</f>
        <v>33967.61893</v>
      </c>
    </row>
    <row r="778">
      <c r="A778" s="4">
        <f>value(USD!A778)</f>
        <v>41087.99861</v>
      </c>
      <c r="B778" s="1">
        <f>value(USD!B778)</f>
        <v>9414.9</v>
      </c>
      <c r="C778" s="1">
        <f>value(AUD!$B778)</f>
        <v>9590.0216</v>
      </c>
      <c r="D778" s="1">
        <f>value(EUR!$B778)</f>
        <v>11862.6984</v>
      </c>
      <c r="E778" s="1">
        <f>value(GBP!$B778)</f>
        <v>14711.5072</v>
      </c>
      <c r="F778" s="1">
        <f>value(CHF!$B778)</f>
        <v>9874.8088</v>
      </c>
      <c r="G778" s="1">
        <f>value(SGD!$B778)</f>
        <v>7401.75048</v>
      </c>
      <c r="H778" s="1">
        <f>value(MYR!$B778)</f>
        <v>2952.60624</v>
      </c>
      <c r="I778" s="1">
        <f>value(THB!$B778)</f>
        <v>296.21616</v>
      </c>
      <c r="J778" s="1">
        <f>value(VND!$B778)</f>
        <v>0.463825959</v>
      </c>
      <c r="K778" s="1">
        <f>value(CNY!$B778)</f>
        <v>1490.206848</v>
      </c>
      <c r="L778" s="1">
        <f>value(HKD!$B778)</f>
        <v>1207.5352</v>
      </c>
      <c r="M778" s="1">
        <f>value(TWD!$B778)</f>
        <v>315.88896</v>
      </c>
      <c r="N778" s="1">
        <f>value(JPY!$B778)</f>
        <v>117.38104</v>
      </c>
      <c r="O778" s="1">
        <f>value(SAR!$B778)</f>
        <v>2523.55775</v>
      </c>
      <c r="P778" s="1">
        <f>value(AED!$B778)</f>
        <v>2597.114342</v>
      </c>
      <c r="Q778" s="1">
        <f>value(KWD!$B778)</f>
        <v>34015.81638</v>
      </c>
    </row>
    <row r="779">
      <c r="A779" s="4">
        <f>value(USD!A779)</f>
        <v>41088.99861</v>
      </c>
      <c r="B779" s="1">
        <f>value(USD!B779)</f>
        <v>9414.6</v>
      </c>
      <c r="C779" s="1">
        <f>value(AUD!$B779)</f>
        <v>9587.2112</v>
      </c>
      <c r="D779" s="1">
        <f>value(EUR!$B779)</f>
        <v>11859.888</v>
      </c>
      <c r="E779" s="1">
        <f>value(GBP!$B779)</f>
        <v>14714.3176</v>
      </c>
      <c r="F779" s="1">
        <f>value(CHF!$B779)</f>
        <v>9871.9984</v>
      </c>
      <c r="G779" s="1">
        <f>value(SGD!$B779)</f>
        <v>7401.75048</v>
      </c>
      <c r="H779" s="1">
        <f>value(MYR!$B779)</f>
        <v>2911.48072</v>
      </c>
      <c r="I779" s="1">
        <f>value(THB!$B779)</f>
        <v>291.3448</v>
      </c>
      <c r="J779" s="1">
        <f>value(VND!$B779)</f>
        <v>0.4665101909</v>
      </c>
      <c r="K779" s="1">
        <f>value(CNY!$B779)</f>
        <v>1485.1258</v>
      </c>
      <c r="L779" s="1">
        <f>value(HKD!$B779)</f>
        <v>1207.44152</v>
      </c>
      <c r="M779" s="1">
        <f>value(TWD!$B779)</f>
        <v>315.88896</v>
      </c>
      <c r="N779" s="1">
        <f>value(JPY!$B779)</f>
        <v>117.38104</v>
      </c>
      <c r="O779" s="1">
        <f>value(SAR!$B779)</f>
        <v>2521.648575</v>
      </c>
      <c r="P779" s="1">
        <f>value(AED!$B779)</f>
        <v>2598.856294</v>
      </c>
      <c r="Q779" s="1">
        <f>value(KWD!$B779)</f>
        <v>33988.16092</v>
      </c>
    </row>
    <row r="780">
      <c r="A780" s="4">
        <f>value(USD!A780)</f>
        <v>41089.99861</v>
      </c>
      <c r="B780" s="1">
        <f>value(USD!B780)</f>
        <v>9368</v>
      </c>
      <c r="C780" s="1">
        <f>value(AUD!$B780)</f>
        <v>9643.125299</v>
      </c>
      <c r="D780" s="1">
        <f>value(EUR!$B780)</f>
        <v>11919.01963</v>
      </c>
      <c r="E780" s="1">
        <f>value(GBP!$B780)</f>
        <v>14766.19451</v>
      </c>
      <c r="F780" s="1">
        <f>value(CHF!$B780)</f>
        <v>9919.961432</v>
      </c>
      <c r="G780" s="1">
        <f>value(SGD!$B780)</f>
        <v>7434.368438</v>
      </c>
      <c r="H780" s="1">
        <f>value(MYR!$B780)</f>
        <v>2924.952652</v>
      </c>
      <c r="I780" s="1">
        <f>value(THB!$B780)</f>
        <v>292.7495025</v>
      </c>
      <c r="J780" s="1">
        <f>value(VND!$B780)</f>
        <v>0.4649582998</v>
      </c>
      <c r="K780" s="1">
        <f>value(CNY!$B780)</f>
        <v>1487.80335</v>
      </c>
      <c r="L780" s="1">
        <f>value(HKD!$B780)</f>
        <v>1213.747535</v>
      </c>
      <c r="M780" s="1">
        <f>value(TWD!$B780)</f>
        <v>317.4199334</v>
      </c>
      <c r="N780" s="1">
        <f>value(JPY!$B780)</f>
        <v>117.8907614</v>
      </c>
      <c r="O780" s="1">
        <f>value(SAR!$B780)</f>
        <v>2517.150182</v>
      </c>
      <c r="P780" s="1">
        <f>value(AED!$B780)</f>
        <v>2598.747422</v>
      </c>
      <c r="Q780" s="1">
        <f>value(KWD!$B780)</f>
        <v>34042.42053</v>
      </c>
    </row>
    <row r="781">
      <c r="A781" s="4">
        <f>value(USD!A781)</f>
        <v>41090.99861</v>
      </c>
      <c r="B781" s="1">
        <f>value(USD!B781)</f>
        <v>9368</v>
      </c>
      <c r="C781" s="1">
        <f>value(AUD!$B781)</f>
        <v>9617.668021</v>
      </c>
      <c r="D781" s="1">
        <f>value(EUR!$B781)</f>
        <v>11806.68743</v>
      </c>
      <c r="E781" s="1">
        <f>value(GBP!$B781)</f>
        <v>14722.28376</v>
      </c>
      <c r="F781" s="1">
        <f>value(CHF!$B781)</f>
        <v>9829.05462</v>
      </c>
      <c r="G781" s="1">
        <f>value(SGD!$B781)</f>
        <v>7398.249474</v>
      </c>
      <c r="H781" s="1">
        <f>value(MYR!$B781)</f>
        <v>2963.540657</v>
      </c>
      <c r="I781" s="1">
        <f>value(THB!$B781)</f>
        <v>296.9545425</v>
      </c>
      <c r="J781" s="1">
        <f>value(VND!$B781)</f>
        <v>0.4694801027</v>
      </c>
      <c r="K781" s="1">
        <f>value(CNY!$B781)</f>
        <v>1487.157246</v>
      </c>
      <c r="L781" s="1">
        <f>value(HKD!$B781)</f>
        <v>1209.397805</v>
      </c>
      <c r="M781" s="1">
        <f>value(TWD!$B781)</f>
        <v>313.0923565</v>
      </c>
      <c r="N781" s="1">
        <f>value(JPY!$B781)</f>
        <v>118.031221</v>
      </c>
      <c r="O781" s="1">
        <f>value(SAR!$B781)</f>
        <v>2530.142201</v>
      </c>
      <c r="P781" s="1">
        <f>value(AED!$B781)</f>
        <v>2596.080058</v>
      </c>
      <c r="Q781" s="1">
        <f>value(KWD!$B781)</f>
        <v>33876.4956</v>
      </c>
    </row>
    <row r="782">
      <c r="A782" s="4">
        <f>value(USD!A782)</f>
        <v>41091.99861</v>
      </c>
      <c r="B782" s="1">
        <f>value(USD!B782)</f>
        <v>9416.195</v>
      </c>
      <c r="C782" s="1">
        <f>value(AUD!$B782)</f>
        <v>9578.998728</v>
      </c>
      <c r="D782" s="1">
        <f>value(EUR!$B782)</f>
        <v>11737.98475</v>
      </c>
      <c r="E782" s="1">
        <f>value(GBP!$B782)</f>
        <v>14609.61684</v>
      </c>
      <c r="F782" s="1">
        <f>value(CHF!$B782)</f>
        <v>9771.40944</v>
      </c>
      <c r="G782" s="1">
        <f>value(SGD!$B782)</f>
        <v>7370.93214</v>
      </c>
      <c r="H782" s="1">
        <f>value(MYR!$B782)</f>
        <v>2951.539344</v>
      </c>
      <c r="I782" s="1">
        <f>value(THB!$B782)</f>
        <v>296.252892</v>
      </c>
      <c r="J782" s="1">
        <f>value(VND!$B782)</f>
        <v>0.4692583806</v>
      </c>
      <c r="K782" s="1">
        <f>value(CNY!$B782)</f>
        <v>1489.4976</v>
      </c>
      <c r="L782" s="1">
        <f>value(HKD!$B782)</f>
        <v>1200.93714</v>
      </c>
      <c r="M782" s="1">
        <f>value(TWD!$B782)</f>
        <v>312.45786</v>
      </c>
      <c r="N782" s="1">
        <f>value(JPY!$B782)</f>
        <v>116.694396</v>
      </c>
      <c r="O782" s="1">
        <f>value(SAR!$B782)</f>
        <v>2514.86784</v>
      </c>
      <c r="P782" s="1">
        <f>value(AED!$B782)</f>
        <v>2599.019602</v>
      </c>
      <c r="Q782" s="1">
        <f>value(KWD!$B782)</f>
        <v>33259.35733</v>
      </c>
    </row>
    <row r="783">
      <c r="A783" s="4">
        <f>value(USD!A783)</f>
        <v>41092.99861</v>
      </c>
      <c r="B783" s="1">
        <f>value(USD!B783)</f>
        <v>9382.45</v>
      </c>
      <c r="C783" s="1">
        <f>value(AUD!$B783)</f>
        <v>9580.33386</v>
      </c>
      <c r="D783" s="1">
        <f>value(EUR!$B783)</f>
        <v>11680.05636</v>
      </c>
      <c r="E783" s="1">
        <f>value(GBP!$B783)</f>
        <v>14544.07785</v>
      </c>
      <c r="F783" s="1">
        <f>value(CHF!$B783)</f>
        <v>9723.11499</v>
      </c>
      <c r="G783" s="1">
        <f>value(SGD!$B783)</f>
        <v>7363.680147</v>
      </c>
      <c r="H783" s="1">
        <f>value(MYR!$B783)</f>
        <v>2954.822823</v>
      </c>
      <c r="I783" s="1">
        <f>value(THB!$B783)</f>
        <v>296.014212</v>
      </c>
      <c r="J783" s="1">
        <f>value(VND!$B783)</f>
        <v>0.4635772121</v>
      </c>
      <c r="K783" s="1">
        <f>value(CNY!$B783)</f>
        <v>1489.4976</v>
      </c>
      <c r="L783" s="1">
        <f>value(HKD!$B783)</f>
        <v>1203.187653</v>
      </c>
      <c r="M783" s="1">
        <f>value(TWD!$B783)</f>
        <v>311.785461</v>
      </c>
      <c r="N783" s="1">
        <f>value(JPY!$B783)</f>
        <v>116.744571</v>
      </c>
      <c r="O783" s="1">
        <f>value(SAR!$B783)</f>
        <v>2515.884379</v>
      </c>
      <c r="P783" s="1">
        <f>value(AED!$B783)</f>
        <v>2580.2664</v>
      </c>
      <c r="Q783" s="1">
        <f>value(KWD!$B783)</f>
        <v>33709.12175</v>
      </c>
    </row>
    <row r="784">
      <c r="A784" s="4">
        <f>value(USD!A784)</f>
        <v>41093.99861</v>
      </c>
      <c r="B784" s="1">
        <f>value(USD!B784)</f>
        <v>9313.2</v>
      </c>
      <c r="C784" s="1">
        <f>value(AUD!$B784)</f>
        <v>9625.090576</v>
      </c>
      <c r="D784" s="1">
        <f>value(EUR!$B784)</f>
        <v>11593.21226</v>
      </c>
      <c r="E784" s="1">
        <f>value(GBP!$B784)</f>
        <v>14528.26196</v>
      </c>
      <c r="F784" s="1">
        <f>value(CHF!$B784)</f>
        <v>9651.49198</v>
      </c>
      <c r="G784" s="1">
        <f>value(SGD!$B784)</f>
        <v>7401.568076</v>
      </c>
      <c r="H784" s="1">
        <f>value(MYR!$B784)</f>
        <v>2957.612602</v>
      </c>
      <c r="I784" s="1">
        <f>value(THB!$B784)</f>
        <v>296.126386</v>
      </c>
      <c r="J784" s="1">
        <f>value(VND!$B784)</f>
        <v>0.4669356383</v>
      </c>
      <c r="K784" s="1">
        <f>value(CNY!$B784)</f>
        <v>1500.10822</v>
      </c>
      <c r="L784" s="1">
        <f>value(HKD!$B784)</f>
        <v>1207.25569</v>
      </c>
      <c r="M784" s="1">
        <f>value(TWD!$B784)</f>
        <v>310.169686</v>
      </c>
      <c r="N784" s="1">
        <f>value(JPY!$B784)</f>
        <v>117.121122</v>
      </c>
      <c r="O784" s="1">
        <f>value(SAR!$B784)</f>
        <v>2513.120229</v>
      </c>
      <c r="P784" s="1">
        <f>value(AED!$B784)</f>
        <v>2533.260914</v>
      </c>
      <c r="Q784" s="1">
        <f>value(KWD!$B784)</f>
        <v>33821.48743</v>
      </c>
    </row>
    <row r="785">
      <c r="A785" s="4">
        <f>value(USD!A785)</f>
        <v>41094.99861</v>
      </c>
      <c r="B785" s="1">
        <f>value(USD!B785)</f>
        <v>9332.1</v>
      </c>
      <c r="C785" s="1">
        <f>value(AUD!$B785)</f>
        <v>9614.757</v>
      </c>
      <c r="D785" s="1">
        <f>value(EUR!$B785)</f>
        <v>11568.7845</v>
      </c>
      <c r="E785" s="1">
        <f>value(GBP!$B785)</f>
        <v>14583.1662</v>
      </c>
      <c r="F785" s="1">
        <f>value(CHF!$B785)</f>
        <v>9632.6493</v>
      </c>
      <c r="G785" s="1">
        <f>value(SGD!$B785)</f>
        <v>7402.13868</v>
      </c>
      <c r="H785" s="1">
        <f>value(MYR!$B785)</f>
        <v>2965.03662</v>
      </c>
      <c r="I785" s="1">
        <f>value(THB!$B785)</f>
        <v>297.48303</v>
      </c>
      <c r="J785" s="1">
        <f>value(VND!$B785)</f>
        <v>0.4637574731</v>
      </c>
      <c r="K785" s="1">
        <f>value(CNY!$B785)</f>
        <v>1489.7141</v>
      </c>
      <c r="L785" s="1">
        <f>value(HKD!$B785)</f>
        <v>1214.32215</v>
      </c>
      <c r="M785" s="1">
        <f>value(TWD!$B785)</f>
        <v>312.36189</v>
      </c>
      <c r="N785" s="1">
        <f>value(JPY!$B785)</f>
        <v>118.18335</v>
      </c>
      <c r="O785" s="1">
        <f>value(SAR!$B785)</f>
        <v>2512.237435</v>
      </c>
      <c r="P785" s="1">
        <f>value(AED!$B785)</f>
        <v>2567.61003</v>
      </c>
      <c r="Q785" s="1">
        <f>value(KWD!$B785)</f>
        <v>33955.99559</v>
      </c>
    </row>
    <row r="786">
      <c r="A786" s="4">
        <f>value(USD!A786)</f>
        <v>41095.99861</v>
      </c>
      <c r="B786" s="1">
        <f>value(USD!B786)</f>
        <v>9362.2</v>
      </c>
      <c r="C786" s="1">
        <f>value(AUD!$B786)</f>
        <v>9489.87804</v>
      </c>
      <c r="D786" s="1">
        <f>value(EUR!$B786)</f>
        <v>11420.57416</v>
      </c>
      <c r="E786" s="1">
        <f>value(GBP!$B786)</f>
        <v>14397.02528</v>
      </c>
      <c r="F786" s="1">
        <f>value(CHF!$B786)</f>
        <v>9511.25792</v>
      </c>
      <c r="G786" s="1">
        <f>value(SGD!$B786)</f>
        <v>7306.713424</v>
      </c>
      <c r="H786" s="1">
        <f>value(MYR!$B786)</f>
        <v>2850.96052</v>
      </c>
      <c r="I786" s="1">
        <f>value(THB!$B786)</f>
        <v>285.932656</v>
      </c>
      <c r="J786" s="1">
        <f>value(VND!$B786)</f>
        <v>0.4673959859</v>
      </c>
      <c r="K786" s="1">
        <f>value(CNY!$B786)</f>
        <v>1493.790084</v>
      </c>
      <c r="L786" s="1">
        <f>value(HKD!$B786)</f>
        <v>1198.66762</v>
      </c>
      <c r="M786" s="1">
        <f>value(TWD!$B786)</f>
        <v>308.428008</v>
      </c>
      <c r="N786" s="1">
        <f>value(JPY!$B786)</f>
        <v>116.65978</v>
      </c>
      <c r="O786" s="1">
        <f>value(SAR!$B786)</f>
        <v>2518.981181</v>
      </c>
      <c r="P786" s="1">
        <f>value(AED!$B786)</f>
        <v>2578.470012</v>
      </c>
      <c r="Q786" s="1">
        <f>value(KWD!$B786)</f>
        <v>33947.10421</v>
      </c>
    </row>
    <row r="787">
      <c r="A787" s="4">
        <f>value(USD!A787)</f>
        <v>41096.99861</v>
      </c>
      <c r="B787" s="1">
        <f>value(USD!B787)</f>
        <v>9417</v>
      </c>
      <c r="C787" s="1">
        <f>value(AUD!$B787)</f>
        <v>9637.398365</v>
      </c>
      <c r="D787" s="1">
        <f>value(EUR!$B787)</f>
        <v>11584.32845</v>
      </c>
      <c r="E787" s="1">
        <f>value(GBP!$B787)</f>
        <v>14618.02699</v>
      </c>
      <c r="F787" s="1">
        <f>value(CHF!$B787)</f>
        <v>9643.063535</v>
      </c>
      <c r="G787" s="1">
        <f>value(SGD!$B787)</f>
        <v>7415.329852</v>
      </c>
      <c r="H787" s="1">
        <f>value(MYR!$B787)</f>
        <v>2891.408348</v>
      </c>
      <c r="I787" s="1">
        <f>value(THB!$B787)</f>
        <v>289.9622845</v>
      </c>
      <c r="J787" s="1">
        <f>value(VND!$B787)</f>
        <v>0.462145952</v>
      </c>
      <c r="K787" s="1">
        <f>value(CNY!$B787)</f>
        <v>1496.04096</v>
      </c>
      <c r="L787" s="1">
        <f>value(HKD!$B787)</f>
        <v>1217.633872</v>
      </c>
      <c r="M787" s="1">
        <f>value(TWD!$B787)</f>
        <v>312.8118035</v>
      </c>
      <c r="N787" s="1">
        <f>value(JPY!$B787)</f>
        <v>118.4964725</v>
      </c>
      <c r="O787" s="1">
        <f>value(SAR!$B787)</f>
        <v>2520.553039</v>
      </c>
      <c r="P787" s="1">
        <f>value(AED!$B787)</f>
        <v>2588.077966</v>
      </c>
      <c r="Q787" s="1">
        <f>value(KWD!$B787)</f>
        <v>33989.0656</v>
      </c>
    </row>
    <row r="788">
      <c r="A788" s="4">
        <f>value(USD!A788)</f>
        <v>41097.99861</v>
      </c>
      <c r="B788" s="1">
        <f>value(USD!B788)</f>
        <v>9295.6</v>
      </c>
      <c r="C788" s="1">
        <f>value(AUD!$B788)</f>
        <v>9569.410176</v>
      </c>
      <c r="D788" s="1">
        <f>value(EUR!$B788)</f>
        <v>11549.07792</v>
      </c>
      <c r="E788" s="1">
        <f>value(GBP!$B788)</f>
        <v>14558.8632</v>
      </c>
      <c r="F788" s="1">
        <f>value(CHF!$B788)</f>
        <v>9615.55584</v>
      </c>
      <c r="G788" s="1">
        <f>value(SGD!$B788)</f>
        <v>7385.088288</v>
      </c>
      <c r="H788" s="1">
        <f>value(MYR!$B788)</f>
        <v>2938.409568</v>
      </c>
      <c r="I788" s="1">
        <f>value(THB!$B788)</f>
        <v>295.632384</v>
      </c>
      <c r="J788" s="1">
        <f>value(VND!$B788)</f>
        <v>0.4537711383</v>
      </c>
      <c r="K788" s="1">
        <f>value(CNY!$B788)</f>
        <v>1496.075704</v>
      </c>
      <c r="L788" s="1">
        <f>value(HKD!$B788)</f>
        <v>1209.44784</v>
      </c>
      <c r="M788" s="1">
        <f>value(TWD!$B788)</f>
        <v>313.171488</v>
      </c>
      <c r="N788" s="1">
        <f>value(JPY!$B788)</f>
        <v>117.802752</v>
      </c>
      <c r="O788" s="1">
        <f>value(SAR!$B788)</f>
        <v>2517.457662</v>
      </c>
      <c r="P788" s="1">
        <f>value(AED!$B788)</f>
        <v>2588.785634</v>
      </c>
      <c r="Q788" s="1">
        <f>value(KWD!$B788)</f>
        <v>33989.0656</v>
      </c>
    </row>
    <row r="789">
      <c r="A789" s="4">
        <f>value(USD!A789)</f>
        <v>41098.99861</v>
      </c>
      <c r="B789" s="1">
        <f>value(USD!B789)</f>
        <v>9441.95</v>
      </c>
      <c r="C789" s="1">
        <f>value(AUD!$B789)</f>
        <v>9570.12445</v>
      </c>
      <c r="D789" s="1">
        <f>value(EUR!$B789)</f>
        <v>11511.40528</v>
      </c>
      <c r="E789" s="1">
        <f>value(GBP!$B789)</f>
        <v>14581.45797</v>
      </c>
      <c r="F789" s="1">
        <f>value(CHF!$B789)</f>
        <v>9584.69228</v>
      </c>
      <c r="G789" s="1">
        <f>value(SGD!$B789)</f>
        <v>7406.190786</v>
      </c>
      <c r="H789" s="1">
        <f>value(MYR!$B789)</f>
        <v>2957.457462</v>
      </c>
      <c r="I789" s="1">
        <f>value(THB!$B789)</f>
        <v>296.0559</v>
      </c>
      <c r="J789" s="1">
        <f>value(VND!$B789)</f>
        <v>0.4588724575</v>
      </c>
      <c r="K789" s="1">
        <f>value(CNY!$B789)</f>
        <v>1495.6377</v>
      </c>
      <c r="L789" s="1">
        <f>value(HKD!$B789)</f>
        <v>1211.94947</v>
      </c>
      <c r="M789" s="1">
        <f>value(TWD!$B789)</f>
        <v>312.785408</v>
      </c>
      <c r="N789" s="1">
        <f>value(JPY!$B789)</f>
        <v>118.328374</v>
      </c>
      <c r="O789" s="1">
        <f>value(SAR!$B789)</f>
        <v>2530.24667</v>
      </c>
      <c r="P789" s="1">
        <f>value(AED!$B789)</f>
        <v>2591.1536</v>
      </c>
      <c r="Q789" s="1">
        <f>value(KWD!$B789)</f>
        <v>34011.41504</v>
      </c>
    </row>
    <row r="790">
      <c r="A790" s="4">
        <f>value(USD!A790)</f>
        <v>41099.99861</v>
      </c>
      <c r="B790" s="1">
        <f>value(USD!B790)</f>
        <v>9379.2</v>
      </c>
      <c r="C790" s="1">
        <f>value(AUD!$B790)</f>
        <v>9623.206868</v>
      </c>
      <c r="D790" s="1">
        <f>value(EUR!$B790)</f>
        <v>11490.83045</v>
      </c>
      <c r="E790" s="1">
        <f>value(GBP!$B790)</f>
        <v>14552.11155</v>
      </c>
      <c r="F790" s="1">
        <f>value(CHF!$B790)</f>
        <v>9568.02836</v>
      </c>
      <c r="G790" s="1">
        <f>value(SGD!$B790)</f>
        <v>7426.764422</v>
      </c>
      <c r="H790" s="1">
        <f>value(MYR!$B790)</f>
        <v>2950.173358</v>
      </c>
      <c r="I790" s="1">
        <f>value(THB!$B790)</f>
        <v>295.59915</v>
      </c>
      <c r="J790" s="1">
        <f>value(VND!$B790)</f>
        <v>0.4604549385</v>
      </c>
      <c r="K790" s="1">
        <f>value(CNY!$B790)</f>
        <v>1495.6377</v>
      </c>
      <c r="L790" s="1">
        <f>value(HKD!$B790)</f>
        <v>1210.079695</v>
      </c>
      <c r="M790" s="1">
        <f>value(TWD!$B790)</f>
        <v>312.584371</v>
      </c>
      <c r="N790" s="1">
        <f>value(JPY!$B790)</f>
        <v>117.770455</v>
      </c>
      <c r="O790" s="1">
        <f>value(SAR!$B790)</f>
        <v>2518.418636</v>
      </c>
      <c r="P790" s="1">
        <f>value(AED!$B790)</f>
        <v>2591.1536</v>
      </c>
      <c r="Q790" s="1">
        <f>value(KWD!$B790)</f>
        <v>34044.92808</v>
      </c>
    </row>
    <row r="791">
      <c r="A791" s="4">
        <f>value(USD!A791)</f>
        <v>41100.99861</v>
      </c>
      <c r="B791" s="1">
        <f>value(USD!B791)</f>
        <v>9398.6</v>
      </c>
      <c r="C791" s="1">
        <f>value(AUD!$B791)</f>
        <v>9545.919168</v>
      </c>
      <c r="D791" s="1">
        <f>value(EUR!$B791)</f>
        <v>11491.21664</v>
      </c>
      <c r="E791" s="1">
        <f>value(GBP!$B791)</f>
        <v>14523.59488</v>
      </c>
      <c r="F791" s="1">
        <f>value(CHF!$B791)</f>
        <v>9567.85472</v>
      </c>
      <c r="G791" s="1">
        <f>value(SGD!$B791)</f>
        <v>7417.040896</v>
      </c>
      <c r="H791" s="1">
        <f>value(MYR!$B791)</f>
        <v>2947.554496</v>
      </c>
      <c r="I791" s="1">
        <f>value(THB!$B791)</f>
        <v>295.706304</v>
      </c>
      <c r="J791" s="1">
        <f>value(VND!$B791)</f>
        <v>0.4639069088</v>
      </c>
      <c r="K791" s="1">
        <f>value(CNY!$B791)</f>
        <v>1499.561586</v>
      </c>
      <c r="L791" s="1">
        <f>value(HKD!$B791)</f>
        <v>1213.610304</v>
      </c>
      <c r="M791" s="1">
        <f>value(TWD!$B791)</f>
        <v>313.876096</v>
      </c>
      <c r="N791" s="1">
        <f>value(JPY!$B791)</f>
        <v>118.715584</v>
      </c>
      <c r="O791" s="1">
        <f>value(SAR!$B791)</f>
        <v>2525.670023</v>
      </c>
      <c r="P791" s="1">
        <f>value(AED!$B791)</f>
        <v>2594.800812</v>
      </c>
      <c r="Q791" s="1">
        <f>value(KWD!$B791)</f>
        <v>34066.30644</v>
      </c>
    </row>
    <row r="792">
      <c r="A792" s="4">
        <f>value(USD!A792)</f>
        <v>41101.99861</v>
      </c>
      <c r="B792" s="1">
        <f>value(USD!B792)</f>
        <v>9384.1</v>
      </c>
      <c r="C792" s="1">
        <f>value(AUD!$B792)</f>
        <v>9635.0175</v>
      </c>
      <c r="D792" s="1">
        <f>value(EUR!$B792)</f>
        <v>11542.2327</v>
      </c>
      <c r="E792" s="1">
        <f>value(GBP!$B792)</f>
        <v>14675.3802</v>
      </c>
      <c r="F792" s="1">
        <f>value(CHF!$B792)</f>
        <v>9609.5754</v>
      </c>
      <c r="G792" s="1">
        <f>value(SGD!$B792)</f>
        <v>7449.54111</v>
      </c>
      <c r="H792" s="1">
        <f>value(MYR!$B792)</f>
        <v>2956.65471</v>
      </c>
      <c r="I792" s="1">
        <f>value(THB!$B792)</f>
        <v>297.20142</v>
      </c>
      <c r="J792" s="1">
        <f>value(VND!$B792)</f>
        <v>0.4628820238</v>
      </c>
      <c r="K792" s="1">
        <f>value(CNY!$B792)</f>
        <v>1496.831085</v>
      </c>
      <c r="L792" s="1">
        <f>value(HKD!$B792)</f>
        <v>1214.53047</v>
      </c>
      <c r="M792" s="1">
        <f>value(TWD!$B792)</f>
        <v>315.57627</v>
      </c>
      <c r="N792" s="1">
        <f>value(JPY!$B792)</f>
        <v>118.91826</v>
      </c>
      <c r="O792" s="1">
        <f>value(SAR!$B792)</f>
        <v>2519.658271</v>
      </c>
      <c r="P792" s="1">
        <f>value(AED!$B792)</f>
        <v>2598.284716</v>
      </c>
      <c r="Q792" s="1">
        <f>value(KWD!$B792)</f>
        <v>34034.22088</v>
      </c>
    </row>
    <row r="793">
      <c r="A793" s="4">
        <f>value(USD!A793)</f>
        <v>41102.99861</v>
      </c>
      <c r="B793" s="1">
        <f>value(USD!B793)</f>
        <v>9414.4</v>
      </c>
      <c r="C793" s="1">
        <f>value(AUD!$B793)</f>
        <v>9636.9021</v>
      </c>
      <c r="D793" s="1">
        <f>value(EUR!$B793)</f>
        <v>11540.3481</v>
      </c>
      <c r="E793" s="1">
        <f>value(GBP!$B793)</f>
        <v>14675.3802</v>
      </c>
      <c r="F793" s="1">
        <f>value(CHF!$B793)</f>
        <v>9610.5177</v>
      </c>
      <c r="G793" s="1">
        <f>value(SGD!$B793)</f>
        <v>7449.54111</v>
      </c>
      <c r="H793" s="1">
        <f>value(MYR!$B793)</f>
        <v>2910.10509</v>
      </c>
      <c r="I793" s="1">
        <f>value(THB!$B793)</f>
        <v>297.20142</v>
      </c>
      <c r="J793" s="1">
        <f>value(VND!$B793)</f>
        <v>0.4622705606</v>
      </c>
      <c r="K793" s="1">
        <f>value(CNY!$B793)</f>
        <v>1500.878979</v>
      </c>
      <c r="L793" s="1">
        <f>value(HKD!$B793)</f>
        <v>1214.53047</v>
      </c>
      <c r="M793" s="1">
        <f>value(TWD!$B793)</f>
        <v>315.48204</v>
      </c>
      <c r="N793" s="1">
        <f>value(JPY!$B793)</f>
        <v>118.91826</v>
      </c>
      <c r="O793" s="1">
        <f>value(SAR!$B793)</f>
        <v>2517.841863</v>
      </c>
      <c r="P793" s="1">
        <f>value(AED!$B793)</f>
        <v>2600.843208</v>
      </c>
      <c r="Q793" s="1">
        <f>value(KWD!$B793)</f>
        <v>34028.51679</v>
      </c>
    </row>
    <row r="794">
      <c r="A794" s="4">
        <f>value(USD!A794)</f>
        <v>41103.99861</v>
      </c>
      <c r="B794" s="1">
        <f>value(USD!B794)</f>
        <v>9423</v>
      </c>
      <c r="C794" s="1">
        <f>value(AUD!$B794)</f>
        <v>9699.809612</v>
      </c>
      <c r="D794" s="1">
        <f>value(EUR!$B794)</f>
        <v>11608.90032</v>
      </c>
      <c r="E794" s="1">
        <f>value(GBP!$B794)</f>
        <v>14763.25606</v>
      </c>
      <c r="F794" s="1">
        <f>value(CHF!$B794)</f>
        <v>9664.771737</v>
      </c>
      <c r="G794" s="1">
        <f>value(SGD!$B794)</f>
        <v>7487.688627</v>
      </c>
      <c r="H794" s="1">
        <f>value(MYR!$B794)</f>
        <v>2927.17773</v>
      </c>
      <c r="I794" s="1">
        <f>value(THB!$B794)</f>
        <v>298.9583027</v>
      </c>
      <c r="J794" s="1">
        <f>value(VND!$B794)</f>
        <v>0.4621583484</v>
      </c>
      <c r="K794" s="1">
        <f>value(CNY!$B794)</f>
        <v>1500.25935</v>
      </c>
      <c r="L794" s="1">
        <f>value(HKD!$B794)</f>
        <v>1220.738511</v>
      </c>
      <c r="M794" s="1">
        <f>value(TWD!$B794)</f>
        <v>317.3295129</v>
      </c>
      <c r="N794" s="1">
        <f>value(JPY!$B794)</f>
        <v>119.6022604</v>
      </c>
      <c r="O794" s="1">
        <f>value(SAR!$B794)</f>
        <v>2519.949857</v>
      </c>
      <c r="P794" s="1">
        <f>value(AED!$B794)</f>
        <v>2598.393588</v>
      </c>
      <c r="Q794" s="1">
        <f>value(KWD!$B794)</f>
        <v>34028.51679</v>
      </c>
    </row>
    <row r="795">
      <c r="A795" s="4">
        <f>value(USD!A795)</f>
        <v>41104.99861</v>
      </c>
      <c r="B795" s="1">
        <f>value(USD!B795)</f>
        <v>9423</v>
      </c>
      <c r="C795" s="1">
        <f>value(AUD!$B795)</f>
        <v>9645.44517</v>
      </c>
      <c r="D795" s="1">
        <f>value(EUR!$B795)</f>
        <v>11556.35302</v>
      </c>
      <c r="E795" s="1">
        <f>value(GBP!$B795)</f>
        <v>14720.16078</v>
      </c>
      <c r="F795" s="1">
        <f>value(CHF!$B795)</f>
        <v>9621.89442</v>
      </c>
      <c r="G795" s="1">
        <f>value(SGD!$B795)</f>
        <v>7449.196428</v>
      </c>
      <c r="H795" s="1">
        <f>value(MYR!$B795)</f>
        <v>2960.706087</v>
      </c>
      <c r="I795" s="1">
        <f>value(THB!$B795)</f>
        <v>297.869886</v>
      </c>
      <c r="J795" s="1">
        <f>value(VND!$B795)</f>
        <v>0.4645679969</v>
      </c>
      <c r="K795" s="1">
        <f>value(CNY!$B795)</f>
        <v>1500.888609</v>
      </c>
      <c r="L795" s="1">
        <f>value(HKD!$B795)</f>
        <v>1214.27667</v>
      </c>
      <c r="M795" s="1">
        <f>value(TWD!$B795)</f>
        <v>315.862659</v>
      </c>
      <c r="N795" s="1">
        <f>value(JPY!$B795)</f>
        <v>119.543607</v>
      </c>
      <c r="O795" s="1">
        <f>value(SAR!$B795)</f>
        <v>2523.424278</v>
      </c>
      <c r="P795" s="1">
        <f>value(AED!$B795)</f>
        <v>2597.9581</v>
      </c>
      <c r="Q795" s="1">
        <f>value(KWD!$B795)</f>
        <v>34005.69175</v>
      </c>
    </row>
    <row r="796">
      <c r="A796" s="4">
        <f>value(USD!A796)</f>
        <v>41105.99861</v>
      </c>
      <c r="B796" s="1">
        <f>value(USD!B796)</f>
        <v>9469.696</v>
      </c>
      <c r="C796" s="1">
        <f>value(AUD!$B796)</f>
        <v>9692.094</v>
      </c>
      <c r="D796" s="1">
        <f>value(EUR!$B796)</f>
        <v>11559.9393</v>
      </c>
      <c r="E796" s="1">
        <f>value(GBP!$B796)</f>
        <v>14722.57308</v>
      </c>
      <c r="F796" s="1">
        <f>value(CHF!$B796)</f>
        <v>9622.46148</v>
      </c>
      <c r="G796" s="1">
        <f>value(SGD!$B796)</f>
        <v>7460.371734</v>
      </c>
      <c r="H796" s="1">
        <f>value(MYR!$B796)</f>
        <v>2970.109272</v>
      </c>
      <c r="I796" s="1">
        <f>value(THB!$B796)</f>
        <v>297.726072</v>
      </c>
      <c r="J796" s="1">
        <f>value(VND!$B796)</f>
        <v>0.4645352751</v>
      </c>
      <c r="K796" s="1">
        <f>value(CNY!$B796)</f>
        <v>1502.47845</v>
      </c>
      <c r="L796" s="1">
        <f>value(HKD!$B796)</f>
        <v>1213.111416</v>
      </c>
      <c r="M796" s="1">
        <f>value(TWD!$B796)</f>
        <v>314.193222</v>
      </c>
      <c r="N796" s="1">
        <f>value(JPY!$B796)</f>
        <v>118.939872</v>
      </c>
      <c r="O796" s="1">
        <f>value(SAR!$B796)</f>
        <v>2527.522185</v>
      </c>
      <c r="P796" s="1">
        <f>value(AED!$B796)</f>
        <v>2597.9581</v>
      </c>
      <c r="Q796" s="1">
        <f>value(KWD!$B796)</f>
        <v>34007.47206</v>
      </c>
    </row>
    <row r="797">
      <c r="A797" s="4">
        <f>value(USD!A797)</f>
        <v>41106.99861</v>
      </c>
      <c r="B797" s="1">
        <f>value(USD!B797)</f>
        <v>9420.3</v>
      </c>
      <c r="C797" s="1">
        <f>value(AUD!$B797)</f>
        <v>9760.9097</v>
      </c>
      <c r="D797" s="1">
        <f>value(EUR!$B797)</f>
        <v>11563.7063</v>
      </c>
      <c r="E797" s="1">
        <f>value(GBP!$B797)</f>
        <v>14736.0255</v>
      </c>
      <c r="F797" s="1">
        <f>value(CHF!$B797)</f>
        <v>9627.1599</v>
      </c>
      <c r="G797" s="1">
        <f>value(SGD!$B797)</f>
        <v>7487.53986</v>
      </c>
      <c r="H797" s="1">
        <f>value(MYR!$B797)</f>
        <v>2976.21562</v>
      </c>
      <c r="I797" s="1">
        <f>value(THB!$B797)</f>
        <v>296.88688</v>
      </c>
      <c r="J797" s="1">
        <f>value(VND!$B797)</f>
        <v>0.4650153237</v>
      </c>
      <c r="K797" s="1">
        <f>value(CNY!$B797)</f>
        <v>1501.990479</v>
      </c>
      <c r="L797" s="1">
        <f>value(HKD!$B797)</f>
        <v>1214.29748</v>
      </c>
      <c r="M797" s="1">
        <f>value(TWD!$B797)</f>
        <v>315.06555</v>
      </c>
      <c r="N797" s="1">
        <f>value(JPY!$B797)</f>
        <v>119.52711</v>
      </c>
      <c r="O797" s="1">
        <f>value(SAR!$B797)</f>
        <v>2523.93282</v>
      </c>
      <c r="P797" s="1">
        <f>value(AED!$B797)</f>
        <v>2599.45509</v>
      </c>
      <c r="Q797" s="1">
        <f>value(KWD!$B797)</f>
        <v>34047.95837</v>
      </c>
    </row>
    <row r="798">
      <c r="A798" s="4">
        <f>value(USD!A798)</f>
        <v>41107.99861</v>
      </c>
      <c r="B798" s="1">
        <f>value(USD!B798)</f>
        <v>9409.8</v>
      </c>
      <c r="C798" s="1">
        <f>value(AUD!$B798)</f>
        <v>9812.3056</v>
      </c>
      <c r="D798" s="1">
        <f>value(EUR!$B798)</f>
        <v>11560.06368</v>
      </c>
      <c r="E798" s="1">
        <f>value(GBP!$B798)</f>
        <v>14800.38456</v>
      </c>
      <c r="F798" s="1">
        <f>value(CHF!$B798)</f>
        <v>9624.91128</v>
      </c>
      <c r="G798" s="1">
        <f>value(SGD!$B798)</f>
        <v>7509.42716</v>
      </c>
      <c r="H798" s="1">
        <f>value(MYR!$B798)</f>
        <v>2985.784776</v>
      </c>
      <c r="I798" s="1">
        <f>value(THB!$B798)</f>
        <v>297.382544</v>
      </c>
      <c r="J798" s="1">
        <f>value(VND!$B798)</f>
        <v>0.4658241417</v>
      </c>
      <c r="K798" s="1">
        <f>value(CNY!$B798)</f>
        <v>1515.976441</v>
      </c>
      <c r="L798" s="1">
        <f>value(HKD!$B798)</f>
        <v>1214.108024</v>
      </c>
      <c r="M798" s="1">
        <f>value(TWD!$B798)</f>
        <v>313.861944</v>
      </c>
      <c r="N798" s="1">
        <f>value(JPY!$B798)</f>
        <v>119.687528</v>
      </c>
      <c r="O798" s="1">
        <f>value(SAR!$B798)</f>
        <v>2523.11673</v>
      </c>
      <c r="P798" s="1">
        <f>value(AED!$B798)</f>
        <v>2599.59118</v>
      </c>
      <c r="Q798" s="1">
        <f>value(KWD!$B798)</f>
        <v>34147.49453</v>
      </c>
    </row>
    <row r="799">
      <c r="A799" s="4">
        <f>value(USD!A799)</f>
        <v>41108.99861</v>
      </c>
      <c r="B799" s="1">
        <f>value(USD!B799)</f>
        <v>9419</v>
      </c>
      <c r="C799" s="1">
        <f>value(AUD!$B799)</f>
        <v>9779.38</v>
      </c>
      <c r="D799" s="1">
        <f>value(EUR!$B799)</f>
        <v>11456.0875</v>
      </c>
      <c r="E799" s="1">
        <f>value(GBP!$B799)</f>
        <v>14720.9075</v>
      </c>
      <c r="F799" s="1">
        <f>value(CHF!$B799)</f>
        <v>9537.1575</v>
      </c>
      <c r="G799" s="1">
        <f>value(SGD!$B799)</f>
        <v>7501.546</v>
      </c>
      <c r="H799" s="1">
        <f>value(MYR!$B799)</f>
        <v>2983.48375</v>
      </c>
      <c r="I799" s="1">
        <f>value(THB!$B799)</f>
        <v>297.17025</v>
      </c>
      <c r="J799" s="1">
        <f>value(VND!$B799)</f>
        <v>0.4615793721</v>
      </c>
      <c r="K799" s="1">
        <f>value(CNY!$B799)</f>
        <v>1504.143699</v>
      </c>
      <c r="L799" s="1">
        <f>value(HKD!$B799)</f>
        <v>1215.071</v>
      </c>
      <c r="M799" s="1">
        <f>value(TWD!$B799)</f>
        <v>312.25025</v>
      </c>
      <c r="N799" s="1">
        <f>value(JPY!$B799)</f>
        <v>120.0745</v>
      </c>
      <c r="O799" s="1">
        <f>value(SAR!$B799)</f>
        <v>2524.895308</v>
      </c>
      <c r="P799" s="1">
        <f>value(AED!$B799)</f>
        <v>2600.924862</v>
      </c>
      <c r="Q799" s="1">
        <f>value(KWD!$B799)</f>
        <v>34096.25296</v>
      </c>
    </row>
    <row r="800">
      <c r="A800" s="4">
        <f>value(USD!A800)</f>
        <v>41109.99861</v>
      </c>
      <c r="B800" s="1">
        <f>value(USD!B800)</f>
        <v>9416.8</v>
      </c>
      <c r="C800" s="1">
        <f>value(AUD!$B800)</f>
        <v>9776.5525</v>
      </c>
      <c r="D800" s="1">
        <f>value(EUR!$B800)</f>
        <v>11456.0875</v>
      </c>
      <c r="E800" s="1">
        <f>value(GBP!$B800)</f>
        <v>14720.9075</v>
      </c>
      <c r="F800" s="1">
        <f>value(CHF!$B800)</f>
        <v>9524.905</v>
      </c>
      <c r="G800" s="1">
        <f>value(SGD!$B800)</f>
        <v>7501.546</v>
      </c>
      <c r="H800" s="1">
        <f>value(MYR!$B800)</f>
        <v>2983.7665</v>
      </c>
      <c r="I800" s="1">
        <f>value(THB!$B800)</f>
        <v>289.913</v>
      </c>
      <c r="J800" s="1">
        <f>value(VND!$B800)</f>
        <v>0.4615793721</v>
      </c>
      <c r="K800" s="1">
        <f>value(CNY!$B800)</f>
        <v>1504.74904</v>
      </c>
      <c r="L800" s="1">
        <f>value(HKD!$B800)</f>
        <v>1214.97675</v>
      </c>
      <c r="M800" s="1">
        <f>value(TWD!$B800)</f>
        <v>312.3445</v>
      </c>
      <c r="N800" s="1">
        <f>value(JPY!$B800)</f>
        <v>120.0745</v>
      </c>
      <c r="O800" s="1">
        <f>value(SAR!$B800)</f>
        <v>2524.850497</v>
      </c>
      <c r="P800" s="1">
        <f>value(AED!$B800)</f>
        <v>2602.394634</v>
      </c>
      <c r="Q800" s="1">
        <f>value(KWD!$B800)</f>
        <v>33537.25124</v>
      </c>
    </row>
    <row r="801">
      <c r="A801" s="4">
        <f>value(USD!A801)</f>
        <v>41110.99861</v>
      </c>
      <c r="B801" s="1">
        <f>value(USD!B801)</f>
        <v>9425</v>
      </c>
      <c r="C801" s="1">
        <f>value(AUD!$B801)</f>
        <v>9808.529785</v>
      </c>
      <c r="D801" s="1">
        <f>value(EUR!$B801)</f>
        <v>11485.30686</v>
      </c>
      <c r="E801" s="1">
        <f>value(GBP!$B801)</f>
        <v>14792.41552</v>
      </c>
      <c r="F801" s="1">
        <f>value(CHF!$B801)</f>
        <v>9563.03218</v>
      </c>
      <c r="G801" s="1">
        <f>value(SGD!$B801)</f>
        <v>7535.8286</v>
      </c>
      <c r="H801" s="1">
        <f>value(MYR!$B801)</f>
        <v>2991.184523</v>
      </c>
      <c r="I801" s="1">
        <f>value(THB!$B801)</f>
        <v>290.6160835</v>
      </c>
      <c r="J801" s="1">
        <f>value(VND!$B801)</f>
        <v>0.4582773425</v>
      </c>
      <c r="K801" s="1">
        <f>value(CNY!$B801)</f>
        <v>1505.207561</v>
      </c>
      <c r="L801" s="1">
        <f>value(HKD!$B801)</f>
        <v>1221.990394</v>
      </c>
      <c r="M801" s="1">
        <f>value(TWD!$B801)</f>
        <v>313.0805361</v>
      </c>
      <c r="N801" s="1">
        <f>value(JPY!$B801)</f>
        <v>120.7582812</v>
      </c>
      <c r="O801" s="1">
        <f>value(SAR!$B801)</f>
        <v>2526.290466</v>
      </c>
      <c r="P801" s="1">
        <f>value(AED!$B801)</f>
        <v>2603.12952</v>
      </c>
      <c r="Q801" s="1">
        <f>value(KWD!$B801)</f>
        <v>34086.27079</v>
      </c>
    </row>
    <row r="802">
      <c r="A802" s="4">
        <f>value(USD!A802)</f>
        <v>41111.99861</v>
      </c>
      <c r="B802" s="1">
        <f>value(USD!B802)</f>
        <v>9425</v>
      </c>
      <c r="C802" s="1">
        <f>value(AUD!$B802)</f>
        <v>9669.024</v>
      </c>
      <c r="D802" s="1">
        <f>value(EUR!$B802)</f>
        <v>11419.0608</v>
      </c>
      <c r="E802" s="1">
        <f>value(GBP!$B802)</f>
        <v>14615.6816</v>
      </c>
      <c r="F802" s="1">
        <f>value(CHF!$B802)</f>
        <v>9506.9312</v>
      </c>
      <c r="G802" s="1">
        <f>value(SGD!$B802)</f>
        <v>7466.35248</v>
      </c>
      <c r="H802" s="1">
        <f>value(MYR!$B802)</f>
        <v>2966.86368</v>
      </c>
      <c r="I802" s="1">
        <f>value(THB!$B802)</f>
        <v>297.3272</v>
      </c>
      <c r="J802" s="1">
        <f>value(VND!$B802)</f>
        <v>0.4641815703</v>
      </c>
      <c r="K802" s="1">
        <f>value(CNY!$B802)</f>
        <v>1506.243486</v>
      </c>
      <c r="L802" s="1">
        <f>value(HKD!$B802)</f>
        <v>1214.7536</v>
      </c>
      <c r="M802" s="1">
        <f>value(TWD!$B802)</f>
        <v>313.15952</v>
      </c>
      <c r="N802" s="1">
        <f>value(JPY!$B802)</f>
        <v>120.34448</v>
      </c>
      <c r="O802" s="1">
        <f>value(SAR!$B802)</f>
        <v>2526.020809</v>
      </c>
      <c r="P802" s="1">
        <f>value(AED!$B802)</f>
        <v>2560.451696</v>
      </c>
      <c r="Q802" s="1">
        <f>value(KWD!$B802)</f>
        <v>34107.33891</v>
      </c>
    </row>
    <row r="803">
      <c r="A803" s="4">
        <f>value(USD!A803)</f>
        <v>41112.99861</v>
      </c>
      <c r="B803" s="1">
        <f>value(USD!B803)</f>
        <v>9478.672</v>
      </c>
      <c r="C803" s="1">
        <f>value(AUD!$B803)</f>
        <v>9635.22624</v>
      </c>
      <c r="D803" s="1">
        <f>value(EUR!$B803)</f>
        <v>11379.79472</v>
      </c>
      <c r="E803" s="1">
        <f>value(GBP!$B803)</f>
        <v>14628.80584</v>
      </c>
      <c r="F803" s="1">
        <f>value(CHF!$B803)</f>
        <v>9475.77136</v>
      </c>
      <c r="G803" s="1">
        <f>value(SGD!$B803)</f>
        <v>7470.508304</v>
      </c>
      <c r="H803" s="1">
        <f>value(MYR!$B803)</f>
        <v>2965.860768</v>
      </c>
      <c r="I803" s="1">
        <f>value(THB!$B803)</f>
        <v>296.548336</v>
      </c>
      <c r="J803" s="1">
        <f>value(VND!$B803)</f>
        <v>0.4643294372</v>
      </c>
      <c r="K803" s="1">
        <f>value(CNY!$B803)</f>
        <v>1498.8828</v>
      </c>
      <c r="L803" s="1">
        <f>value(HKD!$B803)</f>
        <v>1216.19728</v>
      </c>
      <c r="M803" s="1">
        <f>value(TWD!$B803)</f>
        <v>312.210768</v>
      </c>
      <c r="N803" s="1">
        <f>value(JPY!$B803)</f>
        <v>120.676208</v>
      </c>
      <c r="O803" s="1">
        <f>value(SAR!$B803)</f>
        <v>2532.611805</v>
      </c>
      <c r="P803" s="1">
        <f>value(AED!$B803)</f>
        <v>2602.367416</v>
      </c>
      <c r="Q803" s="1">
        <f>value(KWD!$B803)</f>
        <v>34051.20414</v>
      </c>
    </row>
    <row r="804">
      <c r="A804" s="4">
        <f>value(USD!A804)</f>
        <v>41113.99861</v>
      </c>
      <c r="B804" s="1">
        <f>value(USD!B804)</f>
        <v>9424</v>
      </c>
      <c r="C804" s="1">
        <f>value(AUD!$B804)</f>
        <v>9743.72245</v>
      </c>
      <c r="D804" s="1">
        <f>value(EUR!$B804)</f>
        <v>11481.27575</v>
      </c>
      <c r="E804" s="1">
        <f>value(GBP!$B804)</f>
        <v>14643.4715</v>
      </c>
      <c r="F804" s="1">
        <f>value(CHF!$B804)</f>
        <v>9559.3792</v>
      </c>
      <c r="G804" s="1">
        <f>value(SGD!$B804)</f>
        <v>7524.891465</v>
      </c>
      <c r="H804" s="1">
        <f>value(MYR!$B804)</f>
        <v>2975.01645</v>
      </c>
      <c r="I804" s="1">
        <f>value(THB!$B804)</f>
        <v>298.446995</v>
      </c>
      <c r="J804" s="1">
        <f>value(VND!$B804)</f>
        <v>0.4670884172</v>
      </c>
      <c r="K804" s="1">
        <f>value(CNY!$B804)</f>
        <v>1471.577203</v>
      </c>
      <c r="L804" s="1">
        <f>value(HKD!$B804)</f>
        <v>1218.461615</v>
      </c>
      <c r="M804" s="1">
        <f>value(TWD!$B804)</f>
        <v>313.66713</v>
      </c>
      <c r="N804" s="1">
        <f>value(JPY!$B804)</f>
        <v>120.910265</v>
      </c>
      <c r="O804" s="1">
        <f>value(SAR!$B804)</f>
        <v>2524.930574</v>
      </c>
      <c r="P804" s="1">
        <f>value(AED!$B804)</f>
        <v>2603.047866</v>
      </c>
      <c r="Q804" s="1">
        <f>value(KWD!$B804)</f>
        <v>34026.99402</v>
      </c>
    </row>
    <row r="805">
      <c r="A805" s="4">
        <f>value(USD!A805)</f>
        <v>41114.99861</v>
      </c>
      <c r="B805" s="1">
        <f>value(USD!B805)</f>
        <v>9435.2</v>
      </c>
      <c r="C805" s="1">
        <f>value(AUD!$B805)</f>
        <v>9819.7407</v>
      </c>
      <c r="D805" s="1">
        <f>value(EUR!$B805)</f>
        <v>11601.36946</v>
      </c>
      <c r="E805" s="1">
        <f>value(GBP!$B805)</f>
        <v>14820.77074</v>
      </c>
      <c r="F805" s="1">
        <f>value(CHF!$B805)</f>
        <v>9660.09316</v>
      </c>
      <c r="G805" s="1">
        <f>value(SGD!$B805)</f>
        <v>7548.211264</v>
      </c>
      <c r="H805" s="1">
        <f>value(MYR!$B805)</f>
        <v>2982.952882</v>
      </c>
      <c r="I805" s="1">
        <f>value(THB!$B805)</f>
        <v>298.795958</v>
      </c>
      <c r="J805" s="1">
        <f>value(VND!$B805)</f>
        <v>0.4589251352</v>
      </c>
      <c r="K805" s="1">
        <f>value(CNY!$B805)</f>
        <v>1531.291639</v>
      </c>
      <c r="L805" s="1">
        <f>value(HKD!$B805)</f>
        <v>1217.572274</v>
      </c>
      <c r="M805" s="1">
        <f>value(TWD!$B805)</f>
        <v>315.138576</v>
      </c>
      <c r="N805" s="1">
        <f>value(JPY!$B805)</f>
        <v>120.727548</v>
      </c>
      <c r="O805" s="1">
        <f>value(SAR!$B805)</f>
        <v>2524.134529</v>
      </c>
      <c r="P805" s="1">
        <f>value(AED!$B805)</f>
        <v>2602.748468</v>
      </c>
      <c r="Q805" s="1">
        <f>value(KWD!$B805)</f>
        <v>34023.07637</v>
      </c>
    </row>
    <row r="806">
      <c r="A806" s="4">
        <f>value(USD!A806)</f>
        <v>41115.99861</v>
      </c>
      <c r="B806" s="1">
        <f>value(USD!B806)</f>
        <v>9453.5</v>
      </c>
      <c r="C806" s="1">
        <f>value(AUD!$B806)</f>
        <v>9883.583</v>
      </c>
      <c r="D806" s="1">
        <f>value(EUR!$B806)</f>
        <v>11618.703</v>
      </c>
      <c r="E806" s="1">
        <f>value(GBP!$B806)</f>
        <v>14840.934</v>
      </c>
      <c r="F806" s="1">
        <f>value(CHF!$B806)</f>
        <v>9671.408</v>
      </c>
      <c r="G806" s="1">
        <f>value(SGD!$B806)</f>
        <v>7557.7678</v>
      </c>
      <c r="H806" s="1">
        <f>value(MYR!$B806)</f>
        <v>2980.3515</v>
      </c>
      <c r="I806" s="1">
        <f>value(THB!$B806)</f>
        <v>299.1196</v>
      </c>
      <c r="J806" s="1">
        <f>value(VND!$B806)</f>
        <v>0.4582618798</v>
      </c>
      <c r="K806" s="1">
        <f>value(CNY!$B806)</f>
        <v>1490.87034</v>
      </c>
      <c r="L806" s="1">
        <f>value(HKD!$B806)</f>
        <v>1215.527</v>
      </c>
      <c r="M806" s="1">
        <f>value(TWD!$B806)</f>
        <v>313.8304</v>
      </c>
      <c r="N806" s="1">
        <f>value(JPY!$B806)</f>
        <v>120.1382</v>
      </c>
      <c r="O806" s="1">
        <f>value(SAR!$B806)</f>
        <v>2526.266588</v>
      </c>
      <c r="P806" s="1">
        <f>value(AED!$B806)</f>
        <v>2600.434938</v>
      </c>
      <c r="Q806" s="1">
        <f>value(KWD!$B806)</f>
        <v>34023.07637</v>
      </c>
    </row>
    <row r="807">
      <c r="A807" s="4">
        <f>value(USD!A807)</f>
        <v>41116.99861</v>
      </c>
      <c r="B807" s="1">
        <f>value(USD!B807)</f>
        <v>9446.6</v>
      </c>
      <c r="C807" s="1">
        <f>value(AUD!$B807)</f>
        <v>9937.439724</v>
      </c>
      <c r="D807" s="1">
        <f>value(EUR!$B807)</f>
        <v>11674.8803</v>
      </c>
      <c r="E807" s="1">
        <f>value(GBP!$B807)</f>
        <v>14925.11693</v>
      </c>
      <c r="F807" s="1">
        <f>value(CHF!$B807)</f>
        <v>9704.264393</v>
      </c>
      <c r="G807" s="1">
        <f>value(SGD!$B807)</f>
        <v>7596.776461</v>
      </c>
      <c r="H807" s="1">
        <f>value(MYR!$B807)</f>
        <v>2995.544712</v>
      </c>
      <c r="I807" s="1">
        <f>value(THB!$B807)</f>
        <v>300.5686891</v>
      </c>
      <c r="J807" s="1">
        <f>value(VND!$B807)</f>
        <v>0.4651746575</v>
      </c>
      <c r="K807" s="1">
        <f>value(CNY!$B807)</f>
        <v>1496.891934</v>
      </c>
      <c r="L807" s="1">
        <f>value(HKD!$B807)</f>
        <v>1221.80082</v>
      </c>
      <c r="M807" s="1">
        <f>value(TWD!$B807)</f>
        <v>315.3554174</v>
      </c>
      <c r="N807" s="1">
        <f>value(JPY!$B807)</f>
        <v>120.7582812</v>
      </c>
      <c r="O807" s="1">
        <f>value(SAR!$B807)</f>
        <v>2530.294096</v>
      </c>
      <c r="P807" s="1">
        <f>value(AED!$B807)</f>
        <v>2600.80425</v>
      </c>
      <c r="Q807" s="1">
        <f>value(KWD!$B807)</f>
        <v>34110.15521</v>
      </c>
    </row>
    <row r="808">
      <c r="A808" s="4">
        <f>value(USD!A808)</f>
        <v>41117.99861</v>
      </c>
      <c r="B808" s="1">
        <f>value(USD!B808)</f>
        <v>9430</v>
      </c>
      <c r="C808" s="1">
        <f>value(AUD!$B808)</f>
        <v>9870.381</v>
      </c>
      <c r="D808" s="1">
        <f>value(EUR!$B808)</f>
        <v>11606.444</v>
      </c>
      <c r="E808" s="1">
        <f>value(GBP!$B808)</f>
        <v>14835.276</v>
      </c>
      <c r="F808" s="1">
        <f>value(CHF!$B808)</f>
        <v>9662.921</v>
      </c>
      <c r="G808" s="1">
        <f>value(SGD!$B808)</f>
        <v>7558.4279</v>
      </c>
      <c r="H808" s="1">
        <f>value(MYR!$B808)</f>
        <v>2921.9798</v>
      </c>
      <c r="I808" s="1">
        <f>value(THB!$B808)</f>
        <v>293.0844</v>
      </c>
      <c r="J808" s="1">
        <f>value(VND!$B808)</f>
        <v>0.4633800002</v>
      </c>
      <c r="K808" s="1">
        <f>value(CNY!$B808)</f>
        <v>1504.751775</v>
      </c>
      <c r="L808" s="1">
        <f>value(HKD!$B808)</f>
        <v>1215.527</v>
      </c>
      <c r="M808" s="1">
        <f>value(TWD!$B808)</f>
        <v>313.4532</v>
      </c>
      <c r="N808" s="1">
        <f>value(JPY!$B808)</f>
        <v>120.1382</v>
      </c>
      <c r="O808" s="1">
        <f>value(SAR!$B808)</f>
        <v>2530.226599</v>
      </c>
      <c r="P808" s="1">
        <f>value(AED!$B808)</f>
        <v>2600.13554</v>
      </c>
      <c r="Q808" s="1">
        <f>value(KWD!$B808)</f>
        <v>34068.33764</v>
      </c>
    </row>
    <row r="809">
      <c r="A809" s="4">
        <f>value(USD!A809)</f>
        <v>41118.99861</v>
      </c>
      <c r="B809" s="1">
        <f>value(USD!B809)</f>
        <v>9478.672</v>
      </c>
      <c r="C809" s="1">
        <f>value(AUD!$B809)</f>
        <v>9893.3152</v>
      </c>
      <c r="D809" s="1">
        <f>value(EUR!$B809)</f>
        <v>11550.0544</v>
      </c>
      <c r="E809" s="1">
        <f>value(GBP!$B809)</f>
        <v>14803.2192</v>
      </c>
      <c r="F809" s="1">
        <f>value(CHF!$B809)</f>
        <v>9613.4224</v>
      </c>
      <c r="G809" s="1">
        <f>value(SGD!$B809)</f>
        <v>7556.72864</v>
      </c>
      <c r="H809" s="1">
        <f>value(MYR!$B809)</f>
        <v>2987.408</v>
      </c>
      <c r="I809" s="1">
        <f>value(THB!$B809)</f>
        <v>298.17536</v>
      </c>
      <c r="J809" s="1">
        <f>value(VND!$B809)</f>
        <v>0.4655825491</v>
      </c>
      <c r="K809" s="1">
        <f>value(CNY!$B809)</f>
        <v>1506.399694</v>
      </c>
      <c r="L809" s="1">
        <f>value(HKD!$B809)</f>
        <v>1215.03632</v>
      </c>
      <c r="M809" s="1">
        <f>value(TWD!$B809)</f>
        <v>313.63072</v>
      </c>
      <c r="N809" s="1">
        <f>value(JPY!$B809)</f>
        <v>120.53296</v>
      </c>
      <c r="O809" s="1">
        <f>value(SAR!$B809)</f>
        <v>2544.342487</v>
      </c>
      <c r="P809" s="1">
        <f>value(AED!$B809)</f>
        <v>2606.790341</v>
      </c>
      <c r="Q809" s="1">
        <f>value(KWD!$B809)</f>
        <v>34062.66576</v>
      </c>
    </row>
    <row r="810">
      <c r="A810" s="4">
        <f>value(USD!A810)</f>
        <v>41119.99861</v>
      </c>
      <c r="B810" s="1">
        <f>value(USD!B810)</f>
        <v>9430</v>
      </c>
      <c r="C810" s="1">
        <f>value(AUD!$B810)</f>
        <v>9877.494336</v>
      </c>
      <c r="D810" s="1">
        <f>value(EUR!$B810)</f>
        <v>11577.07596</v>
      </c>
      <c r="E810" s="1">
        <f>value(GBP!$B810)</f>
        <v>14749.54048</v>
      </c>
      <c r="F810" s="1">
        <f>value(CHF!$B810)</f>
        <v>9637.52128</v>
      </c>
      <c r="G810" s="1">
        <f>value(SGD!$B810)</f>
        <v>7559.29248</v>
      </c>
      <c r="H810" s="1">
        <f>value(MYR!$B810)</f>
        <v>3010.442688</v>
      </c>
      <c r="I810" s="1">
        <f>value(THB!$B810)</f>
        <v>298.718912</v>
      </c>
      <c r="J810" s="1">
        <f>value(VND!$B810)</f>
        <v>0.4654406311</v>
      </c>
      <c r="K810" s="1">
        <f>value(CNY!$B810)</f>
        <v>1507.492</v>
      </c>
      <c r="L810" s="1">
        <f>value(HKD!$B810)</f>
        <v>1214.081024</v>
      </c>
      <c r="M810" s="1">
        <f>value(TWD!$B810)</f>
        <v>315.194112</v>
      </c>
      <c r="N810" s="1">
        <f>value(JPY!$B810)</f>
        <v>120.50432</v>
      </c>
      <c r="O810" s="1">
        <f>value(SAR!$B810)</f>
        <v>2532.034123</v>
      </c>
      <c r="P810" s="1">
        <f>value(AED!$B810)</f>
        <v>2602.204108</v>
      </c>
      <c r="Q810" s="1">
        <f>value(KWD!$B810)</f>
        <v>34090.17827</v>
      </c>
    </row>
    <row r="811">
      <c r="A811" s="4">
        <f>value(USD!A811)</f>
        <v>41120.99861</v>
      </c>
      <c r="B811" s="1">
        <f>value(USD!B811)</f>
        <v>9424</v>
      </c>
      <c r="C811" s="1">
        <f>value(AUD!$B811)</f>
        <v>9848.309254</v>
      </c>
      <c r="D811" s="1">
        <f>value(EUR!$B811)</f>
        <v>11515.37484</v>
      </c>
      <c r="E811" s="1">
        <f>value(GBP!$B811)</f>
        <v>14630.00418</v>
      </c>
      <c r="F811" s="1">
        <f>value(CHF!$B811)</f>
        <v>9583.90932</v>
      </c>
      <c r="G811" s="1">
        <f>value(SGD!$B811)</f>
        <v>7544.66953</v>
      </c>
      <c r="H811" s="1">
        <f>value(MYR!$B811)</f>
        <v>3018.997324</v>
      </c>
      <c r="I811" s="1">
        <f>value(THB!$B811)</f>
        <v>297.814664</v>
      </c>
      <c r="J811" s="1">
        <f>value(VND!$B811)</f>
        <v>0.4645045179</v>
      </c>
      <c r="K811" s="1">
        <f>value(CNY!$B811)</f>
        <v>1507.492</v>
      </c>
      <c r="L811" s="1">
        <f>value(HKD!$B811)</f>
        <v>1213.660644</v>
      </c>
      <c r="M811" s="1">
        <f>value(TWD!$B811)</f>
        <v>312.404194</v>
      </c>
      <c r="N811" s="1">
        <f>value(JPY!$B811)</f>
        <v>120.01065</v>
      </c>
      <c r="O811" s="1">
        <f>value(SAR!$B811)</f>
        <v>2537.143242</v>
      </c>
      <c r="P811" s="1">
        <f>value(AED!$B811)</f>
        <v>2600.938764</v>
      </c>
      <c r="Q811" s="1">
        <f>value(KWD!$B811)</f>
        <v>34118.77955</v>
      </c>
    </row>
    <row r="812">
      <c r="A812" s="4">
        <f>value(USD!A812)</f>
        <v>41121.99861</v>
      </c>
      <c r="B812" s="1">
        <f>value(USD!B812)</f>
        <v>9414.4</v>
      </c>
      <c r="C812" s="1">
        <f>value(AUD!$B812)</f>
        <v>9867.75048</v>
      </c>
      <c r="D812" s="1">
        <f>value(EUR!$B812)</f>
        <v>11490.67368</v>
      </c>
      <c r="E812" s="1">
        <f>value(GBP!$B812)</f>
        <v>14634.6156</v>
      </c>
      <c r="F812" s="1">
        <f>value(CHF!$B812)</f>
        <v>9565.81128</v>
      </c>
      <c r="G812" s="1">
        <f>value(SGD!$B812)</f>
        <v>7548.48</v>
      </c>
      <c r="H812" s="1">
        <f>value(MYR!$B812)</f>
        <v>3015.240336</v>
      </c>
      <c r="I812" s="1">
        <f>value(THB!$B812)</f>
        <v>298.16496</v>
      </c>
      <c r="J812" s="1">
        <f>value(VND!$B812)</f>
        <v>0.4645948797</v>
      </c>
      <c r="K812" s="1">
        <f>value(CNY!$B812)</f>
        <v>1518.836676</v>
      </c>
      <c r="L812" s="1">
        <f>value(HKD!$B812)</f>
        <v>1216.72062</v>
      </c>
      <c r="M812" s="1">
        <f>value(TWD!$B812)</f>
        <v>312.507072</v>
      </c>
      <c r="N812" s="1">
        <f>value(JPY!$B812)</f>
        <v>120.586968</v>
      </c>
      <c r="O812" s="1">
        <f>value(SAR!$B812)</f>
        <v>2540.523178</v>
      </c>
      <c r="P812" s="1">
        <f>value(AED!$B812)</f>
        <v>2599.04682</v>
      </c>
      <c r="Q812" s="1">
        <f>value(KWD!$B812)</f>
        <v>34123.89884</v>
      </c>
    </row>
    <row r="813">
      <c r="A813" s="4">
        <f>value(USD!A813)</f>
        <v>41122.99861</v>
      </c>
      <c r="B813" s="1">
        <f>value(USD!B813)</f>
        <v>9412.6</v>
      </c>
      <c r="C813" s="1">
        <f>value(AUD!$B813)</f>
        <v>9977.4738</v>
      </c>
      <c r="D813" s="1">
        <f>value(EUR!$B813)</f>
        <v>11695.1555</v>
      </c>
      <c r="E813" s="1">
        <f>value(GBP!$B813)</f>
        <v>14768.852</v>
      </c>
      <c r="F813" s="1">
        <f>value(CHF!$B813)</f>
        <v>9731.0115</v>
      </c>
      <c r="G813" s="1">
        <f>value(SGD!$B813)</f>
        <v>7600.48184</v>
      </c>
      <c r="H813" s="1">
        <f>value(MYR!$B813)</f>
        <v>3017.60508</v>
      </c>
      <c r="I813" s="1">
        <f>value(THB!$B813)</f>
        <v>298.87095</v>
      </c>
      <c r="J813" s="1">
        <f>value(VND!$B813)</f>
        <v>0.4657839664</v>
      </c>
      <c r="K813" s="1">
        <f>value(CNY!$B813)</f>
        <v>1508.66055</v>
      </c>
      <c r="L813" s="1">
        <f>value(HKD!$B813)</f>
        <v>1217.58042</v>
      </c>
      <c r="M813" s="1">
        <f>value(TWD!$B813)</f>
        <v>317.85138</v>
      </c>
      <c r="N813" s="1">
        <f>value(JPY!$B813)</f>
        <v>120.30382</v>
      </c>
      <c r="O813" s="1">
        <f>value(SAR!$B813)</f>
        <v>2539.868046</v>
      </c>
      <c r="P813" s="1">
        <f>value(AED!$B813)</f>
        <v>2601.877492</v>
      </c>
      <c r="Q813" s="1">
        <f>value(KWD!$B813)</f>
        <v>34108.91971</v>
      </c>
    </row>
    <row r="814">
      <c r="A814" s="4">
        <f>value(USD!A814)</f>
        <v>41123.99861</v>
      </c>
      <c r="B814" s="1">
        <f>value(USD!B814)</f>
        <v>9435.6</v>
      </c>
      <c r="C814" s="1">
        <f>value(AUD!$B814)</f>
        <v>9966.57512</v>
      </c>
      <c r="D814" s="1">
        <f>value(EUR!$B814)</f>
        <v>11682.05583</v>
      </c>
      <c r="E814" s="1">
        <f>value(GBP!$B814)</f>
        <v>14748.98451</v>
      </c>
      <c r="F814" s="1">
        <f>value(CHF!$B814)</f>
        <v>9720.42863</v>
      </c>
      <c r="G814" s="1">
        <f>value(SGD!$B814)</f>
        <v>7590.742792</v>
      </c>
      <c r="H814" s="1">
        <f>value(MYR!$B814)</f>
        <v>2979.315619</v>
      </c>
      <c r="I814" s="1">
        <f>value(THB!$B814)</f>
        <v>295.18717</v>
      </c>
      <c r="J814" s="1">
        <f>value(VND!$B814)</f>
        <v>0.4648966611</v>
      </c>
      <c r="K814" s="1">
        <f>value(CNY!$B814)</f>
        <v>1511.354384</v>
      </c>
      <c r="L814" s="1">
        <f>value(HKD!$B814)</f>
        <v>1216.020246</v>
      </c>
      <c r="M814" s="1">
        <f>value(TWD!$B814)</f>
        <v>317.444094</v>
      </c>
      <c r="N814" s="1">
        <f>value(JPY!$B814)</f>
        <v>120.149666</v>
      </c>
      <c r="O814" s="1">
        <f>value(SAR!$B814)</f>
        <v>2538.911232</v>
      </c>
      <c r="P814" s="1">
        <f>value(AED!$B814)</f>
        <v>2604.21824</v>
      </c>
      <c r="Q814" s="1">
        <f>value(KWD!$B814)</f>
        <v>34211.09881</v>
      </c>
    </row>
    <row r="815">
      <c r="A815" s="4">
        <f>value(USD!A815)</f>
        <v>41124.99861</v>
      </c>
      <c r="B815" s="1">
        <f>value(USD!B815)</f>
        <v>9443</v>
      </c>
      <c r="C815" s="1">
        <f>value(AUD!$B815)</f>
        <v>10025.61666</v>
      </c>
      <c r="D815" s="1">
        <f>value(EUR!$B815)</f>
        <v>11757.87472</v>
      </c>
      <c r="E815" s="1">
        <f>value(GBP!$B815)</f>
        <v>14838.23524</v>
      </c>
      <c r="F815" s="1">
        <f>value(CHF!$B815)</f>
        <v>9783.681179</v>
      </c>
      <c r="G815" s="1">
        <f>value(SGD!$B815)</f>
        <v>7639.089156</v>
      </c>
      <c r="H815" s="1">
        <f>value(MYR!$B815)</f>
        <v>2998.861469</v>
      </c>
      <c r="I815" s="1">
        <f>value(THB!$B815)</f>
        <v>297.1536991</v>
      </c>
      <c r="J815" s="1">
        <f>value(VND!$B815)</f>
        <v>0.467907154</v>
      </c>
      <c r="K815" s="1">
        <f>value(CNY!$B815)</f>
        <v>1513.893708</v>
      </c>
      <c r="L815" s="1">
        <f>value(HKD!$B815)</f>
        <v>1223.529407</v>
      </c>
      <c r="M815" s="1">
        <f>value(TWD!$B815)</f>
        <v>319.5445908</v>
      </c>
      <c r="N815" s="1">
        <f>value(JPY!$B815)</f>
        <v>120.6831115</v>
      </c>
      <c r="O815" s="1">
        <f>value(SAR!$B815)</f>
        <v>2539.250169</v>
      </c>
      <c r="P815" s="1">
        <f>value(AED!$B815)</f>
        <v>2603.075084</v>
      </c>
      <c r="Q815" s="1">
        <f>value(KWD!$B815)</f>
        <v>34120.78185</v>
      </c>
    </row>
    <row r="816">
      <c r="A816" s="4">
        <f>value(USD!A816)</f>
        <v>41125.99861</v>
      </c>
      <c r="B816" s="1">
        <f>value(USD!B816)</f>
        <v>9430.9</v>
      </c>
      <c r="C816" s="1">
        <f>value(AUD!$B816)</f>
        <v>9965.66235</v>
      </c>
      <c r="D816" s="1">
        <f>value(EUR!$B816)</f>
        <v>11692.17585</v>
      </c>
      <c r="E816" s="1">
        <f>value(GBP!$B816)</f>
        <v>14710.36674</v>
      </c>
      <c r="F816" s="1">
        <f>value(CHF!$B816)</f>
        <v>9733.57365</v>
      </c>
      <c r="G816" s="1">
        <f>value(SGD!$B816)</f>
        <v>7599.018025</v>
      </c>
      <c r="H816" s="1">
        <f>value(MYR!$B816)</f>
        <v>3034.418235</v>
      </c>
      <c r="I816" s="1">
        <f>value(THB!$B816)</f>
        <v>299.63972</v>
      </c>
      <c r="J816" s="1">
        <f>value(VND!$B816)</f>
        <v>0.4646037016</v>
      </c>
      <c r="K816" s="1">
        <f>value(CNY!$B816)</f>
        <v>1512.372372</v>
      </c>
      <c r="L816" s="1">
        <f>value(HKD!$B816)</f>
        <v>1216.48443</v>
      </c>
      <c r="M816" s="1">
        <f>value(TWD!$B816)</f>
        <v>316.24444</v>
      </c>
      <c r="N816" s="1">
        <f>value(JPY!$B816)</f>
        <v>120.57291</v>
      </c>
      <c r="O816" s="1">
        <f>value(SAR!$B816)</f>
        <v>2542.856745</v>
      </c>
      <c r="P816" s="1">
        <f>value(AED!$B816)</f>
        <v>2610.873041</v>
      </c>
      <c r="Q816" s="1">
        <f>value(KWD!$B816)</f>
        <v>34140.0818</v>
      </c>
    </row>
    <row r="817">
      <c r="A817" s="4">
        <f>value(USD!A817)</f>
        <v>41126.99861</v>
      </c>
      <c r="B817" s="1">
        <f>value(USD!B817)</f>
        <v>9487.666</v>
      </c>
      <c r="C817" s="1">
        <f>value(AUD!$B817)</f>
        <v>9994.3539</v>
      </c>
      <c r="D817" s="1">
        <f>value(EUR!$B817)</f>
        <v>11736.171</v>
      </c>
      <c r="E817" s="1">
        <f>value(GBP!$B817)</f>
        <v>14792.5188</v>
      </c>
      <c r="F817" s="1">
        <f>value(CHF!$B817)</f>
        <v>9769.252</v>
      </c>
      <c r="G817" s="1">
        <f>value(SGD!$B817)</f>
        <v>7622.3083</v>
      </c>
      <c r="H817" s="1">
        <f>value(MYR!$B817)</f>
        <v>3050.287</v>
      </c>
      <c r="I817" s="1">
        <f>value(THB!$B817)</f>
        <v>300.3884</v>
      </c>
      <c r="J817" s="1">
        <f>value(VND!$B817)</f>
        <v>0.4638683937</v>
      </c>
      <c r="K817" s="1">
        <f>value(CNY!$B817)</f>
        <v>1516.41415</v>
      </c>
      <c r="L817" s="1">
        <f>value(HKD!$B817)</f>
        <v>1221.0618</v>
      </c>
      <c r="M817" s="1">
        <f>value(TWD!$B817)</f>
        <v>316.0139</v>
      </c>
      <c r="N817" s="1">
        <f>value(JPY!$B817)</f>
        <v>120.3637</v>
      </c>
      <c r="O817" s="1">
        <f>value(SAR!$B817)</f>
        <v>2537.235721</v>
      </c>
      <c r="P817" s="1">
        <f>value(AED!$B817)</f>
        <v>2606.39568</v>
      </c>
      <c r="Q817" s="1">
        <f>value(KWD!$B817)</f>
        <v>34148.63643</v>
      </c>
    </row>
    <row r="818">
      <c r="A818" s="4">
        <f>value(USD!A818)</f>
        <v>41127.99861</v>
      </c>
      <c r="B818" s="1">
        <f>value(USD!B818)</f>
        <v>9434.5</v>
      </c>
      <c r="C818" s="1">
        <f>value(AUD!$B818)</f>
        <v>9972.31036</v>
      </c>
      <c r="D818" s="1">
        <f>value(EUR!$B818)</f>
        <v>11675.83471</v>
      </c>
      <c r="E818" s="1">
        <f>value(GBP!$B818)</f>
        <v>14781.93941</v>
      </c>
      <c r="F818" s="1">
        <f>value(CHF!$B818)</f>
        <v>9717.43306</v>
      </c>
      <c r="G818" s="1">
        <f>value(SGD!$B818)</f>
        <v>7579.484508</v>
      </c>
      <c r="H818" s="1">
        <f>value(MYR!$B818)</f>
        <v>3033.98386</v>
      </c>
      <c r="I818" s="1">
        <f>value(THB!$B818)</f>
        <v>299.528027</v>
      </c>
      <c r="J818" s="1">
        <f>value(VND!$B818)</f>
        <v>0.4598673389</v>
      </c>
      <c r="K818" s="1">
        <f>value(CNY!$B818)</f>
        <v>1516.41415</v>
      </c>
      <c r="L818" s="1">
        <f>value(HKD!$B818)</f>
        <v>1217.086307</v>
      </c>
      <c r="M818" s="1">
        <f>value(TWD!$B818)</f>
        <v>315.29266</v>
      </c>
      <c r="N818" s="1">
        <f>value(JPY!$B818)</f>
        <v>120.358725</v>
      </c>
      <c r="O818" s="1">
        <f>value(SAR!$B818)</f>
        <v>2547.024734</v>
      </c>
      <c r="P818" s="1">
        <f>value(AED!$B818)</f>
        <v>2606.94004</v>
      </c>
      <c r="Q818" s="1">
        <f>value(KWD!$B818)</f>
        <v>34132.24006</v>
      </c>
    </row>
    <row r="819">
      <c r="A819" s="4">
        <f>value(USD!A819)</f>
        <v>41128.99861</v>
      </c>
      <c r="B819" s="1">
        <f>value(USD!B819)</f>
        <v>9470</v>
      </c>
      <c r="C819" s="1">
        <f>value(AUD!$B819)</f>
        <v>9981.86357</v>
      </c>
      <c r="D819" s="1">
        <f>value(EUR!$B819)</f>
        <v>11611.36291</v>
      </c>
      <c r="E819" s="1">
        <f>value(GBP!$B819)</f>
        <v>14756.1267</v>
      </c>
      <c r="F819" s="1">
        <f>value(CHF!$B819)</f>
        <v>9667.4816</v>
      </c>
      <c r="G819" s="1">
        <f>value(SGD!$B819)</f>
        <v>7585.007878</v>
      </c>
      <c r="H819" s="1">
        <f>value(MYR!$B819)</f>
        <v>3037.609575</v>
      </c>
      <c r="I819" s="1">
        <f>value(THB!$B819)</f>
        <v>299.559757</v>
      </c>
      <c r="J819" s="1">
        <f>value(VND!$B819)</f>
        <v>0.4646230037</v>
      </c>
      <c r="K819" s="1">
        <f>value(CNY!$B819)</f>
        <v>1522.737714</v>
      </c>
      <c r="L819" s="1">
        <f>value(HKD!$B819)</f>
        <v>1217.120828</v>
      </c>
      <c r="M819" s="1">
        <f>value(TWD!$B819)</f>
        <v>315.042833</v>
      </c>
      <c r="N819" s="1">
        <f>value(JPY!$B819)</f>
        <v>120.088248</v>
      </c>
      <c r="O819" s="1">
        <f>value(SAR!$B819)</f>
        <v>2544.363532</v>
      </c>
      <c r="P819" s="1">
        <f>value(AED!$B819)</f>
        <v>2607.593272</v>
      </c>
      <c r="Q819" s="1">
        <f>value(KWD!$B819)</f>
        <v>34131.39408</v>
      </c>
    </row>
    <row r="820">
      <c r="A820" s="4">
        <f>value(USD!A820)</f>
        <v>41129.99861</v>
      </c>
      <c r="B820" s="1">
        <f>value(USD!B820)</f>
        <v>9439.9</v>
      </c>
      <c r="C820" s="1">
        <f>value(AUD!$B820)</f>
        <v>9992.52208</v>
      </c>
      <c r="D820" s="1">
        <f>value(EUR!$B820)</f>
        <v>11610.07104</v>
      </c>
      <c r="E820" s="1">
        <f>value(GBP!$B820)</f>
        <v>14819.65855</v>
      </c>
      <c r="F820" s="1">
        <f>value(CHF!$B820)</f>
        <v>9667.50056</v>
      </c>
      <c r="G820" s="1">
        <f>value(SGD!$B820)</f>
        <v>7591.803533</v>
      </c>
      <c r="H820" s="1">
        <f>value(MYR!$B820)</f>
        <v>3028.085667</v>
      </c>
      <c r="I820" s="1">
        <f>value(THB!$B820)</f>
        <v>300.266974</v>
      </c>
      <c r="J820" s="1">
        <f>value(VND!$B820)</f>
        <v>0.4660148614</v>
      </c>
      <c r="K820" s="1">
        <f>value(CNY!$B820)</f>
        <v>1517.287935</v>
      </c>
      <c r="L820" s="1">
        <f>value(HKD!$B820)</f>
        <v>1217.88587</v>
      </c>
      <c r="M820" s="1">
        <f>value(TWD!$B820)</f>
        <v>315.762186</v>
      </c>
      <c r="N820" s="1">
        <f>value(JPY!$B820)</f>
        <v>120.654791</v>
      </c>
      <c r="O820" s="1">
        <f>value(SAR!$B820)</f>
        <v>2542.843411</v>
      </c>
      <c r="P820" s="1">
        <f>value(AED!$B820)</f>
        <v>2606.341244</v>
      </c>
      <c r="Q820" s="1">
        <f>value(KWD!$B820)</f>
        <v>34131.39408</v>
      </c>
    </row>
    <row r="821">
      <c r="A821" s="4">
        <f>value(USD!A821)</f>
        <v>41130.99861</v>
      </c>
      <c r="B821" s="1">
        <f>value(USD!B821)</f>
        <v>9440.9</v>
      </c>
      <c r="C821" s="1">
        <f>value(AUD!$B821)</f>
        <v>9996.5475</v>
      </c>
      <c r="D821" s="1">
        <f>value(EUR!$B821)</f>
        <v>11617.737</v>
      </c>
      <c r="E821" s="1">
        <f>value(GBP!$B821)</f>
        <v>14827.9758</v>
      </c>
      <c r="F821" s="1">
        <f>value(CHF!$B821)</f>
        <v>9674.2002</v>
      </c>
      <c r="G821" s="1">
        <f>value(SGD!$B821)</f>
        <v>7595.58003</v>
      </c>
      <c r="H821" s="1">
        <f>value(MYR!$B821)</f>
        <v>2975.61534</v>
      </c>
      <c r="I821" s="1">
        <f>value(THB!$B821)</f>
        <v>294.55548</v>
      </c>
      <c r="J821" s="1">
        <f>value(VND!$B821)</f>
        <v>0.465894712</v>
      </c>
      <c r="K821" s="1">
        <f>value(CNY!$B821)</f>
        <v>1517.36737</v>
      </c>
      <c r="L821" s="1">
        <f>value(HKD!$B821)</f>
        <v>1218.39717</v>
      </c>
      <c r="M821" s="1">
        <f>value(TWD!$B821)</f>
        <v>316.01379</v>
      </c>
      <c r="N821" s="1">
        <f>value(JPY!$B821)</f>
        <v>120.80934</v>
      </c>
      <c r="O821" s="1">
        <f>value(SAR!$B821)</f>
        <v>2545.74065</v>
      </c>
      <c r="P821" s="1">
        <f>value(AED!$B821)</f>
        <v>2607.4844</v>
      </c>
      <c r="Q821" s="1">
        <f>value(KWD!$B821)</f>
        <v>34109.63735</v>
      </c>
    </row>
    <row r="822">
      <c r="A822" s="4">
        <f>value(USD!A822)</f>
        <v>41131.99861</v>
      </c>
      <c r="B822" s="1">
        <f>value(USD!B822)</f>
        <v>9448.3</v>
      </c>
      <c r="C822" s="1">
        <f>value(AUD!$B822)</f>
        <v>10005.34396</v>
      </c>
      <c r="D822" s="1">
        <f>value(EUR!$B822)</f>
        <v>11645.89056</v>
      </c>
      <c r="E822" s="1">
        <f>value(GBP!$B822)</f>
        <v>14858.84088</v>
      </c>
      <c r="F822" s="1">
        <f>value(CHF!$B822)</f>
        <v>9696.379095</v>
      </c>
      <c r="G822" s="1">
        <f>value(SGD!$B822)</f>
        <v>7614.278104</v>
      </c>
      <c r="H822" s="1">
        <f>value(MYR!$B822)</f>
        <v>2982.932613</v>
      </c>
      <c r="I822" s="1">
        <f>value(THB!$B822)</f>
        <v>295.2225675</v>
      </c>
      <c r="J822" s="1">
        <f>value(VND!$B822)</f>
        <v>0.4604807684</v>
      </c>
      <c r="K822" s="1">
        <f>value(CNY!$B822)</f>
        <v>1518.145833</v>
      </c>
      <c r="L822" s="1">
        <f>value(HKD!$B822)</f>
        <v>1221.738079</v>
      </c>
      <c r="M822" s="1">
        <f>value(TWD!$B822)</f>
        <v>316.736379</v>
      </c>
      <c r="N822" s="1">
        <f>value(JPY!$B822)</f>
        <v>121.0270365</v>
      </c>
      <c r="O822" s="1">
        <f>value(SAR!$B822)</f>
        <v>2545.049537</v>
      </c>
      <c r="P822" s="1">
        <f>value(AED!$B822)</f>
        <v>2607.4844</v>
      </c>
      <c r="Q822" s="1">
        <f>value(KWD!$B822)</f>
        <v>34148.76223</v>
      </c>
    </row>
    <row r="823">
      <c r="A823" s="4">
        <f>value(USD!A823)</f>
        <v>41132.99861</v>
      </c>
      <c r="B823" s="1">
        <f>value(USD!B823)</f>
        <v>9453</v>
      </c>
      <c r="C823" s="1">
        <f>value(AUD!$B823)</f>
        <v>9946.123344</v>
      </c>
      <c r="D823" s="1">
        <f>value(EUR!$B823)</f>
        <v>11661.62422</v>
      </c>
      <c r="E823" s="1">
        <f>value(GBP!$B823)</f>
        <v>14826.0119</v>
      </c>
      <c r="F823" s="1">
        <f>value(CHF!$B823)</f>
        <v>9708.72336</v>
      </c>
      <c r="G823" s="1">
        <f>value(SGD!$B823)</f>
        <v>7585.359664</v>
      </c>
      <c r="H823" s="1">
        <f>value(MYR!$B823)</f>
        <v>3030.60792</v>
      </c>
      <c r="I823" s="1">
        <f>value(THB!$B823)</f>
        <v>300.271744</v>
      </c>
      <c r="J823" s="1">
        <f>value(VND!$B823)</f>
        <v>0.4603748171</v>
      </c>
      <c r="K823" s="1">
        <f>value(CNY!$B823)</f>
        <v>1519.003731</v>
      </c>
      <c r="L823" s="1">
        <f>value(HKD!$B823)</f>
        <v>1218.861248</v>
      </c>
      <c r="M823" s="1">
        <f>value(TWD!$B823)</f>
        <v>315.30424</v>
      </c>
      <c r="N823" s="1">
        <f>value(JPY!$B823)</f>
        <v>120.638144</v>
      </c>
      <c r="O823" s="1">
        <f>value(SAR!$B823)</f>
        <v>2564.375893</v>
      </c>
      <c r="P823" s="1">
        <f>value(AED!$B823)</f>
        <v>2606.382564</v>
      </c>
      <c r="Q823" s="1">
        <f>value(KWD!$B823)</f>
        <v>34104.99103</v>
      </c>
    </row>
    <row r="824">
      <c r="A824" s="4">
        <f>value(USD!A824)</f>
        <v>41133.99861</v>
      </c>
      <c r="B824" s="1">
        <f>value(USD!B824)</f>
        <v>9477.45</v>
      </c>
      <c r="C824" s="1">
        <f>value(AUD!$B824)</f>
        <v>9912.41727</v>
      </c>
      <c r="D824" s="1">
        <f>value(EUR!$B824)</f>
        <v>11643.09678</v>
      </c>
      <c r="E824" s="1">
        <f>value(GBP!$B824)</f>
        <v>14816.16675</v>
      </c>
      <c r="F824" s="1">
        <f>value(CHF!$B824)</f>
        <v>9692.18334</v>
      </c>
      <c r="G824" s="1">
        <f>value(SGD!$B824)</f>
        <v>7578.126654</v>
      </c>
      <c r="H824" s="1">
        <f>value(MYR!$B824)</f>
        <v>3031.950117</v>
      </c>
      <c r="I824" s="1">
        <f>value(THB!$B824)</f>
        <v>300.009654</v>
      </c>
      <c r="J824" s="1">
        <f>value(VND!$B824)</f>
        <v>0.4640786984</v>
      </c>
      <c r="K824" s="1">
        <f>value(CNY!$B824)</f>
        <v>1519.43268</v>
      </c>
      <c r="L824" s="1">
        <f>value(HKD!$B824)</f>
        <v>1218.470211</v>
      </c>
      <c r="M824" s="1">
        <f>value(TWD!$B824)</f>
        <v>314.565888</v>
      </c>
      <c r="N824" s="1">
        <f>value(JPY!$B824)</f>
        <v>119.947149</v>
      </c>
      <c r="O824" s="1">
        <f>value(SAR!$B824)</f>
        <v>2548.728005</v>
      </c>
      <c r="P824" s="1">
        <f>value(AED!$B824)</f>
        <v>2609.090262</v>
      </c>
      <c r="Q824" s="1">
        <f>value(KWD!$B824)</f>
        <v>34148.03236</v>
      </c>
    </row>
    <row r="825">
      <c r="A825" s="4">
        <f>value(USD!A825)</f>
        <v>41134.99861</v>
      </c>
      <c r="B825" s="1">
        <f>value(USD!B825)</f>
        <v>9454.4</v>
      </c>
      <c r="C825" s="1">
        <f>value(AUD!$B825)</f>
        <v>9939.08648</v>
      </c>
      <c r="D825" s="1">
        <f>value(EUR!$B825)</f>
        <v>11629.05308</v>
      </c>
      <c r="E825" s="1">
        <f>value(GBP!$B825)</f>
        <v>14841.40976</v>
      </c>
      <c r="F825" s="1">
        <f>value(CHF!$B825)</f>
        <v>9681.56776</v>
      </c>
      <c r="G825" s="1">
        <f>value(SGD!$B825)</f>
        <v>7574.08</v>
      </c>
      <c r="H825" s="1">
        <f>value(MYR!$B825)</f>
        <v>3029.063944</v>
      </c>
      <c r="I825" s="1">
        <f>value(THB!$B825)</f>
        <v>300.312272</v>
      </c>
      <c r="J825" s="1">
        <f>value(VND!$B825)</f>
        <v>0.4681849272</v>
      </c>
      <c r="K825" s="1">
        <f>value(CNY!$B825)</f>
        <v>1520.699614</v>
      </c>
      <c r="L825" s="1">
        <f>value(HKD!$B825)</f>
        <v>1220.37364</v>
      </c>
      <c r="M825" s="1">
        <f>value(TWD!$B825)</f>
        <v>315.555108</v>
      </c>
      <c r="N825" s="1">
        <f>value(JPY!$B825)</f>
        <v>119.76514</v>
      </c>
      <c r="O825" s="1">
        <f>value(SAR!$B825)</f>
        <v>2546.242374</v>
      </c>
      <c r="P825" s="1">
        <f>value(AED!$B825)</f>
        <v>2606.39568</v>
      </c>
      <c r="Q825" s="1">
        <f>value(KWD!$B825)</f>
        <v>34071.01514</v>
      </c>
    </row>
    <row r="826">
      <c r="A826" s="4">
        <f>value(USD!A826)</f>
        <v>41135.99861</v>
      </c>
      <c r="B826" s="1">
        <f>value(USD!B826)</f>
        <v>9452.1</v>
      </c>
      <c r="C826" s="1">
        <f>value(AUD!$B826)</f>
        <v>9946.24365</v>
      </c>
      <c r="D826" s="1">
        <f>value(EUR!$B826)</f>
        <v>11686.71805</v>
      </c>
      <c r="E826" s="1">
        <f>value(GBP!$B826)</f>
        <v>14882.94794</v>
      </c>
      <c r="F826" s="1">
        <f>value(CHF!$B826)</f>
        <v>9729.63026</v>
      </c>
      <c r="G826" s="1">
        <f>value(SGD!$B826)</f>
        <v>7567.28</v>
      </c>
      <c r="H826" s="1">
        <f>value(MYR!$B826)</f>
        <v>3016.601581</v>
      </c>
      <c r="I826" s="1">
        <f>value(THB!$B826)</f>
        <v>300.137243</v>
      </c>
      <c r="J826" s="1">
        <f>value(VND!$B826)</f>
        <v>0.4682535775</v>
      </c>
      <c r="K826" s="1">
        <f>value(CNY!$B826)</f>
        <v>1494.521864</v>
      </c>
      <c r="L826" s="1">
        <f>value(HKD!$B826)</f>
        <v>1219.372581</v>
      </c>
      <c r="M826" s="1">
        <f>value(TWD!$B826)</f>
        <v>317.352805</v>
      </c>
      <c r="N826" s="1">
        <f>value(JPY!$B826)</f>
        <v>119.18466</v>
      </c>
      <c r="O826" s="1">
        <f>value(SAR!$B826)</f>
        <v>2546.27725</v>
      </c>
      <c r="P826" s="1">
        <f>value(AED!$B826)</f>
        <v>2610.61447</v>
      </c>
      <c r="Q826" s="1">
        <f>value(KWD!$B826)</f>
        <v>34088.07696</v>
      </c>
    </row>
    <row r="827">
      <c r="A827" s="4">
        <f>value(USD!A827)</f>
        <v>41136.99861</v>
      </c>
      <c r="B827" s="1">
        <f>value(USD!B827)</f>
        <v>9467.6</v>
      </c>
      <c r="C827" s="1">
        <f>value(AUD!$B827)</f>
        <v>9860.637</v>
      </c>
      <c r="D827" s="1">
        <f>value(EUR!$B827)</f>
        <v>11672.238</v>
      </c>
      <c r="E827" s="1">
        <f>value(GBP!$B827)</f>
        <v>14854.371</v>
      </c>
      <c r="F827" s="1">
        <f>value(CHF!$B827)</f>
        <v>9717.7155</v>
      </c>
      <c r="G827" s="1">
        <f>value(SGD!$B827)</f>
        <v>7547.67495</v>
      </c>
      <c r="H827" s="1">
        <f>value(MYR!$B827)</f>
        <v>3019.42965</v>
      </c>
      <c r="I827" s="1">
        <f>value(THB!$B827)</f>
        <v>300.0405</v>
      </c>
      <c r="J827" s="1">
        <f>value(VND!$B827)</f>
        <v>0.4664425862</v>
      </c>
      <c r="K827" s="1">
        <f>value(CNY!$B827)</f>
        <v>1518.222948</v>
      </c>
      <c r="L827" s="1">
        <f>value(HKD!$B827)</f>
        <v>1220.13315</v>
      </c>
      <c r="M827" s="1">
        <f>value(TWD!$B827)</f>
        <v>314.8059</v>
      </c>
      <c r="N827" s="1">
        <f>value(JPY!$B827)</f>
        <v>118.97505</v>
      </c>
      <c r="O827" s="1">
        <f>value(SAR!$B827)</f>
        <v>2549.092318</v>
      </c>
      <c r="P827" s="1">
        <f>value(AED!$B827)</f>
        <v>2608.899736</v>
      </c>
      <c r="Q827" s="1">
        <f>value(KWD!$B827)</f>
        <v>34014.14244</v>
      </c>
    </row>
    <row r="828">
      <c r="A828" s="4">
        <f>value(USD!A828)</f>
        <v>41137.99861</v>
      </c>
      <c r="B828" s="1">
        <f>value(USD!B828)</f>
        <v>9459.1</v>
      </c>
      <c r="C828" s="1">
        <f>value(AUD!$B828)</f>
        <v>9860.637</v>
      </c>
      <c r="D828" s="1">
        <f>value(EUR!$B828)</f>
        <v>11671.2915</v>
      </c>
      <c r="E828" s="1">
        <f>value(GBP!$B828)</f>
        <v>14857.2105</v>
      </c>
      <c r="F828" s="1">
        <f>value(CHF!$B828)</f>
        <v>9716.769</v>
      </c>
      <c r="G828" s="1">
        <f>value(SGD!$B828)</f>
        <v>7547.67495</v>
      </c>
      <c r="H828" s="1">
        <f>value(MYR!$B828)</f>
        <v>3019.5243</v>
      </c>
      <c r="I828" s="1">
        <f>value(THB!$B828)</f>
        <v>300.0405</v>
      </c>
      <c r="J828" s="1">
        <f>value(VND!$B828)</f>
        <v>0.4674680507</v>
      </c>
      <c r="K828" s="1">
        <f>value(CNY!$B828)</f>
        <v>1518.619923</v>
      </c>
      <c r="L828" s="1">
        <f>value(HKD!$B828)</f>
        <v>1220.0385</v>
      </c>
      <c r="M828" s="1">
        <f>value(TWD!$B828)</f>
        <v>314.8059</v>
      </c>
      <c r="N828" s="1">
        <f>value(JPY!$B828)</f>
        <v>118.97505</v>
      </c>
      <c r="O828" s="1">
        <f>value(SAR!$B828)</f>
        <v>2530.766959</v>
      </c>
      <c r="P828" s="1">
        <f>value(AED!$B828)</f>
        <v>2610.2062</v>
      </c>
      <c r="Q828" s="1">
        <f>value(KWD!$B828)</f>
        <v>34095.47994</v>
      </c>
    </row>
    <row r="829">
      <c r="A829" s="4">
        <f>value(USD!A829)</f>
        <v>41138.99861</v>
      </c>
      <c r="B829" s="1">
        <f>value(USD!B829)</f>
        <v>9465</v>
      </c>
      <c r="C829" s="1">
        <f>value(AUD!$B829)</f>
        <v>9893.272875</v>
      </c>
      <c r="D829" s="1">
        <f>value(EUR!$B829)</f>
        <v>11709.1748</v>
      </c>
      <c r="E829" s="1">
        <f>value(GBP!$B829)</f>
        <v>14889.82644</v>
      </c>
      <c r="F829" s="1">
        <f>value(CHF!$B829)</f>
        <v>9748.07664</v>
      </c>
      <c r="G829" s="1">
        <f>value(SGD!$B829)</f>
        <v>7569.373919</v>
      </c>
      <c r="H829" s="1">
        <f>value(MYR!$B829)</f>
        <v>3028.812442</v>
      </c>
      <c r="I829" s="1">
        <f>value(THB!$B829)</f>
        <v>294.568048</v>
      </c>
      <c r="J829" s="1">
        <f>value(VND!$B829)</f>
        <v>0.4643359308</v>
      </c>
      <c r="K829" s="1">
        <f>value(CNY!$B829)</f>
        <v>1519.49714</v>
      </c>
      <c r="L829" s="1">
        <f>value(HKD!$B829)</f>
        <v>1223.349454</v>
      </c>
      <c r="M829" s="1">
        <f>value(TWD!$B829)</f>
        <v>315.7306365</v>
      </c>
      <c r="N829" s="1">
        <f>value(JPY!$B829)</f>
        <v>119.383571</v>
      </c>
      <c r="O829" s="1">
        <f>value(SAR!$B829)</f>
        <v>2484.397868</v>
      </c>
      <c r="P829" s="1">
        <f>value(AED!$B829)</f>
        <v>2604.544856</v>
      </c>
      <c r="Q829" s="1">
        <f>value(KWD!$B829)</f>
        <v>34110.81988</v>
      </c>
    </row>
    <row r="830">
      <c r="A830" s="4">
        <f>value(USD!A830)</f>
        <v>41139.99861</v>
      </c>
      <c r="B830" s="1">
        <f>value(USD!B830)</f>
        <v>9465</v>
      </c>
      <c r="C830" s="1">
        <f>value(AUD!$B830)</f>
        <v>9882.23518</v>
      </c>
      <c r="D830" s="1">
        <f>value(EUR!$B830)</f>
        <v>11682.359</v>
      </c>
      <c r="E830" s="1">
        <f>value(GBP!$B830)</f>
        <v>14861.47415</v>
      </c>
      <c r="F830" s="1">
        <f>value(CHF!$B830)</f>
        <v>9726.15508</v>
      </c>
      <c r="G830" s="1">
        <f>value(SGD!$B830)</f>
        <v>7548.412012</v>
      </c>
      <c r="H830" s="1">
        <f>value(MYR!$B830)</f>
        <v>3016.697254</v>
      </c>
      <c r="I830" s="1">
        <f>value(THB!$B830)</f>
        <v>299.86298</v>
      </c>
      <c r="J830" s="1">
        <f>value(VND!$B830)</f>
        <v>0.4661272278</v>
      </c>
      <c r="K830" s="1">
        <f>value(CNY!$B830)</f>
        <v>1519.675146</v>
      </c>
      <c r="L830" s="1">
        <f>value(HKD!$B830)</f>
        <v>1219.411254</v>
      </c>
      <c r="M830" s="1">
        <f>value(TWD!$B830)</f>
        <v>316.133148</v>
      </c>
      <c r="N830" s="1">
        <f>value(JPY!$B830)</f>
        <v>119.093846</v>
      </c>
      <c r="O830" s="1">
        <f>value(SAR!$B830)</f>
        <v>2581.459241</v>
      </c>
      <c r="P830" s="1">
        <f>value(AED!$B830)</f>
        <v>2610.587252</v>
      </c>
      <c r="Q830" s="1">
        <f>value(KWD!$B830)</f>
        <v>34007.02607</v>
      </c>
    </row>
    <row r="831">
      <c r="A831" s="4">
        <f>value(USD!A831)</f>
        <v>41140.99861</v>
      </c>
      <c r="B831" s="1">
        <f>value(USD!B831)</f>
        <v>9489.95</v>
      </c>
      <c r="C831" s="1">
        <f>value(AUD!$B831)</f>
        <v>9938.0607</v>
      </c>
      <c r="D831" s="1">
        <f>value(EUR!$B831)</f>
        <v>11857.752</v>
      </c>
      <c r="E831" s="1">
        <f>value(GBP!$B831)</f>
        <v>15026.634</v>
      </c>
      <c r="F831" s="1">
        <f>value(CHF!$B831)</f>
        <v>9872.9415</v>
      </c>
      <c r="G831" s="1">
        <f>value(SGD!$B831)</f>
        <v>7582.88475</v>
      </c>
      <c r="H831" s="1">
        <f>value(MYR!$B831)</f>
        <v>3051.04275</v>
      </c>
      <c r="I831" s="1">
        <f>value(THB!$B831)</f>
        <v>303.35325</v>
      </c>
      <c r="J831" s="1">
        <f>value(VND!$B831)</f>
        <v>0.4650075169</v>
      </c>
      <c r="K831" s="1">
        <f>value(CNY!$B831)</f>
        <v>1521.88843</v>
      </c>
      <c r="L831" s="1">
        <f>value(HKD!$B831)</f>
        <v>1220.2278</v>
      </c>
      <c r="M831" s="1">
        <f>value(TWD!$B831)</f>
        <v>318.024</v>
      </c>
      <c r="N831" s="1">
        <f>value(JPY!$B831)</f>
        <v>120.3948</v>
      </c>
      <c r="O831" s="1">
        <f>value(SAR!$B831)</f>
        <v>2517.68125</v>
      </c>
      <c r="P831" s="1">
        <f>value(AED!$B831)</f>
        <v>2610.369508</v>
      </c>
      <c r="Q831" s="1">
        <f>value(KWD!$B831)</f>
        <v>34114.25442</v>
      </c>
    </row>
    <row r="832">
      <c r="A832" s="4">
        <f>value(USD!A832)</f>
        <v>41141.99861</v>
      </c>
      <c r="B832" s="1">
        <f>value(USD!B832)</f>
        <v>9459.4</v>
      </c>
      <c r="C832" s="1">
        <f>value(AUD!$B832)</f>
        <v>9874.63326</v>
      </c>
      <c r="D832" s="1">
        <f>value(EUR!$B832)</f>
        <v>11887.13159</v>
      </c>
      <c r="E832" s="1">
        <f>value(GBP!$B832)</f>
        <v>15007.5687</v>
      </c>
      <c r="F832" s="1">
        <f>value(CHF!$B832)</f>
        <v>9899.2394</v>
      </c>
      <c r="G832" s="1">
        <f>value(SGD!$B832)</f>
        <v>7586.072962</v>
      </c>
      <c r="H832" s="1">
        <f>value(MYR!$B832)</f>
        <v>3055.230837</v>
      </c>
      <c r="I832" s="1">
        <f>value(THB!$B832)</f>
        <v>303.317995</v>
      </c>
      <c r="J832" s="1">
        <f>value(VND!$B832)</f>
        <v>0.4651952395</v>
      </c>
      <c r="K832" s="1">
        <f>value(CNY!$B832)</f>
        <v>1521.88843</v>
      </c>
      <c r="L832" s="1">
        <f>value(HKD!$B832)</f>
        <v>1220.085988</v>
      </c>
      <c r="M832" s="1">
        <f>value(TWD!$B832)</f>
        <v>316.378177</v>
      </c>
      <c r="N832" s="1">
        <f>value(JPY!$B832)</f>
        <v>120.570086</v>
      </c>
      <c r="O832" s="1">
        <f>value(SAR!$B832)</f>
        <v>2528.667495</v>
      </c>
      <c r="P832" s="1">
        <f>value(AED!$B832)</f>
        <v>2606.314026</v>
      </c>
      <c r="Q832" s="1">
        <f>value(KWD!$B832)</f>
        <v>34037.53828</v>
      </c>
    </row>
    <row r="833">
      <c r="A833" s="4">
        <f>value(USD!A833)</f>
        <v>41143.99861</v>
      </c>
      <c r="B833" s="1">
        <f>value(USD!B833)</f>
        <v>9465</v>
      </c>
      <c r="C833" s="1">
        <f>value(AUD!$B833)</f>
        <v>9861.096</v>
      </c>
      <c r="D833" s="1">
        <f>value(EUR!$B833)</f>
        <v>11868.012</v>
      </c>
      <c r="E833" s="1">
        <f>value(GBP!$B833)</f>
        <v>14982.192</v>
      </c>
      <c r="F833" s="1">
        <f>value(CHF!$B833)</f>
        <v>9878.16</v>
      </c>
      <c r="G833" s="1">
        <f>value(SGD!$B833)</f>
        <v>7577.7432</v>
      </c>
      <c r="H833" s="1">
        <f>value(MYR!$B833)</f>
        <v>3056.9208</v>
      </c>
      <c r="I833" s="1">
        <f>value(THB!$B833)</f>
        <v>303.4548</v>
      </c>
      <c r="J833" s="1">
        <f>value(VND!$B833)</f>
        <v>0.4642763499</v>
      </c>
      <c r="K833" s="1">
        <f>value(CNY!$B833)</f>
        <v>1525.783559</v>
      </c>
      <c r="L833" s="1">
        <f>value(HKD!$B833)</f>
        <v>1222.0668</v>
      </c>
      <c r="M833" s="1">
        <f>value(TWD!$B833)</f>
        <v>316.158</v>
      </c>
      <c r="N833" s="1">
        <f>value(JPY!$B833)</f>
        <v>120.4908</v>
      </c>
      <c r="O833" s="1">
        <f>value(SAR!$B833)</f>
        <v>2538.157576</v>
      </c>
      <c r="P833" s="1">
        <f>value(AED!$B833)</f>
        <v>2613.417924</v>
      </c>
      <c r="Q833" s="1">
        <f>value(KWD!$B833)</f>
        <v>34051.37886</v>
      </c>
    </row>
    <row r="834">
      <c r="A834" s="4">
        <f>value(USD!A834)</f>
        <v>41144.99861</v>
      </c>
      <c r="B834" s="1">
        <f>value(USD!B834)</f>
        <v>9463.9</v>
      </c>
      <c r="C834" s="1">
        <f>value(AUD!$B834)</f>
        <v>9866.784</v>
      </c>
      <c r="D834" s="1">
        <f>value(EUR!$B834)</f>
        <v>11859.48</v>
      </c>
      <c r="E834" s="1">
        <f>value(GBP!$B834)</f>
        <v>14982.192</v>
      </c>
      <c r="F834" s="1">
        <f>value(CHF!$B834)</f>
        <v>9876.264</v>
      </c>
      <c r="G834" s="1">
        <f>value(SGD!$B834)</f>
        <v>7577.7432</v>
      </c>
      <c r="H834" s="1">
        <f>value(MYR!$B834)</f>
        <v>2993.9736</v>
      </c>
      <c r="I834" s="1">
        <f>value(THB!$B834)</f>
        <v>297.198</v>
      </c>
      <c r="J834" s="1">
        <f>value(VND!$B834)</f>
        <v>0.4673032803</v>
      </c>
      <c r="K834" s="1">
        <f>value(CNY!$B834)</f>
        <v>1522.334338</v>
      </c>
      <c r="L834" s="1">
        <f>value(HKD!$B834)</f>
        <v>1221.972</v>
      </c>
      <c r="M834" s="1">
        <f>value(TWD!$B834)</f>
        <v>315.9684</v>
      </c>
      <c r="N834" s="1">
        <f>value(JPY!$B834)</f>
        <v>120.4908</v>
      </c>
      <c r="O834" s="1">
        <f>value(SAR!$B834)</f>
        <v>2538.851594</v>
      </c>
      <c r="P834" s="1">
        <f>value(AED!$B834)</f>
        <v>2610.505598</v>
      </c>
      <c r="Q834" s="1">
        <f>value(KWD!$B834)</f>
        <v>34013.47619</v>
      </c>
    </row>
    <row r="835">
      <c r="A835" s="4">
        <f>value(USD!A835)</f>
        <v>41145.99861</v>
      </c>
      <c r="B835" s="1">
        <f>value(USD!B835)</f>
        <v>9480</v>
      </c>
      <c r="C835" s="1">
        <f>value(AUD!$B835)</f>
        <v>9932.411336</v>
      </c>
      <c r="D835" s="1">
        <f>value(EUR!$B835)</f>
        <v>11932.3159</v>
      </c>
      <c r="E835" s="1">
        <f>value(GBP!$B835)</f>
        <v>15077.88296</v>
      </c>
      <c r="F835" s="1">
        <f>value(CHF!$B835)</f>
        <v>9934.222584</v>
      </c>
      <c r="G835" s="1">
        <f>value(SGD!$B835)</f>
        <v>7620.781324</v>
      </c>
      <c r="H835" s="1">
        <f>value(MYR!$B835)</f>
        <v>3011.534648</v>
      </c>
      <c r="I835" s="1">
        <f>value(THB!$B835)</f>
        <v>298.9513676</v>
      </c>
      <c r="J835" s="1">
        <f>value(VND!$B835)</f>
        <v>0.467150511</v>
      </c>
      <c r="K835" s="1">
        <f>value(CNY!$B835)</f>
        <v>1523.067084</v>
      </c>
      <c r="L835" s="1">
        <f>value(HKD!$B835)</f>
        <v>1228.97992</v>
      </c>
      <c r="M835" s="1">
        <f>value(TWD!$B835)</f>
        <v>317.8264859</v>
      </c>
      <c r="N835" s="1">
        <f>value(JPY!$B835)</f>
        <v>121.1630064</v>
      </c>
      <c r="O835" s="1">
        <f>value(SAR!$B835)</f>
        <v>2541.106103</v>
      </c>
      <c r="P835" s="1">
        <f>value(AED!$B835)</f>
        <v>2611.5671</v>
      </c>
      <c r="Q835" s="1">
        <f>value(KWD!$B835)</f>
        <v>34051.58939</v>
      </c>
    </row>
    <row r="836">
      <c r="A836" s="4">
        <f>value(USD!A836)</f>
        <v>41146.99861</v>
      </c>
      <c r="B836" s="1">
        <f>value(USD!B836)</f>
        <v>9480</v>
      </c>
      <c r="C836" s="1">
        <f>value(AUD!$B836)</f>
        <v>9832.151</v>
      </c>
      <c r="D836" s="1">
        <f>value(EUR!$B836)</f>
        <v>11858.147</v>
      </c>
      <c r="E836" s="1">
        <f>value(GBP!$B836)</f>
        <v>14976.815</v>
      </c>
      <c r="F836" s="1">
        <f>value(CHF!$B836)</f>
        <v>9872.9365</v>
      </c>
      <c r="G836" s="1">
        <f>value(SGD!$B836)</f>
        <v>7569.2197</v>
      </c>
      <c r="H836" s="1">
        <f>value(MYR!$B836)</f>
        <v>3047.43565</v>
      </c>
      <c r="I836" s="1">
        <f>value(THB!$B836)</f>
        <v>302.85605</v>
      </c>
      <c r="J836" s="1">
        <f>value(VND!$B836)</f>
        <v>0.4603701915</v>
      </c>
      <c r="K836" s="1">
        <f>value(CNY!$B836)</f>
        <v>1524.30687</v>
      </c>
      <c r="L836" s="1">
        <f>value(HKD!$B836)</f>
        <v>1222.8062</v>
      </c>
      <c r="M836" s="1">
        <f>value(TWD!$B836)</f>
        <v>315.94535</v>
      </c>
      <c r="N836" s="1">
        <f>value(JPY!$B836)</f>
        <v>120.36465</v>
      </c>
      <c r="O836" s="1">
        <f>value(SAR!$B836)</f>
        <v>2540.563558</v>
      </c>
      <c r="P836" s="1">
        <f>value(AED!$B836)</f>
        <v>2610.233418</v>
      </c>
      <c r="Q836" s="1">
        <f>value(KWD!$B836)</f>
        <v>34051.23451</v>
      </c>
    </row>
    <row r="837">
      <c r="A837" s="4">
        <f>value(USD!A837)</f>
        <v>41147.99861</v>
      </c>
      <c r="B837" s="1">
        <f>value(USD!B837)</f>
        <v>9532.888</v>
      </c>
      <c r="C837" s="1">
        <f>value(AUD!$B837)</f>
        <v>9852.209046</v>
      </c>
      <c r="D837" s="1">
        <f>value(EUR!$B837)</f>
        <v>11941.00587</v>
      </c>
      <c r="E837" s="1">
        <f>value(GBP!$B837)</f>
        <v>15033.90033</v>
      </c>
      <c r="F837" s="1">
        <f>value(CHF!$B837)</f>
        <v>9943.07589</v>
      </c>
      <c r="G837" s="1">
        <f>value(SGD!$B837)</f>
        <v>7582.05873</v>
      </c>
      <c r="H837" s="1">
        <f>value(MYR!$B837)</f>
        <v>3040.427412</v>
      </c>
      <c r="I837" s="1">
        <f>value(THB!$B837)</f>
        <v>303.681555</v>
      </c>
      <c r="J837" s="1">
        <f>value(VND!$B837)</f>
        <v>0.4677643997</v>
      </c>
      <c r="K837" s="1">
        <f>value(CNY!$B837)</f>
        <v>1527.018556</v>
      </c>
      <c r="L837" s="1">
        <f>value(HKD!$B837)</f>
        <v>1225.371708</v>
      </c>
      <c r="M837" s="1">
        <f>value(TWD!$B837)</f>
        <v>317.938905</v>
      </c>
      <c r="N837" s="1">
        <f>value(JPY!$B837)</f>
        <v>120.997377</v>
      </c>
      <c r="O837" s="1">
        <f>value(SAR!$B837)</f>
        <v>2556.186956</v>
      </c>
      <c r="P837" s="1">
        <f>value(AED!$B837)</f>
        <v>2611.675972</v>
      </c>
      <c r="Q837" s="1">
        <f>value(KWD!$B837)</f>
        <v>34062.82556</v>
      </c>
    </row>
    <row r="838">
      <c r="A838" s="4">
        <f>value(USD!A838)</f>
        <v>41148.99861</v>
      </c>
      <c r="B838" s="1">
        <f>value(USD!B838)</f>
        <v>9485</v>
      </c>
      <c r="C838" s="1">
        <f>value(AUD!$B838)</f>
        <v>9843.22624</v>
      </c>
      <c r="D838" s="1">
        <f>value(EUR!$B838)</f>
        <v>11926.45376</v>
      </c>
      <c r="E838" s="1">
        <f>value(GBP!$B838)</f>
        <v>15066.04608</v>
      </c>
      <c r="F838" s="1">
        <f>value(CHF!$B838)</f>
        <v>9929.82912</v>
      </c>
      <c r="G838" s="1">
        <f>value(SGD!$B838)</f>
        <v>7586.888128</v>
      </c>
      <c r="H838" s="1">
        <f>value(MYR!$B838)</f>
        <v>3045.661504</v>
      </c>
      <c r="I838" s="1">
        <f>value(THB!$B838)</f>
        <v>303.395584</v>
      </c>
      <c r="J838" s="1">
        <f>value(VND!$B838)</f>
        <v>0.4671748656</v>
      </c>
      <c r="K838" s="1">
        <f>value(CNY!$B838)</f>
        <v>1527.5312</v>
      </c>
      <c r="L838" s="1">
        <f>value(HKD!$B838)</f>
        <v>1227.001024</v>
      </c>
      <c r="M838" s="1">
        <f>value(TWD!$B838)</f>
        <v>317.38528</v>
      </c>
      <c r="N838" s="1">
        <f>value(JPY!$B838)</f>
        <v>120.86336</v>
      </c>
      <c r="O838" s="1">
        <f>value(SAR!$B838)</f>
        <v>2544.750748</v>
      </c>
      <c r="P838" s="1">
        <f>value(AED!$B838)</f>
        <v>2611.648754</v>
      </c>
      <c r="Q838" s="1">
        <f>value(KWD!$B838)</f>
        <v>34069.21533</v>
      </c>
    </row>
    <row r="839">
      <c r="A839" s="4">
        <f>value(USD!A839)</f>
        <v>41149.99861</v>
      </c>
      <c r="B839" s="1">
        <f>value(USD!B839)</f>
        <v>9504.9</v>
      </c>
      <c r="C839" s="1">
        <f>value(AUD!$B839)</f>
        <v>9793.37778</v>
      </c>
      <c r="D839" s="1">
        <f>value(EUR!$B839)</f>
        <v>11899.33934</v>
      </c>
      <c r="E839" s="1">
        <f>value(GBP!$B839)</f>
        <v>15020.03299</v>
      </c>
      <c r="F839" s="1">
        <f>value(CHF!$B839)</f>
        <v>9907.55298</v>
      </c>
      <c r="G839" s="1">
        <f>value(SGD!$B839)</f>
        <v>7589.79642</v>
      </c>
      <c r="H839" s="1">
        <f>value(MYR!$B839)</f>
        <v>3042.578788</v>
      </c>
      <c r="I839" s="1">
        <f>value(THB!$B839)</f>
        <v>302.849718</v>
      </c>
      <c r="J839" s="1">
        <f>value(VND!$B839)</f>
        <v>0.4672965439</v>
      </c>
      <c r="K839" s="1">
        <f>value(CNY!$B839)</f>
        <v>1526.86067</v>
      </c>
      <c r="L839" s="1">
        <f>value(HKD!$B839)</f>
        <v>1226.622232</v>
      </c>
      <c r="M839" s="1">
        <f>value(TWD!$B839)</f>
        <v>317.026472</v>
      </c>
      <c r="N839" s="1">
        <f>value(JPY!$B839)</f>
        <v>121.025712</v>
      </c>
      <c r="O839" s="1">
        <f>value(SAR!$B839)</f>
        <v>2548.37155</v>
      </c>
      <c r="P839" s="1">
        <f>value(AED!$B839)</f>
        <v>2611.70319</v>
      </c>
      <c r="Q839" s="1">
        <f>value(KWD!$B839)</f>
        <v>34078.8</v>
      </c>
    </row>
    <row r="840">
      <c r="A840" s="4">
        <f>value(USD!A840)</f>
        <v>41150.99861</v>
      </c>
      <c r="B840" s="1">
        <f>value(USD!B840)</f>
        <v>9516.8</v>
      </c>
      <c r="C840" s="1">
        <f>value(AUD!$B840)</f>
        <v>9813.369</v>
      </c>
      <c r="D840" s="1">
        <f>value(EUR!$B840)</f>
        <v>11963.58</v>
      </c>
      <c r="E840" s="1">
        <f>value(GBP!$B840)</f>
        <v>15085.713</v>
      </c>
      <c r="F840" s="1">
        <f>value(CHF!$B840)</f>
        <v>9960.774</v>
      </c>
      <c r="G840" s="1">
        <f>value(SGD!$B840)</f>
        <v>7621.9797</v>
      </c>
      <c r="H840" s="1">
        <f>value(MYR!$B840)</f>
        <v>3041.9637</v>
      </c>
      <c r="I840" s="1">
        <f>value(THB!$B840)</f>
        <v>303.2739</v>
      </c>
      <c r="J840" s="1">
        <f>value(VND!$B840)</f>
        <v>0.4696177162</v>
      </c>
      <c r="K840" s="1">
        <f>value(CNY!$B840)</f>
        <v>1531.434642</v>
      </c>
      <c r="L840" s="1">
        <f>value(HKD!$B840)</f>
        <v>1226.1243</v>
      </c>
      <c r="M840" s="1">
        <f>value(TWD!$B840)</f>
        <v>318.0144</v>
      </c>
      <c r="N840" s="1">
        <f>value(JPY!$B840)</f>
        <v>121.2525</v>
      </c>
      <c r="O840" s="1">
        <f>value(SAR!$B840)</f>
        <v>2550.676594</v>
      </c>
      <c r="P840" s="1">
        <f>value(AED!$B840)</f>
        <v>2612.864925</v>
      </c>
      <c r="Q840" s="1">
        <f>value(KWD!$B840)</f>
        <v>34075.02641</v>
      </c>
    </row>
    <row r="841">
      <c r="A841" s="4">
        <f>value(USD!A841)</f>
        <v>41151.99861</v>
      </c>
      <c r="B841" s="1">
        <f>value(USD!B841)</f>
        <v>9514.6</v>
      </c>
      <c r="C841" s="1">
        <f>value(AUD!$B841)</f>
        <v>9815.271</v>
      </c>
      <c r="D841" s="1">
        <f>value(EUR!$B841)</f>
        <v>11966.433</v>
      </c>
      <c r="E841" s="1">
        <f>value(GBP!$B841)</f>
        <v>15085.713</v>
      </c>
      <c r="F841" s="1">
        <f>value(CHF!$B841)</f>
        <v>9958.872</v>
      </c>
      <c r="G841" s="1">
        <f>value(SGD!$B841)</f>
        <v>7621.9797</v>
      </c>
      <c r="H841" s="1">
        <f>value(MYR!$B841)</f>
        <v>3040.7274</v>
      </c>
      <c r="I841" s="1">
        <f>value(THB!$B841)</f>
        <v>297.0924</v>
      </c>
      <c r="J841" s="1">
        <f>value(VND!$B841)</f>
        <v>0.4669214653</v>
      </c>
      <c r="K841" s="1">
        <f>value(CNY!$B841)</f>
        <v>1528.61688</v>
      </c>
      <c r="L841" s="1">
        <f>value(HKD!$B841)</f>
        <v>1226.0292</v>
      </c>
      <c r="M841" s="1">
        <f>value(TWD!$B841)</f>
        <v>317.9193</v>
      </c>
      <c r="N841" s="1">
        <f>value(JPY!$B841)</f>
        <v>121.3476</v>
      </c>
      <c r="O841" s="1">
        <f>value(SAR!$B841)</f>
        <v>2548.138185</v>
      </c>
      <c r="P841" s="1">
        <f>value(AED!$B841)</f>
        <v>2612.928</v>
      </c>
      <c r="Q841" s="1">
        <f>value(KWD!$B841)</f>
        <v>34086.59405</v>
      </c>
    </row>
    <row r="842">
      <c r="A842" s="4">
        <f>value(USD!A842)</f>
        <v>41152.99861</v>
      </c>
      <c r="B842" s="1">
        <f>value(USD!B842)</f>
        <v>9510</v>
      </c>
      <c r="C842" s="1">
        <f>value(AUD!$B842)</f>
        <v>9817.18452</v>
      </c>
      <c r="D842" s="1">
        <f>value(EUR!$B842)</f>
        <v>11994.9671</v>
      </c>
      <c r="E842" s="1">
        <f>value(GBP!$B842)</f>
        <v>15131.96565</v>
      </c>
      <c r="F842" s="1">
        <f>value(CHF!$B842)</f>
        <v>9987.860125</v>
      </c>
      <c r="G842" s="1">
        <f>value(SGD!$B842)</f>
        <v>7637.018202</v>
      </c>
      <c r="H842" s="1">
        <f>value(MYR!$B842)</f>
        <v>3049.563058</v>
      </c>
      <c r="I842" s="1">
        <f>value(THB!$B842)</f>
        <v>297.9671875</v>
      </c>
      <c r="J842" s="1">
        <f>value(VND!$B842)</f>
        <v>0.4667704399</v>
      </c>
      <c r="K842" s="1">
        <f>value(CNY!$B842)</f>
        <v>1530.5644</v>
      </c>
      <c r="L842" s="1">
        <f>value(HKD!$B842)</f>
        <v>1229.245754</v>
      </c>
      <c r="M842" s="1">
        <f>value(TWD!$B842)</f>
        <v>318.848728</v>
      </c>
      <c r="N842" s="1">
        <f>value(JPY!$B842)</f>
        <v>121.665962</v>
      </c>
      <c r="O842" s="1">
        <f>value(SAR!$B842)</f>
        <v>2548.459352</v>
      </c>
      <c r="P842" s="1">
        <f>value(AED!$B842)</f>
        <v>2613.009654</v>
      </c>
      <c r="Q842" s="1">
        <f>value(KWD!$B842)</f>
        <v>34104.37577</v>
      </c>
    </row>
    <row r="843">
      <c r="A843" s="4">
        <f>value(USD!A843)</f>
        <v>41153.99861</v>
      </c>
      <c r="B843" s="1">
        <f>value(USD!B843)</f>
        <v>9510</v>
      </c>
      <c r="C843" s="1">
        <f>value(AUD!$B843)</f>
        <v>9739.3353</v>
      </c>
      <c r="D843" s="1">
        <f>value(EUR!$B843)</f>
        <v>11965.5234</v>
      </c>
      <c r="E843" s="1">
        <f>value(GBP!$B843)</f>
        <v>15097.39554</v>
      </c>
      <c r="F843" s="1">
        <f>value(CHF!$B843)</f>
        <v>9962.71455</v>
      </c>
      <c r="G843" s="1">
        <f>value(SGD!$B843)</f>
        <v>7630.06485</v>
      </c>
      <c r="H843" s="1">
        <f>value(MYR!$B843)</f>
        <v>3051.45561</v>
      </c>
      <c r="I843" s="1">
        <f>value(THB!$B843)</f>
        <v>304.271055</v>
      </c>
      <c r="J843" s="1">
        <f>value(VND!$B843)</f>
        <v>0.4670154754</v>
      </c>
      <c r="K843" s="1">
        <f>value(CNY!$B843)</f>
        <v>1530.94792</v>
      </c>
      <c r="L843" s="1">
        <f>value(HKD!$B843)</f>
        <v>1225.354005</v>
      </c>
      <c r="M843" s="1">
        <f>value(TWD!$B843)</f>
        <v>318.81447</v>
      </c>
      <c r="N843" s="1">
        <f>value(JPY!$B843)</f>
        <v>121.385235</v>
      </c>
      <c r="O843" s="1">
        <f>value(SAR!$B843)</f>
        <v>2548.66352</v>
      </c>
      <c r="P843" s="1">
        <f>value(AED!$B843)</f>
        <v>2613.989502</v>
      </c>
      <c r="Q843" s="1">
        <f>value(KWD!$B843)</f>
        <v>34066.86285</v>
      </c>
    </row>
    <row r="844">
      <c r="A844" s="4">
        <f>value(USD!A844)</f>
        <v>41154.99861</v>
      </c>
      <c r="B844" s="1">
        <f>value(USD!B844)</f>
        <v>9534.95</v>
      </c>
      <c r="C844" s="1">
        <f>value(AUD!$B844)</f>
        <v>9749.84571</v>
      </c>
      <c r="D844" s="1">
        <f>value(EUR!$B844)</f>
        <v>11987.18676</v>
      </c>
      <c r="E844" s="1">
        <f>value(GBP!$B844)</f>
        <v>15141.4083</v>
      </c>
      <c r="F844" s="1">
        <f>value(CHF!$B844)</f>
        <v>9979.7814</v>
      </c>
      <c r="G844" s="1">
        <f>value(SGD!$B844)</f>
        <v>7650.466074</v>
      </c>
      <c r="H844" s="1">
        <f>value(MYR!$B844)</f>
        <v>3067.590168</v>
      </c>
      <c r="I844" s="1">
        <f>value(THB!$B844)</f>
        <v>305.690436</v>
      </c>
      <c r="J844" s="1">
        <f>value(VND!$B844)</f>
        <v>0.4609896689</v>
      </c>
      <c r="K844" s="1">
        <f>value(CNY!$B844)</f>
        <v>1531.744968</v>
      </c>
      <c r="L844" s="1">
        <f>value(HKD!$B844)</f>
        <v>1230.012828</v>
      </c>
      <c r="M844" s="1">
        <f>value(TWD!$B844)</f>
        <v>319.429332</v>
      </c>
      <c r="N844" s="1">
        <f>value(JPY!$B844)</f>
        <v>121.551066</v>
      </c>
      <c r="O844" s="1">
        <f>value(SAR!$B844)</f>
        <v>2552.258867</v>
      </c>
      <c r="P844" s="1">
        <f>value(AED!$B844)</f>
        <v>2614.42499</v>
      </c>
      <c r="Q844" s="1">
        <f>value(KWD!$B844)</f>
        <v>33984.03479</v>
      </c>
    </row>
    <row r="845">
      <c r="A845" s="4">
        <f>value(USD!A845)</f>
        <v>41155.99861</v>
      </c>
      <c r="B845" s="1">
        <f>value(USD!B845)</f>
        <v>9505.5</v>
      </c>
      <c r="C845" s="1">
        <f>value(AUD!$B845)</f>
        <v>9719.96328</v>
      </c>
      <c r="D845" s="1">
        <f>value(EUR!$B845)</f>
        <v>12018.0076</v>
      </c>
      <c r="E845" s="1">
        <f>value(GBP!$B845)</f>
        <v>15168.59994</v>
      </c>
      <c r="F845" s="1">
        <f>value(CHF!$B845)</f>
        <v>9977.55948</v>
      </c>
      <c r="G845" s="1">
        <f>value(SGD!$B845)</f>
        <v>7643.45169</v>
      </c>
      <c r="H845" s="1">
        <f>value(MYR!$B845)</f>
        <v>3059.288796</v>
      </c>
      <c r="I845" s="1">
        <f>value(THB!$B845)</f>
        <v>304.917576</v>
      </c>
      <c r="J845" s="1">
        <f>value(VND!$B845)</f>
        <v>0.4673857939</v>
      </c>
      <c r="K845" s="1">
        <f>value(CNY!$B845)</f>
        <v>1530.6924</v>
      </c>
      <c r="L845" s="1">
        <f>value(HKD!$B845)</f>
        <v>1229.878746</v>
      </c>
      <c r="M845" s="1">
        <f>value(TWD!$B845)</f>
        <v>320.754972</v>
      </c>
      <c r="N845" s="1">
        <f>value(JPY!$B845)</f>
        <v>121.64265</v>
      </c>
      <c r="O845" s="1">
        <f>value(SAR!$B845)</f>
        <v>2549.043157</v>
      </c>
      <c r="P845" s="1">
        <f>value(AED!$B845)</f>
        <v>2612.38364</v>
      </c>
      <c r="Q845" s="1">
        <f>value(KWD!$B845)</f>
        <v>33980.1327</v>
      </c>
    </row>
    <row r="846">
      <c r="A846" s="4">
        <f>value(USD!A846)</f>
        <v>41156.99861</v>
      </c>
      <c r="B846" s="1">
        <f>value(USD!B846)</f>
        <v>9540.9</v>
      </c>
      <c r="C846" s="1">
        <f>value(AUD!$B846)</f>
        <v>9804.73767</v>
      </c>
      <c r="D846" s="1">
        <f>value(EUR!$B846)</f>
        <v>12042.5787</v>
      </c>
      <c r="E846" s="1">
        <f>value(GBP!$B846)</f>
        <v>15188.14221</v>
      </c>
      <c r="F846" s="1">
        <f>value(CHF!$B846)</f>
        <v>9993.52869</v>
      </c>
      <c r="G846" s="1">
        <f>value(SGD!$B846)</f>
        <v>7668.92007</v>
      </c>
      <c r="H846" s="1">
        <f>value(MYR!$B846)</f>
        <v>3056.221497</v>
      </c>
      <c r="I846" s="1">
        <f>value(THB!$B846)</f>
        <v>305.498196</v>
      </c>
      <c r="J846" s="1">
        <f>value(VND!$B846)</f>
        <v>0.4676995008</v>
      </c>
      <c r="K846" s="1">
        <f>value(CNY!$B846)</f>
        <v>1530.6924</v>
      </c>
      <c r="L846" s="1">
        <f>value(HKD!$B846)</f>
        <v>1229.239308</v>
      </c>
      <c r="M846" s="1">
        <f>value(TWD!$B846)</f>
        <v>319.991244</v>
      </c>
      <c r="N846" s="1">
        <f>value(JPY!$B846)</f>
        <v>120.807183</v>
      </c>
      <c r="O846" s="1">
        <f>value(SAR!$B846)</f>
        <v>2549.312614</v>
      </c>
      <c r="P846" s="1">
        <f>value(AED!$B846)</f>
        <v>2607.511618</v>
      </c>
      <c r="Q846" s="1">
        <f>value(KWD!$B846)</f>
        <v>34059.63989</v>
      </c>
    </row>
    <row r="847">
      <c r="A847" s="4">
        <f>value(USD!A847)</f>
        <v>41157.99861</v>
      </c>
      <c r="B847" s="1">
        <f>value(USD!B847)</f>
        <v>9540.6</v>
      </c>
      <c r="C847" s="1">
        <f>value(AUD!$B847)</f>
        <v>9911.528</v>
      </c>
      <c r="D847" s="1">
        <f>value(EUR!$B847)</f>
        <v>12232.872</v>
      </c>
      <c r="E847" s="1">
        <f>value(GBP!$B847)</f>
        <v>15280.5905</v>
      </c>
      <c r="F847" s="1">
        <f>value(CHF!$B847)</f>
        <v>10107.2005</v>
      </c>
      <c r="G847" s="1">
        <f>value(SGD!$B847)</f>
        <v>7720.7596</v>
      </c>
      <c r="H847" s="1">
        <f>value(MYR!$B847)</f>
        <v>3064.5177</v>
      </c>
      <c r="I847" s="1">
        <f>value(THB!$B847)</f>
        <v>307.06265</v>
      </c>
      <c r="J847" s="1">
        <f>value(VND!$B847)</f>
        <v>0.4673498138</v>
      </c>
      <c r="K847" s="1">
        <f>value(CNY!$B847)</f>
        <v>1533.748959</v>
      </c>
      <c r="L847" s="1">
        <f>value(HKD!$B847)</f>
        <v>1230.63685</v>
      </c>
      <c r="M847" s="1">
        <f>value(TWD!$B847)</f>
        <v>324.53</v>
      </c>
      <c r="N847" s="1">
        <f>value(JPY!$B847)</f>
        <v>121.9851</v>
      </c>
      <c r="O847" s="1">
        <f>value(SAR!$B847)</f>
        <v>2550.348254</v>
      </c>
      <c r="P847" s="1">
        <f>value(AED!$B847)</f>
        <v>2607.21222</v>
      </c>
      <c r="Q847" s="1">
        <f>value(KWD!$B847)</f>
        <v>34025.45044</v>
      </c>
    </row>
    <row r="848">
      <c r="A848" s="4">
        <f>value(USD!A848)</f>
        <v>41158.99861</v>
      </c>
      <c r="B848" s="1">
        <f>value(USD!B848)</f>
        <v>9534.9</v>
      </c>
      <c r="C848" s="1">
        <f>value(AUD!$B848)</f>
        <v>9908.30896</v>
      </c>
      <c r="D848" s="1">
        <f>value(EUR!$B848)</f>
        <v>12227.94485</v>
      </c>
      <c r="E848" s="1">
        <f>value(GBP!$B848)</f>
        <v>15273.71933</v>
      </c>
      <c r="F848" s="1">
        <f>value(CHF!$B848)</f>
        <v>10103.91791</v>
      </c>
      <c r="G848" s="1">
        <f>value(SGD!$B848)</f>
        <v>7718.252072</v>
      </c>
      <c r="H848" s="1">
        <f>value(MYR!$B848)</f>
        <v>3035.469228</v>
      </c>
      <c r="I848" s="1">
        <f>value(THB!$B848)</f>
        <v>302.669068</v>
      </c>
      <c r="J848" s="1">
        <f>value(VND!$B848)</f>
        <v>0.4676616607</v>
      </c>
      <c r="K848" s="1">
        <f>value(CNY!$B848)</f>
        <v>1531.13844</v>
      </c>
      <c r="L848" s="1">
        <f>value(HKD!$B848)</f>
        <v>1230.141748</v>
      </c>
      <c r="M848" s="1">
        <f>value(TWD!$B848)</f>
        <v>324.329181</v>
      </c>
      <c r="N848" s="1">
        <f>value(JPY!$B848)</f>
        <v>121.850063</v>
      </c>
      <c r="O848" s="1">
        <f>value(SAR!$B848)</f>
        <v>2549.951955</v>
      </c>
      <c r="P848" s="1">
        <f>value(AED!$B848)</f>
        <v>2605.061998</v>
      </c>
      <c r="Q848" s="1">
        <f>value(KWD!$B848)</f>
        <v>34027.1515</v>
      </c>
    </row>
    <row r="849">
      <c r="A849" s="4">
        <f>value(USD!A849)</f>
        <v>41159.99861</v>
      </c>
      <c r="B849" s="1">
        <f>value(USD!B849)</f>
        <v>9545</v>
      </c>
      <c r="C849" s="1">
        <f>value(AUD!$B849)</f>
        <v>9967.307054</v>
      </c>
      <c r="D849" s="1">
        <f>value(EUR!$B849)</f>
        <v>12304.8069</v>
      </c>
      <c r="E849" s="1">
        <f>value(GBP!$B849)</f>
        <v>15394.22978</v>
      </c>
      <c r="F849" s="1">
        <f>value(CHF!$B849)</f>
        <v>10174.99934</v>
      </c>
      <c r="G849" s="1">
        <f>value(SGD!$B849)</f>
        <v>7785.768732</v>
      </c>
      <c r="H849" s="1">
        <f>value(MYR!$B849)</f>
        <v>3054.999804</v>
      </c>
      <c r="I849" s="1">
        <f>value(THB!$B849)</f>
        <v>304.6153651</v>
      </c>
      <c r="J849" s="1">
        <f>value(VND!$B849)</f>
        <v>0.4685609678</v>
      </c>
      <c r="K849" s="1">
        <f>value(CNY!$B849)</f>
        <v>1533.744</v>
      </c>
      <c r="L849" s="1">
        <f>value(HKD!$B849)</f>
        <v>1239.711459</v>
      </c>
      <c r="M849" s="1">
        <f>value(TWD!$B849)</f>
        <v>326.4422868</v>
      </c>
      <c r="N849" s="1">
        <f>value(JPY!$B849)</f>
        <v>122.8846075</v>
      </c>
      <c r="O849" s="1">
        <f>value(SAR!$B849)</f>
        <v>2553.600433</v>
      </c>
      <c r="P849" s="1">
        <f>value(AED!$B849)</f>
        <v>2605.225306</v>
      </c>
      <c r="Q849" s="1">
        <f>value(KWD!$B849)</f>
        <v>34034.06069</v>
      </c>
    </row>
    <row r="850">
      <c r="A850" s="4">
        <f>value(USD!A850)</f>
        <v>41160.99861</v>
      </c>
      <c r="B850" s="1">
        <f>value(USD!B850)</f>
        <v>9541.9</v>
      </c>
      <c r="C850" s="1">
        <f>value(AUD!$B850)</f>
        <v>9869.504812</v>
      </c>
      <c r="D850" s="1">
        <f>value(EUR!$B850)</f>
        <v>12184.01273</v>
      </c>
      <c r="E850" s="1">
        <f>value(GBP!$B850)</f>
        <v>15264.86721</v>
      </c>
      <c r="F850" s="1">
        <f>value(CHF!$B850)</f>
        <v>10091.59827</v>
      </c>
      <c r="G850" s="1">
        <f>value(SGD!$B850)</f>
        <v>7717.699924</v>
      </c>
      <c r="H850" s="1">
        <f>value(MYR!$B850)</f>
        <v>3074.266151</v>
      </c>
      <c r="I850" s="1">
        <f>value(THB!$B850)</f>
        <v>306.786879</v>
      </c>
      <c r="J850" s="1">
        <f>value(VND!$B850)</f>
        <v>0.4671696255</v>
      </c>
      <c r="K850" s="1">
        <f>value(CNY!$B850)</f>
        <v>1532.83032</v>
      </c>
      <c r="L850" s="1">
        <f>value(HKD!$B850)</f>
        <v>1231.157802</v>
      </c>
      <c r="M850" s="1">
        <f>value(TWD!$B850)</f>
        <v>321.204812</v>
      </c>
      <c r="N850" s="1">
        <f>value(JPY!$B850)</f>
        <v>122.027274</v>
      </c>
      <c r="O850" s="1">
        <f>value(SAR!$B850)</f>
        <v>2567.320027</v>
      </c>
      <c r="P850" s="1">
        <f>value(AED!$B850)</f>
        <v>2605.17087</v>
      </c>
      <c r="Q850" s="1">
        <f>value(KWD!$B850)</f>
        <v>34066.49336</v>
      </c>
    </row>
    <row r="851">
      <c r="A851" s="4">
        <f>value(USD!A851)</f>
        <v>41161.99861</v>
      </c>
      <c r="B851" s="1">
        <f>value(USD!B851)</f>
        <v>9615.384</v>
      </c>
      <c r="C851" s="1">
        <f>value(AUD!$B851)</f>
        <v>9962.27886</v>
      </c>
      <c r="D851" s="1">
        <f>value(EUR!$B851)</f>
        <v>12272.87066</v>
      </c>
      <c r="E851" s="1">
        <f>value(GBP!$B851)</f>
        <v>15341.75667</v>
      </c>
      <c r="F851" s="1">
        <f>value(CHF!$B851)</f>
        <v>10165.64913</v>
      </c>
      <c r="G851" s="1">
        <f>value(SGD!$B851)</f>
        <v>7762.538179</v>
      </c>
      <c r="H851" s="1">
        <f>value(MYR!$B851)</f>
        <v>3087.981818</v>
      </c>
      <c r="I851" s="1">
        <f>value(THB!$B851)</f>
        <v>307.346901</v>
      </c>
      <c r="J851" s="1">
        <f>value(VND!$B851)</f>
        <v>0.4687166623</v>
      </c>
      <c r="K851" s="1">
        <f>value(CNY!$B851)</f>
        <v>1534.352255</v>
      </c>
      <c r="L851" s="1">
        <f>value(HKD!$B851)</f>
        <v>1231.201705</v>
      </c>
      <c r="M851" s="1">
        <f>value(TWD!$B851)</f>
        <v>323.769289</v>
      </c>
      <c r="N851" s="1">
        <f>value(JPY!$B851)</f>
        <v>122.785994</v>
      </c>
      <c r="O851" s="1">
        <f>value(SAR!$B851)</f>
        <v>2508.854238</v>
      </c>
      <c r="P851" s="1">
        <f>value(AED!$B851)</f>
        <v>2605.143652</v>
      </c>
      <c r="Q851" s="1">
        <f>value(KWD!$B851)</f>
        <v>34029.1534</v>
      </c>
    </row>
    <row r="852">
      <c r="A852" s="4">
        <f>value(USD!A852)</f>
        <v>41162.99861</v>
      </c>
      <c r="B852" s="1">
        <f>value(USD!B852)</f>
        <v>9548.3</v>
      </c>
      <c r="C852" s="1">
        <f>value(AUD!$B852)</f>
        <v>9977.80641</v>
      </c>
      <c r="D852" s="1">
        <f>value(EUR!$B852)</f>
        <v>12301.28757</v>
      </c>
      <c r="E852" s="1">
        <f>value(GBP!$B852)</f>
        <v>15360.15624</v>
      </c>
      <c r="F852" s="1">
        <f>value(CHF!$B852)</f>
        <v>10172.38365</v>
      </c>
      <c r="G852" s="1">
        <f>value(SGD!$B852)</f>
        <v>7756.478301</v>
      </c>
      <c r="H852" s="1">
        <f>value(MYR!$B852)</f>
        <v>3101.408596</v>
      </c>
      <c r="I852" s="1">
        <f>value(THB!$B852)</f>
        <v>307.317582</v>
      </c>
      <c r="J852" s="1">
        <f>value(VND!$B852)</f>
        <v>0.4687545817</v>
      </c>
      <c r="K852" s="1">
        <f>value(CNY!$B852)</f>
        <v>1533.248592</v>
      </c>
      <c r="L852" s="1">
        <f>value(HKD!$B852)</f>
        <v>1230.033376</v>
      </c>
      <c r="M852" s="1">
        <f>value(TWD!$B852)</f>
        <v>321.910875</v>
      </c>
      <c r="N852" s="1">
        <f>value(JPY!$B852)</f>
        <v>122.469204</v>
      </c>
      <c r="O852" s="1">
        <f>value(SAR!$B852)</f>
        <v>2549.993265</v>
      </c>
      <c r="P852" s="1">
        <f>value(AED!$B852)</f>
        <v>2607.34831</v>
      </c>
      <c r="Q852" s="1">
        <f>value(KWD!$B852)</f>
        <v>34035.21787</v>
      </c>
    </row>
    <row r="853">
      <c r="A853" s="4">
        <f>value(USD!A853)</f>
        <v>41163.99861</v>
      </c>
      <c r="B853" s="1">
        <f>value(USD!B853)</f>
        <v>9547.9</v>
      </c>
      <c r="C853" s="1">
        <f>value(AUD!$B853)</f>
        <v>10062.63082</v>
      </c>
      <c r="D853" s="1">
        <f>value(EUR!$B853)</f>
        <v>12401.63387</v>
      </c>
      <c r="E853" s="1">
        <f>value(GBP!$B853)</f>
        <v>15417.17649</v>
      </c>
      <c r="F853" s="1">
        <f>value(CHF!$B853)</f>
        <v>10207.7741</v>
      </c>
      <c r="G853" s="1">
        <f>value(SGD!$B853)</f>
        <v>7796.294894</v>
      </c>
      <c r="H853" s="1">
        <f>value(MYR!$B853)</f>
        <v>3096.994737</v>
      </c>
      <c r="I853" s="1">
        <f>value(THB!$B853)</f>
        <v>308.906915</v>
      </c>
      <c r="J853" s="1">
        <f>value(VND!$B853)</f>
        <v>0.4669968247</v>
      </c>
      <c r="K853" s="1">
        <f>value(CNY!$B853)</f>
        <v>1534.0164</v>
      </c>
      <c r="L853" s="1">
        <f>value(HKD!$B853)</f>
        <v>1231.330655</v>
      </c>
      <c r="M853" s="1">
        <f>value(TWD!$B853)</f>
        <v>324.376133</v>
      </c>
      <c r="N853" s="1">
        <f>value(JPY!$B853)</f>
        <v>123.085321</v>
      </c>
      <c r="O853" s="1">
        <f>value(SAR!$B853)</f>
        <v>2550.592023</v>
      </c>
      <c r="P853" s="1">
        <f>value(AED!$B853)</f>
        <v>2604.49042</v>
      </c>
      <c r="Q853" s="1">
        <f>value(KWD!$B853)</f>
        <v>34092.79587</v>
      </c>
    </row>
    <row r="854">
      <c r="A854" s="4">
        <f>value(USD!A854)</f>
        <v>41164.99861</v>
      </c>
      <c r="B854" s="1">
        <f>value(USD!B854)</f>
        <v>9538.1</v>
      </c>
      <c r="C854" s="1">
        <f>value(AUD!$B854)</f>
        <v>10018.464</v>
      </c>
      <c r="D854" s="1">
        <f>value(EUR!$B854)</f>
        <v>12451.98</v>
      </c>
      <c r="E854" s="1">
        <f>value(GBP!$B854)</f>
        <v>15371.82</v>
      </c>
      <c r="F854" s="1">
        <f>value(CHF!$B854)</f>
        <v>10229.868</v>
      </c>
      <c r="G854" s="1">
        <f>value(SGD!$B854)</f>
        <v>7766.5848</v>
      </c>
      <c r="H854" s="1">
        <f>value(MYR!$B854)</f>
        <v>3118.7304</v>
      </c>
      <c r="I854" s="1">
        <f>value(THB!$B854)</f>
        <v>307.626</v>
      </c>
      <c r="J854" s="1">
        <f>value(VND!$B854)</f>
        <v>0.4598462627</v>
      </c>
      <c r="K854" s="1">
        <f>value(CNY!$B854)</f>
        <v>1530.689232</v>
      </c>
      <c r="L854" s="1">
        <f>value(HKD!$B854)</f>
        <v>1222.8252</v>
      </c>
      <c r="M854" s="1">
        <f>value(TWD!$B854)</f>
        <v>324.1212</v>
      </c>
      <c r="N854" s="1">
        <f>value(JPY!$B854)</f>
        <v>120.87</v>
      </c>
      <c r="O854" s="1">
        <f>value(SAR!$B854)</f>
        <v>2552.545104</v>
      </c>
      <c r="P854" s="1">
        <f>value(AED!$B854)</f>
        <v>2603.565008</v>
      </c>
      <c r="Q854" s="1">
        <f>value(KWD!$B854)</f>
        <v>34086.47119</v>
      </c>
    </row>
    <row r="855">
      <c r="A855" s="4">
        <f>value(USD!A855)</f>
        <v>41165.99861</v>
      </c>
      <c r="B855" s="1">
        <f>value(USD!B855)</f>
        <v>9548.9</v>
      </c>
      <c r="C855" s="1">
        <f>value(AUD!$B855)</f>
        <v>9816.40931</v>
      </c>
      <c r="D855" s="1">
        <f>value(EUR!$B855)</f>
        <v>12216.76198</v>
      </c>
      <c r="E855" s="1">
        <f>value(GBP!$B855)</f>
        <v>15104.81717</v>
      </c>
      <c r="F855" s="1">
        <f>value(CHF!$B855)</f>
        <v>10040.71524</v>
      </c>
      <c r="G855" s="1">
        <f>value(SGD!$B855)</f>
        <v>7625.098598</v>
      </c>
      <c r="H855" s="1">
        <f>value(MYR!$B855)</f>
        <v>3061.636335</v>
      </c>
      <c r="I855" s="1">
        <f>value(THB!$B855)</f>
        <v>297.554381</v>
      </c>
      <c r="J855" s="1">
        <f>value(VND!$B855)</f>
        <v>0.4683188123</v>
      </c>
      <c r="K855" s="1">
        <f>value(CNY!$B855)</f>
        <v>1533.281204</v>
      </c>
      <c r="L855" s="1">
        <f>value(HKD!$B855)</f>
        <v>1200.548627</v>
      </c>
      <c r="M855" s="1">
        <f>value(TWD!$B855)</f>
        <v>318.216587</v>
      </c>
      <c r="N855" s="1">
        <f>value(JPY!$B855)</f>
        <v>118.761148</v>
      </c>
      <c r="O855" s="1">
        <f>value(SAR!$B855)</f>
        <v>2550.208174</v>
      </c>
      <c r="P855" s="1">
        <f>value(AED!$B855)</f>
        <v>2605.742448</v>
      </c>
      <c r="Q855" s="1">
        <f>value(KWD!$B855)</f>
        <v>34123.65919</v>
      </c>
    </row>
    <row r="856">
      <c r="A856" s="4">
        <f>value(USD!A856)</f>
        <v>41166.99861</v>
      </c>
      <c r="B856" s="1">
        <f>value(USD!B856)</f>
        <v>9480</v>
      </c>
      <c r="C856" s="1">
        <f>value(AUD!$B856)</f>
        <v>10188.58707</v>
      </c>
      <c r="D856" s="1">
        <f>value(EUR!$B856)</f>
        <v>12682.78414</v>
      </c>
      <c r="E856" s="1">
        <f>value(GBP!$B856)</f>
        <v>15688.58657</v>
      </c>
      <c r="F856" s="1">
        <f>value(CHF!$B856)</f>
        <v>10435.20214</v>
      </c>
      <c r="G856" s="1">
        <f>value(SGD!$B856)</f>
        <v>7920.985736</v>
      </c>
      <c r="H856" s="1">
        <f>value(MYR!$B856)</f>
        <v>3178.239554</v>
      </c>
      <c r="I856" s="1">
        <f>value(THB!$B856)</f>
        <v>308.8974572</v>
      </c>
      <c r="J856" s="1">
        <f>value(VND!$B856)</f>
        <v>0.4655803084</v>
      </c>
      <c r="K856" s="1">
        <f>value(CNY!$B856)</f>
        <v>1533.153316</v>
      </c>
      <c r="L856" s="1">
        <f>value(HKD!$B856)</f>
        <v>1247.485379</v>
      </c>
      <c r="M856" s="1">
        <f>value(TWD!$B856)</f>
        <v>330.3674746</v>
      </c>
      <c r="N856" s="1">
        <f>value(JPY!$B856)</f>
        <v>123.404244</v>
      </c>
      <c r="O856" s="1">
        <f>value(SAR!$B856)</f>
        <v>2547.874325</v>
      </c>
      <c r="P856" s="1">
        <f>value(AED!$B856)</f>
        <v>2604.980344</v>
      </c>
      <c r="Q856" s="1">
        <f>value(KWD!$B856)</f>
        <v>34142.37218</v>
      </c>
    </row>
    <row r="857">
      <c r="A857" s="4">
        <f>value(USD!A857)</f>
        <v>41167.99861</v>
      </c>
      <c r="B857" s="1">
        <f>value(USD!B857)</f>
        <v>9307.3</v>
      </c>
      <c r="C857" s="1">
        <f>value(AUD!$B857)</f>
        <v>9876.591495</v>
      </c>
      <c r="D857" s="1">
        <f>value(EUR!$B857)</f>
        <v>12370.43155</v>
      </c>
      <c r="E857" s="1">
        <f>value(GBP!$B857)</f>
        <v>15326.51311</v>
      </c>
      <c r="F857" s="1">
        <f>value(CHF!$B857)</f>
        <v>10171.1997</v>
      </c>
      <c r="G857" s="1">
        <f>value(SGD!$B857)</f>
        <v>7702.358415</v>
      </c>
      <c r="H857" s="1">
        <f>value(MYR!$B857)</f>
        <v>3103.24416</v>
      </c>
      <c r="I857" s="1">
        <f>value(THB!$B857)</f>
        <v>305.739735</v>
      </c>
      <c r="J857" s="1">
        <f>value(VND!$B857)</f>
        <v>0.4656345691</v>
      </c>
      <c r="K857" s="1">
        <f>value(CNY!$B857)</f>
        <v>1531.250187</v>
      </c>
      <c r="L857" s="1">
        <f>value(HKD!$B857)</f>
        <v>1216.827165</v>
      </c>
      <c r="M857" s="1">
        <f>value(TWD!$B857)</f>
        <v>321.87102</v>
      </c>
      <c r="N857" s="1">
        <f>value(JPY!$B857)</f>
        <v>119.899785</v>
      </c>
      <c r="O857" s="1">
        <f>value(SAR!$B857)</f>
        <v>2547.670464</v>
      </c>
      <c r="P857" s="1">
        <f>value(AED!$B857)</f>
        <v>2607.729362</v>
      </c>
      <c r="Q857" s="1">
        <f>value(KWD!$B857)</f>
        <v>34151.98244</v>
      </c>
    </row>
    <row r="858">
      <c r="A858" s="4">
        <f>value(USD!A858)</f>
        <v>41168.99861</v>
      </c>
      <c r="B858" s="1">
        <f>value(USD!B858)</f>
        <v>9671.179</v>
      </c>
      <c r="C858" s="1">
        <f>value(AUD!$B858)</f>
        <v>9891.17694</v>
      </c>
      <c r="D858" s="1">
        <f>value(EUR!$B858)</f>
        <v>12355.20828</v>
      </c>
      <c r="E858" s="1">
        <f>value(GBP!$B858)</f>
        <v>15384.8016</v>
      </c>
      <c r="F858" s="1">
        <f>value(CHF!$B858)</f>
        <v>10200.95712</v>
      </c>
      <c r="G858" s="1">
        <f>value(SGD!$B858)</f>
        <v>7727.357646</v>
      </c>
      <c r="H858" s="1">
        <f>value(MYR!$B858)</f>
        <v>3091.265154</v>
      </c>
      <c r="I858" s="1">
        <f>value(THB!$B858)</f>
        <v>307.127628</v>
      </c>
      <c r="J858" s="1">
        <f>value(VND!$B858)</f>
        <v>0.4651694049</v>
      </c>
      <c r="K858" s="1">
        <f>value(CNY!$B858)</f>
        <v>1535.615874</v>
      </c>
      <c r="L858" s="1">
        <f>value(HKD!$B858)</f>
        <v>1221.973866</v>
      </c>
      <c r="M858" s="1">
        <f>value(TWD!$B858)</f>
        <v>322.000866</v>
      </c>
      <c r="N858" s="1">
        <f>value(JPY!$B858)</f>
        <v>120.217446</v>
      </c>
      <c r="O858" s="1">
        <f>value(SAR!$B858)</f>
        <v>2554.259081</v>
      </c>
      <c r="P858" s="1">
        <f>value(AED!$B858)</f>
        <v>2610.832214</v>
      </c>
      <c r="Q858" s="1">
        <f>value(KWD!$B858)</f>
        <v>34172.62668</v>
      </c>
    </row>
    <row r="859">
      <c r="A859" s="4">
        <f>value(USD!A859)</f>
        <v>41169.99861</v>
      </c>
      <c r="B859" s="1">
        <f>value(USD!B859)</f>
        <v>9433.5</v>
      </c>
      <c r="C859" s="1">
        <f>value(AUD!$B859)</f>
        <v>9953.136638</v>
      </c>
      <c r="D859" s="1">
        <f>value(EUR!$B859)</f>
        <v>12405.1451</v>
      </c>
      <c r="E859" s="1">
        <f>value(GBP!$B859)</f>
        <v>15422.44579</v>
      </c>
      <c r="F859" s="1">
        <f>value(CHF!$B859)</f>
        <v>10249.42773</v>
      </c>
      <c r="G859" s="1">
        <f>value(SGD!$B859)</f>
        <v>7766.611073</v>
      </c>
      <c r="H859" s="1">
        <f>value(MYR!$B859)</f>
        <v>3103.829854</v>
      </c>
      <c r="I859" s="1">
        <f>value(THB!$B859)</f>
        <v>308.367141</v>
      </c>
      <c r="J859" s="1">
        <f>value(VND!$B859)</f>
        <v>0.4604380228</v>
      </c>
      <c r="K859" s="1">
        <f>value(CNY!$B859)</f>
        <v>1533.329157</v>
      </c>
      <c r="L859" s="1">
        <f>value(HKD!$B859)</f>
        <v>1226.337039</v>
      </c>
      <c r="M859" s="1">
        <f>value(TWD!$B859)</f>
        <v>324.722105</v>
      </c>
      <c r="N859" s="1">
        <f>value(JPY!$B859)</f>
        <v>121.235925</v>
      </c>
      <c r="O859" s="1">
        <f>value(SAR!$B859)</f>
        <v>2549.629221</v>
      </c>
      <c r="P859" s="1">
        <f>value(AED!$B859)</f>
        <v>2611.5671</v>
      </c>
      <c r="Q859" s="1">
        <f>value(KWD!$B859)</f>
        <v>34165.39019</v>
      </c>
    </row>
    <row r="860">
      <c r="A860" s="4">
        <f>value(USD!A860)</f>
        <v>41170.99861</v>
      </c>
      <c r="B860" s="1">
        <f>value(USD!B860)</f>
        <v>9473.4</v>
      </c>
      <c r="C860" s="1">
        <f>value(AUD!$B860)</f>
        <v>9918.38364</v>
      </c>
      <c r="D860" s="1">
        <f>value(EUR!$B860)</f>
        <v>12337.10723</v>
      </c>
      <c r="E860" s="1">
        <f>value(GBP!$B860)</f>
        <v>15424.09475</v>
      </c>
      <c r="F860" s="1">
        <f>value(CHF!$B860)</f>
        <v>10193.26021</v>
      </c>
      <c r="G860" s="1">
        <f>value(SGD!$B860)</f>
        <v>7768.734727</v>
      </c>
      <c r="H860" s="1">
        <f>value(MYR!$B860)</f>
        <v>3095.92815</v>
      </c>
      <c r="I860" s="1">
        <f>value(THB!$B860)</f>
        <v>307.975894</v>
      </c>
      <c r="J860" s="1">
        <f>value(VND!$B860)</f>
        <v>0.466458773</v>
      </c>
      <c r="K860" s="1">
        <f>value(CNY!$B860)</f>
        <v>1533.95265</v>
      </c>
      <c r="L860" s="1">
        <f>value(HKD!$B860)</f>
        <v>1226.767474</v>
      </c>
      <c r="M860" s="1">
        <f>value(TWD!$B860)</f>
        <v>324.33533</v>
      </c>
      <c r="N860" s="1">
        <f>value(JPY!$B860)</f>
        <v>121.459301</v>
      </c>
      <c r="O860" s="1">
        <f>value(SAR!$B860)</f>
        <v>2550.676594</v>
      </c>
      <c r="P860" s="1">
        <f>value(AED!$B860)</f>
        <v>2613.145744</v>
      </c>
      <c r="Q860" s="1">
        <f>value(KWD!$B860)</f>
        <v>34183.4834</v>
      </c>
    </row>
    <row r="861">
      <c r="A861" s="4">
        <f>value(USD!A861)</f>
        <v>41171.99861</v>
      </c>
      <c r="B861" s="1">
        <f>value(USD!B861)</f>
        <v>9508.7</v>
      </c>
      <c r="C861" s="1">
        <f>value(AUD!$B861)</f>
        <v>9957.92</v>
      </c>
      <c r="D861" s="1">
        <f>value(EUR!$B861)</f>
        <v>12356.96</v>
      </c>
      <c r="E861" s="1">
        <f>value(GBP!$B861)</f>
        <v>15450.008</v>
      </c>
      <c r="F861" s="1">
        <f>value(CHF!$B861)</f>
        <v>10201.632</v>
      </c>
      <c r="G861" s="1">
        <f>value(SGD!$B861)</f>
        <v>7770.1288</v>
      </c>
      <c r="H861" s="1">
        <f>value(MYR!$B861)</f>
        <v>3118.3712</v>
      </c>
      <c r="I861" s="1">
        <f>value(THB!$B861)</f>
        <v>308.6384</v>
      </c>
      <c r="J861" s="1">
        <f>value(VND!$B861)</f>
        <v>0.4603559393</v>
      </c>
      <c r="K861" s="1">
        <f>value(CNY!$B861)</f>
        <v>1544.285504</v>
      </c>
      <c r="L861" s="1">
        <f>value(HKD!$B861)</f>
        <v>1227.7944</v>
      </c>
      <c r="M861" s="1">
        <f>value(TWD!$B861)</f>
        <v>324.4416</v>
      </c>
      <c r="N861" s="1">
        <f>value(JPY!$B861)</f>
        <v>121.7608</v>
      </c>
      <c r="O861" s="1">
        <f>value(SAR!$B861)</f>
        <v>2548.846867</v>
      </c>
      <c r="P861" s="1">
        <f>value(AED!$B861)</f>
        <v>2614.452208</v>
      </c>
      <c r="Q861" s="1">
        <f>value(KWD!$B861)</f>
        <v>34167.1686</v>
      </c>
    </row>
    <row r="862">
      <c r="A862" s="4">
        <f>value(USD!A862)</f>
        <v>41172.99861</v>
      </c>
      <c r="B862" s="1">
        <f>value(USD!B862)</f>
        <v>9511.3</v>
      </c>
      <c r="C862" s="1">
        <f>value(AUD!$B862)</f>
        <v>9956.968</v>
      </c>
      <c r="D862" s="1">
        <f>value(EUR!$B862)</f>
        <v>12356.008</v>
      </c>
      <c r="E862" s="1">
        <f>value(GBP!$B862)</f>
        <v>15447.152</v>
      </c>
      <c r="F862" s="1">
        <f>value(CHF!$B862)</f>
        <v>10200.68</v>
      </c>
      <c r="G862" s="1">
        <f>value(SGD!$B862)</f>
        <v>7770.1288</v>
      </c>
      <c r="H862" s="1">
        <f>value(MYR!$B862)</f>
        <v>3117.7048</v>
      </c>
      <c r="I862" s="1">
        <f>value(THB!$B862)</f>
        <v>302.26</v>
      </c>
      <c r="J862" s="1">
        <f>value(VND!$B862)</f>
        <v>0.4630243555</v>
      </c>
      <c r="K862" s="1">
        <f>value(CNY!$B862)</f>
        <v>1537.101228</v>
      </c>
      <c r="L862" s="1">
        <f>value(HKD!$B862)</f>
        <v>1227.604</v>
      </c>
      <c r="M862" s="1">
        <f>value(TWD!$B862)</f>
        <v>324.4416</v>
      </c>
      <c r="N862" s="1">
        <f>value(JPY!$B862)</f>
        <v>121.7608</v>
      </c>
      <c r="O862" s="1">
        <f>value(SAR!$B862)</f>
        <v>2551.622865</v>
      </c>
      <c r="P862" s="1">
        <f>value(AED!$B862)</f>
        <v>2613.417924</v>
      </c>
      <c r="Q862" s="1">
        <f>value(KWD!$B862)</f>
        <v>34210.33655</v>
      </c>
    </row>
    <row r="863">
      <c r="A863" s="4">
        <f>value(USD!A863)</f>
        <v>41173.99861</v>
      </c>
      <c r="B863" s="1">
        <f>value(USD!B863)</f>
        <v>9520</v>
      </c>
      <c r="C863" s="1">
        <f>value(AUD!$B863)</f>
        <v>10003.83135</v>
      </c>
      <c r="D863" s="1">
        <f>value(EUR!$B863)</f>
        <v>12422.41371</v>
      </c>
      <c r="E863" s="1">
        <f>value(GBP!$B863)</f>
        <v>15551.72403</v>
      </c>
      <c r="F863" s="1">
        <f>value(CHF!$B863)</f>
        <v>10259.57847</v>
      </c>
      <c r="G863" s="1">
        <f>value(SGD!$B863)</f>
        <v>7818.582325</v>
      </c>
      <c r="H863" s="1">
        <f>value(MYR!$B863)</f>
        <v>3134.291167</v>
      </c>
      <c r="I863" s="1">
        <f>value(THB!$B863)</f>
        <v>303.8314156</v>
      </c>
      <c r="J863" s="1">
        <f>value(VND!$B863)</f>
        <v>0.4610574294</v>
      </c>
      <c r="K863" s="1">
        <f>value(CNY!$B863)</f>
        <v>1538.718344</v>
      </c>
      <c r="L863" s="1">
        <f>value(HKD!$B863)</f>
        <v>1235.344819</v>
      </c>
      <c r="M863" s="1">
        <f>value(TWD!$B863)</f>
        <v>326.1494232</v>
      </c>
      <c r="N863" s="1">
        <f>value(JPY!$B863)</f>
        <v>122.6053632</v>
      </c>
      <c r="O863" s="1">
        <f>value(SAR!$B863)</f>
        <v>2551.670784</v>
      </c>
      <c r="P863" s="1">
        <f>value(AED!$B863)</f>
        <v>2614.588298</v>
      </c>
      <c r="Q863" s="1">
        <f>value(KWD!$B863)</f>
        <v>34209.6245</v>
      </c>
    </row>
    <row r="864">
      <c r="A864" s="4">
        <f>value(USD!A864)</f>
        <v>41174.99861</v>
      </c>
      <c r="B864" s="1">
        <f>value(USD!B864)</f>
        <v>9520</v>
      </c>
      <c r="C864" s="1">
        <f>value(AUD!$B864)</f>
        <v>9939.427506</v>
      </c>
      <c r="D864" s="1">
        <f>value(EUR!$B864)</f>
        <v>12328.11621</v>
      </c>
      <c r="E864" s="1">
        <f>value(GBP!$B864)</f>
        <v>15465.55815</v>
      </c>
      <c r="F864" s="1">
        <f>value(CHF!$B864)</f>
        <v>10189.29792</v>
      </c>
      <c r="G864" s="1">
        <f>value(SGD!$B864)</f>
        <v>7762.666284</v>
      </c>
      <c r="H864" s="1">
        <f>value(MYR!$B864)</f>
        <v>3101.310354</v>
      </c>
      <c r="I864" s="1">
        <f>value(THB!$B864)</f>
        <v>308.119488</v>
      </c>
      <c r="J864" s="1">
        <f>value(VND!$B864)</f>
        <v>0.4672737846</v>
      </c>
      <c r="K864" s="1">
        <f>value(CNY!$B864)</f>
        <v>1538.894214</v>
      </c>
      <c r="L864" s="1">
        <f>value(HKD!$B864)</f>
        <v>1229.617932</v>
      </c>
      <c r="M864" s="1">
        <f>value(TWD!$B864)</f>
        <v>325.08894</v>
      </c>
      <c r="N864" s="1">
        <f>value(JPY!$B864)</f>
        <v>122.408856</v>
      </c>
      <c r="O864" s="1">
        <f>value(SAR!$B864)</f>
        <v>2553.138084</v>
      </c>
      <c r="P864" s="1">
        <f>value(AED!$B864)</f>
        <v>2615.37762</v>
      </c>
      <c r="Q864" s="1">
        <f>value(KWD!$B864)</f>
        <v>34223.9577</v>
      </c>
    </row>
    <row r="865">
      <c r="A865" s="4">
        <f>value(USD!A865)</f>
        <v>41175.99861</v>
      </c>
      <c r="B865" s="1">
        <f>value(USD!B865)</f>
        <v>9578.544</v>
      </c>
      <c r="C865" s="1">
        <f>value(AUD!$B865)</f>
        <v>9905.13712</v>
      </c>
      <c r="D865" s="1">
        <f>value(EUR!$B865)</f>
        <v>12312.68876</v>
      </c>
      <c r="E865" s="1">
        <f>value(GBP!$B865)</f>
        <v>15455.2978</v>
      </c>
      <c r="F865" s="1">
        <f>value(CHF!$B865)</f>
        <v>10179.11306</v>
      </c>
      <c r="G865" s="1">
        <f>value(SGD!$B865)</f>
        <v>7763.638074</v>
      </c>
      <c r="H865" s="1">
        <f>value(MYR!$B865)</f>
        <v>3106.047094</v>
      </c>
      <c r="I865" s="1">
        <f>value(THB!$B865)</f>
        <v>308.34226</v>
      </c>
      <c r="J865" s="1">
        <f>value(VND!$B865)</f>
        <v>0.4687890625</v>
      </c>
      <c r="K865" s="1">
        <f>value(CNY!$B865)</f>
        <v>1536.911235</v>
      </c>
      <c r="L865" s="1">
        <f>value(HKD!$B865)</f>
        <v>1231.077952</v>
      </c>
      <c r="M865" s="1">
        <f>value(TWD!$B865)</f>
        <v>325.04811</v>
      </c>
      <c r="N865" s="1">
        <f>value(JPY!$B865)</f>
        <v>122.66867</v>
      </c>
      <c r="O865" s="1">
        <f>value(SAR!$B865)</f>
        <v>2558.191305</v>
      </c>
      <c r="P865" s="1">
        <f>value(AED!$B865)</f>
        <v>2615.323184</v>
      </c>
      <c r="Q865" s="1">
        <f>value(KWD!$B865)</f>
        <v>34237.84411</v>
      </c>
    </row>
    <row r="866">
      <c r="A866" s="4">
        <f>value(USD!A866)</f>
        <v>41176.99861</v>
      </c>
      <c r="B866" s="1">
        <f>value(USD!B866)</f>
        <v>9533.4</v>
      </c>
      <c r="C866" s="1">
        <f>value(AUD!$B866)</f>
        <v>9909.252756</v>
      </c>
      <c r="D866" s="1">
        <f>value(EUR!$B866)</f>
        <v>12298.0572</v>
      </c>
      <c r="E866" s="1">
        <f>value(GBP!$B866)</f>
        <v>15447.58296</v>
      </c>
      <c r="F866" s="1">
        <f>value(CHF!$B866)</f>
        <v>10168.11396</v>
      </c>
      <c r="G866" s="1">
        <f>value(SGD!$B866)</f>
        <v>7756.184964</v>
      </c>
      <c r="H866" s="1">
        <f>value(MYR!$B866)</f>
        <v>3097.352184</v>
      </c>
      <c r="I866" s="1">
        <f>value(THB!$B866)</f>
        <v>307.69032</v>
      </c>
      <c r="J866" s="1">
        <f>value(VND!$B866)</f>
        <v>0.4680179232</v>
      </c>
      <c r="K866" s="1">
        <f>value(CNY!$B866)</f>
        <v>1536.623703</v>
      </c>
      <c r="L866" s="1">
        <f>value(HKD!$B866)</f>
        <v>1232.290176</v>
      </c>
      <c r="M866" s="1">
        <f>value(TWD!$B866)</f>
        <v>325.177068</v>
      </c>
      <c r="N866" s="1">
        <f>value(JPY!$B866)</f>
        <v>122.980572</v>
      </c>
      <c r="O866" s="1">
        <f>value(SAR!$B866)</f>
        <v>2556.258425</v>
      </c>
      <c r="P866" s="1">
        <f>value(AED!$B866)</f>
        <v>2616.139724</v>
      </c>
      <c r="Q866" s="1">
        <f>value(KWD!$B866)</f>
        <v>34266.2227</v>
      </c>
    </row>
    <row r="867">
      <c r="A867" s="4">
        <f>value(USD!A867)</f>
        <v>41177.99861</v>
      </c>
      <c r="B867" s="1">
        <f>value(USD!B867)</f>
        <v>9546.2</v>
      </c>
      <c r="C867" s="1">
        <f>value(AUD!$B867)</f>
        <v>9970.46904</v>
      </c>
      <c r="D867" s="1">
        <f>value(EUR!$B867)</f>
        <v>12326.56992</v>
      </c>
      <c r="E867" s="1">
        <f>value(GBP!$B867)</f>
        <v>15496.99578</v>
      </c>
      <c r="F867" s="1">
        <f>value(CHF!$B867)</f>
        <v>10181.4489</v>
      </c>
      <c r="G867" s="1">
        <f>value(SGD!$B867)</f>
        <v>7785.538698</v>
      </c>
      <c r="H867" s="1">
        <f>value(MYR!$B867)</f>
        <v>3103.790592</v>
      </c>
      <c r="I867" s="1">
        <f>value(THB!$B867)</f>
        <v>309.118908</v>
      </c>
      <c r="J867" s="1">
        <f>value(VND!$B867)</f>
        <v>0.4693191232</v>
      </c>
      <c r="K867" s="1">
        <f>value(CNY!$B867)</f>
        <v>1537.056</v>
      </c>
      <c r="L867" s="1">
        <f>value(HKD!$B867)</f>
        <v>1231.129536</v>
      </c>
      <c r="M867" s="1">
        <f>value(TWD!$B867)</f>
        <v>326.207322</v>
      </c>
      <c r="N867" s="1">
        <f>value(JPY!$B867)</f>
        <v>123.055674</v>
      </c>
      <c r="O867" s="1">
        <f>value(SAR!$B867)</f>
        <v>2556.655827</v>
      </c>
      <c r="P867" s="1">
        <f>value(AED!$B867)</f>
        <v>2617.201226</v>
      </c>
      <c r="Q867" s="1">
        <f>value(KWD!$B867)</f>
        <v>34282.04498</v>
      </c>
    </row>
    <row r="868">
      <c r="A868" s="4">
        <f>value(USD!A868)</f>
        <v>41178.99861</v>
      </c>
      <c r="B868" s="1">
        <f>value(USD!B868)</f>
        <v>9555.6</v>
      </c>
      <c r="C868" s="1">
        <f>value(AUD!$B868)</f>
        <v>9907.71</v>
      </c>
      <c r="D868" s="1">
        <f>value(EUR!$B868)</f>
        <v>12272.0065</v>
      </c>
      <c r="E868" s="1">
        <f>value(GBP!$B868)</f>
        <v>15424.72</v>
      </c>
      <c r="F868" s="1">
        <f>value(CHF!$B868)</f>
        <v>10151.1075</v>
      </c>
      <c r="G868" s="1">
        <f>value(SGD!$B868)</f>
        <v>7776.3115</v>
      </c>
      <c r="H868" s="1">
        <f>value(MYR!$B868)</f>
        <v>3119.78325</v>
      </c>
      <c r="I868" s="1">
        <f>value(THB!$B868)</f>
        <v>309.258</v>
      </c>
      <c r="J868" s="1">
        <f>value(VND!$B868)</f>
        <v>0.4683389309</v>
      </c>
      <c r="K868" s="1">
        <f>value(CNY!$B868)</f>
        <v>1542.509309</v>
      </c>
      <c r="L868" s="1">
        <f>value(HKD!$B868)</f>
        <v>1230.82775</v>
      </c>
      <c r="M868" s="1">
        <f>value(TWD!$B868)</f>
        <v>324.1482</v>
      </c>
      <c r="N868" s="1">
        <f>value(JPY!$B868)</f>
        <v>122.46235</v>
      </c>
      <c r="O868" s="1">
        <f>value(SAR!$B868)</f>
        <v>2557.364767</v>
      </c>
      <c r="P868" s="1">
        <f>value(AED!$B868)</f>
        <v>2618.997614</v>
      </c>
      <c r="Q868" s="1">
        <f>value(KWD!$B868)</f>
        <v>34294.61803</v>
      </c>
    </row>
    <row r="869">
      <c r="A869" s="4">
        <f>value(USD!A869)</f>
        <v>41179.99861</v>
      </c>
      <c r="B869" s="1">
        <f>value(USD!B869)</f>
        <v>9546.6</v>
      </c>
      <c r="C869" s="1">
        <f>value(AUD!$B869)</f>
        <v>9903.892</v>
      </c>
      <c r="D869" s="1">
        <f>value(EUR!$B869)</f>
        <v>12269.143</v>
      </c>
      <c r="E869" s="1">
        <f>value(GBP!$B869)</f>
        <v>15424.72</v>
      </c>
      <c r="F869" s="1">
        <f>value(CHF!$B869)</f>
        <v>10154.9255</v>
      </c>
      <c r="G869" s="1">
        <f>value(SGD!$B869)</f>
        <v>7776.3115</v>
      </c>
      <c r="H869" s="1">
        <f>value(MYR!$B869)</f>
        <v>3045.52315</v>
      </c>
      <c r="I869" s="1">
        <f>value(THB!$B869)</f>
        <v>302.1947</v>
      </c>
      <c r="J869" s="1">
        <f>value(VND!$B869)</f>
        <v>0.4705219812</v>
      </c>
      <c r="K869" s="1">
        <f>value(CNY!$B869)</f>
        <v>1537.392042</v>
      </c>
      <c r="L869" s="1">
        <f>value(HKD!$B869)</f>
        <v>1230.82775</v>
      </c>
      <c r="M869" s="1">
        <f>value(TWD!$B869)</f>
        <v>324.1482</v>
      </c>
      <c r="N869" s="1">
        <f>value(JPY!$B869)</f>
        <v>122.46235</v>
      </c>
      <c r="O869" s="1">
        <f>value(SAR!$B869)</f>
        <v>2556.068581</v>
      </c>
      <c r="P869" s="1">
        <f>value(AED!$B869)</f>
        <v>2619.46032</v>
      </c>
      <c r="Q869" s="1">
        <f>value(KWD!$B869)</f>
        <v>34276.75828</v>
      </c>
    </row>
    <row r="870">
      <c r="A870" s="4">
        <f>value(USD!A870)</f>
        <v>41180.99861</v>
      </c>
      <c r="B870" s="1">
        <f>value(USD!B870)</f>
        <v>9545</v>
      </c>
      <c r="C870" s="1">
        <f>value(AUD!$B870)</f>
        <v>9903.749856</v>
      </c>
      <c r="D870" s="1">
        <f>value(EUR!$B870)</f>
        <v>12287.91149</v>
      </c>
      <c r="E870" s="1">
        <f>value(GBP!$B870)</f>
        <v>15445.8993</v>
      </c>
      <c r="F870" s="1">
        <f>value(CHF!$B870)</f>
        <v>10168.07187</v>
      </c>
      <c r="G870" s="1">
        <f>value(SGD!$B870)</f>
        <v>7791.183393</v>
      </c>
      <c r="H870" s="1">
        <f>value(MYR!$B870)</f>
        <v>3050.325863</v>
      </c>
      <c r="I870" s="1">
        <f>value(THB!$B870)</f>
        <v>302.601819</v>
      </c>
      <c r="J870" s="1">
        <f>value(VND!$B870)</f>
        <v>0.4705121878</v>
      </c>
      <c r="K870" s="1">
        <f>value(CNY!$B870)</f>
        <v>1538.448741</v>
      </c>
      <c r="L870" s="1">
        <f>value(HKD!$B870)</f>
        <v>1234.140752</v>
      </c>
      <c r="M870" s="1">
        <f>value(TWD!$B870)</f>
        <v>324.612704</v>
      </c>
      <c r="N870" s="1">
        <f>value(JPY!$B870)</f>
        <v>122.686759</v>
      </c>
      <c r="O870" s="1">
        <f>value(SAR!$B870)</f>
        <v>2557.121477</v>
      </c>
      <c r="P870" s="1">
        <f>value(AED!$B870)</f>
        <v>2620.14077</v>
      </c>
      <c r="Q870" s="1">
        <f>value(KWD!$B870)</f>
        <v>34261.26455</v>
      </c>
    </row>
    <row r="871">
      <c r="A871" s="4">
        <f>value(USD!A871)</f>
        <v>41181.99861</v>
      </c>
      <c r="B871" s="1">
        <f>value(USD!B871)</f>
        <v>9545</v>
      </c>
      <c r="C871" s="1">
        <f>value(AUD!$B871)</f>
        <v>9890.4978</v>
      </c>
      <c r="D871" s="1">
        <f>value(EUR!$B871)</f>
        <v>12306.58329</v>
      </c>
      <c r="E871" s="1">
        <f>value(GBP!$B871)</f>
        <v>15405.91155</v>
      </c>
      <c r="F871" s="1">
        <f>value(CHF!$B871)</f>
        <v>10178.9229</v>
      </c>
      <c r="G871" s="1">
        <f>value(SGD!$B871)</f>
        <v>7763.314935</v>
      </c>
      <c r="H871" s="1">
        <f>value(MYR!$B871)</f>
        <v>3117.47421</v>
      </c>
      <c r="I871" s="1">
        <f>value(THB!$B871)</f>
        <v>310.104735</v>
      </c>
      <c r="J871" s="1">
        <f>value(VND!$B871)</f>
        <v>0.4683200086</v>
      </c>
      <c r="K871" s="1">
        <f>value(CNY!$B871)</f>
        <v>1539.281375</v>
      </c>
      <c r="L871" s="1">
        <f>value(HKD!$B871)</f>
        <v>1231.63248</v>
      </c>
      <c r="M871" s="1">
        <f>value(TWD!$B871)</f>
        <v>325.67205</v>
      </c>
      <c r="N871" s="1">
        <f>value(JPY!$B871)</f>
        <v>122.43741</v>
      </c>
      <c r="O871" s="1">
        <f>value(SAR!$B871)</f>
        <v>2557.053172</v>
      </c>
      <c r="P871" s="1">
        <f>value(AED!$B871)</f>
        <v>2621.951832</v>
      </c>
      <c r="Q871" s="1">
        <f>value(KWD!$B871)</f>
        <v>34285.20035</v>
      </c>
    </row>
    <row r="872">
      <c r="A872" s="4">
        <f>value(USD!A872)</f>
        <v>41182.99861</v>
      </c>
      <c r="B872" s="1">
        <f>value(USD!B872)</f>
        <v>9569.95</v>
      </c>
      <c r="C872" s="1">
        <f>value(AUD!$B872)</f>
        <v>9793.5954</v>
      </c>
      <c r="D872" s="1">
        <f>value(EUR!$B872)</f>
        <v>12336.0716</v>
      </c>
      <c r="E872" s="1">
        <f>value(GBP!$B872)</f>
        <v>15405.763</v>
      </c>
      <c r="F872" s="1">
        <f>value(CHF!$B872)</f>
        <v>10195.6925</v>
      </c>
      <c r="G872" s="1">
        <f>value(SGD!$B872)</f>
        <v>7756.65363</v>
      </c>
      <c r="H872" s="1">
        <f>value(MYR!$B872)</f>
        <v>3127.57046</v>
      </c>
      <c r="I872" s="1">
        <f>value(THB!$B872)</f>
        <v>310.78954</v>
      </c>
      <c r="J872" s="1">
        <f>value(VND!$B872)</f>
        <v>0.4698607282</v>
      </c>
      <c r="K872" s="1">
        <f>value(CNY!$B872)</f>
        <v>1538.36744</v>
      </c>
      <c r="L872" s="1">
        <f>value(HKD!$B872)</f>
        <v>1231.60145</v>
      </c>
      <c r="M872" s="1">
        <f>value(TWD!$B872)</f>
        <v>326.16665</v>
      </c>
      <c r="N872" s="1">
        <f>value(JPY!$B872)</f>
        <v>122.15729</v>
      </c>
      <c r="O872" s="1">
        <f>value(SAR!$B872)</f>
        <v>2561.593196</v>
      </c>
      <c r="P872" s="1">
        <f>value(AED!$B872)</f>
        <v>2621.325795</v>
      </c>
      <c r="Q872" s="1">
        <f>value(KWD!$B872)</f>
        <v>34329.53559</v>
      </c>
    </row>
    <row r="873">
      <c r="A873" s="4">
        <f>value(USD!A873)</f>
        <v>41183.99861</v>
      </c>
      <c r="B873" s="1">
        <f>value(USD!B873)</f>
        <v>9550.5</v>
      </c>
      <c r="C873" s="1">
        <f>value(AUD!$B873)</f>
        <v>9775.6857</v>
      </c>
      <c r="D873" s="1">
        <f>value(EUR!$B873)</f>
        <v>12344.31162</v>
      </c>
      <c r="E873" s="1">
        <f>value(GBP!$B873)</f>
        <v>15377.35428</v>
      </c>
      <c r="F873" s="1">
        <f>value(CHF!$B873)</f>
        <v>10186.5894</v>
      </c>
      <c r="G873" s="1">
        <f>value(SGD!$B873)</f>
        <v>7761.493098</v>
      </c>
      <c r="H873" s="1">
        <f>value(MYR!$B873)</f>
        <v>3122.581443</v>
      </c>
      <c r="I873" s="1">
        <f>value(THB!$B873)</f>
        <v>311.617899</v>
      </c>
      <c r="J873" s="1">
        <f>value(VND!$B873)</f>
        <v>0.4658581409</v>
      </c>
      <c r="K873" s="1">
        <f>value(CNY!$B873)</f>
        <v>1535.594229</v>
      </c>
      <c r="L873" s="1">
        <f>value(HKD!$B873)</f>
        <v>1232.233305</v>
      </c>
      <c r="M873" s="1">
        <f>value(TWD!$B873)</f>
        <v>326.333985</v>
      </c>
      <c r="N873" s="1">
        <f>value(JPY!$B873)</f>
        <v>121.742166</v>
      </c>
      <c r="O873" s="1">
        <f>value(SAR!$B873)</f>
        <v>2553.629434</v>
      </c>
      <c r="P873" s="1">
        <f>value(AED!$B873)</f>
        <v>2620.82122</v>
      </c>
      <c r="Q873" s="1">
        <f>value(KWD!$B873)</f>
        <v>34264.35855</v>
      </c>
    </row>
    <row r="874">
      <c r="A874" s="4">
        <f>value(USD!A874)</f>
        <v>41184.99861</v>
      </c>
      <c r="B874" s="1">
        <f>value(USD!B874)</f>
        <v>9551</v>
      </c>
      <c r="C874" s="1">
        <f>value(AUD!$B874)</f>
        <v>9789.910683</v>
      </c>
      <c r="D874" s="1">
        <f>value(EUR!$B874)</f>
        <v>12447.85647</v>
      </c>
      <c r="E874" s="1">
        <f>value(GBP!$B874)</f>
        <v>15480.70083</v>
      </c>
      <c r="F874" s="1">
        <f>value(CHF!$B874)</f>
        <v>10273.61685</v>
      </c>
      <c r="G874" s="1">
        <f>value(SGD!$B874)</f>
        <v>7773.432513</v>
      </c>
      <c r="H874" s="1">
        <f>value(MYR!$B874)</f>
        <v>3128.170521</v>
      </c>
      <c r="I874" s="1">
        <f>value(THB!$B874)</f>
        <v>312.463284</v>
      </c>
      <c r="J874" s="1">
        <f>value(VND!$B874)</f>
        <v>0.4624699636</v>
      </c>
      <c r="K874" s="1">
        <f>value(CNY!$B874)</f>
        <v>1535.41791</v>
      </c>
      <c r="L874" s="1">
        <f>value(HKD!$B874)</f>
        <v>1232.929635</v>
      </c>
      <c r="M874" s="1">
        <f>value(TWD!$B874)</f>
        <v>328.239429</v>
      </c>
      <c r="N874" s="1">
        <f>value(JPY!$B874)</f>
        <v>121.810962</v>
      </c>
      <c r="O874" s="1">
        <f>value(SAR!$B874)</f>
        <v>2558.696322</v>
      </c>
      <c r="P874" s="1">
        <f>value(AED!$B874)</f>
        <v>2622.154902</v>
      </c>
      <c r="Q874" s="1">
        <f>value(KWD!$B874)</f>
        <v>34220.71181</v>
      </c>
    </row>
    <row r="875">
      <c r="A875" s="4">
        <f>value(USD!A875)</f>
        <v>41185.99861</v>
      </c>
      <c r="B875" s="1">
        <f>value(USD!B875)</f>
        <v>9555.9</v>
      </c>
      <c r="C875" s="1">
        <f>value(AUD!$B875)</f>
        <v>9739.0212</v>
      </c>
      <c r="D875" s="1">
        <f>value(EUR!$B875)</f>
        <v>12464.7612</v>
      </c>
      <c r="E875" s="1">
        <f>value(GBP!$B875)</f>
        <v>15427.6884</v>
      </c>
      <c r="F875" s="1">
        <f>value(CHF!$B875)</f>
        <v>10283.2128</v>
      </c>
      <c r="G875" s="1">
        <f>value(SGD!$B875)</f>
        <v>7776.58404</v>
      </c>
      <c r="H875" s="1">
        <f>value(MYR!$B875)</f>
        <v>3127.04544</v>
      </c>
      <c r="I875" s="1">
        <f>value(THB!$B875)</f>
        <v>312.64716</v>
      </c>
      <c r="J875" s="1">
        <f>value(VND!$B875)</f>
        <v>0.462701265</v>
      </c>
      <c r="K875" s="1">
        <f>value(CNY!$B875)</f>
        <v>1542.607417</v>
      </c>
      <c r="L875" s="1">
        <f>value(HKD!$B875)</f>
        <v>1233.66036</v>
      </c>
      <c r="M875" s="1">
        <f>value(TWD!$B875)</f>
        <v>328.14084</v>
      </c>
      <c r="N875" s="1">
        <f>value(JPY!$B875)</f>
        <v>121.55844</v>
      </c>
      <c r="O875" s="1">
        <f>value(SAR!$B875)</f>
        <v>2556.190244</v>
      </c>
      <c r="P875" s="1">
        <f>value(AED!$B875)</f>
        <v>2621.7675</v>
      </c>
      <c r="Q875" s="1">
        <f>value(KWD!$B875)</f>
        <v>34235.93492</v>
      </c>
    </row>
    <row r="876">
      <c r="A876" s="4">
        <f>value(USD!A876)</f>
        <v>41186.99861</v>
      </c>
      <c r="B876" s="1">
        <f>value(USD!B876)</f>
        <v>9561.3</v>
      </c>
      <c r="C876" s="1">
        <f>value(AUD!$B876)</f>
        <v>9775.960912</v>
      </c>
      <c r="D876" s="1">
        <f>value(EUR!$B876)</f>
        <v>12529.80689</v>
      </c>
      <c r="E876" s="1">
        <f>value(GBP!$B876)</f>
        <v>15511.53746</v>
      </c>
      <c r="F876" s="1">
        <f>value(CHF!$B876)</f>
        <v>10345.19164</v>
      </c>
      <c r="G876" s="1">
        <f>value(SGD!$B876)</f>
        <v>7818.364884</v>
      </c>
      <c r="H876" s="1">
        <f>value(MYR!$B876)</f>
        <v>3145.192106</v>
      </c>
      <c r="I876" s="1">
        <f>value(THB!$B876)</f>
        <v>314.4230568</v>
      </c>
      <c r="J876" s="1">
        <f>value(VND!$B876)</f>
        <v>0.4675889428</v>
      </c>
      <c r="K876" s="1">
        <f>value(CNY!$B876)</f>
        <v>1534.917307</v>
      </c>
      <c r="L876" s="1">
        <f>value(HKD!$B876)</f>
        <v>1240.288382</v>
      </c>
      <c r="M876" s="1">
        <f>value(TWD!$B876)</f>
        <v>329.9999788</v>
      </c>
      <c r="N876" s="1">
        <f>value(JPY!$B876)</f>
        <v>122.2115306</v>
      </c>
      <c r="O876" s="1">
        <f>value(SAR!$B876)</f>
        <v>2560.32777</v>
      </c>
      <c r="P876" s="1">
        <f>value(AED!$B876)</f>
        <v>2616.357468</v>
      </c>
      <c r="Q876" s="1">
        <f>value(KWD!$B876)</f>
        <v>34233.49424</v>
      </c>
    </row>
    <row r="877">
      <c r="A877" s="4">
        <f>value(USD!A877)</f>
        <v>41187.99861</v>
      </c>
      <c r="B877" s="1">
        <f>value(USD!B877)</f>
        <v>9564</v>
      </c>
      <c r="C877" s="1">
        <f>value(AUD!$B877)</f>
        <v>9561.47808</v>
      </c>
      <c r="D877" s="1">
        <f>value(EUR!$B877)</f>
        <v>12246.29296</v>
      </c>
      <c r="E877" s="1">
        <f>value(GBP!$B877)</f>
        <v>15175.69504</v>
      </c>
      <c r="F877" s="1">
        <f>value(CHF!$B877)</f>
        <v>10104.27352</v>
      </c>
      <c r="G877" s="1">
        <f>value(SGD!$B877)</f>
        <v>7650.4054</v>
      </c>
      <c r="H877" s="1">
        <f>value(MYR!$B877)</f>
        <v>3021.59264</v>
      </c>
      <c r="I877" s="1">
        <f>value(THB!$B877)</f>
        <v>301.97112</v>
      </c>
      <c r="J877" s="1">
        <f>value(VND!$B877)</f>
        <v>0.467409239</v>
      </c>
      <c r="K877" s="1">
        <f>value(CNY!$B877)</f>
        <v>1535.779265</v>
      </c>
      <c r="L877" s="1">
        <f>value(HKD!$B877)</f>
        <v>1213.434728</v>
      </c>
      <c r="M877" s="1">
        <f>value(TWD!$B877)</f>
        <v>322.384744</v>
      </c>
      <c r="N877" s="1">
        <f>value(JPY!$B877)</f>
        <v>119.47144</v>
      </c>
      <c r="O877" s="1">
        <f>value(SAR!$B877)</f>
        <v>2558.509476</v>
      </c>
      <c r="P877" s="1">
        <f>value(AED!$B877)</f>
        <v>2615.37762</v>
      </c>
      <c r="Q877" s="1">
        <f>value(KWD!$B877)</f>
        <v>34280.36794</v>
      </c>
    </row>
    <row r="878">
      <c r="A878" s="4">
        <f>value(USD!A878)</f>
        <v>41188.99861</v>
      </c>
      <c r="B878" s="1">
        <f>value(USD!B878)</f>
        <v>9615.384</v>
      </c>
      <c r="C878" s="1">
        <f>value(AUD!$B878)</f>
        <v>9752.424</v>
      </c>
      <c r="D878" s="1">
        <f>value(EUR!$B878)</f>
        <v>12397.05192</v>
      </c>
      <c r="E878" s="1">
        <f>value(GBP!$B878)</f>
        <v>15316.08628</v>
      </c>
      <c r="F878" s="1">
        <f>value(CHF!$B878)</f>
        <v>10243.86968</v>
      </c>
      <c r="G878" s="1">
        <f>value(SGD!$B878)</f>
        <v>7768.95306</v>
      </c>
      <c r="H878" s="1">
        <f>value(MYR!$B878)</f>
        <v>3114.08284</v>
      </c>
      <c r="I878" s="1">
        <f>value(THB!$B878)</f>
        <v>311.790732</v>
      </c>
      <c r="J878" s="1">
        <f>value(VND!$B878)</f>
        <v>0.4628214284</v>
      </c>
      <c r="K878" s="1">
        <f>value(CNY!$B878)</f>
        <v>1534.50288</v>
      </c>
      <c r="L878" s="1">
        <f>value(HKD!$B878)</f>
        <v>1233.203576</v>
      </c>
      <c r="M878" s="1">
        <f>value(TWD!$B878)</f>
        <v>326.610592</v>
      </c>
      <c r="N878" s="1">
        <f>value(JPY!$B878)</f>
        <v>122.000912</v>
      </c>
      <c r="O878" s="1">
        <f>value(SAR!$B878)</f>
        <v>2559.72233</v>
      </c>
      <c r="P878" s="1">
        <f>value(AED!$B878)</f>
        <v>2615.37762</v>
      </c>
      <c r="Q878" s="1">
        <f>value(KWD!$B878)</f>
        <v>34263.39015</v>
      </c>
    </row>
    <row r="879">
      <c r="A879" s="4">
        <f>value(USD!A879)</f>
        <v>41189.99861</v>
      </c>
      <c r="B879" s="1">
        <f>value(USD!B879)</f>
        <v>9407.2</v>
      </c>
      <c r="C879" s="1">
        <f>value(AUD!$B879)</f>
        <v>9761.190405</v>
      </c>
      <c r="D879" s="1">
        <f>value(EUR!$B879)</f>
        <v>12311.73355</v>
      </c>
      <c r="E879" s="1">
        <f>value(GBP!$B879)</f>
        <v>15299.24216</v>
      </c>
      <c r="F879" s="1">
        <f>value(CHF!$B879)</f>
        <v>10162.38762</v>
      </c>
      <c r="G879" s="1">
        <f>value(SGD!$B879)</f>
        <v>7765.915674</v>
      </c>
      <c r="H879" s="1">
        <f>value(MYR!$B879)</f>
        <v>3111.358521</v>
      </c>
      <c r="I879" s="1">
        <f>value(THB!$B879)</f>
        <v>311.394072</v>
      </c>
      <c r="J879" s="1">
        <f>value(VND!$B879)</f>
        <v>0.4683471063</v>
      </c>
      <c r="K879" s="1">
        <f>value(CNY!$B879)</f>
        <v>1534.29542</v>
      </c>
      <c r="L879" s="1">
        <f>value(HKD!$B879)</f>
        <v>1233.526026</v>
      </c>
      <c r="M879" s="1">
        <f>value(TWD!$B879)</f>
        <v>325.1658</v>
      </c>
      <c r="N879" s="1">
        <f>value(JPY!$B879)</f>
        <v>122.224086</v>
      </c>
      <c r="O879" s="1">
        <f>value(SAR!$B879)</f>
        <v>2554.23871</v>
      </c>
      <c r="P879" s="1">
        <f>value(AED!$B879)</f>
        <v>2619.05205</v>
      </c>
      <c r="Q879" s="1">
        <f>value(KWD!$B879)</f>
        <v>34332.38632</v>
      </c>
    </row>
    <row r="880">
      <c r="A880" s="4">
        <f>value(USD!A880)</f>
        <v>41190.99861</v>
      </c>
      <c r="B880" s="1">
        <f>value(USD!B880)</f>
        <v>9561.2</v>
      </c>
      <c r="C880" s="1">
        <f>value(AUD!$B880)</f>
        <v>9769.15216</v>
      </c>
      <c r="D880" s="1">
        <f>value(EUR!$B880)</f>
        <v>12285.07222</v>
      </c>
      <c r="E880" s="1">
        <f>value(GBP!$B880)</f>
        <v>15300.16</v>
      </c>
      <c r="F880" s="1">
        <f>value(CHF!$B880)</f>
        <v>10171.73762</v>
      </c>
      <c r="G880" s="1">
        <f>value(SGD!$B880)</f>
        <v>7766.26559</v>
      </c>
      <c r="H880" s="1">
        <f>value(MYR!$B880)</f>
        <v>3108.131878</v>
      </c>
      <c r="I880" s="1">
        <f>value(THB!$B880)</f>
        <v>310.880126</v>
      </c>
      <c r="J880" s="1">
        <f>value(VND!$B880)</f>
        <v>0.4702607595</v>
      </c>
      <c r="K880" s="1">
        <f>value(CNY!$B880)</f>
        <v>1535.97703</v>
      </c>
      <c r="L880" s="1">
        <f>value(HKD!$B880)</f>
        <v>1233.384148</v>
      </c>
      <c r="M880" s="1">
        <f>value(TWD!$B880)</f>
        <v>325.797782</v>
      </c>
      <c r="N880" s="1">
        <f>value(JPY!$B880)</f>
        <v>122.40128</v>
      </c>
      <c r="O880" s="1">
        <f>value(SAR!$B880)</f>
        <v>2557.911283</v>
      </c>
      <c r="P880" s="1">
        <f>value(AED!$B880)</f>
        <v>2620.086334</v>
      </c>
      <c r="Q880" s="1">
        <f>value(KWD!$B880)</f>
        <v>34799.63599</v>
      </c>
    </row>
    <row r="881">
      <c r="A881" s="4">
        <f>value(USD!A881)</f>
        <v>41191.99861</v>
      </c>
      <c r="B881" s="1">
        <f>value(USD!B881)</f>
        <v>9563.7</v>
      </c>
      <c r="C881" s="1">
        <f>value(AUD!$B881)</f>
        <v>9798.68496</v>
      </c>
      <c r="D881" s="1">
        <f>value(EUR!$B881)</f>
        <v>12349.62966</v>
      </c>
      <c r="E881" s="1">
        <f>value(GBP!$B881)</f>
        <v>15329.55345</v>
      </c>
      <c r="F881" s="1">
        <f>value(CHF!$B881)</f>
        <v>10218.10995</v>
      </c>
      <c r="G881" s="1">
        <f>value(SGD!$B881)</f>
        <v>7773.884547</v>
      </c>
      <c r="H881" s="1">
        <f>value(MYR!$B881)</f>
        <v>3111.865911</v>
      </c>
      <c r="I881" s="1">
        <f>value(THB!$B881)</f>
        <v>310.890414</v>
      </c>
      <c r="J881" s="1">
        <f>value(VND!$B881)</f>
        <v>0.4694339933</v>
      </c>
      <c r="K881" s="1">
        <f>value(CNY!$B881)</f>
        <v>1534.29346</v>
      </c>
      <c r="L881" s="1">
        <f>value(HKD!$B881)</f>
        <v>1232.383359</v>
      </c>
      <c r="M881" s="1">
        <f>value(TWD!$B881)</f>
        <v>326.845761</v>
      </c>
      <c r="N881" s="1">
        <f>value(JPY!$B881)</f>
        <v>121.910316</v>
      </c>
      <c r="O881" s="1">
        <f>value(SAR!$B881)</f>
        <v>2557.629647</v>
      </c>
      <c r="P881" s="1">
        <f>value(AED!$B881)</f>
        <v>2622.372646</v>
      </c>
      <c r="Q881" s="1">
        <f>value(KWD!$B881)</f>
        <v>34244.34861</v>
      </c>
    </row>
    <row r="882">
      <c r="A882" s="4">
        <f>value(USD!A882)</f>
        <v>41192.99861</v>
      </c>
      <c r="B882" s="1">
        <f>value(USD!B882)</f>
        <v>9562.6</v>
      </c>
      <c r="C882" s="1">
        <f>value(AUD!$B882)</f>
        <v>9772.719</v>
      </c>
      <c r="D882" s="1">
        <f>value(EUR!$B882)</f>
        <v>12370.1797</v>
      </c>
      <c r="E882" s="1">
        <f>value(GBP!$B882)</f>
        <v>15350.7157</v>
      </c>
      <c r="F882" s="1">
        <f>value(CHF!$B882)</f>
        <v>10228.3971</v>
      </c>
      <c r="G882" s="1">
        <f>value(SGD!$B882)</f>
        <v>7813.01658</v>
      </c>
      <c r="H882" s="1">
        <f>value(MYR!$B882)</f>
        <v>3119.91427</v>
      </c>
      <c r="I882" s="1">
        <f>value(THB!$B882)</f>
        <v>311.4278</v>
      </c>
      <c r="J882" s="1">
        <f>value(VND!$B882)</f>
        <v>0.4683889753</v>
      </c>
      <c r="K882" s="1">
        <f>value(CNY!$B882)</f>
        <v>1544.218266</v>
      </c>
      <c r="L882" s="1">
        <f>value(HKD!$B882)</f>
        <v>1232.337</v>
      </c>
      <c r="M882" s="1">
        <f>value(TWD!$B882)</f>
        <v>326.80813</v>
      </c>
      <c r="N882" s="1">
        <f>value(JPY!$B882)</f>
        <v>121.80075</v>
      </c>
      <c r="O882" s="1">
        <f>value(SAR!$B882)</f>
        <v>2556.110163</v>
      </c>
      <c r="P882" s="1">
        <f>value(AED!$B882)</f>
        <v>2659.6871</v>
      </c>
      <c r="Q882" s="1">
        <f>value(KWD!$B882)</f>
        <v>34248.15516</v>
      </c>
    </row>
    <row r="883">
      <c r="A883" s="4">
        <f>value(USD!A883)</f>
        <v>41193.99861</v>
      </c>
      <c r="B883" s="1">
        <f>value(USD!B883)</f>
        <v>9554.1</v>
      </c>
      <c r="C883" s="1">
        <f>value(AUD!$B883)</f>
        <v>9774.6296</v>
      </c>
      <c r="D883" s="1">
        <f>value(EUR!$B883)</f>
        <v>12374.0009</v>
      </c>
      <c r="E883" s="1">
        <f>value(GBP!$B883)</f>
        <v>15350.7157</v>
      </c>
      <c r="F883" s="1">
        <f>value(CHF!$B883)</f>
        <v>10233.1736</v>
      </c>
      <c r="G883" s="1">
        <f>value(SGD!$B883)</f>
        <v>7813.01658</v>
      </c>
      <c r="H883" s="1">
        <f>value(MYR!$B883)</f>
        <v>3120.39192</v>
      </c>
      <c r="I883" s="1">
        <f>value(THB!$B883)</f>
        <v>305.12282</v>
      </c>
      <c r="J883" s="1">
        <f>value(VND!$B883)</f>
        <v>0.4688231772</v>
      </c>
      <c r="K883" s="1">
        <f>value(CNY!$B883)</f>
        <v>1533.461336</v>
      </c>
      <c r="L883" s="1">
        <f>value(HKD!$B883)</f>
        <v>1232.24147</v>
      </c>
      <c r="M883" s="1">
        <f>value(TWD!$B883)</f>
        <v>326.90366</v>
      </c>
      <c r="N883" s="1">
        <f>value(JPY!$B883)</f>
        <v>121.80075</v>
      </c>
      <c r="O883" s="1">
        <f>value(SAR!$B883)</f>
        <v>2563.145587</v>
      </c>
      <c r="P883" s="1">
        <f>value(AED!$B883)</f>
        <v>2623.570238</v>
      </c>
      <c r="Q883" s="1">
        <f>value(KWD!$B883)</f>
        <v>34229.20848</v>
      </c>
    </row>
    <row r="884">
      <c r="A884" s="4">
        <f>value(USD!A884)</f>
        <v>41194.99861</v>
      </c>
      <c r="B884" s="1">
        <f>value(USD!B884)</f>
        <v>9553</v>
      </c>
      <c r="C884" s="1">
        <f>value(AUD!$B884)</f>
        <v>9794.570791</v>
      </c>
      <c r="D884" s="1">
        <f>value(EUR!$B884)</f>
        <v>12398.00902</v>
      </c>
      <c r="E884" s="1">
        <f>value(GBP!$B884)</f>
        <v>15389.04666</v>
      </c>
      <c r="F884" s="1">
        <f>value(CHF!$B884)</f>
        <v>10253.61797</v>
      </c>
      <c r="G884" s="1">
        <f>value(SGD!$B884)</f>
        <v>7832.055512</v>
      </c>
      <c r="H884" s="1">
        <f>value(MYR!$B884)</f>
        <v>3126.558552</v>
      </c>
      <c r="I884" s="1">
        <f>value(THB!$B884)</f>
        <v>305.712204</v>
      </c>
      <c r="J884" s="1">
        <f>value(VND!$B884)</f>
        <v>0.4662741627</v>
      </c>
      <c r="K884" s="1">
        <f>value(CNY!$B884)</f>
        <v>1535.318232</v>
      </c>
      <c r="L884" s="1">
        <f>value(HKD!$B884)</f>
        <v>1235.395275</v>
      </c>
      <c r="M884" s="1">
        <f>value(TWD!$B884)</f>
        <v>327.54879</v>
      </c>
      <c r="N884" s="1">
        <f>value(JPY!$B884)</f>
        <v>122.1124875</v>
      </c>
      <c r="O884" s="1">
        <f>value(SAR!$B884)</f>
        <v>2560.015937</v>
      </c>
      <c r="P884" s="1">
        <f>value(AED!$B884)</f>
        <v>2624.141816</v>
      </c>
      <c r="Q884" s="1">
        <f>value(KWD!$B884)</f>
        <v>34262.94076</v>
      </c>
    </row>
    <row r="885">
      <c r="A885" s="4">
        <f>value(USD!A885)</f>
        <v>41195.99861</v>
      </c>
      <c r="B885" s="1">
        <f>value(USD!B885)</f>
        <v>9553</v>
      </c>
      <c r="C885" s="1">
        <f>value(AUD!$B885)</f>
        <v>9797.320456</v>
      </c>
      <c r="D885" s="1">
        <f>value(EUR!$B885)</f>
        <v>12380.02094</v>
      </c>
      <c r="E885" s="1">
        <f>value(GBP!$B885)</f>
        <v>15363.8842</v>
      </c>
      <c r="F885" s="1">
        <f>value(CHF!$B885)</f>
        <v>10241.31472</v>
      </c>
      <c r="G885" s="1">
        <f>value(SGD!$B885)</f>
        <v>7819.997164</v>
      </c>
      <c r="H885" s="1">
        <f>value(MYR!$B885)</f>
        <v>3124.595292</v>
      </c>
      <c r="I885" s="1">
        <f>value(THB!$B885)</f>
        <v>311.19753</v>
      </c>
      <c r="J885" s="1">
        <f>value(VND!$B885)</f>
        <v>0.4626916519</v>
      </c>
      <c r="K885" s="1">
        <f>value(CNY!$B885)</f>
        <v>1534.964904</v>
      </c>
      <c r="L885" s="1">
        <f>value(HKD!$B885)</f>
        <v>1233.413006</v>
      </c>
      <c r="M885" s="1">
        <f>value(TWD!$B885)</f>
        <v>326.97252</v>
      </c>
      <c r="N885" s="1">
        <f>value(JPY!$B885)</f>
        <v>121.41962</v>
      </c>
      <c r="O885" s="1">
        <f>value(SAR!$B885)</f>
        <v>2560.988592</v>
      </c>
      <c r="P885" s="1">
        <f>value(AED!$B885)</f>
        <v>2621.664978</v>
      </c>
      <c r="Q885" s="1">
        <f>value(KWD!$B885)</f>
        <v>34188.9997</v>
      </c>
    </row>
    <row r="886">
      <c r="A886" s="4">
        <f>value(USD!A886)</f>
        <v>41196.99861</v>
      </c>
      <c r="B886" s="1">
        <f>value(USD!B886)</f>
        <v>9577.45</v>
      </c>
      <c r="C886" s="1">
        <f>value(AUD!$B886)</f>
        <v>9839.8791</v>
      </c>
      <c r="D886" s="1">
        <f>value(EUR!$B886)</f>
        <v>12511.33819</v>
      </c>
      <c r="E886" s="1">
        <f>value(GBP!$B886)</f>
        <v>15398.94495</v>
      </c>
      <c r="F886" s="1">
        <f>value(CHF!$B886)</f>
        <v>10347.75924</v>
      </c>
      <c r="G886" s="1">
        <f>value(SGD!$B886)</f>
        <v>7837.598676</v>
      </c>
      <c r="H886" s="1">
        <f>value(MYR!$B886)</f>
        <v>3126.974544</v>
      </c>
      <c r="I886" s="1">
        <f>value(THB!$B886)</f>
        <v>311.608116</v>
      </c>
      <c r="J886" s="1">
        <f>value(VND!$B886)</f>
        <v>0.4715495227</v>
      </c>
      <c r="K886" s="1">
        <f>value(CNY!$B886)</f>
        <v>1535.81827</v>
      </c>
      <c r="L886" s="1">
        <f>value(HKD!$B886)</f>
        <v>1232.767956</v>
      </c>
      <c r="M886" s="1">
        <f>value(TWD!$B886)</f>
        <v>329.572644</v>
      </c>
      <c r="N886" s="1">
        <f>value(JPY!$B886)</f>
        <v>121.165008</v>
      </c>
      <c r="O886" s="1">
        <f>value(SAR!$B886)</f>
        <v>2571.832396</v>
      </c>
      <c r="P886" s="1">
        <f>value(AED!$B886)</f>
        <v>2621.63776</v>
      </c>
      <c r="Q886" s="1">
        <f>value(KWD!$B886)</f>
        <v>34185.08441</v>
      </c>
    </row>
    <row r="887">
      <c r="A887" s="4">
        <f>value(USD!A887)</f>
        <v>41197.99861</v>
      </c>
      <c r="B887" s="1">
        <f>value(USD!B887)</f>
        <v>9560.6</v>
      </c>
      <c r="C887" s="1">
        <f>value(AUD!$B887)</f>
        <v>9905.46417</v>
      </c>
      <c r="D887" s="1">
        <f>value(EUR!$B887)</f>
        <v>12519.6939</v>
      </c>
      <c r="E887" s="1">
        <f>value(GBP!$B887)</f>
        <v>15411.1311</v>
      </c>
      <c r="F887" s="1">
        <f>value(CHF!$B887)</f>
        <v>10350.1611</v>
      </c>
      <c r="G887" s="1">
        <f>value(SGD!$B887)</f>
        <v>7845.74487</v>
      </c>
      <c r="H887" s="1">
        <f>value(MYR!$B887)</f>
        <v>3142.00296</v>
      </c>
      <c r="I887" s="1">
        <f>value(THB!$B887)</f>
        <v>311.39289</v>
      </c>
      <c r="J887" s="1">
        <f>value(VND!$B887)</f>
        <v>0.4695986453</v>
      </c>
      <c r="K887" s="1">
        <f>value(CNY!$B887)</f>
        <v>1537.166075</v>
      </c>
      <c r="L887" s="1">
        <f>value(HKD!$B887)</f>
        <v>1231.821</v>
      </c>
      <c r="M887" s="1">
        <f>value(TWD!$B887)</f>
        <v>327.24423</v>
      </c>
      <c r="N887" s="1">
        <f>value(JPY!$B887)</f>
        <v>120.69936</v>
      </c>
      <c r="O887" s="1">
        <f>value(SAR!$B887)</f>
        <v>2559.68074</v>
      </c>
      <c r="P887" s="1">
        <f>value(AED!$B887)</f>
        <v>2614.397772</v>
      </c>
      <c r="Q887" s="1">
        <f>value(KWD!$B887)</f>
        <v>34181.81097</v>
      </c>
    </row>
    <row r="888">
      <c r="A888" s="4">
        <f>value(USD!A888)</f>
        <v>41198.99861</v>
      </c>
      <c r="B888" s="1">
        <f>value(USD!B888)</f>
        <v>9555.6</v>
      </c>
      <c r="C888" s="1">
        <f>value(AUD!$B888)</f>
        <v>9920.076162</v>
      </c>
      <c r="D888" s="1">
        <f>value(EUR!$B888)</f>
        <v>12498.9155</v>
      </c>
      <c r="E888" s="1">
        <f>value(GBP!$B888)</f>
        <v>15348.57264</v>
      </c>
      <c r="F888" s="1">
        <f>value(CHF!$B888)</f>
        <v>10341.35892</v>
      </c>
      <c r="G888" s="1">
        <f>value(SGD!$B888)</f>
        <v>7842.722948</v>
      </c>
      <c r="H888" s="1">
        <f>value(MYR!$B888)</f>
        <v>3144.947006</v>
      </c>
      <c r="I888" s="1">
        <f>value(THB!$B888)</f>
        <v>311.349658</v>
      </c>
      <c r="J888" s="1">
        <f>value(VND!$B888)</f>
        <v>0.4725280565</v>
      </c>
      <c r="K888" s="1">
        <f>value(CNY!$B888)</f>
        <v>1537.59875</v>
      </c>
      <c r="L888" s="1">
        <f>value(HKD!$B888)</f>
        <v>1233.353788</v>
      </c>
      <c r="M888" s="1">
        <f>value(TWD!$B888)</f>
        <v>326.357916</v>
      </c>
      <c r="N888" s="1">
        <f>value(JPY!$B888)</f>
        <v>120.544034</v>
      </c>
      <c r="O888" s="1">
        <f>value(SAR!$B888)</f>
        <v>2561.095356</v>
      </c>
      <c r="P888" s="1">
        <f>value(AED!$B888)</f>
        <v>2614.098374</v>
      </c>
      <c r="Q888" s="1">
        <f>value(KWD!$B888)</f>
        <v>34211.3403</v>
      </c>
    </row>
    <row r="889">
      <c r="A889" s="4">
        <f>value(USD!A889)</f>
        <v>41199.99861</v>
      </c>
      <c r="B889" s="1">
        <f>value(USD!B889)</f>
        <v>9549</v>
      </c>
      <c r="C889" s="1">
        <f>value(AUD!$B889)</f>
        <v>9878.96</v>
      </c>
      <c r="D889" s="1">
        <f>value(EUR!$B889)</f>
        <v>12460.4064</v>
      </c>
      <c r="E889" s="1">
        <f>value(GBP!$B889)</f>
        <v>15312.6272</v>
      </c>
      <c r="F889" s="1">
        <f>value(CHF!$B889)</f>
        <v>10302.8224</v>
      </c>
      <c r="G889" s="1">
        <f>value(SGD!$B889)</f>
        <v>7830.25984</v>
      </c>
      <c r="H889" s="1">
        <f>value(MYR!$B889)</f>
        <v>3134.18976</v>
      </c>
      <c r="I889" s="1">
        <f>value(THB!$B889)</f>
        <v>311.53408</v>
      </c>
      <c r="J889" s="1">
        <f>value(VND!$B889)</f>
        <v>0.4680194143</v>
      </c>
      <c r="K889" s="1">
        <f>value(CNY!$B889)</f>
        <v>1544.317472</v>
      </c>
      <c r="L889" s="1">
        <f>value(HKD!$B889)</f>
        <v>1234.55904</v>
      </c>
      <c r="M889" s="1">
        <f>value(TWD!$B889)</f>
        <v>326.55584</v>
      </c>
      <c r="N889" s="1">
        <f>value(JPY!$B889)</f>
        <v>120.5568</v>
      </c>
      <c r="O889" s="1">
        <f>value(SAR!$B889)</f>
        <v>2561.547278</v>
      </c>
      <c r="P889" s="1">
        <f>value(AED!$B889)</f>
        <v>2614.778824</v>
      </c>
      <c r="Q889" s="1">
        <f>value(KWD!$B889)</f>
        <v>34219.18688</v>
      </c>
    </row>
    <row r="890">
      <c r="A890" s="4">
        <f>value(USD!A890)</f>
        <v>41200.99861</v>
      </c>
      <c r="B890" s="1">
        <f>value(USD!B890)</f>
        <v>9559.4</v>
      </c>
      <c r="C890" s="1">
        <f>value(AUD!$B890)</f>
        <v>9879.4054</v>
      </c>
      <c r="D890" s="1">
        <f>value(EUR!$B890)</f>
        <v>12452.0676</v>
      </c>
      <c r="E890" s="1">
        <f>value(GBP!$B890)</f>
        <v>15306.8619</v>
      </c>
      <c r="F890" s="1">
        <f>value(CHF!$B890)</f>
        <v>10299.25622</v>
      </c>
      <c r="G890" s="1">
        <f>value(SGD!$B890)</f>
        <v>7826.822644</v>
      </c>
      <c r="H890" s="1">
        <f>value(MYR!$B890)</f>
        <v>3066.63247</v>
      </c>
      <c r="I890" s="1">
        <f>value(THB!$B890)</f>
        <v>304.60703</v>
      </c>
      <c r="J890" s="1">
        <f>value(VND!$B890)</f>
        <v>0.4693319611</v>
      </c>
      <c r="K890" s="1">
        <f>value(CNY!$B890)</f>
        <v>1538.624208</v>
      </c>
      <c r="L890" s="1">
        <f>value(HKD!$B890)</f>
        <v>1233.921476</v>
      </c>
      <c r="M890" s="1">
        <f>value(TWD!$B890)</f>
        <v>326.316856</v>
      </c>
      <c r="N890" s="1">
        <f>value(JPY!$B890)</f>
        <v>120.50388</v>
      </c>
      <c r="O890" s="1">
        <f>value(SAR!$B890)</f>
        <v>2561.258782</v>
      </c>
      <c r="P890" s="1">
        <f>value(AED!$B890)</f>
        <v>2618.807088</v>
      </c>
      <c r="Q890" s="1">
        <f>value(KWD!$B890)</f>
        <v>34259.56389</v>
      </c>
    </row>
    <row r="891">
      <c r="A891" s="4">
        <f>value(USD!A891)</f>
        <v>41201.99861</v>
      </c>
      <c r="B891" s="1">
        <f>value(USD!B891)</f>
        <v>9568</v>
      </c>
      <c r="C891" s="1">
        <f>value(AUD!$B891)</f>
        <v>9890.967044</v>
      </c>
      <c r="D891" s="1">
        <f>value(EUR!$B891)</f>
        <v>12492.24763</v>
      </c>
      <c r="E891" s="1">
        <f>value(GBP!$B891)</f>
        <v>15347.92</v>
      </c>
      <c r="F891" s="1">
        <f>value(CHF!$B891)</f>
        <v>10332.98714</v>
      </c>
      <c r="G891" s="1">
        <f>value(SGD!$B891)</f>
        <v>7847.391496</v>
      </c>
      <c r="H891" s="1">
        <f>value(MYR!$B891)</f>
        <v>3141.911073</v>
      </c>
      <c r="I891" s="1">
        <f>value(THB!$B891)</f>
        <v>305.615457</v>
      </c>
      <c r="J891" s="1">
        <f>value(VND!$B891)</f>
        <v>0.4753491498</v>
      </c>
      <c r="K891" s="1">
        <f>value(CNY!$B891)</f>
        <v>1535.263048</v>
      </c>
      <c r="L891" s="1">
        <f>value(HKD!$B891)</f>
        <v>1237.617899</v>
      </c>
      <c r="M891" s="1">
        <f>value(TWD!$B891)</f>
        <v>327.294394</v>
      </c>
      <c r="N891" s="1">
        <f>value(JPY!$B891)</f>
        <v>121.056719</v>
      </c>
      <c r="O891" s="1">
        <f>value(SAR!$B891)</f>
        <v>2561.260626</v>
      </c>
      <c r="P891" s="1">
        <f>value(AED!$B891)</f>
        <v>2620.059116</v>
      </c>
      <c r="Q891" s="1">
        <f>value(KWD!$B891)</f>
        <v>34124.73088</v>
      </c>
    </row>
    <row r="892">
      <c r="A892" s="4">
        <f>value(USD!A892)</f>
        <v>41202.99861</v>
      </c>
      <c r="B892" s="1">
        <f>value(USD!B892)</f>
        <v>9563.8</v>
      </c>
      <c r="C892" s="1">
        <f>value(AUD!$B892)</f>
        <v>9890.0928</v>
      </c>
      <c r="D892" s="1">
        <f>value(EUR!$B892)</f>
        <v>12505.7772</v>
      </c>
      <c r="E892" s="1">
        <f>value(GBP!$B892)</f>
        <v>15335.0064</v>
      </c>
      <c r="F892" s="1">
        <f>value(CHF!$B892)</f>
        <v>10331.5464</v>
      </c>
      <c r="G892" s="1">
        <f>value(SGD!$B892)</f>
        <v>7831.2528</v>
      </c>
      <c r="H892" s="1">
        <f>value(MYR!$B892)</f>
        <v>3134.32056</v>
      </c>
      <c r="I892" s="1">
        <f>value(THB!$B892)</f>
        <v>311.50728</v>
      </c>
      <c r="J892" s="1">
        <f>value(VND!$B892)</f>
        <v>0.4706683653</v>
      </c>
      <c r="K892" s="1">
        <f>value(CNY!$B892)</f>
        <v>1533.503478</v>
      </c>
      <c r="L892" s="1">
        <f>value(HKD!$B892)</f>
        <v>1235.49552</v>
      </c>
      <c r="M892" s="1">
        <f>value(TWD!$B892)</f>
        <v>327.21192</v>
      </c>
      <c r="N892" s="1">
        <f>value(JPY!$B892)</f>
        <v>119.79576</v>
      </c>
      <c r="O892" s="1">
        <f>value(SAR!$B892)</f>
        <v>2563.007232</v>
      </c>
      <c r="P892" s="1">
        <f>value(AED!$B892)</f>
        <v>2618.861524</v>
      </c>
      <c r="Q892" s="1">
        <f>value(KWD!$B892)</f>
        <v>34114.42526</v>
      </c>
    </row>
    <row r="893">
      <c r="A893" s="4">
        <f>value(USD!A893)</f>
        <v>41203.99861</v>
      </c>
      <c r="B893" s="1">
        <f>value(USD!B893)</f>
        <v>9592.45</v>
      </c>
      <c r="C893" s="1">
        <f>value(AUD!$B893)</f>
        <v>9831.817</v>
      </c>
      <c r="D893" s="1">
        <f>value(EUR!$B893)</f>
        <v>12434.1596</v>
      </c>
      <c r="E893" s="1">
        <f>value(GBP!$B893)</f>
        <v>15274.0366</v>
      </c>
      <c r="F893" s="1">
        <f>value(CHF!$B893)</f>
        <v>10270.4894</v>
      </c>
      <c r="G893" s="1">
        <f>value(SGD!$B893)</f>
        <v>7816.6058</v>
      </c>
      <c r="H893" s="1">
        <f>value(MYR!$B893)</f>
        <v>3129.6115</v>
      </c>
      <c r="I893" s="1">
        <f>value(THB!$B893)</f>
        <v>310.90188</v>
      </c>
      <c r="J893" s="1">
        <f>value(VND!$B893)</f>
        <v>0.4706836542</v>
      </c>
      <c r="K893" s="1">
        <f>value(CNY!$B893)</f>
        <v>1538.89722</v>
      </c>
      <c r="L893" s="1">
        <f>value(HKD!$B893)</f>
        <v>1235.84934</v>
      </c>
      <c r="M893" s="1">
        <f>value(TWD!$B893)</f>
        <v>326.22668</v>
      </c>
      <c r="N893" s="1">
        <f>value(JPY!$B893)</f>
        <v>119.91656</v>
      </c>
      <c r="O893" s="1">
        <f>value(SAR!$B893)</f>
        <v>2560.216452</v>
      </c>
      <c r="P893" s="1">
        <f>value(AED!$B893)</f>
        <v>2613.662886</v>
      </c>
      <c r="Q893" s="1">
        <f>value(KWD!$B893)</f>
        <v>34093.21299</v>
      </c>
    </row>
    <row r="894">
      <c r="A894" s="4">
        <f>value(USD!A894)</f>
        <v>41204.99861</v>
      </c>
      <c r="B894" s="1">
        <f>value(USD!B894)</f>
        <v>9576</v>
      </c>
      <c r="C894" s="1">
        <f>value(AUD!$B894)</f>
        <v>9909.00772</v>
      </c>
      <c r="D894" s="1">
        <f>value(EUR!$B894)</f>
        <v>12420.03056</v>
      </c>
      <c r="E894" s="1">
        <f>value(GBP!$B894)</f>
        <v>15357.3812</v>
      </c>
      <c r="F894" s="1">
        <f>value(CHF!$B894)</f>
        <v>10267.31468</v>
      </c>
      <c r="G894" s="1">
        <f>value(SGD!$B894)</f>
        <v>7839.258104</v>
      </c>
      <c r="H894" s="1">
        <f>value(MYR!$B894)</f>
        <v>3129.246052</v>
      </c>
      <c r="I894" s="1">
        <f>value(THB!$B894)</f>
        <v>311.363</v>
      </c>
      <c r="J894" s="1">
        <f>value(VND!$B894)</f>
        <v>0.4616434379</v>
      </c>
      <c r="K894" s="1">
        <f>value(CNY!$B894)</f>
        <v>1537.05564</v>
      </c>
      <c r="L894" s="1">
        <f>value(HKD!$B894)</f>
        <v>1236.063208</v>
      </c>
      <c r="M894" s="1">
        <f>value(TWD!$B894)</f>
        <v>327.745484</v>
      </c>
      <c r="N894" s="1">
        <f>value(JPY!$B894)</f>
        <v>119.946608</v>
      </c>
      <c r="O894" s="1">
        <f>value(SAR!$B894)</f>
        <v>2563.63779</v>
      </c>
      <c r="P894" s="1">
        <f>value(AED!$B894)</f>
        <v>2612.873564</v>
      </c>
      <c r="Q894" s="1">
        <f>value(KWD!$B894)</f>
        <v>34113.16803</v>
      </c>
    </row>
    <row r="895">
      <c r="A895" s="4">
        <f>value(USD!A895)</f>
        <v>41205.99861</v>
      </c>
      <c r="B895" s="1">
        <f>value(USD!B895)</f>
        <v>9578</v>
      </c>
      <c r="C895" s="1">
        <f>value(AUD!$B895)</f>
        <v>9911.91058</v>
      </c>
      <c r="D895" s="1">
        <f>value(EUR!$B895)</f>
        <v>12389.17004</v>
      </c>
      <c r="E895" s="1">
        <f>value(GBP!$B895)</f>
        <v>15435.23202</v>
      </c>
      <c r="F895" s="1">
        <f>value(CHF!$B895)</f>
        <v>10240.36052</v>
      </c>
      <c r="G895" s="1">
        <f>value(SGD!$B895)</f>
        <v>7842.5802</v>
      </c>
      <c r="H895" s="1">
        <f>value(MYR!$B895)</f>
        <v>3146.703638</v>
      </c>
      <c r="I895" s="1">
        <f>value(THB!$B895)</f>
        <v>311.596532</v>
      </c>
      <c r="J895" s="1">
        <f>value(VND!$B895)</f>
        <v>0.4667281039</v>
      </c>
      <c r="K895" s="1">
        <f>value(CNY!$B895)</f>
        <v>1537.023648</v>
      </c>
      <c r="L895" s="1">
        <f>value(HKD!$B895)</f>
        <v>1235.469716</v>
      </c>
      <c r="M895" s="1">
        <f>value(TWD!$B895)</f>
        <v>326.247506</v>
      </c>
      <c r="N895" s="1">
        <f>value(JPY!$B895)</f>
        <v>119.21871</v>
      </c>
      <c r="O895" s="1">
        <f>value(SAR!$B895)</f>
        <v>2564.133281</v>
      </c>
      <c r="P895" s="1">
        <f>value(AED!$B895)</f>
        <v>2610.042892</v>
      </c>
      <c r="Q895" s="1">
        <f>value(KWD!$B895)</f>
        <v>34128.37102</v>
      </c>
    </row>
    <row r="896">
      <c r="A896" s="4">
        <f>value(USD!A896)</f>
        <v>41206.99861</v>
      </c>
      <c r="B896" s="1">
        <f>value(USD!B896)</f>
        <v>9580.4</v>
      </c>
      <c r="C896" s="1">
        <f>value(AUD!$B896)</f>
        <v>9936.376</v>
      </c>
      <c r="D896" s="1">
        <f>value(EUR!$B896)</f>
        <v>12393.646</v>
      </c>
      <c r="E896" s="1">
        <f>value(GBP!$B896)</f>
        <v>15427.632</v>
      </c>
      <c r="F896" s="1">
        <f>value(CHF!$B896)</f>
        <v>10244.852</v>
      </c>
      <c r="G896" s="1">
        <f>value(SGD!$B896)</f>
        <v>7845.6368</v>
      </c>
      <c r="H896" s="1">
        <f>value(MYR!$B896)</f>
        <v>3147.988</v>
      </c>
      <c r="I896" s="1">
        <f>value(THB!$B896)</f>
        <v>311.7332</v>
      </c>
      <c r="J896" s="1">
        <f>value(VND!$B896)</f>
        <v>0.4627980761</v>
      </c>
      <c r="K896" s="1">
        <f>value(CNY!$B896)</f>
        <v>1539.174042</v>
      </c>
      <c r="L896" s="1">
        <f>value(HKD!$B896)</f>
        <v>1236.0116</v>
      </c>
      <c r="M896" s="1">
        <f>value(TWD!$B896)</f>
        <v>328.0192</v>
      </c>
      <c r="N896" s="1">
        <f>value(JPY!$B896)</f>
        <v>120.229</v>
      </c>
      <c r="O896" s="1">
        <f>value(SAR!$B896)</f>
        <v>2561.92609</v>
      </c>
      <c r="P896" s="1">
        <f>value(AED!$B896)</f>
        <v>2610.641688</v>
      </c>
      <c r="Q896" s="1">
        <f>value(KWD!$B896)</f>
        <v>34130.50473</v>
      </c>
    </row>
    <row r="897">
      <c r="A897" s="4">
        <f>value(USD!A897)</f>
        <v>41207.99861</v>
      </c>
      <c r="B897" s="1">
        <f>value(USD!B897)</f>
        <v>9575.8</v>
      </c>
      <c r="C897" s="1">
        <f>value(AUD!$B897)</f>
        <v>9935.418</v>
      </c>
      <c r="D897" s="1">
        <f>value(EUR!$B897)</f>
        <v>12393.646</v>
      </c>
      <c r="E897" s="1">
        <f>value(GBP!$B897)</f>
        <v>15425.716</v>
      </c>
      <c r="F897" s="1">
        <f>value(CHF!$B897)</f>
        <v>10246.768</v>
      </c>
      <c r="G897" s="1">
        <f>value(SGD!$B897)</f>
        <v>7845.6368</v>
      </c>
      <c r="H897" s="1">
        <f>value(MYR!$B897)</f>
        <v>3099.0342</v>
      </c>
      <c r="I897" s="1">
        <f>value(THB!$B897)</f>
        <v>306.6558</v>
      </c>
      <c r="J897" s="1">
        <f>value(VND!$B897)</f>
        <v>0.468852937</v>
      </c>
      <c r="K897" s="1">
        <f>value(CNY!$B897)</f>
        <v>1538.656944</v>
      </c>
      <c r="L897" s="1">
        <f>value(HKD!$B897)</f>
        <v>1235.9158</v>
      </c>
      <c r="M897" s="1">
        <f>value(TWD!$B897)</f>
        <v>328.115</v>
      </c>
      <c r="N897" s="1">
        <f>value(JPY!$B897)</f>
        <v>120.229</v>
      </c>
      <c r="O897" s="1">
        <f>value(SAR!$B897)</f>
        <v>2558.035766</v>
      </c>
      <c r="P897" s="1">
        <f>value(AED!$B897)</f>
        <v>2612.084242</v>
      </c>
      <c r="Q897" s="1">
        <f>value(KWD!$B897)</f>
        <v>34219.05378</v>
      </c>
    </row>
    <row r="898">
      <c r="A898" s="4">
        <f>value(USD!A898)</f>
        <v>41208.99861</v>
      </c>
      <c r="B898" s="1">
        <f>value(USD!B898)</f>
        <v>9580</v>
      </c>
      <c r="C898" s="1">
        <f>value(AUD!$B898)</f>
        <v>9939.20226</v>
      </c>
      <c r="D898" s="1">
        <f>value(EUR!$B898)</f>
        <v>12409.5954</v>
      </c>
      <c r="E898" s="1">
        <f>value(GBP!$B898)</f>
        <v>15446.68059</v>
      </c>
      <c r="F898" s="1">
        <f>value(CHF!$B898)</f>
        <v>10261.92858</v>
      </c>
      <c r="G898" s="1">
        <f>value(SGD!$B898)</f>
        <v>7860.883179</v>
      </c>
      <c r="H898" s="1">
        <f>value(MYR!$B898)</f>
        <v>3102.110701</v>
      </c>
      <c r="I898" s="1">
        <f>value(THB!$B898)</f>
        <v>306.974202</v>
      </c>
      <c r="J898" s="1">
        <f>value(VND!$B898)</f>
        <v>0.4660826008</v>
      </c>
      <c r="K898" s="1">
        <f>value(CNY!$B898)</f>
        <v>1540.338983</v>
      </c>
      <c r="L898" s="1">
        <f>value(HKD!$B898)</f>
        <v>1239.230649</v>
      </c>
      <c r="M898" s="1">
        <f>value(TWD!$B898)</f>
        <v>328.3932405</v>
      </c>
      <c r="N898" s="1">
        <f>value(JPY!$B898)</f>
        <v>120.5421225</v>
      </c>
      <c r="O898" s="1">
        <f>value(SAR!$B898)</f>
        <v>2557.127556</v>
      </c>
      <c r="P898" s="1">
        <f>value(AED!$B898)</f>
        <v>2612.24755</v>
      </c>
      <c r="Q898" s="1">
        <f>value(KWD!$B898)</f>
        <v>34076.8063</v>
      </c>
    </row>
    <row r="899">
      <c r="A899" s="4">
        <f>value(USD!A899)</f>
        <v>41209.99861</v>
      </c>
      <c r="B899" s="1">
        <f>value(USD!B899)</f>
        <v>9580</v>
      </c>
      <c r="C899" s="1">
        <f>value(AUD!$B899)</f>
        <v>9898.29772</v>
      </c>
      <c r="D899" s="1">
        <f>value(EUR!$B899)</f>
        <v>12357.3118</v>
      </c>
      <c r="E899" s="1">
        <f>value(GBP!$B899)</f>
        <v>15349.6868</v>
      </c>
      <c r="F899" s="1">
        <f>value(CHF!$B899)</f>
        <v>10224.82568</v>
      </c>
      <c r="G899" s="1">
        <f>value(SGD!$B899)</f>
        <v>7838.490404</v>
      </c>
      <c r="H899" s="1">
        <f>value(MYR!$B899)</f>
        <v>3125.47584</v>
      </c>
      <c r="I899" s="1">
        <f>value(THB!$B899)</f>
        <v>311.207</v>
      </c>
      <c r="J899" s="1">
        <f>value(VND!$B899)</f>
        <v>0.4660775762</v>
      </c>
      <c r="K899" s="1">
        <f>value(CNY!$B899)</f>
        <v>1541.973575</v>
      </c>
      <c r="L899" s="1">
        <f>value(HKD!$B899)</f>
        <v>1235.443912</v>
      </c>
      <c r="M899" s="1">
        <f>value(TWD!$B899)</f>
        <v>327.389764</v>
      </c>
      <c r="N899" s="1">
        <f>value(JPY!$B899)</f>
        <v>119.982268</v>
      </c>
      <c r="O899" s="1">
        <f>value(SAR!$B899)</f>
        <v>2566.057081</v>
      </c>
      <c r="P899" s="1">
        <f>value(AED!$B899)</f>
        <v>2619.024832</v>
      </c>
      <c r="Q899" s="1">
        <f>value(KWD!$B899)</f>
        <v>34328.7003</v>
      </c>
    </row>
    <row r="900">
      <c r="A900" s="4">
        <f>value(USD!A900)</f>
        <v>41210.99861</v>
      </c>
      <c r="B900" s="1">
        <f>value(USD!B900)</f>
        <v>9604.95</v>
      </c>
      <c r="C900" s="1">
        <f>value(AUD!$B900)</f>
        <v>9940.194864</v>
      </c>
      <c r="D900" s="1">
        <f>value(EUR!$B900)</f>
        <v>12425.24358</v>
      </c>
      <c r="E900" s="1">
        <f>value(GBP!$B900)</f>
        <v>15406.45848</v>
      </c>
      <c r="F900" s="1">
        <f>value(CHF!$B900)</f>
        <v>10282.79493</v>
      </c>
      <c r="G900" s="1">
        <f>value(SGD!$B900)</f>
        <v>7859.191833</v>
      </c>
      <c r="H900" s="1">
        <f>value(MYR!$B900)</f>
        <v>3140.532558</v>
      </c>
      <c r="I900" s="1">
        <f>value(THB!$B900)</f>
        <v>311.637609</v>
      </c>
      <c r="J900" s="1">
        <f>value(VND!$B900)</f>
        <v>0.4700684486</v>
      </c>
      <c r="K900" s="1">
        <f>value(CNY!$B900)</f>
        <v>1542.246</v>
      </c>
      <c r="L900" s="1">
        <f>value(HKD!$B900)</f>
        <v>1236.772818</v>
      </c>
      <c r="M900" s="1">
        <f>value(TWD!$B900)</f>
        <v>328.604652</v>
      </c>
      <c r="N900" s="1">
        <f>value(JPY!$B900)</f>
        <v>120.303045</v>
      </c>
      <c r="O900" s="1">
        <f>value(SAR!$B900)</f>
        <v>2554.677621</v>
      </c>
      <c r="P900" s="1">
        <f>value(AED!$B900)</f>
        <v>2608.137632</v>
      </c>
      <c r="Q900" s="1">
        <f>value(KWD!$B900)</f>
        <v>34353.85525</v>
      </c>
    </row>
    <row r="901">
      <c r="A901" s="4">
        <f>value(USD!A901)</f>
        <v>41211.99861</v>
      </c>
      <c r="B901" s="1">
        <f>value(USD!B901)</f>
        <v>9575.6</v>
      </c>
      <c r="C901" s="1">
        <f>value(AUD!$B901)</f>
        <v>9930.312</v>
      </c>
      <c r="D901" s="1">
        <f>value(EUR!$B901)</f>
        <v>12413.3688</v>
      </c>
      <c r="E901" s="1">
        <f>value(GBP!$B901)</f>
        <v>15447.0456</v>
      </c>
      <c r="F901" s="1">
        <f>value(CHF!$B901)</f>
        <v>10278.8784</v>
      </c>
      <c r="G901" s="1">
        <f>value(SGD!$B901)</f>
        <v>7844.6592</v>
      </c>
      <c r="H901" s="1">
        <f>value(MYR!$B901)</f>
        <v>3140.64072</v>
      </c>
      <c r="I901" s="1">
        <f>value(THB!$B901)</f>
        <v>311.98608</v>
      </c>
      <c r="J901" s="1">
        <f>value(VND!$B901)</f>
        <v>0.4669328472</v>
      </c>
      <c r="K901" s="1">
        <f>value(CNY!$B901)</f>
        <v>1543.031685</v>
      </c>
      <c r="L901" s="1">
        <f>value(HKD!$B901)</f>
        <v>1235.59128</v>
      </c>
      <c r="M901" s="1">
        <f>value(TWD!$B901)</f>
        <v>326.92464</v>
      </c>
      <c r="N901" s="1">
        <f>value(JPY!$B901)</f>
        <v>119.89152</v>
      </c>
      <c r="O901" s="1">
        <f>value(SAR!$B901)</f>
        <v>2555.4517</v>
      </c>
      <c r="P901" s="1">
        <f>value(AED!$B901)</f>
        <v>2626.482564</v>
      </c>
      <c r="Q901" s="1">
        <f>value(KWD!$B901)</f>
        <v>34430.05905</v>
      </c>
    </row>
    <row r="902">
      <c r="A902" s="4">
        <f>value(USD!A902)</f>
        <v>41212.99861</v>
      </c>
      <c r="B902" s="1">
        <f>value(USD!B902)</f>
        <v>9585.9</v>
      </c>
      <c r="C902" s="1">
        <f>value(AUD!$B902)</f>
        <v>9986.6698</v>
      </c>
      <c r="D902" s="1">
        <f>value(EUR!$B902)</f>
        <v>12416.19675</v>
      </c>
      <c r="E902" s="1">
        <f>value(GBP!$B902)</f>
        <v>15472.04865</v>
      </c>
      <c r="F902" s="1">
        <f>value(CHF!$B902)</f>
        <v>10295.5161</v>
      </c>
      <c r="G902" s="1">
        <f>value(SGD!$B902)</f>
        <v>7856.97314</v>
      </c>
      <c r="H902" s="1">
        <f>value(MYR!$B902)</f>
        <v>3139.29795</v>
      </c>
      <c r="I902" s="1">
        <f>value(THB!$B902)</f>
        <v>312.011495</v>
      </c>
      <c r="J902" s="1">
        <f>value(VND!$B902)</f>
        <v>0.4611346146</v>
      </c>
      <c r="K902" s="1">
        <f>value(CNY!$B902)</f>
        <v>1541.496855</v>
      </c>
      <c r="L902" s="1">
        <f>value(HKD!$B902)</f>
        <v>1237.49533</v>
      </c>
      <c r="M902" s="1">
        <f>value(TWD!$B902)</f>
        <v>327.64564</v>
      </c>
      <c r="N902" s="1">
        <f>value(JPY!$B902)</f>
        <v>119.606005</v>
      </c>
      <c r="O902" s="1">
        <f>value(SAR!$B902)</f>
        <v>2554.920782</v>
      </c>
      <c r="P902" s="1">
        <f>value(AED!$B902)</f>
        <v>2626.537</v>
      </c>
      <c r="Q902" s="1">
        <f>value(KWD!$B902)</f>
        <v>34461.50259</v>
      </c>
    </row>
    <row r="903">
      <c r="A903" s="4">
        <f>value(USD!A903)</f>
        <v>41213.99861</v>
      </c>
      <c r="B903" s="1">
        <f>value(USD!B903)</f>
        <v>9576</v>
      </c>
      <c r="C903" s="1">
        <f>value(AUD!$B903)</f>
        <v>9907.26272</v>
      </c>
      <c r="D903" s="1">
        <f>value(EUR!$B903)</f>
        <v>12303.56272</v>
      </c>
      <c r="E903" s="1">
        <f>value(GBP!$B903)</f>
        <v>15358.36596</v>
      </c>
      <c r="F903" s="1">
        <f>value(CHF!$B903)</f>
        <v>10188.10908</v>
      </c>
      <c r="G903" s="1">
        <f>value(SGD!$B903)</f>
        <v>7824.207056</v>
      </c>
      <c r="H903" s="1">
        <f>value(MYR!$B903)</f>
        <v>3136.660848</v>
      </c>
      <c r="I903" s="1">
        <f>value(THB!$B903)</f>
        <v>311.03974</v>
      </c>
      <c r="J903" s="1">
        <f>value(VND!$B903)</f>
        <v>0.4613894223</v>
      </c>
      <c r="K903" s="1">
        <f>value(CNY!$B903)</f>
        <v>1554.241977</v>
      </c>
      <c r="L903" s="1">
        <f>value(HKD!$B903)</f>
        <v>1236.682504</v>
      </c>
      <c r="M903" s="1">
        <f>value(TWD!$B903)</f>
        <v>326.663616</v>
      </c>
      <c r="N903" s="1">
        <f>value(JPY!$B903)</f>
        <v>119.144036</v>
      </c>
      <c r="O903" s="1">
        <f>value(SAR!$B903)</f>
        <v>2554.82594</v>
      </c>
      <c r="P903" s="1">
        <f>value(AED!$B903)</f>
        <v>2629.177146</v>
      </c>
      <c r="Q903" s="1">
        <f>value(KWD!$B903)</f>
        <v>34508.71459</v>
      </c>
    </row>
    <row r="904">
      <c r="A904" s="4">
        <f>value(USD!A904)</f>
        <v>41214.99861</v>
      </c>
      <c r="B904" s="1">
        <f>value(USD!B904)</f>
        <v>9591.5</v>
      </c>
      <c r="C904" s="1">
        <f>value(AUD!$B904)</f>
        <v>9913.183</v>
      </c>
      <c r="D904" s="1">
        <f>value(EUR!$B904)</f>
        <v>12311.642</v>
      </c>
      <c r="E904" s="1">
        <f>value(GBP!$B904)</f>
        <v>15373.729</v>
      </c>
      <c r="F904" s="1">
        <f>value(CHF!$B904)</f>
        <v>10194.17</v>
      </c>
      <c r="G904" s="1">
        <f>value(SGD!$B904)</f>
        <v>7828.1252</v>
      </c>
      <c r="H904" s="1">
        <f>value(MYR!$B904)</f>
        <v>3064.005</v>
      </c>
      <c r="I904" s="1">
        <f>value(THB!$B904)</f>
        <v>304.7702</v>
      </c>
      <c r="J904" s="1">
        <f>value(VND!$B904)</f>
        <v>0.4688568588</v>
      </c>
      <c r="K904" s="1">
        <f>value(CNY!$B904)</f>
        <v>1542.789248</v>
      </c>
      <c r="L904" s="1">
        <f>value(HKD!$B904)</f>
        <v>1237.3018</v>
      </c>
      <c r="M904" s="1">
        <f>value(TWD!$B904)</f>
        <v>326.9231</v>
      </c>
      <c r="N904" s="1">
        <f>value(JPY!$B904)</f>
        <v>119.2037</v>
      </c>
      <c r="O904" s="1">
        <f>value(SAR!$B904)</f>
        <v>2556.783302</v>
      </c>
      <c r="P904" s="1">
        <f>value(AED!$B904)</f>
        <v>2631.953382</v>
      </c>
      <c r="Q904" s="1">
        <f>value(KWD!$B904)</f>
        <v>34220.17781</v>
      </c>
    </row>
    <row r="905">
      <c r="A905" s="4">
        <f>value(USD!A905)</f>
        <v>41215.99861</v>
      </c>
      <c r="B905" s="1">
        <f>value(USD!B905)</f>
        <v>9585.2</v>
      </c>
      <c r="C905" s="1">
        <f>value(AUD!$B905)</f>
        <v>9896.46664</v>
      </c>
      <c r="D905" s="1">
        <f>value(EUR!$B905)</f>
        <v>12273.45592</v>
      </c>
      <c r="E905" s="1">
        <f>value(GBP!$B905)</f>
        <v>15327.94456</v>
      </c>
      <c r="F905" s="1">
        <f>value(CHF!$B905)</f>
        <v>10167.275</v>
      </c>
      <c r="G905" s="1">
        <f>value(SGD!$B905)</f>
        <v>7814.974256</v>
      </c>
      <c r="H905" s="1">
        <f>value(MYR!$B905)</f>
        <v>3129.702552</v>
      </c>
      <c r="I905" s="1">
        <f>value(THB!$B905)</f>
        <v>303.917792</v>
      </c>
      <c r="J905" s="1">
        <f>value(VND!$B905)</f>
        <v>0.4695227852</v>
      </c>
      <c r="K905" s="1">
        <f>value(CNY!$B905)</f>
        <v>1542.42088</v>
      </c>
      <c r="L905" s="1">
        <f>value(HKD!$B905)</f>
        <v>1234.618184</v>
      </c>
      <c r="M905" s="1">
        <f>value(TWD!$B905)</f>
        <v>325.926952</v>
      </c>
      <c r="N905" s="1">
        <f>value(JPY!$B905)</f>
        <v>118.849464</v>
      </c>
      <c r="O905" s="1">
        <f>value(SAR!$B905)</f>
        <v>2553.980836</v>
      </c>
      <c r="P905" s="1">
        <f>value(AED!$B905)</f>
        <v>2638.37683</v>
      </c>
      <c r="Q905" s="1">
        <f>value(KWD!$B905)</f>
        <v>34327.86735</v>
      </c>
    </row>
    <row r="906">
      <c r="A906" s="4">
        <f>value(USD!A906)</f>
        <v>41216.99861</v>
      </c>
      <c r="B906" s="1">
        <f>value(USD!B906)</f>
        <v>9590</v>
      </c>
      <c r="C906" s="1">
        <f>value(AUD!$B906)</f>
        <v>9951.0775</v>
      </c>
      <c r="D906" s="1">
        <f>value(EUR!$B906)</f>
        <v>12276.992</v>
      </c>
      <c r="E906" s="1">
        <f>value(GBP!$B906)</f>
        <v>15331.27741</v>
      </c>
      <c r="F906" s="1">
        <f>value(CHF!$B906)</f>
        <v>10166.884</v>
      </c>
      <c r="G906" s="1">
        <f>value(SGD!$B906)</f>
        <v>7833.584122</v>
      </c>
      <c r="H906" s="1">
        <f>value(MYR!$B906)</f>
        <v>3128.618766</v>
      </c>
      <c r="I906" s="1">
        <f>value(THB!$B906)</f>
        <v>311.049102</v>
      </c>
      <c r="J906" s="1">
        <f>value(VND!$B906)</f>
        <v>0.467525363</v>
      </c>
      <c r="K906" s="1">
        <f>value(CNY!$B906)</f>
        <v>1541.79548</v>
      </c>
      <c r="L906" s="1">
        <f>value(HKD!$B906)</f>
        <v>1237.482428</v>
      </c>
      <c r="M906" s="1">
        <f>value(TWD!$B906)</f>
        <v>328.02588</v>
      </c>
      <c r="N906" s="1">
        <f>value(JPY!$B906)</f>
        <v>119.604758</v>
      </c>
      <c r="O906" s="1">
        <f>value(SAR!$B906)</f>
        <v>2566.360797</v>
      </c>
      <c r="P906" s="1">
        <f>value(AED!$B906)</f>
        <v>2616.316641</v>
      </c>
      <c r="Q906" s="1">
        <f>value(KWD!$B906)</f>
        <v>34340.27216</v>
      </c>
    </row>
    <row r="907">
      <c r="A907" s="4">
        <f>value(USD!A907)</f>
        <v>41217.99861</v>
      </c>
      <c r="B907" s="1">
        <f>value(USD!B907)</f>
        <v>9569.2</v>
      </c>
      <c r="C907" s="1">
        <f>value(AUD!$B907)</f>
        <v>10000.31043</v>
      </c>
      <c r="D907" s="1">
        <f>value(EUR!$B907)</f>
        <v>12281.72236</v>
      </c>
      <c r="E907" s="1">
        <f>value(GBP!$B907)</f>
        <v>15336.13664</v>
      </c>
      <c r="F907" s="1">
        <f>value(CHF!$B907)</f>
        <v>10165.07694</v>
      </c>
      <c r="G907" s="1">
        <f>value(SGD!$B907)</f>
        <v>7838.013756</v>
      </c>
      <c r="H907" s="1">
        <f>value(MYR!$B907)</f>
        <v>3129.41278</v>
      </c>
      <c r="I907" s="1">
        <f>value(THB!$B907)</f>
        <v>311.502688</v>
      </c>
      <c r="J907" s="1">
        <f>value(VND!$B907)</f>
        <v>0.4701485909</v>
      </c>
      <c r="K907" s="1">
        <f>value(CNY!$B907)</f>
        <v>1542.38739</v>
      </c>
      <c r="L907" s="1">
        <f>value(HKD!$B907)</f>
        <v>1237.379212</v>
      </c>
      <c r="M907" s="1">
        <f>value(TWD!$B907)</f>
        <v>327.99852</v>
      </c>
      <c r="N907" s="1">
        <f>value(JPY!$B907)</f>
        <v>119.40297</v>
      </c>
      <c r="O907" s="1">
        <f>value(SAR!$B907)</f>
        <v>2553.414097</v>
      </c>
      <c r="P907" s="1">
        <f>value(AED!$B907)</f>
        <v>2624.550086</v>
      </c>
      <c r="Q907" s="1">
        <f>value(KWD!$B907)</f>
        <v>34455.86354</v>
      </c>
    </row>
    <row r="908">
      <c r="A908" s="4">
        <f>value(USD!A908)</f>
        <v>41218.99861</v>
      </c>
      <c r="B908" s="1">
        <f>value(USD!B908)</f>
        <v>9591.4</v>
      </c>
      <c r="C908" s="1">
        <f>value(AUD!$B908)</f>
        <v>9960.738897</v>
      </c>
      <c r="D908" s="1">
        <f>value(EUR!$B908)</f>
        <v>12216.67806</v>
      </c>
      <c r="E908" s="1">
        <f>value(GBP!$B908)</f>
        <v>15300.05346</v>
      </c>
      <c r="F908" s="1">
        <f>value(CHF!$B908)</f>
        <v>10127.26032</v>
      </c>
      <c r="G908" s="1">
        <f>value(SGD!$B908)</f>
        <v>7823.921442</v>
      </c>
      <c r="H908" s="1">
        <f>value(MYR!$B908)</f>
        <v>3131.636928</v>
      </c>
      <c r="I908" s="1">
        <f>value(THB!$B908)</f>
        <v>311.497521</v>
      </c>
      <c r="J908" s="1">
        <f>value(VND!$B908)</f>
        <v>0.4716289469</v>
      </c>
      <c r="K908" s="1">
        <f>value(CNY!$B908)</f>
        <v>1542.8223</v>
      </c>
      <c r="L908" s="1">
        <f>value(HKD!$B908)</f>
        <v>1235.456814</v>
      </c>
      <c r="M908" s="1">
        <f>value(TWD!$B908)</f>
        <v>327.680454</v>
      </c>
      <c r="N908" s="1">
        <f>value(JPY!$B908)</f>
        <v>119.792007</v>
      </c>
      <c r="O908" s="1">
        <f>value(SAR!$B908)</f>
        <v>2555.072159</v>
      </c>
      <c r="P908" s="1">
        <f>value(AED!$B908)</f>
        <v>2625.965422</v>
      </c>
      <c r="Q908" s="1">
        <f>value(KWD!$B908)</f>
        <v>34380.22212</v>
      </c>
    </row>
    <row r="909">
      <c r="A909" s="4">
        <f>value(USD!A909)</f>
        <v>41219.99861</v>
      </c>
      <c r="B909" s="1">
        <f>value(USD!B909)</f>
        <v>9590.6</v>
      </c>
      <c r="C909" s="1">
        <f>value(AUD!$B909)</f>
        <v>9985.872</v>
      </c>
      <c r="D909" s="1">
        <f>value(EUR!$B909)</f>
        <v>12236.53392</v>
      </c>
      <c r="E909" s="1">
        <f>value(GBP!$B909)</f>
        <v>15339.83568</v>
      </c>
      <c r="F909" s="1">
        <f>value(CHF!$B909)</f>
        <v>10148.14242</v>
      </c>
      <c r="G909" s="1">
        <f>value(SGD!$B909)</f>
        <v>7836.893142</v>
      </c>
      <c r="H909" s="1">
        <f>value(MYR!$B909)</f>
        <v>3130.858926</v>
      </c>
      <c r="I909" s="1">
        <f>value(THB!$B909)</f>
        <v>312.634608</v>
      </c>
      <c r="J909" s="1">
        <f>value(VND!$B909)</f>
        <v>0.4709751336</v>
      </c>
      <c r="K909" s="1">
        <f>value(CNY!$B909)</f>
        <v>1540.034646</v>
      </c>
      <c r="L909" s="1">
        <f>value(HKD!$B909)</f>
        <v>1238.728218</v>
      </c>
      <c r="M909" s="1">
        <f>value(TWD!$B909)</f>
        <v>329.533776</v>
      </c>
      <c r="N909" s="1">
        <f>value(JPY!$B909)</f>
        <v>120.790644</v>
      </c>
      <c r="O909" s="1">
        <f>value(SAR!$B909)</f>
        <v>2554.461259</v>
      </c>
      <c r="P909" s="1">
        <f>value(AED!$B909)</f>
        <v>2635.273978</v>
      </c>
      <c r="Q909" s="1">
        <f>value(KWD!$B909)</f>
        <v>34324.01109</v>
      </c>
    </row>
    <row r="910">
      <c r="A910" s="4">
        <f>value(USD!A910)</f>
        <v>41220.99861</v>
      </c>
      <c r="B910" s="1">
        <f>value(USD!B910)</f>
        <v>9575.7</v>
      </c>
      <c r="C910" s="1">
        <f>value(AUD!$B910)</f>
        <v>9961.31646</v>
      </c>
      <c r="D910" s="1">
        <f>value(EUR!$B910)</f>
        <v>12190.2881</v>
      </c>
      <c r="E910" s="1">
        <f>value(GBP!$B910)</f>
        <v>15244.09434</v>
      </c>
      <c r="F910" s="1">
        <f>value(CHF!$B910)</f>
        <v>10109.0194</v>
      </c>
      <c r="G910" s="1">
        <f>value(SGD!$B910)</f>
        <v>7829.790396</v>
      </c>
      <c r="H910" s="1">
        <f>value(MYR!$B910)</f>
        <v>3129.57593</v>
      </c>
      <c r="I910" s="1">
        <f>value(THB!$B910)</f>
        <v>312.765771</v>
      </c>
      <c r="J910" s="1">
        <f>value(VND!$B910)</f>
        <v>0.4716794265</v>
      </c>
      <c r="K910" s="1">
        <f>value(CNY!$B910)</f>
        <v>1541.741432</v>
      </c>
      <c r="L910" s="1">
        <f>value(HKD!$B910)</f>
        <v>1237.2519</v>
      </c>
      <c r="M910" s="1">
        <f>value(TWD!$B910)</f>
        <v>330.221573</v>
      </c>
      <c r="N910" s="1">
        <f>value(JPY!$B910)</f>
        <v>120.656038</v>
      </c>
      <c r="O910" s="1">
        <f>value(SAR!$B910)</f>
        <v>2557.566452</v>
      </c>
      <c r="P910" s="1">
        <f>value(AED!$B910)</f>
        <v>2630.89188</v>
      </c>
      <c r="Q910" s="1">
        <f>value(KWD!$B910)</f>
        <v>34316.88986</v>
      </c>
    </row>
    <row r="911">
      <c r="A911" s="4">
        <f>value(USD!A911)</f>
        <v>41221.99861</v>
      </c>
      <c r="B911" s="1">
        <f>value(USD!B911)</f>
        <v>9601.8</v>
      </c>
      <c r="C911" s="1">
        <f>value(AUD!$B911)</f>
        <v>9964.4075</v>
      </c>
      <c r="D911" s="1">
        <f>value(EUR!$B911)</f>
        <v>12191.407</v>
      </c>
      <c r="E911" s="1">
        <f>value(GBP!$B911)</f>
        <v>15250.293</v>
      </c>
      <c r="F911" s="1">
        <f>value(CHF!$B911)</f>
        <v>10106.4135</v>
      </c>
      <c r="G911" s="1">
        <f>value(SGD!$B911)</f>
        <v>7832.9742</v>
      </c>
      <c r="H911" s="1">
        <f>value(MYR!$B911)</f>
        <v>3068.0972</v>
      </c>
      <c r="I911" s="1">
        <f>value(THB!$B911)</f>
        <v>306.56025</v>
      </c>
      <c r="J911" s="1">
        <f>value(VND!$B911)</f>
        <v>0.4718638862</v>
      </c>
      <c r="K911" s="1">
        <f>value(CNY!$B911)</f>
        <v>1539.84225</v>
      </c>
      <c r="L911" s="1">
        <f>value(HKD!$B911)</f>
        <v>1237.65905</v>
      </c>
      <c r="M911" s="1">
        <f>value(TWD!$B911)</f>
        <v>330.16395</v>
      </c>
      <c r="N911" s="1">
        <f>value(JPY!$B911)</f>
        <v>120.7051</v>
      </c>
      <c r="O911" s="1">
        <f>value(SAR!$B911)</f>
        <v>2560.131249</v>
      </c>
      <c r="P911" s="1">
        <f>value(AED!$B911)</f>
        <v>2623.787982</v>
      </c>
      <c r="Q911" s="1">
        <f>value(KWD!$B911)</f>
        <v>34066.40276</v>
      </c>
    </row>
    <row r="912">
      <c r="A912" s="4">
        <f>value(USD!A912)</f>
        <v>41222.99861</v>
      </c>
      <c r="B912" s="1">
        <f>value(USD!B912)</f>
        <v>9591.1</v>
      </c>
      <c r="C912" s="1">
        <f>value(AUD!$B912)</f>
        <v>10015.93939</v>
      </c>
      <c r="D912" s="1">
        <f>value(EUR!$B912)</f>
        <v>12264.73048</v>
      </c>
      <c r="E912" s="1">
        <f>value(GBP!$B912)</f>
        <v>15324.64476</v>
      </c>
      <c r="F912" s="1">
        <f>value(CHF!$B912)</f>
        <v>10170.14056</v>
      </c>
      <c r="G912" s="1">
        <f>value(SGD!$B912)</f>
        <v>7875.542376</v>
      </c>
      <c r="H912" s="1">
        <f>value(MYR!$B912)</f>
        <v>3087.012796</v>
      </c>
      <c r="I912" s="1">
        <f>value(THB!$B912)</f>
        <v>308.498764</v>
      </c>
      <c r="J912" s="1">
        <f>value(VND!$B912)</f>
        <v>0.4678729596</v>
      </c>
      <c r="K912" s="1">
        <f>value(CNY!$B912)</f>
        <v>1539.84225</v>
      </c>
      <c r="L912" s="1">
        <f>value(HKD!$B912)</f>
        <v>1244.120836</v>
      </c>
      <c r="M912" s="1">
        <f>value(TWD!$B912)</f>
        <v>332.318456</v>
      </c>
      <c r="N912" s="1">
        <f>value(JPY!$B912)</f>
        <v>121.316488</v>
      </c>
      <c r="O912" s="1">
        <f>value(SAR!$B912)</f>
        <v>2560.851863</v>
      </c>
      <c r="P912" s="1">
        <f>value(AED!$B912)</f>
        <v>2623.243622</v>
      </c>
      <c r="Q912" s="1">
        <f>value(KWD!$B912)</f>
        <v>34139.20912</v>
      </c>
    </row>
    <row r="913">
      <c r="A913" s="4">
        <f>value(USD!A913)</f>
        <v>41223.99861</v>
      </c>
      <c r="B913" s="1">
        <f>value(USD!B913)</f>
        <v>9595</v>
      </c>
      <c r="C913" s="1">
        <f>value(AUD!$B913)</f>
        <v>9998.63826</v>
      </c>
      <c r="D913" s="1">
        <f>value(EUR!$B913)</f>
        <v>12186.14007</v>
      </c>
      <c r="E913" s="1">
        <f>value(GBP!$B913)</f>
        <v>15223.32474</v>
      </c>
      <c r="F913" s="1">
        <f>value(CHF!$B913)</f>
        <v>10109.88342</v>
      </c>
      <c r="G913" s="1">
        <f>value(SGD!$B913)</f>
        <v>7842.78378</v>
      </c>
      <c r="H913" s="1">
        <f>value(MYR!$B913)</f>
        <v>3124.838184</v>
      </c>
      <c r="I913" s="1">
        <f>value(THB!$B913)</f>
        <v>312.733161</v>
      </c>
      <c r="J913" s="1">
        <f>value(VND!$B913)</f>
        <v>0.4679559303</v>
      </c>
      <c r="K913" s="1">
        <f>value(CNY!$B913)</f>
        <v>1542.005625</v>
      </c>
      <c r="L913" s="1">
        <f>value(HKD!$B913)</f>
        <v>1237.314702</v>
      </c>
      <c r="M913" s="1">
        <f>value(TWD!$B913)</f>
        <v>330.474846</v>
      </c>
      <c r="N913" s="1">
        <f>value(JPY!$B913)</f>
        <v>120.451656</v>
      </c>
      <c r="O913" s="1">
        <f>value(SAR!$B913)</f>
        <v>2565.509171</v>
      </c>
      <c r="P913" s="1">
        <f>value(AED!$B913)</f>
        <v>2611.049958</v>
      </c>
      <c r="Q913" s="1">
        <f>value(KWD!$B913)</f>
        <v>34183.30257</v>
      </c>
    </row>
    <row r="914">
      <c r="A914" s="4">
        <f>value(USD!A914)</f>
        <v>41224.99861</v>
      </c>
      <c r="B914" s="1">
        <f>value(USD!B914)</f>
        <v>9643.6</v>
      </c>
      <c r="C914" s="1">
        <f>value(AUD!$B914)</f>
        <v>10021.43576</v>
      </c>
      <c r="D914" s="1">
        <f>value(EUR!$B914)</f>
        <v>12193.83432</v>
      </c>
      <c r="E914" s="1">
        <f>value(GBP!$B914)</f>
        <v>15230.77842</v>
      </c>
      <c r="F914" s="1">
        <f>value(CHF!$B914)</f>
        <v>10128.90424</v>
      </c>
      <c r="G914" s="1">
        <f>value(SGD!$B914)</f>
        <v>7845.103086</v>
      </c>
      <c r="H914" s="1">
        <f>value(MYR!$B914)</f>
        <v>3129.05994</v>
      </c>
      <c r="I914" s="1">
        <f>value(THB!$B914)</f>
        <v>312.618132</v>
      </c>
      <c r="J914" s="1">
        <f>value(VND!$B914)</f>
        <v>0.4707440801</v>
      </c>
      <c r="K914" s="1">
        <f>value(CNY!$B914)</f>
        <v>1542.614575</v>
      </c>
      <c r="L914" s="1">
        <f>value(HKD!$B914)</f>
        <v>1237.998508</v>
      </c>
      <c r="M914" s="1">
        <f>value(TWD!$B914)</f>
        <v>330.56153</v>
      </c>
      <c r="N914" s="1">
        <f>value(JPY!$B914)</f>
        <v>120.710132</v>
      </c>
      <c r="O914" s="1">
        <f>value(SAR!$B914)</f>
        <v>2562.810285</v>
      </c>
      <c r="P914" s="1">
        <f>value(AED!$B914)</f>
        <v>2617.745586</v>
      </c>
      <c r="Q914" s="1">
        <f>value(KWD!$B914)</f>
        <v>34209.19903</v>
      </c>
    </row>
    <row r="915">
      <c r="A915" s="4">
        <f>value(USD!A915)</f>
        <v>41225.99861</v>
      </c>
      <c r="B915" s="1">
        <f>value(USD!B915)</f>
        <v>9590.1</v>
      </c>
      <c r="C915" s="1">
        <f>value(AUD!$B915)</f>
        <v>9945.624403</v>
      </c>
      <c r="D915" s="1">
        <f>value(EUR!$B915)</f>
        <v>12214.8169</v>
      </c>
      <c r="E915" s="1">
        <f>value(GBP!$B915)</f>
        <v>15198.9552</v>
      </c>
      <c r="F915" s="1">
        <f>value(CHF!$B915)</f>
        <v>10147.98928</v>
      </c>
      <c r="G915" s="1">
        <f>value(SGD!$B915)</f>
        <v>7842.526549</v>
      </c>
      <c r="H915" s="1">
        <f>value(MYR!$B915)</f>
        <v>3133.633074</v>
      </c>
      <c r="I915" s="1">
        <f>value(THB!$B915)</f>
        <v>312.231062</v>
      </c>
      <c r="J915" s="1">
        <f>value(VND!$B915)</f>
        <v>0.4712401419</v>
      </c>
      <c r="K915" s="1">
        <f>value(CNY!$B915)</f>
        <v>1543.864328</v>
      </c>
      <c r="L915" s="1">
        <f>value(HKD!$B915)</f>
        <v>1237.985606</v>
      </c>
      <c r="M915" s="1">
        <f>value(TWD!$B915)</f>
        <v>330.174273</v>
      </c>
      <c r="N915" s="1">
        <f>value(JPY!$B915)</f>
        <v>119.557438</v>
      </c>
      <c r="O915" s="1">
        <f>value(SAR!$B915)</f>
        <v>2563.954704</v>
      </c>
      <c r="P915" s="1">
        <f>value(AED!$B915)</f>
        <v>2617.96333</v>
      </c>
      <c r="Q915" s="1">
        <f>value(KWD!$B915)</f>
        <v>34197.41307</v>
      </c>
    </row>
    <row r="916">
      <c r="A916" s="4">
        <f>value(USD!A916)</f>
        <v>41226.99861</v>
      </c>
      <c r="B916" s="1">
        <f>value(USD!B916)</f>
        <v>9595.4</v>
      </c>
      <c r="C916" s="1">
        <f>value(AUD!$B916)</f>
        <v>9919.8279</v>
      </c>
      <c r="D916" s="1">
        <f>value(EUR!$B916)</f>
        <v>12264.00855</v>
      </c>
      <c r="E916" s="1">
        <f>value(GBP!$B916)</f>
        <v>15219.42255</v>
      </c>
      <c r="F916" s="1">
        <f>value(CHF!$B916)</f>
        <v>10181.78505</v>
      </c>
      <c r="G916" s="1">
        <f>value(SGD!$B916)</f>
        <v>7838.18013</v>
      </c>
      <c r="H916" s="1">
        <f>value(MYR!$B916)</f>
        <v>3131.01165</v>
      </c>
      <c r="I916" s="1">
        <f>value(THB!$B916)</f>
        <v>312.23757</v>
      </c>
      <c r="J916" s="1">
        <f>value(VND!$B916)</f>
        <v>0.4646891899</v>
      </c>
      <c r="K916" s="1">
        <f>value(CNY!$B916)</f>
        <v>1567.9873</v>
      </c>
      <c r="L916" s="1">
        <f>value(HKD!$B916)</f>
        <v>1237.8195</v>
      </c>
      <c r="M916" s="1">
        <f>value(TWD!$B916)</f>
        <v>330.373065</v>
      </c>
      <c r="N916" s="1">
        <f>value(JPY!$B916)</f>
        <v>118.21656</v>
      </c>
      <c r="O916" s="1">
        <f>value(SAR!$B916)</f>
        <v>2563.077222</v>
      </c>
      <c r="P916" s="1">
        <f>value(AED!$B916)</f>
        <v>2621.528888</v>
      </c>
      <c r="Q916" s="1">
        <f>value(KWD!$B916)</f>
        <v>34221.54024</v>
      </c>
    </row>
    <row r="917">
      <c r="A917" s="4">
        <f>value(USD!A917)</f>
        <v>41227.99861</v>
      </c>
      <c r="B917" s="1">
        <f>value(USD!B917)</f>
        <v>9595.3</v>
      </c>
      <c r="C917" s="1">
        <f>value(AUD!$B917)</f>
        <v>9921.68874</v>
      </c>
      <c r="D917" s="1">
        <f>value(EUR!$B917)</f>
        <v>12227.91993</v>
      </c>
      <c r="E917" s="1">
        <f>value(GBP!$B917)</f>
        <v>15242.43186</v>
      </c>
      <c r="F917" s="1">
        <f>value(CHF!$B917)</f>
        <v>10146.26556</v>
      </c>
      <c r="G917" s="1">
        <f>value(SGD!$B917)</f>
        <v>7818.92031</v>
      </c>
      <c r="H917" s="1">
        <f>value(MYR!$B917)</f>
        <v>3120.754041</v>
      </c>
      <c r="I917" s="1">
        <f>value(THB!$B917)</f>
        <v>311.91225</v>
      </c>
      <c r="J917" s="1">
        <f>value(VND!$B917)</f>
        <v>0.4674797494</v>
      </c>
      <c r="K917" s="1">
        <f>value(CNY!$B917)</f>
        <v>1570.457403</v>
      </c>
      <c r="L917" s="1">
        <f>value(HKD!$B917)</f>
        <v>1237.859754</v>
      </c>
      <c r="M917" s="1">
        <f>value(TWD!$B917)</f>
        <v>328.707525</v>
      </c>
      <c r="N917" s="1">
        <f>value(JPY!$B917)</f>
        <v>118.04679</v>
      </c>
      <c r="O917" s="1">
        <f>value(SAR!$B917)</f>
        <v>2564.019674</v>
      </c>
      <c r="P917" s="1">
        <f>value(AED!$B917)</f>
        <v>2623.325276</v>
      </c>
      <c r="Q917" s="1">
        <f>value(KWD!$B917)</f>
        <v>34239.90012</v>
      </c>
    </row>
    <row r="918">
      <c r="A918" s="4">
        <f>value(USD!A918)</f>
        <v>41228.99861</v>
      </c>
      <c r="B918" s="1">
        <f>value(USD!B918)</f>
        <v>9595.5</v>
      </c>
      <c r="C918" s="1">
        <f>value(AUD!$B918)</f>
        <v>9925.44</v>
      </c>
      <c r="D918" s="1">
        <f>value(EUR!$B918)</f>
        <v>12233.28</v>
      </c>
      <c r="E918" s="1">
        <f>value(GBP!$B918)</f>
        <v>15250.56</v>
      </c>
      <c r="F918" s="1">
        <f>value(CHF!$B918)</f>
        <v>10153.92</v>
      </c>
      <c r="G918" s="1">
        <f>value(SGD!$B918)</f>
        <v>7821.12</v>
      </c>
      <c r="H918" s="1">
        <f>value(MYR!$B918)</f>
        <v>3066.24</v>
      </c>
      <c r="I918" s="1">
        <f>value(THB!$B918)</f>
        <v>306.24</v>
      </c>
      <c r="J918" s="1">
        <f>value(VND!$B918)</f>
        <v>0.4674734439</v>
      </c>
      <c r="K918" s="1">
        <f>value(CNY!$B918)</f>
        <v>1544.858557</v>
      </c>
      <c r="L918" s="1">
        <f>value(HKD!$B918)</f>
        <v>1238.208</v>
      </c>
      <c r="M918" s="1">
        <f>value(TWD!$B918)</f>
        <v>328.992</v>
      </c>
      <c r="N918" s="1">
        <f>value(JPY!$B918)</f>
        <v>118.08</v>
      </c>
      <c r="O918" s="1">
        <f>value(SAR!$B918)</f>
        <v>2562.878368</v>
      </c>
      <c r="P918" s="1">
        <f>value(AED!$B918)</f>
        <v>2625.1761</v>
      </c>
      <c r="Q918" s="1">
        <f>value(KWD!$B918)</f>
        <v>34332.50493</v>
      </c>
    </row>
    <row r="919">
      <c r="A919" s="4">
        <f>value(USD!A919)</f>
        <v>41229.99861</v>
      </c>
      <c r="B919" s="1">
        <f>value(USD!B919)</f>
        <v>9597.3</v>
      </c>
      <c r="C919" s="1">
        <f>value(AUD!$B919)</f>
        <v>9972.410695</v>
      </c>
      <c r="D919" s="1">
        <f>value(EUR!$B919)</f>
        <v>12280.6662</v>
      </c>
      <c r="E919" s="1">
        <f>value(GBP!$B919)</f>
        <v>15306.17298</v>
      </c>
      <c r="F919" s="1">
        <f>value(CHF!$B919)</f>
        <v>10189.93456</v>
      </c>
      <c r="G919" s="1">
        <f>value(SGD!$B919)</f>
        <v>7848.472978</v>
      </c>
      <c r="H919" s="1">
        <f>value(MYR!$B919)</f>
        <v>3078.05901</v>
      </c>
      <c r="I919" s="1">
        <f>value(THB!$B919)</f>
        <v>307.420903</v>
      </c>
      <c r="J919" s="1">
        <f>value(VND!$B919)</f>
        <v>0.4675455627</v>
      </c>
      <c r="K919" s="1">
        <f>value(CNY!$B919)</f>
        <v>1546.544892</v>
      </c>
      <c r="L919" s="1">
        <f>value(HKD!$B919)</f>
        <v>1241.61855</v>
      </c>
      <c r="M919" s="1">
        <f>value(TWD!$B919)</f>
        <v>330.328284</v>
      </c>
      <c r="N919" s="1">
        <f>value(JPY!$B919)</f>
        <v>118.194386</v>
      </c>
      <c r="O919" s="1">
        <f>value(SAR!$B919)</f>
        <v>2616.20556</v>
      </c>
      <c r="P919" s="1">
        <f>value(AED!$B919)</f>
        <v>2627.516848</v>
      </c>
      <c r="Q919" s="1">
        <f>value(KWD!$B919)</f>
        <v>34205.39084</v>
      </c>
    </row>
    <row r="920">
      <c r="A920" s="4">
        <f>value(USD!A920)</f>
        <v>41230.99861</v>
      </c>
      <c r="B920" s="1">
        <f>value(USD!B920)</f>
        <v>9600</v>
      </c>
      <c r="C920" s="1">
        <f>value(AUD!$B920)</f>
        <v>9987.19209</v>
      </c>
      <c r="D920" s="1">
        <f>value(EUR!$B920)</f>
        <v>12263.0392</v>
      </c>
      <c r="E920" s="1">
        <f>value(GBP!$B920)</f>
        <v>15260.34887</v>
      </c>
      <c r="F920" s="1">
        <f>value(CHF!$B920)</f>
        <v>10185.9183</v>
      </c>
      <c r="G920" s="1">
        <f>value(SGD!$B920)</f>
        <v>7838.932959</v>
      </c>
      <c r="H920" s="1">
        <f>value(MYR!$B920)</f>
        <v>3135.073968</v>
      </c>
      <c r="I920" s="1">
        <f>value(THB!$B920)</f>
        <v>312.777774</v>
      </c>
      <c r="J920" s="1">
        <f>value(VND!$B920)</f>
        <v>0.4685161665</v>
      </c>
      <c r="K920" s="1">
        <f>value(CNY!$B920)</f>
        <v>1544.507235</v>
      </c>
      <c r="L920" s="1">
        <f>value(HKD!$B920)</f>
        <v>1238.342697</v>
      </c>
      <c r="M920" s="1">
        <f>value(TWD!$B920)</f>
        <v>329.578299</v>
      </c>
      <c r="N920" s="1">
        <f>value(JPY!$B920)</f>
        <v>117.987687</v>
      </c>
      <c r="O920" s="1">
        <f>value(SAR!$B920)</f>
        <v>2565.746594</v>
      </c>
      <c r="P920" s="1">
        <f>value(AED!$B920)</f>
        <v>2633.314282</v>
      </c>
      <c r="Q920" s="1">
        <f>value(KWD!$B920)</f>
        <v>34249.64555</v>
      </c>
    </row>
    <row r="921">
      <c r="A921" s="4">
        <f>value(USD!A921)</f>
        <v>41231.99861</v>
      </c>
      <c r="B921" s="1">
        <f>value(USD!B921)</f>
        <v>9624.95</v>
      </c>
      <c r="C921" s="1">
        <f>value(AUD!$B921)</f>
        <v>9976.915476</v>
      </c>
      <c r="D921" s="1">
        <f>value(EUR!$B921)</f>
        <v>12308.35824</v>
      </c>
      <c r="E921" s="1">
        <f>value(GBP!$B921)</f>
        <v>15293.25036</v>
      </c>
      <c r="F921" s="1">
        <f>value(CHF!$B921)</f>
        <v>10215.66843</v>
      </c>
      <c r="G921" s="1">
        <f>value(SGD!$B921)</f>
        <v>7841.872467</v>
      </c>
      <c r="H921" s="1">
        <f>value(MYR!$B921)</f>
        <v>3135.67335</v>
      </c>
      <c r="I921" s="1">
        <f>value(THB!$B921)</f>
        <v>312.606945</v>
      </c>
      <c r="J921" s="1">
        <f>value(VND!$B921)</f>
        <v>0.4665324729</v>
      </c>
      <c r="K921" s="1">
        <f>value(CNY!$B921)</f>
        <v>1545.16544</v>
      </c>
      <c r="L921" s="1">
        <f>value(HKD!$B921)</f>
        <v>1239.095178</v>
      </c>
      <c r="M921" s="1">
        <f>value(TWD!$B921)</f>
        <v>329.893965</v>
      </c>
      <c r="N921" s="1">
        <f>value(JPY!$B921)</f>
        <v>117.551736</v>
      </c>
      <c r="O921" s="1">
        <f>value(SAR!$B921)</f>
        <v>2566.513601</v>
      </c>
      <c r="P921" s="1">
        <f>value(AED!$B921)</f>
        <v>2628.03399</v>
      </c>
      <c r="Q921" s="1">
        <f>value(KWD!$B921)</f>
        <v>34273.81391</v>
      </c>
    </row>
    <row r="922">
      <c r="A922" s="4">
        <f>value(USD!A922)</f>
        <v>41232.99861</v>
      </c>
      <c r="B922" s="1">
        <f>value(USD!B922)</f>
        <v>9600.3</v>
      </c>
      <c r="C922" s="1">
        <f>value(AUD!$B922)</f>
        <v>9968.299735</v>
      </c>
      <c r="D922" s="1">
        <f>value(EUR!$B922)</f>
        <v>12349.79135</v>
      </c>
      <c r="E922" s="1">
        <f>value(GBP!$B922)</f>
        <v>15336.52552</v>
      </c>
      <c r="F922" s="1">
        <f>value(CHF!$B922)</f>
        <v>10250.02905</v>
      </c>
      <c r="G922" s="1">
        <f>value(SGD!$B922)</f>
        <v>7841.834145</v>
      </c>
      <c r="H922" s="1">
        <f>value(MYR!$B922)</f>
        <v>3134.754925</v>
      </c>
      <c r="I922" s="1">
        <f>value(THB!$B922)</f>
        <v>312.659025</v>
      </c>
      <c r="J922" s="1">
        <f>value(VND!$B922)</f>
        <v>0.470109323</v>
      </c>
      <c r="K922" s="1">
        <f>value(CNY!$B922)</f>
        <v>1542.723294</v>
      </c>
      <c r="L922" s="1">
        <f>value(HKD!$B922)</f>
        <v>1239.205555</v>
      </c>
      <c r="M922" s="1">
        <f>value(TWD!$B922)</f>
        <v>331.101585</v>
      </c>
      <c r="N922" s="1">
        <f>value(JPY!$B922)</f>
        <v>116.322605</v>
      </c>
      <c r="O922" s="1">
        <f>value(SAR!$B922)</f>
        <v>2568.549434</v>
      </c>
      <c r="P922" s="1">
        <f>value(AED!$B922)</f>
        <v>2633.20541</v>
      </c>
      <c r="Q922" s="1">
        <f>value(KWD!$B922)</f>
        <v>34303.92372</v>
      </c>
    </row>
    <row r="923">
      <c r="A923" s="4">
        <f>value(USD!A923)</f>
        <v>41233.99861</v>
      </c>
      <c r="B923" s="1">
        <f>value(USD!B923)</f>
        <v>9603.9</v>
      </c>
      <c r="C923" s="1">
        <f>value(AUD!$B923)</f>
        <v>9961.2843</v>
      </c>
      <c r="D923" s="1">
        <f>value(EUR!$B923)</f>
        <v>12352.626</v>
      </c>
      <c r="E923" s="1">
        <f>value(GBP!$B923)</f>
        <v>15294.413</v>
      </c>
      <c r="F923" s="1">
        <f>value(CHF!$B923)</f>
        <v>10256.4228</v>
      </c>
      <c r="G923" s="1">
        <f>value(SGD!$B923)</f>
        <v>7834.8474</v>
      </c>
      <c r="H923" s="1">
        <f>value(MYR!$B923)</f>
        <v>3132.59524</v>
      </c>
      <c r="I923" s="1">
        <f>value(THB!$B923)</f>
        <v>312.22294</v>
      </c>
      <c r="J923" s="1">
        <f>value(VND!$B923)</f>
        <v>0.4703166911</v>
      </c>
      <c r="K923" s="1">
        <f>value(CNY!$B923)</f>
        <v>1542.546623</v>
      </c>
      <c r="L923" s="1">
        <f>value(HKD!$B923)</f>
        <v>1238.23798</v>
      </c>
      <c r="M923" s="1">
        <f>value(TWD!$B923)</f>
        <v>329.30738</v>
      </c>
      <c r="N923" s="1">
        <f>value(JPY!$B923)</f>
        <v>116.51972</v>
      </c>
      <c r="O923" s="1">
        <f>value(SAR!$B923)</f>
        <v>2568.866085</v>
      </c>
      <c r="P923" s="1">
        <f>value(AED!$B923)</f>
        <v>2633.47759</v>
      </c>
      <c r="Q923" s="1">
        <f>value(KWD!$B923)</f>
        <v>34258.8007</v>
      </c>
    </row>
    <row r="924">
      <c r="A924" s="4">
        <f>value(USD!A924)</f>
        <v>41234.99861</v>
      </c>
      <c r="B924" s="1">
        <f>value(USD!B924)</f>
        <v>9605.5</v>
      </c>
      <c r="C924" s="1">
        <f>value(AUD!$B924)</f>
        <v>10018.86858</v>
      </c>
      <c r="D924" s="1">
        <f>value(EUR!$B924)</f>
        <v>12432.09577</v>
      </c>
      <c r="E924" s="1">
        <f>value(GBP!$B924)</f>
        <v>15356.9003</v>
      </c>
      <c r="F924" s="1">
        <f>value(CHF!$B924)</f>
        <v>10319.68372</v>
      </c>
      <c r="G924" s="1">
        <f>value(SGD!$B924)</f>
        <v>7834.222576</v>
      </c>
      <c r="H924" s="1">
        <f>value(MYR!$B924)</f>
        <v>3127.998451</v>
      </c>
      <c r="I924" s="1">
        <f>value(THB!$B924)</f>
        <v>311.640653</v>
      </c>
      <c r="J924" s="1">
        <f>value(VND!$B924)</f>
        <v>0.4706485117</v>
      </c>
      <c r="K924" s="1">
        <f>value(CNY!$B924)</f>
        <v>1546.354639</v>
      </c>
      <c r="L924" s="1">
        <f>value(HKD!$B924)</f>
        <v>1236.024502</v>
      </c>
      <c r="M924" s="1">
        <f>value(TWD!$B924)</f>
        <v>330.417649</v>
      </c>
      <c r="N924" s="1">
        <f>value(JPY!$B924)</f>
        <v>116.206613</v>
      </c>
      <c r="O924" s="1">
        <f>value(SAR!$B924)</f>
        <v>2567.203491</v>
      </c>
      <c r="P924" s="1">
        <f>value(AED!$B924)</f>
        <v>2635.79112</v>
      </c>
      <c r="Q924" s="1">
        <f>value(KWD!$B924)</f>
        <v>34266.23564</v>
      </c>
    </row>
    <row r="925">
      <c r="A925" s="4">
        <f>value(USD!A925)</f>
        <v>41235.99861</v>
      </c>
      <c r="B925" s="1">
        <f>value(USD!B925)</f>
        <v>9598</v>
      </c>
      <c r="C925" s="1">
        <f>value(AUD!$B925)</f>
        <v>10015.8024</v>
      </c>
      <c r="D925" s="1">
        <f>value(EUR!$B925)</f>
        <v>12426.8367</v>
      </c>
      <c r="E925" s="1">
        <f>value(GBP!$B925)</f>
        <v>15354.1791</v>
      </c>
      <c r="F925" s="1">
        <f>value(CHF!$B925)</f>
        <v>10321.3725</v>
      </c>
      <c r="G925" s="1">
        <f>value(SGD!$B925)</f>
        <v>7833.32304</v>
      </c>
      <c r="H925" s="1">
        <f>value(MYR!$B925)</f>
        <v>3087.3117</v>
      </c>
      <c r="I925" s="1">
        <f>value(THB!$B925)</f>
        <v>307.67748</v>
      </c>
      <c r="J925" s="1">
        <f>value(VND!$B925)</f>
        <v>0.4702879053</v>
      </c>
      <c r="K925" s="1">
        <f>value(CNY!$B925)</f>
        <v>1542.179604</v>
      </c>
      <c r="L925" s="1">
        <f>value(HKD!$B925)</f>
        <v>1235.78679</v>
      </c>
      <c r="M925" s="1">
        <f>value(TWD!$B925)</f>
        <v>330.4755</v>
      </c>
      <c r="N925" s="1">
        <f>value(JPY!$B925)</f>
        <v>116.19327</v>
      </c>
      <c r="O925" s="1">
        <f>value(SAR!$B925)</f>
        <v>2571.215007</v>
      </c>
      <c r="P925" s="1">
        <f>value(AED!$B925)</f>
        <v>2633.722552</v>
      </c>
      <c r="Q925" s="1">
        <f>value(KWD!$B925)</f>
        <v>34163.35544</v>
      </c>
    </row>
    <row r="926">
      <c r="A926" s="4">
        <f>value(USD!A926)</f>
        <v>41236.99861</v>
      </c>
      <c r="B926" s="1">
        <f>value(USD!B926)</f>
        <v>9580.1</v>
      </c>
      <c r="C926" s="1">
        <f>value(AUD!$B926)</f>
        <v>10047.31723</v>
      </c>
      <c r="D926" s="1">
        <f>value(EUR!$B926)</f>
        <v>12461.58018</v>
      </c>
      <c r="E926" s="1">
        <f>value(GBP!$B926)</f>
        <v>15402.98988</v>
      </c>
      <c r="F926" s="1">
        <f>value(CHF!$B926)</f>
        <v>10351.6474</v>
      </c>
      <c r="G926" s="1">
        <f>value(SGD!$B926)</f>
        <v>7863.560847</v>
      </c>
      <c r="H926" s="1">
        <f>value(MYR!$B926)</f>
        <v>3096.07402</v>
      </c>
      <c r="I926" s="1">
        <f>value(THB!$B926)</f>
        <v>308.559645</v>
      </c>
      <c r="J926" s="1">
        <f>value(VND!$B926)</f>
        <v>0.4652512545</v>
      </c>
      <c r="K926" s="1">
        <f>value(CNY!$B926)</f>
        <v>1545.998688</v>
      </c>
      <c r="L926" s="1">
        <f>value(HKD!$B926)</f>
        <v>1240.198299</v>
      </c>
      <c r="M926" s="1">
        <f>value(TWD!$B926)</f>
        <v>331.3411515</v>
      </c>
      <c r="N926" s="1">
        <f>value(JPY!$B926)</f>
        <v>116.502894</v>
      </c>
      <c r="O926" s="1">
        <f>value(SAR!$B926)</f>
        <v>2571.150119</v>
      </c>
      <c r="P926" s="1">
        <f>value(AED!$B926)</f>
        <v>2634.29413</v>
      </c>
      <c r="Q926" s="1">
        <f>value(KWD!$B926)</f>
        <v>34034.47168</v>
      </c>
    </row>
    <row r="927">
      <c r="A927" s="4">
        <f>value(USD!A927)</f>
        <v>41237.99861</v>
      </c>
      <c r="B927" s="1">
        <f>value(USD!B927)</f>
        <v>9579</v>
      </c>
      <c r="C927" s="1">
        <f>value(AUD!$B927)</f>
        <v>10022.95163</v>
      </c>
      <c r="D927" s="1">
        <f>value(EUR!$B927)</f>
        <v>12429.22188</v>
      </c>
      <c r="E927" s="1">
        <f>value(GBP!$B927)</f>
        <v>15342.95185</v>
      </c>
      <c r="F927" s="1">
        <f>value(CHF!$B927)</f>
        <v>10324.34557</v>
      </c>
      <c r="G927" s="1">
        <f>value(SGD!$B927)</f>
        <v>7835.381015</v>
      </c>
      <c r="H927" s="1">
        <f>value(MYR!$B927)</f>
        <v>3132.333897</v>
      </c>
      <c r="I927" s="1">
        <f>value(THB!$B927)</f>
        <v>311.730727</v>
      </c>
      <c r="J927" s="1">
        <f>value(VND!$B927)</f>
        <v>0.4662240439</v>
      </c>
      <c r="K927" s="1">
        <f>value(CNY!$B927)</f>
        <v>1545.96772</v>
      </c>
      <c r="L927" s="1">
        <f>value(HKD!$B927)</f>
        <v>1234.863322</v>
      </c>
      <c r="M927" s="1">
        <f>value(TWD!$B927)</f>
        <v>329.341551</v>
      </c>
      <c r="N927" s="1">
        <f>value(JPY!$B927)</f>
        <v>116.863131</v>
      </c>
      <c r="O927" s="1">
        <f>value(SAR!$B927)</f>
        <v>2570.2007</v>
      </c>
      <c r="P927" s="1">
        <f>value(AED!$B927)</f>
        <v>2628.523914</v>
      </c>
      <c r="Q927" s="1">
        <f>value(KWD!$B927)</f>
        <v>34126.98286</v>
      </c>
    </row>
    <row r="928">
      <c r="A928" s="4">
        <f>value(USD!A928)</f>
        <v>41238.99861</v>
      </c>
      <c r="B928" s="1">
        <f>value(USD!B928)</f>
        <v>9612.45</v>
      </c>
      <c r="C928" s="1">
        <f>value(AUD!$B928)</f>
        <v>9995.72631</v>
      </c>
      <c r="D928" s="1">
        <f>value(EUR!$B928)</f>
        <v>12381.95112</v>
      </c>
      <c r="E928" s="1">
        <f>value(GBP!$B928)</f>
        <v>15332.90623</v>
      </c>
      <c r="F928" s="1">
        <f>value(CHF!$B928)</f>
        <v>10282.87731</v>
      </c>
      <c r="G928" s="1">
        <f>value(SGD!$B928)</f>
        <v>7823.620429</v>
      </c>
      <c r="H928" s="1">
        <f>value(MYR!$B928)</f>
        <v>3137.986128</v>
      </c>
      <c r="I928" s="1">
        <f>value(THB!$B928)</f>
        <v>311.654552</v>
      </c>
      <c r="J928" s="1">
        <f>value(VND!$B928)</f>
        <v>0.4700466404</v>
      </c>
      <c r="K928" s="1">
        <f>value(CNY!$B928)</f>
        <v>1545.453516</v>
      </c>
      <c r="L928" s="1">
        <f>value(HKD!$B928)</f>
        <v>1235.036451</v>
      </c>
      <c r="M928" s="1">
        <f>value(TWD!$B928)</f>
        <v>328.405027</v>
      </c>
      <c r="N928" s="1">
        <f>value(JPY!$B928)</f>
        <v>116.583306</v>
      </c>
      <c r="O928" s="1">
        <f>value(SAR!$B928)</f>
        <v>2571.302746</v>
      </c>
      <c r="P928" s="1">
        <f>value(AED!$B928)</f>
        <v>2622.127684</v>
      </c>
      <c r="Q928" s="1">
        <f>value(KWD!$B928)</f>
        <v>34145.73065</v>
      </c>
    </row>
    <row r="929">
      <c r="A929" s="4">
        <f>value(USD!A929)</f>
        <v>41239.99861</v>
      </c>
      <c r="B929" s="1">
        <f>value(USD!B929)</f>
        <v>9571.1</v>
      </c>
      <c r="C929" s="1">
        <f>value(AUD!$B929)</f>
        <v>10022.31765</v>
      </c>
      <c r="D929" s="1">
        <f>value(EUR!$B929)</f>
        <v>12395.0925</v>
      </c>
      <c r="E929" s="1">
        <f>value(GBP!$B929)</f>
        <v>15326.84295</v>
      </c>
      <c r="F929" s="1">
        <f>value(CHF!$B929)</f>
        <v>10298.934</v>
      </c>
      <c r="G929" s="1">
        <f>value(SGD!$B929)</f>
        <v>7829.10414</v>
      </c>
      <c r="H929" s="1">
        <f>value(MYR!$B929)</f>
        <v>3138.016275</v>
      </c>
      <c r="I929" s="1">
        <f>value(THB!$B929)</f>
        <v>311.45661</v>
      </c>
      <c r="J929" s="1">
        <f>value(VND!$B929)</f>
        <v>0.4707585208</v>
      </c>
      <c r="K929" s="1">
        <f>value(CNY!$B929)</f>
        <v>1542.481701</v>
      </c>
      <c r="L929" s="1">
        <f>value(HKD!$B929)</f>
        <v>1235.010645</v>
      </c>
      <c r="M929" s="1">
        <f>value(TWD!$B929)</f>
        <v>329.738175</v>
      </c>
      <c r="N929" s="1">
        <f>value(JPY!$B929)</f>
        <v>116.485155</v>
      </c>
      <c r="O929" s="1">
        <f>value(SAR!$B929)</f>
        <v>2570.26183</v>
      </c>
      <c r="P929" s="1">
        <f>value(AED!$B929)</f>
        <v>2625.910986</v>
      </c>
      <c r="Q929" s="1">
        <f>value(KWD!$B929)</f>
        <v>34157.48141</v>
      </c>
    </row>
    <row r="930">
      <c r="A930" s="4">
        <f>value(USD!A930)</f>
        <v>41240.99861</v>
      </c>
      <c r="B930" s="1">
        <f>value(USD!B930)</f>
        <v>9571.7</v>
      </c>
      <c r="C930" s="1">
        <f>value(AUD!$B930)</f>
        <v>9980.09878</v>
      </c>
      <c r="D930" s="1">
        <f>value(EUR!$B930)</f>
        <v>12417.93436</v>
      </c>
      <c r="E930" s="1">
        <f>value(GBP!$B930)</f>
        <v>15346.78276</v>
      </c>
      <c r="F930" s="1">
        <f>value(CHF!$B930)</f>
        <v>10315.09778</v>
      </c>
      <c r="G930" s="1">
        <f>value(SGD!$B930)</f>
        <v>7840.508024</v>
      </c>
      <c r="H930" s="1">
        <f>value(MYR!$B930)</f>
        <v>3139.132058</v>
      </c>
      <c r="I930" s="1">
        <f>value(THB!$B930)</f>
        <v>311.453356</v>
      </c>
      <c r="J930" s="1">
        <f>value(VND!$B930)</f>
        <v>0.4711491637</v>
      </c>
      <c r="K930" s="1">
        <f>value(CNY!$B930)</f>
        <v>1542.015874</v>
      </c>
      <c r="L930" s="1">
        <f>value(HKD!$B930)</f>
        <v>1234.997742</v>
      </c>
      <c r="M930" s="1">
        <f>value(TWD!$B930)</f>
        <v>329.064732</v>
      </c>
      <c r="N930" s="1">
        <f>value(JPY!$B930)</f>
        <v>116.483938</v>
      </c>
      <c r="O930" s="1">
        <f>value(SAR!$B930)</f>
        <v>2565.617743</v>
      </c>
      <c r="P930" s="1">
        <f>value(AED!$B930)</f>
        <v>2627.35354</v>
      </c>
      <c r="Q930" s="1">
        <f>value(KWD!$B930)</f>
        <v>34087.46963</v>
      </c>
    </row>
    <row r="931">
      <c r="A931" s="4">
        <f>value(USD!A931)</f>
        <v>41241.99861</v>
      </c>
      <c r="B931" s="1">
        <f>value(USD!B931)</f>
        <v>9571.5</v>
      </c>
      <c r="C931" s="1">
        <f>value(AUD!$B931)</f>
        <v>9987.5867</v>
      </c>
      <c r="D931" s="1">
        <f>value(EUR!$B931)</f>
        <v>12438.98075</v>
      </c>
      <c r="E931" s="1">
        <f>value(GBP!$B931)</f>
        <v>15335.82155</v>
      </c>
      <c r="F931" s="1">
        <f>value(CHF!$B931)</f>
        <v>10317.1215</v>
      </c>
      <c r="G931" s="1">
        <f>value(SGD!$B931)</f>
        <v>7848.48435</v>
      </c>
      <c r="H931" s="1">
        <f>value(MYR!$B931)</f>
        <v>3148.01529</v>
      </c>
      <c r="I931" s="1">
        <f>value(THB!$B931)</f>
        <v>311.52534</v>
      </c>
      <c r="J931" s="1">
        <f>value(VND!$B931)</f>
        <v>0.4628970492</v>
      </c>
      <c r="K931" s="1">
        <f>value(CNY!$B931)</f>
        <v>1538.906912</v>
      </c>
      <c r="L931" s="1">
        <f>value(HKD!$B931)</f>
        <v>1235.94709</v>
      </c>
      <c r="M931" s="1">
        <f>value(TWD!$B931)</f>
        <v>328.96003</v>
      </c>
      <c r="N931" s="1">
        <f>value(JPY!$B931)</f>
        <v>116.10354</v>
      </c>
      <c r="O931" s="1">
        <f>value(SAR!$B931)</f>
        <v>2565.577708</v>
      </c>
      <c r="P931" s="1">
        <f>value(AED!$B931)</f>
        <v>2634.02195</v>
      </c>
      <c r="Q931" s="1">
        <f>value(KWD!$B931)</f>
        <v>34087.87559</v>
      </c>
    </row>
    <row r="932">
      <c r="A932" s="4">
        <f>value(USD!A932)</f>
        <v>41242.99861</v>
      </c>
      <c r="B932" s="1">
        <f>value(USD!B932)</f>
        <v>9571.4</v>
      </c>
      <c r="C932" s="1">
        <f>value(AUD!$B932)</f>
        <v>9981.4239</v>
      </c>
      <c r="D932" s="1">
        <f>value(EUR!$B932)</f>
        <v>12424.3896</v>
      </c>
      <c r="E932" s="1">
        <f>value(GBP!$B932)</f>
        <v>15324.7535</v>
      </c>
      <c r="F932" s="1">
        <f>value(CHF!$B932)</f>
        <v>10306.7699</v>
      </c>
      <c r="G932" s="1">
        <f>value(SGD!$B932)</f>
        <v>7833.85323</v>
      </c>
      <c r="H932" s="1">
        <f>value(MYR!$B932)</f>
        <v>3081.12231</v>
      </c>
      <c r="I932" s="1">
        <f>value(THB!$B932)</f>
        <v>305.34679</v>
      </c>
      <c r="J932" s="1">
        <f>value(VND!$B932)</f>
        <v>0.4697160812</v>
      </c>
      <c r="K932" s="1">
        <f>value(CNY!$B932)</f>
        <v>1539.643632</v>
      </c>
      <c r="L932" s="1">
        <f>value(HKD!$B932)</f>
        <v>1234.49669</v>
      </c>
      <c r="M932" s="1">
        <f>value(TWD!$B932)</f>
        <v>328.59946</v>
      </c>
      <c r="N932" s="1">
        <f>value(JPY!$B932)</f>
        <v>116.07197</v>
      </c>
      <c r="O932" s="1">
        <f>value(SAR!$B932)</f>
        <v>2564.588385</v>
      </c>
      <c r="P932" s="1">
        <f>value(AED!$B932)</f>
        <v>2630.293084</v>
      </c>
      <c r="Q932" s="1">
        <f>value(KWD!$B932)</f>
        <v>34103.46822</v>
      </c>
    </row>
    <row r="933">
      <c r="A933" s="4">
        <f>value(USD!A933)</f>
        <v>41243.99861</v>
      </c>
      <c r="B933" s="1">
        <f>value(USD!B933)</f>
        <v>9579.5</v>
      </c>
      <c r="C933" s="1">
        <f>value(AUD!$B933)</f>
        <v>10022.88397</v>
      </c>
      <c r="D933" s="1">
        <f>value(EUR!$B933)</f>
        <v>12494.32612</v>
      </c>
      <c r="E933" s="1">
        <f>value(GBP!$B933)</f>
        <v>15404.03747</v>
      </c>
      <c r="F933" s="1">
        <f>value(CHF!$B933)</f>
        <v>10364.42241</v>
      </c>
      <c r="G933" s="1">
        <f>value(SGD!$B933)</f>
        <v>7879.037957</v>
      </c>
      <c r="H933" s="1">
        <f>value(MYR!$B933)</f>
        <v>3098.076724</v>
      </c>
      <c r="I933" s="1">
        <f>value(THB!$B933)</f>
        <v>307.0192111</v>
      </c>
      <c r="J933" s="1">
        <f>value(VND!$B933)</f>
        <v>0.4688920168</v>
      </c>
      <c r="K933" s="1">
        <f>value(CNY!$B933)</f>
        <v>1540.974233</v>
      </c>
      <c r="L933" s="1">
        <f>value(HKD!$B933)</f>
        <v>1240.672997</v>
      </c>
      <c r="M933" s="1">
        <f>value(TWD!$B933)</f>
        <v>330.3845942</v>
      </c>
      <c r="N933" s="1">
        <f>value(JPY!$B933)</f>
        <v>116.6346079</v>
      </c>
      <c r="O933" s="1">
        <f>value(SAR!$B933)</f>
        <v>2564.725313</v>
      </c>
      <c r="P933" s="1">
        <f>value(AED!$B933)</f>
        <v>2628.932184</v>
      </c>
      <c r="Q933" s="1">
        <f>value(KWD!$B933)</f>
        <v>34014.37507</v>
      </c>
    </row>
    <row r="934">
      <c r="A934" s="4">
        <f>value(USD!A934)</f>
        <v>41244.99861</v>
      </c>
      <c r="B934" s="1">
        <f>value(USD!B934)</f>
        <v>9569</v>
      </c>
      <c r="C934" s="1">
        <f>value(AUD!$B934)</f>
        <v>9978.83392</v>
      </c>
      <c r="D934" s="1">
        <f>value(EUR!$B934)</f>
        <v>12496.59549</v>
      </c>
      <c r="E934" s="1">
        <f>value(GBP!$B934)</f>
        <v>15397.555</v>
      </c>
      <c r="F934" s="1">
        <f>value(CHF!$B934)</f>
        <v>10340.4136</v>
      </c>
      <c r="G934" s="1">
        <f>value(SGD!$B934)</f>
        <v>7847.522584</v>
      </c>
      <c r="H934" s="1">
        <f>value(MYR!$B934)</f>
        <v>3143.925752</v>
      </c>
      <c r="I934" s="1">
        <f>value(THB!$B934)</f>
        <v>312.029872</v>
      </c>
      <c r="J934" s="1">
        <f>value(VND!$B934)</f>
        <v>0.4643242662</v>
      </c>
      <c r="K934" s="1">
        <f>value(CNY!$B934)</f>
        <v>1540.9746</v>
      </c>
      <c r="L934" s="1">
        <f>value(HKD!$B934)</f>
        <v>1234.249368</v>
      </c>
      <c r="M934" s="1">
        <f>value(TWD!$B934)</f>
        <v>329.821888</v>
      </c>
      <c r="N934" s="1">
        <f>value(JPY!$B934)</f>
        <v>116.413352</v>
      </c>
      <c r="O934" s="1">
        <f>value(SAR!$B934)</f>
        <v>2568.122948</v>
      </c>
      <c r="P934" s="1">
        <f>value(AED!$B934)</f>
        <v>2630.320302</v>
      </c>
      <c r="Q934" s="1">
        <f>value(KWD!$B934)</f>
        <v>34011.55549</v>
      </c>
    </row>
    <row r="935">
      <c r="A935" s="4">
        <f>value(USD!A935)</f>
        <v>41245.99861</v>
      </c>
      <c r="B935" s="1">
        <f>value(USD!B935)</f>
        <v>9615.384</v>
      </c>
      <c r="C935" s="1">
        <f>value(AUD!$B935)</f>
        <v>10024.51656</v>
      </c>
      <c r="D935" s="1">
        <f>value(EUR!$B935)</f>
        <v>12537.49082</v>
      </c>
      <c r="E935" s="1">
        <f>value(GBP!$B935)</f>
        <v>15412.92158</v>
      </c>
      <c r="F935" s="1">
        <f>value(CHF!$B935)</f>
        <v>10328.95704</v>
      </c>
      <c r="G935" s="1">
        <f>value(SGD!$B935)</f>
        <v>7859.734128</v>
      </c>
      <c r="H935" s="1">
        <f>value(MYR!$B935)</f>
        <v>3144.353184</v>
      </c>
      <c r="I935" s="1">
        <f>value(THB!$B935)</f>
        <v>311.812152</v>
      </c>
      <c r="J935" s="1">
        <f>value(VND!$B935)</f>
        <v>0.4679033874</v>
      </c>
      <c r="K935" s="1">
        <f>value(CNY!$B935)</f>
        <v>1544.3952</v>
      </c>
      <c r="L935" s="1">
        <f>value(HKD!$B935)</f>
        <v>1235.281608</v>
      </c>
      <c r="M935" s="1">
        <f>value(TWD!$B935)</f>
        <v>329.523312</v>
      </c>
      <c r="N935" s="1">
        <f>value(JPY!$B935)</f>
        <v>116.989392</v>
      </c>
      <c r="O935" s="1">
        <f>value(SAR!$B935)</f>
        <v>2569.411373</v>
      </c>
      <c r="P935" s="1">
        <f>value(AED!$B935)</f>
        <v>2626.781962</v>
      </c>
      <c r="Q935" s="1">
        <f>value(KWD!$B935)</f>
        <v>34056.35757</v>
      </c>
    </row>
    <row r="936">
      <c r="A936" s="4">
        <f>value(USD!A936)</f>
        <v>41246.99861</v>
      </c>
      <c r="B936" s="1">
        <f>value(USD!B936)</f>
        <v>9565.6</v>
      </c>
      <c r="C936" s="1">
        <f>value(AUD!$B936)</f>
        <v>9994.78644</v>
      </c>
      <c r="D936" s="1">
        <f>value(EUR!$B936)</f>
        <v>12507.12144</v>
      </c>
      <c r="E936" s="1">
        <f>value(GBP!$B936)</f>
        <v>15399.5129</v>
      </c>
      <c r="F936" s="1">
        <f>value(CHF!$B936)</f>
        <v>10325.93612</v>
      </c>
      <c r="G936" s="1">
        <f>value(SGD!$B936)</f>
        <v>7851.310072</v>
      </c>
      <c r="H936" s="1">
        <f>value(MYR!$B936)</f>
        <v>3143.912092</v>
      </c>
      <c r="I936" s="1">
        <f>value(THB!$B936)</f>
        <v>311.720956</v>
      </c>
      <c r="J936" s="1">
        <f>value(VND!$B936)</f>
        <v>0.4682739801</v>
      </c>
      <c r="K936" s="1">
        <f>value(CNY!$B936)</f>
        <v>1537.9752</v>
      </c>
      <c r="L936" s="1">
        <f>value(HKD!$B936)</f>
        <v>1234.920324</v>
      </c>
      <c r="M936" s="1">
        <f>value(TWD!$B936)</f>
        <v>329.139812</v>
      </c>
      <c r="N936" s="1">
        <f>value(JPY!$B936)</f>
        <v>116.093804</v>
      </c>
      <c r="O936" s="1">
        <f>value(SAR!$B936)</f>
        <v>2570.967282</v>
      </c>
      <c r="P936" s="1">
        <f>value(AED!$B936)</f>
        <v>2626.564218</v>
      </c>
      <c r="Q936" s="1">
        <f>value(KWD!$B936)</f>
        <v>34051.83682</v>
      </c>
    </row>
    <row r="937">
      <c r="A937" s="4">
        <f>value(USD!A937)</f>
        <v>41247.99861</v>
      </c>
      <c r="B937" s="1">
        <f>value(USD!B937)</f>
        <v>9573.6</v>
      </c>
      <c r="C937" s="1">
        <f>value(AUD!$B937)</f>
        <v>10032.16039</v>
      </c>
      <c r="D937" s="1">
        <f>value(EUR!$B937)</f>
        <v>12418.47515</v>
      </c>
      <c r="E937" s="1">
        <f>value(GBP!$B937)</f>
        <v>15375.42832</v>
      </c>
      <c r="F937" s="1">
        <f>value(CHF!$B937)</f>
        <v>10272.64098</v>
      </c>
      <c r="G937" s="1">
        <f>value(SGD!$B937)</f>
        <v>7847.427763</v>
      </c>
      <c r="H937" s="1">
        <f>value(MYR!$B937)</f>
        <v>3140.139975</v>
      </c>
      <c r="I937" s="1">
        <f>value(THB!$B937)</f>
        <v>312.049913</v>
      </c>
      <c r="J937" s="1">
        <f>value(VND!$B937)</f>
        <v>0.4727881172</v>
      </c>
      <c r="K937" s="1">
        <f>value(CNY!$B937)</f>
        <v>1545.53412</v>
      </c>
      <c r="L937" s="1">
        <f>value(HKD!$B937)</f>
        <v>1236.223527</v>
      </c>
      <c r="M937" s="1">
        <f>value(TWD!$B937)</f>
        <v>326.996117</v>
      </c>
      <c r="N937" s="1">
        <f>value(JPY!$B937)</f>
        <v>116.216317</v>
      </c>
      <c r="O937" s="1">
        <f>value(SAR!$B937)</f>
        <v>2607.001788</v>
      </c>
      <c r="P937" s="1">
        <f>value(AED!$B937)</f>
        <v>2631.599548</v>
      </c>
      <c r="Q937" s="1">
        <f>value(KWD!$B937)</f>
        <v>34013.23646</v>
      </c>
    </row>
    <row r="938">
      <c r="A938" s="4">
        <f>value(USD!A938)</f>
        <v>41248.99861</v>
      </c>
      <c r="B938" s="1">
        <f>value(USD!B938)</f>
        <v>9570.8</v>
      </c>
      <c r="C938" s="1">
        <f>value(AUD!$B938)</f>
        <v>10057.52655</v>
      </c>
      <c r="D938" s="1">
        <f>value(EUR!$B938)</f>
        <v>12399.00698</v>
      </c>
      <c r="E938" s="1">
        <f>value(GBP!$B938)</f>
        <v>15380.29382</v>
      </c>
      <c r="F938" s="1">
        <f>value(CHF!$B938)</f>
        <v>10263.761</v>
      </c>
      <c r="G938" s="1">
        <f>value(SGD!$B938)</f>
        <v>7854.654855</v>
      </c>
      <c r="H938" s="1">
        <f>value(MYR!$B938)</f>
        <v>3136.969869</v>
      </c>
      <c r="I938" s="1">
        <f>value(THB!$B938)</f>
        <v>312.325288</v>
      </c>
      <c r="J938" s="1">
        <f>value(VND!$B938)</f>
        <v>0.4677767511</v>
      </c>
      <c r="K938" s="1">
        <f>value(CNY!$B938)</f>
        <v>1548.31041</v>
      </c>
      <c r="L938" s="1">
        <f>value(HKD!$B938)</f>
        <v>1237.694469</v>
      </c>
      <c r="M938" s="1">
        <f>value(TWD!$B938)</f>
        <v>329.687351</v>
      </c>
      <c r="N938" s="1">
        <f>value(JPY!$B938)</f>
        <v>116.258676</v>
      </c>
      <c r="O938" s="1">
        <f>value(SAR!$B938)</f>
        <v>2610.933638</v>
      </c>
      <c r="P938" s="1">
        <f>value(AED!$B938)</f>
        <v>2631.43624</v>
      </c>
      <c r="Q938" s="1">
        <f>value(KWD!$B938)</f>
        <v>34068.45725</v>
      </c>
    </row>
    <row r="939">
      <c r="A939" s="4">
        <f>value(USD!A939)</f>
        <v>41249.99861</v>
      </c>
      <c r="B939" s="1">
        <f>value(USD!B939)</f>
        <v>9580.9</v>
      </c>
      <c r="C939" s="1">
        <f>value(AUD!$B939)</f>
        <v>10062.2765</v>
      </c>
      <c r="D939" s="1">
        <f>value(EUR!$B939)</f>
        <v>12403.4565</v>
      </c>
      <c r="E939" s="1">
        <f>value(GBP!$B939)</f>
        <v>15383.6635</v>
      </c>
      <c r="F939" s="1">
        <f>value(CHF!$B939)</f>
        <v>10244.5815</v>
      </c>
      <c r="G939" s="1">
        <f>value(SGD!$B939)</f>
        <v>7856.86575</v>
      </c>
      <c r="H939" s="1">
        <f>value(MYR!$B939)</f>
        <v>3137.85285</v>
      </c>
      <c r="I939" s="1">
        <f>value(THB!$B939)</f>
        <v>306.6562</v>
      </c>
      <c r="J939" s="1">
        <f>value(VND!$B939)</f>
        <v>0.4654394714</v>
      </c>
      <c r="K939" s="1">
        <f>value(CNY!$B939)</f>
        <v>1547.86</v>
      </c>
      <c r="L939" s="1">
        <f>value(HKD!$B939)</f>
        <v>1237.85095</v>
      </c>
      <c r="M939" s="1">
        <f>value(TWD!$B939)</f>
        <v>329.78015</v>
      </c>
      <c r="N939" s="1">
        <f>value(JPY!$B939)</f>
        <v>116.2914</v>
      </c>
      <c r="O939" s="1">
        <f>value(SAR!$B939)</f>
        <v>2572.827894</v>
      </c>
      <c r="P939" s="1">
        <f>value(AED!$B939)</f>
        <v>2629.748724</v>
      </c>
      <c r="Q939" s="1">
        <f>value(KWD!$B939)</f>
        <v>34124.17598</v>
      </c>
    </row>
    <row r="940">
      <c r="A940" s="4">
        <f>value(USD!A940)</f>
        <v>41250.99861</v>
      </c>
      <c r="B940" s="1">
        <f>value(USD!B940)</f>
        <v>9592.3</v>
      </c>
      <c r="C940" s="1">
        <f>value(AUD!$B940)</f>
        <v>10070.96386</v>
      </c>
      <c r="D940" s="1">
        <f>value(EUR!$B940)</f>
        <v>12398.13801</v>
      </c>
      <c r="E940" s="1">
        <f>value(GBP!$B940)</f>
        <v>15410.67984</v>
      </c>
      <c r="F940" s="1">
        <f>value(CHF!$B940)</f>
        <v>10265.13535</v>
      </c>
      <c r="G940" s="1">
        <f>value(SGD!$B940)</f>
        <v>7872.308176</v>
      </c>
      <c r="H940" s="1">
        <f>value(MYR!$B940)</f>
        <v>3136.926933</v>
      </c>
      <c r="I940" s="1">
        <f>value(THB!$B940)</f>
        <v>306.5410305</v>
      </c>
      <c r="J940" s="1">
        <f>value(VND!$B940)</f>
        <v>0.471616807</v>
      </c>
      <c r="K940" s="1">
        <f>value(CNY!$B940)</f>
        <v>1550.38185</v>
      </c>
      <c r="L940" s="1">
        <f>value(HKD!$B940)</f>
        <v>1240.198299</v>
      </c>
      <c r="M940" s="1">
        <f>value(TWD!$B940)</f>
        <v>329.6109105</v>
      </c>
      <c r="N940" s="1">
        <f>value(JPY!$B940)</f>
        <v>116.4067695</v>
      </c>
      <c r="O940" s="1">
        <f>value(SAR!$B940)</f>
        <v>2573.388418</v>
      </c>
      <c r="P940" s="1">
        <f>value(AED!$B940)</f>
        <v>2632.906012</v>
      </c>
      <c r="Q940" s="1">
        <f>value(KWD!$B940)</f>
        <v>34115.36137</v>
      </c>
    </row>
    <row r="941">
      <c r="A941" s="4">
        <f>value(USD!A941)</f>
        <v>41251.99861</v>
      </c>
      <c r="B941" s="1">
        <f>value(USD!B941)</f>
        <v>9595</v>
      </c>
      <c r="C941" s="1">
        <f>value(AUD!$B941)</f>
        <v>10066.4388</v>
      </c>
      <c r="D941" s="1">
        <f>value(EUR!$B941)</f>
        <v>12420.55496</v>
      </c>
      <c r="E941" s="1">
        <f>value(GBP!$B941)</f>
        <v>15430.40576</v>
      </c>
      <c r="F941" s="1">
        <f>value(CHF!$B941)</f>
        <v>10281.49672</v>
      </c>
      <c r="G941" s="1">
        <f>value(SGD!$B941)</f>
        <v>7854.702504</v>
      </c>
      <c r="H941" s="1">
        <f>value(MYR!$B941)</f>
        <v>3134.949224</v>
      </c>
      <c r="I941" s="1">
        <f>value(THB!$B941)</f>
        <v>313.082088</v>
      </c>
      <c r="J941" s="1">
        <f>value(VND!$B941)</f>
        <v>0.4640301922</v>
      </c>
      <c r="K941" s="1">
        <f>value(CNY!$B941)</f>
        <v>1552.405746</v>
      </c>
      <c r="L941" s="1">
        <f>value(HKD!$B941)</f>
        <v>1238.791224</v>
      </c>
      <c r="M941" s="1">
        <f>value(TWD!$B941)</f>
        <v>330.74756</v>
      </c>
      <c r="N941" s="1">
        <f>value(JPY!$B941)</f>
        <v>116.553712</v>
      </c>
      <c r="O941" s="1">
        <f>value(SAR!$B941)</f>
        <v>2571.028161</v>
      </c>
      <c r="P941" s="1">
        <f>value(AED!$B941)</f>
        <v>2634.239694</v>
      </c>
      <c r="Q941" s="1">
        <f>value(KWD!$B941)</f>
        <v>34087.94022</v>
      </c>
    </row>
    <row r="942">
      <c r="A942" s="4">
        <f>value(USD!A942)</f>
        <v>41252.99861</v>
      </c>
      <c r="B942" s="1">
        <f>value(USD!B942)</f>
        <v>9612.45</v>
      </c>
      <c r="C942" s="1">
        <f>value(AUD!$B942)</f>
        <v>10120.55621</v>
      </c>
      <c r="D942" s="1">
        <f>value(EUR!$B942)</f>
        <v>12497.84616</v>
      </c>
      <c r="E942" s="1">
        <f>value(GBP!$B942)</f>
        <v>15480.86524</v>
      </c>
      <c r="F942" s="1">
        <f>value(CHF!$B942)</f>
        <v>10309.69048</v>
      </c>
      <c r="G942" s="1">
        <f>value(SGD!$B942)</f>
        <v>7869.772024</v>
      </c>
      <c r="H942" s="1">
        <f>value(MYR!$B942)</f>
        <v>3138.437688</v>
      </c>
      <c r="I942" s="1">
        <f>value(THB!$B942)</f>
        <v>313.526784</v>
      </c>
      <c r="J942" s="1">
        <f>value(VND!$B942)</f>
        <v>0.464014038</v>
      </c>
      <c r="K942" s="1">
        <f>value(CNY!$B942)</f>
        <v>1554.06192</v>
      </c>
      <c r="L942" s="1">
        <f>value(HKD!$B942)</f>
        <v>1239.410568</v>
      </c>
      <c r="M942" s="1">
        <f>value(TWD!$B942)</f>
        <v>330.816864</v>
      </c>
      <c r="N942" s="1">
        <f>value(JPY!$B942)</f>
        <v>116.323816</v>
      </c>
      <c r="O942" s="1">
        <f>value(SAR!$B942)</f>
        <v>2571.070048</v>
      </c>
      <c r="P942" s="1">
        <f>value(AED!$B942)</f>
        <v>2633.559244</v>
      </c>
      <c r="Q942" s="1">
        <f>value(KWD!$B942)</f>
        <v>34040.07408</v>
      </c>
    </row>
    <row r="943">
      <c r="A943" s="4">
        <f>value(USD!A943)</f>
        <v>41253.99861</v>
      </c>
      <c r="B943" s="1">
        <f>value(USD!B943)</f>
        <v>9600.8</v>
      </c>
      <c r="C943" s="1">
        <f>value(AUD!$B943)</f>
        <v>10125.0981</v>
      </c>
      <c r="D943" s="1">
        <f>value(EUR!$B943)</f>
        <v>12544.7517</v>
      </c>
      <c r="E943" s="1">
        <f>value(GBP!$B943)</f>
        <v>15490.58394</v>
      </c>
      <c r="F943" s="1">
        <f>value(CHF!$B943)</f>
        <v>10359.38202</v>
      </c>
      <c r="G943" s="1">
        <f>value(SGD!$B943)</f>
        <v>7862.625966</v>
      </c>
      <c r="H943" s="1">
        <f>value(MYR!$B943)</f>
        <v>3147.374022</v>
      </c>
      <c r="I943" s="1">
        <f>value(THB!$B943)</f>
        <v>313.306734</v>
      </c>
      <c r="J943" s="1">
        <f>value(VND!$B943)</f>
        <v>0.4701711684</v>
      </c>
      <c r="K943" s="1">
        <f>value(CNY!$B943)</f>
        <v>1564.309635</v>
      </c>
      <c r="L943" s="1">
        <f>value(HKD!$B943)</f>
        <v>1238.920254</v>
      </c>
      <c r="M943" s="1">
        <f>value(TWD!$B943)</f>
        <v>331.454136</v>
      </c>
      <c r="N943" s="1">
        <f>value(JPY!$B943)</f>
        <v>115.317618</v>
      </c>
      <c r="O943" s="1">
        <f>value(SAR!$B943)</f>
        <v>2564.24356</v>
      </c>
      <c r="P943" s="1">
        <f>value(AED!$B943)</f>
        <v>2635.24676</v>
      </c>
      <c r="Q943" s="1">
        <f>value(KWD!$B943)</f>
        <v>34067.24583</v>
      </c>
    </row>
    <row r="944">
      <c r="A944" s="4">
        <f>value(USD!A944)</f>
        <v>41254.99861</v>
      </c>
      <c r="B944" s="1">
        <f>value(USD!B944)</f>
        <v>9605.6</v>
      </c>
      <c r="C944" s="1">
        <f>value(AUD!$B944)</f>
        <v>10113.30208</v>
      </c>
      <c r="D944" s="1">
        <f>value(EUR!$B944)</f>
        <v>12561.51272</v>
      </c>
      <c r="E944" s="1">
        <f>value(GBP!$B944)</f>
        <v>15478.21286</v>
      </c>
      <c r="F944" s="1">
        <f>value(CHF!$B944)</f>
        <v>10397.64264</v>
      </c>
      <c r="G944" s="1">
        <f>value(SGD!$B944)</f>
        <v>7862.688911</v>
      </c>
      <c r="H944" s="1">
        <f>value(MYR!$B944)</f>
        <v>3141.963188</v>
      </c>
      <c r="I944" s="1">
        <f>value(THB!$B944)</f>
        <v>313.254921</v>
      </c>
      <c r="J944" s="1">
        <f>value(VND!$B944)</f>
        <v>0.4691609599</v>
      </c>
      <c r="K944" s="1">
        <f>value(CNY!$B944)</f>
        <v>1541.067984</v>
      </c>
      <c r="L944" s="1">
        <f>value(HKD!$B944)</f>
        <v>1239.475083</v>
      </c>
      <c r="M944" s="1">
        <f>value(TWD!$B944)</f>
        <v>330.641962</v>
      </c>
      <c r="N944" s="1">
        <f>value(JPY!$B944)</f>
        <v>114.792895</v>
      </c>
      <c r="O944" s="1">
        <f>value(SAR!$B944)</f>
        <v>2563.881427</v>
      </c>
      <c r="P944" s="1">
        <f>value(AED!$B944)</f>
        <v>2635.437286</v>
      </c>
      <c r="Q944" s="1">
        <f>value(KWD!$B944)</f>
        <v>34136.13899</v>
      </c>
    </row>
    <row r="945">
      <c r="A945" s="4">
        <f>value(USD!A945)</f>
        <v>41255.99861</v>
      </c>
      <c r="B945" s="1">
        <f>value(USD!B945)</f>
        <v>9601.8</v>
      </c>
      <c r="C945" s="1">
        <f>value(AUD!$B945)</f>
        <v>10151.9085</v>
      </c>
      <c r="D945" s="1">
        <f>value(EUR!$B945)</f>
        <v>12646.4049</v>
      </c>
      <c r="E945" s="1">
        <f>value(GBP!$B945)</f>
        <v>15534.8703</v>
      </c>
      <c r="F945" s="1">
        <f>value(CHF!$B945)</f>
        <v>10463.2401</v>
      </c>
      <c r="G945" s="1">
        <f>value(SGD!$B945)</f>
        <v>7878.99564</v>
      </c>
      <c r="H945" s="1">
        <f>value(MYR!$B945)</f>
        <v>3140.70165</v>
      </c>
      <c r="I945" s="1">
        <f>value(THB!$B945)</f>
        <v>313.63776</v>
      </c>
      <c r="J945" s="1">
        <f>value(VND!$B945)</f>
        <v>0.4665057135</v>
      </c>
      <c r="K945" s="1">
        <f>value(CNY!$B945)</f>
        <v>1544.567686</v>
      </c>
      <c r="L945" s="1">
        <f>value(HKD!$B945)</f>
        <v>1239.84927</v>
      </c>
      <c r="M945" s="1">
        <f>value(TWD!$B945)</f>
        <v>332.56749</v>
      </c>
      <c r="N945" s="1">
        <f>value(JPY!$B945)</f>
        <v>115.01973</v>
      </c>
      <c r="O945" s="1">
        <f>value(SAR!$B945)</f>
        <v>2566.057081</v>
      </c>
      <c r="P945" s="1">
        <f>value(AED!$B945)</f>
        <v>2638.839536</v>
      </c>
      <c r="Q945" s="1">
        <f>value(KWD!$B945)</f>
        <v>34214.86409</v>
      </c>
    </row>
    <row r="946">
      <c r="A946" s="4">
        <f>value(USD!A946)</f>
        <v>41256.99861</v>
      </c>
      <c r="B946" s="1">
        <f>value(USD!B946)</f>
        <v>9606.1</v>
      </c>
      <c r="C946" s="1">
        <f>value(AUD!$B946)</f>
        <v>10151.6972</v>
      </c>
      <c r="D946" s="1">
        <f>value(EUR!$B946)</f>
        <v>12638.45464</v>
      </c>
      <c r="E946" s="1">
        <f>value(GBP!$B946)</f>
        <v>15533.58608</v>
      </c>
      <c r="F946" s="1">
        <f>value(CHF!$B946)</f>
        <v>10464.94408</v>
      </c>
      <c r="G946" s="1">
        <f>value(SGD!$B946)</f>
        <v>7878.831648</v>
      </c>
      <c r="H946" s="1">
        <f>value(MYR!$B946)</f>
        <v>3140.732368</v>
      </c>
      <c r="I946" s="1">
        <f>value(THB!$B946)</f>
        <v>313.631232</v>
      </c>
      <c r="J946" s="1">
        <f>value(VND!$B946)</f>
        <v>0.4721034575</v>
      </c>
      <c r="K946" s="1">
        <f>value(CNY!$B946)</f>
        <v>1548.970345</v>
      </c>
      <c r="L946" s="1">
        <f>value(HKD!$B946)</f>
        <v>1239.631288</v>
      </c>
      <c r="M946" s="1">
        <f>value(TWD!$B946)</f>
        <v>332.560568</v>
      </c>
      <c r="N946" s="1">
        <f>value(JPY!$B946)</f>
        <v>115.113424</v>
      </c>
      <c r="O946" s="1">
        <f>value(SAR!$B946)</f>
        <v>2564.275011</v>
      </c>
      <c r="P946" s="1">
        <f>value(AED!$B946)</f>
        <v>2641.016976</v>
      </c>
      <c r="Q946" s="1">
        <f>value(KWD!$B946)</f>
        <v>34230.3625</v>
      </c>
    </row>
    <row r="947">
      <c r="A947" s="4">
        <f>value(USD!A947)</f>
        <v>41257.99861</v>
      </c>
      <c r="B947" s="1">
        <f>value(USD!B947)</f>
        <v>9609</v>
      </c>
      <c r="C947" s="1">
        <f>value(AUD!$B947)</f>
        <v>10144.30685</v>
      </c>
      <c r="D947" s="1">
        <f>value(EUR!$B947)</f>
        <v>12657.28966</v>
      </c>
      <c r="E947" s="1">
        <f>value(GBP!$B947)</f>
        <v>15548.13787</v>
      </c>
      <c r="F947" s="1">
        <f>value(CHF!$B947)</f>
        <v>10467.95805</v>
      </c>
      <c r="G947" s="1">
        <f>value(SGD!$B947)</f>
        <v>7876.057032</v>
      </c>
      <c r="H947" s="1">
        <f>value(MYR!$B947)</f>
        <v>3143.27115</v>
      </c>
      <c r="I947" s="1">
        <f>value(THB!$B947)</f>
        <v>313.942617</v>
      </c>
      <c r="J947" s="1">
        <f>value(VND!$B947)</f>
        <v>0.4694785283</v>
      </c>
      <c r="K947" s="1">
        <f>value(CNY!$B947)</f>
        <v>1553.97705</v>
      </c>
      <c r="L947" s="1">
        <f>value(HKD!$B947)</f>
        <v>1240.294423</v>
      </c>
      <c r="M947" s="1">
        <f>value(TWD!$B947)</f>
        <v>332.8791435</v>
      </c>
      <c r="N947" s="1">
        <f>value(JPY!$B947)</f>
        <v>114.195906</v>
      </c>
      <c r="O947" s="1">
        <f>value(SAR!$B947)</f>
        <v>2568.088363</v>
      </c>
      <c r="P947" s="1">
        <f>value(AED!$B947)</f>
        <v>2643.847648</v>
      </c>
      <c r="Q947" s="1">
        <f>value(KWD!$B947)</f>
        <v>34184.57173</v>
      </c>
    </row>
    <row r="948">
      <c r="A948" s="4">
        <f>value(USD!A948)</f>
        <v>41258.99861</v>
      </c>
      <c r="B948" s="1">
        <f>value(USD!B948)</f>
        <v>9608.8</v>
      </c>
      <c r="C948" s="1">
        <f>value(AUD!$B948)</f>
        <v>10135.6431</v>
      </c>
      <c r="D948" s="1">
        <f>value(EUR!$B948)</f>
        <v>12652.97352</v>
      </c>
      <c r="E948" s="1">
        <f>value(GBP!$B948)</f>
        <v>15572.07718</v>
      </c>
      <c r="F948" s="1">
        <f>value(CHF!$B948)</f>
        <v>10471.09492</v>
      </c>
      <c r="G948" s="1">
        <f>value(SGD!$B948)</f>
        <v>7877.927398</v>
      </c>
      <c r="H948" s="1">
        <f>value(MYR!$B948)</f>
        <v>3140.367296</v>
      </c>
      <c r="I948" s="1">
        <f>value(THB!$B948)</f>
        <v>314.113624</v>
      </c>
      <c r="J948" s="1">
        <f>value(VND!$B948)</f>
        <v>0.4693572574</v>
      </c>
      <c r="K948" s="1">
        <f>value(CNY!$B948)</f>
        <v>1550.71638</v>
      </c>
      <c r="L948" s="1">
        <f>value(HKD!$B948)</f>
        <v>1240.210554</v>
      </c>
      <c r="M948" s="1">
        <f>value(TWD!$B948)</f>
        <v>331.030392</v>
      </c>
      <c r="N948" s="1">
        <f>value(JPY!$B948)</f>
        <v>114.476538</v>
      </c>
      <c r="O948" s="1">
        <f>value(SAR!$B948)</f>
        <v>2569.521854</v>
      </c>
      <c r="P948" s="1">
        <f>value(AED!$B948)</f>
        <v>2645.04524</v>
      </c>
      <c r="Q948" s="1">
        <f>value(KWD!$B948)</f>
        <v>34108.34016</v>
      </c>
    </row>
    <row r="949">
      <c r="A949" s="4">
        <f>value(USD!A949)</f>
        <v>41259.99861</v>
      </c>
      <c r="B949" s="1">
        <f>value(USD!B949)</f>
        <v>9612.45</v>
      </c>
      <c r="C949" s="1">
        <f>value(AUD!$B949)</f>
        <v>10108.50462</v>
      </c>
      <c r="D949" s="1">
        <f>value(EUR!$B949)</f>
        <v>12719.64796</v>
      </c>
      <c r="E949" s="1">
        <f>value(GBP!$B949)</f>
        <v>15622.8201</v>
      </c>
      <c r="F949" s="1">
        <f>value(CHF!$B949)</f>
        <v>10530.15307</v>
      </c>
      <c r="G949" s="1">
        <f>value(SGD!$B949)</f>
        <v>7894.682014</v>
      </c>
      <c r="H949" s="1">
        <f>value(MYR!$B949)</f>
        <v>3147.122453</v>
      </c>
      <c r="I949" s="1">
        <f>value(THB!$B949)</f>
        <v>313.952605</v>
      </c>
      <c r="J949" s="1">
        <f>value(VND!$B949)</f>
        <v>0.4693847832</v>
      </c>
      <c r="K949" s="1">
        <f>value(CNY!$B949)</f>
        <v>1546.529157</v>
      </c>
      <c r="L949" s="1">
        <f>value(HKD!$B949)</f>
        <v>1240.713771</v>
      </c>
      <c r="M949" s="1">
        <f>value(TWD!$B949)</f>
        <v>332.222435</v>
      </c>
      <c r="N949" s="1">
        <f>value(JPY!$B949)</f>
        <v>113.946045</v>
      </c>
      <c r="O949" s="1">
        <f>value(SAR!$B949)</f>
        <v>2568.415966</v>
      </c>
      <c r="P949" s="1">
        <f>value(AED!$B949)</f>
        <v>2641.5069</v>
      </c>
      <c r="Q949" s="1">
        <f>value(KWD!$B949)</f>
        <v>34070.62953</v>
      </c>
    </row>
    <row r="950">
      <c r="A950" s="4">
        <f>value(USD!A950)</f>
        <v>41260.99861</v>
      </c>
      <c r="B950" s="1">
        <f>value(USD!B950)</f>
        <v>9611.8</v>
      </c>
      <c r="C950" s="1">
        <f>value(AUD!$B950)</f>
        <v>10079.35925</v>
      </c>
      <c r="D950" s="1">
        <f>value(EUR!$B950)</f>
        <v>12712.98276</v>
      </c>
      <c r="E950" s="1">
        <f>value(GBP!$B950)</f>
        <v>15634.31304</v>
      </c>
      <c r="F950" s="1">
        <f>value(CHF!$B950)</f>
        <v>10528.72066</v>
      </c>
      <c r="G950" s="1">
        <f>value(SGD!$B950)</f>
        <v>7884.51262</v>
      </c>
      <c r="H950" s="1">
        <f>value(MYR!$B950)</f>
        <v>3143.701633</v>
      </c>
      <c r="I950" s="1">
        <f>value(THB!$B950)</f>
        <v>314.168095</v>
      </c>
      <c r="J950" s="1">
        <f>value(VND!$B950)</f>
        <v>0.4662766057</v>
      </c>
      <c r="K950" s="1">
        <f>value(CNY!$B950)</f>
        <v>1546.401055</v>
      </c>
      <c r="L950" s="1">
        <f>value(HKD!$B950)</f>
        <v>1241.565369</v>
      </c>
      <c r="M950" s="1">
        <f>value(TWD!$B950)</f>
        <v>329.756221</v>
      </c>
      <c r="N950" s="1">
        <f>value(JPY!$B950)</f>
        <v>114.216701</v>
      </c>
      <c r="O950" s="1">
        <f>value(SAR!$B950)</f>
        <v>2562.90695</v>
      </c>
      <c r="P950" s="1">
        <f>value(AED!$B950)</f>
        <v>2640.908104</v>
      </c>
      <c r="Q950" s="1">
        <f>value(KWD!$B950)</f>
        <v>33929.60315</v>
      </c>
    </row>
    <row r="951">
      <c r="A951" s="4">
        <f>value(USD!A951)</f>
        <v>41261.99861</v>
      </c>
      <c r="B951" s="1">
        <f>value(USD!B951)</f>
        <v>9615.7</v>
      </c>
      <c r="C951" s="1">
        <f>value(AUD!$B951)</f>
        <v>10084.9896</v>
      </c>
      <c r="D951" s="1">
        <f>value(EUR!$B951)</f>
        <v>12736.4016</v>
      </c>
      <c r="E951" s="1">
        <f>value(GBP!$B951)</f>
        <v>15658.248</v>
      </c>
      <c r="F951" s="1">
        <f>value(CHF!$B951)</f>
        <v>10548.8664</v>
      </c>
      <c r="G951" s="1">
        <f>value(SGD!$B951)</f>
        <v>7896.9732</v>
      </c>
      <c r="H951" s="1">
        <f>value(MYR!$B951)</f>
        <v>3146.47056</v>
      </c>
      <c r="I951" s="1">
        <f>value(THB!$B951)</f>
        <v>313.93488</v>
      </c>
      <c r="J951" s="1">
        <f>value(VND!$B951)</f>
        <v>0.470686467</v>
      </c>
      <c r="K951" s="1">
        <f>value(CNY!$B951)</f>
        <v>1537.126879</v>
      </c>
      <c r="L951" s="1">
        <f>value(HKD!$B951)</f>
        <v>1241.78472</v>
      </c>
      <c r="M951" s="1">
        <f>value(TWD!$B951)</f>
        <v>330.96936</v>
      </c>
      <c r="N951" s="1">
        <f>value(JPY!$B951)</f>
        <v>114.0444</v>
      </c>
      <c r="O951" s="1">
        <f>value(SAR!$B951)</f>
        <v>2562.132957</v>
      </c>
      <c r="P951" s="1">
        <f>value(AED!$B951)</f>
        <v>2638.730664</v>
      </c>
      <c r="Q951" s="1">
        <f>value(KWD!$B951)</f>
        <v>33909.99187</v>
      </c>
    </row>
    <row r="952">
      <c r="A952" s="4">
        <f>value(USD!A952)</f>
        <v>41262.99861</v>
      </c>
      <c r="B952" s="1">
        <f>value(USD!B952)</f>
        <v>9622.3</v>
      </c>
      <c r="C952" s="1">
        <f>value(AUD!$B952)</f>
        <v>10008.67205</v>
      </c>
      <c r="D952" s="1">
        <f>value(EUR!$B952)</f>
        <v>12695.4282</v>
      </c>
      <c r="E952" s="1">
        <f>value(GBP!$B952)</f>
        <v>15560.2746</v>
      </c>
      <c r="F952" s="1">
        <f>value(CHF!$B952)</f>
        <v>10506.3621</v>
      </c>
      <c r="G952" s="1">
        <f>value(SGD!$B952)</f>
        <v>7882.659525</v>
      </c>
      <c r="H952" s="1">
        <f>value(MYR!$B952)</f>
        <v>3142.763455</v>
      </c>
      <c r="I952" s="1">
        <f>value(THB!$B952)</f>
        <v>314.40149</v>
      </c>
      <c r="J952" s="1">
        <f>value(VND!$B952)</f>
        <v>0.469456671</v>
      </c>
      <c r="K952" s="1">
        <f>value(CNY!$B952)</f>
        <v>1539.116964</v>
      </c>
      <c r="L952" s="1">
        <f>value(HKD!$B952)</f>
        <v>1242.01103</v>
      </c>
      <c r="M952" s="1">
        <f>value(TWD!$B952)</f>
        <v>330.76654</v>
      </c>
      <c r="N952" s="1">
        <f>value(JPY!$B952)</f>
        <v>114.266555</v>
      </c>
      <c r="O952" s="1">
        <f>value(SAR!$B952)</f>
        <v>2584.209646</v>
      </c>
      <c r="P952" s="1">
        <f>value(AED!$B952)</f>
        <v>2637.043148</v>
      </c>
      <c r="Q952" s="1">
        <f>value(KWD!$B952)</f>
        <v>33945.012</v>
      </c>
    </row>
    <row r="953">
      <c r="A953" s="4">
        <f>value(USD!A953)</f>
        <v>41263.99861</v>
      </c>
      <c r="B953" s="1">
        <f>value(USD!B953)</f>
        <v>9624</v>
      </c>
      <c r="C953" s="1">
        <f>value(AUD!$B953)</f>
        <v>9991.517</v>
      </c>
      <c r="D953" s="1">
        <f>value(EUR!$B953)</f>
        <v>12673.668</v>
      </c>
      <c r="E953" s="1">
        <f>value(GBP!$B953)</f>
        <v>15533.604</v>
      </c>
      <c r="F953" s="1">
        <f>value(CHF!$B953)</f>
        <v>10489.315</v>
      </c>
      <c r="G953" s="1">
        <f>value(SGD!$B953)</f>
        <v>7869.1485</v>
      </c>
      <c r="H953" s="1">
        <f>value(MYR!$B953)</f>
        <v>3137.3767</v>
      </c>
      <c r="I953" s="1">
        <f>value(THB!$B953)</f>
        <v>313.8626</v>
      </c>
      <c r="J953" s="1">
        <f>value(VND!$B953)</f>
        <v>0.47229056</v>
      </c>
      <c r="K953" s="1">
        <f>value(CNY!$B953)</f>
        <v>1540.659363</v>
      </c>
      <c r="L953" s="1">
        <f>value(HKD!$B953)</f>
        <v>1239.8822</v>
      </c>
      <c r="M953" s="1">
        <f>value(TWD!$B953)</f>
        <v>330.1996</v>
      </c>
      <c r="N953" s="1">
        <f>value(JPY!$B953)</f>
        <v>114.0707</v>
      </c>
      <c r="O953" s="1">
        <f>value(SAR!$B953)</f>
        <v>2559.630553</v>
      </c>
      <c r="P953" s="1">
        <f>value(AED!$B953)</f>
        <v>2635.51894</v>
      </c>
      <c r="Q953" s="1">
        <f>value(KWD!$B953)</f>
        <v>34087.71026</v>
      </c>
    </row>
    <row r="954">
      <c r="A954" s="4">
        <f>value(USD!A954)</f>
        <v>41264.99861</v>
      </c>
      <c r="B954" s="1">
        <f>value(USD!B954)</f>
        <v>9626.5</v>
      </c>
      <c r="C954" s="1">
        <f>value(AUD!$B954)</f>
        <v>10073.64291</v>
      </c>
      <c r="D954" s="1">
        <f>value(EUR!$B954)</f>
        <v>12774.22417</v>
      </c>
      <c r="E954" s="1">
        <f>value(GBP!$B954)</f>
        <v>15654.06899</v>
      </c>
      <c r="F954" s="1">
        <f>value(CHF!$B954)</f>
        <v>10575.58087</v>
      </c>
      <c r="G954" s="1">
        <f>value(SGD!$B954)</f>
        <v>7931.491854</v>
      </c>
      <c r="H954" s="1">
        <f>value(MYR!$B954)</f>
        <v>3162.306044</v>
      </c>
      <c r="I954" s="1">
        <f>value(THB!$B954)</f>
        <v>316.3759533</v>
      </c>
      <c r="J954" s="1">
        <f>value(VND!$B954)</f>
        <v>0.472504495</v>
      </c>
      <c r="K954" s="1">
        <f>value(CNY!$B954)</f>
        <v>1542.8074</v>
      </c>
      <c r="L954" s="1">
        <f>value(HKD!$B954)</f>
        <v>1250.290635</v>
      </c>
      <c r="M954" s="1">
        <f>value(TWD!$B954)</f>
        <v>332.8488207</v>
      </c>
      <c r="N954" s="1">
        <f>value(JPY!$B954)</f>
        <v>114.7286764</v>
      </c>
      <c r="O954" s="1">
        <f>value(SAR!$B954)</f>
        <v>2560.149395</v>
      </c>
      <c r="P954" s="1">
        <f>value(AED!$B954)</f>
        <v>2638.24074</v>
      </c>
      <c r="Q954" s="1">
        <f>value(KWD!$B954)</f>
        <v>33980.25484</v>
      </c>
    </row>
    <row r="955">
      <c r="A955" s="4">
        <f>value(USD!A955)</f>
        <v>41265.99861</v>
      </c>
      <c r="B955" s="1">
        <f>value(USD!B955)</f>
        <v>9610</v>
      </c>
      <c r="C955" s="1">
        <f>value(AUD!$B955)</f>
        <v>9981.50736</v>
      </c>
      <c r="D955" s="1">
        <f>value(EUR!$B955)</f>
        <v>12696.0304</v>
      </c>
      <c r="E955" s="1">
        <f>value(GBP!$B955)</f>
        <v>15532.89</v>
      </c>
      <c r="F955" s="1">
        <f>value(CHF!$B955)</f>
        <v>10509.3848</v>
      </c>
      <c r="G955" s="1">
        <f>value(SGD!$B955)</f>
        <v>7884.735784</v>
      </c>
      <c r="H955" s="1">
        <f>value(MYR!$B955)</f>
        <v>3139.522176</v>
      </c>
      <c r="I955" s="1">
        <f>value(THB!$B955)</f>
        <v>314.414592</v>
      </c>
      <c r="J955" s="1">
        <f>value(VND!$B955)</f>
        <v>0.4653337095</v>
      </c>
      <c r="K955" s="1">
        <f>value(CNY!$B955)</f>
        <v>1545.004956</v>
      </c>
      <c r="L955" s="1">
        <f>value(HKD!$B955)</f>
        <v>1242.823856</v>
      </c>
      <c r="M955" s="1">
        <f>value(TWD!$B955)</f>
        <v>330.597696</v>
      </c>
      <c r="N955" s="1">
        <f>value(JPY!$B955)</f>
        <v>113.474384</v>
      </c>
      <c r="O955" s="1">
        <f>value(SAR!$B955)</f>
        <v>2561.427389</v>
      </c>
      <c r="P955" s="1">
        <f>value(AED!$B955)</f>
        <v>2644.90875</v>
      </c>
      <c r="Q955" s="1">
        <f>value(KWD!$B955)</f>
        <v>34121.12835</v>
      </c>
    </row>
    <row r="956">
      <c r="A956" s="4">
        <f>value(USD!A956)</f>
        <v>41266.99861</v>
      </c>
      <c r="B956" s="1">
        <f>value(USD!B956)</f>
        <v>9689.922</v>
      </c>
      <c r="C956" s="1">
        <f>value(AUD!$B956)</f>
        <v>9988.36938</v>
      </c>
      <c r="D956" s="1">
        <f>value(EUR!$B956)</f>
        <v>12692.03595</v>
      </c>
      <c r="E956" s="1">
        <f>value(GBP!$B956)</f>
        <v>15539.7748</v>
      </c>
      <c r="F956" s="1">
        <f>value(CHF!$B956)</f>
        <v>10509.76465</v>
      </c>
      <c r="G956" s="1">
        <f>value(SGD!$B956)</f>
        <v>7881.6012</v>
      </c>
      <c r="H956" s="1">
        <f>value(MYR!$B956)</f>
        <v>3137.80951</v>
      </c>
      <c r="I956" s="1">
        <f>value(THB!$B956)</f>
        <v>314.243215</v>
      </c>
      <c r="J956" s="1">
        <f>value(VND!$B956)</f>
        <v>0.4704615944</v>
      </c>
      <c r="K956" s="1">
        <f>value(CNY!$B956)</f>
        <v>1546.834718</v>
      </c>
      <c r="L956" s="1">
        <f>value(HKD!$B956)</f>
        <v>1242.52711</v>
      </c>
      <c r="M956" s="1">
        <f>value(TWD!$B956)</f>
        <v>330.422455</v>
      </c>
      <c r="N956" s="1">
        <f>value(JPY!$B956)</f>
        <v>113.25468</v>
      </c>
      <c r="O956" s="1">
        <f>value(SAR!$B956)</f>
        <v>2561.724198</v>
      </c>
      <c r="P956" s="1">
        <f>value(AED!$B956)</f>
        <v>2642.45953</v>
      </c>
      <c r="Q956" s="1">
        <f>value(KWD!$B956)</f>
        <v>34127.44858</v>
      </c>
    </row>
    <row r="957">
      <c r="A957" s="4">
        <f>value(USD!A957)</f>
        <v>41267.99861</v>
      </c>
      <c r="B957" s="1">
        <f>value(USD!B957)</f>
        <v>9632.8</v>
      </c>
      <c r="C957" s="1">
        <f>value(AUD!$B957)</f>
        <v>9981.4214</v>
      </c>
      <c r="D957" s="1">
        <f>value(EUR!$B957)</f>
        <v>12735.41169</v>
      </c>
      <c r="E957" s="1">
        <f>value(GBP!$B957)</f>
        <v>15527.7254</v>
      </c>
      <c r="F957" s="1">
        <f>value(CHF!$B957)</f>
        <v>10541.8292</v>
      </c>
      <c r="G957" s="1">
        <f>value(SGD!$B957)</f>
        <v>7866.41155</v>
      </c>
      <c r="H957" s="1">
        <f>value(MYR!$B957)</f>
        <v>3135.29869</v>
      </c>
      <c r="I957" s="1">
        <f>value(THB!$B957)</f>
        <v>314.09798</v>
      </c>
      <c r="J957" s="1">
        <f>value(VND!$B957)</f>
        <v>0.4704386576</v>
      </c>
      <c r="K957" s="1">
        <f>value(CNY!$B957)</f>
        <v>1545.99705</v>
      </c>
      <c r="L957" s="1">
        <f>value(HKD!$B957)</f>
        <v>1242.33358</v>
      </c>
      <c r="M957" s="1">
        <f>value(TWD!$B957)</f>
        <v>331.62276</v>
      </c>
      <c r="N957" s="1">
        <f>value(JPY!$B957)</f>
        <v>112.46672</v>
      </c>
      <c r="O957" s="1">
        <f>value(SAR!$B957)</f>
        <v>2568.850366</v>
      </c>
      <c r="P957" s="1">
        <f>value(AED!$B957)</f>
        <v>2644.963586</v>
      </c>
      <c r="Q957" s="1">
        <f>value(KWD!$B957)</f>
        <v>34340.93167</v>
      </c>
    </row>
    <row r="958">
      <c r="A958" s="4">
        <f>value(USD!A958)</f>
        <v>41268.99861</v>
      </c>
      <c r="B958" s="1">
        <f>value(USD!B958)</f>
        <v>9630.5</v>
      </c>
      <c r="C958" s="1">
        <f>value(AUD!$B958)</f>
        <v>9989.39091</v>
      </c>
      <c r="D958" s="1">
        <f>value(EUR!$B958)</f>
        <v>12760.10055</v>
      </c>
      <c r="E958" s="1">
        <f>value(GBP!$B958)</f>
        <v>15525.02985</v>
      </c>
      <c r="F958" s="1">
        <f>value(CHF!$B958)</f>
        <v>10555.86423</v>
      </c>
      <c r="G958" s="1">
        <f>value(SGD!$B958)</f>
        <v>7875.616911</v>
      </c>
      <c r="H958" s="1">
        <f>value(MYR!$B958)</f>
        <v>3144.890316</v>
      </c>
      <c r="I958" s="1">
        <f>value(THB!$B958)</f>
        <v>314.354157</v>
      </c>
      <c r="J958" s="1">
        <f>value(VND!$B958)</f>
        <v>0.4636803032</v>
      </c>
      <c r="K958" s="1">
        <f>value(CNY!$B958)</f>
        <v>1558.001932</v>
      </c>
      <c r="L958" s="1">
        <f>value(HKD!$B958)</f>
        <v>1242.7731</v>
      </c>
      <c r="M958" s="1">
        <f>value(TWD!$B958)</f>
        <v>331.502499</v>
      </c>
      <c r="N958" s="1">
        <f>value(JPY!$B958)</f>
        <v>111.464223</v>
      </c>
      <c r="O958" s="1">
        <f>value(SAR!$B958)</f>
        <v>2555.511091</v>
      </c>
      <c r="P958" s="1">
        <f>value(AED!$B958)</f>
        <v>2645.45351</v>
      </c>
      <c r="Q958" s="1">
        <f>value(KWD!$B958)</f>
        <v>34158.34745</v>
      </c>
    </row>
    <row r="959">
      <c r="A959" s="4">
        <f>value(USD!A959)</f>
        <v>41269.99861</v>
      </c>
      <c r="B959" s="1">
        <f>value(USD!B959)</f>
        <v>9629</v>
      </c>
      <c r="C959" s="1">
        <f>value(AUD!$B959)</f>
        <v>9987.273</v>
      </c>
      <c r="D959" s="1">
        <f>value(EUR!$B959)</f>
        <v>12726.045</v>
      </c>
      <c r="E959" s="1">
        <f>value(GBP!$B959)</f>
        <v>15569.784</v>
      </c>
      <c r="F959" s="1">
        <f>value(CHF!$B959)</f>
        <v>10538.109</v>
      </c>
      <c r="G959" s="1">
        <f>value(SGD!$B959)</f>
        <v>7867.6137</v>
      </c>
      <c r="H959" s="1">
        <f>value(MYR!$B959)</f>
        <v>3141.6912</v>
      </c>
      <c r="I959" s="1">
        <f>value(THB!$B959)</f>
        <v>314.5158</v>
      </c>
      <c r="J959" s="1">
        <f>value(VND!$B959)</f>
        <v>0.4698432706</v>
      </c>
      <c r="K959" s="1">
        <f>value(CNY!$B959)</f>
        <v>1545.348288</v>
      </c>
      <c r="L959" s="1">
        <f>value(HKD!$B959)</f>
        <v>1242.27</v>
      </c>
      <c r="M959" s="1">
        <f>value(TWD!$B959)</f>
        <v>332.235</v>
      </c>
      <c r="N959" s="1">
        <f>value(JPY!$B959)</f>
        <v>111.9969</v>
      </c>
      <c r="O959" s="1">
        <f>value(SAR!$B959)</f>
        <v>2575.683893</v>
      </c>
      <c r="P959" s="1">
        <f>value(AED!$B959)</f>
        <v>2662.002054</v>
      </c>
      <c r="Q959" s="1">
        <f>value(KWD!$B959)</f>
        <v>34075.01455</v>
      </c>
    </row>
    <row r="960">
      <c r="A960" s="4">
        <f>value(USD!A960)</f>
        <v>41270.99861</v>
      </c>
      <c r="B960" s="1">
        <f>value(USD!B960)</f>
        <v>9633.9</v>
      </c>
      <c r="C960" s="1">
        <f>value(AUD!$B960)</f>
        <v>9967.30494</v>
      </c>
      <c r="D960" s="1">
        <f>value(EUR!$B960)</f>
        <v>12703.0509</v>
      </c>
      <c r="E960" s="1">
        <f>value(GBP!$B960)</f>
        <v>15524.349</v>
      </c>
      <c r="F960" s="1">
        <f>value(CHF!$B960)</f>
        <v>10522.91322</v>
      </c>
      <c r="G960" s="1">
        <f>value(SGD!$B960)</f>
        <v>7853.398074</v>
      </c>
      <c r="H960" s="1">
        <f>value(MYR!$B960)</f>
        <v>3087.182616</v>
      </c>
      <c r="I960" s="1">
        <f>value(THB!$B960)</f>
        <v>308.852838</v>
      </c>
      <c r="J960" s="1">
        <f>value(VND!$B960)</f>
        <v>0.4700775922</v>
      </c>
      <c r="K960" s="1">
        <f>value(CNY!$B960)</f>
        <v>1549.338486</v>
      </c>
      <c r="L960" s="1">
        <f>value(HKD!$B960)</f>
        <v>1239.929274</v>
      </c>
      <c r="M960" s="1">
        <f>value(TWD!$B960)</f>
        <v>331.730826</v>
      </c>
      <c r="N960" s="1">
        <f>value(JPY!$B960)</f>
        <v>111.794538</v>
      </c>
      <c r="O960" s="1">
        <f>value(SAR!$B960)</f>
        <v>2575.531056</v>
      </c>
      <c r="P960" s="1">
        <f>value(AED!$B960)</f>
        <v>2647.848694</v>
      </c>
      <c r="Q960" s="1">
        <f>value(KWD!$B960)</f>
        <v>34026.74989</v>
      </c>
    </row>
    <row r="961">
      <c r="A961" s="4">
        <f>value(USD!A961)</f>
        <v>41271.99861</v>
      </c>
      <c r="B961" s="1">
        <f>value(USD!B961)</f>
        <v>9630</v>
      </c>
      <c r="C961" s="1">
        <f>value(AUD!$B961)</f>
        <v>9985.41306</v>
      </c>
      <c r="D961" s="1">
        <f>value(EUR!$B961)</f>
        <v>12713.42637</v>
      </c>
      <c r="E961" s="1">
        <f>value(GBP!$B961)</f>
        <v>15535.64169</v>
      </c>
      <c r="F961" s="1">
        <f>value(CHF!$B961)</f>
        <v>10528.51648</v>
      </c>
      <c r="G961" s="1">
        <f>value(SGD!$B961)</f>
        <v>7854.23677</v>
      </c>
      <c r="H961" s="1">
        <f>value(MYR!$B961)</f>
        <v>3089.633679</v>
      </c>
      <c r="I961" s="1">
        <f>value(THB!$B961)</f>
        <v>309.136392</v>
      </c>
      <c r="J961" s="1">
        <f>value(VND!$B961)</f>
        <v>0.4647213578</v>
      </c>
      <c r="K961" s="1">
        <f>value(CNY!$B961)</f>
        <v>1547.58354</v>
      </c>
      <c r="L961" s="1">
        <f>value(HKD!$B961)</f>
        <v>1240.00605</v>
      </c>
      <c r="M961" s="1">
        <f>value(TWD!$B961)</f>
        <v>331.9178985</v>
      </c>
      <c r="N961" s="1">
        <f>value(JPY!$B961)</f>
        <v>111.7927935</v>
      </c>
      <c r="O961" s="1">
        <f>value(SAR!$B961)</f>
        <v>2578.32636</v>
      </c>
      <c r="P961" s="1">
        <f>value(AED!$B961)</f>
        <v>2645.562382</v>
      </c>
      <c r="Q961" s="1">
        <f>value(KWD!$B961)</f>
        <v>33922.12242</v>
      </c>
    </row>
    <row r="962">
      <c r="A962" s="4">
        <f>value(USD!A962)</f>
        <v>41272.99861</v>
      </c>
      <c r="B962" s="1">
        <f>value(USD!B962)</f>
        <v>9612.6</v>
      </c>
      <c r="C962" s="1">
        <f>value(AUD!$B962)</f>
        <v>9984.7119</v>
      </c>
      <c r="D962" s="1">
        <f>value(EUR!$B962)</f>
        <v>12680.9973</v>
      </c>
      <c r="E962" s="1">
        <f>value(GBP!$B962)</f>
        <v>15601.1724</v>
      </c>
      <c r="F962" s="1">
        <f>value(CHF!$B962)</f>
        <v>10485.3408</v>
      </c>
      <c r="G962" s="1">
        <f>value(SGD!$B962)</f>
        <v>7865.25477</v>
      </c>
      <c r="H962" s="1">
        <f>value(MYR!$B962)</f>
        <v>3139.93293</v>
      </c>
      <c r="I962" s="1">
        <f>value(THB!$B962)</f>
        <v>313.82994</v>
      </c>
      <c r="J962" s="1">
        <f>value(VND!$B962)</f>
        <v>0.4703730581</v>
      </c>
      <c r="K962" s="1">
        <f>value(CNY!$B962)</f>
        <v>1550.43537</v>
      </c>
      <c r="L962" s="1">
        <f>value(HKD!$B962)</f>
        <v>1239.65709</v>
      </c>
      <c r="M962" s="1">
        <f>value(TWD!$B962)</f>
        <v>331.03005</v>
      </c>
      <c r="N962" s="1">
        <f>value(JPY!$B962)</f>
        <v>110.79177</v>
      </c>
      <c r="O962" s="1">
        <f>value(SAR!$B962)</f>
        <v>2580.911201</v>
      </c>
      <c r="P962" s="1">
        <f>value(AED!$B962)</f>
        <v>2638.0263</v>
      </c>
      <c r="Q962" s="1">
        <f>value(KWD!$B962)</f>
        <v>34004.28395</v>
      </c>
    </row>
    <row r="963">
      <c r="A963" s="4">
        <f>value(USD!A963)</f>
        <v>41273.99861</v>
      </c>
      <c r="B963" s="1">
        <f>value(USD!B963)</f>
        <v>9612.45</v>
      </c>
      <c r="C963" s="1">
        <f>value(AUD!$B963)</f>
        <v>9985.6728</v>
      </c>
      <c r="D963" s="1">
        <f>value(EUR!$B963)</f>
        <v>12680.9973</v>
      </c>
      <c r="E963" s="1">
        <f>value(GBP!$B963)</f>
        <v>15607.8987</v>
      </c>
      <c r="F963" s="1">
        <f>value(CHF!$B963)</f>
        <v>10495.9107</v>
      </c>
      <c r="G963" s="1">
        <f>value(SGD!$B963)</f>
        <v>7864.58214</v>
      </c>
      <c r="H963" s="1">
        <f>value(MYR!$B963)</f>
        <v>3139.74075</v>
      </c>
      <c r="I963" s="1">
        <f>value(THB!$B963)</f>
        <v>313.92603</v>
      </c>
      <c r="J963" s="1">
        <f>value(VND!$B963)</f>
        <v>0.4649617132</v>
      </c>
      <c r="K963" s="1">
        <f>value(CNY!$B963)</f>
        <v>1552.433975</v>
      </c>
      <c r="L963" s="1">
        <f>value(HKD!$B963)</f>
        <v>1239.65709</v>
      </c>
      <c r="M963" s="1">
        <f>value(TWD!$B963)</f>
        <v>331.03005</v>
      </c>
      <c r="N963" s="1">
        <f>value(JPY!$B963)</f>
        <v>110.88786</v>
      </c>
      <c r="O963" s="1">
        <f>value(SAR!$B963)</f>
        <v>2587.417228</v>
      </c>
      <c r="P963" s="1">
        <f>value(AED!$B963)</f>
        <v>2629.91474</v>
      </c>
      <c r="Q963" s="1">
        <f>value(KWD!$B963)</f>
        <v>34042.17453</v>
      </c>
    </row>
    <row r="964">
      <c r="A964" s="4">
        <f>value(USD!A964)</f>
        <v>41274.99861</v>
      </c>
      <c r="B964" s="1">
        <f>value(USD!B964)</f>
        <v>9609</v>
      </c>
      <c r="C964" s="1">
        <f>value(AUD!$B964)</f>
        <v>10092.078</v>
      </c>
      <c r="D964" s="1">
        <f>value(EUR!$B964)</f>
        <v>12681.49275</v>
      </c>
      <c r="E964" s="1">
        <f>value(GBP!$B964)</f>
        <v>15624.05325</v>
      </c>
      <c r="F964" s="1">
        <f>value(CHF!$B964)</f>
        <v>10476.01575</v>
      </c>
      <c r="G964" s="1">
        <f>value(SGD!$B964)</f>
        <v>7878.036975</v>
      </c>
      <c r="H964" s="1">
        <f>value(MYR!$B964)</f>
        <v>3168.977925</v>
      </c>
      <c r="I964" s="1">
        <f>value(THB!$B964)</f>
        <v>316.868925</v>
      </c>
      <c r="J964" s="1">
        <f>value(VND!$B964)</f>
        <v>0.4761893004</v>
      </c>
      <c r="K964" s="1">
        <f>value(CNY!$B964)</f>
        <v>1552.92624</v>
      </c>
      <c r="L964" s="1">
        <f>value(HKD!$B964)</f>
        <v>1241.398725</v>
      </c>
      <c r="M964" s="1">
        <f>value(TWD!$B964)</f>
        <v>329.763075</v>
      </c>
      <c r="N964" s="1">
        <f>value(JPY!$B964)</f>
        <v>110.177625</v>
      </c>
      <c r="O964" s="1">
        <f>value(SAR!$B964)</f>
        <v>2601.587631</v>
      </c>
      <c r="P964" s="1">
        <f>value(AED!$B964)</f>
        <v>2633.50778</v>
      </c>
      <c r="Q964" s="1">
        <f>value(KWD!$B964)</f>
        <v>34052.71934</v>
      </c>
    </row>
    <row r="965">
      <c r="A965" s="4">
        <f>value(USD!A965)</f>
        <v>41275.99861</v>
      </c>
      <c r="B965" s="1">
        <f>value(USD!B965)</f>
        <v>9609</v>
      </c>
      <c r="C965" s="1">
        <f>value(AUD!$B965)</f>
        <v>10060.44613</v>
      </c>
      <c r="D965" s="1">
        <f>value(EUR!$B965)</f>
        <v>12538.73706</v>
      </c>
      <c r="E965" s="1">
        <f>value(GBP!$B965)</f>
        <v>15475.23988</v>
      </c>
      <c r="F965" s="1">
        <f>value(CHF!$B965)</f>
        <v>10369.45036</v>
      </c>
      <c r="G965" s="1">
        <f>value(SGD!$B965)</f>
        <v>7841.776506</v>
      </c>
      <c r="H965" s="1">
        <f>value(MYR!$B965)</f>
        <v>3165.416229</v>
      </c>
      <c r="I965" s="1">
        <f>value(THB!$B965)</f>
        <v>316.223955</v>
      </c>
      <c r="J965" s="1">
        <f>value(VND!$B965)</f>
        <v>0.4742883426</v>
      </c>
      <c r="K965" s="1">
        <f>value(CNY!$B965)</f>
        <v>1564.751648</v>
      </c>
      <c r="L965" s="1">
        <f>value(HKD!$B965)</f>
        <v>1241.7927</v>
      </c>
      <c r="M965" s="1">
        <f>value(TWD!$B965)</f>
        <v>329.893301</v>
      </c>
      <c r="N965" s="1">
        <f>value(JPY!$B965)</f>
        <v>109.73982</v>
      </c>
      <c r="O965" s="1">
        <f>value(SAR!$B965)</f>
        <v>2565.851566</v>
      </c>
      <c r="P965" s="1">
        <f>value(AED!$B965)</f>
        <v>2636.257</v>
      </c>
      <c r="Q965" s="1">
        <f>value(KWD!$B965)</f>
        <v>34036.90212</v>
      </c>
    </row>
    <row r="966">
      <c r="A966" s="4">
        <f>value(USD!A966)</f>
        <v>41276.99861</v>
      </c>
      <c r="B966" s="1">
        <f>value(USD!B966)</f>
        <v>9622.5</v>
      </c>
      <c r="C966" s="1">
        <f>value(AUD!$B966)</f>
        <v>10095.23866</v>
      </c>
      <c r="D966" s="1">
        <f>value(EUR!$B966)</f>
        <v>12589.66249</v>
      </c>
      <c r="E966" s="1">
        <f>value(GBP!$B966)</f>
        <v>15481.03596</v>
      </c>
      <c r="F966" s="1">
        <f>value(CHF!$B966)</f>
        <v>10415.1107</v>
      </c>
      <c r="G966" s="1">
        <f>value(SGD!$B966)</f>
        <v>7848.42662</v>
      </c>
      <c r="H966" s="1">
        <f>value(MYR!$B966)</f>
        <v>3157.098496</v>
      </c>
      <c r="I966" s="1">
        <f>value(THB!$B966)</f>
        <v>315.825466</v>
      </c>
      <c r="J966" s="1">
        <f>value(VND!$B966)</f>
        <v>0.4742735951</v>
      </c>
      <c r="K966" s="1">
        <f>value(CNY!$B966)</f>
        <v>1551.417212</v>
      </c>
      <c r="L966" s="1">
        <f>value(HKD!$B966)</f>
        <v>1242.8763</v>
      </c>
      <c r="M966" s="1">
        <f>value(TWD!$B966)</f>
        <v>333.456967</v>
      </c>
      <c r="N966" s="1">
        <f>value(JPY!$B966)</f>
        <v>109.257498</v>
      </c>
      <c r="O966" s="1">
        <f>value(SAR!$B966)</f>
        <v>2573.582727</v>
      </c>
      <c r="P966" s="1">
        <f>value(AED!$B966)</f>
        <v>2637.0736</v>
      </c>
      <c r="Q966" s="1">
        <f>value(KWD!$B966)</f>
        <v>34046.4096</v>
      </c>
    </row>
    <row r="967">
      <c r="A967" s="4">
        <f>value(USD!A967)</f>
        <v>41277.99861</v>
      </c>
      <c r="B967" s="1">
        <f>value(USD!B967)</f>
        <v>9626.3</v>
      </c>
      <c r="C967" s="1">
        <f>value(AUD!$B967)</f>
        <v>10234.075</v>
      </c>
      <c r="D967" s="1">
        <f>value(EUR!$B967)</f>
        <v>12766.459</v>
      </c>
      <c r="E967" s="1">
        <f>value(GBP!$B967)</f>
        <v>15695.505</v>
      </c>
      <c r="F967" s="1">
        <f>value(CHF!$B967)</f>
        <v>10562.347</v>
      </c>
      <c r="G967" s="1">
        <f>value(SGD!$B967)</f>
        <v>7957.9581</v>
      </c>
      <c r="H967" s="1">
        <f>value(MYR!$B967)</f>
        <v>3157.4686</v>
      </c>
      <c r="I967" s="1">
        <f>value(THB!$B967)</f>
        <v>315.3756</v>
      </c>
      <c r="J967" s="1">
        <f>value(VND!$B967)</f>
        <v>0.4711079817</v>
      </c>
      <c r="K967" s="1">
        <f>value(CNY!$B967)</f>
        <v>1553.689605</v>
      </c>
      <c r="L967" s="1">
        <f>value(HKD!$B967)</f>
        <v>1260.4277</v>
      </c>
      <c r="M967" s="1">
        <f>value(TWD!$B967)</f>
        <v>338.1397</v>
      </c>
      <c r="N967" s="1">
        <f>value(JPY!$B967)</f>
        <v>110.7918</v>
      </c>
      <c r="O967" s="1">
        <f>value(SAR!$B967)</f>
        <v>2575.176753</v>
      </c>
      <c r="P967" s="1">
        <f>value(AED!$B967)</f>
        <v>2635.8487</v>
      </c>
      <c r="Q967" s="1">
        <f>value(KWD!$B967)</f>
        <v>34115.96088</v>
      </c>
    </row>
    <row r="968">
      <c r="A968" s="4">
        <f>value(USD!A968)</f>
        <v>41278.99861</v>
      </c>
      <c r="B968" s="1">
        <f>value(USD!B968)</f>
        <v>9634.7</v>
      </c>
      <c r="C968" s="1">
        <f>value(AUD!$B968)</f>
        <v>10266.33965</v>
      </c>
      <c r="D968" s="1">
        <f>value(EUR!$B968)</f>
        <v>12788.74649</v>
      </c>
      <c r="E968" s="1">
        <f>value(GBP!$B968)</f>
        <v>15719.95955</v>
      </c>
      <c r="F968" s="1">
        <f>value(CHF!$B968)</f>
        <v>10580.23395</v>
      </c>
      <c r="G968" s="1">
        <f>value(SGD!$B968)</f>
        <v>7974.559025</v>
      </c>
      <c r="H968" s="1">
        <f>value(MYR!$B968)</f>
        <v>3163.013436</v>
      </c>
      <c r="I968" s="1">
        <f>value(THB!$B968)</f>
        <v>315.9490931</v>
      </c>
      <c r="J968" s="1">
        <f>value(VND!$B968)</f>
        <v>0.472134254</v>
      </c>
      <c r="K968" s="1">
        <f>value(CNY!$B968)</f>
        <v>1551.831537</v>
      </c>
      <c r="L968" s="1">
        <f>value(HKD!$B968)</f>
        <v>1262.328662</v>
      </c>
      <c r="M968" s="1">
        <f>value(TWD!$B968)</f>
        <v>338.7475257</v>
      </c>
      <c r="N968" s="1">
        <f>value(JPY!$B968)</f>
        <v>110.8610475</v>
      </c>
      <c r="O968" s="1">
        <f>value(SAR!$B968)</f>
        <v>2584.1674</v>
      </c>
      <c r="P968" s="1">
        <f>value(AED!$B968)</f>
        <v>2635.65816</v>
      </c>
      <c r="Q968" s="1">
        <f>value(KWD!$B968)</f>
        <v>34033.24099</v>
      </c>
    </row>
    <row r="969">
      <c r="A969" s="4">
        <f>value(USD!A969)</f>
        <v>41279.99861</v>
      </c>
      <c r="B969" s="1">
        <f>value(USD!B969)</f>
        <v>9770</v>
      </c>
      <c r="C969" s="1">
        <f>value(AUD!$B969)</f>
        <v>10133.58583</v>
      </c>
      <c r="D969" s="1">
        <f>value(EUR!$B969)</f>
        <v>12651.31875</v>
      </c>
      <c r="E969" s="1">
        <f>value(GBP!$B969)</f>
        <v>15541.60288</v>
      </c>
      <c r="F969" s="1">
        <f>value(CHF!$B969)</f>
        <v>10467.09869</v>
      </c>
      <c r="G969" s="1">
        <f>value(SGD!$B969)</f>
        <v>7840.44394</v>
      </c>
      <c r="H969" s="1">
        <f>value(MYR!$B969)</f>
        <v>3164.805703</v>
      </c>
      <c r="I969" s="1">
        <f>value(THB!$B969)</f>
        <v>316.451653</v>
      </c>
      <c r="J969" s="1">
        <f>value(VND!$B969)</f>
        <v>0.4625035886</v>
      </c>
      <c r="K969" s="1">
        <f>value(CNY!$B969)</f>
        <v>1547.862646</v>
      </c>
      <c r="L969" s="1">
        <f>value(HKD!$B969)</f>
        <v>1243.540291</v>
      </c>
      <c r="M969" s="1">
        <f>value(TWD!$B969)</f>
        <v>334.47677</v>
      </c>
      <c r="N969" s="1">
        <f>value(JPY!$B969)</f>
        <v>110.464086</v>
      </c>
      <c r="O969" s="1">
        <f>value(SAR!$B969)</f>
        <v>2579.939107</v>
      </c>
      <c r="P969" s="1">
        <f>value(AED!$B969)</f>
        <v>2637.69966</v>
      </c>
      <c r="Q969" s="1">
        <f>value(KWD!$B969)</f>
        <v>34051.4014</v>
      </c>
    </row>
    <row r="970">
      <c r="A970" s="4">
        <f>value(USD!A970)</f>
        <v>41280.99861</v>
      </c>
      <c r="B970" s="1">
        <f>value(USD!B970)</f>
        <v>9784.735</v>
      </c>
      <c r="C970" s="1">
        <f>value(AUD!$B970)</f>
        <v>10135.60073</v>
      </c>
      <c r="D970" s="1">
        <f>value(EUR!$B970)</f>
        <v>12611.65372</v>
      </c>
      <c r="E970" s="1">
        <f>value(GBP!$B970)</f>
        <v>15481.45331</v>
      </c>
      <c r="F970" s="1">
        <f>value(CHF!$B970)</f>
        <v>10433.70664</v>
      </c>
      <c r="G970" s="1">
        <f>value(SGD!$B970)</f>
        <v>7848.226036</v>
      </c>
      <c r="H970" s="1">
        <f>value(MYR!$B970)</f>
        <v>3162.79566</v>
      </c>
      <c r="I970" s="1">
        <f>value(THB!$B970)</f>
        <v>316.424184</v>
      </c>
      <c r="J970" s="1">
        <f>value(VND!$B970)</f>
        <v>0.4700432324</v>
      </c>
      <c r="K970" s="1">
        <f>value(CNY!$B970)</f>
        <v>1550.771298</v>
      </c>
      <c r="L970" s="1">
        <f>value(HKD!$B970)</f>
        <v>1243.811212</v>
      </c>
      <c r="M970" s="1">
        <f>value(TWD!$B970)</f>
        <v>331.271632</v>
      </c>
      <c r="N970" s="1">
        <f>value(JPY!$B970)</f>
        <v>110.970212</v>
      </c>
      <c r="O970" s="1">
        <f>value(SAR!$B970)</f>
        <v>2572.904155</v>
      </c>
      <c r="P970" s="1">
        <f>value(AED!$B970)</f>
        <v>2635.65816</v>
      </c>
      <c r="Q970" s="1">
        <f>value(KWD!$B970)</f>
        <v>34054.9762</v>
      </c>
    </row>
    <row r="971">
      <c r="A971" s="4">
        <f>value(USD!A971)</f>
        <v>41281.99861</v>
      </c>
      <c r="B971" s="1">
        <f>value(USD!B971)</f>
        <v>9639.1</v>
      </c>
      <c r="C971" s="1">
        <f>value(AUD!$B971)</f>
        <v>10116.0167</v>
      </c>
      <c r="D971" s="1">
        <f>value(EUR!$B971)</f>
        <v>12573.16541</v>
      </c>
      <c r="E971" s="1">
        <f>value(GBP!$B971)</f>
        <v>15424.17069</v>
      </c>
      <c r="F971" s="1">
        <f>value(CHF!$B971)</f>
        <v>10400.74158</v>
      </c>
      <c r="G971" s="1">
        <f>value(SGD!$B971)</f>
        <v>7839.469869</v>
      </c>
      <c r="H971" s="1">
        <f>value(MYR!$B971)</f>
        <v>3165.974949</v>
      </c>
      <c r="I971" s="1">
        <f>value(THB!$B971)</f>
        <v>316.607127</v>
      </c>
      <c r="J971" s="1">
        <f>value(VND!$B971)</f>
        <v>0.4729696674</v>
      </c>
      <c r="K971" s="1">
        <f>value(CNY!$B971)</f>
        <v>1551.62322</v>
      </c>
      <c r="L971" s="1">
        <f>value(HKD!$B971)</f>
        <v>1242.444579</v>
      </c>
      <c r="M971" s="1">
        <f>value(TWD!$B971)</f>
        <v>332.018487</v>
      </c>
      <c r="N971" s="1">
        <f>value(JPY!$B971)</f>
        <v>109.228014</v>
      </c>
      <c r="O971" s="1">
        <f>value(SAR!$B971)</f>
        <v>2572.370352</v>
      </c>
      <c r="P971" s="1">
        <f>value(AED!$B971)</f>
        <v>2636.22978</v>
      </c>
      <c r="Q971" s="1">
        <f>value(KWD!$B971)</f>
        <v>34059.89815</v>
      </c>
    </row>
    <row r="972">
      <c r="A972" s="4">
        <f>value(USD!A972)</f>
        <v>41282.99861</v>
      </c>
      <c r="B972" s="1">
        <f>value(USD!B972)</f>
        <v>9641.2</v>
      </c>
      <c r="C972" s="1">
        <f>value(AUD!$B972)</f>
        <v>10192.5824</v>
      </c>
      <c r="D972" s="1">
        <f>value(EUR!$B972)</f>
        <v>12785.13152</v>
      </c>
      <c r="E972" s="1">
        <f>value(GBP!$B972)</f>
        <v>15568.2016</v>
      </c>
      <c r="F972" s="1">
        <f>value(CHF!$B972)</f>
        <v>10535.4816</v>
      </c>
      <c r="G972" s="1">
        <f>value(SGD!$B972)</f>
        <v>7875.70112</v>
      </c>
      <c r="H972" s="1">
        <f>value(MYR!$B972)</f>
        <v>3183.8576</v>
      </c>
      <c r="I972" s="1">
        <f>value(THB!$B972)</f>
        <v>318.04864</v>
      </c>
      <c r="J972" s="1">
        <f>value(VND!$B972)</f>
        <v>0.4731855005</v>
      </c>
      <c r="K972" s="1">
        <f>value(CNY!$B972)</f>
        <v>1545.105213</v>
      </c>
      <c r="L972" s="1">
        <f>value(HKD!$B972)</f>
        <v>1242.528</v>
      </c>
      <c r="M972" s="1">
        <f>value(TWD!$B972)</f>
        <v>337.50528</v>
      </c>
      <c r="N972" s="1">
        <f>value(JPY!$B972)</f>
        <v>107.97472</v>
      </c>
      <c r="O972" s="1">
        <f>value(SAR!$B972)</f>
        <v>2565.577708</v>
      </c>
      <c r="P972" s="1">
        <f>value(AED!$B972)</f>
        <v>2636.69252</v>
      </c>
      <c r="Q972" s="1">
        <f>value(KWD!$B972)</f>
        <v>34040.04679</v>
      </c>
    </row>
    <row r="973">
      <c r="A973" s="4">
        <f>value(USD!A973)</f>
        <v>41283.99861</v>
      </c>
      <c r="B973" s="1">
        <f>value(USD!B973)</f>
        <v>9632.1</v>
      </c>
      <c r="C973" s="1">
        <f>value(AUD!$B973)</f>
        <v>10118.32836</v>
      </c>
      <c r="D973" s="1">
        <f>value(EUR!$B973)</f>
        <v>12815.52468</v>
      </c>
      <c r="E973" s="1">
        <f>value(GBP!$B973)</f>
        <v>15489.66804</v>
      </c>
      <c r="F973" s="1">
        <f>value(CHF!$B973)</f>
        <v>10512.14976</v>
      </c>
      <c r="G973" s="1">
        <f>value(SGD!$B973)</f>
        <v>7837.910346</v>
      </c>
      <c r="H973" s="1">
        <f>value(MYR!$B973)</f>
        <v>3176.601834</v>
      </c>
      <c r="I973" s="1">
        <f>value(THB!$B973)</f>
        <v>316.9782</v>
      </c>
      <c r="J973" s="1">
        <f>value(VND!$B973)</f>
        <v>0.4729657096</v>
      </c>
      <c r="K973" s="1">
        <f>value(CNY!$B973)</f>
        <v>1554.883925</v>
      </c>
      <c r="L973" s="1">
        <f>value(HKD!$B973)</f>
        <v>1239.0966</v>
      </c>
      <c r="M973" s="1">
        <f>value(TWD!$B973)</f>
        <v>334.171866</v>
      </c>
      <c r="N973" s="1">
        <f>value(JPY!$B973)</f>
        <v>107.676534</v>
      </c>
      <c r="O973" s="1">
        <f>value(SAR!$B973)</f>
        <v>2560.618167</v>
      </c>
      <c r="P973" s="1">
        <f>value(AED!$B973)</f>
        <v>2637.0736</v>
      </c>
      <c r="Q973" s="1">
        <f>value(KWD!$B973)</f>
        <v>34041.57209</v>
      </c>
    </row>
    <row r="974">
      <c r="A974" s="4">
        <f>value(USD!A974)</f>
        <v>41284.99861</v>
      </c>
      <c r="B974" s="1">
        <f>value(USD!B974)</f>
        <v>9632</v>
      </c>
      <c r="C974" s="1">
        <f>value(AUD!$B974)</f>
        <v>10115.24876</v>
      </c>
      <c r="D974" s="1">
        <f>value(EUR!$B974)</f>
        <v>12812.1362</v>
      </c>
      <c r="E974" s="1">
        <f>value(GBP!$B974)</f>
        <v>15491.7359</v>
      </c>
      <c r="F974" s="1">
        <f>value(CHF!$B974)</f>
        <v>10508.06463</v>
      </c>
      <c r="G974" s="1">
        <f>value(SGD!$B974)</f>
        <v>7837.012757</v>
      </c>
      <c r="H974" s="1">
        <f>value(MYR!$B974)</f>
        <v>3139.165455</v>
      </c>
      <c r="I974" s="1">
        <f>value(THB!$B974)</f>
        <v>313.196223</v>
      </c>
      <c r="J974" s="1">
        <f>value(VND!$B974)</f>
        <v>0.4690370009</v>
      </c>
      <c r="K974" s="1">
        <f>value(CNY!$B974)</f>
        <v>1553.165936</v>
      </c>
      <c r="L974" s="1">
        <f>value(HKD!$B974)</f>
        <v>1238.762614</v>
      </c>
      <c r="M974" s="1">
        <f>value(TWD!$B974)</f>
        <v>334.133597</v>
      </c>
      <c r="N974" s="1">
        <f>value(JPY!$B974)</f>
        <v>107.664203</v>
      </c>
      <c r="O974" s="1">
        <f>value(SAR!$B974)</f>
        <v>2567.115897</v>
      </c>
      <c r="P974" s="1">
        <f>value(AED!$B974)</f>
        <v>2637.28811</v>
      </c>
      <c r="Q974" s="1">
        <f>value(KWD!$B974)</f>
        <v>34028.02479</v>
      </c>
    </row>
    <row r="975">
      <c r="A975" s="4">
        <f>value(USD!A975)</f>
        <v>41285.99861</v>
      </c>
      <c r="B975" s="1">
        <f>value(USD!B975)</f>
        <v>9605.4</v>
      </c>
      <c r="C975" s="1">
        <f>value(AUD!$B975)</f>
        <v>10125.6587</v>
      </c>
      <c r="D975" s="1">
        <f>value(EUR!$B975)</f>
        <v>12840.59908</v>
      </c>
      <c r="E975" s="1">
        <f>value(GBP!$B975)</f>
        <v>15498.15313</v>
      </c>
      <c r="F975" s="1">
        <f>value(CHF!$B975)</f>
        <v>10513.13656</v>
      </c>
      <c r="G975" s="1">
        <f>value(SGD!$B975)</f>
        <v>7829.917272</v>
      </c>
      <c r="H975" s="1">
        <f>value(MYR!$B975)</f>
        <v>3145.385889</v>
      </c>
      <c r="I975" s="1">
        <f>value(THB!$B975)</f>
        <v>313.8464925</v>
      </c>
      <c r="J975" s="1">
        <f>value(VND!$B975)</f>
        <v>0.4726744999</v>
      </c>
      <c r="K975" s="1">
        <f>value(CNY!$B975)</f>
        <v>1552.845276</v>
      </c>
      <c r="L975" s="1">
        <f>value(HKD!$B975)</f>
        <v>1239.909925</v>
      </c>
      <c r="M975" s="1">
        <f>value(TWD!$B975)</f>
        <v>334.8016335</v>
      </c>
      <c r="N975" s="1">
        <f>value(JPY!$B975)</f>
        <v>107.3710665</v>
      </c>
      <c r="O975" s="1">
        <f>value(SAR!$B975)</f>
        <v>2567.535073</v>
      </c>
      <c r="P975" s="1">
        <f>value(AED!$B975)</f>
        <v>2638.703446</v>
      </c>
      <c r="Q975" s="1">
        <f>value(KWD!$B975)</f>
        <v>34058.69473</v>
      </c>
    </row>
    <row r="976">
      <c r="A976" s="4">
        <f>value(USD!A976)</f>
        <v>41286.99861</v>
      </c>
      <c r="B976" s="1">
        <f>value(USD!B976)</f>
        <v>9604.3</v>
      </c>
      <c r="C976" s="1">
        <f>value(AUD!$B976)</f>
        <v>10146.41395</v>
      </c>
      <c r="D976" s="1">
        <f>value(EUR!$B976)</f>
        <v>12848.13432</v>
      </c>
      <c r="E976" s="1">
        <f>value(GBP!$B976)</f>
        <v>15442.73886</v>
      </c>
      <c r="F976" s="1">
        <f>value(CHF!$B976)</f>
        <v>10415.69256</v>
      </c>
      <c r="G976" s="1">
        <f>value(SGD!$B976)</f>
        <v>7838.284188</v>
      </c>
      <c r="H976" s="1">
        <f>value(MYR!$B976)</f>
        <v>3181.003616</v>
      </c>
      <c r="I976" s="1">
        <f>value(THB!$B976)</f>
        <v>317.50474</v>
      </c>
      <c r="J976" s="1">
        <f>value(VND!$B976)</f>
        <v>0.4667084327</v>
      </c>
      <c r="K976" s="1">
        <f>value(CNY!$B976)</f>
        <v>1553.085369</v>
      </c>
      <c r="L976" s="1">
        <f>value(HKD!$B976)</f>
        <v>1239.181132</v>
      </c>
      <c r="M976" s="1">
        <f>value(TWD!$B976)</f>
        <v>332.491348</v>
      </c>
      <c r="N976" s="1">
        <f>value(JPY!$B976)</f>
        <v>107.307956</v>
      </c>
      <c r="O976" s="1">
        <f>value(SAR!$B976)</f>
        <v>2570.757449</v>
      </c>
      <c r="P976" s="1">
        <f>value(AED!$B976)</f>
        <v>2637.097584</v>
      </c>
      <c r="Q976" s="1">
        <f>value(KWD!$B976)</f>
        <v>34095.21801</v>
      </c>
    </row>
    <row r="977">
      <c r="A977" s="4">
        <f>value(USD!A977)</f>
        <v>41287.99861</v>
      </c>
      <c r="B977" s="1">
        <f>value(USD!B977)</f>
        <v>9612.45</v>
      </c>
      <c r="C977" s="1">
        <f>value(AUD!$B977)</f>
        <v>10165.2204</v>
      </c>
      <c r="D977" s="1">
        <f>value(EUR!$B977)</f>
        <v>12802.50096</v>
      </c>
      <c r="E977" s="1">
        <f>value(GBP!$B977)</f>
        <v>15460.94904</v>
      </c>
      <c r="F977" s="1">
        <f>value(CHF!$B977)</f>
        <v>10325.90112</v>
      </c>
      <c r="G977" s="1">
        <f>value(SGD!$B977)</f>
        <v>7854.689376</v>
      </c>
      <c r="H977" s="1">
        <f>value(MYR!$B977)</f>
        <v>3190.04148</v>
      </c>
      <c r="I977" s="1">
        <f>value(THB!$B977)</f>
        <v>321.169008</v>
      </c>
      <c r="J977" s="1">
        <f>value(VND!$B977)</f>
        <v>0.4675533363</v>
      </c>
      <c r="K977" s="1">
        <f>value(CNY!$B977)</f>
        <v>1553.698391</v>
      </c>
      <c r="L977" s="1">
        <f>value(HKD!$B977)</f>
        <v>1241.090184</v>
      </c>
      <c r="M977" s="1">
        <f>value(TWD!$B977)</f>
        <v>331.367904</v>
      </c>
      <c r="N977" s="1">
        <f>value(JPY!$B977)</f>
        <v>108.339216</v>
      </c>
      <c r="O977" s="1">
        <f>value(SAR!$B977)</f>
        <v>2572.244454</v>
      </c>
      <c r="P977" s="1">
        <f>value(AED!$B977)</f>
        <v>2637.342546</v>
      </c>
      <c r="Q977" s="1">
        <f>value(KWD!$B977)</f>
        <v>34081.85561</v>
      </c>
    </row>
    <row r="978">
      <c r="A978" s="4">
        <f>value(USD!A978)</f>
        <v>41288.99861</v>
      </c>
      <c r="B978" s="1">
        <f>value(USD!B978)</f>
        <v>9606.8</v>
      </c>
      <c r="C978" s="1">
        <f>value(AUD!$B978)</f>
        <v>10161.41672</v>
      </c>
      <c r="D978" s="1">
        <f>value(EUR!$B978)</f>
        <v>12793.2198</v>
      </c>
      <c r="E978" s="1">
        <f>value(GBP!$B978)</f>
        <v>15399.03214</v>
      </c>
      <c r="F978" s="1">
        <f>value(CHF!$B978)</f>
        <v>10338.5388</v>
      </c>
      <c r="G978" s="1">
        <f>value(SGD!$B978)</f>
        <v>7864.509138</v>
      </c>
      <c r="H978" s="1">
        <f>value(MYR!$B978)</f>
        <v>3185.887152</v>
      </c>
      <c r="I978" s="1">
        <f>value(THB!$B978)</f>
        <v>322.573962</v>
      </c>
      <c r="J978" s="1">
        <f>value(VND!$B978)</f>
        <v>0.4633628312</v>
      </c>
      <c r="K978" s="1">
        <f>value(CNY!$B978)</f>
        <v>1552.508088</v>
      </c>
      <c r="L978" s="1">
        <f>value(HKD!$B978)</f>
        <v>1241.683538</v>
      </c>
      <c r="M978" s="1">
        <f>value(TWD!$B978)</f>
        <v>331.526328</v>
      </c>
      <c r="N978" s="1">
        <f>value(JPY!$B978)</f>
        <v>108.583536</v>
      </c>
      <c r="O978" s="1">
        <f>value(SAR!$B978)</f>
        <v>2574.127912</v>
      </c>
      <c r="P978" s="1">
        <f>value(AED!$B978)</f>
        <v>2639.05728</v>
      </c>
      <c r="Q978" s="1">
        <f>value(KWD!$B978)</f>
        <v>33801.42104</v>
      </c>
    </row>
    <row r="979">
      <c r="A979" s="4">
        <f>value(USD!A979)</f>
        <v>41289.99861</v>
      </c>
      <c r="B979" s="1">
        <f>value(USD!B979)</f>
        <v>9621.6</v>
      </c>
      <c r="C979" s="1">
        <f>value(AUD!$B979)</f>
        <v>10145.99566</v>
      </c>
      <c r="D979" s="1">
        <f>value(EUR!$B979)</f>
        <v>12868.19532</v>
      </c>
      <c r="E979" s="1">
        <f>value(GBP!$B979)</f>
        <v>15374.09691</v>
      </c>
      <c r="F979" s="1">
        <f>value(CHF!$B979)</f>
        <v>10308.79652</v>
      </c>
      <c r="G979" s="1">
        <f>value(SGD!$B979)</f>
        <v>7862.261434</v>
      </c>
      <c r="H979" s="1">
        <f>value(MYR!$B979)</f>
        <v>3191.262406</v>
      </c>
      <c r="I979" s="1">
        <f>value(THB!$B979)</f>
        <v>322.907608</v>
      </c>
      <c r="J979" s="1">
        <f>value(VND!$B979)</f>
        <v>0.4691979779</v>
      </c>
      <c r="K979" s="1">
        <f>value(CNY!$B979)</f>
        <v>1532.416779</v>
      </c>
      <c r="L979" s="1">
        <f>value(HKD!$B979)</f>
        <v>1241.115982</v>
      </c>
      <c r="M979" s="1">
        <f>value(TWD!$B979)</f>
        <v>332.625626</v>
      </c>
      <c r="N979" s="1">
        <f>value(JPY!$B979)</f>
        <v>106.994416</v>
      </c>
      <c r="O979" s="1">
        <f>value(SAR!$B979)</f>
        <v>2588.625496</v>
      </c>
      <c r="P979" s="1">
        <f>value(AED!$B979)</f>
        <v>2638.022996</v>
      </c>
      <c r="Q979" s="1">
        <f>value(KWD!$B979)</f>
        <v>34117.4398</v>
      </c>
    </row>
    <row r="980">
      <c r="A980" s="4">
        <f>value(USD!A980)</f>
        <v>41290.99861</v>
      </c>
      <c r="B980" s="1">
        <f>value(USD!B980)</f>
        <v>9626.2</v>
      </c>
      <c r="C980" s="1">
        <f>value(AUD!$B980)</f>
        <v>10085.71581</v>
      </c>
      <c r="D980" s="1">
        <f>value(EUR!$B980)</f>
        <v>12783.11424</v>
      </c>
      <c r="E980" s="1">
        <f>value(GBP!$B980)</f>
        <v>15230.84247</v>
      </c>
      <c r="F980" s="1">
        <f>value(CHF!$B980)</f>
        <v>10271.04792</v>
      </c>
      <c r="G980" s="1">
        <f>value(SGD!$B980)</f>
        <v>7819.574637</v>
      </c>
      <c r="H980" s="1">
        <f>value(MYR!$B980)</f>
        <v>3182.526834</v>
      </c>
      <c r="I980" s="1">
        <f>value(THB!$B980)</f>
        <v>322.074558</v>
      </c>
      <c r="J980" s="1">
        <f>value(VND!$B980)</f>
        <v>0.4708898268</v>
      </c>
      <c r="K980" s="1">
        <f>value(CNY!$B980)</f>
        <v>1554.614194</v>
      </c>
      <c r="L980" s="1">
        <f>value(HKD!$B980)</f>
        <v>1238.556246</v>
      </c>
      <c r="M980" s="1">
        <f>value(TWD!$B980)</f>
        <v>330.620961</v>
      </c>
      <c r="N980" s="1">
        <f>value(JPY!$B980)</f>
        <v>106.58997</v>
      </c>
      <c r="O980" s="1">
        <f>value(SAR!$B980)</f>
        <v>2576.491876</v>
      </c>
      <c r="P980" s="1">
        <f>value(AED!$B980)</f>
        <v>2616.316641</v>
      </c>
      <c r="Q980" s="1">
        <f>value(KWD!$B980)</f>
        <v>34067.46664</v>
      </c>
    </row>
    <row r="981">
      <c r="A981" s="4">
        <f>value(USD!A981)</f>
        <v>41291.99861</v>
      </c>
      <c r="B981" s="1">
        <f>value(USD!B981)</f>
        <v>9621.8</v>
      </c>
      <c r="C981" s="1">
        <f>value(AUD!$B981)</f>
        <v>10084.5899</v>
      </c>
      <c r="D981" s="1">
        <f>value(EUR!$B981)</f>
        <v>12781.17372</v>
      </c>
      <c r="E981" s="1">
        <f>value(GBP!$B981)</f>
        <v>15228.16274</v>
      </c>
      <c r="F981" s="1">
        <f>value(CHF!$B981)</f>
        <v>10271.786</v>
      </c>
      <c r="G981" s="1">
        <f>value(SGD!$B981)</f>
        <v>7817.213138</v>
      </c>
      <c r="H981" s="1">
        <f>value(MYR!$B981)</f>
        <v>3116.191078</v>
      </c>
      <c r="I981" s="1">
        <f>value(THB!$B981)</f>
        <v>315.737422</v>
      </c>
      <c r="J981" s="1">
        <f>value(VND!$B981)</f>
        <v>0.4640832918</v>
      </c>
      <c r="K981" s="1">
        <f>value(CNY!$B981)</f>
        <v>1555.87124</v>
      </c>
      <c r="L981" s="1">
        <f>value(HKD!$B981)</f>
        <v>1238.086206</v>
      </c>
      <c r="M981" s="1">
        <f>value(TWD!$B981)</f>
        <v>330.617112</v>
      </c>
      <c r="N981" s="1">
        <f>value(JPY!$B981)</f>
        <v>106.55778</v>
      </c>
      <c r="O981" s="1">
        <f>value(SAR!$B981)</f>
        <v>2582.452461</v>
      </c>
      <c r="P981" s="1">
        <f>value(AED!$B981)</f>
        <v>2637.805252</v>
      </c>
      <c r="Q981" s="1">
        <f>value(KWD!$B981)</f>
        <v>34180.88771</v>
      </c>
    </row>
    <row r="982">
      <c r="A982" s="4">
        <f>value(USD!A982)</f>
        <v>41292.99861</v>
      </c>
      <c r="B982" s="1">
        <f>value(USD!B982)</f>
        <v>9602.7</v>
      </c>
      <c r="C982" s="1">
        <f>value(AUD!$B982)</f>
        <v>10168.0364</v>
      </c>
      <c r="D982" s="1">
        <f>value(EUR!$B982)</f>
        <v>12891.583</v>
      </c>
      <c r="E982" s="1">
        <f>value(GBP!$B982)</f>
        <v>15350.23008</v>
      </c>
      <c r="F982" s="1">
        <f>value(CHF!$B982)</f>
        <v>10363.6128</v>
      </c>
      <c r="G982" s="1">
        <f>value(SGD!$B982)</f>
        <v>7887.53812</v>
      </c>
      <c r="H982" s="1">
        <f>value(MYR!$B982)</f>
        <v>3142.48674</v>
      </c>
      <c r="I982" s="1">
        <f>value(THB!$B982)</f>
        <v>318.34416</v>
      </c>
      <c r="J982" s="1">
        <f>value(VND!$B982)</f>
        <v>0.469805552</v>
      </c>
      <c r="K982" s="1">
        <f>value(CNY!$B982)</f>
        <v>1554.873474</v>
      </c>
      <c r="L982" s="1">
        <f>value(HKD!$B982)</f>
        <v>1248.78436</v>
      </c>
      <c r="M982" s="1">
        <f>value(TWD!$B982)</f>
        <v>333.44808</v>
      </c>
      <c r="N982" s="1">
        <f>value(JPY!$B982)</f>
        <v>107.27656</v>
      </c>
      <c r="O982" s="1">
        <f>value(SAR!$B982)</f>
        <v>2577.136566</v>
      </c>
      <c r="P982" s="1">
        <f>value(AED!$B982)</f>
        <v>2638.485702</v>
      </c>
      <c r="Q982" s="1">
        <f>value(KWD!$B982)</f>
        <v>34162.76663</v>
      </c>
    </row>
    <row r="983">
      <c r="A983" s="4">
        <f>value(USD!A983)</f>
        <v>41293.99861</v>
      </c>
      <c r="B983" s="1">
        <f>value(USD!B983)</f>
        <v>9599.8</v>
      </c>
      <c r="C983" s="1">
        <f>value(AUD!$B983)</f>
        <v>10081.33622</v>
      </c>
      <c r="D983" s="1">
        <f>value(EUR!$B983)</f>
        <v>12765.69696</v>
      </c>
      <c r="E983" s="1">
        <f>value(GBP!$B983)</f>
        <v>15185.77384</v>
      </c>
      <c r="F983" s="1">
        <f>value(CHF!$B983)</f>
        <v>10263.53482</v>
      </c>
      <c r="G983" s="1">
        <f>value(SGD!$B983)</f>
        <v>7800.49743</v>
      </c>
      <c r="H983" s="1">
        <f>value(MYR!$B983)</f>
        <v>3157.118162</v>
      </c>
      <c r="I983" s="1">
        <f>value(THB!$B983)</f>
        <v>322.012052</v>
      </c>
      <c r="J983" s="1">
        <f>value(VND!$B983)</f>
        <v>0.4679658056</v>
      </c>
      <c r="K983" s="1">
        <f>value(CNY!$B983)</f>
        <v>1556.353326</v>
      </c>
      <c r="L983" s="1">
        <f>value(HKD!$B983)</f>
        <v>1236.744918</v>
      </c>
      <c r="M983" s="1">
        <f>value(TWD!$B983)</f>
        <v>330.930194</v>
      </c>
      <c r="N983" s="1">
        <f>value(JPY!$B983)</f>
        <v>107.017704</v>
      </c>
      <c r="O983" s="1">
        <f>value(SAR!$B983)</f>
        <v>2582.345692</v>
      </c>
      <c r="P983" s="1">
        <f>value(AED!$B983)</f>
        <v>2638.431266</v>
      </c>
      <c r="Q983" s="1">
        <f>value(KWD!$B983)</f>
        <v>34199.82306</v>
      </c>
    </row>
    <row r="984">
      <c r="A984" s="4">
        <f>value(USD!A984)</f>
        <v>41294.99861</v>
      </c>
      <c r="B984" s="1">
        <f>value(USD!B984)</f>
        <v>9682</v>
      </c>
      <c r="C984" s="1">
        <f>value(AUD!$B984)</f>
        <v>10130.64792</v>
      </c>
      <c r="D984" s="1">
        <f>value(EUR!$B984)</f>
        <v>12773.13372</v>
      </c>
      <c r="E984" s="1">
        <f>value(GBP!$B984)</f>
        <v>15189.25776</v>
      </c>
      <c r="F984" s="1">
        <f>value(CHF!$B984)</f>
        <v>10326.31656</v>
      </c>
      <c r="G984" s="1">
        <f>value(SGD!$B984)</f>
        <v>7812.645948</v>
      </c>
      <c r="H984" s="1">
        <f>value(MYR!$B984)</f>
        <v>3147.291708</v>
      </c>
      <c r="I984" s="1">
        <f>value(THB!$B984)</f>
        <v>322.373676</v>
      </c>
      <c r="J984" s="1">
        <f>value(VND!$B984)</f>
        <v>0.4732064346</v>
      </c>
      <c r="K984" s="1">
        <f>value(CNY!$B984)</f>
        <v>1557.432036</v>
      </c>
      <c r="L984" s="1">
        <f>value(HKD!$B984)</f>
        <v>1237.028652</v>
      </c>
      <c r="M984" s="1">
        <f>value(TWD!$B984)</f>
        <v>330.142872</v>
      </c>
      <c r="N984" s="1">
        <f>value(JPY!$B984)</f>
        <v>108.38508</v>
      </c>
      <c r="O984" s="1">
        <f>value(SAR!$B984)</f>
        <v>2583.026243</v>
      </c>
      <c r="P984" s="1">
        <f>value(AED!$B984)</f>
        <v>2642.704492</v>
      </c>
      <c r="Q984" s="1">
        <f>value(KWD!$B984)</f>
        <v>34220.26359</v>
      </c>
    </row>
    <row r="985">
      <c r="A985" s="4">
        <f>value(USD!A985)</f>
        <v>41295.99861</v>
      </c>
      <c r="B985" s="1">
        <f>value(USD!B985)</f>
        <v>9589.4</v>
      </c>
      <c r="C985" s="1">
        <f>value(AUD!$B985)</f>
        <v>10112.15756</v>
      </c>
      <c r="D985" s="1">
        <f>value(EUR!$B985)</f>
        <v>12770.59483</v>
      </c>
      <c r="E985" s="1">
        <f>value(GBP!$B985)</f>
        <v>15190.93301</v>
      </c>
      <c r="F985" s="1">
        <f>value(CHF!$B985)</f>
        <v>10320.50626</v>
      </c>
      <c r="G985" s="1">
        <f>value(SGD!$B985)</f>
        <v>7818.690399</v>
      </c>
      <c r="H985" s="1">
        <f>value(MYR!$B985)</f>
        <v>3151.909867</v>
      </c>
      <c r="I985" s="1">
        <f>value(THB!$B985)</f>
        <v>321.880026</v>
      </c>
      <c r="J985" s="1">
        <f>value(VND!$B985)</f>
        <v>0.4729055829</v>
      </c>
      <c r="K985" s="1">
        <f>value(CNY!$B985)</f>
        <v>1559.158412</v>
      </c>
      <c r="L985" s="1">
        <f>value(HKD!$B985)</f>
        <v>1237.808162</v>
      </c>
      <c r="M985" s="1">
        <f>value(TWD!$B985)</f>
        <v>330.325298</v>
      </c>
      <c r="N985" s="1">
        <f>value(JPY!$B985)</f>
        <v>108.349001</v>
      </c>
      <c r="O985" s="1">
        <f>value(SAR!$B985)</f>
        <v>2585.502592</v>
      </c>
      <c r="P985" s="1">
        <f>value(AED!$B985)</f>
        <v>2641.289156</v>
      </c>
      <c r="Q985" s="1">
        <f>value(KWD!$B985)</f>
        <v>33876.47505</v>
      </c>
    </row>
    <row r="986">
      <c r="A986" s="4">
        <f>value(USD!A986)</f>
        <v>41296.99861</v>
      </c>
      <c r="B986" s="1">
        <f>value(USD!B986)</f>
        <v>9591.6</v>
      </c>
      <c r="C986" s="1">
        <f>value(AUD!$B986)</f>
        <v>10025.1646</v>
      </c>
      <c r="D986" s="1">
        <f>value(EUR!$B986)</f>
        <v>12832.72127</v>
      </c>
      <c r="E986" s="1">
        <f>value(GBP!$B986)</f>
        <v>15147.73425</v>
      </c>
      <c r="F986" s="1">
        <f>value(CHF!$B986)</f>
        <v>10324.03075</v>
      </c>
      <c r="G986" s="1">
        <f>value(SGD!$B986)</f>
        <v>7798.448625</v>
      </c>
      <c r="H986" s="1">
        <f>value(MYR!$B986)</f>
        <v>3152.5868</v>
      </c>
      <c r="I986" s="1">
        <f>value(THB!$B986)</f>
        <v>321.51625</v>
      </c>
      <c r="J986" s="1">
        <f>value(VND!$B986)</f>
        <v>0.46901439</v>
      </c>
      <c r="K986" s="1">
        <f>value(CNY!$B986)</f>
        <v>1548.490694</v>
      </c>
      <c r="L986" s="1">
        <f>value(HKD!$B986)</f>
        <v>1237.789575</v>
      </c>
      <c r="M986" s="1">
        <f>value(TWD!$B986)</f>
        <v>331.11375</v>
      </c>
      <c r="N986" s="1">
        <f>value(JPY!$B986)</f>
        <v>105.860425</v>
      </c>
      <c r="O986" s="1">
        <f>value(SAR!$B986)</f>
        <v>2599.67907</v>
      </c>
      <c r="P986" s="1">
        <f>value(AED!$B986)</f>
        <v>2642.8678</v>
      </c>
      <c r="Q986" s="1">
        <f>value(KWD!$B986)</f>
        <v>34168.27098</v>
      </c>
    </row>
    <row r="987">
      <c r="A987" s="4">
        <f>value(USD!A987)</f>
        <v>41297.99861</v>
      </c>
      <c r="B987" s="1">
        <f>value(USD!B987)</f>
        <v>9596.9</v>
      </c>
      <c r="C987" s="1">
        <f>value(AUD!$B987)</f>
        <v>10029.42752</v>
      </c>
      <c r="D987" s="1">
        <f>value(EUR!$B987)</f>
        <v>12950.78816</v>
      </c>
      <c r="E987" s="1">
        <f>value(GBP!$B987)</f>
        <v>15205.31648</v>
      </c>
      <c r="F987" s="1">
        <f>value(CHF!$B987)</f>
        <v>10381.60736</v>
      </c>
      <c r="G987" s="1">
        <f>value(SGD!$B987)</f>
        <v>7791.25728</v>
      </c>
      <c r="H987" s="1">
        <f>value(MYR!$B987)</f>
        <v>3158.07168</v>
      </c>
      <c r="I987" s="1">
        <f>value(THB!$B987)</f>
        <v>321.291936</v>
      </c>
      <c r="J987" s="1">
        <f>value(VND!$B987)</f>
        <v>0.4724746482</v>
      </c>
      <c r="K987" s="1">
        <f>value(CNY!$B987)</f>
        <v>1557.93062</v>
      </c>
      <c r="L987" s="1">
        <f>value(HKD!$B987)</f>
        <v>1240.80848</v>
      </c>
      <c r="M987" s="1">
        <f>value(TWD!$B987)</f>
        <v>329.663424</v>
      </c>
      <c r="N987" s="1">
        <f>value(JPY!$B987)</f>
        <v>105.8464</v>
      </c>
      <c r="O987" s="1">
        <f>value(SAR!$B987)</f>
        <v>2582.577068</v>
      </c>
      <c r="P987" s="1">
        <f>value(AED!$B987)</f>
        <v>2616.797263</v>
      </c>
      <c r="Q987" s="1">
        <f>value(KWD!$B987)</f>
        <v>34160.46898</v>
      </c>
    </row>
    <row r="988">
      <c r="A988" s="4">
        <f>value(USD!A988)</f>
        <v>41298.99861</v>
      </c>
      <c r="B988" s="1">
        <f>value(USD!B988)</f>
        <v>9597.5</v>
      </c>
      <c r="C988" s="1">
        <f>value(AUD!$B988)</f>
        <v>9984.8608</v>
      </c>
      <c r="D988" s="1">
        <f>value(EUR!$B988)</f>
        <v>12897.9104</v>
      </c>
      <c r="E988" s="1">
        <f>value(GBP!$B988)</f>
        <v>15141.15024</v>
      </c>
      <c r="F988" s="1">
        <f>value(CHF!$B988)</f>
        <v>10341.32608</v>
      </c>
      <c r="G988" s="1">
        <f>value(SGD!$B988)</f>
        <v>7758.86928</v>
      </c>
      <c r="H988" s="1">
        <f>value(MYR!$B988)</f>
        <v>3144.560384</v>
      </c>
      <c r="I988" s="1">
        <f>value(THB!$B988)</f>
        <v>314.78184</v>
      </c>
      <c r="J988" s="1">
        <f>value(VND!$B988)</f>
        <v>0.4753542875</v>
      </c>
      <c r="K988" s="1">
        <f>value(CNY!$B988)</f>
        <v>1558.043257</v>
      </c>
      <c r="L988" s="1">
        <f>value(HKD!$B988)</f>
        <v>1235.65048</v>
      </c>
      <c r="M988" s="1">
        <f>value(TWD!$B988)</f>
        <v>328.293024</v>
      </c>
      <c r="N988" s="1">
        <f>value(JPY!$B988)</f>
        <v>105.4064</v>
      </c>
      <c r="O988" s="1">
        <f>value(SAR!$B988)</f>
        <v>2583.482295</v>
      </c>
      <c r="P988" s="1">
        <f>value(AED!$B988)</f>
        <v>2641.64299</v>
      </c>
      <c r="Q988" s="1">
        <f>value(KWD!$B988)</f>
        <v>34142.47144</v>
      </c>
    </row>
    <row r="989">
      <c r="A989" s="4">
        <f>value(USD!A989)</f>
        <v>41299.99861</v>
      </c>
      <c r="B989" s="1">
        <f>value(USD!B989)</f>
        <v>9622.4</v>
      </c>
      <c r="C989" s="1">
        <f>value(AUD!$B989)</f>
        <v>10008.29069</v>
      </c>
      <c r="D989" s="1">
        <f>value(EUR!$B989)</f>
        <v>12942.20268</v>
      </c>
      <c r="E989" s="1">
        <f>value(GBP!$B989)</f>
        <v>15164.60112</v>
      </c>
      <c r="F989" s="1">
        <f>value(CHF!$B989)</f>
        <v>10361.25985</v>
      </c>
      <c r="G989" s="1">
        <f>value(SGD!$B989)</f>
        <v>7770.800704</v>
      </c>
      <c r="H989" s="1">
        <f>value(MYR!$B989)</f>
        <v>3155.382837</v>
      </c>
      <c r="I989" s="1">
        <f>value(THB!$B989)</f>
        <v>315.7689825</v>
      </c>
      <c r="J989" s="1">
        <f>value(VND!$B989)</f>
        <v>0.4711168347</v>
      </c>
      <c r="K989" s="1">
        <f>value(CNY!$B989)</f>
        <v>1561.41196</v>
      </c>
      <c r="L989" s="1">
        <f>value(HKD!$B989)</f>
        <v>1239.621552</v>
      </c>
      <c r="M989" s="1">
        <f>value(TWD!$B989)</f>
        <v>329.4186615</v>
      </c>
      <c r="N989" s="1">
        <f>value(JPY!$B989)</f>
        <v>105.352452</v>
      </c>
      <c r="O989" s="1">
        <f>value(SAR!$B989)</f>
        <v>2577.823378</v>
      </c>
      <c r="P989" s="1">
        <f>value(AED!$B989)</f>
        <v>2641.969606</v>
      </c>
      <c r="Q989" s="1">
        <f>value(KWD!$B989)</f>
        <v>34128.04752</v>
      </c>
    </row>
    <row r="990">
      <c r="A990" s="4">
        <f>value(USD!A990)</f>
        <v>41300.99861</v>
      </c>
      <c r="B990" s="1">
        <f>value(USD!B990)</f>
        <v>9582.4</v>
      </c>
      <c r="C990" s="1">
        <f>value(AUD!$B990)</f>
        <v>10056.44257</v>
      </c>
      <c r="D990" s="1">
        <f>value(EUR!$B990)</f>
        <v>12975.21757</v>
      </c>
      <c r="E990" s="1">
        <f>value(GBP!$B990)</f>
        <v>15145.3611</v>
      </c>
      <c r="F990" s="1">
        <f>value(CHF!$B990)</f>
        <v>10415.99412</v>
      </c>
      <c r="G990" s="1">
        <f>value(SGD!$B990)</f>
        <v>7792.406496</v>
      </c>
      <c r="H990" s="1">
        <f>value(MYR!$B990)</f>
        <v>3162.72195</v>
      </c>
      <c r="I990" s="1">
        <f>value(THB!$B990)</f>
        <v>322.30332</v>
      </c>
      <c r="J990" s="1">
        <f>value(VND!$B990)</f>
        <v>0.4668205145</v>
      </c>
      <c r="K990" s="1">
        <f>value(CNY!$B990)</f>
        <v>1561.535976</v>
      </c>
      <c r="L990" s="1">
        <f>value(HKD!$B990)</f>
        <v>1243.955718</v>
      </c>
      <c r="M990" s="1">
        <f>value(TWD!$B990)</f>
        <v>327.224718</v>
      </c>
      <c r="N990" s="1">
        <f>value(JPY!$B990)</f>
        <v>106.726788</v>
      </c>
      <c r="O990" s="1">
        <f>value(SAR!$B990)</f>
        <v>2571.756493</v>
      </c>
      <c r="P990" s="1">
        <f>value(AED!$B990)</f>
        <v>2641.5069</v>
      </c>
      <c r="Q990" s="1">
        <f>value(KWD!$B990)</f>
        <v>34198.6612</v>
      </c>
    </row>
    <row r="991">
      <c r="A991" s="4">
        <f>value(USD!A991)</f>
        <v>41301.99861</v>
      </c>
      <c r="B991" s="1">
        <f>value(USD!B991)</f>
        <v>9612.45</v>
      </c>
      <c r="C991" s="1">
        <f>value(AUD!$B991)</f>
        <v>10097.76</v>
      </c>
      <c r="D991" s="1">
        <f>value(EUR!$B991)</f>
        <v>13016.499</v>
      </c>
      <c r="E991" s="1">
        <f>value(GBP!$B991)</f>
        <v>15195.9515</v>
      </c>
      <c r="F991" s="1">
        <f>value(CHF!$B991)</f>
        <v>10465.425</v>
      </c>
      <c r="G991" s="1">
        <f>value(SGD!$B991)</f>
        <v>7817.5615</v>
      </c>
      <c r="H991" s="1">
        <f>value(MYR!$B991)</f>
        <v>3139.4345</v>
      </c>
      <c r="I991" s="1">
        <f>value(THB!$B991)</f>
        <v>323.7575</v>
      </c>
      <c r="J991" s="1">
        <f>value(VND!$B991)</f>
        <v>0.4701191732</v>
      </c>
      <c r="K991" s="1">
        <f>value(CNY!$B991)</f>
        <v>1563.40392</v>
      </c>
      <c r="L991" s="1">
        <f>value(HKD!$B991)</f>
        <v>1243.7885</v>
      </c>
      <c r="M991" s="1">
        <f>value(TWD!$B991)</f>
        <v>328.1</v>
      </c>
      <c r="N991" s="1">
        <f>value(JPY!$B991)</f>
        <v>106.2465</v>
      </c>
      <c r="O991" s="1">
        <f>value(SAR!$B991)</f>
        <v>2575.467118</v>
      </c>
      <c r="P991" s="1">
        <f>value(AED!$B991)</f>
        <v>2640.390962</v>
      </c>
      <c r="Q991" s="1">
        <f>value(KWD!$B991)</f>
        <v>34198.6612</v>
      </c>
    </row>
    <row r="992">
      <c r="A992" s="4">
        <f>value(USD!A992)</f>
        <v>41302.99861</v>
      </c>
      <c r="B992" s="1">
        <f>value(USD!B992)</f>
        <v>9649.8</v>
      </c>
      <c r="C992" s="1">
        <f>value(AUD!$B992)</f>
        <v>10062.31629</v>
      </c>
      <c r="D992" s="1">
        <f>value(EUR!$B992)</f>
        <v>13107.24693</v>
      </c>
      <c r="E992" s="1">
        <f>value(GBP!$B992)</f>
        <v>15258.46212</v>
      </c>
      <c r="F992" s="1">
        <f>value(CHF!$B992)</f>
        <v>10602.48672</v>
      </c>
      <c r="G992" s="1">
        <f>value(SGD!$B992)</f>
        <v>7813.055151</v>
      </c>
      <c r="H992" s="1">
        <f>value(MYR!$B992)</f>
        <v>3129.839397</v>
      </c>
      <c r="I992" s="1">
        <f>value(THB!$B992)</f>
        <v>324.276129</v>
      </c>
      <c r="J992" s="1">
        <f>value(VND!$B992)</f>
        <v>0.47051412</v>
      </c>
      <c r="K992" s="1">
        <f>value(CNY!$B992)</f>
        <v>1568.9711</v>
      </c>
      <c r="L992" s="1">
        <f>value(HKD!$B992)</f>
        <v>1245.13533</v>
      </c>
      <c r="M992" s="1">
        <f>value(TWD!$B992)</f>
        <v>327.946815</v>
      </c>
      <c r="N992" s="1">
        <f>value(JPY!$B992)</f>
        <v>106.063506</v>
      </c>
      <c r="O992" s="1">
        <f>value(SAR!$B992)</f>
        <v>2576.88196</v>
      </c>
      <c r="P992" s="1">
        <f>value(AED!$B992)</f>
        <v>2642.49853</v>
      </c>
      <c r="Q992" s="1">
        <f>value(KWD!$B992)</f>
        <v>34051.62569</v>
      </c>
    </row>
    <row r="993">
      <c r="A993" s="4">
        <f>value(USD!A993)</f>
        <v>41303.99861</v>
      </c>
      <c r="B993" s="1">
        <f>value(USD!B993)</f>
        <v>9650</v>
      </c>
      <c r="C993" s="1">
        <f>value(AUD!$B993)</f>
        <v>10086.67269</v>
      </c>
      <c r="D993" s="1">
        <f>value(EUR!$B993)</f>
        <v>13162.66788</v>
      </c>
      <c r="E993" s="1">
        <f>value(GBP!$B993)</f>
        <v>15342.26334</v>
      </c>
      <c r="F993" s="1">
        <f>value(CHF!$B993)</f>
        <v>10636.89</v>
      </c>
      <c r="G993" s="1">
        <f>value(SGD!$B993)</f>
        <v>7809.024444</v>
      </c>
      <c r="H993" s="1">
        <f>value(MYR!$B993)</f>
        <v>3108.389355</v>
      </c>
      <c r="I993" s="1">
        <f>value(THB!$B993)</f>
        <v>323.554854</v>
      </c>
      <c r="J993" s="1">
        <f>value(VND!$B993)</f>
        <v>0.4601460013</v>
      </c>
      <c r="K993" s="1">
        <f>value(CNY!$B993)</f>
        <v>1557.985896</v>
      </c>
      <c r="L993" s="1">
        <f>value(HKD!$B993)</f>
        <v>1246.740207</v>
      </c>
      <c r="M993" s="1">
        <f>value(TWD!$B993)</f>
        <v>328.583202</v>
      </c>
      <c r="N993" s="1">
        <f>value(JPY!$B993)</f>
        <v>105.40191</v>
      </c>
      <c r="O993" s="1">
        <f>value(SAR!$B993)</f>
        <v>2566.057081</v>
      </c>
      <c r="P993" s="1">
        <f>value(AED!$B993)</f>
        <v>2642.49853</v>
      </c>
      <c r="Q993" s="1">
        <f>value(KWD!$B993)</f>
        <v>34055.77518</v>
      </c>
    </row>
    <row r="994">
      <c r="A994" s="4">
        <f>value(USD!A994)</f>
        <v>41304.99861</v>
      </c>
      <c r="B994" s="1">
        <f>value(USD!B994)</f>
        <v>9659.7</v>
      </c>
      <c r="C994" s="1">
        <f>value(AUD!$B994)</f>
        <v>10086.08675</v>
      </c>
      <c r="D994" s="1">
        <f>value(EUR!$B994)</f>
        <v>13223.8727</v>
      </c>
      <c r="E994" s="1">
        <f>value(GBP!$B994)</f>
        <v>15212.9789</v>
      </c>
      <c r="F994" s="1">
        <f>value(CHF!$B994)</f>
        <v>10672.5435</v>
      </c>
      <c r="G994" s="1">
        <f>value(SGD!$B994)</f>
        <v>7811.313105</v>
      </c>
      <c r="H994" s="1">
        <f>value(MYR!$B994)</f>
        <v>3117.4296</v>
      </c>
      <c r="I994" s="1">
        <f>value(THB!$B994)</f>
        <v>325.216925</v>
      </c>
      <c r="J994" s="1">
        <f>value(VND!$B994)</f>
        <v>0.4646002856</v>
      </c>
      <c r="K994" s="1">
        <f>value(CNY!$B994)</f>
        <v>1562.60205</v>
      </c>
      <c r="L994" s="1">
        <f>value(HKD!$B994)</f>
        <v>1249.68602</v>
      </c>
      <c r="M994" s="1">
        <f>value(TWD!$B994)</f>
        <v>327.25256</v>
      </c>
      <c r="N994" s="1">
        <f>value(JPY!$B994)</f>
        <v>104.398995</v>
      </c>
      <c r="O994" s="1">
        <f>value(SAR!$B994)</f>
        <v>2583.215365</v>
      </c>
      <c r="P994" s="1">
        <f>value(AED!$B994)</f>
        <v>2642.541184</v>
      </c>
      <c r="Q994" s="1">
        <f>value(KWD!$B994)</f>
        <v>34028.50081</v>
      </c>
    </row>
    <row r="995">
      <c r="A995" s="4">
        <f>value(USD!A995)</f>
        <v>41305.99861</v>
      </c>
      <c r="B995" s="1">
        <f>value(USD!B995)</f>
        <v>9669.9</v>
      </c>
      <c r="C995" s="1">
        <f>value(AUD!$B995)</f>
        <v>10141.32481</v>
      </c>
      <c r="D995" s="1">
        <f>value(EUR!$B995)</f>
        <v>13296.29534</v>
      </c>
      <c r="E995" s="1">
        <f>value(GBP!$B995)</f>
        <v>15296.2952</v>
      </c>
      <c r="F995" s="1">
        <f>value(CHF!$B995)</f>
        <v>10730.99338</v>
      </c>
      <c r="G995" s="1">
        <f>value(SGD!$B995)</f>
        <v>7854.093008</v>
      </c>
      <c r="H995" s="1">
        <f>value(MYR!$B995)</f>
        <v>3134.5027</v>
      </c>
      <c r="I995" s="1">
        <f>value(THB!$B995)</f>
        <v>326.9980274</v>
      </c>
      <c r="J995" s="1">
        <f>value(VND!$B995)</f>
        <v>0.4645465391</v>
      </c>
      <c r="K995" s="1">
        <f>value(CNY!$B995)</f>
        <v>1561.762688</v>
      </c>
      <c r="L995" s="1">
        <f>value(HKD!$B995)</f>
        <v>1256.530124</v>
      </c>
      <c r="M995" s="1">
        <f>value(TWD!$B995)</f>
        <v>329.0448108</v>
      </c>
      <c r="N995" s="1">
        <f>value(JPY!$B995)</f>
        <v>104.9707527</v>
      </c>
      <c r="O995" s="1">
        <f>value(SAR!$B995)</f>
        <v>2579.283102</v>
      </c>
      <c r="P995" s="1">
        <f>value(AED!$B995)</f>
        <v>2642.214568</v>
      </c>
      <c r="Q995" s="1">
        <f>value(KWD!$B995)</f>
        <v>34031.5005</v>
      </c>
    </row>
    <row r="996">
      <c r="A996" s="4">
        <f>value(USD!A996)</f>
        <v>41306.99861</v>
      </c>
      <c r="B996" s="1">
        <f>value(USD!B996)</f>
        <v>9693.5</v>
      </c>
      <c r="C996" s="1">
        <f>value(AUD!$B996)</f>
        <v>10018.09539</v>
      </c>
      <c r="D996" s="1">
        <f>value(EUR!$B996)</f>
        <v>13119.07176</v>
      </c>
      <c r="E996" s="1">
        <f>value(GBP!$B996)</f>
        <v>15093.46899</v>
      </c>
      <c r="F996" s="1">
        <f>value(CHF!$B996)</f>
        <v>10580.42371</v>
      </c>
      <c r="G996" s="1">
        <f>value(SGD!$B996)</f>
        <v>7745.71221</v>
      </c>
      <c r="H996" s="1">
        <f>value(MYR!$B996)</f>
        <v>3039.072192</v>
      </c>
      <c r="I996" s="1">
        <f>value(THB!$B996)</f>
        <v>316.7302275</v>
      </c>
      <c r="J996" s="1">
        <f>value(VND!$B996)</f>
        <v>0.4715285178</v>
      </c>
      <c r="K996" s="1">
        <f>value(CNY!$B996)</f>
        <v>1559.89332</v>
      </c>
      <c r="L996" s="1">
        <f>value(HKD!$B996)</f>
        <v>1239.140929</v>
      </c>
      <c r="M996" s="1">
        <f>value(TWD!$B996)</f>
        <v>324.6124365</v>
      </c>
      <c r="N996" s="1">
        <f>value(JPY!$B996)</f>
        <v>103.5260865</v>
      </c>
      <c r="O996" s="1">
        <f>value(SAR!$B996)</f>
        <v>2577.810956</v>
      </c>
      <c r="P996" s="1">
        <f>value(AED!$B996)</f>
        <v>2645.099676</v>
      </c>
      <c r="Q996" s="1">
        <f>value(KWD!$B996)</f>
        <v>34066.15829</v>
      </c>
    </row>
    <row r="997">
      <c r="A997" s="4">
        <f>value(USD!A997)</f>
        <v>41307.99861</v>
      </c>
      <c r="B997" s="1">
        <f>value(USD!B997)</f>
        <v>9746.588</v>
      </c>
      <c r="C997" s="1">
        <f>value(AUD!$B997)</f>
        <v>10068.13592</v>
      </c>
      <c r="D997" s="1">
        <f>value(EUR!$B997)</f>
        <v>13026.99841</v>
      </c>
      <c r="E997" s="1">
        <f>value(GBP!$B997)</f>
        <v>15192.07385</v>
      </c>
      <c r="F997" s="1">
        <f>value(CHF!$B997)</f>
        <v>10607.93427</v>
      </c>
      <c r="G997" s="1">
        <f>value(SGD!$B997)</f>
        <v>7780.983911</v>
      </c>
      <c r="H997" s="1">
        <f>value(MYR!$B997)</f>
        <v>3114.399246</v>
      </c>
      <c r="I997" s="1">
        <f>value(THB!$B997)</f>
        <v>323.705439</v>
      </c>
      <c r="J997" s="1">
        <f>value(VND!$B997)</f>
        <v>0.4658966457</v>
      </c>
      <c r="K997" s="1">
        <f>value(CNY!$B997)</f>
        <v>1559.477056</v>
      </c>
      <c r="L997" s="1">
        <f>value(HKD!$B997)</f>
        <v>1243.522592</v>
      </c>
      <c r="M997" s="1">
        <f>value(TWD!$B997)</f>
        <v>324.95899</v>
      </c>
      <c r="N997" s="1">
        <f>value(JPY!$B997)</f>
        <v>104.623295</v>
      </c>
      <c r="O997" s="1">
        <f>value(SAR!$B997)</f>
        <v>2579.447406</v>
      </c>
      <c r="P997" s="1">
        <f>value(AED!$B997)</f>
        <v>2645.888998</v>
      </c>
      <c r="Q997" s="1">
        <f>value(KWD!$B997)</f>
        <v>34066.15829</v>
      </c>
    </row>
    <row r="998">
      <c r="A998" s="4">
        <f>value(USD!A998)</f>
        <v>41308.99861</v>
      </c>
      <c r="B998" s="1">
        <f>value(USD!B998)</f>
        <v>9612.45</v>
      </c>
      <c r="C998" s="1">
        <f>value(AUD!$B998)</f>
        <v>10021.27373</v>
      </c>
      <c r="D998" s="1">
        <f>value(EUR!$B998)</f>
        <v>13100.88341</v>
      </c>
      <c r="E998" s="1">
        <f>value(GBP!$B998)</f>
        <v>15110.54098</v>
      </c>
      <c r="F998" s="1">
        <f>value(CHF!$B998)</f>
        <v>10622.3379</v>
      </c>
      <c r="G998" s="1">
        <f>value(SGD!$B998)</f>
        <v>7797.529259</v>
      </c>
      <c r="H998" s="1">
        <f>value(MYR!$B998)</f>
        <v>3120.999171</v>
      </c>
      <c r="I998" s="1">
        <f>value(THB!$B998)</f>
        <v>323.687045</v>
      </c>
      <c r="J998" s="1">
        <f>value(VND!$B998)</f>
        <v>0.4705112665</v>
      </c>
      <c r="K998" s="1">
        <f>value(CNY!$B998)</f>
        <v>1558.963</v>
      </c>
      <c r="L998" s="1">
        <f>value(HKD!$B998)</f>
        <v>1244.096705</v>
      </c>
      <c r="M998" s="1">
        <f>value(TWD!$B998)</f>
        <v>327.256768</v>
      </c>
      <c r="N998" s="1">
        <f>value(JPY!$B998)</f>
        <v>103.039572</v>
      </c>
      <c r="O998" s="1">
        <f>value(SAR!$B998)</f>
        <v>2575.977501</v>
      </c>
      <c r="P998" s="1">
        <f>value(AED!$B998)</f>
        <v>2648.58358</v>
      </c>
      <c r="Q998" s="1">
        <f>value(KWD!$B998)</f>
        <v>34066.15829</v>
      </c>
    </row>
    <row r="999">
      <c r="A999" s="4">
        <f>value(USD!A999)</f>
        <v>41309.99861</v>
      </c>
      <c r="B999" s="1">
        <f>value(USD!B999)</f>
        <v>9642.7</v>
      </c>
      <c r="C999" s="1">
        <f>value(AUD!$B999)</f>
        <v>9988.05436</v>
      </c>
      <c r="D999" s="1">
        <f>value(EUR!$B999)</f>
        <v>13090.1992</v>
      </c>
      <c r="E999" s="1">
        <f>value(GBP!$B999)</f>
        <v>15162.1686</v>
      </c>
      <c r="F999" s="1">
        <f>value(CHF!$B999)</f>
        <v>10633.85043</v>
      </c>
      <c r="G999" s="1">
        <f>value(SGD!$B999)</f>
        <v>7812.002385</v>
      </c>
      <c r="H999" s="1">
        <f>value(MYR!$B999)</f>
        <v>3121.702682</v>
      </c>
      <c r="I999" s="1">
        <f>value(THB!$B999)</f>
        <v>324.834455</v>
      </c>
      <c r="J999" s="1">
        <f>value(VND!$B999)</f>
        <v>0.4704884601</v>
      </c>
      <c r="K999" s="1">
        <f>value(CNY!$B999)</f>
        <v>1561.25151</v>
      </c>
      <c r="L999" s="1">
        <f>value(HKD!$B999)</f>
        <v>1248.700437</v>
      </c>
      <c r="M999" s="1">
        <f>value(TWD!$B999)</f>
        <v>327.25498</v>
      </c>
      <c r="N999" s="1">
        <f>value(JPY!$B999)</f>
        <v>103.59847</v>
      </c>
      <c r="O999" s="1">
        <f>value(SAR!$B999)</f>
        <v>2575.626551</v>
      </c>
      <c r="P999" s="1">
        <f>value(AED!$B999)</f>
        <v>2648.58358</v>
      </c>
      <c r="Q999" s="1">
        <f>value(KWD!$B999)</f>
        <v>34029.72602</v>
      </c>
    </row>
    <row r="1000">
      <c r="A1000" s="4">
        <f>value(USD!A1000)</f>
        <v>41310.99861</v>
      </c>
      <c r="B1000" s="1">
        <f>value(USD!B1000)</f>
        <v>9647.9</v>
      </c>
      <c r="C1000" s="1">
        <f>value(AUD!$B1000)</f>
        <v>9939.74112</v>
      </c>
      <c r="D1000" s="1">
        <f>value(EUR!$B1000)</f>
        <v>12944.03058</v>
      </c>
      <c r="E1000" s="1">
        <f>value(GBP!$B1000)</f>
        <v>15186.44592</v>
      </c>
      <c r="F1000" s="1">
        <f>value(CHF!$B1000)</f>
        <v>10524.3408</v>
      </c>
      <c r="G1000" s="1">
        <f>value(SGD!$B1000)</f>
        <v>7795.82232</v>
      </c>
      <c r="H1000" s="1">
        <f>value(MYR!$B1000)</f>
        <v>3123.27792</v>
      </c>
      <c r="I1000" s="1">
        <f>value(THB!$B1000)</f>
        <v>324.00432</v>
      </c>
      <c r="J1000" s="1">
        <f>value(VND!$B1000)</f>
        <v>0.4703192333</v>
      </c>
      <c r="K1000" s="1">
        <f>value(CNY!$B1000)</f>
        <v>1546.066458</v>
      </c>
      <c r="L1000" s="1">
        <f>value(HKD!$B1000)</f>
        <v>1246.33404</v>
      </c>
      <c r="M1000" s="1">
        <f>value(TWD!$B1000)</f>
        <v>322.45776</v>
      </c>
      <c r="N1000" s="1">
        <f>value(JPY!$B1000)</f>
        <v>103.13622</v>
      </c>
      <c r="O1000" s="1">
        <f>value(SAR!$B1000)</f>
        <v>2565.577708</v>
      </c>
      <c r="P1000" s="1">
        <f>value(AED!$B1000)</f>
        <v>2648.58358</v>
      </c>
      <c r="Q1000" s="1">
        <f>value(KWD!$B1000)</f>
        <v>34043.64224</v>
      </c>
    </row>
    <row r="1001">
      <c r="A1001" s="4">
        <f>value(USD!A1001)</f>
        <v>41311.99861</v>
      </c>
      <c r="B1001" s="1">
        <f>value(USD!B1001)</f>
        <v>9682.1</v>
      </c>
      <c r="C1001" s="1">
        <f>value(AUD!$B1001)</f>
        <v>9945.48483</v>
      </c>
      <c r="D1001" s="1">
        <f>value(EUR!$B1001)</f>
        <v>12880.83438</v>
      </c>
      <c r="E1001" s="1">
        <f>value(GBP!$B1001)</f>
        <v>15231.042</v>
      </c>
      <c r="F1001" s="1">
        <f>value(CHF!$B1001)</f>
        <v>10506.52701</v>
      </c>
      <c r="G1001" s="1">
        <f>value(SGD!$B1001)</f>
        <v>7783.544457</v>
      </c>
      <c r="H1001" s="1">
        <f>value(MYR!$B1001)</f>
        <v>3108.000159</v>
      </c>
      <c r="I1001" s="1">
        <f>value(THB!$B1001)</f>
        <v>323.225847</v>
      </c>
      <c r="J1001" s="1">
        <f>value(VND!$B1001)</f>
        <v>0.4692608796</v>
      </c>
      <c r="K1001" s="1">
        <f>value(CNY!$B1001)</f>
        <v>1567.6124</v>
      </c>
      <c r="L1001" s="1">
        <f>value(HKD!$B1001)</f>
        <v>1242.872307</v>
      </c>
      <c r="M1001" s="1">
        <f>value(TWD!$B1001)</f>
        <v>323.129448</v>
      </c>
      <c r="N1001" s="1">
        <f>value(JPY!$B1001)</f>
        <v>103.918122</v>
      </c>
      <c r="O1001" s="1">
        <f>value(SAR!$B1001)</f>
        <v>2580.564229</v>
      </c>
      <c r="P1001" s="1">
        <f>value(AED!$B1001)</f>
        <v>2648.066438</v>
      </c>
      <c r="Q1001" s="1">
        <f>value(KWD!$B1001)</f>
        <v>34031.1044</v>
      </c>
    </row>
    <row r="1002">
      <c r="A1002" s="4">
        <f>value(USD!A1002)</f>
        <v>41312.99861</v>
      </c>
      <c r="B1002" s="1">
        <f>value(USD!B1002)</f>
        <v>9666</v>
      </c>
      <c r="C1002" s="1">
        <f>value(AUD!$B1002)</f>
        <v>9943.42143</v>
      </c>
      <c r="D1002" s="1">
        <f>value(EUR!$B1002)</f>
        <v>12878.16198</v>
      </c>
      <c r="E1002" s="1">
        <f>value(GBP!$B1002)</f>
        <v>15227.882</v>
      </c>
      <c r="F1002" s="1">
        <f>value(CHF!$B1002)</f>
        <v>10506.27479</v>
      </c>
      <c r="G1002" s="1">
        <f>value(SGD!$B1002)</f>
        <v>7781.929597</v>
      </c>
      <c r="H1002" s="1">
        <f>value(MYR!$B1002)</f>
        <v>3039.311765</v>
      </c>
      <c r="I1002" s="1">
        <f>value(THB!$B1002)</f>
        <v>316.219499</v>
      </c>
      <c r="J1002" s="1">
        <f>value(VND!$B1002)</f>
        <v>0.4718489016</v>
      </c>
      <c r="K1002" s="1">
        <f>value(CNY!$B1002)</f>
        <v>1566.078135</v>
      </c>
      <c r="L1002" s="1">
        <f>value(HKD!$B1002)</f>
        <v>1242.710826</v>
      </c>
      <c r="M1002" s="1">
        <f>value(TWD!$B1002)</f>
        <v>323.158787</v>
      </c>
      <c r="N1002" s="1">
        <f>value(JPY!$B1002)</f>
        <v>103.992941</v>
      </c>
      <c r="O1002" s="1">
        <f>value(SAR!$B1002)</f>
        <v>2580.67953</v>
      </c>
      <c r="P1002" s="1">
        <f>value(AED!$B1002)</f>
        <v>2649.427338</v>
      </c>
      <c r="Q1002" s="1">
        <f>value(KWD!$B1002)</f>
        <v>34047.17194</v>
      </c>
    </row>
    <row r="1003">
      <c r="A1003" s="4">
        <f>value(USD!A1003)</f>
        <v>41313.99861</v>
      </c>
      <c r="B1003" s="1">
        <f>value(USD!B1003)</f>
        <v>9639.9</v>
      </c>
      <c r="C1003" s="1">
        <f>value(AUD!$B1003)</f>
        <v>9921.97089</v>
      </c>
      <c r="D1003" s="1">
        <f>value(EUR!$B1003)</f>
        <v>12848.96191</v>
      </c>
      <c r="E1003" s="1">
        <f>value(GBP!$B1003)</f>
        <v>15186.70975</v>
      </c>
      <c r="F1003" s="1">
        <f>value(CHF!$B1003)</f>
        <v>10476.60925</v>
      </c>
      <c r="G1003" s="1">
        <f>value(SGD!$B1003)</f>
        <v>7763.87974</v>
      </c>
      <c r="H1003" s="1">
        <f>value(MYR!$B1003)</f>
        <v>3031.574481</v>
      </c>
      <c r="I1003" s="1">
        <f>value(THB!$B1003)</f>
        <v>315.480609</v>
      </c>
      <c r="J1003" s="1">
        <f>value(VND!$B1003)</f>
        <v>0.4719897056</v>
      </c>
      <c r="K1003" s="1">
        <f>value(CNY!$B1003)</f>
        <v>1567.173479</v>
      </c>
      <c r="L1003" s="1">
        <f>value(HKD!$B1003)</f>
        <v>1239.429303</v>
      </c>
      <c r="M1003" s="1">
        <f>value(TWD!$B1003)</f>
        <v>322.401573</v>
      </c>
      <c r="N1003" s="1">
        <f>value(JPY!$B1003)</f>
        <v>103.9105845</v>
      </c>
      <c r="O1003" s="1">
        <f>value(SAR!$B1003)</f>
        <v>2579.300021</v>
      </c>
      <c r="P1003" s="1">
        <f>value(AED!$B1003)</f>
        <v>2650.026134</v>
      </c>
      <c r="Q1003" s="1">
        <f>value(KWD!$B1003)</f>
        <v>34089.86727</v>
      </c>
    </row>
    <row r="1004">
      <c r="A1004" s="4">
        <f>value(USD!A1004)</f>
        <v>41314.99861</v>
      </c>
      <c r="B1004" s="1">
        <f>value(USD!B1004)</f>
        <v>9637.9</v>
      </c>
      <c r="C1004" s="1">
        <f>value(AUD!$B1004)</f>
        <v>9843.47991</v>
      </c>
      <c r="D1004" s="1">
        <f>value(EUR!$B1004)</f>
        <v>12860.31799</v>
      </c>
      <c r="E1004" s="1">
        <f>value(GBP!$B1004)</f>
        <v>15013.2015</v>
      </c>
      <c r="F1004" s="1">
        <f>value(CHF!$B1004)</f>
        <v>10419.06591</v>
      </c>
      <c r="G1004" s="1">
        <f>value(SGD!$B1004)</f>
        <v>7724.555982</v>
      </c>
      <c r="H1004" s="1">
        <f>value(MYR!$B1004)</f>
        <v>3092.623578</v>
      </c>
      <c r="I1004" s="1">
        <f>value(THB!$B1004)</f>
        <v>320.985126</v>
      </c>
      <c r="J1004" s="1">
        <f>value(VND!$B1004)</f>
        <v>0.4698469331</v>
      </c>
      <c r="K1004" s="1">
        <f>value(CNY!$B1004)</f>
        <v>1566.686205</v>
      </c>
      <c r="L1004" s="1">
        <f>value(HKD!$B1004)</f>
        <v>1236.934314</v>
      </c>
      <c r="M1004" s="1">
        <f>value(TWD!$B1004)</f>
        <v>322.903746</v>
      </c>
      <c r="N1004" s="1">
        <f>value(JPY!$B1004)</f>
        <v>101.782791</v>
      </c>
      <c r="O1004" s="1">
        <f>value(SAR!$B1004)</f>
        <v>2582.189923</v>
      </c>
      <c r="P1004" s="1">
        <f>value(AED!$B1004)</f>
        <v>2651.740868</v>
      </c>
      <c r="Q1004" s="1">
        <f>value(KWD!$B1004)</f>
        <v>34075.87881</v>
      </c>
    </row>
    <row r="1005">
      <c r="A1005" s="4">
        <f>value(USD!A1005)</f>
        <v>41315.99861</v>
      </c>
      <c r="B1005" s="1">
        <f>value(USD!B1005)</f>
        <v>9612.45</v>
      </c>
      <c r="C1005" s="1">
        <f>value(AUD!$B1005)</f>
        <v>9944.028561</v>
      </c>
      <c r="D1005" s="1">
        <f>value(EUR!$B1005)</f>
        <v>12937.73004</v>
      </c>
      <c r="E1005" s="1">
        <f>value(GBP!$B1005)</f>
        <v>15076.70652</v>
      </c>
      <c r="F1005" s="1">
        <f>value(CHF!$B1005)</f>
        <v>10485.21654</v>
      </c>
      <c r="G1005" s="1">
        <f>value(SGD!$B1005)</f>
        <v>7762.44567</v>
      </c>
      <c r="H1005" s="1">
        <f>value(MYR!$B1005)</f>
        <v>3101.323542</v>
      </c>
      <c r="I1005" s="1">
        <f>value(THB!$B1005)</f>
        <v>322.385304</v>
      </c>
      <c r="J1005" s="1">
        <f>value(VND!$B1005)</f>
        <v>0.4699603965</v>
      </c>
      <c r="K1005" s="1">
        <f>value(CNY!$B1005)</f>
        <v>1576.388754</v>
      </c>
      <c r="L1005" s="1">
        <f>value(HKD!$B1005)</f>
        <v>1240.106238</v>
      </c>
      <c r="M1005" s="1">
        <f>value(TWD!$B1005)</f>
        <v>322.962366</v>
      </c>
      <c r="N1005" s="1">
        <f>value(JPY!$B1005)</f>
        <v>103.005567</v>
      </c>
      <c r="O1005" s="1">
        <f>value(SAR!$B1005)</f>
        <v>2583.153174</v>
      </c>
      <c r="P1005" s="1">
        <f>value(AED!$B1005)</f>
        <v>2653.21064</v>
      </c>
      <c r="Q1005" s="1">
        <f>value(KWD!$B1005)</f>
        <v>34110.42546</v>
      </c>
    </row>
    <row r="1006">
      <c r="A1006" s="4">
        <f>value(USD!A1006)</f>
        <v>41316.99861</v>
      </c>
      <c r="B1006" s="1">
        <f>value(USD!B1006)</f>
        <v>9593.1</v>
      </c>
      <c r="C1006" s="1">
        <f>value(AUD!$B1006)</f>
        <v>9957.45594</v>
      </c>
      <c r="D1006" s="1">
        <f>value(EUR!$B1006)</f>
        <v>12930.82284</v>
      </c>
      <c r="E1006" s="1">
        <f>value(GBP!$B1006)</f>
        <v>14938.49235</v>
      </c>
      <c r="F1006" s="1">
        <f>value(CHF!$B1006)</f>
        <v>10480.3176</v>
      </c>
      <c r="G1006" s="1">
        <f>value(SGD!$B1006)</f>
        <v>7783.48257</v>
      </c>
      <c r="H1006" s="1">
        <f>value(MYR!$B1006)</f>
        <v>3111.296195</v>
      </c>
      <c r="I1006" s="1">
        <f>value(THB!$B1006)</f>
        <v>322.02738</v>
      </c>
      <c r="J1006" s="1">
        <f>value(VND!$B1006)</f>
        <v>0.4699603965</v>
      </c>
      <c r="K1006" s="1">
        <f>value(CNY!$B1006)</f>
        <v>1586.417212</v>
      </c>
      <c r="L1006" s="1">
        <f>value(HKD!$B1006)</f>
        <v>1240.113205</v>
      </c>
      <c r="M1006" s="1">
        <f>value(TWD!$B1006)</f>
        <v>322.60449</v>
      </c>
      <c r="N1006" s="1">
        <f>value(JPY!$B1006)</f>
        <v>103.11032</v>
      </c>
      <c r="O1006" s="1">
        <f>value(SAR!$B1006)</f>
        <v>2582.830572</v>
      </c>
      <c r="P1006" s="1">
        <f>value(AED!$B1006)</f>
        <v>2652.12192</v>
      </c>
      <c r="Q1006" s="1">
        <f>value(KWD!$B1006)</f>
        <v>34158.76497</v>
      </c>
    </row>
    <row r="1007">
      <c r="A1007" s="4">
        <f>value(USD!A1007)</f>
        <v>41317.99861</v>
      </c>
      <c r="B1007" s="1">
        <f>value(USD!B1007)</f>
        <v>9617.7</v>
      </c>
      <c r="C1007" s="1">
        <f>value(AUD!$B1007)</f>
        <v>9975.44812</v>
      </c>
      <c r="D1007" s="1">
        <f>value(EUR!$B1007)</f>
        <v>12859.14916</v>
      </c>
      <c r="E1007" s="1">
        <f>value(GBP!$B1007)</f>
        <v>14919.44471</v>
      </c>
      <c r="F1007" s="1">
        <f>value(CHF!$B1007)</f>
        <v>10443.54388</v>
      </c>
      <c r="G1007" s="1">
        <f>value(SGD!$B1007)</f>
        <v>7795.720724</v>
      </c>
      <c r="H1007" s="1">
        <f>value(MYR!$B1007)</f>
        <v>3113.799964</v>
      </c>
      <c r="I1007" s="1">
        <f>value(THB!$B1007)</f>
        <v>322.465968</v>
      </c>
      <c r="J1007" s="1">
        <f>value(VND!$B1007)</f>
        <v>0.4667354277</v>
      </c>
      <c r="K1007" s="1">
        <f>value(CNY!$B1007)</f>
        <v>1578.708524</v>
      </c>
      <c r="L1007" s="1">
        <f>value(HKD!$B1007)</f>
        <v>1242.091136</v>
      </c>
      <c r="M1007" s="1">
        <f>value(TWD!$B1007)</f>
        <v>325.259132</v>
      </c>
      <c r="N1007" s="1">
        <f>value(JPY!$B1007)</f>
        <v>103.636016</v>
      </c>
      <c r="O1007" s="1">
        <f>value(SAR!$B1007)</f>
        <v>2599.193286</v>
      </c>
      <c r="P1007" s="1">
        <f>value(AED!$B1007)</f>
        <v>2656.667326</v>
      </c>
      <c r="Q1007" s="1">
        <f>value(KWD!$B1007)</f>
        <v>34300.1532</v>
      </c>
    </row>
    <row r="1008">
      <c r="A1008" s="4">
        <f>value(USD!A1008)</f>
        <v>41318.99861</v>
      </c>
      <c r="B1008" s="1">
        <f>value(USD!B1008)</f>
        <v>9618.5</v>
      </c>
      <c r="C1008" s="1">
        <f>value(AUD!$B1008)</f>
        <v>9929.27364</v>
      </c>
      <c r="D1008" s="1">
        <f>value(EUR!$B1008)</f>
        <v>12882.41812</v>
      </c>
      <c r="E1008" s="1">
        <f>value(GBP!$B1008)</f>
        <v>14950.77584</v>
      </c>
      <c r="F1008" s="1">
        <f>value(CHF!$B1008)</f>
        <v>10458.41082</v>
      </c>
      <c r="G1008" s="1">
        <f>value(SGD!$B1008)</f>
        <v>7787.858364</v>
      </c>
      <c r="H1008" s="1">
        <f>value(MYR!$B1008)</f>
        <v>3112.945836</v>
      </c>
      <c r="I1008" s="1">
        <f>value(THB!$B1008)</f>
        <v>322.205026</v>
      </c>
      <c r="J1008" s="1">
        <f>value(VND!$B1008)</f>
        <v>0.4734945024</v>
      </c>
      <c r="K1008" s="1">
        <f>value(CNY!$B1008)</f>
        <v>1567.139477</v>
      </c>
      <c r="L1008" s="1">
        <f>value(HKD!$B1008)</f>
        <v>1242.84589</v>
      </c>
      <c r="M1008" s="1">
        <f>value(TWD!$B1008)</f>
        <v>326.542216</v>
      </c>
      <c r="N1008" s="1">
        <f>value(JPY!$B1008)</f>
        <v>103.032358</v>
      </c>
      <c r="O1008" s="1">
        <f>value(SAR!$B1008)</f>
        <v>2584.347614</v>
      </c>
      <c r="P1008" s="1">
        <f>value(AED!$B1008)</f>
        <v>2657.456648</v>
      </c>
      <c r="Q1008" s="1">
        <f>value(KWD!$B1008)</f>
        <v>34252.32289</v>
      </c>
    </row>
    <row r="1009">
      <c r="A1009" s="4">
        <f>value(USD!A1009)</f>
        <v>41319.99861</v>
      </c>
      <c r="B1009" s="1">
        <f>value(USD!B1009)</f>
        <v>9631.6</v>
      </c>
      <c r="C1009" s="1">
        <f>value(AUD!$B1009)</f>
        <v>9936.279</v>
      </c>
      <c r="D1009" s="1">
        <f>value(EUR!$B1009)</f>
        <v>12888.6135</v>
      </c>
      <c r="E1009" s="1">
        <f>value(GBP!$B1009)</f>
        <v>14962.2885</v>
      </c>
      <c r="F1009" s="1">
        <f>value(CHF!$B1009)</f>
        <v>10466.754</v>
      </c>
      <c r="G1009" s="1">
        <f>value(SGD!$B1009)</f>
        <v>7793.3529</v>
      </c>
      <c r="H1009" s="1">
        <f>value(MYR!$B1009)</f>
        <v>3065.66325</v>
      </c>
      <c r="I1009" s="1">
        <f>value(THB!$B1009)</f>
        <v>317.5134</v>
      </c>
      <c r="J1009" s="1">
        <f>value(VND!$B1009)</f>
        <v>0.4709441786</v>
      </c>
      <c r="K1009" s="1">
        <f>value(CNY!$B1009)</f>
        <v>1562.85129</v>
      </c>
      <c r="L1009" s="1">
        <f>value(HKD!$B1009)</f>
        <v>1243.6263</v>
      </c>
      <c r="M1009" s="1">
        <f>value(TWD!$B1009)</f>
        <v>326.67615</v>
      </c>
      <c r="N1009" s="1">
        <f>value(JPY!$B1009)</f>
        <v>103.10505</v>
      </c>
      <c r="O1009" s="1">
        <f>value(SAR!$B1009)</f>
        <v>2584.603401</v>
      </c>
      <c r="P1009" s="1">
        <f>value(AED!$B1009)</f>
        <v>2659.960704</v>
      </c>
      <c r="Q1009" s="1">
        <f>value(KWD!$B1009)</f>
        <v>34230.25016</v>
      </c>
    </row>
    <row r="1010">
      <c r="A1010" s="4">
        <f>value(USD!A1010)</f>
        <v>41320.99861</v>
      </c>
      <c r="B1010" s="1">
        <f>value(USD!B1010)</f>
        <v>9638.2</v>
      </c>
      <c r="C1010" s="1">
        <f>value(AUD!$B1010)</f>
        <v>9988.263772</v>
      </c>
      <c r="D1010" s="1">
        <f>value(EUR!$B1010)</f>
        <v>12939.86414</v>
      </c>
      <c r="E1010" s="1">
        <f>value(GBP!$B1010)</f>
        <v>15012.60904</v>
      </c>
      <c r="F1010" s="1">
        <f>value(CHF!$B1010)</f>
        <v>10506.3045</v>
      </c>
      <c r="G1010" s="1">
        <f>value(SGD!$B1010)</f>
        <v>7832.977653</v>
      </c>
      <c r="H1010" s="1">
        <f>value(MYR!$B1010)</f>
        <v>3077.594553</v>
      </c>
      <c r="I1010" s="1">
        <f>value(THB!$B1010)</f>
        <v>318.8166812</v>
      </c>
      <c r="J1010" s="1">
        <f>value(VND!$B1010)</f>
        <v>0.4725517774</v>
      </c>
      <c r="K1010" s="1">
        <f>value(CNY!$B1010)</f>
        <v>1559.784848</v>
      </c>
      <c r="L1010" s="1">
        <f>value(HKD!$B1010)</f>
        <v>1250.824436</v>
      </c>
      <c r="M1010" s="1">
        <f>value(TWD!$B1010)</f>
        <v>327.934043</v>
      </c>
      <c r="N1010" s="1">
        <f>value(JPY!$B1010)</f>
        <v>103.3947618</v>
      </c>
      <c r="O1010" s="1">
        <f>value(SAR!$B1010)</f>
        <v>2587.80187</v>
      </c>
      <c r="P1010" s="1">
        <f>value(AED!$B1010)</f>
        <v>2660.913334</v>
      </c>
      <c r="Q1010" s="1">
        <f>value(KWD!$B1010)</f>
        <v>34394.88945</v>
      </c>
    </row>
    <row r="1011">
      <c r="A1011" s="4">
        <f>value(USD!A1011)</f>
        <v>41321.99861</v>
      </c>
      <c r="B1011" s="1">
        <f>value(USD!B1011)</f>
        <v>9645</v>
      </c>
      <c r="C1011" s="1">
        <f>value(AUD!$B1011)</f>
        <v>9954.79232</v>
      </c>
      <c r="D1011" s="1">
        <f>value(EUR!$B1011)</f>
        <v>12891.41744</v>
      </c>
      <c r="E1011" s="1">
        <f>value(GBP!$B1011)</f>
        <v>14942.80744</v>
      </c>
      <c r="F1011" s="1">
        <f>value(CHF!$B1011)</f>
        <v>10458.71024</v>
      </c>
      <c r="G1011" s="1">
        <f>value(SGD!$B1011)</f>
        <v>7784.566504</v>
      </c>
      <c r="H1011" s="1">
        <f>value(MYR!$B1011)</f>
        <v>3111.644888</v>
      </c>
      <c r="I1011" s="1">
        <f>value(THB!$B1011)</f>
        <v>322.623312</v>
      </c>
      <c r="J1011" s="1">
        <f>value(VND!$B1011)</f>
        <v>0.470826889</v>
      </c>
      <c r="K1011" s="1">
        <f>value(CNY!$B1011)</f>
        <v>1561.335362</v>
      </c>
      <c r="L1011" s="1">
        <f>value(HKD!$B1011)</f>
        <v>1244.83172</v>
      </c>
      <c r="M1011" s="1">
        <f>value(TWD!$B1011)</f>
        <v>325.133248</v>
      </c>
      <c r="N1011" s="1">
        <f>value(JPY!$B1011)</f>
        <v>103.003912</v>
      </c>
      <c r="O1011" s="1">
        <f>value(SAR!$B1011)</f>
        <v>2587.450945</v>
      </c>
      <c r="P1011" s="1">
        <f>value(AED!$B1011)</f>
        <v>2659.1986</v>
      </c>
      <c r="Q1011" s="1">
        <f>value(KWD!$B1011)</f>
        <v>33678.25671</v>
      </c>
    </row>
    <row r="1012">
      <c r="A1012" s="4">
        <f>value(USD!A1012)</f>
        <v>41322.99861</v>
      </c>
      <c r="B1012" s="1">
        <f>value(USD!B1012)</f>
        <v>9699.321</v>
      </c>
      <c r="C1012" s="1">
        <f>value(AUD!$B1012)</f>
        <v>10005.78158</v>
      </c>
      <c r="D1012" s="1">
        <f>value(EUR!$B1012)</f>
        <v>12955.65859</v>
      </c>
      <c r="E1012" s="1">
        <f>value(GBP!$B1012)</f>
        <v>14922.56576</v>
      </c>
      <c r="F1012" s="1">
        <f>value(CHF!$B1012)</f>
        <v>10486.62411</v>
      </c>
      <c r="G1012" s="1">
        <f>value(SGD!$B1012)</f>
        <v>7822.15665</v>
      </c>
      <c r="H1012" s="1">
        <f>value(MYR!$B1012)</f>
        <v>3115.3178</v>
      </c>
      <c r="I1012" s="1">
        <f>value(THB!$B1012)</f>
        <v>323.625405</v>
      </c>
      <c r="J1012" s="1">
        <f>value(VND!$B1012)</f>
        <v>0.4706336896</v>
      </c>
      <c r="K1012" s="1">
        <f>value(CNY!$B1012)</f>
        <v>1563.9338</v>
      </c>
      <c r="L1012" s="1">
        <f>value(HKD!$B1012)</f>
        <v>1247.675104</v>
      </c>
      <c r="M1012" s="1">
        <f>value(TWD!$B1012)</f>
        <v>328.753102</v>
      </c>
      <c r="N1012" s="1">
        <f>value(JPY!$B1012)</f>
        <v>103.231183</v>
      </c>
      <c r="O1012" s="1">
        <f>value(SAR!$B1012)</f>
        <v>2592.920797</v>
      </c>
      <c r="P1012" s="1">
        <f>value(AED!$B1012)</f>
        <v>2674.361299</v>
      </c>
      <c r="Q1012" s="1">
        <f>value(KWD!$B1012)</f>
        <v>34325.33313</v>
      </c>
    </row>
    <row r="1013">
      <c r="A1013" s="4">
        <f>value(USD!A1013)</f>
        <v>41323.99861</v>
      </c>
      <c r="B1013" s="1">
        <f>value(USD!B1013)</f>
        <v>9653.6</v>
      </c>
      <c r="C1013" s="1">
        <f>value(AUD!$B1013)</f>
        <v>9893.99085</v>
      </c>
      <c r="D1013" s="1">
        <f>value(EUR!$B1013)</f>
        <v>12817.67625</v>
      </c>
      <c r="E1013" s="1">
        <f>value(GBP!$B1013)</f>
        <v>14701.4643</v>
      </c>
      <c r="F1013" s="1">
        <f>value(CHF!$B1013)</f>
        <v>10404.7668</v>
      </c>
      <c r="G1013" s="1">
        <f>value(SGD!$B1013)</f>
        <v>7783.29855</v>
      </c>
      <c r="H1013" s="1">
        <f>value(MYR!$B1013)</f>
        <v>3115.347075</v>
      </c>
      <c r="I1013" s="1">
        <f>value(THB!$B1013)</f>
        <v>323.07303</v>
      </c>
      <c r="J1013" s="1">
        <f>value(VND!$B1013)</f>
        <v>0.4714630688</v>
      </c>
      <c r="K1013" s="1">
        <f>value(CNY!$B1013)</f>
        <v>1564.03072</v>
      </c>
      <c r="L1013" s="1">
        <f>value(HKD!$B1013)</f>
        <v>1245.076725</v>
      </c>
      <c r="M1013" s="1">
        <f>value(TWD!$B1013)</f>
        <v>324.23169</v>
      </c>
      <c r="N1013" s="1">
        <f>value(JPY!$B1013)</f>
        <v>103.024185</v>
      </c>
      <c r="O1013" s="1">
        <f>value(SAR!$B1013)</f>
        <v>2594.164513</v>
      </c>
      <c r="P1013" s="1">
        <f>value(AED!$B1013)</f>
        <v>2616.316641</v>
      </c>
      <c r="Q1013" s="1">
        <f>value(KWD!$B1013)</f>
        <v>34283.1488</v>
      </c>
    </row>
    <row r="1014">
      <c r="A1014" s="4">
        <f>value(USD!A1014)</f>
        <v>41324.99861</v>
      </c>
      <c r="B1014" s="1">
        <f>value(USD!B1014)</f>
        <v>9674.9</v>
      </c>
      <c r="C1014" s="1">
        <f>value(AUD!$B1014)</f>
        <v>9953.996305</v>
      </c>
      <c r="D1014" s="1">
        <f>value(EUR!$B1014)</f>
        <v>12760.27852</v>
      </c>
      <c r="E1014" s="1">
        <f>value(GBP!$B1014)</f>
        <v>14761.93257</v>
      </c>
      <c r="F1014" s="1">
        <f>value(CHF!$B1014)</f>
        <v>10392.3479</v>
      </c>
      <c r="G1014" s="1">
        <f>value(SGD!$B1014)</f>
        <v>7798.904685</v>
      </c>
      <c r="H1014" s="1">
        <f>value(MYR!$B1014)</f>
        <v>3106.385205</v>
      </c>
      <c r="I1014" s="1">
        <f>value(THB!$B1014)</f>
        <v>323.999005</v>
      </c>
      <c r="J1014" s="1">
        <f>value(VND!$B1014)</f>
        <v>0.469291027</v>
      </c>
      <c r="K1014" s="1">
        <f>value(CNY!$B1014)</f>
        <v>1562.820065</v>
      </c>
      <c r="L1014" s="1">
        <f>value(HKD!$B1014)</f>
        <v>1247.333285</v>
      </c>
      <c r="M1014" s="1">
        <f>value(TWD!$B1014)</f>
        <v>326.22414</v>
      </c>
      <c r="N1014" s="1">
        <f>value(JPY!$B1014)</f>
        <v>103.90413</v>
      </c>
      <c r="O1014" s="1">
        <f>value(SAR!$B1014)</f>
        <v>2565.988544</v>
      </c>
      <c r="P1014" s="1">
        <f>value(AED!$B1014)</f>
        <v>2660.886116</v>
      </c>
      <c r="Q1014" s="1">
        <f>value(KWD!$B1014)</f>
        <v>34289.37174</v>
      </c>
    </row>
    <row r="1015">
      <c r="A1015" s="4">
        <f>value(USD!A1015)</f>
        <v>41325.99861</v>
      </c>
      <c r="B1015" s="1">
        <f>value(USD!B1015)</f>
        <v>9655.5</v>
      </c>
      <c r="C1015" s="1">
        <f>value(AUD!$B1015)</f>
        <v>9984.14845</v>
      </c>
      <c r="D1015" s="1">
        <f>value(EUR!$B1015)</f>
        <v>12762.95205</v>
      </c>
      <c r="E1015" s="1">
        <f>value(GBP!$B1015)</f>
        <v>14668.058</v>
      </c>
      <c r="F1015" s="1">
        <f>value(CHF!$B1015)</f>
        <v>10407.93535</v>
      </c>
      <c r="G1015" s="1">
        <f>value(SGD!$B1015)</f>
        <v>7816.546185</v>
      </c>
      <c r="H1015" s="1">
        <f>value(MYR!$B1015)</f>
        <v>3116.768815</v>
      </c>
      <c r="I1015" s="1">
        <f>value(THB!$B1015)</f>
        <v>324.32276</v>
      </c>
      <c r="J1015" s="1">
        <f>value(VND!$B1015)</f>
        <v>0.4724582954</v>
      </c>
      <c r="K1015" s="1">
        <f>value(CNY!$B1015)</f>
        <v>1565.030964</v>
      </c>
      <c r="L1015" s="1">
        <f>value(HKD!$B1015)</f>
        <v>1247.36546</v>
      </c>
      <c r="M1015" s="1">
        <f>value(TWD!$B1015)</f>
        <v>327.128655</v>
      </c>
      <c r="N1015" s="1">
        <f>value(JPY!$B1015)</f>
        <v>103.52785</v>
      </c>
      <c r="O1015" s="1">
        <f>value(SAR!$B1015)</f>
        <v>2590.417644</v>
      </c>
      <c r="P1015" s="1">
        <f>value(AED!$B1015)</f>
        <v>2659.389126</v>
      </c>
      <c r="Q1015" s="1">
        <f>value(KWD!$B1015)</f>
        <v>34319.50313</v>
      </c>
    </row>
    <row r="1016">
      <c r="A1016" s="4">
        <f>value(USD!A1016)</f>
        <v>41326.99861</v>
      </c>
      <c r="B1016" s="1">
        <f>value(USD!B1016)</f>
        <v>9674.5</v>
      </c>
      <c r="C1016" s="1">
        <f>value(AUD!$B1016)</f>
        <v>9994.8564</v>
      </c>
      <c r="D1016" s="1">
        <f>value(EUR!$B1016)</f>
        <v>12775.1328</v>
      </c>
      <c r="E1016" s="1">
        <f>value(GBP!$B1016)</f>
        <v>14683.8492</v>
      </c>
      <c r="F1016" s="1">
        <f>value(CHF!$B1016)</f>
        <v>10417.0788</v>
      </c>
      <c r="G1016" s="1">
        <f>value(SGD!$B1016)</f>
        <v>7823.41308</v>
      </c>
      <c r="H1016" s="1">
        <f>value(MYR!$B1016)</f>
        <v>3067.21332</v>
      </c>
      <c r="I1016" s="1">
        <f>value(THB!$B1016)</f>
        <v>318.70044</v>
      </c>
      <c r="J1016" s="1">
        <f>value(VND!$B1016)</f>
        <v>0.4688872833</v>
      </c>
      <c r="K1016" s="1">
        <f>value(CNY!$B1016)</f>
        <v>1566.340092</v>
      </c>
      <c r="L1016" s="1">
        <f>value(HKD!$B1016)</f>
        <v>1248.36444</v>
      </c>
      <c r="M1016" s="1">
        <f>value(TWD!$B1016)</f>
        <v>327.41604</v>
      </c>
      <c r="N1016" s="1">
        <f>value(JPY!$B1016)</f>
        <v>103.6188</v>
      </c>
      <c r="O1016" s="1">
        <f>value(SAR!$B1016)</f>
        <v>2589.899611</v>
      </c>
      <c r="P1016" s="1">
        <f>value(AED!$B1016)</f>
        <v>2657.538302</v>
      </c>
      <c r="Q1016" s="1">
        <f>value(KWD!$B1016)</f>
        <v>34409.96178</v>
      </c>
    </row>
    <row r="1017">
      <c r="A1017" s="4">
        <f>value(USD!A1017)</f>
        <v>41327.99861</v>
      </c>
      <c r="B1017" s="1">
        <f>value(USD!B1017)</f>
        <v>9675.5</v>
      </c>
      <c r="C1017" s="1">
        <f>value(AUD!$B1017)</f>
        <v>10020.44755</v>
      </c>
      <c r="D1017" s="1">
        <f>value(EUR!$B1017)</f>
        <v>12849.75611</v>
      </c>
      <c r="E1017" s="1">
        <f>value(GBP!$B1017)</f>
        <v>14703.01798</v>
      </c>
      <c r="F1017" s="1">
        <f>value(CHF!$B1017)</f>
        <v>10467.38035</v>
      </c>
      <c r="G1017" s="1">
        <f>value(SGD!$B1017)</f>
        <v>7851.216859</v>
      </c>
      <c r="H1017" s="1">
        <f>value(MYR!$B1017)</f>
        <v>3085.394243</v>
      </c>
      <c r="I1017" s="1">
        <f>value(THB!$B1017)</f>
        <v>320.6426371</v>
      </c>
      <c r="J1017" s="1">
        <f>value(VND!$B1017)</f>
        <v>0.4720034722</v>
      </c>
      <c r="K1017" s="1">
        <f>value(CNY!$B1017)</f>
        <v>1567.64532</v>
      </c>
      <c r="L1017" s="1">
        <f>value(HKD!$B1017)</f>
        <v>1255.306674</v>
      </c>
      <c r="M1017" s="1">
        <f>value(TWD!$B1017)</f>
        <v>329.3086543</v>
      </c>
      <c r="N1017" s="1">
        <f>value(JPY!$B1017)</f>
        <v>103.3106097</v>
      </c>
      <c r="O1017" s="1">
        <f>value(SAR!$B1017)</f>
        <v>2587.349872</v>
      </c>
      <c r="P1017" s="1">
        <f>value(AED!$B1017)</f>
        <v>2657.635941</v>
      </c>
      <c r="Q1017" s="1">
        <f>value(KWD!$B1017)</f>
        <v>34553.1607</v>
      </c>
    </row>
    <row r="1018">
      <c r="A1018" s="4">
        <f>value(USD!A1018)</f>
        <v>41328.99861</v>
      </c>
      <c r="B1018" s="1">
        <f>value(USD!B1018)</f>
        <v>9684</v>
      </c>
      <c r="C1018" s="1">
        <f>value(AUD!$B1018)</f>
        <v>9930.88932</v>
      </c>
      <c r="D1018" s="1">
        <f>value(EUR!$B1018)</f>
        <v>12636.41076</v>
      </c>
      <c r="E1018" s="1">
        <f>value(GBP!$B1018)</f>
        <v>14669.4224</v>
      </c>
      <c r="F1018" s="1">
        <f>value(CHF!$B1018)</f>
        <v>10378.90664</v>
      </c>
      <c r="G1018" s="1">
        <f>value(SGD!$B1018)</f>
        <v>7804.790712</v>
      </c>
      <c r="H1018" s="1">
        <f>value(MYR!$B1018)</f>
        <v>3119.284304</v>
      </c>
      <c r="I1018" s="1">
        <f>value(THB!$B1018)</f>
        <v>323.578816</v>
      </c>
      <c r="J1018" s="1">
        <f>value(VND!$B1018)</f>
        <v>0.4711358205</v>
      </c>
      <c r="K1018" s="1">
        <f>value(CNY!$B1018)</f>
        <v>1559.559447</v>
      </c>
      <c r="L1018" s="1">
        <f>value(HKD!$B1018)</f>
        <v>1247.384724</v>
      </c>
      <c r="M1018" s="1">
        <f>value(TWD!$B1018)</f>
        <v>321.7403</v>
      </c>
      <c r="N1018" s="1">
        <f>value(JPY!$B1018)</f>
        <v>104.698648</v>
      </c>
      <c r="O1018" s="1">
        <f>value(SAR!$B1018)</f>
        <v>2586.247368</v>
      </c>
      <c r="P1018" s="1">
        <f>value(AED!$B1018)</f>
        <v>2662.0182</v>
      </c>
      <c r="Q1018" s="1">
        <f>value(KWD!$B1018)</f>
        <v>34409.96178</v>
      </c>
    </row>
    <row r="1019">
      <c r="A1019" s="4">
        <f>value(USD!A1019)</f>
        <v>41329.99861</v>
      </c>
      <c r="B1019" s="1">
        <f>value(USD!B1019)</f>
        <v>9737.098</v>
      </c>
      <c r="C1019" s="1">
        <f>value(AUD!$B1019)</f>
        <v>9899.653725</v>
      </c>
      <c r="D1019" s="1">
        <f>value(EUR!$B1019)</f>
        <v>12644.28275</v>
      </c>
      <c r="E1019" s="1">
        <f>value(GBP!$B1019)</f>
        <v>14640.66695</v>
      </c>
      <c r="F1019" s="1">
        <f>value(CHF!$B1019)</f>
        <v>10386.9662</v>
      </c>
      <c r="G1019" s="1">
        <f>value(SGD!$B1019)</f>
        <v>7812.194845</v>
      </c>
      <c r="H1019" s="1">
        <f>value(MYR!$B1019)</f>
        <v>3116.960925</v>
      </c>
      <c r="I1019" s="1">
        <f>value(THB!$B1019)</f>
        <v>324.22975</v>
      </c>
      <c r="J1019" s="1">
        <f>value(VND!$B1019)</f>
        <v>0.4644817545</v>
      </c>
      <c r="K1019" s="1">
        <f>value(CNY!$B1019)</f>
        <v>1567.29188</v>
      </c>
      <c r="L1019" s="1">
        <f>value(HKD!$B1019)</f>
        <v>1247.461865</v>
      </c>
      <c r="M1019" s="1">
        <f>value(TWD!$B1019)</f>
        <v>325.875095</v>
      </c>
      <c r="N1019" s="1">
        <f>value(JPY!$B1019)</f>
        <v>105.011725</v>
      </c>
      <c r="O1019" s="1">
        <f>value(SAR!$B1019)</f>
        <v>2584.890503</v>
      </c>
      <c r="P1019" s="1">
        <f>value(AED!$B1019)</f>
        <v>2673.096333</v>
      </c>
      <c r="Q1019" s="1">
        <f>value(KWD!$B1019)</f>
        <v>34399.31971</v>
      </c>
    </row>
    <row r="1020">
      <c r="A1020" s="4">
        <f>value(USD!A1020)</f>
        <v>41330.99861</v>
      </c>
      <c r="B1020" s="1">
        <f>value(USD!B1020)</f>
        <v>9676.4</v>
      </c>
      <c r="C1020" s="1">
        <f>value(AUD!$B1020)</f>
        <v>9873.62352</v>
      </c>
      <c r="D1020" s="1">
        <f>value(EUR!$B1020)</f>
        <v>12700.31523</v>
      </c>
      <c r="E1020" s="1">
        <f>value(GBP!$B1020)</f>
        <v>14643.36399</v>
      </c>
      <c r="F1020" s="1">
        <f>value(CHF!$B1020)</f>
        <v>10397.04918</v>
      </c>
      <c r="G1020" s="1">
        <f>value(SGD!$B1020)</f>
        <v>7805.126433</v>
      </c>
      <c r="H1020" s="1">
        <f>value(MYR!$B1020)</f>
        <v>3113.803239</v>
      </c>
      <c r="I1020" s="1">
        <f>value(THB!$B1020)</f>
        <v>323.51955</v>
      </c>
      <c r="J1020" s="1">
        <f>value(VND!$B1020)</f>
        <v>0.4744806814</v>
      </c>
      <c r="K1020" s="1">
        <f>value(CNY!$B1020)</f>
        <v>1576.997938</v>
      </c>
      <c r="L1020" s="1">
        <f>value(HKD!$B1020)</f>
        <v>1244.922543</v>
      </c>
      <c r="M1020" s="1">
        <f>value(TWD!$B1020)</f>
        <v>326.513313</v>
      </c>
      <c r="N1020" s="1">
        <f>value(JPY!$B1020)</f>
        <v>104.588559</v>
      </c>
      <c r="O1020" s="1">
        <f>value(SAR!$B1020)</f>
        <v>2587.698142</v>
      </c>
      <c r="P1020" s="1">
        <f>value(AED!$B1020)</f>
        <v>2662.0182</v>
      </c>
      <c r="Q1020" s="1">
        <f>value(KWD!$B1020)</f>
        <v>34445.37673</v>
      </c>
    </row>
    <row r="1021">
      <c r="A1021" s="4">
        <f>value(USD!A1021)</f>
        <v>41331.99861</v>
      </c>
      <c r="B1021" s="1">
        <f>value(USD!B1021)</f>
        <v>9678.5</v>
      </c>
      <c r="C1021" s="1">
        <f>value(AUD!$B1021)</f>
        <v>9839.96332</v>
      </c>
      <c r="D1021" s="1">
        <f>value(EUR!$B1021)</f>
        <v>12579.62336</v>
      </c>
      <c r="E1021" s="1">
        <f>value(GBP!$B1021)</f>
        <v>14605.80418</v>
      </c>
      <c r="F1021" s="1">
        <f>value(CHF!$B1021)</f>
        <v>10281.19136</v>
      </c>
      <c r="G1021" s="1">
        <f>value(SGD!$B1021)</f>
        <v>7779.871528</v>
      </c>
      <c r="H1021" s="1">
        <f>value(MYR!$B1021)</f>
        <v>3109.694302</v>
      </c>
      <c r="I1021" s="1">
        <f>value(THB!$B1021)</f>
        <v>323.117652</v>
      </c>
      <c r="J1021" s="1">
        <f>value(VND!$B1021)</f>
        <v>0.4718777152</v>
      </c>
      <c r="K1021" s="1">
        <f>value(CNY!$B1021)</f>
        <v>1565.29016</v>
      </c>
      <c r="L1021" s="1">
        <f>value(HKD!$B1021)</f>
        <v>1242.182172</v>
      </c>
      <c r="M1021" s="1">
        <f>value(TWD!$B1021)</f>
        <v>323.69568</v>
      </c>
      <c r="N1021" s="1">
        <f>value(JPY!$B1021)</f>
        <v>104.04504</v>
      </c>
      <c r="O1021" s="1">
        <f>value(SAR!$B1021)</f>
        <v>2566.194058</v>
      </c>
      <c r="P1021" s="1">
        <f>value(AED!$B1021)</f>
        <v>2663.063556</v>
      </c>
      <c r="Q1021" s="1">
        <f>value(KWD!$B1021)</f>
        <v>34690.53838</v>
      </c>
    </row>
    <row r="1022">
      <c r="A1022" s="4">
        <f>value(USD!A1022)</f>
        <v>41332.99861</v>
      </c>
      <c r="B1022" s="1">
        <f>value(USD!B1022)</f>
        <v>9657.3</v>
      </c>
      <c r="C1022" s="1">
        <f>value(AUD!$B1022)</f>
        <v>9843.54831</v>
      </c>
      <c r="D1022" s="1">
        <f>value(EUR!$B1022)</f>
        <v>12558.41109</v>
      </c>
      <c r="E1022" s="1">
        <f>value(GBP!$B1022)</f>
        <v>14507.24649</v>
      </c>
      <c r="F1022" s="1">
        <f>value(CHF!$B1022)</f>
        <v>10223.66769</v>
      </c>
      <c r="G1022" s="1">
        <f>value(SGD!$B1022)</f>
        <v>7775.370861</v>
      </c>
      <c r="H1022" s="1">
        <f>value(MYR!$B1022)</f>
        <v>3113.795175</v>
      </c>
      <c r="I1022" s="1">
        <f>value(THB!$B1022)</f>
        <v>323.969766</v>
      </c>
      <c r="J1022" s="1">
        <f>value(VND!$B1022)</f>
        <v>0.4679558998</v>
      </c>
      <c r="K1022" s="1">
        <f>value(CNY!$B1022)</f>
        <v>1567.470415</v>
      </c>
      <c r="L1022" s="1">
        <f>value(HKD!$B1022)</f>
        <v>1244.070915</v>
      </c>
      <c r="M1022" s="1">
        <f>value(TWD!$B1022)</f>
        <v>325.320444</v>
      </c>
      <c r="N1022" s="1">
        <f>value(JPY!$B1022)</f>
        <v>103.037436</v>
      </c>
      <c r="O1022" s="1">
        <f>value(SAR!$B1022)</f>
        <v>2590.597528</v>
      </c>
      <c r="P1022" s="1">
        <f>value(AED!$B1022)</f>
        <v>2666.629114</v>
      </c>
      <c r="Q1022" s="1">
        <f>value(KWD!$B1022)</f>
        <v>34856.0366</v>
      </c>
    </row>
    <row r="1023">
      <c r="A1023" s="4">
        <f>value(USD!A1023)</f>
        <v>41333.99861</v>
      </c>
      <c r="B1023" s="1">
        <f>value(USD!B1023)</f>
        <v>9633.8</v>
      </c>
      <c r="C1023" s="1">
        <f>value(AUD!$B1023)</f>
        <v>9850.8865</v>
      </c>
      <c r="D1023" s="1">
        <f>value(EUR!$B1023)</f>
        <v>12566.2754</v>
      </c>
      <c r="E1023" s="1">
        <f>value(GBP!$B1023)</f>
        <v>14514.2508</v>
      </c>
      <c r="F1023" s="1">
        <f>value(CHF!$B1023)</f>
        <v>10230.2494</v>
      </c>
      <c r="G1023" s="1">
        <f>value(SGD!$B1023)</f>
        <v>7779.64229</v>
      </c>
      <c r="H1023" s="1">
        <f>value(MYR!$B1023)</f>
        <v>3115.50575</v>
      </c>
      <c r="I1023" s="1">
        <f>value(THB!$B1023)</f>
        <v>323.85815</v>
      </c>
      <c r="J1023" s="1">
        <f>value(VND!$B1023)</f>
        <v>0.4762645687</v>
      </c>
      <c r="K1023" s="1">
        <f>value(CNY!$B1023)</f>
        <v>1568.893301</v>
      </c>
      <c r="L1023" s="1">
        <f>value(HKD!$B1023)</f>
        <v>1244.75435</v>
      </c>
      <c r="M1023" s="1">
        <f>value(TWD!$B1023)</f>
        <v>325.59569</v>
      </c>
      <c r="N1023" s="1">
        <f>value(JPY!$B1023)</f>
        <v>103.09404</v>
      </c>
      <c r="O1023" s="1">
        <f>value(SAR!$B1023)</f>
        <v>2589.209475</v>
      </c>
      <c r="P1023" s="1">
        <f>value(AED!$B1023)</f>
        <v>2675.883234</v>
      </c>
      <c r="Q1023" s="1">
        <f>value(KWD!$B1023)</f>
        <v>34831.81466</v>
      </c>
    </row>
    <row r="1024">
      <c r="A1024" s="4">
        <f>value(USD!A1024)</f>
        <v>41334.99861</v>
      </c>
      <c r="B1024" s="1">
        <f>value(USD!B1024)</f>
        <v>9647.7</v>
      </c>
      <c r="C1024" s="1">
        <f>value(AUD!$B1024)</f>
        <v>9795.855546</v>
      </c>
      <c r="D1024" s="1">
        <f>value(EUR!$B1024)</f>
        <v>12511.56492</v>
      </c>
      <c r="E1024" s="1">
        <f>value(GBP!$B1024)</f>
        <v>14451.35733</v>
      </c>
      <c r="F1024" s="1">
        <f>value(CHF!$B1024)</f>
        <v>10203.61567</v>
      </c>
      <c r="G1024" s="1">
        <f>value(SGD!$B1024)</f>
        <v>7732.639278</v>
      </c>
      <c r="H1024" s="1">
        <f>value(MYR!$B1024)</f>
        <v>3102.994984</v>
      </c>
      <c r="I1024" s="1">
        <f>value(THB!$B1024)</f>
        <v>322.786071</v>
      </c>
      <c r="J1024" s="1">
        <f>value(VND!$B1024)</f>
        <v>0.4709848292</v>
      </c>
      <c r="K1024" s="1">
        <f>value(CNY!$B1024)</f>
        <v>1567.938504</v>
      </c>
      <c r="L1024" s="1">
        <f>value(HKD!$B1024)</f>
        <v>1239.525427</v>
      </c>
      <c r="M1024" s="1">
        <f>value(TWD!$B1024)</f>
        <v>324.2279385</v>
      </c>
      <c r="N1024" s="1">
        <f>value(JPY!$B1024)</f>
        <v>102.7570905</v>
      </c>
      <c r="O1024" s="1">
        <f>value(SAR!$B1024)</f>
        <v>2593.876762</v>
      </c>
      <c r="P1024" s="1">
        <f>value(AED!$B1024)</f>
        <v>2682.19781</v>
      </c>
      <c r="Q1024" s="1">
        <f>value(KWD!$B1024)</f>
        <v>34489.08488</v>
      </c>
    </row>
    <row r="1025">
      <c r="A1025" s="4">
        <f>value(USD!A1025)</f>
        <v>41335.99861</v>
      </c>
      <c r="B1025" s="1">
        <f>value(USD!B1025)</f>
        <v>9653</v>
      </c>
      <c r="C1025" s="1">
        <f>value(AUD!$B1025)</f>
        <v>9872.9855</v>
      </c>
      <c r="D1025" s="1">
        <f>value(EUR!$B1025)</f>
        <v>12615.589</v>
      </c>
      <c r="E1025" s="1">
        <f>value(GBP!$B1025)</f>
        <v>14643.993</v>
      </c>
      <c r="F1025" s="1">
        <f>value(CHF!$B1025)</f>
        <v>10291.0535</v>
      </c>
      <c r="G1025" s="1">
        <f>value(SGD!$B1025)</f>
        <v>7770.548625</v>
      </c>
      <c r="H1025" s="1">
        <f>value(MYR!$B1025)</f>
        <v>3109.38075</v>
      </c>
      <c r="I1025" s="1">
        <f>value(THB!$B1025)</f>
        <v>324.099475</v>
      </c>
      <c r="J1025" s="1">
        <f>value(VND!$B1025)</f>
        <v>0.4731271303</v>
      </c>
      <c r="K1025" s="1">
        <f>value(CNY!$B1025)</f>
        <v>1570.118988</v>
      </c>
      <c r="L1025" s="1">
        <f>value(HKD!$B1025)</f>
        <v>1247.720075</v>
      </c>
      <c r="M1025" s="1">
        <f>value(TWD!$B1025)</f>
        <v>326.809175</v>
      </c>
      <c r="N1025" s="1">
        <f>value(JPY!$B1025)</f>
        <v>103.54925</v>
      </c>
      <c r="O1025" s="1">
        <f>value(SAR!$B1025)</f>
        <v>2594.495726</v>
      </c>
      <c r="P1025" s="1">
        <f>value(AED!$B1025)</f>
        <v>2680.52712</v>
      </c>
      <c r="Q1025" s="1">
        <f>value(KWD!$B1025)</f>
        <v>33998.68774</v>
      </c>
    </row>
    <row r="1026">
      <c r="A1026" s="4">
        <f>value(USD!A1026)</f>
        <v>41336.99861</v>
      </c>
      <c r="B1026" s="1">
        <f>value(USD!B1026)</f>
        <v>9612.45</v>
      </c>
      <c r="C1026" s="1">
        <f>value(AUD!$B1026)</f>
        <v>9921.243632</v>
      </c>
      <c r="D1026" s="1">
        <f>value(EUR!$B1026)</f>
        <v>12608.35986</v>
      </c>
      <c r="E1026" s="1">
        <f>value(GBP!$B1026)</f>
        <v>14624.22854</v>
      </c>
      <c r="F1026" s="1">
        <f>value(CHF!$B1026)</f>
        <v>10265.85474</v>
      </c>
      <c r="G1026" s="1">
        <f>value(SGD!$B1026)</f>
        <v>7763.123816</v>
      </c>
      <c r="H1026" s="1">
        <f>value(MYR!$B1026)</f>
        <v>3110.873858</v>
      </c>
      <c r="I1026" s="1">
        <f>value(THB!$B1026)</f>
        <v>324.317128</v>
      </c>
      <c r="J1026" s="1">
        <f>value(VND!$B1026)</f>
        <v>0.471166346</v>
      </c>
      <c r="K1026" s="1">
        <f>value(CNY!$B1026)</f>
        <v>1572.88512</v>
      </c>
      <c r="L1026" s="1">
        <f>value(HKD!$B1026)</f>
        <v>1245.953734</v>
      </c>
      <c r="M1026" s="1">
        <f>value(TWD!$B1026)</f>
        <v>326.249888</v>
      </c>
      <c r="N1026" s="1">
        <f>value(JPY!$B1026)</f>
        <v>103.595936</v>
      </c>
      <c r="O1026" s="1">
        <f>value(SAR!$B1026)</f>
        <v>2596.792588</v>
      </c>
      <c r="P1026" s="1">
        <f>value(AED!$B1026)</f>
        <v>2654.151909</v>
      </c>
      <c r="Q1026" s="1">
        <f>value(KWD!$B1026)</f>
        <v>34875.84418</v>
      </c>
    </row>
    <row r="1027">
      <c r="A1027" s="4">
        <f>value(USD!A1027)</f>
        <v>41337.99861</v>
      </c>
      <c r="B1027" s="1">
        <f>value(USD!B1027)</f>
        <v>9677.5</v>
      </c>
      <c r="C1027" s="1">
        <f>value(AUD!$B1027)</f>
        <v>9877.08888</v>
      </c>
      <c r="D1027" s="1">
        <f>value(EUR!$B1027)</f>
        <v>12534.22476</v>
      </c>
      <c r="E1027" s="1">
        <f>value(GBP!$B1027)</f>
        <v>14481.43884</v>
      </c>
      <c r="F1027" s="1">
        <f>value(CHF!$B1027)</f>
        <v>10181.34108</v>
      </c>
      <c r="G1027" s="1">
        <f>value(SGD!$B1027)</f>
        <v>7735.346568</v>
      </c>
      <c r="H1027" s="1">
        <f>value(MYR!$B1027)</f>
        <v>3107.622312</v>
      </c>
      <c r="I1027" s="1">
        <f>value(THB!$B1027)</f>
        <v>323.762976</v>
      </c>
      <c r="J1027" s="1">
        <f>value(VND!$B1027)</f>
        <v>0.4692661802</v>
      </c>
      <c r="K1027" s="1">
        <f>value(CNY!$B1027)</f>
        <v>1575.176344</v>
      </c>
      <c r="L1027" s="1">
        <f>value(HKD!$B1027)</f>
        <v>1245.309084</v>
      </c>
      <c r="M1027" s="1">
        <f>value(TWD!$B1027)</f>
        <v>324.245916</v>
      </c>
      <c r="N1027" s="1">
        <f>value(JPY!$B1027)</f>
        <v>102.769632</v>
      </c>
      <c r="O1027" s="1">
        <f>value(SAR!$B1027)</f>
        <v>2583.054519</v>
      </c>
      <c r="P1027" s="1">
        <f>value(AED!$B1027)</f>
        <v>2616.412765</v>
      </c>
      <c r="Q1027" s="1">
        <f>value(KWD!$B1027)</f>
        <v>34933.85874</v>
      </c>
    </row>
    <row r="1028">
      <c r="A1028" s="4">
        <f>value(USD!A1028)</f>
        <v>41338.99861</v>
      </c>
      <c r="B1028" s="1">
        <f>value(USD!B1028)</f>
        <v>9663.8</v>
      </c>
      <c r="C1028" s="1">
        <f>value(AUD!$B1028)</f>
        <v>9922.89252</v>
      </c>
      <c r="D1028" s="1">
        <f>value(EUR!$B1028)</f>
        <v>12670.33929</v>
      </c>
      <c r="E1028" s="1">
        <f>value(GBP!$B1028)</f>
        <v>14519.04336</v>
      </c>
      <c r="F1028" s="1">
        <f>value(CHF!$B1028)</f>
        <v>10254.36429</v>
      </c>
      <c r="G1028" s="1">
        <f>value(SGD!$B1028)</f>
        <v>7759.821783</v>
      </c>
      <c r="H1028" s="1">
        <f>value(MYR!$B1028)</f>
        <v>3111.7758</v>
      </c>
      <c r="I1028" s="1">
        <f>value(THB!$B1028)</f>
        <v>324.900318</v>
      </c>
      <c r="J1028" s="1">
        <f>value(VND!$B1028)</f>
        <v>0.4741011345</v>
      </c>
      <c r="K1028" s="1">
        <f>value(CNY!$B1028)</f>
        <v>1561.158004</v>
      </c>
      <c r="L1028" s="1">
        <f>value(HKD!$B1028)</f>
        <v>1245.773349</v>
      </c>
      <c r="M1028" s="1">
        <f>value(TWD!$B1028)</f>
        <v>328.379322</v>
      </c>
      <c r="N1028" s="1">
        <f>value(JPY!$B1028)</f>
        <v>101.664228</v>
      </c>
      <c r="O1028" s="1">
        <f>value(SAR!$B1028)</f>
        <v>2594.11777</v>
      </c>
      <c r="P1028" s="1">
        <f>value(AED!$B1028)</f>
        <v>2683.820619</v>
      </c>
      <c r="Q1028" s="1">
        <f>value(KWD!$B1028)</f>
        <v>34949.4093</v>
      </c>
    </row>
    <row r="1029">
      <c r="A1029" s="4">
        <f>value(USD!A1029)</f>
        <v>41339.99861</v>
      </c>
      <c r="B1029" s="1">
        <f>value(USD!B1029)</f>
        <v>9658.8</v>
      </c>
      <c r="C1029" s="1">
        <f>value(AUD!$B1029)</f>
        <v>9874.80088</v>
      </c>
      <c r="D1029" s="1">
        <f>value(EUR!$B1029)</f>
        <v>12550.03036</v>
      </c>
      <c r="E1029" s="1">
        <f>value(GBP!$B1029)</f>
        <v>14402.03807</v>
      </c>
      <c r="F1029" s="1">
        <f>value(CHF!$B1029)</f>
        <v>10140.20063</v>
      </c>
      <c r="G1029" s="1">
        <f>value(SGD!$B1029)</f>
        <v>7732.108062</v>
      </c>
      <c r="H1029" s="1">
        <f>value(MYR!$B1029)</f>
        <v>3104.69453</v>
      </c>
      <c r="I1029" s="1">
        <f>value(THB!$B1029)</f>
        <v>324.463258</v>
      </c>
      <c r="J1029" s="1">
        <f>value(VND!$B1029)</f>
        <v>0.4765304549</v>
      </c>
      <c r="K1029" s="1">
        <f>value(CNY!$B1029)</f>
        <v>1572.041994</v>
      </c>
      <c r="L1029" s="1">
        <f>value(HKD!$B1029)</f>
        <v>1244.097519</v>
      </c>
      <c r="M1029" s="1">
        <f>value(TWD!$B1029)</f>
        <v>322.822605</v>
      </c>
      <c r="N1029" s="1">
        <f>value(JPY!$B1029)</f>
        <v>100.465869</v>
      </c>
      <c r="O1029" s="1">
        <f>value(SAR!$B1029)</f>
        <v>2586.814281</v>
      </c>
      <c r="P1029" s="1">
        <f>value(AED!$B1029)</f>
        <v>2688.376296</v>
      </c>
      <c r="Q1029" s="1">
        <f>value(KWD!$B1029)</f>
        <v>35010.25117</v>
      </c>
    </row>
    <row r="1030">
      <c r="A1030" s="4">
        <f>value(USD!A1030)</f>
        <v>41340.99861</v>
      </c>
      <c r="B1030" s="1">
        <f>value(USD!B1030)</f>
        <v>9663.9</v>
      </c>
      <c r="C1030" s="1">
        <f>value(AUD!$B1030)</f>
        <v>9872.0523</v>
      </c>
      <c r="D1030" s="1">
        <f>value(EUR!$B1030)</f>
        <v>12551.88507</v>
      </c>
      <c r="E1030" s="1">
        <f>value(GBP!$B1030)</f>
        <v>14399.87922</v>
      </c>
      <c r="F1030" s="1">
        <f>value(CHF!$B1030)</f>
        <v>10139.36007</v>
      </c>
      <c r="G1030" s="1">
        <f>value(SGD!$B1030)</f>
        <v>7731.467118</v>
      </c>
      <c r="H1030" s="1">
        <f>value(MYR!$B1030)</f>
        <v>3026.27136</v>
      </c>
      <c r="I1030" s="1">
        <f>value(THB!$B1030)</f>
        <v>316.137276</v>
      </c>
      <c r="J1030" s="1">
        <f>value(VND!$B1030)</f>
        <v>0.4766845642</v>
      </c>
      <c r="K1030" s="1">
        <f>value(CNY!$B1030)</f>
        <v>1572.447519</v>
      </c>
      <c r="L1030" s="1">
        <f>value(HKD!$B1030)</f>
        <v>1243.89789</v>
      </c>
      <c r="M1030" s="1">
        <f>value(TWD!$B1030)</f>
        <v>322.795845</v>
      </c>
      <c r="N1030" s="1">
        <f>value(JPY!$B1030)</f>
        <v>100.457541</v>
      </c>
      <c r="O1030" s="1">
        <f>value(SAR!$B1030)</f>
        <v>2578.929079</v>
      </c>
      <c r="P1030" s="1">
        <f>value(AED!$B1030)</f>
        <v>2689.291638</v>
      </c>
      <c r="Q1030" s="1">
        <f>value(KWD!$B1030)</f>
        <v>35090.19456</v>
      </c>
    </row>
    <row r="1031">
      <c r="A1031" s="4">
        <f>value(USD!A1031)</f>
        <v>41341.99861</v>
      </c>
      <c r="B1031" s="1">
        <f>value(USD!B1031)</f>
        <v>9650.9</v>
      </c>
      <c r="C1031" s="1">
        <f>value(AUD!$B1031)</f>
        <v>9817.195185</v>
      </c>
      <c r="D1031" s="1">
        <f>value(EUR!$B1031)</f>
        <v>12484.65006</v>
      </c>
      <c r="E1031" s="1">
        <f>value(GBP!$B1031)</f>
        <v>14329.27921</v>
      </c>
      <c r="F1031" s="1">
        <f>value(CHF!$B1031)</f>
        <v>10092.11125</v>
      </c>
      <c r="G1031" s="1">
        <f>value(SGD!$B1031)</f>
        <v>7698.226707</v>
      </c>
      <c r="H1031" s="1">
        <f>value(MYR!$B1031)</f>
        <v>3010.907713</v>
      </c>
      <c r="I1031" s="1">
        <f>value(THB!$B1031)</f>
        <v>314.519364</v>
      </c>
      <c r="J1031" s="1">
        <f>value(VND!$B1031)</f>
        <v>0.4766006861</v>
      </c>
      <c r="K1031" s="1">
        <f>value(CNY!$B1031)</f>
        <v>1572.415077</v>
      </c>
      <c r="L1031" s="1">
        <f>value(HKD!$B1031)</f>
        <v>1239.237054</v>
      </c>
      <c r="M1031" s="1">
        <f>value(TWD!$B1031)</f>
        <v>321.1519545</v>
      </c>
      <c r="N1031" s="1">
        <f>value(JPY!$B1031)</f>
        <v>99.96948</v>
      </c>
      <c r="O1031" s="1">
        <f>value(SAR!$B1031)</f>
        <v>2582.383479</v>
      </c>
      <c r="P1031" s="1">
        <f>value(AED!$B1031)</f>
        <v>2693.874332</v>
      </c>
      <c r="Q1031" s="1">
        <f>value(KWD!$B1031)</f>
        <v>35014.84968</v>
      </c>
    </row>
    <row r="1032">
      <c r="A1032" s="4">
        <f>value(USD!A1032)</f>
        <v>41342.99861</v>
      </c>
      <c r="B1032" s="1">
        <f>value(USD!B1032)</f>
        <v>9650.1</v>
      </c>
      <c r="C1032" s="1">
        <f>value(AUD!$B1032)</f>
        <v>9929.555514</v>
      </c>
      <c r="D1032" s="1">
        <f>value(EUR!$B1032)</f>
        <v>12596.25208</v>
      </c>
      <c r="E1032" s="1">
        <f>value(GBP!$B1032)</f>
        <v>14408.43777</v>
      </c>
      <c r="F1032" s="1">
        <f>value(CHF!$B1032)</f>
        <v>10192.63812</v>
      </c>
      <c r="G1032" s="1">
        <f>value(SGD!$B1032)</f>
        <v>7740.487788</v>
      </c>
      <c r="H1032" s="1">
        <f>value(MYR!$B1032)</f>
        <v>3104.10403</v>
      </c>
      <c r="I1032" s="1">
        <f>value(THB!$B1032)</f>
        <v>324.961646</v>
      </c>
      <c r="J1032" s="1">
        <f>value(VND!$B1032)</f>
        <v>0.4720253591</v>
      </c>
      <c r="K1032" s="1">
        <f>value(CNY!$B1032)</f>
        <v>1576.709466</v>
      </c>
      <c r="L1032" s="1">
        <f>value(HKD!$B1032)</f>
        <v>1246.379226</v>
      </c>
      <c r="M1032" s="1">
        <f>value(TWD!$B1032)</f>
        <v>326.31525</v>
      </c>
      <c r="N1032" s="1">
        <f>value(JPY!$B1032)</f>
        <v>100.07001</v>
      </c>
      <c r="O1032" s="1">
        <f>value(SAR!$B1032)</f>
        <v>2585.493459</v>
      </c>
      <c r="P1032" s="1">
        <f>value(AED!$B1032)</f>
        <v>2700.72</v>
      </c>
      <c r="Q1032" s="1">
        <f>value(KWD!$B1032)</f>
        <v>34002.2924</v>
      </c>
    </row>
    <row r="1033">
      <c r="A1033" s="4">
        <f>value(USD!A1033)</f>
        <v>41343.99861</v>
      </c>
      <c r="B1033" s="1">
        <f>value(USD!B1033)</f>
        <v>9612.45</v>
      </c>
      <c r="C1033" s="1">
        <f>value(AUD!$B1033)</f>
        <v>9985.1104</v>
      </c>
      <c r="D1033" s="1">
        <f>value(EUR!$B1033)</f>
        <v>12595.4704</v>
      </c>
      <c r="E1033" s="1">
        <f>value(GBP!$B1033)</f>
        <v>14407.2536</v>
      </c>
      <c r="F1033" s="1">
        <f>value(CHF!$B1033)</f>
        <v>10203.6072</v>
      </c>
      <c r="G1033" s="1">
        <f>value(SGD!$B1033)</f>
        <v>7753.63932</v>
      </c>
      <c r="H1033" s="1">
        <f>value(MYR!$B1033)</f>
        <v>3112.51592</v>
      </c>
      <c r="I1033" s="1">
        <f>value(THB!$B1033)</f>
        <v>326.68172</v>
      </c>
      <c r="J1033" s="1">
        <f>value(VND!$B1033)</f>
        <v>0.4653136736</v>
      </c>
      <c r="K1033" s="1">
        <f>value(CNY!$B1033)</f>
        <v>1576.44729</v>
      </c>
      <c r="L1033" s="1">
        <f>value(HKD!$B1033)</f>
        <v>1246.30188</v>
      </c>
      <c r="M1033" s="1">
        <f>value(TWD!$B1033)</f>
        <v>326.48836</v>
      </c>
      <c r="N1033" s="1">
        <f>value(JPY!$B1033)</f>
        <v>100.93392</v>
      </c>
      <c r="O1033" s="1">
        <f>value(SAR!$B1033)</f>
        <v>2586.294335</v>
      </c>
      <c r="P1033" s="1">
        <f>value(AED!$B1033)</f>
        <v>2694.327153</v>
      </c>
      <c r="Q1033" s="1">
        <f>value(KWD!$B1033)</f>
        <v>35015.90367</v>
      </c>
    </row>
    <row r="1034">
      <c r="A1034" s="4">
        <f>value(USD!A1034)</f>
        <v>41344.99861</v>
      </c>
      <c r="B1034" s="1">
        <f>value(USD!B1034)</f>
        <v>9668.6</v>
      </c>
      <c r="C1034" s="1">
        <f>value(AUD!$B1034)</f>
        <v>9949.72164</v>
      </c>
      <c r="D1034" s="1">
        <f>value(EUR!$B1034)</f>
        <v>12520.05029</v>
      </c>
      <c r="E1034" s="1">
        <f>value(GBP!$B1034)</f>
        <v>14418.59399</v>
      </c>
      <c r="F1034" s="1">
        <f>value(CHF!$B1034)</f>
        <v>10141.02528</v>
      </c>
      <c r="G1034" s="1">
        <f>value(SGD!$B1034)</f>
        <v>7735.043844</v>
      </c>
      <c r="H1034" s="1">
        <f>value(MYR!$B1034)</f>
        <v>3105.012666</v>
      </c>
      <c r="I1034" s="1">
        <f>value(THB!$B1034)</f>
        <v>325.699278</v>
      </c>
      <c r="J1034" s="1">
        <f>value(VND!$B1034)</f>
        <v>0.4763793529</v>
      </c>
      <c r="K1034" s="1">
        <f>value(CNY!$B1034)</f>
        <v>1577.2924</v>
      </c>
      <c r="L1034" s="1">
        <f>value(HKD!$B1034)</f>
        <v>1245.309402</v>
      </c>
      <c r="M1034" s="1">
        <f>value(TWD!$B1034)</f>
        <v>324.346626</v>
      </c>
      <c r="N1034" s="1">
        <f>value(JPY!$B1034)</f>
        <v>100.579338</v>
      </c>
      <c r="O1034" s="1">
        <f>value(SAR!$B1034)</f>
        <v>2585.231011</v>
      </c>
      <c r="P1034" s="1">
        <f>value(AED!$B1034)</f>
        <v>2616.412765</v>
      </c>
      <c r="Q1034" s="1">
        <f>value(KWD!$B1034)</f>
        <v>34800.34286</v>
      </c>
    </row>
    <row r="1035">
      <c r="A1035" s="4">
        <f>value(USD!A1035)</f>
        <v>41345.99861</v>
      </c>
      <c r="B1035" s="1">
        <f>value(USD!B1035)</f>
        <v>9668</v>
      </c>
      <c r="C1035" s="1">
        <f>value(AUD!$B1035)</f>
        <v>10041.95654</v>
      </c>
      <c r="D1035" s="1">
        <f>value(EUR!$B1035)</f>
        <v>12587.99542</v>
      </c>
      <c r="E1035" s="1">
        <f>value(GBP!$B1035)</f>
        <v>14595.12918</v>
      </c>
      <c r="F1035" s="1">
        <f>value(CHF!$B1035)</f>
        <v>10213.17572</v>
      </c>
      <c r="G1035" s="1">
        <f>value(SGD!$B1035)</f>
        <v>7741.331818</v>
      </c>
      <c r="H1035" s="1">
        <f>value(MYR!$B1035)</f>
        <v>3105.064666</v>
      </c>
      <c r="I1035" s="1">
        <f>value(THB!$B1035)</f>
        <v>326.283782</v>
      </c>
      <c r="J1035" s="1">
        <f>value(VND!$B1035)</f>
        <v>0.4768369124</v>
      </c>
      <c r="K1035" s="1">
        <f>value(CNY!$B1035)</f>
        <v>1560.581257</v>
      </c>
      <c r="L1035" s="1">
        <f>value(HKD!$B1035)</f>
        <v>1246.804526</v>
      </c>
      <c r="M1035" s="1">
        <f>value(TWD!$B1035)</f>
        <v>327.347856</v>
      </c>
      <c r="N1035" s="1">
        <f>value(JPY!$B1035)</f>
        <v>100.700094</v>
      </c>
      <c r="O1035" s="1">
        <f>value(SAR!$B1035)</f>
        <v>2584.561152</v>
      </c>
      <c r="P1035" s="1">
        <f>value(AED!$B1035)</f>
        <v>2695.071924</v>
      </c>
      <c r="Q1035" s="1">
        <f>value(KWD!$B1035)</f>
        <v>34789.23906</v>
      </c>
    </row>
    <row r="1036">
      <c r="A1036" s="4">
        <f>value(USD!A1036)</f>
        <v>41346.99861</v>
      </c>
      <c r="B1036" s="1">
        <f>value(USD!B1036)</f>
        <v>9661.8</v>
      </c>
      <c r="C1036" s="1">
        <f>value(AUD!$B1036)</f>
        <v>10071.23898</v>
      </c>
      <c r="D1036" s="1">
        <f>value(EUR!$B1036)</f>
        <v>12653.40942</v>
      </c>
      <c r="E1036" s="1">
        <f>value(GBP!$B1036)</f>
        <v>14625.84696</v>
      </c>
      <c r="F1036" s="1">
        <f>value(CHF!$B1036)</f>
        <v>10311.26082</v>
      </c>
      <c r="G1036" s="1">
        <f>value(SGD!$B1036)</f>
        <v>7756.092837</v>
      </c>
      <c r="H1036" s="1">
        <f>value(MYR!$B1036)</f>
        <v>3098.120613</v>
      </c>
      <c r="I1036" s="1">
        <f>value(THB!$B1036)</f>
        <v>327.320106</v>
      </c>
      <c r="J1036" s="1">
        <f>value(VND!$B1036)</f>
        <v>0.4728725866</v>
      </c>
      <c r="K1036" s="1">
        <f>value(CNY!$B1036)</f>
        <v>1573.84388</v>
      </c>
      <c r="L1036" s="1">
        <f>value(HKD!$B1036)</f>
        <v>1246.855389</v>
      </c>
      <c r="M1036" s="1">
        <f>value(TWD!$B1036)</f>
        <v>326.255493</v>
      </c>
      <c r="N1036" s="1">
        <f>value(JPY!$B1036)</f>
        <v>101.525367</v>
      </c>
      <c r="O1036" s="1">
        <f>value(SAR!$B1036)</f>
        <v>2586.424987</v>
      </c>
      <c r="P1036" s="1">
        <f>value(AED!$B1036)</f>
        <v>2692.50348</v>
      </c>
      <c r="Q1036" s="1">
        <f>value(KWD!$B1036)</f>
        <v>34757.50161</v>
      </c>
    </row>
    <row r="1037">
      <c r="A1037" s="4">
        <f>value(USD!A1037)</f>
        <v>41347.99861</v>
      </c>
      <c r="B1037" s="1">
        <f>value(USD!B1037)</f>
        <v>9673.4</v>
      </c>
      <c r="C1037" s="1">
        <f>value(AUD!$B1037)</f>
        <v>10066.70232</v>
      </c>
      <c r="D1037" s="1">
        <f>value(EUR!$B1037)</f>
        <v>12653.04366</v>
      </c>
      <c r="E1037" s="1">
        <f>value(GBP!$B1037)</f>
        <v>14620.1338</v>
      </c>
      <c r="F1037" s="1">
        <f>value(CHF!$B1037)</f>
        <v>10306.66216</v>
      </c>
      <c r="G1037" s="1">
        <f>value(SGD!$B1037)</f>
        <v>7754.089362</v>
      </c>
      <c r="H1037" s="1">
        <f>value(MYR!$B1037)</f>
        <v>3051.26353</v>
      </c>
      <c r="I1037" s="1">
        <f>value(THB!$B1037)</f>
        <v>321.333318</v>
      </c>
      <c r="J1037" s="1">
        <f>value(VND!$B1037)</f>
        <v>0.4783432324</v>
      </c>
      <c r="K1037" s="1">
        <f>value(CNY!$B1037)</f>
        <v>1576.853415</v>
      </c>
      <c r="L1037" s="1">
        <f>value(HKD!$B1037)</f>
        <v>1246.533314</v>
      </c>
      <c r="M1037" s="1">
        <f>value(TWD!$B1037)</f>
        <v>326.171218</v>
      </c>
      <c r="N1037" s="1">
        <f>value(JPY!$B1037)</f>
        <v>101.499142</v>
      </c>
      <c r="O1037" s="1">
        <f>value(SAR!$B1037)</f>
        <v>2584.216251</v>
      </c>
      <c r="P1037" s="1">
        <f>value(AED!$B1037)</f>
        <v>2693.438844</v>
      </c>
      <c r="Q1037" s="1">
        <f>value(KWD!$B1037)</f>
        <v>34769.7801</v>
      </c>
    </row>
    <row r="1038">
      <c r="A1038" s="4">
        <f>value(USD!A1038)</f>
        <v>41348.99861</v>
      </c>
      <c r="B1038" s="1">
        <f>value(USD!B1038)</f>
        <v>9678.3</v>
      </c>
      <c r="C1038" s="1">
        <f>value(AUD!$B1038)</f>
        <v>10086.75718</v>
      </c>
      <c r="D1038" s="1">
        <f>value(EUR!$B1038)</f>
        <v>12564.36177</v>
      </c>
      <c r="E1038" s="1">
        <f>value(GBP!$B1038)</f>
        <v>14716.3578</v>
      </c>
      <c r="F1038" s="1">
        <f>value(CHF!$B1038)</f>
        <v>10303.7971</v>
      </c>
      <c r="G1038" s="1">
        <f>value(SGD!$B1038)</f>
        <v>7782.862431</v>
      </c>
      <c r="H1038" s="1">
        <f>value(MYR!$B1038)</f>
        <v>3029.308558</v>
      </c>
      <c r="I1038" s="1">
        <f>value(THB!$B1038)</f>
        <v>319.0847014</v>
      </c>
      <c r="J1038" s="1">
        <f>value(VND!$B1038)</f>
        <v>0.4751868083</v>
      </c>
      <c r="K1038" s="1">
        <f>value(CNY!$B1038)</f>
        <v>1584.14715</v>
      </c>
      <c r="L1038" s="1">
        <f>value(HKD!$B1038)</f>
        <v>1254.722448</v>
      </c>
      <c r="M1038" s="1">
        <f>value(TWD!$B1038)</f>
        <v>323.7585085</v>
      </c>
      <c r="N1038" s="1">
        <f>value(JPY!$B1038)</f>
        <v>102.6290129</v>
      </c>
      <c r="O1038" s="1">
        <f>value(SAR!$B1038)</f>
        <v>2605.428795</v>
      </c>
      <c r="P1038" s="1">
        <f>value(AED!$B1038)</f>
        <v>2693.918868</v>
      </c>
      <c r="Q1038" s="1">
        <f>value(KWD!$B1038)</f>
        <v>34769.7801</v>
      </c>
    </row>
    <row r="1039">
      <c r="A1039" s="4">
        <f>value(USD!A1039)</f>
        <v>41349.99861</v>
      </c>
      <c r="B1039" s="1">
        <f>value(USD!B1039)</f>
        <v>9675.8</v>
      </c>
      <c r="C1039" s="1">
        <f>value(AUD!$B1039)</f>
        <v>10061.5344</v>
      </c>
      <c r="D1039" s="1">
        <f>value(EUR!$B1039)</f>
        <v>12532.18716</v>
      </c>
      <c r="E1039" s="1">
        <f>value(GBP!$B1039)</f>
        <v>14614.0108</v>
      </c>
      <c r="F1039" s="1">
        <f>value(CHF!$B1039)</f>
        <v>10220.3192</v>
      </c>
      <c r="G1039" s="1">
        <f>value(SGD!$B1039)</f>
        <v>7748.40778</v>
      </c>
      <c r="H1039" s="1">
        <f>value(MYR!$B1039)</f>
        <v>3086.42796</v>
      </c>
      <c r="I1039" s="1">
        <f>value(THB!$B1039)</f>
        <v>327.83252</v>
      </c>
      <c r="J1039" s="1">
        <f>value(VND!$B1039)</f>
        <v>0.4742119329</v>
      </c>
      <c r="K1039" s="1">
        <f>value(CNY!$B1039)</f>
        <v>1582.119781</v>
      </c>
      <c r="L1039" s="1">
        <f>value(HKD!$B1039)</f>
        <v>1247.42888</v>
      </c>
      <c r="M1039" s="1">
        <f>value(TWD!$B1039)</f>
        <v>325.41202</v>
      </c>
      <c r="N1039" s="1">
        <f>value(JPY!$B1039)</f>
        <v>101.56418</v>
      </c>
      <c r="O1039" s="1">
        <f>value(SAR!$B1039)</f>
        <v>2583.29998</v>
      </c>
      <c r="P1039" s="1">
        <f>value(AED!$B1039)</f>
        <v>2694.582</v>
      </c>
      <c r="Q1039" s="1">
        <f>value(KWD!$B1039)</f>
        <v>33759.87603</v>
      </c>
    </row>
    <row r="1040">
      <c r="A1040" s="4">
        <f>value(USD!A1040)</f>
        <v>41350.99861</v>
      </c>
      <c r="B1040" s="1">
        <f>value(USD!B1040)</f>
        <v>9737.098</v>
      </c>
      <c r="C1040" s="1">
        <f>value(AUD!$B1040)</f>
        <v>10031.2772</v>
      </c>
      <c r="D1040" s="1">
        <f>value(EUR!$B1040)</f>
        <v>12453.88874</v>
      </c>
      <c r="E1040" s="1">
        <f>value(GBP!$B1040)</f>
        <v>14614.09911</v>
      </c>
      <c r="F1040" s="1">
        <f>value(CHF!$B1040)</f>
        <v>10213.31196</v>
      </c>
      <c r="G1040" s="1">
        <f>value(SGD!$B1040)</f>
        <v>7735.024895</v>
      </c>
      <c r="H1040" s="1">
        <f>value(MYR!$B1040)</f>
        <v>3098.560827</v>
      </c>
      <c r="I1040" s="1">
        <f>value(THB!$B1040)</f>
        <v>330.761032</v>
      </c>
      <c r="J1040" s="1">
        <f>value(VND!$B1040)</f>
        <v>0.4604987013</v>
      </c>
      <c r="K1040" s="1">
        <f>value(CNY!$B1040)</f>
        <v>1580.52811</v>
      </c>
      <c r="L1040" s="1">
        <f>value(HKD!$B1040)</f>
        <v>1247.519068</v>
      </c>
      <c r="M1040" s="1">
        <f>value(TWD!$B1040)</f>
        <v>323.499007</v>
      </c>
      <c r="N1040" s="1">
        <f>value(JPY!$B1040)</f>
        <v>101.862004</v>
      </c>
      <c r="O1040" s="1">
        <f>value(SAR!$B1040)</f>
        <v>2586.294335</v>
      </c>
      <c r="P1040" s="1">
        <f>value(AED!$B1040)</f>
        <v>2694.582</v>
      </c>
      <c r="Q1040" s="1">
        <f>value(KWD!$B1040)</f>
        <v>34740.27673</v>
      </c>
    </row>
    <row r="1041">
      <c r="A1041" s="4">
        <f>value(USD!A1041)</f>
        <v>41351.99861</v>
      </c>
      <c r="B1041" s="1">
        <f>value(USD!B1041)</f>
        <v>9682</v>
      </c>
      <c r="C1041" s="1">
        <f>value(AUD!$B1041)</f>
        <v>10058.77</v>
      </c>
      <c r="D1041" s="1">
        <f>value(EUR!$B1041)</f>
        <v>12542.68024</v>
      </c>
      <c r="E1041" s="1">
        <f>value(GBP!$B1041)</f>
        <v>14631.02632</v>
      </c>
      <c r="F1041" s="1">
        <f>value(CHF!$B1041)</f>
        <v>10261.39968</v>
      </c>
      <c r="G1041" s="1">
        <f>value(SGD!$B1041)</f>
        <v>7748.306888</v>
      </c>
      <c r="H1041" s="1">
        <f>value(MYR!$B1041)</f>
        <v>3102.076192</v>
      </c>
      <c r="I1041" s="1">
        <f>value(THB!$B1041)</f>
        <v>332.54536</v>
      </c>
      <c r="J1041" s="1">
        <f>value(VND!$B1041)</f>
        <v>0.4782323043</v>
      </c>
      <c r="K1041" s="1">
        <f>value(CNY!$B1041)</f>
        <v>1580.04266</v>
      </c>
      <c r="L1041" s="1">
        <f>value(HKD!$B1041)</f>
        <v>1248.935664</v>
      </c>
      <c r="M1041" s="1">
        <f>value(TWD!$B1041)</f>
        <v>326.340432</v>
      </c>
      <c r="N1041" s="1">
        <f>value(JPY!$B1041)</f>
        <v>101.023984</v>
      </c>
      <c r="O1041" s="1">
        <f>value(SAR!$B1041)</f>
        <v>2586.211461</v>
      </c>
      <c r="P1041" s="1">
        <f>value(AED!$B1041)</f>
        <v>2616.316641</v>
      </c>
      <c r="Q1041" s="1">
        <f>value(KWD!$B1041)</f>
        <v>34799.01177</v>
      </c>
    </row>
    <row r="1042">
      <c r="A1042" s="4">
        <f>value(USD!A1042)</f>
        <v>41352.99861</v>
      </c>
      <c r="B1042" s="1">
        <f>value(USD!B1042)</f>
        <v>9682.7</v>
      </c>
      <c r="C1042" s="1">
        <f>value(AUD!$B1042)</f>
        <v>10128.20016</v>
      </c>
      <c r="D1042" s="1">
        <f>value(EUR!$B1042)</f>
        <v>12521.00928</v>
      </c>
      <c r="E1042" s="1">
        <f>value(GBP!$B1042)</f>
        <v>14729.4576</v>
      </c>
      <c r="F1042" s="1">
        <f>value(CHF!$B1042)</f>
        <v>10250.46048</v>
      </c>
      <c r="G1042" s="1">
        <f>value(SGD!$B1042)</f>
        <v>7765.082832</v>
      </c>
      <c r="H1042" s="1">
        <f>value(MYR!$B1042)</f>
        <v>3104.829936</v>
      </c>
      <c r="I1042" s="1">
        <f>value(THB!$B1042)</f>
        <v>332.140536</v>
      </c>
      <c r="J1042" s="1">
        <f>value(VND!$B1042)</f>
        <v>0.4754169192</v>
      </c>
      <c r="K1042" s="1">
        <f>value(CNY!$B1042)</f>
        <v>1584.877957</v>
      </c>
      <c r="L1042" s="1">
        <f>value(HKD!$B1042)</f>
        <v>1249.966224</v>
      </c>
      <c r="M1042" s="1">
        <f>value(TWD!$B1042)</f>
        <v>325.348296</v>
      </c>
      <c r="N1042" s="1">
        <f>value(JPY!$B1042)</f>
        <v>102.174696</v>
      </c>
      <c r="O1042" s="1">
        <f>value(SAR!$B1042)</f>
        <v>2587.806561</v>
      </c>
      <c r="P1042" s="1">
        <f>value(AED!$B1042)</f>
        <v>2694.092076</v>
      </c>
      <c r="Q1042" s="1">
        <f>value(KWD!$B1042)</f>
        <v>34745.12036</v>
      </c>
    </row>
    <row r="1043">
      <c r="A1043" s="4">
        <f>value(USD!A1043)</f>
        <v>41353.99861</v>
      </c>
      <c r="B1043" s="1">
        <f>value(USD!B1043)</f>
        <v>9695.2</v>
      </c>
      <c r="C1043" s="1">
        <f>value(AUD!$B1043)</f>
        <v>10142.94112</v>
      </c>
      <c r="D1043" s="1">
        <f>value(EUR!$B1043)</f>
        <v>12616.99504</v>
      </c>
      <c r="E1043" s="1">
        <f>value(GBP!$B1043)</f>
        <v>14791.87008</v>
      </c>
      <c r="F1043" s="1">
        <f>value(CHF!$B1043)</f>
        <v>10323.61408</v>
      </c>
      <c r="G1043" s="1">
        <f>value(SGD!$B1043)</f>
        <v>7779.233696</v>
      </c>
      <c r="H1043" s="1">
        <f>value(MYR!$B1043)</f>
        <v>3118.357008</v>
      </c>
      <c r="I1043" s="1">
        <f>value(THB!$B1043)</f>
        <v>331.330896</v>
      </c>
      <c r="J1043" s="1">
        <f>value(VND!$B1043)</f>
        <v>0.4770209629</v>
      </c>
      <c r="K1043" s="1">
        <f>value(CNY!$B1043)</f>
        <v>1579.62176</v>
      </c>
      <c r="L1043" s="1">
        <f>value(HKD!$B1043)</f>
        <v>1250.917408</v>
      </c>
      <c r="M1043" s="1">
        <f>value(TWD!$B1043)</f>
        <v>326.279824</v>
      </c>
      <c r="N1043" s="1">
        <f>value(JPY!$B1043)</f>
        <v>102.769888</v>
      </c>
      <c r="O1043" s="1">
        <f>value(SAR!$B1043)</f>
        <v>2585.679509</v>
      </c>
      <c r="P1043" s="1">
        <f>value(AED!$B1043)</f>
        <v>2695.616284</v>
      </c>
      <c r="Q1043" s="1">
        <f>value(KWD!$B1043)</f>
        <v>34692.66262</v>
      </c>
    </row>
    <row r="1044">
      <c r="A1044" s="4">
        <f>value(USD!A1044)</f>
        <v>41354.99861</v>
      </c>
      <c r="B1044" s="1">
        <f>value(USD!B1044)</f>
        <v>9703.2</v>
      </c>
      <c r="C1044" s="1">
        <f>value(AUD!$B1044)</f>
        <v>10147.5356</v>
      </c>
      <c r="D1044" s="1">
        <f>value(EUR!$B1044)</f>
        <v>12622.7102</v>
      </c>
      <c r="E1044" s="1">
        <f>value(GBP!$B1044)</f>
        <v>14798.5704</v>
      </c>
      <c r="F1044" s="1">
        <f>value(CHF!$B1044)</f>
        <v>10329.2622</v>
      </c>
      <c r="G1044" s="1">
        <f>value(SGD!$B1044)</f>
        <v>7782.75748</v>
      </c>
      <c r="H1044" s="1">
        <f>value(MYR!$B1044)</f>
        <v>3074.67802</v>
      </c>
      <c r="I1044" s="1">
        <f>value(THB!$B1044)</f>
        <v>326.0389</v>
      </c>
      <c r="J1044" s="1">
        <f>value(VND!$B1044)</f>
        <v>0.4785880035</v>
      </c>
      <c r="K1044" s="1">
        <f>value(CNY!$B1044)</f>
        <v>1580.39728</v>
      </c>
      <c r="L1044" s="1">
        <f>value(HKD!$B1044)</f>
        <v>1251.48404</v>
      </c>
      <c r="M1044" s="1">
        <f>value(TWD!$B1044)</f>
        <v>326.33044</v>
      </c>
      <c r="N1044" s="1">
        <f>value(JPY!$B1044)</f>
        <v>102.81644</v>
      </c>
      <c r="O1044" s="1">
        <f>value(SAR!$B1044)</f>
        <v>2586.333833</v>
      </c>
      <c r="P1044" s="1">
        <f>value(AED!$B1044)</f>
        <v>2697.494326</v>
      </c>
      <c r="Q1044" s="1">
        <f>value(KWD!$B1044)</f>
        <v>34739.04466</v>
      </c>
    </row>
    <row r="1045">
      <c r="A1045" s="4">
        <f>value(USD!A1045)</f>
        <v>41355.99861</v>
      </c>
      <c r="B1045" s="1">
        <f>value(USD!B1045)</f>
        <v>9713.6</v>
      </c>
      <c r="C1045" s="1">
        <f>value(AUD!$B1045)</f>
        <v>10045.68312</v>
      </c>
      <c r="D1045" s="1">
        <f>value(EUR!$B1045)</f>
        <v>12522.13861</v>
      </c>
      <c r="E1045" s="1">
        <f>value(GBP!$B1045)</f>
        <v>14658.98625</v>
      </c>
      <c r="F1045" s="1">
        <f>value(CHF!$B1045)</f>
        <v>10243.98796</v>
      </c>
      <c r="G1045" s="1">
        <f>value(SGD!$B1045)</f>
        <v>7710.338394</v>
      </c>
      <c r="H1045" s="1">
        <f>value(MYR!$B1045)</f>
        <v>3051.376128</v>
      </c>
      <c r="I1045" s="1">
        <f>value(THB!$B1045)</f>
        <v>323.6511915</v>
      </c>
      <c r="J1045" s="1">
        <f>value(VND!$B1045)</f>
        <v>0.4716082305</v>
      </c>
      <c r="K1045" s="1">
        <f>value(CNY!$B1045)</f>
        <v>1580.859594</v>
      </c>
      <c r="L1045" s="1">
        <f>value(HKD!$B1045)</f>
        <v>1238.08356</v>
      </c>
      <c r="M1045" s="1">
        <f>value(TWD!$B1045)</f>
        <v>323.8434405</v>
      </c>
      <c r="N1045" s="1">
        <f>value(JPY!$B1045)</f>
        <v>101.315223</v>
      </c>
      <c r="O1045" s="1">
        <f>value(SAR!$B1045)</f>
        <v>2588.706436</v>
      </c>
      <c r="P1045" s="1">
        <f>value(AED!$B1045)</f>
        <v>2697.57598</v>
      </c>
      <c r="Q1045" s="1">
        <f>value(KWD!$B1045)</f>
        <v>34739.04466</v>
      </c>
    </row>
    <row r="1046">
      <c r="A1046" s="4">
        <f>value(USD!A1046)</f>
        <v>41356.99861</v>
      </c>
      <c r="B1046" s="1">
        <f>value(USD!B1046)</f>
        <v>9718</v>
      </c>
      <c r="C1046" s="1">
        <f>value(AUD!$B1046)</f>
        <v>10151.52705</v>
      </c>
      <c r="D1046" s="1">
        <f>value(EUR!$B1046)</f>
        <v>12476.748</v>
      </c>
      <c r="E1046" s="1">
        <f>value(GBP!$B1046)</f>
        <v>14728.308</v>
      </c>
      <c r="F1046" s="1">
        <f>value(CHF!$B1046)</f>
        <v>10232.952</v>
      </c>
      <c r="G1046" s="1">
        <f>value(SGD!$B1046)</f>
        <v>7799.5203</v>
      </c>
      <c r="H1046" s="1">
        <f>value(MYR!$B1046)</f>
        <v>3129.2802</v>
      </c>
      <c r="I1046" s="1">
        <f>value(THB!$B1046)</f>
        <v>331.03755</v>
      </c>
      <c r="J1046" s="1">
        <f>value(VND!$B1046)</f>
        <v>0.4716082305</v>
      </c>
      <c r="K1046" s="1">
        <f>value(CNY!$B1046)</f>
        <v>1580.942493</v>
      </c>
      <c r="L1046" s="1">
        <f>value(HKD!$B1046)</f>
        <v>1250.3922</v>
      </c>
      <c r="M1046" s="1">
        <f>value(TWD!$B1046)</f>
        <v>322.10895</v>
      </c>
      <c r="N1046" s="1">
        <f>value(JPY!$B1046)</f>
        <v>103.2612</v>
      </c>
      <c r="O1046" s="1">
        <f>value(SAR!$B1046)</f>
        <v>2587.691886</v>
      </c>
      <c r="P1046" s="1">
        <f>value(AED!$B1046)</f>
        <v>2699.48124</v>
      </c>
      <c r="Q1046" s="1">
        <f>value(KWD!$B1046)</f>
        <v>34739.04466</v>
      </c>
    </row>
    <row r="1047">
      <c r="A1047" s="4">
        <f>value(USD!A1047)</f>
        <v>41357.99861</v>
      </c>
      <c r="B1047" s="1">
        <f>value(USD!B1047)</f>
        <v>9612.45</v>
      </c>
      <c r="C1047" s="1">
        <f>value(AUD!$B1047)</f>
        <v>10160.77216</v>
      </c>
      <c r="D1047" s="1">
        <f>value(EUR!$B1047)</f>
        <v>12476.83052</v>
      </c>
      <c r="E1047" s="1">
        <f>value(GBP!$B1047)</f>
        <v>14709.4448</v>
      </c>
      <c r="F1047" s="1">
        <f>value(CHF!$B1047)</f>
        <v>10231.6026</v>
      </c>
      <c r="G1047" s="1">
        <f>value(SGD!$B1047)</f>
        <v>7818.0311</v>
      </c>
      <c r="H1047" s="1">
        <f>value(MYR!$B1047)</f>
        <v>3130.899504</v>
      </c>
      <c r="I1047" s="1">
        <f>value(THB!$B1047)</f>
        <v>330.574396</v>
      </c>
      <c r="J1047" s="1">
        <f>value(VND!$B1047)</f>
        <v>0.457910155</v>
      </c>
      <c r="K1047" s="1">
        <f>value(CNY!$B1047)</f>
        <v>1585.47183</v>
      </c>
      <c r="L1047" s="1">
        <f>value(HKD!$B1047)</f>
        <v>1250.302808</v>
      </c>
      <c r="M1047" s="1">
        <f>value(TWD!$B1047)</f>
        <v>325.334884</v>
      </c>
      <c r="N1047" s="1">
        <f>value(JPY!$B1047)</f>
        <v>102.558596</v>
      </c>
      <c r="O1047" s="1">
        <f>value(SAR!$B1047)</f>
        <v>2566.399668</v>
      </c>
      <c r="P1047" s="1">
        <f>value(AED!$B1047)</f>
        <v>2699.48124</v>
      </c>
      <c r="Q1047" s="1">
        <f>value(KWD!$B1047)</f>
        <v>34666.65883</v>
      </c>
    </row>
    <row r="1048">
      <c r="A1048" s="4">
        <f>value(USD!A1048)</f>
        <v>41358.99861</v>
      </c>
      <c r="B1048" s="1">
        <f>value(USD!B1048)</f>
        <v>9705</v>
      </c>
      <c r="C1048" s="1">
        <f>value(AUD!$B1048)</f>
        <v>10129.51483</v>
      </c>
      <c r="D1048" s="1">
        <f>value(EUR!$B1048)</f>
        <v>12387.3368</v>
      </c>
      <c r="E1048" s="1">
        <f>value(GBP!$B1048)</f>
        <v>14666.77818</v>
      </c>
      <c r="F1048" s="1">
        <f>value(CHF!$B1048)</f>
        <v>10162.08936</v>
      </c>
      <c r="G1048" s="1">
        <f>value(SGD!$B1048)</f>
        <v>7801.40556</v>
      </c>
      <c r="H1048" s="1">
        <f>value(MYR!$B1048)</f>
        <v>3123.470664</v>
      </c>
      <c r="I1048" s="1">
        <f>value(THB!$B1048)</f>
        <v>330.59268</v>
      </c>
      <c r="J1048" s="1">
        <f>value(VND!$B1048)</f>
        <v>0.4750527854</v>
      </c>
      <c r="K1048" s="1">
        <f>value(CNY!$B1048)</f>
        <v>1585.27721</v>
      </c>
      <c r="L1048" s="1">
        <f>value(HKD!$B1048)</f>
        <v>1248.787188</v>
      </c>
      <c r="M1048" s="1">
        <f>value(TWD!$B1048)</f>
        <v>324.194112</v>
      </c>
      <c r="N1048" s="1">
        <f>value(JPY!$B1048)</f>
        <v>102.76488</v>
      </c>
      <c r="O1048" s="1">
        <f>value(SAR!$B1048)</f>
        <v>2586.925692</v>
      </c>
      <c r="P1048" s="1">
        <f>value(AED!$B1048)</f>
        <v>2699.48124</v>
      </c>
      <c r="Q1048" s="1">
        <f>value(KWD!$B1048)</f>
        <v>34655.49344</v>
      </c>
    </row>
    <row r="1049">
      <c r="A1049" s="4">
        <f>value(USD!A1049)</f>
        <v>41359.99861</v>
      </c>
      <c r="B1049" s="1">
        <f>value(USD!B1049)</f>
        <v>9702.8</v>
      </c>
      <c r="C1049" s="1">
        <f>value(AUD!$B1049)</f>
        <v>10091.83953</v>
      </c>
      <c r="D1049" s="1">
        <f>value(EUR!$B1049)</f>
        <v>12419.33191</v>
      </c>
      <c r="E1049" s="1">
        <f>value(GBP!$B1049)</f>
        <v>14721.8277</v>
      </c>
      <c r="F1049" s="1">
        <f>value(CHF!$B1049)</f>
        <v>10205.00238</v>
      </c>
      <c r="G1049" s="1">
        <f>value(SGD!$B1049)</f>
        <v>7809.399144</v>
      </c>
      <c r="H1049" s="1">
        <f>value(MYR!$B1049)</f>
        <v>3124.767272</v>
      </c>
      <c r="I1049" s="1">
        <f>value(THB!$B1049)</f>
        <v>330.187488</v>
      </c>
      <c r="J1049" s="1">
        <f>value(VND!$B1049)</f>
        <v>0.4725546274</v>
      </c>
      <c r="K1049" s="1">
        <f>value(CNY!$B1049)</f>
        <v>1585.27721</v>
      </c>
      <c r="L1049" s="1">
        <f>value(HKD!$B1049)</f>
        <v>1248.085452</v>
      </c>
      <c r="M1049" s="1">
        <f>value(TWD!$B1049)</f>
        <v>324.374328</v>
      </c>
      <c r="N1049" s="1">
        <f>value(JPY!$B1049)</f>
        <v>102.892932</v>
      </c>
      <c r="O1049" s="1">
        <f>value(SAR!$B1049)</f>
        <v>2587.454879</v>
      </c>
      <c r="P1049" s="1">
        <f>value(AED!$B1049)</f>
        <v>2701.876424</v>
      </c>
      <c r="Q1049" s="1">
        <f>value(KWD!$B1049)</f>
        <v>34673.66505</v>
      </c>
    </row>
    <row r="1050">
      <c r="A1050" s="4">
        <f>value(USD!A1050)</f>
        <v>41360.99861</v>
      </c>
      <c r="B1050" s="1">
        <f>value(USD!B1050)</f>
        <v>9694.8</v>
      </c>
      <c r="C1050" s="1">
        <f>value(AUD!$B1050)</f>
        <v>10080.003</v>
      </c>
      <c r="D1050" s="1">
        <f>value(EUR!$B1050)</f>
        <v>12413.606</v>
      </c>
      <c r="E1050" s="1">
        <f>value(GBP!$B1050)</f>
        <v>14710.4136</v>
      </c>
      <c r="F1050" s="1">
        <f>value(CHF!$B1050)</f>
        <v>10197.1673</v>
      </c>
      <c r="G1050" s="1">
        <f>value(SGD!$B1050)</f>
        <v>7801.98042</v>
      </c>
      <c r="H1050" s="1">
        <f>value(MYR!$B1050)</f>
        <v>3123.7358</v>
      </c>
      <c r="I1050" s="1">
        <f>value(THB!$B1050)</f>
        <v>330.1903</v>
      </c>
      <c r="J1050" s="1">
        <f>value(VND!$B1050)</f>
        <v>0.4684802557</v>
      </c>
      <c r="K1050" s="1">
        <f>value(CNY!$B1050)</f>
        <v>1584.383935</v>
      </c>
      <c r="L1050" s="1">
        <f>value(HKD!$B1050)</f>
        <v>1247.1704</v>
      </c>
      <c r="M1050" s="1">
        <f>value(TWD!$B1050)</f>
        <v>324.28367</v>
      </c>
      <c r="N1050" s="1">
        <f>value(JPY!$B1050)</f>
        <v>102.73663</v>
      </c>
      <c r="O1050" s="1">
        <f>value(SAR!$B1050)</f>
        <v>2587.332477</v>
      </c>
      <c r="P1050" s="1">
        <f>value(AED!$B1050)</f>
        <v>2702.420784</v>
      </c>
      <c r="Q1050" s="1">
        <f>value(KWD!$B1050)</f>
        <v>34714.52128</v>
      </c>
    </row>
    <row r="1051">
      <c r="A1051" s="4">
        <f>value(USD!A1051)</f>
        <v>41361.99861</v>
      </c>
      <c r="B1051" s="1">
        <f>value(USD!B1051)</f>
        <v>9688.6</v>
      </c>
      <c r="C1051" s="1">
        <f>value(AUD!$B1051)</f>
        <v>10089.4437</v>
      </c>
      <c r="D1051" s="1">
        <f>value(EUR!$B1051)</f>
        <v>12426.426</v>
      </c>
      <c r="E1051" s="1">
        <f>value(GBP!$B1051)</f>
        <v>14725.6056</v>
      </c>
      <c r="F1051" s="1">
        <f>value(CHF!$B1051)</f>
        <v>10207.6983</v>
      </c>
      <c r="G1051" s="1">
        <f>value(SGD!$B1051)</f>
        <v>7810.03782</v>
      </c>
      <c r="H1051" s="1">
        <f>value(MYR!$B1051)</f>
        <v>3069.57924</v>
      </c>
      <c r="I1051" s="1">
        <f>value(THB!$B1051)</f>
        <v>324.42471</v>
      </c>
      <c r="J1051" s="1">
        <f>value(VND!$B1051)</f>
        <v>0.4703397857</v>
      </c>
      <c r="K1051" s="1">
        <f>value(CNY!$B1051)</f>
        <v>1586.852982</v>
      </c>
      <c r="L1051" s="1">
        <f>value(HKD!$B1051)</f>
        <v>1248.4584</v>
      </c>
      <c r="M1051" s="1">
        <f>value(TWD!$B1051)</f>
        <v>324.52164</v>
      </c>
      <c r="N1051" s="1">
        <f>value(JPY!$B1051)</f>
        <v>102.84273</v>
      </c>
      <c r="O1051" s="1">
        <f>value(SAR!$B1051)</f>
        <v>2591.522943</v>
      </c>
      <c r="P1051" s="1">
        <f>value(AED!$B1051)</f>
        <v>2702.61131</v>
      </c>
      <c r="Q1051" s="1">
        <f>value(KWD!$B1051)</f>
        <v>34947.22985</v>
      </c>
    </row>
    <row r="1052">
      <c r="A1052" s="4">
        <f>value(USD!A1052)</f>
        <v>41362.99861</v>
      </c>
      <c r="B1052" s="1">
        <f>value(USD!B1052)</f>
        <v>9683</v>
      </c>
      <c r="C1052" s="1">
        <f>value(AUD!$B1052)</f>
        <v>10002.71547</v>
      </c>
      <c r="D1052" s="1">
        <f>value(EUR!$B1052)</f>
        <v>12309.70347</v>
      </c>
      <c r="E1052" s="1">
        <f>value(GBP!$B1052)</f>
        <v>14605.15653</v>
      </c>
      <c r="F1052" s="1">
        <f>value(CHF!$B1052)</f>
        <v>10115.18113</v>
      </c>
      <c r="G1052" s="1">
        <f>value(SGD!$B1052)</f>
        <v>7741.963354</v>
      </c>
      <c r="H1052" s="1">
        <f>value(MYR!$B1052)</f>
        <v>3039.937312</v>
      </c>
      <c r="I1052" s="1">
        <f>value(THB!$B1052)</f>
        <v>321.248079</v>
      </c>
      <c r="J1052" s="1">
        <f>value(VND!$B1052)</f>
        <v>0.4719486052</v>
      </c>
      <c r="K1052" s="1">
        <f>value(CNY!$B1052)</f>
        <v>1587.0169</v>
      </c>
      <c r="L1052" s="1">
        <f>value(HKD!$B1052)</f>
        <v>1238.179684</v>
      </c>
      <c r="M1052" s="1">
        <f>value(TWD!$B1052)</f>
        <v>321.440328</v>
      </c>
      <c r="N1052" s="1">
        <f>value(JPY!$B1052)</f>
        <v>101.89197</v>
      </c>
      <c r="O1052" s="1">
        <f>value(SAR!$B1052)</f>
        <v>2590.688157</v>
      </c>
      <c r="P1052" s="1">
        <f>value(AED!$B1052)</f>
        <v>2705.795816</v>
      </c>
      <c r="Q1052" s="1">
        <f>value(KWD!$B1052)</f>
        <v>34799.2791</v>
      </c>
    </row>
    <row r="1053">
      <c r="A1053" s="4">
        <f>value(USD!A1053)</f>
        <v>41363.99861</v>
      </c>
      <c r="B1053" s="1">
        <f>value(USD!B1053)</f>
        <v>9693</v>
      </c>
      <c r="C1053" s="1">
        <f>value(AUD!$B1053)</f>
        <v>10139.5455</v>
      </c>
      <c r="D1053" s="1">
        <f>value(EUR!$B1053)</f>
        <v>12478.9175</v>
      </c>
      <c r="E1053" s="1">
        <f>value(GBP!$B1053)</f>
        <v>14791.0875</v>
      </c>
      <c r="F1053" s="1">
        <f>value(CHF!$B1053)</f>
        <v>10258.0685</v>
      </c>
      <c r="G1053" s="1">
        <f>value(SGD!$B1053)</f>
        <v>7836.60475</v>
      </c>
      <c r="H1053" s="1">
        <f>value(MYR!$B1053)</f>
        <v>3082.1809</v>
      </c>
      <c r="I1053" s="1">
        <f>value(THB!$B1053)</f>
        <v>325.74395</v>
      </c>
      <c r="J1053" s="1">
        <f>value(VND!$B1053)</f>
        <v>0.4721058551</v>
      </c>
      <c r="K1053" s="1">
        <f>value(CNY!$B1053)</f>
        <v>1588.238652</v>
      </c>
      <c r="L1053" s="1">
        <f>value(HKD!$B1053)</f>
        <v>1251.38915</v>
      </c>
      <c r="M1053" s="1">
        <f>value(TWD!$B1053)</f>
        <v>325.93825</v>
      </c>
      <c r="N1053" s="1">
        <f>value(JPY!$B1053)</f>
        <v>104.24195</v>
      </c>
      <c r="O1053" s="1">
        <f>value(SAR!$B1053)</f>
        <v>2592.028958</v>
      </c>
      <c r="P1053" s="1">
        <f>value(AED!$B1053)</f>
        <v>2713.09024</v>
      </c>
      <c r="Q1053" s="1">
        <f>value(KWD!$B1053)</f>
        <v>33700.69217</v>
      </c>
    </row>
    <row r="1054">
      <c r="A1054" s="4">
        <f>value(USD!A1054)</f>
        <v>41364.99861</v>
      </c>
      <c r="B1054" s="1">
        <f>value(USD!B1054)</f>
        <v>9612.45</v>
      </c>
      <c r="C1054" s="1">
        <f>value(AUD!$B1054)</f>
        <v>10145.3825</v>
      </c>
      <c r="D1054" s="1">
        <f>value(EUR!$B1054)</f>
        <v>12450.1804</v>
      </c>
      <c r="E1054" s="1">
        <f>value(GBP!$B1054)</f>
        <v>14662.74755</v>
      </c>
      <c r="F1054" s="1">
        <f>value(CHF!$B1054)</f>
        <v>10235.67155</v>
      </c>
      <c r="G1054" s="1">
        <f>value(SGD!$B1054)</f>
        <v>7833.20614</v>
      </c>
      <c r="H1054" s="1">
        <f>value(MYR!$B1054)</f>
        <v>3140.69975</v>
      </c>
      <c r="I1054" s="1">
        <f>value(THB!$B1054)</f>
        <v>329.603575</v>
      </c>
      <c r="J1054" s="1">
        <f>value(VND!$B1054)</f>
        <v>0.4721058551</v>
      </c>
      <c r="K1054" s="1">
        <f>value(CNY!$B1054)</f>
        <v>1589.60636</v>
      </c>
      <c r="L1054" s="1">
        <f>value(HKD!$B1054)</f>
        <v>1250.551885</v>
      </c>
      <c r="M1054" s="1">
        <f>value(TWD!$B1054)</f>
        <v>324.45807</v>
      </c>
      <c r="N1054" s="1">
        <f>value(JPY!$B1054)</f>
        <v>103.978035</v>
      </c>
      <c r="O1054" s="1">
        <f>value(SAR!$B1054)</f>
        <v>2563.251591</v>
      </c>
      <c r="P1054" s="1">
        <f>value(AED!$B1054)</f>
        <v>2701.604244</v>
      </c>
      <c r="Q1054" s="1">
        <f>value(KWD!$B1054)</f>
        <v>35027.69918</v>
      </c>
    </row>
    <row r="1055">
      <c r="A1055" s="4">
        <f>value(USD!A1055)</f>
        <v>41365.99861</v>
      </c>
      <c r="B1055" s="1">
        <f>value(USD!B1055)</f>
        <v>9715</v>
      </c>
      <c r="C1055" s="1">
        <f>value(AUD!$B1055)</f>
        <v>10157.91181</v>
      </c>
      <c r="D1055" s="1">
        <f>value(EUR!$B1055)</f>
        <v>12479.47034</v>
      </c>
      <c r="E1055" s="1">
        <f>value(GBP!$B1055)</f>
        <v>14702.8801</v>
      </c>
      <c r="F1055" s="1">
        <f>value(CHF!$B1055)</f>
        <v>10278.41129</v>
      </c>
      <c r="G1055" s="1">
        <f>value(SGD!$B1055)</f>
        <v>7841.892369</v>
      </c>
      <c r="H1055" s="1">
        <f>value(MYR!$B1055)</f>
        <v>3151.644464</v>
      </c>
      <c r="I1055" s="1">
        <f>value(THB!$B1055)</f>
        <v>330.887685</v>
      </c>
      <c r="J1055" s="1">
        <f>value(VND!$B1055)</f>
        <v>0.467583599</v>
      </c>
      <c r="K1055" s="1">
        <f>value(CNY!$B1055)</f>
        <v>1588.95408</v>
      </c>
      <c r="L1055" s="1">
        <f>value(HKD!$B1055)</f>
        <v>1251.931291</v>
      </c>
      <c r="M1055" s="1">
        <f>value(TWD!$B1055)</f>
        <v>326.320366</v>
      </c>
      <c r="N1055" s="1">
        <f>value(JPY!$B1055)</f>
        <v>104.465275</v>
      </c>
      <c r="O1055" s="1">
        <f>value(SAR!$B1055)</f>
        <v>2590.620303</v>
      </c>
      <c r="P1055" s="1">
        <f>value(AED!$B1055)</f>
        <v>2616.316641</v>
      </c>
      <c r="Q1055" s="1">
        <f>value(KWD!$B1055)</f>
        <v>35139.40037</v>
      </c>
    </row>
    <row r="1056">
      <c r="A1056" s="4">
        <f>value(USD!A1056)</f>
        <v>41366.99861</v>
      </c>
      <c r="B1056" s="1">
        <f>value(USD!B1056)</f>
        <v>9708.5</v>
      </c>
      <c r="C1056" s="1">
        <f>value(AUD!$B1056)</f>
        <v>10143.2702</v>
      </c>
      <c r="D1056" s="1">
        <f>value(EUR!$B1056)</f>
        <v>12564.39765</v>
      </c>
      <c r="E1056" s="1">
        <f>value(GBP!$B1056)</f>
        <v>14804.7424</v>
      </c>
      <c r="F1056" s="1">
        <f>value(CHF!$B1056)</f>
        <v>10336.68825</v>
      </c>
      <c r="G1056" s="1">
        <f>value(SGD!$B1056)</f>
        <v>7835.763705</v>
      </c>
      <c r="H1056" s="1">
        <f>value(MYR!$B1056)</f>
        <v>3152.325435</v>
      </c>
      <c r="I1056" s="1">
        <f>value(THB!$B1056)</f>
        <v>331.24056</v>
      </c>
      <c r="J1056" s="1">
        <f>value(VND!$B1056)</f>
        <v>0.4715201516</v>
      </c>
      <c r="K1056" s="1">
        <f>value(CNY!$B1056)</f>
        <v>1596.764613</v>
      </c>
      <c r="L1056" s="1">
        <f>value(HKD!$B1056)</f>
        <v>1251.968795</v>
      </c>
      <c r="M1056" s="1">
        <f>value(TWD!$B1056)</f>
        <v>327.35276</v>
      </c>
      <c r="N1056" s="1">
        <f>value(JPY!$B1056)</f>
        <v>100.88841</v>
      </c>
      <c r="O1056" s="1">
        <f>value(SAR!$B1056)</f>
        <v>2588.86755</v>
      </c>
      <c r="P1056" s="1">
        <f>value(AED!$B1056)</f>
        <v>2718.860456</v>
      </c>
      <c r="Q1056" s="1">
        <f>value(KWD!$B1056)</f>
        <v>35172.04099</v>
      </c>
    </row>
    <row r="1057">
      <c r="A1057" s="4">
        <f>value(USD!A1057)</f>
        <v>41367.99861</v>
      </c>
      <c r="B1057" s="1">
        <f>value(USD!B1057)</f>
        <v>9717.7</v>
      </c>
      <c r="C1057" s="1">
        <f>value(AUD!$B1057)</f>
        <v>10189.11654</v>
      </c>
      <c r="D1057" s="1">
        <f>value(EUR!$B1057)</f>
        <v>12637.12563</v>
      </c>
      <c r="E1057" s="1">
        <f>value(GBP!$B1057)</f>
        <v>14886.59463</v>
      </c>
      <c r="F1057" s="1">
        <f>value(CHF!$B1057)</f>
        <v>10394.50284</v>
      </c>
      <c r="G1057" s="1">
        <f>value(SGD!$B1057)</f>
        <v>7888.692177</v>
      </c>
      <c r="H1057" s="1">
        <f>value(MYR!$B1057)</f>
        <v>3178.793106</v>
      </c>
      <c r="I1057" s="1">
        <f>value(THB!$B1057)</f>
        <v>332.041185</v>
      </c>
      <c r="J1057" s="1">
        <f>value(VND!$B1057)</f>
        <v>0.4805681892</v>
      </c>
      <c r="K1057" s="1">
        <f>value(CNY!$B1057)</f>
        <v>1594.215131</v>
      </c>
      <c r="L1057" s="1">
        <f>value(HKD!$B1057)</f>
        <v>1259.409231</v>
      </c>
      <c r="M1057" s="1">
        <f>value(TWD!$B1057)</f>
        <v>326.66202</v>
      </c>
      <c r="N1057" s="1">
        <f>value(JPY!$B1057)</f>
        <v>101.617317</v>
      </c>
      <c r="O1057" s="1">
        <f>value(SAR!$B1057)</f>
        <v>2588.13794</v>
      </c>
      <c r="P1057" s="1">
        <f>value(AED!$B1057)</f>
        <v>2723.70526</v>
      </c>
      <c r="Q1057" s="1">
        <f>value(KWD!$B1057)</f>
        <v>35224.70952</v>
      </c>
    </row>
    <row r="1058">
      <c r="A1058" s="4">
        <f>value(USD!A1058)</f>
        <v>41368.99861</v>
      </c>
      <c r="B1058" s="1">
        <f>value(USD!B1058)</f>
        <v>9719.5</v>
      </c>
      <c r="C1058" s="1">
        <f>value(AUD!$B1058)</f>
        <v>10087.17698</v>
      </c>
      <c r="D1058" s="1">
        <f>value(EUR!$B1058)</f>
        <v>12717.51879</v>
      </c>
      <c r="E1058" s="1">
        <f>value(GBP!$B1058)</f>
        <v>14981.29816</v>
      </c>
      <c r="F1058" s="1">
        <f>value(CHF!$B1058)</f>
        <v>10462.8536</v>
      </c>
      <c r="G1058" s="1">
        <f>value(SGD!$B1058)</f>
        <v>7938.8774</v>
      </c>
      <c r="H1058" s="1">
        <f>value(MYR!$B1058)</f>
        <v>3199.015525</v>
      </c>
      <c r="I1058" s="1">
        <f>value(THB!$B1058)</f>
        <v>334.15352</v>
      </c>
      <c r="J1058" s="1">
        <f>value(VND!$B1058)</f>
        <v>0.4764077236</v>
      </c>
      <c r="K1058" s="1">
        <f>value(CNY!$B1058)</f>
        <v>1595.274604</v>
      </c>
      <c r="L1058" s="1">
        <f>value(HKD!$B1058)</f>
        <v>1267.421171</v>
      </c>
      <c r="M1058" s="1">
        <f>value(TWD!$B1058)</f>
        <v>328.7401346</v>
      </c>
      <c r="N1058" s="1">
        <f>value(JPY!$B1058)</f>
        <v>102.2637724</v>
      </c>
      <c r="O1058" s="1">
        <f>value(SAR!$B1058)</f>
        <v>2589.392457</v>
      </c>
      <c r="P1058" s="1">
        <f>value(AED!$B1058)</f>
        <v>2726.42706</v>
      </c>
      <c r="Q1058" s="1">
        <f>value(KWD!$B1058)</f>
        <v>35362.21248</v>
      </c>
    </row>
    <row r="1059">
      <c r="A1059" s="4">
        <f>value(USD!A1059)</f>
        <v>41369.99861</v>
      </c>
      <c r="B1059" s="1">
        <f>value(USD!B1059)</f>
        <v>9780.3</v>
      </c>
      <c r="C1059" s="1">
        <f>value(AUD!$B1059)</f>
        <v>10118.4159</v>
      </c>
      <c r="D1059" s="1">
        <f>value(EUR!$B1059)</f>
        <v>12649.70849</v>
      </c>
      <c r="E1059" s="1">
        <f>value(GBP!$B1059)</f>
        <v>14925.15786</v>
      </c>
      <c r="F1059" s="1">
        <f>value(CHF!$B1059)</f>
        <v>10425.81911</v>
      </c>
      <c r="G1059" s="1">
        <f>value(SGD!$B1059)</f>
        <v>7831.476066</v>
      </c>
      <c r="H1059" s="1">
        <f>value(MYR!$B1059)</f>
        <v>3135.528373</v>
      </c>
      <c r="I1059" s="1">
        <f>value(THB!$B1059)</f>
        <v>327.065446</v>
      </c>
      <c r="J1059" s="1">
        <f>value(VND!$B1059)</f>
        <v>0.4775089758</v>
      </c>
      <c r="K1059" s="1">
        <f>value(CNY!$B1059)</f>
        <v>1595.311872</v>
      </c>
      <c r="L1059" s="1">
        <f>value(HKD!$B1059)</f>
        <v>1252.713191</v>
      </c>
      <c r="M1059" s="1">
        <f>value(TWD!$B1059)</f>
        <v>326.87088</v>
      </c>
      <c r="N1059" s="1">
        <f>value(JPY!$B1059)</f>
        <v>98.839528</v>
      </c>
      <c r="O1059" s="1">
        <f>value(SAR!$B1059)</f>
        <v>2591.692886</v>
      </c>
      <c r="P1059" s="1">
        <f>value(AED!$B1059)</f>
        <v>2730.50976</v>
      </c>
      <c r="Q1059" s="1">
        <f>value(KWD!$B1059)</f>
        <v>35298.44545</v>
      </c>
    </row>
    <row r="1060">
      <c r="A1060" s="4">
        <f>value(USD!A1060)</f>
        <v>41370.99861</v>
      </c>
      <c r="B1060" s="1">
        <f>value(USD!B1060)</f>
        <v>9842.519</v>
      </c>
      <c r="C1060" s="1">
        <f>value(AUD!$B1060)</f>
        <v>10168.3218</v>
      </c>
      <c r="D1060" s="1">
        <f>value(EUR!$B1060)</f>
        <v>12648.50587</v>
      </c>
      <c r="E1060" s="1">
        <f>value(GBP!$B1060)</f>
        <v>14827.70745</v>
      </c>
      <c r="F1060" s="1">
        <f>value(CHF!$B1060)</f>
        <v>10393.48907</v>
      </c>
      <c r="G1060" s="1">
        <f>value(SGD!$B1060)</f>
        <v>7825.685888</v>
      </c>
      <c r="H1060" s="1">
        <f>value(MYR!$B1060)</f>
        <v>3171.992166</v>
      </c>
      <c r="I1060" s="1">
        <f>value(THB!$B1060)</f>
        <v>332.226182</v>
      </c>
      <c r="J1060" s="1">
        <f>value(VND!$B1060)</f>
        <v>0.4754190997</v>
      </c>
      <c r="K1060" s="1">
        <f>value(CNY!$B1060)</f>
        <v>1594.710056</v>
      </c>
      <c r="L1060" s="1">
        <f>value(HKD!$B1060)</f>
        <v>1251.825921</v>
      </c>
      <c r="M1060" s="1">
        <f>value(TWD!$B1060)</f>
        <v>323.186675</v>
      </c>
      <c r="N1060" s="1">
        <f>value(JPY!$B1060)</f>
        <v>97.587796</v>
      </c>
      <c r="O1060" s="1">
        <f>value(SAR!$B1060)</f>
        <v>2590.102649</v>
      </c>
      <c r="P1060" s="1">
        <f>value(AED!$B1060)</f>
        <v>2744.28</v>
      </c>
      <c r="Q1060" s="1">
        <f>value(KWD!$B1060)</f>
        <v>35284.39098</v>
      </c>
    </row>
    <row r="1061">
      <c r="A1061" s="4">
        <f>value(USD!A1061)</f>
        <v>41371.99861</v>
      </c>
      <c r="B1061" s="1">
        <f>value(USD!B1061)</f>
        <v>9728.3</v>
      </c>
      <c r="C1061" s="1">
        <f>value(AUD!$B1061)</f>
        <v>10187.48971</v>
      </c>
      <c r="D1061" s="1">
        <f>value(EUR!$B1061)</f>
        <v>12677.45115</v>
      </c>
      <c r="E1061" s="1">
        <f>value(GBP!$B1061)</f>
        <v>14844.66438</v>
      </c>
      <c r="F1061" s="1">
        <f>value(CHF!$B1061)</f>
        <v>10390.25715</v>
      </c>
      <c r="G1061" s="1">
        <f>value(SGD!$B1061)</f>
        <v>7816.38858</v>
      </c>
      <c r="H1061" s="1">
        <f>value(MYR!$B1061)</f>
        <v>3188.5035</v>
      </c>
      <c r="I1061" s="1">
        <f>value(THB!$B1061)</f>
        <v>334.55058</v>
      </c>
      <c r="J1061" s="1">
        <f>value(VND!$B1061)</f>
        <v>0.4604104782</v>
      </c>
      <c r="K1061" s="1">
        <f>value(CNY!$B1061)</f>
        <v>1592.6077</v>
      </c>
      <c r="L1061" s="1">
        <f>value(HKD!$B1061)</f>
        <v>1248.2652</v>
      </c>
      <c r="M1061" s="1">
        <f>value(TWD!$B1061)</f>
        <v>324.08376</v>
      </c>
      <c r="N1061" s="1">
        <f>value(JPY!$B1061)</f>
        <v>97.69032</v>
      </c>
      <c r="O1061" s="1">
        <f>value(SAR!$B1061)</f>
        <v>2591.501148</v>
      </c>
      <c r="P1061" s="1">
        <f>value(AED!$B1061)</f>
        <v>2736.22554</v>
      </c>
      <c r="Q1061" s="1">
        <f>value(KWD!$B1061)</f>
        <v>35757.72314</v>
      </c>
    </row>
    <row r="1062">
      <c r="A1062" s="4">
        <f>value(USD!A1062)</f>
        <v>41372.99861</v>
      </c>
      <c r="B1062" s="1">
        <f>value(USD!B1062)</f>
        <v>9719.9</v>
      </c>
      <c r="C1062" s="1">
        <f>value(AUD!$B1062)</f>
        <v>10200.24707</v>
      </c>
      <c r="D1062" s="1">
        <f>value(EUR!$B1062)</f>
        <v>12623.78398</v>
      </c>
      <c r="E1062" s="1">
        <f>value(GBP!$B1062)</f>
        <v>14803.56012</v>
      </c>
      <c r="F1062" s="1">
        <f>value(CHF!$B1062)</f>
        <v>10357.3424</v>
      </c>
      <c r="G1062" s="1">
        <f>value(SGD!$B1062)</f>
        <v>7800.470112</v>
      </c>
      <c r="H1062" s="1">
        <f>value(MYR!$B1062)</f>
        <v>3185.752341</v>
      </c>
      <c r="I1062" s="1">
        <f>value(THB!$B1062)</f>
        <v>332.169246</v>
      </c>
      <c r="J1062" s="1">
        <f>value(VND!$B1062)</f>
        <v>0.4736462689</v>
      </c>
      <c r="K1062" s="1">
        <f>value(CNY!$B1062)</f>
        <v>1601.276897</v>
      </c>
      <c r="L1062" s="1">
        <f>value(HKD!$B1062)</f>
        <v>1244.523577</v>
      </c>
      <c r="M1062" s="1">
        <f>value(TWD!$B1062)</f>
        <v>321.541376</v>
      </c>
      <c r="N1062" s="1">
        <f>value(JPY!$B1062)</f>
        <v>96.810234</v>
      </c>
      <c r="O1062" s="1">
        <f>value(SAR!$B1062)</f>
        <v>2591.249959</v>
      </c>
      <c r="P1062" s="1">
        <f>value(AED!$B1062)</f>
        <v>2731.87066</v>
      </c>
      <c r="Q1062" s="1">
        <f>value(KWD!$B1062)</f>
        <v>35947.42674</v>
      </c>
    </row>
    <row r="1063">
      <c r="A1063" s="4">
        <f>value(USD!A1063)</f>
        <v>41373.99861</v>
      </c>
      <c r="B1063" s="1">
        <f>value(USD!B1063)</f>
        <v>9691.5</v>
      </c>
      <c r="C1063" s="1">
        <f>value(AUD!$B1063)</f>
        <v>10171.187</v>
      </c>
      <c r="D1063" s="1">
        <f>value(EUR!$B1063)</f>
        <v>12682.82641</v>
      </c>
      <c r="E1063" s="1">
        <f>value(GBP!$B1063)</f>
        <v>14884.83365</v>
      </c>
      <c r="F1063" s="1">
        <f>value(CHF!$B1063)</f>
        <v>10395.68005</v>
      </c>
      <c r="G1063" s="1">
        <f>value(SGD!$B1063)</f>
        <v>7819.350929</v>
      </c>
      <c r="H1063" s="1">
        <f>value(MYR!$B1063)</f>
        <v>3184.590084</v>
      </c>
      <c r="I1063" s="1">
        <f>value(THB!$B1063)</f>
        <v>332.81656</v>
      </c>
      <c r="J1063" s="1">
        <f>value(VND!$B1063)</f>
        <v>0.4744902708</v>
      </c>
      <c r="K1063" s="1">
        <f>value(CNY!$B1063)</f>
        <v>1566.637101</v>
      </c>
      <c r="L1063" s="1">
        <f>value(HKD!$B1063)</f>
        <v>1246.610865</v>
      </c>
      <c r="M1063" s="1">
        <f>value(TWD!$B1063)</f>
        <v>322.948162</v>
      </c>
      <c r="N1063" s="1">
        <f>value(JPY!$B1063)</f>
        <v>97.039247</v>
      </c>
      <c r="O1063" s="1">
        <f>value(SAR!$B1063)</f>
        <v>2594.148708</v>
      </c>
      <c r="P1063" s="1">
        <f>value(AED!$B1063)</f>
        <v>2768.61496</v>
      </c>
      <c r="Q1063" s="1">
        <f>value(KWD!$B1063)</f>
        <v>36004.63461</v>
      </c>
    </row>
    <row r="1064">
      <c r="A1064" s="4">
        <f>value(USD!A1064)</f>
        <v>41374.99861</v>
      </c>
      <c r="B1064" s="1">
        <f>value(USD!B1064)</f>
        <v>9661.7</v>
      </c>
      <c r="C1064" s="1">
        <f>value(AUD!$B1064)</f>
        <v>10174.3376</v>
      </c>
      <c r="D1064" s="1">
        <f>value(EUR!$B1064)</f>
        <v>12697.035</v>
      </c>
      <c r="E1064" s="1">
        <f>value(GBP!$B1064)</f>
        <v>14858.727</v>
      </c>
      <c r="F1064" s="1">
        <f>value(CHF!$B1064)</f>
        <v>10434.619</v>
      </c>
      <c r="G1064" s="1">
        <f>value(SGD!$B1064)</f>
        <v>7828.09495</v>
      </c>
      <c r="H1064" s="1">
        <f>value(MYR!$B1064)</f>
        <v>3179.68235</v>
      </c>
      <c r="I1064" s="1">
        <f>value(THB!$B1064)</f>
        <v>332.9703</v>
      </c>
      <c r="J1064" s="1">
        <f>value(VND!$B1064)</f>
        <v>0.4749644292</v>
      </c>
      <c r="K1064" s="1">
        <f>value(CNY!$B1064)</f>
        <v>1594.595982</v>
      </c>
      <c r="L1064" s="1">
        <f>value(HKD!$B1064)</f>
        <v>1247.6217</v>
      </c>
      <c r="M1064" s="1">
        <f>value(TWD!$B1064)</f>
        <v>324.35065</v>
      </c>
      <c r="N1064" s="1">
        <f>value(JPY!$B1064)</f>
        <v>98.3996</v>
      </c>
      <c r="O1064" s="1">
        <f>value(SAR!$B1064)</f>
        <v>2592.362385</v>
      </c>
      <c r="P1064" s="1">
        <f>value(AED!$B1064)</f>
        <v>2784.67358</v>
      </c>
      <c r="Q1064" s="1">
        <f>value(KWD!$B1064)</f>
        <v>35981.00854</v>
      </c>
    </row>
    <row r="1065">
      <c r="A1065" s="4">
        <f>value(USD!A1065)</f>
        <v>41375.99861</v>
      </c>
      <c r="B1065" s="1">
        <f>value(USD!B1065)</f>
        <v>9674.9</v>
      </c>
      <c r="C1065" s="1">
        <f>value(AUD!$B1065)</f>
        <v>10176.19648</v>
      </c>
      <c r="D1065" s="1">
        <f>value(EUR!$B1065)</f>
        <v>12700.968</v>
      </c>
      <c r="E1065" s="1">
        <f>value(GBP!$B1065)</f>
        <v>14864.2984</v>
      </c>
      <c r="F1065" s="1">
        <f>value(CHF!$B1065)</f>
        <v>10441.7264</v>
      </c>
      <c r="G1065" s="1">
        <f>value(SGD!$B1065)</f>
        <v>7830.51976</v>
      </c>
      <c r="H1065" s="1">
        <f>value(MYR!$B1065)</f>
        <v>3132.71168</v>
      </c>
      <c r="I1065" s="1">
        <f>value(THB!$B1065)</f>
        <v>328.4232</v>
      </c>
      <c r="J1065" s="1">
        <f>value(VND!$B1065)</f>
        <v>0.4756756667</v>
      </c>
      <c r="K1065" s="1">
        <f>value(CNY!$B1065)</f>
        <v>1594.187412</v>
      </c>
      <c r="L1065" s="1">
        <f>value(HKD!$B1065)</f>
        <v>1247.91128</v>
      </c>
      <c r="M1065" s="1">
        <f>value(TWD!$B1065)</f>
        <v>324.548</v>
      </c>
      <c r="N1065" s="1">
        <f>value(JPY!$B1065)</f>
        <v>98.43008</v>
      </c>
      <c r="O1065" s="1">
        <f>value(SAR!$B1065)</f>
        <v>2595.140928</v>
      </c>
      <c r="P1065" s="1">
        <f>value(AED!$B1065)</f>
        <v>2786.85102</v>
      </c>
      <c r="Q1065" s="1">
        <f>value(KWD!$B1065)</f>
        <v>36005.62176</v>
      </c>
    </row>
    <row r="1066">
      <c r="A1066" s="4">
        <f>value(USD!A1066)</f>
        <v>41376.99861</v>
      </c>
      <c r="B1066" s="1">
        <f>value(USD!B1066)</f>
        <v>9685</v>
      </c>
      <c r="C1066" s="1">
        <f>value(AUD!$B1066)</f>
        <v>10006.59283</v>
      </c>
      <c r="D1066" s="1">
        <f>value(EUR!$B1066)</f>
        <v>12689.83941</v>
      </c>
      <c r="E1066" s="1">
        <f>value(GBP!$B1066)</f>
        <v>14859.33075</v>
      </c>
      <c r="F1066" s="1">
        <f>value(CHF!$B1066)</f>
        <v>10435.90795</v>
      </c>
      <c r="G1066" s="1">
        <f>value(SGD!$B1066)</f>
        <v>7823.10598</v>
      </c>
      <c r="H1066" s="1">
        <f>value(MYR!$B1066)</f>
        <v>3177.73736</v>
      </c>
      <c r="I1066" s="1">
        <f>value(THB!$B1066)</f>
        <v>332.72506</v>
      </c>
      <c r="J1066" s="1">
        <f>value(VND!$B1066)</f>
        <v>0.4756960756</v>
      </c>
      <c r="K1066" s="1">
        <f>value(CNY!$B1066)</f>
        <v>1593.273202</v>
      </c>
      <c r="L1066" s="1">
        <f>value(HKD!$B1066)</f>
        <v>1247.525305</v>
      </c>
      <c r="M1066" s="1">
        <f>value(TWD!$B1066)</f>
        <v>324.20358</v>
      </c>
      <c r="N1066" s="1">
        <f>value(JPY!$B1066)</f>
        <v>98.38436</v>
      </c>
      <c r="O1066" s="1">
        <f>value(SAR!$B1066)</f>
        <v>2595.140928</v>
      </c>
      <c r="P1066" s="1">
        <f>value(AED!$B1066)</f>
        <v>2785.21794</v>
      </c>
      <c r="Q1066" s="1">
        <f>value(KWD!$B1066)</f>
        <v>36107.5908</v>
      </c>
    </row>
    <row r="1067">
      <c r="A1067" s="4">
        <f>value(USD!A1067)</f>
        <v>41377.99861</v>
      </c>
      <c r="B1067" s="1">
        <f>value(USD!B1067)</f>
        <v>9688</v>
      </c>
      <c r="C1067" s="1">
        <f>value(AUD!$B1067)</f>
        <v>10060.46946</v>
      </c>
      <c r="D1067" s="1">
        <f>value(EUR!$B1067)</f>
        <v>12637.99056</v>
      </c>
      <c r="E1067" s="1">
        <f>value(GBP!$B1067)</f>
        <v>14806.45362</v>
      </c>
      <c r="F1067" s="1">
        <f>value(CHF!$B1067)</f>
        <v>10408.04172</v>
      </c>
      <c r="G1067" s="1">
        <f>value(SGD!$B1067)</f>
        <v>7816.343472</v>
      </c>
      <c r="H1067" s="1">
        <f>value(MYR!$B1067)</f>
        <v>3180.509316</v>
      </c>
      <c r="I1067" s="1">
        <f>value(THB!$B1067)</f>
        <v>332.216868</v>
      </c>
      <c r="J1067" s="1">
        <f>value(VND!$B1067)</f>
        <v>0.4818116389</v>
      </c>
      <c r="K1067" s="1">
        <f>value(CNY!$B1067)</f>
        <v>1591.125144</v>
      </c>
      <c r="L1067" s="1">
        <f>value(HKD!$B1067)</f>
        <v>1247.338296</v>
      </c>
      <c r="M1067" s="1">
        <f>value(TWD!$B1067)</f>
        <v>323.308692</v>
      </c>
      <c r="N1067" s="1">
        <f>value(JPY!$B1067)</f>
        <v>99.926496</v>
      </c>
      <c r="O1067" s="1">
        <f>value(SAR!$B1067)</f>
        <v>2595.140928</v>
      </c>
      <c r="P1067" s="1">
        <f>value(AED!$B1067)</f>
        <v>2787.1232</v>
      </c>
      <c r="Q1067" s="1">
        <f>value(KWD!$B1067)</f>
        <v>36085.66806</v>
      </c>
    </row>
    <row r="1068">
      <c r="A1068" s="4">
        <f>value(USD!A1068)</f>
        <v>41378.99861</v>
      </c>
      <c r="B1068" s="1">
        <f>value(USD!B1068)</f>
        <v>9683.5</v>
      </c>
      <c r="C1068" s="1">
        <f>value(AUD!$B1068)</f>
        <v>9973.284</v>
      </c>
      <c r="D1068" s="1">
        <f>value(EUR!$B1068)</f>
        <v>12766.00122</v>
      </c>
      <c r="E1068" s="1">
        <f>value(GBP!$B1068)</f>
        <v>14884.3008</v>
      </c>
      <c r="F1068" s="1">
        <f>value(CHF!$B1068)</f>
        <v>10505.25423</v>
      </c>
      <c r="G1068" s="1">
        <f>value(SGD!$B1068)</f>
        <v>7845.363783</v>
      </c>
      <c r="H1068" s="1">
        <f>value(MYR!$B1068)</f>
        <v>3184.135677</v>
      </c>
      <c r="I1068" s="1">
        <f>value(THB!$B1068)</f>
        <v>334.509156</v>
      </c>
      <c r="J1068" s="1">
        <f>value(VND!$B1068)</f>
        <v>0.473443393</v>
      </c>
      <c r="K1068" s="1">
        <f>value(CNY!$B1068)</f>
        <v>1594.5312</v>
      </c>
      <c r="L1068" s="1">
        <f>value(HKD!$B1068)</f>
        <v>1248.304446</v>
      </c>
      <c r="M1068" s="1">
        <f>value(TWD!$B1068)</f>
        <v>326.175498</v>
      </c>
      <c r="N1068" s="1">
        <f>value(JPY!$B1068)</f>
        <v>99.228672</v>
      </c>
      <c r="O1068" s="1">
        <f>value(SAR!$B1068)</f>
        <v>2596.919683</v>
      </c>
      <c r="P1068" s="1">
        <f>value(AED!$B1068)</f>
        <v>2795.01642</v>
      </c>
      <c r="Q1068" s="1">
        <f>value(KWD!$B1068)</f>
        <v>36064.06346</v>
      </c>
    </row>
    <row r="1069">
      <c r="A1069" s="4">
        <f>value(USD!A1069)</f>
        <v>41379.99861</v>
      </c>
      <c r="B1069" s="1">
        <f>value(USD!B1069)</f>
        <v>9682.8</v>
      </c>
      <c r="C1069" s="1">
        <f>value(AUD!$B1069)</f>
        <v>9975.447</v>
      </c>
      <c r="D1069" s="1">
        <f>value(EUR!$B1069)</f>
        <v>12615.72012</v>
      </c>
      <c r="E1069" s="1">
        <f>value(GBP!$B1069)</f>
        <v>14753.68236</v>
      </c>
      <c r="F1069" s="1">
        <f>value(CHF!$B1069)</f>
        <v>10377.05676</v>
      </c>
      <c r="G1069" s="1">
        <f>value(SGD!$B1069)</f>
        <v>7835.418588</v>
      </c>
      <c r="H1069" s="1">
        <f>value(MYR!$B1069)</f>
        <v>3191.45088</v>
      </c>
      <c r="I1069" s="1">
        <f>value(THB!$B1069)</f>
        <v>335.315364</v>
      </c>
      <c r="J1069" s="1">
        <f>value(VND!$B1069)</f>
        <v>0.4823138837</v>
      </c>
      <c r="K1069" s="1">
        <f>value(CNY!$B1069)</f>
        <v>1601.75617</v>
      </c>
      <c r="L1069" s="1">
        <f>value(HKD!$B1069)</f>
        <v>1247.241468</v>
      </c>
      <c r="M1069" s="1">
        <f>value(TWD!$B1069)</f>
        <v>321.372132</v>
      </c>
      <c r="N1069" s="1">
        <f>value(JPY!$B1069)</f>
        <v>98.76456</v>
      </c>
      <c r="O1069" s="1">
        <f>value(SAR!$B1069)</f>
        <v>2598.184894</v>
      </c>
      <c r="P1069" s="1">
        <f>value(AED!$B1069)</f>
        <v>2788.21192</v>
      </c>
      <c r="Q1069" s="1">
        <f>value(KWD!$B1069)</f>
        <v>36110.61675</v>
      </c>
    </row>
    <row r="1070">
      <c r="A1070" s="4">
        <f>value(USD!A1070)</f>
        <v>41380.99861</v>
      </c>
      <c r="B1070" s="1">
        <f>value(USD!B1070)</f>
        <v>9690.3</v>
      </c>
      <c r="C1070" s="1">
        <f>value(AUD!$B1070)</f>
        <v>9952.9815</v>
      </c>
      <c r="D1070" s="1">
        <f>value(EUR!$B1070)</f>
        <v>12643.63695</v>
      </c>
      <c r="E1070" s="1">
        <f>value(GBP!$B1070)</f>
        <v>14805.30663</v>
      </c>
      <c r="F1070" s="1">
        <f>value(CHF!$B1070)</f>
        <v>10389.96072</v>
      </c>
      <c r="G1070" s="1">
        <f>value(SGD!$B1070)</f>
        <v>7835.0841</v>
      </c>
      <c r="H1070" s="1">
        <f>value(MYR!$B1070)</f>
        <v>3125.995173</v>
      </c>
      <c r="I1070" s="1">
        <f>value(THB!$B1070)</f>
        <v>326.865375</v>
      </c>
      <c r="J1070" s="1">
        <f>value(VND!$B1070)</f>
        <v>0.4851114181</v>
      </c>
      <c r="K1070" s="1">
        <f>value(CNY!$B1070)</f>
        <v>1589.5434</v>
      </c>
      <c r="L1070" s="1">
        <f>value(HKD!$B1070)</f>
        <v>1247.318271</v>
      </c>
      <c r="M1070" s="1">
        <f>value(TWD!$B1070)</f>
        <v>322.119774</v>
      </c>
      <c r="N1070" s="1">
        <f>value(JPY!$B1070)</f>
        <v>98.495433</v>
      </c>
      <c r="O1070" s="1">
        <f>value(SAR!$B1070)</f>
        <v>2598.841528</v>
      </c>
      <c r="P1070" s="1">
        <f>value(AED!$B1070)</f>
        <v>2788.21192</v>
      </c>
      <c r="Q1070" s="1">
        <f>value(KWD!$B1070)</f>
        <v>36124.02921</v>
      </c>
    </row>
    <row r="1071">
      <c r="A1071" s="4">
        <f>value(USD!A1071)</f>
        <v>41381.99861</v>
      </c>
      <c r="B1071" s="1">
        <f>value(USD!B1071)</f>
        <v>9682.8</v>
      </c>
      <c r="C1071" s="1">
        <f>value(AUD!$B1071)</f>
        <v>10016.56848</v>
      </c>
      <c r="D1071" s="1">
        <f>value(EUR!$B1071)</f>
        <v>12641.013</v>
      </c>
      <c r="E1071" s="1">
        <f>value(GBP!$B1071)</f>
        <v>14750.75448</v>
      </c>
      <c r="F1071" s="1">
        <f>value(CHF!$B1071)</f>
        <v>10370.47396</v>
      </c>
      <c r="G1071" s="1">
        <f>value(SGD!$B1071)</f>
        <v>7827.838326</v>
      </c>
      <c r="H1071" s="1">
        <f>value(MYR!$B1071)</f>
        <v>3187.956926</v>
      </c>
      <c r="I1071" s="1">
        <f>value(THB!$B1071)</f>
        <v>338.256072</v>
      </c>
      <c r="J1071" s="1">
        <f>value(VND!$B1071)</f>
        <v>0.4854907448</v>
      </c>
      <c r="K1071" s="1">
        <f>value(CNY!$B1071)</f>
        <v>1595.118126</v>
      </c>
      <c r="L1071" s="1">
        <f>value(HKD!$B1071)</f>
        <v>1247.537214</v>
      </c>
      <c r="M1071" s="1">
        <f>value(TWD!$B1071)</f>
        <v>324.210502</v>
      </c>
      <c r="N1071" s="1">
        <f>value(JPY!$B1071)</f>
        <v>97.35033</v>
      </c>
      <c r="O1071" s="1">
        <f>value(SAR!$B1071)</f>
        <v>2600.523142</v>
      </c>
      <c r="P1071" s="1">
        <f>value(AED!$B1071)</f>
        <v>2789.845</v>
      </c>
      <c r="Q1071" s="1">
        <f>value(KWD!$B1071)</f>
        <v>36130.15783</v>
      </c>
    </row>
    <row r="1072">
      <c r="A1072" s="4">
        <f>value(USD!A1072)</f>
        <v>41382.99861</v>
      </c>
      <c r="B1072" s="1">
        <f>value(USD!B1072)</f>
        <v>9684.9</v>
      </c>
      <c r="C1072" s="1">
        <f>value(AUD!$B1072)</f>
        <v>9958.2952</v>
      </c>
      <c r="D1072" s="1">
        <f>value(EUR!$B1072)</f>
        <v>12721.24665</v>
      </c>
      <c r="E1072" s="1">
        <f>value(GBP!$B1072)</f>
        <v>14844.05352</v>
      </c>
      <c r="F1072" s="1">
        <f>value(CHF!$B1072)</f>
        <v>10433.72245</v>
      </c>
      <c r="G1072" s="1">
        <f>value(SGD!$B1072)</f>
        <v>7876.315228</v>
      </c>
      <c r="H1072" s="1">
        <f>value(MYR!$B1072)</f>
        <v>3207.699576</v>
      </c>
      <c r="I1072" s="1">
        <f>value(THB!$B1072)</f>
        <v>340.3508529</v>
      </c>
      <c r="J1072" s="1">
        <f>value(VND!$B1072)</f>
        <v>0.4852062497</v>
      </c>
      <c r="K1072" s="1">
        <f>value(CNY!$B1072)</f>
        <v>1597.057873</v>
      </c>
      <c r="L1072" s="1">
        <f>value(HKD!$B1072)</f>
        <v>1255.263068</v>
      </c>
      <c r="M1072" s="1">
        <f>value(TWD!$B1072)</f>
        <v>326.2183003</v>
      </c>
      <c r="N1072" s="1">
        <f>value(JPY!$B1072)</f>
        <v>97.9532094</v>
      </c>
      <c r="O1072" s="1">
        <f>value(SAR!$B1072)</f>
        <v>2599.674624</v>
      </c>
      <c r="P1072" s="1">
        <f>value(AED!$B1072)</f>
        <v>2790.38936</v>
      </c>
      <c r="Q1072" s="1">
        <f>value(KWD!$B1072)</f>
        <v>36145.84662</v>
      </c>
    </row>
    <row r="1073">
      <c r="A1073" s="4">
        <f>value(USD!A1073)</f>
        <v>41383.99861</v>
      </c>
      <c r="B1073" s="1">
        <f>value(USD!B1073)</f>
        <v>9686.6</v>
      </c>
      <c r="C1073" s="1">
        <f>value(AUD!$B1073)</f>
        <v>9946.65933</v>
      </c>
      <c r="D1073" s="1">
        <f>value(EUR!$B1073)</f>
        <v>12656.50008</v>
      </c>
      <c r="E1073" s="1">
        <f>value(GBP!$B1073)</f>
        <v>14752.8864</v>
      </c>
      <c r="F1073" s="1">
        <f>value(CHF!$B1073)</f>
        <v>10385.536</v>
      </c>
      <c r="G1073" s="1">
        <f>value(SGD!$B1073)</f>
        <v>7828.67904</v>
      </c>
      <c r="H1073" s="1">
        <f>value(MYR!$B1073)</f>
        <v>3122.15176</v>
      </c>
      <c r="I1073" s="1">
        <f>value(THB!$B1073)</f>
        <v>330.8452</v>
      </c>
      <c r="J1073" s="1">
        <f>value(VND!$B1073)</f>
        <v>0.4900224819</v>
      </c>
      <c r="K1073" s="1">
        <f>value(CNY!$B1073)</f>
        <v>1603.288404</v>
      </c>
      <c r="L1073" s="1">
        <f>value(HKD!$B1073)</f>
        <v>1247.8144</v>
      </c>
      <c r="M1073" s="1">
        <f>value(TWD!$B1073)</f>
        <v>324.548</v>
      </c>
      <c r="N1073" s="1">
        <f>value(JPY!$B1073)</f>
        <v>96.97688</v>
      </c>
      <c r="O1073" s="1">
        <f>value(SAR!$B1073)</f>
        <v>2600.619131</v>
      </c>
      <c r="P1073" s="1">
        <f>value(AED!$B1073)</f>
        <v>2796.0075</v>
      </c>
      <c r="Q1073" s="1">
        <f>value(KWD!$B1073)</f>
        <v>36036.63402</v>
      </c>
    </row>
    <row r="1074">
      <c r="A1074" s="4">
        <f>value(USD!A1074)</f>
        <v>41384.99861</v>
      </c>
      <c r="B1074" s="1">
        <f>value(USD!B1074)</f>
        <v>9746.588</v>
      </c>
      <c r="C1074" s="1">
        <f>value(AUD!$B1074)</f>
        <v>9953.54849</v>
      </c>
      <c r="D1074" s="1">
        <f>value(EUR!$B1074)</f>
        <v>12656.4249</v>
      </c>
      <c r="E1074" s="1">
        <f>value(GBP!$B1074)</f>
        <v>14816.21445</v>
      </c>
      <c r="F1074" s="1">
        <f>value(CHF!$B1074)</f>
        <v>10368.73395</v>
      </c>
      <c r="G1074" s="1">
        <f>value(SGD!$B1074)</f>
        <v>7810.31837</v>
      </c>
      <c r="H1074" s="1">
        <f>value(MYR!$B1074)</f>
        <v>3175.05536</v>
      </c>
      <c r="I1074" s="1">
        <f>value(THB!$B1074)</f>
        <v>337.291495</v>
      </c>
      <c r="J1074" s="1">
        <f>value(VND!$B1074)</f>
        <v>0.4869132198</v>
      </c>
      <c r="K1074" s="1">
        <f>value(CNY!$B1074)</f>
        <v>1606.382045</v>
      </c>
      <c r="L1074" s="1">
        <f>value(HKD!$B1074)</f>
        <v>1247.910705</v>
      </c>
      <c r="M1074" s="1">
        <f>value(TWD!$B1074)</f>
        <v>325.470305</v>
      </c>
      <c r="N1074" s="1">
        <f>value(JPY!$B1074)</f>
        <v>97.573265</v>
      </c>
      <c r="O1074" s="1">
        <f>value(SAR!$B1074)</f>
        <v>2605.493537</v>
      </c>
      <c r="P1074" s="1">
        <f>value(AED!$B1074)</f>
        <v>2792.5668</v>
      </c>
      <c r="Q1074" s="1">
        <f>value(KWD!$B1074)</f>
        <v>36138.12364</v>
      </c>
    </row>
    <row r="1075">
      <c r="A1075" s="4">
        <f>value(USD!A1075)</f>
        <v>41385.99861</v>
      </c>
      <c r="B1075" s="1">
        <f>value(USD!B1075)</f>
        <v>9688</v>
      </c>
      <c r="C1075" s="1">
        <f>value(AUD!$B1075)</f>
        <v>9953.30424</v>
      </c>
      <c r="D1075" s="1">
        <f>value(EUR!$B1075)</f>
        <v>12603.11</v>
      </c>
      <c r="E1075" s="1">
        <f>value(GBP!$B1075)</f>
        <v>14769.87545</v>
      </c>
      <c r="F1075" s="1">
        <f>value(CHF!$B1075)</f>
        <v>10254.08419</v>
      </c>
      <c r="G1075" s="1">
        <f>value(SGD!$B1075)</f>
        <v>7813.249571</v>
      </c>
      <c r="H1075" s="1">
        <f>value(MYR!$B1075)</f>
        <v>3168.131013</v>
      </c>
      <c r="I1075" s="1">
        <f>value(THB!$B1075)</f>
        <v>336.212196</v>
      </c>
      <c r="J1075" s="1">
        <f>value(VND!$B1075)</f>
        <v>0.4857278239</v>
      </c>
      <c r="K1075" s="1">
        <f>value(CNY!$B1075)</f>
        <v>1606.11032</v>
      </c>
      <c r="L1075" s="1">
        <f>value(HKD!$B1075)</f>
        <v>1248.483466</v>
      </c>
      <c r="M1075" s="1">
        <f>value(TWD!$B1075)</f>
        <v>325.644973</v>
      </c>
      <c r="N1075" s="1">
        <f>value(JPY!$B1075)</f>
        <v>97.528682</v>
      </c>
      <c r="O1075" s="1">
        <f>value(SAR!$B1075)</f>
        <v>2606.128524</v>
      </c>
      <c r="P1075" s="1">
        <f>value(AED!$B1075)</f>
        <v>2784.12922</v>
      </c>
      <c r="Q1075" s="1">
        <f>value(KWD!$B1075)</f>
        <v>36067.93019</v>
      </c>
    </row>
    <row r="1076">
      <c r="A1076" s="4">
        <f>value(USD!A1076)</f>
        <v>41386.99861</v>
      </c>
      <c r="B1076" s="1">
        <f>value(USD!B1076)</f>
        <v>9689.5</v>
      </c>
      <c r="C1076" s="1">
        <f>value(AUD!$B1076)</f>
        <v>9975.54615</v>
      </c>
      <c r="D1076" s="1">
        <f>value(EUR!$B1076)</f>
        <v>12608.03544</v>
      </c>
      <c r="E1076" s="1">
        <f>value(GBP!$B1076)</f>
        <v>14793.82872</v>
      </c>
      <c r="F1076" s="1">
        <f>value(CHF!$B1076)</f>
        <v>10228.46616</v>
      </c>
      <c r="G1076" s="1">
        <f>value(SGD!$B1076)</f>
        <v>7793.767608</v>
      </c>
      <c r="H1076" s="1">
        <f>value(MYR!$B1076)</f>
        <v>3174.825984</v>
      </c>
      <c r="I1076" s="1">
        <f>value(THB!$B1076)</f>
        <v>334.457376</v>
      </c>
      <c r="J1076" s="1">
        <f>value(VND!$B1076)</f>
        <v>0.4857278239</v>
      </c>
      <c r="K1076" s="1">
        <f>value(CNY!$B1076)</f>
        <v>1590.696943</v>
      </c>
      <c r="L1076" s="1">
        <f>value(HKD!$B1076)</f>
        <v>1247.820552</v>
      </c>
      <c r="M1076" s="1">
        <f>value(TWD!$B1076)</f>
        <v>325.349904</v>
      </c>
      <c r="N1076" s="1">
        <f>value(JPY!$B1076)</f>
        <v>97.37244</v>
      </c>
      <c r="O1076" s="1">
        <f>value(SAR!$B1076)</f>
        <v>2608.723477</v>
      </c>
      <c r="P1076" s="1">
        <f>value(AED!$B1076)</f>
        <v>2791.47808</v>
      </c>
      <c r="Q1076" s="1">
        <f>value(KWD!$B1076)</f>
        <v>36100.64088</v>
      </c>
    </row>
    <row r="1077">
      <c r="A1077" s="4">
        <f>value(USD!A1077)</f>
        <v>41387.99861</v>
      </c>
      <c r="B1077" s="1">
        <f>value(USD!B1077)</f>
        <v>9694.7</v>
      </c>
      <c r="C1077" s="1">
        <f>value(AUD!$B1077)</f>
        <v>9965.5488</v>
      </c>
      <c r="D1077" s="1">
        <f>value(EUR!$B1077)</f>
        <v>12604.36176</v>
      </c>
      <c r="E1077" s="1">
        <f>value(GBP!$B1077)</f>
        <v>14956.05195</v>
      </c>
      <c r="F1077" s="1">
        <f>value(CHF!$B1077)</f>
        <v>10248.79569</v>
      </c>
      <c r="G1077" s="1">
        <f>value(SGD!$B1077)</f>
        <v>7820.072385</v>
      </c>
      <c r="H1077" s="1">
        <f>value(MYR!$B1077)</f>
        <v>3187.426815</v>
      </c>
      <c r="I1077" s="1">
        <f>value(THB!$B1077)</f>
        <v>331.775328</v>
      </c>
      <c r="J1077" s="1">
        <f>value(VND!$B1077)</f>
        <v>0.486012319</v>
      </c>
      <c r="K1077" s="1">
        <f>value(CNY!$B1077)</f>
        <v>1571.251077</v>
      </c>
      <c r="L1077" s="1">
        <f>value(HKD!$B1077)</f>
        <v>1247.839566</v>
      </c>
      <c r="M1077" s="1">
        <f>value(TWD!$B1077)</f>
        <v>325.186332</v>
      </c>
      <c r="N1077" s="1">
        <f>value(JPY!$B1077)</f>
        <v>97.478382</v>
      </c>
      <c r="O1077" s="1">
        <f>value(SAR!$B1077)</f>
        <v>2609.44874</v>
      </c>
      <c r="P1077" s="1">
        <f>value(AED!$B1077)</f>
        <v>2791.75026</v>
      </c>
      <c r="Q1077" s="1">
        <f>value(KWD!$B1077)</f>
        <v>36097.12161</v>
      </c>
    </row>
    <row r="1078">
      <c r="A1078" s="4">
        <f>value(USD!A1078)</f>
        <v>41388.99861</v>
      </c>
      <c r="B1078" s="1">
        <f>value(USD!B1078)</f>
        <v>9688.8</v>
      </c>
      <c r="C1078" s="1">
        <f>value(AUD!$B1078)</f>
        <v>9961.64316</v>
      </c>
      <c r="D1078" s="1">
        <f>value(EUR!$B1078)</f>
        <v>12632.9184</v>
      </c>
      <c r="E1078" s="1">
        <f>value(GBP!$B1078)</f>
        <v>15007.4688</v>
      </c>
      <c r="F1078" s="1">
        <f>value(CHF!$B1078)</f>
        <v>10282.608</v>
      </c>
      <c r="G1078" s="1">
        <f>value(SGD!$B1078)</f>
        <v>7837.66464</v>
      </c>
      <c r="H1078" s="1">
        <f>value(MYR!$B1078)</f>
        <v>3191.82624</v>
      </c>
      <c r="I1078" s="1">
        <f>value(THB!$B1078)</f>
        <v>331.31232</v>
      </c>
      <c r="J1078" s="1">
        <f>value(VND!$B1078)</f>
        <v>0.4861071506</v>
      </c>
      <c r="K1078" s="1">
        <f>value(CNY!$B1078)</f>
        <v>1609.464123</v>
      </c>
      <c r="L1078" s="1">
        <f>value(HKD!$B1078)</f>
        <v>1248.8448</v>
      </c>
      <c r="M1078" s="1">
        <f>value(TWD!$B1078)</f>
        <v>327.82176</v>
      </c>
      <c r="N1078" s="1">
        <f>value(JPY!$B1078)</f>
        <v>98.8992</v>
      </c>
      <c r="O1078" s="1">
        <f>value(SAR!$B1078)</f>
        <v>2605.54176</v>
      </c>
      <c r="P1078" s="1">
        <f>value(AED!$B1078)</f>
        <v>2792.02244</v>
      </c>
      <c r="Q1078" s="1">
        <f>value(KWD!$B1078)</f>
        <v>36107.67942</v>
      </c>
    </row>
    <row r="1079">
      <c r="A1079" s="4">
        <f>value(USD!A1079)</f>
        <v>41389.99861</v>
      </c>
      <c r="B1079" s="1">
        <f>value(USD!B1079)</f>
        <v>9689.7</v>
      </c>
      <c r="C1079" s="1">
        <f>value(AUD!$B1079)</f>
        <v>9885.731953</v>
      </c>
      <c r="D1079" s="1">
        <f>value(EUR!$B1079)</f>
        <v>12627.96738</v>
      </c>
      <c r="E1079" s="1">
        <f>value(GBP!$B1079)</f>
        <v>15001.58716</v>
      </c>
      <c r="F1079" s="1">
        <f>value(CHF!$B1079)</f>
        <v>10278.5781</v>
      </c>
      <c r="G1079" s="1">
        <f>value(SGD!$B1079)</f>
        <v>7834.592948</v>
      </c>
      <c r="H1079" s="1">
        <f>value(MYR!$B1079)</f>
        <v>3190.575318</v>
      </c>
      <c r="I1079" s="1">
        <f>value(THB!$B1079)</f>
        <v>324.301012</v>
      </c>
      <c r="J1079" s="1">
        <f>value(VND!$B1079)</f>
        <v>0.4873072276</v>
      </c>
      <c r="K1079" s="1">
        <f>value(CNY!$B1079)</f>
        <v>1610.872548</v>
      </c>
      <c r="L1079" s="1">
        <f>value(HKD!$B1079)</f>
        <v>1248.35536</v>
      </c>
      <c r="M1079" s="1">
        <f>value(TWD!$B1079)</f>
        <v>327.693282</v>
      </c>
      <c r="N1079" s="1">
        <f>value(JPY!$B1079)</f>
        <v>98.86044</v>
      </c>
      <c r="O1079" s="1">
        <f>value(SAR!$B1079)</f>
        <v>2619.515134</v>
      </c>
      <c r="P1079" s="1">
        <f>value(AED!$B1079)</f>
        <v>2791.75026</v>
      </c>
      <c r="Q1079" s="1">
        <f>value(KWD!$B1079)</f>
        <v>36174.70909</v>
      </c>
    </row>
    <row r="1080">
      <c r="A1080" s="4">
        <f>value(USD!A1080)</f>
        <v>41390.99861</v>
      </c>
      <c r="B1080" s="1">
        <f>value(USD!B1080)</f>
        <v>9696</v>
      </c>
      <c r="C1080" s="1">
        <f>value(AUD!$B1080)</f>
        <v>10026.72244</v>
      </c>
      <c r="D1080" s="1">
        <f>value(EUR!$B1080)</f>
        <v>12538.5759</v>
      </c>
      <c r="E1080" s="1">
        <f>value(GBP!$B1080)</f>
        <v>14881.03384</v>
      </c>
      <c r="F1080" s="1">
        <f>value(CHF!$B1080)</f>
        <v>10208.4219</v>
      </c>
      <c r="G1080" s="1">
        <f>value(SGD!$B1080)</f>
        <v>7770.031708</v>
      </c>
      <c r="H1080" s="1">
        <f>value(MYR!$B1080)</f>
        <v>3167.879022</v>
      </c>
      <c r="I1080" s="1">
        <f>value(THB!$B1080)</f>
        <v>322.017075</v>
      </c>
      <c r="J1080" s="1">
        <f>value(VND!$B1080)</f>
        <v>0.4955324731</v>
      </c>
      <c r="K1080" s="1">
        <f>value(CNY!$B1080)</f>
        <v>1612.053432</v>
      </c>
      <c r="L1080" s="1">
        <f>value(HKD!$B1080)</f>
        <v>1238.179684</v>
      </c>
      <c r="M1080" s="1">
        <f>value(TWD!$B1080)</f>
        <v>325.3814325</v>
      </c>
      <c r="N1080" s="1">
        <f>value(JPY!$B1080)</f>
        <v>98.1431145</v>
      </c>
      <c r="O1080" s="1">
        <f>value(SAR!$B1080)</f>
        <v>2604.576475</v>
      </c>
      <c r="P1080" s="1">
        <f>value(AED!$B1080)</f>
        <v>2792.5668</v>
      </c>
      <c r="Q1080" s="1">
        <f>value(KWD!$B1080)</f>
        <v>36115.99044</v>
      </c>
    </row>
    <row r="1081">
      <c r="A1081" s="4">
        <f>value(USD!A1081)</f>
        <v>41391.99861</v>
      </c>
      <c r="B1081" s="1">
        <f>value(USD!B1081)</f>
        <v>9692.2</v>
      </c>
      <c r="C1081" s="1">
        <f>value(AUD!$B1081)</f>
        <v>10053.54369</v>
      </c>
      <c r="D1081" s="1">
        <f>value(EUR!$B1081)</f>
        <v>12692.82658</v>
      </c>
      <c r="E1081" s="1">
        <f>value(GBP!$B1081)</f>
        <v>15013.91688</v>
      </c>
      <c r="F1081" s="1">
        <f>value(CHF!$B1081)</f>
        <v>10343.63122</v>
      </c>
      <c r="G1081" s="1">
        <f>value(SGD!$B1081)</f>
        <v>7853.038334</v>
      </c>
      <c r="H1081" s="1">
        <f>value(MYR!$B1081)</f>
        <v>3192.250246</v>
      </c>
      <c r="I1081" s="1">
        <f>value(THB!$B1081)</f>
        <v>330.96131</v>
      </c>
      <c r="J1081" s="1">
        <f>value(VND!$B1081)</f>
        <v>0.4850165864</v>
      </c>
      <c r="K1081" s="1">
        <f>value(CNY!$B1081)</f>
        <v>1614.76081</v>
      </c>
      <c r="L1081" s="1">
        <f>value(HKD!$B1081)</f>
        <v>1248.639976</v>
      </c>
      <c r="M1081" s="1">
        <f>value(TWD!$B1081)</f>
        <v>329.02303</v>
      </c>
      <c r="N1081" s="1">
        <f>value(JPY!$B1081)</f>
        <v>98.949194</v>
      </c>
      <c r="O1081" s="1">
        <f>value(SAR!$B1081)</f>
        <v>2609.491752</v>
      </c>
      <c r="P1081" s="1">
        <f>value(AED!$B1081)</f>
        <v>2795.8021</v>
      </c>
      <c r="Q1081" s="1">
        <f>value(KWD!$B1081)</f>
        <v>36263.80486</v>
      </c>
    </row>
    <row r="1082">
      <c r="A1082" s="4">
        <f>value(USD!A1082)</f>
        <v>41392.99861</v>
      </c>
      <c r="B1082" s="1">
        <f>value(USD!B1082)</f>
        <v>9612.45</v>
      </c>
      <c r="C1082" s="1">
        <f>value(AUD!$B1082)</f>
        <v>9963.960356</v>
      </c>
      <c r="D1082" s="1">
        <f>value(EUR!$B1082)</f>
        <v>12762.98874</v>
      </c>
      <c r="E1082" s="1">
        <f>value(GBP!$B1082)</f>
        <v>15054.82057</v>
      </c>
      <c r="F1082" s="1">
        <f>value(CHF!$B1082)</f>
        <v>10426.75884</v>
      </c>
      <c r="G1082" s="1">
        <f>value(SGD!$B1082)</f>
        <v>7867.763118</v>
      </c>
      <c r="H1082" s="1">
        <f>value(MYR!$B1082)</f>
        <v>3183.573699</v>
      </c>
      <c r="I1082" s="1">
        <f>value(THB!$B1082)</f>
        <v>330.465051</v>
      </c>
      <c r="J1082" s="1">
        <f>value(VND!$B1082)</f>
        <v>0.486296814</v>
      </c>
      <c r="K1082" s="1">
        <f>value(CNY!$B1082)</f>
        <v>1616.96</v>
      </c>
      <c r="L1082" s="1">
        <f>value(HKD!$B1082)</f>
        <v>1249.155954</v>
      </c>
      <c r="M1082" s="1">
        <f>value(TWD!$B1082)</f>
        <v>330.174234</v>
      </c>
      <c r="N1082" s="1">
        <f>value(JPY!$B1082)</f>
        <v>99.459414</v>
      </c>
      <c r="O1082" s="1">
        <f>value(SAR!$B1082)</f>
        <v>2608.162909</v>
      </c>
      <c r="P1082" s="1">
        <f>value(AED!$B1082)</f>
        <v>2793.11116</v>
      </c>
      <c r="Q1082" s="1">
        <f>value(KWD!$B1082)</f>
        <v>36246.2079</v>
      </c>
    </row>
    <row r="1083">
      <c r="A1083" s="4">
        <f>value(USD!A1083)</f>
        <v>41393.99861</v>
      </c>
      <c r="B1083" s="1">
        <f>value(USD!B1083)</f>
        <v>9691.4</v>
      </c>
      <c r="C1083" s="1">
        <f>value(AUD!$B1083)</f>
        <v>9960.096708</v>
      </c>
      <c r="D1083" s="1">
        <f>value(EUR!$B1083)</f>
        <v>12773.00074</v>
      </c>
      <c r="E1083" s="1">
        <f>value(GBP!$B1083)</f>
        <v>15092.50927</v>
      </c>
      <c r="F1083" s="1">
        <f>value(CHF!$B1083)</f>
        <v>10454.65545</v>
      </c>
      <c r="G1083" s="1">
        <f>value(SGD!$B1083)</f>
        <v>7859.361149</v>
      </c>
      <c r="H1083" s="1">
        <f>value(MYR!$B1083)</f>
        <v>3183.217206</v>
      </c>
      <c r="I1083" s="1">
        <f>value(THB!$B1083)</f>
        <v>330.167422</v>
      </c>
      <c r="J1083" s="1">
        <f>value(VND!$B1083)</f>
        <v>0.4863442298</v>
      </c>
      <c r="K1083" s="1">
        <f>value(CNY!$B1083)</f>
        <v>1613.389113</v>
      </c>
      <c r="L1083" s="1">
        <f>value(HKD!$B1083)</f>
        <v>1249.033245</v>
      </c>
      <c r="M1083" s="1">
        <f>value(TWD!$B1083)</f>
        <v>327.743997</v>
      </c>
      <c r="N1083" s="1">
        <f>value(JPY!$B1083)</f>
        <v>99.554299</v>
      </c>
      <c r="O1083" s="1">
        <f>value(SAR!$B1083)</f>
        <v>2606.069465</v>
      </c>
      <c r="P1083" s="1">
        <f>value(AED!$B1083)</f>
        <v>2804.54272</v>
      </c>
      <c r="Q1083" s="1">
        <f>value(KWD!$B1083)</f>
        <v>36330.67329</v>
      </c>
    </row>
    <row r="1084">
      <c r="A1084" s="4">
        <f>value(USD!A1084)</f>
        <v>41394.99861</v>
      </c>
      <c r="B1084" s="1">
        <f>value(USD!B1084)</f>
        <v>9693.9</v>
      </c>
      <c r="C1084" s="1">
        <f>value(AUD!$B1084)</f>
        <v>10010.85272</v>
      </c>
      <c r="D1084" s="1">
        <f>value(EUR!$B1084)</f>
        <v>12683.6805</v>
      </c>
      <c r="E1084" s="1">
        <f>value(GBP!$B1084)</f>
        <v>15082.67905</v>
      </c>
      <c r="F1084" s="1">
        <f>value(CHF!$B1084)</f>
        <v>10383.23236</v>
      </c>
      <c r="G1084" s="1">
        <f>value(SGD!$B1084)</f>
        <v>7860.633146</v>
      </c>
      <c r="H1084" s="1">
        <f>value(MYR!$B1084)</f>
        <v>3179.245936</v>
      </c>
      <c r="I1084" s="1">
        <f>value(THB!$B1084)</f>
        <v>329.14866</v>
      </c>
      <c r="J1084" s="1">
        <f>value(VND!$B1084)</f>
        <v>0.4863916456</v>
      </c>
      <c r="K1084" s="1">
        <f>value(CNY!$B1084)</f>
        <v>1564.90686</v>
      </c>
      <c r="L1084" s="1">
        <f>value(HKD!$B1084)</f>
        <v>1251.250378</v>
      </c>
      <c r="M1084" s="1">
        <f>value(TWD!$B1084)</f>
        <v>325.944558</v>
      </c>
      <c r="N1084" s="1">
        <f>value(JPY!$B1084)</f>
        <v>99.132974</v>
      </c>
      <c r="O1084" s="1">
        <f>value(SAR!$B1084)</f>
        <v>2603.776022</v>
      </c>
      <c r="P1084" s="1">
        <f>value(AED!$B1084)</f>
        <v>2803.18182</v>
      </c>
      <c r="Q1084" s="1">
        <f>value(KWD!$B1084)</f>
        <v>36468.5986</v>
      </c>
    </row>
    <row r="1085">
      <c r="A1085" s="4">
        <f>value(USD!A1085)</f>
        <v>41395.99861</v>
      </c>
      <c r="B1085" s="1">
        <f>value(USD!B1085)</f>
        <v>9693.7</v>
      </c>
      <c r="C1085" s="1">
        <f>value(AUD!$B1085)</f>
        <v>10014.894</v>
      </c>
      <c r="D1085" s="1">
        <f>value(EUR!$B1085)</f>
        <v>12728.02872</v>
      </c>
      <c r="E1085" s="1">
        <f>value(GBP!$B1085)</f>
        <v>15111.38024</v>
      </c>
      <c r="F1085" s="1">
        <f>value(CHF!$B1085)</f>
        <v>10366.02644</v>
      </c>
      <c r="G1085" s="1">
        <f>value(SGD!$B1085)</f>
        <v>7861.469462</v>
      </c>
      <c r="H1085" s="1">
        <f>value(MYR!$B1085)</f>
        <v>3194.62264</v>
      </c>
      <c r="I1085" s="1">
        <f>value(THB!$B1085)</f>
        <v>326.352246</v>
      </c>
      <c r="J1085" s="1">
        <f>value(VND!$B1085)</f>
        <v>0.4863442298</v>
      </c>
      <c r="K1085" s="1">
        <f>value(CNY!$B1085)</f>
        <v>1611.715986</v>
      </c>
      <c r="L1085" s="1">
        <f>value(HKD!$B1085)</f>
        <v>1250.580254</v>
      </c>
      <c r="M1085" s="1">
        <f>value(TWD!$B1085)</f>
        <v>328.681254</v>
      </c>
      <c r="N1085" s="1">
        <f>value(JPY!$B1085)</f>
        <v>98.01242</v>
      </c>
      <c r="O1085" s="1">
        <f>value(SAR!$B1085)</f>
        <v>2608.278175</v>
      </c>
      <c r="P1085" s="1">
        <f>value(AED!$B1085)</f>
        <v>2809.71414</v>
      </c>
      <c r="Q1085" s="1">
        <f>value(KWD!$B1085)</f>
        <v>36454.51806</v>
      </c>
    </row>
    <row r="1086">
      <c r="A1086" s="4">
        <f>value(USD!A1086)</f>
        <v>41396.99861</v>
      </c>
      <c r="B1086" s="1">
        <f>value(USD!B1086)</f>
        <v>9709.4</v>
      </c>
      <c r="C1086" s="1">
        <f>value(AUD!$B1086)</f>
        <v>9903.034363</v>
      </c>
      <c r="D1086" s="1">
        <f>value(EUR!$B1086)</f>
        <v>12735.636</v>
      </c>
      <c r="E1086" s="1">
        <f>value(GBP!$B1086)</f>
        <v>15120.412</v>
      </c>
      <c r="F1086" s="1">
        <f>value(CHF!$B1086)</f>
        <v>10374.164</v>
      </c>
      <c r="G1086" s="1">
        <f>value(SGD!$B1086)</f>
        <v>7866.1681</v>
      </c>
      <c r="H1086" s="1">
        <f>value(MYR!$B1086)</f>
        <v>3136.5242</v>
      </c>
      <c r="I1086" s="1">
        <f>value(THB!$B1086)</f>
        <v>321.5952</v>
      </c>
      <c r="J1086" s="1">
        <f>value(VND!$B1086)</f>
        <v>0.4864864773</v>
      </c>
      <c r="K1086" s="1">
        <f>value(CNY!$B1086)</f>
        <v>1609.62624</v>
      </c>
      <c r="L1086" s="1">
        <f>value(HKD!$B1086)</f>
        <v>1251.3277</v>
      </c>
      <c r="M1086" s="1">
        <f>value(TWD!$B1086)</f>
        <v>328.8777</v>
      </c>
      <c r="N1086" s="1">
        <f>value(JPY!$B1086)</f>
        <v>98.071</v>
      </c>
      <c r="O1086" s="1">
        <f>value(SAR!$B1086)</f>
        <v>2653.741108</v>
      </c>
      <c r="P1086" s="1">
        <f>value(AED!$B1086)</f>
        <v>2819.7848</v>
      </c>
      <c r="Q1086" s="1">
        <f>value(KWD!$B1086)</f>
        <v>36496.75968</v>
      </c>
    </row>
    <row r="1087">
      <c r="A1087" s="4">
        <f>value(USD!A1087)</f>
        <v>41397.99861</v>
      </c>
      <c r="B1087" s="1">
        <f>value(USD!B1087)</f>
        <v>9704.2</v>
      </c>
      <c r="C1087" s="1">
        <f>value(AUD!$B1087)</f>
        <v>9942.605365</v>
      </c>
      <c r="D1087" s="1">
        <f>value(EUR!$B1087)</f>
        <v>12604.99793</v>
      </c>
      <c r="E1087" s="1">
        <f>value(GBP!$B1087)</f>
        <v>14960.1443</v>
      </c>
      <c r="F1087" s="1">
        <f>value(CHF!$B1087)</f>
        <v>10272.82531</v>
      </c>
      <c r="G1087" s="1">
        <f>value(SGD!$B1087)</f>
        <v>7793.101588</v>
      </c>
      <c r="H1087" s="1">
        <f>value(MYR!$B1087)</f>
        <v>3104.052354</v>
      </c>
      <c r="I1087" s="1">
        <f>value(THB!$B1087)</f>
        <v>318.2682195</v>
      </c>
      <c r="J1087" s="1">
        <f>value(VND!$B1087)</f>
        <v>0.4871916491</v>
      </c>
      <c r="K1087" s="1">
        <f>value(CNY!$B1087)</f>
        <v>1610.442492</v>
      </c>
      <c r="L1087" s="1">
        <f>value(HKD!$B1087)</f>
        <v>1238.756431</v>
      </c>
      <c r="M1087" s="1">
        <f>value(TWD!$B1087)</f>
        <v>325.477557</v>
      </c>
      <c r="N1087" s="1">
        <f>value(JPY!$B1087)</f>
        <v>96.893496</v>
      </c>
      <c r="O1087" s="1">
        <f>value(SAR!$B1087)</f>
        <v>2608.278175</v>
      </c>
      <c r="P1087" s="1">
        <f>value(AED!$B1087)</f>
        <v>2818.69608</v>
      </c>
      <c r="Q1087" s="1">
        <f>value(KWD!$B1087)</f>
        <v>36816.34925</v>
      </c>
    </row>
    <row r="1088">
      <c r="A1088" s="4">
        <f>value(USD!A1088)</f>
        <v>41398.99861</v>
      </c>
      <c r="B1088" s="1">
        <f>value(USD!B1088)</f>
        <v>9710</v>
      </c>
      <c r="C1088" s="1">
        <f>value(AUD!$B1088)</f>
        <v>9882.585404</v>
      </c>
      <c r="D1088" s="1">
        <f>value(EUR!$B1088)</f>
        <v>12688.0972</v>
      </c>
      <c r="E1088" s="1">
        <f>value(GBP!$B1088)</f>
        <v>15076.5237</v>
      </c>
      <c r="F1088" s="1">
        <f>value(CHF!$B1088)</f>
        <v>10339.26915</v>
      </c>
      <c r="G1088" s="1">
        <f>value(SGD!$B1088)</f>
        <v>7879.11901</v>
      </c>
      <c r="H1088" s="1">
        <f>value(MYR!$B1088)</f>
        <v>3256.292305</v>
      </c>
      <c r="I1088" s="1">
        <f>value(THB!$B1088)</f>
        <v>327.754735</v>
      </c>
      <c r="J1088" s="1">
        <f>value(VND!$B1088)</f>
        <v>0.4869132198</v>
      </c>
      <c r="K1088" s="1">
        <f>value(CNY!$B1088)</f>
        <v>1609.185748</v>
      </c>
      <c r="L1088" s="1">
        <f>value(HKD!$B1088)</f>
        <v>1250.747785</v>
      </c>
      <c r="M1088" s="1">
        <f>value(TWD!$B1088)</f>
        <v>327.754735</v>
      </c>
      <c r="N1088" s="1">
        <f>value(JPY!$B1088)</f>
        <v>97.63733</v>
      </c>
      <c r="O1088" s="1">
        <f>value(SAR!$B1088)</f>
        <v>2611.418047</v>
      </c>
      <c r="P1088" s="1">
        <f>value(AED!$B1088)</f>
        <v>2821.96224</v>
      </c>
      <c r="Q1088" s="1">
        <f>value(KWD!$B1088)</f>
        <v>37540.50805</v>
      </c>
    </row>
    <row r="1089">
      <c r="A1089" s="4">
        <f>value(USD!A1089)</f>
        <v>41399.99861</v>
      </c>
      <c r="B1089" s="1">
        <f>value(USD!B1089)</f>
        <v>9612.45</v>
      </c>
      <c r="C1089" s="1">
        <f>value(AUD!$B1089)</f>
        <v>9889.395</v>
      </c>
      <c r="D1089" s="1">
        <f>value(EUR!$B1089)</f>
        <v>12690.05424</v>
      </c>
      <c r="E1089" s="1">
        <f>value(GBP!$B1089)</f>
        <v>15025.29213</v>
      </c>
      <c r="F1089" s="1">
        <f>value(CHF!$B1089)</f>
        <v>10317.25143</v>
      </c>
      <c r="G1089" s="1">
        <f>value(SGD!$B1089)</f>
        <v>7876.210514</v>
      </c>
      <c r="H1089" s="1">
        <f>value(MYR!$B1089)</f>
        <v>3251.356232</v>
      </c>
      <c r="I1089" s="1">
        <f>value(THB!$B1089)</f>
        <v>327.698192</v>
      </c>
      <c r="J1089" s="1">
        <f>value(VND!$B1089)</f>
        <v>0.486581309</v>
      </c>
      <c r="K1089" s="1">
        <f>value(CNY!$B1089)</f>
        <v>1612.017</v>
      </c>
      <c r="L1089" s="1">
        <f>value(HKD!$B1089)</f>
        <v>1250.708295</v>
      </c>
      <c r="M1089" s="1">
        <f>value(TWD!$B1089)</f>
        <v>327.601125</v>
      </c>
      <c r="N1089" s="1">
        <f>value(JPY!$B1089)</f>
        <v>98.231804</v>
      </c>
      <c r="O1089" s="1">
        <f>value(SAR!$B1089)</f>
        <v>2614.914457</v>
      </c>
      <c r="P1089" s="1">
        <f>value(AED!$B1089)</f>
        <v>2847.27498</v>
      </c>
      <c r="Q1089" s="1">
        <f>value(KWD!$B1089)</f>
        <v>37865.06427</v>
      </c>
    </row>
    <row r="1090">
      <c r="A1090" s="4">
        <f>value(USD!A1090)</f>
        <v>41400.99861</v>
      </c>
      <c r="B1090" s="1">
        <f>value(USD!B1090)</f>
        <v>9705.5</v>
      </c>
      <c r="C1090" s="1">
        <f>value(AUD!$B1090)</f>
        <v>9789.760244</v>
      </c>
      <c r="D1090" s="1">
        <f>value(EUR!$B1090)</f>
        <v>12770.8095</v>
      </c>
      <c r="E1090" s="1">
        <f>value(GBP!$B1090)</f>
        <v>15081.57</v>
      </c>
      <c r="F1090" s="1">
        <f>value(CHF!$B1090)</f>
        <v>10377.5565</v>
      </c>
      <c r="G1090" s="1">
        <f>value(SGD!$B1090)</f>
        <v>7906.2753</v>
      </c>
      <c r="H1090" s="1">
        <f>value(MYR!$B1090)</f>
        <v>3272.42895</v>
      </c>
      <c r="I1090" s="1">
        <f>value(THB!$B1090)</f>
        <v>324.63225</v>
      </c>
      <c r="J1090" s="1">
        <f>value(VND!$B1090)</f>
        <v>0.4885727741</v>
      </c>
      <c r="K1090" s="1">
        <f>value(CNY!$B1090)</f>
        <v>1619.541</v>
      </c>
      <c r="L1090" s="1">
        <f>value(HKD!$B1090)</f>
        <v>1250.5863</v>
      </c>
      <c r="M1090" s="1">
        <f>value(TWD!$B1090)</f>
        <v>331.42575</v>
      </c>
      <c r="N1090" s="1">
        <f>value(JPY!$B1090)</f>
        <v>98.11755</v>
      </c>
      <c r="O1090" s="1">
        <f>value(SAR!$B1090)</f>
        <v>2624.339301</v>
      </c>
      <c r="P1090" s="1">
        <f>value(AED!$B1090)</f>
        <v>2900.62226</v>
      </c>
      <c r="Q1090" s="1">
        <f>value(KWD!$B1090)</f>
        <v>38793.15647</v>
      </c>
    </row>
    <row r="1091">
      <c r="A1091" s="4">
        <f>value(USD!A1091)</f>
        <v>41401.99861</v>
      </c>
      <c r="B1091" s="1">
        <f>value(USD!B1091)</f>
        <v>9706.7</v>
      </c>
      <c r="C1091" s="1">
        <f>value(AUD!$B1091)</f>
        <v>9728.418</v>
      </c>
      <c r="D1091" s="1">
        <f>value(EUR!$B1091)</f>
        <v>12646.57828</v>
      </c>
      <c r="E1091" s="1">
        <f>value(GBP!$B1091)</f>
        <v>14987.21143</v>
      </c>
      <c r="F1091" s="1">
        <f>value(CHF!$B1091)</f>
        <v>10225.71869</v>
      </c>
      <c r="G1091" s="1">
        <f>value(SGD!$B1091)</f>
        <v>7865.198693</v>
      </c>
      <c r="H1091" s="1">
        <f>value(MYR!$B1091)</f>
        <v>3258.920346</v>
      </c>
      <c r="I1091" s="1">
        <f>value(THB!$B1091)</f>
        <v>328.666492</v>
      </c>
      <c r="J1091" s="1">
        <f>value(VND!$B1091)</f>
        <v>0.4883356949</v>
      </c>
      <c r="K1091" s="1">
        <f>value(CNY!$B1091)</f>
        <v>1559.331639</v>
      </c>
      <c r="L1091" s="1">
        <f>value(HKD!$B1091)</f>
        <v>1250.251992</v>
      </c>
      <c r="M1091" s="1">
        <f>value(TWD!$B1091)</f>
        <v>327.114348</v>
      </c>
      <c r="N1091" s="1">
        <f>value(JPY!$B1091)</f>
        <v>96.329937</v>
      </c>
      <c r="O1091" s="1">
        <f>value(SAR!$B1091)</f>
        <v>2630.321554</v>
      </c>
      <c r="P1091" s="1">
        <f>value(AED!$B1091)</f>
        <v>2925.39064</v>
      </c>
      <c r="Q1091" s="1">
        <f>value(KWD!$B1091)</f>
        <v>37872.11025</v>
      </c>
    </row>
    <row r="1092">
      <c r="A1092" s="4">
        <f>value(USD!A1092)</f>
        <v>41402.99861</v>
      </c>
      <c r="B1092" s="1">
        <f>value(USD!B1092)</f>
        <v>9705</v>
      </c>
      <c r="C1092" s="1">
        <f>value(AUD!$B1092)</f>
        <v>9731.3307</v>
      </c>
      <c r="D1092" s="1">
        <f>value(EUR!$B1092)</f>
        <v>12611.991</v>
      </c>
      <c r="E1092" s="1">
        <f>value(GBP!$B1092)</f>
        <v>14925.6457</v>
      </c>
      <c r="F1092" s="1">
        <f>value(CHF!$B1092)</f>
        <v>10140.0796</v>
      </c>
      <c r="G1092" s="1">
        <f>value(SGD!$B1092)</f>
        <v>7838.17279</v>
      </c>
      <c r="H1092" s="1">
        <f>value(MYR!$B1092)</f>
        <v>3245.62161</v>
      </c>
      <c r="I1092" s="1">
        <f>value(THB!$B1092)</f>
        <v>325.73695</v>
      </c>
      <c r="J1092" s="1">
        <f>value(VND!$B1092)</f>
        <v>0.489473675</v>
      </c>
      <c r="K1092" s="1">
        <f>value(CNY!$B1092)</f>
        <v>1613.90151</v>
      </c>
      <c r="L1092" s="1">
        <f>value(HKD!$B1092)</f>
        <v>1250.90756</v>
      </c>
      <c r="M1092" s="1">
        <f>value(TWD!$B1092)</f>
        <v>326.90203</v>
      </c>
      <c r="N1092" s="1">
        <f>value(JPY!$B1092)</f>
        <v>95.53656</v>
      </c>
      <c r="O1092" s="1">
        <f>value(SAR!$B1092)</f>
        <v>2626.413443</v>
      </c>
      <c r="P1092" s="1">
        <f>value(AED!$B1092)</f>
        <v>3002.68976</v>
      </c>
      <c r="Q1092" s="1">
        <f>value(KWD!$B1092)</f>
        <v>37872.11025</v>
      </c>
    </row>
    <row r="1093">
      <c r="A1093" s="4">
        <f>value(USD!A1093)</f>
        <v>41403.99861</v>
      </c>
      <c r="B1093" s="1">
        <f>value(USD!B1093)</f>
        <v>9700.9</v>
      </c>
      <c r="C1093" s="1">
        <f>value(AUD!$B1093)</f>
        <v>9756.097</v>
      </c>
      <c r="D1093" s="1">
        <f>value(EUR!$B1093)</f>
        <v>12613.9328</v>
      </c>
      <c r="E1093" s="1">
        <f>value(GBP!$B1093)</f>
        <v>14915.9367</v>
      </c>
      <c r="F1093" s="1">
        <f>value(CHF!$B1093)</f>
        <v>10142.9923</v>
      </c>
      <c r="G1093" s="1">
        <f>value(SGD!$B1093)</f>
        <v>7838.17279</v>
      </c>
      <c r="H1093" s="1">
        <f>value(MYR!$B1093)</f>
        <v>3185.61999</v>
      </c>
      <c r="I1093" s="1">
        <f>value(THB!$B1093)</f>
        <v>319.81446</v>
      </c>
      <c r="J1093" s="1">
        <f>value(VND!$B1093)</f>
        <v>0.4912280609</v>
      </c>
      <c r="K1093" s="1">
        <f>value(CNY!$B1093)</f>
        <v>1614.220362</v>
      </c>
      <c r="L1093" s="1">
        <f>value(HKD!$B1093)</f>
        <v>1250.81047</v>
      </c>
      <c r="M1093" s="1">
        <f>value(TWD!$B1093)</f>
        <v>327.09621</v>
      </c>
      <c r="N1093" s="1">
        <f>value(JPY!$B1093)</f>
        <v>95.53656</v>
      </c>
      <c r="O1093" s="1">
        <f>value(SAR!$B1093)</f>
        <v>2645.585665</v>
      </c>
      <c r="P1093" s="1">
        <f>value(AED!$B1093)</f>
        <v>2925.935</v>
      </c>
      <c r="Q1093" s="1">
        <f>value(KWD!$B1093)</f>
        <v>38770.47193</v>
      </c>
    </row>
    <row r="1094">
      <c r="A1094" s="4">
        <f>value(USD!A1094)</f>
        <v>41404.99861</v>
      </c>
      <c r="B1094" s="1">
        <f>value(USD!B1094)</f>
        <v>9709</v>
      </c>
      <c r="C1094" s="1">
        <f>value(AUD!$B1094)</f>
        <v>9664.13952</v>
      </c>
      <c r="D1094" s="1">
        <f>value(EUR!$B1094)</f>
        <v>12650.73097</v>
      </c>
      <c r="E1094" s="1">
        <f>value(GBP!$B1094)</f>
        <v>14980.48694</v>
      </c>
      <c r="F1094" s="1">
        <f>value(CHF!$B1094)</f>
        <v>10175.60917</v>
      </c>
      <c r="G1094" s="1">
        <f>value(SGD!$B1094)</f>
        <v>7861.755645</v>
      </c>
      <c r="H1094" s="1">
        <f>value(MYR!$B1094)</f>
        <v>3195.024206</v>
      </c>
      <c r="I1094" s="1">
        <f>value(THB!$B1094)</f>
        <v>320.6829083</v>
      </c>
      <c r="J1094" s="1">
        <f>value(VND!$B1094)</f>
        <v>0.4976931942</v>
      </c>
      <c r="K1094" s="1">
        <f>value(CNY!$B1094)</f>
        <v>1616.930705</v>
      </c>
      <c r="L1094" s="1">
        <f>value(HKD!$B1094)</f>
        <v>1256.975537</v>
      </c>
      <c r="M1094" s="1">
        <f>value(TWD!$B1094)</f>
        <v>327.9999811</v>
      </c>
      <c r="N1094" s="1">
        <f>value(JPY!$B1094)</f>
        <v>95.80487254</v>
      </c>
      <c r="O1094" s="1">
        <f>value(SAR!$B1094)</f>
        <v>2563.59341</v>
      </c>
      <c r="P1094" s="1">
        <f>value(AED!$B1094)</f>
        <v>2925.935</v>
      </c>
      <c r="Q1094" s="1">
        <f>value(KWD!$B1094)</f>
        <v>39119.24764</v>
      </c>
    </row>
    <row r="1095">
      <c r="A1095" s="4">
        <f>value(USD!A1095)</f>
        <v>41405.99861</v>
      </c>
      <c r="B1095" s="1">
        <f>value(USD!B1095)</f>
        <v>9709</v>
      </c>
      <c r="C1095" s="1">
        <f>value(AUD!$B1095)</f>
        <v>9610.524</v>
      </c>
      <c r="D1095" s="1">
        <f>value(EUR!$B1095)</f>
        <v>12600.08064</v>
      </c>
      <c r="E1095" s="1">
        <f>value(GBP!$B1095)</f>
        <v>14852.52224</v>
      </c>
      <c r="F1095" s="1">
        <f>value(CHF!$B1095)</f>
        <v>10141.81248</v>
      </c>
      <c r="G1095" s="1">
        <f>value(SGD!$B1095)</f>
        <v>7822.574336</v>
      </c>
      <c r="H1095" s="1">
        <f>value(MYR!$B1095)</f>
        <v>3236.91392</v>
      </c>
      <c r="I1095" s="1">
        <f>value(THB!$B1095)</f>
        <v>326.895296</v>
      </c>
      <c r="J1095" s="1">
        <f>value(VND!$B1095)</f>
        <v>0.4916073876</v>
      </c>
      <c r="K1095" s="1">
        <f>value(CNY!$B1095)</f>
        <v>1618.16897</v>
      </c>
      <c r="L1095" s="1">
        <f>value(HKD!$B1095)</f>
        <v>1250.881792</v>
      </c>
      <c r="M1095" s="1">
        <f>value(TWD!$B1095)</f>
        <v>325.050624</v>
      </c>
      <c r="N1095" s="1">
        <f>value(JPY!$B1095)</f>
        <v>95.340416</v>
      </c>
      <c r="O1095" s="1">
        <f>value(SAR!$B1095)</f>
        <v>2631.605572</v>
      </c>
      <c r="P1095" s="1">
        <f>value(AED!$B1095)</f>
        <v>2995.3409</v>
      </c>
      <c r="Q1095" s="1">
        <f>value(KWD!$B1095)</f>
        <v>38373.7637</v>
      </c>
    </row>
    <row r="1096">
      <c r="A1096" s="4">
        <f>value(USD!A1096)</f>
        <v>41406.99861</v>
      </c>
      <c r="B1096" s="1">
        <f>value(USD!B1096)</f>
        <v>9756.097</v>
      </c>
      <c r="C1096" s="1">
        <f>value(AUD!$B1096)</f>
        <v>9607.120974</v>
      </c>
      <c r="D1096" s="1">
        <f>value(EUR!$B1096)</f>
        <v>12553.86832</v>
      </c>
      <c r="E1096" s="1">
        <f>value(GBP!$B1096)</f>
        <v>14772.05492</v>
      </c>
      <c r="F1096" s="1">
        <f>value(CHF!$B1096)</f>
        <v>10051.24904</v>
      </c>
      <c r="G1096" s="1">
        <f>value(SGD!$B1096)</f>
        <v>7806.657768</v>
      </c>
      <c r="H1096" s="1">
        <f>value(MYR!$B1096)</f>
        <v>3246.124364</v>
      </c>
      <c r="I1096" s="1">
        <f>value(THB!$B1096)</f>
        <v>326.951968</v>
      </c>
      <c r="J1096" s="1">
        <f>value(VND!$B1096)</f>
        <v>0.4960170603</v>
      </c>
      <c r="K1096" s="1">
        <f>value(CNY!$B1096)</f>
        <v>1617.03072</v>
      </c>
      <c r="L1096" s="1">
        <f>value(HKD!$B1096)</f>
        <v>1250.630108</v>
      </c>
      <c r="M1096" s="1">
        <f>value(TWD!$B1096)</f>
        <v>324.330916</v>
      </c>
      <c r="N1096" s="1">
        <f>value(JPY!$B1096)</f>
        <v>94.940328</v>
      </c>
      <c r="O1096" s="1">
        <f>value(SAR!$B1096)</f>
        <v>2636.662042</v>
      </c>
      <c r="P1096" s="1">
        <f>value(AED!$B1096)</f>
        <v>3022.28672</v>
      </c>
      <c r="Q1096" s="1">
        <f>value(KWD!$B1096)</f>
        <v>38453.68053</v>
      </c>
    </row>
    <row r="1097">
      <c r="A1097" s="4">
        <f>value(USD!A1097)</f>
        <v>41407.99861</v>
      </c>
      <c r="B1097" s="1">
        <f>value(USD!B1097)</f>
        <v>9708.8</v>
      </c>
      <c r="C1097" s="1">
        <f>value(AUD!$B1097)</f>
        <v>9547.09231</v>
      </c>
      <c r="D1097" s="1">
        <f>value(EUR!$B1097)</f>
        <v>12512.1825</v>
      </c>
      <c r="E1097" s="1">
        <f>value(GBP!$B1097)</f>
        <v>14794.98768</v>
      </c>
      <c r="F1097" s="1">
        <f>value(CHF!$B1097)</f>
        <v>10061.25246</v>
      </c>
      <c r="G1097" s="1">
        <f>value(SGD!$B1097)</f>
        <v>7797.980862</v>
      </c>
      <c r="H1097" s="1">
        <f>value(MYR!$B1097)</f>
        <v>3232.176138</v>
      </c>
      <c r="I1097" s="1">
        <f>value(THB!$B1097)</f>
        <v>326.239974</v>
      </c>
      <c r="J1097" s="1">
        <f>value(VND!$B1097)</f>
        <v>0.5053105642</v>
      </c>
      <c r="K1097" s="1">
        <f>value(CNY!$B1097)</f>
        <v>1616.93154</v>
      </c>
      <c r="L1097" s="1">
        <f>value(HKD!$B1097)</f>
        <v>1251.995706</v>
      </c>
      <c r="M1097" s="1">
        <f>value(TWD!$B1097)</f>
        <v>324.199152</v>
      </c>
      <c r="N1097" s="1">
        <f>value(JPY!$B1097)</f>
        <v>95.043996</v>
      </c>
      <c r="O1097" s="1">
        <f>value(SAR!$B1097)</f>
        <v>2637.322082</v>
      </c>
      <c r="P1097" s="1">
        <f>value(AED!$B1097)</f>
        <v>2965.94546</v>
      </c>
      <c r="Q1097" s="1">
        <f>value(KWD!$B1097)</f>
        <v>38418.45686</v>
      </c>
    </row>
    <row r="1098">
      <c r="A1098" s="4">
        <f>value(USD!A1098)</f>
        <v>41408.99861</v>
      </c>
      <c r="B1098" s="1">
        <f>value(USD!B1098)</f>
        <v>9707.6</v>
      </c>
      <c r="C1098" s="1">
        <f>value(AUD!$B1098)</f>
        <v>9466.80335</v>
      </c>
      <c r="D1098" s="1">
        <f>value(EUR!$B1098)</f>
        <v>12527.28993</v>
      </c>
      <c r="E1098" s="1">
        <f>value(GBP!$B1098)</f>
        <v>14850.63283</v>
      </c>
      <c r="F1098" s="1">
        <f>value(CHF!$B1098)</f>
        <v>10079.80859</v>
      </c>
      <c r="G1098" s="1">
        <f>value(SGD!$B1098)</f>
        <v>7767.547744</v>
      </c>
      <c r="H1098" s="1">
        <f>value(MYR!$B1098)</f>
        <v>3224.683292</v>
      </c>
      <c r="I1098" s="1">
        <f>value(THB!$B1098)</f>
        <v>326.726171</v>
      </c>
      <c r="J1098" s="1">
        <f>value(VND!$B1098)</f>
        <v>0.5096254053</v>
      </c>
      <c r="K1098" s="1">
        <f>value(CNY!$B1098)</f>
        <v>1610.38566</v>
      </c>
      <c r="L1098" s="1">
        <f>value(HKD!$B1098)</f>
        <v>1252.07768</v>
      </c>
      <c r="M1098" s="1">
        <f>value(TWD!$B1098)</f>
        <v>324.393107</v>
      </c>
      <c r="N1098" s="1">
        <f>value(JPY!$B1098)</f>
        <v>95.072358</v>
      </c>
      <c r="O1098" s="1">
        <f>value(SAR!$B1098)</f>
        <v>2641.77224</v>
      </c>
      <c r="P1098" s="1">
        <f>value(AED!$B1098)</f>
        <v>2971.38906</v>
      </c>
      <c r="Q1098" s="1">
        <f>value(KWD!$B1098)</f>
        <v>38208.03537</v>
      </c>
    </row>
    <row r="1099">
      <c r="A1099" s="4">
        <f>value(USD!A1099)</f>
        <v>41409.99861</v>
      </c>
      <c r="B1099" s="1">
        <f>value(USD!B1099)</f>
        <v>9718.2</v>
      </c>
      <c r="C1099" s="1">
        <f>value(AUD!$B1099)</f>
        <v>9464.3706</v>
      </c>
      <c r="D1099" s="1">
        <f>value(EUR!$B1099)</f>
        <v>12489.44657</v>
      </c>
      <c r="E1099" s="1">
        <f>value(GBP!$B1099)</f>
        <v>14760.9539</v>
      </c>
      <c r="F1099" s="1">
        <f>value(CHF!$B1099)</f>
        <v>10005.4142</v>
      </c>
      <c r="G1099" s="1">
        <f>value(SGD!$B1099)</f>
        <v>7725.73283</v>
      </c>
      <c r="H1099" s="1">
        <f>value(MYR!$B1099)</f>
        <v>3216.67936</v>
      </c>
      <c r="I1099" s="1">
        <f>value(THB!$B1099)</f>
        <v>325.79388</v>
      </c>
      <c r="J1099" s="1">
        <f>value(VND!$B1099)</f>
        <v>0.5230915027</v>
      </c>
      <c r="K1099" s="1">
        <f>value(CNY!$B1099)</f>
        <v>1618.167668</v>
      </c>
      <c r="L1099" s="1">
        <f>value(HKD!$B1099)</f>
        <v>1253.45011</v>
      </c>
      <c r="M1099" s="1">
        <f>value(TWD!$B1099)</f>
        <v>324.62616</v>
      </c>
      <c r="N1099" s="1">
        <f>value(JPY!$B1099)</f>
        <v>94.19608</v>
      </c>
      <c r="O1099" s="1">
        <f>value(SAR!$B1099)</f>
        <v>2645.262736</v>
      </c>
      <c r="P1099" s="1">
        <f>value(AED!$B1099)</f>
        <v>2968.66726</v>
      </c>
      <c r="Q1099" s="1">
        <f>value(KWD!$B1099)</f>
        <v>38236.11145</v>
      </c>
    </row>
    <row r="1100">
      <c r="A1100" s="4">
        <f>value(USD!A1100)</f>
        <v>41410.99861</v>
      </c>
      <c r="B1100" s="1">
        <f>value(USD!B1100)</f>
        <v>9721.1</v>
      </c>
      <c r="C1100" s="1">
        <f>value(AUD!$B1100)</f>
        <v>9476.63166</v>
      </c>
      <c r="D1100" s="1">
        <f>value(EUR!$B1100)</f>
        <v>12492.6578</v>
      </c>
      <c r="E1100" s="1">
        <f>value(GBP!$B1100)</f>
        <v>14760.9539</v>
      </c>
      <c r="F1100" s="1">
        <f>value(CHF!$B1100)</f>
        <v>10007.3604</v>
      </c>
      <c r="G1100" s="1">
        <f>value(SGD!$B1100)</f>
        <v>7725.73283</v>
      </c>
      <c r="H1100" s="1">
        <f>value(MYR!$B1100)</f>
        <v>3217.36053</v>
      </c>
      <c r="I1100" s="1">
        <f>value(THB!$B1100)</f>
        <v>325.79388</v>
      </c>
      <c r="J1100" s="1">
        <f>value(VND!$B1100)</f>
        <v>0.509720237</v>
      </c>
      <c r="K1100" s="1">
        <f>value(CNY!$B1100)</f>
        <v>1619.089416</v>
      </c>
      <c r="L1100" s="1">
        <f>value(HKD!$B1100)</f>
        <v>1253.3528</v>
      </c>
      <c r="M1100" s="1">
        <f>value(TWD!$B1100)</f>
        <v>324.72347</v>
      </c>
      <c r="N1100" s="1">
        <f>value(JPY!$B1100)</f>
        <v>94.19608</v>
      </c>
      <c r="O1100" s="1">
        <f>value(SAR!$B1100)</f>
        <v>2642.048752</v>
      </c>
      <c r="P1100" s="1">
        <f>value(AED!$B1100)</f>
        <v>2963.22366</v>
      </c>
      <c r="Q1100" s="1">
        <f>value(KWD!$B1100)</f>
        <v>38383.05301</v>
      </c>
    </row>
    <row r="1101">
      <c r="A1101" s="4">
        <f>value(USD!A1101)</f>
        <v>41411.99861</v>
      </c>
      <c r="B1101" s="1">
        <f>value(USD!B1101)</f>
        <v>9731</v>
      </c>
      <c r="C1101" s="1">
        <f>value(AUD!$B1101)</f>
        <v>9549.11165</v>
      </c>
      <c r="D1101" s="1">
        <f>value(EUR!$B1101)</f>
        <v>12492.6578</v>
      </c>
      <c r="E1101" s="1">
        <f>value(GBP!$B1101)</f>
        <v>14770.6849</v>
      </c>
      <c r="F1101" s="1">
        <f>value(CHF!$B1101)</f>
        <v>10018.0645</v>
      </c>
      <c r="G1101" s="1">
        <f>value(SGD!$B1101)</f>
        <v>7736.53424</v>
      </c>
      <c r="H1101" s="1">
        <f>value(MYR!$B1101)</f>
        <v>3216.97129</v>
      </c>
      <c r="I1101" s="1">
        <f>value(THB!$B1101)</f>
        <v>325.79388</v>
      </c>
      <c r="J1101" s="1">
        <f>value(VND!$B1101)</f>
        <v>0.5163552445</v>
      </c>
      <c r="K1101" s="1">
        <f>value(CNY!$B1101)</f>
        <v>1619.203565</v>
      </c>
      <c r="L1101" s="1">
        <f>value(HKD!$B1101)</f>
        <v>1253.3528</v>
      </c>
      <c r="M1101" s="1">
        <f>value(TWD!$B1101)</f>
        <v>324.72347</v>
      </c>
      <c r="N1101" s="1">
        <f>value(JPY!$B1101)</f>
        <v>94.58532</v>
      </c>
      <c r="O1101" s="1">
        <f>value(SAR!$B1101)</f>
        <v>2563.456624</v>
      </c>
      <c r="P1101" s="1">
        <f>value(AED!$B1101)</f>
        <v>2965.4011</v>
      </c>
      <c r="Q1101" s="1">
        <f>value(KWD!$B1101)</f>
        <v>38654.42154</v>
      </c>
    </row>
    <row r="1102">
      <c r="A1102" s="4">
        <f>value(USD!A1102)</f>
        <v>41412.99861</v>
      </c>
      <c r="B1102" s="1">
        <f>value(USD!B1102)</f>
        <v>9731</v>
      </c>
      <c r="C1102" s="1">
        <f>value(AUD!$B1102)</f>
        <v>9552.07233</v>
      </c>
      <c r="D1102" s="1">
        <f>value(EUR!$B1102)</f>
        <v>12545.67445</v>
      </c>
      <c r="E1102" s="1">
        <f>value(GBP!$B1102)</f>
        <v>14854.38988</v>
      </c>
      <c r="F1102" s="1">
        <f>value(CHF!$B1102)</f>
        <v>10071.56432</v>
      </c>
      <c r="G1102" s="1">
        <f>value(SGD!$B1102)</f>
        <v>7758.081631</v>
      </c>
      <c r="H1102" s="1">
        <f>value(MYR!$B1102)</f>
        <v>3224.904777</v>
      </c>
      <c r="I1102" s="1">
        <f>value(THB!$B1102)</f>
        <v>325.92485</v>
      </c>
      <c r="J1102" s="1">
        <f>value(VND!$B1102)</f>
        <v>0.5218112751</v>
      </c>
      <c r="K1102" s="1">
        <f>value(CNY!$B1102)</f>
        <v>1620.117364</v>
      </c>
      <c r="L1102" s="1">
        <f>value(HKD!$B1102)</f>
        <v>1253.302662</v>
      </c>
      <c r="M1102" s="1">
        <f>value(TWD!$B1102)</f>
        <v>325.92485</v>
      </c>
      <c r="N1102" s="1">
        <f>value(JPY!$B1102)</f>
        <v>95.247889</v>
      </c>
      <c r="O1102" s="1">
        <f>value(SAR!$B1102)</f>
        <v>2642.664568</v>
      </c>
      <c r="P1102" s="1">
        <f>value(AED!$B1102)</f>
        <v>2979.82664</v>
      </c>
      <c r="Q1102" s="1">
        <f>value(KWD!$B1102)</f>
        <v>38884.9866</v>
      </c>
    </row>
    <row r="1103">
      <c r="A1103" s="4">
        <f>value(USD!A1103)</f>
        <v>41413.99861</v>
      </c>
      <c r="B1103" s="1">
        <f>value(USD!B1103)</f>
        <v>9731</v>
      </c>
      <c r="C1103" s="1">
        <f>value(AUD!$B1103)</f>
        <v>9426.68566</v>
      </c>
      <c r="D1103" s="1">
        <f>value(EUR!$B1103)</f>
        <v>12574.51038</v>
      </c>
      <c r="E1103" s="1">
        <f>value(GBP!$B1103)</f>
        <v>14753.00196</v>
      </c>
      <c r="F1103" s="1">
        <f>value(CHF!$B1103)</f>
        <v>10038.77733</v>
      </c>
      <c r="G1103" s="1">
        <f>value(SGD!$B1103)</f>
        <v>7727.025921</v>
      </c>
      <c r="H1103" s="1">
        <f>value(MYR!$B1103)</f>
        <v>3221.01369</v>
      </c>
      <c r="I1103" s="1">
        <f>value(THB!$B1103)</f>
        <v>326.579055</v>
      </c>
      <c r="J1103" s="1">
        <f>value(VND!$B1103)</f>
        <v>0.5265054429</v>
      </c>
      <c r="K1103" s="1">
        <f>value(CNY!$B1103)</f>
        <v>1623.58784</v>
      </c>
      <c r="L1103" s="1">
        <f>value(HKD!$B1103)</f>
        <v>1254.141444</v>
      </c>
      <c r="M1103" s="1">
        <f>value(TWD!$B1103)</f>
        <v>326.871078</v>
      </c>
      <c r="N1103" s="1">
        <f>value(JPY!$B1103)</f>
        <v>95.004816</v>
      </c>
      <c r="O1103" s="1">
        <f>value(SAR!$B1103)</f>
        <v>2640.119503</v>
      </c>
      <c r="P1103" s="1">
        <f>value(AED!$B1103)</f>
        <v>3004.05066</v>
      </c>
      <c r="Q1103" s="1">
        <f>value(KWD!$B1103)</f>
        <v>38875.45428</v>
      </c>
    </row>
    <row r="1104">
      <c r="A1104" s="4">
        <f>value(USD!A1104)</f>
        <v>41414.99861</v>
      </c>
      <c r="B1104" s="1">
        <f>value(USD!B1104)</f>
        <v>9729.1</v>
      </c>
      <c r="C1104" s="1">
        <f>value(AUD!$B1104)</f>
        <v>9472.72998</v>
      </c>
      <c r="D1104" s="1">
        <f>value(EUR!$B1104)</f>
        <v>12508.41933</v>
      </c>
      <c r="E1104" s="1">
        <f>value(GBP!$B1104)</f>
        <v>14644.36883</v>
      </c>
      <c r="F1104" s="1">
        <f>value(CHF!$B1104)</f>
        <v>9936.86778</v>
      </c>
      <c r="G1104" s="1">
        <f>value(SGD!$B1104)</f>
        <v>7684.86159</v>
      </c>
      <c r="H1104" s="1">
        <f>value(MYR!$B1104)</f>
        <v>3219.015506</v>
      </c>
      <c r="I1104" s="1">
        <f>value(THB!$B1104)</f>
        <v>325.289783</v>
      </c>
      <c r="J1104" s="1">
        <f>value(VND!$B1104)</f>
        <v>0.5166903648</v>
      </c>
      <c r="K1104" s="1">
        <f>value(CNY!$B1104)</f>
        <v>1616.615046</v>
      </c>
      <c r="L1104" s="1">
        <f>value(HKD!$B1104)</f>
        <v>1254.424892</v>
      </c>
      <c r="M1104" s="1">
        <f>value(TWD!$B1104)</f>
        <v>323.926701</v>
      </c>
      <c r="N1104" s="1">
        <f>value(JPY!$B1104)</f>
        <v>94.344747</v>
      </c>
      <c r="O1104" s="1">
        <f>value(SAR!$B1104)</f>
        <v>2641.063244</v>
      </c>
      <c r="P1104" s="1">
        <f>value(AED!$B1104)</f>
        <v>3020.38146</v>
      </c>
      <c r="Q1104" s="1">
        <f>value(KWD!$B1104)</f>
        <v>39082.10655</v>
      </c>
    </row>
    <row r="1105">
      <c r="A1105" s="4">
        <f>value(USD!A1105)</f>
        <v>41415.99861</v>
      </c>
      <c r="B1105" s="1">
        <f>value(USD!B1105)</f>
        <v>9734.1</v>
      </c>
      <c r="C1105" s="1">
        <f>value(AUD!$B1105)</f>
        <v>9403.8956</v>
      </c>
      <c r="D1105" s="1">
        <f>value(EUR!$B1105)</f>
        <v>12598.15606</v>
      </c>
      <c r="E1105" s="1">
        <f>value(GBP!$B1105)</f>
        <v>14715.22304</v>
      </c>
      <c r="F1105" s="1">
        <f>value(CHF!$B1105)</f>
        <v>10050.46616</v>
      </c>
      <c r="G1105" s="1">
        <f>value(SGD!$B1105)</f>
        <v>7706.104322</v>
      </c>
      <c r="H1105" s="1">
        <f>value(MYR!$B1105)</f>
        <v>3207.361346</v>
      </c>
      <c r="I1105" s="1">
        <f>value(THB!$B1105)</f>
        <v>325.40284</v>
      </c>
      <c r="J1105" s="1">
        <f>value(VND!$B1105)</f>
        <v>0.5176386816</v>
      </c>
      <c r="K1105" s="1">
        <f>value(CNY!$B1105)</f>
        <v>1564.618486</v>
      </c>
      <c r="L1105" s="1">
        <f>value(HKD!$B1105)</f>
        <v>1254.944306</v>
      </c>
      <c r="M1105" s="1">
        <f>value(TWD!$B1105)</f>
        <v>326.571952</v>
      </c>
      <c r="N1105" s="1">
        <f>value(JPY!$B1105)</f>
        <v>95.47748</v>
      </c>
      <c r="O1105" s="1">
        <f>value(SAR!$B1105)</f>
        <v>2641.648389</v>
      </c>
      <c r="P1105" s="1">
        <f>value(AED!$B1105)</f>
        <v>3020.38146</v>
      </c>
      <c r="Q1105" s="1">
        <f>value(KWD!$B1105)</f>
        <v>39092.62475</v>
      </c>
    </row>
    <row r="1106">
      <c r="A1106" s="4">
        <f>value(USD!A1106)</f>
        <v>41416.99861</v>
      </c>
      <c r="B1106" s="1">
        <f>value(USD!B1106)</f>
        <v>9736.3</v>
      </c>
      <c r="C1106" s="1">
        <f>value(AUD!$B1106)</f>
        <v>9399.0624</v>
      </c>
      <c r="D1106" s="1">
        <f>value(EUR!$B1106)</f>
        <v>12605.1388</v>
      </c>
      <c r="E1106" s="1">
        <f>value(GBP!$B1106)</f>
        <v>14743.85</v>
      </c>
      <c r="F1106" s="1">
        <f>value(CHF!$B1106)</f>
        <v>10135.9704</v>
      </c>
      <c r="G1106" s="1">
        <f>value(SGD!$B1106)</f>
        <v>7707.7436</v>
      </c>
      <c r="H1106" s="1">
        <f>value(MYR!$B1106)</f>
        <v>3209.13908</v>
      </c>
      <c r="I1106" s="1">
        <f>value(THB!$B1106)</f>
        <v>324.90084</v>
      </c>
      <c r="J1106" s="1">
        <f>value(VND!$B1106)</f>
        <v>0.5171645232</v>
      </c>
      <c r="K1106" s="1">
        <f>value(CNY!$B1106)</f>
        <v>1627.340572</v>
      </c>
      <c r="L1106" s="1">
        <f>value(HKD!$B1106)</f>
        <v>1255.63988</v>
      </c>
      <c r="M1106" s="1">
        <f>value(TWD!$B1106)</f>
        <v>323.92604</v>
      </c>
      <c r="N1106" s="1">
        <f>value(JPY!$B1106)</f>
        <v>96.21276</v>
      </c>
      <c r="O1106" s="1">
        <f>value(SAR!$B1106)</f>
        <v>2640.140712</v>
      </c>
      <c r="P1106" s="1">
        <f>value(AED!$B1106)</f>
        <v>3033.99046</v>
      </c>
      <c r="Q1106" s="1">
        <f>value(KWD!$B1106)</f>
        <v>39092.62475</v>
      </c>
    </row>
    <row r="1107">
      <c r="A1107" s="4">
        <f>value(USD!A1107)</f>
        <v>41417.99861</v>
      </c>
      <c r="B1107" s="1">
        <f>value(USD!B1107)</f>
        <v>9742.6</v>
      </c>
      <c r="C1107" s="1">
        <f>value(AUD!$B1107)</f>
        <v>9449.999451</v>
      </c>
      <c r="D1107" s="1">
        <f>value(EUR!$B1107)</f>
        <v>12599.9664</v>
      </c>
      <c r="E1107" s="1">
        <f>value(GBP!$B1107)</f>
        <v>14737.8</v>
      </c>
      <c r="F1107" s="1">
        <f>value(CHF!$B1107)</f>
        <v>10134.7344</v>
      </c>
      <c r="G1107" s="1">
        <f>value(SGD!$B1107)</f>
        <v>7704.5808</v>
      </c>
      <c r="H1107" s="1">
        <f>value(MYR!$B1107)</f>
        <v>3140.58864</v>
      </c>
      <c r="I1107" s="1">
        <f>value(THB!$B1107)</f>
        <v>318.43392</v>
      </c>
      <c r="J1107" s="1">
        <f>value(VND!$B1107)</f>
        <v>0.5162162065</v>
      </c>
      <c r="K1107" s="1">
        <f>value(CNY!$B1107)</f>
        <v>1630.74072</v>
      </c>
      <c r="L1107" s="1">
        <f>value(HKD!$B1107)</f>
        <v>1255.0272</v>
      </c>
      <c r="M1107" s="1">
        <f>value(TWD!$B1107)</f>
        <v>323.89056</v>
      </c>
      <c r="N1107" s="1">
        <f>value(JPY!$B1107)</f>
        <v>96.17328</v>
      </c>
      <c r="O1107" s="1">
        <f>value(SAR!$B1107)</f>
        <v>2642.536809</v>
      </c>
      <c r="P1107" s="1">
        <f>value(AED!$B1107)</f>
        <v>3034.807</v>
      </c>
      <c r="Q1107" s="1">
        <f>value(KWD!$B1107)</f>
        <v>39102.17414</v>
      </c>
    </row>
    <row r="1108">
      <c r="A1108" s="4">
        <f>value(USD!A1108)</f>
        <v>41418.99861</v>
      </c>
      <c r="B1108" s="1">
        <f>value(USD!B1108)</f>
        <v>9748</v>
      </c>
      <c r="C1108" s="1">
        <f>value(AUD!$B1108)</f>
        <v>9397.699567</v>
      </c>
      <c r="D1108" s="1">
        <f>value(EUR!$B1108)</f>
        <v>12686.27377</v>
      </c>
      <c r="E1108" s="1">
        <f>value(GBP!$B1108)</f>
        <v>14832.35208</v>
      </c>
      <c r="F1108" s="1">
        <f>value(CHF!$B1108)</f>
        <v>10193.13666</v>
      </c>
      <c r="G1108" s="1">
        <f>value(SGD!$B1108)</f>
        <v>7751.960334</v>
      </c>
      <c r="H1108" s="1">
        <f>value(MYR!$B1108)</f>
        <v>3162.05864</v>
      </c>
      <c r="I1108" s="1">
        <f>value(THB!$B1108)</f>
        <v>320.6862559</v>
      </c>
      <c r="J1108" s="1">
        <f>value(VND!$B1108)</f>
        <v>0.5218161775</v>
      </c>
      <c r="K1108" s="1">
        <f>value(CNY!$B1108)</f>
        <v>1632.57066</v>
      </c>
      <c r="L1108" s="1">
        <f>value(HKD!$B1108)</f>
        <v>1262.745024</v>
      </c>
      <c r="M1108" s="1">
        <f>value(TWD!$B1108)</f>
        <v>326.0784124</v>
      </c>
      <c r="N1108" s="1">
        <f>value(JPY!$B1108)</f>
        <v>96.86273948</v>
      </c>
      <c r="O1108" s="1">
        <f>value(SAR!$B1108)</f>
        <v>2565.783126</v>
      </c>
      <c r="P1108" s="1">
        <f>value(AED!$B1108)</f>
        <v>3034.807</v>
      </c>
      <c r="Q1108" s="1">
        <f>value(KWD!$B1108)</f>
        <v>39409.38276</v>
      </c>
    </row>
    <row r="1109">
      <c r="A1109" s="4">
        <f>value(USD!A1109)</f>
        <v>41419.99861</v>
      </c>
      <c r="B1109" s="1">
        <f>value(USD!B1109)</f>
        <v>9744</v>
      </c>
      <c r="C1109" s="1">
        <f>value(AUD!$B1109)</f>
        <v>9377.644892</v>
      </c>
      <c r="D1109" s="1">
        <f>value(EUR!$B1109)</f>
        <v>12620.97552</v>
      </c>
      <c r="E1109" s="1">
        <f>value(GBP!$B1109)</f>
        <v>14744.41581</v>
      </c>
      <c r="F1109" s="1">
        <f>value(CHF!$B1109)</f>
        <v>10133.55874</v>
      </c>
      <c r="G1109" s="1">
        <f>value(SGD!$B1109)</f>
        <v>7738.868602</v>
      </c>
      <c r="H1109" s="1">
        <f>value(MYR!$B1109)</f>
        <v>3221.421428</v>
      </c>
      <c r="I1109" s="1">
        <f>value(THB!$B1109)</f>
        <v>326.397808</v>
      </c>
      <c r="J1109" s="1">
        <f>value(VND!$B1109)</f>
        <v>0.5165955332</v>
      </c>
      <c r="K1109" s="1">
        <f>value(CNY!$B1109)</f>
        <v>1633.41024</v>
      </c>
      <c r="L1109" s="1">
        <f>value(HKD!$B1109)</f>
        <v>1257.17816</v>
      </c>
      <c r="M1109" s="1">
        <f>value(TWD!$B1109)</f>
        <v>325.909773</v>
      </c>
      <c r="N1109" s="1">
        <f>value(JPY!$B1109)</f>
        <v>96.533323</v>
      </c>
      <c r="O1109" s="1">
        <f>value(SAR!$B1109)</f>
        <v>2642.126822</v>
      </c>
      <c r="P1109" s="1">
        <f>value(AED!$B1109)</f>
        <v>3029.90776</v>
      </c>
      <c r="Q1109" s="1">
        <f>value(KWD!$B1109)</f>
        <v>39817.02076</v>
      </c>
    </row>
    <row r="1110">
      <c r="A1110" s="4">
        <f>value(USD!A1110)</f>
        <v>41420.99861</v>
      </c>
      <c r="B1110" s="1">
        <f>value(USD!B1110)</f>
        <v>9803.921</v>
      </c>
      <c r="C1110" s="1">
        <f>value(AUD!$B1110)</f>
        <v>9408.372288</v>
      </c>
      <c r="D1110" s="1">
        <f>value(EUR!$B1110)</f>
        <v>12550.22907</v>
      </c>
      <c r="E1110" s="1">
        <f>value(GBP!$B1110)</f>
        <v>14676.64352</v>
      </c>
      <c r="F1110" s="1">
        <f>value(CHF!$B1110)</f>
        <v>9998.90276</v>
      </c>
      <c r="G1110" s="1">
        <f>value(SGD!$B1110)</f>
        <v>7683.074476</v>
      </c>
      <c r="H1110" s="1">
        <f>value(MYR!$B1110)</f>
        <v>3206.85442</v>
      </c>
      <c r="I1110" s="1">
        <f>value(THB!$B1110)</f>
        <v>324.542064</v>
      </c>
      <c r="J1110" s="1">
        <f>value(VND!$B1110)</f>
        <v>0.5191085725</v>
      </c>
      <c r="K1110" s="1">
        <f>value(CNY!$B1110)</f>
        <v>1642.6368</v>
      </c>
      <c r="L1110" s="1">
        <f>value(HKD!$B1110)</f>
        <v>1257.55168</v>
      </c>
      <c r="M1110" s="1">
        <f>value(TWD!$B1110)</f>
        <v>323.077524</v>
      </c>
      <c r="N1110" s="1">
        <f>value(JPY!$B1110)</f>
        <v>95.488008</v>
      </c>
      <c r="O1110" s="1">
        <f>value(SAR!$B1110)</f>
        <v>2643.76276</v>
      </c>
      <c r="P1110" s="1">
        <f>value(AED!$B1110)</f>
        <v>3051.1378</v>
      </c>
      <c r="Q1110" s="1">
        <f>value(KWD!$B1110)</f>
        <v>39852.16061</v>
      </c>
    </row>
    <row r="1111">
      <c r="A1111" s="4">
        <f>value(USD!A1111)</f>
        <v>41421.99861</v>
      </c>
      <c r="B1111" s="1">
        <f>value(USD!B1111)</f>
        <v>9760.7</v>
      </c>
      <c r="C1111" s="1">
        <f>value(AUD!$B1111)</f>
        <v>9461.50314</v>
      </c>
      <c r="D1111" s="1">
        <f>value(EUR!$B1111)</f>
        <v>12646.0032</v>
      </c>
      <c r="E1111" s="1">
        <f>value(GBP!$B1111)</f>
        <v>14778.42816</v>
      </c>
      <c r="F1111" s="1">
        <f>value(CHF!$B1111)</f>
        <v>10151.98464</v>
      </c>
      <c r="G1111" s="1">
        <f>value(SGD!$B1111)</f>
        <v>7716.993792</v>
      </c>
      <c r="H1111" s="1">
        <f>value(MYR!$B1111)</f>
        <v>3170.100864</v>
      </c>
      <c r="I1111" s="1">
        <f>value(THB!$B1111)</f>
        <v>323.675136</v>
      </c>
      <c r="J1111" s="1">
        <f>value(VND!$B1111)</f>
        <v>0.5233285819</v>
      </c>
      <c r="K1111" s="1">
        <f>value(CNY!$B1111)</f>
        <v>1634.11515</v>
      </c>
      <c r="L1111" s="1">
        <f>value(HKD!$B1111)</f>
        <v>1258.73664</v>
      </c>
      <c r="M1111" s="1">
        <f>value(TWD!$B1111)</f>
        <v>325.629696</v>
      </c>
      <c r="N1111" s="1">
        <f>value(JPY!$B1111)</f>
        <v>96.652992</v>
      </c>
      <c r="O1111" s="1">
        <f>value(SAR!$B1111)</f>
        <v>2645.32222</v>
      </c>
      <c r="P1111" s="1">
        <f>value(AED!$B1111)</f>
        <v>3079.98888</v>
      </c>
      <c r="Q1111" s="1">
        <f>value(KWD!$B1111)</f>
        <v>40079.57998</v>
      </c>
    </row>
    <row r="1112">
      <c r="A1112" s="4">
        <f>value(USD!A1112)</f>
        <v>41422.99861</v>
      </c>
      <c r="B1112" s="1">
        <f>value(USD!B1112)</f>
        <v>9763.6</v>
      </c>
      <c r="C1112" s="1">
        <f>value(AUD!$B1112)</f>
        <v>9348.3268</v>
      </c>
      <c r="D1112" s="1">
        <f>value(EUR!$B1112)</f>
        <v>12755.13861</v>
      </c>
      <c r="E1112" s="1">
        <f>value(GBP!$B1112)</f>
        <v>14892.23779</v>
      </c>
      <c r="F1112" s="1">
        <f>value(CHF!$B1112)</f>
        <v>10254.36107</v>
      </c>
      <c r="G1112" s="1">
        <f>value(SGD!$B1112)</f>
        <v>7770.692055</v>
      </c>
      <c r="H1112" s="1">
        <f>value(MYR!$B1112)</f>
        <v>3177.2975</v>
      </c>
      <c r="I1112" s="1">
        <f>value(THB!$B1112)</f>
        <v>324.182108</v>
      </c>
      <c r="J1112" s="1">
        <f>value(VND!$B1112)</f>
        <v>0.526173532</v>
      </c>
      <c r="K1112" s="1">
        <f>value(CNY!$B1112)</f>
        <v>1638.33741</v>
      </c>
      <c r="L1112" s="1">
        <f>value(HKD!$B1112)</f>
        <v>1259.18744</v>
      </c>
      <c r="M1112" s="1">
        <f>value(TWD!$B1112)</f>
        <v>326.235131</v>
      </c>
      <c r="N1112" s="1">
        <f>value(JPY!$B1112)</f>
        <v>96.78537</v>
      </c>
      <c r="O1112" s="1">
        <f>value(SAR!$B1112)</f>
        <v>2645.614192</v>
      </c>
      <c r="P1112" s="1">
        <f>value(AED!$B1112)</f>
        <v>3081.62196</v>
      </c>
      <c r="Q1112" s="1">
        <f>value(KWD!$B1112)</f>
        <v>40079.57998</v>
      </c>
    </row>
    <row r="1113">
      <c r="A1113" s="4">
        <f>value(USD!A1113)</f>
        <v>41423.99861</v>
      </c>
      <c r="B1113" s="1">
        <f>value(USD!B1113)</f>
        <v>9772.8</v>
      </c>
      <c r="C1113" s="1">
        <f>value(AUD!$B1113)</f>
        <v>9235.161337</v>
      </c>
      <c r="D1113" s="1">
        <f>value(EUR!$B1113)</f>
        <v>12699.046</v>
      </c>
      <c r="E1113" s="1">
        <f>value(GBP!$B1113)</f>
        <v>14848.446</v>
      </c>
      <c r="F1113" s="1">
        <f>value(CHF!$B1113)</f>
        <v>10213.558</v>
      </c>
      <c r="G1113" s="1">
        <f>value(SGD!$B1113)</f>
        <v>7725.139</v>
      </c>
      <c r="H1113" s="1">
        <f>value(MYR!$B1113)</f>
        <v>3148.7733</v>
      </c>
      <c r="I1113" s="1">
        <f>value(THB!$B1113)</f>
        <v>321.1399</v>
      </c>
      <c r="J1113" s="1">
        <f>value(VND!$B1113)</f>
        <v>0.526173532</v>
      </c>
      <c r="K1113" s="1">
        <f>value(CNY!$B1113)</f>
        <v>1634.12397</v>
      </c>
      <c r="L1113" s="1">
        <f>value(HKD!$B1113)</f>
        <v>1258.4737</v>
      </c>
      <c r="M1113" s="1">
        <f>value(TWD!$B1113)</f>
        <v>325.9272</v>
      </c>
      <c r="N1113" s="1">
        <f>value(JPY!$B1113)</f>
        <v>97.2115</v>
      </c>
      <c r="O1113" s="1">
        <f>value(SAR!$B1113)</f>
        <v>2644.940967</v>
      </c>
      <c r="P1113" s="1">
        <f>value(AED!$B1113)</f>
        <v>3097.68058</v>
      </c>
      <c r="Q1113" s="1">
        <f>value(KWD!$B1113)</f>
        <v>40079.57998</v>
      </c>
    </row>
    <row r="1114">
      <c r="A1114" s="4">
        <f>value(USD!A1114)</f>
        <v>41424.99861</v>
      </c>
      <c r="B1114" s="1">
        <f>value(USD!B1114)</f>
        <v>9776.3</v>
      </c>
      <c r="C1114" s="1">
        <f>value(AUD!$B1114)</f>
        <v>9541.962248</v>
      </c>
      <c r="D1114" s="1">
        <f>value(EUR!$B1114)</f>
        <v>12769.14445</v>
      </c>
      <c r="E1114" s="1">
        <f>value(GBP!$B1114)</f>
        <v>14933.15216</v>
      </c>
      <c r="F1114" s="1">
        <f>value(CHF!$B1114)</f>
        <v>10269.15446</v>
      </c>
      <c r="G1114" s="1">
        <f>value(SGD!$B1114)</f>
        <v>7767.190007</v>
      </c>
      <c r="H1114" s="1">
        <f>value(MYR!$B1114)</f>
        <v>3165.913326</v>
      </c>
      <c r="I1114" s="1">
        <f>value(THB!$B1114)</f>
        <v>322.8879923</v>
      </c>
      <c r="J1114" s="1">
        <f>value(VND!$B1114)</f>
        <v>0.5375934361</v>
      </c>
      <c r="K1114" s="1">
        <f>value(CNY!$B1114)</f>
        <v>1657.73084</v>
      </c>
      <c r="L1114" s="1">
        <f>value(HKD!$B1114)</f>
        <v>1265.324073</v>
      </c>
      <c r="M1114" s="1">
        <f>value(TWD!$B1114)</f>
        <v>327.7013515</v>
      </c>
      <c r="N1114" s="1">
        <f>value(JPY!$B1114)</f>
        <v>97.7406609</v>
      </c>
      <c r="O1114" s="1">
        <f>value(SAR!$B1114)</f>
        <v>2644.940967</v>
      </c>
      <c r="P1114" s="1">
        <f>value(AED!$B1114)</f>
        <v>3097.68058</v>
      </c>
      <c r="Q1114" s="1">
        <f>value(KWD!$B1114)</f>
        <v>40027.50308</v>
      </c>
    </row>
    <row r="1115">
      <c r="A1115" s="4">
        <f>value(USD!A1115)</f>
        <v>41425.99861</v>
      </c>
      <c r="B1115" s="1">
        <f>value(USD!B1115)</f>
        <v>9770</v>
      </c>
      <c r="C1115" s="1">
        <f>value(AUD!$B1115)</f>
        <v>9430.67964</v>
      </c>
      <c r="D1115" s="1">
        <f>value(EUR!$B1115)</f>
        <v>12486.57255</v>
      </c>
      <c r="E1115" s="1">
        <f>value(GBP!$B1115)</f>
        <v>14605.4449</v>
      </c>
      <c r="F1115" s="1">
        <f>value(CHF!$B1115)</f>
        <v>10034.43655</v>
      </c>
      <c r="G1115" s="1">
        <f>value(SGD!$B1115)</f>
        <v>7614.694516</v>
      </c>
      <c r="H1115" s="1">
        <f>value(MYR!$B1115)</f>
        <v>3040.898557</v>
      </c>
      <c r="I1115" s="1">
        <f>value(THB!$B1115)</f>
        <v>310.9627575</v>
      </c>
      <c r="J1115" s="1">
        <f>value(VND!$B1115)</f>
        <v>0.5378159349</v>
      </c>
      <c r="K1115" s="1">
        <f>value(CNY!$B1115)</f>
        <v>1667.44838</v>
      </c>
      <c r="L1115" s="1">
        <f>value(HKD!$B1115)</f>
        <v>1238.08356</v>
      </c>
      <c r="M1115" s="1">
        <f>value(TWD!$B1115)</f>
        <v>320.671332</v>
      </c>
      <c r="N1115" s="1">
        <f>value(JPY!$B1115)</f>
        <v>95.547753</v>
      </c>
      <c r="O1115" s="1">
        <f>value(SAR!$B1115)</f>
        <v>2644.940967</v>
      </c>
      <c r="P1115" s="1">
        <f>value(AED!$B1115)</f>
        <v>3097.68058</v>
      </c>
      <c r="Q1115" s="1">
        <f>value(KWD!$B1115)</f>
        <v>40267.33657</v>
      </c>
    </row>
    <row r="1116">
      <c r="A1116" s="4">
        <f>value(USD!A1116)</f>
        <v>41426.99861</v>
      </c>
      <c r="B1116" s="1">
        <f>value(USD!B1116)</f>
        <v>9823.182</v>
      </c>
      <c r="C1116" s="1">
        <f>value(AUD!$B1116)</f>
        <v>9298.16197</v>
      </c>
      <c r="D1116" s="1">
        <f>value(EUR!$B1116)</f>
        <v>12777.4934</v>
      </c>
      <c r="E1116" s="1">
        <f>value(GBP!$B1116)</f>
        <v>14974.49882</v>
      </c>
      <c r="F1116" s="1">
        <f>value(CHF!$B1116)</f>
        <v>10317.80148</v>
      </c>
      <c r="G1116" s="1">
        <f>value(SGD!$B1116)</f>
        <v>7805.122556</v>
      </c>
      <c r="H1116" s="1">
        <f>value(MYR!$B1116)</f>
        <v>3151.35807</v>
      </c>
      <c r="I1116" s="1">
        <f>value(THB!$B1116)</f>
        <v>321.343694</v>
      </c>
      <c r="J1116" s="1">
        <f>value(VND!$B1116)</f>
        <v>0.5286865714</v>
      </c>
      <c r="K1116" s="1">
        <f>value(CNY!$B1116)</f>
        <v>1669.05939</v>
      </c>
      <c r="L1116" s="1">
        <f>value(HKD!$B1116)</f>
        <v>1259.272322</v>
      </c>
      <c r="M1116" s="1">
        <f>value(TWD!$B1116)</f>
        <v>326.52508</v>
      </c>
      <c r="N1116" s="1">
        <f>value(JPY!$B1116)</f>
        <v>98.25081</v>
      </c>
      <c r="O1116" s="1">
        <f>value(SAR!$B1116)</f>
        <v>2649.407429</v>
      </c>
      <c r="P1116" s="1">
        <f>value(AED!$B1116)</f>
        <v>3088.97082</v>
      </c>
      <c r="Q1116" s="1">
        <f>value(KWD!$B1116)</f>
        <v>40479.46401</v>
      </c>
    </row>
    <row r="1117">
      <c r="A1117" s="4">
        <f>value(USD!A1117)</f>
        <v>41427.99861</v>
      </c>
      <c r="B1117" s="1">
        <f>value(USD!B1117)</f>
        <v>9612.45</v>
      </c>
      <c r="C1117" s="1">
        <f>value(AUD!$B1117)</f>
        <v>9344.0523</v>
      </c>
      <c r="D1117" s="1">
        <f>value(EUR!$B1117)</f>
        <v>12779.09853</v>
      </c>
      <c r="E1117" s="1">
        <f>value(GBP!$B1117)</f>
        <v>14958.35545</v>
      </c>
      <c r="F1117" s="1">
        <f>value(CHF!$B1117)</f>
        <v>10307.11143</v>
      </c>
      <c r="G1117" s="1">
        <f>value(SGD!$B1117)</f>
        <v>7796.627772</v>
      </c>
      <c r="H1117" s="1">
        <f>value(MYR!$B1117)</f>
        <v>3154.372788</v>
      </c>
      <c r="I1117" s="1">
        <f>value(THB!$B1117)</f>
        <v>320.576667</v>
      </c>
      <c r="J1117" s="1">
        <f>value(VND!$B1117)</f>
        <v>0.5278330863</v>
      </c>
      <c r="K1117" s="1">
        <f>value(CNY!$B1117)</f>
        <v>1669.10463</v>
      </c>
      <c r="L1117" s="1">
        <f>value(HKD!$B1117)</f>
        <v>1258.954695</v>
      </c>
      <c r="M1117" s="1">
        <f>value(TWD!$B1117)</f>
        <v>326.536794</v>
      </c>
      <c r="N1117" s="1">
        <f>value(JPY!$B1117)</f>
        <v>97.5018153</v>
      </c>
      <c r="O1117" s="1">
        <f>value(SAR!$B1117)</f>
        <v>2650.365674</v>
      </c>
      <c r="P1117" s="1">
        <f>value(AED!$B1117)</f>
        <v>3107.47906</v>
      </c>
      <c r="Q1117" s="1">
        <f>value(KWD!$B1117)</f>
        <v>39799.84096</v>
      </c>
    </row>
    <row r="1118">
      <c r="A1118" s="4">
        <f>value(USD!A1118)</f>
        <v>41428.99861</v>
      </c>
      <c r="B1118" s="1">
        <f>value(USD!B1118)</f>
        <v>9776.2</v>
      </c>
      <c r="C1118" s="1">
        <f>value(AUD!$B1118)</f>
        <v>9285.621</v>
      </c>
      <c r="D1118" s="1">
        <f>value(EUR!$B1118)</f>
        <v>12781.92149</v>
      </c>
      <c r="E1118" s="1">
        <f>value(GBP!$B1118)</f>
        <v>15040.31156</v>
      </c>
      <c r="F1118" s="1">
        <f>value(CHF!$B1118)</f>
        <v>10363.40346</v>
      </c>
      <c r="G1118" s="1">
        <f>value(SGD!$B1118)</f>
        <v>7802.039573</v>
      </c>
      <c r="H1118" s="1">
        <f>value(MYR!$B1118)</f>
        <v>3163.796517</v>
      </c>
      <c r="I1118" s="1">
        <f>value(THB!$B1118)</f>
        <v>319.27953</v>
      </c>
      <c r="J1118" s="1">
        <f>value(VND!$B1118)</f>
        <v>0.5315315215</v>
      </c>
      <c r="K1118" s="1">
        <f>value(CNY!$B1118)</f>
        <v>1669.8368</v>
      </c>
      <c r="L1118" s="1">
        <f>value(HKD!$B1118)</f>
        <v>1258.078515</v>
      </c>
      <c r="M1118" s="1">
        <f>value(TWD!$B1118)</f>
        <v>328.750513</v>
      </c>
      <c r="N1118" s="1">
        <f>value(JPY!$B1118)</f>
        <v>98.4689315</v>
      </c>
      <c r="O1118" s="1">
        <f>value(SAR!$B1118)</f>
        <v>2650.906318</v>
      </c>
      <c r="P1118" s="1">
        <f>value(AED!$B1118)</f>
        <v>3115.91664</v>
      </c>
      <c r="Q1118" s="1">
        <f>value(KWD!$B1118)</f>
        <v>40032.52007</v>
      </c>
    </row>
    <row r="1119">
      <c r="A1119" s="4">
        <f>value(USD!A1119)</f>
        <v>41429.99861</v>
      </c>
      <c r="B1119" s="1">
        <f>value(USD!B1119)</f>
        <v>9770.7</v>
      </c>
      <c r="C1119" s="1">
        <f>value(AUD!$B1119)</f>
        <v>9322.79051</v>
      </c>
      <c r="D1119" s="1">
        <f>value(EUR!$B1119)</f>
        <v>12930.9186</v>
      </c>
      <c r="E1119" s="1">
        <f>value(GBP!$B1119)</f>
        <v>15226.80205</v>
      </c>
      <c r="F1119" s="1">
        <f>value(CHF!$B1119)</f>
        <v>10502.05084</v>
      </c>
      <c r="G1119" s="1">
        <f>value(SGD!$B1119)</f>
        <v>7845.000733</v>
      </c>
      <c r="H1119" s="1">
        <f>value(MYR!$B1119)</f>
        <v>3164.47999</v>
      </c>
      <c r="I1119" s="1">
        <f>value(THB!$B1119)</f>
        <v>319.181891</v>
      </c>
      <c r="J1119" s="1">
        <f>value(VND!$B1119)</f>
        <v>0.5365576001</v>
      </c>
      <c r="K1119" s="1">
        <f>value(CNY!$B1119)</f>
        <v>1675.9008</v>
      </c>
      <c r="L1119" s="1">
        <f>value(HKD!$B1119)</f>
        <v>1257.687959</v>
      </c>
      <c r="M1119" s="1">
        <f>value(TWD!$B1119)</f>
        <v>330.703293</v>
      </c>
      <c r="N1119" s="1">
        <f>value(JPY!$B1119)</f>
        <v>100.3826559</v>
      </c>
      <c r="O1119" s="1">
        <f>value(SAR!$B1119)</f>
        <v>2650.9866</v>
      </c>
      <c r="P1119" s="1">
        <f>value(AED!$B1119)</f>
        <v>3063.3859</v>
      </c>
      <c r="Q1119" s="1">
        <f>value(KWD!$B1119)</f>
        <v>40043.12752</v>
      </c>
    </row>
    <row r="1120">
      <c r="A1120" s="4">
        <f>value(USD!A1120)</f>
        <v>41430.99861</v>
      </c>
      <c r="B1120" s="1">
        <f>value(USD!B1120)</f>
        <v>9763.9</v>
      </c>
      <c r="C1120" s="1">
        <f>value(AUD!$B1120)</f>
        <v>9209.337</v>
      </c>
      <c r="D1120" s="1">
        <f>value(EUR!$B1120)</f>
        <v>12931.116</v>
      </c>
      <c r="E1120" s="1">
        <f>value(GBP!$B1120)</f>
        <v>15213.0834</v>
      </c>
      <c r="F1120" s="1">
        <f>value(CHF!$B1120)</f>
        <v>10444.062</v>
      </c>
      <c r="G1120" s="1">
        <f>value(SGD!$B1120)</f>
        <v>7828.0098</v>
      </c>
      <c r="H1120" s="1">
        <f>value(MYR!$B1120)</f>
        <v>3157.2774</v>
      </c>
      <c r="I1120" s="1">
        <f>value(THB!$B1120)</f>
        <v>318.9258</v>
      </c>
      <c r="J1120" s="1">
        <f>value(VND!$B1120)</f>
        <v>0.5368420951</v>
      </c>
      <c r="K1120" s="1">
        <f>value(CNY!$B1120)</f>
        <v>1670.07932</v>
      </c>
      <c r="L1120" s="1">
        <f>value(HKD!$B1120)</f>
        <v>1259.7618</v>
      </c>
      <c r="M1120" s="1">
        <f>value(TWD!$B1120)</f>
        <v>328.119</v>
      </c>
      <c r="N1120" s="1">
        <f>value(JPY!$B1120)</f>
        <v>100.245</v>
      </c>
      <c r="O1120" s="1">
        <f>value(SAR!$B1120)</f>
        <v>2658.345984</v>
      </c>
      <c r="P1120" s="1">
        <f>value(AED!$B1120)</f>
        <v>3081.62196</v>
      </c>
      <c r="Q1120" s="1">
        <f>value(KWD!$B1120)</f>
        <v>40131.52295</v>
      </c>
    </row>
    <row r="1121">
      <c r="A1121" s="4">
        <f>value(USD!A1121)</f>
        <v>41431.99861</v>
      </c>
      <c r="B1121" s="1">
        <f>value(USD!B1121)</f>
        <v>9763.9</v>
      </c>
      <c r="C1121" s="1">
        <f>value(AUD!$B1121)</f>
        <v>9252.42873</v>
      </c>
      <c r="D1121" s="1">
        <f>value(EUR!$B1121)</f>
        <v>12984.92954</v>
      </c>
      <c r="E1121" s="1">
        <f>value(GBP!$B1121)</f>
        <v>15278.06299</v>
      </c>
      <c r="F1121" s="1">
        <f>value(CHF!$B1121)</f>
        <v>10492.43588</v>
      </c>
      <c r="G1121" s="1">
        <f>value(SGD!$B1121)</f>
        <v>7860.586487</v>
      </c>
      <c r="H1121" s="1">
        <f>value(MYR!$B1121)</f>
        <v>3107.760515</v>
      </c>
      <c r="I1121" s="1">
        <f>value(THB!$B1121)</f>
        <v>313.869572</v>
      </c>
      <c r="J1121" s="1">
        <f>value(VND!$B1121)</f>
        <v>0.5396396295</v>
      </c>
      <c r="K1121" s="1">
        <f>value(CNY!$B1121)</f>
        <v>1670.2842</v>
      </c>
      <c r="L1121" s="1">
        <f>value(HKD!$B1121)</f>
        <v>1264.90616</v>
      </c>
      <c r="M1121" s="1">
        <f>value(TWD!$B1121)</f>
        <v>329.582692</v>
      </c>
      <c r="N1121" s="1">
        <f>value(JPY!$B1121)</f>
        <v>100.662175</v>
      </c>
      <c r="O1121" s="1">
        <f>value(SAR!$B1121)</f>
        <v>2647.09175</v>
      </c>
      <c r="P1121" s="1">
        <f>value(AED!$B1121)</f>
        <v>3082.4385</v>
      </c>
      <c r="Q1121" s="1">
        <f>value(KWD!$B1121)</f>
        <v>40385.5596</v>
      </c>
    </row>
    <row r="1122">
      <c r="A1122" s="4">
        <f>value(USD!A1122)</f>
        <v>41432.99861</v>
      </c>
      <c r="B1122" s="1">
        <f>value(USD!B1122)</f>
        <v>9780</v>
      </c>
      <c r="C1122" s="1">
        <f>value(AUD!$B1122)</f>
        <v>9271.772828</v>
      </c>
      <c r="D1122" s="1">
        <f>value(EUR!$B1122)</f>
        <v>12915.468</v>
      </c>
      <c r="E1122" s="1">
        <f>value(GBP!$B1122)</f>
        <v>15185.5038</v>
      </c>
      <c r="F1122" s="1">
        <f>value(CHF!$B1122)</f>
        <v>10436.238</v>
      </c>
      <c r="G1122" s="1">
        <f>value(SGD!$B1122)</f>
        <v>7812.1662</v>
      </c>
      <c r="H1122" s="1">
        <f>value(MYR!$B1122)</f>
        <v>3091.1646</v>
      </c>
      <c r="I1122" s="1">
        <f>value(THB!$B1122)</f>
        <v>312.2754</v>
      </c>
      <c r="J1122" s="1">
        <f>value(VND!$B1122)</f>
        <v>0.5472687007</v>
      </c>
      <c r="K1122" s="1">
        <f>value(CNY!$B1122)</f>
        <v>1671.57</v>
      </c>
      <c r="L1122" s="1">
        <f>value(HKD!$B1122)</f>
        <v>1259.7618</v>
      </c>
      <c r="M1122" s="1">
        <f>value(TWD!$B1122)</f>
        <v>327.9234</v>
      </c>
      <c r="N1122" s="1">
        <f>value(JPY!$B1122)</f>
        <v>99.4626</v>
      </c>
      <c r="O1122" s="1">
        <f>value(SAR!$B1122)</f>
        <v>2566.262595</v>
      </c>
      <c r="P1122" s="1">
        <f>value(AED!$B1122)</f>
        <v>3089.243</v>
      </c>
      <c r="Q1122" s="1">
        <f>value(KWD!$B1122)</f>
        <v>40470.28681</v>
      </c>
    </row>
    <row r="1123">
      <c r="A1123" s="4">
        <f>value(USD!A1123)</f>
        <v>41433.99861</v>
      </c>
      <c r="B1123" s="1">
        <f>value(USD!B1123)</f>
        <v>9820.7</v>
      </c>
      <c r="C1123" s="1">
        <f>value(AUD!$B1123)</f>
        <v>9316.13988</v>
      </c>
      <c r="D1123" s="1">
        <f>value(EUR!$B1123)</f>
        <v>12969.93552</v>
      </c>
      <c r="E1123" s="1">
        <f>value(GBP!$B1123)</f>
        <v>15233.9994</v>
      </c>
      <c r="F1123" s="1">
        <f>value(CHF!$B1123)</f>
        <v>10475.94294</v>
      </c>
      <c r="G1123" s="1">
        <f>value(SGD!$B1123)</f>
        <v>7773.840426</v>
      </c>
      <c r="H1123" s="1">
        <f>value(MYR!$B1123)</f>
        <v>3124.290744</v>
      </c>
      <c r="I1123" s="1">
        <f>value(THB!$B1123)</f>
        <v>317.49729</v>
      </c>
      <c r="J1123" s="1">
        <f>value(VND!$B1123)</f>
        <v>0.5396396295</v>
      </c>
      <c r="K1123" s="1">
        <f>value(CNY!$B1123)</f>
        <v>1672.30624</v>
      </c>
      <c r="L1123" s="1">
        <f>value(HKD!$B1123)</f>
        <v>1260.107118</v>
      </c>
      <c r="M1123" s="1">
        <f>value(TWD!$B1123)</f>
        <v>328.162068</v>
      </c>
      <c r="N1123" s="1">
        <f>value(JPY!$B1123)</f>
        <v>98.918262</v>
      </c>
      <c r="O1123" s="1">
        <f>value(SAR!$B1123)</f>
        <v>2663.7866</v>
      </c>
      <c r="P1123" s="1">
        <f>value(AED!$B1123)</f>
        <v>3107.47906</v>
      </c>
      <c r="Q1123" s="1">
        <f>value(KWD!$B1123)</f>
        <v>40532.02189</v>
      </c>
    </row>
    <row r="1124">
      <c r="A1124" s="4">
        <f>value(USD!A1124)</f>
        <v>41434.99861</v>
      </c>
      <c r="B1124" s="1">
        <f>value(USD!B1124)</f>
        <v>9780</v>
      </c>
      <c r="C1124" s="1">
        <f>value(AUD!$B1124)</f>
        <v>9496.78165</v>
      </c>
      <c r="D1124" s="1">
        <f>value(EUR!$B1124)</f>
        <v>13042.55765</v>
      </c>
      <c r="E1124" s="1">
        <f>value(GBP!$B1124)</f>
        <v>15324.83868</v>
      </c>
      <c r="F1124" s="1">
        <f>value(CHF!$B1124)</f>
        <v>10594.80022</v>
      </c>
      <c r="G1124" s="1">
        <f>value(SGD!$B1124)</f>
        <v>7811.681209</v>
      </c>
      <c r="H1124" s="1">
        <f>value(MYR!$B1124)</f>
        <v>3109.760993</v>
      </c>
      <c r="I1124" s="1">
        <f>value(THB!$B1124)</f>
        <v>316.158871</v>
      </c>
      <c r="J1124" s="1">
        <f>value(VND!$B1124)</f>
        <v>0.5381223227</v>
      </c>
      <c r="K1124" s="1">
        <f>value(CNY!$B1124)</f>
        <v>1675.5505</v>
      </c>
      <c r="L1124" s="1">
        <f>value(HKD!$B1124)</f>
        <v>1261.794267</v>
      </c>
      <c r="M1124" s="1">
        <f>value(TWD!$B1124)</f>
        <v>328.895361</v>
      </c>
      <c r="N1124" s="1">
        <f>value(JPY!$B1124)</f>
        <v>101.8429335</v>
      </c>
      <c r="O1124" s="1">
        <f>value(SAR!$B1124)</f>
        <v>2670.88371</v>
      </c>
      <c r="P1124" s="1">
        <f>value(AED!$B1124)</f>
        <v>3115.1001</v>
      </c>
      <c r="Q1124" s="1">
        <f>value(KWD!$B1124)</f>
        <v>40417.24581</v>
      </c>
    </row>
    <row r="1125">
      <c r="A1125" s="4">
        <f>value(USD!A1125)</f>
        <v>41435.99861</v>
      </c>
      <c r="B1125" s="1">
        <f>value(USD!B1125)</f>
        <v>9784.2</v>
      </c>
      <c r="C1125" s="1">
        <f>value(AUD!$B1125)</f>
        <v>9421.48312</v>
      </c>
      <c r="D1125" s="1">
        <f>value(EUR!$B1125)</f>
        <v>13112.98794</v>
      </c>
      <c r="E1125" s="1">
        <f>value(GBP!$B1125)</f>
        <v>15415.08514</v>
      </c>
      <c r="F1125" s="1">
        <f>value(CHF!$B1125)</f>
        <v>10676.7918</v>
      </c>
      <c r="G1125" s="1">
        <f>value(SGD!$B1125)</f>
        <v>7826.796243</v>
      </c>
      <c r="H1125" s="1">
        <f>value(MYR!$B1125)</f>
        <v>3136.676265</v>
      </c>
      <c r="I1125" s="1">
        <f>value(THB!$B1125)</f>
        <v>317.157738</v>
      </c>
      <c r="J1125" s="1">
        <f>value(VND!$B1125)</f>
        <v>0.5413465996</v>
      </c>
      <c r="K1125" s="1">
        <f>value(CNY!$B1125)</f>
        <v>1673.7138</v>
      </c>
      <c r="L1125" s="1">
        <f>value(HKD!$B1125)</f>
        <v>1266.074814</v>
      </c>
      <c r="M1125" s="1">
        <f>value(TWD!$B1125)</f>
        <v>330.626619</v>
      </c>
      <c r="N1125" s="1">
        <f>value(JPY!$B1125)</f>
        <v>102.442146</v>
      </c>
      <c r="O1125" s="1">
        <f>value(SAR!$B1125)</f>
        <v>2673.695368</v>
      </c>
      <c r="P1125" s="1">
        <f>value(AED!$B1125)</f>
        <v>3119.4405</v>
      </c>
      <c r="Q1125" s="1">
        <f>value(KWD!$B1125)</f>
        <v>40696.5951</v>
      </c>
    </row>
    <row r="1126">
      <c r="A1126" s="4">
        <f>value(USD!A1126)</f>
        <v>41436.99861</v>
      </c>
      <c r="B1126" s="1">
        <f>value(USD!B1126)</f>
        <v>9797.3</v>
      </c>
      <c r="C1126" s="1">
        <f>value(AUD!$B1126)</f>
        <v>9328.87737</v>
      </c>
      <c r="D1126" s="1">
        <f>value(EUR!$B1126)</f>
        <v>13171.62324</v>
      </c>
      <c r="E1126" s="1">
        <f>value(GBP!$B1126)</f>
        <v>15482.20786</v>
      </c>
      <c r="F1126" s="1">
        <f>value(CHF!$B1126)</f>
        <v>10681.29255</v>
      </c>
      <c r="G1126" s="1">
        <f>value(SGD!$B1126)</f>
        <v>7885.275265</v>
      </c>
      <c r="H1126" s="1">
        <f>value(MYR!$B1126)</f>
        <v>3143.19132</v>
      </c>
      <c r="I1126" s="1">
        <f>value(THB!$B1126)</f>
        <v>320.46834</v>
      </c>
      <c r="J1126" s="1">
        <f>value(VND!$B1126)</f>
        <v>0.5428164905</v>
      </c>
      <c r="K1126" s="1">
        <f>value(CNY!$B1126)</f>
        <v>1678.5789</v>
      </c>
      <c r="L1126" s="1">
        <f>value(HKD!$B1126)</f>
        <v>1269.06251</v>
      </c>
      <c r="M1126" s="1">
        <f>value(TWD!$B1126)</f>
        <v>331.012655</v>
      </c>
      <c r="N1126" s="1">
        <f>value(JPY!$B1126)</f>
        <v>103.176615</v>
      </c>
      <c r="O1126" s="1">
        <f>value(SAR!$B1126)</f>
        <v>2677.699104</v>
      </c>
      <c r="P1126" s="1">
        <f>value(AED!$B1126)</f>
        <v>3111.0174</v>
      </c>
      <c r="Q1126" s="1">
        <f>value(KWD!$B1126)</f>
        <v>40696.5951</v>
      </c>
    </row>
    <row r="1127">
      <c r="A1127" s="4">
        <f>value(USD!A1127)</f>
        <v>41437.99861</v>
      </c>
      <c r="B1127" s="1">
        <f>value(USD!B1127)</f>
        <v>9831.3</v>
      </c>
      <c r="C1127" s="1">
        <f>value(AUD!$B1127)</f>
        <v>9201.806136</v>
      </c>
      <c r="D1127" s="1">
        <f>value(EUR!$B1127)</f>
        <v>13138.2168</v>
      </c>
      <c r="E1127" s="1">
        <f>value(GBP!$B1127)</f>
        <v>15466.284</v>
      </c>
      <c r="F1127" s="1">
        <f>value(CHF!$B1127)</f>
        <v>10683.1104</v>
      </c>
      <c r="G1127" s="1">
        <f>value(SGD!$B1127)</f>
        <v>7865.40064</v>
      </c>
      <c r="H1127" s="1">
        <f>value(MYR!$B1127)</f>
        <v>3157.7612</v>
      </c>
      <c r="I1127" s="1">
        <f>value(THB!$B1127)</f>
        <v>321.83264</v>
      </c>
      <c r="J1127" s="1">
        <f>value(VND!$B1127)</f>
        <v>0.5336652341</v>
      </c>
      <c r="K1127" s="1">
        <f>value(CNY!$B1127)</f>
        <v>1674.08688</v>
      </c>
      <c r="L1127" s="1">
        <f>value(HKD!$B1127)</f>
        <v>1268.81632</v>
      </c>
      <c r="M1127" s="1">
        <f>value(TWD!$B1127)</f>
        <v>329.21864</v>
      </c>
      <c r="N1127" s="1">
        <f>value(JPY!$B1127)</f>
        <v>104.58576</v>
      </c>
      <c r="O1127" s="1">
        <f>value(SAR!$B1127)</f>
        <v>2687.784926</v>
      </c>
      <c r="P1127" s="1">
        <f>value(AED!$B1127)</f>
        <v>3132.51962</v>
      </c>
      <c r="Q1127" s="1">
        <f>value(KWD!$B1127)</f>
        <v>40900.71084</v>
      </c>
    </row>
    <row r="1128">
      <c r="A1128" s="4">
        <f>value(USD!A1128)</f>
        <v>41438.99861</v>
      </c>
      <c r="B1128" s="1">
        <f>value(USD!B1128)</f>
        <v>9854.5</v>
      </c>
      <c r="C1128" s="1">
        <f>value(AUD!$B1128)</f>
        <v>9408.50742</v>
      </c>
      <c r="D1128" s="1">
        <f>value(EUR!$B1128)</f>
        <v>13013.81806</v>
      </c>
      <c r="E1128" s="1">
        <f>value(GBP!$B1128)</f>
        <v>15314.10255</v>
      </c>
      <c r="F1128" s="1">
        <f>value(CHF!$B1128)</f>
        <v>10580.91861</v>
      </c>
      <c r="G1128" s="1">
        <f>value(SGD!$B1128)</f>
        <v>7788.008548</v>
      </c>
      <c r="H1128" s="1">
        <f>value(MYR!$B1128)</f>
        <v>3077.349649</v>
      </c>
      <c r="I1128" s="1">
        <f>value(THB!$B1128)</f>
        <v>313.400354</v>
      </c>
      <c r="J1128" s="1">
        <f>value(VND!$B1128)</f>
        <v>0.5368420951</v>
      </c>
      <c r="K1128" s="1">
        <f>value(CNY!$B1128)</f>
        <v>1675.48095</v>
      </c>
      <c r="L1128" s="1">
        <f>value(HKD!$B1128)</f>
        <v>1256.331724</v>
      </c>
      <c r="M1128" s="1">
        <f>value(TWD!$B1128)</f>
        <v>326.174295</v>
      </c>
      <c r="N1128" s="1">
        <f>value(JPY!$B1128)</f>
        <v>103.654193</v>
      </c>
      <c r="O1128" s="1">
        <f>value(SAR!$B1128)</f>
        <v>2683.590846</v>
      </c>
      <c r="P1128" s="1">
        <f>value(AED!$B1128)</f>
        <v>3132.51962</v>
      </c>
      <c r="Q1128" s="1">
        <f>value(KWD!$B1128)</f>
        <v>40612.16789</v>
      </c>
    </row>
    <row r="1129">
      <c r="A1129" s="4">
        <f>value(USD!A1129)</f>
        <v>41439.99861</v>
      </c>
      <c r="B1129" s="1">
        <f>value(USD!B1129)</f>
        <v>9848</v>
      </c>
      <c r="C1129" s="1">
        <f>value(AUD!$B1129)</f>
        <v>9372.47508</v>
      </c>
      <c r="D1129" s="1">
        <f>value(EUR!$B1129)</f>
        <v>12829.73701</v>
      </c>
      <c r="E1129" s="1">
        <f>value(GBP!$B1129)</f>
        <v>15110.7714</v>
      </c>
      <c r="F1129" s="1">
        <f>value(CHF!$B1129)</f>
        <v>10425.66327</v>
      </c>
      <c r="G1129" s="1">
        <f>value(SGD!$B1129)</f>
        <v>7681.020421</v>
      </c>
      <c r="H1129" s="1">
        <f>value(MYR!$B1129)</f>
        <v>3083.577835</v>
      </c>
      <c r="I1129" s="1">
        <f>value(THB!$B1129)</f>
        <v>308.944143</v>
      </c>
      <c r="J1129" s="1">
        <f>value(VND!$B1129)</f>
        <v>0.543556512</v>
      </c>
      <c r="K1129" s="1">
        <f>value(CNY!$B1129)</f>
        <v>1676.77268</v>
      </c>
      <c r="L1129" s="1">
        <f>value(HKD!$B1129)</f>
        <v>1238.371933</v>
      </c>
      <c r="M1129" s="1">
        <f>value(TWD!$B1129)</f>
        <v>321.5364525</v>
      </c>
      <c r="N1129" s="1">
        <f>value(JPY!$B1129)</f>
        <v>101.9880945</v>
      </c>
      <c r="O1129" s="1">
        <f>value(SAR!$B1129)</f>
        <v>2678.890756</v>
      </c>
      <c r="P1129" s="1">
        <f>value(AED!$B1129)</f>
        <v>3144.22336</v>
      </c>
      <c r="Q1129" s="1">
        <f>value(KWD!$B1129)</f>
        <v>40781.44519</v>
      </c>
    </row>
    <row r="1130">
      <c r="A1130" s="4">
        <f>value(USD!A1130)</f>
        <v>41440.99861</v>
      </c>
      <c r="B1130" s="1">
        <f>value(USD!B1130)</f>
        <v>9751.1</v>
      </c>
      <c r="C1130" s="1">
        <f>value(AUD!$B1130)</f>
        <v>9161.90946</v>
      </c>
      <c r="D1130" s="1">
        <f>value(EUR!$B1130)</f>
        <v>13173.0936</v>
      </c>
      <c r="E1130" s="1">
        <f>value(GBP!$B1130)</f>
        <v>15495.14715</v>
      </c>
      <c r="F1130" s="1">
        <f>value(CHF!$B1130)</f>
        <v>10686.37638</v>
      </c>
      <c r="G1130" s="1">
        <f>value(SGD!$B1130)</f>
        <v>7851.499029</v>
      </c>
      <c r="H1130" s="1">
        <f>value(MYR!$B1130)</f>
        <v>3144.780294</v>
      </c>
      <c r="I1130" s="1">
        <f>value(THB!$B1130)</f>
        <v>321.143457</v>
      </c>
      <c r="J1130" s="1">
        <f>value(VND!$B1130)</f>
        <v>0.5381697386</v>
      </c>
      <c r="K1130" s="1">
        <f>value(CNY!$B1130)</f>
        <v>1675.58352</v>
      </c>
      <c r="L1130" s="1">
        <f>value(HKD!$B1130)</f>
        <v>1270.572486</v>
      </c>
      <c r="M1130" s="1">
        <f>value(TWD!$B1130)</f>
        <v>330.904956</v>
      </c>
      <c r="N1130" s="1">
        <f>value(JPY!$B1130)</f>
        <v>104.122656</v>
      </c>
      <c r="O1130" s="1">
        <f>value(SAR!$B1130)</f>
        <v>2714.922464</v>
      </c>
      <c r="P1130" s="1">
        <f>value(AED!$B1130)</f>
        <v>3123.80986</v>
      </c>
      <c r="Q1130" s="1">
        <f>value(KWD!$B1130)</f>
        <v>40783.54141</v>
      </c>
    </row>
    <row r="1131">
      <c r="A1131" s="4">
        <f>value(USD!A1131)</f>
        <v>41441.99861</v>
      </c>
      <c r="B1131" s="1">
        <f>value(USD!B1131)</f>
        <v>9612.45</v>
      </c>
      <c r="C1131" s="1">
        <f>value(AUD!$B1131)</f>
        <v>9106.59774</v>
      </c>
      <c r="D1131" s="1">
        <f>value(EUR!$B1131)</f>
        <v>13223.1015</v>
      </c>
      <c r="E1131" s="1">
        <f>value(GBP!$B1131)</f>
        <v>15442.01448</v>
      </c>
      <c r="F1131" s="1">
        <f>value(CHF!$B1131)</f>
        <v>10730.59008</v>
      </c>
      <c r="G1131" s="1">
        <f>value(SGD!$B1131)</f>
        <v>7821.952224</v>
      </c>
      <c r="H1131" s="1">
        <f>value(MYR!$B1131)</f>
        <v>3127.911696</v>
      </c>
      <c r="I1131" s="1">
        <f>value(THB!$B1131)</f>
        <v>319.52742</v>
      </c>
      <c r="J1131" s="1">
        <f>value(VND!$B1131)</f>
        <v>0.5413465996</v>
      </c>
      <c r="K1131" s="1">
        <f>value(CNY!$B1131)</f>
        <v>1675.971</v>
      </c>
      <c r="L1131" s="1">
        <f>value(HKD!$B1131)</f>
        <v>1272.973536</v>
      </c>
      <c r="M1131" s="1">
        <f>value(TWD!$B1131)</f>
        <v>330.39234</v>
      </c>
      <c r="N1131" s="1">
        <f>value(JPY!$B1131)</f>
        <v>103.3846524</v>
      </c>
      <c r="O1131" s="1">
        <f>value(SAR!$B1131)</f>
        <v>2730.888292</v>
      </c>
      <c r="P1131" s="1">
        <f>value(AED!$B1131)</f>
        <v>3130.61436</v>
      </c>
      <c r="Q1131" s="1">
        <f>value(KWD!$B1131)</f>
        <v>40740.99577</v>
      </c>
    </row>
    <row r="1132">
      <c r="A1132" s="4">
        <f>value(USD!A1132)</f>
        <v>41442.99861</v>
      </c>
      <c r="B1132" s="1">
        <f>value(USD!B1132)</f>
        <v>9860.1</v>
      </c>
      <c r="C1132" s="1">
        <f>value(AUD!$B1132)</f>
        <v>9142.5696</v>
      </c>
      <c r="D1132" s="1">
        <f>value(EUR!$B1132)</f>
        <v>13128.80976</v>
      </c>
      <c r="E1132" s="1">
        <f>value(GBP!$B1132)</f>
        <v>15291.58554</v>
      </c>
      <c r="F1132" s="1">
        <f>value(CHF!$B1132)</f>
        <v>10634.05926</v>
      </c>
      <c r="G1132" s="1">
        <f>value(SGD!$B1132)</f>
        <v>7787.672442</v>
      </c>
      <c r="H1132" s="1">
        <f>value(MYR!$B1132)</f>
        <v>3132.221004</v>
      </c>
      <c r="I1132" s="1">
        <f>value(THB!$B1132)</f>
        <v>318.241242</v>
      </c>
      <c r="J1132" s="1">
        <f>value(VND!$B1132)</f>
        <v>0.542674243</v>
      </c>
      <c r="K1132" s="1">
        <f>value(CNY!$B1132)</f>
        <v>1677.6045</v>
      </c>
      <c r="L1132" s="1">
        <f>value(HKD!$B1132)</f>
        <v>1273.55778</v>
      </c>
      <c r="M1132" s="1">
        <f>value(TWD!$B1132)</f>
        <v>328.615452</v>
      </c>
      <c r="N1132" s="1">
        <f>value(JPY!$B1132)</f>
        <v>102.2304294</v>
      </c>
      <c r="O1132" s="1">
        <f>value(SAR!$B1132)</f>
        <v>2732.804868</v>
      </c>
      <c r="P1132" s="1">
        <f>value(AED!$B1132)</f>
        <v>3130.88654</v>
      </c>
      <c r="Q1132" s="1">
        <f>value(KWD!$B1132)</f>
        <v>40765.81406</v>
      </c>
    </row>
    <row r="1133">
      <c r="A1133" s="4">
        <f>value(USD!A1133)</f>
        <v>41443.99861</v>
      </c>
      <c r="B1133" s="1">
        <f>value(USD!B1133)</f>
        <v>9877.2</v>
      </c>
      <c r="C1133" s="1">
        <f>value(AUD!$B1133)</f>
        <v>9125.61153</v>
      </c>
      <c r="D1133" s="1">
        <f>value(EUR!$B1133)</f>
        <v>13091.5879</v>
      </c>
      <c r="E1133" s="1">
        <f>value(GBP!$B1133)</f>
        <v>15348.88792</v>
      </c>
      <c r="F1133" s="1">
        <f>value(CHF!$B1133)</f>
        <v>10674.3459</v>
      </c>
      <c r="G1133" s="1">
        <f>value(SGD!$B1133)</f>
        <v>7767.578494</v>
      </c>
      <c r="H1133" s="1">
        <f>value(MYR!$B1133)</f>
        <v>3091.749812</v>
      </c>
      <c r="I1133" s="1">
        <f>value(THB!$B1133)</f>
        <v>317.21167</v>
      </c>
      <c r="J1133" s="1">
        <f>value(VND!$B1133)</f>
        <v>0.5432906488</v>
      </c>
      <c r="K1133" s="1">
        <f>value(CNY!$B1133)</f>
        <v>1676.41425</v>
      </c>
      <c r="L1133" s="1">
        <f>value(HKD!$B1133)</f>
        <v>1275.873834</v>
      </c>
      <c r="M1133" s="1">
        <f>value(TWD!$B1133)</f>
        <v>328.989576</v>
      </c>
      <c r="N1133" s="1">
        <f>value(JPY!$B1133)</f>
        <v>101.794759</v>
      </c>
      <c r="O1133" s="1">
        <f>value(SAR!$B1133)</f>
        <v>2728.945445</v>
      </c>
      <c r="P1133" s="1">
        <f>value(AED!$B1133)</f>
        <v>3128.42475</v>
      </c>
      <c r="Q1133" s="1">
        <f>value(KWD!$B1133)</f>
        <v>40737.4503</v>
      </c>
    </row>
    <row r="1134">
      <c r="A1134" s="4">
        <f>value(USD!A1134)</f>
        <v>41444.99861</v>
      </c>
      <c r="B1134" s="1">
        <f>value(USD!B1134)</f>
        <v>9880.2</v>
      </c>
      <c r="C1134" s="1">
        <f>value(AUD!$B1134)</f>
        <v>8878.05882</v>
      </c>
      <c r="D1134" s="1">
        <f>value(EUR!$B1134)</f>
        <v>13017.024</v>
      </c>
      <c r="E1134" s="1">
        <f>value(GBP!$B1134)</f>
        <v>15291.7792</v>
      </c>
      <c r="F1134" s="1">
        <f>value(CHF!$B1134)</f>
        <v>10611.424</v>
      </c>
      <c r="G1134" s="1">
        <f>value(SGD!$B1134)</f>
        <v>7770.0384</v>
      </c>
      <c r="H1134" s="1">
        <f>value(MYR!$B1134)</f>
        <v>3011.4144</v>
      </c>
      <c r="I1134" s="1">
        <f>value(THB!$B1134)</f>
        <v>318.2336</v>
      </c>
      <c r="J1134" s="1">
        <f>value(VND!$B1134)</f>
        <v>0.5419630054</v>
      </c>
      <c r="K1134" s="1">
        <f>value(CNY!$B1134)</f>
        <v>1676.2977</v>
      </c>
      <c r="L1134" s="1">
        <f>value(HKD!$B1134)</f>
        <v>1278.4896</v>
      </c>
      <c r="M1134" s="1">
        <f>value(TWD!$B1134)</f>
        <v>327.36</v>
      </c>
      <c r="N1134" s="1">
        <f>value(JPY!$B1134)</f>
        <v>101.2832</v>
      </c>
      <c r="O1134" s="1">
        <f>value(SAR!$B1134)</f>
        <v>2774.240665</v>
      </c>
      <c r="P1134" s="1">
        <f>value(AED!$B1134)</f>
        <v>3129.52564</v>
      </c>
      <c r="Q1134" s="1">
        <f>value(KWD!$B1134)</f>
        <v>40739.15962</v>
      </c>
    </row>
    <row r="1135">
      <c r="A1135" s="4">
        <f>value(USD!A1135)</f>
        <v>41445.99861</v>
      </c>
      <c r="B1135" s="1">
        <f>value(USD!B1135)</f>
        <v>9897.4</v>
      </c>
      <c r="C1135" s="1">
        <f>value(AUD!$B1135)</f>
        <v>9167.08644</v>
      </c>
      <c r="D1135" s="1">
        <f>value(EUR!$B1135)</f>
        <v>12989.07414</v>
      </c>
      <c r="E1135" s="1">
        <f>value(GBP!$B1135)</f>
        <v>15260.82579</v>
      </c>
      <c r="F1135" s="1">
        <f>value(CHF!$B1135)</f>
        <v>10567.85212</v>
      </c>
      <c r="G1135" s="1">
        <f>value(SGD!$B1135)</f>
        <v>7753.354749</v>
      </c>
      <c r="H1135" s="1">
        <f>value(MYR!$B1135)</f>
        <v>3087.107569</v>
      </c>
      <c r="I1135" s="1">
        <f>value(THB!$B1135)</f>
        <v>310.027284</v>
      </c>
      <c r="J1135" s="1">
        <f>value(VND!$B1135)</f>
        <v>0.5457088565</v>
      </c>
      <c r="K1135" s="1">
        <f>value(CNY!$B1135)</f>
        <v>1683.26144</v>
      </c>
      <c r="L1135" s="1">
        <f>value(HKD!$B1135)</f>
        <v>1275.645469</v>
      </c>
      <c r="M1135" s="1">
        <f>value(TWD!$B1135)</f>
        <v>326.756087</v>
      </c>
      <c r="N1135" s="1">
        <f>value(JPY!$B1135)</f>
        <v>101.065727</v>
      </c>
      <c r="O1135" s="1">
        <f>value(SAR!$B1135)</f>
        <v>2740.446132</v>
      </c>
      <c r="P1135" s="1">
        <f>value(AED!$B1135)</f>
        <v>3127.3482</v>
      </c>
      <c r="Q1135" s="1">
        <f>value(KWD!$B1135)</f>
        <v>40708.71596</v>
      </c>
    </row>
    <row r="1136">
      <c r="A1136" s="4">
        <f>value(USD!A1136)</f>
        <v>41446.99861</v>
      </c>
      <c r="B1136" s="1">
        <f>value(USD!B1136)</f>
        <v>9920</v>
      </c>
      <c r="C1136" s="1">
        <f>value(AUD!$B1136)</f>
        <v>9164.938</v>
      </c>
      <c r="D1136" s="1">
        <f>value(EUR!$B1136)</f>
        <v>12597.11572</v>
      </c>
      <c r="E1136" s="1">
        <f>value(GBP!$B1136)</f>
        <v>14792.31093</v>
      </c>
      <c r="F1136" s="1">
        <f>value(CHF!$B1136)</f>
        <v>10269.94158</v>
      </c>
      <c r="G1136" s="1">
        <f>value(SGD!$B1136)</f>
        <v>7540.967025</v>
      </c>
      <c r="H1136" s="1">
        <f>value(MYR!$B1136)</f>
        <v>2994.374299</v>
      </c>
      <c r="I1136" s="1">
        <f>value(THB!$B1136)</f>
        <v>307.982898</v>
      </c>
      <c r="J1136" s="1">
        <f>value(VND!$B1136)</f>
        <v>0.5457088565</v>
      </c>
      <c r="K1136" s="1">
        <f>value(CNY!$B1136)</f>
        <v>1682.75361</v>
      </c>
      <c r="L1136" s="1">
        <f>value(HKD!$B1136)</f>
        <v>1239.044805</v>
      </c>
      <c r="M1136" s="1">
        <f>value(TWD!$B1136)</f>
        <v>316.9224765</v>
      </c>
      <c r="N1136" s="1">
        <f>value(JPY!$B1136)</f>
        <v>97.7586165</v>
      </c>
      <c r="O1136" s="1">
        <f>value(SAR!$B1136)</f>
        <v>2734.431227</v>
      </c>
      <c r="P1136" s="1">
        <f>value(AED!$B1136)</f>
        <v>3129.25346</v>
      </c>
      <c r="Q1136" s="1">
        <f>value(KWD!$B1136)</f>
        <v>40725.66361</v>
      </c>
    </row>
    <row r="1137">
      <c r="A1137" s="4">
        <f>value(USD!A1137)</f>
        <v>41447.99861</v>
      </c>
      <c r="B1137" s="1">
        <f>value(USD!B1137)</f>
        <v>9898.7</v>
      </c>
      <c r="C1137" s="1">
        <f>value(AUD!$B1137)</f>
        <v>9189.23988</v>
      </c>
      <c r="D1137" s="1">
        <f>value(EUR!$B1137)</f>
        <v>13001.16241</v>
      </c>
      <c r="E1137" s="1">
        <f>value(GBP!$B1137)</f>
        <v>15291.34974</v>
      </c>
      <c r="F1137" s="1">
        <f>value(CHF!$B1137)</f>
        <v>10615.71978</v>
      </c>
      <c r="G1137" s="1">
        <f>value(SGD!$B1137)</f>
        <v>7763.902362</v>
      </c>
      <c r="H1137" s="1">
        <f>value(MYR!$B1137)</f>
        <v>3071.637378</v>
      </c>
      <c r="I1137" s="1">
        <f>value(THB!$B1137)</f>
        <v>318.540906</v>
      </c>
      <c r="J1137" s="1">
        <f>value(VND!$B1137)</f>
        <v>0.5477477374</v>
      </c>
      <c r="K1137" s="1">
        <f>value(CNY!$B1137)</f>
        <v>1688.32665</v>
      </c>
      <c r="L1137" s="1">
        <f>value(HKD!$B1137)</f>
        <v>1276.34202</v>
      </c>
      <c r="M1137" s="1">
        <f>value(TWD!$B1137)</f>
        <v>328.640742</v>
      </c>
      <c r="N1137" s="1">
        <f>value(JPY!$B1137)</f>
        <v>101.4538428</v>
      </c>
      <c r="O1137" s="1">
        <f>value(SAR!$B1137)</f>
        <v>2734.212313</v>
      </c>
      <c r="P1137" s="1">
        <f>value(AED!$B1137)</f>
        <v>3126.80384</v>
      </c>
      <c r="Q1137" s="1">
        <f>value(KWD!$B1137)</f>
        <v>40648.93283</v>
      </c>
    </row>
    <row r="1138">
      <c r="A1138" s="4">
        <f>value(USD!A1138)</f>
        <v>41448.99861</v>
      </c>
      <c r="B1138" s="1">
        <f>value(USD!B1138)</f>
        <v>9612.45</v>
      </c>
      <c r="C1138" s="1">
        <f>value(AUD!$B1138)</f>
        <v>9183.215992</v>
      </c>
      <c r="D1138" s="1">
        <f>value(EUR!$B1138)</f>
        <v>12936.7576</v>
      </c>
      <c r="E1138" s="1">
        <f>value(GBP!$B1138)</f>
        <v>15246.5396</v>
      </c>
      <c r="F1138" s="1">
        <f>value(CHF!$B1138)</f>
        <v>10535.9692</v>
      </c>
      <c r="G1138" s="1">
        <f>value(SGD!$B1138)</f>
        <v>7783.5202</v>
      </c>
      <c r="H1138" s="1">
        <f>value(MYR!$B1138)</f>
        <v>3103.31824</v>
      </c>
      <c r="I1138" s="1">
        <f>value(THB!$B1138)</f>
        <v>318.5224</v>
      </c>
      <c r="J1138" s="1">
        <f>value(VND!$B1138)</f>
        <v>0.5441915497</v>
      </c>
      <c r="K1138" s="1">
        <f>value(CNY!$B1138)</f>
        <v>1693.86</v>
      </c>
      <c r="L1138" s="1">
        <f>value(HKD!$B1138)</f>
        <v>1275.0788</v>
      </c>
      <c r="M1138" s="1">
        <f>value(TWD!$B1138)</f>
        <v>327.9198</v>
      </c>
      <c r="N1138" s="1">
        <f>value(JPY!$B1138)</f>
        <v>100.79948</v>
      </c>
      <c r="O1138" s="1">
        <f>value(SAR!$B1138)</f>
        <v>2735.959827</v>
      </c>
      <c r="P1138" s="1">
        <f>value(AED!$B1138)</f>
        <v>3132.23625</v>
      </c>
      <c r="Q1138" s="1">
        <f>value(KWD!$B1138)</f>
        <v>40212.76266</v>
      </c>
    </row>
    <row r="1139">
      <c r="A1139" s="4">
        <f>value(USD!A1139)</f>
        <v>41449.99861</v>
      </c>
      <c r="B1139" s="1">
        <f>value(USD!B1139)</f>
        <v>9901.8</v>
      </c>
      <c r="C1139" s="1">
        <f>value(AUD!$B1139)</f>
        <v>9048.402</v>
      </c>
      <c r="D1139" s="1">
        <f>value(EUR!$B1139)</f>
        <v>12879.3837</v>
      </c>
      <c r="E1139" s="1">
        <f>value(GBP!$B1139)</f>
        <v>15163.33434</v>
      </c>
      <c r="F1139" s="1">
        <f>value(CHF!$B1139)</f>
        <v>10500.43338</v>
      </c>
      <c r="G1139" s="1">
        <f>value(SGD!$B1139)</f>
        <v>7768.104042</v>
      </c>
      <c r="H1139" s="1">
        <f>value(MYR!$B1139)</f>
        <v>3085.807314</v>
      </c>
      <c r="I1139" s="1">
        <f>value(THB!$B1139)</f>
        <v>317.853096</v>
      </c>
      <c r="J1139" s="1">
        <f>value(VND!$B1139)</f>
        <v>0.5453769456</v>
      </c>
      <c r="K1139" s="1">
        <f>value(CNY!$B1139)</f>
        <v>1693.30956</v>
      </c>
      <c r="L1139" s="1">
        <f>value(HKD!$B1139)</f>
        <v>1275.271746</v>
      </c>
      <c r="M1139" s="1">
        <f>value(TWD!$B1139)</f>
        <v>327.946812</v>
      </c>
      <c r="N1139" s="1">
        <f>value(JPY!$B1139)</f>
        <v>101.234034</v>
      </c>
      <c r="O1139" s="1">
        <f>value(SAR!$B1139)</f>
        <v>2736.201491</v>
      </c>
      <c r="P1139" s="1">
        <f>value(AED!$B1139)</f>
        <v>3120.80175</v>
      </c>
      <c r="Q1139" s="1">
        <f>value(KWD!$B1139)</f>
        <v>40212.76266</v>
      </c>
    </row>
    <row r="1140">
      <c r="A1140" s="4">
        <f>value(USD!A1140)</f>
        <v>41450.99861</v>
      </c>
      <c r="B1140" s="1">
        <f>value(USD!B1140)</f>
        <v>9892</v>
      </c>
      <c r="C1140" s="1">
        <f>value(AUD!$B1140)</f>
        <v>9046.62</v>
      </c>
      <c r="D1140" s="1">
        <f>value(EUR!$B1140)</f>
        <v>12900.01048</v>
      </c>
      <c r="E1140" s="1">
        <f>value(GBP!$B1140)</f>
        <v>15100.05906</v>
      </c>
      <c r="F1140" s="1">
        <f>value(CHF!$B1140)</f>
        <v>10470.24788</v>
      </c>
      <c r="G1140" s="1">
        <f>value(SGD!$B1140)</f>
        <v>7810.672296</v>
      </c>
      <c r="H1140" s="1">
        <f>value(MYR!$B1140)</f>
        <v>3114.351924</v>
      </c>
      <c r="I1140" s="1">
        <f>value(THB!$B1140)</f>
        <v>317.601148</v>
      </c>
      <c r="J1140" s="1">
        <f>value(VND!$B1140)</f>
        <v>0.5454243615</v>
      </c>
      <c r="K1140" s="1">
        <f>value(CNY!$B1140)</f>
        <v>1695.06432</v>
      </c>
      <c r="L1140" s="1">
        <f>value(HKD!$B1140)</f>
        <v>1275.74908</v>
      </c>
      <c r="M1140" s="1">
        <f>value(TWD!$B1140)</f>
        <v>330.07162</v>
      </c>
      <c r="N1140" s="1">
        <f>value(JPY!$B1140)</f>
        <v>100.4862716</v>
      </c>
      <c r="O1140" s="1">
        <f>value(SAR!$B1140)</f>
        <v>2738.593578</v>
      </c>
      <c r="P1140" s="1">
        <f>value(AED!$B1140)</f>
        <v>3086.5212</v>
      </c>
      <c r="Q1140" s="1">
        <f>value(KWD!$B1140)</f>
        <v>40118.18521</v>
      </c>
    </row>
    <row r="1141">
      <c r="A1141" s="4">
        <f>value(USD!A1141)</f>
        <v>41451.99861</v>
      </c>
      <c r="B1141" s="1">
        <f>value(USD!B1141)</f>
        <v>9895.8</v>
      </c>
      <c r="C1141" s="1">
        <f>value(AUD!$B1141)</f>
        <v>8772.32187</v>
      </c>
      <c r="D1141" s="1">
        <f>value(EUR!$B1141)</f>
        <v>12876.93</v>
      </c>
      <c r="E1141" s="1">
        <f>value(GBP!$B1141)</f>
        <v>15058.197</v>
      </c>
      <c r="F1141" s="1">
        <f>value(CHF!$B1141)</f>
        <v>10473.21</v>
      </c>
      <c r="G1141" s="1">
        <f>value(SGD!$B1141)</f>
        <v>7805.061</v>
      </c>
      <c r="H1141" s="1">
        <f>value(MYR!$B1141)</f>
        <v>3130.38</v>
      </c>
      <c r="I1141" s="1">
        <f>value(THB!$B1141)</f>
        <v>318.384</v>
      </c>
      <c r="J1141" s="1">
        <f>value(VND!$B1141)</f>
        <v>0.5452431697</v>
      </c>
      <c r="K1141" s="1">
        <f>value(CNY!$B1141)</f>
        <v>1708.49052</v>
      </c>
      <c r="L1141" s="1">
        <f>value(HKD!$B1141)</f>
        <v>1276.209</v>
      </c>
      <c r="M1141" s="1">
        <f>value(TWD!$B1141)</f>
        <v>327.294</v>
      </c>
      <c r="N1141" s="1">
        <f>value(JPY!$B1141)</f>
        <v>99.792</v>
      </c>
      <c r="O1141" s="1">
        <f>value(SAR!$B1141)</f>
        <v>2736.07288</v>
      </c>
      <c r="P1141" s="1">
        <f>value(AED!$B1141)</f>
        <v>3086.5212</v>
      </c>
      <c r="Q1141" s="1">
        <f>value(KWD!$B1141)</f>
        <v>40202.12436</v>
      </c>
    </row>
    <row r="1142">
      <c r="A1142" s="4">
        <f>value(USD!A1142)</f>
        <v>41452.99861</v>
      </c>
      <c r="B1142" s="1">
        <f>value(USD!B1142)</f>
        <v>9897.2</v>
      </c>
      <c r="C1142" s="1">
        <f>value(AUD!$B1142)</f>
        <v>9147.520512</v>
      </c>
      <c r="D1142" s="1">
        <f>value(EUR!$B1142)</f>
        <v>12878.91</v>
      </c>
      <c r="E1142" s="1">
        <f>value(GBP!$B1142)</f>
        <v>15058.89</v>
      </c>
      <c r="F1142" s="1">
        <f>value(CHF!$B1142)</f>
        <v>10475.19</v>
      </c>
      <c r="G1142" s="1">
        <f>value(SGD!$B1142)</f>
        <v>7805.061</v>
      </c>
      <c r="H1142" s="1">
        <f>value(MYR!$B1142)</f>
        <v>3130.479</v>
      </c>
      <c r="I1142" s="1">
        <f>value(THB!$B1142)</f>
        <v>311.652</v>
      </c>
      <c r="J1142" s="1">
        <f>value(VND!$B1142)</f>
        <v>0.5505650234</v>
      </c>
      <c r="K1142" s="1">
        <f>value(CNY!$B1142)</f>
        <v>1740.07496</v>
      </c>
      <c r="L1142" s="1">
        <f>value(HKD!$B1142)</f>
        <v>1276.209</v>
      </c>
      <c r="M1142" s="1">
        <f>value(TWD!$B1142)</f>
        <v>327.294</v>
      </c>
      <c r="N1142" s="1">
        <f>value(JPY!$B1142)</f>
        <v>99.792</v>
      </c>
      <c r="O1142" s="1">
        <f>value(SAR!$B1142)</f>
        <v>2730.281513</v>
      </c>
      <c r="P1142" s="1">
        <f>value(AED!$B1142)</f>
        <v>3085.70466</v>
      </c>
      <c r="Q1142" s="1">
        <f>value(KWD!$B1142)</f>
        <v>40198.57826</v>
      </c>
    </row>
    <row r="1143">
      <c r="A1143" s="4">
        <f>value(USD!A1143)</f>
        <v>41453.99861</v>
      </c>
      <c r="B1143" s="1">
        <f>value(USD!B1143)</f>
        <v>9900</v>
      </c>
      <c r="C1143" s="1">
        <f>value(AUD!$B1143)</f>
        <v>9052.0732</v>
      </c>
      <c r="D1143" s="1">
        <f>value(EUR!$B1143)</f>
        <v>12505.79745</v>
      </c>
      <c r="E1143" s="1">
        <f>value(GBP!$B1143)</f>
        <v>14612.84649</v>
      </c>
      <c r="F1143" s="1">
        <f>value(CHF!$B1143)</f>
        <v>10168.04961</v>
      </c>
      <c r="G1143" s="1">
        <f>value(SGD!$B1143)</f>
        <v>7573.072608</v>
      </c>
      <c r="H1143" s="1">
        <f>value(MYR!$B1143)</f>
        <v>2971.688917</v>
      </c>
      <c r="I1143" s="1">
        <f>value(THB!$B1143)</f>
        <v>302.6960505</v>
      </c>
      <c r="J1143" s="1">
        <f>value(VND!$B1143)</f>
        <v>0.5448079556</v>
      </c>
      <c r="K1143" s="1">
        <f>value(CNY!$B1143)</f>
        <v>1754.93344</v>
      </c>
      <c r="L1143" s="1">
        <f>value(HKD!$B1143)</f>
        <v>1239.237054</v>
      </c>
      <c r="M1143" s="1">
        <f>value(TWD!$B1143)</f>
        <v>317.8837215</v>
      </c>
      <c r="N1143" s="1">
        <f>value(JPY!$B1143)</f>
        <v>96.701247</v>
      </c>
      <c r="O1143" s="1">
        <f>value(SAR!$B1143)</f>
        <v>2737.415216</v>
      </c>
      <c r="P1143" s="1">
        <f>value(AED!$B1143)</f>
        <v>3086.27151</v>
      </c>
      <c r="Q1143" s="1">
        <f>value(KWD!$B1143)</f>
        <v>40078.01089</v>
      </c>
    </row>
    <row r="1144">
      <c r="A1144" s="4">
        <f>value(USD!A1144)</f>
        <v>41454.99861</v>
      </c>
      <c r="B1144" s="1">
        <f>value(USD!B1144)</f>
        <v>9900</v>
      </c>
      <c r="C1144" s="1">
        <f>value(AUD!$B1144)</f>
        <v>9009.81737</v>
      </c>
      <c r="D1144" s="1">
        <f>value(EUR!$B1144)</f>
        <v>12930.61255</v>
      </c>
      <c r="E1144" s="1">
        <f>value(GBP!$B1144)</f>
        <v>15057.14184</v>
      </c>
      <c r="F1144" s="1">
        <f>value(CHF!$B1144)</f>
        <v>10469.32614</v>
      </c>
      <c r="G1144" s="1">
        <f>value(SGD!$B1144)</f>
        <v>7826.50674</v>
      </c>
      <c r="H1144" s="1">
        <f>value(MYR!$B1144)</f>
        <v>3124.960722</v>
      </c>
      <c r="I1144" s="1">
        <f>value(THB!$B1144)</f>
        <v>319.71186</v>
      </c>
      <c r="J1144" s="1">
        <f>value(VND!$B1144)</f>
        <v>0.5451398664</v>
      </c>
      <c r="K1144" s="1">
        <f>value(CNY!$B1144)</f>
        <v>1802.73912</v>
      </c>
      <c r="L1144" s="1">
        <f>value(HKD!$B1144)</f>
        <v>1276.174926</v>
      </c>
      <c r="M1144" s="1">
        <f>value(TWD!$B1144)</f>
        <v>330.302934</v>
      </c>
      <c r="N1144" s="1">
        <f>value(JPY!$B1144)</f>
        <v>99.2987424</v>
      </c>
      <c r="O1144" s="1">
        <f>value(SAR!$B1144)</f>
        <v>2737.828287</v>
      </c>
      <c r="P1144" s="1">
        <f>value(AED!$B1144)</f>
        <v>3085.43248</v>
      </c>
      <c r="Q1144" s="1">
        <f>value(KWD!$B1144)</f>
        <v>40063.8265</v>
      </c>
    </row>
    <row r="1145">
      <c r="A1145" s="4">
        <f>value(USD!A1145)</f>
        <v>41455.99861</v>
      </c>
      <c r="B1145" s="1">
        <f>value(USD!B1145)</f>
        <v>9612.45</v>
      </c>
      <c r="C1145" s="1">
        <f>value(AUD!$B1145)</f>
        <v>9060.6362</v>
      </c>
      <c r="D1145" s="1">
        <f>value(EUR!$B1145)</f>
        <v>12851.17088</v>
      </c>
      <c r="E1145" s="1">
        <f>value(GBP!$B1145)</f>
        <v>15005.24738</v>
      </c>
      <c r="F1145" s="1">
        <f>value(CHF!$B1145)</f>
        <v>10414.83608</v>
      </c>
      <c r="G1145" s="1">
        <f>value(SGD!$B1145)</f>
        <v>7786.664674</v>
      </c>
      <c r="H1145" s="1">
        <f>value(MYR!$B1145)</f>
        <v>3122.073912</v>
      </c>
      <c r="I1145" s="1">
        <f>value(THB!$B1145)</f>
        <v>319.298512</v>
      </c>
      <c r="J1145" s="1">
        <f>value(VND!$B1145)</f>
        <v>0.5447131239</v>
      </c>
      <c r="K1145" s="1">
        <f>value(CNY!$B1145)</f>
        <v>1756.765</v>
      </c>
      <c r="L1145" s="1">
        <f>value(HKD!$B1145)</f>
        <v>1277.194048</v>
      </c>
      <c r="M1145" s="1">
        <f>value(TWD!$B1145)</f>
        <v>328.80616</v>
      </c>
      <c r="N1145" s="1">
        <f>value(JPY!$B1145)</f>
        <v>98.295215</v>
      </c>
      <c r="O1145" s="1">
        <f>value(SAR!$B1145)</f>
        <v>2737.949034</v>
      </c>
      <c r="P1145" s="1">
        <f>value(AED!$B1145)</f>
        <v>3076.74346</v>
      </c>
      <c r="Q1145" s="1">
        <f>value(KWD!$B1145)</f>
        <v>40063.8265</v>
      </c>
    </row>
    <row r="1146">
      <c r="A1146" s="4">
        <f>value(USD!A1146)</f>
        <v>41456.99861</v>
      </c>
      <c r="B1146" s="1">
        <f>value(USD!B1146)</f>
        <v>9898.2</v>
      </c>
      <c r="C1146" s="1">
        <f>value(AUD!$B1146)</f>
        <v>8992.6506</v>
      </c>
      <c r="D1146" s="1">
        <f>value(EUR!$B1146)</f>
        <v>12893.22605</v>
      </c>
      <c r="E1146" s="1">
        <f>value(GBP!$B1146)</f>
        <v>15134.62997</v>
      </c>
      <c r="F1146" s="1">
        <f>value(CHF!$B1146)</f>
        <v>10466.69027</v>
      </c>
      <c r="G1146" s="1">
        <f>value(SGD!$B1146)</f>
        <v>7782.575389</v>
      </c>
      <c r="H1146" s="1">
        <f>value(MYR!$B1146)</f>
        <v>3107.698199</v>
      </c>
      <c r="I1146" s="1">
        <f>value(THB!$B1146)</f>
        <v>318.926326</v>
      </c>
      <c r="J1146" s="1">
        <f>value(VND!$B1146)</f>
        <v>0.5455191931</v>
      </c>
      <c r="K1146" s="1">
        <f>value(CNY!$B1146)</f>
        <v>1759.56</v>
      </c>
      <c r="L1146" s="1">
        <f>value(HKD!$B1146)</f>
        <v>1277.984765</v>
      </c>
      <c r="M1146" s="1">
        <f>value(TWD!$B1146)</f>
        <v>331.116487</v>
      </c>
      <c r="N1146" s="1">
        <f>value(JPY!$B1146)</f>
        <v>99.107</v>
      </c>
      <c r="O1146" s="1">
        <f>value(SAR!$B1146)</f>
        <v>2737.535963</v>
      </c>
      <c r="P1146" s="1">
        <f>value(AED!$B1146)</f>
        <v>3075.08964</v>
      </c>
      <c r="Q1146" s="1">
        <f>value(KWD!$B1146)</f>
        <v>40063.8265</v>
      </c>
    </row>
    <row r="1147">
      <c r="A1147" s="4">
        <f>value(USD!A1147)</f>
        <v>41457.99861</v>
      </c>
      <c r="B1147" s="1">
        <f>value(USD!B1147)</f>
        <v>9903.8</v>
      </c>
      <c r="C1147" s="1">
        <f>value(AUD!$B1147)</f>
        <v>8992.6506</v>
      </c>
      <c r="D1147" s="1">
        <f>value(EUR!$B1147)</f>
        <v>12793.91168</v>
      </c>
      <c r="E1147" s="1">
        <f>value(GBP!$B1147)</f>
        <v>14922.9927</v>
      </c>
      <c r="F1147" s="1">
        <f>value(CHF!$B1147)</f>
        <v>10360.9594</v>
      </c>
      <c r="G1147" s="1">
        <f>value(SGD!$B1147)</f>
        <v>7777.75636</v>
      </c>
      <c r="H1147" s="1">
        <f>value(MYR!$B1147)</f>
        <v>3109.17981</v>
      </c>
      <c r="I1147" s="1">
        <f>value(THB!$B1147)</f>
        <v>318.73776</v>
      </c>
      <c r="J1147" s="1">
        <f>value(VND!$B1147)</f>
        <v>0.543527728</v>
      </c>
      <c r="K1147" s="1">
        <f>value(CNY!$B1147)</f>
        <v>1798.10695</v>
      </c>
      <c r="L1147" s="1">
        <f>value(HKD!$B1147)</f>
        <v>1278.22167</v>
      </c>
      <c r="M1147" s="1">
        <f>value(TWD!$B1147)</f>
        <v>327.65766</v>
      </c>
      <c r="N1147" s="1">
        <f>value(JPY!$B1147)</f>
        <v>98.862225</v>
      </c>
      <c r="O1147" s="1">
        <f>value(SAR!$B1147)</f>
        <v>2736.07288</v>
      </c>
      <c r="P1147" s="1">
        <f>value(AED!$B1147)</f>
        <v>3075.08964</v>
      </c>
      <c r="Q1147" s="1">
        <f>value(KWD!$B1147)</f>
        <v>40134.86246</v>
      </c>
    </row>
    <row r="1148">
      <c r="A1148" s="4">
        <f>value(USD!A1148)</f>
        <v>41458.99861</v>
      </c>
      <c r="B1148" s="1">
        <f>value(USD!B1148)</f>
        <v>9910.7</v>
      </c>
      <c r="C1148" s="1">
        <f>value(AUD!$B1148)</f>
        <v>8991.6588</v>
      </c>
      <c r="D1148" s="1">
        <f>value(EUR!$B1148)</f>
        <v>12726.7776</v>
      </c>
      <c r="E1148" s="1">
        <f>value(GBP!$B1148)</f>
        <v>14766.9102</v>
      </c>
      <c r="F1148" s="1">
        <f>value(CHF!$B1148)</f>
        <v>10293.8922</v>
      </c>
      <c r="G1148" s="1">
        <f>value(SGD!$B1148)</f>
        <v>7737.23016</v>
      </c>
      <c r="H1148" s="1">
        <f>value(MYR!$B1148)</f>
        <v>3106.71432</v>
      </c>
      <c r="I1148" s="1">
        <f>value(THB!$B1148)</f>
        <v>316.58256</v>
      </c>
      <c r="J1148" s="1">
        <f>value(VND!$B1148)</f>
        <v>0.538589399</v>
      </c>
      <c r="K1148" s="1">
        <f>value(CNY!$B1148)</f>
        <v>1813.94944</v>
      </c>
      <c r="L1148" s="1">
        <f>value(HKD!$B1148)</f>
        <v>1278.9261</v>
      </c>
      <c r="M1148" s="1">
        <f>value(TWD!$B1148)</f>
        <v>328.88088</v>
      </c>
      <c r="N1148" s="1">
        <f>value(JPY!$B1148)</f>
        <v>97.98984</v>
      </c>
      <c r="O1148" s="1">
        <f>value(SAR!$B1148)</f>
        <v>2738.447539</v>
      </c>
      <c r="P1148" s="1">
        <f>value(AED!$B1148)</f>
        <v>3075.08964</v>
      </c>
      <c r="Q1148" s="1">
        <f>value(KWD!$B1148)</f>
        <v>40039.80288</v>
      </c>
    </row>
    <row r="1149">
      <c r="A1149" s="4">
        <f>value(USD!A1149)</f>
        <v>41459.99861</v>
      </c>
      <c r="B1149" s="1">
        <f>value(USD!B1149)</f>
        <v>9911</v>
      </c>
      <c r="C1149" s="1">
        <f>value(AUD!$B1149)</f>
        <v>9070.514232</v>
      </c>
      <c r="D1149" s="1">
        <f>value(EUR!$B1149)</f>
        <v>12726.7776</v>
      </c>
      <c r="E1149" s="1">
        <f>value(GBP!$B1149)</f>
        <v>14766.9102</v>
      </c>
      <c r="F1149" s="1">
        <f>value(CHF!$B1149)</f>
        <v>10284.966</v>
      </c>
      <c r="G1149" s="1">
        <f>value(SGD!$B1149)</f>
        <v>7737.23016</v>
      </c>
      <c r="H1149" s="1">
        <f>value(MYR!$B1149)</f>
        <v>3107.70612</v>
      </c>
      <c r="I1149" s="1">
        <f>value(THB!$B1149)</f>
        <v>316.68174</v>
      </c>
      <c r="J1149" s="1">
        <f>value(VND!$B1149)</f>
        <v>0.5439892462</v>
      </c>
      <c r="K1149" s="1">
        <f>value(CNY!$B1149)</f>
        <v>1780.35186</v>
      </c>
      <c r="L1149" s="1">
        <f>value(HKD!$B1149)</f>
        <v>1278.82692</v>
      </c>
      <c r="M1149" s="1">
        <f>value(TWD!$B1149)</f>
        <v>329.07924</v>
      </c>
      <c r="N1149" s="1">
        <f>value(JPY!$B1149)</f>
        <v>97.98984</v>
      </c>
      <c r="O1149" s="1">
        <f>value(SAR!$B1149)</f>
        <v>2739.016668</v>
      </c>
      <c r="P1149" s="1">
        <f>value(AED!$B1149)</f>
        <v>3077.81144</v>
      </c>
      <c r="Q1149" s="1">
        <f>value(KWD!$B1149)</f>
        <v>39964.448</v>
      </c>
    </row>
    <row r="1150">
      <c r="A1150" s="4">
        <f>value(USD!A1150)</f>
        <v>41460.99861</v>
      </c>
      <c r="B1150" s="1">
        <f>value(USD!B1150)</f>
        <v>9918</v>
      </c>
      <c r="C1150" s="1">
        <f>value(AUD!$B1150)</f>
        <v>9101.73096</v>
      </c>
      <c r="D1150" s="1">
        <f>value(EUR!$B1150)</f>
        <v>12722.8104</v>
      </c>
      <c r="E1150" s="1">
        <f>value(GBP!$B1150)</f>
        <v>14753.025</v>
      </c>
      <c r="F1150" s="1">
        <f>value(CHF!$B1150)</f>
        <v>10272.0726</v>
      </c>
      <c r="G1150" s="1">
        <f>value(SGD!$B1150)</f>
        <v>7736.73426</v>
      </c>
      <c r="H1150" s="1">
        <f>value(MYR!$B1150)</f>
        <v>3038.18094</v>
      </c>
      <c r="I1150" s="1">
        <f>value(THB!$B1150)</f>
        <v>311.12766</v>
      </c>
      <c r="J1150" s="1">
        <f>value(VND!$B1150)</f>
        <v>0.5376955802</v>
      </c>
      <c r="K1150" s="1">
        <f>value(CNY!$B1150)</f>
        <v>1783.72863</v>
      </c>
      <c r="L1150" s="1">
        <f>value(HKD!$B1150)</f>
        <v>1278.9261</v>
      </c>
      <c r="M1150" s="1">
        <f>value(TWD!$B1150)</f>
        <v>328.88088</v>
      </c>
      <c r="N1150" s="1">
        <f>value(JPY!$B1150)</f>
        <v>97.79148</v>
      </c>
      <c r="O1150" s="1">
        <f>value(SAR!$B1150)</f>
        <v>2750.226832</v>
      </c>
      <c r="P1150" s="1">
        <f>value(AED!$B1150)</f>
        <v>3065.83552</v>
      </c>
      <c r="Q1150" s="1">
        <f>value(KWD!$B1150)</f>
        <v>39531.07381</v>
      </c>
    </row>
    <row r="1151">
      <c r="A1151" s="4">
        <f>value(USD!A1151)</f>
        <v>41461.99861</v>
      </c>
      <c r="B1151" s="1">
        <f>value(USD!B1151)</f>
        <v>9918</v>
      </c>
      <c r="C1151" s="1">
        <f>value(AUD!$B1151)</f>
        <v>9226.4914</v>
      </c>
      <c r="D1151" s="1">
        <f>value(EUR!$B1151)</f>
        <v>12775.7916</v>
      </c>
      <c r="E1151" s="1">
        <f>value(GBP!$B1151)</f>
        <v>14840.566</v>
      </c>
      <c r="F1151" s="1">
        <f>value(CHF!$B1151)</f>
        <v>10300.04768</v>
      </c>
      <c r="G1151" s="1">
        <f>value(SGD!$B1151)</f>
        <v>7759.28322</v>
      </c>
      <c r="H1151" s="1">
        <f>value(MYR!$B1151)</f>
        <v>3089.7165</v>
      </c>
      <c r="I1151" s="1">
        <f>value(THB!$B1151)</f>
        <v>315.67224</v>
      </c>
      <c r="J1151" s="1">
        <f>value(VND!$B1151)</f>
        <v>0.5375533327</v>
      </c>
      <c r="K1151" s="1">
        <f>value(CNY!$B1151)</f>
        <v>1782.2038</v>
      </c>
      <c r="L1151" s="1">
        <f>value(HKD!$B1151)</f>
        <v>1279.663788</v>
      </c>
      <c r="M1151" s="1">
        <f>value(TWD!$B1151)</f>
        <v>330.165368</v>
      </c>
      <c r="N1151" s="1">
        <f>value(JPY!$B1151)</f>
        <v>98.424222</v>
      </c>
      <c r="O1151" s="1">
        <f>value(SAR!$B1151)</f>
        <v>2748.892289</v>
      </c>
      <c r="P1151" s="1">
        <f>value(AED!$B1151)</f>
        <v>3060.39192</v>
      </c>
      <c r="Q1151" s="1">
        <f>value(KWD!$B1151)</f>
        <v>39075.54945</v>
      </c>
    </row>
    <row r="1152">
      <c r="A1152" s="4">
        <f>value(USD!A1152)</f>
        <v>41462.99861</v>
      </c>
      <c r="B1152" s="1">
        <f>value(USD!B1152)</f>
        <v>9918</v>
      </c>
      <c r="C1152" s="1">
        <f>value(AUD!$B1152)</f>
        <v>9115.483928</v>
      </c>
      <c r="D1152" s="1">
        <f>value(EUR!$B1152)</f>
        <v>12687.02064</v>
      </c>
      <c r="E1152" s="1">
        <f>value(GBP!$B1152)</f>
        <v>14752.70748</v>
      </c>
      <c r="F1152" s="1">
        <f>value(CHF!$B1152)</f>
        <v>10200.84912</v>
      </c>
      <c r="G1152" s="1">
        <f>value(SGD!$B1152)</f>
        <v>7766.009496</v>
      </c>
      <c r="H1152" s="1">
        <f>value(MYR!$B1152)</f>
        <v>3112.480224</v>
      </c>
      <c r="I1152" s="1">
        <f>value(THB!$B1152)</f>
        <v>317.423736</v>
      </c>
      <c r="J1152" s="1">
        <f>value(VND!$B1152)</f>
        <v>0.538446915</v>
      </c>
      <c r="K1152" s="1">
        <f>value(CNY!$B1152)</f>
        <v>1779.69789</v>
      </c>
      <c r="L1152" s="1">
        <f>value(HKD!$B1152)</f>
        <v>1279.921608</v>
      </c>
      <c r="M1152" s="1">
        <f>value(TWD!$B1152)</f>
        <v>327.6504</v>
      </c>
      <c r="N1152" s="1">
        <f>value(JPY!$B1152)</f>
        <v>98.1362592</v>
      </c>
      <c r="O1152" s="1">
        <f>value(SAR!$B1152)</f>
        <v>2755.224597</v>
      </c>
      <c r="P1152" s="1">
        <f>value(AED!$B1152)</f>
        <v>3029.598</v>
      </c>
      <c r="Q1152" s="1">
        <f>value(KWD!$B1152)</f>
        <v>39075.54945</v>
      </c>
    </row>
    <row r="1153">
      <c r="A1153" s="4">
        <f>value(USD!A1153)</f>
        <v>41463.99861</v>
      </c>
      <c r="B1153" s="1">
        <f>value(USD!B1153)</f>
        <v>9926.8</v>
      </c>
      <c r="C1153" s="1">
        <f>value(AUD!$B1153)</f>
        <v>9015.25856</v>
      </c>
      <c r="D1153" s="1">
        <f>value(EUR!$B1153)</f>
        <v>13055.3066</v>
      </c>
      <c r="E1153" s="1">
        <f>value(GBP!$B1153)</f>
        <v>15057.0938</v>
      </c>
      <c r="F1153" s="1">
        <f>value(CHF!$B1153)</f>
        <v>10503.4251</v>
      </c>
      <c r="G1153" s="1">
        <f>value(SGD!$B1153)</f>
        <v>7850.65988</v>
      </c>
      <c r="H1153" s="1">
        <f>value(MYR!$B1153)</f>
        <v>3118.955245</v>
      </c>
      <c r="I1153" s="1">
        <f>value(THB!$B1153)</f>
        <v>318.439065</v>
      </c>
      <c r="J1153" s="1">
        <f>value(VND!$B1153)</f>
        <v>0.5375059168</v>
      </c>
      <c r="K1153" s="1">
        <f>value(CNY!$B1153)</f>
        <v>1780.243</v>
      </c>
      <c r="L1153" s="1">
        <f>value(HKD!$B1153)</f>
        <v>1280.011845</v>
      </c>
      <c r="M1153" s="1">
        <f>value(TWD!$B1153)</f>
        <v>338.893835</v>
      </c>
      <c r="N1153" s="1">
        <f>value(JPY!$B1153)</f>
        <v>100.7347775</v>
      </c>
      <c r="O1153" s="1">
        <f>value(SAR!$B1153)</f>
        <v>2762.740257</v>
      </c>
      <c r="P1153" s="1">
        <f>value(AED!$B1153)</f>
        <v>2991.2582</v>
      </c>
      <c r="Q1153" s="1">
        <f>value(KWD!$B1153)</f>
        <v>39075.54945</v>
      </c>
    </row>
    <row r="1154">
      <c r="A1154" s="4">
        <f>value(USD!A1154)</f>
        <v>41464.99861</v>
      </c>
      <c r="B1154" s="1">
        <f>value(USD!B1154)</f>
        <v>9928.8</v>
      </c>
      <c r="C1154" s="1">
        <f>value(AUD!$B1154)</f>
        <v>8979.87126</v>
      </c>
      <c r="D1154" s="1">
        <f>value(EUR!$B1154)</f>
        <v>13017.50434</v>
      </c>
      <c r="E1154" s="1">
        <f>value(GBP!$B1154)</f>
        <v>15085.771</v>
      </c>
      <c r="F1154" s="1">
        <f>value(CHF!$B1154)</f>
        <v>10491.94248</v>
      </c>
      <c r="G1154" s="1">
        <f>value(SGD!$B1154)</f>
        <v>7889.137496</v>
      </c>
      <c r="H1154" s="1">
        <f>value(MYR!$B1154)</f>
        <v>3134.261536</v>
      </c>
      <c r="I1154" s="1">
        <f>value(THB!$B1154)</f>
        <v>319.11252</v>
      </c>
      <c r="J1154" s="1">
        <f>value(VND!$B1154)</f>
        <v>0.5367846021</v>
      </c>
      <c r="K1154" s="1">
        <f>value(CNY!$B1154)</f>
        <v>1775.2313</v>
      </c>
      <c r="L1154" s="1">
        <f>value(HKD!$B1154)</f>
        <v>1281.619504</v>
      </c>
      <c r="M1154" s="1">
        <f>value(TWD!$B1154)</f>
        <v>333.726084</v>
      </c>
      <c r="N1154" s="1">
        <f>value(JPY!$B1154)</f>
        <v>100.306708</v>
      </c>
      <c r="O1154" s="1">
        <f>value(SAR!$B1154)</f>
        <v>2763.515998</v>
      </c>
      <c r="P1154" s="1">
        <f>value(AED!$B1154)</f>
        <v>2991.2582</v>
      </c>
      <c r="Q1154" s="1">
        <f>value(KWD!$B1154)</f>
        <v>39199.99387</v>
      </c>
    </row>
    <row r="1155">
      <c r="A1155" s="4">
        <f>value(USD!A1155)</f>
        <v>41465.99861</v>
      </c>
      <c r="B1155" s="1">
        <f>value(USD!B1155)</f>
        <v>9929.5</v>
      </c>
      <c r="C1155" s="1">
        <f>value(AUD!$B1155)</f>
        <v>8718.107652</v>
      </c>
      <c r="D1155" s="1">
        <f>value(EUR!$B1155)</f>
        <v>13024.98624</v>
      </c>
      <c r="E1155" s="1">
        <f>value(GBP!$B1155)</f>
        <v>15060.6512</v>
      </c>
      <c r="F1155" s="1">
        <f>value(CHF!$B1155)</f>
        <v>10535.1792</v>
      </c>
      <c r="G1155" s="1">
        <f>value(SGD!$B1155)</f>
        <v>7893.55952</v>
      </c>
      <c r="H1155" s="1">
        <f>value(MYR!$B1155)</f>
        <v>3136.23184</v>
      </c>
      <c r="I1155" s="1">
        <f>value(THB!$B1155)</f>
        <v>319.67376</v>
      </c>
      <c r="J1155" s="1">
        <f>value(VND!$B1155)</f>
        <v>0.5357041151</v>
      </c>
      <c r="K1155" s="1">
        <f>value(CNY!$B1155)</f>
        <v>1789.01268</v>
      </c>
      <c r="L1155" s="1">
        <f>value(HKD!$B1155)</f>
        <v>1284.67584</v>
      </c>
      <c r="M1155" s="1">
        <f>value(TWD!$B1155)</f>
        <v>334.02768</v>
      </c>
      <c r="N1155" s="1">
        <f>value(JPY!$B1155)</f>
        <v>100.37776</v>
      </c>
      <c r="O1155" s="1">
        <f>value(SAR!$B1155)</f>
        <v>2764.873647</v>
      </c>
      <c r="P1155" s="1">
        <f>value(AED!$B1155)</f>
        <v>2991.2582</v>
      </c>
      <c r="Q1155" s="1">
        <f>value(KWD!$B1155)</f>
        <v>39377.77162</v>
      </c>
    </row>
    <row r="1156">
      <c r="A1156" s="4">
        <f>value(USD!A1156)</f>
        <v>41466.99861</v>
      </c>
      <c r="B1156" s="1">
        <f>value(USD!B1156)</f>
        <v>9941.2</v>
      </c>
      <c r="C1156" s="1">
        <f>value(AUD!$B1156)</f>
        <v>9078.584528</v>
      </c>
      <c r="D1156" s="1">
        <f>value(EUR!$B1156)</f>
        <v>12969.05028</v>
      </c>
      <c r="E1156" s="1">
        <f>value(GBP!$B1156)</f>
        <v>14996.89122</v>
      </c>
      <c r="F1156" s="1">
        <f>value(CHF!$B1156)</f>
        <v>10489.58544</v>
      </c>
      <c r="G1156" s="1">
        <f>value(SGD!$B1156)</f>
        <v>7860.141762</v>
      </c>
      <c r="H1156" s="1">
        <f>value(MYR!$B1156)</f>
        <v>3122.557422</v>
      </c>
      <c r="I1156" s="1">
        <f>value(THB!$B1156)</f>
        <v>318.320406</v>
      </c>
      <c r="J1156" s="1">
        <f>value(VND!$B1156)</f>
        <v>0.5420004792</v>
      </c>
      <c r="K1156" s="1">
        <f>value(CNY!$B1156)</f>
        <v>1803.11469</v>
      </c>
      <c r="L1156" s="1">
        <f>value(HKD!$B1156)</f>
        <v>1279.137846</v>
      </c>
      <c r="M1156" s="1">
        <f>value(TWD!$B1156)</f>
        <v>332.5143</v>
      </c>
      <c r="N1156" s="1">
        <f>value(JPY!$B1156)</f>
        <v>100.052064</v>
      </c>
      <c r="O1156" s="1">
        <f>value(SAR!$B1156)</f>
        <v>2792.205974</v>
      </c>
      <c r="P1156" s="1">
        <f>value(AED!$B1156)</f>
        <v>3000.7845</v>
      </c>
      <c r="Q1156" s="1">
        <f>value(KWD!$B1156)</f>
        <v>39583.10847</v>
      </c>
    </row>
    <row r="1157">
      <c r="A1157" s="4">
        <f>value(USD!A1157)</f>
        <v>41467.99861</v>
      </c>
      <c r="B1157" s="1">
        <f>value(USD!B1157)</f>
        <v>9968</v>
      </c>
      <c r="C1157" s="1">
        <f>value(AUD!$B1157)</f>
        <v>9249.4701</v>
      </c>
      <c r="D1157" s="1">
        <f>value(EUR!$B1157)</f>
        <v>12553.18682</v>
      </c>
      <c r="E1157" s="1">
        <f>value(GBP!$B1157)</f>
        <v>14514.7995</v>
      </c>
      <c r="F1157" s="1">
        <f>value(CHF!$B1157)</f>
        <v>10149.78595</v>
      </c>
      <c r="G1157" s="1">
        <f>value(SGD!$B1157)</f>
        <v>7614.98289</v>
      </c>
      <c r="H1157" s="1">
        <f>value(MYR!$B1157)</f>
        <v>3021.962031</v>
      </c>
      <c r="I1157" s="1">
        <f>value(THB!$B1157)</f>
        <v>302.792175</v>
      </c>
      <c r="J1157" s="1">
        <f>value(VND!$B1157)</f>
        <v>0.5357041151</v>
      </c>
      <c r="K1157" s="1">
        <f>value(CNY!$B1157)</f>
        <v>1812.91689</v>
      </c>
      <c r="L1157" s="1">
        <f>value(HKD!$B1157)</f>
        <v>1238.94868</v>
      </c>
      <c r="M1157" s="1">
        <f>value(TWD!$B1157)</f>
        <v>321.824826</v>
      </c>
      <c r="N1157" s="1">
        <f>value(JPY!$B1157)</f>
        <v>96.893496</v>
      </c>
      <c r="O1157" s="1">
        <f>value(SAR!$B1157)</f>
        <v>2844.673329</v>
      </c>
      <c r="P1157" s="1">
        <f>value(AED!$B1157)</f>
        <v>3014.3935</v>
      </c>
      <c r="Q1157" s="1">
        <f>value(KWD!$B1157)</f>
        <v>39925.42872</v>
      </c>
    </row>
    <row r="1158">
      <c r="A1158" s="4">
        <f>value(USD!A1158)</f>
        <v>41468.99861</v>
      </c>
      <c r="B1158" s="1">
        <f>value(USD!B1158)</f>
        <v>9925.8</v>
      </c>
      <c r="C1158" s="1">
        <f>value(AUD!$B1158)</f>
        <v>9239.78097</v>
      </c>
      <c r="D1158" s="1">
        <f>value(EUR!$B1158)</f>
        <v>13046.59444</v>
      </c>
      <c r="E1158" s="1">
        <f>value(GBP!$B1158)</f>
        <v>15079.69632</v>
      </c>
      <c r="F1158" s="1">
        <f>value(CHF!$B1158)</f>
        <v>10530.31496</v>
      </c>
      <c r="G1158" s="1">
        <f>value(SGD!$B1158)</f>
        <v>7910.94694</v>
      </c>
      <c r="H1158" s="1">
        <f>value(MYR!$B1158)</f>
        <v>3127.818304</v>
      </c>
      <c r="I1158" s="1">
        <f>value(THB!$B1158)</f>
        <v>320.65332</v>
      </c>
      <c r="J1158" s="1">
        <f>value(VND!$B1158)</f>
        <v>0.5361782734</v>
      </c>
      <c r="K1158" s="1">
        <f>value(CNY!$B1158)</f>
        <v>1813.13883</v>
      </c>
      <c r="L1158" s="1">
        <f>value(HKD!$B1158)</f>
        <v>1287.408096</v>
      </c>
      <c r="M1158" s="1">
        <f>value(TWD!$B1158)</f>
        <v>335.13766</v>
      </c>
      <c r="N1158" s="1">
        <f>value(JPY!$B1158)</f>
        <v>99.892</v>
      </c>
      <c r="O1158" s="1">
        <f>value(SAR!$B1158)</f>
        <v>2868.734277</v>
      </c>
      <c r="P1158" s="1">
        <f>value(AED!$B1158)</f>
        <v>3033.99046</v>
      </c>
      <c r="Q1158" s="1">
        <f>value(KWD!$B1158)</f>
        <v>40149.11054</v>
      </c>
    </row>
    <row r="1159">
      <c r="A1159" s="4">
        <f>value(USD!A1159)</f>
        <v>41469.99861</v>
      </c>
      <c r="B1159" s="1">
        <f>value(USD!B1159)</f>
        <v>9612.45</v>
      </c>
      <c r="C1159" s="1">
        <f>value(AUD!$B1159)</f>
        <v>9207.3696</v>
      </c>
      <c r="D1159" s="1">
        <f>value(EUR!$B1159)</f>
        <v>13160.70605</v>
      </c>
      <c r="E1159" s="1">
        <f>value(GBP!$B1159)</f>
        <v>15152.5994</v>
      </c>
      <c r="F1159" s="1">
        <f>value(CHF!$B1159)</f>
        <v>10641.4438</v>
      </c>
      <c r="G1159" s="1">
        <f>value(SGD!$B1159)</f>
        <v>7946.45863</v>
      </c>
      <c r="H1159" s="1">
        <f>value(MYR!$B1159)</f>
        <v>3134.89289</v>
      </c>
      <c r="I1159" s="1">
        <f>value(THB!$B1159)</f>
        <v>322.12533</v>
      </c>
      <c r="J1159" s="1">
        <f>value(VND!$B1159)</f>
        <v>0.5340919767</v>
      </c>
      <c r="K1159" s="1">
        <f>value(CNY!$B1159)</f>
        <v>1820.63951</v>
      </c>
      <c r="L1159" s="1">
        <f>value(HKD!$B1159)</f>
        <v>1289.80223</v>
      </c>
      <c r="M1159" s="1">
        <f>value(TWD!$B1159)</f>
        <v>336.73555</v>
      </c>
      <c r="N1159" s="1">
        <f>value(JPY!$B1159)</f>
        <v>100.87056</v>
      </c>
      <c r="O1159" s="1">
        <f>value(SAR!$B1159)</f>
        <v>2944.536337</v>
      </c>
      <c r="P1159" s="1">
        <f>value(AED!$B1159)</f>
        <v>3060.6641</v>
      </c>
      <c r="Q1159" s="1">
        <f>value(KWD!$B1159)</f>
        <v>40149.11054</v>
      </c>
    </row>
    <row r="1160">
      <c r="A1160" s="4">
        <f>value(USD!A1160)</f>
        <v>41470.99861</v>
      </c>
      <c r="B1160" s="1">
        <f>value(USD!B1160)</f>
        <v>9989.2</v>
      </c>
      <c r="C1160" s="1">
        <f>value(AUD!$B1160)</f>
        <v>9244.368</v>
      </c>
      <c r="D1160" s="1">
        <f>value(EUR!$B1160)</f>
        <v>13137.2955</v>
      </c>
      <c r="E1160" s="1">
        <f>value(GBP!$B1160)</f>
        <v>15230.94867</v>
      </c>
      <c r="F1160" s="1">
        <f>value(CHF!$B1160)</f>
        <v>10638.054</v>
      </c>
      <c r="G1160" s="1">
        <f>value(SGD!$B1160)</f>
        <v>7940.97675</v>
      </c>
      <c r="H1160" s="1">
        <f>value(MYR!$B1160)</f>
        <v>3135.62151</v>
      </c>
      <c r="I1160" s="1">
        <f>value(THB!$B1160)</f>
        <v>323.04825</v>
      </c>
      <c r="J1160" s="1">
        <f>value(VND!$B1160)</f>
        <v>0.5331436599</v>
      </c>
      <c r="K1160" s="1">
        <f>value(CNY!$B1160)</f>
        <v>1811.206</v>
      </c>
      <c r="L1160" s="1">
        <f>value(HKD!$B1160)</f>
        <v>1291.29147</v>
      </c>
      <c r="M1160" s="1">
        <f>value(TWD!$B1160)</f>
        <v>334.86831</v>
      </c>
      <c r="N1160" s="1">
        <f>value(JPY!$B1160)</f>
        <v>100.480527</v>
      </c>
      <c r="O1160" s="1">
        <f>value(SAR!$B1160)</f>
        <v>2866.896</v>
      </c>
      <c r="P1160" s="1">
        <f>value(AED!$B1160)</f>
        <v>3077.81144</v>
      </c>
      <c r="Q1160" s="1">
        <f>value(KWD!$B1160)</f>
        <v>40216.57013</v>
      </c>
    </row>
    <row r="1161">
      <c r="A1161" s="4">
        <f>value(USD!A1161)</f>
        <v>41471.99861</v>
      </c>
      <c r="B1161" s="1">
        <f>value(USD!B1161)</f>
        <v>10007</v>
      </c>
      <c r="C1161" s="1">
        <f>value(AUD!$B1161)</f>
        <v>9220.6116</v>
      </c>
      <c r="D1161" s="1">
        <f>value(EUR!$B1161)</f>
        <v>13150.84848</v>
      </c>
      <c r="E1161" s="1">
        <f>value(GBP!$B1161)</f>
        <v>15268.704</v>
      </c>
      <c r="F1161" s="1">
        <f>value(CHF!$B1161)</f>
        <v>10618.872</v>
      </c>
      <c r="G1161" s="1">
        <f>value(SGD!$B1161)</f>
        <v>7917.45504</v>
      </c>
      <c r="H1161" s="1">
        <f>value(MYR!$B1161)</f>
        <v>3137.60832</v>
      </c>
      <c r="I1161" s="1">
        <f>value(THB!$B1161)</f>
        <v>323.13072</v>
      </c>
      <c r="J1161" s="1">
        <f>value(VND!$B1161)</f>
        <v>0.527643423</v>
      </c>
      <c r="K1161" s="1">
        <f>value(CNY!$B1161)</f>
        <v>1830.4955</v>
      </c>
      <c r="L1161" s="1">
        <f>value(HKD!$B1161)</f>
        <v>1293.1248</v>
      </c>
      <c r="M1161" s="1">
        <f>value(TWD!$B1161)</f>
        <v>335.67072</v>
      </c>
      <c r="N1161" s="1">
        <f>value(JPY!$B1161)</f>
        <v>99.758208</v>
      </c>
      <c r="O1161" s="1">
        <f>value(SAR!$B1161)</f>
        <v>2869.727657</v>
      </c>
      <c r="P1161" s="1">
        <f>value(AED!$B1161)</f>
        <v>3077.81144</v>
      </c>
      <c r="Q1161" s="1">
        <f>value(KWD!$B1161)</f>
        <v>40084.90552</v>
      </c>
    </row>
    <row r="1162">
      <c r="A1162" s="4">
        <f>value(USD!A1162)</f>
        <v>41472.99861</v>
      </c>
      <c r="B1162" s="1">
        <f>value(USD!B1162)</f>
        <v>10017</v>
      </c>
      <c r="C1162" s="1">
        <f>value(AUD!$B1162)</f>
        <v>9243.63297</v>
      </c>
      <c r="D1162" s="1">
        <f>value(EUR!$B1162)</f>
        <v>13243.2048</v>
      </c>
      <c r="E1162" s="1">
        <f>value(GBP!$B1162)</f>
        <v>15390.144</v>
      </c>
      <c r="F1162" s="1">
        <f>value(CHF!$B1162)</f>
        <v>10710</v>
      </c>
      <c r="G1162" s="1">
        <f>value(SGD!$B1162)</f>
        <v>7957.4544</v>
      </c>
      <c r="H1162" s="1">
        <f>value(MYR!$B1162)</f>
        <v>3152.1168</v>
      </c>
      <c r="I1162" s="1">
        <f>value(THB!$B1162)</f>
        <v>324.4752</v>
      </c>
      <c r="J1162" s="1">
        <f>value(VND!$B1162)</f>
        <v>0.5211000376</v>
      </c>
      <c r="K1162" s="1">
        <f>value(CNY!$B1162)</f>
        <v>1818.4122</v>
      </c>
      <c r="L1162" s="1">
        <f>value(HKD!$B1162)</f>
        <v>1299.2112</v>
      </c>
      <c r="M1162" s="1">
        <f>value(TWD!$B1162)</f>
        <v>337.4784</v>
      </c>
      <c r="N1162" s="1">
        <f>value(JPY!$B1162)</f>
        <v>100.1952</v>
      </c>
      <c r="O1162" s="1">
        <f>value(SAR!$B1162)</f>
        <v>2934.90144</v>
      </c>
      <c r="P1162" s="1">
        <f>value(AED!$B1162)</f>
        <v>3082.98286</v>
      </c>
      <c r="Q1162" s="1">
        <f>value(KWD!$B1162)</f>
        <v>40254.67884</v>
      </c>
    </row>
    <row r="1163">
      <c r="A1163" s="4">
        <f>value(USD!A1163)</f>
        <v>41473.99861</v>
      </c>
      <c r="B1163" s="1">
        <f>value(USD!B1163)</f>
        <v>10032</v>
      </c>
      <c r="C1163" s="1">
        <f>value(AUD!$B1163)</f>
        <v>9285.93129</v>
      </c>
      <c r="D1163" s="1">
        <f>value(EUR!$B1163)</f>
        <v>13213.6632</v>
      </c>
      <c r="E1163" s="1">
        <f>value(GBP!$B1163)</f>
        <v>15348.9204</v>
      </c>
      <c r="F1163" s="1">
        <f>value(CHF!$B1163)</f>
        <v>10671.2595</v>
      </c>
      <c r="G1163" s="1">
        <f>value(SGD!$B1163)</f>
        <v>7936.13979</v>
      </c>
      <c r="H1163" s="1">
        <f>value(MYR!$B1163)</f>
        <v>3144.87999</v>
      </c>
      <c r="I1163" s="1">
        <f>value(THB!$B1163)</f>
        <v>318.17745</v>
      </c>
      <c r="J1163" s="1">
        <f>value(VND!$B1163)</f>
        <v>0.5283907816</v>
      </c>
      <c r="K1163" s="1">
        <f>value(CNY!$B1163)</f>
        <v>1831.6019</v>
      </c>
      <c r="L1163" s="1">
        <f>value(HKD!$B1163)</f>
        <v>1295.63064</v>
      </c>
      <c r="M1163" s="1">
        <f>value(TWD!$B1163)</f>
        <v>336.7755</v>
      </c>
      <c r="N1163" s="1">
        <f>value(JPY!$B1163)</f>
        <v>99.82629</v>
      </c>
      <c r="O1163" s="1">
        <f>value(SAR!$B1163)</f>
        <v>2963.437407</v>
      </c>
      <c r="P1163" s="1">
        <f>value(AED!$B1163)</f>
        <v>3083.7994</v>
      </c>
      <c r="Q1163" s="1">
        <f>value(KWD!$B1163)</f>
        <v>40205.23234</v>
      </c>
    </row>
    <row r="1164">
      <c r="A1164" s="4">
        <f>value(USD!A1164)</f>
        <v>41474.99861</v>
      </c>
      <c r="B1164" s="1">
        <f>value(USD!B1164)</f>
        <v>10080</v>
      </c>
      <c r="C1164" s="1">
        <f>value(AUD!$B1164)</f>
        <v>9448.46564</v>
      </c>
      <c r="D1164" s="1">
        <f>value(EUR!$B1164)</f>
        <v>13214.06532</v>
      </c>
      <c r="E1164" s="1">
        <f>value(GBP!$B1164)</f>
        <v>15345.80397</v>
      </c>
      <c r="F1164" s="1">
        <f>value(CHF!$B1164)</f>
        <v>10684.3284</v>
      </c>
      <c r="G1164" s="1">
        <f>value(SGD!$B1164)</f>
        <v>7945.18749</v>
      </c>
      <c r="H1164" s="1">
        <f>value(MYR!$B1164)</f>
        <v>3145.08105</v>
      </c>
      <c r="I1164" s="1">
        <f>value(THB!$B1164)</f>
        <v>318.17745</v>
      </c>
      <c r="J1164" s="1">
        <f>value(VND!$B1164)</f>
        <v>0.5211000376</v>
      </c>
      <c r="K1164" s="1">
        <f>value(CNY!$B1164)</f>
        <v>1849.37388</v>
      </c>
      <c r="L1164" s="1">
        <f>value(HKD!$B1164)</f>
        <v>1295.8317</v>
      </c>
      <c r="M1164" s="1">
        <f>value(TWD!$B1164)</f>
        <v>336.7755</v>
      </c>
      <c r="N1164" s="1">
        <f>value(JPY!$B1164)</f>
        <v>100.12788</v>
      </c>
      <c r="O1164" s="1">
        <f>value(SAR!$B1164)</f>
        <v>2908.503668</v>
      </c>
      <c r="P1164" s="1">
        <f>value(AED!$B1164)</f>
        <v>3097.4084</v>
      </c>
      <c r="Q1164" s="1">
        <f>value(KWD!$B1164)</f>
        <v>40268.8786</v>
      </c>
    </row>
    <row r="1165">
      <c r="A1165" s="4">
        <f>value(USD!A1165)</f>
        <v>41475.99861</v>
      </c>
      <c r="B1165" s="1">
        <f>value(USD!B1165)</f>
        <v>10053</v>
      </c>
      <c r="C1165" s="1">
        <f>value(AUD!$B1165)</f>
        <v>9365.4574</v>
      </c>
      <c r="D1165" s="1">
        <f>value(EUR!$B1165)</f>
        <v>13231.87747</v>
      </c>
      <c r="E1165" s="1">
        <f>value(GBP!$B1165)</f>
        <v>15414.8246</v>
      </c>
      <c r="F1165" s="1">
        <f>value(CHF!$B1165)</f>
        <v>10718.5123</v>
      </c>
      <c r="G1165" s="1">
        <f>value(SGD!$B1165)</f>
        <v>7957.13286</v>
      </c>
      <c r="H1165" s="1">
        <f>value(MYR!$B1165)</f>
        <v>3152.82244</v>
      </c>
      <c r="I1165" s="1">
        <f>value(THB!$B1165)</f>
        <v>324.1951</v>
      </c>
      <c r="J1165" s="1">
        <f>value(VND!$B1165)</f>
        <v>0.5227595919</v>
      </c>
      <c r="K1165" s="1">
        <f>value(CNY!$B1165)</f>
        <v>1850.46768</v>
      </c>
      <c r="L1165" s="1">
        <f>value(HKD!$B1165)</f>
        <v>1293.56856</v>
      </c>
      <c r="M1165" s="1">
        <f>value(TWD!$B1165)</f>
        <v>335.73765</v>
      </c>
      <c r="N1165" s="1">
        <f>value(JPY!$B1165)</f>
        <v>100.761443</v>
      </c>
      <c r="O1165" s="1">
        <f>value(SAR!$B1165)</f>
        <v>2913.764112</v>
      </c>
      <c r="P1165" s="1">
        <f>value(AED!$B1165)</f>
        <v>3093.07726</v>
      </c>
      <c r="Q1165" s="1">
        <f>value(KWD!$B1165)</f>
        <v>40258.26477</v>
      </c>
    </row>
    <row r="1166">
      <c r="A1166" s="4">
        <f>value(USD!A1166)</f>
        <v>41476.99861</v>
      </c>
      <c r="B1166" s="1">
        <f>value(USD!B1166)</f>
        <v>10053</v>
      </c>
      <c r="C1166" s="1">
        <f>value(AUD!$B1166)</f>
        <v>9462.8838</v>
      </c>
      <c r="D1166" s="1">
        <f>value(EUR!$B1166)</f>
        <v>13449.4184</v>
      </c>
      <c r="E1166" s="1">
        <f>value(GBP!$B1166)</f>
        <v>15636.29668</v>
      </c>
      <c r="F1166" s="1">
        <f>value(CHF!$B1166)</f>
        <v>10877.9368</v>
      </c>
      <c r="G1166" s="1">
        <f>value(SGD!$B1166)</f>
        <v>8047.27264</v>
      </c>
      <c r="H1166" s="1">
        <f>value(MYR!$B1166)</f>
        <v>3197.26304</v>
      </c>
      <c r="I1166" s="1">
        <f>value(THB!$B1166)</f>
        <v>328.5556</v>
      </c>
      <c r="J1166" s="1">
        <f>value(VND!$B1166)</f>
        <v>0.5251303837</v>
      </c>
      <c r="K1166" s="1">
        <f>value(CNY!$B1166)</f>
        <v>1859.99683</v>
      </c>
      <c r="L1166" s="1">
        <f>value(HKD!$B1166)</f>
        <v>1311.1708</v>
      </c>
      <c r="M1166" s="1">
        <f>value(TWD!$B1166)</f>
        <v>341.2706</v>
      </c>
      <c r="N1166" s="1">
        <f>value(JPY!$B1166)</f>
        <v>102.218428</v>
      </c>
      <c r="O1166" s="1">
        <f>value(SAR!$B1166)</f>
        <v>2911.172754</v>
      </c>
      <c r="P1166" s="1">
        <f>value(AED!$B1166)</f>
        <v>3097.95276</v>
      </c>
      <c r="Q1166" s="1">
        <f>value(KWD!$B1166)</f>
        <v>40677.23875</v>
      </c>
    </row>
    <row r="1167">
      <c r="A1167" s="4">
        <f>value(USD!A1167)</f>
        <v>41477.99861</v>
      </c>
      <c r="B1167" s="1">
        <f>value(USD!B1167)</f>
        <v>10037</v>
      </c>
      <c r="C1167" s="1">
        <f>value(AUD!$B1167)</f>
        <v>9475.24635</v>
      </c>
      <c r="D1167" s="1">
        <f>value(EUR!$B1167)</f>
        <v>13498.7814</v>
      </c>
      <c r="E1167" s="1">
        <f>value(GBP!$B1167)</f>
        <v>15668.7765</v>
      </c>
      <c r="F1167" s="1">
        <f>value(CHF!$B1167)</f>
        <v>10909.3153</v>
      </c>
      <c r="G1167" s="1">
        <f>value(SGD!$B1167)</f>
        <v>8060.90259</v>
      </c>
      <c r="H1167" s="1">
        <f>value(MYR!$B1167)</f>
        <v>3206.70233</v>
      </c>
      <c r="I1167" s="1">
        <f>value(THB!$B1167)</f>
        <v>329.54051</v>
      </c>
      <c r="J1167" s="1">
        <f>value(VND!$B1167)</f>
        <v>0.5285443238</v>
      </c>
      <c r="K1167" s="1">
        <f>value(CNY!$B1167)</f>
        <v>1859.6554</v>
      </c>
      <c r="L1167" s="1">
        <f>value(HKD!$B1167)</f>
        <v>1318.7759</v>
      </c>
      <c r="M1167" s="1">
        <f>value(TWD!$B1167)</f>
        <v>340.89692</v>
      </c>
      <c r="N1167" s="1">
        <f>value(JPY!$B1167)</f>
        <v>101.992839</v>
      </c>
      <c r="O1167" s="1">
        <f>value(SAR!$B1167)</f>
        <v>2903.199927</v>
      </c>
      <c r="P1167" s="1">
        <f>value(AED!$B1167)</f>
        <v>3097.13622</v>
      </c>
      <c r="Q1167" s="1">
        <f>value(KWD!$B1167)</f>
        <v>40909.08267</v>
      </c>
    </row>
    <row r="1168">
      <c r="A1168" s="4">
        <f>value(USD!A1168)</f>
        <v>41478.99861</v>
      </c>
      <c r="B1168" s="1">
        <f>value(USD!B1168)</f>
        <v>10172</v>
      </c>
      <c r="C1168" s="1">
        <f>value(AUD!$B1168)</f>
        <v>9483.264</v>
      </c>
      <c r="D1168" s="1">
        <f>value(EUR!$B1168)</f>
        <v>13599.4398</v>
      </c>
      <c r="E1168" s="1">
        <f>value(GBP!$B1168)</f>
        <v>15759.8688</v>
      </c>
      <c r="F1168" s="1">
        <f>value(CHF!$B1168)</f>
        <v>11013.0684</v>
      </c>
      <c r="G1168" s="1">
        <f>value(SGD!$B1168)</f>
        <v>8099.56095</v>
      </c>
      <c r="H1168" s="1">
        <f>value(MYR!$B1168)</f>
        <v>3199.58511</v>
      </c>
      <c r="I1168" s="1">
        <f>value(THB!$B1168)</f>
        <v>329.90058</v>
      </c>
      <c r="J1168" s="1">
        <f>value(VND!$B1168)</f>
        <v>0.5331910758</v>
      </c>
      <c r="K1168" s="1">
        <f>value(CNY!$B1168)</f>
        <v>1870.58116</v>
      </c>
      <c r="L1168" s="1">
        <f>value(HKD!$B1168)</f>
        <v>1319.8071</v>
      </c>
      <c r="M1168" s="1">
        <f>value(TWD!$B1168)</f>
        <v>344.23518</v>
      </c>
      <c r="N1168" s="1">
        <f>value(JPY!$B1168)</f>
        <v>103.198881</v>
      </c>
      <c r="O1168" s="1">
        <f>value(SAR!$B1168)</f>
        <v>2907.737024</v>
      </c>
      <c r="P1168" s="1">
        <f>value(AED!$B1168)</f>
        <v>3138.77976</v>
      </c>
      <c r="Q1168" s="1">
        <f>value(KWD!$B1168)</f>
        <v>40908.11673</v>
      </c>
    </row>
    <row r="1169">
      <c r="A1169" s="4">
        <f>value(USD!A1169)</f>
        <v>41479.99861</v>
      </c>
      <c r="B1169" s="1">
        <f>value(USD!B1169)</f>
        <v>10231</v>
      </c>
      <c r="C1169" s="1">
        <f>value(AUD!$B1169)</f>
        <v>9525.62709</v>
      </c>
      <c r="D1169" s="1">
        <f>value(EUR!$B1169)</f>
        <v>13587.3774</v>
      </c>
      <c r="E1169" s="1">
        <f>value(GBP!$B1169)</f>
        <v>15740.4006</v>
      </c>
      <c r="F1169" s="1">
        <f>value(CHF!$B1169)</f>
        <v>11019.9177</v>
      </c>
      <c r="G1169" s="1">
        <f>value(SGD!$B1169)</f>
        <v>8092.2564</v>
      </c>
      <c r="H1169" s="1">
        <f>value(MYR!$B1169)</f>
        <v>3187.27251</v>
      </c>
      <c r="I1169" s="1">
        <f>value(THB!$B1169)</f>
        <v>328.27464</v>
      </c>
      <c r="J1169" s="1">
        <f>value(VND!$B1169)</f>
        <v>0.5361782734</v>
      </c>
      <c r="K1169" s="1">
        <f>value(CNY!$B1169)</f>
        <v>1854.4266</v>
      </c>
      <c r="L1169" s="1">
        <f>value(HKD!$B1169)</f>
        <v>1319.0337</v>
      </c>
      <c r="M1169" s="1">
        <f>value(TWD!$B1169)</f>
        <v>342.29385</v>
      </c>
      <c r="N1169" s="1">
        <f>value(JPY!$B1169)</f>
        <v>104.06961</v>
      </c>
      <c r="O1169" s="1">
        <f>value(SAR!$B1169)</f>
        <v>2922.272018</v>
      </c>
      <c r="P1169" s="1">
        <f>value(AED!$B1169)</f>
        <v>3147.7617</v>
      </c>
      <c r="Q1169" s="1">
        <f>value(KWD!$B1169)</f>
        <v>40685.50195</v>
      </c>
    </row>
    <row r="1170">
      <c r="A1170" s="4">
        <f>value(USD!A1170)</f>
        <v>41480.99861</v>
      </c>
      <c r="B1170" s="1">
        <f>value(USD!B1170)</f>
        <v>10239</v>
      </c>
      <c r="C1170" s="1">
        <f>value(AUD!$B1170)</f>
        <v>9415.2604</v>
      </c>
      <c r="D1170" s="1">
        <f>value(EUR!$B1170)</f>
        <v>13596.672</v>
      </c>
      <c r="E1170" s="1">
        <f>value(GBP!$B1170)</f>
        <v>15751.168</v>
      </c>
      <c r="F1170" s="1">
        <f>value(CHF!$B1170)</f>
        <v>11029.504</v>
      </c>
      <c r="G1170" s="1">
        <f>value(SGD!$B1170)</f>
        <v>8097.792</v>
      </c>
      <c r="H1170" s="1">
        <f>value(MYR!$B1170)</f>
        <v>3135.3856</v>
      </c>
      <c r="I1170" s="1">
        <f>value(THB!$B1170)</f>
        <v>322.9696</v>
      </c>
      <c r="J1170" s="1">
        <f>value(VND!$B1170)</f>
        <v>0.5425322613</v>
      </c>
      <c r="K1170" s="1">
        <f>value(CNY!$B1170)</f>
        <v>1865.08112</v>
      </c>
      <c r="L1170" s="1">
        <f>value(HKD!$B1170)</f>
        <v>1319.936</v>
      </c>
      <c r="M1170" s="1">
        <f>value(TWD!$B1170)</f>
        <v>342.528</v>
      </c>
      <c r="N1170" s="1">
        <f>value(JPY!$B1170)</f>
        <v>104.1408</v>
      </c>
      <c r="O1170" s="1">
        <f>value(SAR!$B1170)</f>
        <v>2945.792296</v>
      </c>
      <c r="P1170" s="1">
        <f>value(AED!$B1170)</f>
        <v>3151.02786</v>
      </c>
      <c r="Q1170" s="1">
        <f>value(KWD!$B1170)</f>
        <v>41060.22559</v>
      </c>
    </row>
    <row r="1171">
      <c r="A1171" s="4">
        <f>value(USD!A1171)</f>
        <v>41481.99861</v>
      </c>
      <c r="B1171" s="1">
        <f>value(USD!B1171)</f>
        <v>10233</v>
      </c>
      <c r="C1171" s="1">
        <f>value(AUD!$B1171)</f>
        <v>9293.3568</v>
      </c>
      <c r="D1171" s="1">
        <f>value(EUR!$B1171)</f>
        <v>13642.3665</v>
      </c>
      <c r="E1171" s="1">
        <f>value(GBP!$B1171)</f>
        <v>15805.42866</v>
      </c>
      <c r="F1171" s="1">
        <f>value(CHF!$B1171)</f>
        <v>11064.8475</v>
      </c>
      <c r="G1171" s="1">
        <f>value(SGD!$B1171)</f>
        <v>8122.26555</v>
      </c>
      <c r="H1171" s="1">
        <f>value(MYR!$B1171)</f>
        <v>3199.71771</v>
      </c>
      <c r="I1171" s="1">
        <f>value(THB!$B1171)</f>
        <v>323.98695</v>
      </c>
      <c r="J1171" s="1">
        <f>value(VND!$B1171)</f>
        <v>0.5388160164</v>
      </c>
      <c r="K1171" s="1">
        <f>value(CNY!$B1171)</f>
        <v>1870.14528</v>
      </c>
      <c r="L1171" s="1">
        <f>value(HKD!$B1171)</f>
        <v>1323.77679</v>
      </c>
      <c r="M1171" s="1">
        <f>value(TWD!$B1171)</f>
        <v>343.70343</v>
      </c>
      <c r="N1171" s="1">
        <f>value(JPY!$B1171)</f>
        <v>104.64111</v>
      </c>
      <c r="O1171" s="1">
        <f>value(SAR!$B1171)</f>
        <v>2961.806389</v>
      </c>
      <c r="P1171" s="1">
        <f>value(AED!$B1171)</f>
        <v>3133.88052</v>
      </c>
      <c r="Q1171" s="1">
        <f>value(KWD!$B1171)</f>
        <v>41060.22559</v>
      </c>
    </row>
    <row r="1172">
      <c r="A1172" s="4">
        <f>value(USD!A1172)</f>
        <v>41482.99861</v>
      </c>
      <c r="B1172" s="1">
        <f>value(USD!B1172)</f>
        <v>10240</v>
      </c>
      <c r="C1172" s="1">
        <f>value(AUD!$B1172)</f>
        <v>9157.35</v>
      </c>
      <c r="D1172" s="1">
        <f>value(EUR!$B1172)</f>
        <v>13582.5196</v>
      </c>
      <c r="E1172" s="1">
        <f>value(GBP!$B1172)</f>
        <v>15711.2228</v>
      </c>
      <c r="F1172" s="1">
        <f>value(CHF!$B1172)</f>
        <v>10997.9584</v>
      </c>
      <c r="G1172" s="1">
        <f>value(SGD!$B1172)</f>
        <v>8079.54524</v>
      </c>
      <c r="H1172" s="1">
        <f>value(MYR!$B1172)</f>
        <v>3173.28388</v>
      </c>
      <c r="I1172" s="1">
        <f>value(THB!$B1172)</f>
        <v>328.3202</v>
      </c>
      <c r="J1172" s="1">
        <f>value(VND!$B1172)</f>
        <v>0.5370791743</v>
      </c>
      <c r="K1172" s="1">
        <f>value(CNY!$B1172)</f>
        <v>1837.82895</v>
      </c>
      <c r="L1172" s="1">
        <f>value(HKD!$B1172)</f>
        <v>1320.55404</v>
      </c>
      <c r="M1172" s="1">
        <f>value(TWD!$B1172)</f>
        <v>341.6374</v>
      </c>
      <c r="N1172" s="1">
        <f>value(JPY!$B1172)</f>
        <v>104.580996</v>
      </c>
      <c r="O1172" s="1">
        <f>value(SAR!$B1172)</f>
        <v>2961.569246</v>
      </c>
      <c r="P1172" s="1">
        <f>value(AED!$B1172)</f>
        <v>3155.9271</v>
      </c>
      <c r="Q1172" s="1">
        <f>value(KWD!$B1172)</f>
        <v>41007.05664</v>
      </c>
    </row>
    <row r="1173">
      <c r="A1173" s="4">
        <f>value(USD!A1173)</f>
        <v>41483.99861</v>
      </c>
      <c r="B1173" s="1">
        <f>value(USD!B1173)</f>
        <v>10269</v>
      </c>
      <c r="C1173" s="1">
        <f>value(AUD!$B1173)</f>
        <v>9164.2628</v>
      </c>
      <c r="D1173" s="1">
        <f>value(EUR!$B1173)</f>
        <v>13583.74888</v>
      </c>
      <c r="E1173" s="1">
        <f>value(GBP!$B1173)</f>
        <v>15605.7096</v>
      </c>
      <c r="F1173" s="1">
        <f>value(CHF!$B1173)</f>
        <v>11013.3244</v>
      </c>
      <c r="G1173" s="1">
        <f>value(SGD!$B1173)</f>
        <v>8058.13528</v>
      </c>
      <c r="H1173" s="1">
        <f>value(MYR!$B1173)</f>
        <v>3163.65452</v>
      </c>
      <c r="I1173" s="1">
        <f>value(THB!$B1173)</f>
        <v>327.2958</v>
      </c>
      <c r="J1173" s="1">
        <f>value(VND!$B1173)</f>
        <v>0.5372214218</v>
      </c>
      <c r="K1173" s="1">
        <f>value(CNY!$B1173)</f>
        <v>1849.56192</v>
      </c>
      <c r="L1173" s="1">
        <f>value(HKD!$B1173)</f>
        <v>1320.86136</v>
      </c>
      <c r="M1173" s="1">
        <f>value(TWD!$B1173)</f>
        <v>341.53496</v>
      </c>
      <c r="N1173" s="1">
        <f>value(JPY!$B1173)</f>
        <v>104.376116</v>
      </c>
      <c r="O1173" s="1">
        <f>value(SAR!$B1173)</f>
        <v>2972.533259</v>
      </c>
      <c r="P1173" s="1">
        <f>value(AED!$B1173)</f>
        <v>3155.9271</v>
      </c>
      <c r="Q1173" s="1">
        <f>value(KWD!$B1173)</f>
        <v>40883.38176</v>
      </c>
    </row>
    <row r="1174">
      <c r="A1174" s="4">
        <f>value(USD!A1174)</f>
        <v>41484.99861</v>
      </c>
      <c r="B1174" s="1">
        <f>value(USD!B1174)</f>
        <v>10244</v>
      </c>
      <c r="C1174" s="1">
        <f>value(AUD!$B1174)</f>
        <v>9140.8135</v>
      </c>
      <c r="D1174" s="1">
        <f>value(EUR!$B1174)</f>
        <v>13625.2225</v>
      </c>
      <c r="E1174" s="1">
        <f>value(GBP!$B1174)</f>
        <v>15557.45</v>
      </c>
      <c r="F1174" s="1">
        <f>value(CHF!$B1174)</f>
        <v>11058.725</v>
      </c>
      <c r="G1174" s="1">
        <f>value(SGD!$B1174)</f>
        <v>8052.5025</v>
      </c>
      <c r="H1174" s="1">
        <f>value(MYR!$B1174)</f>
        <v>3154.95</v>
      </c>
      <c r="I1174" s="1">
        <f>value(THB!$B1174)</f>
        <v>327.6925</v>
      </c>
      <c r="J1174" s="1">
        <f>value(VND!$B1174)</f>
        <v>0.5395922136</v>
      </c>
      <c r="K1174" s="1">
        <f>value(CNY!$B1174)</f>
        <v>1851.75075</v>
      </c>
      <c r="L1174" s="1">
        <f>value(HKD!$B1174)</f>
        <v>1321.635</v>
      </c>
      <c r="M1174" s="1">
        <f>value(TWD!$B1174)</f>
        <v>342.4525</v>
      </c>
      <c r="N1174" s="1">
        <f>value(JPY!$B1174)</f>
        <v>104.714</v>
      </c>
      <c r="O1174" s="1">
        <f>value(SAR!$B1174)</f>
        <v>2975.713895</v>
      </c>
      <c r="P1174" s="1">
        <f>value(AED!$B1174)</f>
        <v>3158.6489</v>
      </c>
      <c r="Q1174" s="1">
        <f>value(KWD!$B1174)</f>
        <v>41091.86227</v>
      </c>
    </row>
    <row r="1175">
      <c r="A1175" s="4">
        <f>value(USD!A1175)</f>
        <v>41485.99861</v>
      </c>
      <c r="B1175" s="1">
        <f>value(USD!B1175)</f>
        <v>10244</v>
      </c>
      <c r="C1175" s="1">
        <f>value(AUD!$B1175)</f>
        <v>9135.504</v>
      </c>
      <c r="D1175" s="1">
        <f>value(EUR!$B1175)</f>
        <v>13543.9172</v>
      </c>
      <c r="E1175" s="1">
        <f>value(GBP!$B1175)</f>
        <v>15496.9232</v>
      </c>
      <c r="F1175" s="1">
        <f>value(CHF!$B1175)</f>
        <v>10945.0352</v>
      </c>
      <c r="G1175" s="1">
        <f>value(SGD!$B1175)</f>
        <v>8031.21176</v>
      </c>
      <c r="H1175" s="1">
        <f>value(MYR!$B1175)</f>
        <v>3158.6412</v>
      </c>
      <c r="I1175" s="1">
        <f>value(THB!$B1175)</f>
        <v>327.14132</v>
      </c>
      <c r="J1175" s="1">
        <f>value(VND!$B1175)</f>
        <v>0.5387387286</v>
      </c>
      <c r="K1175" s="1">
        <f>value(CNY!$B1175)</f>
        <v>1854.59</v>
      </c>
      <c r="L1175" s="1">
        <f>value(HKD!$B1175)</f>
        <v>1321.68784</v>
      </c>
      <c r="M1175" s="1">
        <f>value(TWD!$B1175)</f>
        <v>340.57144</v>
      </c>
      <c r="N1175" s="1">
        <f>value(JPY!$B1175)</f>
        <v>103.063356</v>
      </c>
      <c r="O1175" s="1">
        <f>value(SAR!$B1175)</f>
        <v>2973.333259</v>
      </c>
      <c r="P1175" s="1">
        <f>value(AED!$B1175)</f>
        <v>3149.1226</v>
      </c>
      <c r="Q1175" s="1">
        <f>value(KWD!$B1175)</f>
        <v>41299.03975</v>
      </c>
    </row>
    <row r="1176">
      <c r="A1176" s="4">
        <f>value(USD!A1176)</f>
        <v>41486.99861</v>
      </c>
      <c r="B1176" s="1">
        <f>value(USD!B1176)</f>
        <v>10250</v>
      </c>
      <c r="C1176" s="1">
        <f>value(AUD!$B1176)</f>
        <v>9106.8787</v>
      </c>
      <c r="D1176" s="1">
        <f>value(EUR!$B1176)</f>
        <v>13636.3006</v>
      </c>
      <c r="E1176" s="1">
        <f>value(GBP!$B1176)</f>
        <v>15696.3599</v>
      </c>
      <c r="F1176" s="1">
        <f>value(CHF!$B1176)</f>
        <v>11047.439</v>
      </c>
      <c r="G1176" s="1">
        <f>value(SGD!$B1176)</f>
        <v>8076.4307</v>
      </c>
      <c r="H1176" s="1">
        <f>value(MYR!$B1176)</f>
        <v>3149.2955</v>
      </c>
      <c r="I1176" s="1">
        <f>value(THB!$B1176)</f>
        <v>328.2292</v>
      </c>
      <c r="J1176" s="1">
        <f>value(VND!$B1176)</f>
        <v>0.5396870453</v>
      </c>
      <c r="K1176" s="1">
        <f>value(CNY!$B1176)</f>
        <v>1864.96695</v>
      </c>
      <c r="L1176" s="1">
        <f>value(HKD!$B1176)</f>
        <v>1324.0084</v>
      </c>
      <c r="M1176" s="1">
        <f>value(TWD!$B1176)</f>
        <v>344.1477</v>
      </c>
      <c r="N1176" s="1">
        <f>value(JPY!$B1176)</f>
        <v>103.8297</v>
      </c>
      <c r="O1176" s="1">
        <f>value(SAR!$B1176)</f>
        <v>2971.147943</v>
      </c>
      <c r="P1176" s="1">
        <f>value(AED!$B1176)</f>
        <v>3165.18122</v>
      </c>
      <c r="Q1176" s="1">
        <f>value(KWD!$B1176)</f>
        <v>41322.51894</v>
      </c>
    </row>
    <row r="1177">
      <c r="A1177" s="4">
        <f>value(USD!A1177)</f>
        <v>41487.99861</v>
      </c>
      <c r="B1177" s="1">
        <f>value(USD!B1177)</f>
        <v>10252</v>
      </c>
      <c r="C1177" s="1">
        <f>value(AUD!$B1177)</f>
        <v>9142.1984</v>
      </c>
      <c r="D1177" s="1">
        <f>value(EUR!$B1177)</f>
        <v>13626.306</v>
      </c>
      <c r="E1177" s="1">
        <f>value(GBP!$B1177)</f>
        <v>15683.436</v>
      </c>
      <c r="F1177" s="1">
        <f>value(CHF!$B1177)</f>
        <v>11034.63</v>
      </c>
      <c r="G1177" s="1">
        <f>value(SGD!$B1177)</f>
        <v>8068.5666</v>
      </c>
      <c r="H1177" s="1">
        <f>value(MYR!$B1177)</f>
        <v>3146.9472</v>
      </c>
      <c r="I1177" s="1">
        <f>value(THB!$B1177)</f>
        <v>328.0122</v>
      </c>
      <c r="J1177" s="1">
        <f>value(VND!$B1177)</f>
        <v>0.5395447978</v>
      </c>
      <c r="K1177" s="1">
        <f>value(CNY!$B1177)</f>
        <v>1869.6552</v>
      </c>
      <c r="L1177" s="1">
        <f>value(HKD!$B1177)</f>
        <v>1322.6166</v>
      </c>
      <c r="M1177" s="1">
        <f>value(TWD!$B1177)</f>
        <v>343.9152</v>
      </c>
      <c r="N1177" s="1">
        <f>value(JPY!$B1177)</f>
        <v>103.626</v>
      </c>
      <c r="O1177" s="1">
        <f>value(SAR!$B1177)</f>
        <v>2991.646778</v>
      </c>
      <c r="P1177" s="1">
        <f>value(AED!$B1177)</f>
        <v>3178.2465</v>
      </c>
      <c r="Q1177" s="1">
        <f>value(KWD!$B1177)</f>
        <v>41322.51894</v>
      </c>
    </row>
    <row r="1178">
      <c r="A1178" s="4">
        <f>value(USD!A1178)</f>
        <v>41488.99861</v>
      </c>
      <c r="B1178" s="1">
        <f>value(USD!B1178)</f>
        <v>10270</v>
      </c>
      <c r="C1178" s="1">
        <f>value(AUD!$B1178)</f>
        <v>9213.55539</v>
      </c>
      <c r="D1178" s="1">
        <f>value(EUR!$B1178)</f>
        <v>13583.0891</v>
      </c>
      <c r="E1178" s="1">
        <f>value(GBP!$B1178)</f>
        <v>15634.61734</v>
      </c>
      <c r="F1178" s="1">
        <f>value(CHF!$B1178)</f>
        <v>11009.4727</v>
      </c>
      <c r="G1178" s="1">
        <f>value(SGD!$B1178)</f>
        <v>8048.38178</v>
      </c>
      <c r="H1178" s="1">
        <f>value(MYR!$B1178)</f>
        <v>3101.02364</v>
      </c>
      <c r="I1178" s="1">
        <f>value(THB!$B1178)</f>
        <v>321.39518</v>
      </c>
      <c r="J1178" s="1">
        <f>value(VND!$B1178)</f>
        <v>0.5467994207</v>
      </c>
      <c r="K1178" s="1">
        <f>value(CNY!$B1178)</f>
        <v>1872.00804</v>
      </c>
      <c r="L1178" s="1">
        <f>value(HKD!$B1178)</f>
        <v>1318.72268</v>
      </c>
      <c r="M1178" s="1">
        <f>value(TWD!$B1178)</f>
        <v>342.77379</v>
      </c>
      <c r="N1178" s="1">
        <f>value(JPY!$B1178)</f>
        <v>103.41519</v>
      </c>
      <c r="O1178" s="1">
        <f>value(SAR!$B1178)</f>
        <v>3020.338396</v>
      </c>
      <c r="P1178" s="1">
        <f>value(AED!$B1178)</f>
        <v>3175.52406</v>
      </c>
      <c r="Q1178" s="1">
        <f>value(KWD!$B1178)</f>
        <v>41483.18573</v>
      </c>
    </row>
    <row r="1179">
      <c r="A1179" s="4">
        <f>value(USD!A1179)</f>
        <v>41489.99861</v>
      </c>
      <c r="B1179" s="1">
        <f>value(USD!B1179)</f>
        <v>10260</v>
      </c>
      <c r="C1179" s="1">
        <f>value(AUD!$B1179)</f>
        <v>9232.2</v>
      </c>
      <c r="D1179" s="1">
        <f>value(EUR!$B1179)</f>
        <v>13596.3792</v>
      </c>
      <c r="E1179" s="1">
        <f>value(GBP!$B1179)</f>
        <v>15737.21664</v>
      </c>
      <c r="F1179" s="1">
        <f>value(CHF!$B1179)</f>
        <v>11055.968</v>
      </c>
      <c r="G1179" s="1">
        <f>value(SGD!$B1179)</f>
        <v>8083.47152</v>
      </c>
      <c r="H1179" s="1">
        <f>value(MYR!$B1179)</f>
        <v>3170.6424</v>
      </c>
      <c r="I1179" s="1">
        <f>value(THB!$B1179)</f>
        <v>326.55104</v>
      </c>
      <c r="J1179" s="1">
        <f>value(VND!$B1179)</f>
        <v>0.5483641433</v>
      </c>
      <c r="K1179" s="1">
        <f>value(CNY!$B1179)</f>
        <v>1867.0905</v>
      </c>
      <c r="L1179" s="1">
        <f>value(HKD!$B1179)</f>
        <v>1322.10096</v>
      </c>
      <c r="M1179" s="1">
        <f>value(TWD!$B1179)</f>
        <v>342.34528</v>
      </c>
      <c r="N1179" s="1">
        <f>value(JPY!$B1179)</f>
        <v>104.365056</v>
      </c>
      <c r="O1179" s="1">
        <f>value(SAR!$B1179)</f>
        <v>3021.939848</v>
      </c>
      <c r="P1179" s="1">
        <f>value(AED!$B1179)</f>
        <v>3175.52406</v>
      </c>
      <c r="Q1179" s="1">
        <f>value(KWD!$B1179)</f>
        <v>41592.92025</v>
      </c>
    </row>
    <row r="1180">
      <c r="A1180" s="4">
        <f>value(USD!A1180)</f>
        <v>41490.99861</v>
      </c>
      <c r="B1180" s="1">
        <f>value(USD!B1180)</f>
        <v>10229</v>
      </c>
      <c r="C1180" s="1">
        <f>value(AUD!$B1180)</f>
        <v>9329.15178</v>
      </c>
      <c r="D1180" s="1">
        <f>value(EUR!$B1180)</f>
        <v>13649.50275</v>
      </c>
      <c r="E1180" s="1">
        <f>value(GBP!$B1180)</f>
        <v>15740.3922</v>
      </c>
      <c r="F1180" s="1">
        <f>value(CHF!$B1180)</f>
        <v>11078.5857</v>
      </c>
      <c r="G1180" s="1">
        <f>value(SGD!$B1180)</f>
        <v>8098.51692</v>
      </c>
      <c r="H1180" s="1">
        <f>value(MYR!$B1180)</f>
        <v>3156.59175</v>
      </c>
      <c r="I1180" s="1">
        <f>value(THB!$B1180)</f>
        <v>326.48031</v>
      </c>
      <c r="J1180" s="1">
        <f>value(VND!$B1180)</f>
        <v>0.5489331333</v>
      </c>
      <c r="K1180" s="1">
        <f>value(CNY!$B1180)</f>
        <v>1880.5706</v>
      </c>
      <c r="L1180" s="1">
        <f>value(HKD!$B1180)</f>
        <v>1322.33244</v>
      </c>
      <c r="M1180" s="1">
        <f>value(TWD!$B1180)</f>
        <v>343.30179</v>
      </c>
      <c r="N1180" s="1">
        <f>value(JPY!$B1180)</f>
        <v>104.92911</v>
      </c>
      <c r="O1180" s="1">
        <f>value(SAR!$B1180)</f>
        <v>3034.933257</v>
      </c>
      <c r="P1180" s="1">
        <f>value(AED!$B1180)</f>
        <v>3189.67742</v>
      </c>
      <c r="Q1180" s="1">
        <f>value(KWD!$B1180)</f>
        <v>42079.89852</v>
      </c>
    </row>
    <row r="1181">
      <c r="A1181" s="4">
        <f>value(USD!A1181)</f>
        <v>41491.99861</v>
      </c>
      <c r="B1181" s="1">
        <f>value(USD!B1181)</f>
        <v>10256</v>
      </c>
      <c r="C1181" s="1">
        <f>value(AUD!$B1181)</f>
        <v>9438.687</v>
      </c>
      <c r="D1181" s="1">
        <f>value(EUR!$B1181)</f>
        <v>13682.1204</v>
      </c>
      <c r="E1181" s="1">
        <f>value(GBP!$B1181)</f>
        <v>15889.642</v>
      </c>
      <c r="F1181" s="1">
        <f>value(CHF!$B1181)</f>
        <v>11133.0074</v>
      </c>
      <c r="G1181" s="1">
        <f>value(SGD!$B1181)</f>
        <v>8093.76716</v>
      </c>
      <c r="H1181" s="1">
        <f>value(MYR!$B1181)</f>
        <v>3149.00084</v>
      </c>
      <c r="I1181" s="1">
        <f>value(THB!$B1181)</f>
        <v>326.51214</v>
      </c>
      <c r="J1181" s="1">
        <f>value(VND!$B1181)</f>
        <v>0.5459459357</v>
      </c>
      <c r="K1181" s="1">
        <f>value(CNY!$B1181)</f>
        <v>1889.016746</v>
      </c>
      <c r="L1181" s="1">
        <f>value(HKD!$B1181)</f>
        <v>1322.46136</v>
      </c>
      <c r="M1181" s="1">
        <f>value(TWD!$B1181)</f>
        <v>343.43784</v>
      </c>
      <c r="N1181" s="1">
        <f>value(JPY!$B1181)</f>
        <v>106.334428</v>
      </c>
      <c r="O1181" s="1">
        <f>value(SAR!$B1181)</f>
        <v>3037.849638</v>
      </c>
      <c r="P1181" s="1">
        <f>value(AED!$B1181)</f>
        <v>3198.115</v>
      </c>
      <c r="Q1181" s="1">
        <f>value(KWD!$B1181)</f>
        <v>42100.78356</v>
      </c>
    </row>
    <row r="1182">
      <c r="A1182" s="4">
        <f>value(USD!A1182)</f>
        <v>41492.99861</v>
      </c>
      <c r="B1182" s="1">
        <f>value(USD!B1182)</f>
        <v>10257</v>
      </c>
      <c r="C1182" s="1">
        <f>value(AUD!$B1182)</f>
        <v>9436.38948</v>
      </c>
      <c r="D1182" s="1">
        <f>value(EUR!$B1182)</f>
        <v>13723.66086</v>
      </c>
      <c r="E1182" s="1">
        <f>value(GBP!$B1182)</f>
        <v>15935.17263</v>
      </c>
      <c r="F1182" s="1">
        <f>value(CHF!$B1182)</f>
        <v>11146.2819</v>
      </c>
      <c r="G1182" s="1">
        <f>value(SGD!$B1182)</f>
        <v>8134.41642</v>
      </c>
      <c r="H1182" s="1">
        <f>value(MYR!$B1182)</f>
        <v>3148.59129</v>
      </c>
      <c r="I1182" s="1">
        <f>value(THB!$B1182)</f>
        <v>328.53171</v>
      </c>
      <c r="J1182" s="1">
        <f>value(VND!$B1182)</f>
        <v>0.5593882639</v>
      </c>
      <c r="K1182" s="1">
        <f>value(CNY!$B1182)</f>
        <v>1876.54245</v>
      </c>
      <c r="L1182" s="1">
        <f>value(HKD!$B1182)</f>
        <v>1322.33244</v>
      </c>
      <c r="M1182" s="1">
        <f>value(TWD!$B1182)</f>
        <v>343.71207</v>
      </c>
      <c r="N1182" s="1">
        <f>value(JPY!$B1182)</f>
        <v>106.098408</v>
      </c>
      <c r="O1182" s="1">
        <f>value(SAR!$B1182)</f>
        <v>3037.849638</v>
      </c>
      <c r="P1182" s="1">
        <f>value(AED!$B1182)</f>
        <v>3233.4984</v>
      </c>
      <c r="Q1182" s="1">
        <f>value(KWD!$B1182)</f>
        <v>42018.34868</v>
      </c>
    </row>
    <row r="1183">
      <c r="A1183" s="4">
        <f>value(USD!A1183)</f>
        <v>41493.99861</v>
      </c>
      <c r="B1183" s="1">
        <f>value(USD!B1183)</f>
        <v>10258</v>
      </c>
      <c r="C1183" s="1">
        <f>value(AUD!$B1183)</f>
        <v>9365.20382</v>
      </c>
      <c r="D1183" s="1">
        <f>value(EUR!$B1183)</f>
        <v>13688.892</v>
      </c>
      <c r="E1183" s="1">
        <f>value(GBP!$B1183)</f>
        <v>15906.4884</v>
      </c>
      <c r="F1183" s="1">
        <f>value(CHF!$B1183)</f>
        <v>11120.814</v>
      </c>
      <c r="G1183" s="1">
        <f>value(SGD!$B1183)</f>
        <v>8157.5208</v>
      </c>
      <c r="H1183" s="1">
        <f>value(MYR!$B1183)</f>
        <v>3149.5122</v>
      </c>
      <c r="I1183" s="1">
        <f>value(THB!$B1183)</f>
        <v>328.1148</v>
      </c>
      <c r="J1183" s="1">
        <f>value(VND!$B1183)</f>
        <v>0.5497866184</v>
      </c>
      <c r="K1183" s="1">
        <f>value(CNY!$B1183)</f>
        <v>1886.55712</v>
      </c>
      <c r="L1183" s="1">
        <f>value(HKD!$B1183)</f>
        <v>1322.8218</v>
      </c>
      <c r="M1183" s="1">
        <f>value(TWD!$B1183)</f>
        <v>342.171</v>
      </c>
      <c r="N1183" s="1">
        <f>value(JPY!$B1183)</f>
        <v>106.6014</v>
      </c>
      <c r="O1183" s="1">
        <f>value(SAR!$B1183)</f>
        <v>3029.065577</v>
      </c>
      <c r="P1183" s="1">
        <f>value(AED!$B1183)</f>
        <v>3233.4984</v>
      </c>
      <c r="Q1183" s="1">
        <f>value(KWD!$B1183)</f>
        <v>41192.7225</v>
      </c>
    </row>
    <row r="1184">
      <c r="A1184" s="4">
        <f>value(USD!A1184)</f>
        <v>41494.99861</v>
      </c>
      <c r="B1184" s="1">
        <f>value(USD!B1184)</f>
        <v>10257</v>
      </c>
      <c r="C1184" s="1">
        <f>value(AUD!$B1184)</f>
        <v>9369.4272</v>
      </c>
      <c r="D1184" s="1">
        <f>value(EUR!$B1184)</f>
        <v>13705.38689</v>
      </c>
      <c r="E1184" s="1">
        <f>value(GBP!$B1184)</f>
        <v>15927.41436</v>
      </c>
      <c r="F1184" s="1">
        <f>value(CHF!$B1184)</f>
        <v>11133.707</v>
      </c>
      <c r="G1184" s="1">
        <f>value(SGD!$B1184)</f>
        <v>8165.4716</v>
      </c>
      <c r="H1184" s="1">
        <f>value(MYR!$B1184)</f>
        <v>3152.5819</v>
      </c>
      <c r="I1184" s="1">
        <f>value(THB!$B1184)</f>
        <v>328.4346</v>
      </c>
      <c r="J1184" s="1">
        <f>value(VND!$B1184)</f>
        <v>0.5502607767</v>
      </c>
      <c r="K1184" s="1">
        <f>value(CNY!$B1184)</f>
        <v>1874.53841</v>
      </c>
      <c r="L1184" s="1">
        <f>value(HKD!$B1184)</f>
        <v>1324.1111</v>
      </c>
      <c r="M1184" s="1">
        <f>value(TWD!$B1184)</f>
        <v>342.5045</v>
      </c>
      <c r="N1184" s="1">
        <f>value(JPY!$B1184)</f>
        <v>106.7053</v>
      </c>
      <c r="O1184" s="1">
        <f>value(SAR!$B1184)</f>
        <v>3047.296171</v>
      </c>
      <c r="P1184" s="1">
        <f>value(AED!$B1184)</f>
        <v>3227.51044</v>
      </c>
      <c r="Q1184" s="1">
        <f>value(KWD!$B1184)</f>
        <v>41192.7225</v>
      </c>
    </row>
    <row r="1185">
      <c r="A1185" s="4">
        <f>value(USD!A1185)</f>
        <v>41495.99861</v>
      </c>
      <c r="B1185" s="1">
        <f>value(USD!B1185)</f>
        <v>10260</v>
      </c>
      <c r="C1185" s="1">
        <f>value(AUD!$B1185)</f>
        <v>9396.60162</v>
      </c>
      <c r="D1185" s="1">
        <f>value(EUR!$B1185)</f>
        <v>13692.27384</v>
      </c>
      <c r="E1185" s="1">
        <f>value(GBP!$B1185)</f>
        <v>15923.1114</v>
      </c>
      <c r="F1185" s="1">
        <f>value(CHF!$B1185)</f>
        <v>11128.5153</v>
      </c>
      <c r="G1185" s="1">
        <f>value(SGD!$B1185)</f>
        <v>8161.69851</v>
      </c>
      <c r="H1185" s="1">
        <f>value(MYR!$B1185)</f>
        <v>3150.32382</v>
      </c>
      <c r="I1185" s="1">
        <f>value(THB!$B1185)</f>
        <v>328.19724</v>
      </c>
      <c r="J1185" s="1">
        <f>value(VND!$B1185)</f>
        <v>0.5486012225</v>
      </c>
      <c r="K1185" s="1">
        <f>value(CNY!$B1185)</f>
        <v>1879.19676</v>
      </c>
      <c r="L1185" s="1">
        <f>value(HKD!$B1185)</f>
        <v>1323.98217</v>
      </c>
      <c r="M1185" s="1">
        <f>value(TWD!$B1185)</f>
        <v>342.36846</v>
      </c>
      <c r="N1185" s="1">
        <f>value(JPY!$B1185)</f>
        <v>106.59222</v>
      </c>
      <c r="O1185" s="1">
        <f>value(SAR!$B1185)</f>
        <v>3055.244186</v>
      </c>
      <c r="P1185" s="1">
        <f>value(AED!$B1185)</f>
        <v>3164.0925</v>
      </c>
      <c r="Q1185" s="1">
        <f>value(KWD!$B1185)</f>
        <v>42070.79635</v>
      </c>
    </row>
    <row r="1186">
      <c r="A1186" s="4">
        <f>value(USD!A1186)</f>
        <v>41496.99861</v>
      </c>
      <c r="B1186" s="1">
        <f>value(USD!B1186)</f>
        <v>10270</v>
      </c>
      <c r="C1186" s="1">
        <f>value(AUD!$B1186)</f>
        <v>9423.8667</v>
      </c>
      <c r="D1186" s="1">
        <f>value(EUR!$B1186)</f>
        <v>13641.99494</v>
      </c>
      <c r="E1186" s="1">
        <f>value(GBP!$B1186)</f>
        <v>15857.8686</v>
      </c>
      <c r="F1186" s="1">
        <f>value(CHF!$B1186)</f>
        <v>11075.7766</v>
      </c>
      <c r="G1186" s="1">
        <f>value(SGD!$B1186)</f>
        <v>8121.55204</v>
      </c>
      <c r="H1186" s="1">
        <f>value(MYR!$B1186)</f>
        <v>3155.97548</v>
      </c>
      <c r="I1186" s="1">
        <f>value(THB!$B1186)</f>
        <v>328.17876</v>
      </c>
      <c r="J1186" s="1">
        <f>value(VND!$B1186)</f>
        <v>0.5513987568</v>
      </c>
      <c r="K1186" s="1">
        <f>value(CNY!$B1186)</f>
        <v>1879.70523</v>
      </c>
      <c r="L1186" s="1">
        <f>value(HKD!$B1186)</f>
        <v>1323.07966</v>
      </c>
      <c r="M1186" s="1">
        <f>value(TWD!$B1186)</f>
        <v>342.34032</v>
      </c>
      <c r="N1186" s="1">
        <f>value(JPY!$B1186)</f>
        <v>105.513884</v>
      </c>
      <c r="O1186" s="1">
        <f>value(SAR!$B1186)</f>
        <v>3004.217352</v>
      </c>
      <c r="P1186" s="1">
        <f>value(AED!$B1186)</f>
        <v>3164.0925</v>
      </c>
      <c r="Q1186" s="1">
        <f>value(KWD!$B1186)</f>
        <v>42048.46444</v>
      </c>
    </row>
    <row r="1187">
      <c r="A1187" s="4">
        <f>value(USD!A1187)</f>
        <v>41497.99861</v>
      </c>
      <c r="B1187" s="1">
        <f>value(USD!B1187)</f>
        <v>10269</v>
      </c>
      <c r="C1187" s="1">
        <f>value(AUD!$B1187)</f>
        <v>9512.4484</v>
      </c>
      <c r="D1187" s="1">
        <f>value(EUR!$B1187)</f>
        <v>13664.03136</v>
      </c>
      <c r="E1187" s="1">
        <f>value(GBP!$B1187)</f>
        <v>15914.32192</v>
      </c>
      <c r="F1187" s="1">
        <f>value(CHF!$B1187)</f>
        <v>11042.7968</v>
      </c>
      <c r="G1187" s="1">
        <f>value(SGD!$B1187)</f>
        <v>8124.29184</v>
      </c>
      <c r="H1187" s="1">
        <f>value(MYR!$B1187)</f>
        <v>3158.79424</v>
      </c>
      <c r="I1187" s="1">
        <f>value(THB!$B1187)</f>
        <v>329.31584</v>
      </c>
      <c r="J1187" s="1">
        <f>value(VND!$B1187)</f>
        <v>0.5535324694</v>
      </c>
      <c r="K1187" s="1">
        <f>value(CNY!$B1187)</f>
        <v>1877.6294</v>
      </c>
      <c r="L1187" s="1">
        <f>value(HKD!$B1187)</f>
        <v>1328.59776</v>
      </c>
      <c r="M1187" s="1">
        <f>value(TWD!$B1187)</f>
        <v>343.1232</v>
      </c>
      <c r="N1187" s="1">
        <f>value(JPY!$B1187)</f>
        <v>104.863808</v>
      </c>
      <c r="O1187" s="1">
        <f>value(SAR!$B1187)</f>
        <v>3019.360923</v>
      </c>
      <c r="P1187" s="1">
        <f>value(AED!$B1187)</f>
        <v>3234.8593</v>
      </c>
      <c r="Q1187" s="1">
        <f>value(KWD!$B1187)</f>
        <v>42356.26556</v>
      </c>
    </row>
    <row r="1188">
      <c r="A1188" s="4">
        <f>value(USD!A1188)</f>
        <v>41498.99861</v>
      </c>
      <c r="B1188" s="1">
        <f>value(USD!B1188)</f>
        <v>10262</v>
      </c>
      <c r="C1188" s="1">
        <f>value(AUD!$B1188)</f>
        <v>9507.8436</v>
      </c>
      <c r="D1188" s="1">
        <f>value(EUR!$B1188)</f>
        <v>13652.56038</v>
      </c>
      <c r="E1188" s="1">
        <f>value(GBP!$B1188)</f>
        <v>15968.5995</v>
      </c>
      <c r="F1188" s="1">
        <f>value(CHF!$B1188)</f>
        <v>11017.8702</v>
      </c>
      <c r="G1188" s="1">
        <f>value(SGD!$B1188)</f>
        <v>8109.12363</v>
      </c>
      <c r="H1188" s="1">
        <f>value(MYR!$B1188)</f>
        <v>3141.81294</v>
      </c>
      <c r="I1188" s="1">
        <f>value(THB!$B1188)</f>
        <v>329.15604</v>
      </c>
      <c r="J1188" s="1">
        <f>value(VND!$B1188)</f>
        <v>0.5532005586</v>
      </c>
      <c r="K1188" s="1">
        <f>value(CNY!$B1188)</f>
        <v>1878.65822</v>
      </c>
      <c r="L1188" s="1">
        <f>value(HKD!$B1188)</f>
        <v>1327.95306</v>
      </c>
      <c r="M1188" s="1">
        <f>value(TWD!$B1188)</f>
        <v>343.78062</v>
      </c>
      <c r="N1188" s="1">
        <f>value(JPY!$B1188)</f>
        <v>105.060099</v>
      </c>
      <c r="O1188" s="1">
        <f>value(SAR!$B1188)</f>
        <v>3020.160966</v>
      </c>
      <c r="P1188" s="1">
        <f>value(AED!$B1188)</f>
        <v>3234.8593</v>
      </c>
      <c r="Q1188" s="1">
        <f>value(KWD!$B1188)</f>
        <v>42458.5121</v>
      </c>
    </row>
    <row r="1189">
      <c r="A1189" s="4">
        <f>value(USD!A1189)</f>
        <v>41499.99861</v>
      </c>
      <c r="B1189" s="1">
        <f>value(USD!B1189)</f>
        <v>10304</v>
      </c>
      <c r="C1189" s="1">
        <f>value(AUD!$B1189)</f>
        <v>9522.90432</v>
      </c>
      <c r="D1189" s="1">
        <f>value(EUR!$B1189)</f>
        <v>13777.59195</v>
      </c>
      <c r="E1189" s="1">
        <f>value(GBP!$B1189)</f>
        <v>16141.0428</v>
      </c>
      <c r="F1189" s="1">
        <f>value(CHF!$B1189)</f>
        <v>11142.6462</v>
      </c>
      <c r="G1189" s="1">
        <f>value(SGD!$B1189)</f>
        <v>8134.21431</v>
      </c>
      <c r="H1189" s="1">
        <f>value(MYR!$B1189)</f>
        <v>3147.06978</v>
      </c>
      <c r="I1189" s="1">
        <f>value(THB!$B1189)</f>
        <v>329.92308</v>
      </c>
      <c r="J1189" s="1">
        <f>value(VND!$B1189)</f>
        <v>0.5625632794</v>
      </c>
      <c r="K1189" s="1">
        <f>value(CNY!$B1189)</f>
        <v>1873.4445</v>
      </c>
      <c r="L1189" s="1">
        <f>value(HKD!$B1189)</f>
        <v>1331.15085</v>
      </c>
      <c r="M1189" s="1">
        <f>value(TWD!$B1189)</f>
        <v>346.23342</v>
      </c>
      <c r="N1189" s="1">
        <f>value(JPY!$B1189)</f>
        <v>106.12044</v>
      </c>
      <c r="O1189" s="1">
        <f>value(SAR!$B1189)</f>
        <v>3029.332479</v>
      </c>
      <c r="P1189" s="1">
        <f>value(AED!$B1189)</f>
        <v>3258.53896</v>
      </c>
      <c r="Q1189" s="1">
        <f>value(KWD!$B1189)</f>
        <v>42338.3481</v>
      </c>
    </row>
    <row r="1190">
      <c r="A1190" s="4">
        <f>value(USD!A1190)</f>
        <v>41500.99861</v>
      </c>
      <c r="B1190" s="1">
        <f>value(USD!B1190)</f>
        <v>10299</v>
      </c>
      <c r="C1190" s="1">
        <f>value(AUD!$B1190)</f>
        <v>9550.16073</v>
      </c>
      <c r="D1190" s="1">
        <f>value(EUR!$B1190)</f>
        <v>13805.736</v>
      </c>
      <c r="E1190" s="1">
        <f>value(GBP!$B1190)</f>
        <v>16189.572</v>
      </c>
      <c r="F1190" s="1">
        <f>value(CHF!$B1190)</f>
        <v>11177.404</v>
      </c>
      <c r="G1190" s="1">
        <f>value(SGD!$B1190)</f>
        <v>8154.1488</v>
      </c>
      <c r="H1190" s="1">
        <f>value(MYR!$B1190)</f>
        <v>3158.3496</v>
      </c>
      <c r="I1190" s="1">
        <f>value(THB!$B1190)</f>
        <v>330.7948</v>
      </c>
      <c r="J1190" s="1">
        <f>value(VND!$B1190)</f>
        <v>0.5532005586</v>
      </c>
      <c r="K1190" s="1">
        <f>value(CNY!$B1190)</f>
        <v>1878.03495</v>
      </c>
      <c r="L1190" s="1">
        <f>value(HKD!$B1190)</f>
        <v>1335.922</v>
      </c>
      <c r="M1190" s="1">
        <f>value(TWD!$B1190)</f>
        <v>346.3348</v>
      </c>
      <c r="N1190" s="1">
        <f>value(JPY!$B1190)</f>
        <v>106.19</v>
      </c>
      <c r="O1190" s="1">
        <f>value(SAR!$B1190)</f>
        <v>3047.37746</v>
      </c>
      <c r="P1190" s="1">
        <f>value(AED!$B1190)</f>
        <v>3259.3555</v>
      </c>
      <c r="Q1190" s="1">
        <f>value(KWD!$B1190)</f>
        <v>41374.66352</v>
      </c>
    </row>
    <row r="1191">
      <c r="A1191" s="4">
        <f>value(USD!A1191)</f>
        <v>41501.99861</v>
      </c>
      <c r="B1191" s="1">
        <f>value(USD!B1191)</f>
        <v>10323</v>
      </c>
      <c r="C1191" s="1">
        <f>value(AUD!$B1191)</f>
        <v>9652.0449</v>
      </c>
      <c r="D1191" s="1">
        <f>value(EUR!$B1191)</f>
        <v>13803.5124</v>
      </c>
      <c r="E1191" s="1">
        <f>value(GBP!$B1191)</f>
        <v>16183.3212</v>
      </c>
      <c r="F1191" s="1">
        <f>value(CHF!$B1191)</f>
        <v>11176.1952</v>
      </c>
      <c r="G1191" s="1">
        <f>value(SGD!$B1191)</f>
        <v>8151.00048</v>
      </c>
      <c r="H1191" s="1">
        <f>value(MYR!$B1191)</f>
        <v>3102.34692</v>
      </c>
      <c r="I1191" s="1">
        <f>value(THB!$B1191)</f>
        <v>324.6606</v>
      </c>
      <c r="J1191" s="1">
        <f>value(VND!$B1191)</f>
        <v>0.555666182</v>
      </c>
      <c r="K1191" s="1">
        <f>value(CNY!$B1191)</f>
        <v>1876.33504</v>
      </c>
      <c r="L1191" s="1">
        <f>value(HKD!$B1191)</f>
        <v>1335.4062</v>
      </c>
      <c r="M1191" s="1">
        <f>value(TWD!$B1191)</f>
        <v>346.30464</v>
      </c>
      <c r="N1191" s="1">
        <f>value(JPY!$B1191)</f>
        <v>106.149</v>
      </c>
      <c r="O1191" s="1">
        <f>value(SAR!$B1191)</f>
        <v>3052.162671</v>
      </c>
      <c r="P1191" s="1">
        <f>value(AED!$B1191)</f>
        <v>3252.551</v>
      </c>
      <c r="Q1191" s="1">
        <f>value(KWD!$B1191)</f>
        <v>41374.66352</v>
      </c>
    </row>
    <row r="1192">
      <c r="A1192" s="4">
        <f>value(USD!A1192)</f>
        <v>41502.99861</v>
      </c>
      <c r="B1192" s="1">
        <f>value(USD!B1192)</f>
        <v>10360</v>
      </c>
      <c r="C1192" s="1">
        <f>value(AUD!$B1192)</f>
        <v>9646.43748</v>
      </c>
      <c r="D1192" s="1">
        <f>value(EUR!$B1192)</f>
        <v>13814.11584</v>
      </c>
      <c r="E1192" s="1">
        <f>value(GBP!$B1192)</f>
        <v>16194.816</v>
      </c>
      <c r="F1192" s="1">
        <f>value(CHF!$B1192)</f>
        <v>11178.7776</v>
      </c>
      <c r="G1192" s="1">
        <f>value(SGD!$B1192)</f>
        <v>8156.5056</v>
      </c>
      <c r="H1192" s="1">
        <f>value(MYR!$B1192)</f>
        <v>3160.6848</v>
      </c>
      <c r="I1192" s="1">
        <f>value(THB!$B1192)</f>
        <v>324.93312</v>
      </c>
      <c r="J1192" s="1">
        <f>value(VND!$B1192)</f>
        <v>0.557136073</v>
      </c>
      <c r="K1192" s="1">
        <f>value(CNY!$B1192)</f>
        <v>1878.9966</v>
      </c>
      <c r="L1192" s="1">
        <f>value(HKD!$B1192)</f>
        <v>1337.05728</v>
      </c>
      <c r="M1192" s="1">
        <f>value(TWD!$B1192)</f>
        <v>346.60224</v>
      </c>
      <c r="N1192" s="1">
        <f>value(JPY!$B1192)</f>
        <v>106.06464</v>
      </c>
      <c r="O1192" s="1">
        <f>value(SAR!$B1192)</f>
        <v>3058.321007</v>
      </c>
      <c r="P1192" s="1">
        <f>value(AED!$B1192)</f>
        <v>3178.51804</v>
      </c>
      <c r="Q1192" s="1">
        <f>value(KWD!$B1192)</f>
        <v>41896.00942</v>
      </c>
    </row>
    <row r="1193">
      <c r="A1193" s="4">
        <f>value(USD!A1193)</f>
        <v>41503.99861</v>
      </c>
      <c r="B1193" s="1">
        <f>value(USD!B1193)</f>
        <v>10356</v>
      </c>
      <c r="C1193" s="1">
        <f>value(AUD!$B1193)</f>
        <v>9953.0704</v>
      </c>
      <c r="D1193" s="1">
        <f>value(EUR!$B1193)</f>
        <v>13949.11584</v>
      </c>
      <c r="E1193" s="1">
        <f>value(GBP!$B1193)</f>
        <v>16369.26819</v>
      </c>
      <c r="F1193" s="1">
        <f>value(CHF!$B1193)</f>
        <v>11311.4793</v>
      </c>
      <c r="G1193" s="1">
        <f>value(SGD!$B1193)</f>
        <v>8190.54456</v>
      </c>
      <c r="H1193" s="1">
        <f>value(MYR!$B1193)</f>
        <v>3180.35322</v>
      </c>
      <c r="I1193" s="1">
        <f>value(THB!$B1193)</f>
        <v>332.86902</v>
      </c>
      <c r="J1193" s="1">
        <f>value(VND!$B1193)</f>
        <v>0.5633001316</v>
      </c>
      <c r="K1193" s="1">
        <f>value(CNY!$B1193)</f>
        <v>1873.97124</v>
      </c>
      <c r="L1193" s="1">
        <f>value(HKD!$B1193)</f>
        <v>1348.94595</v>
      </c>
      <c r="M1193" s="1">
        <f>value(TWD!$B1193)</f>
        <v>348.14208</v>
      </c>
      <c r="N1193" s="1">
        <f>value(JPY!$B1193)</f>
        <v>107.01603</v>
      </c>
      <c r="O1193" s="1">
        <f>value(SAR!$B1193)</f>
        <v>3050.684602</v>
      </c>
      <c r="P1193" s="1">
        <f>value(AED!$B1193)</f>
        <v>3178.51804</v>
      </c>
      <c r="Q1193" s="1">
        <f>value(KWD!$B1193)</f>
        <v>41964.53556</v>
      </c>
    </row>
    <row r="1194">
      <c r="A1194" s="4">
        <f>value(USD!A1194)</f>
        <v>41504.99861</v>
      </c>
      <c r="B1194" s="1">
        <f>value(USD!B1194)</f>
        <v>10368</v>
      </c>
      <c r="C1194" s="1">
        <f>value(AUD!$B1194)</f>
        <v>9698.435</v>
      </c>
      <c r="D1194" s="1">
        <f>value(EUR!$B1194)</f>
        <v>14299.5626</v>
      </c>
      <c r="E1194" s="1">
        <f>value(GBP!$B1194)</f>
        <v>16693.44451</v>
      </c>
      <c r="F1194" s="1">
        <f>value(CHF!$B1194)</f>
        <v>11616.13</v>
      </c>
      <c r="G1194" s="1">
        <f>value(SGD!$B1194)</f>
        <v>8359.77708</v>
      </c>
      <c r="H1194" s="1">
        <f>value(MYR!$B1194)</f>
        <v>3237.38346</v>
      </c>
      <c r="I1194" s="1">
        <f>value(THB!$B1194)</f>
        <v>336.54806</v>
      </c>
      <c r="J1194" s="1">
        <f>value(VND!$B1194)</f>
        <v>0.5633001316</v>
      </c>
      <c r="K1194" s="1">
        <f>value(CNY!$B1194)</f>
        <v>1852.6158</v>
      </c>
      <c r="L1194" s="1">
        <f>value(HKD!$B1194)</f>
        <v>1374.22015</v>
      </c>
      <c r="M1194" s="1">
        <f>value(TWD!$B1194)</f>
        <v>356.58322</v>
      </c>
      <c r="N1194" s="1">
        <f>value(JPY!$B1194)</f>
        <v>109.436733</v>
      </c>
      <c r="O1194" s="1">
        <f>value(SAR!$B1194)</f>
        <v>3069.148418</v>
      </c>
      <c r="P1194" s="1">
        <f>value(AED!$B1194)</f>
        <v>3215.26234</v>
      </c>
      <c r="Q1194" s="1">
        <f>value(KWD!$B1194)</f>
        <v>42120.56392</v>
      </c>
    </row>
    <row r="1195">
      <c r="A1195" s="4">
        <f>value(USD!A1195)</f>
        <v>41505.99861</v>
      </c>
      <c r="B1195" s="1">
        <f>value(USD!B1195)</f>
        <v>10461</v>
      </c>
      <c r="C1195" s="1">
        <f>value(AUD!$B1195)</f>
        <v>9701.875</v>
      </c>
      <c r="D1195" s="1">
        <f>value(EUR!$B1195)</f>
        <v>14342.1312</v>
      </c>
      <c r="E1195" s="1">
        <f>value(GBP!$B1195)</f>
        <v>16790.31064</v>
      </c>
      <c r="F1195" s="1">
        <f>value(CHF!$B1195)</f>
        <v>11639.0092</v>
      </c>
      <c r="G1195" s="1">
        <f>value(SGD!$B1195)</f>
        <v>8369.03768</v>
      </c>
      <c r="H1195" s="1">
        <f>value(MYR!$B1195)</f>
        <v>3262.018</v>
      </c>
      <c r="I1195" s="1">
        <f>value(THB!$B1195)</f>
        <v>336.51988</v>
      </c>
      <c r="J1195" s="1">
        <f>value(VND!$B1195)</f>
        <v>0.5622569832</v>
      </c>
      <c r="K1195" s="1">
        <f>value(CNY!$B1195)</f>
        <v>1852.5024</v>
      </c>
      <c r="L1195" s="1">
        <f>value(HKD!$B1195)</f>
        <v>1385.9546</v>
      </c>
      <c r="M1195" s="1">
        <f>value(TWD!$B1195)</f>
        <v>357.69344</v>
      </c>
      <c r="N1195" s="1">
        <f>value(JPY!$B1195)</f>
        <v>109.866056</v>
      </c>
      <c r="O1195" s="1">
        <f>value(SAR!$B1195)</f>
        <v>3072.097715</v>
      </c>
      <c r="P1195" s="1">
        <f>value(AED!$B1195)</f>
        <v>3220.97812</v>
      </c>
      <c r="Q1195" s="1">
        <f>value(KWD!$B1195)</f>
        <v>42549.6419</v>
      </c>
    </row>
    <row r="1196">
      <c r="A1196" s="4">
        <f>value(USD!A1196)</f>
        <v>41506.99861</v>
      </c>
      <c r="B1196" s="1">
        <f>value(USD!B1196)</f>
        <v>10657</v>
      </c>
      <c r="C1196" s="1">
        <f>value(AUD!$B1196)</f>
        <v>9935.7542</v>
      </c>
      <c r="D1196" s="1">
        <f>value(EUR!$B1196)</f>
        <v>14739.8552</v>
      </c>
      <c r="E1196" s="1">
        <f>value(GBP!$B1196)</f>
        <v>17199.9912</v>
      </c>
      <c r="F1196" s="1">
        <f>value(CHF!$B1196)</f>
        <v>11950.9656</v>
      </c>
      <c r="G1196" s="1">
        <f>value(SGD!$B1196)</f>
        <v>8601.31944</v>
      </c>
      <c r="H1196" s="1">
        <f>value(MYR!$B1196)</f>
        <v>3329.4576</v>
      </c>
      <c r="I1196" s="1">
        <f>value(THB!$B1196)</f>
        <v>343.75712</v>
      </c>
      <c r="J1196" s="1">
        <f>value(VND!$B1196)</f>
        <v>0.5575272112</v>
      </c>
      <c r="K1196" s="1">
        <f>value(CNY!$B1196)</f>
        <v>1854.657</v>
      </c>
      <c r="L1196" s="1">
        <f>value(HKD!$B1196)</f>
        <v>1422.46608</v>
      </c>
      <c r="M1196" s="1">
        <f>value(TWD!$B1196)</f>
        <v>369.572</v>
      </c>
      <c r="N1196" s="1">
        <f>value(JPY!$B1196)</f>
        <v>111.699</v>
      </c>
      <c r="O1196" s="1">
        <f>value(SAR!$B1196)</f>
        <v>3083.493456</v>
      </c>
      <c r="P1196" s="1">
        <f>value(AED!$B1196)</f>
        <v>3232.95404</v>
      </c>
      <c r="Q1196" s="1">
        <f>value(KWD!$B1196)</f>
        <v>42620.56388</v>
      </c>
    </row>
    <row r="1197">
      <c r="A1197" s="4">
        <f>value(USD!A1197)</f>
        <v>41507.99861</v>
      </c>
      <c r="B1197" s="1">
        <f>value(USD!B1197)</f>
        <v>10748</v>
      </c>
      <c r="C1197" s="1">
        <f>value(AUD!$B1197)</f>
        <v>10014.6976</v>
      </c>
      <c r="D1197" s="1">
        <f>value(EUR!$B1197)</f>
        <v>14384.575</v>
      </c>
      <c r="E1197" s="1">
        <f>value(GBP!$B1197)</f>
        <v>16735.6</v>
      </c>
      <c r="F1197" s="1">
        <f>value(CHF!$B1197)</f>
        <v>11665.9</v>
      </c>
      <c r="G1197" s="1">
        <f>value(SGD!$B1197)</f>
        <v>8402.5225</v>
      </c>
      <c r="H1197" s="1">
        <f>value(MYR!$B1197)</f>
        <v>3253.2725</v>
      </c>
      <c r="I1197" s="1">
        <f>value(THB!$B1197)</f>
        <v>337.4425</v>
      </c>
      <c r="J1197" s="1">
        <f>value(VND!$B1197)</f>
        <v>0.5512090935</v>
      </c>
      <c r="K1197" s="1">
        <f>value(CNY!$B1197)</f>
        <v>1855.98027</v>
      </c>
      <c r="L1197" s="1">
        <f>value(HKD!$B1197)</f>
        <v>1386.105</v>
      </c>
      <c r="M1197" s="1">
        <f>value(TWD!$B1197)</f>
        <v>359.8025</v>
      </c>
      <c r="N1197" s="1">
        <f>value(JPY!$B1197)</f>
        <v>108.8975</v>
      </c>
      <c r="O1197" s="1">
        <f>value(SAR!$B1197)</f>
        <v>3063.31069</v>
      </c>
      <c r="P1197" s="1">
        <f>value(AED!$B1197)</f>
        <v>3265.88782</v>
      </c>
      <c r="Q1197" s="1">
        <f>value(KWD!$B1197)</f>
        <v>42621.37948</v>
      </c>
    </row>
    <row r="1198">
      <c r="A1198" s="4">
        <f>value(USD!A1198)</f>
        <v>41508.99861</v>
      </c>
      <c r="B1198" s="1">
        <f>value(USD!B1198)</f>
        <v>11032</v>
      </c>
      <c r="C1198" s="1">
        <f>value(AUD!$B1198)</f>
        <v>9784.74321</v>
      </c>
      <c r="D1198" s="1">
        <f>value(EUR!$B1198)</f>
        <v>14384.575</v>
      </c>
      <c r="E1198" s="1">
        <f>value(GBP!$B1198)</f>
        <v>16735.6</v>
      </c>
      <c r="F1198" s="1">
        <f>value(CHF!$B1198)</f>
        <v>11666.975</v>
      </c>
      <c r="G1198" s="1">
        <f>value(SGD!$B1198)</f>
        <v>8402.5225</v>
      </c>
      <c r="H1198" s="1">
        <f>value(MYR!$B1198)</f>
        <v>3193.9325</v>
      </c>
      <c r="I1198" s="1">
        <f>value(THB!$B1198)</f>
        <v>331.315</v>
      </c>
      <c r="J1198" s="1">
        <f>value(VND!$B1198)</f>
        <v>0.5635372108</v>
      </c>
      <c r="K1198" s="1">
        <f>value(CNY!$B1198)</f>
        <v>1857.56745</v>
      </c>
      <c r="L1198" s="1">
        <f>value(HKD!$B1198)</f>
        <v>1385.9975</v>
      </c>
      <c r="M1198" s="1">
        <f>value(TWD!$B1198)</f>
        <v>359.91</v>
      </c>
      <c r="N1198" s="1">
        <f>value(JPY!$B1198)</f>
        <v>108.8975</v>
      </c>
      <c r="O1198" s="1">
        <f>value(SAR!$B1198)</f>
        <v>3069.983407</v>
      </c>
      <c r="P1198" s="1">
        <f>value(AED!$B1198)</f>
        <v>3271.33142</v>
      </c>
      <c r="Q1198" s="1">
        <f>value(KWD!$B1198)</f>
        <v>42510.63481</v>
      </c>
    </row>
    <row r="1199">
      <c r="A1199" s="4">
        <f>value(USD!A1199)</f>
        <v>41509.99861</v>
      </c>
      <c r="B1199" s="1">
        <f>value(USD!B1199)</f>
        <v>10750</v>
      </c>
      <c r="C1199" s="1">
        <f>value(AUD!$B1199)</f>
        <v>9768.09492</v>
      </c>
      <c r="D1199" s="1">
        <f>value(EUR!$B1199)</f>
        <v>14723.5895</v>
      </c>
      <c r="E1199" s="1">
        <f>value(GBP!$B1199)</f>
        <v>17136.986</v>
      </c>
      <c r="F1199" s="1">
        <f>value(CHF!$B1199)</f>
        <v>11941.5255</v>
      </c>
      <c r="G1199" s="1">
        <f>value(SGD!$B1199)</f>
        <v>8600.07735</v>
      </c>
      <c r="H1199" s="1">
        <f>value(MYR!$B1199)</f>
        <v>3330.5532</v>
      </c>
      <c r="I1199" s="1">
        <f>value(THB!$B1199)</f>
        <v>339.06405</v>
      </c>
      <c r="J1199" s="1">
        <f>value(VND!$B1199)</f>
        <v>0.5635372108</v>
      </c>
      <c r="K1199" s="1">
        <f>value(CNY!$B1199)</f>
        <v>1858.08376</v>
      </c>
      <c r="L1199" s="1">
        <f>value(HKD!$B1199)</f>
        <v>1418.9847</v>
      </c>
      <c r="M1199" s="1">
        <f>value(TWD!$B1199)</f>
        <v>368.4474</v>
      </c>
      <c r="N1199" s="1">
        <f>value(JPY!$B1199)</f>
        <v>111.48065</v>
      </c>
      <c r="O1199" s="1">
        <f>value(SAR!$B1199)</f>
        <v>3070.168414</v>
      </c>
      <c r="P1199" s="1">
        <f>value(AED!$B1199)</f>
        <v>3271.394021</v>
      </c>
      <c r="Q1199" s="1">
        <f>value(KWD!$B1199)</f>
        <v>42455.64182</v>
      </c>
    </row>
    <row r="1200">
      <c r="A1200" s="4">
        <f>value(USD!A1200)</f>
        <v>41510.99861</v>
      </c>
      <c r="B1200" s="1">
        <f>value(USD!B1200)</f>
        <v>10750</v>
      </c>
      <c r="C1200" s="1">
        <f>value(AUD!$B1200)</f>
        <v>9729.044</v>
      </c>
      <c r="D1200" s="1">
        <f>value(EUR!$B1200)</f>
        <v>14847.1584</v>
      </c>
      <c r="E1200" s="1">
        <f>value(GBP!$B1200)</f>
        <v>17298.9216</v>
      </c>
      <c r="F1200" s="1">
        <f>value(CHF!$B1200)</f>
        <v>12036.736</v>
      </c>
      <c r="G1200" s="1">
        <f>value(SGD!$B1200)</f>
        <v>8664.11808</v>
      </c>
      <c r="H1200" s="1">
        <f>value(MYR!$B1200)</f>
        <v>3357.18336</v>
      </c>
      <c r="I1200" s="1">
        <f>value(THB!$B1200)</f>
        <v>346.66688</v>
      </c>
      <c r="J1200" s="1">
        <f>value(VND!$B1200)</f>
        <v>0.5682012243</v>
      </c>
      <c r="K1200" s="1">
        <f>value(CNY!$B1200)</f>
        <v>1853.30196</v>
      </c>
      <c r="L1200" s="1">
        <f>value(HKD!$B1200)</f>
        <v>1431.63872</v>
      </c>
      <c r="M1200" s="1">
        <f>value(TWD!$B1200)</f>
        <v>370.54048</v>
      </c>
      <c r="N1200" s="1">
        <f>value(JPY!$B1200)</f>
        <v>112.827744</v>
      </c>
      <c r="O1200" s="1">
        <f>value(SAR!$B1200)</f>
        <v>3064.184889</v>
      </c>
      <c r="P1200" s="1">
        <f>value(AED!$B1200)</f>
        <v>3262.89384</v>
      </c>
      <c r="Q1200" s="1">
        <f>value(KWD!$B1200)</f>
        <v>42526.61414</v>
      </c>
    </row>
    <row r="1201">
      <c r="A1201" s="4">
        <f>value(USD!A1201)</f>
        <v>41511.99861</v>
      </c>
      <c r="B1201" s="1">
        <f>value(USD!B1201)</f>
        <v>11005</v>
      </c>
      <c r="C1201" s="1">
        <f>value(AUD!$B1201)</f>
        <v>9687.47034</v>
      </c>
      <c r="D1201" s="1">
        <f>value(EUR!$B1201)</f>
        <v>14591.19197</v>
      </c>
      <c r="E1201" s="1">
        <f>value(GBP!$B1201)</f>
        <v>16942.54663</v>
      </c>
      <c r="F1201" s="1">
        <f>value(CHF!$B1201)</f>
        <v>11876.6403</v>
      </c>
      <c r="G1201" s="1">
        <f>value(SGD!$B1201)</f>
        <v>8486.80154</v>
      </c>
      <c r="H1201" s="1">
        <f>value(MYR!$B1201)</f>
        <v>3269.1</v>
      </c>
      <c r="I1201" s="1">
        <f>value(THB!$B1201)</f>
        <v>338.67876</v>
      </c>
      <c r="J1201" s="1">
        <f>value(VND!$B1201)</f>
        <v>0.5683436069</v>
      </c>
      <c r="K1201" s="1">
        <f>value(CNY!$B1201)</f>
        <v>1852.872</v>
      </c>
      <c r="L1201" s="1">
        <f>value(HKD!$B1201)</f>
        <v>1404.73227</v>
      </c>
      <c r="M1201" s="1">
        <f>value(TWD!$B1201)</f>
        <v>364.50465</v>
      </c>
      <c r="N1201" s="1">
        <f>value(JPY!$B1201)</f>
        <v>112.184615</v>
      </c>
      <c r="O1201" s="1">
        <f>value(SAR!$B1201)</f>
        <v>3066.460374</v>
      </c>
      <c r="P1201" s="1">
        <f>value(AED!$B1201)</f>
        <v>3257.199</v>
      </c>
      <c r="Q1201" s="1">
        <f>value(KWD!$B1201)</f>
        <v>42583.65711</v>
      </c>
    </row>
    <row r="1202">
      <c r="A1202" s="4">
        <f>value(USD!A1202)</f>
        <v>41512.99861</v>
      </c>
      <c r="B1202" s="1">
        <f>value(USD!B1202)</f>
        <v>11104</v>
      </c>
      <c r="C1202" s="1">
        <f>value(AUD!$B1202)</f>
        <v>9694.371</v>
      </c>
      <c r="D1202" s="1">
        <f>value(EUR!$B1202)</f>
        <v>14564.69721</v>
      </c>
      <c r="E1202" s="1">
        <f>value(GBP!$B1202)</f>
        <v>16956.2844</v>
      </c>
      <c r="F1202" s="1">
        <f>value(CHF!$B1202)</f>
        <v>11837.3031</v>
      </c>
      <c r="G1202" s="1">
        <f>value(SGD!$B1202)</f>
        <v>8556.7446</v>
      </c>
      <c r="H1202" s="1">
        <f>value(MYR!$B1202)</f>
        <v>3271.06071</v>
      </c>
      <c r="I1202" s="1">
        <f>value(THB!$B1202)</f>
        <v>338.427</v>
      </c>
      <c r="J1202" s="1">
        <f>value(VND!$B1202)</f>
        <v>0.5671570858</v>
      </c>
      <c r="K1202" s="1">
        <f>value(CNY!$B1202)</f>
        <v>1852.53306</v>
      </c>
      <c r="L1202" s="1">
        <f>value(HKD!$B1202)</f>
        <v>1407.52881</v>
      </c>
      <c r="M1202" s="1">
        <f>value(TWD!$B1202)</f>
        <v>363.86361</v>
      </c>
      <c r="N1202" s="1">
        <f>value(JPY!$B1202)</f>
        <v>111.724578</v>
      </c>
      <c r="O1202" s="1">
        <f>value(SAR!$B1202)</f>
        <v>3067.92686</v>
      </c>
      <c r="P1202" s="1">
        <f>value(AED!$B1202)</f>
        <v>3261.80512</v>
      </c>
      <c r="Q1202" s="1">
        <f>value(KWD!$B1202)</f>
        <v>42918.35695</v>
      </c>
    </row>
    <row r="1203">
      <c r="A1203" s="4">
        <f>value(USD!A1203)</f>
        <v>41513.99861</v>
      </c>
      <c r="B1203" s="1">
        <f>value(USD!B1203)</f>
        <v>10897</v>
      </c>
      <c r="C1203" s="1">
        <f>value(AUD!$B1203)</f>
        <v>9729.235</v>
      </c>
      <c r="D1203" s="1">
        <f>value(EUR!$B1203)</f>
        <v>14437.5959</v>
      </c>
      <c r="E1203" s="1">
        <f>value(GBP!$B1203)</f>
        <v>16908.57675</v>
      </c>
      <c r="F1203" s="1">
        <f>value(CHF!$B1203)</f>
        <v>11709.7552</v>
      </c>
      <c r="G1203" s="1">
        <f>value(SGD!$B1203)</f>
        <v>8547.37962</v>
      </c>
      <c r="H1203" s="1">
        <f>value(MYR!$B1203)</f>
        <v>3291.29632</v>
      </c>
      <c r="I1203" s="1">
        <f>value(THB!$B1203)</f>
        <v>339.42584</v>
      </c>
      <c r="J1203" s="1">
        <f>value(VND!$B1203)</f>
        <v>0.5615502932</v>
      </c>
      <c r="K1203" s="1">
        <f>value(CNY!$B1203)</f>
        <v>1852.98498</v>
      </c>
      <c r="L1203" s="1">
        <f>value(HKD!$B1203)</f>
        <v>1406.23951</v>
      </c>
      <c r="M1203" s="1">
        <f>value(TWD!$B1203)</f>
        <v>363.53031</v>
      </c>
      <c r="N1203" s="1">
        <f>value(JPY!$B1203)</f>
        <v>110.847841</v>
      </c>
      <c r="O1203" s="1">
        <f>value(SAR!$B1203)</f>
        <v>3068.730722</v>
      </c>
      <c r="P1203" s="1">
        <f>value(AED!$B1203)</f>
        <v>3269.42616</v>
      </c>
      <c r="Q1203" s="1">
        <f>value(KWD!$B1203)</f>
        <v>43101.8541</v>
      </c>
    </row>
    <row r="1204">
      <c r="A1204" s="4">
        <f>value(USD!A1204)</f>
        <v>41514.99861</v>
      </c>
      <c r="B1204" s="1">
        <f>value(USD!B1204)</f>
        <v>10917</v>
      </c>
      <c r="C1204" s="1">
        <f>value(AUD!$B1204)</f>
        <v>9849.03976</v>
      </c>
      <c r="D1204" s="1">
        <f>value(EUR!$B1204)</f>
        <v>14394.7914</v>
      </c>
      <c r="E1204" s="1">
        <f>value(GBP!$B1204)</f>
        <v>16883.5596</v>
      </c>
      <c r="F1204" s="1">
        <f>value(CHF!$B1204)</f>
        <v>11704.6137</v>
      </c>
      <c r="G1204" s="1">
        <f>value(SGD!$B1204)</f>
        <v>8536.17009</v>
      </c>
      <c r="H1204" s="1">
        <f>value(MYR!$B1204)</f>
        <v>3309.10365</v>
      </c>
      <c r="I1204" s="1">
        <f>value(THB!$B1204)</f>
        <v>338.36796</v>
      </c>
      <c r="J1204" s="1">
        <f>value(VND!$B1204)</f>
        <v>0.5615502932</v>
      </c>
      <c r="K1204" s="1">
        <f>value(CNY!$B1204)</f>
        <v>1855.98204</v>
      </c>
      <c r="L1204" s="1">
        <f>value(HKD!$B1204)</f>
        <v>1403.66091</v>
      </c>
      <c r="M1204" s="1">
        <f>value(TWD!$B1204)</f>
        <v>362.86371</v>
      </c>
      <c r="N1204" s="1">
        <f>value(JPY!$B1204)</f>
        <v>110.82966</v>
      </c>
      <c r="O1204" s="1">
        <f>value(SAR!$B1204)</f>
        <v>3066.41039</v>
      </c>
      <c r="P1204" s="1">
        <f>value(AED!$B1204)</f>
        <v>3298.27724</v>
      </c>
      <c r="Q1204" s="1">
        <f>value(KWD!$B1204)</f>
        <v>43093.55505</v>
      </c>
    </row>
    <row r="1205">
      <c r="A1205" s="4">
        <f>value(USD!A1205)</f>
        <v>41515.99861</v>
      </c>
      <c r="B1205" s="1">
        <f>value(USD!B1205)</f>
        <v>10907</v>
      </c>
      <c r="C1205" s="1">
        <f>value(AUD!$B1205)</f>
        <v>9998.19756</v>
      </c>
      <c r="D1205" s="1">
        <f>value(EUR!$B1205)</f>
        <v>14405.369</v>
      </c>
      <c r="E1205" s="1">
        <f>value(GBP!$B1205)</f>
        <v>16895.966</v>
      </c>
      <c r="F1205" s="1">
        <f>value(CHF!$B1205)</f>
        <v>11715.3935</v>
      </c>
      <c r="G1205" s="1">
        <f>value(SGD!$B1205)</f>
        <v>8545.05745</v>
      </c>
      <c r="H1205" s="1">
        <f>value(MYR!$B1205)</f>
        <v>3251.17695</v>
      </c>
      <c r="I1205" s="1">
        <f>value(THB!$B1205)</f>
        <v>332.18855</v>
      </c>
      <c r="J1205" s="1">
        <f>value(VND!$B1205)</f>
        <v>0.5611876455</v>
      </c>
      <c r="K1205" s="1">
        <f>value(CNY!$B1205)</f>
        <v>1848.64768</v>
      </c>
      <c r="L1205" s="1">
        <f>value(HKD!$B1205)</f>
        <v>1404.69235</v>
      </c>
      <c r="M1205" s="1">
        <f>value(TWD!$B1205)</f>
        <v>363.2393</v>
      </c>
      <c r="N1205" s="1">
        <f>value(JPY!$B1205)</f>
        <v>111.02005</v>
      </c>
      <c r="O1205" s="1">
        <f>value(SAR!$B1205)</f>
        <v>3070.948079</v>
      </c>
      <c r="P1205" s="1">
        <f>value(AED!$B1205)</f>
        <v>3307.80354</v>
      </c>
      <c r="Q1205" s="1">
        <f>value(KWD!$B1205)</f>
        <v>43101.8541</v>
      </c>
    </row>
    <row r="1206">
      <c r="A1206" s="4">
        <f>value(USD!A1206)</f>
        <v>41516.99861</v>
      </c>
      <c r="B1206" s="1">
        <f>value(USD!B1206)</f>
        <v>10887</v>
      </c>
      <c r="C1206" s="1">
        <f>value(AUD!$B1206)</f>
        <v>10167.0714</v>
      </c>
      <c r="D1206" s="1">
        <f>value(EUR!$B1206)</f>
        <v>14382.4895</v>
      </c>
      <c r="E1206" s="1">
        <f>value(GBP!$B1206)</f>
        <v>16902.503</v>
      </c>
      <c r="F1206" s="1">
        <f>value(CHF!$B1206)</f>
        <v>11683.798</v>
      </c>
      <c r="G1206" s="1">
        <f>value(SGD!$B1206)</f>
        <v>8537.64885</v>
      </c>
      <c r="H1206" s="1">
        <f>value(MYR!$B1206)</f>
        <v>3245.8384</v>
      </c>
      <c r="I1206" s="1">
        <f>value(THB!$B1206)</f>
        <v>331.75275</v>
      </c>
      <c r="J1206" s="1">
        <f>value(VND!$B1206)</f>
        <v>0.5619183189</v>
      </c>
      <c r="K1206" s="1">
        <f>value(CNY!$B1206)</f>
        <v>1848.17628</v>
      </c>
      <c r="L1206" s="1">
        <f>value(HKD!$B1206)</f>
        <v>1404.8013</v>
      </c>
      <c r="M1206" s="1">
        <f>value(TWD!$B1206)</f>
        <v>362.69455</v>
      </c>
      <c r="N1206" s="1">
        <f>value(JPY!$B1206)</f>
        <v>110.6932</v>
      </c>
      <c r="O1206" s="1">
        <f>value(SAR!$B1206)</f>
        <v>3059.329005</v>
      </c>
      <c r="P1206" s="1">
        <f>value(AED!$B1206)</f>
        <v>3307.166638</v>
      </c>
      <c r="Q1206" s="1">
        <f>value(KWD!$B1206)</f>
        <v>43120.33162</v>
      </c>
    </row>
    <row r="1207">
      <c r="A1207" s="4">
        <f>value(USD!A1207)</f>
        <v>41517.99861</v>
      </c>
      <c r="B1207" s="1">
        <f>value(USD!B1207)</f>
        <v>10895</v>
      </c>
      <c r="C1207" s="1">
        <f>value(AUD!$B1207)</f>
        <v>10128.12093</v>
      </c>
      <c r="D1207" s="1">
        <f>value(EUR!$B1207)</f>
        <v>14440.412</v>
      </c>
      <c r="E1207" s="1">
        <f>value(GBP!$B1207)</f>
        <v>17016.4764</v>
      </c>
      <c r="F1207" s="1">
        <f>value(CHF!$B1207)</f>
        <v>11711.0756</v>
      </c>
      <c r="G1207" s="1">
        <f>value(SGD!$B1207)</f>
        <v>8590.45768</v>
      </c>
      <c r="H1207" s="1">
        <f>value(MYR!$B1207)</f>
        <v>3342.4244</v>
      </c>
      <c r="I1207" s="1">
        <f>value(THB!$B1207)</f>
        <v>341.24916</v>
      </c>
      <c r="J1207" s="1">
        <f>value(VND!$B1207)</f>
        <v>0.5641415239</v>
      </c>
      <c r="K1207" s="1">
        <f>value(CNY!$B1207)</f>
        <v>1829.66576</v>
      </c>
      <c r="L1207" s="1">
        <f>value(HKD!$B1207)</f>
        <v>1411.7446</v>
      </c>
      <c r="M1207" s="1">
        <f>value(TWD!$B1207)</f>
        <v>366.97696</v>
      </c>
      <c r="N1207" s="1">
        <f>value(JPY!$B1207)</f>
        <v>110.005504</v>
      </c>
      <c r="O1207" s="1">
        <f>value(SAR!$B1207)</f>
        <v>3023.919297</v>
      </c>
      <c r="P1207" s="1">
        <f>value(AED!$B1207)</f>
        <v>3307.80354</v>
      </c>
      <c r="Q1207" s="1">
        <f>value(KWD!$B1207)</f>
        <v>43059.67932</v>
      </c>
    </row>
    <row r="1208">
      <c r="A1208" s="4">
        <f>value(USD!A1208)</f>
        <v>41518.99861</v>
      </c>
      <c r="B1208" s="1">
        <f>value(USD!B1208)</f>
        <v>10895</v>
      </c>
      <c r="C1208" s="1">
        <f>value(AUD!$B1208)</f>
        <v>10233.61482</v>
      </c>
      <c r="D1208" s="1">
        <f>value(EUR!$B1208)</f>
        <v>14532.4179</v>
      </c>
      <c r="E1208" s="1">
        <f>value(GBP!$B1208)</f>
        <v>17172.90978</v>
      </c>
      <c r="F1208" s="1">
        <f>value(CHF!$B1208)</f>
        <v>11780.8938</v>
      </c>
      <c r="G1208" s="1">
        <f>value(SGD!$B1208)</f>
        <v>8634.57621</v>
      </c>
      <c r="H1208" s="1">
        <f>value(MYR!$B1208)</f>
        <v>3354.91689</v>
      </c>
      <c r="I1208" s="1">
        <f>value(THB!$B1208)</f>
        <v>342.80922</v>
      </c>
      <c r="J1208" s="1">
        <f>value(VND!$B1208)</f>
        <v>0.5696719273</v>
      </c>
      <c r="K1208" s="1">
        <f>value(CNY!$B1208)</f>
        <v>1806.756</v>
      </c>
      <c r="L1208" s="1">
        <f>value(HKD!$B1208)</f>
        <v>1423.11078</v>
      </c>
      <c r="M1208" s="1">
        <f>value(TWD!$B1208)</f>
        <v>370.07061</v>
      </c>
      <c r="N1208" s="1">
        <f>value(JPY!$B1208)</f>
        <v>110.756295</v>
      </c>
      <c r="O1208" s="1">
        <f>value(SAR!$B1208)</f>
        <v>3024.080551</v>
      </c>
      <c r="P1208" s="1">
        <f>value(AED!$B1208)</f>
        <v>3306.17046</v>
      </c>
      <c r="Q1208" s="1">
        <f>value(KWD!$B1208)</f>
        <v>43059.67932</v>
      </c>
    </row>
    <row r="1209">
      <c r="A1209" s="4">
        <f>value(USD!A1209)</f>
        <v>41519.99861</v>
      </c>
      <c r="B1209" s="1">
        <f>value(USD!B1209)</f>
        <v>10948</v>
      </c>
      <c r="C1209" s="1">
        <f>value(AUD!$B1209)</f>
        <v>10243.505</v>
      </c>
      <c r="D1209" s="1">
        <f>value(EUR!$B1209)</f>
        <v>14652.03492</v>
      </c>
      <c r="E1209" s="1">
        <f>value(GBP!$B1209)</f>
        <v>17335.7334</v>
      </c>
      <c r="F1209" s="1">
        <f>value(CHF!$B1209)</f>
        <v>11858.2542</v>
      </c>
      <c r="G1209" s="1">
        <f>value(SGD!$B1209)</f>
        <v>8706.15135</v>
      </c>
      <c r="H1209" s="1">
        <f>value(MYR!$B1209)</f>
        <v>3377.26098</v>
      </c>
      <c r="I1209" s="1">
        <f>value(THB!$B1209)</f>
        <v>344.45088</v>
      </c>
      <c r="J1209" s="1">
        <f>value(VND!$B1209)</f>
        <v>0.57056729</v>
      </c>
      <c r="K1209" s="1">
        <f>value(CNY!$B1209)</f>
        <v>1805.9867</v>
      </c>
      <c r="L1209" s="1">
        <f>value(HKD!$B1209)</f>
        <v>1430.73621</v>
      </c>
      <c r="M1209" s="1">
        <f>value(TWD!$B1209)</f>
        <v>373.63599</v>
      </c>
      <c r="N1209" s="1">
        <f>value(JPY!$B1209)</f>
        <v>111.225231</v>
      </c>
      <c r="O1209" s="1">
        <f>value(SAR!$B1209)</f>
        <v>3025.781926</v>
      </c>
      <c r="P1209" s="1">
        <f>value(AED!$B1209)</f>
        <v>3306.44264</v>
      </c>
      <c r="Q1209" s="1">
        <f>value(KWD!$B1209)</f>
        <v>43024.60804</v>
      </c>
    </row>
    <row r="1210">
      <c r="A1210" s="4">
        <f>value(USD!A1210)</f>
        <v>41520.99861</v>
      </c>
      <c r="B1210" s="1">
        <f>value(USD!B1210)</f>
        <v>11037</v>
      </c>
      <c r="C1210" s="1">
        <f>value(AUD!$B1210)</f>
        <v>10255.77</v>
      </c>
      <c r="D1210" s="1">
        <f>value(EUR!$B1210)</f>
        <v>14557.26654</v>
      </c>
      <c r="E1210" s="1">
        <f>value(GBP!$B1210)</f>
        <v>17295.22935</v>
      </c>
      <c r="F1210" s="1">
        <f>value(CHF!$B1210)</f>
        <v>11739.5163</v>
      </c>
      <c r="G1210" s="1">
        <f>value(SGD!$B1210)</f>
        <v>8662.87305</v>
      </c>
      <c r="H1210" s="1">
        <f>value(MYR!$B1210)</f>
        <v>3354.40116</v>
      </c>
      <c r="I1210" s="1">
        <f>value(THB!$B1210)</f>
        <v>343.00827</v>
      </c>
      <c r="J1210" s="1">
        <f>value(VND!$B1210)</f>
        <v>0.5781533404</v>
      </c>
      <c r="K1210" s="1">
        <f>value(CNY!$B1210)</f>
        <v>1806.8659</v>
      </c>
      <c r="L1210" s="1">
        <f>value(HKD!$B1210)</f>
        <v>1430.73621</v>
      </c>
      <c r="M1210" s="1">
        <f>value(TWD!$B1210)</f>
        <v>370.19592</v>
      </c>
      <c r="N1210" s="1">
        <f>value(JPY!$B1210)</f>
        <v>110.770254</v>
      </c>
      <c r="O1210" s="1">
        <f>value(SAR!$B1210)</f>
        <v>3025.943478</v>
      </c>
      <c r="P1210" s="1">
        <f>value(AED!$B1210)</f>
        <v>3306.44264</v>
      </c>
      <c r="Q1210" s="1">
        <f>value(KWD!$B1210)</f>
        <v>43049.09674</v>
      </c>
    </row>
    <row r="1211">
      <c r="A1211" s="4">
        <f>value(USD!A1211)</f>
        <v>41521.99861</v>
      </c>
      <c r="B1211" s="1">
        <f>value(USD!B1211)</f>
        <v>11097</v>
      </c>
      <c r="C1211" s="1">
        <f>value(AUD!$B1211)</f>
        <v>10265.9304</v>
      </c>
      <c r="D1211" s="1">
        <f>value(EUR!$B1211)</f>
        <v>14690.6313</v>
      </c>
      <c r="E1211" s="1">
        <f>value(GBP!$B1211)</f>
        <v>17424.9904</v>
      </c>
      <c r="F1211" s="1">
        <f>value(CHF!$B1211)</f>
        <v>11886.0461</v>
      </c>
      <c r="G1211" s="1">
        <f>value(SGD!$B1211)</f>
        <v>8746.82796</v>
      </c>
      <c r="H1211" s="1">
        <f>value(MYR!$B1211)</f>
        <v>3345.32617</v>
      </c>
      <c r="I1211" s="1">
        <f>value(THB!$B1211)</f>
        <v>345.33406</v>
      </c>
      <c r="J1211" s="1">
        <f>value(VND!$B1211)</f>
        <v>0.5766511036</v>
      </c>
      <c r="K1211" s="1">
        <f>value(CNY!$B1211)</f>
        <v>1811.73825</v>
      </c>
      <c r="L1211" s="1">
        <f>value(HKD!$B1211)</f>
        <v>1437.29418</v>
      </c>
      <c r="M1211" s="1">
        <f>value(TWD!$B1211)</f>
        <v>376.54566</v>
      </c>
      <c r="N1211" s="1">
        <f>value(JPY!$B1211)</f>
        <v>112.47323</v>
      </c>
      <c r="O1211" s="1">
        <f>value(SAR!$B1211)</f>
        <v>3025.676569</v>
      </c>
      <c r="P1211" s="1">
        <f>value(AED!$B1211)</f>
        <v>3307.293</v>
      </c>
      <c r="Q1211" s="1">
        <f>value(KWD!$B1211)</f>
        <v>43079.80051</v>
      </c>
    </row>
    <row r="1212">
      <c r="A1212" s="4">
        <f>value(USD!A1212)</f>
        <v>41522.99861</v>
      </c>
      <c r="B1212" s="1">
        <f>value(USD!B1212)</f>
        <v>11097</v>
      </c>
      <c r="C1212" s="1">
        <f>value(AUD!$B1212)</f>
        <v>10426.9815</v>
      </c>
      <c r="D1212" s="1">
        <f>value(EUR!$B1212)</f>
        <v>14694.585</v>
      </c>
      <c r="E1212" s="1">
        <f>value(GBP!$B1212)</f>
        <v>17429.68</v>
      </c>
      <c r="F1212" s="1">
        <f>value(CHF!$B1212)</f>
        <v>11890.36</v>
      </c>
      <c r="G1212" s="1">
        <f>value(SGD!$B1212)</f>
        <v>8749.182</v>
      </c>
      <c r="H1212" s="1">
        <f>value(MYR!$B1212)</f>
        <v>3346.784</v>
      </c>
      <c r="I1212" s="1">
        <f>value(THB!$B1212)</f>
        <v>340.075</v>
      </c>
      <c r="J1212" s="1">
        <f>value(VND!$B1212)</f>
        <v>0.567956324</v>
      </c>
      <c r="K1212" s="1">
        <f>value(CNY!$B1212)</f>
        <v>1817.629</v>
      </c>
      <c r="L1212" s="1">
        <f>value(HKD!$B1212)</f>
        <v>1437.5695</v>
      </c>
      <c r="M1212" s="1">
        <f>value(TWD!$B1212)</f>
        <v>376.7585</v>
      </c>
      <c r="N1212" s="1">
        <f>value(JPY!$B1212)</f>
        <v>112.5035</v>
      </c>
      <c r="O1212" s="1">
        <f>value(SAR!$B1212)</f>
        <v>3016.521205</v>
      </c>
      <c r="P1212" s="1">
        <f>value(AED!$B1212)</f>
        <v>3304.80956</v>
      </c>
      <c r="Q1212" s="1">
        <f>value(KWD!$B1212)</f>
        <v>43049.09674</v>
      </c>
    </row>
    <row r="1213">
      <c r="A1213" s="4">
        <f>value(USD!A1213)</f>
        <v>41523.99861</v>
      </c>
      <c r="B1213" s="1">
        <f>value(USD!B1213)</f>
        <v>11147</v>
      </c>
      <c r="C1213" s="1">
        <f>value(AUD!$B1213)</f>
        <v>10548.7752</v>
      </c>
      <c r="D1213" s="1">
        <f>value(EUR!$B1213)</f>
        <v>14680.982</v>
      </c>
      <c r="E1213" s="1">
        <f>value(GBP!$B1213)</f>
        <v>17425.22</v>
      </c>
      <c r="F1213" s="1">
        <f>value(CHF!$B1213)</f>
        <v>11872.52</v>
      </c>
      <c r="G1213" s="1">
        <f>value(SGD!$B1213)</f>
        <v>8746.506</v>
      </c>
      <c r="H1213" s="1">
        <f>value(MYR!$B1213)</f>
        <v>3305.1945</v>
      </c>
      <c r="I1213" s="1">
        <f>value(THB!$B1213)</f>
        <v>339.7405</v>
      </c>
      <c r="J1213" s="1">
        <f>value(VND!$B1213)</f>
        <v>0.5688787543</v>
      </c>
      <c r="K1213" s="1">
        <f>value(CNY!$B1213)</f>
        <v>1829.2227</v>
      </c>
      <c r="L1213" s="1">
        <f>value(HKD!$B1213)</f>
        <v>1437.5695</v>
      </c>
      <c r="M1213" s="1">
        <f>value(TWD!$B1213)</f>
        <v>376.5355</v>
      </c>
      <c r="N1213" s="1">
        <f>value(JPY!$B1213)</f>
        <v>111.6115</v>
      </c>
      <c r="O1213" s="1">
        <f>value(SAR!$B1213)</f>
        <v>3012.880253</v>
      </c>
      <c r="P1213" s="1">
        <f>value(AED!$B1213)</f>
        <v>3307.166638</v>
      </c>
      <c r="Q1213" s="1">
        <f>value(KWD!$B1213)</f>
        <v>43306.13425</v>
      </c>
    </row>
    <row r="1214">
      <c r="A1214" s="4">
        <f>value(USD!A1214)</f>
        <v>41524.99861</v>
      </c>
      <c r="B1214" s="1">
        <f>value(USD!B1214)</f>
        <v>11150</v>
      </c>
      <c r="C1214" s="1">
        <f>value(AUD!$B1214)</f>
        <v>10485.41742</v>
      </c>
      <c r="D1214" s="1">
        <f>value(EUR!$B1214)</f>
        <v>14752.46036</v>
      </c>
      <c r="E1214" s="1">
        <f>value(GBP!$B1214)</f>
        <v>17469.4476</v>
      </c>
      <c r="F1214" s="1">
        <f>value(CHF!$B1214)</f>
        <v>11933.504</v>
      </c>
      <c r="G1214" s="1">
        <f>value(SGD!$B1214)</f>
        <v>8770.01224</v>
      </c>
      <c r="H1214" s="1">
        <f>value(MYR!$B1214)</f>
        <v>3377.67144</v>
      </c>
      <c r="I1214" s="1">
        <f>value(THB!$B1214)</f>
        <v>346.42784</v>
      </c>
      <c r="J1214" s="1">
        <f>value(VND!$B1214)</f>
        <v>0.5702349853</v>
      </c>
      <c r="K1214" s="1">
        <f>value(CNY!$B1214)</f>
        <v>1844.6298</v>
      </c>
      <c r="L1214" s="1">
        <f>value(HKD!$B1214)</f>
        <v>1435.4714</v>
      </c>
      <c r="M1214" s="1">
        <f>value(TWD!$B1214)</f>
        <v>376.92952</v>
      </c>
      <c r="N1214" s="1">
        <f>value(JPY!$B1214)</f>
        <v>111.65396</v>
      </c>
      <c r="O1214" s="1">
        <f>value(SAR!$B1214)</f>
        <v>3012.880253</v>
      </c>
      <c r="P1214" s="1">
        <f>value(AED!$B1214)</f>
        <v>3304.80956</v>
      </c>
      <c r="Q1214" s="1">
        <f>value(KWD!$B1214)</f>
        <v>43128.7664</v>
      </c>
    </row>
    <row r="1215">
      <c r="A1215" s="4">
        <f>value(USD!A1215)</f>
        <v>41525.99861</v>
      </c>
      <c r="B1215" s="1">
        <f>value(USD!B1215)</f>
        <v>11150</v>
      </c>
      <c r="C1215" s="1">
        <f>value(AUD!$B1215)</f>
        <v>10518.43401</v>
      </c>
      <c r="D1215" s="1">
        <f>value(EUR!$B1215)</f>
        <v>14869.3924</v>
      </c>
      <c r="E1215" s="1">
        <f>value(GBP!$B1215)</f>
        <v>17631.6485</v>
      </c>
      <c r="F1215" s="1">
        <f>value(CHF!$B1215)</f>
        <v>11986.853</v>
      </c>
      <c r="G1215" s="1">
        <f>value(SGD!$B1215)</f>
        <v>8837.0672</v>
      </c>
      <c r="H1215" s="1">
        <f>value(MYR!$B1215)</f>
        <v>3418.3774</v>
      </c>
      <c r="I1215" s="1">
        <f>value(THB!$B1215)</f>
        <v>348.7431</v>
      </c>
      <c r="J1215" s="1">
        <f>value(VND!$B1215)</f>
        <v>0.5754035988</v>
      </c>
      <c r="K1215" s="1">
        <f>value(CNY!$B1215)</f>
        <v>1853.83352</v>
      </c>
      <c r="L1215" s="1">
        <f>value(HKD!$B1215)</f>
        <v>1445.5295</v>
      </c>
      <c r="M1215" s="1">
        <f>value(TWD!$B1215)</f>
        <v>378.1133</v>
      </c>
      <c r="N1215" s="1">
        <f>value(JPY!$B1215)</f>
        <v>111.62918</v>
      </c>
      <c r="O1215" s="1">
        <f>value(SAR!$B1215)</f>
        <v>3014.085976</v>
      </c>
      <c r="P1215" s="1">
        <f>value(AED!$B1215)</f>
        <v>3322.77344</v>
      </c>
      <c r="Q1215" s="1">
        <f>value(KWD!$B1215)</f>
        <v>43128.7664</v>
      </c>
    </row>
    <row r="1216">
      <c r="A1216" s="4">
        <f>value(USD!A1216)</f>
        <v>41526.99861</v>
      </c>
      <c r="B1216" s="1">
        <f>value(USD!B1216)</f>
        <v>11132</v>
      </c>
      <c r="C1216" s="1">
        <f>value(AUD!$B1216)</f>
        <v>10520.5964</v>
      </c>
      <c r="D1216" s="1">
        <f>value(EUR!$B1216)</f>
        <v>15060.4644</v>
      </c>
      <c r="E1216" s="1">
        <f>value(GBP!$B1216)</f>
        <v>17898.5172</v>
      </c>
      <c r="F1216" s="1">
        <f>value(CHF!$B1216)</f>
        <v>12154.5156</v>
      </c>
      <c r="G1216" s="1">
        <f>value(SGD!$B1216)</f>
        <v>8938.5084</v>
      </c>
      <c r="H1216" s="1">
        <f>value(MYR!$B1216)</f>
        <v>3468.12768</v>
      </c>
      <c r="I1216" s="1">
        <f>value(THB!$B1216)</f>
        <v>354.1908</v>
      </c>
      <c r="J1216" s="1">
        <f>value(VND!$B1216)</f>
        <v>0.5769285528</v>
      </c>
      <c r="K1216" s="1">
        <f>value(CNY!$B1216)</f>
        <v>1853.83352</v>
      </c>
      <c r="L1216" s="1">
        <f>value(HKD!$B1216)</f>
        <v>1459.1982</v>
      </c>
      <c r="M1216" s="1">
        <f>value(TWD!$B1216)</f>
        <v>382.70712</v>
      </c>
      <c r="N1216" s="1">
        <f>value(JPY!$B1216)</f>
        <v>113.16</v>
      </c>
      <c r="O1216" s="1">
        <f>value(SAR!$B1216)</f>
        <v>3018.122614</v>
      </c>
      <c r="P1216" s="1">
        <f>value(AED!$B1216)</f>
        <v>3309.16444</v>
      </c>
      <c r="Q1216" s="1">
        <f>value(KWD!$B1216)</f>
        <v>42930.11441</v>
      </c>
    </row>
    <row r="1217">
      <c r="A1217" s="4">
        <f>value(USD!A1217)</f>
        <v>41527.99861</v>
      </c>
      <c r="B1217" s="1">
        <f>value(USD!B1217)</f>
        <v>11210</v>
      </c>
      <c r="C1217" s="1">
        <f>value(AUD!$B1217)</f>
        <v>10629.96781</v>
      </c>
      <c r="D1217" s="1">
        <f>value(EUR!$B1217)</f>
        <v>15053.7312</v>
      </c>
      <c r="E1217" s="1">
        <f>value(GBP!$B1217)</f>
        <v>17891.0244</v>
      </c>
      <c r="F1217" s="1">
        <f>value(CHF!$B1217)</f>
        <v>12163.2246</v>
      </c>
      <c r="G1217" s="1">
        <f>value(SGD!$B1217)</f>
        <v>8931.69936</v>
      </c>
      <c r="H1217" s="1">
        <f>value(MYR!$B1217)</f>
        <v>3451.17204</v>
      </c>
      <c r="I1217" s="1">
        <f>value(THB!$B1217)</f>
        <v>356.98266</v>
      </c>
      <c r="J1217" s="1">
        <f>value(VND!$B1217)</f>
        <v>0.5844473292</v>
      </c>
      <c r="K1217" s="1">
        <f>value(CNY!$B1217)</f>
        <v>1860.112594</v>
      </c>
      <c r="L1217" s="1">
        <f>value(HKD!$B1217)</f>
        <v>1460.08512</v>
      </c>
      <c r="M1217" s="1">
        <f>value(TWD!$B1217)</f>
        <v>381.32496</v>
      </c>
      <c r="N1217" s="1">
        <f>value(JPY!$B1217)</f>
        <v>113.695524</v>
      </c>
      <c r="O1217" s="1">
        <f>value(SAR!$B1217)</f>
        <v>3006.378946</v>
      </c>
      <c r="P1217" s="1">
        <f>value(AED!$B1217)</f>
        <v>3309.16444</v>
      </c>
      <c r="Q1217" s="1">
        <f>value(KWD!$B1217)</f>
        <v>42965.11692</v>
      </c>
    </row>
    <row r="1218">
      <c r="A1218" s="4">
        <f>value(USD!A1218)</f>
        <v>41528.99861</v>
      </c>
      <c r="B1218" s="1">
        <f>value(USD!B1218)</f>
        <v>11316</v>
      </c>
      <c r="C1218" s="1">
        <f>value(AUD!$B1218)</f>
        <v>10578.4029</v>
      </c>
      <c r="D1218" s="1">
        <f>value(EUR!$B1218)</f>
        <v>15128.53568</v>
      </c>
      <c r="E1218" s="1">
        <f>value(GBP!$B1218)</f>
        <v>18064.49225</v>
      </c>
      <c r="F1218" s="1">
        <f>value(CHF!$B1218)</f>
        <v>12239.1274</v>
      </c>
      <c r="G1218" s="1">
        <f>value(SGD!$B1218)</f>
        <v>8961.74083</v>
      </c>
      <c r="H1218" s="1">
        <f>value(MYR!$B1218)</f>
        <v>3454.93017</v>
      </c>
      <c r="I1218" s="1">
        <f>value(THB!$B1218)</f>
        <v>356.90816</v>
      </c>
      <c r="J1218" s="1">
        <f>value(VND!$B1218)</f>
        <v>0.5845598833</v>
      </c>
      <c r="K1218" s="1">
        <f>value(CNY!$B1218)</f>
        <v>1857.96781</v>
      </c>
      <c r="L1218" s="1">
        <f>value(HKD!$B1218)</f>
        <v>1467.57995</v>
      </c>
      <c r="M1218" s="1">
        <f>value(TWD!$B1218)</f>
        <v>383.19827</v>
      </c>
      <c r="N1218" s="1">
        <f>value(JPY!$B1218)</f>
        <v>114.49286</v>
      </c>
      <c r="O1218" s="1">
        <f>value(SAR!$B1218)</f>
        <v>2998.479869</v>
      </c>
      <c r="P1218" s="1">
        <f>value(AED!$B1218)</f>
        <v>3293.92236</v>
      </c>
      <c r="Q1218" s="1">
        <f>value(KWD!$B1218)</f>
        <v>42959.90063</v>
      </c>
    </row>
    <row r="1219">
      <c r="A1219" s="4">
        <f>value(USD!A1219)</f>
        <v>41529.99861</v>
      </c>
      <c r="B1219" s="1">
        <f>value(USD!B1219)</f>
        <v>11322</v>
      </c>
      <c r="C1219" s="1">
        <f>value(AUD!$B1219)</f>
        <v>10678.77678</v>
      </c>
      <c r="D1219" s="1">
        <f>value(EUR!$B1219)</f>
        <v>15134.4538</v>
      </c>
      <c r="E1219" s="1">
        <f>value(GBP!$B1219)</f>
        <v>18066.1994</v>
      </c>
      <c r="F1219" s="1">
        <f>value(CHF!$B1219)</f>
        <v>12207.2606</v>
      </c>
      <c r="G1219" s="1">
        <f>value(SGD!$B1219)</f>
        <v>8961.74083</v>
      </c>
      <c r="H1219" s="1">
        <f>value(MYR!$B1219)</f>
        <v>3400.18756</v>
      </c>
      <c r="I1219" s="1">
        <f>value(THB!$B1219)</f>
        <v>351.10385</v>
      </c>
      <c r="J1219" s="1">
        <f>value(VND!$B1219)</f>
        <v>0.5767806168</v>
      </c>
      <c r="K1219" s="1">
        <f>value(CNY!$B1219)</f>
        <v>1858.0067</v>
      </c>
      <c r="L1219" s="1">
        <f>value(HKD!$B1219)</f>
        <v>1467.46614</v>
      </c>
      <c r="M1219" s="1">
        <f>value(TWD!$B1219)</f>
        <v>383.42589</v>
      </c>
      <c r="N1219" s="1">
        <f>value(JPY!$B1219)</f>
        <v>114.49286</v>
      </c>
      <c r="O1219" s="1">
        <f>value(SAR!$B1219)</f>
        <v>2970.000994</v>
      </c>
      <c r="P1219" s="1">
        <f>value(AED!$B1219)</f>
        <v>3295.55544</v>
      </c>
      <c r="Q1219" s="1">
        <f>value(KWD!$B1219)</f>
        <v>42979.31088</v>
      </c>
    </row>
    <row r="1220">
      <c r="A1220" s="4">
        <f>value(USD!A1220)</f>
        <v>41530.99861</v>
      </c>
      <c r="B1220" s="1">
        <f>value(USD!B1220)</f>
        <v>11381</v>
      </c>
      <c r="C1220" s="1">
        <f>value(AUD!$B1220)</f>
        <v>10874.4552</v>
      </c>
      <c r="D1220" s="1">
        <f>value(EUR!$B1220)</f>
        <v>15223.2256</v>
      </c>
      <c r="E1220" s="1">
        <f>value(GBP!$B1220)</f>
        <v>18145.8664</v>
      </c>
      <c r="F1220" s="1">
        <f>value(CHF!$B1220)</f>
        <v>12314.242</v>
      </c>
      <c r="G1220" s="1">
        <f>value(SGD!$B1220)</f>
        <v>9021.03584</v>
      </c>
      <c r="H1220" s="1">
        <f>value(MYR!$B1220)</f>
        <v>3475.87121</v>
      </c>
      <c r="I1220" s="1">
        <f>value(THB!$B1220)</f>
        <v>359.07055</v>
      </c>
      <c r="J1220" s="1">
        <f>value(VND!$B1220)</f>
        <v>0.5770747167</v>
      </c>
      <c r="K1220" s="1">
        <f>value(CNY!$B1220)</f>
        <v>1867.6856</v>
      </c>
      <c r="L1220" s="1">
        <f>value(HKD!$B1220)</f>
        <v>1467.69376</v>
      </c>
      <c r="M1220" s="1">
        <f>value(TWD!$B1220)</f>
        <v>385.58828</v>
      </c>
      <c r="N1220" s="1">
        <f>value(JPY!$B1220)</f>
        <v>115.06191</v>
      </c>
      <c r="O1220" s="1">
        <f>value(SAR!$B1220)</f>
        <v>2930.744732</v>
      </c>
      <c r="P1220" s="1">
        <f>value(AED!$B1220)</f>
        <v>3295.155335</v>
      </c>
      <c r="Q1220" s="1">
        <f>value(KWD!$B1220)</f>
        <v>43040.08248</v>
      </c>
    </row>
    <row r="1221">
      <c r="A1221" s="4">
        <f>value(USD!A1221)</f>
        <v>41531.99861</v>
      </c>
      <c r="B1221" s="1">
        <f>value(USD!B1221)</f>
        <v>11381</v>
      </c>
      <c r="C1221" s="1">
        <f>value(AUD!$B1221)</f>
        <v>10620.10545</v>
      </c>
      <c r="D1221" s="1">
        <f>value(EUR!$B1221)</f>
        <v>15134.23197</v>
      </c>
      <c r="E1221" s="1">
        <f>value(GBP!$B1221)</f>
        <v>18042.98067</v>
      </c>
      <c r="F1221" s="1">
        <f>value(CHF!$B1221)</f>
        <v>12237.6267</v>
      </c>
      <c r="G1221" s="1">
        <f>value(SGD!$B1221)</f>
        <v>8989.5429</v>
      </c>
      <c r="H1221" s="1">
        <f>value(MYR!$B1221)</f>
        <v>3446.46432</v>
      </c>
      <c r="I1221" s="1">
        <f>value(THB!$B1221)</f>
        <v>357.15303</v>
      </c>
      <c r="J1221" s="1">
        <f>value(VND!$B1221)</f>
        <v>0.576965081</v>
      </c>
      <c r="K1221" s="1">
        <f>value(CNY!$B1221)</f>
        <v>1864.84506</v>
      </c>
      <c r="L1221" s="1">
        <f>value(HKD!$B1221)</f>
        <v>1463.56704</v>
      </c>
      <c r="M1221" s="1">
        <f>value(TWD!$B1221)</f>
        <v>382.91526</v>
      </c>
      <c r="N1221" s="1">
        <f>value(JPY!$B1221)</f>
        <v>114.602202</v>
      </c>
      <c r="O1221" s="1">
        <f>value(SAR!$B1221)</f>
        <v>2933.48278</v>
      </c>
      <c r="P1221" s="1">
        <f>value(AED!$B1221)</f>
        <v>3296.64416</v>
      </c>
      <c r="Q1221" s="1">
        <f>value(KWD!$B1221)</f>
        <v>42798.8622</v>
      </c>
    </row>
    <row r="1222">
      <c r="A1222" s="4">
        <f>value(USD!A1222)</f>
        <v>41532.99861</v>
      </c>
      <c r="B1222" s="1">
        <f>value(USD!B1222)</f>
        <v>11381</v>
      </c>
      <c r="C1222" s="1">
        <f>value(AUD!$B1222)</f>
        <v>10639.73628</v>
      </c>
      <c r="D1222" s="1">
        <f>value(EUR!$B1222)</f>
        <v>15249.11605</v>
      </c>
      <c r="E1222" s="1">
        <f>value(GBP!$B1222)</f>
        <v>18159.65186</v>
      </c>
      <c r="F1222" s="1">
        <f>value(CHF!$B1222)</f>
        <v>12329.2183</v>
      </c>
      <c r="G1222" s="1">
        <f>value(SGD!$B1222)</f>
        <v>9064.41298</v>
      </c>
      <c r="H1222" s="1">
        <f>value(MYR!$B1222)</f>
        <v>3512.89673</v>
      </c>
      <c r="I1222" s="1">
        <f>value(THB!$B1222)</f>
        <v>359.6355</v>
      </c>
      <c r="J1222" s="1">
        <f>value(VND!$B1222)</f>
        <v>0.5766801131</v>
      </c>
      <c r="K1222" s="1">
        <f>value(CNY!$B1222)</f>
        <v>1869.37968</v>
      </c>
      <c r="L1222" s="1">
        <f>value(HKD!$B1222)</f>
        <v>1472.33632</v>
      </c>
      <c r="M1222" s="1">
        <f>value(TWD!$B1222)</f>
        <v>385.09541</v>
      </c>
      <c r="N1222" s="1">
        <f>value(JPY!$B1222)</f>
        <v>115.08336</v>
      </c>
      <c r="O1222" s="1">
        <f>value(SAR!$B1222)</f>
        <v>2933.795995</v>
      </c>
      <c r="P1222" s="1">
        <f>value(AED!$B1222)</f>
        <v>3302.35994</v>
      </c>
      <c r="Q1222" s="1">
        <f>value(KWD!$B1222)</f>
        <v>42744.37971</v>
      </c>
    </row>
    <row r="1223">
      <c r="A1223" s="4">
        <f>value(USD!A1223)</f>
        <v>41533.99861</v>
      </c>
      <c r="B1223" s="1">
        <f>value(USD!B1223)</f>
        <v>11349</v>
      </c>
      <c r="C1223" s="1">
        <f>value(AUD!$B1223)</f>
        <v>10636.44</v>
      </c>
      <c r="D1223" s="1">
        <f>value(EUR!$B1223)</f>
        <v>15463.9584</v>
      </c>
      <c r="E1223" s="1">
        <f>value(GBP!$B1223)</f>
        <v>18462.1896</v>
      </c>
      <c r="F1223" s="1">
        <f>value(CHF!$B1223)</f>
        <v>12535.56</v>
      </c>
      <c r="G1223" s="1">
        <f>value(SGD!$B1223)</f>
        <v>9178.31952</v>
      </c>
      <c r="H1223" s="1">
        <f>value(MYR!$B1223)</f>
        <v>3536.63064</v>
      </c>
      <c r="I1223" s="1">
        <f>value(THB!$B1223)</f>
        <v>365.64912</v>
      </c>
      <c r="J1223" s="1">
        <f>value(VND!$B1223)</f>
        <v>0.5789888396</v>
      </c>
      <c r="K1223" s="1">
        <f>value(CNY!$B1223)</f>
        <v>1879.174953</v>
      </c>
      <c r="L1223" s="1">
        <f>value(HKD!$B1223)</f>
        <v>1476.44856</v>
      </c>
      <c r="M1223" s="1">
        <f>value(TWD!$B1223)</f>
        <v>390.9492</v>
      </c>
      <c r="N1223" s="1">
        <f>value(JPY!$B1223)</f>
        <v>116.529192</v>
      </c>
      <c r="O1223" s="1">
        <f>value(SAR!$B1223)</f>
        <v>2942.589478</v>
      </c>
      <c r="P1223" s="1">
        <f>value(AED!$B1223)</f>
        <v>3283.8517</v>
      </c>
      <c r="Q1223" s="1">
        <f>value(KWD!$B1223)</f>
        <v>42600.18636</v>
      </c>
    </row>
    <row r="1224">
      <c r="A1224" s="4">
        <f>value(USD!A1224)</f>
        <v>41534.99861</v>
      </c>
      <c r="B1224" s="1">
        <f>value(USD!B1224)</f>
        <v>11417</v>
      </c>
      <c r="C1224" s="1">
        <f>value(AUD!$B1224)</f>
        <v>10652.429</v>
      </c>
      <c r="D1224" s="1">
        <f>value(EUR!$B1224)</f>
        <v>15225.764</v>
      </c>
      <c r="E1224" s="1">
        <f>value(GBP!$B1224)</f>
        <v>18041.765</v>
      </c>
      <c r="F1224" s="1">
        <f>value(CHF!$B1224)</f>
        <v>12356.8645</v>
      </c>
      <c r="G1224" s="1">
        <f>value(SGD!$B1224)</f>
        <v>9023.02095</v>
      </c>
      <c r="H1224" s="1">
        <f>value(MYR!$B1224)</f>
        <v>3573.34995</v>
      </c>
      <c r="I1224" s="1">
        <f>value(THB!$B1224)</f>
        <v>361.9608</v>
      </c>
      <c r="J1224" s="1">
        <f>value(VND!$B1224)</f>
        <v>0.5785761835</v>
      </c>
      <c r="K1224" s="1">
        <f>value(CNY!$B1224)</f>
        <v>1858.07691</v>
      </c>
      <c r="L1224" s="1">
        <f>value(HKD!$B1224)</f>
        <v>1451.4448</v>
      </c>
      <c r="M1224" s="1">
        <f>value(TWD!$B1224)</f>
        <v>381.43195</v>
      </c>
      <c r="N1224" s="1">
        <f>value(JPY!$B1224)</f>
        <v>113.20279</v>
      </c>
      <c r="O1224" s="1">
        <f>value(SAR!$B1224)</f>
        <v>2956.013409</v>
      </c>
      <c r="P1224" s="1">
        <f>value(AED!$B1224)</f>
        <v>3287.11786</v>
      </c>
      <c r="Q1224" s="1">
        <f>value(KWD!$B1224)</f>
        <v>41943.94916</v>
      </c>
    </row>
    <row r="1225">
      <c r="A1225" s="4">
        <f>value(USD!A1225)</f>
        <v>41535.99861</v>
      </c>
      <c r="B1225" s="1">
        <f>value(USD!B1225)</f>
        <v>11448</v>
      </c>
      <c r="C1225" s="1">
        <f>value(AUD!$B1225)</f>
        <v>10754.814</v>
      </c>
      <c r="D1225" s="1">
        <f>value(EUR!$B1225)</f>
        <v>15313.79754</v>
      </c>
      <c r="E1225" s="1">
        <f>value(GBP!$B1225)</f>
        <v>18118.48338</v>
      </c>
      <c r="F1225" s="1">
        <f>value(CHF!$B1225)</f>
        <v>12433.8204</v>
      </c>
      <c r="G1225" s="1">
        <f>value(SGD!$B1225)</f>
        <v>9039.4848</v>
      </c>
      <c r="H1225" s="1">
        <f>value(MYR!$B1225)</f>
        <v>3574.12896</v>
      </c>
      <c r="I1225" s="1">
        <f>value(THB!$B1225)</f>
        <v>363.77586</v>
      </c>
      <c r="J1225" s="1">
        <f>value(VND!$B1225)</f>
        <v>0.5798147604</v>
      </c>
      <c r="K1225" s="1">
        <f>value(CNY!$B1225)</f>
        <v>1892.86248</v>
      </c>
      <c r="L1225" s="1">
        <f>value(HKD!$B1225)</f>
        <v>1460.19834</v>
      </c>
      <c r="M1225" s="1">
        <f>value(TWD!$B1225)</f>
        <v>382.79682</v>
      </c>
      <c r="N1225" s="1">
        <f>value(JPY!$B1225)</f>
        <v>114.01254</v>
      </c>
      <c r="O1225" s="1">
        <f>value(SAR!$B1225)</f>
        <v>2975.151466</v>
      </c>
      <c r="P1225" s="1">
        <f>value(AED!$B1225)</f>
        <v>3275.712</v>
      </c>
      <c r="Q1225" s="1">
        <f>value(KWD!$B1225)</f>
        <v>41930.93036</v>
      </c>
    </row>
    <row r="1226">
      <c r="A1226" s="4">
        <f>value(USD!A1226)</f>
        <v>41536.99861</v>
      </c>
      <c r="B1226" s="1">
        <f>value(USD!B1226)</f>
        <v>11255</v>
      </c>
      <c r="C1226" s="1">
        <f>value(AUD!$B1226)</f>
        <v>10738.95795</v>
      </c>
      <c r="D1226" s="1">
        <f>value(EUR!$B1226)</f>
        <v>15314.7975</v>
      </c>
      <c r="E1226" s="1">
        <f>value(GBP!$B1226)</f>
        <v>18124.53</v>
      </c>
      <c r="F1226" s="1">
        <f>value(CHF!$B1226)</f>
        <v>12435.9825</v>
      </c>
      <c r="G1226" s="1">
        <f>value(SGD!$B1226)</f>
        <v>9041.88</v>
      </c>
      <c r="H1226" s="1">
        <f>value(MYR!$B1226)</f>
        <v>3574.28325</v>
      </c>
      <c r="I1226" s="1">
        <f>value(THB!$B1226)</f>
        <v>363.759</v>
      </c>
      <c r="J1226" s="1">
        <f>value(VND!$B1226)</f>
        <v>0.5774400276</v>
      </c>
      <c r="K1226" s="1">
        <f>value(CNY!$B1226)</f>
        <v>1898.0478</v>
      </c>
      <c r="L1226" s="1">
        <f>value(HKD!$B1226)</f>
        <v>1460.58525</v>
      </c>
      <c r="M1226" s="1">
        <f>value(TWD!$B1226)</f>
        <v>382.89825</v>
      </c>
      <c r="N1226" s="1">
        <f>value(JPY!$B1226)</f>
        <v>114.04275</v>
      </c>
      <c r="O1226" s="1">
        <f>value(SAR!$B1226)</f>
        <v>3001.387881</v>
      </c>
      <c r="P1226" s="1">
        <f>value(AED!$B1226)</f>
        <v>3218.25632</v>
      </c>
      <c r="Q1226" s="1">
        <f>value(KWD!$B1226)</f>
        <v>42628.58906</v>
      </c>
    </row>
    <row r="1227">
      <c r="A1227" s="4">
        <f>value(USD!A1227)</f>
        <v>41537.99861</v>
      </c>
      <c r="B1227" s="1">
        <f>value(USD!B1227)</f>
        <v>11322</v>
      </c>
      <c r="C1227" s="1">
        <f>value(AUD!$B1227)</f>
        <v>10727.09418</v>
      </c>
      <c r="D1227" s="1">
        <f>value(EUR!$B1227)</f>
        <v>15353.826</v>
      </c>
      <c r="E1227" s="1">
        <f>value(GBP!$B1227)</f>
        <v>18170.7825</v>
      </c>
      <c r="F1227" s="1">
        <f>value(CHF!$B1227)</f>
        <v>12465.705</v>
      </c>
      <c r="G1227" s="1">
        <f>value(SGD!$B1227)</f>
        <v>9065.245</v>
      </c>
      <c r="H1227" s="1">
        <f>value(MYR!$B1227)</f>
        <v>3583.0815</v>
      </c>
      <c r="I1227" s="1">
        <f>value(THB!$B1227)</f>
        <v>364.6755</v>
      </c>
      <c r="J1227" s="1">
        <f>value(VND!$B1227)</f>
        <v>0.5835373132</v>
      </c>
      <c r="K1227" s="1">
        <f>value(CNY!$B1227)</f>
        <v>1898.74377</v>
      </c>
      <c r="L1227" s="1">
        <f>value(HKD!$B1227)</f>
        <v>1463.8095</v>
      </c>
      <c r="M1227" s="1">
        <f>value(TWD!$B1227)</f>
        <v>383.857</v>
      </c>
      <c r="N1227" s="1">
        <f>value(JPY!$B1227)</f>
        <v>114.2945</v>
      </c>
      <c r="O1227" s="1">
        <f>value(SAR!$B1227)</f>
        <v>3015.546991</v>
      </c>
      <c r="P1227" s="1">
        <f>value(AED!$B1227)</f>
        <v>3217.257419</v>
      </c>
      <c r="Q1227" s="1">
        <f>value(KWD!$B1227)</f>
        <v>41901.38088</v>
      </c>
    </row>
    <row r="1228">
      <c r="A1228" s="4">
        <f>value(USD!A1228)</f>
        <v>41538.99861</v>
      </c>
      <c r="B1228" s="1">
        <f>value(USD!B1228)</f>
        <v>11325</v>
      </c>
      <c r="C1228" s="1">
        <f>value(AUD!$B1228)</f>
        <v>10701.909</v>
      </c>
      <c r="D1228" s="1">
        <f>value(EUR!$B1228)</f>
        <v>15405.07227</v>
      </c>
      <c r="E1228" s="1">
        <f>value(GBP!$B1228)</f>
        <v>18312.868</v>
      </c>
      <c r="F1228" s="1">
        <f>value(CHF!$B1228)</f>
        <v>12531.2992</v>
      </c>
      <c r="G1228" s="1">
        <f>value(SGD!$B1228)</f>
        <v>9126.7498</v>
      </c>
      <c r="H1228" s="1">
        <f>value(MYR!$B1228)</f>
        <v>3563.47404</v>
      </c>
      <c r="I1228" s="1">
        <f>value(THB!$B1228)</f>
        <v>365.91485</v>
      </c>
      <c r="J1228" s="1">
        <f>value(VND!$B1228)</f>
        <v>0.5747803269</v>
      </c>
      <c r="K1228" s="1">
        <f>value(CNY!$B1228)</f>
        <v>1889.4474</v>
      </c>
      <c r="L1228" s="1">
        <f>value(HKD!$B1228)</f>
        <v>1472.45049</v>
      </c>
      <c r="M1228" s="1">
        <f>value(TWD!$B1228)</f>
        <v>385.43792</v>
      </c>
      <c r="N1228" s="1">
        <f>value(JPY!$B1228)</f>
        <v>115.585708</v>
      </c>
      <c r="O1228" s="1">
        <f>value(SAR!$B1228)</f>
        <v>3018.203127</v>
      </c>
      <c r="P1228" s="1">
        <f>value(AED!$B1228)</f>
        <v>3270.78706</v>
      </c>
      <c r="Q1228" s="1">
        <f>value(KWD!$B1228)</f>
        <v>41825.26941</v>
      </c>
    </row>
    <row r="1229">
      <c r="A1229" s="4">
        <f>value(USD!A1229)</f>
        <v>41539.99861</v>
      </c>
      <c r="B1229" s="1">
        <f>value(USD!B1229)</f>
        <v>11350</v>
      </c>
      <c r="C1229" s="1">
        <f>value(AUD!$B1229)</f>
        <v>10719.4826</v>
      </c>
      <c r="D1229" s="1">
        <f>value(EUR!$B1229)</f>
        <v>15418.704</v>
      </c>
      <c r="E1229" s="1">
        <f>value(GBP!$B1229)</f>
        <v>18310.74105</v>
      </c>
      <c r="F1229" s="1">
        <f>value(CHF!$B1229)</f>
        <v>12531.1305</v>
      </c>
      <c r="G1229" s="1">
        <f>value(SGD!$B1229)</f>
        <v>9114.3402</v>
      </c>
      <c r="H1229" s="1">
        <f>value(MYR!$B1229)</f>
        <v>3554.1303</v>
      </c>
      <c r="I1229" s="1">
        <f>value(THB!$B1229)</f>
        <v>365.0955</v>
      </c>
      <c r="J1229" s="1">
        <f>value(VND!$B1229)</f>
        <v>0.5752018973</v>
      </c>
      <c r="K1229" s="1">
        <f>value(CNY!$B1229)</f>
        <v>1902.7395</v>
      </c>
      <c r="L1229" s="1">
        <f>value(HKD!$B1229)</f>
        <v>1476.06165</v>
      </c>
      <c r="M1229" s="1">
        <f>value(TWD!$B1229)</f>
        <v>386.1543</v>
      </c>
      <c r="N1229" s="1">
        <f>value(JPY!$B1229)</f>
        <v>115.84629</v>
      </c>
      <c r="O1229" s="1">
        <f>value(SAR!$B1229)</f>
        <v>3023.112982</v>
      </c>
      <c r="P1229" s="1">
        <f>value(AED!$B1229)</f>
        <v>3214.99016</v>
      </c>
      <c r="Q1229" s="1">
        <f>value(KWD!$B1229)</f>
        <v>41873.46194</v>
      </c>
    </row>
    <row r="1230">
      <c r="A1230" s="4">
        <f>value(USD!A1230)</f>
        <v>41540.99861</v>
      </c>
      <c r="B1230" s="1">
        <f>value(USD!B1230)</f>
        <v>11417</v>
      </c>
      <c r="C1230" s="1">
        <f>value(AUD!$B1230)</f>
        <v>10693.0119</v>
      </c>
      <c r="D1230" s="1">
        <f>value(EUR!$B1230)</f>
        <v>15490.87226</v>
      </c>
      <c r="E1230" s="1">
        <f>value(GBP!$B1230)</f>
        <v>18418.1621</v>
      </c>
      <c r="F1230" s="1">
        <f>value(CHF!$B1230)</f>
        <v>12592.342</v>
      </c>
      <c r="G1230" s="1">
        <f>value(SGD!$B1230)</f>
        <v>9130.42188</v>
      </c>
      <c r="H1230" s="1">
        <f>value(MYR!$B1230)</f>
        <v>3552.32374</v>
      </c>
      <c r="I1230" s="1">
        <f>value(THB!$B1230)</f>
        <v>365.85394</v>
      </c>
      <c r="J1230" s="1">
        <f>value(VND!$B1230)</f>
        <v>0.5798424238</v>
      </c>
      <c r="K1230" s="1">
        <f>value(CNY!$B1230)</f>
        <v>1910.360304</v>
      </c>
      <c r="L1230" s="1">
        <f>value(HKD!$B1230)</f>
        <v>1477.62368</v>
      </c>
      <c r="M1230" s="1">
        <f>value(TWD!$B1230)</f>
        <v>387.73872</v>
      </c>
      <c r="N1230" s="1">
        <f>value(JPY!$B1230)</f>
        <v>116.333074</v>
      </c>
      <c r="O1230" s="1">
        <f>value(SAR!$B1230)</f>
        <v>3021.413814</v>
      </c>
      <c r="P1230" s="1">
        <f>value(AED!$B1230)</f>
        <v>3211.99618</v>
      </c>
      <c r="Q1230" s="1">
        <f>value(KWD!$B1230)</f>
        <v>42113.09266</v>
      </c>
    </row>
    <row r="1231">
      <c r="A1231" s="4">
        <f>value(USD!A1231)</f>
        <v>41541.99861</v>
      </c>
      <c r="B1231" s="1">
        <f>value(USD!B1231)</f>
        <v>11445</v>
      </c>
      <c r="C1231" s="1">
        <f>value(AUD!$B1231)</f>
        <v>10759.5328</v>
      </c>
      <c r="D1231" s="1">
        <f>value(EUR!$B1231)</f>
        <v>15414.9552</v>
      </c>
      <c r="E1231" s="1">
        <f>value(GBP!$B1231)</f>
        <v>18329.3766</v>
      </c>
      <c r="F1231" s="1">
        <f>value(CHF!$B1231)</f>
        <v>12553.569</v>
      </c>
      <c r="G1231" s="1">
        <f>value(SGD!$B1231)</f>
        <v>9100.3374</v>
      </c>
      <c r="H1231" s="1">
        <f>value(MYR!$B1231)</f>
        <v>3550.5009</v>
      </c>
      <c r="I1231" s="1">
        <f>value(THB!$B1231)</f>
        <v>365.5314</v>
      </c>
      <c r="J1231" s="1">
        <f>value(VND!$B1231)</f>
        <v>0.5801044095</v>
      </c>
      <c r="K1231" s="1">
        <f>value(CNY!$B1231)</f>
        <v>1907.8413</v>
      </c>
      <c r="L1231" s="1">
        <f>value(HKD!$B1231)</f>
        <v>1473.8985</v>
      </c>
      <c r="M1231" s="1">
        <f>value(TWD!$B1231)</f>
        <v>386.1054</v>
      </c>
      <c r="N1231" s="1">
        <f>value(JPY!$B1231)</f>
        <v>115.443</v>
      </c>
      <c r="O1231" s="1">
        <f>value(SAR!$B1231)</f>
        <v>3037.17736</v>
      </c>
      <c r="P1231" s="1">
        <f>value(AED!$B1231)</f>
        <v>3219.34504</v>
      </c>
      <c r="Q1231" s="1">
        <f>value(KWD!$B1231)</f>
        <v>42042.18326</v>
      </c>
    </row>
    <row r="1232">
      <c r="A1232" s="4">
        <f>value(USD!A1232)</f>
        <v>41542.99861</v>
      </c>
      <c r="B1232" s="1">
        <f>value(USD!B1232)</f>
        <v>11458</v>
      </c>
      <c r="C1232" s="1">
        <f>value(AUD!$B1232)</f>
        <v>10779.1984</v>
      </c>
      <c r="D1232" s="1">
        <f>value(EUR!$B1232)</f>
        <v>15561.08872</v>
      </c>
      <c r="E1232" s="1">
        <f>value(GBP!$B1232)</f>
        <v>18570.57713</v>
      </c>
      <c r="F1232" s="1">
        <f>value(CHF!$B1232)</f>
        <v>12703.6342</v>
      </c>
      <c r="G1232" s="1">
        <f>value(SGD!$B1232)</f>
        <v>9156.33022</v>
      </c>
      <c r="H1232" s="1">
        <f>value(MYR!$B1232)</f>
        <v>3562.72604</v>
      </c>
      <c r="I1232" s="1">
        <f>value(THB!$B1232)</f>
        <v>367.1371</v>
      </c>
      <c r="J1232" s="1">
        <f>value(VND!$B1232)</f>
        <v>0.5763895457</v>
      </c>
      <c r="K1232" s="1">
        <f>value(CNY!$B1232)</f>
        <v>1904.6126</v>
      </c>
      <c r="L1232" s="1">
        <f>value(HKD!$B1232)</f>
        <v>1484.08555</v>
      </c>
      <c r="M1232" s="1">
        <f>value(TWD!$B1232)</f>
        <v>389.69474</v>
      </c>
      <c r="N1232" s="1">
        <f>value(JPY!$B1232)</f>
        <v>117.16162</v>
      </c>
      <c r="O1232" s="1">
        <f>value(SAR!$B1232)</f>
        <v>3032.859</v>
      </c>
      <c r="P1232" s="1">
        <f>value(AED!$B1232)</f>
        <v>3232.95404</v>
      </c>
      <c r="Q1232" s="1">
        <f>value(KWD!$B1232)</f>
        <v>42057.74787</v>
      </c>
    </row>
    <row r="1233">
      <c r="A1233" s="4">
        <f>value(USD!A1233)</f>
        <v>41543.99861</v>
      </c>
      <c r="B1233" s="1">
        <f>value(USD!B1233)</f>
        <v>11430</v>
      </c>
      <c r="C1233" s="1">
        <f>value(AUD!$B1233)</f>
        <v>10793.4768</v>
      </c>
      <c r="D1233" s="1">
        <f>value(EUR!$B1233)</f>
        <v>15633.96039</v>
      </c>
      <c r="E1233" s="1">
        <f>value(GBP!$B1233)</f>
        <v>18658.90741</v>
      </c>
      <c r="F1233" s="1">
        <f>value(CHF!$B1233)</f>
        <v>12760.68962</v>
      </c>
      <c r="G1233" s="1">
        <f>value(SGD!$B1233)</f>
        <v>9197.45375</v>
      </c>
      <c r="H1233" s="1">
        <f>value(MYR!$B1233)</f>
        <v>3578.727196</v>
      </c>
      <c r="I1233" s="1">
        <f>value(THB!$B1233)</f>
        <v>368.786011</v>
      </c>
      <c r="J1233" s="1">
        <f>value(VND!$B1233)</f>
        <v>0.5732953075</v>
      </c>
      <c r="K1233" s="1">
        <f>value(CNY!$B1233)</f>
        <v>1898.5213</v>
      </c>
      <c r="L1233" s="1">
        <f>value(HKD!$B1233)</f>
        <v>1490.750975</v>
      </c>
      <c r="M1233" s="1">
        <f>value(TWD!$B1233)</f>
        <v>391.4449634</v>
      </c>
      <c r="N1233" s="1">
        <f>value(JPY!$B1233)</f>
        <v>117.6878242</v>
      </c>
      <c r="O1233" s="1">
        <f>value(SAR!$B1233)</f>
        <v>3035.28085</v>
      </c>
      <c r="P1233" s="1">
        <f>value(AED!$B1233)</f>
        <v>3227.51044</v>
      </c>
      <c r="Q1233" s="1">
        <f>value(KWD!$B1233)</f>
        <v>42042.18326</v>
      </c>
    </row>
    <row r="1234">
      <c r="A1234" s="4">
        <f>value(USD!A1234)</f>
        <v>41544.99861</v>
      </c>
      <c r="B1234" s="1">
        <f>value(USD!B1234)</f>
        <v>11509</v>
      </c>
      <c r="C1234" s="1">
        <f>value(AUD!$B1234)</f>
        <v>10810.5194</v>
      </c>
      <c r="D1234" s="1">
        <f>value(EUR!$B1234)</f>
        <v>15527.36735</v>
      </c>
      <c r="E1234" s="1">
        <f>value(GBP!$B1234)</f>
        <v>18598.544</v>
      </c>
      <c r="F1234" s="1">
        <f>value(CHF!$B1234)</f>
        <v>12703.6342</v>
      </c>
      <c r="G1234" s="1">
        <f>value(SGD!$B1234)</f>
        <v>9149.42482</v>
      </c>
      <c r="H1234" s="1">
        <f>value(MYR!$B1234)</f>
        <v>3555.24519</v>
      </c>
      <c r="I1234" s="1">
        <f>value(THB!$B1234)</f>
        <v>360.80715</v>
      </c>
      <c r="J1234" s="1">
        <f>value(VND!$B1234)</f>
        <v>0.5739746178</v>
      </c>
      <c r="K1234" s="1">
        <f>value(CNY!$B1234)</f>
        <v>1908.55148</v>
      </c>
      <c r="L1234" s="1">
        <f>value(HKD!$B1234)</f>
        <v>1484.20064</v>
      </c>
      <c r="M1234" s="1">
        <f>value(TWD!$B1234)</f>
        <v>388.88911</v>
      </c>
      <c r="N1234" s="1">
        <f>value(JPY!$B1234)</f>
        <v>117.50689</v>
      </c>
      <c r="O1234" s="1">
        <f>value(SAR!$B1234)</f>
        <v>3037.153642</v>
      </c>
      <c r="P1234" s="1">
        <f>value(AED!$B1234)</f>
        <v>3228.70531</v>
      </c>
      <c r="Q1234" s="1">
        <f>value(KWD!$B1234)</f>
        <v>42098.36729</v>
      </c>
    </row>
    <row r="1235">
      <c r="A1235" s="4">
        <f>value(USD!A1235)</f>
        <v>41545.99861</v>
      </c>
      <c r="B1235" s="1">
        <f>value(USD!B1235)</f>
        <v>11560.69</v>
      </c>
      <c r="C1235" s="1">
        <f>value(AUD!$B1235)</f>
        <v>10840.14976</v>
      </c>
      <c r="D1235" s="1">
        <f>value(EUR!$B1235)</f>
        <v>15621.7696</v>
      </c>
      <c r="E1235" s="1">
        <f>value(GBP!$B1235)</f>
        <v>18702.688</v>
      </c>
      <c r="F1235" s="1">
        <f>value(CHF!$B1235)</f>
        <v>12763.8048</v>
      </c>
      <c r="G1235" s="1">
        <f>value(SGD!$B1235)</f>
        <v>9194.2368</v>
      </c>
      <c r="H1235" s="1">
        <f>value(MYR!$B1235)</f>
        <v>3542.88288</v>
      </c>
      <c r="I1235" s="1">
        <f>value(THB!$B1235)</f>
        <v>369.0864</v>
      </c>
      <c r="J1235" s="1">
        <f>value(VND!$B1235)</f>
        <v>0.571591446</v>
      </c>
      <c r="K1235" s="1">
        <f>value(CNY!$B1235)</f>
        <v>1915.46992</v>
      </c>
      <c r="L1235" s="1">
        <f>value(HKD!$B1235)</f>
        <v>1489.39936</v>
      </c>
      <c r="M1235" s="1">
        <f>value(TWD!$B1235)</f>
        <v>391.38176</v>
      </c>
      <c r="N1235" s="1">
        <f>value(JPY!$B1235)</f>
        <v>117.460736</v>
      </c>
      <c r="O1235" s="1">
        <f>value(SAR!$B1235)</f>
        <v>3078.072774</v>
      </c>
      <c r="P1235" s="1">
        <f>value(AED!$B1235)</f>
        <v>3227.51044</v>
      </c>
      <c r="Q1235" s="1">
        <f>value(KWD!$B1235)</f>
        <v>42636.96265</v>
      </c>
    </row>
    <row r="1236">
      <c r="A1236" s="4">
        <f>value(USD!A1236)</f>
        <v>41546.99861</v>
      </c>
      <c r="B1236" s="1">
        <f>value(USD!B1236)</f>
        <v>11509</v>
      </c>
      <c r="C1236" s="1">
        <f>value(AUD!$B1236)</f>
        <v>10841.4642</v>
      </c>
      <c r="D1236" s="1">
        <f>value(EUR!$B1236)</f>
        <v>15520.3471</v>
      </c>
      <c r="E1236" s="1">
        <f>value(GBP!$B1236)</f>
        <v>18587.80489</v>
      </c>
      <c r="F1236" s="1">
        <f>value(CHF!$B1236)</f>
        <v>12666.0172</v>
      </c>
      <c r="G1236" s="1">
        <f>value(SGD!$B1236)</f>
        <v>9169.89346</v>
      </c>
      <c r="H1236" s="1">
        <f>value(MYR!$B1236)</f>
        <v>3546.27823</v>
      </c>
      <c r="I1236" s="1">
        <f>value(THB!$B1236)</f>
        <v>367.37877</v>
      </c>
      <c r="J1236" s="1">
        <f>value(VND!$B1236)</f>
        <v>0.5617102109</v>
      </c>
      <c r="K1236" s="1">
        <f>value(CNY!$B1236)</f>
        <v>1914.67137</v>
      </c>
      <c r="L1236" s="1">
        <f>value(HKD!$B1236)</f>
        <v>1480.07392</v>
      </c>
      <c r="M1236" s="1">
        <f>value(TWD!$B1236)</f>
        <v>388.38168</v>
      </c>
      <c r="N1236" s="1">
        <f>value(JPY!$B1236)</f>
        <v>117.030969</v>
      </c>
      <c r="O1236" s="1">
        <f>value(SAR!$B1236)</f>
        <v>3086.551508</v>
      </c>
      <c r="P1236" s="1">
        <f>value(AED!$B1236)</f>
        <v>3238.12546</v>
      </c>
      <c r="Q1236" s="1">
        <f>value(KWD!$B1236)</f>
        <v>42680.073</v>
      </c>
    </row>
    <row r="1237">
      <c r="A1237" s="4">
        <f>value(USD!A1237)</f>
        <v>41547.99861</v>
      </c>
      <c r="B1237" s="1">
        <f>value(USD!B1237)</f>
        <v>11552</v>
      </c>
      <c r="C1237" s="1">
        <f>value(AUD!$B1237)</f>
        <v>10843.113</v>
      </c>
      <c r="D1237" s="1">
        <f>value(EUR!$B1237)</f>
        <v>15619.716</v>
      </c>
      <c r="E1237" s="1">
        <f>value(GBP!$B1237)</f>
        <v>18660.03966</v>
      </c>
      <c r="F1237" s="1">
        <f>value(CHF!$B1237)</f>
        <v>12740.7654</v>
      </c>
      <c r="G1237" s="1">
        <f>value(SGD!$B1237)</f>
        <v>9208.96128</v>
      </c>
      <c r="H1237" s="1">
        <f>value(MYR!$B1237)</f>
        <v>3561.24924</v>
      </c>
      <c r="I1237" s="1">
        <f>value(THB!$B1237)</f>
        <v>367.83396</v>
      </c>
      <c r="J1237" s="1">
        <f>value(VND!$B1237)</f>
        <v>0.5715274117</v>
      </c>
      <c r="K1237" s="1">
        <f>value(CNY!$B1237)</f>
        <v>1914.5547</v>
      </c>
      <c r="L1237" s="1">
        <f>value(HKD!$B1237)</f>
        <v>1483.1829</v>
      </c>
      <c r="M1237" s="1">
        <f>value(TWD!$B1237)</f>
        <v>391.87314</v>
      </c>
      <c r="N1237" s="1">
        <f>value(JPY!$B1237)</f>
        <v>117.999018</v>
      </c>
      <c r="O1237" s="1">
        <f>value(SAR!$B1237)</f>
        <v>3089.919128</v>
      </c>
      <c r="P1237" s="1">
        <f>value(AED!$B1237)</f>
        <v>3283.03516</v>
      </c>
      <c r="Q1237" s="1">
        <f>value(KWD!$B1237)</f>
        <v>42826.77903</v>
      </c>
    </row>
    <row r="1238">
      <c r="A1238" s="4">
        <f>value(USD!A1238)</f>
        <v>41548.99861</v>
      </c>
      <c r="B1238" s="1">
        <f>value(USD!B1238)</f>
        <v>11477</v>
      </c>
      <c r="C1238" s="1">
        <f>value(AUD!$B1238)</f>
        <v>10836.15244</v>
      </c>
      <c r="D1238" s="1">
        <f>value(EUR!$B1238)</f>
        <v>15675.1381</v>
      </c>
      <c r="E1238" s="1">
        <f>value(GBP!$B1238)</f>
        <v>18588.96303</v>
      </c>
      <c r="F1238" s="1">
        <f>value(CHF!$B1238)</f>
        <v>12795.9372</v>
      </c>
      <c r="G1238" s="1">
        <f>value(SGD!$B1238)</f>
        <v>9211.94749</v>
      </c>
      <c r="H1238" s="1">
        <f>value(MYR!$B1238)</f>
        <v>3597.79331</v>
      </c>
      <c r="I1238" s="1">
        <f>value(THB!$B1238)</f>
        <v>367.40582</v>
      </c>
      <c r="J1238" s="1">
        <f>value(VND!$B1238)</f>
        <v>0.5810366467</v>
      </c>
      <c r="K1238" s="1">
        <f>value(CNY!$B1238)</f>
        <v>1913.85468</v>
      </c>
      <c r="L1238" s="1">
        <f>value(HKD!$B1238)</f>
        <v>1483.42688</v>
      </c>
      <c r="M1238" s="1">
        <f>value(TWD!$B1238)</f>
        <v>392.2523</v>
      </c>
      <c r="N1238" s="1">
        <f>value(JPY!$B1238)</f>
        <v>118.262343</v>
      </c>
      <c r="O1238" s="1">
        <f>value(SAR!$B1238)</f>
        <v>3073.104331</v>
      </c>
      <c r="P1238" s="1">
        <f>value(AED!$B1238)</f>
        <v>3280.31336</v>
      </c>
      <c r="Q1238" s="1">
        <f>value(KWD!$B1238)</f>
        <v>43018.79833</v>
      </c>
    </row>
    <row r="1239">
      <c r="A1239" s="4">
        <f>value(USD!A1239)</f>
        <v>41549.99861</v>
      </c>
      <c r="B1239" s="1">
        <f>value(USD!B1239)</f>
        <v>11502</v>
      </c>
      <c r="C1239" s="1">
        <f>value(AUD!$B1239)</f>
        <v>10842.3744</v>
      </c>
      <c r="D1239" s="1">
        <f>value(EUR!$B1239)</f>
        <v>15575.59086</v>
      </c>
      <c r="E1239" s="1">
        <f>value(GBP!$B1239)</f>
        <v>18394.7928</v>
      </c>
      <c r="F1239" s="1">
        <f>value(CHF!$B1239)</f>
        <v>12667.6784</v>
      </c>
      <c r="G1239" s="1">
        <f>value(SGD!$B1239)</f>
        <v>9215.66709</v>
      </c>
      <c r="H1239" s="1">
        <f>value(MYR!$B1239)</f>
        <v>3607.94418</v>
      </c>
      <c r="I1239" s="1">
        <f>value(THB!$B1239)</f>
        <v>367.13745</v>
      </c>
      <c r="J1239" s="1">
        <f>value(VND!$B1239)</f>
        <v>0.5614068428</v>
      </c>
      <c r="K1239" s="1">
        <f>value(CNY!$B1239)</f>
        <v>1923.0879</v>
      </c>
      <c r="L1239" s="1">
        <f>value(HKD!$B1239)</f>
        <v>1481.76445</v>
      </c>
      <c r="M1239" s="1">
        <f>value(TWD!$B1239)</f>
        <v>390.23436</v>
      </c>
      <c r="N1239" s="1">
        <f>value(JPY!$B1239)</f>
        <v>117.89766</v>
      </c>
      <c r="O1239" s="1">
        <f>value(SAR!$B1239)</f>
        <v>3091.999922</v>
      </c>
      <c r="P1239" s="1">
        <f>value(AED!$B1239)</f>
        <v>3291.47274</v>
      </c>
      <c r="Q1239" s="1">
        <f>value(KWD!$B1239)</f>
        <v>43073.35338</v>
      </c>
    </row>
    <row r="1240">
      <c r="A1240" s="4">
        <f>value(USD!A1240)</f>
        <v>41550.99861</v>
      </c>
      <c r="B1240" s="1">
        <f>value(USD!B1240)</f>
        <v>11503</v>
      </c>
      <c r="C1240" s="1">
        <f>value(AUD!$B1240)</f>
        <v>10878.55275</v>
      </c>
      <c r="D1240" s="1">
        <f>value(EUR!$B1240)</f>
        <v>15587.8386</v>
      </c>
      <c r="E1240" s="1">
        <f>value(GBP!$B1240)</f>
        <v>18405.9984</v>
      </c>
      <c r="F1240" s="1">
        <f>value(CHF!$B1240)</f>
        <v>12686.8932</v>
      </c>
      <c r="G1240" s="1">
        <f>value(SGD!$B1240)</f>
        <v>9221.28102</v>
      </c>
      <c r="H1240" s="1">
        <f>value(MYR!$B1240)</f>
        <v>3538.62448</v>
      </c>
      <c r="I1240" s="1">
        <f>value(THB!$B1240)</f>
        <v>367.47608</v>
      </c>
      <c r="J1240" s="1">
        <f>value(VND!$B1240)</f>
        <v>0.5608840291</v>
      </c>
      <c r="K1240" s="1">
        <f>value(CNY!$B1240)</f>
        <v>1928.41</v>
      </c>
      <c r="L1240" s="1">
        <f>value(HKD!$B1240)</f>
        <v>1482.55212</v>
      </c>
      <c r="M1240" s="1">
        <f>value(TWD!$B1240)</f>
        <v>390.47208</v>
      </c>
      <c r="N1240" s="1">
        <f>value(JPY!$B1240)</f>
        <v>117.96948</v>
      </c>
      <c r="O1240" s="1">
        <f>value(SAR!$B1240)</f>
        <v>3094.392898</v>
      </c>
      <c r="P1240" s="1">
        <f>value(AED!$B1240)</f>
        <v>3301.57575</v>
      </c>
      <c r="Q1240" s="1">
        <f>value(KWD!$B1240)</f>
        <v>43041.69411</v>
      </c>
    </row>
    <row r="1241">
      <c r="A1241" s="4">
        <f>value(USD!A1241)</f>
        <v>41551.99861</v>
      </c>
      <c r="B1241" s="1">
        <f>value(USD!B1241)</f>
        <v>11491</v>
      </c>
      <c r="C1241" s="1">
        <f>value(AUD!$B1241)</f>
        <v>10830.81555</v>
      </c>
      <c r="D1241" s="1">
        <f>value(EUR!$B1241)</f>
        <v>15591.8151</v>
      </c>
      <c r="E1241" s="1">
        <f>value(GBP!$B1241)</f>
        <v>18428.811</v>
      </c>
      <c r="F1241" s="1">
        <f>value(CHF!$B1241)</f>
        <v>12689.556</v>
      </c>
      <c r="G1241" s="1">
        <f>value(SGD!$B1241)</f>
        <v>9206.0178</v>
      </c>
      <c r="H1241" s="1">
        <f>value(MYR!$B1241)</f>
        <v>3539.4945</v>
      </c>
      <c r="I1241" s="1">
        <f>value(THB!$B1241)</f>
        <v>359.637</v>
      </c>
      <c r="J1241" s="1">
        <f>value(VND!$B1241)</f>
        <v>0.5621405796</v>
      </c>
      <c r="K1241" s="1">
        <f>value(CNY!$B1241)</f>
        <v>1949.8644</v>
      </c>
      <c r="L1241" s="1">
        <f>value(HKD!$B1241)</f>
        <v>1481.6355</v>
      </c>
      <c r="M1241" s="1">
        <f>value(TWD!$B1241)</f>
        <v>390.66</v>
      </c>
      <c r="N1241" s="1">
        <f>value(JPY!$B1241)</f>
        <v>118.1172</v>
      </c>
      <c r="O1241" s="1">
        <f>value(SAR!$B1241)</f>
        <v>3097.144372</v>
      </c>
      <c r="P1241" s="1">
        <f>value(AED!$B1241)</f>
        <v>3303.154705</v>
      </c>
      <c r="Q1241" s="1">
        <f>value(KWD!$B1241)</f>
        <v>43271.71159</v>
      </c>
    </row>
    <row r="1242">
      <c r="A1242" s="4">
        <f>value(USD!A1242)</f>
        <v>41552.99861</v>
      </c>
      <c r="B1242" s="1">
        <f>value(USD!B1242)</f>
        <v>11498</v>
      </c>
      <c r="C1242" s="1">
        <f>value(AUD!$B1242)</f>
        <v>10735.1244</v>
      </c>
      <c r="D1242" s="1">
        <f>value(EUR!$B1242)</f>
        <v>15610.16672</v>
      </c>
      <c r="E1242" s="1">
        <f>value(GBP!$B1242)</f>
        <v>18498.673</v>
      </c>
      <c r="F1242" s="1">
        <f>value(CHF!$B1242)</f>
        <v>12728.3287</v>
      </c>
      <c r="G1242" s="1">
        <f>value(SGD!$B1242)</f>
        <v>9211.3964</v>
      </c>
      <c r="H1242" s="1">
        <f>value(MYR!$B1242)</f>
        <v>3601.43525</v>
      </c>
      <c r="I1242" s="1">
        <f>value(THB!$B1242)</f>
        <v>366.17945</v>
      </c>
      <c r="J1242" s="1">
        <f>value(VND!$B1242)</f>
        <v>0.5644095866</v>
      </c>
      <c r="K1242" s="1">
        <f>value(CNY!$B1242)</f>
        <v>1950.2208</v>
      </c>
      <c r="L1242" s="1">
        <f>value(HKD!$B1242)</f>
        <v>1482.53815</v>
      </c>
      <c r="M1242" s="1">
        <f>value(TWD!$B1242)</f>
        <v>391.47285</v>
      </c>
      <c r="N1242" s="1">
        <f>value(JPY!$B1242)</f>
        <v>118.87898</v>
      </c>
      <c r="O1242" s="1">
        <f>value(SAR!$B1242)</f>
        <v>3087.968323</v>
      </c>
      <c r="P1242" s="1">
        <f>value(AED!$B1242)</f>
        <v>3300.72686</v>
      </c>
      <c r="Q1242" s="1">
        <f>value(KWD!$B1242)</f>
        <v>42882.9752</v>
      </c>
    </row>
    <row r="1243">
      <c r="A1243" s="4">
        <f>value(USD!A1243)</f>
        <v>41553.99861</v>
      </c>
      <c r="B1243" s="1">
        <f>value(USD!B1243)</f>
        <v>11490</v>
      </c>
      <c r="C1243" s="1">
        <f>value(AUD!$B1243)</f>
        <v>10733.31</v>
      </c>
      <c r="D1243" s="1">
        <f>value(EUR!$B1243)</f>
        <v>15601.8528</v>
      </c>
      <c r="E1243" s="1">
        <f>value(GBP!$B1243)</f>
        <v>18480.63072</v>
      </c>
      <c r="F1243" s="1">
        <f>value(CHF!$B1243)</f>
        <v>12716.0672</v>
      </c>
      <c r="G1243" s="1">
        <f>value(SGD!$B1243)</f>
        <v>9190.4</v>
      </c>
      <c r="H1243" s="1">
        <f>value(MYR!$B1243)</f>
        <v>3590.34464</v>
      </c>
      <c r="I1243" s="1">
        <f>value(THB!$B1243)</f>
        <v>366.35232</v>
      </c>
      <c r="J1243" s="1">
        <f>value(VND!$B1243)</f>
        <v>0.5633254128</v>
      </c>
      <c r="K1243" s="1">
        <f>value(CNY!$B1243)</f>
        <v>1946.25354</v>
      </c>
      <c r="L1243" s="1">
        <f>value(HKD!$B1243)</f>
        <v>1481.49248</v>
      </c>
      <c r="M1243" s="1">
        <f>value(TWD!$B1243)</f>
        <v>391.39616</v>
      </c>
      <c r="N1243" s="1">
        <f>value(JPY!$B1243)</f>
        <v>118.521696</v>
      </c>
      <c r="O1243" s="1">
        <f>value(SAR!$B1243)</f>
        <v>3103.963605</v>
      </c>
      <c r="P1243" s="1">
        <f>value(AED!$B1243)</f>
        <v>3319.77946</v>
      </c>
      <c r="Q1243" s="1">
        <f>value(KWD!$B1243)</f>
        <v>42898.20135</v>
      </c>
    </row>
    <row r="1244">
      <c r="A1244" s="4">
        <f>value(USD!A1244)</f>
        <v>41554.99861</v>
      </c>
      <c r="B1244" s="1">
        <f>value(USD!B1244)</f>
        <v>11497</v>
      </c>
      <c r="C1244" s="1">
        <f>value(AUD!$B1244)</f>
        <v>10697.022</v>
      </c>
      <c r="D1244" s="1">
        <f>value(EUR!$B1244)</f>
        <v>15554.76</v>
      </c>
      <c r="E1244" s="1">
        <f>value(GBP!$B1244)</f>
        <v>18357.95325</v>
      </c>
      <c r="F1244" s="1">
        <f>value(CHF!$B1244)</f>
        <v>12638.2425</v>
      </c>
      <c r="G1244" s="1">
        <f>value(SGD!$B1244)</f>
        <v>9204</v>
      </c>
      <c r="H1244" s="1">
        <f>value(MYR!$B1244)</f>
        <v>3596.80815</v>
      </c>
      <c r="I1244" s="1">
        <f>value(THB!$B1244)</f>
        <v>365.3988</v>
      </c>
      <c r="J1244" s="1">
        <f>value(VND!$B1244)</f>
        <v>0.5680949104</v>
      </c>
      <c r="K1244" s="1">
        <f>value(CNY!$B1244)</f>
        <v>1907.77875</v>
      </c>
      <c r="L1244" s="1">
        <f>value(HKD!$B1244)</f>
        <v>1483.56975</v>
      </c>
      <c r="M1244" s="1">
        <f>value(TWD!$B1244)</f>
        <v>391.4001</v>
      </c>
      <c r="N1244" s="1">
        <f>value(JPY!$B1244)</f>
        <v>118.06431</v>
      </c>
      <c r="O1244" s="1">
        <f>value(SAR!$B1244)</f>
        <v>3116.224405</v>
      </c>
      <c r="P1244" s="1">
        <f>value(AED!$B1244)</f>
        <v>3291.47274</v>
      </c>
      <c r="Q1244" s="1">
        <f>value(KWD!$B1244)</f>
        <v>43023.65686</v>
      </c>
    </row>
    <row r="1245">
      <c r="A1245" s="4">
        <f>value(USD!A1245)</f>
        <v>41555.99861</v>
      </c>
      <c r="B1245" s="1">
        <f>value(USD!B1245)</f>
        <v>11488</v>
      </c>
      <c r="C1245" s="1">
        <f>value(AUD!$B1245)</f>
        <v>10770.15</v>
      </c>
      <c r="D1245" s="1">
        <f>value(EUR!$B1245)</f>
        <v>15506.45862</v>
      </c>
      <c r="E1245" s="1">
        <f>value(GBP!$B1245)</f>
        <v>18309.73527</v>
      </c>
      <c r="F1245" s="1">
        <f>value(CHF!$B1245)</f>
        <v>12585.2277</v>
      </c>
      <c r="G1245" s="1">
        <f>value(SGD!$B1245)</f>
        <v>9176.36076</v>
      </c>
      <c r="H1245" s="1">
        <f>value(MYR!$B1245)</f>
        <v>3588.03363</v>
      </c>
      <c r="I1245" s="1">
        <f>value(THB!$B1245)</f>
        <v>364.86729</v>
      </c>
      <c r="J1245" s="1">
        <f>value(VND!$B1245)</f>
        <v>0.5678846715</v>
      </c>
      <c r="K1245" s="1">
        <f>value(CNY!$B1245)</f>
        <v>1907.1975</v>
      </c>
      <c r="L1245" s="1">
        <f>value(HKD!$B1245)</f>
        <v>1478.15385</v>
      </c>
      <c r="M1245" s="1">
        <f>value(TWD!$B1245)</f>
        <v>390.08589</v>
      </c>
      <c r="N1245" s="1">
        <f>value(JPY!$B1245)</f>
        <v>116.796507</v>
      </c>
      <c r="O1245" s="1">
        <f>value(SAR!$B1245)</f>
        <v>3113.940267</v>
      </c>
      <c r="P1245" s="1">
        <f>value(AED!$B1245)</f>
        <v>3289.83966</v>
      </c>
      <c r="Q1245" s="1">
        <f>value(KWD!$B1245)</f>
        <v>43046.9397</v>
      </c>
    </row>
    <row r="1246">
      <c r="A1246" s="4">
        <f>value(USD!A1246)</f>
        <v>41556.99861</v>
      </c>
      <c r="B1246" s="1">
        <f>value(USD!B1246)</f>
        <v>11505</v>
      </c>
      <c r="C1246" s="1">
        <f>value(AUD!$B1246)</f>
        <v>10795.65825</v>
      </c>
      <c r="D1246" s="1">
        <f>value(EUR!$B1246)</f>
        <v>15354.927</v>
      </c>
      <c r="E1246" s="1">
        <f>value(GBP!$B1246)</f>
        <v>18089.001</v>
      </c>
      <c r="F1246" s="1">
        <f>value(CHF!$B1246)</f>
        <v>12435.444</v>
      </c>
      <c r="G1246" s="1">
        <f>value(SGD!$B1246)</f>
        <v>9102.1644</v>
      </c>
      <c r="H1246" s="1">
        <f>value(MYR!$B1246)</f>
        <v>3562.5744</v>
      </c>
      <c r="I1246" s="1">
        <f>value(THB!$B1246)</f>
        <v>362.0862</v>
      </c>
      <c r="J1246" s="1">
        <f>value(VND!$B1246)</f>
        <v>0.572246271</v>
      </c>
      <c r="K1246" s="1">
        <f>value(CNY!$B1246)</f>
        <v>1950.68505</v>
      </c>
      <c r="L1246" s="1">
        <f>value(HKD!$B1246)</f>
        <v>1462.293</v>
      </c>
      <c r="M1246" s="1">
        <f>value(TWD!$B1246)</f>
        <v>386.0136</v>
      </c>
      <c r="N1246" s="1">
        <f>value(JPY!$B1246)</f>
        <v>114.9876</v>
      </c>
      <c r="O1246" s="1">
        <f>value(SAR!$B1246)</f>
        <v>3114.023336</v>
      </c>
      <c r="P1246" s="1">
        <f>value(AED!$B1246)</f>
        <v>3305.08174</v>
      </c>
      <c r="Q1246" s="1">
        <f>value(KWD!$B1246)</f>
        <v>43184.74642</v>
      </c>
    </row>
    <row r="1247">
      <c r="A1247" s="4">
        <f>value(USD!A1247)</f>
        <v>41557.99861</v>
      </c>
      <c r="B1247" s="1">
        <f>value(USD!B1247)</f>
        <v>11463</v>
      </c>
      <c r="C1247" s="1">
        <f>value(AUD!$B1247)</f>
        <v>10822.02576</v>
      </c>
      <c r="D1247" s="1">
        <f>value(EUR!$B1247)</f>
        <v>15355.494</v>
      </c>
      <c r="E1247" s="1">
        <f>value(GBP!$B1247)</f>
        <v>18091.836</v>
      </c>
      <c r="F1247" s="1">
        <f>value(CHF!$B1247)</f>
        <v>12447.918</v>
      </c>
      <c r="G1247" s="1">
        <f>value(SGD!$B1247)</f>
        <v>9102.1644</v>
      </c>
      <c r="H1247" s="1">
        <f>value(MYR!$B1247)</f>
        <v>3494.3076</v>
      </c>
      <c r="I1247" s="1">
        <f>value(THB!$B1247)</f>
        <v>362.0862</v>
      </c>
      <c r="J1247" s="1">
        <f>value(VND!$B1247)</f>
        <v>0.5731527558</v>
      </c>
      <c r="K1247" s="1">
        <f>value(CNY!$B1247)</f>
        <v>1950.92275</v>
      </c>
      <c r="L1247" s="1">
        <f>value(HKD!$B1247)</f>
        <v>1462.293</v>
      </c>
      <c r="M1247" s="1">
        <f>value(TWD!$B1247)</f>
        <v>386.0136</v>
      </c>
      <c r="N1247" s="1">
        <f>value(JPY!$B1247)</f>
        <v>114.9876</v>
      </c>
      <c r="O1247" s="1">
        <f>value(SAR!$B1247)</f>
        <v>3127.902586</v>
      </c>
      <c r="P1247" s="1">
        <f>value(AED!$B1247)</f>
        <v>3307.8375</v>
      </c>
      <c r="Q1247" s="1">
        <f>value(KWD!$B1247)</f>
        <v>43077.4605</v>
      </c>
    </row>
    <row r="1248">
      <c r="A1248" s="4">
        <f>value(USD!A1248)</f>
        <v>41558.99861</v>
      </c>
      <c r="B1248" s="1">
        <f>value(USD!B1248)</f>
        <v>11340</v>
      </c>
      <c r="C1248" s="1">
        <f>value(AUD!$B1248)</f>
        <v>10872.524</v>
      </c>
      <c r="D1248" s="1">
        <f>value(EUR!$B1248)</f>
        <v>15372.504</v>
      </c>
      <c r="E1248" s="1">
        <f>value(GBP!$B1248)</f>
        <v>18106.1244</v>
      </c>
      <c r="F1248" s="1">
        <f>value(CHF!$B1248)</f>
        <v>12461.526</v>
      </c>
      <c r="G1248" s="1">
        <f>value(SGD!$B1248)</f>
        <v>9098.5356</v>
      </c>
      <c r="H1248" s="1">
        <f>value(MYR!$B1248)</f>
        <v>3498.0498</v>
      </c>
      <c r="I1248" s="1">
        <f>value(THB!$B1248)</f>
        <v>362.5398</v>
      </c>
      <c r="J1248" s="1">
        <f>value(VND!$B1248)</f>
        <v>0.5728136868</v>
      </c>
      <c r="K1248" s="1">
        <f>value(CNY!$B1248)</f>
        <v>1965.44324</v>
      </c>
      <c r="L1248" s="1">
        <f>value(HKD!$B1248)</f>
        <v>1462.4064</v>
      </c>
      <c r="M1248" s="1">
        <f>value(TWD!$B1248)</f>
        <v>386.3538</v>
      </c>
      <c r="N1248" s="1">
        <f>value(JPY!$B1248)</f>
        <v>115.3278</v>
      </c>
      <c r="O1248" s="1">
        <f>value(SAR!$B1248)</f>
        <v>3136.260415</v>
      </c>
      <c r="P1248" s="1">
        <f>value(AED!$B1248)</f>
        <v>3315.223166</v>
      </c>
      <c r="Q1248" s="1">
        <f>value(KWD!$B1248)</f>
        <v>42908.84213</v>
      </c>
    </row>
    <row r="1249">
      <c r="A1249" s="4">
        <f>value(USD!A1249)</f>
        <v>41559.99861</v>
      </c>
      <c r="B1249" s="1">
        <f>value(USD!B1249)</f>
        <v>11340</v>
      </c>
      <c r="C1249" s="1">
        <f>value(AUD!$B1249)</f>
        <v>10933.30056</v>
      </c>
      <c r="D1249" s="1">
        <f>value(EUR!$B1249)</f>
        <v>15367.64361</v>
      </c>
      <c r="E1249" s="1">
        <f>value(GBP!$B1249)</f>
        <v>18108.36336</v>
      </c>
      <c r="F1249" s="1">
        <f>value(CHF!$B1249)</f>
        <v>12440.20347</v>
      </c>
      <c r="G1249" s="1">
        <f>value(SGD!$B1249)</f>
        <v>9113.02071</v>
      </c>
      <c r="H1249" s="1">
        <f>value(MYR!$B1249)</f>
        <v>3559.93137</v>
      </c>
      <c r="I1249" s="1">
        <f>value(THB!$B1249)</f>
        <v>362.21715</v>
      </c>
      <c r="J1249" s="1">
        <f>value(VND!$B1249)</f>
        <v>0.5748989707</v>
      </c>
      <c r="K1249" s="1">
        <f>value(CNY!$B1249)</f>
        <v>1965.21725</v>
      </c>
      <c r="L1249" s="1">
        <f>value(HKD!$B1249)</f>
        <v>1461.90615</v>
      </c>
      <c r="M1249" s="1">
        <f>value(TWD!$B1249)</f>
        <v>385.91148</v>
      </c>
      <c r="N1249" s="1">
        <f>value(JPY!$B1249)</f>
        <v>114.911832</v>
      </c>
      <c r="O1249" s="1">
        <f>value(SAR!$B1249)</f>
        <v>3170.70559</v>
      </c>
      <c r="P1249" s="1">
        <f>value(AED!$B1249)</f>
        <v>3306.987</v>
      </c>
      <c r="Q1249" s="1">
        <f>value(KWD!$B1249)</f>
        <v>42431.64601</v>
      </c>
    </row>
    <row r="1250">
      <c r="A1250" s="4">
        <f>value(USD!A1250)</f>
        <v>41560.99861</v>
      </c>
      <c r="B1250" s="1">
        <f>value(USD!B1250)</f>
        <v>11340</v>
      </c>
      <c r="C1250" s="1">
        <f>value(AUD!$B1250)</f>
        <v>10926.2958</v>
      </c>
      <c r="D1250" s="1">
        <f>value(EUR!$B1250)</f>
        <v>15334.4262</v>
      </c>
      <c r="E1250" s="1">
        <f>value(GBP!$B1250)</f>
        <v>18128.88333</v>
      </c>
      <c r="F1250" s="1">
        <f>value(CHF!$B1250)</f>
        <v>12426.4857</v>
      </c>
      <c r="G1250" s="1">
        <f>value(SGD!$B1250)</f>
        <v>9114.60789</v>
      </c>
      <c r="H1250" s="1">
        <f>value(MYR!$B1250)</f>
        <v>3560.04474</v>
      </c>
      <c r="I1250" s="1">
        <f>value(THB!$B1250)</f>
        <v>361.99041</v>
      </c>
      <c r="J1250" s="1">
        <f>value(VND!$B1250)</f>
        <v>0.5766523958</v>
      </c>
      <c r="K1250" s="1">
        <f>value(CNY!$B1250)</f>
        <v>1965.536</v>
      </c>
      <c r="L1250" s="1">
        <f>value(HKD!$B1250)</f>
        <v>1461.90615</v>
      </c>
      <c r="M1250" s="1">
        <f>value(TWD!$B1250)</f>
        <v>387.04518</v>
      </c>
      <c r="N1250" s="1">
        <f>value(JPY!$B1250)</f>
        <v>115.342638</v>
      </c>
      <c r="O1250" s="1">
        <f>value(SAR!$B1250)</f>
        <v>3170.87488</v>
      </c>
      <c r="P1250" s="1">
        <f>value(AED!$B1250)</f>
        <v>3291.47274</v>
      </c>
      <c r="Q1250" s="1">
        <f>value(KWD!$B1250)</f>
        <v>42649.82076</v>
      </c>
    </row>
    <row r="1251">
      <c r="A1251" s="4">
        <f>value(USD!A1251)</f>
        <v>41561.99861</v>
      </c>
      <c r="B1251" s="1">
        <f>value(USD!B1251)</f>
        <v>11337</v>
      </c>
      <c r="C1251" s="1">
        <f>value(AUD!$B1251)</f>
        <v>10926.52176</v>
      </c>
      <c r="D1251" s="1">
        <f>value(EUR!$B1251)</f>
        <v>15329.6728</v>
      </c>
      <c r="E1251" s="1">
        <f>value(GBP!$B1251)</f>
        <v>18075.252</v>
      </c>
      <c r="F1251" s="1">
        <f>value(CHF!$B1251)</f>
        <v>12400.4504</v>
      </c>
      <c r="G1251" s="1">
        <f>value(SGD!$B1251)</f>
        <v>9112.21688</v>
      </c>
      <c r="H1251" s="1">
        <f>value(MYR!$B1251)</f>
        <v>3569.47968</v>
      </c>
      <c r="I1251" s="1">
        <f>value(THB!$B1251)</f>
        <v>362.752</v>
      </c>
      <c r="J1251" s="1">
        <f>value(VND!$B1251)</f>
        <v>0.5818352645</v>
      </c>
      <c r="K1251" s="1">
        <f>value(CNY!$B1251)</f>
        <v>1920.68066</v>
      </c>
      <c r="L1251" s="1">
        <f>value(HKD!$B1251)</f>
        <v>1461.7772</v>
      </c>
      <c r="M1251" s="1">
        <f>value(TWD!$B1251)</f>
        <v>384.97056</v>
      </c>
      <c r="N1251" s="1">
        <f>value(JPY!$B1251)</f>
        <v>114.629632</v>
      </c>
      <c r="O1251" s="1">
        <f>value(SAR!$B1251)</f>
        <v>3162.217564</v>
      </c>
      <c r="P1251" s="1">
        <f>value(AED!$B1251)</f>
        <v>3260.98858</v>
      </c>
      <c r="Q1251" s="1">
        <f>value(KWD!$B1251)</f>
        <v>42296.92464</v>
      </c>
    </row>
    <row r="1252">
      <c r="A1252" s="4">
        <f>value(USD!A1252)</f>
        <v>41562.99861</v>
      </c>
      <c r="B1252" s="1">
        <f>value(USD!B1252)</f>
        <v>11337</v>
      </c>
      <c r="C1252" s="1">
        <f>value(AUD!$B1252)</f>
        <v>10917.53476</v>
      </c>
      <c r="D1252" s="1">
        <f>value(EUR!$B1252)</f>
        <v>15447.5736</v>
      </c>
      <c r="E1252" s="1">
        <f>value(GBP!$B1252)</f>
        <v>18261.43254</v>
      </c>
      <c r="F1252" s="1">
        <f>value(CHF!$B1252)</f>
        <v>12515.8348</v>
      </c>
      <c r="G1252" s="1">
        <f>value(SGD!$B1252)</f>
        <v>9115.063</v>
      </c>
      <c r="H1252" s="1">
        <f>value(MYR!$B1252)</f>
        <v>3586.57668</v>
      </c>
      <c r="I1252" s="1">
        <f>value(THB!$B1252)</f>
        <v>364.15044</v>
      </c>
      <c r="J1252" s="1">
        <f>value(VND!$B1252)</f>
        <v>0.5814076108</v>
      </c>
      <c r="K1252" s="1">
        <f>value(CNY!$B1252)</f>
        <v>1920.56388</v>
      </c>
      <c r="L1252" s="1">
        <f>value(HKD!$B1252)</f>
        <v>1457.50592</v>
      </c>
      <c r="M1252" s="1">
        <f>value(TWD!$B1252)</f>
        <v>385.62424</v>
      </c>
      <c r="N1252" s="1">
        <f>value(JPY!$B1252)</f>
        <v>115.2804</v>
      </c>
      <c r="O1252" s="1">
        <f>value(SAR!$B1252)</f>
        <v>3103.64157</v>
      </c>
      <c r="P1252" s="1">
        <f>value(AED!$B1252)</f>
        <v>3271.6036</v>
      </c>
      <c r="Q1252" s="1">
        <f>value(KWD!$B1252)</f>
        <v>42481.41582</v>
      </c>
    </row>
    <row r="1253">
      <c r="A1253" s="4">
        <f>value(USD!A1253)</f>
        <v>41563.99861</v>
      </c>
      <c r="B1253" s="1">
        <f>value(USD!B1253)</f>
        <v>11336</v>
      </c>
      <c r="C1253" s="1">
        <f>value(AUD!$B1253)</f>
        <v>10933.9648</v>
      </c>
      <c r="D1253" s="1">
        <f>value(EUR!$B1253)</f>
        <v>15460.40916</v>
      </c>
      <c r="E1253" s="1">
        <f>value(GBP!$B1253)</f>
        <v>18262.0872</v>
      </c>
      <c r="F1253" s="1">
        <f>value(CHF!$B1253)</f>
        <v>12524.9628</v>
      </c>
      <c r="G1253" s="1">
        <f>value(SGD!$B1253)</f>
        <v>9116.9211</v>
      </c>
      <c r="H1253" s="1">
        <f>value(MYR!$B1253)</f>
        <v>3574.80018</v>
      </c>
      <c r="I1253" s="1">
        <f>value(THB!$B1253)</f>
        <v>363.90858</v>
      </c>
      <c r="J1253" s="1">
        <f>value(VND!$B1253)</f>
        <v>0.579980974</v>
      </c>
      <c r="K1253" s="1">
        <f>value(CNY!$B1253)</f>
        <v>1945.6011</v>
      </c>
      <c r="L1253" s="1">
        <f>value(HKD!$B1253)</f>
        <v>1457.10306</v>
      </c>
      <c r="M1253" s="1">
        <f>value(TWD!$B1253)</f>
        <v>384.132</v>
      </c>
      <c r="N1253" s="1">
        <f>value(JPY!$B1253)</f>
        <v>115.57854</v>
      </c>
      <c r="O1253" s="1">
        <f>value(SAR!$B1253)</f>
        <v>3103.64157</v>
      </c>
      <c r="P1253" s="1">
        <f>value(AED!$B1253)</f>
        <v>3249.8292</v>
      </c>
      <c r="Q1253" s="1">
        <f>value(KWD!$B1253)</f>
        <v>42545.94679</v>
      </c>
    </row>
    <row r="1254">
      <c r="A1254" s="4">
        <f>value(USD!A1254)</f>
        <v>41564.99861</v>
      </c>
      <c r="B1254" s="1">
        <f>value(USD!B1254)</f>
        <v>11302</v>
      </c>
      <c r="C1254" s="1">
        <f>value(AUD!$B1254)</f>
        <v>10821.2256</v>
      </c>
      <c r="D1254" s="1">
        <f>value(EUR!$B1254)</f>
        <v>15457.9236</v>
      </c>
      <c r="E1254" s="1">
        <f>value(GBP!$B1254)</f>
        <v>18262.0872</v>
      </c>
      <c r="F1254" s="1">
        <f>value(CHF!$B1254)</f>
        <v>12521.5734</v>
      </c>
      <c r="G1254" s="1">
        <f>value(SGD!$B1254)</f>
        <v>9116.9211</v>
      </c>
      <c r="H1254" s="1">
        <f>value(MYR!$B1254)</f>
        <v>3573.89634</v>
      </c>
      <c r="I1254" s="1">
        <f>value(THB!$B1254)</f>
        <v>363.7956</v>
      </c>
      <c r="J1254" s="1">
        <f>value(VND!$B1254)</f>
        <v>0.5750356578</v>
      </c>
      <c r="K1254" s="1">
        <f>value(CNY!$B1254)</f>
        <v>1949.29648</v>
      </c>
      <c r="L1254" s="1">
        <f>value(HKD!$B1254)</f>
        <v>1456.8771</v>
      </c>
      <c r="M1254" s="1">
        <f>value(TWD!$B1254)</f>
        <v>384.01902</v>
      </c>
      <c r="N1254" s="1">
        <f>value(JPY!$B1254)</f>
        <v>115.57854</v>
      </c>
      <c r="O1254" s="1">
        <f>value(SAR!$B1254)</f>
        <v>3171.78608</v>
      </c>
      <c r="P1254" s="1">
        <f>value(AED!$B1254)</f>
        <v>3266.43218</v>
      </c>
      <c r="Q1254" s="1">
        <f>value(KWD!$B1254)</f>
        <v>42481.41582</v>
      </c>
    </row>
    <row r="1255">
      <c r="A1255" s="4">
        <f>value(USD!A1255)</f>
        <v>41565.99861</v>
      </c>
      <c r="B1255" s="1">
        <f>value(USD!B1255)</f>
        <v>11298</v>
      </c>
      <c r="C1255" s="1">
        <f>value(AUD!$B1255)</f>
        <v>10704.0232</v>
      </c>
      <c r="D1255" s="1">
        <f>value(EUR!$B1255)</f>
        <v>15459.6183</v>
      </c>
      <c r="E1255" s="1">
        <f>value(GBP!$B1255)</f>
        <v>18271.01262</v>
      </c>
      <c r="F1255" s="1">
        <f>value(CHF!$B1255)</f>
        <v>12522.7032</v>
      </c>
      <c r="G1255" s="1">
        <f>value(SGD!$B1255)</f>
        <v>9117.14706</v>
      </c>
      <c r="H1255" s="1">
        <f>value(MYR!$B1255)</f>
        <v>3574.46124</v>
      </c>
      <c r="I1255" s="1">
        <f>value(THB!$B1255)</f>
        <v>356.90382</v>
      </c>
      <c r="J1255" s="1">
        <f>value(VND!$B1255)</f>
        <v>0.5746137318</v>
      </c>
      <c r="K1255" s="1">
        <f>value(CNY!$B1255)</f>
        <v>1956.18782</v>
      </c>
      <c r="L1255" s="1">
        <f>value(HKD!$B1255)</f>
        <v>1457.10306</v>
      </c>
      <c r="M1255" s="1">
        <f>value(TWD!$B1255)</f>
        <v>384.132</v>
      </c>
      <c r="N1255" s="1">
        <f>value(JPY!$B1255)</f>
        <v>115.40907</v>
      </c>
      <c r="O1255" s="1">
        <f>value(SAR!$B1255)</f>
        <v>3171.87082</v>
      </c>
      <c r="P1255" s="1">
        <f>value(AED!$B1255)</f>
        <v>3271.394021</v>
      </c>
      <c r="Q1255" s="1">
        <f>value(KWD!$B1255)</f>
        <v>42665.04908</v>
      </c>
    </row>
    <row r="1256">
      <c r="A1256" s="4">
        <f>value(USD!A1256)</f>
        <v>41566.99861</v>
      </c>
      <c r="B1256" s="1">
        <f>value(USD!B1256)</f>
        <v>11298</v>
      </c>
      <c r="C1256" s="1">
        <f>value(AUD!$B1256)</f>
        <v>10532.0467</v>
      </c>
      <c r="D1256" s="1">
        <f>value(EUR!$B1256)</f>
        <v>15468.2132</v>
      </c>
      <c r="E1256" s="1">
        <f>value(GBP!$B1256)</f>
        <v>18257.8968</v>
      </c>
      <c r="F1256" s="1">
        <f>value(CHF!$B1256)</f>
        <v>12532.6564</v>
      </c>
      <c r="G1256" s="1">
        <f>value(SGD!$B1256)</f>
        <v>9102.94</v>
      </c>
      <c r="H1256" s="1">
        <f>value(MYR!$B1256)</f>
        <v>3565.63856</v>
      </c>
      <c r="I1256" s="1">
        <f>value(THB!$B1256)</f>
        <v>362.87372</v>
      </c>
      <c r="J1256" s="1">
        <f>value(VND!$B1256)</f>
        <v>0.5773308599</v>
      </c>
      <c r="K1256" s="1">
        <f>value(CNY!$B1256)</f>
        <v>1976.35529</v>
      </c>
      <c r="L1256" s="1">
        <f>value(HKD!$B1256)</f>
        <v>1458.50584</v>
      </c>
      <c r="M1256" s="1">
        <f>value(TWD!$B1256)</f>
        <v>384.58508</v>
      </c>
      <c r="N1256" s="1">
        <f>value(JPY!$B1256)</f>
        <v>115.149364</v>
      </c>
      <c r="O1256" s="1">
        <f>value(SAR!$B1256)</f>
        <v>3195.174635</v>
      </c>
      <c r="P1256" s="1">
        <f>value(AED!$B1256)</f>
        <v>3266.43218</v>
      </c>
      <c r="Q1256" s="1">
        <f>value(KWD!$B1256)</f>
        <v>42525.26872</v>
      </c>
    </row>
    <row r="1257">
      <c r="A1257" s="4">
        <f>value(USD!A1257)</f>
        <v>41567.99861</v>
      </c>
      <c r="B1257" s="1">
        <f>value(USD!B1257)</f>
        <v>11298</v>
      </c>
      <c r="C1257" s="1">
        <f>value(AUD!$B1257)</f>
        <v>10532.816</v>
      </c>
      <c r="D1257" s="1">
        <f>value(EUR!$B1257)</f>
        <v>15520.6656</v>
      </c>
      <c r="E1257" s="1">
        <f>value(GBP!$B1257)</f>
        <v>18285.52704</v>
      </c>
      <c r="F1257" s="1">
        <f>value(CHF!$B1257)</f>
        <v>12585.2672</v>
      </c>
      <c r="G1257" s="1">
        <f>value(SGD!$B1257)</f>
        <v>9114.49088</v>
      </c>
      <c r="H1257" s="1">
        <f>value(MYR!$B1257)</f>
        <v>3545.00608</v>
      </c>
      <c r="I1257" s="1">
        <f>value(THB!$B1257)</f>
        <v>362.81344</v>
      </c>
      <c r="J1257" s="1">
        <f>value(VND!$B1257)</f>
        <v>0.5774440347</v>
      </c>
      <c r="K1257" s="1">
        <f>value(CNY!$B1257)</f>
        <v>1980.37063</v>
      </c>
      <c r="L1257" s="1">
        <f>value(HKD!$B1257)</f>
        <v>1452.83072</v>
      </c>
      <c r="M1257" s="1">
        <f>value(TWD!$B1257)</f>
        <v>386.46784</v>
      </c>
      <c r="N1257" s="1">
        <f>value(JPY!$B1257)</f>
        <v>114.757632</v>
      </c>
      <c r="O1257" s="1">
        <f>value(SAR!$B1257)</f>
        <v>3195.804654</v>
      </c>
      <c r="P1257" s="1">
        <f>value(AED!$B1257)</f>
        <v>3273.23668</v>
      </c>
      <c r="Q1257" s="1">
        <f>value(KWD!$B1257)</f>
        <v>42331.02096</v>
      </c>
    </row>
    <row r="1258">
      <c r="A1258" s="4">
        <f>value(USD!A1258)</f>
        <v>41568.99861</v>
      </c>
      <c r="B1258" s="1">
        <f>value(USD!B1258)</f>
        <v>11308</v>
      </c>
      <c r="C1258" s="1">
        <f>value(AUD!$B1258)</f>
        <v>10543.806</v>
      </c>
      <c r="D1258" s="1">
        <f>value(EUR!$B1258)</f>
        <v>15488.61</v>
      </c>
      <c r="E1258" s="1">
        <f>value(GBP!$B1258)</f>
        <v>18172.5528</v>
      </c>
      <c r="F1258" s="1">
        <f>value(CHF!$B1258)</f>
        <v>12598.902</v>
      </c>
      <c r="G1258" s="1">
        <f>value(SGD!$B1258)</f>
        <v>9071.6592</v>
      </c>
      <c r="H1258" s="1">
        <f>value(MYR!$B1258)</f>
        <v>3549.84324</v>
      </c>
      <c r="I1258" s="1">
        <f>value(THB!$B1258)</f>
        <v>360.48264</v>
      </c>
      <c r="J1258" s="1">
        <f>value(VND!$B1258)</f>
        <v>0.5839330651</v>
      </c>
      <c r="K1258" s="1">
        <f>value(CNY!$B1258)</f>
        <v>1979.326796</v>
      </c>
      <c r="L1258" s="1">
        <f>value(HKD!$B1258)</f>
        <v>1450.25112</v>
      </c>
      <c r="M1258" s="1">
        <f>value(TWD!$B1258)</f>
        <v>383.19552</v>
      </c>
      <c r="N1258" s="1">
        <f>value(JPY!$B1258)</f>
        <v>115.47588</v>
      </c>
      <c r="O1258" s="1">
        <f>value(SAR!$B1258)</f>
        <v>3186.581622</v>
      </c>
      <c r="P1258" s="1">
        <f>value(AED!$B1258)</f>
        <v>3263.4382</v>
      </c>
      <c r="Q1258" s="1">
        <f>value(KWD!$B1258)</f>
        <v>42176.28388</v>
      </c>
    </row>
    <row r="1259">
      <c r="A1259" s="4">
        <f>value(USD!A1259)</f>
        <v>41569.99861</v>
      </c>
      <c r="B1259" s="1">
        <f>value(USD!B1259)</f>
        <v>11264</v>
      </c>
      <c r="C1259" s="1">
        <f>value(AUD!$B1259)</f>
        <v>10520.2755</v>
      </c>
      <c r="D1259" s="1">
        <f>value(EUR!$B1259)</f>
        <v>15352.1888</v>
      </c>
      <c r="E1259" s="1">
        <f>value(GBP!$B1259)</f>
        <v>18024.35544</v>
      </c>
      <c r="F1259" s="1">
        <f>value(CHF!$B1259)</f>
        <v>12466.6984</v>
      </c>
      <c r="G1259" s="1">
        <f>value(SGD!$B1259)</f>
        <v>8990.3112</v>
      </c>
      <c r="H1259" s="1">
        <f>value(MYR!$B1259)</f>
        <v>3519.00744</v>
      </c>
      <c r="I1259" s="1">
        <f>value(THB!$B1259)</f>
        <v>356.98624</v>
      </c>
      <c r="J1259" s="1">
        <f>value(VND!$B1259)</f>
        <v>0.5824823724</v>
      </c>
      <c r="K1259" s="1">
        <f>value(CNY!$B1259)</f>
        <v>1974.90312</v>
      </c>
      <c r="L1259" s="1">
        <f>value(HKD!$B1259)</f>
        <v>1435.06688</v>
      </c>
      <c r="M1259" s="1">
        <f>value(TWD!$B1259)</f>
        <v>378.46328</v>
      </c>
      <c r="N1259" s="1">
        <f>value(JPY!$B1259)</f>
        <v>114.273432</v>
      </c>
      <c r="O1259" s="1">
        <f>value(SAR!$B1259)</f>
        <v>3117.791505</v>
      </c>
      <c r="P1259" s="1">
        <f>value(AED!$B1259)</f>
        <v>3247.37958</v>
      </c>
      <c r="Q1259" s="1">
        <f>value(KWD!$B1259)</f>
        <v>41254.03766</v>
      </c>
    </row>
    <row r="1260">
      <c r="A1260" s="4">
        <f>value(USD!A1260)</f>
        <v>41570.99861</v>
      </c>
      <c r="B1260" s="1">
        <f>value(USD!B1260)</f>
        <v>11244</v>
      </c>
      <c r="C1260" s="1">
        <f>value(AUD!$B1260)</f>
        <v>10496.885</v>
      </c>
      <c r="D1260" s="1">
        <f>value(EUR!$B1260)</f>
        <v>15168.9475</v>
      </c>
      <c r="E1260" s="1">
        <f>value(GBP!$B1260)</f>
        <v>17763.137</v>
      </c>
      <c r="F1260" s="1">
        <f>value(CHF!$B1260)</f>
        <v>12307.701</v>
      </c>
      <c r="G1260" s="1">
        <f>value(SGD!$B1260)</f>
        <v>8892.5585</v>
      </c>
      <c r="H1260" s="1">
        <f>value(MYR!$B1260)</f>
        <v>3491.8527</v>
      </c>
      <c r="I1260" s="1">
        <f>value(THB!$B1260)</f>
        <v>354.0978</v>
      </c>
      <c r="J1260" s="1">
        <f>value(VND!$B1260)</f>
        <v>0.5747350379</v>
      </c>
      <c r="K1260" s="1">
        <f>value(CNY!$B1260)</f>
        <v>1970.71008</v>
      </c>
      <c r="L1260" s="1">
        <f>value(HKD!$B1260)</f>
        <v>1417.2704</v>
      </c>
      <c r="M1260" s="1">
        <f>value(TWD!$B1260)</f>
        <v>373.8798</v>
      </c>
      <c r="N1260" s="1">
        <f>value(JPY!$B1260)</f>
        <v>112.7574</v>
      </c>
      <c r="O1260" s="1">
        <f>value(SAR!$B1260)</f>
        <v>3117.458565</v>
      </c>
      <c r="P1260" s="1">
        <f>value(AED!$B1260)</f>
        <v>3233.241</v>
      </c>
      <c r="Q1260" s="1">
        <f>value(KWD!$B1260)</f>
        <v>41331.88217</v>
      </c>
    </row>
    <row r="1261">
      <c r="A1261" s="4">
        <f>value(USD!A1261)</f>
        <v>41571.99861</v>
      </c>
      <c r="B1261" s="1">
        <f>value(USD!B1261)</f>
        <v>11128</v>
      </c>
      <c r="C1261" s="1">
        <f>value(AUD!$B1261)</f>
        <v>10556.209</v>
      </c>
      <c r="D1261" s="1">
        <f>value(EUR!$B1261)</f>
        <v>15170.596</v>
      </c>
      <c r="E1261" s="1">
        <f>value(GBP!$B1261)</f>
        <v>17764.236</v>
      </c>
      <c r="F1261" s="1">
        <f>value(CHF!$B1261)</f>
        <v>12309.899</v>
      </c>
      <c r="G1261" s="1">
        <f>value(SGD!$B1261)</f>
        <v>8892.5585</v>
      </c>
      <c r="H1261" s="1">
        <f>value(MYR!$B1261)</f>
        <v>3433.6057</v>
      </c>
      <c r="I1261" s="1">
        <f>value(THB!$B1261)</f>
        <v>347.284</v>
      </c>
      <c r="J1261" s="1">
        <f>value(VND!$B1261)</f>
        <v>0.5695745115</v>
      </c>
      <c r="K1261" s="1">
        <f>value(CNY!$B1261)</f>
        <v>1973.7648</v>
      </c>
      <c r="L1261" s="1">
        <f>value(HKD!$B1261)</f>
        <v>1417.1605</v>
      </c>
      <c r="M1261" s="1">
        <f>value(TWD!$B1261)</f>
        <v>373.9897</v>
      </c>
      <c r="N1261" s="1">
        <f>value(JPY!$B1261)</f>
        <v>112.7574</v>
      </c>
      <c r="O1261" s="1">
        <f>value(SAR!$B1261)</f>
        <v>3152.655448</v>
      </c>
      <c r="P1261" s="1">
        <f>value(AED!$B1261)</f>
        <v>3158.92108</v>
      </c>
      <c r="Q1261" s="1">
        <f>value(KWD!$B1261)</f>
        <v>41538.40118</v>
      </c>
    </row>
    <row r="1262">
      <c r="A1262" s="4">
        <f>value(USD!A1262)</f>
        <v>41572.99861</v>
      </c>
      <c r="B1262" s="1">
        <f>value(USD!B1262)</f>
        <v>10990</v>
      </c>
      <c r="C1262" s="1">
        <f>value(AUD!$B1262)</f>
        <v>10643.3925</v>
      </c>
      <c r="D1262" s="1">
        <f>value(EUR!$B1262)</f>
        <v>15171.695</v>
      </c>
      <c r="E1262" s="1">
        <f>value(GBP!$B1262)</f>
        <v>17770.83</v>
      </c>
      <c r="F1262" s="1">
        <f>value(CHF!$B1262)</f>
        <v>12307.701</v>
      </c>
      <c r="G1262" s="1">
        <f>value(SGD!$B1262)</f>
        <v>8890.0308</v>
      </c>
      <c r="H1262" s="1">
        <f>value(MYR!$B1262)</f>
        <v>3492.2923</v>
      </c>
      <c r="I1262" s="1">
        <f>value(THB!$B1262)</f>
        <v>347.284</v>
      </c>
      <c r="J1262" s="1">
        <f>value(VND!$B1262)</f>
        <v>0.5714285642</v>
      </c>
      <c r="K1262" s="1">
        <f>value(CNY!$B1262)</f>
        <v>1978.85688</v>
      </c>
      <c r="L1262" s="1">
        <f>value(HKD!$B1262)</f>
        <v>1417.3803</v>
      </c>
      <c r="M1262" s="1">
        <f>value(TWD!$B1262)</f>
        <v>373.9897</v>
      </c>
      <c r="N1262" s="1">
        <f>value(JPY!$B1262)</f>
        <v>112.55958</v>
      </c>
      <c r="O1262" s="1">
        <f>value(SAR!$B1262)</f>
        <v>3158.091297</v>
      </c>
      <c r="P1262" s="1">
        <f>value(AED!$B1262)</f>
        <v>3164.881822</v>
      </c>
      <c r="Q1262" s="1">
        <f>value(KWD!$B1262)</f>
        <v>41331.14232</v>
      </c>
    </row>
    <row r="1263">
      <c r="A1263" s="4">
        <f>value(USD!A1263)</f>
        <v>41573.99861</v>
      </c>
      <c r="B1263" s="1">
        <f>value(USD!B1263)</f>
        <v>10990</v>
      </c>
      <c r="C1263" s="1">
        <f>value(AUD!$B1263)</f>
        <v>10672.03808</v>
      </c>
      <c r="D1263" s="1">
        <f>value(EUR!$B1263)</f>
        <v>15200.388</v>
      </c>
      <c r="E1263" s="1">
        <f>value(GBP!$B1263)</f>
        <v>17794.23975</v>
      </c>
      <c r="F1263" s="1">
        <f>value(CHF!$B1263)</f>
        <v>12307.2075</v>
      </c>
      <c r="G1263" s="1">
        <f>value(SGD!$B1263)</f>
        <v>8904.78225</v>
      </c>
      <c r="H1263" s="1">
        <f>value(MYR!$B1263)</f>
        <v>3512.01375</v>
      </c>
      <c r="I1263" s="1">
        <f>value(THB!$B1263)</f>
        <v>354.7845</v>
      </c>
      <c r="J1263" s="1">
        <f>value(VND!$B1263)</f>
        <v>0.5676253791</v>
      </c>
      <c r="K1263" s="1">
        <f>value(CNY!$B1263)</f>
        <v>1995.8346</v>
      </c>
      <c r="L1263" s="1">
        <f>value(HKD!$B1263)</f>
        <v>1421.89425</v>
      </c>
      <c r="M1263" s="1">
        <f>value(TWD!$B1263)</f>
        <v>374.51925</v>
      </c>
      <c r="N1263" s="1">
        <f>value(JPY!$B1263)</f>
        <v>112.907025</v>
      </c>
      <c r="O1263" s="1">
        <f>value(SAR!$B1263)</f>
        <v>3170.002659</v>
      </c>
      <c r="P1263" s="1">
        <f>value(AED!$B1263)</f>
        <v>3180.69548</v>
      </c>
      <c r="Q1263" s="1">
        <f>value(KWD!$B1263)</f>
        <v>42099.26304</v>
      </c>
    </row>
    <row r="1264">
      <c r="A1264" s="4">
        <f>value(USD!A1264)</f>
        <v>41574.99861</v>
      </c>
      <c r="B1264" s="1">
        <f>value(USD!B1264)</f>
        <v>10990</v>
      </c>
      <c r="C1264" s="1">
        <f>value(AUD!$B1264)</f>
        <v>10670.2288</v>
      </c>
      <c r="D1264" s="1">
        <f>value(EUR!$B1264)</f>
        <v>15220.3725</v>
      </c>
      <c r="E1264" s="1">
        <f>value(GBP!$B1264)</f>
        <v>17770.945</v>
      </c>
      <c r="F1264" s="1">
        <f>value(CHF!$B1264)</f>
        <v>12312.0775</v>
      </c>
      <c r="G1264" s="1">
        <f>value(SGD!$B1264)</f>
        <v>8919.805</v>
      </c>
      <c r="H1264" s="1">
        <f>value(MYR!$B1264)</f>
        <v>3515.75875</v>
      </c>
      <c r="I1264" s="1">
        <f>value(THB!$B1264)</f>
        <v>356.172</v>
      </c>
      <c r="J1264" s="1">
        <f>value(VND!$B1264)</f>
        <v>0.5697127921</v>
      </c>
      <c r="K1264" s="1">
        <f>value(CNY!$B1264)</f>
        <v>2001.23451</v>
      </c>
      <c r="L1264" s="1">
        <f>value(HKD!$B1264)</f>
        <v>1428.232</v>
      </c>
      <c r="M1264" s="1">
        <f>value(TWD!$B1264)</f>
        <v>375.8855</v>
      </c>
      <c r="N1264" s="1">
        <f>value(JPY!$B1264)</f>
        <v>112.798875</v>
      </c>
      <c r="O1264" s="1">
        <f>value(SAR!$B1264)</f>
        <v>3202.466025</v>
      </c>
      <c r="P1264" s="1">
        <f>value(AED!$B1264)</f>
        <v>3165.72558</v>
      </c>
      <c r="Q1264" s="1">
        <f>value(KWD!$B1264)</f>
        <v>41499.83516</v>
      </c>
    </row>
    <row r="1265">
      <c r="A1265" s="4">
        <f>value(USD!A1265)</f>
        <v>41575.99861</v>
      </c>
      <c r="B1265" s="1">
        <f>value(USD!B1265)</f>
        <v>11025</v>
      </c>
      <c r="C1265" s="1">
        <f>value(AUD!$B1265)</f>
        <v>10754.53943</v>
      </c>
      <c r="D1265" s="1">
        <f>value(EUR!$B1265)</f>
        <v>15296.69369</v>
      </c>
      <c r="E1265" s="1">
        <f>value(GBP!$B1265)</f>
        <v>17861.9528</v>
      </c>
      <c r="F1265" s="1">
        <f>value(CHF!$B1265)</f>
        <v>12377.6288</v>
      </c>
      <c r="G1265" s="1">
        <f>value(SGD!$B1265)</f>
        <v>8988.9408</v>
      </c>
      <c r="H1265" s="1">
        <f>value(MYR!$B1265)</f>
        <v>3537.83486</v>
      </c>
      <c r="I1265" s="1">
        <f>value(THB!$B1265)</f>
        <v>358.26458</v>
      </c>
      <c r="J1265" s="1">
        <f>value(VND!$B1265)</f>
        <v>0.5803587609</v>
      </c>
      <c r="K1265" s="1">
        <f>value(CNY!$B1265)</f>
        <v>2000.727675</v>
      </c>
      <c r="L1265" s="1">
        <f>value(HKD!$B1265)</f>
        <v>1437.62859</v>
      </c>
      <c r="M1265" s="1">
        <f>value(TWD!$B1265)</f>
        <v>378.21771</v>
      </c>
      <c r="N1265" s="1">
        <f>value(JPY!$B1265)</f>
        <v>113.14205</v>
      </c>
      <c r="O1265" s="1">
        <f>value(SAR!$B1265)</f>
        <v>3204.981131</v>
      </c>
      <c r="P1265" s="1">
        <f>value(AED!$B1265)</f>
        <v>3222.6112</v>
      </c>
      <c r="Q1265" s="1">
        <f>value(KWD!$B1265)</f>
        <v>41807.96751</v>
      </c>
    </row>
    <row r="1266">
      <c r="A1266" s="4">
        <f>value(USD!A1266)</f>
        <v>41576.99861</v>
      </c>
      <c r="B1266" s="1">
        <f>value(USD!B1266)</f>
        <v>11075</v>
      </c>
      <c r="C1266" s="1">
        <f>value(AUD!$B1266)</f>
        <v>10771.977</v>
      </c>
      <c r="D1266" s="1">
        <f>value(EUR!$B1266)</f>
        <v>15274.9831</v>
      </c>
      <c r="E1266" s="1">
        <f>value(GBP!$B1266)</f>
        <v>18041.7029</v>
      </c>
      <c r="F1266" s="1">
        <f>value(CHF!$B1266)</f>
        <v>12395.3635</v>
      </c>
      <c r="G1266" s="1">
        <f>value(SGD!$B1266)</f>
        <v>9055.1487</v>
      </c>
      <c r="H1266" s="1">
        <f>value(MYR!$B1266)</f>
        <v>3553.42</v>
      </c>
      <c r="I1266" s="1">
        <f>value(THB!$B1266)</f>
        <v>360.5147</v>
      </c>
      <c r="J1266" s="1">
        <f>value(VND!$B1266)</f>
        <v>0.5794785098</v>
      </c>
      <c r="K1266" s="1">
        <f>value(CNY!$B1266)</f>
        <v>2002.08522</v>
      </c>
      <c r="L1266" s="1">
        <f>value(HKD!$B1266)</f>
        <v>1450.26765</v>
      </c>
      <c r="M1266" s="1">
        <f>value(TWD!$B1266)</f>
        <v>380.7557</v>
      </c>
      <c r="N1266" s="1">
        <f>value(JPY!$B1266)</f>
        <v>114.33916</v>
      </c>
      <c r="O1266" s="1">
        <f>value(SAR!$B1266)</f>
        <v>3205.042463</v>
      </c>
      <c r="P1266" s="1">
        <f>value(AED!$B1266)</f>
        <v>3177.42975</v>
      </c>
      <c r="Q1266" s="1">
        <f>value(KWD!$B1266)</f>
        <v>41495.54935</v>
      </c>
    </row>
    <row r="1267">
      <c r="A1267" s="4">
        <f>value(USD!A1267)</f>
        <v>41577.99861</v>
      </c>
      <c r="B1267" s="1">
        <f>value(USD!B1267)</f>
        <v>11147</v>
      </c>
      <c r="C1267" s="1">
        <f>value(AUD!$B1267)</f>
        <v>10762.367</v>
      </c>
      <c r="D1267" s="1">
        <f>value(EUR!$B1267)</f>
        <v>15251.0996</v>
      </c>
      <c r="E1267" s="1">
        <f>value(GBP!$B1267)</f>
        <v>18007.99</v>
      </c>
      <c r="F1267" s="1">
        <f>value(CHF!$B1267)</f>
        <v>12381.1292</v>
      </c>
      <c r="G1267" s="1">
        <f>value(SGD!$B1267)</f>
        <v>9095.70288</v>
      </c>
      <c r="H1267" s="1">
        <f>value(MYR!$B1267)</f>
        <v>3561.79384</v>
      </c>
      <c r="I1267" s="1">
        <f>value(THB!$B1267)</f>
        <v>362.4214</v>
      </c>
      <c r="J1267" s="1">
        <f>value(VND!$B1267)</f>
        <v>0.571170733</v>
      </c>
      <c r="K1267" s="1">
        <f>value(CNY!$B1267)</f>
        <v>2001.21825</v>
      </c>
      <c r="L1267" s="1">
        <f>value(HKD!$B1267)</f>
        <v>1458.61892</v>
      </c>
      <c r="M1267" s="1">
        <f>value(TWD!$B1267)</f>
        <v>383.79352</v>
      </c>
      <c r="N1267" s="1">
        <f>value(JPY!$B1267)</f>
        <v>114.55004</v>
      </c>
      <c r="O1267" s="1">
        <f>value(SAR!$B1267)</f>
        <v>3200.384332</v>
      </c>
      <c r="P1267" s="1">
        <f>value(AED!$B1267)</f>
        <v>3201.10898</v>
      </c>
      <c r="Q1267" s="1">
        <f>value(KWD!$B1267)</f>
        <v>41548.48007</v>
      </c>
    </row>
    <row r="1268">
      <c r="A1268" s="4">
        <f>value(USD!A1268)</f>
        <v>41578.99861</v>
      </c>
      <c r="B1268" s="1">
        <f>value(USD!B1268)</f>
        <v>11245</v>
      </c>
      <c r="C1268" s="1">
        <f>value(AUD!$B1268)</f>
        <v>10838.1982</v>
      </c>
      <c r="D1268" s="1">
        <f>value(EUR!$B1268)</f>
        <v>15251.0996</v>
      </c>
      <c r="E1268" s="1">
        <f>value(GBP!$B1268)</f>
        <v>18007.99</v>
      </c>
      <c r="F1268" s="1">
        <f>value(CHF!$B1268)</f>
        <v>12381.1292</v>
      </c>
      <c r="G1268" s="1">
        <f>value(SGD!$B1268)</f>
        <v>9095.70288</v>
      </c>
      <c r="H1268" s="1">
        <f>value(MYR!$B1268)</f>
        <v>3493.0412</v>
      </c>
      <c r="I1268" s="1">
        <f>value(THB!$B1268)</f>
        <v>355.18428</v>
      </c>
      <c r="J1268" s="1">
        <f>value(VND!$B1268)</f>
        <v>0.5691905989</v>
      </c>
      <c r="K1268" s="1">
        <f>value(CNY!$B1268)</f>
        <v>2001.383</v>
      </c>
      <c r="L1268" s="1">
        <f>value(HKD!$B1268)</f>
        <v>1458.50584</v>
      </c>
      <c r="M1268" s="1">
        <f>value(TWD!$B1268)</f>
        <v>383.79352</v>
      </c>
      <c r="N1268" s="1">
        <f>value(JPY!$B1268)</f>
        <v>114.55004</v>
      </c>
      <c r="O1268" s="1">
        <f>value(SAR!$B1268)</f>
        <v>3193.124721</v>
      </c>
      <c r="P1268" s="1">
        <f>value(AED!$B1268)</f>
        <v>3179.33458</v>
      </c>
      <c r="Q1268" s="1">
        <f>value(KWD!$B1268)</f>
        <v>41495.54935</v>
      </c>
    </row>
    <row r="1269">
      <c r="A1269" s="4">
        <f>value(USD!A1269)</f>
        <v>41579.99861</v>
      </c>
      <c r="B1269" s="1">
        <f>value(USD!B1269)</f>
        <v>11308</v>
      </c>
      <c r="C1269" s="1">
        <f>value(AUD!$B1269)</f>
        <v>10744.13444</v>
      </c>
      <c r="D1269" s="1">
        <f>value(EUR!$B1269)</f>
        <v>15331.80959</v>
      </c>
      <c r="E1269" s="1">
        <f>value(GBP!$B1269)</f>
        <v>18092.6035</v>
      </c>
      <c r="F1269" s="1">
        <f>value(CHF!$B1269)</f>
        <v>12451.12939</v>
      </c>
      <c r="G1269" s="1">
        <f>value(SGD!$B1269)</f>
        <v>9139.199427</v>
      </c>
      <c r="H1269" s="1">
        <f>value(MYR!$B1269)</f>
        <v>3511.248033</v>
      </c>
      <c r="I1269" s="1">
        <f>value(THB!$B1269)</f>
        <v>357.0452546</v>
      </c>
      <c r="J1269" s="1">
        <f>value(VND!$B1269)</f>
        <v>0.5665242067</v>
      </c>
      <c r="K1269" s="1">
        <f>value(CNY!$B1269)</f>
        <v>1999.19636</v>
      </c>
      <c r="L1269" s="1">
        <f>value(HKD!$B1269)</f>
        <v>1465.794633</v>
      </c>
      <c r="M1269" s="1">
        <f>value(TWD!$B1269)</f>
        <v>385.7952385</v>
      </c>
      <c r="N1269" s="1">
        <f>value(JPY!$B1269)</f>
        <v>115.1135719</v>
      </c>
      <c r="O1269" s="1">
        <f>value(SAR!$B1269)</f>
        <v>3195.648047</v>
      </c>
      <c r="P1269" s="1">
        <f>value(AED!$B1269)</f>
        <v>3183.390062</v>
      </c>
      <c r="Q1269" s="1">
        <f>value(KWD!$B1269)</f>
        <v>41159.10468</v>
      </c>
    </row>
    <row r="1270">
      <c r="A1270" s="4">
        <f>value(USD!A1270)</f>
        <v>41580.99861</v>
      </c>
      <c r="B1270" s="1">
        <f>value(USD!B1270)</f>
        <v>11308</v>
      </c>
      <c r="C1270" s="1">
        <f>value(AUD!$B1270)</f>
        <v>10680.64116</v>
      </c>
      <c r="D1270" s="1">
        <f>value(EUR!$B1270)</f>
        <v>15309.91301</v>
      </c>
      <c r="E1270" s="1">
        <f>value(GBP!$B1270)</f>
        <v>18090.91805</v>
      </c>
      <c r="F1270" s="1">
        <f>value(CHF!$B1270)</f>
        <v>12447.2403</v>
      </c>
      <c r="G1270" s="1">
        <f>value(SGD!$B1270)</f>
        <v>9115.51652</v>
      </c>
      <c r="H1270" s="1">
        <f>value(MYR!$B1270)</f>
        <v>3566.41922</v>
      </c>
      <c r="I1270" s="1">
        <f>value(THB!$B1270)</f>
        <v>362.12419</v>
      </c>
      <c r="J1270" s="1">
        <f>value(VND!$B1270)</f>
        <v>0.5712086889</v>
      </c>
      <c r="K1270" s="1">
        <f>value(CNY!$B1270)</f>
        <v>2003.2052</v>
      </c>
      <c r="L1270" s="1">
        <f>value(HKD!$B1270)</f>
        <v>1461.183</v>
      </c>
      <c r="M1270" s="1">
        <f>value(TWD!$B1270)</f>
        <v>385.45781</v>
      </c>
      <c r="N1270" s="1">
        <f>value(JPY!$B1270)</f>
        <v>114.85578</v>
      </c>
      <c r="O1270" s="1">
        <f>value(SAR!$B1270)</f>
        <v>3205.850127</v>
      </c>
      <c r="P1270" s="1">
        <f>value(AED!$B1270)</f>
        <v>3179.33458</v>
      </c>
      <c r="Q1270" s="1">
        <f>value(KWD!$B1270)</f>
        <v>41331.71252</v>
      </c>
    </row>
    <row r="1271">
      <c r="A1271" s="4">
        <f>value(USD!A1271)</f>
        <v>41581.99861</v>
      </c>
      <c r="B1271" s="1">
        <f>value(USD!B1271)</f>
        <v>11363.63</v>
      </c>
      <c r="C1271" s="1">
        <f>value(AUD!$B1271)</f>
        <v>10663.94364</v>
      </c>
      <c r="D1271" s="1">
        <f>value(EUR!$B1271)</f>
        <v>15264.4558</v>
      </c>
      <c r="E1271" s="1">
        <f>value(GBP!$B1271)</f>
        <v>18177.852</v>
      </c>
      <c r="F1271" s="1">
        <f>value(CHF!$B1271)</f>
        <v>12399.552</v>
      </c>
      <c r="G1271" s="1">
        <f>value(SGD!$B1271)</f>
        <v>9110.7929</v>
      </c>
      <c r="H1271" s="1">
        <f>value(MYR!$B1271)</f>
        <v>3567.2505</v>
      </c>
      <c r="I1271" s="1">
        <f>value(THB!$B1271)</f>
        <v>361.9935</v>
      </c>
      <c r="J1271" s="1">
        <f>value(VND!$B1271)</f>
        <v>0.5510921082</v>
      </c>
      <c r="K1271" s="1">
        <f>value(CNY!$B1271)</f>
        <v>2001.12302</v>
      </c>
      <c r="L1271" s="1">
        <f>value(HKD!$B1271)</f>
        <v>1461.57</v>
      </c>
      <c r="M1271" s="1">
        <f>value(TWD!$B1271)</f>
        <v>384.8801</v>
      </c>
      <c r="N1271" s="1">
        <f>value(JPY!$B1271)</f>
        <v>115.02216</v>
      </c>
      <c r="O1271" s="1">
        <f>value(SAR!$B1271)</f>
        <v>3234.312861</v>
      </c>
      <c r="P1271" s="1">
        <f>value(AED!$B1271)</f>
        <v>3150.75568</v>
      </c>
      <c r="Q1271" s="1">
        <f>value(KWD!$B1271)</f>
        <v>41467.3103</v>
      </c>
    </row>
    <row r="1272">
      <c r="A1272" s="4">
        <f>value(USD!A1272)</f>
        <v>41582.99861</v>
      </c>
      <c r="B1272" s="1">
        <f>value(USD!B1272)</f>
        <v>11327</v>
      </c>
      <c r="C1272" s="1">
        <f>value(AUD!$B1272)</f>
        <v>10797.4116</v>
      </c>
      <c r="D1272" s="1">
        <f>value(EUR!$B1272)</f>
        <v>15381.777</v>
      </c>
      <c r="E1272" s="1">
        <f>value(GBP!$B1272)</f>
        <v>18301.9988</v>
      </c>
      <c r="F1272" s="1">
        <f>value(CHF!$B1272)</f>
        <v>12478.17</v>
      </c>
      <c r="G1272" s="1">
        <f>value(SGD!$B1272)</f>
        <v>9155.3238</v>
      </c>
      <c r="H1272" s="1">
        <f>value(MYR!$B1272)</f>
        <v>3574.5718</v>
      </c>
      <c r="I1272" s="1">
        <f>value(THB!$B1272)</f>
        <v>363.8186</v>
      </c>
      <c r="J1272" s="1">
        <f>value(VND!$B1272)</f>
        <v>0.5581749209</v>
      </c>
      <c r="K1272" s="1">
        <f>value(CNY!$B1272)</f>
        <v>2002.550274</v>
      </c>
      <c r="L1272" s="1">
        <f>value(HKD!$B1272)</f>
        <v>1468.02</v>
      </c>
      <c r="M1272" s="1">
        <f>value(TWD!$B1272)</f>
        <v>386.92</v>
      </c>
      <c r="N1272" s="1">
        <f>value(JPY!$B1272)</f>
        <v>115.3363</v>
      </c>
      <c r="O1272" s="1">
        <f>value(SAR!$B1272)</f>
        <v>3243.308055</v>
      </c>
      <c r="P1272" s="1">
        <f>value(AED!$B1272)</f>
        <v>3162.7316</v>
      </c>
      <c r="Q1272" s="1">
        <f>value(KWD!$B1272)</f>
        <v>41262.66882</v>
      </c>
    </row>
    <row r="1273">
      <c r="A1273" s="4">
        <f>value(USD!A1273)</f>
        <v>41583.99861</v>
      </c>
      <c r="B1273" s="1">
        <f>value(USD!B1273)</f>
        <v>11330</v>
      </c>
      <c r="C1273" s="1">
        <f>value(AUD!$B1273)</f>
        <v>10757.763</v>
      </c>
      <c r="D1273" s="1">
        <f>value(EUR!$B1273)</f>
        <v>15235.3058</v>
      </c>
      <c r="E1273" s="1">
        <f>value(GBP!$B1273)</f>
        <v>18276.9132</v>
      </c>
      <c r="F1273" s="1">
        <f>value(CHF!$B1273)</f>
        <v>12392.5334</v>
      </c>
      <c r="G1273" s="1">
        <f>value(SGD!$B1273)</f>
        <v>9126.18564</v>
      </c>
      <c r="H1273" s="1">
        <f>value(MYR!$B1273)</f>
        <v>3564.48664</v>
      </c>
      <c r="I1273" s="1">
        <f>value(THB!$B1273)</f>
        <v>362.10694</v>
      </c>
      <c r="J1273" s="1">
        <f>value(VND!$B1273)</f>
        <v>0.5609638993</v>
      </c>
      <c r="K1273" s="1">
        <f>value(CNY!$B1273)</f>
        <v>2002.2158</v>
      </c>
      <c r="L1273" s="1">
        <f>value(HKD!$B1273)</f>
        <v>1465.698</v>
      </c>
      <c r="M1273" s="1">
        <f>value(TWD!$B1273)</f>
        <v>383.12664</v>
      </c>
      <c r="N1273" s="1">
        <f>value(JPY!$B1273)</f>
        <v>115.699246</v>
      </c>
      <c r="O1273" s="1">
        <f>value(SAR!$B1273)</f>
        <v>3242.424034</v>
      </c>
      <c r="P1273" s="1">
        <f>value(AED!$B1273)</f>
        <v>3175.25188</v>
      </c>
      <c r="Q1273" s="1">
        <f>value(KWD!$B1273)</f>
        <v>41186.93572</v>
      </c>
    </row>
    <row r="1274">
      <c r="A1274" s="4">
        <f>value(USD!A1274)</f>
        <v>41584.99861</v>
      </c>
      <c r="B1274" s="1">
        <f>value(USD!B1274)</f>
        <v>11380</v>
      </c>
      <c r="C1274" s="1">
        <f>value(AUD!$B1274)</f>
        <v>10838.3874</v>
      </c>
      <c r="D1274" s="1">
        <f>value(EUR!$B1274)</f>
        <v>15213.40884</v>
      </c>
      <c r="E1274" s="1">
        <f>value(GBP!$B1274)</f>
        <v>18232.14288</v>
      </c>
      <c r="F1274" s="1">
        <f>value(CHF!$B1274)</f>
        <v>12347.1936</v>
      </c>
      <c r="G1274" s="1">
        <f>value(SGD!$B1274)</f>
        <v>9126.20142</v>
      </c>
      <c r="H1274" s="1">
        <f>value(MYR!$B1274)</f>
        <v>3575.88294</v>
      </c>
      <c r="I1274" s="1">
        <f>value(THB!$B1274)</f>
        <v>361.15086</v>
      </c>
      <c r="J1274" s="1">
        <f>value(VND!$B1274)</f>
        <v>0.5585918715</v>
      </c>
      <c r="K1274" s="1">
        <f>value(CNY!$B1274)</f>
        <v>2013.83168</v>
      </c>
      <c r="L1274" s="1">
        <f>value(HKD!$B1274)</f>
        <v>1468.278</v>
      </c>
      <c r="M1274" s="1">
        <f>value(TWD!$B1274)</f>
        <v>384.59778</v>
      </c>
      <c r="N1274" s="1">
        <f>value(JPY!$B1274)</f>
        <v>114.84438</v>
      </c>
      <c r="O1274" s="1">
        <f>value(SAR!$B1274)</f>
        <v>3243.048467</v>
      </c>
      <c r="P1274" s="1">
        <f>value(AED!$B1274)</f>
        <v>3157.56018</v>
      </c>
      <c r="Q1274" s="1">
        <f>value(KWD!$B1274)</f>
        <v>41252.72659</v>
      </c>
    </row>
    <row r="1275">
      <c r="A1275" s="4">
        <f>value(USD!A1275)</f>
        <v>41585.99861</v>
      </c>
      <c r="B1275" s="1">
        <f>value(USD!B1275)</f>
        <v>11362</v>
      </c>
      <c r="C1275" s="1">
        <f>value(AUD!$B1275)</f>
        <v>10717.2312</v>
      </c>
      <c r="D1275" s="1">
        <f>value(EUR!$B1275)</f>
        <v>15295.48183</v>
      </c>
      <c r="E1275" s="1">
        <f>value(GBP!$B1275)</f>
        <v>18333.01986</v>
      </c>
      <c r="F1275" s="1">
        <f>value(CHF!$B1275)</f>
        <v>12411.89107</v>
      </c>
      <c r="G1275" s="1">
        <f>value(SGD!$B1275)</f>
        <v>9174.021368</v>
      </c>
      <c r="H1275" s="1">
        <f>value(MYR!$B1275)</f>
        <v>3594.620038</v>
      </c>
      <c r="I1275" s="1">
        <f>value(THB!$B1275)</f>
        <v>363.0432372</v>
      </c>
      <c r="J1275" s="1">
        <f>value(VND!$B1275)</f>
        <v>0.562336727</v>
      </c>
      <c r="K1275" s="1">
        <f>value(CNY!$B1275)</f>
        <v>2007.77212</v>
      </c>
      <c r="L1275" s="1">
        <f>value(HKD!$B1275)</f>
        <v>1475.97156</v>
      </c>
      <c r="M1275" s="1">
        <f>value(TWD!$B1275)</f>
        <v>386.6130156</v>
      </c>
      <c r="N1275" s="1">
        <f>value(JPY!$B1275)</f>
        <v>115.4461476</v>
      </c>
      <c r="O1275" s="1">
        <f>value(SAR!$B1275)</f>
        <v>3242.053006</v>
      </c>
      <c r="P1275" s="1">
        <f>value(AED!$B1275)</f>
        <v>3148.85042</v>
      </c>
      <c r="Q1275" s="1">
        <f>value(KWD!$B1275)</f>
        <v>41186.93572</v>
      </c>
    </row>
    <row r="1276">
      <c r="A1276" s="4">
        <f>value(USD!A1276)</f>
        <v>41586.99861</v>
      </c>
      <c r="B1276" s="1">
        <f>value(USD!B1276)</f>
        <v>11382</v>
      </c>
      <c r="C1276" s="1">
        <f>value(AUD!$B1276)</f>
        <v>10862.54385</v>
      </c>
      <c r="D1276" s="1">
        <f>value(EUR!$B1276)</f>
        <v>15186.86856</v>
      </c>
      <c r="E1276" s="1">
        <f>value(GBP!$B1276)</f>
        <v>18207.5379</v>
      </c>
      <c r="F1276" s="1">
        <f>value(CHF!$B1276)</f>
        <v>12325.7328</v>
      </c>
      <c r="G1276" s="1">
        <f>value(SGD!$B1276)</f>
        <v>9119.01681</v>
      </c>
      <c r="H1276" s="1">
        <f>value(MYR!$B1276)</f>
        <v>3494.37711</v>
      </c>
      <c r="I1276" s="1">
        <f>value(THB!$B1276)</f>
        <v>354.00069</v>
      </c>
      <c r="J1276" s="1">
        <f>value(VND!$B1276)</f>
        <v>0.5543101301</v>
      </c>
      <c r="K1276" s="1">
        <f>value(CNY!$B1276)</f>
        <v>2010.56846</v>
      </c>
      <c r="L1276" s="1">
        <f>value(HKD!$B1276)</f>
        <v>1467.891</v>
      </c>
      <c r="M1276" s="1">
        <f>value(TWD!$B1276)</f>
        <v>383.92746</v>
      </c>
      <c r="N1276" s="1">
        <f>value(JPY!$B1276)</f>
        <v>114.711699</v>
      </c>
      <c r="O1276" s="1">
        <f>value(SAR!$B1276)</f>
        <v>3239.552957</v>
      </c>
      <c r="P1276" s="1">
        <f>value(AED!$B1276)</f>
        <v>3154.45968</v>
      </c>
      <c r="Q1276" s="1">
        <f>value(KWD!$B1276)</f>
        <v>41475.98772</v>
      </c>
    </row>
    <row r="1277">
      <c r="A1277" s="4">
        <f>value(USD!A1277)</f>
        <v>41587.99861</v>
      </c>
      <c r="B1277" s="1">
        <f>value(USD!B1277)</f>
        <v>11441.64</v>
      </c>
      <c r="C1277" s="1">
        <f>value(AUD!$B1277)</f>
        <v>10861.61625</v>
      </c>
      <c r="D1277" s="1">
        <f>value(EUR!$B1277)</f>
        <v>15461.529</v>
      </c>
      <c r="E1277" s="1">
        <f>value(GBP!$B1277)</f>
        <v>18433.902</v>
      </c>
      <c r="F1277" s="1">
        <f>value(CHF!$B1277)</f>
        <v>12541.05</v>
      </c>
      <c r="G1277" s="1">
        <f>value(SGD!$B1277)</f>
        <v>9233.21112</v>
      </c>
      <c r="H1277" s="1">
        <f>value(MYR!$B1277)</f>
        <v>3599.82912</v>
      </c>
      <c r="I1277" s="1">
        <f>value(THB!$B1277)</f>
        <v>364.4112</v>
      </c>
      <c r="J1277" s="1">
        <f>value(VND!$B1277)</f>
        <v>0.5588500714</v>
      </c>
      <c r="K1277" s="1">
        <f>value(CNY!$B1277)</f>
        <v>2000.09754</v>
      </c>
      <c r="L1277" s="1">
        <f>value(HKD!$B1277)</f>
        <v>1487.39736</v>
      </c>
      <c r="M1277" s="1">
        <f>value(TWD!$B1277)</f>
        <v>390.47352</v>
      </c>
      <c r="N1277" s="1">
        <f>value(JPY!$B1277)</f>
        <v>116.30022</v>
      </c>
      <c r="O1277" s="1">
        <f>value(SAR!$B1277)</f>
        <v>3239.552957</v>
      </c>
      <c r="P1277" s="1">
        <f>value(AED!$B1277)</f>
        <v>3148.85042</v>
      </c>
      <c r="Q1277" s="1">
        <f>value(KWD!$B1277)</f>
        <v>41132.32772</v>
      </c>
    </row>
    <row r="1278">
      <c r="A1278" s="4">
        <f>value(USD!A1278)</f>
        <v>41588.99861</v>
      </c>
      <c r="B1278" s="1">
        <f>value(USD!B1278)</f>
        <v>11379</v>
      </c>
      <c r="C1278" s="1">
        <f>value(AUD!$B1278)</f>
        <v>10869.243</v>
      </c>
      <c r="D1278" s="1">
        <f>value(EUR!$B1278)</f>
        <v>15540.70005</v>
      </c>
      <c r="E1278" s="1">
        <f>value(GBP!$B1278)</f>
        <v>18373.7781</v>
      </c>
      <c r="F1278" s="1">
        <f>value(CHF!$B1278)</f>
        <v>12607.0065</v>
      </c>
      <c r="G1278" s="1">
        <f>value(SGD!$B1278)</f>
        <v>9257.89815</v>
      </c>
      <c r="H1278" s="1">
        <f>value(MYR!$B1278)</f>
        <v>3597.98715</v>
      </c>
      <c r="I1278" s="1">
        <f>value(THB!$B1278)</f>
        <v>365.33835</v>
      </c>
      <c r="J1278" s="1">
        <f>value(VND!$B1278)</f>
        <v>0.5550486935</v>
      </c>
      <c r="K1278" s="1">
        <f>value(CNY!$B1278)</f>
        <v>2000.72592</v>
      </c>
      <c r="L1278" s="1">
        <f>value(HKD!$B1278)</f>
        <v>1491.6537</v>
      </c>
      <c r="M1278" s="1">
        <f>value(TWD!$B1278)</f>
        <v>392.40045</v>
      </c>
      <c r="N1278" s="1">
        <f>value(JPY!$B1278)</f>
        <v>116.06634</v>
      </c>
      <c r="O1278" s="1">
        <f>value(SAR!$B1278)</f>
        <v>3239.207468</v>
      </c>
      <c r="P1278" s="1">
        <f>value(AED!$B1278)</f>
        <v>3172.53008</v>
      </c>
      <c r="Q1278" s="1">
        <f>value(KWD!$B1278)</f>
        <v>41163.27709</v>
      </c>
    </row>
    <row r="1279">
      <c r="A1279" s="4">
        <f>value(USD!A1279)</f>
        <v>41589.99861</v>
      </c>
      <c r="B1279" s="1">
        <f>value(USD!B1279)</f>
        <v>11532</v>
      </c>
      <c r="C1279" s="1">
        <f>value(AUD!$B1279)</f>
        <v>10917.452</v>
      </c>
      <c r="D1279" s="1">
        <f>value(EUR!$B1279)</f>
        <v>15611.5845</v>
      </c>
      <c r="E1279" s="1">
        <f>value(GBP!$B1279)</f>
        <v>18570.6657</v>
      </c>
      <c r="F1279" s="1">
        <f>value(CHF!$B1279)</f>
        <v>12666.3957</v>
      </c>
      <c r="G1279" s="1">
        <f>value(SGD!$B1279)</f>
        <v>9292.51059</v>
      </c>
      <c r="H1279" s="1">
        <f>value(MYR!$B1279)</f>
        <v>3611.44515</v>
      </c>
      <c r="I1279" s="1">
        <f>value(THB!$B1279)</f>
        <v>367.33821</v>
      </c>
      <c r="J1279" s="1">
        <f>value(VND!$B1279)</f>
        <v>0.5633049065</v>
      </c>
      <c r="K1279" s="1">
        <f>value(CNY!$B1279)</f>
        <v>2000.361951</v>
      </c>
      <c r="L1279" s="1">
        <f>value(HKD!$B1279)</f>
        <v>1493.08569</v>
      </c>
      <c r="M1279" s="1">
        <f>value(TWD!$B1279)</f>
        <v>393.15492</v>
      </c>
      <c r="N1279" s="1">
        <f>value(JPY!$B1279)</f>
        <v>116.626698</v>
      </c>
      <c r="O1279" s="1">
        <f>value(SAR!$B1279)</f>
        <v>3237.866585</v>
      </c>
      <c r="P1279" s="1">
        <f>value(AED!$B1279)</f>
        <v>3148.03388</v>
      </c>
      <c r="Q1279" s="1">
        <f>value(KWD!$B1279)</f>
        <v>40590.52732</v>
      </c>
    </row>
    <row r="1280">
      <c r="A1280" s="4">
        <f>value(USD!A1280)</f>
        <v>41590.99861</v>
      </c>
      <c r="B1280" s="1">
        <f>value(USD!B1280)</f>
        <v>11565</v>
      </c>
      <c r="C1280" s="1">
        <f>value(AUD!$B1280)</f>
        <v>10843.11218</v>
      </c>
      <c r="D1280" s="1">
        <f>value(EUR!$B1280)</f>
        <v>15482.8758</v>
      </c>
      <c r="E1280" s="1">
        <f>value(GBP!$B1280)</f>
        <v>18481.1214</v>
      </c>
      <c r="F1280" s="1">
        <f>value(CHF!$B1280)</f>
        <v>12543.3516</v>
      </c>
      <c r="G1280" s="1">
        <f>value(SGD!$B1280)</f>
        <v>9231.46464</v>
      </c>
      <c r="H1280" s="1">
        <f>value(MYR!$B1280)</f>
        <v>3596.9736</v>
      </c>
      <c r="I1280" s="1">
        <f>value(THB!$B1280)</f>
        <v>364.07268</v>
      </c>
      <c r="J1280" s="1">
        <f>value(VND!$B1280)</f>
        <v>0.5625872838</v>
      </c>
      <c r="K1280" s="1">
        <f>value(CNY!$B1280)</f>
        <v>2002.35584</v>
      </c>
      <c r="L1280" s="1">
        <f>value(HKD!$B1280)</f>
        <v>1484.96058</v>
      </c>
      <c r="M1280" s="1">
        <f>value(TWD!$B1280)</f>
        <v>389.05806</v>
      </c>
      <c r="N1280" s="1">
        <f>value(JPY!$B1280)</f>
        <v>114.875178</v>
      </c>
      <c r="O1280" s="1">
        <f>value(SAR!$B1280)</f>
        <v>3242.337521</v>
      </c>
      <c r="P1280" s="1">
        <f>value(AED!$B1280)</f>
        <v>3150.20475</v>
      </c>
      <c r="Q1280" s="1">
        <f>value(KWD!$B1280)</f>
        <v>40483.54923</v>
      </c>
    </row>
    <row r="1281">
      <c r="A1281" s="4">
        <f>value(USD!A1281)</f>
        <v>41591.99861</v>
      </c>
      <c r="B1281" s="1">
        <f>value(USD!B1281)</f>
        <v>11577</v>
      </c>
      <c r="C1281" s="1">
        <f>value(AUD!$B1281)</f>
        <v>10773.46764</v>
      </c>
      <c r="D1281" s="1">
        <f>value(EUR!$B1281)</f>
        <v>15647.80035</v>
      </c>
      <c r="E1281" s="1">
        <f>value(GBP!$B1281)</f>
        <v>18685.45845</v>
      </c>
      <c r="F1281" s="1">
        <f>value(CHF!$B1281)</f>
        <v>12674.4945</v>
      </c>
      <c r="G1281" s="1">
        <f>value(SGD!$B1281)</f>
        <v>9299.19</v>
      </c>
      <c r="H1281" s="1">
        <f>value(MYR!$B1281)</f>
        <v>3614.1615</v>
      </c>
      <c r="I1281" s="1">
        <f>value(THB!$B1281)</f>
        <v>366.6339</v>
      </c>
      <c r="J1281" s="1">
        <f>value(VND!$B1281)</f>
        <v>0.550059385</v>
      </c>
      <c r="K1281" s="1">
        <f>value(CNY!$B1281)</f>
        <v>2004.61426</v>
      </c>
      <c r="L1281" s="1">
        <f>value(HKD!$B1281)</f>
        <v>1495.17525</v>
      </c>
      <c r="M1281" s="1">
        <f>value(TWD!$B1281)</f>
        <v>393.3024</v>
      </c>
      <c r="N1281" s="1">
        <f>value(JPY!$B1281)</f>
        <v>115.7181</v>
      </c>
      <c r="O1281" s="1">
        <f>value(SAR!$B1281)</f>
        <v>3240.026647</v>
      </c>
      <c r="P1281" s="1">
        <f>value(AED!$B1281)</f>
        <v>3105.5738</v>
      </c>
      <c r="Q1281" s="1">
        <f>value(KWD!$B1281)</f>
        <v>40542.21588</v>
      </c>
    </row>
    <row r="1282">
      <c r="A1282" s="4">
        <f>value(USD!A1282)</f>
        <v>41592.99861</v>
      </c>
      <c r="B1282" s="1">
        <f>value(USD!B1282)</f>
        <v>11514</v>
      </c>
      <c r="C1282" s="1">
        <f>value(AUD!$B1282)</f>
        <v>10695.37224</v>
      </c>
      <c r="D1282" s="1">
        <f>value(EUR!$B1282)</f>
        <v>15712.98707</v>
      </c>
      <c r="E1282" s="1">
        <f>value(GBP!$B1282)</f>
        <v>18764.70908</v>
      </c>
      <c r="F1282" s="1">
        <f>value(CHF!$B1282)</f>
        <v>12725.25806</v>
      </c>
      <c r="G1282" s="1">
        <f>value(SGD!$B1282)</f>
        <v>9336.43488</v>
      </c>
      <c r="H1282" s="1">
        <f>value(MYR!$B1282)</f>
        <v>3628.636848</v>
      </c>
      <c r="I1282" s="1">
        <f>value(THB!$B1282)</f>
        <v>368.1023328</v>
      </c>
      <c r="J1282" s="1">
        <f>value(VND!$B1282)</f>
        <v>0.5518879027</v>
      </c>
      <c r="K1282" s="1">
        <f>value(CNY!$B1282)</f>
        <v>1993.3793</v>
      </c>
      <c r="L1282" s="1">
        <f>value(HKD!$B1282)</f>
        <v>1501.163688</v>
      </c>
      <c r="M1282" s="1">
        <f>value(TWD!$B1282)</f>
        <v>394.8776448</v>
      </c>
      <c r="N1282" s="1">
        <f>value(JPY!$B1282)</f>
        <v>116.1815712</v>
      </c>
      <c r="O1282" s="1">
        <f>value(SAR!$B1282)</f>
        <v>3258.160036</v>
      </c>
      <c r="P1282" s="1">
        <f>value(AED!$B1282)</f>
        <v>3099.04148</v>
      </c>
      <c r="Q1282" s="1">
        <f>value(KWD!$B1282)</f>
        <v>40483.54923</v>
      </c>
    </row>
    <row r="1283">
      <c r="A1283" s="4">
        <f>value(USD!A1283)</f>
        <v>41593.99861</v>
      </c>
      <c r="B1283" s="1">
        <f>value(USD!B1283)</f>
        <v>11595</v>
      </c>
      <c r="C1283" s="1">
        <f>value(AUD!$B1283)</f>
        <v>10700.9724</v>
      </c>
      <c r="D1283" s="1">
        <f>value(EUR!$B1283)</f>
        <v>15631.79925</v>
      </c>
      <c r="E1283" s="1">
        <f>value(GBP!$B1283)</f>
        <v>18681.864</v>
      </c>
      <c r="F1283" s="1">
        <f>value(CHF!$B1283)</f>
        <v>12664.059</v>
      </c>
      <c r="G1283" s="1">
        <f>value(SGD!$B1283)</f>
        <v>9299.07405</v>
      </c>
      <c r="H1283" s="1">
        <f>value(MYR!$B1283)</f>
        <v>3560.5926</v>
      </c>
      <c r="I1283" s="1">
        <f>value(THB!$B1283)</f>
        <v>360.8364</v>
      </c>
      <c r="J1283" s="1">
        <f>value(VND!$B1283)</f>
        <v>0.5540726568</v>
      </c>
      <c r="K1283" s="1">
        <f>value(CNY!$B1283)</f>
        <v>1994.99963</v>
      </c>
      <c r="L1283" s="1">
        <f>value(HKD!$B1283)</f>
        <v>1495.2912</v>
      </c>
      <c r="M1283" s="1">
        <f>value(TWD!$B1283)</f>
        <v>392.8386</v>
      </c>
      <c r="N1283" s="1">
        <f>value(JPY!$B1283)</f>
        <v>115.4862</v>
      </c>
      <c r="O1283" s="1">
        <f>value(SAR!$B1283)</f>
        <v>3244.902236</v>
      </c>
      <c r="P1283" s="1">
        <f>value(AED!$B1283)</f>
        <v>3103.53245</v>
      </c>
      <c r="Q1283" s="1">
        <f>value(KWD!$B1283)</f>
        <v>40661.67636</v>
      </c>
    </row>
    <row r="1284">
      <c r="A1284" s="4">
        <f>value(USD!A1284)</f>
        <v>41594.99861</v>
      </c>
      <c r="B1284" s="1">
        <f>value(USD!B1284)</f>
        <v>11641.44</v>
      </c>
      <c r="C1284" s="1">
        <f>value(AUD!$B1284)</f>
        <v>10695.1389</v>
      </c>
      <c r="D1284" s="1">
        <f>value(EUR!$B1284)</f>
        <v>15669.071</v>
      </c>
      <c r="E1284" s="1">
        <f>value(GBP!$B1284)</f>
        <v>18700.297</v>
      </c>
      <c r="F1284" s="1">
        <f>value(CHF!$B1284)</f>
        <v>12712.117</v>
      </c>
      <c r="G1284" s="1">
        <f>value(SGD!$B1284)</f>
        <v>9308.25445</v>
      </c>
      <c r="H1284" s="1">
        <f>value(MYR!$B1284)</f>
        <v>3639.7922</v>
      </c>
      <c r="I1284" s="1">
        <f>value(THB!$B1284)</f>
        <v>367.1822</v>
      </c>
      <c r="J1284" s="1">
        <f>value(VND!$B1284)</f>
        <v>0.5511163867</v>
      </c>
      <c r="K1284" s="1">
        <f>value(CNY!$B1284)</f>
        <v>1987.80672</v>
      </c>
      <c r="L1284" s="1">
        <f>value(HKD!$B1284)</f>
        <v>1496.92895</v>
      </c>
      <c r="M1284" s="1">
        <f>value(TWD!$B1284)</f>
        <v>393.6416</v>
      </c>
      <c r="N1284" s="1">
        <f>value(JPY!$B1284)</f>
        <v>116.16605</v>
      </c>
      <c r="O1284" s="1">
        <f>value(SAR!$B1284)</f>
        <v>3242.133252</v>
      </c>
      <c r="P1284" s="1">
        <f>value(AED!$B1284)</f>
        <v>3099.04148</v>
      </c>
      <c r="Q1284" s="1">
        <f>value(KWD!$B1284)</f>
        <v>40857.33622</v>
      </c>
    </row>
    <row r="1285">
      <c r="A1285" s="4">
        <f>value(USD!A1285)</f>
        <v>41595.99861</v>
      </c>
      <c r="B1285" s="1">
        <f>value(USD!B1285)</f>
        <v>11595</v>
      </c>
      <c r="C1285" s="1">
        <f>value(AUD!$B1285)</f>
        <v>10763.9015</v>
      </c>
      <c r="D1285" s="1">
        <f>value(EUR!$B1285)</f>
        <v>15690.077</v>
      </c>
      <c r="E1285" s="1">
        <f>value(GBP!$B1285)</f>
        <v>18665.881</v>
      </c>
      <c r="F1285" s="1">
        <f>value(CHF!$B1285)</f>
        <v>12727</v>
      </c>
      <c r="G1285" s="1">
        <f>value(SGD!$B1285)</f>
        <v>9308.9906</v>
      </c>
      <c r="H1285" s="1">
        <f>value(MYR!$B1285)</f>
        <v>3643.2773</v>
      </c>
      <c r="I1285" s="1">
        <f>value(THB!$B1285)</f>
        <v>365.7277</v>
      </c>
      <c r="J1285" s="1">
        <f>value(VND!$B1285)</f>
        <v>0.5495961967</v>
      </c>
      <c r="K1285" s="1">
        <f>value(CNY!$B1285)</f>
        <v>1954.62544</v>
      </c>
      <c r="L1285" s="1">
        <f>value(HKD!$B1285)</f>
        <v>1492.53</v>
      </c>
      <c r="M1285" s="1">
        <f>value(TWD!$B1285)</f>
        <v>394.1899</v>
      </c>
      <c r="N1285" s="1">
        <f>value(JPY!$B1285)</f>
        <v>115.43389</v>
      </c>
      <c r="O1285" s="1">
        <f>value(SAR!$B1285)</f>
        <v>3230.042437</v>
      </c>
      <c r="P1285" s="1">
        <f>value(AED!$B1285)</f>
        <v>3111.0174</v>
      </c>
      <c r="Q1285" s="1">
        <f>value(KWD!$B1285)</f>
        <v>40679.46362</v>
      </c>
    </row>
    <row r="1286">
      <c r="A1286" s="4">
        <f>value(USD!A1286)</f>
        <v>41596.99861</v>
      </c>
      <c r="B1286" s="1">
        <f>value(USD!B1286)</f>
        <v>11605</v>
      </c>
      <c r="C1286" s="1">
        <f>value(AUD!$B1286)</f>
        <v>10715.295</v>
      </c>
      <c r="D1286" s="1">
        <f>value(EUR!$B1286)</f>
        <v>15620.0728</v>
      </c>
      <c r="E1286" s="1">
        <f>value(GBP!$B1286)</f>
        <v>18719.2013</v>
      </c>
      <c r="F1286" s="1">
        <f>value(CHF!$B1286)</f>
        <v>12683.7503</v>
      </c>
      <c r="G1286" s="1">
        <f>value(SGD!$B1286)</f>
        <v>9329.36525</v>
      </c>
      <c r="H1286" s="1">
        <f>value(MYR!$B1286)</f>
        <v>3640.92361</v>
      </c>
      <c r="I1286" s="1">
        <f>value(THB!$B1286)</f>
        <v>366.42979</v>
      </c>
      <c r="J1286" s="1">
        <f>value(VND!$B1286)</f>
        <v>0.5571439526</v>
      </c>
      <c r="K1286" s="1">
        <f>value(CNY!$B1286)</f>
        <v>1953.782345</v>
      </c>
      <c r="L1286" s="1">
        <f>value(HKD!$B1286)</f>
        <v>1500.141</v>
      </c>
      <c r="M1286" s="1">
        <f>value(TWD!$B1286)</f>
        <v>392.47875</v>
      </c>
      <c r="N1286" s="1">
        <f>value(JPY!$B1286)</f>
        <v>116.045791</v>
      </c>
      <c r="O1286" s="1">
        <f>value(SAR!$B1286)</f>
        <v>3231.902594</v>
      </c>
      <c r="P1286" s="1">
        <f>value(AED!$B1286)</f>
        <v>3125.9873</v>
      </c>
      <c r="Q1286" s="1">
        <f>value(KWD!$B1286)</f>
        <v>40629.65929</v>
      </c>
    </row>
    <row r="1287">
      <c r="A1287" s="4">
        <f>value(USD!A1287)</f>
        <v>41597.99861</v>
      </c>
      <c r="B1287" s="1">
        <f>value(USD!B1287)</f>
        <v>11570</v>
      </c>
      <c r="C1287" s="1">
        <f>value(AUD!$B1287)</f>
        <v>10790.604</v>
      </c>
      <c r="D1287" s="1">
        <f>value(EUR!$B1287)</f>
        <v>15726.51236</v>
      </c>
      <c r="E1287" s="1">
        <f>value(GBP!$B1287)</f>
        <v>18895.5364</v>
      </c>
      <c r="F1287" s="1">
        <f>value(CHF!$B1287)</f>
        <v>12767.8538</v>
      </c>
      <c r="G1287" s="1">
        <f>value(SGD!$B1287)</f>
        <v>9335.81454</v>
      </c>
      <c r="H1287" s="1">
        <f>value(MYR!$B1287)</f>
        <v>3638.08536</v>
      </c>
      <c r="I1287" s="1">
        <f>value(THB!$B1287)</f>
        <v>366.44686</v>
      </c>
      <c r="J1287" s="1">
        <f>value(VND!$B1287)</f>
        <v>0.5562554056</v>
      </c>
      <c r="K1287" s="1">
        <f>value(CNY!$B1287)</f>
        <v>1986.89078</v>
      </c>
      <c r="L1287" s="1">
        <f>value(HKD!$B1287)</f>
        <v>1505.82926</v>
      </c>
      <c r="M1287" s="1">
        <f>value(TWD!$B1287)</f>
        <v>395.1649</v>
      </c>
      <c r="N1287" s="1">
        <f>value(JPY!$B1287)</f>
        <v>115.22238</v>
      </c>
      <c r="O1287" s="1">
        <f>value(SAR!$B1287)</f>
        <v>3231.251501</v>
      </c>
      <c r="P1287" s="1">
        <f>value(AED!$B1287)</f>
        <v>3112.3783</v>
      </c>
      <c r="Q1287" s="1">
        <f>value(KWD!$B1287)</f>
        <v>40184.97779</v>
      </c>
    </row>
    <row r="1288">
      <c r="A1288" s="4">
        <f>value(USD!A1288)</f>
        <v>41598.99861</v>
      </c>
      <c r="B1288" s="1">
        <f>value(USD!B1288)</f>
        <v>11629</v>
      </c>
      <c r="C1288" s="1">
        <f>value(AUD!$B1288)</f>
        <v>10787.04</v>
      </c>
      <c r="D1288" s="1">
        <f>value(EUR!$B1288)</f>
        <v>15815.31852</v>
      </c>
      <c r="E1288" s="1">
        <f>value(GBP!$B1288)</f>
        <v>18926.67408</v>
      </c>
      <c r="F1288" s="1">
        <f>value(CHF!$B1288)</f>
        <v>12861.7008</v>
      </c>
      <c r="G1288" s="1">
        <f>value(SGD!$B1288)</f>
        <v>9331.61661</v>
      </c>
      <c r="H1288" s="1">
        <f>value(MYR!$B1288)</f>
        <v>3627.2703</v>
      </c>
      <c r="I1288" s="1">
        <f>value(THB!$B1288)</f>
        <v>366.46047</v>
      </c>
      <c r="J1288" s="1">
        <f>value(VND!$B1288)</f>
        <v>0.5535977103</v>
      </c>
      <c r="K1288" s="1">
        <f>value(CNY!$B1288)</f>
        <v>1954.41352</v>
      </c>
      <c r="L1288" s="1">
        <f>value(HKD!$B1288)</f>
        <v>1504.69299</v>
      </c>
      <c r="M1288" s="1">
        <f>value(TWD!$B1288)</f>
        <v>397.49469</v>
      </c>
      <c r="N1288" s="1">
        <f>value(JPY!$B1288)</f>
        <v>115.15329</v>
      </c>
      <c r="O1288" s="1">
        <f>value(SAR!$B1288)</f>
        <v>3232.711452</v>
      </c>
      <c r="P1288" s="1">
        <f>value(AED!$B1288)</f>
        <v>3108.56778</v>
      </c>
      <c r="Q1288" s="1">
        <f>value(KWD!$B1288)</f>
        <v>40242.64408</v>
      </c>
    </row>
    <row r="1289">
      <c r="A1289" s="4">
        <f>value(USD!A1289)</f>
        <v>41599.99861</v>
      </c>
      <c r="B1289" s="1">
        <f>value(USD!B1289)</f>
        <v>11674</v>
      </c>
      <c r="C1289" s="1">
        <f>value(AUD!$B1289)</f>
        <v>10798.84344</v>
      </c>
      <c r="D1289" s="1">
        <f>value(EUR!$B1289)</f>
        <v>15815.7852</v>
      </c>
      <c r="E1289" s="1">
        <f>value(GBP!$B1289)</f>
        <v>18927.3741</v>
      </c>
      <c r="F1289" s="1">
        <f>value(CHF!$B1289)</f>
        <v>12862.8675</v>
      </c>
      <c r="G1289" s="1">
        <f>value(SGD!$B1289)</f>
        <v>9331.61661</v>
      </c>
      <c r="H1289" s="1">
        <f>value(MYR!$B1289)</f>
        <v>3627.38697</v>
      </c>
      <c r="I1289" s="1">
        <f>value(THB!$B1289)</f>
        <v>366.46047</v>
      </c>
      <c r="J1289" s="1">
        <f>value(VND!$B1289)</f>
        <v>0.5494536789</v>
      </c>
      <c r="K1289" s="1">
        <f>value(CNY!$B1289)</f>
        <v>1953.53754</v>
      </c>
      <c r="L1289" s="1">
        <f>value(HKD!$B1289)</f>
        <v>1504.69299</v>
      </c>
      <c r="M1289" s="1">
        <f>value(TWD!$B1289)</f>
        <v>395.16129</v>
      </c>
      <c r="N1289" s="1">
        <f>value(JPY!$B1289)</f>
        <v>115.15329</v>
      </c>
      <c r="O1289" s="1">
        <f>value(SAR!$B1289)</f>
        <v>3238.402771</v>
      </c>
      <c r="P1289" s="1">
        <f>value(AED!$B1289)</f>
        <v>3074.54528</v>
      </c>
      <c r="Q1289" s="1">
        <f>value(KWD!$B1289)</f>
        <v>40184.97779</v>
      </c>
    </row>
    <row r="1290">
      <c r="A1290" s="4">
        <f>value(USD!A1290)</f>
        <v>41600.99861</v>
      </c>
      <c r="B1290" s="1">
        <f>value(USD!B1290)</f>
        <v>11667</v>
      </c>
      <c r="C1290" s="1">
        <f>value(AUD!$B1290)</f>
        <v>10588.05</v>
      </c>
      <c r="D1290" s="1">
        <f>value(EUR!$B1290)</f>
        <v>15809.9517</v>
      </c>
      <c r="E1290" s="1">
        <f>value(GBP!$B1290)</f>
        <v>18936.12435</v>
      </c>
      <c r="F1290" s="1">
        <f>value(CHF!$B1290)</f>
        <v>12861.7008</v>
      </c>
      <c r="G1290" s="1">
        <f>value(SGD!$B1290)</f>
        <v>9333.6</v>
      </c>
      <c r="H1290" s="1">
        <f>value(MYR!$B1290)</f>
        <v>3625.98693</v>
      </c>
      <c r="I1290" s="1">
        <f>value(THB!$B1290)</f>
        <v>365.87712</v>
      </c>
      <c r="J1290" s="1">
        <f>value(VND!$B1290)</f>
        <v>0.5495606645</v>
      </c>
      <c r="K1290" s="1">
        <f>value(CNY!$B1290)</f>
        <v>1954.69528</v>
      </c>
      <c r="L1290" s="1">
        <f>value(HKD!$B1290)</f>
        <v>1504.80966</v>
      </c>
      <c r="M1290" s="1">
        <f>value(TWD!$B1290)</f>
        <v>395.04462</v>
      </c>
      <c r="N1290" s="1">
        <f>value(JPY!$B1290)</f>
        <v>115.15329</v>
      </c>
      <c r="O1290" s="1">
        <f>value(SAR!$B1290)</f>
        <v>3219.995153</v>
      </c>
      <c r="P1290" s="1">
        <f>value(AED!$B1290)</f>
        <v>3078.957317</v>
      </c>
      <c r="Q1290" s="1">
        <f>value(KWD!$B1290)</f>
        <v>40149.40327</v>
      </c>
    </row>
    <row r="1291">
      <c r="A1291" s="4">
        <f>value(USD!A1291)</f>
        <v>41601.99861</v>
      </c>
      <c r="B1291" s="1">
        <f>value(USD!B1291)</f>
        <v>11667</v>
      </c>
      <c r="C1291" s="1">
        <f>value(AUD!$B1291)</f>
        <v>10602</v>
      </c>
      <c r="D1291" s="1">
        <f>value(EUR!$B1291)</f>
        <v>15847.6037</v>
      </c>
      <c r="E1291" s="1">
        <f>value(GBP!$B1291)</f>
        <v>18937.904</v>
      </c>
      <c r="F1291" s="1">
        <f>value(CHF!$B1291)</f>
        <v>12856.9149</v>
      </c>
      <c r="G1291" s="1">
        <f>value(SGD!$B1291)</f>
        <v>9373.67653</v>
      </c>
      <c r="H1291" s="1">
        <f>value(MYR!$B1291)</f>
        <v>3637.22603</v>
      </c>
      <c r="I1291" s="1">
        <f>value(THB!$B1291)</f>
        <v>365.39842</v>
      </c>
      <c r="J1291" s="1">
        <f>value(VND!$B1291)</f>
        <v>0.5420427525</v>
      </c>
      <c r="K1291" s="1">
        <f>value(CNY!$B1291)</f>
        <v>1961.29536</v>
      </c>
      <c r="L1291" s="1">
        <f>value(HKD!$B1291)</f>
        <v>1511.51662</v>
      </c>
      <c r="M1291" s="1">
        <f>value(TWD!$B1291)</f>
        <v>395.75063</v>
      </c>
      <c r="N1291" s="1">
        <f>value(JPY!$B1291)</f>
        <v>115.54934</v>
      </c>
      <c r="O1291" s="1">
        <f>value(SAR!$B1291)</f>
        <v>3223.111813</v>
      </c>
      <c r="P1291" s="1">
        <f>value(AED!$B1291)</f>
        <v>3074.54528</v>
      </c>
      <c r="Q1291" s="1">
        <f>value(KWD!$B1291)</f>
        <v>40288.1439</v>
      </c>
    </row>
    <row r="1292">
      <c r="A1292" s="4">
        <f>value(USD!A1292)</f>
        <v>41602.99861</v>
      </c>
      <c r="B1292" s="1">
        <f>value(USD!B1292)</f>
        <v>11667</v>
      </c>
      <c r="C1292" s="1">
        <f>value(AUD!$B1292)</f>
        <v>10831.989</v>
      </c>
      <c r="D1292" s="1">
        <f>value(EUR!$B1292)</f>
        <v>15941.225</v>
      </c>
      <c r="E1292" s="1">
        <f>value(GBP!$B1292)</f>
        <v>19044.5175</v>
      </c>
      <c r="F1292" s="1">
        <f>value(CHF!$B1292)</f>
        <v>12953.2</v>
      </c>
      <c r="G1292" s="1">
        <f>value(SGD!$B1292)</f>
        <v>9388.8375</v>
      </c>
      <c r="H1292" s="1">
        <f>value(MYR!$B1292)</f>
        <v>3651.0775</v>
      </c>
      <c r="I1292" s="1">
        <f>value(THB!$B1292)</f>
        <v>366.0125</v>
      </c>
      <c r="J1292" s="1">
        <f>value(VND!$B1292)</f>
        <v>0.5407741532</v>
      </c>
      <c r="K1292" s="1">
        <f>value(CNY!$B1292)</f>
        <v>1960.36456</v>
      </c>
      <c r="L1292" s="1">
        <f>value(HKD!$B1292)</f>
        <v>1515.6325</v>
      </c>
      <c r="M1292" s="1">
        <f>value(TWD!$B1292)</f>
        <v>397.2675</v>
      </c>
      <c r="N1292" s="1">
        <f>value(JPY!$B1292)</f>
        <v>116.09</v>
      </c>
      <c r="O1292" s="1">
        <f>value(SAR!$B1292)</f>
        <v>3210.930749</v>
      </c>
      <c r="P1292" s="1">
        <f>value(AED!$B1292)</f>
        <v>3071.82348</v>
      </c>
      <c r="Q1292" s="1">
        <f>value(KWD!$B1292)</f>
        <v>40234.78212</v>
      </c>
    </row>
    <row r="1293">
      <c r="A1293" s="4">
        <f>value(USD!A1293)</f>
        <v>41603.99861</v>
      </c>
      <c r="B1293" s="1">
        <f>value(USD!B1293)</f>
        <v>11719</v>
      </c>
      <c r="C1293" s="1">
        <f>value(AUD!$B1293)</f>
        <v>10861.34495</v>
      </c>
      <c r="D1293" s="1">
        <f>value(EUR!$B1293)</f>
        <v>16124.724</v>
      </c>
      <c r="E1293" s="1">
        <f>value(GBP!$B1293)</f>
        <v>19341.828</v>
      </c>
      <c r="F1293" s="1">
        <f>value(CHF!$B1293)</f>
        <v>13079.88</v>
      </c>
      <c r="G1293" s="1">
        <f>value(SGD!$B1293)</f>
        <v>9463.3704</v>
      </c>
      <c r="H1293" s="1">
        <f>value(MYR!$B1293)</f>
        <v>3693.0168</v>
      </c>
      <c r="I1293" s="1">
        <f>value(THB!$B1293)</f>
        <v>369.7056</v>
      </c>
      <c r="J1293" s="1">
        <f>value(VND!$B1293)</f>
        <v>0.5469611861</v>
      </c>
      <c r="K1293" s="1">
        <f>value(CNY!$B1293)</f>
        <v>1960.853067</v>
      </c>
      <c r="L1293" s="1">
        <f>value(HKD!$B1293)</f>
        <v>1532.2824</v>
      </c>
      <c r="M1293" s="1">
        <f>value(TWD!$B1293)</f>
        <v>401.7816</v>
      </c>
      <c r="N1293" s="1">
        <f>value(JPY!$B1293)</f>
        <v>116.1864</v>
      </c>
      <c r="O1293" s="1">
        <f>value(SAR!$B1293)</f>
        <v>3153.066587</v>
      </c>
      <c r="P1293" s="1">
        <f>value(AED!$B1293)</f>
        <v>3082.4385</v>
      </c>
      <c r="Q1293" s="1">
        <f>value(KWD!$B1293)</f>
        <v>40686.70197</v>
      </c>
    </row>
    <row r="1294">
      <c r="A1294" s="4">
        <f>value(USD!A1294)</f>
        <v>41604.99861</v>
      </c>
      <c r="B1294" s="1">
        <f>value(USD!B1294)</f>
        <v>11750</v>
      </c>
      <c r="C1294" s="1">
        <f>value(AUD!$B1294)</f>
        <v>10813.1104</v>
      </c>
      <c r="D1294" s="1">
        <f>value(EUR!$B1294)</f>
        <v>16157.988</v>
      </c>
      <c r="E1294" s="1">
        <f>value(GBP!$B1294)</f>
        <v>19409.0688</v>
      </c>
      <c r="F1294" s="1">
        <f>value(CHF!$B1294)</f>
        <v>13109.58</v>
      </c>
      <c r="G1294" s="1">
        <f>value(SGD!$B1294)</f>
        <v>9457.1928</v>
      </c>
      <c r="H1294" s="1">
        <f>value(MYR!$B1294)</f>
        <v>3612.3516</v>
      </c>
      <c r="I1294" s="1">
        <f>value(THB!$B1294)</f>
        <v>369.5868</v>
      </c>
      <c r="J1294" s="1">
        <f>value(VND!$B1294)</f>
        <v>0.5461697053</v>
      </c>
      <c r="K1294" s="1">
        <f>value(CNY!$B1294)</f>
        <v>1949.4552</v>
      </c>
      <c r="L1294" s="1">
        <f>value(HKD!$B1294)</f>
        <v>1532.2824</v>
      </c>
      <c r="M1294" s="1">
        <f>value(TWD!$B1294)</f>
        <v>401.1876</v>
      </c>
      <c r="N1294" s="1">
        <f>value(JPY!$B1294)</f>
        <v>116.09136</v>
      </c>
      <c r="O1294" s="1">
        <f>value(SAR!$B1294)</f>
        <v>3155.369481</v>
      </c>
      <c r="P1294" s="1">
        <f>value(AED!$B1294)</f>
        <v>3078.9213</v>
      </c>
      <c r="Q1294" s="1">
        <f>value(KWD!$B1294)</f>
        <v>40565.72708</v>
      </c>
    </row>
    <row r="1295">
      <c r="A1295" s="4">
        <f>value(USD!A1295)</f>
        <v>41605.99861</v>
      </c>
      <c r="B1295" s="1">
        <f>value(USD!B1295)</f>
        <v>11880</v>
      </c>
      <c r="C1295" s="1">
        <f>value(AUD!$B1295)</f>
        <v>10851.0265</v>
      </c>
      <c r="D1295" s="1">
        <f>value(EUR!$B1295)</f>
        <v>16116.56354</v>
      </c>
      <c r="E1295" s="1">
        <f>value(GBP!$B1295)</f>
        <v>19405.26126</v>
      </c>
      <c r="F1295" s="1">
        <f>value(CHF!$B1295)</f>
        <v>13085.303</v>
      </c>
      <c r="G1295" s="1">
        <f>value(SGD!$B1295)</f>
        <v>9444.897</v>
      </c>
      <c r="H1295" s="1">
        <f>value(MYR!$B1295)</f>
        <v>3607.08502</v>
      </c>
      <c r="I1295" s="1">
        <f>value(THB!$B1295)</f>
        <v>369.73244</v>
      </c>
      <c r="J1295" s="1">
        <f>value(VND!$B1295)</f>
        <v>0.5424774469</v>
      </c>
      <c r="K1295" s="1">
        <f>value(CNY!$B1295)</f>
        <v>1965.62234</v>
      </c>
      <c r="L1295" s="1">
        <f>value(HKD!$B1295)</f>
        <v>1529.44484</v>
      </c>
      <c r="M1295" s="1">
        <f>value(TWD!$B1295)</f>
        <v>400.08892</v>
      </c>
      <c r="N1295" s="1">
        <f>value(JPY!$B1295)</f>
        <v>115.73408</v>
      </c>
      <c r="O1295" s="1">
        <f>value(SAR!$B1295)</f>
        <v>3207.869412</v>
      </c>
      <c r="P1295" s="1">
        <f>value(AED!$B1295)</f>
        <v>3112.3783</v>
      </c>
      <c r="Q1295" s="1">
        <f>value(KWD!$B1295)</f>
        <v>40617.39047</v>
      </c>
    </row>
    <row r="1296">
      <c r="A1296" s="4">
        <f>value(USD!A1296)</f>
        <v>41606.99861</v>
      </c>
      <c r="B1296" s="1">
        <f>value(USD!B1296)</f>
        <v>11880</v>
      </c>
      <c r="C1296" s="1">
        <f>value(AUD!$B1296)</f>
        <v>10875.217</v>
      </c>
      <c r="D1296" s="1">
        <f>value(EUR!$B1296)</f>
        <v>15800.7</v>
      </c>
      <c r="E1296" s="1">
        <f>value(GBP!$B1296)</f>
        <v>19025.475</v>
      </c>
      <c r="F1296" s="1">
        <f>value(CHF!$B1296)</f>
        <v>12828.1875</v>
      </c>
      <c r="G1296" s="1">
        <f>value(SGD!$B1296)</f>
        <v>9259.3125</v>
      </c>
      <c r="H1296" s="1">
        <f>value(MYR!$B1296)</f>
        <v>3536.325</v>
      </c>
      <c r="I1296" s="1">
        <f>value(THB!$B1296)</f>
        <v>362.4675</v>
      </c>
      <c r="J1296" s="1">
        <f>value(VND!$B1296)</f>
        <v>0.5454761241</v>
      </c>
      <c r="K1296" s="1">
        <f>value(CNY!$B1296)</f>
        <v>1993.00426</v>
      </c>
      <c r="L1296" s="1">
        <f>value(HKD!$B1296)</f>
        <v>1499.27625</v>
      </c>
      <c r="M1296" s="1">
        <f>value(TWD!$B1296)</f>
        <v>392.2275</v>
      </c>
      <c r="N1296" s="1">
        <f>value(JPY!$B1296)</f>
        <v>113.46</v>
      </c>
      <c r="O1296" s="1">
        <f>value(SAR!$B1296)</f>
        <v>3152.55677</v>
      </c>
      <c r="P1296" s="1">
        <f>value(AED!$B1296)</f>
        <v>3103.12418</v>
      </c>
      <c r="Q1296" s="1">
        <f>value(KWD!$B1296)</f>
        <v>40565.72708</v>
      </c>
    </row>
    <row r="1297">
      <c r="A1297" s="4">
        <f>value(USD!A1297)</f>
        <v>41607.99861</v>
      </c>
      <c r="B1297" s="1">
        <f>value(USD!B1297)</f>
        <v>11858</v>
      </c>
      <c r="C1297" s="1">
        <f>value(AUD!$B1297)</f>
        <v>10630.4834</v>
      </c>
      <c r="D1297" s="1">
        <f>value(EUR!$B1297)</f>
        <v>15789.19125</v>
      </c>
      <c r="E1297" s="1">
        <f>value(GBP!$B1297)</f>
        <v>19037.7975</v>
      </c>
      <c r="F1297" s="1">
        <f>value(CHF!$B1297)</f>
        <v>12823.5375</v>
      </c>
      <c r="G1297" s="1">
        <f>value(SGD!$B1297)</f>
        <v>9261.1725</v>
      </c>
      <c r="H1297" s="1">
        <f>value(MYR!$B1297)</f>
        <v>3533.88375</v>
      </c>
      <c r="I1297" s="1">
        <f>value(THB!$B1297)</f>
        <v>362.235</v>
      </c>
      <c r="J1297" s="1">
        <f>value(VND!$B1297)</f>
        <v>0.543230401</v>
      </c>
      <c r="K1297" s="1">
        <f>value(CNY!$B1297)</f>
        <v>1990.74936</v>
      </c>
      <c r="L1297" s="1">
        <f>value(HKD!$B1297)</f>
        <v>1499.3925</v>
      </c>
      <c r="M1297" s="1">
        <f>value(TWD!$B1297)</f>
        <v>391.995</v>
      </c>
      <c r="N1297" s="1">
        <f>value(JPY!$B1297)</f>
        <v>113.34375</v>
      </c>
      <c r="O1297" s="1">
        <f>value(SAR!$B1297)</f>
        <v>3149.95726</v>
      </c>
      <c r="P1297" s="1">
        <f>value(AED!$B1297)</f>
        <v>3107.076233</v>
      </c>
      <c r="Q1297" s="1">
        <f>value(KWD!$B1297)</f>
        <v>40394.66035</v>
      </c>
    </row>
    <row r="1298">
      <c r="A1298" s="4">
        <f>value(USD!A1298)</f>
        <v>41608.99861</v>
      </c>
      <c r="B1298" s="1">
        <f>value(USD!B1298)</f>
        <v>11625</v>
      </c>
      <c r="C1298" s="1">
        <f>value(AUD!$B1298)</f>
        <v>10632.819</v>
      </c>
      <c r="D1298" s="1">
        <f>value(EUR!$B1298)</f>
        <v>16093.4785</v>
      </c>
      <c r="E1298" s="1">
        <f>value(GBP!$B1298)</f>
        <v>19439.106</v>
      </c>
      <c r="F1298" s="1">
        <f>value(CHF!$B1298)</f>
        <v>13075.877</v>
      </c>
      <c r="G1298" s="1">
        <f>value(SGD!$B1298)</f>
        <v>9460.46</v>
      </c>
      <c r="H1298" s="1">
        <f>value(MYR!$B1298)</f>
        <v>3637.7608</v>
      </c>
      <c r="I1298" s="1">
        <f>value(THB!$B1298)</f>
        <v>368.9104</v>
      </c>
      <c r="J1298" s="1">
        <f>value(VND!$B1298)</f>
        <v>0.5424364661</v>
      </c>
      <c r="K1298" s="1">
        <f>value(CNY!$B1298)</f>
        <v>1997.88453</v>
      </c>
      <c r="L1298" s="1">
        <f>value(HKD!$B1298)</f>
        <v>1533.165</v>
      </c>
      <c r="M1298" s="1">
        <f>value(TWD!$B1298)</f>
        <v>401.83185</v>
      </c>
      <c r="N1298" s="1">
        <f>value(JPY!$B1298)</f>
        <v>115.415235</v>
      </c>
      <c r="O1298" s="1">
        <f>value(SAR!$B1298)</f>
        <v>3154.133254</v>
      </c>
      <c r="P1298" s="1">
        <f>value(AED!$B1298)</f>
        <v>3103.12418</v>
      </c>
      <c r="Q1298" s="1">
        <f>value(KWD!$B1298)</f>
        <v>40487.36121</v>
      </c>
    </row>
    <row r="1299">
      <c r="A1299" s="4">
        <f>value(USD!A1299)</f>
        <v>41609.99861</v>
      </c>
      <c r="B1299" s="1">
        <f>value(USD!B1299)</f>
        <v>11625</v>
      </c>
      <c r="C1299" s="1">
        <f>value(AUD!$B1299)</f>
        <v>10739.1983</v>
      </c>
      <c r="D1299" s="1">
        <f>value(EUR!$B1299)</f>
        <v>16151.715</v>
      </c>
      <c r="E1299" s="1">
        <f>value(GBP!$B1299)</f>
        <v>19475.9495</v>
      </c>
      <c r="F1299" s="1">
        <f>value(CHF!$B1299)</f>
        <v>13143.6215</v>
      </c>
      <c r="G1299" s="1">
        <f>value(SGD!$B1299)</f>
        <v>9485.6562</v>
      </c>
      <c r="H1299" s="1">
        <f>value(MYR!$B1299)</f>
        <v>3631.22405</v>
      </c>
      <c r="I1299" s="1">
        <f>value(THB!$B1299)</f>
        <v>369.1481</v>
      </c>
      <c r="J1299" s="1">
        <f>value(VND!$B1299)</f>
        <v>0.5366270756</v>
      </c>
      <c r="K1299" s="1">
        <f>value(CNY!$B1299)</f>
        <v>2004.71437</v>
      </c>
      <c r="L1299" s="1">
        <f>value(HKD!$B1299)</f>
        <v>1533.04615</v>
      </c>
      <c r="M1299" s="1">
        <f>value(TWD!$B1299)</f>
        <v>402.30725</v>
      </c>
      <c r="N1299" s="1">
        <f>value(JPY!$B1299)</f>
        <v>116.09268</v>
      </c>
      <c r="O1299" s="1">
        <f>value(SAR!$B1299)</f>
        <v>3169.917969</v>
      </c>
      <c r="P1299" s="1">
        <f>value(AED!$B1299)</f>
        <v>3092.23698</v>
      </c>
      <c r="Q1299" s="1">
        <f>value(KWD!$B1299)</f>
        <v>40679.46362</v>
      </c>
    </row>
    <row r="1300">
      <c r="A1300" s="4">
        <f>value(USD!A1300)</f>
        <v>41610.99861</v>
      </c>
      <c r="B1300" s="1">
        <f>value(USD!B1300)</f>
        <v>11885</v>
      </c>
      <c r="C1300" s="1">
        <f>value(AUD!$B1300)</f>
        <v>10821.24628</v>
      </c>
      <c r="D1300" s="1">
        <f>value(EUR!$B1300)</f>
        <v>16264.44088</v>
      </c>
      <c r="E1300" s="1">
        <f>value(GBP!$B1300)</f>
        <v>19606.5444</v>
      </c>
      <c r="F1300" s="1">
        <f>value(CHF!$B1300)</f>
        <v>13261.3844</v>
      </c>
      <c r="G1300" s="1">
        <f>value(SGD!$B1300)</f>
        <v>9541.80372</v>
      </c>
      <c r="H1300" s="1">
        <f>value(MYR!$B1300)</f>
        <v>3643.19932</v>
      </c>
      <c r="I1300" s="1">
        <f>value(THB!$B1300)</f>
        <v>371.37144</v>
      </c>
      <c r="J1300" s="1">
        <f>value(VND!$B1300)</f>
        <v>0.544694235</v>
      </c>
      <c r="K1300" s="1">
        <f>value(CNY!$B1300)</f>
        <v>1999.999616</v>
      </c>
      <c r="L1300" s="1">
        <f>value(HKD!$B1300)</f>
        <v>1544.14856</v>
      </c>
      <c r="M1300" s="1">
        <f>value(TWD!$B1300)</f>
        <v>404.53388</v>
      </c>
      <c r="N1300" s="1">
        <f>value(JPY!$B1300)</f>
        <v>116.84672</v>
      </c>
      <c r="O1300" s="1">
        <f>value(SAR!$B1300)</f>
        <v>3162.133254</v>
      </c>
      <c r="P1300" s="1">
        <f>value(AED!$B1300)</f>
        <v>3097.68058</v>
      </c>
      <c r="Q1300" s="1">
        <f>value(KWD!$B1300)</f>
        <v>40487.36121</v>
      </c>
    </row>
    <row r="1301">
      <c r="A1301" s="4">
        <f>value(USD!A1301)</f>
        <v>41611.99861</v>
      </c>
      <c r="B1301" s="1">
        <f>value(USD!B1301)</f>
        <v>11885</v>
      </c>
      <c r="C1301" s="1">
        <f>value(AUD!$B1301)</f>
        <v>10744.12612</v>
      </c>
      <c r="D1301" s="1">
        <f>value(EUR!$B1301)</f>
        <v>16367.6695</v>
      </c>
      <c r="E1301" s="1">
        <f>value(GBP!$B1301)</f>
        <v>19553.9775</v>
      </c>
      <c r="F1301" s="1">
        <f>value(CHF!$B1301)</f>
        <v>13354.52</v>
      </c>
      <c r="G1301" s="1">
        <f>value(SGD!$B1301)</f>
        <v>9551.9785</v>
      </c>
      <c r="H1301" s="1">
        <f>value(MYR!$B1301)</f>
        <v>3663.871</v>
      </c>
      <c r="I1301" s="1">
        <f>value(THB!$B1301)</f>
        <v>371.10525</v>
      </c>
      <c r="J1301" s="1">
        <f>value(VND!$B1301)</f>
        <v>0.5439137072</v>
      </c>
      <c r="K1301" s="1">
        <f>value(CNY!$B1301)</f>
        <v>2006.53342</v>
      </c>
      <c r="L1301" s="1">
        <f>value(HKD!$B1301)</f>
        <v>1544.296</v>
      </c>
      <c r="M1301" s="1">
        <f>value(TWD!$B1301)</f>
        <v>406.55125</v>
      </c>
      <c r="N1301" s="1">
        <f>value(JPY!$B1301)</f>
        <v>117.6424</v>
      </c>
      <c r="O1301" s="1">
        <f>value(SAR!$B1301)</f>
        <v>3166.850775</v>
      </c>
      <c r="P1301" s="1">
        <f>value(AED!$B1301)</f>
        <v>3112.3783</v>
      </c>
      <c r="Q1301" s="1">
        <f>value(KWD!$B1301)</f>
        <v>40216.99486</v>
      </c>
    </row>
    <row r="1302">
      <c r="A1302" s="4">
        <f>value(USD!A1302)</f>
        <v>41612.99861</v>
      </c>
      <c r="B1302" s="1">
        <f>value(USD!B1302)</f>
        <v>11972</v>
      </c>
      <c r="C1302" s="1">
        <f>value(AUD!$B1302)</f>
        <v>10710.3074</v>
      </c>
      <c r="D1302" s="1">
        <f>value(EUR!$B1302)</f>
        <v>16376.519</v>
      </c>
      <c r="E1302" s="1">
        <f>value(GBP!$B1302)</f>
        <v>19535.2625</v>
      </c>
      <c r="F1302" s="1">
        <f>value(CHF!$B1302)</f>
        <v>13385.195</v>
      </c>
      <c r="G1302" s="1">
        <f>value(SGD!$B1302)</f>
        <v>9562.0315</v>
      </c>
      <c r="H1302" s="1">
        <f>value(MYR!$B1302)</f>
        <v>3639.253</v>
      </c>
      <c r="I1302" s="1">
        <f>value(THB!$B1302)</f>
        <v>370.689</v>
      </c>
      <c r="J1302" s="1">
        <f>value(VND!$B1302)</f>
        <v>0.53627939</v>
      </c>
      <c r="K1302" s="1">
        <f>value(CNY!$B1302)</f>
        <v>2017.01789</v>
      </c>
      <c r="L1302" s="1">
        <f>value(HKD!$B1302)</f>
        <v>1540.9525</v>
      </c>
      <c r="M1302" s="1">
        <f>value(TWD!$B1302)</f>
        <v>404.627</v>
      </c>
      <c r="N1302" s="1">
        <f>value(JPY!$B1302)</f>
        <v>116.154</v>
      </c>
      <c r="O1302" s="1">
        <f>value(SAR!$B1302)</f>
        <v>3195.881833</v>
      </c>
      <c r="P1302" s="1">
        <f>value(AED!$B1302)</f>
        <v>3098.47725</v>
      </c>
      <c r="Q1302" s="1">
        <f>value(KWD!$B1302)</f>
        <v>40288.21504</v>
      </c>
    </row>
    <row r="1303">
      <c r="A1303" s="4">
        <f>value(USD!A1303)</f>
        <v>41613.99861</v>
      </c>
      <c r="B1303" s="1">
        <f>value(USD!B1303)</f>
        <v>11975</v>
      </c>
      <c r="C1303" s="1">
        <f>value(AUD!$B1303)</f>
        <v>10765.29811</v>
      </c>
      <c r="D1303" s="1">
        <f>value(EUR!$B1303)</f>
        <v>16002.3634</v>
      </c>
      <c r="E1303" s="1">
        <f>value(GBP!$B1303)</f>
        <v>19088.8588</v>
      </c>
      <c r="F1303" s="1">
        <f>value(CHF!$B1303)</f>
        <v>13079.36</v>
      </c>
      <c r="G1303" s="1">
        <f>value(SGD!$B1303)</f>
        <v>9344.38526</v>
      </c>
      <c r="H1303" s="1">
        <f>value(MYR!$B1303)</f>
        <v>3556.06778</v>
      </c>
      <c r="I1303" s="1">
        <f>value(THB!$B1303)</f>
        <v>362.13478</v>
      </c>
      <c r="J1303" s="1">
        <f>value(VND!$B1303)</f>
        <v>0.5381325618</v>
      </c>
      <c r="K1303" s="1">
        <f>value(CNY!$B1303)</f>
        <v>1998.24732</v>
      </c>
      <c r="L1303" s="1">
        <f>value(HKD!$B1303)</f>
        <v>1505.76132</v>
      </c>
      <c r="M1303" s="1">
        <f>value(TWD!$B1303)</f>
        <v>395.3003</v>
      </c>
      <c r="N1303" s="1">
        <f>value(JPY!$B1303)</f>
        <v>113.51016</v>
      </c>
      <c r="O1303" s="1">
        <f>value(SAR!$B1303)</f>
        <v>3175.666566</v>
      </c>
      <c r="P1303" s="1">
        <f>value(AED!$B1303)</f>
        <v>3076.9949</v>
      </c>
      <c r="Q1303" s="1">
        <f>value(KWD!$B1303)</f>
        <v>40032.0091</v>
      </c>
    </row>
    <row r="1304">
      <c r="A1304" s="4">
        <f>value(USD!A1304)</f>
        <v>41614.99861</v>
      </c>
      <c r="B1304" s="1">
        <f>value(USD!B1304)</f>
        <v>11950</v>
      </c>
      <c r="C1304" s="1">
        <f>value(AUD!$B1304)</f>
        <v>10770.432</v>
      </c>
      <c r="D1304" s="1">
        <f>value(EUR!$B1304)</f>
        <v>16004.699</v>
      </c>
      <c r="E1304" s="1">
        <f>value(GBP!$B1304)</f>
        <v>19067.8384</v>
      </c>
      <c r="F1304" s="1">
        <f>value(CHF!$B1304)</f>
        <v>13084.0312</v>
      </c>
      <c r="G1304" s="1">
        <f>value(SGD!$B1304)</f>
        <v>9331.07234</v>
      </c>
      <c r="H1304" s="1">
        <f>value(MYR!$B1304)</f>
        <v>3556.41812</v>
      </c>
      <c r="I1304" s="1">
        <f>value(THB!$B1304)</f>
        <v>355.94544</v>
      </c>
      <c r="J1304" s="1">
        <f>value(VND!$B1304)</f>
        <v>0.5375475272</v>
      </c>
      <c r="K1304" s="1">
        <f>value(CNY!$B1304)</f>
        <v>1995.5637</v>
      </c>
      <c r="L1304" s="1">
        <f>value(HKD!$B1304)</f>
        <v>1505.8781</v>
      </c>
      <c r="M1304" s="1">
        <f>value(TWD!$B1304)</f>
        <v>395.41708</v>
      </c>
      <c r="N1304" s="1">
        <f>value(JPY!$B1304)</f>
        <v>113.148142</v>
      </c>
      <c r="O1304" s="1">
        <f>value(SAR!$B1304)</f>
        <v>3219.452256</v>
      </c>
      <c r="P1304" s="1">
        <f>value(AED!$B1304)</f>
        <v>3082.443943</v>
      </c>
      <c r="Q1304" s="1">
        <f>value(KWD!$B1304)</f>
        <v>40041.24979</v>
      </c>
    </row>
    <row r="1305">
      <c r="A1305" s="4">
        <f>value(USD!A1305)</f>
        <v>41615.99861</v>
      </c>
      <c r="B1305" s="1">
        <f>value(USD!B1305)</f>
        <v>11678</v>
      </c>
      <c r="C1305" s="1">
        <f>value(AUD!$B1305)</f>
        <v>10730.4588</v>
      </c>
      <c r="D1305" s="1">
        <f>value(EUR!$B1305)</f>
        <v>16228.6994</v>
      </c>
      <c r="E1305" s="1">
        <f>value(GBP!$B1305)</f>
        <v>19403.20689</v>
      </c>
      <c r="F1305" s="1">
        <f>value(CHF!$B1305)</f>
        <v>13268.3616</v>
      </c>
      <c r="G1305" s="1">
        <f>value(SGD!$B1305)</f>
        <v>9454.18016</v>
      </c>
      <c r="H1305" s="1">
        <f>value(MYR!$B1305)</f>
        <v>3621.62954</v>
      </c>
      <c r="I1305" s="1">
        <f>value(THB!$B1305)</f>
        <v>367.14804</v>
      </c>
      <c r="J1305" s="1">
        <f>value(VND!$B1305)</f>
        <v>0.5434885918</v>
      </c>
      <c r="K1305" s="1">
        <f>value(CNY!$B1305)</f>
        <v>2003.47357</v>
      </c>
      <c r="L1305" s="1">
        <f>value(HKD!$B1305)</f>
        <v>1523.52261</v>
      </c>
      <c r="M1305" s="1">
        <f>value(TWD!$B1305)</f>
        <v>400.4607</v>
      </c>
      <c r="N1305" s="1">
        <f>value(JPY!$B1305)</f>
        <v>114.373466</v>
      </c>
      <c r="O1305" s="1">
        <f>value(SAR!$B1305)</f>
        <v>3216.78317</v>
      </c>
      <c r="P1305" s="1">
        <f>value(AED!$B1305)</f>
        <v>3063.3859</v>
      </c>
      <c r="Q1305" s="1">
        <f>value(KWD!$B1305)</f>
        <v>40086.03005</v>
      </c>
    </row>
    <row r="1306">
      <c r="A1306" s="4">
        <f>value(USD!A1306)</f>
        <v>41616.99861</v>
      </c>
      <c r="B1306" s="1">
        <f>value(USD!B1306)</f>
        <v>11678</v>
      </c>
      <c r="C1306" s="1">
        <f>value(AUD!$B1306)</f>
        <v>10694.6196</v>
      </c>
      <c r="D1306" s="1">
        <f>value(EUR!$B1306)</f>
        <v>16283.584</v>
      </c>
      <c r="E1306" s="1">
        <f>value(GBP!$B1306)</f>
        <v>19469.2968</v>
      </c>
      <c r="F1306" s="1">
        <f>value(CHF!$B1306)</f>
        <v>13335.7346</v>
      </c>
      <c r="G1306" s="1">
        <f>value(SGD!$B1306)</f>
        <v>9474.53708</v>
      </c>
      <c r="H1306" s="1">
        <f>value(MYR!$B1306)</f>
        <v>3627.35768</v>
      </c>
      <c r="I1306" s="1">
        <f>value(THB!$B1306)</f>
        <v>368.86578</v>
      </c>
      <c r="J1306" s="1">
        <f>value(VND!$B1306)</f>
        <v>0.541924132</v>
      </c>
      <c r="K1306" s="1">
        <f>value(CNY!$B1306)</f>
        <v>2004.3855</v>
      </c>
      <c r="L1306" s="1">
        <f>value(HKD!$B1306)</f>
        <v>1526.23098</v>
      </c>
      <c r="M1306" s="1">
        <f>value(TWD!$B1306)</f>
        <v>400.93592</v>
      </c>
      <c r="N1306" s="1">
        <f>value(JPY!$B1306)</f>
        <v>115.038314</v>
      </c>
      <c r="O1306" s="1">
        <f>value(SAR!$B1306)</f>
        <v>3227.726425</v>
      </c>
      <c r="P1306" s="1">
        <f>value(AED!$B1306)</f>
        <v>3064.20244</v>
      </c>
      <c r="Q1306" s="1">
        <f>value(KWD!$B1306)</f>
        <v>40262.13536</v>
      </c>
    </row>
    <row r="1307">
      <c r="A1307" s="4">
        <f>value(USD!A1307)</f>
        <v>41617.99861</v>
      </c>
      <c r="B1307" s="1">
        <f>value(USD!B1307)</f>
        <v>11813</v>
      </c>
      <c r="C1307" s="1">
        <f>value(AUD!$B1307)</f>
        <v>10688.5296</v>
      </c>
      <c r="D1307" s="1">
        <f>value(EUR!$B1307)</f>
        <v>16373.70422</v>
      </c>
      <c r="E1307" s="1">
        <f>value(GBP!$B1307)</f>
        <v>19449.15598</v>
      </c>
      <c r="F1307" s="1">
        <f>value(CHF!$B1307)</f>
        <v>13391.2572</v>
      </c>
      <c r="G1307" s="1">
        <f>value(SGD!$B1307)</f>
        <v>9488.26518</v>
      </c>
      <c r="H1307" s="1">
        <f>value(MYR!$B1307)</f>
        <v>3633.4802</v>
      </c>
      <c r="I1307" s="1">
        <f>value(THB!$B1307)</f>
        <v>370.11848</v>
      </c>
      <c r="J1307" s="1">
        <f>value(VND!$B1307)</f>
        <v>0.5487175509</v>
      </c>
      <c r="K1307" s="1">
        <f>value(CNY!$B1307)</f>
        <v>2018.878095</v>
      </c>
      <c r="L1307" s="1">
        <f>value(HKD!$B1307)</f>
        <v>1531.6681</v>
      </c>
      <c r="M1307" s="1">
        <f>value(TWD!$B1307)</f>
        <v>402.54542</v>
      </c>
      <c r="N1307" s="1">
        <f>value(JPY!$B1307)</f>
        <v>115.881768</v>
      </c>
      <c r="O1307" s="1">
        <f>value(SAR!$B1307)</f>
        <v>3233.694139</v>
      </c>
      <c r="P1307" s="1">
        <f>value(AED!$B1307)</f>
        <v>3068.8295</v>
      </c>
      <c r="Q1307" s="1">
        <f>value(KWD!$B1307)</f>
        <v>40166.19828</v>
      </c>
    </row>
    <row r="1308">
      <c r="A1308" s="4">
        <f>value(USD!A1308)</f>
        <v>41618.99861</v>
      </c>
      <c r="B1308" s="1">
        <f>value(USD!B1308)</f>
        <v>11834</v>
      </c>
      <c r="C1308" s="1">
        <f>value(AUD!$B1308)</f>
        <v>10624.614</v>
      </c>
      <c r="D1308" s="1">
        <f>value(EUR!$B1308)</f>
        <v>16497.4251</v>
      </c>
      <c r="E1308" s="1">
        <f>value(GBP!$B1308)</f>
        <v>19603.12627</v>
      </c>
      <c r="F1308" s="1">
        <f>value(CHF!$B1308)</f>
        <v>13489.2758</v>
      </c>
      <c r="G1308" s="1">
        <f>value(SGD!$B1308)</f>
        <v>9546.76437</v>
      </c>
      <c r="H1308" s="1">
        <f>value(MYR!$B1308)</f>
        <v>3638.93673</v>
      </c>
      <c r="I1308" s="1">
        <f>value(THB!$B1308)</f>
        <v>373.1689</v>
      </c>
      <c r="J1308" s="1">
        <f>value(VND!$B1308)</f>
        <v>0.5480196082</v>
      </c>
      <c r="K1308" s="1">
        <f>value(CNY!$B1308)</f>
        <v>1995.1515</v>
      </c>
      <c r="L1308" s="1">
        <f>value(HKD!$B1308)</f>
        <v>1547.39104</v>
      </c>
      <c r="M1308" s="1">
        <f>value(TWD!$B1308)</f>
        <v>403.88634</v>
      </c>
      <c r="N1308" s="1">
        <f>value(JPY!$B1308)</f>
        <v>115.826347</v>
      </c>
      <c r="O1308" s="1">
        <f>value(SAR!$B1308)</f>
        <v>3236.331538</v>
      </c>
      <c r="P1308" s="1">
        <f>value(AED!$B1308)</f>
        <v>3085.1603</v>
      </c>
      <c r="Q1308" s="1">
        <f>value(KWD!$B1308)</f>
        <v>40219.54012</v>
      </c>
    </row>
    <row r="1309">
      <c r="A1309" s="4">
        <f>value(USD!A1309)</f>
        <v>41619.99861</v>
      </c>
      <c r="B1309" s="1">
        <f>value(USD!B1309)</f>
        <v>11878</v>
      </c>
      <c r="C1309" s="1">
        <f>value(AUD!$B1309)</f>
        <v>10737.7598</v>
      </c>
      <c r="D1309" s="1">
        <f>value(EUR!$B1309)</f>
        <v>16514.70695</v>
      </c>
      <c r="E1309" s="1">
        <f>value(GBP!$B1309)</f>
        <v>19587.3643</v>
      </c>
      <c r="F1309" s="1">
        <f>value(CHF!$B1309)</f>
        <v>13511.7598</v>
      </c>
      <c r="G1309" s="1">
        <f>value(SGD!$B1309)</f>
        <v>9573.1335</v>
      </c>
      <c r="H1309" s="1">
        <f>value(MYR!$B1309)</f>
        <v>3656.05961</v>
      </c>
      <c r="I1309" s="1">
        <f>value(THB!$B1309)</f>
        <v>374.63223</v>
      </c>
      <c r="J1309" s="1">
        <f>value(VND!$B1309)</f>
        <v>0.5397149616</v>
      </c>
      <c r="K1309" s="1">
        <f>value(CNY!$B1309)</f>
        <v>1995.22407</v>
      </c>
      <c r="L1309" s="1">
        <f>value(HKD!$B1309)</f>
        <v>1549.97024</v>
      </c>
      <c r="M1309" s="1">
        <f>value(TWD!$B1309)</f>
        <v>406.36239</v>
      </c>
      <c r="N1309" s="1">
        <f>value(JPY!$B1309)</f>
        <v>116.46411</v>
      </c>
      <c r="O1309" s="1">
        <f>value(SAR!$B1309)</f>
        <v>3236.369356</v>
      </c>
      <c r="P1309" s="1">
        <f>value(AED!$B1309)</f>
        <v>3078.3558</v>
      </c>
      <c r="Q1309" s="1">
        <f>value(KWD!$B1309)</f>
        <v>40166.19828</v>
      </c>
    </row>
    <row r="1310">
      <c r="A1310" s="4">
        <f>value(USD!A1310)</f>
        <v>41620.99861</v>
      </c>
      <c r="B1310" s="1">
        <f>value(USD!B1310)</f>
        <v>11999</v>
      </c>
      <c r="C1310" s="1">
        <f>value(AUD!$B1310)</f>
        <v>10838.89611</v>
      </c>
      <c r="D1310" s="1">
        <f>value(EUR!$B1310)</f>
        <v>16515.62394</v>
      </c>
      <c r="E1310" s="1">
        <f>value(GBP!$B1310)</f>
        <v>19587.73913</v>
      </c>
      <c r="F1310" s="1">
        <f>value(CHF!$B1310)</f>
        <v>13486.77798</v>
      </c>
      <c r="G1310" s="1">
        <f>value(SGD!$B1310)</f>
        <v>9573.316695</v>
      </c>
      <c r="H1310" s="1">
        <f>value(MYR!$B1310)</f>
        <v>3656.129573</v>
      </c>
      <c r="I1310" s="1">
        <f>value(THB!$B1310)</f>
        <v>368.6297841</v>
      </c>
      <c r="J1310" s="1">
        <f>value(VND!$B1310)</f>
        <v>0.5407935263</v>
      </c>
      <c r="K1310" s="1">
        <f>value(CNY!$B1310)</f>
        <v>1976.38576</v>
      </c>
      <c r="L1310" s="1">
        <f>value(HKD!$B1310)</f>
        <v>1549.879708</v>
      </c>
      <c r="M1310" s="1">
        <f>value(TWD!$B1310)</f>
        <v>406.3701663</v>
      </c>
      <c r="N1310" s="1">
        <f>value(JPY!$B1310)</f>
        <v>116.4663387</v>
      </c>
      <c r="O1310" s="1">
        <f>value(SAR!$B1310)</f>
        <v>3255.311118</v>
      </c>
      <c r="P1310" s="1">
        <f>value(AED!$B1310)</f>
        <v>3082.443943</v>
      </c>
      <c r="Q1310" s="1">
        <f>value(KWD!$B1310)</f>
        <v>40175.70507</v>
      </c>
    </row>
    <row r="1311">
      <c r="A1311" s="4">
        <f>value(USD!A1311)</f>
        <v>41621.99861</v>
      </c>
      <c r="B1311" s="1">
        <f>value(USD!B1311)</f>
        <v>12019</v>
      </c>
      <c r="C1311" s="1">
        <f>value(AUD!$B1311)</f>
        <v>10837.17365</v>
      </c>
      <c r="D1311" s="1">
        <f>value(EUR!$B1311)</f>
        <v>16470.79272</v>
      </c>
      <c r="E1311" s="1">
        <f>value(GBP!$B1311)</f>
        <v>19544.0364</v>
      </c>
      <c r="F1311" s="1">
        <f>value(CHF!$B1311)</f>
        <v>13473.3132</v>
      </c>
      <c r="G1311" s="1">
        <f>value(SGD!$B1311)</f>
        <v>9544.00644</v>
      </c>
      <c r="H1311" s="1">
        <f>value(MYR!$B1311)</f>
        <v>3646.1502</v>
      </c>
      <c r="I1311" s="1">
        <f>value(THB!$B1311)</f>
        <v>373.54608</v>
      </c>
      <c r="J1311" s="1">
        <f>value(VND!$B1311)</f>
        <v>0.5434885918</v>
      </c>
      <c r="K1311" s="1">
        <f>value(CNY!$B1311)</f>
        <v>1982.9394</v>
      </c>
      <c r="L1311" s="1">
        <f>value(HKD!$B1311)</f>
        <v>1546.09236</v>
      </c>
      <c r="M1311" s="1">
        <f>value(TWD!$B1311)</f>
        <v>405.1944</v>
      </c>
      <c r="N1311" s="1">
        <f>value(JPY!$B1311)</f>
        <v>116.04384</v>
      </c>
      <c r="O1311" s="1">
        <f>value(SAR!$B1311)</f>
        <v>3227.5541</v>
      </c>
      <c r="P1311" s="1">
        <f>value(AED!$B1311)</f>
        <v>3078.3558</v>
      </c>
      <c r="Q1311" s="1">
        <f>value(KWD!$B1311)</f>
        <v>40092.56994</v>
      </c>
    </row>
    <row r="1312">
      <c r="A1312" s="4">
        <f>value(USD!A1312)</f>
        <v>41622.99861</v>
      </c>
      <c r="B1312" s="1">
        <f>value(USD!B1312)</f>
        <v>12019.23</v>
      </c>
      <c r="C1312" s="1">
        <f>value(AUD!$B1312)</f>
        <v>10841.6913</v>
      </c>
      <c r="D1312" s="1">
        <f>value(EUR!$B1312)</f>
        <v>16462.464</v>
      </c>
      <c r="E1312" s="1">
        <f>value(GBP!$B1312)</f>
        <v>19496.5344</v>
      </c>
      <c r="F1312" s="1">
        <f>value(CHF!$B1312)</f>
        <v>13481.0352</v>
      </c>
      <c r="G1312" s="1">
        <f>value(SGD!$B1312)</f>
        <v>9526.57428</v>
      </c>
      <c r="H1312" s="1">
        <f>value(MYR!$B1312)</f>
        <v>3620.54568</v>
      </c>
      <c r="I1312" s="1">
        <f>value(THB!$B1312)</f>
        <v>373.39644</v>
      </c>
      <c r="J1312" s="1">
        <f>value(VND!$B1312)</f>
        <v>0.5409220519</v>
      </c>
      <c r="K1312" s="1">
        <f>value(CNY!$B1312)</f>
        <v>1969.9806</v>
      </c>
      <c r="L1312" s="1">
        <f>value(HKD!$B1312)</f>
        <v>1542.87744</v>
      </c>
      <c r="M1312" s="1">
        <f>value(TWD!$B1312)</f>
        <v>402.94752</v>
      </c>
      <c r="N1312" s="1">
        <f>value(JPY!$B1312)</f>
        <v>116.098656</v>
      </c>
      <c r="O1312" s="1">
        <f>value(SAR!$B1312)</f>
        <v>3225.866674</v>
      </c>
      <c r="P1312" s="1">
        <f>value(AED!$B1312)</f>
        <v>3074.2731</v>
      </c>
      <c r="Q1312" s="1">
        <f>value(KWD!$B1312)</f>
        <v>40131.03871</v>
      </c>
    </row>
    <row r="1313">
      <c r="A1313" s="4">
        <f>value(USD!A1313)</f>
        <v>41623.99861</v>
      </c>
      <c r="B1313" s="1">
        <f>value(USD!B1313)</f>
        <v>11988</v>
      </c>
      <c r="C1313" s="1">
        <f>value(AUD!$B1313)</f>
        <v>10848.72864</v>
      </c>
      <c r="D1313" s="1">
        <f>value(EUR!$B1313)</f>
        <v>16500.88944</v>
      </c>
      <c r="E1313" s="1">
        <f>value(GBP!$B1313)</f>
        <v>19501.80288</v>
      </c>
      <c r="F1313" s="1">
        <f>value(CHF!$B1313)</f>
        <v>13540.7216</v>
      </c>
      <c r="G1313" s="1">
        <f>value(SGD!$B1313)</f>
        <v>9529.31728</v>
      </c>
      <c r="H1313" s="1">
        <f>value(MYR!$B1313)</f>
        <v>3628.7552</v>
      </c>
      <c r="I1313" s="1">
        <f>value(THB!$B1313)</f>
        <v>372.58256</v>
      </c>
      <c r="J1313" s="1">
        <f>value(VND!$B1313)</f>
        <v>0.5371822173</v>
      </c>
      <c r="K1313" s="1">
        <f>value(CNY!$B1313)</f>
        <v>1978.60487</v>
      </c>
      <c r="L1313" s="1">
        <f>value(HKD!$B1313)</f>
        <v>1545.69632</v>
      </c>
      <c r="M1313" s="1">
        <f>value(TWD!$B1313)</f>
        <v>403.8608</v>
      </c>
      <c r="N1313" s="1">
        <f>value(JPY!$B1313)</f>
        <v>116.736144</v>
      </c>
      <c r="O1313" s="1">
        <f>value(SAR!$B1313)</f>
        <v>3240.89882</v>
      </c>
      <c r="P1313" s="1">
        <f>value(AED!$B1313)</f>
        <v>3064.7468</v>
      </c>
      <c r="Q1313" s="1">
        <f>value(KWD!$B1313)</f>
        <v>40455.72544</v>
      </c>
    </row>
    <row r="1314">
      <c r="A1314" s="4">
        <f>value(USD!A1314)</f>
        <v>41624.99861</v>
      </c>
      <c r="B1314" s="1">
        <f>value(USD!B1314)</f>
        <v>11964</v>
      </c>
      <c r="C1314" s="1">
        <f>value(AUD!$B1314)</f>
        <v>10837.10932</v>
      </c>
      <c r="D1314" s="1">
        <f>value(EUR!$B1314)</f>
        <v>16430.0136</v>
      </c>
      <c r="E1314" s="1">
        <f>value(GBP!$B1314)</f>
        <v>19678.659</v>
      </c>
      <c r="F1314" s="1">
        <f>value(CHF!$B1314)</f>
        <v>13428.2148</v>
      </c>
      <c r="G1314" s="1">
        <f>value(SGD!$B1314)</f>
        <v>9513.62412</v>
      </c>
      <c r="H1314" s="1">
        <f>value(MYR!$B1314)</f>
        <v>3602.27868</v>
      </c>
      <c r="I1314" s="1">
        <f>value(THB!$B1314)</f>
        <v>371.05068</v>
      </c>
      <c r="J1314" s="1">
        <f>value(VND!$B1314)</f>
        <v>0.5448126125</v>
      </c>
      <c r="K1314" s="1">
        <f>value(CNY!$B1314)</f>
        <v>1971.995066</v>
      </c>
      <c r="L1314" s="1">
        <f>value(HKD!$B1314)</f>
        <v>1549.30776</v>
      </c>
      <c r="M1314" s="1">
        <f>value(TWD!$B1314)</f>
        <v>402.402</v>
      </c>
      <c r="N1314" s="1">
        <f>value(JPY!$B1314)</f>
        <v>115.183068</v>
      </c>
      <c r="O1314" s="1">
        <f>value(SAR!$B1314)</f>
        <v>3239.740759</v>
      </c>
      <c r="P1314" s="1">
        <f>value(AED!$B1314)</f>
        <v>3067.4686</v>
      </c>
      <c r="Q1314" s="1">
        <f>value(KWD!$B1314)</f>
        <v>40623.88149</v>
      </c>
    </row>
    <row r="1315">
      <c r="A1315" s="4">
        <f>value(USD!A1315)</f>
        <v>41625.99861</v>
      </c>
      <c r="B1315" s="1">
        <f>value(USD!B1315)</f>
        <v>11984</v>
      </c>
      <c r="C1315" s="1">
        <f>value(AUD!$B1315)</f>
        <v>10828.7272</v>
      </c>
      <c r="D1315" s="1">
        <f>value(EUR!$B1315)</f>
        <v>16545.9172</v>
      </c>
      <c r="E1315" s="1">
        <f>value(GBP!$B1315)</f>
        <v>19827.4716</v>
      </c>
      <c r="F1315" s="1">
        <f>value(CHF!$B1315)</f>
        <v>13486.1222</v>
      </c>
      <c r="G1315" s="1">
        <f>value(SGD!$B1315)</f>
        <v>9563.5256</v>
      </c>
      <c r="H1315" s="1">
        <f>value(MYR!$B1315)</f>
        <v>3628.00802</v>
      </c>
      <c r="I1315" s="1">
        <f>value(THB!$B1315)</f>
        <v>372.74968</v>
      </c>
      <c r="J1315" s="1">
        <f>value(VND!$B1315)</f>
        <v>0.5347301372</v>
      </c>
      <c r="K1315" s="1">
        <f>value(CNY!$B1315)</f>
        <v>1976.80472</v>
      </c>
      <c r="L1315" s="1">
        <f>value(HKD!$B1315)</f>
        <v>1562.85846</v>
      </c>
      <c r="M1315" s="1">
        <f>value(TWD!$B1315)</f>
        <v>404.37766</v>
      </c>
      <c r="N1315" s="1">
        <f>value(JPY!$B1315)</f>
        <v>116.199502</v>
      </c>
      <c r="O1315" s="1">
        <f>value(SAR!$B1315)</f>
        <v>3248.155853</v>
      </c>
      <c r="P1315" s="1">
        <f>value(AED!$B1315)</f>
        <v>3087.8821</v>
      </c>
      <c r="Q1315" s="1">
        <f>value(KWD!$B1315)</f>
        <v>40697.03656</v>
      </c>
    </row>
    <row r="1316">
      <c r="A1316" s="4">
        <f>value(USD!A1316)</f>
        <v>41626.99861</v>
      </c>
      <c r="B1316" s="1">
        <f>value(USD!B1316)</f>
        <v>12012</v>
      </c>
      <c r="C1316" s="1">
        <f>value(AUD!$B1316)</f>
        <v>10792.40468</v>
      </c>
      <c r="D1316" s="1">
        <f>value(EUR!$B1316)</f>
        <v>16614.3663</v>
      </c>
      <c r="E1316" s="1">
        <f>value(GBP!$B1316)</f>
        <v>19851.9255</v>
      </c>
      <c r="F1316" s="1">
        <f>value(CHF!$B1316)</f>
        <v>13561.5327</v>
      </c>
      <c r="G1316" s="1">
        <f>value(SGD!$B1316)</f>
        <v>9596.0088</v>
      </c>
      <c r="H1316" s="1">
        <f>value(MYR!$B1316)</f>
        <v>3637.75749</v>
      </c>
      <c r="I1316" s="1">
        <f>value(THB!$B1316)</f>
        <v>372.36792</v>
      </c>
      <c r="J1316" s="1">
        <f>value(VND!$B1316)</f>
        <v>0.5350760443</v>
      </c>
      <c r="K1316" s="1">
        <f>value(CNY!$B1316)</f>
        <v>1984.41026</v>
      </c>
      <c r="L1316" s="1">
        <f>value(HKD!$B1316)</f>
        <v>1567.12935</v>
      </c>
      <c r="M1316" s="1">
        <f>value(TWD!$B1316)</f>
        <v>406.03173</v>
      </c>
      <c r="N1316" s="1">
        <f>value(JPY!$B1316)</f>
        <v>116.6688</v>
      </c>
      <c r="O1316" s="1">
        <f>value(SAR!$B1316)</f>
        <v>3242.853711</v>
      </c>
      <c r="P1316" s="1">
        <f>value(AED!$B1316)</f>
        <v>3101.4911</v>
      </c>
      <c r="Q1316" s="1">
        <f>value(KWD!$B1316)</f>
        <v>40623.88149</v>
      </c>
    </row>
    <row r="1317">
      <c r="A1317" s="4">
        <f>value(USD!A1317)</f>
        <v>41627.99861</v>
      </c>
      <c r="B1317" s="1">
        <f>value(USD!B1317)</f>
        <v>12118</v>
      </c>
      <c r="C1317" s="1">
        <f>value(AUD!$B1317)</f>
        <v>10766.18998</v>
      </c>
      <c r="D1317" s="1">
        <f>value(EUR!$B1317)</f>
        <v>16611.16728</v>
      </c>
      <c r="E1317" s="1">
        <f>value(GBP!$B1317)</f>
        <v>19848.10311</v>
      </c>
      <c r="F1317" s="1">
        <f>value(CHF!$B1317)</f>
        <v>13557.70642</v>
      </c>
      <c r="G1317" s="1">
        <f>value(SGD!$B1317)</f>
        <v>9594.161136</v>
      </c>
      <c r="H1317" s="1">
        <f>value(MYR!$B1317)</f>
        <v>3636.814044</v>
      </c>
      <c r="I1317" s="1">
        <f>value(THB!$B1317)</f>
        <v>372.2962224</v>
      </c>
      <c r="J1317" s="1">
        <f>value(VND!$B1317)</f>
        <v>0.5419370242</v>
      </c>
      <c r="K1317" s="1">
        <f>value(CNY!$B1317)</f>
        <v>1977.9903</v>
      </c>
      <c r="L1317" s="1">
        <f>value(HKD!$B1317)</f>
        <v>1566.7061</v>
      </c>
      <c r="M1317" s="1">
        <f>value(TWD!$B1317)</f>
        <v>406.0750572</v>
      </c>
      <c r="N1317" s="1">
        <f>value(JPY!$B1317)</f>
        <v>116.7678426</v>
      </c>
      <c r="O1317" s="1">
        <f>value(SAR!$B1317)</f>
        <v>3227.640323</v>
      </c>
      <c r="P1317" s="1">
        <f>value(AED!$B1317)</f>
        <v>3107.076233</v>
      </c>
      <c r="Q1317" s="1">
        <f>value(KWD!$B1317)</f>
        <v>40727.94168</v>
      </c>
    </row>
    <row r="1318">
      <c r="A1318" s="4">
        <f>value(USD!A1318)</f>
        <v>41628.99861</v>
      </c>
      <c r="B1318" s="1">
        <f>value(USD!B1318)</f>
        <v>12153</v>
      </c>
      <c r="C1318" s="1">
        <f>value(AUD!$B1318)</f>
        <v>10770.34502</v>
      </c>
      <c r="D1318" s="1">
        <f>value(EUR!$B1318)</f>
        <v>16620.4428</v>
      </c>
      <c r="E1318" s="1">
        <f>value(GBP!$B1318)</f>
        <v>19842.2031</v>
      </c>
      <c r="F1318" s="1">
        <f>value(CHF!$B1318)</f>
        <v>13568.8245</v>
      </c>
      <c r="G1318" s="1">
        <f>value(SGD!$B1318)</f>
        <v>9588.10935</v>
      </c>
      <c r="H1318" s="1">
        <f>value(MYR!$B1318)</f>
        <v>3638.97279</v>
      </c>
      <c r="I1318" s="1">
        <f>value(THB!$B1318)</f>
        <v>367.0206</v>
      </c>
      <c r="J1318" s="1">
        <f>value(VND!$B1318)</f>
        <v>0.5387357401</v>
      </c>
      <c r="K1318" s="1">
        <f>value(CNY!$B1318)</f>
        <v>1968.25707</v>
      </c>
      <c r="L1318" s="1">
        <f>value(HKD!$B1318)</f>
        <v>1567.12935</v>
      </c>
      <c r="M1318" s="1">
        <f>value(TWD!$B1318)</f>
        <v>406.27479</v>
      </c>
      <c r="N1318" s="1">
        <f>value(JPY!$B1318)</f>
        <v>116.79033</v>
      </c>
      <c r="O1318" s="1">
        <f>value(SAR!$B1318)</f>
        <v>3197.491316</v>
      </c>
      <c r="P1318" s="1">
        <f>value(AED!$B1318)</f>
        <v>3101.4911</v>
      </c>
      <c r="Q1318" s="1">
        <f>value(KWD!$B1318)</f>
        <v>40779.25515</v>
      </c>
    </row>
    <row r="1319">
      <c r="A1319" s="4">
        <f>value(USD!A1319)</f>
        <v>41629.99861</v>
      </c>
      <c r="B1319" s="1">
        <f>value(USD!B1319)</f>
        <v>12150.66</v>
      </c>
      <c r="C1319" s="1">
        <f>value(AUD!$B1319)</f>
        <v>10749.3126</v>
      </c>
      <c r="D1319" s="1">
        <f>value(EUR!$B1319)</f>
        <v>16638.9606</v>
      </c>
      <c r="E1319" s="1">
        <f>value(GBP!$B1319)</f>
        <v>19856.21502</v>
      </c>
      <c r="F1319" s="1">
        <f>value(CHF!$B1319)</f>
        <v>13590.0636</v>
      </c>
      <c r="G1319" s="1">
        <f>value(SGD!$B1319)</f>
        <v>9581.79654</v>
      </c>
      <c r="H1319" s="1">
        <f>value(MYR!$B1319)</f>
        <v>3630.37389</v>
      </c>
      <c r="I1319" s="1">
        <f>value(THB!$B1319)</f>
        <v>371.21232</v>
      </c>
      <c r="J1319" s="1">
        <f>value(VND!$B1319)</f>
        <v>0.5374198034</v>
      </c>
      <c r="K1319" s="1">
        <f>value(CNY!$B1319)</f>
        <v>1958.47116</v>
      </c>
      <c r="L1319" s="1">
        <f>value(HKD!$B1319)</f>
        <v>1566.47712</v>
      </c>
      <c r="M1319" s="1">
        <f>value(TWD!$B1319)</f>
        <v>405.58833</v>
      </c>
      <c r="N1319" s="1">
        <f>value(JPY!$B1319)</f>
        <v>116.562612</v>
      </c>
      <c r="O1319" s="1">
        <f>value(SAR!$B1319)</f>
        <v>3208.242093</v>
      </c>
      <c r="P1319" s="1">
        <f>value(AED!$B1319)</f>
        <v>3112.65048</v>
      </c>
      <c r="Q1319" s="1">
        <f>value(KWD!$B1319)</f>
        <v>40621.8728</v>
      </c>
    </row>
    <row r="1320">
      <c r="A1320" s="4">
        <f>value(USD!A1320)</f>
        <v>41630.99861</v>
      </c>
      <c r="B1320" s="1">
        <f>value(USD!B1320)</f>
        <v>12153</v>
      </c>
      <c r="C1320" s="1">
        <f>value(AUD!$B1320)</f>
        <v>10881.6008</v>
      </c>
      <c r="D1320" s="1">
        <f>value(EUR!$B1320)</f>
        <v>16618.22104</v>
      </c>
      <c r="E1320" s="1">
        <f>value(GBP!$B1320)</f>
        <v>19872.9132</v>
      </c>
      <c r="F1320" s="1">
        <f>value(CHF!$B1320)</f>
        <v>13554.7384</v>
      </c>
      <c r="G1320" s="1">
        <f>value(SGD!$B1320)</f>
        <v>9575.17508</v>
      </c>
      <c r="H1320" s="1">
        <f>value(MYR!$B1320)</f>
        <v>3624.11284</v>
      </c>
      <c r="I1320" s="1">
        <f>value(THB!$B1320)</f>
        <v>371.60732</v>
      </c>
      <c r="J1320" s="1">
        <f>value(VND!$B1320)</f>
        <v>0.5446030204</v>
      </c>
      <c r="K1320" s="1">
        <f>value(CNY!$B1320)</f>
        <v>1912.43668</v>
      </c>
      <c r="L1320" s="1">
        <f>value(HKD!$B1320)</f>
        <v>1566.36312</v>
      </c>
      <c r="M1320" s="1">
        <f>value(TWD!$B1320)</f>
        <v>404.40692</v>
      </c>
      <c r="N1320" s="1">
        <f>value(JPY!$B1320)</f>
        <v>116.462876</v>
      </c>
      <c r="O1320" s="1">
        <f>value(SAR!$B1320)</f>
        <v>3186.804387</v>
      </c>
      <c r="P1320" s="1">
        <f>value(AED!$B1320)</f>
        <v>3116.461</v>
      </c>
      <c r="Q1320" s="1">
        <f>value(KWD!$B1320)</f>
        <v>40715.03814</v>
      </c>
    </row>
    <row r="1321">
      <c r="A1321" s="4">
        <f>value(USD!A1321)</f>
        <v>41631.99861</v>
      </c>
      <c r="B1321" s="1">
        <f>value(USD!B1321)</f>
        <v>12147</v>
      </c>
      <c r="C1321" s="1">
        <f>value(AUD!$B1321)</f>
        <v>10833.9938</v>
      </c>
      <c r="D1321" s="1">
        <f>value(EUR!$B1321)</f>
        <v>16600.36348</v>
      </c>
      <c r="E1321" s="1">
        <f>value(GBP!$B1321)</f>
        <v>19861.98</v>
      </c>
      <c r="F1321" s="1">
        <f>value(CHF!$B1321)</f>
        <v>13546.2348</v>
      </c>
      <c r="G1321" s="1">
        <f>value(SGD!$B1321)</f>
        <v>9581.37056</v>
      </c>
      <c r="H1321" s="1">
        <f>value(MYR!$B1321)</f>
        <v>3620.83288</v>
      </c>
      <c r="I1321" s="1">
        <f>value(THB!$B1321)</f>
        <v>371.24288</v>
      </c>
      <c r="J1321" s="1">
        <f>value(VND!$B1321)</f>
        <v>0.5438807314</v>
      </c>
      <c r="K1321" s="1">
        <f>value(CNY!$B1321)</f>
        <v>1916.045362</v>
      </c>
      <c r="L1321" s="1">
        <f>value(HKD!$B1321)</f>
        <v>1566.4846</v>
      </c>
      <c r="M1321" s="1">
        <f>value(TWD!$B1321)</f>
        <v>404.16396</v>
      </c>
      <c r="N1321" s="1">
        <f>value(JPY!$B1321)</f>
        <v>116.13488</v>
      </c>
      <c r="O1321" s="1">
        <f>value(SAR!$B1321)</f>
        <v>3200.351913</v>
      </c>
      <c r="P1321" s="1">
        <f>value(AED!$B1321)</f>
        <v>3104.2129</v>
      </c>
      <c r="Q1321" s="1">
        <f>value(KWD!$B1321)</f>
        <v>40715.03814</v>
      </c>
    </row>
    <row r="1322">
      <c r="A1322" s="4">
        <f>value(USD!A1322)</f>
        <v>41632.99861</v>
      </c>
      <c r="B1322" s="1">
        <f>value(USD!B1322)</f>
        <v>12148</v>
      </c>
      <c r="C1322" s="1">
        <f>value(AUD!$B1322)</f>
        <v>10808.82674</v>
      </c>
      <c r="D1322" s="1">
        <f>value(EUR!$B1322)</f>
        <v>16634.8638</v>
      </c>
      <c r="E1322" s="1">
        <f>value(GBP!$B1322)</f>
        <v>19937.41908</v>
      </c>
      <c r="F1322" s="1">
        <f>value(CHF!$B1322)</f>
        <v>13552.3088</v>
      </c>
      <c r="G1322" s="1">
        <f>value(SGD!$B1322)</f>
        <v>9569.22256</v>
      </c>
      <c r="H1322" s="1">
        <f>value(MYR!$B1322)</f>
        <v>3628.24316</v>
      </c>
      <c r="I1322" s="1">
        <f>value(THB!$B1322)</f>
        <v>371.97176</v>
      </c>
      <c r="J1322" s="1">
        <f>value(VND!$B1322)</f>
        <v>0.536707045</v>
      </c>
      <c r="K1322" s="1">
        <f>value(CNY!$B1322)</f>
        <v>1926.55396</v>
      </c>
      <c r="L1322" s="1">
        <f>value(HKD!$B1322)</f>
        <v>1566.36312</v>
      </c>
      <c r="M1322" s="1">
        <f>value(TWD!$B1322)</f>
        <v>404.89284</v>
      </c>
      <c r="N1322" s="1">
        <f>value(JPY!$B1322)</f>
        <v>115.794736</v>
      </c>
      <c r="O1322" s="1">
        <f>value(SAR!$B1322)</f>
        <v>3207.351717</v>
      </c>
      <c r="P1322" s="1">
        <f>value(AED!$B1322)</f>
        <v>3115.1001</v>
      </c>
      <c r="Q1322" s="1">
        <f>value(KWD!$B1322)</f>
        <v>40803.6918</v>
      </c>
    </row>
    <row r="1323">
      <c r="A1323" s="4">
        <f>value(USD!A1323)</f>
        <v>41633.99861</v>
      </c>
      <c r="B1323" s="1">
        <f>value(USD!B1323)</f>
        <v>12148</v>
      </c>
      <c r="C1323" s="1">
        <f>value(AUD!$B1323)</f>
        <v>10774.4106</v>
      </c>
      <c r="D1323" s="1">
        <f>value(EUR!$B1323)</f>
        <v>16684.3222</v>
      </c>
      <c r="E1323" s="1">
        <f>value(GBP!$B1323)</f>
        <v>20008.8018</v>
      </c>
      <c r="F1323" s="1">
        <f>value(CHF!$B1323)</f>
        <v>13612.3962</v>
      </c>
      <c r="G1323" s="1">
        <f>value(SGD!$B1323)</f>
        <v>9565.10334</v>
      </c>
      <c r="H1323" s="1">
        <f>value(MYR!$B1323)</f>
        <v>3597.79602</v>
      </c>
      <c r="I1323" s="1">
        <f>value(THB!$B1323)</f>
        <v>369.7239</v>
      </c>
      <c r="J1323" s="1">
        <f>value(VND!$B1323)</f>
        <v>0.5350439422</v>
      </c>
      <c r="K1323" s="1">
        <f>value(CNY!$B1323)</f>
        <v>1917.83559</v>
      </c>
      <c r="L1323" s="1">
        <f>value(HKD!$B1323)</f>
        <v>1565.58948</v>
      </c>
      <c r="M1323" s="1">
        <f>value(TWD!$B1323)</f>
        <v>401.65736</v>
      </c>
      <c r="N1323" s="1">
        <f>value(JPY!$B1323)</f>
        <v>115.47042</v>
      </c>
      <c r="O1323" s="1">
        <f>value(SAR!$B1323)</f>
        <v>3202.487011</v>
      </c>
      <c r="P1323" s="1">
        <f>value(AED!$B1323)</f>
        <v>3115.1001</v>
      </c>
      <c r="Q1323" s="1">
        <f>value(KWD!$B1323)</f>
        <v>40715.03814</v>
      </c>
    </row>
    <row r="1324">
      <c r="A1324" s="4">
        <f>value(USD!A1324)</f>
        <v>41634.99861</v>
      </c>
      <c r="B1324" s="1">
        <f>value(USD!B1324)</f>
        <v>12148</v>
      </c>
      <c r="C1324" s="1">
        <f>value(AUD!$B1324)</f>
        <v>10830.72708</v>
      </c>
      <c r="D1324" s="1">
        <f>value(EUR!$B1324)</f>
        <v>16696.2219</v>
      </c>
      <c r="E1324" s="1">
        <f>value(GBP!$B1324)</f>
        <v>20023.07261</v>
      </c>
      <c r="F1324" s="1">
        <f>value(CHF!$B1324)</f>
        <v>13623.31999</v>
      </c>
      <c r="G1324" s="1">
        <f>value(SGD!$B1324)</f>
        <v>9571.925428</v>
      </c>
      <c r="H1324" s="1">
        <f>value(MYR!$B1324)</f>
        <v>3599.633025</v>
      </c>
      <c r="I1324" s="1">
        <f>value(THB!$B1324)</f>
        <v>369.8660904</v>
      </c>
      <c r="J1324" s="1">
        <f>value(VND!$B1324)</f>
        <v>0.5355191144</v>
      </c>
      <c r="K1324" s="1">
        <f>value(CNY!$B1324)</f>
        <v>1951.232</v>
      </c>
      <c r="L1324" s="1">
        <f>value(HKD!$B1324)</f>
        <v>1566.7061</v>
      </c>
      <c r="M1324" s="1">
        <f>value(TWD!$B1324)</f>
        <v>401.9438328</v>
      </c>
      <c r="N1324" s="1">
        <f>value(JPY!$B1324)</f>
        <v>115.5527766</v>
      </c>
      <c r="O1324" s="1">
        <f>value(SAR!$B1324)</f>
        <v>3209.672174</v>
      </c>
      <c r="P1324" s="1">
        <f>value(AED!$B1324)</f>
        <v>3122.13033</v>
      </c>
      <c r="Q1324" s="1">
        <f>value(KWD!$B1324)</f>
        <v>40679.46362</v>
      </c>
    </row>
    <row r="1325">
      <c r="A1325" s="4">
        <f>value(USD!A1325)</f>
        <v>41635.99861</v>
      </c>
      <c r="B1325" s="1">
        <f>value(USD!B1325)</f>
        <v>12142</v>
      </c>
      <c r="C1325" s="1">
        <f>value(AUD!$B1325)</f>
        <v>10828.08043</v>
      </c>
      <c r="D1325" s="1">
        <f>value(EUR!$B1325)</f>
        <v>16693.30728</v>
      </c>
      <c r="E1325" s="1">
        <f>value(GBP!$B1325)</f>
        <v>20008.92322</v>
      </c>
      <c r="F1325" s="1">
        <f>value(CHF!$B1325)</f>
        <v>13617.253</v>
      </c>
      <c r="G1325" s="1">
        <f>value(SGD!$B1325)</f>
        <v>9562.79636</v>
      </c>
      <c r="H1325" s="1">
        <f>value(MYR!$B1325)</f>
        <v>3599.01022</v>
      </c>
      <c r="I1325" s="1">
        <f>value(THB!$B1325)</f>
        <v>369.84532</v>
      </c>
      <c r="J1325" s="1">
        <f>value(VND!$B1325)</f>
        <v>0.5390829062</v>
      </c>
      <c r="K1325" s="1">
        <f>value(CNY!$B1325)</f>
        <v>1919.99621</v>
      </c>
      <c r="L1325" s="1">
        <f>value(HKD!$B1325)</f>
        <v>1565.7109</v>
      </c>
      <c r="M1325" s="1">
        <f>value(TWD!$B1325)</f>
        <v>401.9002</v>
      </c>
      <c r="N1325" s="1">
        <f>value(JPY!$B1325)</f>
        <v>115.22758</v>
      </c>
      <c r="O1325" s="1">
        <f>value(SAR!$B1325)</f>
        <v>3200.149464</v>
      </c>
      <c r="P1325" s="1">
        <f>value(AED!$B1325)</f>
        <v>3115.1001</v>
      </c>
      <c r="Q1325" s="1">
        <f>value(KWD!$B1325)</f>
        <v>41093.92846</v>
      </c>
    </row>
    <row r="1326">
      <c r="A1326" s="4">
        <f>value(USD!A1326)</f>
        <v>41636.99861</v>
      </c>
      <c r="B1326" s="1">
        <f>value(USD!B1326)</f>
        <v>12150.66</v>
      </c>
      <c r="C1326" s="1">
        <f>value(AUD!$B1326)</f>
        <v>10852.71536</v>
      </c>
      <c r="D1326" s="1">
        <f>value(EUR!$B1326)</f>
        <v>16853.144</v>
      </c>
      <c r="E1326" s="1">
        <f>value(GBP!$B1326)</f>
        <v>20132.2128</v>
      </c>
      <c r="F1326" s="1">
        <f>value(CHF!$B1326)</f>
        <v>13753.5328</v>
      </c>
      <c r="G1326" s="1">
        <f>value(SGD!$B1326)</f>
        <v>9631.01328</v>
      </c>
      <c r="H1326" s="1">
        <f>value(MYR!$B1326)</f>
        <v>3652.0232</v>
      </c>
      <c r="I1326" s="1">
        <f>value(THB!$B1326)</f>
        <v>371.48944</v>
      </c>
      <c r="J1326" s="1">
        <f>value(VND!$B1326)</f>
        <v>0.5415874512</v>
      </c>
      <c r="K1326" s="1">
        <f>value(CNY!$B1326)</f>
        <v>1933.15557</v>
      </c>
      <c r="L1326" s="1">
        <f>value(HKD!$B1326)</f>
        <v>1574.09952</v>
      </c>
      <c r="M1326" s="1">
        <f>value(TWD!$B1326)</f>
        <v>407.86928</v>
      </c>
      <c r="N1326" s="1">
        <f>value(JPY!$B1326)</f>
        <v>116.34224</v>
      </c>
      <c r="O1326" s="1">
        <f>value(SAR!$B1326)</f>
        <v>3184.487222</v>
      </c>
      <c r="P1326" s="1">
        <f>value(AED!$B1326)</f>
        <v>3112.3783</v>
      </c>
      <c r="Q1326" s="1">
        <f>value(KWD!$B1326)</f>
        <v>41377.34426</v>
      </c>
    </row>
    <row r="1327">
      <c r="A1327" s="4">
        <f>value(USD!A1327)</f>
        <v>41637.99861</v>
      </c>
      <c r="B1327" s="1">
        <f>value(USD!B1327)</f>
        <v>12142</v>
      </c>
      <c r="C1327" s="1">
        <f>value(AUD!$B1327)</f>
        <v>10874.8079</v>
      </c>
      <c r="D1327" s="1">
        <f>value(EUR!$B1327)</f>
        <v>16706.18622</v>
      </c>
      <c r="E1327" s="1">
        <f>value(GBP!$B1327)</f>
        <v>20130.0006</v>
      </c>
      <c r="F1327" s="1">
        <f>value(CHF!$B1327)</f>
        <v>13607.2336</v>
      </c>
      <c r="G1327" s="1">
        <f>value(SGD!$B1327)</f>
        <v>9626.33966</v>
      </c>
      <c r="H1327" s="1">
        <f>value(MYR!$B1327)</f>
        <v>3637.55202</v>
      </c>
      <c r="I1327" s="1">
        <f>value(THB!$B1327)</f>
        <v>371.30532</v>
      </c>
      <c r="J1327" s="1">
        <f>value(VND!$B1327)</f>
        <v>0.5482958616</v>
      </c>
      <c r="K1327" s="1">
        <f>value(CNY!$B1327)</f>
        <v>1917.55296</v>
      </c>
      <c r="L1327" s="1">
        <f>value(HKD!$B1327)</f>
        <v>1567.7741</v>
      </c>
      <c r="M1327" s="1">
        <f>value(TWD!$B1327)</f>
        <v>406.92826</v>
      </c>
      <c r="N1327" s="1">
        <f>value(JPY!$B1327)</f>
        <v>115.501</v>
      </c>
      <c r="O1327" s="1">
        <f>value(SAR!$B1327)</f>
        <v>3169.553456</v>
      </c>
      <c r="P1327" s="1">
        <f>value(AED!$B1327)</f>
        <v>3140.9572</v>
      </c>
      <c r="Q1327" s="1">
        <f>value(KWD!$B1327)</f>
        <v>41307.44259</v>
      </c>
    </row>
    <row r="1328">
      <c r="A1328" s="4">
        <f>value(USD!A1328)</f>
        <v>41638.99861</v>
      </c>
      <c r="B1328" s="1">
        <f>value(USD!B1328)</f>
        <v>12208</v>
      </c>
      <c r="C1328" s="1">
        <f>value(AUD!$B1328)</f>
        <v>10757.6366</v>
      </c>
      <c r="D1328" s="1">
        <f>value(EUR!$B1328)</f>
        <v>16733.0554</v>
      </c>
      <c r="E1328" s="1">
        <f>value(GBP!$B1328)</f>
        <v>20151.885</v>
      </c>
      <c r="F1328" s="1">
        <f>value(CHF!$B1328)</f>
        <v>13632.7654</v>
      </c>
      <c r="G1328" s="1">
        <f>value(SGD!$B1328)</f>
        <v>9614.30324</v>
      </c>
      <c r="H1328" s="1">
        <f>value(MYR!$B1328)</f>
        <v>3643.1447</v>
      </c>
      <c r="I1328" s="1">
        <f>value(THB!$B1328)</f>
        <v>371.79164</v>
      </c>
      <c r="J1328" s="1">
        <f>value(VND!$B1328)</f>
        <v>0.5473102709</v>
      </c>
      <c r="K1328" s="1">
        <f>value(CNY!$B1328)</f>
        <v>1919.648067</v>
      </c>
      <c r="L1328" s="1">
        <f>value(HKD!$B1328)</f>
        <v>1567.89568</v>
      </c>
      <c r="M1328" s="1">
        <f>value(TWD!$B1328)</f>
        <v>407.65774</v>
      </c>
      <c r="N1328" s="1">
        <f>value(JPY!$B1328)</f>
        <v>115.403736</v>
      </c>
      <c r="O1328" s="1">
        <f>value(SAR!$B1328)</f>
        <v>3097.163232</v>
      </c>
      <c r="P1328" s="1">
        <f>value(AED!$B1328)</f>
        <v>3162.7316</v>
      </c>
      <c r="Q1328" s="1">
        <f>value(KWD!$B1328)</f>
        <v>41204.97319</v>
      </c>
    </row>
    <row r="1329">
      <c r="A1329" s="4">
        <f>value(USD!A1329)</f>
        <v>41639.99861</v>
      </c>
      <c r="B1329" s="1">
        <f>value(USD!B1329)</f>
        <v>12158</v>
      </c>
      <c r="C1329" s="1">
        <f>value(AUD!$B1329)</f>
        <v>10734.52068</v>
      </c>
      <c r="D1329" s="1">
        <f>value(EUR!$B1329)</f>
        <v>16534.84158</v>
      </c>
      <c r="E1329" s="1">
        <f>value(GBP!$B1329)</f>
        <v>19901.01288</v>
      </c>
      <c r="F1329" s="1">
        <f>value(CHF!$B1329)</f>
        <v>13455.0036</v>
      </c>
      <c r="G1329" s="1">
        <f>value(SGD!$B1329)</f>
        <v>9550.05126</v>
      </c>
      <c r="H1329" s="1">
        <f>value(MYR!$B1329)</f>
        <v>3611.59986</v>
      </c>
      <c r="I1329" s="1">
        <f>value(THB!$B1329)</f>
        <v>366.81162</v>
      </c>
      <c r="J1329" s="1">
        <f>value(VND!$B1329)</f>
        <v>0.5435361204</v>
      </c>
      <c r="K1329" s="1">
        <f>value(CNY!$B1329)</f>
        <v>1917.31934</v>
      </c>
      <c r="L1329" s="1">
        <f>value(HKD!$B1329)</f>
        <v>1560.79494</v>
      </c>
      <c r="M1329" s="1">
        <f>value(TWD!$B1329)</f>
        <v>403.48068</v>
      </c>
      <c r="N1329" s="1">
        <f>value(JPY!$B1329)</f>
        <v>115.404672</v>
      </c>
      <c r="O1329" s="1">
        <f>value(SAR!$B1329)</f>
        <v>3102.841859</v>
      </c>
      <c r="P1329" s="1">
        <f>value(AED!$B1329)</f>
        <v>3155.9271</v>
      </c>
      <c r="Q1329" s="1">
        <f>value(KWD!$B1329)</f>
        <v>41204.97319</v>
      </c>
    </row>
    <row r="1330">
      <c r="A1330" s="4">
        <f>value(USD!A1330)</f>
        <v>41640.99861</v>
      </c>
      <c r="B1330" s="1">
        <f>value(USD!B1330)</f>
        <v>12158</v>
      </c>
      <c r="C1330" s="1">
        <f>value(AUD!$B1330)</f>
        <v>10701.2608</v>
      </c>
      <c r="D1330" s="1">
        <f>value(EUR!$B1330)</f>
        <v>16450.77636</v>
      </c>
      <c r="E1330" s="1">
        <f>value(GBP!$B1330)</f>
        <v>19876.97712</v>
      </c>
      <c r="F1330" s="1">
        <f>value(CHF!$B1330)</f>
        <v>13374.4968</v>
      </c>
      <c r="G1330" s="1">
        <f>value(SGD!$B1330)</f>
        <v>9553.57524</v>
      </c>
      <c r="H1330" s="1">
        <f>value(MYR!$B1330)</f>
        <v>3606.24672</v>
      </c>
      <c r="I1330" s="1">
        <f>value(THB!$B1330)</f>
        <v>366.63024</v>
      </c>
      <c r="J1330" s="1">
        <f>value(VND!$B1330)</f>
        <v>0.544020518</v>
      </c>
      <c r="K1330" s="1">
        <f>value(CNY!$B1330)</f>
        <v>1898.34824</v>
      </c>
      <c r="L1330" s="1">
        <f>value(HKD!$B1330)</f>
        <v>1561.3266</v>
      </c>
      <c r="M1330" s="1">
        <f>value(TWD!$B1330)</f>
        <v>402.83316</v>
      </c>
      <c r="N1330" s="1">
        <f>value(JPY!$B1330)</f>
        <v>115.38924</v>
      </c>
      <c r="O1330" s="1">
        <f>value(SAR!$B1330)</f>
        <v>3118.345528</v>
      </c>
      <c r="P1330" s="1">
        <f>value(AED!$B1330)</f>
        <v>3147.7617</v>
      </c>
      <c r="Q1330" s="1">
        <f>value(KWD!$B1330)</f>
        <v>41274.75996</v>
      </c>
    </row>
    <row r="1331">
      <c r="A1331" s="4">
        <f>value(USD!A1331)</f>
        <v>41641.99861</v>
      </c>
      <c r="B1331" s="1">
        <f>value(USD!B1331)</f>
        <v>12102</v>
      </c>
      <c r="C1331" s="1">
        <f>value(AUD!$B1331)</f>
        <v>10634.86032</v>
      </c>
      <c r="D1331" s="1">
        <f>value(EUR!$B1331)</f>
        <v>16449.14231</v>
      </c>
      <c r="E1331" s="1">
        <f>value(GBP!$B1331)</f>
        <v>19871.65834</v>
      </c>
      <c r="F1331" s="1">
        <f>value(CHF!$B1331)</f>
        <v>13371.66238</v>
      </c>
      <c r="G1331" s="1">
        <f>value(SGD!$B1331)</f>
        <v>9552.415365</v>
      </c>
      <c r="H1331" s="1">
        <f>value(MYR!$B1331)</f>
        <v>3605.566764</v>
      </c>
      <c r="I1331" s="1">
        <f>value(THB!$B1331)</f>
        <v>366.4646631</v>
      </c>
      <c r="J1331" s="1">
        <f>value(VND!$B1331)</f>
        <v>0.5418824461</v>
      </c>
      <c r="K1331" s="1">
        <f>value(CNY!$B1331)</f>
        <v>1897.3136</v>
      </c>
      <c r="L1331" s="1">
        <f>value(HKD!$B1331)</f>
        <v>1561.137043</v>
      </c>
      <c r="M1331" s="1">
        <f>value(TWD!$B1331)</f>
        <v>402.7842531</v>
      </c>
      <c r="N1331" s="1">
        <f>value(JPY!$B1331)</f>
        <v>115.4962962</v>
      </c>
      <c r="O1331" s="1">
        <f>value(SAR!$B1331)</f>
        <v>3104.248882</v>
      </c>
      <c r="P1331" s="1">
        <f>value(AED!$B1331)</f>
        <v>3147.7617</v>
      </c>
      <c r="Q1331" s="1">
        <f>value(KWD!$B1331)</f>
        <v>41098.57215</v>
      </c>
    </row>
    <row r="1332">
      <c r="A1332" s="4">
        <f>value(USD!A1332)</f>
        <v>41642.99861</v>
      </c>
      <c r="B1332" s="1">
        <f>value(USD!B1332)</f>
        <v>12108</v>
      </c>
      <c r="C1332" s="1">
        <f>value(AUD!$B1332)</f>
        <v>10632.38683</v>
      </c>
      <c r="D1332" s="1">
        <f>value(EUR!$B1332)</f>
        <v>16465.0528</v>
      </c>
      <c r="E1332" s="1">
        <f>value(GBP!$B1332)</f>
        <v>19877.0032</v>
      </c>
      <c r="F1332" s="1">
        <f>value(CHF!$B1332)</f>
        <v>13378.9152</v>
      </c>
      <c r="G1332" s="1">
        <f>value(SGD!$B1332)</f>
        <v>9559.27488</v>
      </c>
      <c r="H1332" s="1">
        <f>value(MYR!$B1332)</f>
        <v>3609.25488</v>
      </c>
      <c r="I1332" s="1">
        <f>value(THB!$B1332)</f>
        <v>366.87248</v>
      </c>
      <c r="J1332" s="1">
        <f>value(VND!$B1332)</f>
        <v>0.5430604888</v>
      </c>
      <c r="K1332" s="1">
        <f>value(CNY!$B1332)</f>
        <v>1904.59116</v>
      </c>
      <c r="L1332" s="1">
        <f>value(HKD!$B1332)</f>
        <v>1561.8424</v>
      </c>
      <c r="M1332" s="1">
        <f>value(TWD!$B1332)</f>
        <v>403.20848</v>
      </c>
      <c r="N1332" s="1">
        <f>value(JPY!$B1332)</f>
        <v>115.42736</v>
      </c>
      <c r="O1332" s="1">
        <f>value(SAR!$B1332)</f>
        <v>3159.692492</v>
      </c>
      <c r="P1332" s="1">
        <f>value(AED!$B1332)</f>
        <v>3153.2053</v>
      </c>
      <c r="Q1332" s="1">
        <f>value(KWD!$B1332)</f>
        <v>41164.50565</v>
      </c>
    </row>
    <row r="1333">
      <c r="A1333" s="4">
        <f>value(USD!A1333)</f>
        <v>41643.99861</v>
      </c>
      <c r="B1333" s="1">
        <f>value(USD!B1333)</f>
        <v>12106.53</v>
      </c>
      <c r="C1333" s="1">
        <f>value(AUD!$B1333)</f>
        <v>10812.8966</v>
      </c>
      <c r="D1333" s="1">
        <f>value(EUR!$B1333)</f>
        <v>16536.0657</v>
      </c>
      <c r="E1333" s="1">
        <f>value(GBP!$B1333)</f>
        <v>19916.68349</v>
      </c>
      <c r="F1333" s="1">
        <f>value(CHF!$B1333)</f>
        <v>13420.3113</v>
      </c>
      <c r="G1333" s="1">
        <f>value(SGD!$B1333)</f>
        <v>9570.02508</v>
      </c>
      <c r="H1333" s="1">
        <f>value(MYR!$B1333)</f>
        <v>3635.16813</v>
      </c>
      <c r="I1333" s="1">
        <f>value(THB!$B1333)</f>
        <v>366.65926</v>
      </c>
      <c r="J1333" s="1">
        <f>value(VND!$B1333)</f>
        <v>0.543963877</v>
      </c>
      <c r="K1333" s="1">
        <f>value(CNY!$B1333)</f>
        <v>1892.93517</v>
      </c>
      <c r="L1333" s="1">
        <f>value(HKD!$B1333)</f>
        <v>1564.55035</v>
      </c>
      <c r="M1333" s="1">
        <f>value(TWD!$B1333)</f>
        <v>404.51422</v>
      </c>
      <c r="N1333" s="1">
        <f>value(JPY!$B1333)</f>
        <v>116.391869</v>
      </c>
      <c r="O1333" s="1">
        <f>value(SAR!$B1333)</f>
        <v>3115.34038</v>
      </c>
      <c r="P1333" s="1">
        <f>value(AED!$B1333)</f>
        <v>3142.3181</v>
      </c>
      <c r="Q1333" s="1">
        <f>value(KWD!$B1333)</f>
        <v>41174.79224</v>
      </c>
    </row>
    <row r="1334">
      <c r="A1334" s="4">
        <f>value(USD!A1334)</f>
        <v>41644.99861</v>
      </c>
      <c r="B1334" s="1">
        <f>value(USD!B1334)</f>
        <v>12112</v>
      </c>
      <c r="C1334" s="1">
        <f>value(AUD!$B1334)</f>
        <v>10686.78888</v>
      </c>
      <c r="D1334" s="1">
        <f>value(EUR!$B1334)</f>
        <v>16426.4975</v>
      </c>
      <c r="E1334" s="1">
        <f>value(GBP!$B1334)</f>
        <v>19780.5675</v>
      </c>
      <c r="F1334" s="1">
        <f>value(CHF!$B1334)</f>
        <v>13263.0545</v>
      </c>
      <c r="G1334" s="1">
        <f>value(SGD!$B1334)</f>
        <v>9486.2269</v>
      </c>
      <c r="H1334" s="1">
        <f>value(MYR!$B1334)</f>
        <v>3603.21225</v>
      </c>
      <c r="I1334" s="1">
        <f>value(THB!$B1334)</f>
        <v>364.48365</v>
      </c>
      <c r="J1334" s="1">
        <f>value(VND!$B1334)</f>
        <v>0.5496491466</v>
      </c>
      <c r="K1334" s="1">
        <f>value(CNY!$B1334)</f>
        <v>1881.92923</v>
      </c>
      <c r="L1334" s="1">
        <f>value(HKD!$B1334)</f>
        <v>1555.78175</v>
      </c>
      <c r="M1334" s="1">
        <f>value(TWD!$B1334)</f>
        <v>399.8341</v>
      </c>
      <c r="N1334" s="1">
        <f>value(JPY!$B1334)</f>
        <v>115.24488</v>
      </c>
      <c r="O1334" s="1">
        <f>value(SAR!$B1334)</f>
        <v>3139.11275</v>
      </c>
      <c r="P1334" s="1">
        <f>value(AED!$B1334)</f>
        <v>3142.3181</v>
      </c>
      <c r="Q1334" s="1">
        <f>value(KWD!$B1334)</f>
        <v>41038.51577</v>
      </c>
    </row>
    <row r="1335">
      <c r="A1335" s="4">
        <f>value(USD!A1335)</f>
        <v>41645.99861</v>
      </c>
      <c r="B1335" s="1">
        <f>value(USD!B1335)</f>
        <v>12133</v>
      </c>
      <c r="C1335" s="1">
        <f>value(AUD!$B1335)</f>
        <v>10572.5159</v>
      </c>
      <c r="D1335" s="1">
        <f>value(EUR!$B1335)</f>
        <v>16390.9044</v>
      </c>
      <c r="E1335" s="1">
        <f>value(GBP!$B1335)</f>
        <v>19855.7957</v>
      </c>
      <c r="F1335" s="1">
        <f>value(CHF!$B1335)</f>
        <v>13249.6767</v>
      </c>
      <c r="G1335" s="1">
        <f>value(SGD!$B1335)</f>
        <v>9485.51734</v>
      </c>
      <c r="H1335" s="1">
        <f>value(MYR!$B1335)</f>
        <v>3623.1</v>
      </c>
      <c r="I1335" s="1">
        <f>value(THB!$B1335)</f>
        <v>365.08771</v>
      </c>
      <c r="J1335" s="1">
        <f>value(VND!$B1335)</f>
        <v>0.5485525209</v>
      </c>
      <c r="K1335" s="1">
        <f>value(CNY!$B1335)</f>
        <v>1884.703622</v>
      </c>
      <c r="L1335" s="1">
        <f>value(HKD!$B1335)</f>
        <v>1557.32915</v>
      </c>
      <c r="M1335" s="1">
        <f>value(TWD!$B1335)</f>
        <v>400.71486</v>
      </c>
      <c r="N1335" s="1">
        <f>value(JPY!$B1335)</f>
        <v>115.142118</v>
      </c>
      <c r="O1335" s="1">
        <f>value(SAR!$B1335)</f>
        <v>3114.933255</v>
      </c>
      <c r="P1335" s="1">
        <f>value(AED!$B1335)</f>
        <v>3142.3181</v>
      </c>
      <c r="Q1335" s="1">
        <f>value(KWD!$B1335)</f>
        <v>41090.19999</v>
      </c>
    </row>
    <row r="1336">
      <c r="A1336" s="4">
        <f>value(USD!A1336)</f>
        <v>41646.99861</v>
      </c>
      <c r="B1336" s="1">
        <f>value(USD!B1336)</f>
        <v>12065</v>
      </c>
      <c r="C1336" s="1">
        <f>value(AUD!$B1336)</f>
        <v>10529.2856</v>
      </c>
      <c r="D1336" s="1">
        <f>value(EUR!$B1336)</f>
        <v>16370.7392</v>
      </c>
      <c r="E1336" s="1">
        <f>value(GBP!$B1336)</f>
        <v>19825.24672</v>
      </c>
      <c r="F1336" s="1">
        <f>value(CHF!$B1336)</f>
        <v>13265.28</v>
      </c>
      <c r="G1336" s="1">
        <f>value(SGD!$B1336)</f>
        <v>9466.29632</v>
      </c>
      <c r="H1336" s="1">
        <f>value(MYR!$B1336)</f>
        <v>3609.6</v>
      </c>
      <c r="I1336" s="1">
        <f>value(THB!$B1336)</f>
        <v>363.968</v>
      </c>
      <c r="J1336" s="1">
        <f>value(VND!$B1336)</f>
        <v>0.5434885918</v>
      </c>
      <c r="K1336" s="1">
        <f>value(CNY!$B1336)</f>
        <v>1878.11146</v>
      </c>
      <c r="L1336" s="1">
        <f>value(HKD!$B1336)</f>
        <v>1551.5264</v>
      </c>
      <c r="M1336" s="1">
        <f>value(TWD!$B1336)</f>
        <v>400.78592</v>
      </c>
      <c r="N1336" s="1">
        <f>value(JPY!$B1336)</f>
        <v>114.72512</v>
      </c>
      <c r="O1336" s="1">
        <f>value(SAR!$B1336)</f>
        <v>3121.070564</v>
      </c>
      <c r="P1336" s="1">
        <f>value(AED!$B1336)</f>
        <v>3134.1527</v>
      </c>
      <c r="Q1336" s="1">
        <f>value(KWD!$B1336)</f>
        <v>41008.73263</v>
      </c>
    </row>
    <row r="1337">
      <c r="A1337" s="4">
        <f>value(USD!A1337)</f>
        <v>41647.99861</v>
      </c>
      <c r="B1337" s="1">
        <f>value(USD!B1337)</f>
        <v>12077</v>
      </c>
      <c r="C1337" s="1">
        <f>value(AUD!$B1337)</f>
        <v>10473.66406</v>
      </c>
      <c r="D1337" s="1">
        <f>value(EUR!$B1337)</f>
        <v>16159.15136</v>
      </c>
      <c r="E1337" s="1">
        <f>value(GBP!$B1337)</f>
        <v>19487.96208</v>
      </c>
      <c r="F1337" s="1">
        <f>value(CHF!$B1337)</f>
        <v>13091.5328</v>
      </c>
      <c r="G1337" s="1">
        <f>value(SGD!$B1337)</f>
        <v>9351.0104</v>
      </c>
      <c r="H1337" s="1">
        <f>value(MYR!$B1337)</f>
        <v>3571.4392</v>
      </c>
      <c r="I1337" s="1">
        <f>value(THB!$B1337)</f>
        <v>358.14896</v>
      </c>
      <c r="J1337" s="1">
        <f>value(VND!$B1337)</f>
        <v>0.5483487649</v>
      </c>
      <c r="K1337" s="1">
        <f>value(CNY!$B1337)</f>
        <v>1896.4312</v>
      </c>
      <c r="L1337" s="1">
        <f>value(HKD!$B1337)</f>
        <v>1524.7048</v>
      </c>
      <c r="M1337" s="1">
        <f>value(TWD!$B1337)</f>
        <v>395.39456</v>
      </c>
      <c r="N1337" s="1">
        <f>value(JPY!$B1337)</f>
        <v>113.5104</v>
      </c>
      <c r="O1337" s="1">
        <f>value(SAR!$B1337)</f>
        <v>3117.676888</v>
      </c>
      <c r="P1337" s="1">
        <f>value(AED!$B1337)</f>
        <v>3139.906264</v>
      </c>
      <c r="Q1337" s="1">
        <f>value(KWD!$B1337)</f>
        <v>41077.79729</v>
      </c>
    </row>
    <row r="1338">
      <c r="A1338" s="4">
        <f>value(USD!A1338)</f>
        <v>41648.99861</v>
      </c>
      <c r="B1338" s="1">
        <f>value(USD!B1338)</f>
        <v>12032</v>
      </c>
      <c r="C1338" s="1">
        <f>value(AUD!$B1338)</f>
        <v>10408.12234</v>
      </c>
      <c r="D1338" s="1">
        <f>value(EUR!$B1338)</f>
        <v>16158.39111</v>
      </c>
      <c r="E1338" s="1">
        <f>value(GBP!$B1338)</f>
        <v>19478.7218</v>
      </c>
      <c r="F1338" s="1">
        <f>value(CHF!$B1338)</f>
        <v>13088.6514</v>
      </c>
      <c r="G1338" s="1">
        <f>value(SGD!$B1338)</f>
        <v>9348.10798</v>
      </c>
      <c r="H1338" s="1">
        <f>value(MYR!$B1338)</f>
        <v>3571.039896</v>
      </c>
      <c r="I1338" s="1">
        <f>value(THB!$B1338)</f>
        <v>358.0377957</v>
      </c>
      <c r="J1338" s="1">
        <f>value(VND!$B1338)</f>
        <v>0.5516782895</v>
      </c>
      <c r="K1338" s="1">
        <f>value(CNY!$B1338)</f>
        <v>1882.48216</v>
      </c>
      <c r="L1338" s="1">
        <f>value(HKD!$B1338)</f>
        <v>1524.11335</v>
      </c>
      <c r="M1338" s="1">
        <f>value(TWD!$B1338)</f>
        <v>395.2718352</v>
      </c>
      <c r="N1338" s="1">
        <f>value(JPY!$B1338)</f>
        <v>113.475168</v>
      </c>
      <c r="O1338" s="1">
        <f>value(SAR!$B1338)</f>
        <v>3089.734648</v>
      </c>
      <c r="P1338" s="1">
        <f>value(AED!$B1338)</f>
        <v>3131.4309</v>
      </c>
      <c r="Q1338" s="1">
        <f>value(KWD!$B1338)</f>
        <v>41288.97968</v>
      </c>
    </row>
    <row r="1339">
      <c r="A1339" s="4">
        <f>value(USD!A1339)</f>
        <v>41649.99861</v>
      </c>
      <c r="B1339" s="1">
        <f>value(USD!B1339)</f>
        <v>11824</v>
      </c>
      <c r="C1339" s="1">
        <f>value(AUD!$B1339)</f>
        <v>10416.36465</v>
      </c>
      <c r="D1339" s="1">
        <f>value(EUR!$B1339)</f>
        <v>16426.0373</v>
      </c>
      <c r="E1339" s="1">
        <f>value(GBP!$B1339)</f>
        <v>19812.4279</v>
      </c>
      <c r="F1339" s="1">
        <f>value(CHF!$B1339)</f>
        <v>13318.4411</v>
      </c>
      <c r="G1339" s="1">
        <f>value(SGD!$B1339)</f>
        <v>9504.96632</v>
      </c>
      <c r="H1339" s="1">
        <f>value(MYR!$B1339)</f>
        <v>3630.57604</v>
      </c>
      <c r="I1339" s="1">
        <f>value(THB!$B1339)</f>
        <v>363.99493</v>
      </c>
      <c r="J1339" s="1">
        <f>value(VND!$B1339)</f>
        <v>0.5501779264</v>
      </c>
      <c r="K1339" s="1">
        <f>value(CNY!$B1339)</f>
        <v>1887.69294</v>
      </c>
      <c r="L1339" s="1">
        <f>value(HKD!$B1339)</f>
        <v>1549.59215</v>
      </c>
      <c r="M1339" s="1">
        <f>value(TWD!$B1339)</f>
        <v>401.84848</v>
      </c>
      <c r="N1339" s="1">
        <f>value(JPY!$B1339)</f>
        <v>115.48337</v>
      </c>
      <c r="O1339" s="1">
        <f>value(SAR!$B1339)</f>
        <v>3101.395894</v>
      </c>
      <c r="P1339" s="1">
        <f>value(AED!$B1339)</f>
        <v>3132.7918</v>
      </c>
      <c r="Q1339" s="1">
        <f>value(KWD!$B1339)</f>
        <v>41080.02117</v>
      </c>
    </row>
    <row r="1340">
      <c r="A1340" s="4">
        <f>value(USD!A1340)</f>
        <v>41650.99861</v>
      </c>
      <c r="B1340" s="1">
        <f>value(USD!B1340)</f>
        <v>11820.33</v>
      </c>
      <c r="C1340" s="1">
        <f>value(AUD!$B1340)</f>
        <v>10401.8376</v>
      </c>
      <c r="D1340" s="1">
        <f>value(EUR!$B1340)</f>
        <v>16142.2792</v>
      </c>
      <c r="E1340" s="1">
        <f>value(GBP!$B1340)</f>
        <v>19357.15124</v>
      </c>
      <c r="F1340" s="1">
        <f>value(CHF!$B1340)</f>
        <v>13130.2192</v>
      </c>
      <c r="G1340" s="1">
        <f>value(SGD!$B1340)</f>
        <v>9333.2518</v>
      </c>
      <c r="H1340" s="1">
        <f>value(MYR!$B1340)</f>
        <v>3558.01064</v>
      </c>
      <c r="I1340" s="1">
        <f>value(THB!$B1340)</f>
        <v>357.9036</v>
      </c>
      <c r="J1340" s="1">
        <f>value(VND!$B1340)</f>
        <v>0.5487023733</v>
      </c>
      <c r="K1340" s="1">
        <f>value(CNY!$B1340)</f>
        <v>1864.5081</v>
      </c>
      <c r="L1340" s="1">
        <f>value(HKD!$B1340)</f>
        <v>1523.1574</v>
      </c>
      <c r="M1340" s="1">
        <f>value(TWD!$B1340)</f>
        <v>393.69396</v>
      </c>
      <c r="N1340" s="1">
        <f>value(JPY!$B1340)</f>
        <v>114.505528</v>
      </c>
      <c r="O1340" s="1">
        <f>value(SAR!$B1340)</f>
        <v>3113.673365</v>
      </c>
      <c r="P1340" s="1">
        <f>value(AED!$B1340)</f>
        <v>3149.1226</v>
      </c>
      <c r="Q1340" s="1">
        <f>value(KWD!$B1340)</f>
        <v>41086.36654</v>
      </c>
    </row>
    <row r="1341">
      <c r="A1341" s="4">
        <f>value(USD!A1341)</f>
        <v>41651.99861</v>
      </c>
      <c r="B1341" s="1">
        <f>value(USD!B1341)</f>
        <v>12017</v>
      </c>
      <c r="C1341" s="1">
        <f>value(AUD!$B1341)</f>
        <v>10472.69116</v>
      </c>
      <c r="D1341" s="1">
        <f>value(EUR!$B1341)</f>
        <v>16128.4267</v>
      </c>
      <c r="E1341" s="1">
        <f>value(GBP!$B1341)</f>
        <v>19391.28519</v>
      </c>
      <c r="F1341" s="1">
        <f>value(CHF!$B1341)</f>
        <v>13064.8871</v>
      </c>
      <c r="G1341" s="1">
        <f>value(SGD!$B1341)</f>
        <v>9297.06382</v>
      </c>
      <c r="H1341" s="1">
        <f>value(MYR!$B1341)</f>
        <v>3552.69105</v>
      </c>
      <c r="I1341" s="1">
        <f>value(THB!$B1341)</f>
        <v>359.22244</v>
      </c>
      <c r="J1341" s="1">
        <f>value(VND!$B1341)</f>
        <v>0.5500688447</v>
      </c>
      <c r="K1341" s="1">
        <f>value(CNY!$B1341)</f>
        <v>1859.21994</v>
      </c>
      <c r="L1341" s="1">
        <f>value(HKD!$B1341)</f>
        <v>1521.73895</v>
      </c>
      <c r="M1341" s="1">
        <f>value(TWD!$B1341)</f>
        <v>392.61927</v>
      </c>
      <c r="N1341" s="1">
        <f>value(JPY!$B1341)</f>
        <v>113.230595</v>
      </c>
      <c r="O1341" s="1">
        <f>value(SAR!$B1341)</f>
        <v>3096.324765</v>
      </c>
      <c r="P1341" s="1">
        <f>value(AED!$B1341)</f>
        <v>3136.8745</v>
      </c>
      <c r="Q1341" s="1">
        <f>value(KWD!$B1341)</f>
        <v>41176.40321</v>
      </c>
    </row>
    <row r="1342">
      <c r="A1342" s="4">
        <f>value(USD!A1342)</f>
        <v>41652.99861</v>
      </c>
      <c r="B1342" s="1">
        <f>value(USD!B1342)</f>
        <v>11812</v>
      </c>
      <c r="C1342" s="1">
        <f>value(AUD!$B1342)</f>
        <v>10623.0034</v>
      </c>
      <c r="D1342" s="1">
        <f>value(EUR!$B1342)</f>
        <v>16081.3488</v>
      </c>
      <c r="E1342" s="1">
        <f>value(GBP!$B1342)</f>
        <v>19349.30692</v>
      </c>
      <c r="F1342" s="1">
        <f>value(CHF!$B1342)</f>
        <v>13003.7032</v>
      </c>
      <c r="G1342" s="1">
        <f>value(SGD!$B1342)</f>
        <v>9288.5284</v>
      </c>
      <c r="H1342" s="1">
        <f>value(MYR!$B1342)</f>
        <v>3529.23864</v>
      </c>
      <c r="I1342" s="1">
        <f>value(THB!$B1342)</f>
        <v>359.45292</v>
      </c>
      <c r="J1342" s="1">
        <f>value(VND!$B1342)</f>
        <v>0.5481695996</v>
      </c>
      <c r="K1342" s="1">
        <f>value(CNY!$B1342)</f>
        <v>1861.8002</v>
      </c>
      <c r="L1342" s="1">
        <f>value(HKD!$B1342)</f>
        <v>1525.2206</v>
      </c>
      <c r="M1342" s="1">
        <f>value(TWD!$B1342)</f>
        <v>392.45304</v>
      </c>
      <c r="N1342" s="1">
        <f>value(JPY!$B1342)</f>
        <v>113.063852</v>
      </c>
      <c r="O1342" s="1">
        <f>value(SAR!$B1342)</f>
        <v>3087.536686</v>
      </c>
      <c r="P1342" s="1">
        <f>value(AED!$B1342)</f>
        <v>3140.40375</v>
      </c>
      <c r="Q1342" s="1">
        <f>value(KWD!$B1342)</f>
        <v>40835.5784</v>
      </c>
    </row>
    <row r="1343">
      <c r="A1343" s="4">
        <f>value(USD!A1343)</f>
        <v>41653.99861</v>
      </c>
      <c r="B1343" s="1">
        <f>value(USD!B1343)</f>
        <v>11801</v>
      </c>
      <c r="C1343" s="1">
        <f>value(AUD!$B1343)</f>
        <v>10657.5836</v>
      </c>
      <c r="D1343" s="1">
        <f>value(EUR!$B1343)</f>
        <v>16174.2726</v>
      </c>
      <c r="E1343" s="1">
        <f>value(GBP!$B1343)</f>
        <v>19424.0934</v>
      </c>
      <c r="F1343" s="1">
        <f>value(CHF!$B1343)</f>
        <v>13126.3778</v>
      </c>
      <c r="G1343" s="1">
        <f>value(SGD!$B1343)</f>
        <v>9334.3263</v>
      </c>
      <c r="H1343" s="1">
        <f>value(MYR!$B1343)</f>
        <v>3540.59424</v>
      </c>
      <c r="I1343" s="1">
        <f>value(THB!$B1343)</f>
        <v>362.16022</v>
      </c>
      <c r="J1343" s="1">
        <f>value(VND!$B1343)</f>
        <v>0.5481695996</v>
      </c>
      <c r="K1343" s="1">
        <f>value(CNY!$B1343)</f>
        <v>1859.21994</v>
      </c>
      <c r="L1343" s="1">
        <f>value(HKD!$B1343)</f>
        <v>1531.6681</v>
      </c>
      <c r="M1343" s="1">
        <f>value(TWD!$B1343)</f>
        <v>394.9435</v>
      </c>
      <c r="N1343" s="1">
        <f>value(JPY!$B1343)</f>
        <v>113.921898</v>
      </c>
      <c r="O1343" s="1">
        <f>value(SAR!$B1343)</f>
        <v>3092.468632</v>
      </c>
      <c r="P1343" s="1">
        <f>value(AED!$B1343)</f>
        <v>3146.588604</v>
      </c>
      <c r="Q1343" s="1">
        <f>value(KWD!$B1343)</f>
        <v>41011.0272</v>
      </c>
    </row>
    <row r="1344">
      <c r="A1344" s="4">
        <f>value(USD!A1344)</f>
        <v>41654.99861</v>
      </c>
      <c r="B1344" s="1">
        <f>value(USD!B1344)</f>
        <v>11828</v>
      </c>
      <c r="C1344" s="1">
        <f>value(AUD!$B1344)</f>
        <v>10591.0494</v>
      </c>
      <c r="D1344" s="1">
        <f>value(EUR!$B1344)</f>
        <v>16052.88608</v>
      </c>
      <c r="E1344" s="1">
        <f>value(GBP!$B1344)</f>
        <v>19475.5792</v>
      </c>
      <c r="F1344" s="1">
        <f>value(CHF!$B1344)</f>
        <v>13022.4556</v>
      </c>
      <c r="G1344" s="1">
        <f>value(SGD!$B1344)</f>
        <v>9289.67578</v>
      </c>
      <c r="H1344" s="1">
        <f>value(MYR!$B1344)</f>
        <v>3518.8615</v>
      </c>
      <c r="I1344" s="1">
        <f>value(THB!$B1344)</f>
        <v>361.0761</v>
      </c>
      <c r="J1344" s="1">
        <f>value(VND!$B1344)</f>
        <v>0.5484560542</v>
      </c>
      <c r="K1344" s="1">
        <f>value(CNY!$B1344)</f>
        <v>1861.947</v>
      </c>
      <c r="L1344" s="1">
        <f>value(HKD!$B1344)</f>
        <v>1528.97052</v>
      </c>
      <c r="M1344" s="1">
        <f>value(TWD!$B1344)</f>
        <v>392.14406</v>
      </c>
      <c r="N1344" s="1">
        <f>value(JPY!$B1344)</f>
        <v>113.59964</v>
      </c>
      <c r="O1344" s="1">
        <f>value(SAR!$B1344)</f>
        <v>3087.536686</v>
      </c>
      <c r="P1344" s="1">
        <f>value(AED!$B1344)</f>
        <v>3120.5437</v>
      </c>
      <c r="Q1344" s="1">
        <f>value(KWD!$B1344)</f>
        <v>40838.45488</v>
      </c>
    </row>
    <row r="1345">
      <c r="A1345" s="4">
        <f>value(USD!A1345)</f>
        <v>41655.99861</v>
      </c>
      <c r="B1345" s="1">
        <f>value(USD!B1345)</f>
        <v>11878</v>
      </c>
      <c r="C1345" s="1">
        <f>value(AUD!$B1345)</f>
        <v>10529.02521</v>
      </c>
      <c r="D1345" s="1">
        <f>value(EUR!$B1345)</f>
        <v>16061.67606</v>
      </c>
      <c r="E1345" s="1">
        <f>value(GBP!$B1345)</f>
        <v>19482.78933</v>
      </c>
      <c r="F1345" s="1">
        <f>value(CHF!$B1345)</f>
        <v>13027.27669</v>
      </c>
      <c r="G1345" s="1">
        <f>value(SGD!$B1345)</f>
        <v>9293.114949</v>
      </c>
      <c r="H1345" s="1">
        <f>value(MYR!$B1345)</f>
        <v>3520.40148</v>
      </c>
      <c r="I1345" s="1">
        <f>value(THB!$B1345)</f>
        <v>361.2097755</v>
      </c>
      <c r="J1345" s="1">
        <f>value(VND!$B1345)</f>
        <v>0.5467711207</v>
      </c>
      <c r="K1345" s="1">
        <f>value(CNY!$B1345)</f>
        <v>1870.56195</v>
      </c>
      <c r="L1345" s="1">
        <f>value(HKD!$B1345)</f>
        <v>1529.299318</v>
      </c>
      <c r="M1345" s="1">
        <f>value(TWD!$B1345)</f>
        <v>392.4078612</v>
      </c>
      <c r="N1345" s="1">
        <f>value(JPY!$B1345)</f>
        <v>113.6416962</v>
      </c>
      <c r="O1345" s="1">
        <f>value(SAR!$B1345)</f>
        <v>3111.00435</v>
      </c>
      <c r="P1345" s="1">
        <f>value(AED!$B1345)</f>
        <v>3136.32</v>
      </c>
      <c r="Q1345" s="1">
        <f>value(KWD!$B1345)</f>
        <v>40543.89681</v>
      </c>
    </row>
    <row r="1346">
      <c r="A1346" s="4">
        <f>value(USD!A1346)</f>
        <v>41656.99861</v>
      </c>
      <c r="B1346" s="1">
        <f>value(USD!B1346)</f>
        <v>11858</v>
      </c>
      <c r="C1346" s="1">
        <f>value(AUD!$B1346)</f>
        <v>10536.40574</v>
      </c>
      <c r="D1346" s="1">
        <f>value(EUR!$B1346)</f>
        <v>16039.1308</v>
      </c>
      <c r="E1346" s="1">
        <f>value(GBP!$B1346)</f>
        <v>19462.5354</v>
      </c>
      <c r="F1346" s="1">
        <f>value(CHF!$B1346)</f>
        <v>13005.8544</v>
      </c>
      <c r="G1346" s="1">
        <f>value(SGD!$B1346)</f>
        <v>9293.82608</v>
      </c>
      <c r="H1346" s="1">
        <f>value(MYR!$B1346)</f>
        <v>3515.18552</v>
      </c>
      <c r="I1346" s="1">
        <f>value(THB!$B1346)</f>
        <v>352.7755</v>
      </c>
      <c r="J1346" s="1">
        <f>value(VND!$B1346)</f>
        <v>0.54694556</v>
      </c>
      <c r="K1346" s="1">
        <f>value(CNY!$B1346)</f>
        <v>1860.4745</v>
      </c>
      <c r="L1346" s="1">
        <f>value(HKD!$B1346)</f>
        <v>1528.85194</v>
      </c>
      <c r="M1346" s="1">
        <f>value(TWD!$B1346)</f>
        <v>391.9069</v>
      </c>
      <c r="N1346" s="1">
        <f>value(JPY!$B1346)</f>
        <v>113.71822</v>
      </c>
      <c r="O1346" s="1">
        <f>value(SAR!$B1346)</f>
        <v>3086.900746</v>
      </c>
      <c r="P1346" s="1">
        <f>value(AED!$B1346)</f>
        <v>3125.9873</v>
      </c>
      <c r="Q1346" s="1">
        <f>value(KWD!$B1346)</f>
        <v>40552.08349</v>
      </c>
    </row>
    <row r="1347">
      <c r="A1347" s="4">
        <f>value(USD!A1347)</f>
        <v>41657.99861</v>
      </c>
      <c r="B1347" s="1">
        <f>value(USD!B1347)</f>
        <v>11862.39</v>
      </c>
      <c r="C1347" s="1">
        <f>value(AUD!$B1347)</f>
        <v>10548.0646</v>
      </c>
      <c r="D1347" s="1">
        <f>value(EUR!$B1347)</f>
        <v>16114.36753</v>
      </c>
      <c r="E1347" s="1">
        <f>value(GBP!$B1347)</f>
        <v>19535.94473</v>
      </c>
      <c r="F1347" s="1">
        <f>value(CHF!$B1347)</f>
        <v>13056.9575</v>
      </c>
      <c r="G1347" s="1">
        <f>value(SGD!$B1347)</f>
        <v>9317.49246</v>
      </c>
      <c r="H1347" s="1">
        <f>value(MYR!$B1347)</f>
        <v>3522.82067</v>
      </c>
      <c r="I1347" s="1">
        <f>value(THB!$B1347)</f>
        <v>362.02571</v>
      </c>
      <c r="J1347" s="1">
        <f>value(VND!$B1347)</f>
        <v>0.5471832591</v>
      </c>
      <c r="K1347" s="1">
        <f>value(CNY!$B1347)</f>
        <v>1860.13827</v>
      </c>
      <c r="L1347" s="1">
        <f>value(HKD!$B1347)</f>
        <v>1533.76124</v>
      </c>
      <c r="M1347" s="1">
        <f>value(TWD!$B1347)</f>
        <v>394.74246</v>
      </c>
      <c r="N1347" s="1">
        <f>value(JPY!$B1347)</f>
        <v>114.080333</v>
      </c>
      <c r="O1347" s="1">
        <f>value(SAR!$B1347)</f>
        <v>3085.353113</v>
      </c>
      <c r="P1347" s="1">
        <f>value(AED!$B1347)</f>
        <v>3104.2129</v>
      </c>
      <c r="Q1347" s="1">
        <f>value(KWD!$B1347)</f>
        <v>40198.85952</v>
      </c>
    </row>
    <row r="1348">
      <c r="A1348" s="4">
        <f>value(USD!A1348)</f>
        <v>41658.99861</v>
      </c>
      <c r="B1348" s="1">
        <f>value(USD!B1348)</f>
        <v>11858</v>
      </c>
      <c r="C1348" s="1">
        <f>value(AUD!$B1348)</f>
        <v>10643.1022</v>
      </c>
      <c r="D1348" s="1">
        <f>value(EUR!$B1348)</f>
        <v>16356.072</v>
      </c>
      <c r="E1348" s="1">
        <f>value(GBP!$B1348)</f>
        <v>19870.57694</v>
      </c>
      <c r="F1348" s="1">
        <f>value(CHF!$B1348)</f>
        <v>13250.107</v>
      </c>
      <c r="G1348" s="1">
        <f>value(SGD!$B1348)</f>
        <v>9432.36338</v>
      </c>
      <c r="H1348" s="1">
        <f>value(MYR!$B1348)</f>
        <v>3576.74486</v>
      </c>
      <c r="I1348" s="1">
        <f>value(THB!$B1348)</f>
        <v>366.56418</v>
      </c>
      <c r="J1348" s="1">
        <f>value(VND!$B1348)</f>
        <v>0.5493827066</v>
      </c>
      <c r="K1348" s="1">
        <f>value(CNY!$B1348)</f>
        <v>1836.50368</v>
      </c>
      <c r="L1348" s="1">
        <f>value(HKD!$B1348)</f>
        <v>1554.91242</v>
      </c>
      <c r="M1348" s="1">
        <f>value(TWD!$B1348)</f>
        <v>400.21716</v>
      </c>
      <c r="N1348" s="1">
        <f>value(JPY!$B1348)</f>
        <v>115.710766</v>
      </c>
      <c r="O1348" s="1">
        <f>value(SAR!$B1348)</f>
        <v>3045.265218</v>
      </c>
      <c r="P1348" s="1">
        <f>value(AED!$B1348)</f>
        <v>3098.7693</v>
      </c>
      <c r="Q1348" s="1">
        <f>value(KWD!$B1348)</f>
        <v>40329.46151</v>
      </c>
    </row>
    <row r="1349">
      <c r="A1349" s="4">
        <f>value(USD!A1349)</f>
        <v>41659.99861</v>
      </c>
      <c r="B1349" s="1">
        <f>value(USD!B1349)</f>
        <v>11897</v>
      </c>
      <c r="C1349" s="1">
        <f>value(AUD!$B1349)</f>
        <v>10627.3284</v>
      </c>
      <c r="D1349" s="1">
        <f>value(EUR!$B1349)</f>
        <v>16320.8184</v>
      </c>
      <c r="E1349" s="1">
        <f>value(GBP!$B1349)</f>
        <v>19959.3172</v>
      </c>
      <c r="F1349" s="1">
        <f>value(CHF!$B1349)</f>
        <v>13207.7868</v>
      </c>
      <c r="G1349" s="1">
        <f>value(SGD!$B1349)</f>
        <v>9419.96372</v>
      </c>
      <c r="H1349" s="1">
        <f>value(MYR!$B1349)</f>
        <v>3560.64288</v>
      </c>
      <c r="I1349" s="1">
        <f>value(THB!$B1349)</f>
        <v>365.65768</v>
      </c>
      <c r="J1349" s="1">
        <f>value(VND!$B1349)</f>
        <v>0.5472199771</v>
      </c>
      <c r="K1349" s="1">
        <f>value(CNY!$B1349)</f>
        <v>1842.872131</v>
      </c>
      <c r="L1349" s="1">
        <f>value(HKD!$B1349)</f>
        <v>1553.38228</v>
      </c>
      <c r="M1349" s="1">
        <f>value(TWD!$B1349)</f>
        <v>397.716</v>
      </c>
      <c r="N1349" s="1">
        <f>value(JPY!$B1349)</f>
        <v>115.144808</v>
      </c>
      <c r="O1349" s="1">
        <f>value(SAR!$B1349)</f>
        <v>3038.373228</v>
      </c>
      <c r="P1349" s="1">
        <f>value(AED!$B1349)</f>
        <v>3081.87</v>
      </c>
      <c r="Q1349" s="1">
        <f>value(KWD!$B1349)</f>
        <v>40577.0301</v>
      </c>
    </row>
    <row r="1350">
      <c r="A1350" s="4">
        <f>value(USD!A1350)</f>
        <v>41660.99861</v>
      </c>
      <c r="B1350" s="1">
        <f>value(USD!B1350)</f>
        <v>12062</v>
      </c>
      <c r="C1350" s="1">
        <f>value(AUD!$B1350)</f>
        <v>10571.04846</v>
      </c>
      <c r="D1350" s="1">
        <f>value(EUR!$B1350)</f>
        <v>16550.4798</v>
      </c>
      <c r="E1350" s="1">
        <f>value(GBP!$B1350)</f>
        <v>20110.659</v>
      </c>
      <c r="F1350" s="1">
        <f>value(CHF!$B1350)</f>
        <v>13463.1369</v>
      </c>
      <c r="G1350" s="1">
        <f>value(SGD!$B1350)</f>
        <v>9452.85624</v>
      </c>
      <c r="H1350" s="1">
        <f>value(MYR!$B1350)</f>
        <v>3583.88148</v>
      </c>
      <c r="I1350" s="1">
        <f>value(THB!$B1350)</f>
        <v>367.38534</v>
      </c>
      <c r="J1350" s="1">
        <f>value(VND!$B1350)</f>
        <v>0.5476947884</v>
      </c>
      <c r="K1350" s="1">
        <f>value(CNY!$B1350)</f>
        <v>1839.89248</v>
      </c>
      <c r="L1350" s="1">
        <f>value(HKD!$B1350)</f>
        <v>1558.54584</v>
      </c>
      <c r="M1350" s="1">
        <f>value(TWD!$B1350)</f>
        <v>402.21318</v>
      </c>
      <c r="N1350" s="1">
        <f>value(JPY!$B1350)</f>
        <v>116.987682</v>
      </c>
      <c r="O1350" s="1">
        <f>value(SAR!$B1350)</f>
        <v>3043.425995</v>
      </c>
      <c r="P1350" s="1">
        <f>value(AED!$B1350)</f>
        <v>3089.441691</v>
      </c>
      <c r="Q1350" s="1">
        <f>value(KWD!$B1350)</f>
        <v>40735.07424</v>
      </c>
    </row>
    <row r="1351">
      <c r="A1351" s="4">
        <f>value(USD!A1351)</f>
        <v>41661.99861</v>
      </c>
      <c r="B1351" s="1">
        <f>value(USD!B1351)</f>
        <v>12052</v>
      </c>
      <c r="C1351" s="1">
        <f>value(AUD!$B1351)</f>
        <v>10687.0543</v>
      </c>
      <c r="D1351" s="1">
        <f>value(EUR!$B1351)</f>
        <v>16584.27885</v>
      </c>
      <c r="E1351" s="1">
        <f>value(GBP!$B1351)</f>
        <v>19987.7214</v>
      </c>
      <c r="F1351" s="1">
        <f>value(CHF!$B1351)</f>
        <v>13544.6463</v>
      </c>
      <c r="G1351" s="1">
        <f>value(SGD!$B1351)</f>
        <v>9484.04162</v>
      </c>
      <c r="H1351" s="1">
        <f>value(MYR!$B1351)</f>
        <v>3564.1253</v>
      </c>
      <c r="I1351" s="1">
        <f>value(THB!$B1351)</f>
        <v>368.90334</v>
      </c>
      <c r="J1351" s="1">
        <f>value(VND!$B1351)</f>
        <v>0.5470085376</v>
      </c>
      <c r="K1351" s="1">
        <f>value(CNY!$B1351)</f>
        <v>1826.75196</v>
      </c>
      <c r="L1351" s="1">
        <f>value(HKD!$B1351)</f>
        <v>1562.07887</v>
      </c>
      <c r="M1351" s="1">
        <f>value(TWD!$B1351)</f>
        <v>399.34211</v>
      </c>
      <c r="N1351" s="1">
        <f>value(JPY!$B1351)</f>
        <v>118.48079</v>
      </c>
      <c r="O1351" s="1">
        <f>value(SAR!$B1351)</f>
        <v>3039.022002</v>
      </c>
      <c r="P1351" s="1">
        <f>value(AED!$B1351)</f>
        <v>3108.2956</v>
      </c>
      <c r="Q1351" s="1">
        <f>value(KWD!$B1351)</f>
        <v>40869.65635</v>
      </c>
    </row>
    <row r="1352">
      <c r="A1352" s="4">
        <f>value(USD!A1352)</f>
        <v>41662.99861</v>
      </c>
      <c r="B1352" s="1">
        <f>value(USD!B1352)</f>
        <v>12093</v>
      </c>
      <c r="C1352" s="1">
        <f>value(AUD!$B1352)</f>
        <v>10636.2315</v>
      </c>
      <c r="D1352" s="1">
        <f>value(EUR!$B1352)</f>
        <v>16595.8706</v>
      </c>
      <c r="E1352" s="1">
        <f>value(GBP!$B1352)</f>
        <v>20002.42334</v>
      </c>
      <c r="F1352" s="1">
        <f>value(CHF!$B1352)</f>
        <v>13531.5508</v>
      </c>
      <c r="G1352" s="1">
        <f>value(SGD!$B1352)</f>
        <v>9491.017595</v>
      </c>
      <c r="H1352" s="1">
        <f>value(MYR!$B1352)</f>
        <v>3566.38281</v>
      </c>
      <c r="I1352" s="1">
        <f>value(THB!$B1352)</f>
        <v>369.1746864</v>
      </c>
      <c r="J1352" s="1">
        <f>value(VND!$B1352)</f>
        <v>0.5456056979</v>
      </c>
      <c r="K1352" s="1">
        <f>value(CNY!$B1352)</f>
        <v>1828.761</v>
      </c>
      <c r="L1352" s="1">
        <f>value(HKD!$B1352)</f>
        <v>1563.106496</v>
      </c>
      <c r="M1352" s="1">
        <f>value(TWD!$B1352)</f>
        <v>399.6358456</v>
      </c>
      <c r="N1352" s="1">
        <f>value(JPY!$B1352)</f>
        <v>118.5679384</v>
      </c>
      <c r="O1352" s="1">
        <f>value(SAR!$B1352)</f>
        <v>3050.765983</v>
      </c>
      <c r="P1352" s="1">
        <f>value(AED!$B1352)</f>
        <v>3119.1828</v>
      </c>
      <c r="Q1352" s="1">
        <f>value(KWD!$B1352)</f>
        <v>40912.80144</v>
      </c>
    </row>
    <row r="1353">
      <c r="A1353" s="4">
        <f>value(USD!A1353)</f>
        <v>41663.99861</v>
      </c>
      <c r="B1353" s="1">
        <f>value(USD!B1353)</f>
        <v>12127</v>
      </c>
      <c r="C1353" s="1">
        <f>value(AUD!$B1353)</f>
        <v>10661.38157</v>
      </c>
      <c r="D1353" s="1">
        <f>value(EUR!$B1353)</f>
        <v>16601.98427</v>
      </c>
      <c r="E1353" s="1">
        <f>value(GBP!$B1353)</f>
        <v>19997.423</v>
      </c>
      <c r="F1353" s="1">
        <f>value(CHF!$B1353)</f>
        <v>13571.3257</v>
      </c>
      <c r="G1353" s="1">
        <f>value(SGD!$B1353)</f>
        <v>9478.34193</v>
      </c>
      <c r="H1353" s="1">
        <f>value(MYR!$B1353)</f>
        <v>3567.52086</v>
      </c>
      <c r="I1353" s="1">
        <f>value(THB!$B1353)</f>
        <v>361.74841</v>
      </c>
      <c r="J1353" s="1">
        <f>value(VND!$B1353)</f>
        <v>0.5416765516</v>
      </c>
      <c r="K1353" s="1">
        <f>value(CNY!$B1353)</f>
        <v>1825.3209</v>
      </c>
      <c r="L1353" s="1">
        <f>value(HKD!$B1353)</f>
        <v>1561.9576</v>
      </c>
      <c r="M1353" s="1">
        <f>value(TWD!$B1353)</f>
        <v>399.82719</v>
      </c>
      <c r="N1353" s="1">
        <f>value(JPY!$B1353)</f>
        <v>118.72333</v>
      </c>
      <c r="O1353" s="1">
        <f>value(SAR!$B1353)</f>
        <v>3065.44596</v>
      </c>
      <c r="P1353" s="1">
        <f>value(AED!$B1353)</f>
        <v>3128.7091</v>
      </c>
      <c r="Q1353" s="1">
        <f>value(KWD!$B1353)</f>
        <v>41175.42192</v>
      </c>
    </row>
    <row r="1354">
      <c r="A1354" s="4">
        <f>value(USD!A1354)</f>
        <v>41664.99861</v>
      </c>
      <c r="B1354" s="1">
        <f>value(USD!B1354)</f>
        <v>12135.92</v>
      </c>
      <c r="C1354" s="1">
        <f>value(AUD!$B1354)</f>
        <v>10632.465</v>
      </c>
      <c r="D1354" s="1">
        <f>value(EUR!$B1354)</f>
        <v>16678.1778</v>
      </c>
      <c r="E1354" s="1">
        <f>value(GBP!$B1354)</f>
        <v>20212.8684</v>
      </c>
      <c r="F1354" s="1">
        <f>value(CHF!$B1354)</f>
        <v>13603.3141</v>
      </c>
      <c r="G1354" s="1">
        <f>value(SGD!$B1354)</f>
        <v>9551.59267</v>
      </c>
      <c r="H1354" s="1">
        <f>value(MYR!$B1354)</f>
        <v>3583.84451</v>
      </c>
      <c r="I1354" s="1">
        <f>value(THB!$B1354)</f>
        <v>370.54486</v>
      </c>
      <c r="J1354" s="1">
        <f>value(VND!$B1354)</f>
        <v>0.5407266585</v>
      </c>
      <c r="K1354" s="1">
        <f>value(CNY!$B1354)</f>
        <v>1836.461</v>
      </c>
      <c r="L1354" s="1">
        <f>value(HKD!$B1354)</f>
        <v>1570.48572</v>
      </c>
      <c r="M1354" s="1">
        <f>value(TWD!$B1354)</f>
        <v>402.37903</v>
      </c>
      <c r="N1354" s="1">
        <f>value(JPY!$B1354)</f>
        <v>118.810977</v>
      </c>
      <c r="O1354" s="1">
        <f>value(SAR!$B1354)</f>
        <v>3052.100527</v>
      </c>
      <c r="P1354" s="1">
        <f>value(AED!$B1354)</f>
        <v>3132.7918</v>
      </c>
      <c r="Q1354" s="1">
        <f>value(KWD!$B1354)</f>
        <v>41175.42192</v>
      </c>
    </row>
    <row r="1355">
      <c r="A1355" s="4">
        <f>value(USD!A1355)</f>
        <v>41665.99861</v>
      </c>
      <c r="B1355" s="1">
        <f>value(USD!B1355)</f>
        <v>12127</v>
      </c>
      <c r="C1355" s="1">
        <f>value(AUD!$B1355)</f>
        <v>10574.84478</v>
      </c>
      <c r="D1355" s="1">
        <f>value(EUR!$B1355)</f>
        <v>16512.26592</v>
      </c>
      <c r="E1355" s="1">
        <f>value(GBP!$B1355)</f>
        <v>20034.4731</v>
      </c>
      <c r="F1355" s="1">
        <f>value(CHF!$B1355)</f>
        <v>13438.9509</v>
      </c>
      <c r="G1355" s="1">
        <f>value(SGD!$B1355)</f>
        <v>9494.09337</v>
      </c>
      <c r="H1355" s="1">
        <f>value(MYR!$B1355)</f>
        <v>3565.98384</v>
      </c>
      <c r="I1355" s="1">
        <f>value(THB!$B1355)</f>
        <v>367.50627</v>
      </c>
      <c r="J1355" s="1">
        <f>value(VND!$B1355)</f>
        <v>0.5376139793</v>
      </c>
      <c r="K1355" s="1">
        <f>value(CNY!$B1355)</f>
        <v>1831.34263</v>
      </c>
      <c r="L1355" s="1">
        <f>value(HKD!$B1355)</f>
        <v>1557.33654</v>
      </c>
      <c r="M1355" s="1">
        <f>value(TWD!$B1355)</f>
        <v>399.31086</v>
      </c>
      <c r="N1355" s="1">
        <f>value(JPY!$B1355)</f>
        <v>117.072333</v>
      </c>
      <c r="O1355" s="1">
        <f>value(SAR!$B1355)</f>
        <v>3048.282488</v>
      </c>
      <c r="P1355" s="1">
        <f>value(AED!$B1355)</f>
        <v>3155.9271</v>
      </c>
      <c r="Q1355" s="1">
        <f>value(KWD!$B1355)</f>
        <v>41065.70932</v>
      </c>
    </row>
    <row r="1356">
      <c r="A1356" s="4">
        <f>value(USD!A1356)</f>
        <v>41666.99861</v>
      </c>
      <c r="B1356" s="1">
        <f>value(USD!B1356)</f>
        <v>12197</v>
      </c>
      <c r="C1356" s="1">
        <f>value(AUD!$B1356)</f>
        <v>10677.4672</v>
      </c>
      <c r="D1356" s="1">
        <f>value(EUR!$B1356)</f>
        <v>16507.2159</v>
      </c>
      <c r="E1356" s="1">
        <f>value(GBP!$B1356)</f>
        <v>20011.2372</v>
      </c>
      <c r="F1356" s="1">
        <f>value(CHF!$B1356)</f>
        <v>13501.179</v>
      </c>
      <c r="G1356" s="1">
        <f>value(SGD!$B1356)</f>
        <v>9466.17579</v>
      </c>
      <c r="H1356" s="1">
        <f>value(MYR!$B1356)</f>
        <v>3558.05019</v>
      </c>
      <c r="I1356" s="1">
        <f>value(THB!$B1356)</f>
        <v>366.2361</v>
      </c>
      <c r="J1356" s="1">
        <f>value(VND!$B1356)</f>
        <v>0.5439038715</v>
      </c>
      <c r="K1356" s="1">
        <f>value(CNY!$B1356)</f>
        <v>1833.446667</v>
      </c>
      <c r="L1356" s="1">
        <f>value(HKD!$B1356)</f>
        <v>1556.56386</v>
      </c>
      <c r="M1356" s="1">
        <f>value(TWD!$B1356)</f>
        <v>398.38752</v>
      </c>
      <c r="N1356" s="1">
        <f>value(JPY!$B1356)</f>
        <v>118.138338</v>
      </c>
      <c r="O1356" s="1">
        <f>value(SAR!$B1356)</f>
        <v>3013.713157</v>
      </c>
      <c r="P1356" s="1">
        <f>value(AED!$B1356)</f>
        <v>3155.9271</v>
      </c>
      <c r="Q1356" s="1">
        <f>value(KWD!$B1356)</f>
        <v>41061.33964</v>
      </c>
    </row>
    <row r="1357">
      <c r="A1357" s="4">
        <f>value(USD!A1357)</f>
        <v>41667.99861</v>
      </c>
      <c r="B1357" s="1">
        <f>value(USD!B1357)</f>
        <v>12093</v>
      </c>
      <c r="C1357" s="1">
        <f>value(AUD!$B1357)</f>
        <v>10732.658</v>
      </c>
      <c r="D1357" s="1">
        <f>value(EUR!$B1357)</f>
        <v>16462.2651</v>
      </c>
      <c r="E1357" s="1">
        <f>value(GBP!$B1357)</f>
        <v>20031.0928</v>
      </c>
      <c r="F1357" s="1">
        <f>value(CHF!$B1357)</f>
        <v>13452.0154</v>
      </c>
      <c r="G1357" s="1">
        <f>value(SGD!$B1357)</f>
        <v>9520.23343</v>
      </c>
      <c r="H1357" s="1">
        <f>value(MYR!$B1357)</f>
        <v>3555.83469</v>
      </c>
      <c r="I1357" s="1">
        <f>value(THB!$B1357)</f>
        <v>367.44718</v>
      </c>
      <c r="J1357" s="1">
        <f>value(VND!$B1357)</f>
        <v>0.5425178119</v>
      </c>
      <c r="K1357" s="1">
        <f>value(CNY!$B1357)</f>
        <v>1831.11461</v>
      </c>
      <c r="L1357" s="1">
        <f>value(HKD!$B1357)</f>
        <v>1563.28982</v>
      </c>
      <c r="M1357" s="1">
        <f>value(TWD!$B1357)</f>
        <v>399.26184</v>
      </c>
      <c r="N1357" s="1">
        <f>value(JPY!$B1357)</f>
        <v>118.15139</v>
      </c>
      <c r="O1357" s="1">
        <f>value(SAR!$B1357)</f>
        <v>3019.326812</v>
      </c>
      <c r="P1357" s="1">
        <f>value(AED!$B1357)</f>
        <v>3146.4008</v>
      </c>
      <c r="Q1357" s="1">
        <f>value(KWD!$B1357)</f>
        <v>41304.10782</v>
      </c>
    </row>
    <row r="1358">
      <c r="A1358" s="4">
        <f>value(USD!A1358)</f>
        <v>41668.99861</v>
      </c>
      <c r="B1358" s="1">
        <f>value(USD!B1358)</f>
        <v>12087</v>
      </c>
      <c r="C1358" s="1">
        <f>value(AUD!$B1358)</f>
        <v>10682.5986</v>
      </c>
      <c r="D1358" s="1">
        <f>value(EUR!$B1358)</f>
        <v>16385.247</v>
      </c>
      <c r="E1358" s="1">
        <f>value(GBP!$B1358)</f>
        <v>19968.525</v>
      </c>
      <c r="F1358" s="1">
        <f>value(CHF!$B1358)</f>
        <v>13397.805</v>
      </c>
      <c r="G1358" s="1">
        <f>value(SGD!$B1358)</f>
        <v>9512.235</v>
      </c>
      <c r="H1358" s="1">
        <f>value(MYR!$B1358)</f>
        <v>3551.5665</v>
      </c>
      <c r="I1358" s="1">
        <f>value(THB!$B1358)</f>
        <v>367.5375</v>
      </c>
      <c r="J1358" s="1">
        <f>value(VND!$B1358)</f>
        <v>0.5442370617</v>
      </c>
      <c r="K1358" s="1">
        <f>value(CNY!$B1358)</f>
        <v>1833.21096</v>
      </c>
      <c r="L1358" s="1">
        <f>value(HKD!$B1358)</f>
        <v>1564.7985</v>
      </c>
      <c r="M1358" s="1">
        <f>value(TWD!$B1358)</f>
        <v>398.277</v>
      </c>
      <c r="N1358" s="1">
        <f>value(JPY!$B1358)</f>
        <v>119.07</v>
      </c>
      <c r="O1358" s="1">
        <f>value(SAR!$B1358)</f>
        <v>3015.000223</v>
      </c>
      <c r="P1358" s="1">
        <f>value(AED!$B1358)</f>
        <v>3146.4008</v>
      </c>
      <c r="Q1358" s="1">
        <f>value(KWD!$B1358)</f>
        <v>41175.42192</v>
      </c>
    </row>
    <row r="1359">
      <c r="A1359" s="4">
        <f>value(USD!A1359)</f>
        <v>41669.99861</v>
      </c>
      <c r="B1359" s="1">
        <f>value(USD!B1359)</f>
        <v>12143</v>
      </c>
      <c r="C1359" s="1">
        <f>value(AUD!$B1359)</f>
        <v>10747.37554</v>
      </c>
      <c r="D1359" s="1">
        <f>value(EUR!$B1359)</f>
        <v>16427.51666</v>
      </c>
      <c r="E1359" s="1">
        <f>value(GBP!$B1359)</f>
        <v>20018.25731</v>
      </c>
      <c r="F1359" s="1">
        <f>value(CHF!$B1359)</f>
        <v>13431.1727</v>
      </c>
      <c r="G1359" s="1">
        <f>value(SGD!$B1359)</f>
        <v>9535.925554</v>
      </c>
      <c r="H1359" s="1">
        <f>value(MYR!$B1359)</f>
        <v>3560.533603</v>
      </c>
      <c r="I1359" s="1">
        <f>value(THB!$B1359)</f>
        <v>361.2665116</v>
      </c>
      <c r="J1359" s="1">
        <f>value(VND!$B1359)</f>
        <v>0.5460807573</v>
      </c>
      <c r="K1359" s="1">
        <f>value(CNY!$B1359)</f>
        <v>1834.38958</v>
      </c>
      <c r="L1359" s="1">
        <f>value(HKD!$B1359)</f>
        <v>1568.695685</v>
      </c>
      <c r="M1359" s="1">
        <f>value(TWD!$B1359)</f>
        <v>399.2689228</v>
      </c>
      <c r="N1359" s="1">
        <f>value(JPY!$B1359)</f>
        <v>119.366548</v>
      </c>
      <c r="O1359" s="1">
        <f>value(SAR!$B1359)</f>
        <v>3012.25078</v>
      </c>
      <c r="P1359" s="1">
        <f>value(AED!$B1359)</f>
        <v>3165.4534</v>
      </c>
      <c r="Q1359" s="1">
        <f>value(KWD!$B1359)</f>
        <v>41435.6756</v>
      </c>
    </row>
    <row r="1360">
      <c r="A1360" s="4">
        <f>value(USD!A1360)</f>
        <v>41670.99861</v>
      </c>
      <c r="B1360" s="1">
        <f>value(USD!B1360)</f>
        <v>12150</v>
      </c>
      <c r="C1360" s="1">
        <f>value(AUD!$B1360)</f>
        <v>10763.22046</v>
      </c>
      <c r="D1360" s="1">
        <f>value(EUR!$B1360)</f>
        <v>16387.92</v>
      </c>
      <c r="E1360" s="1">
        <f>value(GBP!$B1360)</f>
        <v>19964.88</v>
      </c>
      <c r="F1360" s="1">
        <f>value(CHF!$B1360)</f>
        <v>13401.45</v>
      </c>
      <c r="G1360" s="1">
        <f>value(SGD!$B1360)</f>
        <v>9507.7395</v>
      </c>
      <c r="H1360" s="1">
        <f>value(MYR!$B1360)</f>
        <v>3551.688</v>
      </c>
      <c r="I1360" s="1">
        <f>value(THB!$B1360)</f>
        <v>367.5375</v>
      </c>
      <c r="J1360" s="1">
        <f>value(VND!$B1360)</f>
        <v>0.5467933463</v>
      </c>
      <c r="K1360" s="1">
        <f>value(CNY!$B1360)</f>
        <v>1840.92065</v>
      </c>
      <c r="L1360" s="1">
        <f>value(HKD!$B1360)</f>
        <v>1564.7985</v>
      </c>
      <c r="M1360" s="1">
        <f>value(TWD!$B1360)</f>
        <v>398.277</v>
      </c>
      <c r="N1360" s="1">
        <f>value(JPY!$B1360)</f>
        <v>118.9485</v>
      </c>
      <c r="O1360" s="1">
        <f>value(SAR!$B1360)</f>
        <v>3022.579193</v>
      </c>
      <c r="P1360" s="1">
        <f>value(AED!$B1360)</f>
        <v>3155.9271</v>
      </c>
      <c r="Q1360" s="1">
        <f>value(KWD!$B1360)</f>
        <v>41887.79112</v>
      </c>
    </row>
    <row r="1361">
      <c r="A1361" s="4">
        <f>value(USD!A1361)</f>
        <v>41671.99861</v>
      </c>
      <c r="B1361" s="1">
        <f>value(USD!B1361)</f>
        <v>12180.26</v>
      </c>
      <c r="C1361" s="1">
        <f>value(AUD!$B1361)</f>
        <v>10733.21436</v>
      </c>
      <c r="D1361" s="1">
        <f>value(EUR!$B1361)</f>
        <v>16354.93599</v>
      </c>
      <c r="E1361" s="1">
        <f>value(GBP!$B1361)</f>
        <v>19720.17603</v>
      </c>
      <c r="F1361" s="1">
        <f>value(CHF!$B1361)</f>
        <v>13414.7649</v>
      </c>
      <c r="G1361" s="1">
        <f>value(SGD!$B1361)</f>
        <v>9482.00037</v>
      </c>
      <c r="H1361" s="1">
        <f>value(MYR!$B1361)</f>
        <v>3555.70479</v>
      </c>
      <c r="I1361" s="1">
        <f>value(THB!$B1361)</f>
        <v>366.90162</v>
      </c>
      <c r="J1361" s="1">
        <f>value(VND!$B1361)</f>
        <v>0.5510931546</v>
      </c>
      <c r="K1361" s="1">
        <f>value(CNY!$B1361)</f>
        <v>1831.54433</v>
      </c>
      <c r="L1361" s="1">
        <f>value(HKD!$B1361)</f>
        <v>1557.09468</v>
      </c>
      <c r="M1361" s="1">
        <f>value(TWD!$B1361)</f>
        <v>399.18993</v>
      </c>
      <c r="N1361" s="1">
        <f>value(JPY!$B1361)</f>
        <v>119.527212</v>
      </c>
      <c r="O1361" s="1">
        <f>value(SAR!$B1361)</f>
        <v>3015.839096</v>
      </c>
      <c r="P1361" s="1">
        <f>value(AED!$B1361)</f>
        <v>3173.6188</v>
      </c>
      <c r="Q1361" s="1">
        <f>value(KWD!$B1361)</f>
        <v>41799.83676</v>
      </c>
    </row>
    <row r="1362">
      <c r="A1362" s="4">
        <f>value(USD!A1362)</f>
        <v>41672.99861</v>
      </c>
      <c r="B1362" s="1">
        <f>value(USD!B1362)</f>
        <v>12150</v>
      </c>
      <c r="C1362" s="1">
        <f>value(AUD!$B1362)</f>
        <v>10754.8518</v>
      </c>
      <c r="D1362" s="1">
        <f>value(EUR!$B1362)</f>
        <v>16191.1234</v>
      </c>
      <c r="E1362" s="1">
        <f>value(GBP!$B1362)</f>
        <v>19564.13433</v>
      </c>
      <c r="F1362" s="1">
        <f>value(CHF!$B1362)</f>
        <v>13250.986</v>
      </c>
      <c r="G1362" s="1">
        <f>value(SGD!$B1362)</f>
        <v>9444.02325</v>
      </c>
      <c r="H1362" s="1">
        <f>value(MYR!$B1362)</f>
        <v>3539.90626</v>
      </c>
      <c r="I1362" s="1">
        <f>value(THB!$B1362)</f>
        <v>365.54031</v>
      </c>
      <c r="J1362" s="1">
        <f>value(VND!$B1362)</f>
        <v>0.5544098548</v>
      </c>
      <c r="K1362" s="1">
        <f>value(CNY!$B1362)</f>
        <v>1819.6528</v>
      </c>
      <c r="L1362" s="1">
        <f>value(HKD!$B1362)</f>
        <v>1543.1528</v>
      </c>
      <c r="M1362" s="1">
        <f>value(TWD!$B1362)</f>
        <v>395.61262</v>
      </c>
      <c r="N1362" s="1">
        <f>value(JPY!$B1362)</f>
        <v>117.797192</v>
      </c>
      <c r="O1362" s="1">
        <f>value(SAR!$B1362)</f>
        <v>3052.263475</v>
      </c>
      <c r="P1362" s="1">
        <f>value(AED!$B1362)</f>
        <v>3200.8368</v>
      </c>
      <c r="Q1362" s="1">
        <f>value(KWD!$B1362)</f>
        <v>42153.26937</v>
      </c>
    </row>
    <row r="1363">
      <c r="A1363" s="4">
        <f>value(USD!A1363)</f>
        <v>41673.99861</v>
      </c>
      <c r="B1363" s="1">
        <f>value(USD!B1363)</f>
        <v>12093</v>
      </c>
      <c r="C1363" s="1">
        <f>value(AUD!$B1363)</f>
        <v>10813.781</v>
      </c>
      <c r="D1363" s="1">
        <f>value(EUR!$B1363)</f>
        <v>16266.4256</v>
      </c>
      <c r="E1363" s="1">
        <f>value(GBP!$B1363)</f>
        <v>19617.3612</v>
      </c>
      <c r="F1363" s="1">
        <f>value(CHF!$B1363)</f>
        <v>13294.12</v>
      </c>
      <c r="G1363" s="1">
        <f>value(SGD!$B1363)</f>
        <v>9476.0872</v>
      </c>
      <c r="H1363" s="1">
        <f>value(MYR!$B1363)</f>
        <v>3567.536</v>
      </c>
      <c r="I1363" s="1">
        <f>value(THB!$B1363)</f>
        <v>366.61</v>
      </c>
      <c r="J1363" s="1">
        <f>value(VND!$B1363)</f>
        <v>0.548517191</v>
      </c>
      <c r="K1363" s="1">
        <f>value(CNY!$B1363)</f>
        <v>1822.761969</v>
      </c>
      <c r="L1363" s="1">
        <f>value(HKD!$B1363)</f>
        <v>1548.5366</v>
      </c>
      <c r="M1363" s="1">
        <f>value(TWD!$B1363)</f>
        <v>396.9004</v>
      </c>
      <c r="N1363" s="1">
        <f>value(JPY!$B1363)</f>
        <v>118.46912</v>
      </c>
      <c r="O1363" s="1">
        <f>value(SAR!$B1363)</f>
        <v>3042.132478</v>
      </c>
      <c r="P1363" s="1">
        <f>value(AED!$B1363)</f>
        <v>3203.5586</v>
      </c>
      <c r="Q1363" s="1">
        <f>value(KWD!$B1363)</f>
        <v>42099.08442</v>
      </c>
    </row>
    <row r="1364">
      <c r="A1364" s="4">
        <f>value(USD!A1364)</f>
        <v>41674.99861</v>
      </c>
      <c r="B1364" s="1">
        <f>value(USD!B1364)</f>
        <v>11981</v>
      </c>
      <c r="C1364" s="1">
        <f>value(AUD!$B1364)</f>
        <v>10761.88131</v>
      </c>
      <c r="D1364" s="1">
        <f>value(EUR!$B1364)</f>
        <v>16225.6242</v>
      </c>
      <c r="E1364" s="1">
        <f>value(GBP!$B1364)</f>
        <v>19485.0054</v>
      </c>
      <c r="F1364" s="1">
        <f>value(CHF!$B1364)</f>
        <v>13253.4</v>
      </c>
      <c r="G1364" s="1">
        <f>value(SGD!$B1364)</f>
        <v>9412.899</v>
      </c>
      <c r="H1364" s="1">
        <f>value(MYR!$B1364)</f>
        <v>3549.2844</v>
      </c>
      <c r="I1364" s="1">
        <f>value(THB!$B1364)</f>
        <v>363.573</v>
      </c>
      <c r="J1364" s="1">
        <f>value(VND!$B1364)</f>
        <v>0.5513154747</v>
      </c>
      <c r="K1364" s="1">
        <f>value(CNY!$B1364)</f>
        <v>1821.57465</v>
      </c>
      <c r="L1364" s="1">
        <f>value(HKD!$B1364)</f>
        <v>1538.7078</v>
      </c>
      <c r="M1364" s="1">
        <f>value(TWD!$B1364)</f>
        <v>396.0498</v>
      </c>
      <c r="N1364" s="1">
        <f>value(JPY!$B1364)</f>
        <v>117.012</v>
      </c>
      <c r="O1364" s="1">
        <f>value(SAR!$B1364)</f>
        <v>3046.901146</v>
      </c>
      <c r="P1364" s="1">
        <f>value(AED!$B1364)</f>
        <v>3232.1375</v>
      </c>
      <c r="Q1364" s="1">
        <f>value(KWD!$B1364)</f>
        <v>41973.07106</v>
      </c>
    </row>
    <row r="1365">
      <c r="A1365" s="4">
        <f>value(USD!A1365)</f>
        <v>41675.99861</v>
      </c>
      <c r="B1365" s="1">
        <f>value(USD!B1365)</f>
        <v>12020</v>
      </c>
      <c r="C1365" s="1">
        <f>value(AUD!$B1365)</f>
        <v>10664.648</v>
      </c>
      <c r="D1365" s="1">
        <f>value(EUR!$B1365)</f>
        <v>16362.28341</v>
      </c>
      <c r="E1365" s="1">
        <f>value(GBP!$B1365)</f>
        <v>19688.72059</v>
      </c>
      <c r="F1365" s="1">
        <f>value(CHF!$B1365)</f>
        <v>13360.7133</v>
      </c>
      <c r="G1365" s="1">
        <f>value(SGD!$B1365)</f>
        <v>9461.10836</v>
      </c>
      <c r="H1365" s="1">
        <f>value(MYR!$B1365)</f>
        <v>3557.93647</v>
      </c>
      <c r="I1365" s="1">
        <f>value(THB!$B1365)</f>
        <v>365.67047</v>
      </c>
      <c r="J1365" s="1">
        <f>value(VND!$B1365)</f>
        <v>0.5496563138</v>
      </c>
      <c r="K1365" s="1">
        <f>value(CNY!$B1365)</f>
        <v>1810.14165</v>
      </c>
      <c r="L1365" s="1">
        <f>value(HKD!$B1365)</f>
        <v>1546.56887</v>
      </c>
      <c r="M1365" s="1">
        <f>value(TWD!$B1365)</f>
        <v>398.07317</v>
      </c>
      <c r="N1365" s="1">
        <f>value(JPY!$B1365)</f>
        <v>117.24977</v>
      </c>
      <c r="O1365" s="1">
        <f>value(SAR!$B1365)</f>
        <v>3043.025632</v>
      </c>
      <c r="P1365" s="1">
        <f>value(AED!$B1365)</f>
        <v>3223.9721</v>
      </c>
      <c r="Q1365" s="1">
        <f>value(KWD!$B1365)</f>
        <v>42041.67029</v>
      </c>
    </row>
    <row r="1366">
      <c r="A1366" s="4">
        <f>value(USD!A1366)</f>
        <v>41676.99861</v>
      </c>
      <c r="B1366" s="1">
        <f>value(USD!B1366)</f>
        <v>11940</v>
      </c>
      <c r="C1366" s="1">
        <f>value(AUD!$B1366)</f>
        <v>10477.78074</v>
      </c>
      <c r="D1366" s="1">
        <f>value(EUR!$B1366)</f>
        <v>16387.01818</v>
      </c>
      <c r="E1366" s="1">
        <f>value(GBP!$B1366)</f>
        <v>19722.3545</v>
      </c>
      <c r="F1366" s="1">
        <f>value(CHF!$B1366)</f>
        <v>13381.00875</v>
      </c>
      <c r="G1366" s="1">
        <f>value(SGD!$B1366)</f>
        <v>9475.480162</v>
      </c>
      <c r="H1366" s="1">
        <f>value(MYR!$B1366)</f>
        <v>3563.220925</v>
      </c>
      <c r="I1366" s="1">
        <f>value(THB!$B1366)</f>
        <v>361.8990153</v>
      </c>
      <c r="J1366" s="1">
        <f>value(VND!$B1366)</f>
        <v>0.5528686477</v>
      </c>
      <c r="K1366" s="1">
        <f>value(CNY!$B1366)</f>
        <v>1813.77638</v>
      </c>
      <c r="L1366" s="1">
        <f>value(HKD!$B1366)</f>
        <v>1548.91817</v>
      </c>
      <c r="M1366" s="1">
        <f>value(TWD!$B1366)</f>
        <v>398.6778591</v>
      </c>
      <c r="N1366" s="1">
        <f>value(JPY!$B1366)</f>
        <v>117.4278771</v>
      </c>
      <c r="O1366" s="1">
        <f>value(SAR!$B1366)</f>
        <v>3029.6807</v>
      </c>
      <c r="P1366" s="1">
        <f>value(AED!$B1366)</f>
        <v>3215.8067</v>
      </c>
      <c r="Q1366" s="1">
        <f>value(KWD!$B1366)</f>
        <v>42041.67029</v>
      </c>
    </row>
    <row r="1367">
      <c r="A1367" s="4">
        <f>value(USD!A1367)</f>
        <v>41677.99861</v>
      </c>
      <c r="B1367" s="1">
        <f>value(USD!B1367)</f>
        <v>12001</v>
      </c>
      <c r="C1367" s="1">
        <f>value(AUD!$B1367)</f>
        <v>10501.15649</v>
      </c>
      <c r="D1367" s="1">
        <f>value(EUR!$B1367)</f>
        <v>16344.52193</v>
      </c>
      <c r="E1367" s="1">
        <f>value(GBP!$B1367)</f>
        <v>19688.8406</v>
      </c>
      <c r="F1367" s="1">
        <f>value(CHF!$B1367)</f>
        <v>13352.3126</v>
      </c>
      <c r="G1367" s="1">
        <f>value(SGD!$B1367)</f>
        <v>9460.02827</v>
      </c>
      <c r="H1367" s="1">
        <f>value(MYR!$B1367)</f>
        <v>3554.09615</v>
      </c>
      <c r="I1367" s="1">
        <f>value(THB!$B1367)</f>
        <v>360.99008</v>
      </c>
      <c r="J1367" s="1">
        <f>value(VND!$B1367)</f>
        <v>0.5574780724</v>
      </c>
      <c r="K1367" s="1">
        <f>value(CNY!$B1367)</f>
        <v>1816.74075</v>
      </c>
      <c r="L1367" s="1">
        <f>value(HKD!$B1367)</f>
        <v>1546.68888</v>
      </c>
      <c r="M1367" s="1">
        <f>value(TWD!$B1367)</f>
        <v>397.71314</v>
      </c>
      <c r="N1367" s="1">
        <f>value(JPY!$B1367)</f>
        <v>117.00975</v>
      </c>
      <c r="O1367" s="1">
        <f>value(SAR!$B1367)</f>
        <v>3037.930671</v>
      </c>
      <c r="P1367" s="1">
        <f>value(AED!$B1367)</f>
        <v>3221.062495</v>
      </c>
      <c r="Q1367" s="1">
        <f>value(KWD!$B1367)</f>
        <v>41813.14275</v>
      </c>
    </row>
    <row r="1368">
      <c r="A1368" s="4">
        <f>value(USD!A1368)</f>
        <v>41678.99861</v>
      </c>
      <c r="B1368" s="1">
        <f>value(USD!B1368)</f>
        <v>12019.23</v>
      </c>
      <c r="C1368" s="1">
        <f>value(AUD!$B1368)</f>
        <v>10579.3358</v>
      </c>
      <c r="D1368" s="1">
        <f>value(EUR!$B1368)</f>
        <v>16409.71752</v>
      </c>
      <c r="E1368" s="1">
        <f>value(GBP!$B1368)</f>
        <v>19731.90002</v>
      </c>
      <c r="F1368" s="1">
        <f>value(CHF!$B1368)</f>
        <v>13410.1926</v>
      </c>
      <c r="G1368" s="1">
        <f>value(SGD!$B1368)</f>
        <v>9464.22148</v>
      </c>
      <c r="H1368" s="1">
        <f>value(MYR!$B1368)</f>
        <v>3546.10662</v>
      </c>
      <c r="I1368" s="1">
        <f>value(THB!$B1368)</f>
        <v>366.07144</v>
      </c>
      <c r="J1368" s="1">
        <f>value(VND!$B1368)</f>
        <v>0.5560542295</v>
      </c>
      <c r="K1368" s="1">
        <f>value(CNY!$B1368)</f>
        <v>1824.82165</v>
      </c>
      <c r="L1368" s="1">
        <f>value(HKD!$B1368)</f>
        <v>1550.27166</v>
      </c>
      <c r="M1368" s="1">
        <f>value(TWD!$B1368)</f>
        <v>396.97826</v>
      </c>
      <c r="N1368" s="1">
        <f>value(JPY!$B1368)</f>
        <v>117.710488</v>
      </c>
      <c r="O1368" s="1">
        <f>value(SAR!$B1368)</f>
        <v>3052.100527</v>
      </c>
      <c r="P1368" s="1">
        <f>value(AED!$B1368)</f>
        <v>3221.062495</v>
      </c>
      <c r="Q1368" s="1">
        <f>value(KWD!$B1368)</f>
        <v>41928.37491</v>
      </c>
    </row>
    <row r="1369">
      <c r="A1369" s="4">
        <f>value(USD!A1369)</f>
        <v>41679.99861</v>
      </c>
      <c r="B1369" s="1">
        <f>value(USD!B1369)</f>
        <v>12001</v>
      </c>
      <c r="C1369" s="1">
        <f>value(AUD!$B1369)</f>
        <v>10513.2609</v>
      </c>
      <c r="D1369" s="1">
        <f>value(EUR!$B1369)</f>
        <v>16350.763</v>
      </c>
      <c r="E1369" s="1">
        <f>value(GBP!$B1369)</f>
        <v>19717.9147</v>
      </c>
      <c r="F1369" s="1">
        <f>value(CHF!$B1369)</f>
        <v>13346.069</v>
      </c>
      <c r="G1369" s="1">
        <f>value(SGD!$B1369)</f>
        <v>9460.5896</v>
      </c>
      <c r="H1369" s="1">
        <f>value(MYR!$B1369)</f>
        <v>3532.8535</v>
      </c>
      <c r="I1369" s="1">
        <f>value(THB!$B1369)</f>
        <v>365.9348</v>
      </c>
      <c r="J1369" s="1">
        <f>value(VND!$B1369)</f>
        <v>0.5608028243</v>
      </c>
      <c r="K1369" s="1">
        <f>value(CNY!$B1369)</f>
        <v>1821.3624</v>
      </c>
      <c r="L1369" s="1">
        <f>value(HKD!$B1369)</f>
        <v>1545.7508</v>
      </c>
      <c r="M1369" s="1">
        <f>value(TWD!$B1369)</f>
        <v>394.8307</v>
      </c>
      <c r="N1369" s="1">
        <f>value(JPY!$B1369)</f>
        <v>116.91449</v>
      </c>
      <c r="O1369" s="1">
        <f>value(SAR!$B1369)</f>
        <v>3034.771419</v>
      </c>
      <c r="P1369" s="1">
        <f>value(AED!$B1369)</f>
        <v>3204.9195</v>
      </c>
      <c r="Q1369" s="1">
        <f>value(KWD!$B1369)</f>
        <v>41901.81208</v>
      </c>
    </row>
    <row r="1370">
      <c r="A1370" s="4">
        <f>value(USD!A1370)</f>
        <v>41680.99861</v>
      </c>
      <c r="B1370" s="1">
        <f>value(USD!B1370)</f>
        <v>12026</v>
      </c>
      <c r="C1370" s="1">
        <f>value(AUD!$B1370)</f>
        <v>10678.2592</v>
      </c>
      <c r="D1370" s="1">
        <f>value(EUR!$B1370)</f>
        <v>16213.0359</v>
      </c>
      <c r="E1370" s="1">
        <f>value(GBP!$B1370)</f>
        <v>19815.0048</v>
      </c>
      <c r="F1370" s="1">
        <f>value(CHF!$B1370)</f>
        <v>13243.41</v>
      </c>
      <c r="G1370" s="1">
        <f>value(SGD!$B1370)</f>
        <v>9426.32517</v>
      </c>
      <c r="H1370" s="1">
        <f>value(MYR!$B1370)</f>
        <v>3531.09876</v>
      </c>
      <c r="I1370" s="1">
        <f>value(THB!$B1370)</f>
        <v>366.40101</v>
      </c>
      <c r="J1370" s="1">
        <f>value(VND!$B1370)</f>
        <v>0.5593860593</v>
      </c>
      <c r="K1370" s="1">
        <f>value(CNY!$B1370)</f>
        <v>1822.875219</v>
      </c>
      <c r="L1370" s="1">
        <f>value(HKD!$B1370)</f>
        <v>1538.14452</v>
      </c>
      <c r="M1370" s="1">
        <f>value(TWD!$B1370)</f>
        <v>395.03541</v>
      </c>
      <c r="N1370" s="1">
        <f>value(JPY!$B1370)</f>
        <v>116.434629</v>
      </c>
      <c r="O1370" s="1">
        <f>value(SAR!$B1370)</f>
        <v>3017.402401</v>
      </c>
      <c r="P1370" s="1">
        <f>value(AED!$B1370)</f>
        <v>3215.8067</v>
      </c>
      <c r="Q1370" s="1">
        <f>value(KWD!$B1370)</f>
        <v>41845.75238</v>
      </c>
    </row>
    <row r="1371">
      <c r="A1371" s="4">
        <f>value(USD!A1371)</f>
        <v>41681.99861</v>
      </c>
      <c r="B1371" s="1">
        <f>value(USD!B1371)</f>
        <v>11990</v>
      </c>
      <c r="C1371" s="1">
        <f>value(AUD!$B1371)</f>
        <v>10501.5658</v>
      </c>
      <c r="D1371" s="1">
        <f>value(EUR!$B1371)</f>
        <v>16242.8052</v>
      </c>
      <c r="E1371" s="1">
        <f>value(GBP!$B1371)</f>
        <v>19779.478</v>
      </c>
      <c r="F1371" s="1">
        <f>value(CHF!$B1371)</f>
        <v>13290.4316</v>
      </c>
      <c r="G1371" s="1">
        <f>value(SGD!$B1371)</f>
        <v>9385.6028</v>
      </c>
      <c r="H1371" s="1">
        <f>value(MYR!$B1371)</f>
        <v>3513.63336</v>
      </c>
      <c r="I1371" s="1">
        <f>value(THB!$B1371)</f>
        <v>364.5932</v>
      </c>
      <c r="J1371" s="1">
        <f>value(VND!$B1371)</f>
        <v>0.5579692943</v>
      </c>
      <c r="K1371" s="1">
        <f>value(CNY!$B1371)</f>
        <v>1819.779</v>
      </c>
      <c r="L1371" s="1">
        <f>value(HKD!$B1371)</f>
        <v>1531.29144</v>
      </c>
      <c r="M1371" s="1">
        <f>value(TWD!$B1371)</f>
        <v>391.3142</v>
      </c>
      <c r="N1371" s="1">
        <f>value(JPY!$B1371)</f>
        <v>116.218536</v>
      </c>
      <c r="O1371" s="1">
        <f>value(SAR!$B1371)</f>
        <v>3022.745912</v>
      </c>
      <c r="P1371" s="1">
        <f>value(AED!$B1371)</f>
        <v>3213.0849</v>
      </c>
      <c r="Q1371" s="1">
        <f>value(KWD!$B1371)</f>
        <v>41839.7316</v>
      </c>
    </row>
    <row r="1372">
      <c r="A1372" s="4">
        <f>value(USD!A1372)</f>
        <v>41682.99861</v>
      </c>
      <c r="B1372" s="1">
        <f>value(USD!B1372)</f>
        <v>11931</v>
      </c>
      <c r="C1372" s="1">
        <f>value(AUD!$B1372)</f>
        <v>10593.83836</v>
      </c>
      <c r="D1372" s="1">
        <f>value(EUR!$B1372)</f>
        <v>15890.12278</v>
      </c>
      <c r="E1372" s="1">
        <f>value(GBP!$B1372)</f>
        <v>19434.13094</v>
      </c>
      <c r="F1372" s="1">
        <f>value(CHF!$B1372)</f>
        <v>13003.3624</v>
      </c>
      <c r="G1372" s="1">
        <f>value(SGD!$B1372)</f>
        <v>9214.46764</v>
      </c>
      <c r="H1372" s="1">
        <f>value(MYR!$B1372)</f>
        <v>3443.96444</v>
      </c>
      <c r="I1372" s="1">
        <f>value(THB!$B1372)</f>
        <v>358.74146</v>
      </c>
      <c r="J1372" s="1">
        <f>value(VND!$B1372)</f>
        <v>0.5669130465</v>
      </c>
      <c r="K1372" s="1">
        <f>value(CNY!$B1372)</f>
        <v>1818.15615</v>
      </c>
      <c r="L1372" s="1">
        <f>value(HKD!$B1372)</f>
        <v>1496.36158</v>
      </c>
      <c r="M1372" s="1">
        <f>value(TWD!$B1372)</f>
        <v>383.11406</v>
      </c>
      <c r="N1372" s="1">
        <f>value(JPY!$B1372)</f>
        <v>113.97092</v>
      </c>
      <c r="O1372" s="1">
        <f>value(SAR!$B1372)</f>
        <v>3003.896584</v>
      </c>
      <c r="P1372" s="1">
        <f>value(AED!$B1372)</f>
        <v>3206.2804</v>
      </c>
      <c r="Q1372" s="1">
        <f>value(KWD!$B1372)</f>
        <v>41915.60051</v>
      </c>
    </row>
    <row r="1373">
      <c r="A1373" s="4">
        <f>value(USD!A1373)</f>
        <v>41683.99861</v>
      </c>
      <c r="B1373" s="1">
        <f>value(USD!B1373)</f>
        <v>11876</v>
      </c>
      <c r="C1373" s="1">
        <f>value(AUD!$B1373)</f>
        <v>10482.99664</v>
      </c>
      <c r="D1373" s="1">
        <f>value(EUR!$B1373)</f>
        <v>15919.75789</v>
      </c>
      <c r="E1373" s="1">
        <f>value(GBP!$B1373)</f>
        <v>19470.91855</v>
      </c>
      <c r="F1373" s="1">
        <f>value(CHF!$B1373)</f>
        <v>13026.73637</v>
      </c>
      <c r="G1373" s="1">
        <f>value(SGD!$B1373)</f>
        <v>9231.854926</v>
      </c>
      <c r="H1373" s="1">
        <f>value(MYR!$B1373)</f>
        <v>3450.230488</v>
      </c>
      <c r="I1373" s="1">
        <f>value(THB!$B1373)</f>
        <v>359.30211</v>
      </c>
      <c r="J1373" s="1">
        <f>value(VND!$B1373)</f>
        <v>0.5580568611</v>
      </c>
      <c r="K1373" s="1">
        <f>value(CNY!$B1373)</f>
        <v>1816.5758</v>
      </c>
      <c r="L1373" s="1">
        <f>value(HKD!$B1373)</f>
        <v>1499.185147</v>
      </c>
      <c r="M1373" s="1">
        <f>value(TWD!$B1373)</f>
        <v>383.836979</v>
      </c>
      <c r="N1373" s="1">
        <f>value(JPY!$B1373)</f>
        <v>114.185978</v>
      </c>
      <c r="O1373" s="1">
        <f>value(SAR!$B1373)</f>
        <v>3004.857694</v>
      </c>
      <c r="P1373" s="1">
        <f>value(AED!$B1373)</f>
        <v>3208.46625</v>
      </c>
      <c r="Q1373" s="1">
        <f>value(KWD!$B1373)</f>
        <v>41915.60051</v>
      </c>
    </row>
    <row r="1374">
      <c r="A1374" s="4">
        <f>value(USD!A1374)</f>
        <v>41684.99861</v>
      </c>
      <c r="B1374" s="1">
        <f>value(USD!B1374)</f>
        <v>11606</v>
      </c>
      <c r="C1374" s="1">
        <f>value(AUD!$B1374)</f>
        <v>10497.07025</v>
      </c>
      <c r="D1374" s="1">
        <f>value(EUR!$B1374)</f>
        <v>16007.4828</v>
      </c>
      <c r="E1374" s="1">
        <f>value(GBP!$B1374)</f>
        <v>19583.3988</v>
      </c>
      <c r="F1374" s="1">
        <f>value(CHF!$B1374)</f>
        <v>13100.006</v>
      </c>
      <c r="G1374" s="1">
        <f>value(SGD!$B1374)</f>
        <v>9279.03458</v>
      </c>
      <c r="H1374" s="1">
        <f>value(MYR!$B1374)</f>
        <v>3469.33968</v>
      </c>
      <c r="I1374" s="1">
        <f>value(THB!$B1374)</f>
        <v>361.21426</v>
      </c>
      <c r="J1374" s="1">
        <f>value(VND!$B1374)</f>
        <v>0.5594223384</v>
      </c>
      <c r="K1374" s="1">
        <f>value(CNY!$B1374)</f>
        <v>1817.5129</v>
      </c>
      <c r="L1374" s="1">
        <f>value(HKD!$B1374)</f>
        <v>1506.67598</v>
      </c>
      <c r="M1374" s="1">
        <f>value(TWD!$B1374)</f>
        <v>385.87172</v>
      </c>
      <c r="N1374" s="1">
        <f>value(JPY!$B1374)</f>
        <v>114.99024</v>
      </c>
      <c r="O1374" s="1">
        <f>value(SAR!$B1374)</f>
        <v>3006.746756</v>
      </c>
      <c r="P1374" s="1">
        <f>value(AED!$B1374)</f>
        <v>3213.457786</v>
      </c>
      <c r="Q1374" s="1">
        <f>value(KWD!$B1374)</f>
        <v>41912.02295</v>
      </c>
    </row>
    <row r="1375">
      <c r="A1375" s="4">
        <f>value(USD!A1375)</f>
        <v>41685.99861</v>
      </c>
      <c r="B1375" s="1">
        <f>value(USD!B1375)</f>
        <v>11627.9</v>
      </c>
      <c r="C1375" s="1">
        <f>value(AUD!$B1375)</f>
        <v>10484.8656</v>
      </c>
      <c r="D1375" s="1">
        <f>value(EUR!$B1375)</f>
        <v>15937.9593</v>
      </c>
      <c r="E1375" s="1">
        <f>value(GBP!$B1375)</f>
        <v>19444.7058</v>
      </c>
      <c r="F1375" s="1">
        <f>value(CHF!$B1375)</f>
        <v>13039.5141</v>
      </c>
      <c r="G1375" s="1">
        <f>value(SGD!$B1375)</f>
        <v>9235.014</v>
      </c>
      <c r="H1375" s="1">
        <f>value(MYR!$B1375)</f>
        <v>3468.48051</v>
      </c>
      <c r="I1375" s="1">
        <f>value(THB!$B1375)</f>
        <v>360.32838</v>
      </c>
      <c r="J1375" s="1">
        <f>value(VND!$B1375)</f>
        <v>0.5584200486</v>
      </c>
      <c r="K1375" s="1">
        <f>value(CNY!$B1375)</f>
        <v>1826.0912</v>
      </c>
      <c r="L1375" s="1">
        <f>value(HKD!$B1375)</f>
        <v>1499.70114</v>
      </c>
      <c r="M1375" s="1">
        <f>value(TWD!$B1375)</f>
        <v>384.40455</v>
      </c>
      <c r="N1375" s="1">
        <f>value(JPY!$B1375)</f>
        <v>113.925645</v>
      </c>
      <c r="O1375" s="1">
        <f>value(SAR!$B1375)</f>
        <v>3025.328955</v>
      </c>
      <c r="P1375" s="1">
        <f>value(AED!$B1375)</f>
        <v>3213.457786</v>
      </c>
      <c r="Q1375" s="1">
        <f>value(KWD!$B1375)</f>
        <v>42200.75883</v>
      </c>
    </row>
    <row r="1376">
      <c r="A1376" s="4">
        <f>value(USD!A1376)</f>
        <v>41686.99861</v>
      </c>
      <c r="B1376" s="1">
        <f>value(USD!B1376)</f>
        <v>11686</v>
      </c>
      <c r="C1376" s="1">
        <f>value(AUD!$B1376)</f>
        <v>10460.30512</v>
      </c>
      <c r="D1376" s="1">
        <f>value(EUR!$B1376)</f>
        <v>16291.4848</v>
      </c>
      <c r="E1376" s="1">
        <f>value(GBP!$B1376)</f>
        <v>19752.4352</v>
      </c>
      <c r="F1376" s="1">
        <f>value(CHF!$B1376)</f>
        <v>13333.024</v>
      </c>
      <c r="G1376" s="1">
        <f>value(SGD!$B1376)</f>
        <v>9381.424</v>
      </c>
      <c r="H1376" s="1">
        <f>value(MYR!$B1376)</f>
        <v>3529.7408</v>
      </c>
      <c r="I1376" s="1">
        <f>value(THB!$B1376)</f>
        <v>364.1984</v>
      </c>
      <c r="J1376" s="1">
        <f>value(VND!$B1376)</f>
        <v>0.5578972188</v>
      </c>
      <c r="K1376" s="1">
        <f>value(CNY!$B1376)</f>
        <v>1834.48105</v>
      </c>
      <c r="L1376" s="1">
        <f>value(HKD!$B1376)</f>
        <v>1526.768</v>
      </c>
      <c r="M1376" s="1">
        <f>value(TWD!$B1376)</f>
        <v>391.7856</v>
      </c>
      <c r="N1376" s="1">
        <f>value(JPY!$B1376)</f>
        <v>115.65312</v>
      </c>
      <c r="O1376" s="1">
        <f>value(SAR!$B1376)</f>
        <v>3018.334082</v>
      </c>
      <c r="P1376" s="1">
        <f>value(AED!$B1376)</f>
        <v>3215.8067</v>
      </c>
      <c r="Q1376" s="1">
        <f>value(KWD!$B1376)</f>
        <v>42661.6883</v>
      </c>
    </row>
    <row r="1377">
      <c r="A1377" s="4">
        <f>value(USD!A1377)</f>
        <v>41687.99861</v>
      </c>
      <c r="B1377" s="1">
        <f>value(USD!B1377)</f>
        <v>11631</v>
      </c>
      <c r="C1377" s="1">
        <f>value(AUD!$B1377)</f>
        <v>10467.296</v>
      </c>
      <c r="D1377" s="1">
        <f>value(EUR!$B1377)</f>
        <v>16021.71538</v>
      </c>
      <c r="E1377" s="1">
        <f>value(GBP!$B1377)</f>
        <v>19461.97605</v>
      </c>
      <c r="F1377" s="1">
        <f>value(CHF!$B1377)</f>
        <v>13126.3737</v>
      </c>
      <c r="G1377" s="1">
        <f>value(SGD!$B1377)</f>
        <v>9232.22784</v>
      </c>
      <c r="H1377" s="1">
        <f>value(MYR!$B1377)</f>
        <v>3476.44077</v>
      </c>
      <c r="I1377" s="1">
        <f>value(THB!$B1377)</f>
        <v>357.48273</v>
      </c>
      <c r="J1377" s="1">
        <f>value(VND!$B1377)</f>
        <v>0.5576058608</v>
      </c>
      <c r="K1377" s="1">
        <f>value(CNY!$B1377)</f>
        <v>1837.784564</v>
      </c>
      <c r="L1377" s="1">
        <f>value(HKD!$B1377)</f>
        <v>1504.85874</v>
      </c>
      <c r="M1377" s="1">
        <f>value(TWD!$B1377)</f>
        <v>384.79287</v>
      </c>
      <c r="N1377" s="1">
        <f>value(JPY!$B1377)</f>
        <v>114.02567</v>
      </c>
      <c r="O1377" s="1">
        <f>value(SAR!$B1377)</f>
        <v>3023.230057</v>
      </c>
      <c r="P1377" s="1">
        <f>value(AED!$B1377)</f>
        <v>3234.8593</v>
      </c>
      <c r="Q1377" s="1">
        <f>value(KWD!$B1377)</f>
        <v>42332.82733</v>
      </c>
    </row>
    <row r="1378">
      <c r="A1378" s="4">
        <f>value(USD!A1378)</f>
        <v>41688.99861</v>
      </c>
      <c r="B1378" s="1">
        <f>value(USD!B1378)</f>
        <v>11840</v>
      </c>
      <c r="C1378" s="1">
        <f>value(AUD!$B1378)</f>
        <v>10455.18586</v>
      </c>
      <c r="D1378" s="1">
        <f>value(EUR!$B1378)</f>
        <v>16132.79892</v>
      </c>
      <c r="E1378" s="1">
        <f>value(GBP!$B1378)</f>
        <v>19592.17946</v>
      </c>
      <c r="F1378" s="1">
        <f>value(CHF!$B1378)</f>
        <v>13220.5401</v>
      </c>
      <c r="G1378" s="1">
        <f>value(SGD!$B1378)</f>
        <v>9299.54031</v>
      </c>
      <c r="H1378" s="1">
        <f>value(MYR!$B1378)</f>
        <v>3500.42643</v>
      </c>
      <c r="I1378" s="1">
        <f>value(THB!$B1378)</f>
        <v>360.82748</v>
      </c>
      <c r="J1378" s="1">
        <f>value(VND!$B1378)</f>
        <v>0.5587609347</v>
      </c>
      <c r="K1378" s="1">
        <f>value(CNY!$B1378)</f>
        <v>1828.2138</v>
      </c>
      <c r="L1378" s="1">
        <f>value(HKD!$B1378)</f>
        <v>1516.34573</v>
      </c>
      <c r="M1378" s="1">
        <f>value(TWD!$B1378)</f>
        <v>387.64256</v>
      </c>
      <c r="N1378" s="1">
        <f>value(JPY!$B1378)</f>
        <v>114.90497</v>
      </c>
      <c r="O1378" s="1">
        <f>value(SAR!$B1378)</f>
        <v>3019.220447</v>
      </c>
      <c r="P1378" s="1">
        <f>value(AED!$B1378)</f>
        <v>3267.5209</v>
      </c>
      <c r="Q1378" s="1">
        <f>value(KWD!$B1378)</f>
        <v>42437.5809</v>
      </c>
    </row>
    <row r="1379">
      <c r="A1379" s="4">
        <f>value(USD!A1379)</f>
        <v>41689.99861</v>
      </c>
      <c r="B1379" s="1">
        <f>value(USD!B1379)</f>
        <v>11671</v>
      </c>
      <c r="C1379" s="1">
        <f>value(AUD!$B1379)</f>
        <v>10391.82777</v>
      </c>
      <c r="D1379" s="1">
        <f>value(EUR!$B1379)</f>
        <v>16045.25522</v>
      </c>
      <c r="E1379" s="1">
        <f>value(GBP!$B1379)</f>
        <v>19408.56555</v>
      </c>
      <c r="F1379" s="1">
        <f>value(CHF!$B1379)</f>
        <v>13153.9741</v>
      </c>
      <c r="G1379" s="1">
        <f>value(SGD!$B1379)</f>
        <v>9212.45427</v>
      </c>
      <c r="H1379" s="1">
        <f>value(MYR!$B1379)</f>
        <v>3491.68452</v>
      </c>
      <c r="I1379" s="1">
        <f>value(THB!$B1379)</f>
        <v>358.6067</v>
      </c>
      <c r="J1379" s="1">
        <f>value(VND!$B1379)</f>
        <v>0.5612750793</v>
      </c>
      <c r="K1379" s="1">
        <f>value(CNY!$B1379)</f>
        <v>1838.337</v>
      </c>
      <c r="L1379" s="1">
        <f>value(HKD!$B1379)</f>
        <v>1506.03133</v>
      </c>
      <c r="M1379" s="1">
        <f>value(TWD!$B1379)</f>
        <v>385.82343</v>
      </c>
      <c r="N1379" s="1">
        <f>value(JPY!$B1379)</f>
        <v>114.00656</v>
      </c>
      <c r="O1379" s="1">
        <f>value(SAR!$B1379)</f>
        <v>3014.733314</v>
      </c>
      <c r="P1379" s="1">
        <f>value(AED!$B1379)</f>
        <v>3243.0247</v>
      </c>
      <c r="Q1379" s="1">
        <f>value(KWD!$B1379)</f>
        <v>42530.05576</v>
      </c>
    </row>
    <row r="1380">
      <c r="A1380" s="4">
        <f>value(USD!A1380)</f>
        <v>41690.99861</v>
      </c>
      <c r="B1380" s="1">
        <f>value(USD!B1380)</f>
        <v>11761</v>
      </c>
      <c r="C1380" s="1">
        <f>value(AUD!$B1380)</f>
        <v>10322.20887</v>
      </c>
      <c r="D1380" s="1">
        <f>value(EUR!$B1380)</f>
        <v>16068.99701</v>
      </c>
      <c r="E1380" s="1">
        <f>value(GBP!$B1380)</f>
        <v>19433.90744</v>
      </c>
      <c r="F1380" s="1">
        <f>value(CHF!$B1380)</f>
        <v>13173.09217</v>
      </c>
      <c r="G1380" s="1">
        <f>value(SGD!$B1380)</f>
        <v>9224.205453</v>
      </c>
      <c r="H1380" s="1">
        <f>value(MYR!$B1380)</f>
        <v>3496.840182</v>
      </c>
      <c r="I1380" s="1">
        <f>value(THB!$B1380)</f>
        <v>359.181089</v>
      </c>
      <c r="J1380" s="1">
        <f>value(VND!$B1380)</f>
        <v>0.5670760432</v>
      </c>
      <c r="K1380" s="1">
        <f>value(CNY!$B1380)</f>
        <v>1840.3585</v>
      </c>
      <c r="L1380" s="1">
        <f>value(HKD!$B1380)</f>
        <v>1507.952387</v>
      </c>
      <c r="M1380" s="1">
        <f>value(TWD!$B1380)</f>
        <v>386.315577</v>
      </c>
      <c r="N1380" s="1">
        <f>value(JPY!$B1380)</f>
        <v>114.035025</v>
      </c>
      <c r="O1380" s="1">
        <f>value(SAR!$B1380)</f>
        <v>3005.31134</v>
      </c>
      <c r="P1380" s="1">
        <f>value(AED!$B1380)</f>
        <v>3252.551</v>
      </c>
      <c r="Q1380" s="1">
        <f>value(KWD!$B1380)</f>
        <v>42586.13523</v>
      </c>
    </row>
    <row r="1381">
      <c r="A1381" s="4">
        <f>value(USD!A1381)</f>
        <v>41691.99861</v>
      </c>
      <c r="B1381" s="1">
        <f>value(USD!B1381)</f>
        <v>11681</v>
      </c>
      <c r="C1381" s="1">
        <f>value(AUD!$B1381)</f>
        <v>10344.14339</v>
      </c>
      <c r="D1381" s="1">
        <f>value(EUR!$B1381)</f>
        <v>16046.1897</v>
      </c>
      <c r="E1381" s="1">
        <f>value(GBP!$B1381)</f>
        <v>19426.55429</v>
      </c>
      <c r="F1381" s="1">
        <f>value(CHF!$B1381)</f>
        <v>13158.6465</v>
      </c>
      <c r="G1381" s="1">
        <f>value(SGD!$B1381)</f>
        <v>9213.62237</v>
      </c>
      <c r="H1381" s="1">
        <f>value(MYR!$B1381)</f>
        <v>3492.03495</v>
      </c>
      <c r="I1381" s="1">
        <f>value(THB!$B1381)</f>
        <v>353.23344</v>
      </c>
      <c r="J1381" s="1">
        <f>value(VND!$B1381)</f>
        <v>0.5607850512</v>
      </c>
      <c r="K1381" s="1">
        <f>value(CNY!$B1381)</f>
        <v>1833.35375</v>
      </c>
      <c r="L1381" s="1">
        <f>value(HKD!$B1381)</f>
        <v>1506.14814</v>
      </c>
      <c r="M1381" s="1">
        <f>value(TWD!$B1381)</f>
        <v>385.82343</v>
      </c>
      <c r="N1381" s="1">
        <f>value(JPY!$B1381)</f>
        <v>113.88975</v>
      </c>
      <c r="O1381" s="1">
        <f>value(SAR!$B1381)</f>
        <v>3008.14084</v>
      </c>
      <c r="P1381" s="1">
        <f>value(AED!$B1381)</f>
        <v>3259.638567</v>
      </c>
      <c r="Q1381" s="1">
        <f>value(KWD!$B1381)</f>
        <v>42604.95653</v>
      </c>
    </row>
    <row r="1382">
      <c r="A1382" s="4">
        <f>value(USD!A1382)</f>
        <v>41692.99861</v>
      </c>
      <c r="B1382" s="1">
        <f>value(USD!B1382)</f>
        <v>11695.9</v>
      </c>
      <c r="C1382" s="1">
        <f>value(AUD!$B1382)</f>
        <v>10295.2531</v>
      </c>
      <c r="D1382" s="1">
        <f>value(EUR!$B1382)</f>
        <v>15897.78384</v>
      </c>
      <c r="E1382" s="1">
        <f>value(GBP!$B1382)</f>
        <v>19278.6704</v>
      </c>
      <c r="F1382" s="1">
        <f>value(CHF!$B1382)</f>
        <v>13021.8424</v>
      </c>
      <c r="G1382" s="1">
        <f>value(SGD!$B1382)</f>
        <v>9165.06648</v>
      </c>
      <c r="H1382" s="1">
        <f>value(MYR!$B1382)</f>
        <v>3464.118</v>
      </c>
      <c r="I1382" s="1">
        <f>value(THB!$B1382)</f>
        <v>355.61472</v>
      </c>
      <c r="J1382" s="1">
        <f>value(VND!$B1382)</f>
        <v>0.562617699</v>
      </c>
      <c r="K1382" s="1">
        <f>value(CNY!$B1382)</f>
        <v>1839.78375</v>
      </c>
      <c r="L1382" s="1">
        <f>value(HKD!$B1382)</f>
        <v>1492.03064</v>
      </c>
      <c r="M1382" s="1">
        <f>value(TWD!$B1382)</f>
        <v>381.4292</v>
      </c>
      <c r="N1382" s="1">
        <f>value(JPY!$B1382)</f>
        <v>112.92388</v>
      </c>
      <c r="O1382" s="1">
        <f>value(SAR!$B1382)</f>
        <v>3025.494583</v>
      </c>
      <c r="P1382" s="1">
        <f>value(AED!$B1382)</f>
        <v>3262.89384</v>
      </c>
      <c r="Q1382" s="1">
        <f>value(KWD!$B1382)</f>
        <v>42956.10852</v>
      </c>
    </row>
    <row r="1383">
      <c r="A1383" s="4">
        <f>value(USD!A1383)</f>
        <v>41693.99861</v>
      </c>
      <c r="B1383" s="1">
        <f>value(USD!B1383)</f>
        <v>11681</v>
      </c>
      <c r="C1383" s="1">
        <f>value(AUD!$B1383)</f>
        <v>10401.8144</v>
      </c>
      <c r="D1383" s="1">
        <f>value(EUR!$B1383)</f>
        <v>15971.69</v>
      </c>
      <c r="E1383" s="1">
        <f>value(GBP!$B1383)</f>
        <v>19374.026</v>
      </c>
      <c r="F1383" s="1">
        <f>value(CHF!$B1383)</f>
        <v>13100.388</v>
      </c>
      <c r="G1383" s="1">
        <f>value(SGD!$B1383)</f>
        <v>9188.6312</v>
      </c>
      <c r="H1383" s="1">
        <f>value(MYR!$B1383)</f>
        <v>3477.5174</v>
      </c>
      <c r="I1383" s="1">
        <f>value(THB!$B1383)</f>
        <v>356.6178</v>
      </c>
      <c r="J1383" s="1">
        <f>value(VND!$B1383)</f>
        <v>0.5630548055</v>
      </c>
      <c r="K1383" s="1">
        <f>value(CNY!$B1383)</f>
        <v>1840.01265</v>
      </c>
      <c r="L1383" s="1">
        <f>value(HKD!$B1383)</f>
        <v>1497.1208</v>
      </c>
      <c r="M1383" s="1">
        <f>value(TWD!$B1383)</f>
        <v>382.6466</v>
      </c>
      <c r="N1383" s="1">
        <f>value(JPY!$B1383)</f>
        <v>113.74818</v>
      </c>
      <c r="O1383" s="1">
        <f>value(SAR!$B1383)</f>
        <v>3041.505313</v>
      </c>
      <c r="P1383" s="1">
        <f>value(AED!$B1383)</f>
        <v>3264.7991</v>
      </c>
      <c r="Q1383" s="1">
        <f>value(KWD!$B1383)</f>
        <v>42959.16729</v>
      </c>
    </row>
    <row r="1384">
      <c r="A1384" s="4">
        <f>value(USD!A1384)</f>
        <v>41694.99861</v>
      </c>
      <c r="B1384" s="1">
        <f>value(USD!B1384)</f>
        <v>11576</v>
      </c>
      <c r="C1384" s="1">
        <f>value(AUD!$B1384)</f>
        <v>10350.4134</v>
      </c>
      <c r="D1384" s="1">
        <f>value(EUR!$B1384)</f>
        <v>15961.88784</v>
      </c>
      <c r="E1384" s="1">
        <f>value(GBP!$B1384)</f>
        <v>19443.95552</v>
      </c>
      <c r="F1384" s="1">
        <f>value(CHF!$B1384)</f>
        <v>13095.085</v>
      </c>
      <c r="G1384" s="1">
        <f>value(SGD!$B1384)</f>
        <v>9211.24028</v>
      </c>
      <c r="H1384" s="1">
        <f>value(MYR!$B1384)</f>
        <v>3490.93384</v>
      </c>
      <c r="I1384" s="1">
        <f>value(THB!$B1384)</f>
        <v>357.91288</v>
      </c>
      <c r="J1384" s="1">
        <f>value(VND!$B1384)</f>
        <v>0.5631190932</v>
      </c>
      <c r="K1384" s="1">
        <f>value(CNY!$B1384)</f>
        <v>1838.874558</v>
      </c>
      <c r="L1384" s="1">
        <f>value(HKD!$B1384)</f>
        <v>1503.04744</v>
      </c>
      <c r="M1384" s="1">
        <f>value(TWD!$B1384)</f>
        <v>383.46142</v>
      </c>
      <c r="N1384" s="1">
        <f>value(JPY!$B1384)</f>
        <v>113.97682</v>
      </c>
      <c r="O1384" s="1">
        <f>value(SAR!$B1384)</f>
        <v>3046.982424</v>
      </c>
      <c r="P1384" s="1">
        <f>value(AED!$B1384)</f>
        <v>3290.7771</v>
      </c>
      <c r="Q1384" s="1">
        <f>value(KWD!$B1384)</f>
        <v>42736.25658</v>
      </c>
    </row>
    <row r="1385">
      <c r="A1385" s="4">
        <f>value(USD!A1385)</f>
        <v>41695.99861</v>
      </c>
      <c r="B1385" s="1">
        <f>value(USD!B1385)</f>
        <v>11620</v>
      </c>
      <c r="C1385" s="1">
        <f>value(AUD!$B1385)</f>
        <v>10385.43534</v>
      </c>
      <c r="D1385" s="1">
        <f>value(EUR!$B1385)</f>
        <v>15901.4907</v>
      </c>
      <c r="E1385" s="1">
        <f>value(GBP!$B1385)</f>
        <v>19361.60496</v>
      </c>
      <c r="F1385" s="1">
        <f>value(CHF!$B1385)</f>
        <v>13056.9255</v>
      </c>
      <c r="G1385" s="1">
        <f>value(SGD!$B1385)</f>
        <v>9172.67868</v>
      </c>
      <c r="H1385" s="1">
        <f>value(MYR!$B1385)</f>
        <v>3482.73621</v>
      </c>
      <c r="I1385" s="1">
        <f>value(THB!$B1385)</f>
        <v>355.91868</v>
      </c>
      <c r="J1385" s="1">
        <f>value(VND!$B1385)</f>
        <v>0.5673392692</v>
      </c>
      <c r="K1385" s="1">
        <f>value(CNY!$B1385)</f>
        <v>1835.3202</v>
      </c>
      <c r="L1385" s="1">
        <f>value(HKD!$B1385)</f>
        <v>1494.67284</v>
      </c>
      <c r="M1385" s="1">
        <f>value(TWD!$B1385)</f>
        <v>383.76108</v>
      </c>
      <c r="N1385" s="1">
        <f>value(JPY!$B1385)</f>
        <v>113.596992</v>
      </c>
      <c r="O1385" s="1">
        <f>value(SAR!$B1385)</f>
        <v>3041.505313</v>
      </c>
      <c r="P1385" s="1">
        <f>value(AED!$B1385)</f>
        <v>3290.898</v>
      </c>
      <c r="Q1385" s="1">
        <f>value(KWD!$B1385)</f>
        <v>42292.35652</v>
      </c>
    </row>
    <row r="1386">
      <c r="A1386" s="4">
        <f>value(USD!A1386)</f>
        <v>41696.99861</v>
      </c>
      <c r="B1386" s="1">
        <f>value(USD!B1386)</f>
        <v>11666</v>
      </c>
      <c r="C1386" s="1">
        <f>value(AUD!$B1386)</f>
        <v>10387.664</v>
      </c>
      <c r="D1386" s="1">
        <f>value(EUR!$B1386)</f>
        <v>15965.22</v>
      </c>
      <c r="E1386" s="1">
        <f>value(GBP!$B1386)</f>
        <v>19369.9767</v>
      </c>
      <c r="F1386" s="1">
        <f>value(CHF!$B1386)</f>
        <v>13148.1685</v>
      </c>
      <c r="G1386" s="1">
        <f>value(SGD!$B1386)</f>
        <v>9122.73495</v>
      </c>
      <c r="H1386" s="1">
        <f>value(MYR!$B1386)</f>
        <v>3470.7</v>
      </c>
      <c r="I1386" s="1">
        <f>value(THB!$B1386)</f>
        <v>354.82123</v>
      </c>
      <c r="J1386" s="1">
        <f>value(VND!$B1386)</f>
        <v>0.5669402025</v>
      </c>
      <c r="K1386" s="1">
        <f>value(CNY!$B1386)</f>
        <v>1835.5462</v>
      </c>
      <c r="L1386" s="1">
        <f>value(HKD!$B1386)</f>
        <v>1490.66565</v>
      </c>
      <c r="M1386" s="1">
        <f>value(TWD!$B1386)</f>
        <v>381.777</v>
      </c>
      <c r="N1386" s="1">
        <f>value(JPY!$B1386)</f>
        <v>113.60758</v>
      </c>
      <c r="O1386" s="1">
        <f>value(SAR!$B1386)</f>
        <v>3052.123048</v>
      </c>
      <c r="P1386" s="1">
        <f>value(AED!$B1386)</f>
        <v>3271.844</v>
      </c>
      <c r="Q1386" s="1">
        <f>value(KWD!$B1386)</f>
        <v>42294.5635</v>
      </c>
    </row>
    <row r="1387">
      <c r="A1387" s="4">
        <f>value(USD!A1387)</f>
        <v>41697.99861</v>
      </c>
      <c r="B1387" s="1">
        <f>value(USD!B1387)</f>
        <v>11601</v>
      </c>
      <c r="C1387" s="1">
        <f>value(AUD!$B1387)</f>
        <v>10315.716</v>
      </c>
      <c r="D1387" s="1">
        <f>value(EUR!$B1387)</f>
        <v>15990.7224</v>
      </c>
      <c r="E1387" s="1">
        <f>value(GBP!$B1387)</f>
        <v>19400.91776</v>
      </c>
      <c r="F1387" s="1">
        <f>value(CHF!$B1387)</f>
        <v>13169.17102</v>
      </c>
      <c r="G1387" s="1">
        <f>value(SGD!$B1387)</f>
        <v>9137.307354</v>
      </c>
      <c r="H1387" s="1">
        <f>value(MYR!$B1387)</f>
        <v>3476.244</v>
      </c>
      <c r="I1387" s="1">
        <f>value(THB!$B1387)</f>
        <v>355.3880116</v>
      </c>
      <c r="J1387" s="1">
        <f>value(VND!$B1387)</f>
        <v>0.5639221103</v>
      </c>
      <c r="K1387" s="1">
        <f>value(CNY!$B1387)</f>
        <v>1849.9774</v>
      </c>
      <c r="L1387" s="1">
        <f>value(HKD!$B1387)</f>
        <v>1492.930923</v>
      </c>
      <c r="M1387" s="1">
        <f>value(TWD!$B1387)</f>
        <v>382.5027148</v>
      </c>
      <c r="N1387" s="1">
        <f>value(JPY!$B1387)</f>
        <v>113.7890536</v>
      </c>
      <c r="O1387" s="1">
        <f>value(SAR!$B1387)</f>
        <v>3053.414666</v>
      </c>
      <c r="P1387" s="1">
        <f>value(AED!$B1387)</f>
        <v>3235.097</v>
      </c>
      <c r="Q1387" s="1">
        <f>value(KWD!$B1387)</f>
        <v>42287.0427</v>
      </c>
    </row>
    <row r="1388">
      <c r="A1388" s="4">
        <f>value(USD!A1388)</f>
        <v>41698.99861</v>
      </c>
      <c r="B1388" s="1">
        <f>value(USD!B1388)</f>
        <v>11569</v>
      </c>
      <c r="C1388" s="1">
        <f>value(AUD!$B1388)</f>
        <v>10339.787</v>
      </c>
      <c r="D1388" s="1">
        <f>value(EUR!$B1388)</f>
        <v>15935.1406</v>
      </c>
      <c r="E1388" s="1">
        <f>value(GBP!$B1388)</f>
        <v>19353.54872</v>
      </c>
      <c r="F1388" s="1">
        <f>value(CHF!$B1388)</f>
        <v>13149.3254</v>
      </c>
      <c r="G1388" s="1">
        <f>value(SGD!$B1388)</f>
        <v>9112.78561</v>
      </c>
      <c r="H1388" s="1">
        <f>value(MYR!$B1388)</f>
        <v>3463.98998</v>
      </c>
      <c r="I1388" s="1">
        <f>value(THB!$B1388)</f>
        <v>347.87983</v>
      </c>
      <c r="J1388" s="1">
        <f>value(VND!$B1388)</f>
        <v>0.5605867596</v>
      </c>
      <c r="K1388" s="1">
        <f>value(CNY!$B1388)</f>
        <v>1863.0346</v>
      </c>
      <c r="L1388" s="1">
        <f>value(HKD!$B1388)</f>
        <v>1490.54996</v>
      </c>
      <c r="M1388" s="1">
        <f>value(TWD!$B1388)</f>
        <v>381.08286</v>
      </c>
      <c r="N1388" s="1">
        <f>value(JPY!$B1388)</f>
        <v>114.18603</v>
      </c>
      <c r="O1388" s="1">
        <f>value(SAR!$B1388)</f>
        <v>3044.093267</v>
      </c>
      <c r="P1388" s="1">
        <f>value(AED!$B1388)</f>
        <v>3238.942</v>
      </c>
      <c r="Q1388" s="1">
        <f>value(KWD!$B1388)</f>
        <v>42279.27414</v>
      </c>
    </row>
    <row r="1389">
      <c r="A1389" s="4">
        <f>value(USD!A1389)</f>
        <v>41699.99861</v>
      </c>
      <c r="B1389" s="1">
        <f>value(USD!B1389)</f>
        <v>11587.48</v>
      </c>
      <c r="C1389" s="1">
        <f>value(AUD!$B1389)</f>
        <v>10308.8844</v>
      </c>
      <c r="D1389" s="1">
        <f>value(EUR!$B1389)</f>
        <v>16010.56504</v>
      </c>
      <c r="E1389" s="1">
        <f>value(GBP!$B1389)</f>
        <v>19425.8896</v>
      </c>
      <c r="F1389" s="1">
        <f>value(CHF!$B1389)</f>
        <v>13200.42</v>
      </c>
      <c r="G1389" s="1">
        <f>value(SGD!$B1389)</f>
        <v>9174.67072</v>
      </c>
      <c r="H1389" s="1">
        <f>value(MYR!$B1389)</f>
        <v>3482.34656</v>
      </c>
      <c r="I1389" s="1">
        <f>value(THB!$B1389)</f>
        <v>358.18888</v>
      </c>
      <c r="J1389" s="1">
        <f>value(VND!$B1389)</f>
        <v>0.5598155794</v>
      </c>
      <c r="K1389" s="1">
        <f>value(CNY!$B1389)</f>
        <v>1855.4319</v>
      </c>
      <c r="L1389" s="1">
        <f>value(HKD!$B1389)</f>
        <v>1501.75904</v>
      </c>
      <c r="M1389" s="1">
        <f>value(TWD!$B1389)</f>
        <v>383.83208</v>
      </c>
      <c r="N1389" s="1">
        <f>value(JPY!$B1389)</f>
        <v>114.893192</v>
      </c>
      <c r="O1389" s="1">
        <f>value(SAR!$B1389)</f>
        <v>3054.361942</v>
      </c>
      <c r="P1389" s="1">
        <f>value(AED!$B1389)</f>
        <v>3238.942</v>
      </c>
      <c r="Q1389" s="1">
        <f>value(KWD!$B1389)</f>
        <v>42129.93406</v>
      </c>
    </row>
    <row r="1390">
      <c r="A1390" s="4">
        <f>value(USD!A1390)</f>
        <v>41700.99861</v>
      </c>
      <c r="B1390" s="1">
        <f>value(USD!B1390)</f>
        <v>11569</v>
      </c>
      <c r="C1390" s="1">
        <f>value(AUD!$B1390)</f>
        <v>10314.0891</v>
      </c>
      <c r="D1390" s="1">
        <f>value(EUR!$B1390)</f>
        <v>15888.7925</v>
      </c>
      <c r="E1390" s="1">
        <f>value(GBP!$B1390)</f>
        <v>19270.6909</v>
      </c>
      <c r="F1390" s="1">
        <f>value(CHF!$B1390)</f>
        <v>13030.13994</v>
      </c>
      <c r="G1390" s="1">
        <f>value(SGD!$B1390)</f>
        <v>9113.19838</v>
      </c>
      <c r="H1390" s="1">
        <f>value(MYR!$B1390)</f>
        <v>3460.08456</v>
      </c>
      <c r="I1390" s="1">
        <f>value(THB!$B1390)</f>
        <v>357.50506</v>
      </c>
      <c r="J1390" s="1">
        <f>value(VND!$B1390)</f>
        <v>0.5590791598</v>
      </c>
      <c r="K1390" s="1">
        <f>value(CNY!$B1390)</f>
        <v>1849.0122</v>
      </c>
      <c r="L1390" s="1">
        <f>value(HKD!$B1390)</f>
        <v>1490.16344</v>
      </c>
      <c r="M1390" s="1">
        <f>value(TWD!$B1390)</f>
        <v>381.21536</v>
      </c>
      <c r="N1390" s="1">
        <f>value(JPY!$B1390)</f>
        <v>113.150178</v>
      </c>
      <c r="O1390" s="1">
        <f>value(SAR!$B1390)</f>
        <v>3054.443545</v>
      </c>
      <c r="P1390" s="1">
        <f>value(AED!$B1390)</f>
        <v>3240.3029</v>
      </c>
      <c r="Q1390" s="1">
        <f>value(KWD!$B1390)</f>
        <v>42188.47548</v>
      </c>
    </row>
    <row r="1391">
      <c r="A1391" s="4">
        <f>value(USD!A1391)</f>
        <v>41701.99861</v>
      </c>
      <c r="B1391" s="1">
        <f>value(USD!B1391)</f>
        <v>11656</v>
      </c>
      <c r="C1391" s="1">
        <f>value(AUD!$B1391)</f>
        <v>10291.82335</v>
      </c>
      <c r="D1391" s="1">
        <f>value(EUR!$B1391)</f>
        <v>15887.79297</v>
      </c>
      <c r="E1391" s="1">
        <f>value(GBP!$B1391)</f>
        <v>19340.9265</v>
      </c>
      <c r="F1391" s="1">
        <f>value(CHF!$B1391)</f>
        <v>13035.8886</v>
      </c>
      <c r="G1391" s="1">
        <f>value(SGD!$B1391)</f>
        <v>9114.82383</v>
      </c>
      <c r="H1391" s="1">
        <f>value(MYR!$B1391)</f>
        <v>3476.50695</v>
      </c>
      <c r="I1391" s="1">
        <f>value(THB!$B1391)</f>
        <v>358.00674</v>
      </c>
      <c r="J1391" s="1">
        <f>value(VND!$B1391)</f>
        <v>0.5597085034</v>
      </c>
      <c r="K1391" s="1">
        <f>value(CNY!$B1391)</f>
        <v>1848.323117</v>
      </c>
      <c r="L1391" s="1">
        <f>value(HKD!$B1391)</f>
        <v>1490.92335</v>
      </c>
      <c r="M1391" s="1">
        <f>value(TWD!$B1391)</f>
        <v>382.30584</v>
      </c>
      <c r="N1391" s="1">
        <f>value(JPY!$B1391)</f>
        <v>113.04867</v>
      </c>
      <c r="O1391" s="1">
        <f>value(SAR!$B1391)</f>
        <v>3057.938183</v>
      </c>
      <c r="P1391" s="1">
        <f>value(AED!$B1391)</f>
        <v>3228.0548</v>
      </c>
      <c r="Q1391" s="1">
        <f>value(KWD!$B1391)</f>
        <v>41653.3439</v>
      </c>
    </row>
    <row r="1392">
      <c r="A1392" s="4">
        <f>value(USD!A1392)</f>
        <v>41702.99861</v>
      </c>
      <c r="B1392" s="1">
        <f>value(USD!B1392)</f>
        <v>11566</v>
      </c>
      <c r="C1392" s="1">
        <f>value(AUD!$B1392)</f>
        <v>10284.639</v>
      </c>
      <c r="D1392" s="1">
        <f>value(EUR!$B1392)</f>
        <v>15817.4548</v>
      </c>
      <c r="E1392" s="1">
        <f>value(GBP!$B1392)</f>
        <v>19099.9977</v>
      </c>
      <c r="F1392" s="1">
        <f>value(CHF!$B1392)</f>
        <v>12958.337</v>
      </c>
      <c r="G1392" s="1">
        <f>value(SGD!$B1392)</f>
        <v>9032.0419</v>
      </c>
      <c r="H1392" s="1">
        <f>value(MYR!$B1392)</f>
        <v>3469.0964</v>
      </c>
      <c r="I1392" s="1">
        <f>value(THB!$B1392)</f>
        <v>353.8241</v>
      </c>
      <c r="J1392" s="1">
        <f>value(VND!$B1392)</f>
        <v>0.5648425928</v>
      </c>
      <c r="K1392" s="1">
        <f>value(CNY!$B1392)</f>
        <v>1850.05305</v>
      </c>
      <c r="L1392" s="1">
        <f>value(HKD!$B1392)</f>
        <v>1470.0644</v>
      </c>
      <c r="M1392" s="1">
        <f>value(TWD!$B1392)</f>
        <v>380.0671</v>
      </c>
      <c r="N1392" s="1">
        <f>value(JPY!$B1392)</f>
        <v>110.68841</v>
      </c>
      <c r="O1392" s="1">
        <f>value(SAR!$B1392)</f>
        <v>3054.443545</v>
      </c>
      <c r="P1392" s="1">
        <f>value(AED!$B1392)</f>
        <v>3232.540326</v>
      </c>
      <c r="Q1392" s="1">
        <f>value(KWD!$B1392)</f>
        <v>41438.711</v>
      </c>
    </row>
    <row r="1393">
      <c r="A1393" s="4">
        <f>value(USD!A1393)</f>
        <v>41703.99861</v>
      </c>
      <c r="B1393" s="1">
        <f>value(USD!B1393)</f>
        <v>11571</v>
      </c>
      <c r="C1393" s="1">
        <f>value(AUD!$B1393)</f>
        <v>10306.88145</v>
      </c>
      <c r="D1393" s="1">
        <f>value(EUR!$B1393)</f>
        <v>15802.6294</v>
      </c>
      <c r="E1393" s="1">
        <f>value(GBP!$B1393)</f>
        <v>19029.4218</v>
      </c>
      <c r="F1393" s="1">
        <f>value(CHF!$B1393)</f>
        <v>12973.2084</v>
      </c>
      <c r="G1393" s="1">
        <f>value(SGD!$B1393)</f>
        <v>8973.42046</v>
      </c>
      <c r="H1393" s="1">
        <f>value(MYR!$B1393)</f>
        <v>3427.52758</v>
      </c>
      <c r="I1393" s="1">
        <f>value(THB!$B1393)</f>
        <v>352.3967</v>
      </c>
      <c r="J1393" s="1">
        <f>value(VND!$B1393)</f>
        <v>0.5517646996</v>
      </c>
      <c r="K1393" s="1">
        <f>value(CNY!$B1393)</f>
        <v>1852.78905</v>
      </c>
      <c r="L1393" s="1">
        <f>value(HKD!$B1393)</f>
        <v>1466.97224</v>
      </c>
      <c r="M1393" s="1">
        <f>value(TWD!$B1393)</f>
        <v>375.96572</v>
      </c>
      <c r="N1393" s="1">
        <f>value(JPY!$B1393)</f>
        <v>110.21648</v>
      </c>
      <c r="O1393" s="1">
        <f>value(SAR!$B1393)</f>
        <v>3046.895772</v>
      </c>
      <c r="P1393" s="1">
        <f>value(AED!$B1393)</f>
        <v>3191.3105</v>
      </c>
      <c r="Q1393" s="1">
        <f>value(KWD!$B1393)</f>
        <v>41269.89532</v>
      </c>
    </row>
    <row r="1394">
      <c r="A1394" s="4">
        <f>value(USD!A1394)</f>
        <v>41704.99861</v>
      </c>
      <c r="B1394" s="1">
        <f>value(USD!B1394)</f>
        <v>11410</v>
      </c>
      <c r="C1394" s="1">
        <f>value(AUD!$B1394)</f>
        <v>10199.83616</v>
      </c>
      <c r="D1394" s="1">
        <f>value(EUR!$B1394)</f>
        <v>15825.52975</v>
      </c>
      <c r="E1394" s="1">
        <f>value(GBP!$B1394)</f>
        <v>19056.99825</v>
      </c>
      <c r="F1394" s="1">
        <f>value(CHF!$B1394)</f>
        <v>12993.14875</v>
      </c>
      <c r="G1394" s="1">
        <f>value(SGD!$B1394)</f>
        <v>8986.424275</v>
      </c>
      <c r="H1394" s="1">
        <f>value(MYR!$B1394)</f>
        <v>3433.29275</v>
      </c>
      <c r="I1394" s="1">
        <f>value(THB!$B1394)</f>
        <v>352.907375</v>
      </c>
      <c r="J1394" s="1">
        <f>value(VND!$B1394)</f>
        <v>0.5488120387</v>
      </c>
      <c r="K1394" s="1">
        <f>value(CNY!$B1394)</f>
        <v>1844.4292</v>
      </c>
      <c r="L1394" s="1">
        <f>value(HKD!$B1394)</f>
        <v>1468.984075</v>
      </c>
      <c r="M1394" s="1">
        <f>value(TWD!$B1394)</f>
        <v>376.624575</v>
      </c>
      <c r="N1394" s="1">
        <f>value(JPY!$B1394)</f>
        <v>110.3762</v>
      </c>
      <c r="O1394" s="1">
        <f>value(SAR!$B1394)</f>
        <v>3080.043771</v>
      </c>
      <c r="P1394" s="1">
        <f>value(AED!$B1394)</f>
        <v>3174.9797</v>
      </c>
      <c r="Q1394" s="1">
        <f>value(KWD!$B1394)</f>
        <v>41101.23329</v>
      </c>
    </row>
    <row r="1395">
      <c r="A1395" s="4">
        <f>value(USD!A1395)</f>
        <v>41705.99861</v>
      </c>
      <c r="B1395" s="1">
        <f>value(USD!B1395)</f>
        <v>11386</v>
      </c>
      <c r="C1395" s="1">
        <f>value(AUD!$B1395)</f>
        <v>10214.92563</v>
      </c>
      <c r="D1395" s="1">
        <f>value(EUR!$B1395)</f>
        <v>15800.3522</v>
      </c>
      <c r="E1395" s="1">
        <f>value(GBP!$B1395)</f>
        <v>19046.38694</v>
      </c>
      <c r="F1395" s="1">
        <f>value(CHF!$B1395)</f>
        <v>12969.7926</v>
      </c>
      <c r="G1395" s="1">
        <f>value(SGD!$B1395)</f>
        <v>8978.77188</v>
      </c>
      <c r="H1395" s="1">
        <f>value(MYR!$B1395)</f>
        <v>3427.64144</v>
      </c>
      <c r="I1395" s="1">
        <f>value(THB!$B1395)</f>
        <v>346.36212</v>
      </c>
      <c r="J1395" s="1">
        <f>value(VND!$B1395)</f>
        <v>0.546459651</v>
      </c>
      <c r="K1395" s="1">
        <f>value(CNY!$B1395)</f>
        <v>1844.31375</v>
      </c>
      <c r="L1395" s="1">
        <f>value(HKD!$B1395)</f>
        <v>1467.0861</v>
      </c>
      <c r="M1395" s="1">
        <f>value(TWD!$B1395)</f>
        <v>376.07958</v>
      </c>
      <c r="N1395" s="1">
        <f>value(JPY!$B1395)</f>
        <v>110.33034</v>
      </c>
      <c r="O1395" s="1">
        <f>value(SAR!$B1395)</f>
        <v>3101.478629</v>
      </c>
      <c r="P1395" s="1">
        <f>value(AED!$B1395)</f>
        <v>3161.3707</v>
      </c>
      <c r="Q1395" s="1">
        <f>value(KWD!$B1395)</f>
        <v>41167.07798</v>
      </c>
    </row>
    <row r="1396">
      <c r="A1396" s="4">
        <f>value(USD!A1396)</f>
        <v>41706.99861</v>
      </c>
      <c r="B1396" s="1">
        <f>value(USD!B1396)</f>
        <v>11402.5</v>
      </c>
      <c r="C1396" s="1">
        <f>value(AUD!$B1396)</f>
        <v>10194.75296</v>
      </c>
      <c r="D1396" s="1">
        <f>value(EUR!$B1396)</f>
        <v>15861.411</v>
      </c>
      <c r="E1396" s="1">
        <f>value(GBP!$B1396)</f>
        <v>19017.234</v>
      </c>
      <c r="F1396" s="1">
        <f>value(CHF!$B1396)</f>
        <v>13021.056</v>
      </c>
      <c r="G1396" s="1">
        <f>value(SGD!$B1396)</f>
        <v>9012.4407</v>
      </c>
      <c r="H1396" s="1">
        <f>value(MYR!$B1396)</f>
        <v>3423.6279</v>
      </c>
      <c r="I1396" s="1">
        <f>value(THB!$B1396)</f>
        <v>352.7298</v>
      </c>
      <c r="J1396" s="1">
        <f>value(VND!$B1396)</f>
        <v>0.5456260201</v>
      </c>
      <c r="K1396" s="1">
        <f>value(CNY!$B1396)</f>
        <v>1844.4292</v>
      </c>
      <c r="L1396" s="1">
        <f>value(HKD!$B1396)</f>
        <v>1472.6412</v>
      </c>
      <c r="M1396" s="1">
        <f>value(TWD!$B1396)</f>
        <v>377.19</v>
      </c>
      <c r="N1396" s="1">
        <f>value(JPY!$B1396)</f>
        <v>110.6424</v>
      </c>
      <c r="O1396" s="1">
        <f>value(SAR!$B1396)</f>
        <v>3094.558127</v>
      </c>
      <c r="P1396" s="1">
        <f>value(AED!$B1396)</f>
        <v>3149.1226</v>
      </c>
      <c r="Q1396" s="1">
        <f>value(KWD!$B1396)</f>
        <v>41356.49499</v>
      </c>
    </row>
    <row r="1397">
      <c r="A1397" s="4">
        <f>value(USD!A1397)</f>
        <v>41707.99861</v>
      </c>
      <c r="B1397" s="1">
        <f>value(USD!B1397)</f>
        <v>11386</v>
      </c>
      <c r="C1397" s="1">
        <f>value(AUD!$B1397)</f>
        <v>10250.28378</v>
      </c>
      <c r="D1397" s="1">
        <f>value(EUR!$B1397)</f>
        <v>15912.4675</v>
      </c>
      <c r="E1397" s="1">
        <f>value(GBP!$B1397)</f>
        <v>19084.73935</v>
      </c>
      <c r="F1397" s="1">
        <f>value(CHF!$B1397)</f>
        <v>13082.5635</v>
      </c>
      <c r="G1397" s="1">
        <f>value(SGD!$B1397)</f>
        <v>9056.03735</v>
      </c>
      <c r="H1397" s="1">
        <f>value(MYR!$B1397)</f>
        <v>3440.56145</v>
      </c>
      <c r="I1397" s="1">
        <f>value(THB!$B1397)</f>
        <v>354.6568</v>
      </c>
      <c r="J1397" s="1">
        <f>value(VND!$B1397)</f>
        <v>0.5485700675</v>
      </c>
      <c r="K1397" s="1">
        <f>value(CNY!$B1397)</f>
        <v>1839.98185</v>
      </c>
      <c r="L1397" s="1">
        <f>value(HKD!$B1397)</f>
        <v>1479.4977</v>
      </c>
      <c r="M1397" s="1">
        <f>value(TWD!$B1397)</f>
        <v>379.005</v>
      </c>
      <c r="N1397" s="1">
        <f>value(JPY!$B1397)</f>
        <v>111.668655</v>
      </c>
      <c r="O1397" s="1">
        <f>value(SAR!$B1397)</f>
        <v>3086.551508</v>
      </c>
      <c r="P1397" s="1">
        <f>value(AED!$B1397)</f>
        <v>3159.46125</v>
      </c>
      <c r="Q1397" s="1">
        <f>value(KWD!$B1397)</f>
        <v>41356.49499</v>
      </c>
    </row>
    <row r="1398">
      <c r="A1398" s="4">
        <f>value(USD!A1398)</f>
        <v>41708.99861</v>
      </c>
      <c r="B1398" s="1">
        <f>value(USD!B1398)</f>
        <v>11430</v>
      </c>
      <c r="C1398" s="1">
        <f>value(AUD!$B1398)</f>
        <v>10344.255</v>
      </c>
      <c r="D1398" s="1">
        <f>value(EUR!$B1398)</f>
        <v>15896.937</v>
      </c>
      <c r="E1398" s="1">
        <f>value(GBP!$B1398)</f>
        <v>19002.683</v>
      </c>
      <c r="F1398" s="1">
        <f>value(CHF!$B1398)</f>
        <v>13080.4965</v>
      </c>
      <c r="G1398" s="1">
        <f>value(SGD!$B1398)</f>
        <v>9022.6724</v>
      </c>
      <c r="H1398" s="1">
        <f>value(MYR!$B1398)</f>
        <v>3426.1547</v>
      </c>
      <c r="I1398" s="1">
        <f>value(THB!$B1398)</f>
        <v>352.6554</v>
      </c>
      <c r="J1398" s="1">
        <f>value(VND!$B1398)</f>
        <v>0.5513002261</v>
      </c>
      <c r="K1398" s="1">
        <f>value(CNY!$B1398)</f>
        <v>1843.021055</v>
      </c>
      <c r="L1398" s="1">
        <f>value(HKD!$B1398)</f>
        <v>1472.71365</v>
      </c>
      <c r="M1398" s="1">
        <f>value(TWD!$B1398)</f>
        <v>377.46935</v>
      </c>
      <c r="N1398" s="1">
        <f>value(JPY!$B1398)</f>
        <v>111.19394</v>
      </c>
      <c r="O1398" s="1">
        <f>value(SAR!$B1398)</f>
        <v>3083.917695</v>
      </c>
      <c r="P1398" s="1">
        <f>value(AED!$B1398)</f>
        <v>3168.567139</v>
      </c>
      <c r="Q1398" s="1">
        <f>value(KWD!$B1398)</f>
        <v>41409.18408</v>
      </c>
    </row>
    <row r="1399">
      <c r="A1399" s="4">
        <f>value(USD!A1399)</f>
        <v>41709.99861</v>
      </c>
      <c r="B1399" s="1">
        <f>value(USD!B1399)</f>
        <v>11485</v>
      </c>
      <c r="C1399" s="1">
        <f>value(AUD!$B1399)</f>
        <v>10210.668</v>
      </c>
      <c r="D1399" s="1">
        <f>value(EUR!$B1399)</f>
        <v>15834.18861</v>
      </c>
      <c r="E1399" s="1">
        <f>value(GBP!$B1399)</f>
        <v>18984.21462</v>
      </c>
      <c r="F1399" s="1">
        <f>value(CHF!$B1399)</f>
        <v>13051.9188</v>
      </c>
      <c r="G1399" s="1">
        <f>value(SGD!$B1399)</f>
        <v>9013.4532</v>
      </c>
      <c r="H1399" s="1">
        <f>value(MYR!$B1399)</f>
        <v>3410.19639</v>
      </c>
      <c r="I1399" s="1">
        <f>value(THB!$B1399)</f>
        <v>352.9089</v>
      </c>
      <c r="J1399" s="1">
        <f>value(VND!$B1399)</f>
        <v>0.5540061345</v>
      </c>
      <c r="K1399" s="1">
        <f>value(CNY!$B1399)</f>
        <v>1839.98185</v>
      </c>
      <c r="L1399" s="1">
        <f>value(HKD!$B1399)</f>
        <v>1470.56796</v>
      </c>
      <c r="M1399" s="1">
        <f>value(TWD!$B1399)</f>
        <v>374.38038</v>
      </c>
      <c r="N1399" s="1">
        <f>value(JPY!$B1399)</f>
        <v>112.199904</v>
      </c>
      <c r="O1399" s="1">
        <f>value(SAR!$B1399)</f>
        <v>3089.333256</v>
      </c>
      <c r="P1399" s="1">
        <f>value(AED!$B1399)</f>
        <v>3168.567139</v>
      </c>
      <c r="Q1399" s="1">
        <f>value(KWD!$B1399)</f>
        <v>41613.40704</v>
      </c>
    </row>
    <row r="1400">
      <c r="A1400" s="4">
        <f>value(USD!A1400)</f>
        <v>41710.99861</v>
      </c>
      <c r="B1400" s="1">
        <f>value(USD!B1400)</f>
        <v>11435</v>
      </c>
      <c r="C1400" s="1">
        <f>value(AUD!$B1400)</f>
        <v>10332.666</v>
      </c>
      <c r="D1400" s="1">
        <f>value(EUR!$B1400)</f>
        <v>15717.2544</v>
      </c>
      <c r="E1400" s="1">
        <f>value(GBP!$B1400)</f>
        <v>18803.3216</v>
      </c>
      <c r="F1400" s="1">
        <f>value(CHF!$B1400)</f>
        <v>12939.568</v>
      </c>
      <c r="G1400" s="1">
        <f>value(SGD!$B1400)</f>
        <v>8925.42144</v>
      </c>
      <c r="H1400" s="1">
        <f>value(MYR!$B1400)</f>
        <v>3390.72032</v>
      </c>
      <c r="I1400" s="1">
        <f>value(THB!$B1400)</f>
        <v>349.6112</v>
      </c>
      <c r="J1400" s="1">
        <f>value(VND!$B1400)</f>
        <v>0.5500590505</v>
      </c>
      <c r="K1400" s="1">
        <f>value(CNY!$B1400)</f>
        <v>1842.1806</v>
      </c>
      <c r="L1400" s="1">
        <f>value(HKD!$B1400)</f>
        <v>1454.13408</v>
      </c>
      <c r="M1400" s="1">
        <f>value(TWD!$B1400)</f>
        <v>372.768</v>
      </c>
      <c r="N1400" s="1">
        <f>value(JPY!$B1400)</f>
        <v>111.37856</v>
      </c>
      <c r="O1400" s="1">
        <f>value(SAR!$B1400)</f>
        <v>3081.131562</v>
      </c>
      <c r="P1400" s="1">
        <f>value(AED!$B1400)</f>
        <v>3173.6188</v>
      </c>
      <c r="Q1400" s="1">
        <f>value(KWD!$B1400)</f>
        <v>41323.24407</v>
      </c>
    </row>
    <row r="1401">
      <c r="A1401" s="4">
        <f>value(USD!A1401)</f>
        <v>41711.99861</v>
      </c>
      <c r="B1401" s="1">
        <f>value(USD!B1401)</f>
        <v>11421</v>
      </c>
      <c r="C1401" s="1">
        <f>value(AUD!$B1401)</f>
        <v>10353.2481</v>
      </c>
      <c r="D1401" s="1">
        <f>value(EUR!$B1401)</f>
        <v>15739.80899</v>
      </c>
      <c r="E1401" s="1">
        <f>value(GBP!$B1401)</f>
        <v>18830.30476</v>
      </c>
      <c r="F1401" s="1">
        <f>value(CHF!$B1401)</f>
        <v>12952.48045</v>
      </c>
      <c r="G1401" s="1">
        <f>value(SGD!$B1401)</f>
        <v>8938.229609</v>
      </c>
      <c r="H1401" s="1">
        <f>value(MYR!$B1401)</f>
        <v>3397.056663</v>
      </c>
      <c r="I1401" s="1">
        <f>value(THB!$B1401)</f>
        <v>350.2260216</v>
      </c>
      <c r="J1401" s="1">
        <f>value(VND!$B1401)</f>
        <v>0.5505193559</v>
      </c>
      <c r="K1401" s="1">
        <f>value(CNY!$B1401)</f>
        <v>1848.3909</v>
      </c>
      <c r="L1401" s="1">
        <f>value(HKD!$B1401)</f>
        <v>1456.220793</v>
      </c>
      <c r="M1401" s="1">
        <f>value(TWD!$B1401)</f>
        <v>373.5291742</v>
      </c>
      <c r="N1401" s="1">
        <f>value(JPY!$B1401)</f>
        <v>111.5383906</v>
      </c>
      <c r="O1401" s="1">
        <f>value(SAR!$B1401)</f>
        <v>3080.967046</v>
      </c>
      <c r="P1401" s="1">
        <f>value(AED!$B1401)</f>
        <v>3189.9496</v>
      </c>
      <c r="Q1401" s="1">
        <f>value(KWD!$B1401)</f>
        <v>41365.10928</v>
      </c>
    </row>
    <row r="1402">
      <c r="A1402" s="4">
        <f>value(USD!A1402)</f>
        <v>41712.99861</v>
      </c>
      <c r="B1402" s="1">
        <f>value(USD!B1402)</f>
        <v>11296</v>
      </c>
      <c r="C1402" s="1">
        <f>value(AUD!$B1402)</f>
        <v>10367.57526</v>
      </c>
      <c r="D1402" s="1">
        <f>value(EUR!$B1402)</f>
        <v>15713.07488</v>
      </c>
      <c r="E1402" s="1">
        <f>value(GBP!$B1402)</f>
        <v>18799.02912</v>
      </c>
      <c r="F1402" s="1">
        <f>value(CHF!$B1402)</f>
        <v>12949.7344</v>
      </c>
      <c r="G1402" s="1">
        <f>value(SGD!$B1402)</f>
        <v>8922.48448</v>
      </c>
      <c r="H1402" s="1">
        <f>value(MYR!$B1402)</f>
        <v>3391.28512</v>
      </c>
      <c r="I1402" s="1">
        <f>value(THB!$B1402)</f>
        <v>344.30208</v>
      </c>
      <c r="J1402" s="1">
        <f>value(VND!$B1402)</f>
        <v>0.5485241941</v>
      </c>
      <c r="K1402" s="1">
        <f>value(CNY!$B1402)</f>
        <v>1855.3652</v>
      </c>
      <c r="L1402" s="1">
        <f>value(HKD!$B1402)</f>
        <v>1454.47296</v>
      </c>
      <c r="M1402" s="1">
        <f>value(TWD!$B1402)</f>
        <v>372.88096</v>
      </c>
      <c r="N1402" s="1">
        <f>value(JPY!$B1402)</f>
        <v>111.37856</v>
      </c>
      <c r="O1402" s="1">
        <f>value(SAR!$B1402)</f>
        <v>3081.295963</v>
      </c>
      <c r="P1402" s="1">
        <f>value(AED!$B1402)</f>
        <v>3168.71956</v>
      </c>
      <c r="Q1402" s="1">
        <f>value(KWD!$B1402)</f>
        <v>41202.55155</v>
      </c>
    </row>
    <row r="1403">
      <c r="A1403" s="4">
        <f>value(USD!A1403)</f>
        <v>41713.99861</v>
      </c>
      <c r="B1403" s="1">
        <f>value(USD!B1403)</f>
        <v>11312.21</v>
      </c>
      <c r="C1403" s="1">
        <f>value(AUD!$B1403)</f>
        <v>10366.70128</v>
      </c>
      <c r="D1403" s="1">
        <f>value(EUR!$B1403)</f>
        <v>15717.22218</v>
      </c>
      <c r="E1403" s="1">
        <f>value(GBP!$B1403)</f>
        <v>18777.30822</v>
      </c>
      <c r="F1403" s="1">
        <f>value(CHF!$B1403)</f>
        <v>12920.2128</v>
      </c>
      <c r="G1403" s="1">
        <f>value(SGD!$B1403)</f>
        <v>8924.29164</v>
      </c>
      <c r="H1403" s="1">
        <f>value(MYR!$B1403)</f>
        <v>3393.81306</v>
      </c>
      <c r="I1403" s="1">
        <f>value(THB!$B1403)</f>
        <v>350.09172</v>
      </c>
      <c r="J1403" s="1">
        <f>value(VND!$B1403)</f>
        <v>0.5565273861</v>
      </c>
      <c r="K1403" s="1">
        <f>value(CNY!$B1403)</f>
        <v>1850.56925</v>
      </c>
      <c r="L1403" s="1">
        <f>value(HKD!$B1403)</f>
        <v>1453.18536</v>
      </c>
      <c r="M1403" s="1">
        <f>value(TWD!$B1403)</f>
        <v>373.11516</v>
      </c>
      <c r="N1403" s="1">
        <f>value(JPY!$B1403)</f>
        <v>110.77209</v>
      </c>
      <c r="O1403" s="1">
        <f>value(SAR!$B1403)</f>
        <v>3073.945486</v>
      </c>
      <c r="P1403" s="1">
        <f>value(AED!$B1403)</f>
        <v>3173.6188</v>
      </c>
      <c r="Q1403" s="1">
        <f>value(KWD!$B1403)</f>
        <v>41296.34367</v>
      </c>
    </row>
    <row r="1404">
      <c r="A1404" s="4">
        <f>value(USD!A1404)</f>
        <v>41714.99861</v>
      </c>
      <c r="B1404" s="1">
        <f>value(USD!B1404)</f>
        <v>11296</v>
      </c>
      <c r="C1404" s="1">
        <f>value(AUD!$B1404)</f>
        <v>10371.4569</v>
      </c>
      <c r="D1404" s="1">
        <f>value(EUR!$B1404)</f>
        <v>15775.725</v>
      </c>
      <c r="E1404" s="1">
        <f>value(GBP!$B1404)</f>
        <v>18793.158</v>
      </c>
      <c r="F1404" s="1">
        <f>value(CHF!$B1404)</f>
        <v>12970.5225</v>
      </c>
      <c r="G1404" s="1">
        <f>value(SGD!$B1404)</f>
        <v>8958.075</v>
      </c>
      <c r="H1404" s="1">
        <f>value(MYR!$B1404)</f>
        <v>3397.5</v>
      </c>
      <c r="I1404" s="1">
        <f>value(THB!$B1404)</f>
        <v>352.434</v>
      </c>
      <c r="J1404" s="1">
        <f>value(VND!$B1404)</f>
        <v>0.5464429108</v>
      </c>
      <c r="K1404" s="1">
        <f>value(CNY!$B1404)</f>
        <v>1852.0596</v>
      </c>
      <c r="L1404" s="1">
        <f>value(HKD!$B1404)</f>
        <v>1458.09375</v>
      </c>
      <c r="M1404" s="1">
        <f>value(TWD!$B1404)</f>
        <v>371.79975</v>
      </c>
      <c r="N1404" s="1">
        <f>value(JPY!$B1404)</f>
        <v>111.653175</v>
      </c>
      <c r="O1404" s="1">
        <f>value(SAR!$B1404)</f>
        <v>3075.492569</v>
      </c>
      <c r="P1404" s="1">
        <f>value(AED!$B1404)</f>
        <v>3161.3707</v>
      </c>
      <c r="Q1404" s="1">
        <f>value(KWD!$B1404)</f>
        <v>41296.34367</v>
      </c>
    </row>
    <row r="1405">
      <c r="A1405" s="4">
        <f>value(USD!A1405)</f>
        <v>41715.99861</v>
      </c>
      <c r="B1405" s="1">
        <f>value(USD!B1405)</f>
        <v>11286</v>
      </c>
      <c r="C1405" s="1">
        <f>value(AUD!$B1405)</f>
        <v>10422.7198</v>
      </c>
      <c r="D1405" s="1">
        <f>value(EUR!$B1405)</f>
        <v>15632.5689</v>
      </c>
      <c r="E1405" s="1">
        <f>value(GBP!$B1405)</f>
        <v>18699.954</v>
      </c>
      <c r="F1405" s="1">
        <f>value(CHF!$B1405)</f>
        <v>12826.671</v>
      </c>
      <c r="G1405" s="1">
        <f>value(SGD!$B1405)</f>
        <v>8882.5347</v>
      </c>
      <c r="H1405" s="1">
        <f>value(MYR!$B1405)</f>
        <v>3366.1953</v>
      </c>
      <c r="I1405" s="1">
        <f>value(THB!$B1405)</f>
        <v>349.479</v>
      </c>
      <c r="J1405" s="1">
        <f>value(VND!$B1405)</f>
        <v>0.5470004649</v>
      </c>
      <c r="K1405" s="1">
        <f>value(CNY!$B1405)</f>
        <v>1856.068779</v>
      </c>
      <c r="L1405" s="1">
        <f>value(HKD!$B1405)</f>
        <v>1456.3887</v>
      </c>
      <c r="M1405" s="1">
        <f>value(TWD!$B1405)</f>
        <v>368.8191</v>
      </c>
      <c r="N1405" s="1">
        <f>value(JPY!$B1405)</f>
        <v>110.36298</v>
      </c>
      <c r="O1405" s="1">
        <f>value(SAR!$B1405)</f>
        <v>3067.918122</v>
      </c>
      <c r="P1405" s="1">
        <f>value(AED!$B1405)</f>
        <v>3168.567139</v>
      </c>
      <c r="Q1405" s="1">
        <f>value(KWD!$B1405)</f>
        <v>41008.90348</v>
      </c>
    </row>
    <row r="1406">
      <c r="A1406" s="4">
        <f>value(USD!A1406)</f>
        <v>41716.99861</v>
      </c>
      <c r="B1406" s="1">
        <f>value(USD!B1406)</f>
        <v>11325</v>
      </c>
      <c r="C1406" s="1">
        <f>value(AUD!$B1406)</f>
        <v>10537.69555</v>
      </c>
      <c r="D1406" s="1">
        <f>value(EUR!$B1406)</f>
        <v>15756.2865</v>
      </c>
      <c r="E1406" s="1">
        <f>value(GBP!$B1406)</f>
        <v>18872.7814</v>
      </c>
      <c r="F1406" s="1">
        <f>value(CHF!$B1406)</f>
        <v>12944.42</v>
      </c>
      <c r="G1406" s="1">
        <f>value(SGD!$B1406)</f>
        <v>8950.4032</v>
      </c>
      <c r="H1406" s="1">
        <f>value(MYR!$B1406)</f>
        <v>3410.94615</v>
      </c>
      <c r="I1406" s="1">
        <f>value(THB!$B1406)</f>
        <v>353.1128</v>
      </c>
      <c r="J1406" s="1">
        <f>value(VND!$B1406)</f>
        <v>0.5423848789</v>
      </c>
      <c r="K1406" s="1">
        <f>value(CNY!$B1406)</f>
        <v>1840.70575</v>
      </c>
      <c r="L1406" s="1">
        <f>value(HKD!$B1406)</f>
        <v>1472.71365</v>
      </c>
      <c r="M1406" s="1">
        <f>value(TWD!$B1406)</f>
        <v>373.12405</v>
      </c>
      <c r="N1406" s="1">
        <f>value(JPY!$B1406)</f>
        <v>111.62847</v>
      </c>
      <c r="O1406" s="1">
        <f>value(SAR!$B1406)</f>
        <v>3071.872707</v>
      </c>
      <c r="P1406" s="1">
        <f>value(AED!$B1406)</f>
        <v>3168.567139</v>
      </c>
      <c r="Q1406" s="1">
        <f>value(KWD!$B1406)</f>
        <v>41053.63602</v>
      </c>
    </row>
    <row r="1407">
      <c r="A1407" s="4">
        <f>value(USD!A1407)</f>
        <v>41717.99861</v>
      </c>
      <c r="B1407" s="1">
        <f>value(USD!B1407)</f>
        <v>11310</v>
      </c>
      <c r="C1407" s="1">
        <f>value(AUD!$B1407)</f>
        <v>10535.84694</v>
      </c>
      <c r="D1407" s="1">
        <f>value(EUR!$B1407)</f>
        <v>15724.03118</v>
      </c>
      <c r="E1407" s="1">
        <f>value(GBP!$B1407)</f>
        <v>18795.91662</v>
      </c>
      <c r="F1407" s="1">
        <f>value(CHF!$B1407)</f>
        <v>12912.7726</v>
      </c>
      <c r="G1407" s="1">
        <f>value(SGD!$B1407)</f>
        <v>8944.76856</v>
      </c>
      <c r="H1407" s="1">
        <f>value(MYR!$B1407)</f>
        <v>3386.21101</v>
      </c>
      <c r="I1407" s="1">
        <f>value(THB!$B1407)</f>
        <v>351.83486</v>
      </c>
      <c r="J1407" s="1">
        <f>value(VND!$B1407)</f>
        <v>0.5455489875</v>
      </c>
      <c r="K1407" s="1">
        <f>value(CNY!$B1407)</f>
        <v>1846.7712</v>
      </c>
      <c r="L1407" s="1">
        <f>value(HKD!$B1407)</f>
        <v>1469.47489</v>
      </c>
      <c r="M1407" s="1">
        <f>value(TWD!$B1407)</f>
        <v>372.8127</v>
      </c>
      <c r="N1407" s="1">
        <f>value(JPY!$B1407)</f>
        <v>111.50178</v>
      </c>
      <c r="O1407" s="1">
        <f>value(SAR!$B1407)</f>
        <v>3087.885945</v>
      </c>
      <c r="P1407" s="1">
        <f>value(AED!$B1407)</f>
        <v>3146.4008</v>
      </c>
      <c r="Q1407" s="1">
        <f>value(KWD!$B1407)</f>
        <v>40703.85068</v>
      </c>
    </row>
    <row r="1408">
      <c r="A1408" s="4">
        <f>value(USD!A1408)</f>
        <v>41718.99861</v>
      </c>
      <c r="B1408" s="1">
        <f>value(USD!B1408)</f>
        <v>11435</v>
      </c>
      <c r="C1408" s="1">
        <f>value(AUD!$B1408)</f>
        <v>10454.1857</v>
      </c>
      <c r="D1408" s="1">
        <f>value(EUR!$B1408)</f>
        <v>15749.99294</v>
      </c>
      <c r="E1408" s="1">
        <f>value(GBP!$B1408)</f>
        <v>18818.48472</v>
      </c>
      <c r="F1408" s="1">
        <f>value(CHF!$B1408)</f>
        <v>12932.6426</v>
      </c>
      <c r="G1408" s="1">
        <f>value(SGD!$B1408)</f>
        <v>8956.160371</v>
      </c>
      <c r="H1408" s="1">
        <f>value(MYR!$B1408)</f>
        <v>3391.550992</v>
      </c>
      <c r="I1408" s="1">
        <f>value(THB!$B1408)</f>
        <v>352.3971024</v>
      </c>
      <c r="J1408" s="1">
        <f>value(VND!$B1408)</f>
        <v>0.5461029684</v>
      </c>
      <c r="K1408" s="1">
        <f>value(CNY!$B1408)</f>
        <v>1843.8019</v>
      </c>
      <c r="L1408" s="1">
        <f>value(HKD!$B1408)</f>
        <v>1471.232217</v>
      </c>
      <c r="M1408" s="1">
        <f>value(TWD!$B1408)</f>
        <v>373.4016592</v>
      </c>
      <c r="N1408" s="1">
        <f>value(JPY!$B1408)</f>
        <v>111.6437856</v>
      </c>
      <c r="O1408" s="1">
        <f>value(SAR!$B1408)</f>
        <v>3075.958075</v>
      </c>
      <c r="P1408" s="1">
        <f>value(AED!$B1408)</f>
        <v>3151.8444</v>
      </c>
      <c r="Q1408" s="1">
        <f>value(KWD!$B1408)</f>
        <v>40920.99616</v>
      </c>
    </row>
    <row r="1409">
      <c r="A1409" s="4">
        <f>value(USD!A1409)</f>
        <v>41719.99861</v>
      </c>
      <c r="B1409" s="1">
        <f>value(USD!B1409)</f>
        <v>11401</v>
      </c>
      <c r="C1409" s="1">
        <f>value(AUD!$B1409)</f>
        <v>10472.24599</v>
      </c>
      <c r="D1409" s="1">
        <f>value(EUR!$B1409)</f>
        <v>15727.10945</v>
      </c>
      <c r="E1409" s="1">
        <f>value(GBP!$B1409)</f>
        <v>18797.62677</v>
      </c>
      <c r="F1409" s="1">
        <f>value(CHF!$B1409)</f>
        <v>12919.6132</v>
      </c>
      <c r="G1409" s="1">
        <f>value(SGD!$B1409)</f>
        <v>8949.785</v>
      </c>
      <c r="H1409" s="1">
        <f>value(MYR!$B1409)</f>
        <v>3386.43903</v>
      </c>
      <c r="I1409" s="1">
        <f>value(THB!$B1409)</f>
        <v>351.83486</v>
      </c>
      <c r="J1409" s="1">
        <f>value(VND!$B1409)</f>
        <v>0.545845135</v>
      </c>
      <c r="K1409" s="1">
        <f>value(CNY!$B1409)</f>
        <v>1831.07275</v>
      </c>
      <c r="L1409" s="1">
        <f>value(HKD!$B1409)</f>
        <v>1469.24687</v>
      </c>
      <c r="M1409" s="1">
        <f>value(TWD!$B1409)</f>
        <v>372.8127</v>
      </c>
      <c r="N1409" s="1">
        <f>value(JPY!$B1409)</f>
        <v>111.50178</v>
      </c>
      <c r="O1409" s="1">
        <f>value(SAR!$B1409)</f>
        <v>3075.671867</v>
      </c>
      <c r="P1409" s="1">
        <f>value(AED!$B1409)</f>
        <v>3125.9873</v>
      </c>
      <c r="Q1409" s="1">
        <f>value(KWD!$B1409)</f>
        <v>40932.57601</v>
      </c>
    </row>
    <row r="1410">
      <c r="A1410" s="4">
        <f>value(USD!A1410)</f>
        <v>41720.99861</v>
      </c>
      <c r="B1410" s="1">
        <f>value(USD!B1410)</f>
        <v>11415.52</v>
      </c>
      <c r="C1410" s="1">
        <f>value(AUD!$B1410)</f>
        <v>10458.14245</v>
      </c>
      <c r="D1410" s="1">
        <f>value(EUR!$B1410)</f>
        <v>15720.2157</v>
      </c>
      <c r="E1410" s="1">
        <f>value(GBP!$B1410)</f>
        <v>18741.1056</v>
      </c>
      <c r="F1410" s="1">
        <f>value(CHF!$B1410)</f>
        <v>12897.0072</v>
      </c>
      <c r="G1410" s="1">
        <f>value(SGD!$B1410)</f>
        <v>8938.60758</v>
      </c>
      <c r="H1410" s="1">
        <f>value(MYR!$B1410)</f>
        <v>3400.57452</v>
      </c>
      <c r="I1410" s="1">
        <f>value(THB!$B1410)</f>
        <v>349.80519</v>
      </c>
      <c r="J1410" s="1">
        <f>value(VND!$B1410)</f>
        <v>0.5462319776</v>
      </c>
      <c r="K1410" s="1">
        <f>value(CNY!$B1410)</f>
        <v>1827.2925</v>
      </c>
      <c r="L1410" s="1">
        <f>value(HKD!$B1410)</f>
        <v>1464.4329</v>
      </c>
      <c r="M1410" s="1">
        <f>value(TWD!$B1410)</f>
        <v>373.7769</v>
      </c>
      <c r="N1410" s="1">
        <f>value(JPY!$B1410)</f>
        <v>111.167385</v>
      </c>
      <c r="O1410" s="1">
        <f>value(SAR!$B1410)</f>
        <v>3082.768393</v>
      </c>
      <c r="P1410" s="1">
        <f>value(AED!$B1410)</f>
        <v>3144.22336</v>
      </c>
      <c r="Q1410" s="1">
        <f>value(KWD!$B1410)</f>
        <v>41026.33041</v>
      </c>
    </row>
    <row r="1411">
      <c r="A1411" s="4">
        <f>value(USD!A1411)</f>
        <v>41721.99861</v>
      </c>
      <c r="B1411" s="1">
        <f>value(USD!B1411)</f>
        <v>11401</v>
      </c>
      <c r="C1411" s="1">
        <f>value(AUD!$B1411)</f>
        <v>10433.385</v>
      </c>
      <c r="D1411" s="1">
        <f>value(EUR!$B1411)</f>
        <v>15724.33103</v>
      </c>
      <c r="E1411" s="1">
        <f>value(GBP!$B1411)</f>
        <v>18812.793</v>
      </c>
      <c r="F1411" s="1">
        <f>value(CHF!$B1411)</f>
        <v>12883.292</v>
      </c>
      <c r="G1411" s="1">
        <f>value(SGD!$B1411)</f>
        <v>8973.80469</v>
      </c>
      <c r="H1411" s="1">
        <f>value(MYR!$B1411)</f>
        <v>3389.03418</v>
      </c>
      <c r="I1411" s="1">
        <f>value(THB!$B1411)</f>
        <v>349.28289</v>
      </c>
      <c r="J1411" s="1">
        <f>value(VND!$B1411)</f>
        <v>0.5462319776</v>
      </c>
      <c r="K1411" s="1">
        <f>value(CNY!$B1411)</f>
        <v>1815.728</v>
      </c>
      <c r="L1411" s="1">
        <f>value(HKD!$B1411)</f>
        <v>1467.23852</v>
      </c>
      <c r="M1411" s="1">
        <f>value(TWD!$B1411)</f>
        <v>372.84156</v>
      </c>
      <c r="N1411" s="1">
        <f>value(JPY!$B1411)</f>
        <v>111.237894</v>
      </c>
      <c r="O1411" s="1">
        <f>value(SAR!$B1411)</f>
        <v>3057.25174</v>
      </c>
      <c r="P1411" s="1">
        <f>value(AED!$B1411)</f>
        <v>3146.67298</v>
      </c>
      <c r="Q1411" s="1">
        <f>value(KWD!$B1411)</f>
        <v>41026.33041</v>
      </c>
    </row>
    <row r="1412">
      <c r="A1412" s="4">
        <f>value(USD!A1412)</f>
        <v>41722.99861</v>
      </c>
      <c r="B1412" s="1">
        <f>value(USD!B1412)</f>
        <v>11361</v>
      </c>
      <c r="C1412" s="1">
        <f>value(AUD!$B1412)</f>
        <v>10405.43166</v>
      </c>
      <c r="D1412" s="1">
        <f>value(EUR!$B1412)</f>
        <v>15759.14525</v>
      </c>
      <c r="E1412" s="1">
        <f>value(GBP!$B1412)</f>
        <v>18950.42505</v>
      </c>
      <c r="F1412" s="1">
        <f>value(CHF!$B1412)</f>
        <v>12915.8325</v>
      </c>
      <c r="G1412" s="1">
        <f>value(SGD!$B1412)</f>
        <v>9022.4437</v>
      </c>
      <c r="H1412" s="1">
        <f>value(MYR!$B1412)</f>
        <v>3405.91475</v>
      </c>
      <c r="I1412" s="1">
        <f>value(THB!$B1412)</f>
        <v>350.94015</v>
      </c>
      <c r="J1412" s="1">
        <f>value(VND!$B1412)</f>
        <v>0.5545025825</v>
      </c>
      <c r="K1412" s="1">
        <f>value(CNY!$B1412)</f>
        <v>1820.543584</v>
      </c>
      <c r="L1412" s="1">
        <f>value(HKD!$B1412)</f>
        <v>1473.85715</v>
      </c>
      <c r="M1412" s="1">
        <f>value(TWD!$B1412)</f>
        <v>374.26755</v>
      </c>
      <c r="N1412" s="1">
        <f>value(JPY!$B1412)</f>
        <v>112.188785</v>
      </c>
      <c r="O1412" s="1">
        <f>value(SAR!$B1412)</f>
        <v>3071.754201</v>
      </c>
      <c r="P1412" s="1">
        <f>value(AED!$B1412)</f>
        <v>3153.880306</v>
      </c>
      <c r="Q1412" s="1">
        <f>value(KWD!$B1412)</f>
        <v>40938.37963</v>
      </c>
    </row>
    <row r="1413">
      <c r="A1413" s="4">
        <f>value(USD!A1413)</f>
        <v>41723.99861</v>
      </c>
      <c r="B1413" s="1">
        <f>value(USD!B1413)</f>
        <v>11381</v>
      </c>
      <c r="C1413" s="1">
        <f>value(AUD!$B1413)</f>
        <v>10421.4825</v>
      </c>
      <c r="D1413" s="1">
        <f>value(EUR!$B1413)</f>
        <v>15636.3559</v>
      </c>
      <c r="E1413" s="1">
        <f>value(GBP!$B1413)</f>
        <v>18896.89859</v>
      </c>
      <c r="F1413" s="1">
        <f>value(CHF!$B1413)</f>
        <v>12834.80894</v>
      </c>
      <c r="G1413" s="1">
        <f>value(SGD!$B1413)</f>
        <v>9004.76101</v>
      </c>
      <c r="H1413" s="1">
        <f>value(MYR!$B1413)</f>
        <v>3392.90372</v>
      </c>
      <c r="I1413" s="1">
        <f>value(THB!$B1413)</f>
        <v>349.73813</v>
      </c>
      <c r="J1413" s="1">
        <f>value(VND!$B1413)</f>
        <v>0.5606712254</v>
      </c>
      <c r="K1413" s="1">
        <f>value(CNY!$B1413)</f>
        <v>1827.7533</v>
      </c>
      <c r="L1413" s="1">
        <f>value(HKD!$B1413)</f>
        <v>1466.78328</v>
      </c>
      <c r="M1413" s="1">
        <f>value(TWD!$B1413)</f>
        <v>371.58965</v>
      </c>
      <c r="N1413" s="1">
        <f>value(JPY!$B1413)</f>
        <v>111.374466</v>
      </c>
      <c r="O1413" s="1">
        <f>value(SAR!$B1413)</f>
        <v>3065.282298</v>
      </c>
      <c r="P1413" s="1">
        <f>value(AED!$B1413)</f>
        <v>3153.880306</v>
      </c>
      <c r="Q1413" s="1">
        <f>value(KWD!$B1413)</f>
        <v>40912.29802</v>
      </c>
    </row>
    <row r="1414">
      <c r="A1414" s="4">
        <f>value(USD!A1414)</f>
        <v>41724.99861</v>
      </c>
      <c r="B1414" s="1">
        <f>value(USD!B1414)</f>
        <v>11435</v>
      </c>
      <c r="C1414" s="1">
        <f>value(AUD!$B1414)</f>
        <v>10462.205</v>
      </c>
      <c r="D1414" s="1">
        <f>value(EUR!$B1414)</f>
        <v>15545.84465</v>
      </c>
      <c r="E1414" s="1">
        <f>value(GBP!$B1414)</f>
        <v>18809.37205</v>
      </c>
      <c r="F1414" s="1">
        <f>value(CHF!$B1414)</f>
        <v>12745.257</v>
      </c>
      <c r="G1414" s="1">
        <f>value(SGD!$B1414)</f>
        <v>8980.57895</v>
      </c>
      <c r="H1414" s="1">
        <f>value(MYR!$B1414)</f>
        <v>3399.30045</v>
      </c>
      <c r="I1414" s="1">
        <f>value(THB!$B1414)</f>
        <v>347.62875</v>
      </c>
      <c r="J1414" s="1">
        <f>value(VND!$B1414)</f>
        <v>0.5564497028</v>
      </c>
      <c r="K1414" s="1">
        <f>value(CNY!$B1414)</f>
        <v>1830.5118</v>
      </c>
      <c r="L1414" s="1">
        <f>value(HKD!$B1414)</f>
        <v>1457.10145</v>
      </c>
      <c r="M1414" s="1">
        <f>value(TWD!$B1414)</f>
        <v>371.4823</v>
      </c>
      <c r="N1414" s="1">
        <f>value(JPY!$B1414)</f>
        <v>109.8846</v>
      </c>
      <c r="O1414" s="1">
        <f>value(SAR!$B1414)</f>
        <v>3044.17447</v>
      </c>
      <c r="P1414" s="1">
        <f>value(AED!$B1414)</f>
        <v>3146.67298</v>
      </c>
      <c r="Q1414" s="1">
        <f>value(KWD!$B1414)</f>
        <v>40879.02546</v>
      </c>
    </row>
    <row r="1415">
      <c r="A1415" s="4">
        <f>value(USD!A1415)</f>
        <v>41725.99861</v>
      </c>
      <c r="B1415" s="1">
        <f>value(USD!B1415)</f>
        <v>11381</v>
      </c>
      <c r="C1415" s="1">
        <f>value(AUD!$B1415)</f>
        <v>10501.9005</v>
      </c>
      <c r="D1415" s="1">
        <f>value(EUR!$B1415)</f>
        <v>15574.1675</v>
      </c>
      <c r="E1415" s="1">
        <f>value(GBP!$B1415)</f>
        <v>18847.09828</v>
      </c>
      <c r="F1415" s="1">
        <f>value(CHF!$B1415)</f>
        <v>12770.09255</v>
      </c>
      <c r="G1415" s="1">
        <f>value(SGD!$B1415)</f>
        <v>8996.482637</v>
      </c>
      <c r="H1415" s="1">
        <f>value(MYR!$B1415)</f>
        <v>3405.320263</v>
      </c>
      <c r="I1415" s="1">
        <f>value(THB!$B1415)</f>
        <v>342.8083554</v>
      </c>
      <c r="J1415" s="1">
        <f>value(VND!$B1415)</f>
        <v>0.552009446</v>
      </c>
      <c r="K1415" s="1">
        <f>value(CNY!$B1415)</f>
        <v>1837.1526</v>
      </c>
      <c r="L1415" s="1">
        <f>value(HKD!$B1415)</f>
        <v>1459.568577</v>
      </c>
      <c r="M1415" s="1">
        <f>value(TWD!$B1415)</f>
        <v>372.1401572</v>
      </c>
      <c r="N1415" s="1">
        <f>value(JPY!$B1415)</f>
        <v>110.0791944</v>
      </c>
      <c r="O1415" s="1">
        <f>value(SAR!$B1415)</f>
        <v>3038.592857</v>
      </c>
      <c r="P1415" s="1">
        <f>value(AED!$B1415)</f>
        <v>3146.67298</v>
      </c>
      <c r="Q1415" s="1">
        <f>value(KWD!$B1415)</f>
        <v>41593.57624</v>
      </c>
    </row>
    <row r="1416">
      <c r="A1416" s="4">
        <f>value(USD!A1416)</f>
        <v>41726.99861</v>
      </c>
      <c r="B1416" s="1">
        <f>value(USD!B1416)</f>
        <v>11305</v>
      </c>
      <c r="C1416" s="1">
        <f>value(AUD!$B1416)</f>
        <v>10523.20858</v>
      </c>
      <c r="D1416" s="1">
        <f>value(EUR!$B1416)</f>
        <v>15541.77485</v>
      </c>
      <c r="E1416" s="1">
        <f>value(GBP!$B1416)</f>
        <v>18811.85915</v>
      </c>
      <c r="F1416" s="1">
        <f>value(CHF!$B1416)</f>
        <v>12739.6045</v>
      </c>
      <c r="G1416" s="1">
        <f>value(SGD!$B1416)</f>
        <v>8977.0744</v>
      </c>
      <c r="H1416" s="1">
        <f>value(MYR!$B1416)</f>
        <v>3398.283</v>
      </c>
      <c r="I1416" s="1">
        <f>value(THB!$B1416)</f>
        <v>342.0893</v>
      </c>
      <c r="J1416" s="1">
        <f>value(VND!$B1416)</f>
        <v>0.5623146743</v>
      </c>
      <c r="K1416" s="1">
        <f>value(CNY!$B1416)</f>
        <v>1843.91295</v>
      </c>
      <c r="L1416" s="1">
        <f>value(HKD!$B1416)</f>
        <v>1456.9884</v>
      </c>
      <c r="M1416" s="1">
        <f>value(TWD!$B1416)</f>
        <v>371.36925</v>
      </c>
      <c r="N1416" s="1">
        <f>value(JPY!$B1416)</f>
        <v>109.828075</v>
      </c>
      <c r="O1416" s="1">
        <f>value(SAR!$B1416)</f>
        <v>3018.50562</v>
      </c>
      <c r="P1416" s="1">
        <f>value(AED!$B1416)</f>
        <v>3146.67298</v>
      </c>
      <c r="Q1416" s="1">
        <f>value(KWD!$B1416)</f>
        <v>41962.07115</v>
      </c>
    </row>
    <row r="1417">
      <c r="A1417" s="4">
        <f>value(USD!A1417)</f>
        <v>41727.99861</v>
      </c>
      <c r="B1417" s="1">
        <f>value(USD!B1417)</f>
        <v>11325.02</v>
      </c>
      <c r="C1417" s="1">
        <f>value(AUD!$B1417)</f>
        <v>10502.466</v>
      </c>
      <c r="D1417" s="1">
        <f>value(EUR!$B1417)</f>
        <v>15500.386</v>
      </c>
      <c r="E1417" s="1">
        <f>value(GBP!$B1417)</f>
        <v>18753.9814</v>
      </c>
      <c r="F1417" s="1">
        <f>value(CHF!$B1417)</f>
        <v>12724.903</v>
      </c>
      <c r="G1417" s="1">
        <f>value(SGD!$B1417)</f>
        <v>8949.41325</v>
      </c>
      <c r="H1417" s="1">
        <f>value(MYR!$B1417)</f>
        <v>3381.2271</v>
      </c>
      <c r="I1417" s="1">
        <f>value(THB!$B1417)</f>
        <v>347.1042</v>
      </c>
      <c r="J1417" s="1">
        <f>value(VND!$B1417)</f>
        <v>0.5643611636</v>
      </c>
      <c r="K1417" s="1">
        <f>value(CNY!$B1417)</f>
        <v>1845.8587</v>
      </c>
      <c r="L1417" s="1">
        <f>value(HKD!$B1417)</f>
        <v>1450.9946</v>
      </c>
      <c r="M1417" s="1">
        <f>value(TWD!$B1417)</f>
        <v>368.7138</v>
      </c>
      <c r="N1417" s="1">
        <f>value(JPY!$B1417)</f>
        <v>109.004675</v>
      </c>
      <c r="O1417" s="1">
        <f>value(SAR!$B1417)</f>
        <v>3071.91605</v>
      </c>
      <c r="P1417" s="1">
        <f>value(AED!$B1417)</f>
        <v>3201.10898</v>
      </c>
      <c r="Q1417" s="1">
        <f>value(KWD!$B1417)</f>
        <v>41768.8001</v>
      </c>
    </row>
    <row r="1418">
      <c r="A1418" s="4">
        <f>value(USD!A1418)</f>
        <v>41728.99861</v>
      </c>
      <c r="B1418" s="1">
        <f>value(USD!B1418)</f>
        <v>11305</v>
      </c>
      <c r="C1418" s="1">
        <f>value(AUD!$B1418)</f>
        <v>10462.5585</v>
      </c>
      <c r="D1418" s="1">
        <f>value(EUR!$B1418)</f>
        <v>15527.37134</v>
      </c>
      <c r="E1418" s="1">
        <f>value(GBP!$B1418)</f>
        <v>18719.8024</v>
      </c>
      <c r="F1418" s="1">
        <f>value(CHF!$B1418)</f>
        <v>12740.6786</v>
      </c>
      <c r="G1418" s="1">
        <f>value(SGD!$B1418)</f>
        <v>8938.852</v>
      </c>
      <c r="H1418" s="1">
        <f>value(MYR!$B1418)</f>
        <v>3389.67122</v>
      </c>
      <c r="I1418" s="1">
        <f>value(THB!$B1418)</f>
        <v>347.8722</v>
      </c>
      <c r="J1418" s="1">
        <f>value(VND!$B1418)</f>
        <v>0.5614781461</v>
      </c>
      <c r="K1418" s="1">
        <f>value(CNY!$B1418)</f>
        <v>1859.6061</v>
      </c>
      <c r="L1418" s="1">
        <f>value(HKD!$B1418)</f>
        <v>1451.38136</v>
      </c>
      <c r="M1418" s="1">
        <f>value(TWD!$B1418)</f>
        <v>370.72594</v>
      </c>
      <c r="N1418" s="1">
        <f>value(JPY!$B1418)</f>
        <v>108.617184</v>
      </c>
      <c r="O1418" s="1">
        <f>value(SAR!$B1418)</f>
        <v>3047.852851</v>
      </c>
      <c r="P1418" s="1">
        <f>value(AED!$B1418)</f>
        <v>3228.32698</v>
      </c>
      <c r="Q1418" s="1">
        <f>value(KWD!$B1418)</f>
        <v>42016.83659</v>
      </c>
    </row>
    <row r="1419">
      <c r="A1419" s="4">
        <f>value(USD!A1419)</f>
        <v>41729.99861</v>
      </c>
      <c r="B1419" s="1">
        <f>value(USD!B1419)</f>
        <v>11255</v>
      </c>
      <c r="C1419" s="1">
        <f>value(AUD!$B1419)</f>
        <v>10525.9606</v>
      </c>
      <c r="D1419" s="1">
        <f>value(EUR!$B1419)</f>
        <v>15519.1355</v>
      </c>
      <c r="E1419" s="1">
        <f>value(GBP!$B1419)</f>
        <v>18741.64325</v>
      </c>
      <c r="F1419" s="1">
        <f>value(CHF!$B1419)</f>
        <v>12713.69</v>
      </c>
      <c r="G1419" s="1">
        <f>value(SGD!$B1419)</f>
        <v>8930.81475</v>
      </c>
      <c r="H1419" s="1">
        <f>value(MYR!$B1419)</f>
        <v>3382.5</v>
      </c>
      <c r="I1419" s="1">
        <f>value(THB!$B1419)</f>
        <v>347.4955</v>
      </c>
      <c r="J1419" s="1">
        <f>value(VND!$B1419)</f>
        <v>0.5595408819</v>
      </c>
      <c r="K1419" s="1">
        <f>value(CNY!$B1419)</f>
        <v>1854.103462</v>
      </c>
      <c r="L1419" s="1">
        <f>value(HKD!$B1419)</f>
        <v>1453.68575</v>
      </c>
      <c r="M1419" s="1">
        <f>value(TWD!$B1419)</f>
        <v>370.83475</v>
      </c>
      <c r="N1419" s="1">
        <f>value(JPY!$B1419)</f>
        <v>108.544425</v>
      </c>
      <c r="O1419" s="1">
        <f>value(SAR!$B1419)</f>
        <v>3058.528343</v>
      </c>
      <c r="P1419" s="1">
        <f>value(AED!$B1419)</f>
        <v>3213.457786</v>
      </c>
      <c r="Q1419" s="1">
        <f>value(KWD!$B1419)</f>
        <v>41595.89035</v>
      </c>
    </row>
    <row r="1420">
      <c r="A1420" s="4">
        <f>value(USD!A1420)</f>
        <v>41730.99861</v>
      </c>
      <c r="B1420" s="1">
        <f>value(USD!B1420)</f>
        <v>11258</v>
      </c>
      <c r="C1420" s="1">
        <f>value(AUD!$B1420)</f>
        <v>10565.625</v>
      </c>
      <c r="D1420" s="1">
        <f>value(EUR!$B1420)</f>
        <v>15547.3127</v>
      </c>
      <c r="E1420" s="1">
        <f>value(GBP!$B1420)</f>
        <v>18809.41235</v>
      </c>
      <c r="F1420" s="1">
        <f>value(CHF!$B1420)</f>
        <v>12719.0035</v>
      </c>
      <c r="G1420" s="1">
        <f>value(SGD!$B1420)</f>
        <v>8970.40565</v>
      </c>
      <c r="H1420" s="1">
        <f>value(MYR!$B1420)</f>
        <v>3381.4572</v>
      </c>
      <c r="I1420" s="1">
        <f>value(THB!$B1420)</f>
        <v>348.55125</v>
      </c>
      <c r="J1420" s="1">
        <f>value(VND!$B1420)</f>
        <v>0.5589853995</v>
      </c>
      <c r="K1420" s="1">
        <f>value(CNY!$B1420)</f>
        <v>1858.79445</v>
      </c>
      <c r="L1420" s="1">
        <f>value(HKD!$B1420)</f>
        <v>1461.19485</v>
      </c>
      <c r="M1420" s="1">
        <f>value(TWD!$B1420)</f>
        <v>373.1482</v>
      </c>
      <c r="N1420" s="1">
        <f>value(JPY!$B1420)</f>
        <v>109.0427</v>
      </c>
      <c r="O1420" s="1">
        <f>value(SAR!$B1420)</f>
        <v>3067.705594</v>
      </c>
      <c r="P1420" s="1">
        <f>value(AED!$B1420)</f>
        <v>3232.540326</v>
      </c>
      <c r="Q1420" s="1">
        <f>value(KWD!$B1420)</f>
        <v>41277.74472</v>
      </c>
    </row>
    <row r="1421">
      <c r="A1421" s="4">
        <f>value(USD!A1421)</f>
        <v>41731.99861</v>
      </c>
      <c r="B1421" s="1">
        <f>value(USD!B1421)</f>
        <v>11275</v>
      </c>
      <c r="C1421" s="1">
        <f>value(AUD!$B1421)</f>
        <v>10679.0485</v>
      </c>
      <c r="D1421" s="1">
        <f>value(EUR!$B1421)</f>
        <v>15493.7952</v>
      </c>
      <c r="E1421" s="1">
        <f>value(GBP!$B1421)</f>
        <v>18749.718</v>
      </c>
      <c r="F1421" s="1">
        <f>value(CHF!$B1421)</f>
        <v>12677.379</v>
      </c>
      <c r="G1421" s="1">
        <f>value(SGD!$B1421)</f>
        <v>8982.9675</v>
      </c>
      <c r="H1421" s="1">
        <f>value(MYR!$B1421)</f>
        <v>3388.2498</v>
      </c>
      <c r="I1421" s="1">
        <f>value(THB!$B1421)</f>
        <v>348.2349</v>
      </c>
      <c r="J1421" s="1">
        <f>value(VND!$B1421)</f>
        <v>0.5588882463</v>
      </c>
      <c r="K1421" s="1">
        <f>value(CNY!$B1421)</f>
        <v>1852.6056</v>
      </c>
      <c r="L1421" s="1">
        <f>value(HKD!$B1421)</f>
        <v>1457.859</v>
      </c>
      <c r="M1421" s="1">
        <f>value(TWD!$B1421)</f>
        <v>373.3431</v>
      </c>
      <c r="N1421" s="1">
        <f>value(JPY!$B1421)</f>
        <v>109.4808</v>
      </c>
      <c r="O1421" s="1">
        <f>value(SAR!$B1421)</f>
        <v>3071.70869</v>
      </c>
      <c r="P1421" s="1">
        <f>value(AED!$B1421)</f>
        <v>3199.4759</v>
      </c>
      <c r="Q1421" s="1">
        <f>value(KWD!$B1421)</f>
        <v>41593.25479</v>
      </c>
    </row>
    <row r="1422">
      <c r="A1422" s="4">
        <f>value(USD!A1422)</f>
        <v>41732.99861</v>
      </c>
      <c r="B1422" s="1">
        <f>value(USD!B1422)</f>
        <v>11335</v>
      </c>
      <c r="C1422" s="1">
        <f>value(AUD!$B1422)</f>
        <v>10701.61425</v>
      </c>
      <c r="D1422" s="1">
        <f>value(EUR!$B1422)</f>
        <v>15520.93991</v>
      </c>
      <c r="E1422" s="1">
        <f>value(GBP!$B1422)</f>
        <v>18774.61815</v>
      </c>
      <c r="F1422" s="1">
        <f>value(CHF!$B1422)</f>
        <v>12693.08241</v>
      </c>
      <c r="G1422" s="1">
        <f>value(SGD!$B1422)</f>
        <v>8994.897135</v>
      </c>
      <c r="H1422" s="1">
        <f>value(MYR!$B1422)</f>
        <v>3393.768743</v>
      </c>
      <c r="I1422" s="1">
        <f>value(THB!$B1422)</f>
        <v>341.9023538</v>
      </c>
      <c r="J1422" s="1">
        <f>value(VND!$B1422)</f>
        <v>0.5586137483</v>
      </c>
      <c r="K1422" s="1">
        <f>value(CNY!$B1422)</f>
        <v>1850.0624</v>
      </c>
      <c r="L1422" s="1">
        <f>value(HKD!$B1422)</f>
        <v>1459.795078</v>
      </c>
      <c r="M1422" s="1">
        <f>value(TWD!$B1422)</f>
        <v>374.0654106</v>
      </c>
      <c r="N1422" s="1">
        <f>value(JPY!$B1422)</f>
        <v>109.6261936</v>
      </c>
      <c r="O1422" s="1">
        <f>value(SAR!$B1422)</f>
        <v>3095.880073</v>
      </c>
      <c r="P1422" s="1">
        <f>value(AED!$B1422)</f>
        <v>3177.7015</v>
      </c>
      <c r="Q1422" s="1">
        <f>value(KWD!$B1422)</f>
        <v>41737.06019</v>
      </c>
    </row>
    <row r="1423">
      <c r="A1423" s="4">
        <f>value(USD!A1423)</f>
        <v>41733.99861</v>
      </c>
      <c r="B1423" s="1">
        <f>value(USD!B1423)</f>
        <v>11310</v>
      </c>
      <c r="C1423" s="1">
        <f>value(AUD!$B1423)</f>
        <v>10722.59793</v>
      </c>
      <c r="D1423" s="1">
        <f>value(EUR!$B1423)</f>
        <v>15490.176</v>
      </c>
      <c r="E1423" s="1">
        <f>value(GBP!$B1423)</f>
        <v>18748.8132</v>
      </c>
      <c r="F1423" s="1">
        <f>value(CHF!$B1423)</f>
        <v>12676.248</v>
      </c>
      <c r="G1423" s="1">
        <f>value(SGD!$B1423)</f>
        <v>8982.5151</v>
      </c>
      <c r="H1423" s="1">
        <f>value(MYR!$B1423)</f>
        <v>3387.1188</v>
      </c>
      <c r="I1423" s="1">
        <f>value(THB!$B1423)</f>
        <v>341.3358</v>
      </c>
      <c r="J1423" s="1">
        <f>value(VND!$B1423)</f>
        <v>0.5589517479</v>
      </c>
      <c r="K1423" s="1">
        <f>value(CNY!$B1423)</f>
        <v>1859.9859</v>
      </c>
      <c r="L1423" s="1">
        <f>value(HKD!$B1423)</f>
        <v>1457.9721</v>
      </c>
      <c r="M1423" s="1">
        <f>value(TWD!$B1423)</f>
        <v>373.3431</v>
      </c>
      <c r="N1423" s="1">
        <f>value(JPY!$B1423)</f>
        <v>109.4808</v>
      </c>
      <c r="O1423" s="1">
        <f>value(SAR!$B1423)</f>
        <v>3091.917482</v>
      </c>
      <c r="P1423" s="1">
        <f>value(AED!$B1423)</f>
        <v>3200.29244</v>
      </c>
      <c r="Q1423" s="1">
        <f>value(KWD!$B1423)</f>
        <v>41538.45928</v>
      </c>
    </row>
    <row r="1424">
      <c r="A1424" s="4">
        <f>value(USD!A1424)</f>
        <v>41734.99861</v>
      </c>
      <c r="B1424" s="1">
        <f>value(USD!B1424)</f>
        <v>11325.02</v>
      </c>
      <c r="C1424" s="1">
        <f>value(AUD!$B1424)</f>
        <v>10685.0915</v>
      </c>
      <c r="D1424" s="1">
        <f>value(EUR!$B1424)</f>
        <v>15522.60555</v>
      </c>
      <c r="E1424" s="1">
        <f>value(GBP!$B1424)</f>
        <v>18758.17125</v>
      </c>
      <c r="F1424" s="1">
        <f>value(CHF!$B1424)</f>
        <v>12722.688</v>
      </c>
      <c r="G1424" s="1">
        <f>value(SGD!$B1424)</f>
        <v>8969.02065</v>
      </c>
      <c r="H1424" s="1">
        <f>value(MYR!$B1424)</f>
        <v>3396.06765</v>
      </c>
      <c r="I1424" s="1">
        <f>value(THB!$B1424)</f>
        <v>347.6601</v>
      </c>
      <c r="J1424" s="1">
        <f>value(VND!$B1424)</f>
        <v>0.5589051579</v>
      </c>
      <c r="K1424" s="1">
        <f>value(CNY!$B1424)</f>
        <v>1858.9104</v>
      </c>
      <c r="L1424" s="1">
        <f>value(HKD!$B1424)</f>
        <v>1456.49025</v>
      </c>
      <c r="M1424" s="1">
        <f>value(TWD!$B1424)</f>
        <v>373.8645</v>
      </c>
      <c r="N1424" s="1">
        <f>value(JPY!$B1424)</f>
        <v>109.53891</v>
      </c>
      <c r="O1424" s="1">
        <f>value(SAR!$B1424)</f>
        <v>3085.217072</v>
      </c>
      <c r="P1424" s="1">
        <f>value(AED!$B1424)</f>
        <v>3213.62926</v>
      </c>
      <c r="Q1424" s="1">
        <f>value(KWD!$B1424)</f>
        <v>41804.87836</v>
      </c>
    </row>
    <row r="1425">
      <c r="A1425" s="4">
        <f>value(USD!A1425)</f>
        <v>41735.99861</v>
      </c>
      <c r="B1425" s="1">
        <f>value(USD!B1425)</f>
        <v>11310</v>
      </c>
      <c r="C1425" s="1">
        <f>value(AUD!$B1425)</f>
        <v>10768.93812</v>
      </c>
      <c r="D1425" s="1">
        <f>value(EUR!$B1425)</f>
        <v>15530.6928</v>
      </c>
      <c r="E1425" s="1">
        <f>value(GBP!$B1425)</f>
        <v>18854.87</v>
      </c>
      <c r="F1425" s="1">
        <f>value(CHF!$B1425)</f>
        <v>12739.564</v>
      </c>
      <c r="G1425" s="1">
        <f>value(SGD!$B1425)</f>
        <v>8993.362</v>
      </c>
      <c r="H1425" s="1">
        <f>value(MYR!$B1425)</f>
        <v>3421.351</v>
      </c>
      <c r="I1425" s="1">
        <f>value(THB!$B1425)</f>
        <v>348.6096</v>
      </c>
      <c r="J1425" s="1">
        <f>value(VND!$B1425)</f>
        <v>0.5580649746</v>
      </c>
      <c r="K1425" s="1">
        <f>value(CNY!$B1425)</f>
        <v>1866.0664</v>
      </c>
      <c r="L1425" s="1">
        <f>value(HKD!$B1425)</f>
        <v>1451.977</v>
      </c>
      <c r="M1425" s="1">
        <f>value(TWD!$B1425)</f>
        <v>374.5076</v>
      </c>
      <c r="N1425" s="1">
        <f>value(JPY!$B1425)</f>
        <v>110.49438</v>
      </c>
      <c r="O1425" s="1">
        <f>value(SAR!$B1425)</f>
        <v>3085.299379</v>
      </c>
      <c r="P1425" s="1">
        <f>value(AED!$B1425)</f>
        <v>3196.7541</v>
      </c>
      <c r="Q1425" s="1">
        <f>value(KWD!$B1425)</f>
        <v>41370.5214</v>
      </c>
    </row>
    <row r="1426">
      <c r="A1426" s="4">
        <f>value(USD!A1426)</f>
        <v>41736.99861</v>
      </c>
      <c r="B1426" s="1">
        <f>value(USD!B1426)</f>
        <v>11295</v>
      </c>
      <c r="C1426" s="1">
        <f>value(AUD!$B1426)</f>
        <v>10705.75</v>
      </c>
      <c r="D1426" s="1">
        <f>value(EUR!$B1426)</f>
        <v>15612.1056</v>
      </c>
      <c r="E1426" s="1">
        <f>value(GBP!$B1426)</f>
        <v>18925.0348</v>
      </c>
      <c r="F1426" s="1">
        <f>value(CHF!$B1426)</f>
        <v>12809.482</v>
      </c>
      <c r="G1426" s="1">
        <f>value(SGD!$B1426)</f>
        <v>9036.5114</v>
      </c>
      <c r="H1426" s="1">
        <f>value(MYR!$B1426)</f>
        <v>3442.3088</v>
      </c>
      <c r="I1426" s="1">
        <f>value(THB!$B1426)</f>
        <v>349.7081</v>
      </c>
      <c r="J1426" s="1">
        <f>value(VND!$B1426)</f>
        <v>0.559996164</v>
      </c>
      <c r="K1426" s="1">
        <f>value(CNY!$B1426)</f>
        <v>1871.811836</v>
      </c>
      <c r="L1426" s="1">
        <f>value(HKD!$B1426)</f>
        <v>1453.6046</v>
      </c>
      <c r="M1426" s="1">
        <f>value(TWD!$B1426)</f>
        <v>376.418</v>
      </c>
      <c r="N1426" s="1">
        <f>value(JPY!$B1426)</f>
        <v>110.43473</v>
      </c>
      <c r="O1426" s="1">
        <f>value(SAR!$B1426)</f>
        <v>3104.644898</v>
      </c>
      <c r="P1426" s="1">
        <f>value(AED!$B1426)</f>
        <v>3217.257419</v>
      </c>
      <c r="Q1426" s="1">
        <f>value(KWD!$B1426)</f>
        <v>41304.18256</v>
      </c>
    </row>
    <row r="1427">
      <c r="A1427" s="4">
        <f>value(USD!A1427)</f>
        <v>41737.99861</v>
      </c>
      <c r="B1427" s="1">
        <f>value(USD!B1427)</f>
        <v>11260</v>
      </c>
      <c r="C1427" s="1">
        <f>value(AUD!$B1427)</f>
        <v>10683.7478</v>
      </c>
      <c r="D1427" s="1">
        <f>value(EUR!$B1427)</f>
        <v>15752.5325</v>
      </c>
      <c r="E1427" s="1">
        <f>value(GBP!$B1427)</f>
        <v>19035.7755</v>
      </c>
      <c r="F1427" s="1">
        <f>value(CHF!$B1427)</f>
        <v>12944.645</v>
      </c>
      <c r="G1427" s="1">
        <f>value(SGD!$B1427)</f>
        <v>9076</v>
      </c>
      <c r="H1427" s="1">
        <f>value(MYR!$B1427)</f>
        <v>3461.24605</v>
      </c>
      <c r="I1427" s="1">
        <f>value(THB!$B1427)</f>
        <v>351.12775</v>
      </c>
      <c r="J1427" s="1">
        <f>value(VND!$B1427)</f>
        <v>0.5595021522</v>
      </c>
      <c r="K1427" s="1">
        <f>value(CNY!$B1427)</f>
        <v>1871.344</v>
      </c>
      <c r="L1427" s="1">
        <f>value(HKD!$B1427)</f>
        <v>1463.2781</v>
      </c>
      <c r="M1427" s="1">
        <f>value(TWD!$B1427)</f>
        <v>378.2423</v>
      </c>
      <c r="N1427" s="1">
        <f>value(JPY!$B1427)</f>
        <v>111.804975</v>
      </c>
      <c r="O1427" s="1">
        <f>value(SAR!$B1427)</f>
        <v>3094.640683</v>
      </c>
      <c r="P1427" s="1">
        <f>value(AED!$B1427)</f>
        <v>3184.506</v>
      </c>
      <c r="Q1427" s="1">
        <f>value(KWD!$B1427)</f>
        <v>41288.51644</v>
      </c>
    </row>
    <row r="1428">
      <c r="A1428" s="4">
        <f>value(USD!A1428)</f>
        <v>41738.99861</v>
      </c>
      <c r="B1428" s="1">
        <f>value(USD!B1428)</f>
        <v>11270</v>
      </c>
      <c r="C1428" s="1">
        <f>value(AUD!$B1428)</f>
        <v>10676.1249</v>
      </c>
      <c r="D1428" s="1">
        <f>value(EUR!$B1428)</f>
        <v>15819.9064</v>
      </c>
      <c r="E1428" s="1">
        <f>value(GBP!$B1428)</f>
        <v>19062.12575</v>
      </c>
      <c r="F1428" s="1">
        <f>value(CHF!$B1428)</f>
        <v>13008.532</v>
      </c>
      <c r="G1428" s="1">
        <f>value(SGD!$B1428)</f>
        <v>9125.22995</v>
      </c>
      <c r="H1428" s="1">
        <f>value(MYR!$B1428)</f>
        <v>3457.35695</v>
      </c>
      <c r="I1428" s="1">
        <f>value(THB!$B1428)</f>
        <v>352.67525</v>
      </c>
      <c r="J1428" s="1">
        <f>value(VND!$B1428)</f>
        <v>0.5580282327</v>
      </c>
      <c r="K1428" s="1">
        <f>value(CNY!$B1428)</f>
        <v>1882.0704</v>
      </c>
      <c r="L1428" s="1">
        <f>value(HKD!$B1428)</f>
        <v>1469.61315</v>
      </c>
      <c r="M1428" s="1">
        <f>value(TWD!$B1428)</f>
        <v>378.7698</v>
      </c>
      <c r="N1428" s="1">
        <f>value(JPY!$B1428)</f>
        <v>112.1268</v>
      </c>
      <c r="O1428" s="1">
        <f>value(SAR!$B1428)</f>
        <v>3111.407569</v>
      </c>
      <c r="P1428" s="1">
        <f>value(AED!$B1428)</f>
        <v>3179.0624</v>
      </c>
      <c r="Q1428" s="1">
        <f>value(KWD!$B1428)</f>
        <v>41244.03231</v>
      </c>
    </row>
    <row r="1429">
      <c r="A1429" s="4">
        <f>value(USD!A1429)</f>
        <v>41739.99861</v>
      </c>
      <c r="B1429" s="1">
        <f>value(USD!B1429)</f>
        <v>11345</v>
      </c>
      <c r="C1429" s="1">
        <f>value(AUD!$B1429)</f>
        <v>10671.318</v>
      </c>
      <c r="D1429" s="1">
        <f>value(EUR!$B1429)</f>
        <v>15849.30796</v>
      </c>
      <c r="E1429" s="1">
        <f>value(GBP!$B1429)</f>
        <v>19100.44806</v>
      </c>
      <c r="F1429" s="1">
        <f>value(CHF!$B1429)</f>
        <v>13031.95763</v>
      </c>
      <c r="G1429" s="1">
        <f>value(SGD!$B1429)</f>
        <v>9141.662571</v>
      </c>
      <c r="H1429" s="1">
        <f>value(MYR!$B1429)</f>
        <v>3463.697078</v>
      </c>
      <c r="I1429" s="1">
        <f>value(THB!$B1429)</f>
        <v>347.602584</v>
      </c>
      <c r="J1429" s="1">
        <f>value(VND!$B1429)</f>
        <v>0.5593382322</v>
      </c>
      <c r="K1429" s="1">
        <f>value(CNY!$B1429)</f>
        <v>1882.1407</v>
      </c>
      <c r="L1429" s="1">
        <f>value(HKD!$B1429)</f>
        <v>1472.259614</v>
      </c>
      <c r="M1429" s="1">
        <f>value(TWD!$B1429)</f>
        <v>379.4518848</v>
      </c>
      <c r="N1429" s="1">
        <f>value(JPY!$B1429)</f>
        <v>112.3287168</v>
      </c>
      <c r="O1429" s="1">
        <f>value(SAR!$B1429)</f>
        <v>3138.59453</v>
      </c>
      <c r="P1429" s="1">
        <f>value(AED!$B1429)</f>
        <v>3179.87894</v>
      </c>
      <c r="Q1429" s="1">
        <f>value(KWD!$B1429)</f>
        <v>41255.29368</v>
      </c>
    </row>
    <row r="1430">
      <c r="A1430" s="4">
        <f>value(USD!A1430)</f>
        <v>41740.99861</v>
      </c>
      <c r="B1430" s="1">
        <f>value(USD!B1430)</f>
        <v>11395</v>
      </c>
      <c r="C1430" s="1">
        <f>value(AUD!$B1430)</f>
        <v>10696.09167</v>
      </c>
      <c r="D1430" s="1">
        <f>value(EUR!$B1430)</f>
        <v>15777.17515</v>
      </c>
      <c r="E1430" s="1">
        <f>value(GBP!$B1430)</f>
        <v>19064.9745</v>
      </c>
      <c r="F1430" s="1">
        <f>value(CHF!$B1430)</f>
        <v>12984.6025</v>
      </c>
      <c r="G1430" s="1">
        <f>value(SGD!$B1430)</f>
        <v>9125.22995</v>
      </c>
      <c r="H1430" s="1">
        <f>value(MYR!$B1430)</f>
        <v>3447.32935</v>
      </c>
      <c r="I1430" s="1">
        <f>value(THB!$B1430)</f>
        <v>351.6497</v>
      </c>
      <c r="J1430" s="1">
        <f>value(VND!$B1430)</f>
        <v>0.5596058123</v>
      </c>
      <c r="K1430" s="1">
        <f>value(CNY!$B1430)</f>
        <v>1900</v>
      </c>
      <c r="L1430" s="1">
        <f>value(HKD!$B1430)</f>
        <v>1469.61315</v>
      </c>
      <c r="M1430" s="1">
        <f>value(TWD!$B1430)</f>
        <v>377.6303</v>
      </c>
      <c r="N1430" s="1">
        <f>value(JPY!$B1430)</f>
        <v>112.3547</v>
      </c>
      <c r="O1430" s="1">
        <f>value(SAR!$B1430)</f>
        <v>3138.582903</v>
      </c>
      <c r="P1430" s="1">
        <f>value(AED!$B1430)</f>
        <v>3176.3406</v>
      </c>
      <c r="Q1430" s="1">
        <f>value(KWD!$B1430)</f>
        <v>41309.18335</v>
      </c>
    </row>
    <row r="1431">
      <c r="A1431" s="4">
        <f>value(USD!A1431)</f>
        <v>41741.99861</v>
      </c>
      <c r="B1431" s="1">
        <f>value(USD!B1431)</f>
        <v>11415.52</v>
      </c>
      <c r="C1431" s="1">
        <f>value(AUD!$B1431)</f>
        <v>10686.76875</v>
      </c>
      <c r="D1431" s="1">
        <f>value(EUR!$B1431)</f>
        <v>15799.9776</v>
      </c>
      <c r="E1431" s="1">
        <f>value(GBP!$B1431)</f>
        <v>19127.05308</v>
      </c>
      <c r="F1431" s="1">
        <f>value(CHF!$B1431)</f>
        <v>12993.5832</v>
      </c>
      <c r="G1431" s="1">
        <f>value(SGD!$B1431)</f>
        <v>9122.95464</v>
      </c>
      <c r="H1431" s="1">
        <f>value(MYR!$B1431)</f>
        <v>3453.90072</v>
      </c>
      <c r="I1431" s="1">
        <f>value(THB!$B1431)</f>
        <v>353.82984</v>
      </c>
      <c r="J1431" s="1">
        <f>value(VND!$B1431)</f>
        <v>0.5588827132</v>
      </c>
      <c r="K1431" s="1">
        <f>value(CNY!$B1431)</f>
        <v>1893.18635</v>
      </c>
      <c r="L1431" s="1">
        <f>value(HKD!$B1431)</f>
        <v>1474.90092</v>
      </c>
      <c r="M1431" s="1">
        <f>value(TWD!$B1431)</f>
        <v>377.9598</v>
      </c>
      <c r="N1431" s="1">
        <f>value(JPY!$B1431)</f>
        <v>112.18716</v>
      </c>
      <c r="O1431" s="1">
        <f>value(SAR!$B1431)</f>
        <v>3169.371118</v>
      </c>
      <c r="P1431" s="1">
        <f>value(AED!$B1431)</f>
        <v>3175.52406</v>
      </c>
      <c r="Q1431" s="1">
        <f>value(KWD!$B1431)</f>
        <v>41251.66928</v>
      </c>
    </row>
    <row r="1432">
      <c r="A1432" s="4">
        <f>value(USD!A1432)</f>
        <v>41742.99861</v>
      </c>
      <c r="B1432" s="1">
        <f>value(USD!B1432)</f>
        <v>11395</v>
      </c>
      <c r="C1432" s="1">
        <f>value(AUD!$B1432)</f>
        <v>10672.62855</v>
      </c>
      <c r="D1432" s="1">
        <f>value(EUR!$B1432)</f>
        <v>15818.404</v>
      </c>
      <c r="E1432" s="1">
        <f>value(GBP!$B1432)</f>
        <v>19154.705</v>
      </c>
      <c r="F1432" s="1">
        <f>value(CHF!$B1432)</f>
        <v>13008.345</v>
      </c>
      <c r="G1432" s="1">
        <f>value(SGD!$B1432)</f>
        <v>9133.0925</v>
      </c>
      <c r="H1432" s="1">
        <f>value(MYR!$B1432)</f>
        <v>3474.0445</v>
      </c>
      <c r="I1432" s="1">
        <f>value(THB!$B1432)</f>
        <v>354.3775</v>
      </c>
      <c r="J1432" s="1">
        <f>value(VND!$B1432)</f>
        <v>0.561090089</v>
      </c>
      <c r="K1432" s="1">
        <f>value(CNY!$B1432)</f>
        <v>1889.80925</v>
      </c>
      <c r="L1432" s="1">
        <f>value(HKD!$B1432)</f>
        <v>1476.592</v>
      </c>
      <c r="M1432" s="1">
        <f>value(TWD!$B1432)</f>
        <v>380.2545</v>
      </c>
      <c r="N1432" s="1">
        <f>value(JPY!$B1432)</f>
        <v>112.439</v>
      </c>
      <c r="O1432" s="1">
        <f>value(SAR!$B1432)</f>
        <v>3161.195613</v>
      </c>
      <c r="P1432" s="1">
        <f>value(AED!$B1432)</f>
        <v>3179.672083</v>
      </c>
      <c r="Q1432" s="1">
        <f>value(KWD!$B1432)</f>
        <v>41171.27638</v>
      </c>
    </row>
    <row r="1433">
      <c r="A1433" s="4">
        <f>value(USD!A1433)</f>
        <v>41743.99861</v>
      </c>
      <c r="B1433" s="1">
        <f>value(USD!B1433)</f>
        <v>11436</v>
      </c>
      <c r="C1433" s="1">
        <f>value(AUD!$B1433)</f>
        <v>10803.5172</v>
      </c>
      <c r="D1433" s="1">
        <f>value(EUR!$B1433)</f>
        <v>15757.3761</v>
      </c>
      <c r="E1433" s="1">
        <f>value(GBP!$B1433)</f>
        <v>19156.18015</v>
      </c>
      <c r="F1433" s="1">
        <f>value(CHF!$B1433)</f>
        <v>12932.1295</v>
      </c>
      <c r="G1433" s="1">
        <f>value(SGD!$B1433)</f>
        <v>9115.44625</v>
      </c>
      <c r="H1433" s="1">
        <f>value(MYR!$B1433)</f>
        <v>3450.6968</v>
      </c>
      <c r="I1433" s="1">
        <f>value(THB!$B1433)</f>
        <v>353.44095</v>
      </c>
      <c r="J1433" s="1">
        <f>value(VND!$B1433)</f>
        <v>0.5574411222</v>
      </c>
      <c r="K1433" s="1">
        <f>value(CNY!$B1433)</f>
        <v>1892.779541</v>
      </c>
      <c r="L1433" s="1">
        <f>value(HKD!$B1433)</f>
        <v>1470.7888</v>
      </c>
      <c r="M1433" s="1">
        <f>value(TWD!$B1433)</f>
        <v>377.7336</v>
      </c>
      <c r="N1433" s="1">
        <f>value(JPY!$B1433)</f>
        <v>111.56371</v>
      </c>
      <c r="O1433" s="1">
        <f>value(SAR!$B1433)</f>
        <v>3152.852599</v>
      </c>
      <c r="P1433" s="1">
        <f>value(AED!$B1433)</f>
        <v>3179.0624</v>
      </c>
      <c r="Q1433" s="1">
        <f>value(KWD!$B1433)</f>
        <v>41255.2881</v>
      </c>
    </row>
    <row r="1434">
      <c r="A1434" s="4">
        <f>value(USD!A1434)</f>
        <v>41744.99861</v>
      </c>
      <c r="B1434" s="1">
        <f>value(USD!B1434)</f>
        <v>11450</v>
      </c>
      <c r="C1434" s="1">
        <f>value(AUD!$B1434)</f>
        <v>10788.8214</v>
      </c>
      <c r="D1434" s="1">
        <f>value(EUR!$B1434)</f>
        <v>15807.03285</v>
      </c>
      <c r="E1434" s="1">
        <f>value(GBP!$B1434)</f>
        <v>19215.12495</v>
      </c>
      <c r="F1434" s="1">
        <f>value(CHF!$B1434)</f>
        <v>12959.1735</v>
      </c>
      <c r="G1434" s="1">
        <f>value(SGD!$B1434)</f>
        <v>9131.5077</v>
      </c>
      <c r="H1434" s="1">
        <f>value(MYR!$B1434)</f>
        <v>3462.68475</v>
      </c>
      <c r="I1434" s="1">
        <f>value(THB!$B1434)</f>
        <v>355.0239</v>
      </c>
      <c r="J1434" s="1">
        <f>value(VND!$B1434)</f>
        <v>0.5581581542</v>
      </c>
      <c r="K1434" s="1">
        <f>value(CNY!$B1434)</f>
        <v>1894.554687</v>
      </c>
      <c r="L1434" s="1">
        <f>value(HKD!$B1434)</f>
        <v>1475.9472</v>
      </c>
      <c r="M1434" s="1">
        <f>value(TWD!$B1434)</f>
        <v>378.48615</v>
      </c>
      <c r="N1434" s="1">
        <f>value(JPY!$B1434)</f>
        <v>111.7032</v>
      </c>
      <c r="O1434" s="1">
        <f>value(SAR!$B1434)</f>
        <v>3155.647637</v>
      </c>
      <c r="P1434" s="1">
        <f>value(AED!$B1434)</f>
        <v>3174.43534</v>
      </c>
      <c r="Q1434" s="1">
        <f>value(KWD!$B1434)</f>
        <v>41249.33635</v>
      </c>
    </row>
    <row r="1435">
      <c r="A1435" s="4">
        <f>value(USD!A1435)</f>
        <v>41745.99861</v>
      </c>
      <c r="B1435" s="1">
        <f>value(USD!B1435)</f>
        <v>11405</v>
      </c>
      <c r="C1435" s="1">
        <f>value(AUD!$B1435)</f>
        <v>10742.7675</v>
      </c>
      <c r="D1435" s="1">
        <f>value(EUR!$B1435)</f>
        <v>15810.123</v>
      </c>
      <c r="E1435" s="1">
        <f>value(GBP!$B1435)</f>
        <v>19218.444</v>
      </c>
      <c r="F1435" s="1">
        <f>value(CHF!$B1435)</f>
        <v>12953.451</v>
      </c>
      <c r="G1435" s="1">
        <f>value(SGD!$B1435)</f>
        <v>9135.05565</v>
      </c>
      <c r="H1435" s="1">
        <f>value(MYR!$B1435)</f>
        <v>3463.37145</v>
      </c>
      <c r="I1435" s="1">
        <f>value(THB!$B1435)</f>
        <v>355.13835</v>
      </c>
      <c r="J1435" s="1">
        <f>value(VND!$B1435)</f>
        <v>0.5601109775</v>
      </c>
      <c r="K1435" s="1">
        <f>value(CNY!$B1435)</f>
        <v>1886.826</v>
      </c>
      <c r="L1435" s="1">
        <f>value(HKD!$B1435)</f>
        <v>1475.83275</v>
      </c>
      <c r="M1435" s="1">
        <f>value(TWD!$B1435)</f>
        <v>378.48615</v>
      </c>
      <c r="N1435" s="1">
        <f>value(JPY!$B1435)</f>
        <v>111.7032</v>
      </c>
      <c r="O1435" s="1">
        <f>value(SAR!$B1435)</f>
        <v>3157.921244</v>
      </c>
      <c r="P1435" s="1">
        <f>value(AED!$B1435)</f>
        <v>3184.506</v>
      </c>
      <c r="Q1435" s="1">
        <f>value(KWD!$B1435)</f>
        <v>41144.71196</v>
      </c>
    </row>
    <row r="1436">
      <c r="A1436" s="4">
        <f>value(USD!A1436)</f>
        <v>41746.99861</v>
      </c>
      <c r="B1436" s="1">
        <f>value(USD!B1436)</f>
        <v>11445</v>
      </c>
      <c r="C1436" s="1">
        <f>value(AUD!$B1436)</f>
        <v>10721.33325</v>
      </c>
      <c r="D1436" s="1">
        <f>value(EUR!$B1436)</f>
        <v>15841.72943</v>
      </c>
      <c r="E1436" s="1">
        <f>value(GBP!$B1436)</f>
        <v>19256.86409</v>
      </c>
      <c r="F1436" s="1">
        <f>value(CHF!$B1436)</f>
        <v>12979.34658</v>
      </c>
      <c r="G1436" s="1">
        <f>value(SGD!$B1436)</f>
        <v>9153.317779</v>
      </c>
      <c r="H1436" s="1">
        <f>value(MYR!$B1436)</f>
        <v>3470.295166</v>
      </c>
      <c r="I1436" s="1">
        <f>value(THB!$B1436)</f>
        <v>355.8483164</v>
      </c>
      <c r="J1436" s="1">
        <f>value(VND!$B1436)</f>
        <v>0.5627815487</v>
      </c>
      <c r="K1436" s="1">
        <f>value(CNY!$B1436)</f>
        <v>1898.07975</v>
      </c>
      <c r="L1436" s="1">
        <f>value(HKD!$B1436)</f>
        <v>1478.783126</v>
      </c>
      <c r="M1436" s="1">
        <f>value(TWD!$B1436)</f>
        <v>379.3574704</v>
      </c>
      <c r="N1436" s="1">
        <f>value(JPY!$B1436)</f>
        <v>111.9265088</v>
      </c>
      <c r="O1436" s="1">
        <f>value(SAR!$B1436)</f>
        <v>3139.916201</v>
      </c>
      <c r="P1436" s="1">
        <f>value(AED!$B1436)</f>
        <v>3181.23984</v>
      </c>
      <c r="Q1436" s="1">
        <f>value(KWD!$B1436)</f>
        <v>41223.19038</v>
      </c>
    </row>
    <row r="1437">
      <c r="A1437" s="4">
        <f>value(USD!A1437)</f>
        <v>41747.99861</v>
      </c>
      <c r="B1437" s="1">
        <f>value(USD!B1437)</f>
        <v>11445</v>
      </c>
      <c r="C1437" s="1">
        <f>value(AUD!$B1437)</f>
        <v>10713.29142</v>
      </c>
      <c r="D1437" s="1">
        <f>value(EUR!$B1437)</f>
        <v>15810.123</v>
      </c>
      <c r="E1437" s="1">
        <f>value(GBP!$B1437)</f>
        <v>19220.733</v>
      </c>
      <c r="F1437" s="1">
        <f>value(CHF!$B1437)</f>
        <v>12958.029</v>
      </c>
      <c r="G1437" s="1">
        <f>value(SGD!$B1437)</f>
        <v>9135.74235</v>
      </c>
      <c r="H1437" s="1">
        <f>value(MYR!$B1437)</f>
        <v>3463.257</v>
      </c>
      <c r="I1437" s="1">
        <f>value(THB!$B1437)</f>
        <v>348.8436</v>
      </c>
      <c r="J1437" s="1">
        <f>value(VND!$B1437)</f>
        <v>0.5626105582</v>
      </c>
      <c r="K1437" s="1">
        <f>value(CNY!$B1437)</f>
        <v>1895.4108</v>
      </c>
      <c r="L1437" s="1">
        <f>value(HKD!$B1437)</f>
        <v>1475.9472</v>
      </c>
      <c r="M1437" s="1">
        <f>value(TWD!$B1437)</f>
        <v>378.6006</v>
      </c>
      <c r="N1437" s="1">
        <f>value(JPY!$B1437)</f>
        <v>111.7032</v>
      </c>
      <c r="O1437" s="1">
        <f>value(SAR!$B1437)</f>
        <v>3153.357454</v>
      </c>
      <c r="P1437" s="1">
        <f>value(AED!$B1437)</f>
        <v>3173.6188</v>
      </c>
      <c r="Q1437" s="1">
        <f>value(KWD!$B1437)</f>
        <v>41223.19038</v>
      </c>
    </row>
    <row r="1438">
      <c r="A1438" s="4">
        <f>value(USD!A1438)</f>
        <v>41748.99861</v>
      </c>
      <c r="B1438" s="1">
        <f>value(USD!B1438)</f>
        <v>11467.88</v>
      </c>
      <c r="C1438" s="1">
        <f>value(AUD!$B1438)</f>
        <v>10722.3741</v>
      </c>
      <c r="D1438" s="1">
        <f>value(EUR!$B1438)</f>
        <v>15772.18115</v>
      </c>
      <c r="E1438" s="1">
        <f>value(GBP!$B1438)</f>
        <v>19200.5085</v>
      </c>
      <c r="F1438" s="1">
        <f>value(CHF!$B1438)</f>
        <v>12919.263</v>
      </c>
      <c r="G1438" s="1">
        <f>value(SGD!$B1438)</f>
        <v>9127.8744</v>
      </c>
      <c r="H1438" s="1">
        <f>value(MYR!$B1438)</f>
        <v>3454.7422</v>
      </c>
      <c r="I1438" s="1">
        <f>value(THB!$B1438)</f>
        <v>354.2563</v>
      </c>
      <c r="J1438" s="1">
        <f>value(VND!$B1438)</f>
        <v>0.553951393</v>
      </c>
      <c r="K1438" s="1">
        <f>value(CNY!$B1438)</f>
        <v>1894.1062</v>
      </c>
      <c r="L1438" s="1">
        <f>value(HKD!$B1438)</f>
        <v>1474.6576</v>
      </c>
      <c r="M1438" s="1">
        <f>value(TWD!$B1438)</f>
        <v>377.5837</v>
      </c>
      <c r="N1438" s="1">
        <f>value(JPY!$B1438)</f>
        <v>111.3769</v>
      </c>
      <c r="O1438" s="1">
        <f>value(SAR!$B1438)</f>
        <v>3150.856731</v>
      </c>
      <c r="P1438" s="1">
        <f>value(AED!$B1438)</f>
        <v>3179.672083</v>
      </c>
      <c r="Q1438" s="1">
        <f>value(KWD!$B1438)</f>
        <v>41198.83526</v>
      </c>
    </row>
    <row r="1439">
      <c r="A1439" s="4">
        <f>value(USD!A1439)</f>
        <v>41749.99861</v>
      </c>
      <c r="B1439" s="1">
        <f>value(USD!B1439)</f>
        <v>11445</v>
      </c>
      <c r="C1439" s="1">
        <f>value(AUD!$B1439)</f>
        <v>10725.04545</v>
      </c>
      <c r="D1439" s="1">
        <f>value(EUR!$B1439)</f>
        <v>15932.3548</v>
      </c>
      <c r="E1439" s="1">
        <f>value(GBP!$B1439)</f>
        <v>19413.2804</v>
      </c>
      <c r="F1439" s="1">
        <f>value(CHF!$B1439)</f>
        <v>13039.046</v>
      </c>
      <c r="G1439" s="1">
        <f>value(SGD!$B1439)</f>
        <v>9187.8018</v>
      </c>
      <c r="H1439" s="1">
        <f>value(MYR!$B1439)</f>
        <v>3470.1934</v>
      </c>
      <c r="I1439" s="1">
        <f>value(THB!$B1439)</f>
        <v>356.9322</v>
      </c>
      <c r="J1439" s="1">
        <f>value(VND!$B1439)</f>
        <v>0.5610760033</v>
      </c>
      <c r="K1439" s="1">
        <f>value(CNY!$B1439)</f>
        <v>1897.73855</v>
      </c>
      <c r="L1439" s="1">
        <f>value(HKD!$B1439)</f>
        <v>1488.3138</v>
      </c>
      <c r="M1439" s="1">
        <f>value(TWD!$B1439)</f>
        <v>380.5892</v>
      </c>
      <c r="N1439" s="1">
        <f>value(JPY!$B1439)</f>
        <v>112.44576</v>
      </c>
      <c r="O1439" s="1">
        <f>value(SAR!$B1439)</f>
        <v>3141.249499</v>
      </c>
      <c r="P1439" s="1">
        <f>value(AED!$B1439)</f>
        <v>3179.672083</v>
      </c>
      <c r="Q1439" s="1">
        <f>value(KWD!$B1439)</f>
        <v>41166.94651</v>
      </c>
    </row>
    <row r="1440">
      <c r="A1440" s="4">
        <f>value(USD!A1440)</f>
        <v>41750.99861</v>
      </c>
      <c r="B1440" s="1">
        <f>value(USD!B1440)</f>
        <v>11435</v>
      </c>
      <c r="C1440" s="1">
        <f>value(AUD!$B1440)</f>
        <v>10699.906</v>
      </c>
      <c r="D1440" s="1">
        <f>value(EUR!$B1440)</f>
        <v>16056.1674</v>
      </c>
      <c r="E1440" s="1">
        <f>value(GBP!$B1440)</f>
        <v>19494.874</v>
      </c>
      <c r="F1440" s="1">
        <f>value(CHF!$B1440)</f>
        <v>13153.84</v>
      </c>
      <c r="G1440" s="1">
        <f>value(SGD!$B1440)</f>
        <v>9254.4004</v>
      </c>
      <c r="H1440" s="1">
        <f>value(MYR!$B1440)</f>
        <v>3490.2994</v>
      </c>
      <c r="I1440" s="1">
        <f>value(THB!$B1440)</f>
        <v>359.058</v>
      </c>
      <c r="J1440" s="1">
        <f>value(VND!$B1440)</f>
        <v>0.55328294</v>
      </c>
      <c r="K1440" s="1">
        <f>value(CNY!$B1440)</f>
        <v>1901.061697</v>
      </c>
      <c r="L1440" s="1">
        <f>value(HKD!$B1440)</f>
        <v>1498.7476</v>
      </c>
      <c r="M1440" s="1">
        <f>value(TWD!$B1440)</f>
        <v>382.879</v>
      </c>
      <c r="N1440" s="1">
        <f>value(JPY!$B1440)</f>
        <v>113.37634</v>
      </c>
      <c r="O1440" s="1">
        <f>value(SAR!$B1440)</f>
        <v>3142.247631</v>
      </c>
      <c r="P1440" s="1">
        <f>value(AED!$B1440)</f>
        <v>3183.96164</v>
      </c>
      <c r="Q1440" s="1">
        <f>value(KWD!$B1440)</f>
        <v>41097.08981</v>
      </c>
    </row>
    <row r="1441">
      <c r="A1441" s="4">
        <f>value(USD!A1441)</f>
        <v>41751.99861</v>
      </c>
      <c r="B1441" s="1">
        <f>value(USD!B1441)</f>
        <v>11540</v>
      </c>
      <c r="C1441" s="1">
        <f>value(AUD!$B1441)</f>
        <v>10716.87715</v>
      </c>
      <c r="D1441" s="1">
        <f>value(EUR!$B1441)</f>
        <v>16036.69665</v>
      </c>
      <c r="E1441" s="1">
        <f>value(GBP!$B1441)</f>
        <v>19479.6</v>
      </c>
      <c r="F1441" s="1">
        <f>value(CHF!$B1441)</f>
        <v>13148.73</v>
      </c>
      <c r="G1441" s="1">
        <f>value(SGD!$B1441)</f>
        <v>9213.387</v>
      </c>
      <c r="H1441" s="1">
        <f>value(MYR!$B1441)</f>
        <v>3489.05145</v>
      </c>
      <c r="I1441" s="1">
        <f>value(THB!$B1441)</f>
        <v>357.8217</v>
      </c>
      <c r="J1441" s="1">
        <f>value(VND!$B1441)</f>
        <v>0.5670221921</v>
      </c>
      <c r="K1441" s="1">
        <f>value(CNY!$B1441)</f>
        <v>1900.117187</v>
      </c>
      <c r="L1441" s="1">
        <f>value(HKD!$B1441)</f>
        <v>1495.5231</v>
      </c>
      <c r="M1441" s="1">
        <f>value(TWD!$B1441)</f>
        <v>383.21475</v>
      </c>
      <c r="N1441" s="1">
        <f>value(JPY!$B1441)</f>
        <v>113.3991</v>
      </c>
      <c r="O1441" s="1">
        <f>value(SAR!$B1441)</f>
        <v>3148.281311</v>
      </c>
      <c r="P1441" s="1">
        <f>value(AED!$B1441)</f>
        <v>3183.96164</v>
      </c>
      <c r="Q1441" s="1">
        <f>value(KWD!$B1441)</f>
        <v>41247.08577</v>
      </c>
    </row>
    <row r="1442">
      <c r="A1442" s="4">
        <f>value(USD!A1442)</f>
        <v>41752.99861</v>
      </c>
      <c r="B1442" s="1">
        <f>value(USD!B1442)</f>
        <v>11620</v>
      </c>
      <c r="C1442" s="1">
        <f>value(AUD!$B1442)</f>
        <v>10704.524</v>
      </c>
      <c r="D1442" s="1">
        <f>value(EUR!$B1442)</f>
        <v>15996.36105</v>
      </c>
      <c r="E1442" s="1">
        <f>value(GBP!$B1442)</f>
        <v>19433.826</v>
      </c>
      <c r="F1442" s="1">
        <f>value(CHF!$B1442)</f>
        <v>13117.023</v>
      </c>
      <c r="G1442" s="1">
        <f>value(SGD!$B1442)</f>
        <v>9201.22965</v>
      </c>
      <c r="H1442" s="1">
        <f>value(MYR!$B1442)</f>
        <v>3477.01725</v>
      </c>
      <c r="I1442" s="1">
        <f>value(THB!$B1442)</f>
        <v>358.16805</v>
      </c>
      <c r="J1442" s="1">
        <f>value(VND!$B1442)</f>
        <v>0.5638541449</v>
      </c>
      <c r="K1442" s="1">
        <f>value(CNY!$B1442)</f>
        <v>1897.13455</v>
      </c>
      <c r="L1442" s="1">
        <f>value(HKD!$B1442)</f>
        <v>1491.53805</v>
      </c>
      <c r="M1442" s="1">
        <f>value(TWD!$B1442)</f>
        <v>381.8763</v>
      </c>
      <c r="N1442" s="1">
        <f>value(JPY!$B1442)</f>
        <v>113.1057</v>
      </c>
      <c r="O1442" s="1">
        <f>value(SAR!$B1442)</f>
        <v>3148.281311</v>
      </c>
      <c r="P1442" s="1">
        <f>value(AED!$B1442)</f>
        <v>3174.9797</v>
      </c>
      <c r="Q1442" s="1">
        <f>value(KWD!$B1442)</f>
        <v>41145.63135</v>
      </c>
    </row>
    <row r="1443">
      <c r="A1443" s="4">
        <f>value(USD!A1443)</f>
        <v>41753.99861</v>
      </c>
      <c r="B1443" s="1">
        <f>value(USD!B1443)</f>
        <v>11595</v>
      </c>
      <c r="C1443" s="1">
        <f>value(AUD!$B1443)</f>
        <v>10680.3928</v>
      </c>
      <c r="D1443" s="1">
        <f>value(EUR!$B1443)</f>
        <v>15991.90247</v>
      </c>
      <c r="E1443" s="1">
        <f>value(GBP!$B1443)</f>
        <v>19420.80313</v>
      </c>
      <c r="F1443" s="1">
        <f>value(CHF!$B1443)</f>
        <v>13112.13459</v>
      </c>
      <c r="G1443" s="1">
        <f>value(SGD!$B1443)</f>
        <v>9197.80057</v>
      </c>
      <c r="H1443" s="1">
        <f>value(MYR!$B1443)</f>
        <v>3475.721448</v>
      </c>
      <c r="I1443" s="1">
        <f>value(THB!$B1443)</f>
        <v>358.0345693</v>
      </c>
      <c r="J1443" s="1">
        <f>value(VND!$B1443)</f>
        <v>0.5663267655</v>
      </c>
      <c r="K1443" s="1">
        <f>value(CNY!$B1443)</f>
        <v>1908.4933</v>
      </c>
      <c r="L1443" s="1">
        <f>value(HKD!$B1443)</f>
        <v>1490.982189</v>
      </c>
      <c r="M1443" s="1">
        <f>value(TWD!$B1443)</f>
        <v>381.7339838</v>
      </c>
      <c r="N1443" s="1">
        <f>value(JPY!$B1443)</f>
        <v>113.1791551</v>
      </c>
      <c r="O1443" s="1">
        <f>value(SAR!$B1443)</f>
        <v>3150.498578</v>
      </c>
      <c r="P1443" s="1">
        <f>value(AED!$B1443)</f>
        <v>3188.5887</v>
      </c>
      <c r="Q1443" s="1">
        <f>value(KWD!$B1443)</f>
        <v>41200.52034</v>
      </c>
    </row>
    <row r="1444">
      <c r="A1444" s="4">
        <f>value(USD!A1444)</f>
        <v>41754.99861</v>
      </c>
      <c r="B1444" s="1">
        <f>value(USD!B1444)</f>
        <v>11565</v>
      </c>
      <c r="C1444" s="1">
        <f>value(AUD!$B1444)</f>
        <v>10684.5382</v>
      </c>
      <c r="D1444" s="1">
        <f>value(EUR!$B1444)</f>
        <v>16004.8035</v>
      </c>
      <c r="E1444" s="1">
        <f>value(GBP!$B1444)</f>
        <v>19427.69655</v>
      </c>
      <c r="F1444" s="1">
        <f>value(CHF!$B1444)</f>
        <v>13125.1185</v>
      </c>
      <c r="G1444" s="1">
        <f>value(SGD!$B1444)</f>
        <v>9203.427</v>
      </c>
      <c r="H1444" s="1">
        <f>value(MYR!$B1444)</f>
        <v>3478.40505</v>
      </c>
      <c r="I1444" s="1">
        <f>value(THB!$B1444)</f>
        <v>358.39935</v>
      </c>
      <c r="J1444" s="1">
        <f>value(VND!$B1444)</f>
        <v>0.5704617446</v>
      </c>
      <c r="K1444" s="1">
        <f>value(CNY!$B1444)</f>
        <v>1926.20225</v>
      </c>
      <c r="L1444" s="1">
        <f>value(HKD!$B1444)</f>
        <v>1491.53805</v>
      </c>
      <c r="M1444" s="1">
        <f>value(TWD!$B1444)</f>
        <v>381.99195</v>
      </c>
      <c r="N1444" s="1">
        <f>value(JPY!$B1444)</f>
        <v>113.22135</v>
      </c>
      <c r="O1444" s="1">
        <f>value(SAR!$B1444)</f>
        <v>3169.164249</v>
      </c>
      <c r="P1444" s="1">
        <f>value(AED!$B1444)</f>
        <v>3182.87292</v>
      </c>
      <c r="Q1444" s="1">
        <f>value(KWD!$B1444)</f>
        <v>41189.08353</v>
      </c>
    </row>
    <row r="1445">
      <c r="A1445" s="4">
        <f>value(USD!A1445)</f>
        <v>41755.99861</v>
      </c>
      <c r="B1445" s="1">
        <f>value(USD!B1445)</f>
        <v>11560.69</v>
      </c>
      <c r="C1445" s="1">
        <f>value(AUD!$B1445)</f>
        <v>10672.4982</v>
      </c>
      <c r="D1445" s="1">
        <f>value(EUR!$B1445)</f>
        <v>16046.96275</v>
      </c>
      <c r="E1445" s="1">
        <f>value(GBP!$B1445)</f>
        <v>19473.2265</v>
      </c>
      <c r="F1445" s="1">
        <f>value(CHF!$B1445)</f>
        <v>13158.243</v>
      </c>
      <c r="G1445" s="1">
        <f>value(SGD!$B1445)</f>
        <v>9219.343</v>
      </c>
      <c r="H1445" s="1">
        <f>value(MYR!$B1445)</f>
        <v>3482.2193</v>
      </c>
      <c r="I1445" s="1">
        <f>value(THB!$B1445)</f>
        <v>358.9033</v>
      </c>
      <c r="J1445" s="1">
        <f>value(VND!$B1445)</f>
        <v>0.5715199204</v>
      </c>
      <c r="K1445" s="1">
        <f>value(CNY!$B1445)</f>
        <v>1912.8341</v>
      </c>
      <c r="L1445" s="1">
        <f>value(HKD!$B1445)</f>
        <v>1494.11745</v>
      </c>
      <c r="M1445" s="1">
        <f>value(TWD!$B1445)</f>
        <v>382.7684</v>
      </c>
      <c r="N1445" s="1">
        <f>value(JPY!$B1445)</f>
        <v>113.02326</v>
      </c>
      <c r="O1445" s="1">
        <f>value(SAR!$B1445)</f>
        <v>3203.810845</v>
      </c>
      <c r="P1445" s="1">
        <f>value(AED!$B1445)</f>
        <v>3187.118928</v>
      </c>
      <c r="Q1445" s="1">
        <f>value(KWD!$B1445)</f>
        <v>41271.56028</v>
      </c>
    </row>
    <row r="1446">
      <c r="A1446" s="4">
        <f>value(USD!A1446)</f>
        <v>41756.99861</v>
      </c>
      <c r="B1446" s="1">
        <f>value(USD!B1446)</f>
        <v>11565</v>
      </c>
      <c r="C1446" s="1">
        <f>value(AUD!$B1446)</f>
        <v>10754.944</v>
      </c>
      <c r="D1446" s="1">
        <f>value(EUR!$B1446)</f>
        <v>15941.1051</v>
      </c>
      <c r="E1446" s="1">
        <f>value(GBP!$B1446)</f>
        <v>19420.999</v>
      </c>
      <c r="F1446" s="1">
        <f>value(CHF!$B1446)</f>
        <v>13062.013</v>
      </c>
      <c r="G1446" s="1">
        <f>value(SGD!$B1446)</f>
        <v>9187.62645</v>
      </c>
      <c r="H1446" s="1">
        <f>value(MYR!$B1446)</f>
        <v>3467.8871</v>
      </c>
      <c r="I1446" s="1">
        <f>value(THB!$B1446)</f>
        <v>357.77955</v>
      </c>
      <c r="J1446" s="1">
        <f>value(VND!$B1446)</f>
        <v>0.5720379499</v>
      </c>
      <c r="K1446" s="1">
        <f>value(CNY!$B1446)</f>
        <v>1919.887</v>
      </c>
      <c r="L1446" s="1">
        <f>value(HKD!$B1446)</f>
        <v>1488.95865</v>
      </c>
      <c r="M1446" s="1">
        <f>value(TWD!$B1446)</f>
        <v>381.2159</v>
      </c>
      <c r="N1446" s="1">
        <f>value(JPY!$B1446)</f>
        <v>112.4483</v>
      </c>
      <c r="O1446" s="1">
        <f>value(SAR!$B1446)</f>
        <v>3177.248538</v>
      </c>
      <c r="P1446" s="1">
        <f>value(AED!$B1446)</f>
        <v>3186.68344</v>
      </c>
      <c r="Q1446" s="1">
        <f>value(KWD!$B1446)</f>
        <v>41368.99479</v>
      </c>
    </row>
    <row r="1447">
      <c r="A1447" s="4">
        <f>value(USD!A1447)</f>
        <v>41757.99861</v>
      </c>
      <c r="B1447" s="1">
        <f>value(USD!B1447)</f>
        <v>11585</v>
      </c>
      <c r="C1447" s="1">
        <f>value(AUD!$B1447)</f>
        <v>10785.6697</v>
      </c>
      <c r="D1447" s="1">
        <f>value(EUR!$B1447)</f>
        <v>16010.606</v>
      </c>
      <c r="E1447" s="1">
        <f>value(GBP!$B1447)</f>
        <v>19481.033</v>
      </c>
      <c r="F1447" s="1">
        <f>value(CHF!$B1447)</f>
        <v>13115.12</v>
      </c>
      <c r="G1447" s="1">
        <f>value(SGD!$B1447)</f>
        <v>9207.5993</v>
      </c>
      <c r="H1447" s="1">
        <f>value(MYR!$B1447)</f>
        <v>3486.93635</v>
      </c>
      <c r="I1447" s="1">
        <f>value(THB!$B1447)</f>
        <v>356.5096</v>
      </c>
      <c r="J1447" s="1">
        <f>value(VND!$B1447)</f>
        <v>0.5743518456</v>
      </c>
      <c r="K1447" s="1">
        <f>value(CNY!$B1447)</f>
        <v>1923.950826</v>
      </c>
      <c r="L1447" s="1">
        <f>value(HKD!$B1447)</f>
        <v>1489.0741</v>
      </c>
      <c r="M1447" s="1">
        <f>value(TWD!$B1447)</f>
        <v>383.17855</v>
      </c>
      <c r="N1447" s="1">
        <f>value(JPY!$B1447)</f>
        <v>112.898555</v>
      </c>
      <c r="O1447" s="1">
        <f>value(SAR!$B1447)</f>
        <v>3189.303115</v>
      </c>
      <c r="P1447" s="1">
        <f>value(AED!$B1447)</f>
        <v>3196.20974</v>
      </c>
      <c r="Q1447" s="1">
        <f>value(KWD!$B1447)</f>
        <v>41115.70223</v>
      </c>
    </row>
    <row r="1448">
      <c r="A1448" s="4">
        <f>value(USD!A1448)</f>
        <v>41758.99861</v>
      </c>
      <c r="B1448" s="1">
        <f>value(USD!B1448)</f>
        <v>11545</v>
      </c>
      <c r="C1448" s="1">
        <f>value(AUD!$B1448)</f>
        <v>10797.65725</v>
      </c>
      <c r="D1448" s="1">
        <f>value(EUR!$B1448)</f>
        <v>16012.10685</v>
      </c>
      <c r="E1448" s="1">
        <f>value(GBP!$B1448)</f>
        <v>19498.5814</v>
      </c>
      <c r="F1448" s="1">
        <f>value(CHF!$B1448)</f>
        <v>13130.1285</v>
      </c>
      <c r="G1448" s="1">
        <f>value(SGD!$B1448)</f>
        <v>9210.94735</v>
      </c>
      <c r="H1448" s="1">
        <f>value(MYR!$B1448)</f>
        <v>3487.39815</v>
      </c>
      <c r="I1448" s="1">
        <f>value(THB!$B1448)</f>
        <v>356.62505</v>
      </c>
      <c r="J1448" s="1">
        <f>value(VND!$B1448)</f>
        <v>0.5683740352</v>
      </c>
      <c r="K1448" s="1">
        <f>value(CNY!$B1448)</f>
        <v>1923.471784</v>
      </c>
      <c r="L1448" s="1">
        <f>value(HKD!$B1448)</f>
        <v>1489.0741</v>
      </c>
      <c r="M1448" s="1">
        <f>value(TWD!$B1448)</f>
        <v>383.294</v>
      </c>
      <c r="N1448" s="1">
        <f>value(JPY!$B1448)</f>
        <v>112.79465</v>
      </c>
      <c r="O1448" s="1">
        <f>value(SAR!$B1448)</f>
        <v>3193.269988</v>
      </c>
      <c r="P1448" s="1">
        <f>value(AED!$B1448)</f>
        <v>3202.74206</v>
      </c>
      <c r="Q1448" s="1">
        <f>value(KWD!$B1448)</f>
        <v>41077.93209</v>
      </c>
    </row>
    <row r="1449">
      <c r="A1449" s="4">
        <f>value(USD!A1449)</f>
        <v>41759.99861</v>
      </c>
      <c r="B1449" s="1">
        <f>value(USD!B1449)</f>
        <v>11545</v>
      </c>
      <c r="C1449" s="1">
        <f>value(AUD!$B1449)</f>
        <v>10793.64555</v>
      </c>
      <c r="D1449" s="1">
        <f>value(EUR!$B1449)</f>
        <v>15974.9898</v>
      </c>
      <c r="E1449" s="1">
        <f>value(GBP!$B1449)</f>
        <v>19428.7989</v>
      </c>
      <c r="F1449" s="1">
        <f>value(CHF!$B1449)</f>
        <v>13114.4335</v>
      </c>
      <c r="G1449" s="1">
        <f>value(SGD!$B1449)</f>
        <v>9186.8973</v>
      </c>
      <c r="H1449" s="1">
        <f>value(MYR!$B1449)</f>
        <v>3467.28165</v>
      </c>
      <c r="I1449" s="1">
        <f>value(THB!$B1449)</f>
        <v>355.3529</v>
      </c>
      <c r="J1449" s="1">
        <f>value(VND!$B1449)</f>
        <v>0.5746866995</v>
      </c>
      <c r="K1449" s="1">
        <f>value(CNY!$B1449)</f>
        <v>1925.63244</v>
      </c>
      <c r="L1449" s="1">
        <f>value(HKD!$B1449)</f>
        <v>1485.2047</v>
      </c>
      <c r="M1449" s="1">
        <f>value(TWD!$B1449)</f>
        <v>382.0677</v>
      </c>
      <c r="N1449" s="1">
        <f>value(JPY!$B1449)</f>
        <v>112.6167</v>
      </c>
      <c r="O1449" s="1">
        <f>value(SAR!$B1449)</f>
        <v>3196.544216</v>
      </c>
      <c r="P1449" s="1">
        <f>value(AED!$B1449)</f>
        <v>3195.66538</v>
      </c>
      <c r="Q1449" s="1">
        <f>value(KWD!$B1449)</f>
        <v>40954.53963</v>
      </c>
    </row>
    <row r="1450">
      <c r="A1450" s="4">
        <f>value(USD!A1450)</f>
        <v>41760.99861</v>
      </c>
      <c r="B1450" s="1">
        <f>value(USD!B1450)</f>
        <v>11545</v>
      </c>
      <c r="C1450" s="1">
        <f>value(AUD!$B1450)</f>
        <v>10824.27404</v>
      </c>
      <c r="D1450" s="1">
        <f>value(EUR!$B1450)</f>
        <v>16004.79069</v>
      </c>
      <c r="E1450" s="1">
        <f>value(GBP!$B1450)</f>
        <v>19467.02668</v>
      </c>
      <c r="F1450" s="1">
        <f>value(CHF!$B1450)</f>
        <v>13136.09537</v>
      </c>
      <c r="G1450" s="1">
        <f>value(SGD!$B1450)</f>
        <v>9202.071836</v>
      </c>
      <c r="H1450" s="1">
        <f>value(MYR!$B1450)</f>
        <v>3473.008762</v>
      </c>
      <c r="I1450" s="1">
        <f>value(THB!$B1450)</f>
        <v>355.9398572</v>
      </c>
      <c r="J1450" s="1">
        <f>value(VND!$B1450)</f>
        <v>0.5719535988</v>
      </c>
      <c r="K1450" s="1">
        <f>value(CNY!$B1450)</f>
        <v>1924.4778</v>
      </c>
      <c r="L1450" s="1">
        <f>value(HKD!$B1450)</f>
        <v>1487.657899</v>
      </c>
      <c r="M1450" s="1">
        <f>value(TWD!$B1450)</f>
        <v>382.6987836</v>
      </c>
      <c r="N1450" s="1">
        <f>value(JPY!$B1450)</f>
        <v>112.8027156</v>
      </c>
      <c r="O1450" s="1">
        <f>value(SAR!$B1450)</f>
        <v>3198.496017</v>
      </c>
      <c r="P1450" s="1">
        <f>value(AED!$B1450)</f>
        <v>3190.49396</v>
      </c>
      <c r="Q1450" s="1">
        <f>value(KWD!$B1450)</f>
        <v>41271.49958</v>
      </c>
    </row>
    <row r="1451">
      <c r="A1451" s="4">
        <f>value(USD!A1451)</f>
        <v>41761.99861</v>
      </c>
      <c r="B1451" s="1">
        <f>value(USD!B1451)</f>
        <v>11515</v>
      </c>
      <c r="C1451" s="1">
        <f>value(AUD!$B1451)</f>
        <v>10727.22725</v>
      </c>
      <c r="D1451" s="1">
        <f>value(EUR!$B1451)</f>
        <v>15975.911</v>
      </c>
      <c r="E1451" s="1">
        <f>value(GBP!$B1451)</f>
        <v>19431.7928</v>
      </c>
      <c r="F1451" s="1">
        <f>value(CHF!$B1451)</f>
        <v>13120.191</v>
      </c>
      <c r="G1451" s="1">
        <f>value(SGD!$B1451)</f>
        <v>9199.67895</v>
      </c>
      <c r="H1451" s="1">
        <f>value(MYR!$B1451)</f>
        <v>3467.28165</v>
      </c>
      <c r="I1451" s="1">
        <f>value(THB!$B1451)</f>
        <v>355.3529</v>
      </c>
      <c r="J1451" s="1">
        <f>value(VND!$B1451)</f>
        <v>0.5730488278</v>
      </c>
      <c r="K1451" s="1">
        <f>value(CNY!$B1451)</f>
        <v>1939.5987</v>
      </c>
      <c r="L1451" s="1">
        <f>value(HKD!$B1451)</f>
        <v>1485.2047</v>
      </c>
      <c r="M1451" s="1">
        <f>value(TWD!$B1451)</f>
        <v>382.0677</v>
      </c>
      <c r="N1451" s="1">
        <f>value(JPY!$B1451)</f>
        <v>112.6167</v>
      </c>
      <c r="O1451" s="1">
        <f>value(SAR!$B1451)</f>
        <v>3223.742039</v>
      </c>
      <c r="P1451" s="1">
        <f>value(AED!$B1451)</f>
        <v>3188.04434</v>
      </c>
      <c r="Q1451" s="1">
        <f>value(KWD!$B1451)</f>
        <v>41296.74501</v>
      </c>
    </row>
    <row r="1452">
      <c r="A1452" s="4">
        <f>value(USD!A1452)</f>
        <v>41762.99861</v>
      </c>
      <c r="B1452" s="1">
        <f>value(USD!B1452)</f>
        <v>11534.02</v>
      </c>
      <c r="C1452" s="1">
        <f>value(AUD!$B1452)</f>
        <v>10782.72</v>
      </c>
      <c r="D1452" s="1">
        <f>value(EUR!$B1452)</f>
        <v>15962.037</v>
      </c>
      <c r="E1452" s="1">
        <f>value(GBP!$B1452)</f>
        <v>19404.333</v>
      </c>
      <c r="F1452" s="1">
        <f>value(CHF!$B1452)</f>
        <v>13105.3455</v>
      </c>
      <c r="G1452" s="1">
        <f>value(SGD!$B1452)</f>
        <v>9200.20335</v>
      </c>
      <c r="H1452" s="1">
        <f>value(MYR!$B1452)</f>
        <v>3476.00565</v>
      </c>
      <c r="I1452" s="1">
        <f>value(THB!$B1452)</f>
        <v>355.38945</v>
      </c>
      <c r="J1452" s="1">
        <f>value(VND!$B1452)</f>
        <v>0.5737257679</v>
      </c>
      <c r="K1452" s="1">
        <f>value(CNY!$B1452)</f>
        <v>1942.2585</v>
      </c>
      <c r="L1452" s="1">
        <f>value(HKD!$B1452)</f>
        <v>1484.02995</v>
      </c>
      <c r="M1452" s="1">
        <f>value(TWD!$B1452)</f>
        <v>382.1961</v>
      </c>
      <c r="N1452" s="1">
        <f>value(JPY!$B1452)</f>
        <v>112.63395</v>
      </c>
      <c r="O1452" s="1">
        <f>value(SAR!$B1452)</f>
        <v>3226.581255</v>
      </c>
      <c r="P1452" s="1">
        <f>value(AED!$B1452)</f>
        <v>3212.26836</v>
      </c>
      <c r="Q1452" s="1">
        <f>value(KWD!$B1452)</f>
        <v>41365.07375</v>
      </c>
    </row>
    <row r="1453">
      <c r="A1453" s="4">
        <f>value(USD!A1453)</f>
        <v>41763.99861</v>
      </c>
      <c r="B1453" s="1">
        <f>value(USD!B1453)</f>
        <v>11515</v>
      </c>
      <c r="C1453" s="1">
        <f>value(AUD!$B1453)</f>
        <v>10749.0412</v>
      </c>
      <c r="D1453" s="1">
        <f>value(EUR!$B1453)</f>
        <v>16027.9052</v>
      </c>
      <c r="E1453" s="1">
        <f>value(GBP!$B1453)</f>
        <v>19536.4985</v>
      </c>
      <c r="F1453" s="1">
        <f>value(CHF!$B1453)</f>
        <v>13162.836</v>
      </c>
      <c r="G1453" s="1">
        <f>value(SGD!$B1453)</f>
        <v>9223.4234</v>
      </c>
      <c r="H1453" s="1">
        <f>value(MYR!$B1453)</f>
        <v>3475.4445</v>
      </c>
      <c r="I1453" s="1">
        <f>value(THB!$B1453)</f>
        <v>355.5439</v>
      </c>
      <c r="J1453" s="1">
        <f>value(VND!$B1453)</f>
        <v>0.5708154488</v>
      </c>
      <c r="K1453" s="1">
        <f>value(CNY!$B1453)</f>
        <v>1933.0564</v>
      </c>
      <c r="L1453" s="1">
        <f>value(HKD!$B1453)</f>
        <v>1484.79</v>
      </c>
      <c r="M1453" s="1">
        <f>value(TWD!$B1453)</f>
        <v>382.0169</v>
      </c>
      <c r="N1453" s="1">
        <f>value(JPY!$B1453)</f>
        <v>113.16632</v>
      </c>
      <c r="O1453" s="1">
        <f>value(SAR!$B1453)</f>
        <v>3208.413378</v>
      </c>
      <c r="P1453" s="1">
        <f>value(AED!$B1453)</f>
        <v>3215.8067</v>
      </c>
      <c r="Q1453" s="1">
        <f>value(KWD!$B1453)</f>
        <v>41570.47351</v>
      </c>
    </row>
    <row r="1454">
      <c r="A1454" s="4">
        <f>value(USD!A1454)</f>
        <v>41764.99861</v>
      </c>
      <c r="B1454" s="1">
        <f>value(USD!B1454)</f>
        <v>11505</v>
      </c>
      <c r="C1454" s="1">
        <f>value(AUD!$B1454)</f>
        <v>10692.1875</v>
      </c>
      <c r="D1454" s="1">
        <f>value(EUR!$B1454)</f>
        <v>16092.713</v>
      </c>
      <c r="E1454" s="1">
        <f>value(GBP!$B1454)</f>
        <v>19614.5053</v>
      </c>
      <c r="F1454" s="1">
        <f>value(CHF!$B1454)</f>
        <v>13202.527</v>
      </c>
      <c r="G1454" s="1">
        <f>value(SGD!$B1454)</f>
        <v>9254.6116</v>
      </c>
      <c r="H1454" s="1">
        <f>value(MYR!$B1454)</f>
        <v>3491.5946</v>
      </c>
      <c r="I1454" s="1">
        <f>value(THB!$B1454)</f>
        <v>356.8188</v>
      </c>
      <c r="J1454" s="1">
        <f>value(VND!$B1454)</f>
        <v>0.5685247667</v>
      </c>
      <c r="K1454" s="1">
        <f>value(CNY!$B1454)</f>
        <v>1932.932568</v>
      </c>
      <c r="L1454" s="1">
        <f>value(HKD!$B1454)</f>
        <v>1492.4143</v>
      </c>
      <c r="M1454" s="1">
        <f>value(TWD!$B1454)</f>
        <v>383.3141</v>
      </c>
      <c r="N1454" s="1">
        <f>value(JPY!$B1454)</f>
        <v>113.58269</v>
      </c>
      <c r="O1454" s="1">
        <f>value(SAR!$B1454)</f>
        <v>3171.87082</v>
      </c>
      <c r="P1454" s="1">
        <f>value(AED!$B1454)</f>
        <v>3219.8894</v>
      </c>
      <c r="Q1454" s="1">
        <f>value(KWD!$B1454)</f>
        <v>41639.58857</v>
      </c>
    </row>
    <row r="1455">
      <c r="A1455" s="4">
        <f>value(USD!A1455)</f>
        <v>41765.99861</v>
      </c>
      <c r="B1455" s="1">
        <f>value(USD!B1455)</f>
        <v>11510</v>
      </c>
      <c r="C1455" s="1">
        <f>value(AUD!$B1455)</f>
        <v>10654.3107</v>
      </c>
      <c r="D1455" s="1">
        <f>value(EUR!$B1455)</f>
        <v>15950.6</v>
      </c>
      <c r="E1455" s="1">
        <f>value(GBP!$B1455)</f>
        <v>19514.13</v>
      </c>
      <c r="F1455" s="1">
        <f>value(CHF!$B1455)</f>
        <v>13093.5525</v>
      </c>
      <c r="G1455" s="1">
        <f>value(SGD!$B1455)</f>
        <v>9241.78225</v>
      </c>
      <c r="H1455" s="1">
        <f>value(MYR!$B1455)</f>
        <v>3474.44175</v>
      </c>
      <c r="I1455" s="1">
        <f>value(THB!$B1455)</f>
        <v>354.509</v>
      </c>
      <c r="J1455" s="1">
        <f>value(VND!$B1455)</f>
        <v>0.5741264416</v>
      </c>
      <c r="K1455" s="1">
        <f>value(CNY!$B1455)</f>
        <v>1932.451799</v>
      </c>
      <c r="L1455" s="1">
        <f>value(HKD!$B1455)</f>
        <v>1486.725</v>
      </c>
      <c r="M1455" s="1">
        <f>value(TWD!$B1455)</f>
        <v>380.5555</v>
      </c>
      <c r="N1455" s="1">
        <f>value(JPY!$B1455)</f>
        <v>113.394475</v>
      </c>
      <c r="O1455" s="1">
        <f>value(SAR!$B1455)</f>
        <v>3176.043479</v>
      </c>
      <c r="P1455" s="1">
        <f>value(AED!$B1455)</f>
        <v>3234.8593</v>
      </c>
      <c r="Q1455" s="1">
        <f>value(KWD!$B1455)</f>
        <v>41720.54694</v>
      </c>
    </row>
    <row r="1456">
      <c r="A1456" s="4">
        <f>value(USD!A1456)</f>
        <v>41766.99861</v>
      </c>
      <c r="B1456" s="1">
        <f>value(USD!B1456)</f>
        <v>11570</v>
      </c>
      <c r="C1456" s="1">
        <f>value(AUD!$B1456)</f>
        <v>10593.822</v>
      </c>
      <c r="D1456" s="1">
        <f>value(EUR!$B1456)</f>
        <v>15871.4679</v>
      </c>
      <c r="E1456" s="1">
        <f>value(GBP!$B1456)</f>
        <v>19438.782</v>
      </c>
      <c r="F1456" s="1">
        <f>value(CHF!$B1456)</f>
        <v>13010.3265</v>
      </c>
      <c r="G1456" s="1">
        <f>value(SGD!$B1456)</f>
        <v>9235.1517</v>
      </c>
      <c r="H1456" s="1">
        <f>value(MYR!$B1456)</f>
        <v>3500.06505</v>
      </c>
      <c r="I1456" s="1">
        <f>value(THB!$B1456)</f>
        <v>353.31705</v>
      </c>
      <c r="J1456" s="1">
        <f>value(VND!$B1456)</f>
        <v>0.5737275522</v>
      </c>
      <c r="K1456" s="1">
        <f>value(CNY!$B1456)</f>
        <v>1915.50545</v>
      </c>
      <c r="L1456" s="1">
        <f>value(HKD!$B1456)</f>
        <v>1487.89965</v>
      </c>
      <c r="M1456" s="1">
        <f>value(TWD!$B1456)</f>
        <v>381.69315</v>
      </c>
      <c r="N1456" s="1">
        <f>value(JPY!$B1456)</f>
        <v>113.2737</v>
      </c>
      <c r="O1456" s="1">
        <f>value(SAR!$B1456)</f>
        <v>3176.128326</v>
      </c>
      <c r="P1456" s="1">
        <f>value(AED!$B1456)</f>
        <v>3240.237576</v>
      </c>
      <c r="Q1456" s="1">
        <f>value(KWD!$B1456)</f>
        <v>41883.61995</v>
      </c>
    </row>
    <row r="1457">
      <c r="A1457" s="4">
        <f>value(USD!A1457)</f>
        <v>41767.99861</v>
      </c>
      <c r="B1457" s="1">
        <f>value(USD!B1457)</f>
        <v>11525</v>
      </c>
      <c r="C1457" s="1">
        <f>value(AUD!$B1457)</f>
        <v>10623.1482</v>
      </c>
      <c r="D1457" s="1">
        <f>value(EUR!$B1457)</f>
        <v>15906.35337</v>
      </c>
      <c r="E1457" s="1">
        <f>value(GBP!$B1457)</f>
        <v>19482.07478</v>
      </c>
      <c r="F1457" s="1">
        <f>value(CHF!$B1457)</f>
        <v>13038.14618</v>
      </c>
      <c r="G1457" s="1">
        <f>value(SGD!$B1457)</f>
        <v>9255.719627</v>
      </c>
      <c r="H1457" s="1">
        <f>value(MYR!$B1457)</f>
        <v>3507.513346</v>
      </c>
      <c r="I1457" s="1">
        <f>value(THB!$B1457)</f>
        <v>354.1039347</v>
      </c>
      <c r="J1457" s="1">
        <f>value(VND!$B1457)</f>
        <v>0.57433318</v>
      </c>
      <c r="K1457" s="1">
        <f>value(CNY!$B1457)</f>
        <v>1919.232</v>
      </c>
      <c r="L1457" s="1">
        <f>value(HKD!$B1457)</f>
        <v>1491.213403</v>
      </c>
      <c r="M1457" s="1">
        <f>value(TWD!$B1457)</f>
        <v>382.5432321</v>
      </c>
      <c r="N1457" s="1">
        <f>value(JPY!$B1457)</f>
        <v>113.5259758</v>
      </c>
      <c r="O1457" s="1">
        <f>value(SAR!$B1457)</f>
        <v>3177.377951</v>
      </c>
      <c r="P1457" s="1">
        <f>value(AED!$B1457)</f>
        <v>3248.4683</v>
      </c>
      <c r="Q1457" s="1">
        <f>value(KWD!$B1457)</f>
        <v>41728.87478</v>
      </c>
    </row>
    <row r="1458">
      <c r="A1458" s="4">
        <f>value(USD!A1458)</f>
        <v>41768.99861</v>
      </c>
      <c r="B1458" s="1">
        <f>value(USD!B1458)</f>
        <v>11535</v>
      </c>
      <c r="C1458" s="1">
        <f>value(AUD!$B1458)</f>
        <v>10662.5207</v>
      </c>
      <c r="D1458" s="1">
        <f>value(EUR!$B1458)</f>
        <v>15773.547</v>
      </c>
      <c r="E1458" s="1">
        <f>value(GBP!$B1458)</f>
        <v>19325.8626</v>
      </c>
      <c r="F1458" s="1">
        <f>value(CHF!$B1458)</f>
        <v>12929.0805</v>
      </c>
      <c r="G1458" s="1">
        <f>value(SGD!$B1458)</f>
        <v>9177.9618</v>
      </c>
      <c r="H1458" s="1">
        <f>value(MYR!$B1458)</f>
        <v>3478.36635</v>
      </c>
      <c r="I1458" s="1">
        <f>value(THB!$B1458)</f>
        <v>351.17295</v>
      </c>
      <c r="J1458" s="1">
        <f>value(VND!$B1458)</f>
        <v>0.57433318</v>
      </c>
      <c r="K1458" s="1">
        <f>value(CNY!$B1458)</f>
        <v>1916.138</v>
      </c>
      <c r="L1458" s="1">
        <f>value(HKD!$B1458)</f>
        <v>1478.985</v>
      </c>
      <c r="M1458" s="1">
        <f>value(TWD!$B1458)</f>
        <v>379.2622</v>
      </c>
      <c r="N1458" s="1">
        <f>value(JPY!$B1458)</f>
        <v>112.5863</v>
      </c>
      <c r="O1458" s="1">
        <f>value(SAR!$B1458)</f>
        <v>3165.452264</v>
      </c>
      <c r="P1458" s="1">
        <f>value(AED!$B1458)</f>
        <v>3262.0773</v>
      </c>
      <c r="Q1458" s="1">
        <f>value(KWD!$B1458)</f>
        <v>41769.32044</v>
      </c>
    </row>
    <row r="1459">
      <c r="A1459" s="4">
        <f>value(USD!A1459)</f>
        <v>41769.99861</v>
      </c>
      <c r="B1459" s="1">
        <f>value(USD!B1459)</f>
        <v>11560.69</v>
      </c>
      <c r="C1459" s="1">
        <f>value(AUD!$B1459)</f>
        <v>10650.7488</v>
      </c>
      <c r="D1459" s="1">
        <f>value(EUR!$B1459)</f>
        <v>15848.064</v>
      </c>
      <c r="E1459" s="1">
        <f>value(GBP!$B1459)</f>
        <v>19429.632</v>
      </c>
      <c r="F1459" s="1">
        <f>value(CHF!$B1459)</f>
        <v>12974.976</v>
      </c>
      <c r="G1459" s="1">
        <f>value(SGD!$B1459)</f>
        <v>9208.512</v>
      </c>
      <c r="H1459" s="1">
        <f>value(MYR!$B1459)</f>
        <v>3494.592</v>
      </c>
      <c r="I1459" s="1">
        <f>value(THB!$B1459)</f>
        <v>353.088</v>
      </c>
      <c r="J1459" s="1">
        <f>value(VND!$B1459)</f>
        <v>0.5809291332</v>
      </c>
      <c r="K1459" s="1">
        <f>value(CNY!$B1459)</f>
        <v>1916.34785</v>
      </c>
      <c r="L1459" s="1">
        <f>value(HKD!$B1459)</f>
        <v>1485.9648</v>
      </c>
      <c r="M1459" s="1">
        <f>value(TWD!$B1459)</f>
        <v>381.0816</v>
      </c>
      <c r="N1459" s="1">
        <f>value(JPY!$B1459)</f>
        <v>112.68864</v>
      </c>
      <c r="O1459" s="1">
        <f>value(SAR!$B1459)</f>
        <v>3170.443081</v>
      </c>
      <c r="P1459" s="1">
        <f>value(AED!$B1459)</f>
        <v>3255.81716</v>
      </c>
      <c r="Q1459" s="1">
        <f>value(KWD!$B1459)</f>
        <v>41746.7948</v>
      </c>
    </row>
    <row r="1460">
      <c r="A1460" s="4">
        <f>value(USD!A1460)</f>
        <v>41770.99861</v>
      </c>
      <c r="B1460" s="1">
        <f>value(USD!B1460)</f>
        <v>11465</v>
      </c>
      <c r="C1460" s="1">
        <f>value(AUD!$B1460)</f>
        <v>10587.894</v>
      </c>
      <c r="D1460" s="1">
        <f>value(EUR!$B1460)</f>
        <v>15739.2737</v>
      </c>
      <c r="E1460" s="1">
        <f>value(GBP!$B1460)</f>
        <v>19326.61345</v>
      </c>
      <c r="F1460" s="1">
        <f>value(CHF!$B1460)</f>
        <v>12902.249</v>
      </c>
      <c r="G1460" s="1">
        <f>value(SGD!$B1460)</f>
        <v>9175.1368</v>
      </c>
      <c r="H1460" s="1">
        <f>value(MYR!$B1460)</f>
        <v>3481.44805</v>
      </c>
      <c r="I1460" s="1">
        <f>value(THB!$B1460)</f>
        <v>351.78555</v>
      </c>
      <c r="J1460" s="1">
        <f>value(VND!$B1460)</f>
        <v>0.5839328452</v>
      </c>
      <c r="K1460" s="1">
        <f>value(CNY!$B1460)</f>
        <v>1911.7134</v>
      </c>
      <c r="L1460" s="1">
        <f>value(HKD!$B1460)</f>
        <v>1481.565</v>
      </c>
      <c r="M1460" s="1">
        <f>value(TWD!$B1460)</f>
        <v>379.6941</v>
      </c>
      <c r="N1460" s="1">
        <f>value(JPY!$B1460)</f>
        <v>112.311815</v>
      </c>
      <c r="O1460" s="1">
        <f>value(SAR!$B1460)</f>
        <v>3129.086394</v>
      </c>
      <c r="P1460" s="1">
        <f>value(AED!$B1460)</f>
        <v>3257.72242</v>
      </c>
      <c r="Q1460" s="1">
        <f>value(KWD!$B1460)</f>
        <v>41822.7424</v>
      </c>
    </row>
    <row r="1461">
      <c r="A1461" s="4">
        <f>value(USD!A1461)</f>
        <v>41771.99861</v>
      </c>
      <c r="B1461" s="1">
        <f>value(USD!B1461)</f>
        <v>11520</v>
      </c>
      <c r="C1461" s="1">
        <f>value(AUD!$B1461)</f>
        <v>10625.978</v>
      </c>
      <c r="D1461" s="1">
        <f>value(EUR!$B1461)</f>
        <v>15643.098</v>
      </c>
      <c r="E1461" s="1">
        <f>value(GBP!$B1461)</f>
        <v>19121.05275</v>
      </c>
      <c r="F1461" s="1">
        <f>value(CHF!$B1461)</f>
        <v>12818.0795</v>
      </c>
      <c r="G1461" s="1">
        <f>value(SGD!$B1461)</f>
        <v>9118.0694</v>
      </c>
      <c r="H1461" s="1">
        <f>value(MYR!$B1461)</f>
        <v>3482.4027</v>
      </c>
      <c r="I1461" s="1">
        <f>value(THB!$B1461)</f>
        <v>351.5021</v>
      </c>
      <c r="J1461" s="1">
        <f>value(VND!$B1461)</f>
        <v>0.580716193</v>
      </c>
      <c r="K1461" s="1">
        <f>value(CNY!$B1461)</f>
        <v>1914.251046</v>
      </c>
      <c r="L1461" s="1">
        <f>value(HKD!$B1461)</f>
        <v>1471.245</v>
      </c>
      <c r="M1461" s="1">
        <f>value(TWD!$B1461)</f>
        <v>378.53195</v>
      </c>
      <c r="N1461" s="1">
        <f>value(JPY!$B1461)</f>
        <v>111.985695</v>
      </c>
      <c r="O1461" s="1">
        <f>value(SAR!$B1461)</f>
        <v>3110.749527</v>
      </c>
      <c r="P1461" s="1">
        <f>value(AED!$B1461)</f>
        <v>3261.53294</v>
      </c>
      <c r="Q1461" s="1">
        <f>value(KWD!$B1461)</f>
        <v>41813.7364</v>
      </c>
    </row>
    <row r="1462">
      <c r="A1462" s="4">
        <f>value(USD!A1462)</f>
        <v>41772.99861</v>
      </c>
      <c r="B1462" s="1">
        <f>value(USD!B1462)</f>
        <v>11485</v>
      </c>
      <c r="C1462" s="1">
        <f>value(AUD!$B1462)</f>
        <v>10620.277</v>
      </c>
      <c r="D1462" s="1">
        <f>value(EUR!$B1462)</f>
        <v>15613.389</v>
      </c>
      <c r="E1462" s="1">
        <f>value(GBP!$B1462)</f>
        <v>19116.5535</v>
      </c>
      <c r="F1462" s="1">
        <f>value(CHF!$B1462)</f>
        <v>12780.801</v>
      </c>
      <c r="G1462" s="1">
        <f>value(SGD!$B1462)</f>
        <v>9089.784</v>
      </c>
      <c r="H1462" s="1">
        <f>value(MYR!$B1462)</f>
        <v>3480.50835</v>
      </c>
      <c r="I1462" s="1">
        <f>value(THB!$B1462)</f>
        <v>349.86105</v>
      </c>
      <c r="J1462" s="1">
        <f>value(VND!$B1462)</f>
        <v>0.5784973894</v>
      </c>
      <c r="K1462" s="1">
        <f>value(CNY!$B1462)</f>
        <v>1913.657222</v>
      </c>
      <c r="L1462" s="1">
        <f>value(HKD!$B1462)</f>
        <v>1468.55115</v>
      </c>
      <c r="M1462" s="1">
        <f>value(TWD!$B1462)</f>
        <v>378.8928</v>
      </c>
      <c r="N1462" s="1">
        <f>value(JPY!$B1462)</f>
        <v>112.11948</v>
      </c>
      <c r="O1462" s="1">
        <f>value(SAR!$B1462)</f>
        <v>3100.061387</v>
      </c>
      <c r="P1462" s="1">
        <f>value(AED!$B1462)</f>
        <v>3267.466464</v>
      </c>
      <c r="Q1462" s="1">
        <f>value(KWD!$B1462)</f>
        <v>41723.30232</v>
      </c>
    </row>
    <row r="1463">
      <c r="A1463" s="4">
        <f>value(USD!A1463)</f>
        <v>41773.99861</v>
      </c>
      <c r="B1463" s="1">
        <f>value(USD!B1463)</f>
        <v>11405</v>
      </c>
      <c r="C1463" s="1">
        <f>value(AUD!$B1463)</f>
        <v>10698.2427</v>
      </c>
      <c r="D1463" s="1">
        <f>value(EUR!$B1463)</f>
        <v>15499.5704</v>
      </c>
      <c r="E1463" s="1">
        <f>value(GBP!$B1463)</f>
        <v>19032.4292</v>
      </c>
      <c r="F1463" s="1">
        <f>value(CHF!$B1463)</f>
        <v>12677.268</v>
      </c>
      <c r="G1463" s="1">
        <f>value(SGD!$B1463)</f>
        <v>9047.2836</v>
      </c>
      <c r="H1463" s="1">
        <f>value(MYR!$B1463)</f>
        <v>3446.2608</v>
      </c>
      <c r="I1463" s="1">
        <f>value(THB!$B1463)</f>
        <v>347.9768</v>
      </c>
      <c r="J1463" s="1">
        <f>value(VND!$B1463)</f>
        <v>0.5762334967</v>
      </c>
      <c r="K1463" s="1">
        <f>value(CNY!$B1463)</f>
        <v>1889.71825</v>
      </c>
      <c r="L1463" s="1">
        <f>value(HKD!$B1463)</f>
        <v>1460.1668</v>
      </c>
      <c r="M1463" s="1">
        <f>value(TWD!$B1463)</f>
        <v>375.3712</v>
      </c>
      <c r="N1463" s="1">
        <f>value(JPY!$B1463)</f>
        <v>111.502</v>
      </c>
      <c r="O1463" s="1">
        <f>value(SAR!$B1463)</f>
        <v>3088.133196</v>
      </c>
      <c r="P1463" s="1">
        <f>value(AED!$B1463)</f>
        <v>3262.89384</v>
      </c>
      <c r="Q1463" s="1">
        <f>value(KWD!$B1463)</f>
        <v>41584.26004</v>
      </c>
    </row>
    <row r="1464">
      <c r="A1464" s="4">
        <f>value(USD!A1464)</f>
        <v>41774.99861</v>
      </c>
      <c r="B1464" s="1">
        <f>value(USD!B1464)</f>
        <v>11385</v>
      </c>
      <c r="C1464" s="1">
        <f>value(AUD!$B1464)</f>
        <v>10711.11315</v>
      </c>
      <c r="D1464" s="1">
        <f>value(EUR!$B1464)</f>
        <v>15543.68966</v>
      </c>
      <c r="E1464" s="1">
        <f>value(GBP!$B1464)</f>
        <v>19086.25249</v>
      </c>
      <c r="F1464" s="1">
        <f>value(CHF!$B1464)</f>
        <v>12713.95267</v>
      </c>
      <c r="G1464" s="1">
        <f>value(SGD!$B1464)</f>
        <v>9071.843937</v>
      </c>
      <c r="H1464" s="1">
        <f>value(MYR!$B1464)</f>
        <v>3456.07027</v>
      </c>
      <c r="I1464" s="1">
        <f>value(THB!$B1464)</f>
        <v>343.2460752</v>
      </c>
      <c r="J1464" s="1">
        <f>value(VND!$B1464)</f>
        <v>0.5769560418</v>
      </c>
      <c r="K1464" s="1">
        <f>value(CNY!$B1464)</f>
        <v>1881.0979</v>
      </c>
      <c r="L1464" s="1">
        <f>value(HKD!$B1464)</f>
        <v>1463.903648</v>
      </c>
      <c r="M1464" s="1">
        <f>value(TWD!$B1464)</f>
        <v>376.5037141</v>
      </c>
      <c r="N1464" s="1">
        <f>value(JPY!$B1464)</f>
        <v>111.8046905</v>
      </c>
      <c r="O1464" s="1">
        <f>value(SAR!$B1464)</f>
        <v>3094.336543</v>
      </c>
      <c r="P1464" s="1">
        <f>value(AED!$B1464)</f>
        <v>3257.9946</v>
      </c>
      <c r="Q1464" s="1">
        <f>value(KWD!$B1464)</f>
        <v>41707.57567</v>
      </c>
    </row>
    <row r="1465">
      <c r="A1465" s="4">
        <f>value(USD!A1465)</f>
        <v>41775.99861</v>
      </c>
      <c r="B1465" s="1">
        <f>value(USD!B1465)</f>
        <v>11320</v>
      </c>
      <c r="C1465" s="1">
        <f>value(AUD!$B1465)</f>
        <v>10687.22</v>
      </c>
      <c r="D1465" s="1">
        <f>value(EUR!$B1465)</f>
        <v>15600.883</v>
      </c>
      <c r="E1465" s="1">
        <f>value(GBP!$B1465)</f>
        <v>19161.397</v>
      </c>
      <c r="F1465" s="1">
        <f>value(CHF!$B1465)</f>
        <v>12763.634</v>
      </c>
      <c r="G1465" s="1">
        <f>value(SGD!$B1465)</f>
        <v>9100.3822</v>
      </c>
      <c r="H1465" s="1">
        <f>value(MYR!$B1465)</f>
        <v>3468.5967</v>
      </c>
      <c r="I1465" s="1">
        <f>value(THB!$B1465)</f>
        <v>344.4336</v>
      </c>
      <c r="J1465" s="1">
        <f>value(VND!$B1465)</f>
        <v>0.5843274872</v>
      </c>
      <c r="K1465" s="1">
        <f>value(CNY!$B1465)</f>
        <v>1873.2672</v>
      </c>
      <c r="L1465" s="1">
        <f>value(HKD!$B1465)</f>
        <v>1469.1961</v>
      </c>
      <c r="M1465" s="1">
        <f>value(TWD!$B1465)</f>
        <v>377.8063</v>
      </c>
      <c r="N1465" s="1">
        <f>value(JPY!$B1465)</f>
        <v>112.1915</v>
      </c>
      <c r="O1465" s="1">
        <f>value(SAR!$B1465)</f>
        <v>3104.549463</v>
      </c>
      <c r="P1465" s="1">
        <f>value(AED!$B1465)</f>
        <v>3250.64574</v>
      </c>
      <c r="Q1465" s="1">
        <f>value(KWD!$B1465)</f>
        <v>41905.7548</v>
      </c>
    </row>
    <row r="1466">
      <c r="A1466" s="4">
        <f>value(USD!A1466)</f>
        <v>41776.99861</v>
      </c>
      <c r="B1466" s="1">
        <f>value(USD!B1466)</f>
        <v>11350.73</v>
      </c>
      <c r="C1466" s="1">
        <f>value(AUD!$B1466)</f>
        <v>10703.8664</v>
      </c>
      <c r="D1466" s="1">
        <f>value(EUR!$B1466)</f>
        <v>15652.9372</v>
      </c>
      <c r="E1466" s="1">
        <f>value(GBP!$B1466)</f>
        <v>19198.3904</v>
      </c>
      <c r="F1466" s="1">
        <f>value(CHF!$B1466)</f>
        <v>12798.394</v>
      </c>
      <c r="G1466" s="1">
        <f>value(SGD!$B1466)</f>
        <v>9128.8054</v>
      </c>
      <c r="H1466" s="1">
        <f>value(MYR!$B1466)</f>
        <v>3490.4088</v>
      </c>
      <c r="I1466" s="1">
        <f>value(THB!$B1466)</f>
        <v>350.9366</v>
      </c>
      <c r="J1466" s="1">
        <f>value(VND!$B1466)</f>
        <v>0.5861920028</v>
      </c>
      <c r="K1466" s="1">
        <f>value(CNY!$B1466)</f>
        <v>1865.3154</v>
      </c>
      <c r="L1466" s="1">
        <f>value(HKD!$B1466)</f>
        <v>1473.0658</v>
      </c>
      <c r="M1466" s="1">
        <f>value(TWD!$B1466)</f>
        <v>378.3446</v>
      </c>
      <c r="N1466" s="1">
        <f>value(JPY!$B1466)</f>
        <v>112.49842</v>
      </c>
      <c r="O1466" s="1">
        <f>value(SAR!$B1466)</f>
        <v>3104.549463</v>
      </c>
      <c r="P1466" s="1">
        <f>value(AED!$B1466)</f>
        <v>3260.29182</v>
      </c>
      <c r="Q1466" s="1">
        <f>value(KWD!$B1466)</f>
        <v>41949.99058</v>
      </c>
    </row>
    <row r="1467">
      <c r="A1467" s="4">
        <f>value(USD!A1467)</f>
        <v>41777.99861</v>
      </c>
      <c r="B1467" s="1">
        <f>value(USD!B1467)</f>
        <v>11390</v>
      </c>
      <c r="C1467" s="1">
        <f>value(AUD!$B1467)</f>
        <v>10737.979</v>
      </c>
      <c r="D1467" s="1">
        <f>value(EUR!$B1467)</f>
        <v>15699.054</v>
      </c>
      <c r="E1467" s="1">
        <f>value(GBP!$B1467)</f>
        <v>19292.6808</v>
      </c>
      <c r="F1467" s="1">
        <f>value(CHF!$B1467)</f>
        <v>12846.66</v>
      </c>
      <c r="G1467" s="1">
        <f>value(SGD!$B1467)</f>
        <v>9143.7048</v>
      </c>
      <c r="H1467" s="1">
        <f>value(MYR!$B1467)</f>
        <v>3497.2482</v>
      </c>
      <c r="I1467" s="1">
        <f>value(THB!$B1467)</f>
        <v>351.9366</v>
      </c>
      <c r="J1467" s="1">
        <f>value(VND!$B1467)</f>
        <v>0.5829831899</v>
      </c>
      <c r="K1467" s="1">
        <f>value(CNY!$B1467)</f>
        <v>1870.726</v>
      </c>
      <c r="L1467" s="1">
        <f>value(HKD!$B1467)</f>
        <v>1478.2254</v>
      </c>
      <c r="M1467" s="1">
        <f>value(TWD!$B1467)</f>
        <v>379.899</v>
      </c>
      <c r="N1467" s="1">
        <f>value(JPY!$B1467)</f>
        <v>113.1102</v>
      </c>
      <c r="O1467" s="1">
        <f>value(SAR!$B1467)</f>
        <v>3112.154975</v>
      </c>
      <c r="P1467" s="1">
        <f>value(AED!$B1467)</f>
        <v>3280.01</v>
      </c>
      <c r="Q1467" s="1">
        <f>value(KWD!$B1467)</f>
        <v>41949.99058</v>
      </c>
    </row>
    <row r="1468">
      <c r="A1468" s="4">
        <f>value(USD!A1468)</f>
        <v>41778.99861</v>
      </c>
      <c r="B1468" s="1">
        <f>value(USD!B1468)</f>
        <v>11420</v>
      </c>
      <c r="C1468" s="1">
        <f>value(AUD!$B1468)</f>
        <v>10790.307</v>
      </c>
      <c r="D1468" s="1">
        <f>value(EUR!$B1468)</f>
        <v>15730.9075</v>
      </c>
      <c r="E1468" s="1">
        <f>value(GBP!$B1468)</f>
        <v>19423.44635</v>
      </c>
      <c r="F1468" s="1">
        <f>value(CHF!$B1468)</f>
        <v>12866.3535</v>
      </c>
      <c r="G1468" s="1">
        <f>value(SGD!$B1468)</f>
        <v>9187.37875</v>
      </c>
      <c r="H1468" s="1">
        <f>value(MYR!$B1468)</f>
        <v>3513.67665</v>
      </c>
      <c r="I1468" s="1">
        <f>value(THB!$B1468)</f>
        <v>353.8161</v>
      </c>
      <c r="J1468" s="1">
        <f>value(VND!$B1468)</f>
        <v>0.5799914353</v>
      </c>
      <c r="K1468" s="1">
        <f>value(CNY!$B1468)</f>
        <v>1876.367299</v>
      </c>
      <c r="L1468" s="1">
        <f>value(HKD!$B1468)</f>
        <v>1482.6251</v>
      </c>
      <c r="M1468" s="1">
        <f>value(TWD!$B1468)</f>
        <v>381.05925</v>
      </c>
      <c r="N1468" s="1">
        <f>value(JPY!$B1468)</f>
        <v>113.29472</v>
      </c>
      <c r="O1468" s="1">
        <f>value(SAR!$B1468)</f>
        <v>3127.919038</v>
      </c>
      <c r="P1468" s="1">
        <f>value(AED!$B1468)</f>
        <v>3283.472384</v>
      </c>
      <c r="Q1468" s="1">
        <f>value(KWD!$B1468)</f>
        <v>42218.35324</v>
      </c>
    </row>
    <row r="1469">
      <c r="A1469" s="4">
        <f>value(USD!A1469)</f>
        <v>41779.99861</v>
      </c>
      <c r="B1469" s="1">
        <f>value(USD!B1469)</f>
        <v>11460</v>
      </c>
      <c r="C1469" s="1">
        <f>value(AUD!$B1469)</f>
        <v>10848.464</v>
      </c>
      <c r="D1469" s="1">
        <f>value(EUR!$B1469)</f>
        <v>15716.905</v>
      </c>
      <c r="E1469" s="1">
        <f>value(GBP!$B1469)</f>
        <v>19413.917</v>
      </c>
      <c r="F1469" s="1">
        <f>value(CHF!$B1469)</f>
        <v>12868.18</v>
      </c>
      <c r="G1469" s="1">
        <f>value(SGD!$B1469)</f>
        <v>9195.2239</v>
      </c>
      <c r="H1469" s="1">
        <f>value(MYR!$B1469)</f>
        <v>3515.2691</v>
      </c>
      <c r="I1469" s="1">
        <f>value(THB!$B1469)</f>
        <v>353.357</v>
      </c>
      <c r="J1469" s="1">
        <f>value(VND!$B1469)</f>
        <v>0.582204839</v>
      </c>
      <c r="K1469" s="1">
        <f>value(CNY!$B1469)</f>
        <v>1875.901641</v>
      </c>
      <c r="L1469" s="1">
        <f>value(HKD!$B1469)</f>
        <v>1484.4447</v>
      </c>
      <c r="M1469" s="1">
        <f>value(TWD!$B1469)</f>
        <v>381.3263</v>
      </c>
      <c r="N1469" s="1">
        <f>value(JPY!$B1469)</f>
        <v>113.06273</v>
      </c>
      <c r="O1469" s="1">
        <f>value(SAR!$B1469)</f>
        <v>3107.350619</v>
      </c>
      <c r="P1469" s="1">
        <f>value(AED!$B1469)</f>
        <v>3283.472384</v>
      </c>
      <c r="Q1469" s="1">
        <f>value(KWD!$B1469)</f>
        <v>42290.4469</v>
      </c>
    </row>
    <row r="1470">
      <c r="A1470" s="4">
        <f>value(USD!A1470)</f>
        <v>41780.99861</v>
      </c>
      <c r="B1470" s="1">
        <f>value(USD!B1470)</f>
        <v>11495</v>
      </c>
      <c r="C1470" s="1">
        <f>value(AUD!$B1470)</f>
        <v>10889.81857</v>
      </c>
      <c r="D1470" s="1">
        <f>value(EUR!$B1470)</f>
        <v>15807.4635</v>
      </c>
      <c r="E1470" s="1">
        <f>value(GBP!$B1470)</f>
        <v>19514.385</v>
      </c>
      <c r="F1470" s="1">
        <f>value(CHF!$B1470)</f>
        <v>12938.8605</v>
      </c>
      <c r="G1470" s="1">
        <f>value(SGD!$B1470)</f>
        <v>9248.6358</v>
      </c>
      <c r="H1470" s="1">
        <f>value(MYR!$B1470)</f>
        <v>3548.3019</v>
      </c>
      <c r="I1470" s="1">
        <f>value(THB!$B1470)</f>
        <v>356.08245</v>
      </c>
      <c r="J1470" s="1">
        <f>value(VND!$B1470)</f>
        <v>0.5828611538</v>
      </c>
      <c r="K1470" s="1">
        <f>value(CNY!$B1470)</f>
        <v>1878.7758</v>
      </c>
      <c r="L1470" s="1">
        <f>value(HKD!$B1470)</f>
        <v>1495.2912</v>
      </c>
      <c r="M1470" s="1">
        <f>value(TWD!$B1470)</f>
        <v>385.30185</v>
      </c>
      <c r="N1470" s="1">
        <f>value(JPY!$B1470)</f>
        <v>113.631</v>
      </c>
      <c r="O1470" s="1">
        <f>value(SAR!$B1470)</f>
        <v>3112.237994</v>
      </c>
      <c r="P1470" s="1">
        <f>value(AED!$B1470)</f>
        <v>3305.0524</v>
      </c>
      <c r="Q1470" s="1">
        <f>value(KWD!$B1470)</f>
        <v>42144.38709</v>
      </c>
    </row>
    <row r="1471">
      <c r="A1471" s="4">
        <f>value(USD!A1471)</f>
        <v>41781.99861</v>
      </c>
      <c r="B1471" s="1">
        <f>value(USD!B1471)</f>
        <v>11510</v>
      </c>
      <c r="C1471" s="1">
        <f>value(AUD!$B1471)</f>
        <v>10870.1208</v>
      </c>
      <c r="D1471" s="1">
        <f>value(EUR!$B1471)</f>
        <v>15760.7696</v>
      </c>
      <c r="E1471" s="1">
        <f>value(GBP!$B1471)</f>
        <v>19462.43317</v>
      </c>
      <c r="F1471" s="1">
        <f>value(CHF!$B1471)</f>
        <v>12942.339</v>
      </c>
      <c r="G1471" s="1">
        <f>value(SGD!$B1471)</f>
        <v>9221.268771</v>
      </c>
      <c r="H1471" s="1">
        <f>value(MYR!$B1471)</f>
        <v>3537.802353</v>
      </c>
      <c r="I1471" s="1">
        <f>value(THB!$B1471)</f>
        <v>355.0287899</v>
      </c>
      <c r="J1471" s="1">
        <f>value(VND!$B1471)</f>
        <v>0.5828611538</v>
      </c>
      <c r="K1471" s="1">
        <f>value(CNY!$B1471)</f>
        <v>1887.3888</v>
      </c>
      <c r="L1471" s="1">
        <f>value(HKD!$B1471)</f>
        <v>1490.866582</v>
      </c>
      <c r="M1471" s="1">
        <f>value(TWD!$B1471)</f>
        <v>384.1617287</v>
      </c>
      <c r="N1471" s="1">
        <f>value(JPY!$B1471)</f>
        <v>113.294762</v>
      </c>
      <c r="O1471" s="1">
        <f>value(SAR!$B1471)</f>
        <v>3099.978572</v>
      </c>
      <c r="P1471" s="1">
        <f>value(AED!$B1471)</f>
        <v>3313.7915</v>
      </c>
      <c r="Q1471" s="1">
        <f>value(KWD!$B1471)</f>
        <v>42081.84801</v>
      </c>
    </row>
    <row r="1472">
      <c r="A1472" s="4">
        <f>value(USD!A1472)</f>
        <v>41782.99861</v>
      </c>
      <c r="B1472" s="1">
        <f>value(USD!B1472)</f>
        <v>11595</v>
      </c>
      <c r="C1472" s="1">
        <f>value(AUD!$B1472)</f>
        <v>10903.728</v>
      </c>
      <c r="D1472" s="1">
        <f>value(EUR!$B1472)</f>
        <v>15798.1875</v>
      </c>
      <c r="E1472" s="1">
        <f>value(GBP!$B1472)</f>
        <v>19519.023</v>
      </c>
      <c r="F1472" s="1">
        <f>value(CHF!$B1472)</f>
        <v>12917.144</v>
      </c>
      <c r="G1472" s="1">
        <f>value(SGD!$B1472)</f>
        <v>9256.86825</v>
      </c>
      <c r="H1472" s="1">
        <f>value(MYR!$B1472)</f>
        <v>3547.8381</v>
      </c>
      <c r="I1472" s="1">
        <f>value(THB!$B1472)</f>
        <v>355.9665</v>
      </c>
      <c r="J1472" s="1">
        <f>value(VND!$B1472)</f>
        <v>0.5864538658</v>
      </c>
      <c r="K1472" s="1">
        <f>value(CNY!$B1472)</f>
        <v>1876.57398</v>
      </c>
      <c r="L1472" s="1">
        <f>value(HKD!$B1472)</f>
        <v>1495.40715</v>
      </c>
      <c r="M1472" s="1">
        <f>value(TWD!$B1472)</f>
        <v>385.1859</v>
      </c>
      <c r="N1472" s="1">
        <f>value(JPY!$B1472)</f>
        <v>113.74695</v>
      </c>
      <c r="O1472" s="1">
        <f>value(SAR!$B1472)</f>
        <v>3104.466693</v>
      </c>
      <c r="P1472" s="1">
        <f>value(AED!$B1472)</f>
        <v>3301.5434</v>
      </c>
      <c r="Q1472" s="1">
        <f>value(KWD!$B1472)</f>
        <v>42192.58434</v>
      </c>
    </row>
    <row r="1473">
      <c r="A1473" s="4">
        <f>value(USD!A1473)</f>
        <v>41783.99861</v>
      </c>
      <c r="B1473" s="1">
        <f>value(USD!B1473)</f>
        <v>11560.69</v>
      </c>
      <c r="C1473" s="1">
        <f>value(AUD!$B1473)</f>
        <v>11014.0625</v>
      </c>
      <c r="D1473" s="1">
        <f>value(EUR!$B1473)</f>
        <v>15771.886</v>
      </c>
      <c r="E1473" s="1">
        <f>value(GBP!$B1473)</f>
        <v>19464.728</v>
      </c>
      <c r="F1473" s="1">
        <f>value(CHF!$B1473)</f>
        <v>12891.712</v>
      </c>
      <c r="G1473" s="1">
        <f>value(SGD!$B1473)</f>
        <v>9220.4872</v>
      </c>
      <c r="H1473" s="1">
        <f>value(MYR!$B1473)</f>
        <v>3536.5508</v>
      </c>
      <c r="I1473" s="1">
        <f>value(THB!$B1473)</f>
        <v>354.5452</v>
      </c>
      <c r="J1473" s="1">
        <f>value(VND!$B1473)</f>
        <v>0.5836642854</v>
      </c>
      <c r="K1473" s="1">
        <f>value(CNY!$B1473)</f>
        <v>1879.1256</v>
      </c>
      <c r="L1473" s="1">
        <f>value(HKD!$B1473)</f>
        <v>1490.7776</v>
      </c>
      <c r="M1473" s="1">
        <f>value(TWD!$B1473)</f>
        <v>384.0232</v>
      </c>
      <c r="N1473" s="1">
        <f>value(JPY!$B1473)</f>
        <v>113.4036</v>
      </c>
      <c r="O1473" s="1">
        <f>value(SAR!$B1473)</f>
        <v>3106.703595</v>
      </c>
      <c r="P1473" s="1">
        <f>value(AED!$B1473)</f>
        <v>3296.64416</v>
      </c>
      <c r="Q1473" s="1">
        <f>value(KWD!$B1473)</f>
        <v>42218.0908</v>
      </c>
    </row>
    <row r="1474">
      <c r="A1474" s="4">
        <f>value(USD!A1474)</f>
        <v>41784.99861</v>
      </c>
      <c r="B1474" s="1">
        <f>value(USD!B1474)</f>
        <v>11595</v>
      </c>
      <c r="C1474" s="1">
        <f>value(AUD!$B1474)</f>
        <v>11052.5695</v>
      </c>
      <c r="D1474" s="1">
        <f>value(EUR!$B1474)</f>
        <v>15763.1004</v>
      </c>
      <c r="E1474" s="1">
        <f>value(GBP!$B1474)</f>
        <v>19431.5508</v>
      </c>
      <c r="F1474" s="1">
        <f>value(CHF!$B1474)</f>
        <v>12946.516</v>
      </c>
      <c r="G1474" s="1">
        <f>value(SGD!$B1474)</f>
        <v>9200.8352</v>
      </c>
      <c r="H1474" s="1">
        <f>value(MYR!$B1474)</f>
        <v>3525.4532</v>
      </c>
      <c r="I1474" s="1">
        <f>value(THB!$B1474)</f>
        <v>354.1984</v>
      </c>
      <c r="J1474" s="1">
        <f>value(VND!$B1474)</f>
        <v>0.592680557</v>
      </c>
      <c r="K1474" s="1">
        <f>value(CNY!$B1474)</f>
        <v>1870.4796</v>
      </c>
      <c r="L1474" s="1">
        <f>value(HKD!$B1474)</f>
        <v>1490.8932</v>
      </c>
      <c r="M1474" s="1">
        <f>value(TWD!$B1474)</f>
        <v>383.214</v>
      </c>
      <c r="N1474" s="1">
        <f>value(JPY!$B1474)</f>
        <v>113.32268</v>
      </c>
      <c r="O1474" s="1">
        <f>value(SAR!$B1474)</f>
        <v>3085.381802</v>
      </c>
      <c r="P1474" s="1">
        <f>value(AED!$B1474)</f>
        <v>3316.39906</v>
      </c>
      <c r="Q1474" s="1">
        <f>value(KWD!$B1474)</f>
        <v>42168.2862</v>
      </c>
    </row>
    <row r="1475">
      <c r="A1475" s="4">
        <f>value(USD!A1475)</f>
        <v>41785.99861</v>
      </c>
      <c r="B1475" s="1">
        <f>value(USD!B1475)</f>
        <v>11560</v>
      </c>
      <c r="C1475" s="1">
        <f>value(AUD!$B1475)</f>
        <v>11023.395</v>
      </c>
      <c r="D1475" s="1">
        <f>value(EUR!$B1475)</f>
        <v>15809.822</v>
      </c>
      <c r="E1475" s="1">
        <f>value(GBP!$B1475)</f>
        <v>19438.382</v>
      </c>
      <c r="F1475" s="1">
        <f>value(CHF!$B1475)</f>
        <v>12912.192</v>
      </c>
      <c r="G1475" s="1">
        <f>value(SGD!$B1475)</f>
        <v>9260.2712</v>
      </c>
      <c r="H1475" s="1">
        <f>value(MYR!$B1475)</f>
        <v>3533.194</v>
      </c>
      <c r="I1475" s="1">
        <f>value(THB!$B1475)</f>
        <v>355.5291</v>
      </c>
      <c r="J1475" s="1">
        <f>value(VND!$B1475)</f>
        <v>0.586201929</v>
      </c>
      <c r="K1475" s="1">
        <f>value(CNY!$B1475)</f>
        <v>1874.621083</v>
      </c>
      <c r="L1475" s="1">
        <f>value(HKD!$B1475)</f>
        <v>1499.8048</v>
      </c>
      <c r="M1475" s="1">
        <f>value(TWD!$B1475)</f>
        <v>385.5345</v>
      </c>
      <c r="N1475" s="1">
        <f>value(JPY!$B1475)</f>
        <v>114.24149</v>
      </c>
      <c r="O1475" s="1">
        <f>value(SAR!$B1475)</f>
        <v>3090.554818</v>
      </c>
      <c r="P1475" s="1">
        <f>value(AED!$B1475)</f>
        <v>3319.267761</v>
      </c>
      <c r="Q1475" s="1">
        <f>value(KWD!$B1475)</f>
        <v>42441.28784</v>
      </c>
    </row>
    <row r="1476">
      <c r="A1476" s="4">
        <f>value(USD!A1476)</f>
        <v>41786.99861</v>
      </c>
      <c r="B1476" s="1">
        <f>value(USD!B1476)</f>
        <v>11560</v>
      </c>
      <c r="C1476" s="1">
        <f>value(AUD!$B1476)</f>
        <v>11042.59466</v>
      </c>
      <c r="D1476" s="1">
        <f>value(EUR!$B1476)</f>
        <v>15768.0405</v>
      </c>
      <c r="E1476" s="1">
        <f>value(GBP!$B1476)</f>
        <v>19386.1443</v>
      </c>
      <c r="F1476" s="1">
        <f>value(CHF!$B1476)</f>
        <v>13017.224</v>
      </c>
      <c r="G1476" s="1">
        <f>value(SGD!$B1476)</f>
        <v>9243.64995</v>
      </c>
      <c r="H1476" s="1">
        <f>value(MYR!$B1476)</f>
        <v>3538.5621</v>
      </c>
      <c r="I1476" s="1">
        <f>value(THB!$B1476)</f>
        <v>353.29965</v>
      </c>
      <c r="J1476" s="1">
        <f>value(VND!$B1476)</f>
        <v>0.5782407122</v>
      </c>
      <c r="K1476" s="1">
        <f>value(CNY!$B1476)</f>
        <v>1876.250884</v>
      </c>
      <c r="L1476" s="1">
        <f>value(HKD!$B1476)</f>
        <v>1495.63905</v>
      </c>
      <c r="M1476" s="1">
        <f>value(TWD!$B1476)</f>
        <v>386.22945</v>
      </c>
      <c r="N1476" s="1">
        <f>value(JPY!$B1476)</f>
        <v>113.97885</v>
      </c>
      <c r="O1476" s="1">
        <f>value(SAR!$B1476)</f>
        <v>3065.44596</v>
      </c>
      <c r="P1476" s="1">
        <f>value(AED!$B1476)</f>
        <v>3306.17046</v>
      </c>
      <c r="Q1476" s="1">
        <f>value(KWD!$B1476)</f>
        <v>42457.74753</v>
      </c>
    </row>
    <row r="1477">
      <c r="A1477" s="4">
        <f>value(USD!A1477)</f>
        <v>41787.99861</v>
      </c>
      <c r="B1477" s="1">
        <f>value(USD!B1477)</f>
        <v>11630</v>
      </c>
      <c r="C1477" s="1">
        <f>value(AUD!$B1477)</f>
        <v>11042.59466</v>
      </c>
      <c r="D1477" s="1">
        <f>value(EUR!$B1477)</f>
        <v>15891.6472</v>
      </c>
      <c r="E1477" s="1">
        <f>value(GBP!$B1477)</f>
        <v>19535.164</v>
      </c>
      <c r="F1477" s="1">
        <f>value(CHF!$B1477)</f>
        <v>13057.30276</v>
      </c>
      <c r="G1477" s="1">
        <f>value(SGD!$B1477)</f>
        <v>9293.8362</v>
      </c>
      <c r="H1477" s="1">
        <f>value(MYR!$B1477)</f>
        <v>3565.9778</v>
      </c>
      <c r="I1477" s="1">
        <f>value(THB!$B1477)</f>
        <v>354.5806</v>
      </c>
      <c r="J1477" s="1">
        <f>value(VND!$B1477)</f>
        <v>0.5738432877</v>
      </c>
      <c r="K1477" s="1">
        <f>value(CNY!$B1477)</f>
        <v>1861.738</v>
      </c>
      <c r="L1477" s="1">
        <f>value(HKD!$B1477)</f>
        <v>1503.7902</v>
      </c>
      <c r="M1477" s="1">
        <f>value(TWD!$B1477)</f>
        <v>389.2108</v>
      </c>
      <c r="N1477" s="1">
        <f>value(JPY!$B1477)</f>
        <v>114.5012</v>
      </c>
      <c r="O1477" s="1">
        <f>value(SAR!$B1477)</f>
        <v>3083.32884</v>
      </c>
      <c r="P1477" s="1">
        <f>value(AED!$B1477)</f>
        <v>3325.49524</v>
      </c>
      <c r="Q1477" s="1">
        <f>value(KWD!$B1477)</f>
        <v>42318.63926</v>
      </c>
    </row>
    <row r="1478">
      <c r="A1478" s="4">
        <f>value(USD!A1478)</f>
        <v>41788.99861</v>
      </c>
      <c r="B1478" s="1">
        <f>value(USD!B1478)</f>
        <v>11595</v>
      </c>
      <c r="C1478" s="1">
        <f>value(AUD!$B1478)</f>
        <v>11010.68475</v>
      </c>
      <c r="D1478" s="1">
        <f>value(EUR!$B1478)</f>
        <v>15946.84503</v>
      </c>
      <c r="E1478" s="1">
        <f>value(GBP!$B1478)</f>
        <v>19601.29916</v>
      </c>
      <c r="F1478" s="1">
        <f>value(CHF!$B1478)</f>
        <v>13057.30276</v>
      </c>
      <c r="G1478" s="1">
        <f>value(SGD!$B1478)</f>
        <v>9322.451013</v>
      </c>
      <c r="H1478" s="1">
        <f>value(MYR!$B1478)</f>
        <v>3576.957097</v>
      </c>
      <c r="I1478" s="1">
        <f>value(THB!$B1478)</f>
        <v>355.672319</v>
      </c>
      <c r="J1478" s="1">
        <f>value(VND!$B1478)</f>
        <v>0.5702935359</v>
      </c>
      <c r="K1478" s="1">
        <f>value(CNY!$B1478)</f>
        <v>1866.8118</v>
      </c>
      <c r="L1478" s="1">
        <f>value(HKD!$B1478)</f>
        <v>1508.420223</v>
      </c>
      <c r="M1478" s="1">
        <f>value(TWD!$B1478)</f>
        <v>390.409142</v>
      </c>
      <c r="N1478" s="1">
        <f>value(JPY!$B1478)</f>
        <v>114.853738</v>
      </c>
      <c r="O1478" s="1">
        <f>value(SAR!$B1478)</f>
        <v>3085.648703</v>
      </c>
      <c r="P1478" s="1">
        <f>value(AED!$B1478)</f>
        <v>3323.3178</v>
      </c>
      <c r="Q1478" s="1">
        <f>value(KWD!$B1478)</f>
        <v>42345.83067</v>
      </c>
    </row>
    <row r="1479">
      <c r="A1479" s="4">
        <f>value(USD!A1479)</f>
        <v>41789.99861</v>
      </c>
      <c r="B1479" s="1">
        <f>value(USD!B1479)</f>
        <v>11660</v>
      </c>
      <c r="C1479" s="1">
        <f>value(AUD!$B1479)</f>
        <v>11070.655</v>
      </c>
      <c r="D1479" s="1">
        <f>value(EUR!$B1479)</f>
        <v>15937.53509</v>
      </c>
      <c r="E1479" s="1">
        <f>value(GBP!$B1479)</f>
        <v>19594.14127</v>
      </c>
      <c r="F1479" s="1">
        <f>value(CHF!$B1479)</f>
        <v>13087.704</v>
      </c>
      <c r="G1479" s="1">
        <f>value(SGD!$B1479)</f>
        <v>9323.620603</v>
      </c>
      <c r="H1479" s="1">
        <f>value(MYR!$B1479)</f>
        <v>3575.904466</v>
      </c>
      <c r="I1479" s="1">
        <f>value(THB!$B1479)</f>
        <v>355.672319</v>
      </c>
      <c r="J1479" s="1">
        <f>value(VND!$B1479)</f>
        <v>0.5732331644</v>
      </c>
      <c r="K1479" s="1">
        <f>value(CNY!$B1479)</f>
        <v>1852.41565</v>
      </c>
      <c r="L1479" s="1">
        <f>value(HKD!$B1479)</f>
        <v>1508.420223</v>
      </c>
      <c r="M1479" s="1">
        <f>value(TWD!$B1479)</f>
        <v>390.409142</v>
      </c>
      <c r="N1479" s="1">
        <f>value(JPY!$B1479)</f>
        <v>114.853738</v>
      </c>
      <c r="O1479" s="1">
        <f>value(SAR!$B1479)</f>
        <v>3089.994589</v>
      </c>
      <c r="P1479" s="1">
        <f>value(AED!$B1479)</f>
        <v>3318.41856</v>
      </c>
      <c r="Q1479" s="1">
        <f>value(KWD!$B1479)</f>
        <v>42397.6098</v>
      </c>
    </row>
    <row r="1480">
      <c r="A1480" s="4">
        <f>value(USD!A1480)</f>
        <v>41790.99861</v>
      </c>
      <c r="B1480" s="1">
        <f>value(USD!B1480)</f>
        <v>11695.9</v>
      </c>
      <c r="C1480" s="1">
        <f>value(AUD!$B1480)</f>
        <v>11071.31925</v>
      </c>
      <c r="D1480" s="1">
        <f>value(EUR!$B1480)</f>
        <v>15991.4832</v>
      </c>
      <c r="E1480" s="1">
        <f>value(GBP!$B1480)</f>
        <v>19692.12</v>
      </c>
      <c r="F1480" s="1">
        <f>value(CHF!$B1480)</f>
        <v>13128.258</v>
      </c>
      <c r="G1480" s="1">
        <f>value(SGD!$B1480)</f>
        <v>9354.9624</v>
      </c>
      <c r="H1480" s="1">
        <f>value(MYR!$B1480)</f>
        <v>3575.628</v>
      </c>
      <c r="I1480" s="1">
        <f>value(THB!$B1480)</f>
        <v>357.7392</v>
      </c>
      <c r="J1480" s="1">
        <f>value(VND!$B1480)</f>
        <v>0.5745674593</v>
      </c>
      <c r="K1480" s="1">
        <f>value(CNY!$B1480)</f>
        <v>1864.83936</v>
      </c>
      <c r="L1480" s="1">
        <f>value(HKD!$B1480)</f>
        <v>1516.5696</v>
      </c>
      <c r="M1480" s="1">
        <f>value(TWD!$B1480)</f>
        <v>391.02</v>
      </c>
      <c r="N1480" s="1">
        <f>value(JPY!$B1480)</f>
        <v>114.82464</v>
      </c>
      <c r="O1480" s="1">
        <f>value(SAR!$B1480)</f>
        <v>3089.994589</v>
      </c>
      <c r="P1480" s="1">
        <f>value(AED!$B1480)</f>
        <v>3323.3178</v>
      </c>
      <c r="Q1480" s="1">
        <f>value(KWD!$B1480)</f>
        <v>42397.6098</v>
      </c>
    </row>
    <row r="1481">
      <c r="A1481" s="4">
        <f>value(USD!A1481)</f>
        <v>41791.99861</v>
      </c>
      <c r="B1481" s="1">
        <f>value(USD!B1481)</f>
        <v>11695.9</v>
      </c>
      <c r="C1481" s="1">
        <f>value(AUD!$B1481)</f>
        <v>11099.4694</v>
      </c>
      <c r="D1481" s="1">
        <f>value(EUR!$B1481)</f>
        <v>16038.979</v>
      </c>
      <c r="E1481" s="1">
        <f>value(GBP!$B1481)</f>
        <v>19707.688</v>
      </c>
      <c r="F1481" s="1">
        <f>value(CHF!$B1481)</f>
        <v>13235.875</v>
      </c>
      <c r="G1481" s="1">
        <f>value(SGD!$B1481)</f>
        <v>9365.7421</v>
      </c>
      <c r="H1481" s="1">
        <f>value(MYR!$B1481)</f>
        <v>3585.142</v>
      </c>
      <c r="I1481" s="1">
        <f>value(THB!$B1481)</f>
        <v>360.7505</v>
      </c>
      <c r="J1481" s="1">
        <f>value(VND!$B1481)</f>
        <v>0.5769230691</v>
      </c>
      <c r="K1481" s="1">
        <f>value(CNY!$B1481)</f>
        <v>1866.98589</v>
      </c>
      <c r="L1481" s="1">
        <f>value(HKD!$B1481)</f>
        <v>1518.2123</v>
      </c>
      <c r="M1481" s="1">
        <f>value(TWD!$B1481)</f>
        <v>392.4118</v>
      </c>
      <c r="N1481" s="1">
        <f>value(JPY!$B1481)</f>
        <v>114.7575</v>
      </c>
      <c r="O1481" s="1">
        <f>value(SAR!$B1481)</f>
        <v>3085.566274</v>
      </c>
      <c r="P1481" s="1">
        <f>value(AED!$B1481)</f>
        <v>3327.381447</v>
      </c>
      <c r="Q1481" s="1">
        <f>value(KWD!$B1481)</f>
        <v>42343.4672</v>
      </c>
    </row>
    <row r="1482">
      <c r="A1482" s="4">
        <f>value(USD!A1482)</f>
        <v>41792.99861</v>
      </c>
      <c r="B1482" s="1">
        <f>value(USD!B1482)</f>
        <v>11760</v>
      </c>
      <c r="C1482" s="1">
        <f>value(AUD!$B1482)</f>
        <v>11077.9</v>
      </c>
      <c r="D1482" s="1">
        <f>value(EUR!$B1482)</f>
        <v>16148.8125</v>
      </c>
      <c r="E1482" s="1">
        <f>value(GBP!$B1482)</f>
        <v>19873.40625</v>
      </c>
      <c r="F1482" s="1">
        <f>value(CHF!$B1482)</f>
        <v>13285.352</v>
      </c>
      <c r="G1482" s="1">
        <f>value(SGD!$B1482)</f>
        <v>9439.2</v>
      </c>
      <c r="H1482" s="1">
        <f>value(MYR!$B1482)</f>
        <v>3595.63125</v>
      </c>
      <c r="I1482" s="1">
        <f>value(THB!$B1482)</f>
        <v>363.1375</v>
      </c>
      <c r="J1482" s="1">
        <f>value(VND!$B1482)</f>
        <v>0.5777024389</v>
      </c>
      <c r="K1482" s="1">
        <f>value(CNY!$B1482)</f>
        <v>1871.262145</v>
      </c>
      <c r="L1482" s="1">
        <f>value(HKD!$B1482)</f>
        <v>1531.6375</v>
      </c>
      <c r="M1482" s="1">
        <f>value(TWD!$B1482)</f>
        <v>394.60625</v>
      </c>
      <c r="N1482" s="1">
        <f>value(JPY!$B1482)</f>
        <v>115.615</v>
      </c>
      <c r="O1482" s="1">
        <f>value(SAR!$B1482)</f>
        <v>3082.933256</v>
      </c>
      <c r="P1482" s="1">
        <f>value(AED!$B1482)</f>
        <v>3327.381447</v>
      </c>
      <c r="Q1482" s="1">
        <f>value(KWD!$B1482)</f>
        <v>42280.75639</v>
      </c>
    </row>
    <row r="1483">
      <c r="A1483" s="4">
        <f>value(USD!A1483)</f>
        <v>41793.99861</v>
      </c>
      <c r="B1483" s="1">
        <f>value(USD!B1483)</f>
        <v>11770</v>
      </c>
      <c r="C1483" s="1">
        <f>value(AUD!$B1483)</f>
        <v>11099.16843</v>
      </c>
      <c r="D1483" s="1">
        <f>value(EUR!$B1483)</f>
        <v>16180.27</v>
      </c>
      <c r="E1483" s="1">
        <f>value(GBP!$B1483)</f>
        <v>19910.4974</v>
      </c>
      <c r="F1483" s="1">
        <f>value(CHF!$B1483)</f>
        <v>13217.4405</v>
      </c>
      <c r="G1483" s="1">
        <f>value(SGD!$B1483)</f>
        <v>9454.08675</v>
      </c>
      <c r="H1483" s="1">
        <f>value(MYR!$B1483)</f>
        <v>3617.58145</v>
      </c>
      <c r="I1483" s="1">
        <f>value(THB!$B1483)</f>
        <v>362.6939</v>
      </c>
      <c r="J1483" s="1">
        <f>value(VND!$B1483)</f>
        <v>0.5781727754</v>
      </c>
      <c r="K1483" s="1">
        <f>value(CNY!$B1483)</f>
        <v>1871.493894</v>
      </c>
      <c r="L1483" s="1">
        <f>value(HKD!$B1483)</f>
        <v>1527.88655</v>
      </c>
      <c r="M1483" s="1">
        <f>value(TWD!$B1483)</f>
        <v>395.74145</v>
      </c>
      <c r="N1483" s="1">
        <f>value(JPY!$B1483)</f>
        <v>115.6072</v>
      </c>
      <c r="O1483" s="1">
        <f>value(SAR!$B1483)</f>
        <v>3085.154586</v>
      </c>
      <c r="P1483" s="1">
        <f>value(AED!$B1483)</f>
        <v>3320.596</v>
      </c>
      <c r="Q1483" s="1">
        <f>value(KWD!$B1483)</f>
        <v>42518.34097</v>
      </c>
    </row>
    <row r="1484">
      <c r="A1484" s="4">
        <f>value(USD!A1484)</f>
        <v>41794.99861</v>
      </c>
      <c r="B1484" s="1">
        <f>value(USD!B1484)</f>
        <v>11875</v>
      </c>
      <c r="C1484" s="1">
        <f>value(AUD!$B1484)</f>
        <v>11092.20267</v>
      </c>
      <c r="D1484" s="1">
        <f>value(EUR!$B1484)</f>
        <v>16115.8963</v>
      </c>
      <c r="E1484" s="1">
        <f>value(GBP!$B1484)</f>
        <v>19848.0185</v>
      </c>
      <c r="F1484" s="1">
        <f>value(CHF!$B1484)</f>
        <v>13239.04259</v>
      </c>
      <c r="G1484" s="1">
        <f>value(SGD!$B1484)</f>
        <v>9434.9864</v>
      </c>
      <c r="H1484" s="1">
        <f>value(MYR!$B1484)</f>
        <v>3614.2085</v>
      </c>
      <c r="I1484" s="1">
        <f>value(THB!$B1484)</f>
        <v>363.31125</v>
      </c>
      <c r="J1484" s="1">
        <f>value(VND!$B1484)</f>
        <v>0.5806065775</v>
      </c>
      <c r="K1484" s="1">
        <f>value(CNY!$B1484)</f>
        <v>1868.37321</v>
      </c>
      <c r="L1484" s="1">
        <f>value(HKD!$B1484)</f>
        <v>1523.8987</v>
      </c>
      <c r="M1484" s="1">
        <f>value(TWD!$B1484)</f>
        <v>393.6758</v>
      </c>
      <c r="N1484" s="1">
        <f>value(JPY!$B1484)</f>
        <v>115.3144</v>
      </c>
      <c r="O1484" s="1">
        <f>value(SAR!$B1484)</f>
        <v>3139.11275</v>
      </c>
      <c r="P1484" s="1">
        <f>value(AED!$B1484)</f>
        <v>3320.05164</v>
      </c>
      <c r="Q1484" s="1">
        <f>value(KWD!$B1484)</f>
        <v>42384.04797</v>
      </c>
    </row>
    <row r="1485">
      <c r="A1485" s="4">
        <f>value(USD!A1485)</f>
        <v>41795.99861</v>
      </c>
      <c r="B1485" s="1">
        <f>value(USD!B1485)</f>
        <v>11845</v>
      </c>
      <c r="C1485" s="1">
        <f>value(AUD!$B1485)</f>
        <v>11102.3192</v>
      </c>
      <c r="D1485" s="1">
        <f>value(EUR!$B1485)</f>
        <v>16143.18227</v>
      </c>
      <c r="E1485" s="1">
        <f>value(GBP!$B1485)</f>
        <v>19880.45736</v>
      </c>
      <c r="F1485" s="1">
        <f>value(CHF!$B1485)</f>
        <v>13239.04259</v>
      </c>
      <c r="G1485" s="1">
        <f>value(SGD!$B1485)</f>
        <v>9450.406593</v>
      </c>
      <c r="H1485" s="1">
        <f>value(MYR!$B1485)</f>
        <v>3619.997085</v>
      </c>
      <c r="I1485" s="1">
        <f>value(THB!$B1485)</f>
        <v>363.9050325</v>
      </c>
      <c r="J1485" s="1">
        <f>value(VND!$B1485)</f>
        <v>0.572673444</v>
      </c>
      <c r="K1485" s="1">
        <f>value(CNY!$B1485)</f>
        <v>1870.5698</v>
      </c>
      <c r="L1485" s="1">
        <f>value(HKD!$B1485)</f>
        <v>1526.27096</v>
      </c>
      <c r="M1485" s="1">
        <f>value(TWD!$B1485)</f>
        <v>394.3192092</v>
      </c>
      <c r="N1485" s="1">
        <f>value(JPY!$B1485)</f>
        <v>115.5028656</v>
      </c>
      <c r="O1485" s="1">
        <f>value(SAR!$B1485)</f>
        <v>3166.479693</v>
      </c>
      <c r="P1485" s="1">
        <f>value(AED!$B1485)</f>
        <v>3327.94486</v>
      </c>
      <c r="Q1485" s="1">
        <f>value(KWD!$B1485)</f>
        <v>41948.0008</v>
      </c>
    </row>
    <row r="1486">
      <c r="A1486" s="4">
        <f>value(USD!A1486)</f>
        <v>41796.99861</v>
      </c>
      <c r="B1486" s="1">
        <f>value(USD!B1486)</f>
        <v>11815</v>
      </c>
      <c r="C1486" s="1">
        <f>value(AUD!$B1486)</f>
        <v>11097.14335</v>
      </c>
      <c r="D1486" s="1">
        <f>value(EUR!$B1486)</f>
        <v>16143.18227</v>
      </c>
      <c r="E1486" s="1">
        <f>value(GBP!$B1486)</f>
        <v>19880.45736</v>
      </c>
      <c r="F1486" s="1">
        <f>value(CHF!$B1486)</f>
        <v>13122.06</v>
      </c>
      <c r="G1486" s="1">
        <f>value(SGD!$B1486)</f>
        <v>9450.406593</v>
      </c>
      <c r="H1486" s="1">
        <f>value(MYR!$B1486)</f>
        <v>3619.997085</v>
      </c>
      <c r="I1486" s="1">
        <f>value(THB!$B1486)</f>
        <v>363.9050325</v>
      </c>
      <c r="J1486" s="1">
        <f>value(VND!$B1486)</f>
        <v>0.5797585489</v>
      </c>
      <c r="K1486" s="1">
        <f>value(CNY!$B1486)</f>
        <v>1872.882</v>
      </c>
      <c r="L1486" s="1">
        <f>value(HKD!$B1486)</f>
        <v>1526.27096</v>
      </c>
      <c r="M1486" s="1">
        <f>value(TWD!$B1486)</f>
        <v>394.3192092</v>
      </c>
      <c r="N1486" s="1">
        <f>value(JPY!$B1486)</f>
        <v>115.5028656</v>
      </c>
      <c r="O1486" s="1">
        <f>value(SAR!$B1486)</f>
        <v>3148.449197</v>
      </c>
      <c r="P1486" s="1">
        <f>value(AED!$B1486)</f>
        <v>3323.3178</v>
      </c>
      <c r="Q1486" s="1">
        <f>value(KWD!$B1486)</f>
        <v>42051.02294</v>
      </c>
    </row>
    <row r="1487">
      <c r="A1487" s="4">
        <f>value(USD!A1487)</f>
        <v>41797.99861</v>
      </c>
      <c r="B1487" s="1">
        <f>value(USD!B1487)</f>
        <v>11834.31</v>
      </c>
      <c r="C1487" s="1">
        <f>value(AUD!$B1487)</f>
        <v>11281.0985</v>
      </c>
      <c r="D1487" s="1">
        <f>value(EUR!$B1487)</f>
        <v>16004.58</v>
      </c>
      <c r="E1487" s="1">
        <f>value(GBP!$B1487)</f>
        <v>19784.00175</v>
      </c>
      <c r="F1487" s="1">
        <f>value(CHF!$B1487)</f>
        <v>13136.3896</v>
      </c>
      <c r="G1487" s="1">
        <f>value(SGD!$B1487)</f>
        <v>9417.8805</v>
      </c>
      <c r="H1487" s="1">
        <f>value(MYR!$B1487)</f>
        <v>3607.86</v>
      </c>
      <c r="I1487" s="1">
        <f>value(THB!$B1487)</f>
        <v>362.9055</v>
      </c>
      <c r="J1487" s="1">
        <f>value(VND!$B1487)</f>
        <v>0.5731788323</v>
      </c>
      <c r="K1487" s="1">
        <f>value(CNY!$B1487)</f>
        <v>1904.92917</v>
      </c>
      <c r="L1487" s="1">
        <f>value(HKD!$B1487)</f>
        <v>1518.975</v>
      </c>
      <c r="M1487" s="1">
        <f>value(TWD!$B1487)</f>
        <v>391.6365</v>
      </c>
      <c r="N1487" s="1">
        <f>value(JPY!$B1487)</f>
        <v>114.80625</v>
      </c>
      <c r="O1487" s="1">
        <f>value(SAR!$B1487)</f>
        <v>3167.145695</v>
      </c>
      <c r="P1487" s="1">
        <f>value(AED!$B1487)</f>
        <v>3293.92236</v>
      </c>
      <c r="Q1487" s="1">
        <f>value(KWD!$B1487)</f>
        <v>42051.02294</v>
      </c>
    </row>
    <row r="1488">
      <c r="A1488" s="4">
        <f>value(USD!A1488)</f>
        <v>41798.99861</v>
      </c>
      <c r="B1488" s="1">
        <f>value(USD!B1488)</f>
        <v>11834.31</v>
      </c>
      <c r="C1488" s="1">
        <f>value(AUD!$B1488)</f>
        <v>11197.4787</v>
      </c>
      <c r="D1488" s="1">
        <f>value(EUR!$B1488)</f>
        <v>16002.236</v>
      </c>
      <c r="E1488" s="1">
        <f>value(GBP!$B1488)</f>
        <v>19792.488</v>
      </c>
      <c r="F1488" s="1">
        <f>value(CHF!$B1488)</f>
        <v>13118.8965</v>
      </c>
      <c r="G1488" s="1">
        <f>value(SGD!$B1488)</f>
        <v>9452</v>
      </c>
      <c r="H1488" s="1">
        <f>value(MYR!$B1488)</f>
        <v>3616.92595</v>
      </c>
      <c r="I1488" s="1">
        <f>value(THB!$B1488)</f>
        <v>363.78385</v>
      </c>
      <c r="J1488" s="1">
        <f>value(VND!$B1488)</f>
        <v>0.5742183422</v>
      </c>
      <c r="K1488" s="1">
        <f>value(CNY!$B1488)</f>
        <v>1919.58424</v>
      </c>
      <c r="L1488" s="1">
        <f>value(HKD!$B1488)</f>
        <v>1524.135</v>
      </c>
      <c r="M1488" s="1">
        <f>value(TWD!$B1488)</f>
        <v>393.79395</v>
      </c>
      <c r="N1488" s="1">
        <f>value(JPY!$B1488)</f>
        <v>115.43255</v>
      </c>
      <c r="O1488" s="1">
        <f>value(SAR!$B1488)</f>
        <v>3137.343789</v>
      </c>
      <c r="P1488" s="1">
        <f>value(AED!$B1488)</f>
        <v>3299.150937</v>
      </c>
      <c r="Q1488" s="1">
        <f>value(KWD!$B1488)</f>
        <v>41737.85301</v>
      </c>
    </row>
    <row r="1489">
      <c r="A1489" s="4">
        <f>value(USD!A1489)</f>
        <v>41799.99861</v>
      </c>
      <c r="B1489" s="1">
        <f>value(USD!B1489)</f>
        <v>11775</v>
      </c>
      <c r="C1489" s="1">
        <f>value(AUD!$B1489)</f>
        <v>11213.88</v>
      </c>
      <c r="D1489" s="1">
        <f>value(EUR!$B1489)</f>
        <v>15974.88015</v>
      </c>
      <c r="E1489" s="1">
        <f>value(GBP!$B1489)</f>
        <v>19819.4145</v>
      </c>
      <c r="F1489" s="1">
        <f>value(CHF!$B1489)</f>
        <v>13108.784</v>
      </c>
      <c r="G1489" s="1">
        <f>value(SGD!$B1489)</f>
        <v>9440.10435</v>
      </c>
      <c r="H1489" s="1">
        <f>value(MYR!$B1489)</f>
        <v>3609.0246</v>
      </c>
      <c r="I1489" s="1">
        <f>value(THB!$B1489)</f>
        <v>363.23985</v>
      </c>
      <c r="J1489" s="1">
        <f>value(VND!$B1489)</f>
        <v>0.5742183422</v>
      </c>
      <c r="K1489" s="1">
        <f>value(CNY!$B1489)</f>
        <v>1910.506793</v>
      </c>
      <c r="L1489" s="1">
        <f>value(HKD!$B1489)</f>
        <v>1522.845</v>
      </c>
      <c r="M1489" s="1">
        <f>value(TWD!$B1489)</f>
        <v>393.46065</v>
      </c>
      <c r="N1489" s="1">
        <f>value(JPY!$B1489)</f>
        <v>115.689</v>
      </c>
      <c r="O1489" s="1">
        <f>value(SAR!$B1489)</f>
        <v>3116.075479</v>
      </c>
      <c r="P1489" s="1">
        <f>value(AED!$B1489)</f>
        <v>3299.150937</v>
      </c>
      <c r="Q1489" s="1">
        <f>value(KWD!$B1489)</f>
        <v>41514.8528</v>
      </c>
    </row>
    <row r="1490">
      <c r="A1490" s="4">
        <f>value(USD!A1490)</f>
        <v>41800.99861</v>
      </c>
      <c r="B1490" s="1">
        <f>value(USD!B1490)</f>
        <v>11815</v>
      </c>
      <c r="C1490" s="1">
        <f>value(AUD!$B1490)</f>
        <v>11241.90874</v>
      </c>
      <c r="D1490" s="1">
        <f>value(EUR!$B1490)</f>
        <v>15960.722</v>
      </c>
      <c r="E1490" s="1">
        <f>value(GBP!$B1490)</f>
        <v>19940.006</v>
      </c>
      <c r="F1490" s="1">
        <f>value(CHF!$B1490)</f>
        <v>13087.2425</v>
      </c>
      <c r="G1490" s="1">
        <f>value(SGD!$B1490)</f>
        <v>9437.4292</v>
      </c>
      <c r="H1490" s="1">
        <f>value(MYR!$B1490)</f>
        <v>3613.0438</v>
      </c>
      <c r="I1490" s="1">
        <f>value(THB!$B1490)</f>
        <v>362.7062</v>
      </c>
      <c r="J1490" s="1">
        <f>value(VND!$B1490)</f>
        <v>0.5692054474</v>
      </c>
      <c r="K1490" s="1">
        <f>value(CNY!$B1490)</f>
        <v>1921.02064</v>
      </c>
      <c r="L1490" s="1">
        <f>value(HKD!$B1490)</f>
        <v>1519.62</v>
      </c>
      <c r="M1490" s="1">
        <f>value(TWD!$B1490)</f>
        <v>393.5698</v>
      </c>
      <c r="N1490" s="1">
        <f>value(JPY!$B1490)</f>
        <v>115.80918</v>
      </c>
      <c r="O1490" s="1">
        <f>value(SAR!$B1490)</f>
        <v>3138.312024</v>
      </c>
      <c r="P1490" s="1">
        <f>value(AED!$B1490)</f>
        <v>3271.05924</v>
      </c>
      <c r="Q1490" s="1">
        <f>value(KWD!$B1490)</f>
        <v>41471.93272</v>
      </c>
    </row>
    <row r="1491">
      <c r="A1491" s="4">
        <f>value(USD!A1491)</f>
        <v>41801.99861</v>
      </c>
      <c r="B1491" s="1">
        <f>value(USD!B1491)</f>
        <v>11805</v>
      </c>
      <c r="C1491" s="1">
        <f>value(AUD!$B1491)</f>
        <v>11234.72312</v>
      </c>
      <c r="D1491" s="1">
        <f>value(EUR!$B1491)</f>
        <v>15955.7115</v>
      </c>
      <c r="E1491" s="1">
        <f>value(GBP!$B1491)</f>
        <v>19986.29935</v>
      </c>
      <c r="F1491" s="1">
        <f>value(CHF!$B1491)</f>
        <v>13113.33515</v>
      </c>
      <c r="G1491" s="1">
        <f>value(SGD!$B1491)</f>
        <v>9417.51135</v>
      </c>
      <c r="H1491" s="1">
        <f>value(MYR!$B1491)</f>
        <v>3595.6035</v>
      </c>
      <c r="I1491" s="1">
        <f>value(THB!$B1491)</f>
        <v>363.56725</v>
      </c>
      <c r="J1491" s="1">
        <f>value(VND!$B1491)</f>
        <v>0.5790933336</v>
      </c>
      <c r="K1491" s="1">
        <f>value(CNY!$B1491)</f>
        <v>1902.4292</v>
      </c>
      <c r="L1491" s="1">
        <f>value(HKD!$B1491)</f>
        <v>1520.265</v>
      </c>
      <c r="M1491" s="1">
        <f>value(TWD!$B1491)</f>
        <v>392.32265</v>
      </c>
      <c r="N1491" s="1">
        <f>value(JPY!$B1491)</f>
        <v>115.493</v>
      </c>
      <c r="O1491" s="1">
        <f>value(SAR!$B1491)</f>
        <v>3151.558798</v>
      </c>
      <c r="P1491" s="1">
        <f>value(AED!$B1491)</f>
        <v>3262.62166</v>
      </c>
      <c r="Q1491" s="1">
        <f>value(KWD!$B1491)</f>
        <v>41738.79802</v>
      </c>
    </row>
    <row r="1492">
      <c r="A1492" s="4">
        <f>value(USD!A1492)</f>
        <v>41802.99861</v>
      </c>
      <c r="B1492" s="1">
        <f>value(USD!B1492)</f>
        <v>11780</v>
      </c>
      <c r="C1492" s="1">
        <f>value(AUD!$B1492)</f>
        <v>11298.69</v>
      </c>
      <c r="D1492" s="1">
        <f>value(EUR!$B1492)</f>
        <v>15984.64434</v>
      </c>
      <c r="E1492" s="1">
        <f>value(GBP!$B1492)</f>
        <v>20035.40989</v>
      </c>
      <c r="F1492" s="1">
        <f>value(CHF!$B1492)</f>
        <v>13109.79324</v>
      </c>
      <c r="G1492" s="1">
        <f>value(SGD!$B1492)</f>
        <v>9434.58833</v>
      </c>
      <c r="H1492" s="1">
        <f>value(MYR!$B1492)</f>
        <v>3602.595741</v>
      </c>
      <c r="I1492" s="1">
        <f>value(THB!$B1492)</f>
        <v>364.3445782</v>
      </c>
      <c r="J1492" s="1">
        <f>value(VND!$B1492)</f>
        <v>0.5814508741</v>
      </c>
      <c r="K1492" s="1">
        <f>value(CNY!$B1492)</f>
        <v>1891.70025</v>
      </c>
      <c r="L1492" s="1">
        <f>value(HKD!$B1492)</f>
        <v>1522.903666</v>
      </c>
      <c r="M1492" s="1">
        <f>value(TWD!$B1492)</f>
        <v>393.152121</v>
      </c>
      <c r="N1492" s="1">
        <f>value(JPY!$B1492)</f>
        <v>115.702426</v>
      </c>
      <c r="O1492" s="1">
        <f>value(SAR!$B1492)</f>
        <v>3134.758587</v>
      </c>
      <c r="P1492" s="1">
        <f>value(AED!$B1492)</f>
        <v>3260.7164</v>
      </c>
      <c r="Q1492" s="1">
        <f>value(KWD!$B1492)</f>
        <v>41810.93122</v>
      </c>
    </row>
    <row r="1493">
      <c r="A1493" s="4">
        <f>value(USD!A1493)</f>
        <v>41803.99861</v>
      </c>
      <c r="B1493" s="1">
        <f>value(USD!B1493)</f>
        <v>11785</v>
      </c>
      <c r="C1493" s="1">
        <f>value(AUD!$B1493)</f>
        <v>11235.7165</v>
      </c>
      <c r="D1493" s="1">
        <f>value(EUR!$B1493)</f>
        <v>15975.90762</v>
      </c>
      <c r="E1493" s="1">
        <f>value(GBP!$B1493)</f>
        <v>20038.12535</v>
      </c>
      <c r="F1493" s="1">
        <f>value(CHF!$B1493)</f>
        <v>13166.636</v>
      </c>
      <c r="G1493" s="1">
        <f>value(SGD!$B1493)</f>
        <v>9436.005095</v>
      </c>
      <c r="H1493" s="1">
        <f>value(MYR!$B1493)</f>
        <v>3600.706722</v>
      </c>
      <c r="I1493" s="1">
        <f>value(THB!$B1493)</f>
        <v>364.1084508</v>
      </c>
      <c r="J1493" s="1">
        <f>value(VND!$B1493)</f>
        <v>0.5730050929</v>
      </c>
      <c r="K1493" s="1">
        <f>value(CNY!$B1493)</f>
        <v>1907.97066</v>
      </c>
      <c r="L1493" s="1">
        <f>value(HKD!$B1493)</f>
        <v>1523.02173</v>
      </c>
      <c r="M1493" s="1">
        <f>value(TWD!$B1493)</f>
        <v>393.0340573</v>
      </c>
      <c r="N1493" s="1">
        <f>value(JPY!$B1493)</f>
        <v>115.702426</v>
      </c>
      <c r="O1493" s="1">
        <f>value(SAR!$B1493)</f>
        <v>3152.087921</v>
      </c>
      <c r="P1493" s="1">
        <f>value(AED!$B1493)</f>
        <v>3282.0943</v>
      </c>
      <c r="Q1493" s="1">
        <f>value(KWD!$B1493)</f>
        <v>41875.21869</v>
      </c>
    </row>
    <row r="1494">
      <c r="A1494" s="4">
        <f>value(USD!A1494)</f>
        <v>41804.99861</v>
      </c>
      <c r="B1494" s="1">
        <f>value(USD!B1494)</f>
        <v>11806.37</v>
      </c>
      <c r="C1494" s="1">
        <f>value(AUD!$B1494)</f>
        <v>11366.5344</v>
      </c>
      <c r="D1494" s="1">
        <f>value(EUR!$B1494)</f>
        <v>16035.318</v>
      </c>
      <c r="E1494" s="1">
        <f>value(GBP!$B1494)</f>
        <v>20057.144</v>
      </c>
      <c r="F1494" s="1">
        <f>value(CHF!$B1494)</f>
        <v>13212.5545</v>
      </c>
      <c r="G1494" s="1">
        <f>value(SGD!$B1494)</f>
        <v>9444.08395</v>
      </c>
      <c r="H1494" s="1">
        <f>value(MYR!$B1494)</f>
        <v>3605.938</v>
      </c>
      <c r="I1494" s="1">
        <f>value(THB!$B1494)</f>
        <v>364.8472</v>
      </c>
      <c r="J1494" s="1">
        <f>value(VND!$B1494)</f>
        <v>0.5834012117</v>
      </c>
      <c r="K1494" s="1">
        <f>value(CNY!$B1494)</f>
        <v>1916.15803</v>
      </c>
      <c r="L1494" s="1">
        <f>value(HKD!$B1494)</f>
        <v>1524.25315</v>
      </c>
      <c r="M1494" s="1">
        <f>value(TWD!$B1494)</f>
        <v>394.3847</v>
      </c>
      <c r="N1494" s="1">
        <f>value(JPY!$B1494)</f>
        <v>115.99967</v>
      </c>
      <c r="O1494" s="1">
        <f>value(SAR!$B1494)</f>
        <v>3119.999922</v>
      </c>
      <c r="P1494" s="1">
        <f>value(AED!$B1494)</f>
        <v>3287.17725</v>
      </c>
      <c r="Q1494" s="1">
        <f>value(KWD!$B1494)</f>
        <v>41910.5643</v>
      </c>
    </row>
    <row r="1495">
      <c r="A1495" s="4">
        <f>value(USD!A1495)</f>
        <v>41805.99861</v>
      </c>
      <c r="B1495" s="1">
        <f>value(USD!B1495)</f>
        <v>11806.37</v>
      </c>
      <c r="C1495" s="1">
        <f>value(AUD!$B1495)</f>
        <v>11382.735</v>
      </c>
      <c r="D1495" s="1">
        <f>value(EUR!$B1495)</f>
        <v>16099.6587</v>
      </c>
      <c r="E1495" s="1">
        <f>value(GBP!$B1495)</f>
        <v>20156.2469</v>
      </c>
      <c r="F1495" s="1">
        <f>value(CHF!$B1495)</f>
        <v>13390.377</v>
      </c>
      <c r="G1495" s="1">
        <f>value(SGD!$B1495)</f>
        <v>9480.6645</v>
      </c>
      <c r="H1495" s="1">
        <f>value(MYR!$B1495)</f>
        <v>3618.2694</v>
      </c>
      <c r="I1495" s="1">
        <f>value(THB!$B1495)</f>
        <v>365.46375</v>
      </c>
      <c r="J1495" s="1">
        <f>value(VND!$B1495)</f>
        <v>0.5777914985</v>
      </c>
      <c r="K1495" s="1">
        <f>value(CNY!$B1495)</f>
        <v>1907.388</v>
      </c>
      <c r="L1495" s="1">
        <f>value(HKD!$B1495)</f>
        <v>1533.165</v>
      </c>
      <c r="M1495" s="1">
        <f>value(TWD!$B1495)</f>
        <v>395.41395</v>
      </c>
      <c r="N1495" s="1">
        <f>value(JPY!$B1495)</f>
        <v>116.318495</v>
      </c>
      <c r="O1495" s="1">
        <f>value(SAR!$B1495)</f>
        <v>3117.826028</v>
      </c>
      <c r="P1495" s="1">
        <f>value(AED!$B1495)</f>
        <v>3291.17062</v>
      </c>
      <c r="Q1495" s="1">
        <f>value(KWD!$B1495)</f>
        <v>42054.74141</v>
      </c>
    </row>
    <row r="1496">
      <c r="A1496" s="4">
        <f>value(USD!A1496)</f>
        <v>41806.99861</v>
      </c>
      <c r="B1496" s="1">
        <f>value(USD!B1496)</f>
        <v>11815</v>
      </c>
      <c r="C1496" s="1">
        <f>value(AUD!$B1496)</f>
        <v>11325.4844</v>
      </c>
      <c r="D1496" s="1">
        <f>value(EUR!$B1496)</f>
        <v>16311.1935</v>
      </c>
      <c r="E1496" s="1">
        <f>value(GBP!$B1496)</f>
        <v>20394.45415</v>
      </c>
      <c r="F1496" s="1">
        <f>value(CHF!$B1496)</f>
        <v>13324.5445</v>
      </c>
      <c r="G1496" s="1">
        <f>value(SGD!$B1496)</f>
        <v>9612.8837</v>
      </c>
      <c r="H1496" s="1">
        <f>value(MYR!$B1496)</f>
        <v>3651.2007</v>
      </c>
      <c r="I1496" s="1">
        <f>value(THB!$B1496)</f>
        <v>370.11415</v>
      </c>
      <c r="J1496" s="1">
        <f>value(VND!$B1496)</f>
        <v>0.5811212215</v>
      </c>
      <c r="K1496" s="1">
        <f>value(CNY!$B1496)</f>
        <v>1917.354488</v>
      </c>
      <c r="L1496" s="1">
        <f>value(HKD!$B1496)</f>
        <v>1548.76505</v>
      </c>
      <c r="M1496" s="1">
        <f>value(TWD!$B1496)</f>
        <v>400.36675</v>
      </c>
      <c r="N1496" s="1">
        <f>value(JPY!$B1496)</f>
        <v>117.76905</v>
      </c>
      <c r="O1496" s="1">
        <f>value(SAR!$B1496)</f>
        <v>3115.466588</v>
      </c>
      <c r="P1496" s="1">
        <f>value(AED!$B1496)</f>
        <v>3293.378</v>
      </c>
      <c r="Q1496" s="1">
        <f>value(KWD!$B1496)</f>
        <v>41803.21692</v>
      </c>
    </row>
    <row r="1497">
      <c r="A1497" s="4">
        <f>value(USD!A1497)</f>
        <v>41807.99861</v>
      </c>
      <c r="B1497" s="1">
        <f>value(USD!B1497)</f>
        <v>11885</v>
      </c>
      <c r="C1497" s="1">
        <f>value(AUD!$B1497)</f>
        <v>11317.30696</v>
      </c>
      <c r="D1497" s="1">
        <f>value(EUR!$B1497)</f>
        <v>16212.7405</v>
      </c>
      <c r="E1497" s="1">
        <f>value(GBP!$B1497)</f>
        <v>20299.3472</v>
      </c>
      <c r="F1497" s="1">
        <f>value(CHF!$B1497)</f>
        <v>13343.37</v>
      </c>
      <c r="G1497" s="1">
        <f>value(SGD!$B1497)</f>
        <v>9534.26385</v>
      </c>
      <c r="H1497" s="1">
        <f>value(MYR!$B1497)</f>
        <v>3637.53035</v>
      </c>
      <c r="I1497" s="1">
        <f>value(THB!$B1497)</f>
        <v>366.62455</v>
      </c>
      <c r="J1497" s="1">
        <f>value(VND!$B1497)</f>
        <v>0.5798087363</v>
      </c>
      <c r="K1497" s="1">
        <f>value(CNY!$B1497)</f>
        <v>1919.266982</v>
      </c>
      <c r="L1497" s="1">
        <f>value(HKD!$B1497)</f>
        <v>1537.2733</v>
      </c>
      <c r="M1497" s="1">
        <f>value(TWD!$B1497)</f>
        <v>396.88865</v>
      </c>
      <c r="N1497" s="1">
        <f>value(JPY!$B1497)</f>
        <v>116.874235</v>
      </c>
      <c r="O1497" s="1">
        <f>value(SAR!$B1497)</f>
        <v>3114.657764</v>
      </c>
      <c r="P1497" s="1">
        <f>value(AED!$B1497)</f>
        <v>3303.44866</v>
      </c>
      <c r="Q1497" s="1">
        <f>value(KWD!$B1497)</f>
        <v>42035.6952</v>
      </c>
    </row>
    <row r="1498">
      <c r="A1498" s="4">
        <f>value(USD!A1498)</f>
        <v>41808.99861</v>
      </c>
      <c r="B1498" s="1">
        <f>value(USD!B1498)</f>
        <v>12005</v>
      </c>
      <c r="C1498" s="1">
        <f>value(AUD!$B1498)</f>
        <v>11208.0304</v>
      </c>
      <c r="D1498" s="1">
        <f>value(EUR!$B1498)</f>
        <v>16249.2515</v>
      </c>
      <c r="E1498" s="1">
        <f>value(GBP!$B1498)</f>
        <v>20328.145</v>
      </c>
      <c r="F1498" s="1">
        <f>value(CHF!$B1498)</f>
        <v>13374.84147</v>
      </c>
      <c r="G1498" s="1">
        <f>value(SGD!$B1498)</f>
        <v>9565.8555</v>
      </c>
      <c r="H1498" s="1">
        <f>value(MYR!$B1498)</f>
        <v>3642.4795</v>
      </c>
      <c r="I1498" s="1">
        <f>value(THB!$B1498)</f>
        <v>367.7015</v>
      </c>
      <c r="J1498" s="1">
        <f>value(VND!$B1498)</f>
        <v>0.5807481468</v>
      </c>
      <c r="K1498" s="1">
        <f>value(CNY!$B1498)</f>
        <v>1901.484</v>
      </c>
      <c r="L1498" s="1">
        <f>value(HKD!$B1498)</f>
        <v>1541.4305</v>
      </c>
      <c r="M1498" s="1">
        <f>value(TWD!$B1498)</f>
        <v>398.5325</v>
      </c>
      <c r="N1498" s="1">
        <f>value(JPY!$B1498)</f>
        <v>116.9905</v>
      </c>
      <c r="O1498" s="1">
        <f>value(SAR!$B1498)</f>
        <v>3114.023336</v>
      </c>
      <c r="P1498" s="1">
        <f>value(AED!$B1498)</f>
        <v>3291.20056</v>
      </c>
      <c r="Q1498" s="1">
        <f>value(KWD!$B1498)</f>
        <v>41655.15117</v>
      </c>
    </row>
    <row r="1499">
      <c r="A1499" s="4">
        <f>value(USD!A1499)</f>
        <v>41809.99861</v>
      </c>
      <c r="B1499" s="1">
        <f>value(USD!B1499)</f>
        <v>11915</v>
      </c>
      <c r="C1499" s="1">
        <f>value(AUD!$B1499)</f>
        <v>11290.244</v>
      </c>
      <c r="D1499" s="1">
        <f>value(EUR!$B1499)</f>
        <v>16287.4144</v>
      </c>
      <c r="E1499" s="1">
        <f>value(GBP!$B1499)</f>
        <v>20372.44164</v>
      </c>
      <c r="F1499" s="1">
        <f>value(CHF!$B1499)</f>
        <v>13376.03907</v>
      </c>
      <c r="G1499" s="1">
        <f>value(SGD!$B1499)</f>
        <v>9586.700259</v>
      </c>
      <c r="H1499" s="1">
        <f>value(MYR!$B1499)</f>
        <v>3650.895794</v>
      </c>
      <c r="I1499" s="1">
        <f>value(THB!$B1499)</f>
        <v>368.6225112</v>
      </c>
      <c r="J1499" s="1">
        <f>value(VND!$B1499)</f>
        <v>0.5846551954</v>
      </c>
      <c r="K1499" s="1">
        <f>value(CNY!$B1499)</f>
        <v>1896.7152</v>
      </c>
      <c r="L1499" s="1">
        <f>value(HKD!$B1499)</f>
        <v>1544.789399</v>
      </c>
      <c r="M1499" s="1">
        <f>value(TWD!$B1499)</f>
        <v>399.400934</v>
      </c>
      <c r="N1499" s="1">
        <f>value(JPY!$B1499)</f>
        <v>117.365192</v>
      </c>
      <c r="O1499" s="1">
        <f>value(SAR!$B1499)</f>
        <v>3115.0978</v>
      </c>
      <c r="P1499" s="1">
        <f>value(AED!$B1499)</f>
        <v>3306.987</v>
      </c>
      <c r="Q1499" s="1">
        <f>value(KWD!$B1499)</f>
        <v>41764.11348</v>
      </c>
    </row>
    <row r="1500">
      <c r="A1500" s="4">
        <f>value(USD!A1500)</f>
        <v>41810.99861</v>
      </c>
      <c r="B1500" s="1">
        <f>value(USD!B1500)</f>
        <v>11950</v>
      </c>
      <c r="C1500" s="1">
        <f>value(AUD!$B1500)</f>
        <v>11232.41</v>
      </c>
      <c r="D1500" s="1">
        <f>value(EUR!$B1500)</f>
        <v>16280.34853</v>
      </c>
      <c r="E1500" s="1">
        <f>value(GBP!$B1500)</f>
        <v>20380.58535</v>
      </c>
      <c r="F1500" s="1">
        <f>value(CHF!$B1500)</f>
        <v>13402.584</v>
      </c>
      <c r="G1500" s="1">
        <f>value(SGD!$B1500)</f>
        <v>9584.424812</v>
      </c>
      <c r="H1500" s="1">
        <f>value(MYR!$B1500)</f>
        <v>3649.578429</v>
      </c>
      <c r="I1500" s="1">
        <f>value(THB!$B1500)</f>
        <v>368.5027508</v>
      </c>
      <c r="J1500" s="1">
        <f>value(VND!$B1500)</f>
        <v>0.5857937556</v>
      </c>
      <c r="K1500" s="1">
        <f>value(CNY!$B1500)</f>
        <v>1898.72116</v>
      </c>
      <c r="L1500" s="1">
        <f>value(HKD!$B1500)</f>
        <v>1544.90916</v>
      </c>
      <c r="M1500" s="1">
        <f>value(TWD!$B1500)</f>
        <v>399.2811736</v>
      </c>
      <c r="N1500" s="1">
        <f>value(JPY!$B1500)</f>
        <v>117.2454316</v>
      </c>
      <c r="O1500" s="1">
        <f>value(SAR!$B1500)</f>
        <v>3114.666588</v>
      </c>
      <c r="P1500" s="1">
        <f>value(AED!$B1500)</f>
        <v>3285.2126</v>
      </c>
      <c r="Q1500" s="1">
        <f>value(KWD!$B1500)</f>
        <v>41817.73127</v>
      </c>
    </row>
    <row r="1501">
      <c r="A1501" s="4">
        <f>value(USD!A1501)</f>
        <v>41811.99861</v>
      </c>
      <c r="B1501" s="1">
        <f>value(USD!B1501)</f>
        <v>11976.04</v>
      </c>
      <c r="C1501" s="1">
        <f>value(AUD!$B1501)</f>
        <v>11127.6035</v>
      </c>
      <c r="D1501" s="1">
        <f>value(EUR!$B1501)</f>
        <v>16306.19748</v>
      </c>
      <c r="E1501" s="1">
        <f>value(GBP!$B1501)</f>
        <v>20414.00556</v>
      </c>
      <c r="F1501" s="1">
        <f>value(CHF!$B1501)</f>
        <v>13415.208</v>
      </c>
      <c r="G1501" s="1">
        <f>value(SGD!$B1501)</f>
        <v>9598.43196</v>
      </c>
      <c r="H1501" s="1">
        <f>value(MYR!$B1501)</f>
        <v>3663.29304</v>
      </c>
      <c r="I1501" s="1">
        <f>value(THB!$B1501)</f>
        <v>369.35028</v>
      </c>
      <c r="J1501" s="1">
        <f>value(VND!$B1501)</f>
        <v>0.5857937556</v>
      </c>
      <c r="K1501" s="1">
        <f>value(CNY!$B1501)</f>
        <v>1896.8418</v>
      </c>
      <c r="L1501" s="1">
        <f>value(HKD!$B1501)</f>
        <v>1546.57188</v>
      </c>
      <c r="M1501" s="1">
        <f>value(TWD!$B1501)</f>
        <v>400.03956</v>
      </c>
      <c r="N1501" s="1">
        <f>value(JPY!$B1501)</f>
        <v>117.626256</v>
      </c>
      <c r="O1501" s="1">
        <f>value(SAR!$B1501)</f>
        <v>3113.121899</v>
      </c>
      <c r="P1501" s="1">
        <f>value(AED!$B1501)</f>
        <v>3295.28326</v>
      </c>
      <c r="Q1501" s="1">
        <f>value(KWD!$B1501)</f>
        <v>41920.59475</v>
      </c>
    </row>
    <row r="1502">
      <c r="A1502" s="4">
        <f>value(USD!A1502)</f>
        <v>41812.99861</v>
      </c>
      <c r="B1502" s="1">
        <f>value(USD!B1502)</f>
        <v>11976.04</v>
      </c>
      <c r="C1502" s="1">
        <f>value(AUD!$B1502)</f>
        <v>11103.6878</v>
      </c>
      <c r="D1502" s="1">
        <f>value(EUR!$B1502)</f>
        <v>16317.998</v>
      </c>
      <c r="E1502" s="1">
        <f>value(GBP!$B1502)</f>
        <v>20372.0681</v>
      </c>
      <c r="F1502" s="1">
        <f>value(CHF!$B1502)</f>
        <v>13540.8</v>
      </c>
      <c r="G1502" s="1">
        <f>value(SGD!$B1502)</f>
        <v>9599.71845</v>
      </c>
      <c r="H1502" s="1">
        <f>value(MYR!$B1502)</f>
        <v>3661.23385</v>
      </c>
      <c r="I1502" s="1">
        <f>value(THB!$B1502)</f>
        <v>369.446</v>
      </c>
      <c r="J1502" s="1">
        <f>value(VND!$B1502)</f>
        <v>0.5781812913</v>
      </c>
      <c r="K1502" s="1">
        <f>value(CNY!$B1502)</f>
        <v>1898.2209</v>
      </c>
      <c r="L1502" s="1">
        <f>value(HKD!$B1502)</f>
        <v>1547.355</v>
      </c>
      <c r="M1502" s="1">
        <f>value(TWD!$B1502)</f>
        <v>399.79335</v>
      </c>
      <c r="N1502" s="1">
        <f>value(JPY!$B1502)</f>
        <v>117.64696</v>
      </c>
      <c r="O1502" s="1">
        <f>value(SAR!$B1502)</f>
        <v>3122.664597</v>
      </c>
      <c r="P1502" s="1">
        <f>value(AED!$B1502)</f>
        <v>3296.0998</v>
      </c>
      <c r="Q1502" s="1">
        <f>value(KWD!$B1502)</f>
        <v>41725.32345</v>
      </c>
    </row>
    <row r="1503">
      <c r="A1503" s="4">
        <f>value(USD!A1503)</f>
        <v>41813.99861</v>
      </c>
      <c r="B1503" s="1">
        <f>value(USD!B1503)</f>
        <v>11988</v>
      </c>
      <c r="C1503" s="1">
        <f>value(AUD!$B1503)</f>
        <v>11122.32352</v>
      </c>
      <c r="D1503" s="1">
        <f>value(EUR!$B1503)</f>
        <v>16481.088</v>
      </c>
      <c r="E1503" s="1">
        <f>value(GBP!$B1503)</f>
        <v>20534.865</v>
      </c>
      <c r="F1503" s="1">
        <f>value(CHF!$B1503)</f>
        <v>13529.919</v>
      </c>
      <c r="G1503" s="1">
        <f>value(SGD!$B1503)</f>
        <v>9672</v>
      </c>
      <c r="H1503" s="1">
        <f>value(MYR!$B1503)</f>
        <v>3690.2307</v>
      </c>
      <c r="I1503" s="1">
        <f>value(THB!$B1503)</f>
        <v>372.2511</v>
      </c>
      <c r="J1503" s="1">
        <f>value(VND!$B1503)</f>
        <v>0.5756539811</v>
      </c>
      <c r="K1503" s="1">
        <f>value(CNY!$B1503)</f>
        <v>1900.700448</v>
      </c>
      <c r="L1503" s="1">
        <f>value(HKD!$B1503)</f>
        <v>1559.7309</v>
      </c>
      <c r="M1503" s="1">
        <f>value(TWD!$B1503)</f>
        <v>404.0478</v>
      </c>
      <c r="N1503" s="1">
        <f>value(JPY!$B1503)</f>
        <v>118.73589</v>
      </c>
      <c r="O1503" s="1">
        <f>value(SAR!$B1503)</f>
        <v>3119.628418</v>
      </c>
      <c r="P1503" s="1">
        <f>value(AED!$B1503)</f>
        <v>3313.7915</v>
      </c>
      <c r="Q1503" s="1">
        <f>value(KWD!$B1503)</f>
        <v>41855.73852</v>
      </c>
    </row>
    <row r="1504">
      <c r="A1504" s="4">
        <f>value(USD!A1504)</f>
        <v>41814.99861</v>
      </c>
      <c r="B1504" s="1">
        <f>value(USD!B1504)</f>
        <v>11995</v>
      </c>
      <c r="C1504" s="1">
        <f>value(AUD!$B1504)</f>
        <v>11112.10974</v>
      </c>
      <c r="D1504" s="1">
        <f>value(EUR!$B1504)</f>
        <v>16456.6662</v>
      </c>
      <c r="E1504" s="1">
        <f>value(GBP!$B1504)</f>
        <v>20586.852</v>
      </c>
      <c r="F1504" s="1">
        <f>value(CHF!$B1504)</f>
        <v>13487.642</v>
      </c>
      <c r="G1504" s="1">
        <f>value(SGD!$B1504)</f>
        <v>9672</v>
      </c>
      <c r="H1504" s="1">
        <f>value(MYR!$B1504)</f>
        <v>3690.1098</v>
      </c>
      <c r="I1504" s="1">
        <f>value(THB!$B1504)</f>
        <v>371.8884</v>
      </c>
      <c r="J1504" s="1">
        <f>value(VND!$B1504)</f>
        <v>0.575627842</v>
      </c>
      <c r="K1504" s="1">
        <f>value(CNY!$B1504)</f>
        <v>1899.181756</v>
      </c>
      <c r="L1504" s="1">
        <f>value(HKD!$B1504)</f>
        <v>1559.4891</v>
      </c>
      <c r="M1504" s="1">
        <f>value(TWD!$B1504)</f>
        <v>403.806</v>
      </c>
      <c r="N1504" s="1">
        <f>value(JPY!$B1504)</f>
        <v>118.90515</v>
      </c>
      <c r="O1504" s="1">
        <f>value(SAR!$B1504)</f>
        <v>3113.069003</v>
      </c>
      <c r="P1504" s="1">
        <f>value(AED!$B1504)</f>
        <v>3306.987</v>
      </c>
      <c r="Q1504" s="1">
        <f>value(KWD!$B1504)</f>
        <v>41786.98166</v>
      </c>
    </row>
    <row r="1505">
      <c r="A1505" s="4">
        <f>value(USD!A1505)</f>
        <v>41815.99861</v>
      </c>
      <c r="B1505" s="1">
        <f>value(USD!B1505)</f>
        <v>12090</v>
      </c>
      <c r="C1505" s="1">
        <f>value(AUD!$B1505)</f>
        <v>10984.56625</v>
      </c>
      <c r="D1505" s="1">
        <f>value(EUR!$B1505)</f>
        <v>16404.0546</v>
      </c>
      <c r="E1505" s="1">
        <f>value(GBP!$B1505)</f>
        <v>20476.07</v>
      </c>
      <c r="F1505" s="1">
        <f>value(CHF!$B1505)</f>
        <v>13486.77798</v>
      </c>
      <c r="G1505" s="1">
        <f>value(SGD!$B1505)</f>
        <v>9614.5576</v>
      </c>
      <c r="H1505" s="1">
        <f>value(MYR!$B1505)</f>
        <v>3684.4906</v>
      </c>
      <c r="I1505" s="1">
        <f>value(THB!$B1505)</f>
        <v>370.0958</v>
      </c>
      <c r="J1505" s="1">
        <f>value(VND!$B1505)</f>
        <v>0.5772121752</v>
      </c>
      <c r="K1505" s="1">
        <f>value(CNY!$B1505)</f>
        <v>1901.0368</v>
      </c>
      <c r="L1505" s="1">
        <f>value(HKD!$B1505)</f>
        <v>1550.58</v>
      </c>
      <c r="M1505" s="1">
        <f>value(TWD!$B1505)</f>
        <v>403.271</v>
      </c>
      <c r="N1505" s="1">
        <f>value(JPY!$B1505)</f>
        <v>118.5172</v>
      </c>
      <c r="O1505" s="1">
        <f>value(SAR!$B1505)</f>
        <v>3115.263922</v>
      </c>
      <c r="P1505" s="1">
        <f>value(AED!$B1505)</f>
        <v>3313.7915</v>
      </c>
      <c r="Q1505" s="1">
        <f>value(KWD!$B1505)</f>
        <v>41760.20899</v>
      </c>
    </row>
    <row r="1506">
      <c r="A1506" s="4">
        <f>value(USD!A1506)</f>
        <v>41816.99861</v>
      </c>
      <c r="B1506" s="1">
        <f>value(USD!B1506)</f>
        <v>12090</v>
      </c>
      <c r="C1506" s="1">
        <f>value(AUD!$B1506)</f>
        <v>10967.433</v>
      </c>
      <c r="D1506" s="1">
        <f>value(EUR!$B1506)</f>
        <v>16406.47731</v>
      </c>
      <c r="E1506" s="1">
        <f>value(GBP!$B1506)</f>
        <v>20478.47224</v>
      </c>
      <c r="F1506" s="1">
        <f>value(CHF!$B1506)</f>
        <v>13489.18182</v>
      </c>
      <c r="G1506" s="1">
        <f>value(SGD!$B1506)</f>
        <v>9613.941692</v>
      </c>
      <c r="H1506" s="1">
        <f>value(MYR!$B1506)</f>
        <v>3684.254571</v>
      </c>
      <c r="I1506" s="1">
        <f>value(THB!$B1506)</f>
        <v>370.0720917</v>
      </c>
      <c r="J1506" s="1">
        <f>value(VND!$B1506)</f>
        <v>0.5767183136</v>
      </c>
      <c r="K1506" s="1">
        <f>value(CNY!$B1506)</f>
        <v>1899.31955</v>
      </c>
      <c r="L1506" s="1">
        <f>value(HKD!$B1506)</f>
        <v>1550.48067</v>
      </c>
      <c r="M1506" s="1">
        <f>value(TWD!$B1506)</f>
        <v>403.2451665</v>
      </c>
      <c r="N1506" s="1">
        <f>value(JPY!$B1506)</f>
        <v>118.5096078</v>
      </c>
      <c r="O1506" s="1">
        <f>value(SAR!$B1506)</f>
        <v>3115.263922</v>
      </c>
      <c r="P1506" s="1">
        <f>value(AED!$B1506)</f>
        <v>3308.3479</v>
      </c>
      <c r="Q1506" s="1">
        <f>value(KWD!$B1506)</f>
        <v>41895.55457</v>
      </c>
    </row>
    <row r="1507">
      <c r="A1507" s="4">
        <f>value(USD!A1507)</f>
        <v>41817.99861</v>
      </c>
      <c r="B1507" s="1">
        <f>value(USD!B1507)</f>
        <v>12020</v>
      </c>
      <c r="C1507" s="1">
        <f>value(AUD!$B1507)</f>
        <v>10932.038</v>
      </c>
      <c r="D1507" s="1">
        <f>value(EUR!$B1507)</f>
        <v>16399.99895</v>
      </c>
      <c r="E1507" s="1">
        <f>value(GBP!$B1507)</f>
        <v>20474.27753</v>
      </c>
      <c r="F1507" s="1">
        <f>value(CHF!$B1507)</f>
        <v>13401.526</v>
      </c>
      <c r="G1507" s="1">
        <f>value(SGD!$B1507)</f>
        <v>9615.384</v>
      </c>
      <c r="H1507" s="1">
        <f>value(MYR!$B1507)</f>
        <v>3683.413225</v>
      </c>
      <c r="I1507" s="1">
        <f>value(THB!$B1507)</f>
        <v>370.0720917</v>
      </c>
      <c r="J1507" s="1">
        <f>value(VND!$B1507)</f>
        <v>0.5782299883</v>
      </c>
      <c r="K1507" s="1">
        <f>value(CNY!$B1507)</f>
        <v>1905.462</v>
      </c>
      <c r="L1507" s="1">
        <f>value(HKD!$B1507)</f>
        <v>1550.48067</v>
      </c>
      <c r="M1507" s="1">
        <f>value(TWD!$B1507)</f>
        <v>403.1249742</v>
      </c>
      <c r="N1507" s="1">
        <f>value(JPY!$B1507)</f>
        <v>118.5096078</v>
      </c>
      <c r="O1507" s="1">
        <f>value(SAR!$B1507)</f>
        <v>3121.964228</v>
      </c>
      <c r="P1507" s="1">
        <f>value(AED!$B1507)</f>
        <v>3300.99904</v>
      </c>
      <c r="Q1507" s="1">
        <f>value(KWD!$B1507)</f>
        <v>41924.37683</v>
      </c>
    </row>
    <row r="1508">
      <c r="A1508" s="4">
        <f>value(USD!A1508)</f>
        <v>41818.99861</v>
      </c>
      <c r="B1508" s="1">
        <f>value(USD!B1508)</f>
        <v>12019.23</v>
      </c>
      <c r="C1508" s="1">
        <f>value(AUD!$B1508)</f>
        <v>10865.387</v>
      </c>
      <c r="D1508" s="1">
        <f>value(EUR!$B1508)</f>
        <v>16271.15925</v>
      </c>
      <c r="E1508" s="1">
        <f>value(GBP!$B1508)</f>
        <v>20328.22285</v>
      </c>
      <c r="F1508" s="1">
        <f>value(CHF!$B1508)</f>
        <v>13407.016</v>
      </c>
      <c r="G1508" s="1">
        <f>value(SGD!$B1508)</f>
        <v>9532.4831</v>
      </c>
      <c r="H1508" s="1">
        <f>value(MYR!$B1508)</f>
        <v>3645.8426</v>
      </c>
      <c r="I1508" s="1">
        <f>value(THB!$B1508)</f>
        <v>366.17685</v>
      </c>
      <c r="J1508" s="1">
        <f>value(VND!$B1508)</f>
        <v>0.5777343917</v>
      </c>
      <c r="K1508" s="1">
        <f>value(CNY!$B1508)</f>
        <v>1899.8844</v>
      </c>
      <c r="L1508" s="1">
        <f>value(HKD!$B1508)</f>
        <v>1533.4027</v>
      </c>
      <c r="M1508" s="1">
        <f>value(TWD!$B1508)</f>
        <v>399.0983</v>
      </c>
      <c r="N1508" s="1">
        <f>value(JPY!$B1508)</f>
        <v>117.30495</v>
      </c>
      <c r="O1508" s="1">
        <f>value(SAR!$B1508)</f>
        <v>3119.466588</v>
      </c>
      <c r="P1508" s="1">
        <f>value(AED!$B1508)</f>
        <v>3317.05766</v>
      </c>
      <c r="Q1508" s="1">
        <f>value(KWD!$B1508)</f>
        <v>41989.3256</v>
      </c>
    </row>
    <row r="1509">
      <c r="A1509" s="4">
        <f>value(USD!A1509)</f>
        <v>41819.99861</v>
      </c>
      <c r="B1509" s="1">
        <f>value(USD!B1509)</f>
        <v>12019.23</v>
      </c>
      <c r="C1509" s="1">
        <f>value(AUD!$B1509)</f>
        <v>10895.9345</v>
      </c>
      <c r="D1509" s="1">
        <f>value(EUR!$B1509)</f>
        <v>16278.01</v>
      </c>
      <c r="E1509" s="1">
        <f>value(GBP!$B1509)</f>
        <v>20405.882</v>
      </c>
      <c r="F1509" s="1">
        <f>value(CHF!$B1509)</f>
        <v>13383.93</v>
      </c>
      <c r="G1509" s="1">
        <f>value(SGD!$B1509)</f>
        <v>9553.558</v>
      </c>
      <c r="H1509" s="1">
        <f>value(MYR!$B1509)</f>
        <v>3641.281</v>
      </c>
      <c r="I1509" s="1">
        <f>value(THB!$B1509)</f>
        <v>367.234</v>
      </c>
      <c r="J1509" s="1">
        <f>value(VND!$B1509)</f>
        <v>0.5802316087</v>
      </c>
      <c r="K1509" s="1">
        <f>value(CNY!$B1509)</f>
        <v>1895.4496</v>
      </c>
      <c r="L1509" s="1">
        <f>value(HKD!$B1509)</f>
        <v>1535.219</v>
      </c>
      <c r="M1509" s="1">
        <f>value(TWD!$B1509)</f>
        <v>397.698</v>
      </c>
      <c r="N1509" s="1">
        <f>value(JPY!$B1509)</f>
        <v>117.1793</v>
      </c>
      <c r="O1509" s="1">
        <f>value(SAR!$B1509)</f>
        <v>3113.406464</v>
      </c>
      <c r="P1509" s="1">
        <f>value(AED!$B1509)</f>
        <v>3317.05766</v>
      </c>
      <c r="Q1509" s="1">
        <f>value(KWD!$B1509)</f>
        <v>42075.12837</v>
      </c>
    </row>
    <row r="1510">
      <c r="A1510" s="4">
        <f>value(USD!A1510)</f>
        <v>41820.99861</v>
      </c>
      <c r="B1510" s="1">
        <f>value(USD!B1510)</f>
        <v>11885</v>
      </c>
      <c r="C1510" s="1">
        <f>value(AUD!$B1510)</f>
        <v>10928.98387</v>
      </c>
      <c r="D1510" s="1">
        <f>value(EUR!$B1510)</f>
        <v>16251.83</v>
      </c>
      <c r="E1510" s="1">
        <f>value(GBP!$B1510)</f>
        <v>20420.638</v>
      </c>
      <c r="F1510" s="1">
        <f>value(CHF!$B1510)</f>
        <v>13324.076</v>
      </c>
      <c r="G1510" s="1">
        <f>value(SGD!$B1510)</f>
        <v>9539.635</v>
      </c>
      <c r="H1510" s="1">
        <f>value(MYR!$B1510)</f>
        <v>3646.16</v>
      </c>
      <c r="I1510" s="1">
        <f>value(THB!$B1510)</f>
        <v>367.353</v>
      </c>
      <c r="J1510" s="1">
        <f>value(VND!$B1510)</f>
        <v>0.5770142067</v>
      </c>
      <c r="K1510" s="1">
        <f>value(CNY!$B1510)</f>
        <v>1899.064934</v>
      </c>
      <c r="L1510" s="1">
        <f>value(HKD!$B1510)</f>
        <v>1535.457</v>
      </c>
      <c r="M1510" s="1">
        <f>value(TWD!$B1510)</f>
        <v>398.174</v>
      </c>
      <c r="N1510" s="1">
        <f>value(JPY!$B1510)</f>
        <v>116.858</v>
      </c>
      <c r="O1510" s="1">
        <f>value(SAR!$B1510)</f>
        <v>3127.168829</v>
      </c>
      <c r="P1510" s="1">
        <f>value(AED!$B1510)</f>
        <v>3320.596</v>
      </c>
      <c r="Q1510" s="1">
        <f>value(KWD!$B1510)</f>
        <v>42075.12837</v>
      </c>
    </row>
    <row r="1511">
      <c r="A1511" s="4">
        <f>value(USD!A1511)</f>
        <v>41821.99861</v>
      </c>
      <c r="B1511" s="1">
        <f>value(USD!B1511)</f>
        <v>11900</v>
      </c>
      <c r="C1511" s="1">
        <f>value(AUD!$B1511)</f>
        <v>10925.14219</v>
      </c>
      <c r="D1511" s="1">
        <f>value(EUR!$B1511)</f>
        <v>16201.5145</v>
      </c>
      <c r="E1511" s="1">
        <f>value(GBP!$B1511)</f>
        <v>20421.1227</v>
      </c>
      <c r="F1511" s="1">
        <f>value(CHF!$B1511)</f>
        <v>13257.108</v>
      </c>
      <c r="G1511" s="1">
        <f>value(SGD!$B1511)</f>
        <v>9543.16705</v>
      </c>
      <c r="H1511" s="1">
        <f>value(MYR!$B1511)</f>
        <v>3648.4063</v>
      </c>
      <c r="I1511" s="1">
        <f>value(THB!$B1511)</f>
        <v>367.1502</v>
      </c>
      <c r="J1511" s="1">
        <f>value(VND!$B1511)</f>
        <v>0.5778357757</v>
      </c>
      <c r="K1511" s="1">
        <f>value(CNY!$B1511)</f>
        <v>1891.237833</v>
      </c>
      <c r="L1511" s="1">
        <f>value(HKD!$B1511)</f>
        <v>1535.86405</v>
      </c>
      <c r="M1511" s="1">
        <f>value(TWD!$B1511)</f>
        <v>397.1508</v>
      </c>
      <c r="N1511" s="1">
        <f>value(JPY!$B1511)</f>
        <v>116.442805</v>
      </c>
      <c r="O1511" s="1">
        <f>value(SAR!$B1511)</f>
        <v>3121.06323</v>
      </c>
      <c r="P1511" s="1">
        <f>value(AED!$B1511)</f>
        <v>3327.381447</v>
      </c>
      <c r="Q1511" s="1">
        <f>value(KWD!$B1511)</f>
        <v>41904.32485</v>
      </c>
    </row>
    <row r="1512">
      <c r="A1512" s="4">
        <f>value(USD!A1512)</f>
        <v>41822.99861</v>
      </c>
      <c r="B1512" s="1">
        <f>value(USD!B1512)</f>
        <v>11900</v>
      </c>
      <c r="C1512" s="1">
        <f>value(AUD!$B1512)</f>
        <v>10954.57</v>
      </c>
      <c r="D1512" s="1">
        <f>value(EUR!$B1512)</f>
        <v>16121.6538</v>
      </c>
      <c r="E1512" s="1">
        <f>value(GBP!$B1512)</f>
        <v>20349.2694</v>
      </c>
      <c r="F1512" s="1">
        <f>value(CHF!$B1512)</f>
        <v>13276.71699</v>
      </c>
      <c r="G1512" s="1">
        <f>value(SGD!$B1512)</f>
        <v>9517.7686</v>
      </c>
      <c r="H1512" s="1">
        <f>value(MYR!$B1512)</f>
        <v>3656.5566</v>
      </c>
      <c r="I1512" s="1">
        <f>value(THB!$B1512)</f>
        <v>365.9996</v>
      </c>
      <c r="J1512" s="1">
        <f>value(VND!$B1512)</f>
        <v>0.5829181394</v>
      </c>
      <c r="K1512" s="1">
        <f>value(CNY!$B1512)</f>
        <v>1900.57406</v>
      </c>
      <c r="L1512" s="1">
        <f>value(HKD!$B1512)</f>
        <v>1530.1772</v>
      </c>
      <c r="M1512" s="1">
        <f>value(TWD!$B1512)</f>
        <v>396.9542</v>
      </c>
      <c r="N1512" s="1">
        <f>value(JPY!$B1512)</f>
        <v>116.1094</v>
      </c>
      <c r="O1512" s="1">
        <f>value(SAR!$B1512)</f>
        <v>3125.226783</v>
      </c>
      <c r="P1512" s="1">
        <f>value(AED!$B1512)</f>
        <v>3327.381447</v>
      </c>
      <c r="Q1512" s="1">
        <f>value(KWD!$B1512)</f>
        <v>41739.81537</v>
      </c>
    </row>
    <row r="1513">
      <c r="A1513" s="4">
        <f>value(USD!A1513)</f>
        <v>41823.99861</v>
      </c>
      <c r="B1513" s="1">
        <f>value(USD!B1513)</f>
        <v>11905</v>
      </c>
      <c r="C1513" s="1">
        <f>value(AUD!$B1513)</f>
        <v>10983.8668</v>
      </c>
      <c r="D1513" s="1">
        <f>value(EUR!$B1513)</f>
        <v>16147.2622</v>
      </c>
      <c r="E1513" s="1">
        <f>value(GBP!$B1513)</f>
        <v>20377.66438</v>
      </c>
      <c r="F1513" s="1">
        <f>value(CHF!$B1513)</f>
        <v>13273.15404</v>
      </c>
      <c r="G1513" s="1">
        <f>value(SGD!$B1513)</f>
        <v>9530.993964</v>
      </c>
      <c r="H1513" s="1">
        <f>value(MYR!$B1513)</f>
        <v>3662.350137</v>
      </c>
      <c r="I1513" s="1">
        <f>value(THB!$B1513)</f>
        <v>366.6269376</v>
      </c>
      <c r="J1513" s="1">
        <f>value(VND!$B1513)</f>
        <v>0.5806314341</v>
      </c>
      <c r="K1513" s="1">
        <f>value(CNY!$B1513)</f>
        <v>1901.15896</v>
      </c>
      <c r="L1513" s="1">
        <f>value(HKD!$B1513)</f>
        <v>1532.184684</v>
      </c>
      <c r="M1513" s="1">
        <f>value(TWD!$B1513)</f>
        <v>397.5057856</v>
      </c>
      <c r="N1513" s="1">
        <f>value(JPY!$B1513)</f>
        <v>116.2707392</v>
      </c>
      <c r="O1513" s="1">
        <f>value(SAR!$B1513)</f>
        <v>3125.049952</v>
      </c>
      <c r="P1513" s="1">
        <f>value(AED!$B1513)</f>
        <v>3319.2351</v>
      </c>
      <c r="Q1513" s="1">
        <f>value(KWD!$B1513)</f>
        <v>41646.29794</v>
      </c>
    </row>
    <row r="1514">
      <c r="A1514" s="4">
        <f>value(USD!A1514)</f>
        <v>41824.99861</v>
      </c>
      <c r="B1514" s="1">
        <f>value(USD!B1514)</f>
        <v>11860</v>
      </c>
      <c r="C1514" s="1">
        <f>value(AUD!$B1514)</f>
        <v>10900.4046</v>
      </c>
      <c r="D1514" s="1">
        <f>value(EUR!$B1514)</f>
        <v>16137.76102</v>
      </c>
      <c r="E1514" s="1">
        <f>value(GBP!$B1514)</f>
        <v>20375.17032</v>
      </c>
      <c r="F1514" s="1">
        <f>value(CHF!$B1514)</f>
        <v>13122.62</v>
      </c>
      <c r="G1514" s="1">
        <f>value(SGD!$B1514)</f>
        <v>9529.450022</v>
      </c>
      <c r="H1514" s="1">
        <f>value(MYR!$B1514)</f>
        <v>3660.4499</v>
      </c>
      <c r="I1514" s="1">
        <f>value(THB!$B1514)</f>
        <v>366.389408</v>
      </c>
      <c r="J1514" s="1">
        <f>value(VND!$B1514)</f>
        <v>0.5839988508</v>
      </c>
      <c r="K1514" s="1">
        <f>value(CNY!$B1514)</f>
        <v>1898.8287</v>
      </c>
      <c r="L1514" s="1">
        <f>value(HKD!$B1514)</f>
        <v>1532.303449</v>
      </c>
      <c r="M1514" s="1">
        <f>value(TWD!$B1514)</f>
        <v>397.3870208</v>
      </c>
      <c r="N1514" s="1">
        <f>value(JPY!$B1514)</f>
        <v>116.2707392</v>
      </c>
      <c r="O1514" s="1">
        <f>value(SAR!$B1514)</f>
        <v>3131.466588</v>
      </c>
      <c r="P1514" s="1">
        <f>value(AED!$B1514)</f>
        <v>3300.1825</v>
      </c>
      <c r="Q1514" s="1">
        <f>value(KWD!$B1514)</f>
        <v>41750.10192</v>
      </c>
    </row>
    <row r="1515">
      <c r="A1515" s="4">
        <f>value(USD!A1515)</f>
        <v>41825.99861</v>
      </c>
      <c r="B1515" s="1">
        <f>value(USD!B1515)</f>
        <v>11876.48</v>
      </c>
      <c r="C1515" s="1">
        <f>value(AUD!$B1515)</f>
        <v>10891.606</v>
      </c>
      <c r="D1515" s="1">
        <f>value(EUR!$B1515)</f>
        <v>15953.504</v>
      </c>
      <c r="E1515" s="1">
        <f>value(GBP!$B1515)</f>
        <v>20087.9735</v>
      </c>
      <c r="F1515" s="1">
        <f>value(CHF!$B1515)</f>
        <v>13058.9675</v>
      </c>
      <c r="G1515" s="1">
        <f>value(SGD!$B1515)</f>
        <v>9401.8085</v>
      </c>
      <c r="H1515" s="1">
        <f>value(MYR!$B1515)</f>
        <v>3613.05875</v>
      </c>
      <c r="I1515" s="1">
        <f>value(THB!$B1515)</f>
        <v>361.48175</v>
      </c>
      <c r="J1515" s="1">
        <f>value(VND!$B1515)</f>
        <v>0.5846659018</v>
      </c>
      <c r="K1515" s="1">
        <f>value(CNY!$B1515)</f>
        <v>1906.9677</v>
      </c>
      <c r="L1515" s="1">
        <f>value(HKD!$B1515)</f>
        <v>1512.7595</v>
      </c>
      <c r="M1515" s="1">
        <f>value(TWD!$B1515)</f>
        <v>392.084</v>
      </c>
      <c r="N1515" s="1">
        <f>value(JPY!$B1515)</f>
        <v>115.1395</v>
      </c>
      <c r="O1515" s="1">
        <f>value(SAR!$B1515)</f>
        <v>3140.21128</v>
      </c>
      <c r="P1515" s="1">
        <f>value(AED!$B1515)</f>
        <v>3293.92236</v>
      </c>
      <c r="Q1515" s="1">
        <f>value(KWD!$B1515)</f>
        <v>41765.91122</v>
      </c>
    </row>
    <row r="1516">
      <c r="A1516" s="4">
        <f>value(USD!A1516)</f>
        <v>41826.99861</v>
      </c>
      <c r="B1516" s="1">
        <f>value(USD!B1516)</f>
        <v>11876.48</v>
      </c>
      <c r="C1516" s="1">
        <f>value(AUD!$B1516)</f>
        <v>10903.0005</v>
      </c>
      <c r="D1516" s="1">
        <f>value(EUR!$B1516)</f>
        <v>15877.2315</v>
      </c>
      <c r="E1516" s="1">
        <f>value(GBP!$B1516)</f>
        <v>19983.7781</v>
      </c>
      <c r="F1516" s="1">
        <f>value(CHF!$B1516)</f>
        <v>13033.1915</v>
      </c>
      <c r="G1516" s="1">
        <f>value(SGD!$B1516)</f>
        <v>9377.7268</v>
      </c>
      <c r="H1516" s="1">
        <f>value(MYR!$B1516)</f>
        <v>3616.26665</v>
      </c>
      <c r="I1516" s="1">
        <f>value(THB!$B1516)</f>
        <v>359.9819</v>
      </c>
      <c r="J1516" s="1">
        <f>value(VND!$B1516)</f>
        <v>0.5846937273</v>
      </c>
      <c r="K1516" s="1">
        <f>value(CNY!$B1516)</f>
        <v>1896.7668</v>
      </c>
      <c r="L1516" s="1">
        <f>value(HKD!$B1516)</f>
        <v>1505.0183</v>
      </c>
      <c r="M1516" s="1">
        <f>value(TWD!$B1516)</f>
        <v>390.66085</v>
      </c>
      <c r="N1516" s="1">
        <f>value(JPY!$B1516)</f>
        <v>114.90025</v>
      </c>
      <c r="O1516" s="1">
        <f>value(SAR!$B1516)</f>
        <v>3134.025482</v>
      </c>
      <c r="P1516" s="1">
        <f>value(AED!$B1516)</f>
        <v>3302.35994</v>
      </c>
      <c r="Q1516" s="1">
        <f>value(KWD!$B1516)</f>
        <v>42185.53246</v>
      </c>
    </row>
    <row r="1517">
      <c r="A1517" s="4">
        <f>value(USD!A1517)</f>
        <v>41827.99861</v>
      </c>
      <c r="B1517" s="1">
        <f>value(USD!B1517)</f>
        <v>11725</v>
      </c>
      <c r="C1517" s="1">
        <f>value(AUD!$B1517)</f>
        <v>10932.4763</v>
      </c>
      <c r="D1517" s="1">
        <f>value(EUR!$B1517)</f>
        <v>15842.86</v>
      </c>
      <c r="E1517" s="1">
        <f>value(GBP!$B1517)</f>
        <v>19925.5325</v>
      </c>
      <c r="F1517" s="1">
        <f>value(CHF!$B1517)</f>
        <v>12960.714</v>
      </c>
      <c r="G1517" s="1">
        <f>value(SGD!$B1517)</f>
        <v>9357.39245</v>
      </c>
      <c r="H1517" s="1">
        <f>value(MYR!$B1517)</f>
        <v>3601.8115</v>
      </c>
      <c r="I1517" s="1">
        <f>value(THB!$B1517)</f>
        <v>360.41345</v>
      </c>
      <c r="J1517" s="1">
        <f>value(VND!$B1517)</f>
        <v>0.5846380762</v>
      </c>
      <c r="K1517" s="1">
        <f>value(CNY!$B1517)</f>
        <v>1899.29712</v>
      </c>
      <c r="L1517" s="1">
        <f>value(HKD!$B1517)</f>
        <v>1498.5673</v>
      </c>
      <c r="M1517" s="1">
        <f>value(TWD!$B1517)</f>
        <v>389.21865</v>
      </c>
      <c r="N1517" s="1">
        <f>value(JPY!$B1517)</f>
        <v>114.2916</v>
      </c>
      <c r="O1517" s="1">
        <f>value(SAR!$B1517)</f>
        <v>3128.536274</v>
      </c>
      <c r="P1517" s="1">
        <f>value(AED!$B1517)</f>
        <v>3302.35994</v>
      </c>
      <c r="Q1517" s="1">
        <f>value(KWD!$B1517)</f>
        <v>41751.54574</v>
      </c>
    </row>
    <row r="1518">
      <c r="A1518" s="4">
        <f>value(USD!A1518)</f>
        <v>41828.99861</v>
      </c>
      <c r="B1518" s="1">
        <f>value(USD!B1518)</f>
        <v>11665</v>
      </c>
      <c r="C1518" s="1">
        <f>value(AUD!$B1518)</f>
        <v>10937.94778</v>
      </c>
      <c r="D1518" s="1">
        <f>value(EUR!$B1518)</f>
        <v>15742.142</v>
      </c>
      <c r="E1518" s="1">
        <f>value(GBP!$B1518)</f>
        <v>19817.096</v>
      </c>
      <c r="F1518" s="1">
        <f>value(CHF!$B1518)</f>
        <v>13004.563</v>
      </c>
      <c r="G1518" s="1">
        <f>value(SGD!$B1518)</f>
        <v>9312.9244</v>
      </c>
      <c r="H1518" s="1">
        <f>value(MYR!$B1518)</f>
        <v>3568.5351</v>
      </c>
      <c r="I1518" s="1">
        <f>value(THB!$B1518)</f>
        <v>359.2485</v>
      </c>
      <c r="J1518" s="1">
        <f>value(VND!$B1518)</f>
        <v>0.5843599807</v>
      </c>
      <c r="K1518" s="1">
        <f>value(CNY!$B1518)</f>
        <v>1891.451688</v>
      </c>
      <c r="L1518" s="1">
        <f>value(HKD!$B1518)</f>
        <v>1492.7614</v>
      </c>
      <c r="M1518" s="1">
        <f>value(TWD!$B1518)</f>
        <v>386.2066</v>
      </c>
      <c r="N1518" s="1">
        <f>value(JPY!$B1518)</f>
        <v>114.1959</v>
      </c>
      <c r="O1518" s="1">
        <f>value(SAR!$B1518)</f>
        <v>3123.383309</v>
      </c>
      <c r="P1518" s="1">
        <f>value(AED!$B1518)</f>
        <v>3335.538682</v>
      </c>
      <c r="Q1518" s="1">
        <f>value(KWD!$B1518)</f>
        <v>41770.23056</v>
      </c>
    </row>
    <row r="1519">
      <c r="A1519" s="4">
        <f>value(USD!A1519)</f>
        <v>41829.99861</v>
      </c>
      <c r="B1519" s="1">
        <f>value(USD!B1519)</f>
        <v>11615</v>
      </c>
      <c r="C1519" s="1">
        <f>value(AUD!$B1519)</f>
        <v>10827.5584</v>
      </c>
      <c r="D1519" s="1">
        <f>value(EUR!$B1519)</f>
        <v>15788.3704</v>
      </c>
      <c r="E1519" s="1">
        <f>value(GBP!$B1519)</f>
        <v>19860.797</v>
      </c>
      <c r="F1519" s="1">
        <f>value(CHF!$B1519)</f>
        <v>13047.72595</v>
      </c>
      <c r="G1519" s="1">
        <f>value(SGD!$B1519)</f>
        <v>9349.80035</v>
      </c>
      <c r="H1519" s="1">
        <f>value(MYR!$B1519)</f>
        <v>3578.40175</v>
      </c>
      <c r="I1519" s="1">
        <f>value(THB!$B1519)</f>
        <v>360.6834</v>
      </c>
      <c r="J1519" s="1">
        <f>value(VND!$B1519)</f>
        <v>0.5834995639</v>
      </c>
      <c r="K1519" s="1">
        <f>value(CNY!$B1519)</f>
        <v>1906.17948</v>
      </c>
      <c r="L1519" s="1">
        <f>value(HKD!$B1519)</f>
        <v>1497.39315</v>
      </c>
      <c r="M1519" s="1">
        <f>value(TWD!$B1519)</f>
        <v>387.49095</v>
      </c>
      <c r="N1519" s="1">
        <f>value(JPY!$B1519)</f>
        <v>114.54135</v>
      </c>
      <c r="O1519" s="1">
        <f>value(SAR!$B1519)</f>
        <v>3150.140035</v>
      </c>
      <c r="P1519" s="1">
        <f>value(AED!$B1519)</f>
        <v>3302.35994</v>
      </c>
      <c r="Q1519" s="1">
        <f>value(KWD!$B1519)</f>
        <v>41917.70927</v>
      </c>
    </row>
    <row r="1520">
      <c r="A1520" s="4">
        <f>value(USD!A1520)</f>
        <v>41830.99861</v>
      </c>
      <c r="B1520" s="1">
        <f>value(USD!B1520)</f>
        <v>11570</v>
      </c>
      <c r="C1520" s="1">
        <f>value(AUD!$B1520)</f>
        <v>10875.357</v>
      </c>
      <c r="D1520" s="1">
        <f>value(EUR!$B1520)</f>
        <v>15841.67155</v>
      </c>
      <c r="E1520" s="1">
        <f>value(GBP!$B1520)</f>
        <v>19923.16041</v>
      </c>
      <c r="F1520" s="1">
        <f>value(CHF!$B1520)</f>
        <v>13045.39766</v>
      </c>
      <c r="G1520" s="1">
        <f>value(SGD!$B1520)</f>
        <v>9379.158964</v>
      </c>
      <c r="H1520" s="1">
        <f>value(MYR!$B1520)</f>
        <v>3589.987267</v>
      </c>
      <c r="I1520" s="1">
        <f>value(THB!$B1520)</f>
        <v>361.8159552</v>
      </c>
      <c r="J1520" s="1">
        <f>value(VND!$B1520)</f>
        <v>0.5919258977</v>
      </c>
      <c r="K1520" s="1">
        <f>value(CNY!$B1520)</f>
        <v>1909.99895</v>
      </c>
      <c r="L1520" s="1">
        <f>value(HKD!$B1520)</f>
        <v>1501.862174</v>
      </c>
      <c r="M1520" s="1">
        <f>value(TWD!$B1520)</f>
        <v>388.824096</v>
      </c>
      <c r="N1520" s="1">
        <f>value(JPY!$B1520)</f>
        <v>114.9010128</v>
      </c>
      <c r="O1520" s="1">
        <f>value(SAR!$B1520)</f>
        <v>3153.778304</v>
      </c>
      <c r="P1520" s="1">
        <f>value(AED!$B1520)</f>
        <v>3302.35994</v>
      </c>
      <c r="Q1520" s="1">
        <f>value(KWD!$B1520)</f>
        <v>41903.2819</v>
      </c>
    </row>
    <row r="1521">
      <c r="A1521" s="4">
        <f>value(USD!A1521)</f>
        <v>41831.99861</v>
      </c>
      <c r="B1521" s="1">
        <f>value(USD!B1521)</f>
        <v>11605</v>
      </c>
      <c r="C1521" s="1">
        <f>value(AUD!$B1521)</f>
        <v>10840.6915</v>
      </c>
      <c r="D1521" s="1">
        <f>value(EUR!$B1521)</f>
        <v>15836.20007</v>
      </c>
      <c r="E1521" s="1">
        <f>value(GBP!$B1521)</f>
        <v>19930.14528</v>
      </c>
      <c r="F1521" s="1">
        <f>value(CHF!$B1521)</f>
        <v>13073.192</v>
      </c>
      <c r="G1521" s="1">
        <f>value(SGD!$B1521)</f>
        <v>9376.714262</v>
      </c>
      <c r="H1521" s="1">
        <f>value(MYR!$B1521)</f>
        <v>3588.823123</v>
      </c>
      <c r="I1521" s="1">
        <f>value(THB!$B1521)</f>
        <v>361.6995408</v>
      </c>
      <c r="J1521" s="1">
        <f>value(VND!$B1521)</f>
        <v>0.5985761645</v>
      </c>
      <c r="K1521" s="1">
        <f>value(CNY!$B1521)</f>
        <v>1916.02061</v>
      </c>
      <c r="L1521" s="1">
        <f>value(HKD!$B1521)</f>
        <v>1501.978588</v>
      </c>
      <c r="M1521" s="1">
        <f>value(TWD!$B1521)</f>
        <v>388.7076816</v>
      </c>
      <c r="N1521" s="1">
        <f>value(JPY!$B1521)</f>
        <v>114.7845984</v>
      </c>
      <c r="O1521" s="1">
        <f>value(SAR!$B1521)</f>
        <v>3157.445218</v>
      </c>
      <c r="P1521" s="1">
        <f>value(AED!$B1521)</f>
        <v>3313.7915</v>
      </c>
      <c r="Q1521" s="1">
        <f>value(KWD!$B1521)</f>
        <v>41826.98117</v>
      </c>
    </row>
    <row r="1522">
      <c r="A1522" s="4">
        <f>value(USD!A1522)</f>
        <v>41832.99861</v>
      </c>
      <c r="B1522" s="1">
        <f>value(USD!B1522)</f>
        <v>11641.44</v>
      </c>
      <c r="C1522" s="1">
        <f>value(AUD!$B1522)</f>
        <v>10879.21152</v>
      </c>
      <c r="D1522" s="1">
        <f>value(EUR!$B1522)</f>
        <v>15879.754</v>
      </c>
      <c r="E1522" s="1">
        <f>value(GBP!$B1522)</f>
        <v>19922.276</v>
      </c>
      <c r="F1522" s="1">
        <f>value(CHF!$B1522)</f>
        <v>13080.692</v>
      </c>
      <c r="G1522" s="1">
        <f>value(SGD!$B1522)</f>
        <v>9392.13</v>
      </c>
      <c r="H1522" s="1">
        <f>value(MYR!$B1522)</f>
        <v>3598.276</v>
      </c>
      <c r="I1522" s="1">
        <f>value(THB!$B1522)</f>
        <v>362.626</v>
      </c>
      <c r="J1522" s="1">
        <f>value(VND!$B1522)</f>
        <v>0.6102773528</v>
      </c>
      <c r="K1522" s="1">
        <f>value(CNY!$B1522)</f>
        <v>1912.49149</v>
      </c>
      <c r="L1522" s="1">
        <f>value(HKD!$B1522)</f>
        <v>1504.4898</v>
      </c>
      <c r="M1522" s="1">
        <f>value(TWD!$B1522)</f>
        <v>389.0942</v>
      </c>
      <c r="N1522" s="1">
        <f>value(JPY!$B1522)</f>
        <v>114.851</v>
      </c>
      <c r="O1522" s="1">
        <f>value(SAR!$B1522)</f>
        <v>3171.532216</v>
      </c>
      <c r="P1522" s="1">
        <f>value(AED!$B1522)</f>
        <v>3313.7915</v>
      </c>
      <c r="Q1522" s="1">
        <f>value(KWD!$B1522)</f>
        <v>42280.41226</v>
      </c>
    </row>
    <row r="1523">
      <c r="A1523" s="4">
        <f>value(USD!A1523)</f>
        <v>41833.99861</v>
      </c>
      <c r="B1523" s="1">
        <f>value(USD!B1523)</f>
        <v>11641.44</v>
      </c>
      <c r="C1523" s="1">
        <f>value(AUD!$B1523)</f>
        <v>10860.4034</v>
      </c>
      <c r="D1523" s="1">
        <f>value(EUR!$B1523)</f>
        <v>15900.524</v>
      </c>
      <c r="E1523" s="1">
        <f>value(GBP!$B1523)</f>
        <v>20088.08</v>
      </c>
      <c r="F1523" s="1">
        <f>value(CHF!$B1523)</f>
        <v>12959.8744</v>
      </c>
      <c r="G1523" s="1">
        <f>value(SGD!$B1523)</f>
        <v>9421.708</v>
      </c>
      <c r="H1523" s="1">
        <f>value(MYR!$B1523)</f>
        <v>3607.7676</v>
      </c>
      <c r="I1523" s="1">
        <f>value(THB!$B1523)</f>
        <v>364.492</v>
      </c>
      <c r="J1523" s="1">
        <f>value(VND!$B1523)</f>
        <v>0.6033336424</v>
      </c>
      <c r="K1523" s="1">
        <f>value(CNY!$B1523)</f>
        <v>1899.5501</v>
      </c>
      <c r="L1523" s="1">
        <f>value(HKD!$B1523)</f>
        <v>1512.1144</v>
      </c>
      <c r="M1523" s="1">
        <f>value(TWD!$B1523)</f>
        <v>389.3384</v>
      </c>
      <c r="N1523" s="1">
        <f>value(JPY!$B1523)</f>
        <v>115.25448</v>
      </c>
      <c r="O1523" s="1">
        <f>value(SAR!$B1523)</f>
        <v>3233.144125</v>
      </c>
      <c r="P1523" s="1">
        <f>value(AED!$B1523)</f>
        <v>3313.7915</v>
      </c>
      <c r="Q1523" s="1">
        <f>value(KWD!$B1523)</f>
        <v>42154.19617</v>
      </c>
    </row>
    <row r="1524">
      <c r="A1524" s="4">
        <f>value(USD!A1524)</f>
        <v>41834.99861</v>
      </c>
      <c r="B1524" s="1">
        <f>value(USD!B1524)</f>
        <v>11660</v>
      </c>
      <c r="C1524" s="1">
        <f>value(AUD!$B1524)</f>
        <v>10885.27871</v>
      </c>
      <c r="D1524" s="1">
        <f>value(EUR!$B1524)</f>
        <v>15745.805</v>
      </c>
      <c r="E1524" s="1">
        <f>value(GBP!$B1524)</f>
        <v>19950.8954</v>
      </c>
      <c r="F1524" s="1">
        <f>value(CHF!$B1524)</f>
        <v>12988.074</v>
      </c>
      <c r="G1524" s="1">
        <f>value(SGD!$B1524)</f>
        <v>9368.66666</v>
      </c>
      <c r="H1524" s="1">
        <f>value(MYR!$B1524)</f>
        <v>3582.94192</v>
      </c>
      <c r="I1524" s="1">
        <f>value(THB!$B1524)</f>
        <v>362.18262</v>
      </c>
      <c r="J1524" s="1">
        <f>value(VND!$B1524)</f>
        <v>0.6016711672</v>
      </c>
      <c r="K1524" s="1">
        <f>value(CNY!$B1524)</f>
        <v>1901.993814</v>
      </c>
      <c r="L1524" s="1">
        <f>value(HKD!$B1524)</f>
        <v>1502.05084</v>
      </c>
      <c r="M1524" s="1">
        <f>value(TWD!$B1524)</f>
        <v>387.79502</v>
      </c>
      <c r="N1524" s="1">
        <f>value(JPY!$B1524)</f>
        <v>114.44086</v>
      </c>
      <c r="O1524" s="1">
        <f>value(SAR!$B1524)</f>
        <v>3185.384783</v>
      </c>
      <c r="P1524" s="1">
        <f>value(AED!$B1524)</f>
        <v>3343.7313</v>
      </c>
      <c r="Q1524" s="1">
        <f>value(KWD!$B1524)</f>
        <v>42161.43204</v>
      </c>
    </row>
    <row r="1525">
      <c r="A1525" s="4">
        <f>value(USD!A1525)</f>
        <v>41835.99861</v>
      </c>
      <c r="B1525" s="1">
        <f>value(USD!B1525)</f>
        <v>11720</v>
      </c>
      <c r="C1525" s="1">
        <f>value(AUD!$B1525)</f>
        <v>10890.26132</v>
      </c>
      <c r="D1525" s="1">
        <f>value(EUR!$B1525)</f>
        <v>15765.486</v>
      </c>
      <c r="E1525" s="1">
        <f>value(GBP!$B1525)</f>
        <v>19924.608</v>
      </c>
      <c r="F1525" s="1">
        <f>value(CHF!$B1525)</f>
        <v>12925.172</v>
      </c>
      <c r="G1525" s="1">
        <f>value(SGD!$B1525)</f>
        <v>9374.4068</v>
      </c>
      <c r="H1525" s="1">
        <f>value(MYR!$B1525)</f>
        <v>3601.191</v>
      </c>
      <c r="I1525" s="1">
        <f>value(THB!$B1525)</f>
        <v>361.8098</v>
      </c>
      <c r="J1525" s="1">
        <f>value(VND!$B1525)</f>
        <v>0.5920584384</v>
      </c>
      <c r="K1525" s="1">
        <f>value(CNY!$B1525)</f>
        <v>1901.52433</v>
      </c>
      <c r="L1525" s="1">
        <f>value(HKD!$B1525)</f>
        <v>1504.2566</v>
      </c>
      <c r="M1525" s="1">
        <f>value(TWD!$B1525)</f>
        <v>388.5112</v>
      </c>
      <c r="N1525" s="1">
        <f>value(JPY!$B1525)</f>
        <v>115.27076</v>
      </c>
      <c r="O1525" s="1">
        <f>value(SAR!$B1525)</f>
        <v>3198.473384</v>
      </c>
      <c r="P1525" s="1">
        <f>value(AED!$B1525)</f>
        <v>3343.7313</v>
      </c>
      <c r="Q1525" s="1">
        <f>value(KWD!$B1525)</f>
        <v>42207.78334</v>
      </c>
    </row>
    <row r="1526">
      <c r="A1526" s="4">
        <f>value(USD!A1526)</f>
        <v>41836.99861</v>
      </c>
      <c r="B1526" s="1">
        <f>value(USD!B1526)</f>
        <v>11642</v>
      </c>
      <c r="C1526" s="1">
        <f>value(AUD!$B1526)</f>
        <v>10871.9644</v>
      </c>
      <c r="D1526" s="1">
        <f>value(EUR!$B1526)</f>
        <v>15708.00985</v>
      </c>
      <c r="E1526" s="1">
        <f>value(GBP!$B1526)</f>
        <v>19845.389</v>
      </c>
      <c r="F1526" s="1">
        <f>value(CHF!$B1526)</f>
        <v>12954.59443</v>
      </c>
      <c r="G1526" s="1">
        <f>value(SGD!$B1526)</f>
        <v>9357.16015</v>
      </c>
      <c r="H1526" s="1">
        <f>value(MYR!$B1526)</f>
        <v>3582.64675</v>
      </c>
      <c r="I1526" s="1">
        <f>value(THB!$B1526)</f>
        <v>361.2265</v>
      </c>
      <c r="J1526" s="1">
        <f>value(VND!$B1526)</f>
        <v>0.5872269604</v>
      </c>
      <c r="K1526" s="1">
        <f>value(CNY!$B1526)</f>
        <v>1907.34492</v>
      </c>
      <c r="L1526" s="1">
        <f>value(HKD!$B1526)</f>
        <v>1498.335</v>
      </c>
      <c r="M1526" s="1">
        <f>value(TWD!$B1526)</f>
        <v>387.36025</v>
      </c>
      <c r="N1526" s="1">
        <f>value(JPY!$B1526)</f>
        <v>114.64005</v>
      </c>
      <c r="O1526" s="1">
        <f>value(SAR!$B1526)</f>
        <v>3192.76139</v>
      </c>
      <c r="P1526" s="1">
        <f>value(AED!$B1526)</f>
        <v>3343.7313</v>
      </c>
      <c r="Q1526" s="1">
        <f>value(KWD!$B1526)</f>
        <v>42129.62617</v>
      </c>
    </row>
    <row r="1527">
      <c r="A1527" s="4">
        <f>value(USD!A1527)</f>
        <v>41837.99861</v>
      </c>
      <c r="B1527" s="1">
        <f>value(USD!B1527)</f>
        <v>11660</v>
      </c>
      <c r="C1527" s="1">
        <f>value(AUD!$B1527)</f>
        <v>10851.61704</v>
      </c>
      <c r="D1527" s="1">
        <f>value(EUR!$B1527)</f>
        <v>15742.71931</v>
      </c>
      <c r="E1527" s="1">
        <f>value(GBP!$B1527)</f>
        <v>19891.72852</v>
      </c>
      <c r="F1527" s="1">
        <f>value(CHF!$B1527)</f>
        <v>12962.74344</v>
      </c>
      <c r="G1527" s="1">
        <f>value(SGD!$B1527)</f>
        <v>9378.460478</v>
      </c>
      <c r="H1527" s="1">
        <f>value(MYR!$B1527)</f>
        <v>3590.452924</v>
      </c>
      <c r="I1527" s="1">
        <f>value(THB!$B1527)</f>
        <v>361.9323696</v>
      </c>
      <c r="J1527" s="1">
        <f>value(VND!$B1527)</f>
        <v>0.5918677555</v>
      </c>
      <c r="K1527" s="1">
        <f>value(CNY!$B1527)</f>
        <v>1923.60798</v>
      </c>
      <c r="L1527" s="1">
        <f>value(HKD!$B1527)</f>
        <v>1501.74576</v>
      </c>
      <c r="M1527" s="1">
        <f>value(TWD!$B1527)</f>
        <v>388.1256096</v>
      </c>
      <c r="N1527" s="1">
        <f>value(JPY!$B1527)</f>
        <v>114.9010128</v>
      </c>
      <c r="O1527" s="1">
        <f>value(SAR!$B1527)</f>
        <v>3194.71497</v>
      </c>
      <c r="P1527" s="1">
        <f>value(AED!$B1527)</f>
        <v>3344.59125</v>
      </c>
      <c r="Q1527" s="1">
        <f>value(KWD!$B1527)</f>
        <v>42547.80172</v>
      </c>
    </row>
    <row r="1528">
      <c r="A1528" s="4">
        <f>value(USD!A1528)</f>
        <v>41838.99861</v>
      </c>
      <c r="B1528" s="1">
        <f>value(USD!B1528)</f>
        <v>11615</v>
      </c>
      <c r="C1528" s="1">
        <f>value(AUD!$B1528)</f>
        <v>10779.12957</v>
      </c>
      <c r="D1528" s="1">
        <f>value(EUR!$B1528)</f>
        <v>15750.86832</v>
      </c>
      <c r="E1528" s="1">
        <f>value(GBP!$B1528)</f>
        <v>19891.72852</v>
      </c>
      <c r="F1528" s="1">
        <f>value(CHF!$B1528)</f>
        <v>12869.748</v>
      </c>
      <c r="G1528" s="1">
        <f>value(SGD!$B1528)</f>
        <v>9376.248604</v>
      </c>
      <c r="H1528" s="1">
        <f>value(MYR!$B1528)</f>
        <v>3592.19914</v>
      </c>
      <c r="I1528" s="1">
        <f>value(THB!$B1528)</f>
        <v>362.1651984</v>
      </c>
      <c r="J1528" s="1">
        <f>value(VND!$B1528)</f>
        <v>0.5893102912</v>
      </c>
      <c r="K1528" s="1">
        <f>value(CNY!$B1528)</f>
        <v>1927.7354</v>
      </c>
      <c r="L1528" s="1">
        <f>value(HKD!$B1528)</f>
        <v>1501.862174</v>
      </c>
      <c r="M1528" s="1">
        <f>value(TWD!$B1528)</f>
        <v>388.3584384</v>
      </c>
      <c r="N1528" s="1">
        <f>value(JPY!$B1528)</f>
        <v>114.7845984</v>
      </c>
      <c r="O1528" s="1">
        <f>value(SAR!$B1528)</f>
        <v>3197.683681</v>
      </c>
      <c r="P1528" s="1">
        <f>value(AED!$B1528)</f>
        <v>3343.7313</v>
      </c>
      <c r="Q1528" s="1">
        <f>value(KWD!$B1528)</f>
        <v>42187.48852</v>
      </c>
    </row>
    <row r="1529">
      <c r="A1529" s="4">
        <f>value(USD!A1529)</f>
        <v>41839.99861</v>
      </c>
      <c r="B1529" s="1">
        <f>value(USD!B1529)</f>
        <v>11641.44</v>
      </c>
      <c r="C1529" s="1">
        <f>value(AUD!$B1529)</f>
        <v>10932.08472</v>
      </c>
      <c r="D1529" s="1">
        <f>value(EUR!$B1529)</f>
        <v>15631.8944</v>
      </c>
      <c r="E1529" s="1">
        <f>value(GBP!$B1529)</f>
        <v>19735.232</v>
      </c>
      <c r="F1529" s="1">
        <f>value(CHF!$B1529)</f>
        <v>12832.8402</v>
      </c>
      <c r="G1529" s="1">
        <f>value(SGD!$B1529)</f>
        <v>9321.5216</v>
      </c>
      <c r="H1529" s="1">
        <f>value(MYR!$B1529)</f>
        <v>3577.1264</v>
      </c>
      <c r="I1529" s="1">
        <f>value(THB!$B1529)</f>
        <v>362.0592</v>
      </c>
      <c r="J1529" s="1">
        <f>value(VND!$B1529)</f>
        <v>0.5921458684</v>
      </c>
      <c r="K1529" s="1">
        <f>value(CNY!$B1529)</f>
        <v>1929.8279</v>
      </c>
      <c r="L1529" s="1">
        <f>value(HKD!$B1529)</f>
        <v>1491.24</v>
      </c>
      <c r="M1529" s="1">
        <f>value(TWD!$B1529)</f>
        <v>385.6416</v>
      </c>
      <c r="N1529" s="1">
        <f>value(JPY!$B1529)</f>
        <v>113.99316</v>
      </c>
      <c r="O1529" s="1">
        <f>value(SAR!$B1529)</f>
        <v>3203.501048</v>
      </c>
      <c r="P1529" s="1">
        <f>value(AED!$B1529)</f>
        <v>3376.920929</v>
      </c>
      <c r="Q1529" s="1">
        <f>value(KWD!$B1529)</f>
        <v>42196.1863</v>
      </c>
    </row>
    <row r="1530">
      <c r="A1530" s="4">
        <f>value(USD!A1530)</f>
        <v>41840.99861</v>
      </c>
      <c r="B1530" s="1">
        <f>value(USD!B1530)</f>
        <v>11641.44</v>
      </c>
      <c r="C1530" s="1">
        <f>value(AUD!$B1530)</f>
        <v>11042.591</v>
      </c>
      <c r="D1530" s="1">
        <f>value(EUR!$B1530)</f>
        <v>15593.628</v>
      </c>
      <c r="E1530" s="1">
        <f>value(GBP!$B1530)</f>
        <v>19761.849</v>
      </c>
      <c r="F1530" s="1">
        <f>value(CHF!$B1530)</f>
        <v>12723.083</v>
      </c>
      <c r="G1530" s="1">
        <f>value(SGD!$B1530)</f>
        <v>9335.796</v>
      </c>
      <c r="H1530" s="1">
        <f>value(MYR!$B1530)</f>
        <v>3576.0198</v>
      </c>
      <c r="I1530" s="1">
        <f>value(THB!$B1530)</f>
        <v>364.191</v>
      </c>
      <c r="J1530" s="1">
        <f>value(VND!$B1530)</f>
        <v>0.5835283003</v>
      </c>
      <c r="K1530" s="1">
        <f>value(CNY!$B1530)</f>
        <v>1933.4518</v>
      </c>
      <c r="L1530" s="1">
        <f>value(HKD!$B1530)</f>
        <v>1493.82</v>
      </c>
      <c r="M1530" s="1">
        <f>value(TWD!$B1530)</f>
        <v>385.614</v>
      </c>
      <c r="N1530" s="1">
        <f>value(JPY!$B1530)</f>
        <v>114.063</v>
      </c>
      <c r="O1530" s="1">
        <f>value(SAR!$B1530)</f>
        <v>3199.530187</v>
      </c>
      <c r="P1530" s="1">
        <f>value(AED!$B1530)</f>
        <v>3343.7313</v>
      </c>
      <c r="Q1530" s="1">
        <f>value(KWD!$B1530)</f>
        <v>42246.97249</v>
      </c>
    </row>
    <row r="1531">
      <c r="A1531" s="4">
        <f>value(USD!A1531)</f>
        <v>41841.99861</v>
      </c>
      <c r="B1531" s="1">
        <f>value(USD!B1531)</f>
        <v>11560</v>
      </c>
      <c r="C1531" s="1">
        <f>value(AUD!$B1531)</f>
        <v>10990.54983</v>
      </c>
      <c r="D1531" s="1">
        <f>value(EUR!$B1531)</f>
        <v>15456.513</v>
      </c>
      <c r="E1531" s="1">
        <f>value(GBP!$B1531)</f>
        <v>19563.549</v>
      </c>
      <c r="F1531" s="1">
        <f>value(CHF!$B1531)</f>
        <v>12798.4608</v>
      </c>
      <c r="G1531" s="1">
        <f>value(SGD!$B1531)</f>
        <v>9280.68395</v>
      </c>
      <c r="H1531" s="1">
        <f>value(MYR!$B1531)</f>
        <v>3555.5263</v>
      </c>
      <c r="I1531" s="1">
        <f>value(THB!$B1531)</f>
        <v>360.97355</v>
      </c>
      <c r="J1531" s="1">
        <f>value(VND!$B1531)</f>
        <v>0.5807206261</v>
      </c>
      <c r="K1531" s="1">
        <f>value(CNY!$B1531)</f>
        <v>1936.547309</v>
      </c>
      <c r="L1531" s="1">
        <f>value(HKD!$B1531)</f>
        <v>1481.67985</v>
      </c>
      <c r="M1531" s="1">
        <f>value(TWD!$B1531)</f>
        <v>382.9099</v>
      </c>
      <c r="N1531" s="1">
        <f>value(JPY!$B1531)</f>
        <v>113.092795</v>
      </c>
      <c r="O1531" s="1">
        <f>value(SAR!$B1531)</f>
        <v>3194.811433</v>
      </c>
      <c r="P1531" s="1">
        <f>value(AED!$B1531)</f>
        <v>3343.7313</v>
      </c>
      <c r="Q1531" s="1">
        <f>value(KWD!$B1531)</f>
        <v>42769.3768</v>
      </c>
    </row>
    <row r="1532">
      <c r="A1532" s="4">
        <f>value(USD!A1532)</f>
        <v>41842.99861</v>
      </c>
      <c r="B1532" s="1">
        <f>value(USD!B1532)</f>
        <v>11580</v>
      </c>
      <c r="C1532" s="1">
        <f>value(AUD!$B1532)</f>
        <v>11051.06464</v>
      </c>
      <c r="D1532" s="1">
        <f>value(EUR!$B1532)</f>
        <v>15552.4576</v>
      </c>
      <c r="E1532" s="1">
        <f>value(GBP!$B1532)</f>
        <v>19620.60992</v>
      </c>
      <c r="F1532" s="1">
        <f>value(CHF!$B1532)</f>
        <v>12774.905</v>
      </c>
      <c r="G1532" s="1">
        <f>value(SGD!$B1532)</f>
        <v>9307.09984</v>
      </c>
      <c r="H1532" s="1">
        <f>value(MYR!$B1532)</f>
        <v>3568.52832</v>
      </c>
      <c r="I1532" s="1">
        <f>value(THB!$B1532)</f>
        <v>362.38624</v>
      </c>
      <c r="J1532" s="1">
        <f>value(VND!$B1532)</f>
        <v>0.5904181848</v>
      </c>
      <c r="K1532" s="1">
        <f>value(CNY!$B1532)</f>
        <v>1942.023498</v>
      </c>
      <c r="L1532" s="1">
        <f>value(HKD!$B1532)</f>
        <v>1490.55456</v>
      </c>
      <c r="M1532" s="1">
        <f>value(TWD!$B1532)</f>
        <v>385.14368</v>
      </c>
      <c r="N1532" s="1">
        <f>value(JPY!$B1532)</f>
        <v>113.475296</v>
      </c>
      <c r="O1532" s="1">
        <f>value(SAR!$B1532)</f>
        <v>3184.545176</v>
      </c>
      <c r="P1532" s="1">
        <f>value(AED!$B1532)</f>
        <v>3343.7313</v>
      </c>
      <c r="Q1532" s="1">
        <f>value(KWD!$B1532)</f>
        <v>43280.70129</v>
      </c>
    </row>
    <row r="1533">
      <c r="A1533" s="4">
        <f>value(USD!A1533)</f>
        <v>41843.99861</v>
      </c>
      <c r="B1533" s="1">
        <f>value(USD!B1533)</f>
        <v>11485</v>
      </c>
      <c r="C1533" s="1">
        <f>value(AUD!$B1533)</f>
        <v>10968.1203</v>
      </c>
      <c r="D1533" s="1">
        <f>value(EUR!$B1533)</f>
        <v>15524.68885</v>
      </c>
      <c r="E1533" s="1">
        <f>value(GBP!$B1533)</f>
        <v>19622.4853</v>
      </c>
      <c r="F1533" s="1">
        <f>value(CHF!$B1533)</f>
        <v>12804.1654</v>
      </c>
      <c r="G1533" s="1">
        <f>value(SGD!$B1533)</f>
        <v>9304.87085</v>
      </c>
      <c r="H1533" s="1">
        <f>value(MYR!$B1533)</f>
        <v>3568.76509</v>
      </c>
      <c r="I1533" s="1">
        <f>value(THB!$B1533)</f>
        <v>362.66857</v>
      </c>
      <c r="J1533" s="1">
        <f>value(VND!$B1533)</f>
        <v>0.589016401</v>
      </c>
      <c r="K1533" s="1">
        <f>value(CNY!$B1533)</f>
        <v>1943.13735</v>
      </c>
      <c r="L1533" s="1">
        <f>value(HKD!$B1533)</f>
        <v>1491.60022</v>
      </c>
      <c r="M1533" s="1">
        <f>value(TWD!$B1533)</f>
        <v>384.9813</v>
      </c>
      <c r="N1533" s="1">
        <f>value(JPY!$B1533)</f>
        <v>113.52902</v>
      </c>
      <c r="O1533" s="1">
        <f>value(SAR!$B1533)</f>
        <v>3196.946646</v>
      </c>
      <c r="P1533" s="1">
        <f>value(AED!$B1533)</f>
        <v>3393.05175</v>
      </c>
      <c r="Q1533" s="1">
        <f>value(KWD!$B1533)</f>
        <v>43375.78643</v>
      </c>
    </row>
    <row r="1534">
      <c r="A1534" s="4">
        <f>value(USD!A1534)</f>
        <v>41844.99861</v>
      </c>
      <c r="B1534" s="1">
        <f>value(USD!B1534)</f>
        <v>11552</v>
      </c>
      <c r="C1534" s="1">
        <f>value(AUD!$B1534)</f>
        <v>10861.2525</v>
      </c>
      <c r="D1534" s="1">
        <f>value(EUR!$B1534)</f>
        <v>15561.98564</v>
      </c>
      <c r="E1534" s="1">
        <f>value(GBP!$B1534)</f>
        <v>19669.7473</v>
      </c>
      <c r="F1534" s="1">
        <f>value(CHF!$B1534)</f>
        <v>12806.48289</v>
      </c>
      <c r="G1534" s="1">
        <f>value(SGD!$B1534)</f>
        <v>9326.183278</v>
      </c>
      <c r="H1534" s="1">
        <f>value(MYR!$B1534)</f>
        <v>3577.286825</v>
      </c>
      <c r="I1534" s="1">
        <f>value(THB!$B1534)</f>
        <v>363.4992476</v>
      </c>
      <c r="J1534" s="1">
        <f>value(VND!$B1534)</f>
        <v>0.5882632116</v>
      </c>
      <c r="K1534" s="1">
        <f>value(CNY!$B1534)</f>
        <v>1949.36025</v>
      </c>
      <c r="L1534" s="1">
        <f>value(HKD!$B1534)</f>
        <v>1494.900794</v>
      </c>
      <c r="M1534" s="1">
        <f>value(TWD!$B1534)</f>
        <v>385.9789588</v>
      </c>
      <c r="N1534" s="1">
        <f>value(JPY!$B1534)</f>
        <v>113.7890536</v>
      </c>
      <c r="O1534" s="1">
        <f>value(SAR!$B1534)</f>
        <v>3216.249353</v>
      </c>
      <c r="P1534" s="1">
        <f>value(AED!$B1534)</f>
        <v>3433.617</v>
      </c>
      <c r="Q1534" s="1">
        <f>value(KWD!$B1534)</f>
        <v>43375.78643</v>
      </c>
    </row>
    <row r="1535">
      <c r="A1535" s="4">
        <f>value(USD!A1535)</f>
        <v>41845.99861</v>
      </c>
      <c r="B1535" s="1">
        <f>value(USD!B1535)</f>
        <v>11561</v>
      </c>
      <c r="C1535" s="1">
        <f>value(AUD!$B1535)</f>
        <v>10991.3784</v>
      </c>
      <c r="D1535" s="1">
        <f>value(EUR!$B1535)</f>
        <v>15563.14438</v>
      </c>
      <c r="E1535" s="1">
        <f>value(GBP!$B1535)</f>
        <v>19673.22354</v>
      </c>
      <c r="F1535" s="1">
        <f>value(CHF!$B1535)</f>
        <v>12785.3099</v>
      </c>
      <c r="G1535" s="1">
        <f>value(SGD!$B1535)</f>
        <v>9329.659522</v>
      </c>
      <c r="H1535" s="1">
        <f>value(MYR!$B1535)</f>
        <v>3577.518575</v>
      </c>
      <c r="I1535" s="1">
        <f>value(THB!$B1535)</f>
        <v>363.6151224</v>
      </c>
      <c r="J1535" s="1">
        <f>value(VND!$B1535)</f>
        <v>0.5796491137</v>
      </c>
      <c r="K1535" s="1">
        <f>value(CNY!$B1535)</f>
        <v>1947.53322</v>
      </c>
      <c r="L1535" s="1">
        <f>value(HKD!$B1535)</f>
        <v>1495.016669</v>
      </c>
      <c r="M1535" s="1">
        <f>value(TWD!$B1535)</f>
        <v>385.9789588</v>
      </c>
      <c r="N1535" s="1">
        <f>value(JPY!$B1535)</f>
        <v>113.7890536</v>
      </c>
      <c r="O1535" s="1">
        <f>value(SAR!$B1535)</f>
        <v>3219.38665</v>
      </c>
      <c r="P1535" s="1">
        <f>value(AED!$B1535)</f>
        <v>3436.615446</v>
      </c>
      <c r="Q1535" s="1">
        <f>value(KWD!$B1535)</f>
        <v>44139.86565</v>
      </c>
    </row>
    <row r="1536">
      <c r="A1536" s="4">
        <f>value(USD!A1536)</f>
        <v>41846.99861</v>
      </c>
      <c r="B1536" s="1">
        <f>value(USD!B1536)</f>
        <v>11587.48</v>
      </c>
      <c r="C1536" s="1">
        <f>value(AUD!$B1536)</f>
        <v>10941.5469</v>
      </c>
      <c r="D1536" s="1">
        <f>value(EUR!$B1536)</f>
        <v>15534.5157</v>
      </c>
      <c r="E1536" s="1">
        <f>value(GBP!$B1536)</f>
        <v>19630.578</v>
      </c>
      <c r="F1536" s="1">
        <f>value(CHF!$B1536)</f>
        <v>12748.3147</v>
      </c>
      <c r="G1536" s="1">
        <f>value(SGD!$B1536)</f>
        <v>9310.53574</v>
      </c>
      <c r="H1536" s="1">
        <f>value(MYR!$B1536)</f>
        <v>3574.6612</v>
      </c>
      <c r="I1536" s="1">
        <f>value(THB!$B1536)</f>
        <v>363.0154</v>
      </c>
      <c r="J1536" s="1">
        <f>value(VND!$B1536)</f>
        <v>0.5925081801</v>
      </c>
      <c r="K1536" s="1">
        <f>value(CNY!$B1536)</f>
        <v>1949.39103</v>
      </c>
      <c r="L1536" s="1">
        <f>value(HKD!$B1536)</f>
        <v>1491.60022</v>
      </c>
      <c r="M1536" s="1">
        <f>value(TWD!$B1536)</f>
        <v>385.67496</v>
      </c>
      <c r="N1536" s="1">
        <f>value(JPY!$B1536)</f>
        <v>113.494337</v>
      </c>
      <c r="O1536" s="1">
        <f>value(SAR!$B1536)</f>
        <v>3216.296423</v>
      </c>
      <c r="P1536" s="1">
        <f>value(AED!$B1536)</f>
        <v>3436.615446</v>
      </c>
      <c r="Q1536" s="1">
        <f>value(KWD!$B1536)</f>
        <v>43620.81339</v>
      </c>
    </row>
    <row r="1537">
      <c r="A1537" s="4">
        <f>value(USD!A1537)</f>
        <v>41847.99861</v>
      </c>
      <c r="B1537" s="1">
        <f>value(USD!B1537)</f>
        <v>11587.48</v>
      </c>
      <c r="C1537" s="1">
        <f>value(AUD!$B1537)</f>
        <v>10892.313</v>
      </c>
      <c r="D1537" s="1">
        <f>value(EUR!$B1537)</f>
        <v>15503.64783</v>
      </c>
      <c r="E1537" s="1">
        <f>value(GBP!$B1537)</f>
        <v>19588.9584</v>
      </c>
      <c r="F1537" s="1">
        <f>value(CHF!$B1537)</f>
        <v>12719.4122</v>
      </c>
      <c r="G1537" s="1">
        <f>value(SGD!$B1537)</f>
        <v>9302.09621</v>
      </c>
      <c r="H1537" s="1">
        <f>value(MYR!$B1537)</f>
        <v>3567.84021</v>
      </c>
      <c r="I1537" s="1">
        <f>value(THB!$B1537)</f>
        <v>362.78418</v>
      </c>
      <c r="J1537" s="1">
        <f>value(VND!$B1537)</f>
        <v>0.5998764583</v>
      </c>
      <c r="K1537" s="1">
        <f>value(CNY!$B1537)</f>
        <v>1949.75393</v>
      </c>
      <c r="L1537" s="1">
        <f>value(HKD!$B1537)</f>
        <v>1491.71583</v>
      </c>
      <c r="M1537" s="1">
        <f>value(TWD!$B1537)</f>
        <v>384.9813</v>
      </c>
      <c r="N1537" s="1">
        <f>value(JPY!$B1537)</f>
        <v>113.18219</v>
      </c>
      <c r="O1537" s="1">
        <f>value(SAR!$B1537)</f>
        <v>3240.459024</v>
      </c>
      <c r="P1537" s="1">
        <f>value(AED!$B1537)</f>
        <v>3497.513</v>
      </c>
      <c r="Q1537" s="1">
        <f>value(KWD!$B1537)</f>
        <v>43360.58078</v>
      </c>
    </row>
    <row r="1538">
      <c r="A1538" s="4">
        <f>value(USD!A1538)</f>
        <v>41848.99861</v>
      </c>
      <c r="B1538" s="1">
        <f>value(USD!B1538)</f>
        <v>11561</v>
      </c>
      <c r="C1538" s="1">
        <f>value(AUD!$B1538)</f>
        <v>10963.35607</v>
      </c>
      <c r="D1538" s="1">
        <f>value(EUR!$B1538)</f>
        <v>15485.9595</v>
      </c>
      <c r="E1538" s="1">
        <f>value(GBP!$B1538)</f>
        <v>19549.99783</v>
      </c>
      <c r="F1538" s="1">
        <f>value(CHF!$B1538)</f>
        <v>12939.4522</v>
      </c>
      <c r="G1538" s="1">
        <f>value(SGD!$B1538)</f>
        <v>9289.84155</v>
      </c>
      <c r="H1538" s="1">
        <f>value(MYR!$B1538)</f>
        <v>3563.33142</v>
      </c>
      <c r="I1538" s="1">
        <f>value(THB!$B1538)</f>
        <v>361.62808</v>
      </c>
      <c r="J1538" s="1">
        <f>value(VND!$B1538)</f>
        <v>0.598900314</v>
      </c>
      <c r="K1538" s="1">
        <f>value(CNY!$B1538)</f>
        <v>1953.18096</v>
      </c>
      <c r="L1538" s="1">
        <f>value(HKD!$B1538)</f>
        <v>1491.71583</v>
      </c>
      <c r="M1538" s="1">
        <f>value(TWD!$B1538)</f>
        <v>385.55935</v>
      </c>
      <c r="N1538" s="1">
        <f>value(JPY!$B1538)</f>
        <v>112.361359</v>
      </c>
      <c r="O1538" s="1">
        <f>value(SAR!$B1538)</f>
        <v>3249.352755</v>
      </c>
      <c r="P1538" s="1">
        <f>value(AED!$B1538)</f>
        <v>3458.0469</v>
      </c>
      <c r="Q1538" s="1">
        <f>value(KWD!$B1538)</f>
        <v>42741.17952</v>
      </c>
    </row>
    <row r="1539">
      <c r="A1539" s="4">
        <f>value(USD!A1539)</f>
        <v>41849.99861</v>
      </c>
      <c r="B1539" s="1">
        <f>value(USD!B1539)</f>
        <v>11561</v>
      </c>
      <c r="C1539" s="1">
        <f>value(AUD!$B1539)</f>
        <v>10838.763</v>
      </c>
      <c r="D1539" s="1">
        <f>value(EUR!$B1539)</f>
        <v>15744.4507</v>
      </c>
      <c r="E1539" s="1">
        <f>value(GBP!$B1539)</f>
        <v>19859.6246</v>
      </c>
      <c r="F1539" s="1">
        <f>value(CHF!$B1539)</f>
        <v>13094.544</v>
      </c>
      <c r="G1539" s="1">
        <f>value(SGD!$B1539)</f>
        <v>9422.79559</v>
      </c>
      <c r="H1539" s="1">
        <f>value(MYR!$B1539)</f>
        <v>3611.8031</v>
      </c>
      <c r="I1539" s="1">
        <f>value(THB!$B1539)</f>
        <v>365.17905</v>
      </c>
      <c r="J1539" s="1">
        <f>value(VND!$B1539)</f>
        <v>0.6033296848</v>
      </c>
      <c r="K1539" s="1">
        <f>value(CNY!$B1539)</f>
        <v>1949.219376</v>
      </c>
      <c r="L1539" s="1">
        <f>value(HKD!$B1539)</f>
        <v>1517.40422</v>
      </c>
      <c r="M1539" s="1">
        <f>value(TWD!$B1539)</f>
        <v>391.6413</v>
      </c>
      <c r="N1539" s="1">
        <f>value(JPY!$B1539)</f>
        <v>114.375725</v>
      </c>
      <c r="O1539" s="1">
        <f>value(SAR!$B1539)</f>
        <v>3236.651781</v>
      </c>
      <c r="P1539" s="1">
        <f>value(AED!$B1539)</f>
        <v>3449.33714</v>
      </c>
      <c r="Q1539" s="1">
        <f>value(KWD!$B1539)</f>
        <v>42323.74487</v>
      </c>
    </row>
    <row r="1540">
      <c r="A1540" s="4">
        <f>value(USD!A1540)</f>
        <v>41850.99861</v>
      </c>
      <c r="B1540" s="1">
        <f>value(USD!B1540)</f>
        <v>11561</v>
      </c>
      <c r="C1540" s="1">
        <f>value(AUD!$B1540)</f>
        <v>10822.688</v>
      </c>
      <c r="D1540" s="1">
        <f>value(EUR!$B1540)</f>
        <v>15927.78107</v>
      </c>
      <c r="E1540" s="1">
        <f>value(GBP!$B1540)</f>
        <v>19947.59258</v>
      </c>
      <c r="F1540" s="1">
        <f>value(CHF!$B1540)</f>
        <v>13033.05184</v>
      </c>
      <c r="G1540" s="1">
        <f>value(SGD!$B1540)</f>
        <v>9512.16617</v>
      </c>
      <c r="H1540" s="1">
        <f>value(MYR!$B1540)</f>
        <v>3634.80345</v>
      </c>
      <c r="I1540" s="1">
        <f>value(THB!$B1540)</f>
        <v>368.99571</v>
      </c>
      <c r="J1540" s="1">
        <f>value(VND!$B1540)</f>
        <v>0.5987369988</v>
      </c>
      <c r="K1540" s="1">
        <f>value(CNY!$B1540)</f>
        <v>1952.2458</v>
      </c>
      <c r="L1540" s="1">
        <f>value(HKD!$B1540)</f>
        <v>1530.30622</v>
      </c>
      <c r="M1540" s="1">
        <f>value(TWD!$B1540)</f>
        <v>395.92018</v>
      </c>
      <c r="N1540" s="1">
        <f>value(JPY!$B1540)</f>
        <v>115.52614</v>
      </c>
      <c r="O1540" s="1">
        <f>value(SAR!$B1540)</f>
        <v>3232.107548</v>
      </c>
      <c r="P1540" s="1">
        <f>value(AED!$B1540)</f>
        <v>3396.8064</v>
      </c>
      <c r="Q1540" s="1">
        <f>value(KWD!$B1540)</f>
        <v>42624.51368</v>
      </c>
    </row>
    <row r="1541">
      <c r="A1541" s="4">
        <f>value(USD!A1541)</f>
        <v>41851.99861</v>
      </c>
      <c r="B1541" s="1">
        <f>value(USD!B1541)</f>
        <v>11761</v>
      </c>
      <c r="C1541" s="1">
        <f>value(AUD!$B1541)</f>
        <v>10872.1998</v>
      </c>
      <c r="D1541" s="1">
        <f>value(EUR!$B1541)</f>
        <v>15855.95491</v>
      </c>
      <c r="E1541" s="1">
        <f>value(GBP!$B1541)</f>
        <v>19858.31434</v>
      </c>
      <c r="F1541" s="1">
        <f>value(CHF!$B1541)</f>
        <v>13105.69568</v>
      </c>
      <c r="G1541" s="1">
        <f>value(SGD!$B1541)</f>
        <v>9468.354548</v>
      </c>
      <c r="H1541" s="1">
        <f>value(MYR!$B1541)</f>
        <v>3617.944022</v>
      </c>
      <c r="I1541" s="1">
        <f>value(THB!$B1541)</f>
        <v>367.2961707</v>
      </c>
      <c r="J1541" s="1">
        <f>value(VND!$B1541)</f>
        <v>0.5977355959</v>
      </c>
      <c r="K1541" s="1">
        <f>value(CNY!$B1541)</f>
        <v>1950.5115</v>
      </c>
      <c r="L1541" s="1">
        <f>value(HKD!$B1541)</f>
        <v>1523.139793</v>
      </c>
      <c r="M1541" s="1">
        <f>value(TWD!$B1541)</f>
        <v>394.0966306</v>
      </c>
      <c r="N1541" s="1">
        <f>value(JPY!$B1541)</f>
        <v>114.9940438</v>
      </c>
      <c r="O1541" s="1">
        <f>value(SAR!$B1541)</f>
        <v>3247.054332</v>
      </c>
      <c r="P1541" s="1">
        <f>value(AED!$B1541)</f>
        <v>3366.91575</v>
      </c>
      <c r="Q1541" s="1">
        <f>value(KWD!$B1541)</f>
        <v>42438.62902</v>
      </c>
    </row>
    <row r="1542">
      <c r="A1542" s="4">
        <f>value(USD!A1542)</f>
        <v>41852.99861</v>
      </c>
      <c r="B1542" s="1">
        <f>value(USD!B1542)</f>
        <v>11861</v>
      </c>
      <c r="C1542" s="1">
        <f>value(AUD!$B1542)</f>
        <v>10872.939</v>
      </c>
      <c r="D1542" s="1">
        <f>value(EUR!$B1542)</f>
        <v>15941.7991</v>
      </c>
      <c r="E1542" s="1">
        <f>value(GBP!$B1542)</f>
        <v>19972.67641</v>
      </c>
      <c r="F1542" s="1">
        <f>value(CHF!$B1542)</f>
        <v>12961.063</v>
      </c>
      <c r="G1542" s="1">
        <f>value(SGD!$B1542)</f>
        <v>9520.186368</v>
      </c>
      <c r="H1542" s="1">
        <f>value(MYR!$B1542)</f>
        <v>3637.528294</v>
      </c>
      <c r="I1542" s="1">
        <f>value(THB!$B1542)</f>
        <v>369.2397632</v>
      </c>
      <c r="J1542" s="1">
        <f>value(VND!$B1542)</f>
        <v>0.5974310143</v>
      </c>
      <c r="K1542" s="1">
        <f>value(CNY!$B1542)</f>
        <v>1946.11185</v>
      </c>
      <c r="L1542" s="1">
        <f>value(HKD!$B1542)</f>
        <v>1532.422214</v>
      </c>
      <c r="M1542" s="1">
        <f>value(TWD!$B1542)</f>
        <v>396.1993728</v>
      </c>
      <c r="N1542" s="1">
        <f>value(JPY!$B1542)</f>
        <v>115.79568</v>
      </c>
      <c r="O1542" s="1">
        <f>value(SAR!$B1542)</f>
        <v>3254.548747</v>
      </c>
      <c r="P1542" s="1">
        <f>value(AED!$B1542)</f>
        <v>3391.3628</v>
      </c>
      <c r="Q1542" s="1">
        <f>value(KWD!$B1542)</f>
        <v>42625.19093</v>
      </c>
    </row>
    <row r="1543">
      <c r="A1543" s="4">
        <f>value(USD!A1543)</f>
        <v>41853.99861</v>
      </c>
      <c r="B1543" s="1">
        <f>value(USD!B1543)</f>
        <v>11806.37</v>
      </c>
      <c r="C1543" s="1">
        <f>value(AUD!$B1543)</f>
        <v>10871.77728</v>
      </c>
      <c r="D1543" s="1">
        <f>value(EUR!$B1543)</f>
        <v>15775.32755</v>
      </c>
      <c r="E1543" s="1">
        <f>value(GBP!$B1543)</f>
        <v>19819.28265</v>
      </c>
      <c r="F1543" s="1">
        <f>value(CHF!$B1543)</f>
        <v>12833.16</v>
      </c>
      <c r="G1543" s="1">
        <f>value(SGD!$B1543)</f>
        <v>9429.3908</v>
      </c>
      <c r="H1543" s="1">
        <f>value(MYR!$B1543)</f>
        <v>3604.3181</v>
      </c>
      <c r="I1543" s="1">
        <f>value(THB!$B1543)</f>
        <v>365.3454</v>
      </c>
      <c r="J1543" s="1">
        <f>value(VND!$B1543)</f>
        <v>0.5992382709</v>
      </c>
      <c r="K1543" s="1">
        <f>value(CNY!$B1543)</f>
        <v>1952.414</v>
      </c>
      <c r="L1543" s="1">
        <f>value(HKD!$B1543)</f>
        <v>1516.74765</v>
      </c>
      <c r="M1543" s="1">
        <f>value(TWD!$B1543)</f>
        <v>391.79415</v>
      </c>
      <c r="N1543" s="1">
        <f>value(JPY!$B1543)</f>
        <v>114.58774</v>
      </c>
      <c r="O1543" s="1">
        <f>value(SAR!$B1543)</f>
        <v>3241.014923</v>
      </c>
      <c r="P1543" s="1">
        <f>value(AED!$B1543)</f>
        <v>3379.1147</v>
      </c>
      <c r="Q1543" s="1">
        <f>value(KWD!$B1543)</f>
        <v>42677.7021</v>
      </c>
    </row>
    <row r="1544">
      <c r="A1544" s="4">
        <f>value(USD!A1544)</f>
        <v>41854.99861</v>
      </c>
      <c r="B1544" s="1">
        <f>value(USD!B1544)</f>
        <v>11876.48</v>
      </c>
      <c r="C1544" s="1">
        <f>value(AUD!$B1544)</f>
        <v>10882.35702</v>
      </c>
      <c r="D1544" s="1">
        <f>value(EUR!$B1544)</f>
        <v>15609.475</v>
      </c>
      <c r="E1544" s="1">
        <f>value(GBP!$B1544)</f>
        <v>19706.2325</v>
      </c>
      <c r="F1544" s="1">
        <f>value(CHF!$B1544)</f>
        <v>12952.6128</v>
      </c>
      <c r="G1544" s="1">
        <f>value(SGD!$B1544)</f>
        <v>9352.142</v>
      </c>
      <c r="H1544" s="1">
        <f>value(MYR!$B1544)</f>
        <v>3566.12875</v>
      </c>
      <c r="I1544" s="1">
        <f>value(THB!$B1544)</f>
        <v>362.1585</v>
      </c>
      <c r="J1544" s="1">
        <f>value(VND!$B1544)</f>
        <v>0.5981134705</v>
      </c>
      <c r="K1544" s="1">
        <f>value(CNY!$B1544)</f>
        <v>1966.6805</v>
      </c>
      <c r="L1544" s="1">
        <f>value(HKD!$B1544)</f>
        <v>1506.3085</v>
      </c>
      <c r="M1544" s="1">
        <f>value(TWD!$B1544)</f>
        <v>387.61</v>
      </c>
      <c r="N1544" s="1">
        <f>value(JPY!$B1544)</f>
        <v>113.749525</v>
      </c>
      <c r="O1544" s="1">
        <f>value(SAR!$B1544)</f>
        <v>3260.393826</v>
      </c>
      <c r="P1544" s="1">
        <f>value(AED!$B1544)</f>
        <v>3394.9575</v>
      </c>
      <c r="Q1544" s="1">
        <f>value(KWD!$B1544)</f>
        <v>42472.3563</v>
      </c>
    </row>
    <row r="1545">
      <c r="A1545" s="4">
        <f>value(USD!A1545)</f>
        <v>41855.99861</v>
      </c>
      <c r="B1545" s="1">
        <f>value(USD!B1545)</f>
        <v>11755</v>
      </c>
      <c r="C1545" s="1">
        <f>value(AUD!$B1545)</f>
        <v>10888.096</v>
      </c>
      <c r="D1545" s="1">
        <f>value(EUR!$B1545)</f>
        <v>15733.3798</v>
      </c>
      <c r="E1545" s="1">
        <f>value(GBP!$B1545)</f>
        <v>19815.7574</v>
      </c>
      <c r="F1545" s="1">
        <f>value(CHF!$B1545)</f>
        <v>12987.7</v>
      </c>
      <c r="G1545" s="1">
        <f>value(SGD!$B1545)</f>
        <v>9415.10092</v>
      </c>
      <c r="H1545" s="1">
        <f>value(MYR!$B1545)</f>
        <v>3617.81902</v>
      </c>
      <c r="I1545" s="1">
        <f>value(THB!$B1545)</f>
        <v>365.20348</v>
      </c>
      <c r="J1545" s="1">
        <f>value(VND!$B1545)</f>
        <v>0.5935640389</v>
      </c>
      <c r="K1545" s="1">
        <f>value(CNY!$B1545)</f>
        <v>1960.795136</v>
      </c>
      <c r="L1545" s="1">
        <f>value(HKD!$B1545)</f>
        <v>1517.01716</v>
      </c>
      <c r="M1545" s="1">
        <f>value(TWD!$B1545)</f>
        <v>392.95236</v>
      </c>
      <c r="N1545" s="1">
        <f>value(JPY!$B1545)</f>
        <v>115.11082</v>
      </c>
      <c r="O1545" s="1">
        <f>value(SAR!$B1545)</f>
        <v>3258.519818</v>
      </c>
      <c r="P1545" s="1">
        <f>value(AED!$B1545)</f>
        <v>3394.0846</v>
      </c>
      <c r="Q1545" s="1">
        <f>value(KWD!$B1545)</f>
        <v>42388.51765</v>
      </c>
    </row>
    <row r="1546">
      <c r="A1546" s="4">
        <f>value(USD!A1546)</f>
        <v>41856.99861</v>
      </c>
      <c r="B1546" s="1">
        <f>value(USD!B1546)</f>
        <v>11675</v>
      </c>
      <c r="C1546" s="1">
        <f>value(AUD!$B1546)</f>
        <v>10845.4237</v>
      </c>
      <c r="D1546" s="1">
        <f>value(EUR!$B1546)</f>
        <v>15772.9713</v>
      </c>
      <c r="E1546" s="1">
        <f>value(GBP!$B1546)</f>
        <v>19872.3617</v>
      </c>
      <c r="F1546" s="1">
        <f>value(CHF!$B1546)</f>
        <v>12968.829</v>
      </c>
      <c r="G1546" s="1">
        <f>value(SGD!$B1546)</f>
        <v>9426.7088</v>
      </c>
      <c r="H1546" s="1">
        <f>value(MYR!$B1546)</f>
        <v>3609.63604</v>
      </c>
      <c r="I1546" s="1">
        <f>value(THB!$B1546)</f>
        <v>366.017</v>
      </c>
      <c r="J1546" s="1">
        <f>value(VND!$B1546)</f>
        <v>0.5993901269</v>
      </c>
      <c r="K1546" s="1">
        <f>value(CNY!$B1546)</f>
        <v>1950.300569</v>
      </c>
      <c r="L1546" s="1">
        <f>value(HKD!$B1546)</f>
        <v>1523.22107</v>
      </c>
      <c r="M1546" s="1">
        <f>value(TWD!$B1546)</f>
        <v>392.70082</v>
      </c>
      <c r="N1546" s="1">
        <f>value(JPY!$B1546)</f>
        <v>115.661372</v>
      </c>
      <c r="O1546" s="1">
        <f>value(SAR!$B1546)</f>
        <v>3253.803032</v>
      </c>
      <c r="P1546" s="1">
        <f>value(AED!$B1546)</f>
        <v>3377.7538</v>
      </c>
      <c r="Q1546" s="1">
        <f>value(KWD!$B1546)</f>
        <v>42411.39838</v>
      </c>
    </row>
    <row r="1547">
      <c r="A1547" s="4">
        <f>value(USD!A1547)</f>
        <v>41857.99861</v>
      </c>
      <c r="B1547" s="1">
        <f>value(USD!B1547)</f>
        <v>11758</v>
      </c>
      <c r="C1547" s="1">
        <f>value(AUD!$B1547)</f>
        <v>10864.971</v>
      </c>
      <c r="D1547" s="1">
        <f>value(EUR!$B1547)</f>
        <v>15748.75305</v>
      </c>
      <c r="E1547" s="1">
        <f>value(GBP!$B1547)</f>
        <v>19698.714</v>
      </c>
      <c r="F1547" s="1">
        <f>value(CHF!$B1547)</f>
        <v>13036.59375</v>
      </c>
      <c r="G1547" s="1">
        <f>value(SGD!$B1547)</f>
        <v>9376.0335</v>
      </c>
      <c r="H1547" s="1">
        <f>value(MYR!$B1547)</f>
        <v>3599.6076</v>
      </c>
      <c r="I1547" s="1">
        <f>value(THB!$B1547)</f>
        <v>365.2695</v>
      </c>
      <c r="J1547" s="1">
        <f>value(VND!$B1547)</f>
        <v>0.6016291027</v>
      </c>
      <c r="K1547" s="1">
        <f>value(CNY!$B1547)</f>
        <v>1974.04636</v>
      </c>
      <c r="L1547" s="1">
        <f>value(HKD!$B1547)</f>
        <v>1515.105</v>
      </c>
      <c r="M1547" s="1">
        <f>value(TWD!$B1547)</f>
        <v>391.69575</v>
      </c>
      <c r="N1547" s="1">
        <f>value(JPY!$B1547)</f>
        <v>115.101</v>
      </c>
      <c r="O1547" s="1">
        <f>value(SAR!$B1547)</f>
        <v>3258.954738</v>
      </c>
      <c r="P1547" s="1">
        <f>value(AED!$B1547)</f>
        <v>3377.26125</v>
      </c>
      <c r="Q1547" s="1">
        <f>value(KWD!$B1547)</f>
        <v>42515.31186</v>
      </c>
    </row>
    <row r="1548">
      <c r="A1548" s="4">
        <f>value(USD!A1548)</f>
        <v>41858.99861</v>
      </c>
      <c r="B1548" s="1">
        <f>value(USD!B1548)</f>
        <v>11807</v>
      </c>
      <c r="C1548" s="1">
        <f>value(AUD!$B1548)</f>
        <v>10873.3464</v>
      </c>
      <c r="D1548" s="1">
        <f>value(EUR!$B1548)</f>
        <v>15837.69045</v>
      </c>
      <c r="E1548" s="1">
        <f>value(GBP!$B1548)</f>
        <v>19808.68036</v>
      </c>
      <c r="F1548" s="1">
        <f>value(CHF!$B1548)</f>
        <v>13048.46228</v>
      </c>
      <c r="G1548" s="1">
        <f>value(SGD!$B1548)</f>
        <v>9425.025171</v>
      </c>
      <c r="H1548" s="1">
        <f>value(MYR!$B1548)</f>
        <v>3618.416277</v>
      </c>
      <c r="I1548" s="1">
        <f>value(THB!$B1548)</f>
        <v>367.178107</v>
      </c>
      <c r="J1548" s="1">
        <f>value(VND!$B1548)</f>
        <v>0.5980765561</v>
      </c>
      <c r="K1548" s="1">
        <f>value(CNY!$B1548)</f>
        <v>1983.7945</v>
      </c>
      <c r="L1548" s="1">
        <f>value(HKD!$B1548)</f>
        <v>1523.02173</v>
      </c>
      <c r="M1548" s="1">
        <f>value(TWD!$B1548)</f>
        <v>393.7424395</v>
      </c>
      <c r="N1548" s="1">
        <f>value(JPY!$B1548)</f>
        <v>115.702426</v>
      </c>
      <c r="O1548" s="1">
        <f>value(SAR!$B1548)</f>
        <v>3262.678438</v>
      </c>
      <c r="P1548" s="1">
        <f>value(AED!$B1548)</f>
        <v>3377.7538</v>
      </c>
      <c r="Q1548" s="1">
        <f>value(KWD!$B1548)</f>
        <v>42373.45308</v>
      </c>
    </row>
    <row r="1549">
      <c r="A1549" s="4">
        <f>value(USD!A1549)</f>
        <v>41859.99861</v>
      </c>
      <c r="B1549" s="1">
        <f>value(USD!B1549)</f>
        <v>11745</v>
      </c>
      <c r="C1549" s="1">
        <f>value(AUD!$B1549)</f>
        <v>10856.8592</v>
      </c>
      <c r="D1549" s="1">
        <f>value(EUR!$B1549)</f>
        <v>15845.38877</v>
      </c>
      <c r="E1549" s="1">
        <f>value(GBP!$B1549)</f>
        <v>19833.3317</v>
      </c>
      <c r="F1549" s="1">
        <f>value(CHF!$B1549)</f>
        <v>12903.93</v>
      </c>
      <c r="G1549" s="1">
        <f>value(SGD!$B1549)</f>
        <v>9441.9614</v>
      </c>
      <c r="H1549" s="1">
        <f>value(MYR!$B1549)</f>
        <v>3621.276298</v>
      </c>
      <c r="I1549" s="1">
        <f>value(THB!$B1549)</f>
        <v>367.4940597</v>
      </c>
      <c r="J1549" s="1">
        <f>value(VND!$B1549)</f>
        <v>0.5925556106</v>
      </c>
      <c r="K1549" s="1">
        <f>value(CNY!$B1549)</f>
        <v>1975.977</v>
      </c>
      <c r="L1549" s="1">
        <f>value(HKD!$B1549)</f>
        <v>1524.82257</v>
      </c>
      <c r="M1549" s="1">
        <f>value(TWD!$B1549)</f>
        <v>394.0898022</v>
      </c>
      <c r="N1549" s="1">
        <f>value(JPY!$B1549)</f>
        <v>115.7210307</v>
      </c>
      <c r="O1549" s="1">
        <f>value(SAR!$B1549)</f>
        <v>3262.678438</v>
      </c>
      <c r="P1549" s="1">
        <f>value(AED!$B1549)</f>
        <v>3380.4756</v>
      </c>
      <c r="Q1549" s="1">
        <f>value(KWD!$B1549)</f>
        <v>42373.45308</v>
      </c>
    </row>
    <row r="1550">
      <c r="A1550" s="4">
        <f>value(USD!A1550)</f>
        <v>41860.99861</v>
      </c>
      <c r="B1550" s="1">
        <f>value(USD!B1550)</f>
        <v>11806.37</v>
      </c>
      <c r="C1550" s="1">
        <f>value(AUD!$B1550)</f>
        <v>10880.83833</v>
      </c>
      <c r="D1550" s="1">
        <f>value(EUR!$B1550)</f>
        <v>15660.45</v>
      </c>
      <c r="E1550" s="1">
        <f>value(GBP!$B1550)</f>
        <v>19639.62</v>
      </c>
      <c r="F1550" s="1">
        <f>value(CHF!$B1550)</f>
        <v>12867.856</v>
      </c>
      <c r="G1550" s="1">
        <f>value(SGD!$B1550)</f>
        <v>9360</v>
      </c>
      <c r="H1550" s="1">
        <f>value(MYR!$B1550)</f>
        <v>3590.145</v>
      </c>
      <c r="I1550" s="1">
        <f>value(THB!$B1550)</f>
        <v>364.338</v>
      </c>
      <c r="J1550" s="1">
        <f>value(VND!$B1550)</f>
        <v>0.5904612284</v>
      </c>
      <c r="K1550" s="1">
        <f>value(CNY!$B1550)</f>
        <v>1972.92368</v>
      </c>
      <c r="L1550" s="1">
        <f>value(HKD!$B1550)</f>
        <v>1509.417</v>
      </c>
      <c r="M1550" s="1">
        <f>value(TWD!$B1550)</f>
        <v>389.727</v>
      </c>
      <c r="N1550" s="1">
        <f>value(JPY!$B1550)</f>
        <v>114.4143</v>
      </c>
      <c r="O1550" s="1">
        <f>value(SAR!$B1550)</f>
        <v>3255.851088</v>
      </c>
      <c r="P1550" s="1">
        <f>value(AED!$B1550)</f>
        <v>3372.3102</v>
      </c>
      <c r="Q1550" s="1">
        <f>value(KWD!$B1550)</f>
        <v>42558.984</v>
      </c>
    </row>
    <row r="1551">
      <c r="A1551" s="4">
        <f>value(USD!A1551)</f>
        <v>41861.99861</v>
      </c>
      <c r="B1551" s="1">
        <f>value(USD!B1551)</f>
        <v>11820.33</v>
      </c>
      <c r="C1551" s="1">
        <f>value(AUD!$B1551)</f>
        <v>10859.8103</v>
      </c>
      <c r="D1551" s="1">
        <f>value(EUR!$B1551)</f>
        <v>15612.656</v>
      </c>
      <c r="E1551" s="1">
        <f>value(GBP!$B1551)</f>
        <v>19632.912</v>
      </c>
      <c r="F1551" s="1">
        <f>value(CHF!$B1551)</f>
        <v>12872.3294</v>
      </c>
      <c r="G1551" s="1">
        <f>value(SGD!$B1551)</f>
        <v>9338.9776</v>
      </c>
      <c r="H1551" s="1">
        <f>value(MYR!$B1551)</f>
        <v>3594.9872</v>
      </c>
      <c r="I1551" s="1">
        <f>value(THB!$B1551)</f>
        <v>363.832</v>
      </c>
      <c r="J1551" s="1">
        <f>value(VND!$B1551)</f>
        <v>0.593776876</v>
      </c>
      <c r="K1551" s="1">
        <f>value(CNY!$B1551)</f>
        <v>1978.80345</v>
      </c>
      <c r="L1551" s="1">
        <f>value(HKD!$B1551)</f>
        <v>1506.8368</v>
      </c>
      <c r="M1551" s="1">
        <f>value(TWD!$B1551)</f>
        <v>389.8784</v>
      </c>
      <c r="N1551" s="1">
        <f>value(JPY!$B1551)</f>
        <v>114.172</v>
      </c>
      <c r="O1551" s="1">
        <f>value(SAR!$B1551)</f>
        <v>3255.317341</v>
      </c>
      <c r="P1551" s="1">
        <f>value(AED!$B1551)</f>
        <v>3372.3102</v>
      </c>
      <c r="Q1551" s="1">
        <f>value(KWD!$B1551)</f>
        <v>43066.67775</v>
      </c>
    </row>
    <row r="1552">
      <c r="A1552" s="4">
        <f>value(USD!A1552)</f>
        <v>41862.99861</v>
      </c>
      <c r="B1552" s="1">
        <f>value(USD!B1552)</f>
        <v>11700</v>
      </c>
      <c r="C1552" s="1">
        <f>value(AUD!$B1552)</f>
        <v>10861.593</v>
      </c>
      <c r="D1552" s="1">
        <f>value(EUR!$B1552)</f>
        <v>15614.3295</v>
      </c>
      <c r="E1552" s="1">
        <f>value(GBP!$B1552)</f>
        <v>19497.7587</v>
      </c>
      <c r="F1552" s="1">
        <f>value(CHF!$B1552)</f>
        <v>12869.676</v>
      </c>
      <c r="G1552" s="1">
        <f>value(SGD!$B1552)</f>
        <v>9350.72271</v>
      </c>
      <c r="H1552" s="1">
        <f>value(MYR!$B1552)</f>
        <v>3593.92446</v>
      </c>
      <c r="I1552" s="1">
        <f>value(THB!$B1552)</f>
        <v>365.44424</v>
      </c>
      <c r="J1552" s="1">
        <f>value(VND!$B1552)</f>
        <v>0.5951291463</v>
      </c>
      <c r="K1552" s="1">
        <f>value(CNY!$B1552)</f>
        <v>1965.48749</v>
      </c>
      <c r="L1552" s="1">
        <f>value(HKD!$B1552)</f>
        <v>1507.22383</v>
      </c>
      <c r="M1552" s="1">
        <f>value(TWD!$B1552)</f>
        <v>389.51122</v>
      </c>
      <c r="N1552" s="1">
        <f>value(JPY!$B1552)</f>
        <v>114.049446</v>
      </c>
      <c r="O1552" s="1">
        <f>value(SAR!$B1552)</f>
        <v>3263.05666</v>
      </c>
      <c r="P1552" s="1">
        <f>value(AED!$B1552)</f>
        <v>3396.8064</v>
      </c>
      <c r="Q1552" s="1">
        <f>value(KWD!$B1552)</f>
        <v>43053.8004</v>
      </c>
    </row>
    <row r="1553">
      <c r="A1553" s="4">
        <f>value(USD!A1553)</f>
        <v>41863.99861</v>
      </c>
      <c r="B1553" s="1">
        <f>value(USD!B1553)</f>
        <v>11680</v>
      </c>
      <c r="C1553" s="1">
        <f>value(AUD!$B1553)</f>
        <v>10894.3474</v>
      </c>
      <c r="D1553" s="1">
        <f>value(EUR!$B1553)</f>
        <v>15592.287</v>
      </c>
      <c r="E1553" s="1">
        <f>value(GBP!$B1553)</f>
        <v>19467.894</v>
      </c>
      <c r="F1553" s="1">
        <f>value(CHF!$B1553)</f>
        <v>12921.2025</v>
      </c>
      <c r="G1553" s="1">
        <f>value(SGD!$B1553)</f>
        <v>9363.3078</v>
      </c>
      <c r="H1553" s="1">
        <f>value(MYR!$B1553)</f>
        <v>3599.9616</v>
      </c>
      <c r="I1553" s="1">
        <f>value(THB!$B1553)</f>
        <v>366.0879</v>
      </c>
      <c r="J1553" s="1">
        <f>value(VND!$B1553)</f>
        <v>0.5933940165</v>
      </c>
      <c r="K1553" s="1">
        <f>value(CNY!$B1553)</f>
        <v>1964.755783</v>
      </c>
      <c r="L1553" s="1">
        <f>value(HKD!$B1553)</f>
        <v>1505.5467</v>
      </c>
      <c r="M1553" s="1">
        <f>value(TWD!$B1553)</f>
        <v>388.8444</v>
      </c>
      <c r="N1553" s="1">
        <f>value(JPY!$B1553)</f>
        <v>113.8992</v>
      </c>
      <c r="O1553" s="1">
        <f>value(SAR!$B1553)</f>
        <v>3258.519818</v>
      </c>
      <c r="P1553" s="1">
        <f>value(AED!$B1553)</f>
        <v>3436.2725</v>
      </c>
      <c r="Q1553" s="1">
        <f>value(KWD!$B1553)</f>
        <v>43334.57232</v>
      </c>
    </row>
    <row r="1554">
      <c r="A1554" s="4">
        <f>value(USD!A1554)</f>
        <v>41864.99861</v>
      </c>
      <c r="B1554" s="1">
        <f>value(USD!B1554)</f>
        <v>11683</v>
      </c>
      <c r="C1554" s="1">
        <f>value(AUD!$B1554)</f>
        <v>10889.5108</v>
      </c>
      <c r="D1554" s="1">
        <f>value(EUR!$B1554)</f>
        <v>15631.4466</v>
      </c>
      <c r="E1554" s="1">
        <f>value(GBP!$B1554)</f>
        <v>19474.5564</v>
      </c>
      <c r="F1554" s="1">
        <f>value(CHF!$B1554)</f>
        <v>12938.0808</v>
      </c>
      <c r="G1554" s="1">
        <f>value(SGD!$B1554)</f>
        <v>9366.61761</v>
      </c>
      <c r="H1554" s="1">
        <f>value(MYR!$B1554)</f>
        <v>3635.67054</v>
      </c>
      <c r="I1554" s="1">
        <f>value(THB!$B1554)</f>
        <v>365.64378</v>
      </c>
      <c r="J1554" s="1">
        <f>value(VND!$B1554)</f>
        <v>0.5934343426</v>
      </c>
      <c r="K1554" s="1">
        <f>value(CNY!$B1554)</f>
        <v>1978.86777</v>
      </c>
      <c r="L1554" s="1">
        <f>value(HKD!$B1554)</f>
        <v>1505.27634</v>
      </c>
      <c r="M1554" s="1">
        <f>value(TWD!$B1554)</f>
        <v>390.02781</v>
      </c>
      <c r="N1554" s="1">
        <f>value(JPY!$B1554)</f>
        <v>113.98659</v>
      </c>
      <c r="O1554" s="1">
        <f>value(SAR!$B1554)</f>
        <v>3226.253542</v>
      </c>
      <c r="P1554" s="1">
        <f>value(AED!$B1554)</f>
        <v>3438.9943</v>
      </c>
      <c r="Q1554" s="1">
        <f>value(KWD!$B1554)</f>
        <v>42934.95674</v>
      </c>
    </row>
    <row r="1555">
      <c r="A1555" s="4">
        <f>value(USD!A1555)</f>
        <v>41865.99861</v>
      </c>
      <c r="B1555" s="1">
        <f>value(USD!B1555)</f>
        <v>11670</v>
      </c>
      <c r="C1555" s="1">
        <f>value(AUD!$B1555)</f>
        <v>10960.554</v>
      </c>
      <c r="D1555" s="1">
        <f>value(EUR!$B1555)</f>
        <v>15655.42823</v>
      </c>
      <c r="E1555" s="1">
        <f>value(GBP!$B1555)</f>
        <v>19507.13285</v>
      </c>
      <c r="F1555" s="1">
        <f>value(CHF!$B1555)</f>
        <v>12922.89388</v>
      </c>
      <c r="G1555" s="1">
        <f>value(SGD!$B1555)</f>
        <v>9378.852739</v>
      </c>
      <c r="H1555" s="1">
        <f>value(MYR!$B1555)</f>
        <v>3640.419628</v>
      </c>
      <c r="I1555" s="1">
        <f>value(THB!$B1555)</f>
        <v>366.1214016</v>
      </c>
      <c r="J1555" s="1">
        <f>value(VND!$B1555)</f>
        <v>0.5986854558</v>
      </c>
      <c r="K1555" s="1">
        <f>value(CNY!$B1555)</f>
        <v>1989.94566</v>
      </c>
      <c r="L1555" s="1">
        <f>value(HKD!$B1555)</f>
        <v>1507.242604</v>
      </c>
      <c r="M1555" s="1">
        <f>value(TWD!$B1555)</f>
        <v>390.5372832</v>
      </c>
      <c r="N1555" s="1">
        <f>value(JPY!$B1555)</f>
        <v>114.1354848</v>
      </c>
      <c r="O1555" s="1">
        <f>value(SAR!$B1555)</f>
        <v>3231.633131</v>
      </c>
      <c r="P1555" s="1">
        <f>value(AED!$B1555)</f>
        <v>3462.1296</v>
      </c>
      <c r="Q1555" s="1">
        <f>value(KWD!$B1555)</f>
        <v>42863.47453</v>
      </c>
    </row>
    <row r="1556">
      <c r="A1556" s="4">
        <f>value(USD!A1556)</f>
        <v>41866.99861</v>
      </c>
      <c r="B1556" s="1">
        <f>value(USD!B1556)</f>
        <v>11667</v>
      </c>
      <c r="C1556" s="1">
        <f>value(AUD!$B1556)</f>
        <v>10914.12714</v>
      </c>
      <c r="D1556" s="1">
        <f>value(EUR!$B1556)</f>
        <v>15639.94926</v>
      </c>
      <c r="E1556" s="1">
        <f>value(GBP!$B1556)</f>
        <v>19528.26602</v>
      </c>
      <c r="F1556" s="1">
        <f>value(CHF!$B1556)</f>
        <v>12880.704</v>
      </c>
      <c r="G1556" s="1">
        <f>value(SGD!$B1556)</f>
        <v>9378.034982</v>
      </c>
      <c r="H1556" s="1">
        <f>value(MYR!$B1556)</f>
        <v>3637.966358</v>
      </c>
      <c r="I1556" s="1">
        <f>value(THB!$B1556)</f>
        <v>365.8877568</v>
      </c>
      <c r="J1556" s="1">
        <f>value(VND!$B1556)</f>
        <v>0.6040618722</v>
      </c>
      <c r="K1556" s="1">
        <f>value(CNY!$B1556)</f>
        <v>1988.8869</v>
      </c>
      <c r="L1556" s="1">
        <f>value(HKD!$B1556)</f>
        <v>1507.125782</v>
      </c>
      <c r="M1556" s="1">
        <f>value(TWD!$B1556)</f>
        <v>390.3036384</v>
      </c>
      <c r="N1556" s="1">
        <f>value(JPY!$B1556)</f>
        <v>114.0186624</v>
      </c>
      <c r="O1556" s="1">
        <f>value(SAR!$B1556)</f>
        <v>3231.633131</v>
      </c>
      <c r="P1556" s="1">
        <f>value(AED!$B1556)</f>
        <v>3432.1898</v>
      </c>
      <c r="Q1556" s="1">
        <f>value(KWD!$B1556)</f>
        <v>42800.1756</v>
      </c>
    </row>
    <row r="1557">
      <c r="A1557" s="4">
        <f>value(USD!A1557)</f>
        <v>41867.99861</v>
      </c>
      <c r="B1557" s="1">
        <f>value(USD!B1557)</f>
        <v>11682.24</v>
      </c>
      <c r="C1557" s="1">
        <f>value(AUD!$B1557)</f>
        <v>10928.56968</v>
      </c>
      <c r="D1557" s="1">
        <f>value(EUR!$B1557)</f>
        <v>15604.48</v>
      </c>
      <c r="E1557" s="1">
        <f>value(GBP!$B1557)</f>
        <v>19532.464</v>
      </c>
      <c r="F1557" s="1">
        <f>value(CHF!$B1557)</f>
        <v>12824.6348</v>
      </c>
      <c r="G1557" s="1">
        <f>value(SGD!$B1557)</f>
        <v>9379.5072</v>
      </c>
      <c r="H1557" s="1">
        <f>value(MYR!$B1557)</f>
        <v>3623.9536</v>
      </c>
      <c r="I1557" s="1">
        <f>value(THB!$B1557)</f>
        <v>366.4016</v>
      </c>
      <c r="J1557" s="1">
        <f>value(VND!$B1557)</f>
        <v>0.6024010222</v>
      </c>
      <c r="K1557" s="1">
        <f>value(CNY!$B1557)</f>
        <v>1989.24672</v>
      </c>
      <c r="L1557" s="1">
        <f>value(HKD!$B1557)</f>
        <v>1506.9536</v>
      </c>
      <c r="M1557" s="1">
        <f>value(TWD!$B1557)</f>
        <v>388.944</v>
      </c>
      <c r="N1557" s="1">
        <f>value(JPY!$B1557)</f>
        <v>113.8216</v>
      </c>
      <c r="O1557" s="1">
        <f>value(SAR!$B1557)</f>
        <v>3203.774784</v>
      </c>
      <c r="P1557" s="1">
        <f>value(AED!$B1557)</f>
        <v>3419.9417</v>
      </c>
      <c r="Q1557" s="1">
        <f>value(KWD!$B1557)</f>
        <v>42868.32629</v>
      </c>
    </row>
    <row r="1558">
      <c r="A1558" s="4">
        <f>value(USD!A1558)</f>
        <v>41868.99861</v>
      </c>
      <c r="B1558" s="1">
        <f>value(USD!B1558)</f>
        <v>11682.24</v>
      </c>
      <c r="C1558" s="1">
        <f>value(AUD!$B1558)</f>
        <v>10926.491</v>
      </c>
      <c r="D1558" s="1">
        <f>value(EUR!$B1558)</f>
        <v>15536.2823</v>
      </c>
      <c r="E1558" s="1">
        <f>value(GBP!$B1558)</f>
        <v>19381.5734</v>
      </c>
      <c r="F1558" s="1">
        <f>value(CHF!$B1558)</f>
        <v>12805.65</v>
      </c>
      <c r="G1558" s="1">
        <f>value(SGD!$B1558)</f>
        <v>9345.44527</v>
      </c>
      <c r="H1558" s="1">
        <f>value(MYR!$B1558)</f>
        <v>3617.62934</v>
      </c>
      <c r="I1558" s="1">
        <f>value(THB!$B1558)</f>
        <v>365.28516</v>
      </c>
      <c r="J1558" s="1">
        <f>value(VND!$B1558)</f>
        <v>0.5995804012</v>
      </c>
      <c r="K1558" s="1">
        <f>value(CNY!$B1558)</f>
        <v>1986.4449</v>
      </c>
      <c r="L1558" s="1">
        <f>value(HKD!$B1558)</f>
        <v>1504.76026</v>
      </c>
      <c r="M1558" s="1">
        <f>value(TWD!$B1558)</f>
        <v>388.02801</v>
      </c>
      <c r="N1558" s="1">
        <f>value(JPY!$B1558)</f>
        <v>113.36436</v>
      </c>
      <c r="O1558" s="1">
        <f>value(SAR!$B1558)</f>
        <v>3198.153656</v>
      </c>
      <c r="P1558" s="1">
        <f>value(AED!$B1558)</f>
        <v>3418.03644</v>
      </c>
      <c r="Q1558" s="1">
        <f>value(KWD!$B1558)</f>
        <v>42781.20016</v>
      </c>
    </row>
    <row r="1559">
      <c r="A1559" s="4">
        <f>value(USD!A1559)</f>
        <v>41869.99861</v>
      </c>
      <c r="B1559" s="1">
        <f>value(USD!B1559)</f>
        <v>11680</v>
      </c>
      <c r="C1559" s="1">
        <f>value(AUD!$B1559)</f>
        <v>10896.79942</v>
      </c>
      <c r="D1559" s="1">
        <f>value(EUR!$B1559)</f>
        <v>15511.86</v>
      </c>
      <c r="E1559" s="1">
        <f>value(GBP!$B1559)</f>
        <v>19418.49</v>
      </c>
      <c r="F1559" s="1">
        <f>value(CHF!$B1559)</f>
        <v>12822.9048</v>
      </c>
      <c r="G1559" s="1">
        <f>value(SGD!$B1559)</f>
        <v>9351.693</v>
      </c>
      <c r="H1559" s="1">
        <f>value(MYR!$B1559)</f>
        <v>3620.214</v>
      </c>
      <c r="I1559" s="1">
        <f>value(THB!$B1559)</f>
        <v>365.274</v>
      </c>
      <c r="J1559" s="1">
        <f>value(VND!$B1559)</f>
        <v>0.5995346112</v>
      </c>
      <c r="K1559" s="1">
        <f>value(CNY!$B1559)</f>
        <v>2001.710038</v>
      </c>
      <c r="L1559" s="1">
        <f>value(HKD!$B1559)</f>
        <v>1509.417</v>
      </c>
      <c r="M1559" s="1">
        <f>value(TWD!$B1559)</f>
        <v>389.493</v>
      </c>
      <c r="N1559" s="1">
        <f>value(JPY!$B1559)</f>
        <v>112.788</v>
      </c>
      <c r="O1559" s="1">
        <f>value(SAR!$B1559)</f>
        <v>3196.456638</v>
      </c>
      <c r="P1559" s="1">
        <f>value(AED!$B1559)</f>
        <v>3425.92966</v>
      </c>
      <c r="Q1559" s="1">
        <f>value(KWD!$B1559)</f>
        <v>42537.43239</v>
      </c>
    </row>
    <row r="1560">
      <c r="A1560" s="4">
        <f>value(USD!A1560)</f>
        <v>41870.99861</v>
      </c>
      <c r="B1560" s="1">
        <f>value(USD!B1560)</f>
        <v>11663</v>
      </c>
      <c r="C1560" s="1">
        <f>value(AUD!$B1560)</f>
        <v>10994.02577</v>
      </c>
      <c r="D1560" s="1">
        <f>value(EUR!$B1560)</f>
        <v>15521.664</v>
      </c>
      <c r="E1560" s="1">
        <f>value(GBP!$B1560)</f>
        <v>19375.1976</v>
      </c>
      <c r="F1560" s="1">
        <f>value(CHF!$B1560)</f>
        <v>12757.206</v>
      </c>
      <c r="G1560" s="1">
        <f>value(SGD!$B1560)</f>
        <v>9352.7376</v>
      </c>
      <c r="H1560" s="1">
        <f>value(MYR!$B1560)</f>
        <v>3623.51376</v>
      </c>
      <c r="I1560" s="1">
        <f>value(THB!$B1560)</f>
        <v>365.25</v>
      </c>
      <c r="J1560" s="1">
        <f>value(VND!$B1560)</f>
        <v>0.5999809291</v>
      </c>
      <c r="K1560" s="1">
        <f>value(CNY!$B1560)</f>
        <v>1984.961884</v>
      </c>
      <c r="L1560" s="1">
        <f>value(HKD!$B1560)</f>
        <v>1507.98576</v>
      </c>
      <c r="M1560" s="1">
        <f>value(TWD!$B1560)</f>
        <v>389.56104</v>
      </c>
      <c r="N1560" s="1">
        <f>value(JPY!$B1560)</f>
        <v>112.55544</v>
      </c>
      <c r="O1560" s="1">
        <f>value(SAR!$B1560)</f>
        <v>3216.210349</v>
      </c>
      <c r="P1560" s="1">
        <f>value(AED!$B1560)</f>
        <v>3417.2199</v>
      </c>
      <c r="Q1560" s="1">
        <f>value(KWD!$B1560)</f>
        <v>42825.5279</v>
      </c>
    </row>
    <row r="1561">
      <c r="A1561" s="4">
        <f>value(USD!A1561)</f>
        <v>41871.99861</v>
      </c>
      <c r="B1561" s="1">
        <f>value(USD!B1561)</f>
        <v>11700</v>
      </c>
      <c r="C1561" s="1">
        <f>value(AUD!$B1561)</f>
        <v>10966.094</v>
      </c>
      <c r="D1561" s="1">
        <f>value(EUR!$B1561)</f>
        <v>15443.67</v>
      </c>
      <c r="E1561" s="1">
        <f>value(GBP!$B1561)</f>
        <v>19321.786</v>
      </c>
      <c r="F1561" s="1">
        <f>value(CHF!$B1561)</f>
        <v>12783.87523</v>
      </c>
      <c r="G1561" s="1">
        <f>value(SGD!$B1561)</f>
        <v>9328</v>
      </c>
      <c r="H1561" s="1">
        <f>value(MYR!$B1561)</f>
        <v>3612.0348</v>
      </c>
      <c r="I1561" s="1">
        <f>value(THB!$B1561)</f>
        <v>364.7248</v>
      </c>
      <c r="J1561" s="1">
        <f>value(VND!$B1561)</f>
        <v>0.6022023001</v>
      </c>
      <c r="K1561" s="1">
        <f>value(CNY!$B1561)</f>
        <v>1991.162</v>
      </c>
      <c r="L1561" s="1">
        <f>value(HKD!$B1561)</f>
        <v>1504.3732</v>
      </c>
      <c r="M1561" s="1">
        <f>value(TWD!$B1561)</f>
        <v>388.1614</v>
      </c>
      <c r="N1561" s="1">
        <f>value(JPY!$B1561)</f>
        <v>112.1692</v>
      </c>
      <c r="O1561" s="1">
        <f>value(SAR!$B1561)</f>
        <v>3218.712483</v>
      </c>
      <c r="P1561" s="1">
        <f>value(AED!$B1561)</f>
        <v>3393.81242</v>
      </c>
      <c r="Q1561" s="1">
        <f>value(KWD!$B1561)</f>
        <v>43026.4947</v>
      </c>
    </row>
    <row r="1562">
      <c r="A1562" s="4">
        <f>value(USD!A1562)</f>
        <v>41872.99861</v>
      </c>
      <c r="B1562" s="1">
        <f>value(USD!B1562)</f>
        <v>11688</v>
      </c>
      <c r="C1562" s="1">
        <f>value(AUD!$B1562)</f>
        <v>10990.5472</v>
      </c>
      <c r="D1562" s="1">
        <f>value(EUR!$B1562)</f>
        <v>15473.12688</v>
      </c>
      <c r="E1562" s="1">
        <f>value(GBP!$B1562)</f>
        <v>19358.6399</v>
      </c>
      <c r="F1562" s="1">
        <f>value(CHF!$B1562)</f>
        <v>12733.6416</v>
      </c>
      <c r="G1562" s="1">
        <f>value(SGD!$B1562)</f>
        <v>9345.792</v>
      </c>
      <c r="H1562" s="1">
        <f>value(MYR!$B1562)</f>
        <v>3619.742064</v>
      </c>
      <c r="I1562" s="1">
        <f>value(THB!$B1562)</f>
        <v>365.5372896</v>
      </c>
      <c r="J1562" s="1">
        <f>value(VND!$B1562)</f>
        <v>0.6042173492</v>
      </c>
      <c r="K1562" s="1">
        <f>value(CNY!$B1562)</f>
        <v>1989.85974</v>
      </c>
      <c r="L1562" s="1">
        <f>value(HKD!$B1562)</f>
        <v>1507.125782</v>
      </c>
      <c r="M1562" s="1">
        <f>value(TWD!$B1562)</f>
        <v>389.018592</v>
      </c>
      <c r="N1562" s="1">
        <f>value(JPY!$B1562)</f>
        <v>112.3831488</v>
      </c>
      <c r="O1562" s="1">
        <f>value(SAR!$B1562)</f>
        <v>3226.655066</v>
      </c>
      <c r="P1562" s="1">
        <f>value(AED!$B1562)</f>
        <v>3424.0244</v>
      </c>
      <c r="Q1562" s="1">
        <f>value(KWD!$B1562)</f>
        <v>42777.35347</v>
      </c>
    </row>
    <row r="1563">
      <c r="A1563" s="4">
        <f>value(USD!A1563)</f>
        <v>41873.99861</v>
      </c>
      <c r="B1563" s="1">
        <f>value(USD!B1563)</f>
        <v>11660</v>
      </c>
      <c r="C1563" s="1">
        <f>value(AUD!$B1563)</f>
        <v>10992.83175</v>
      </c>
      <c r="D1563" s="1">
        <f>value(EUR!$B1563)</f>
        <v>15408.17362</v>
      </c>
      <c r="E1563" s="1">
        <f>value(GBP!$B1563)</f>
        <v>19322.42496</v>
      </c>
      <c r="F1563" s="1">
        <f>value(CHF!$B1563)</f>
        <v>12768.367</v>
      </c>
      <c r="G1563" s="1">
        <f>value(SGD!$B1563)</f>
        <v>9341.93686</v>
      </c>
      <c r="H1563" s="1">
        <f>value(MYR!$B1563)</f>
        <v>3604.438329</v>
      </c>
      <c r="I1563" s="1">
        <f>value(THB!$B1563)</f>
        <v>363.901776</v>
      </c>
      <c r="J1563" s="1">
        <f>value(VND!$B1563)</f>
        <v>0.606914638</v>
      </c>
      <c r="K1563" s="1">
        <f>value(CNY!$B1563)</f>
        <v>1996.91364</v>
      </c>
      <c r="L1563" s="1">
        <f>value(HKD!$B1563)</f>
        <v>1507.242604</v>
      </c>
      <c r="M1563" s="1">
        <f>value(TWD!$B1563)</f>
        <v>387.3830784</v>
      </c>
      <c r="N1563" s="1">
        <f>value(JPY!$B1563)</f>
        <v>112.0443638</v>
      </c>
      <c r="O1563" s="1">
        <f>value(SAR!$B1563)</f>
        <v>3228.474568</v>
      </c>
      <c r="P1563" s="1">
        <f>value(AED!$B1563)</f>
        <v>3437.6334</v>
      </c>
      <c r="Q1563" s="1">
        <f>value(KWD!$B1563)</f>
        <v>42486.10488</v>
      </c>
    </row>
    <row r="1564">
      <c r="A1564" s="4">
        <f>value(USD!A1564)</f>
        <v>41874.99861</v>
      </c>
      <c r="B1564" s="1">
        <f>value(USD!B1564)</f>
        <v>11682.24</v>
      </c>
      <c r="C1564" s="1">
        <f>value(AUD!$B1564)</f>
        <v>10867.3214</v>
      </c>
      <c r="D1564" s="1">
        <f>value(EUR!$B1564)</f>
        <v>15424.9828</v>
      </c>
      <c r="E1564" s="1">
        <f>value(GBP!$B1564)</f>
        <v>19380.0766</v>
      </c>
      <c r="F1564" s="1">
        <f>value(CHF!$B1564)</f>
        <v>12748.4804</v>
      </c>
      <c r="G1564" s="1">
        <f>value(SGD!$B1564)</f>
        <v>9351.03026</v>
      </c>
      <c r="H1564" s="1">
        <f>value(MYR!$B1564)</f>
        <v>3626.02906</v>
      </c>
      <c r="I1564" s="1">
        <f>value(THB!$B1564)</f>
        <v>365.67948</v>
      </c>
      <c r="J1564" s="1">
        <f>value(VND!$B1564)</f>
        <v>0.6106924746</v>
      </c>
      <c r="K1564" s="1">
        <f>value(CNY!$B1564)</f>
        <v>1995.114</v>
      </c>
      <c r="L1564" s="1">
        <f>value(HKD!$B1564)</f>
        <v>1509.39294</v>
      </c>
      <c r="M1564" s="1">
        <f>value(TWD!$B1564)</f>
        <v>389.66038</v>
      </c>
      <c r="N1564" s="1">
        <f>value(JPY!$B1564)</f>
        <v>112.41778</v>
      </c>
      <c r="O1564" s="1">
        <f>value(SAR!$B1564)</f>
        <v>3238.519593</v>
      </c>
      <c r="P1564" s="1">
        <f>value(AED!$B1564)</f>
        <v>3419.12516</v>
      </c>
      <c r="Q1564" s="1">
        <f>value(KWD!$B1564)</f>
        <v>42060.82717</v>
      </c>
    </row>
    <row r="1565">
      <c r="A1565" s="4">
        <f>value(USD!A1565)</f>
        <v>41875.99861</v>
      </c>
      <c r="B1565" s="1">
        <f>value(USD!B1565)</f>
        <v>11682.24</v>
      </c>
      <c r="C1565" s="1">
        <f>value(AUD!$B1565)</f>
        <v>10867.51764</v>
      </c>
      <c r="D1565" s="1">
        <f>value(EUR!$B1565)</f>
        <v>15401.5868</v>
      </c>
      <c r="E1565" s="1">
        <f>value(GBP!$B1565)</f>
        <v>19354.10704</v>
      </c>
      <c r="F1565" s="1">
        <f>value(CHF!$B1565)</f>
        <v>12748.6785</v>
      </c>
      <c r="G1565" s="1">
        <f>value(SGD!$B1565)</f>
        <v>9360.27168</v>
      </c>
      <c r="H1565" s="1">
        <f>value(MYR!$B1565)</f>
        <v>3624.50832</v>
      </c>
      <c r="I1565" s="1">
        <f>value(THB!$B1565)</f>
        <v>366.1474</v>
      </c>
      <c r="J1565" s="1">
        <f>value(VND!$B1565)</f>
        <v>0.6097502732</v>
      </c>
      <c r="K1565" s="1">
        <f>value(CNY!$B1565)</f>
        <v>1976.13558</v>
      </c>
      <c r="L1565" s="1">
        <f>value(HKD!$B1565)</f>
        <v>1509.15898</v>
      </c>
      <c r="M1565" s="1">
        <f>value(TWD!$B1565)</f>
        <v>389.66038</v>
      </c>
      <c r="N1565" s="1">
        <f>value(JPY!$B1565)</f>
        <v>112.35929</v>
      </c>
      <c r="O1565" s="1">
        <f>value(SAR!$B1565)</f>
        <v>3226.512229</v>
      </c>
      <c r="P1565" s="1">
        <f>value(AED!$B1565)</f>
        <v>3392.7237</v>
      </c>
      <c r="Q1565" s="1">
        <f>value(KWD!$B1565)</f>
        <v>42096.15541</v>
      </c>
    </row>
    <row r="1566">
      <c r="A1566" s="4">
        <f>value(USD!A1566)</f>
        <v>41876.99861</v>
      </c>
      <c r="B1566" s="1">
        <f>value(USD!B1566)</f>
        <v>11698</v>
      </c>
      <c r="C1566" s="1">
        <f>value(AUD!$B1566)</f>
        <v>10823.7215</v>
      </c>
      <c r="D1566" s="1">
        <f>value(EUR!$B1566)</f>
        <v>15389.6345</v>
      </c>
      <c r="E1566" s="1">
        <f>value(GBP!$B1566)</f>
        <v>19332.75445</v>
      </c>
      <c r="F1566" s="1">
        <f>value(CHF!$B1566)</f>
        <v>12796.2945</v>
      </c>
      <c r="G1566" s="1">
        <f>value(SGD!$B1566)</f>
        <v>9347.98105</v>
      </c>
      <c r="H1566" s="1">
        <f>value(MYR!$B1566)</f>
        <v>3638.3135</v>
      </c>
      <c r="I1566" s="1">
        <f>value(THB!$B1566)</f>
        <v>365.3478</v>
      </c>
      <c r="J1566" s="1">
        <f>value(VND!$B1566)</f>
        <v>0.604069369</v>
      </c>
      <c r="K1566" s="1">
        <f>value(CNY!$B1566)</f>
        <v>1979.27238</v>
      </c>
      <c r="L1566" s="1">
        <f>value(HKD!$B1566)</f>
        <v>1505.0183</v>
      </c>
      <c r="M1566" s="1">
        <f>value(TWD!$B1566)</f>
        <v>390.42755</v>
      </c>
      <c r="N1566" s="1">
        <f>value(JPY!$B1566)</f>
        <v>112.2173</v>
      </c>
      <c r="O1566" s="1">
        <f>value(SAR!$B1566)</f>
        <v>3242.161404</v>
      </c>
      <c r="P1566" s="1">
        <f>value(AED!$B1566)</f>
        <v>3376.3929</v>
      </c>
      <c r="Q1566" s="1">
        <f>value(KWD!$B1566)</f>
        <v>42379.09235</v>
      </c>
    </row>
    <row r="1567">
      <c r="A1567" s="4">
        <f>value(USD!A1567)</f>
        <v>41877.99861</v>
      </c>
      <c r="B1567" s="1">
        <f>value(USD!B1567)</f>
        <v>11698</v>
      </c>
      <c r="C1567" s="1">
        <f>value(AUD!$B1567)</f>
        <v>10768.6124</v>
      </c>
      <c r="D1567" s="1">
        <f>value(EUR!$B1567)</f>
        <v>15441.5415</v>
      </c>
      <c r="E1567" s="1">
        <f>value(GBP!$B1567)</f>
        <v>19425.813</v>
      </c>
      <c r="F1567" s="1">
        <f>value(CHF!$B1567)</f>
        <v>12727.7496</v>
      </c>
      <c r="G1567" s="1">
        <f>value(SGD!$B1567)</f>
        <v>9372</v>
      </c>
      <c r="H1567" s="1">
        <f>value(MYR!$B1567)</f>
        <v>3651.5655</v>
      </c>
      <c r="I1567" s="1">
        <f>value(THB!$B1567)</f>
        <v>366.4452</v>
      </c>
      <c r="J1567" s="1">
        <f>value(VND!$B1567)</f>
        <v>0.6013155971</v>
      </c>
      <c r="K1567" s="1">
        <f>value(CNY!$B1567)</f>
        <v>1977.090563</v>
      </c>
      <c r="L1567" s="1">
        <f>value(HKD!$B1567)</f>
        <v>1511.58645</v>
      </c>
      <c r="M1567" s="1">
        <f>value(TWD!$B1567)</f>
        <v>391.9839</v>
      </c>
      <c r="N1567" s="1">
        <f>value(JPY!$B1567)</f>
        <v>112.9326</v>
      </c>
      <c r="O1567" s="1">
        <f>value(SAR!$B1567)</f>
        <v>3220.556024</v>
      </c>
      <c r="P1567" s="1">
        <f>value(AED!$B1567)</f>
        <v>3381.29214</v>
      </c>
      <c r="Q1567" s="1">
        <f>value(KWD!$B1567)</f>
        <v>42316.7034</v>
      </c>
    </row>
    <row r="1568">
      <c r="A1568" s="4">
        <f>value(USD!A1568)</f>
        <v>41878.99861</v>
      </c>
      <c r="B1568" s="1">
        <f>value(USD!B1568)</f>
        <v>11665</v>
      </c>
      <c r="C1568" s="1">
        <f>value(AUD!$B1568)</f>
        <v>10738.45405</v>
      </c>
      <c r="D1568" s="1">
        <f>value(EUR!$B1568)</f>
        <v>15355.62528</v>
      </c>
      <c r="E1568" s="1">
        <f>value(GBP!$B1568)</f>
        <v>19407.3624</v>
      </c>
      <c r="F1568" s="1">
        <f>value(CHF!$B1568)</f>
        <v>12745.8996</v>
      </c>
      <c r="G1568" s="1">
        <f>value(SGD!$B1568)</f>
        <v>9361.16394</v>
      </c>
      <c r="H1568" s="1">
        <f>value(MYR!$B1568)</f>
        <v>3625.49082</v>
      </c>
      <c r="I1568" s="1">
        <f>value(THB!$B1568)</f>
        <v>357.8364</v>
      </c>
      <c r="J1568" s="1">
        <f>value(VND!$B1568)</f>
        <v>0.5996244028</v>
      </c>
      <c r="K1568" s="1">
        <f>value(CNY!$B1568)</f>
        <v>1963.02012</v>
      </c>
      <c r="L1568" s="1">
        <f>value(HKD!$B1568)</f>
        <v>1508.75988</v>
      </c>
      <c r="M1568" s="1">
        <f>value(TWD!$B1568)</f>
        <v>389.76102</v>
      </c>
      <c r="N1568" s="1">
        <f>value(JPY!$B1568)</f>
        <v>112.37934</v>
      </c>
      <c r="O1568" s="1">
        <f>value(SAR!$B1568)</f>
        <v>3260.060363</v>
      </c>
      <c r="P1568" s="1">
        <f>value(AED!$B1568)</f>
        <v>3398.71166</v>
      </c>
      <c r="Q1568" s="1">
        <f>value(KWD!$B1568)</f>
        <v>42240.3852</v>
      </c>
    </row>
    <row r="1569">
      <c r="A1569" s="4">
        <f>value(USD!A1569)</f>
        <v>41879.99861</v>
      </c>
      <c r="B1569" s="1">
        <f>value(USD!B1569)</f>
        <v>11715</v>
      </c>
      <c r="C1569" s="1">
        <f>value(AUD!$B1569)</f>
        <v>10755.95066</v>
      </c>
      <c r="D1569" s="1">
        <f>value(EUR!$B1569)</f>
        <v>15382.2692</v>
      </c>
      <c r="E1569" s="1">
        <f>value(GBP!$B1569)</f>
        <v>19439.10696</v>
      </c>
      <c r="F1569" s="1">
        <f>value(CHF!$B1569)</f>
        <v>12744.72864</v>
      </c>
      <c r="G1569" s="1">
        <f>value(SGD!$B1569)</f>
        <v>9373.651896</v>
      </c>
      <c r="H1569" s="1">
        <f>value(MYR!$B1569)</f>
        <v>3630.327288</v>
      </c>
      <c r="I1569" s="1">
        <f>value(THB!$B1569)</f>
        <v>358.31376</v>
      </c>
      <c r="J1569" s="1">
        <f>value(VND!$B1569)</f>
        <v>0.6108144134</v>
      </c>
      <c r="K1569" s="1">
        <f>value(CNY!$B1569)</f>
        <v>1958.31619</v>
      </c>
      <c r="L1569" s="1">
        <f>value(HKD!$B1569)</f>
        <v>1510.772592</v>
      </c>
      <c r="M1569" s="1">
        <f>value(TWD!$B1569)</f>
        <v>390.280968</v>
      </c>
      <c r="N1569" s="1">
        <f>value(JPY!$B1569)</f>
        <v>112.529256</v>
      </c>
      <c r="O1569" s="1">
        <f>value(SAR!$B1569)</f>
        <v>3260.060363</v>
      </c>
      <c r="P1569" s="1">
        <f>value(AED!$B1569)</f>
        <v>3388.641</v>
      </c>
      <c r="Q1569" s="1">
        <f>value(KWD!$B1569)</f>
        <v>42602.94792</v>
      </c>
    </row>
    <row r="1570">
      <c r="A1570" s="4">
        <f>value(USD!A1570)</f>
        <v>41880.99861</v>
      </c>
      <c r="B1570" s="1">
        <f>value(USD!B1570)</f>
        <v>11694</v>
      </c>
      <c r="C1570" s="1">
        <f>value(AUD!$B1570)</f>
        <v>10721.42685</v>
      </c>
      <c r="D1570" s="1">
        <f>value(EUR!$B1570)</f>
        <v>15378.33477</v>
      </c>
      <c r="E1570" s="1">
        <f>value(GBP!$B1570)</f>
        <v>19425.05544</v>
      </c>
      <c r="F1570" s="1">
        <f>value(CHF!$B1570)</f>
        <v>12730.1084</v>
      </c>
      <c r="G1570" s="1">
        <f>value(SGD!$B1570)</f>
        <v>9374.237376</v>
      </c>
      <c r="H1570" s="1">
        <f>value(MYR!$B1570)</f>
        <v>3630.795672</v>
      </c>
      <c r="I1570" s="1">
        <f>value(THB!$B1570)</f>
        <v>366.042096</v>
      </c>
      <c r="J1570" s="1">
        <f>value(VND!$B1570)</f>
        <v>0.6139514894</v>
      </c>
      <c r="K1570" s="1">
        <f>value(CNY!$B1570)</f>
        <v>1957.532</v>
      </c>
      <c r="L1570" s="1">
        <f>value(HKD!$B1570)</f>
        <v>1510.772592</v>
      </c>
      <c r="M1570" s="1">
        <f>value(TWD!$B1570)</f>
        <v>390.398064</v>
      </c>
      <c r="N1570" s="1">
        <f>value(JPY!$B1570)</f>
        <v>112.41216</v>
      </c>
      <c r="O1570" s="1">
        <f>value(SAR!$B1570)</f>
        <v>3230.687087</v>
      </c>
      <c r="P1570" s="1">
        <f>value(AED!$B1570)</f>
        <v>3390.0019</v>
      </c>
      <c r="Q1570" s="1">
        <f>value(KWD!$B1570)</f>
        <v>43202.32293</v>
      </c>
    </row>
    <row r="1571">
      <c r="A1571" s="4">
        <f>value(USD!A1571)</f>
        <v>41881.99861</v>
      </c>
      <c r="B1571" s="1">
        <f>value(USD!B1571)</f>
        <v>11709.6</v>
      </c>
      <c r="C1571" s="1">
        <f>value(AUD!$B1571)</f>
        <v>10775.03735</v>
      </c>
      <c r="D1571" s="1">
        <f>value(EUR!$B1571)</f>
        <v>15371.78444</v>
      </c>
      <c r="E1571" s="1">
        <f>value(GBP!$B1571)</f>
        <v>19448.1588</v>
      </c>
      <c r="F1571" s="1">
        <f>value(CHF!$B1571)</f>
        <v>12776.384</v>
      </c>
      <c r="G1571" s="1">
        <f>value(SGD!$B1571)</f>
        <v>9366.4</v>
      </c>
      <c r="H1571" s="1">
        <f>value(MYR!$B1571)</f>
        <v>3642.71004</v>
      </c>
      <c r="I1571" s="1">
        <f>value(THB!$B1571)</f>
        <v>365.875</v>
      </c>
      <c r="J1571" s="1">
        <f>value(VND!$B1571)</f>
        <v>0.6113947561</v>
      </c>
      <c r="K1571" s="1">
        <f>value(CNY!$B1571)</f>
        <v>1970.2692</v>
      </c>
      <c r="L1571" s="1">
        <f>value(HKD!$B1571)</f>
        <v>1510.56616</v>
      </c>
      <c r="M1571" s="1">
        <f>value(TWD!$B1571)</f>
        <v>391.74968</v>
      </c>
      <c r="N1571" s="1">
        <f>value(JPY!$B1571)</f>
        <v>112.209472</v>
      </c>
      <c r="O1571" s="1">
        <f>value(SAR!$B1571)</f>
        <v>3230.884059</v>
      </c>
      <c r="P1571" s="1">
        <f>value(AED!$B1571)</f>
        <v>3422.0568</v>
      </c>
      <c r="Q1571" s="1">
        <f>value(KWD!$B1571)</f>
        <v>43398.20966</v>
      </c>
    </row>
    <row r="1572">
      <c r="A1572" s="4">
        <f>value(USD!A1572)</f>
        <v>41882.99861</v>
      </c>
      <c r="B1572" s="1">
        <f>value(USD!B1572)</f>
        <v>11709.6</v>
      </c>
      <c r="C1572" s="1">
        <f>value(AUD!$B1572)</f>
        <v>10876.3875</v>
      </c>
      <c r="D1572" s="1">
        <f>value(EUR!$B1572)</f>
        <v>15420.9076</v>
      </c>
      <c r="E1572" s="1">
        <f>value(GBP!$B1572)</f>
        <v>19341.8953</v>
      </c>
      <c r="F1572" s="1">
        <f>value(CHF!$B1572)</f>
        <v>12822.4999</v>
      </c>
      <c r="G1572" s="1">
        <f>value(SGD!$B1572)</f>
        <v>9368.91769</v>
      </c>
      <c r="H1572" s="1">
        <f>value(MYR!$B1572)</f>
        <v>3626.94298</v>
      </c>
      <c r="I1572" s="1">
        <f>value(THB!$B1572)</f>
        <v>365.32473</v>
      </c>
      <c r="J1572" s="1">
        <f>value(VND!$B1572)</f>
        <v>0.6131108394</v>
      </c>
      <c r="K1572" s="1">
        <f>value(CNY!$B1572)</f>
        <v>1967.0175</v>
      </c>
      <c r="L1572" s="1">
        <f>value(HKD!$B1572)</f>
        <v>1515.19929</v>
      </c>
      <c r="M1572" s="1">
        <f>value(TWD!$B1572)</f>
        <v>392.56849</v>
      </c>
      <c r="N1572" s="1">
        <f>value(JPY!$B1572)</f>
        <v>111.722902</v>
      </c>
      <c r="O1572" s="1">
        <f>value(SAR!$B1572)</f>
        <v>3248.485774</v>
      </c>
      <c r="P1572" s="1">
        <f>value(AED!$B1572)</f>
        <v>3464.8514</v>
      </c>
      <c r="Q1572" s="1">
        <f>value(KWD!$B1572)</f>
        <v>42937.17232</v>
      </c>
    </row>
    <row r="1573">
      <c r="A1573" s="4">
        <f>value(USD!A1573)</f>
        <v>41883.99861</v>
      </c>
      <c r="B1573" s="1">
        <f>value(USD!B1573)</f>
        <v>11708</v>
      </c>
      <c r="C1573" s="1">
        <f>value(AUD!$B1573)</f>
        <v>10691.75522</v>
      </c>
      <c r="D1573" s="1">
        <f>value(EUR!$B1573)</f>
        <v>15475.01704</v>
      </c>
      <c r="E1573" s="1">
        <f>value(GBP!$B1573)</f>
        <v>19369.6587</v>
      </c>
      <c r="F1573" s="1">
        <f>value(CHF!$B1573)</f>
        <v>12584.0038</v>
      </c>
      <c r="G1573" s="1">
        <f>value(SGD!$B1573)</f>
        <v>9401.71533</v>
      </c>
      <c r="H1573" s="1">
        <f>value(MYR!$B1573)</f>
        <v>3632.82591</v>
      </c>
      <c r="I1573" s="1">
        <f>value(THB!$B1573)</f>
        <v>367.24807</v>
      </c>
      <c r="J1573" s="1">
        <f>value(VND!$B1573)</f>
        <v>0.6100200138</v>
      </c>
      <c r="K1573" s="1">
        <f>value(CNY!$B1573)</f>
        <v>1966.866827</v>
      </c>
      <c r="L1573" s="1">
        <f>value(HKD!$B1573)</f>
        <v>1518.29601</v>
      </c>
      <c r="M1573" s="1">
        <f>value(TWD!$B1573)</f>
        <v>393.60615</v>
      </c>
      <c r="N1573" s="1">
        <f>value(JPY!$B1573)</f>
        <v>112.25718</v>
      </c>
      <c r="O1573" s="1">
        <f>value(SAR!$B1573)</f>
        <v>3241.90188</v>
      </c>
      <c r="P1573" s="1">
        <f>value(AED!$B1573)</f>
        <v>3480.561629</v>
      </c>
      <c r="Q1573" s="1">
        <f>value(KWD!$B1573)</f>
        <v>42818.70495</v>
      </c>
    </row>
    <row r="1574">
      <c r="A1574" s="4">
        <f>value(USD!A1574)</f>
        <v>41884.99861</v>
      </c>
      <c r="B1574" s="1">
        <f>value(USD!B1574)</f>
        <v>11743</v>
      </c>
      <c r="C1574" s="1">
        <f>value(AUD!$B1574)</f>
        <v>10751.7527</v>
      </c>
      <c r="D1574" s="1">
        <f>value(EUR!$B1574)</f>
        <v>15185.8094</v>
      </c>
      <c r="E1574" s="1">
        <f>value(GBP!$B1574)</f>
        <v>19162.25128</v>
      </c>
      <c r="F1574" s="1">
        <f>value(CHF!$B1574)</f>
        <v>12582.3948</v>
      </c>
      <c r="G1574" s="1">
        <f>value(SGD!$B1574)</f>
        <v>9347.83197</v>
      </c>
      <c r="H1574" s="1">
        <f>value(MYR!$B1574)</f>
        <v>3571.37738</v>
      </c>
      <c r="I1574" s="1">
        <f>value(THB!$B1574)</f>
        <v>365.49733</v>
      </c>
      <c r="J1574" s="1">
        <f>value(VND!$B1574)</f>
        <v>0.611822374</v>
      </c>
      <c r="K1574" s="1">
        <f>value(CNY!$B1574)</f>
        <v>1970.857151</v>
      </c>
      <c r="L1574" s="1">
        <f>value(HKD!$B1574)</f>
        <v>1514.82382</v>
      </c>
      <c r="M1574" s="1">
        <f>value(TWD!$B1574)</f>
        <v>386.86595</v>
      </c>
      <c r="N1574" s="1">
        <f>value(JPY!$B1574)</f>
        <v>111.42209</v>
      </c>
      <c r="O1574" s="1">
        <f>value(SAR!$B1574)</f>
        <v>3245.541493</v>
      </c>
      <c r="P1574" s="1">
        <f>value(AED!$B1574)</f>
        <v>3441.7161</v>
      </c>
      <c r="Q1574" s="1">
        <f>value(KWD!$B1574)</f>
        <v>42821.28562</v>
      </c>
    </row>
    <row r="1575">
      <c r="A1575" s="4">
        <f>value(USD!A1575)</f>
        <v>41885.99861</v>
      </c>
      <c r="B1575" s="1">
        <f>value(USD!B1575)</f>
        <v>11767</v>
      </c>
      <c r="C1575" s="1">
        <f>value(AUD!$B1575)</f>
        <v>10689.19549</v>
      </c>
      <c r="D1575" s="1">
        <f>value(EUR!$B1575)</f>
        <v>15179.75556</v>
      </c>
      <c r="E1575" s="1">
        <f>value(GBP!$B1575)</f>
        <v>19135.81334</v>
      </c>
      <c r="F1575" s="1">
        <f>value(CHF!$B1575)</f>
        <v>12598.58167</v>
      </c>
      <c r="G1575" s="1">
        <f>value(SGD!$B1575)</f>
        <v>9343.95786</v>
      </c>
      <c r="H1575" s="1">
        <f>value(MYR!$B1575)</f>
        <v>3610.49322</v>
      </c>
      <c r="I1575" s="1">
        <f>value(THB!$B1575)</f>
        <v>358.45876</v>
      </c>
      <c r="J1575" s="1">
        <f>value(VND!$B1575)</f>
        <v>0.6117137659</v>
      </c>
      <c r="K1575" s="1">
        <f>value(CNY!$B1575)</f>
        <v>1978.108</v>
      </c>
      <c r="L1575" s="1">
        <f>value(HKD!$B1575)</f>
        <v>1512.37244</v>
      </c>
      <c r="M1575" s="1">
        <f>value(TWD!$B1575)</f>
        <v>391.39758</v>
      </c>
      <c r="N1575" s="1">
        <f>value(JPY!$B1575)</f>
        <v>111.47622</v>
      </c>
      <c r="O1575" s="1">
        <f>value(SAR!$B1575)</f>
        <v>3242.976365</v>
      </c>
      <c r="P1575" s="1">
        <f>value(AED!$B1575)</f>
        <v>3422.6635</v>
      </c>
      <c r="Q1575" s="1">
        <f>value(KWD!$B1575)</f>
        <v>42805.64303</v>
      </c>
    </row>
    <row r="1576">
      <c r="A1576" s="4">
        <f>value(USD!A1576)</f>
        <v>41886.99861</v>
      </c>
      <c r="B1576" s="1">
        <f>value(USD!B1576)</f>
        <v>11741</v>
      </c>
      <c r="C1576" s="1">
        <f>value(AUD!$B1576)</f>
        <v>10713.08352</v>
      </c>
      <c r="D1576" s="1">
        <f>value(EUR!$B1576)</f>
        <v>15202.8754</v>
      </c>
      <c r="E1576" s="1">
        <f>value(GBP!$B1576)</f>
        <v>19165.38403</v>
      </c>
      <c r="F1576" s="1">
        <f>value(CHF!$B1576)</f>
        <v>12603.2765</v>
      </c>
      <c r="G1576" s="1">
        <f>value(SGD!$B1576)</f>
        <v>9355.97858</v>
      </c>
      <c r="H1576" s="1">
        <f>value(MYR!$B1576)</f>
        <v>3615.13801</v>
      </c>
      <c r="I1576" s="1">
        <f>value(THB!$B1576)</f>
        <v>358.9199064</v>
      </c>
      <c r="J1576" s="1">
        <f>value(VND!$B1576)</f>
        <v>0.6184712101</v>
      </c>
      <c r="K1576" s="1">
        <f>value(CNY!$B1576)</f>
        <v>1985.37046</v>
      </c>
      <c r="L1576" s="1">
        <f>value(HKD!$B1576)</f>
        <v>1514.318061</v>
      </c>
      <c r="M1576" s="1">
        <f>value(TWD!$B1576)</f>
        <v>391.9011012</v>
      </c>
      <c r="N1576" s="1">
        <f>value(JPY!$B1576)</f>
        <v>111.6196308</v>
      </c>
      <c r="O1576" s="1">
        <f>value(SAR!$B1576)</f>
        <v>3235.600134</v>
      </c>
      <c r="P1576" s="1">
        <f>value(AED!$B1576)</f>
        <v>3436.2725</v>
      </c>
      <c r="Q1576" s="1">
        <f>value(KWD!$B1576)</f>
        <v>42836.79754</v>
      </c>
    </row>
    <row r="1577">
      <c r="A1577" s="4">
        <f>value(USD!A1577)</f>
        <v>41887.99861</v>
      </c>
      <c r="B1577" s="1">
        <f>value(USD!B1577)</f>
        <v>11722</v>
      </c>
      <c r="C1577" s="1">
        <f>value(AUD!$B1577)</f>
        <v>10724.60812</v>
      </c>
      <c r="D1577" s="1">
        <f>value(EUR!$B1577)</f>
        <v>15200.45756</v>
      </c>
      <c r="E1577" s="1">
        <f>value(GBP!$B1577)</f>
        <v>19033.31841</v>
      </c>
      <c r="F1577" s="1">
        <f>value(CHF!$B1577)</f>
        <v>12520.0257</v>
      </c>
      <c r="G1577" s="1">
        <f>value(SGD!$B1577)</f>
        <v>9358.325996</v>
      </c>
      <c r="H1577" s="1">
        <f>value(MYR!$B1577)</f>
        <v>3615.255381</v>
      </c>
      <c r="I1577" s="1">
        <f>value(THB!$B1577)</f>
        <v>358.9199064</v>
      </c>
      <c r="J1577" s="1">
        <f>value(VND!$B1577)</f>
        <v>0.6191338319</v>
      </c>
      <c r="K1577" s="1">
        <f>value(CNY!$B1577)</f>
        <v>1977.6466</v>
      </c>
      <c r="L1577" s="1">
        <f>value(HKD!$B1577)</f>
        <v>1514.318061</v>
      </c>
      <c r="M1577" s="1">
        <f>value(TWD!$B1577)</f>
        <v>392.018472</v>
      </c>
      <c r="N1577" s="1">
        <f>value(JPY!$B1577)</f>
        <v>111.6196308</v>
      </c>
      <c r="O1577" s="1">
        <f>value(SAR!$B1577)</f>
        <v>3251.253831</v>
      </c>
      <c r="P1577" s="1">
        <f>value(AED!$B1577)</f>
        <v>3425.92966</v>
      </c>
      <c r="Q1577" s="1">
        <f>value(KWD!$B1577)</f>
        <v>42935.1099</v>
      </c>
    </row>
    <row r="1578">
      <c r="A1578" s="4">
        <f>value(USD!A1578)</f>
        <v>41888.99861</v>
      </c>
      <c r="B1578" s="1">
        <f>value(USD!B1578)</f>
        <v>11737.08</v>
      </c>
      <c r="C1578" s="1">
        <f>value(AUD!$B1578)</f>
        <v>10640.5488</v>
      </c>
      <c r="D1578" s="1">
        <f>value(EUR!$B1578)</f>
        <v>15105.0848</v>
      </c>
      <c r="E1578" s="1">
        <f>value(GBP!$B1578)</f>
        <v>18849.7309</v>
      </c>
      <c r="F1578" s="1">
        <f>value(CHF!$B1578)</f>
        <v>12649.3836</v>
      </c>
      <c r="G1578" s="1">
        <f>value(SGD!$B1578)</f>
        <v>9300.70765</v>
      </c>
      <c r="H1578" s="1">
        <f>value(MYR!$B1578)</f>
        <v>3606.4327</v>
      </c>
      <c r="I1578" s="1">
        <f>value(THB!$B1578)</f>
        <v>365.21134</v>
      </c>
      <c r="J1578" s="1">
        <f>value(VND!$B1578)</f>
        <v>0.6180016156</v>
      </c>
      <c r="K1578" s="1">
        <f>value(CNY!$B1578)</f>
        <v>1987.254</v>
      </c>
      <c r="L1578" s="1">
        <f>value(HKD!$B1578)</f>
        <v>1511.32839</v>
      </c>
      <c r="M1578" s="1">
        <f>value(TWD!$B1578)</f>
        <v>390.0429</v>
      </c>
      <c r="N1578" s="1">
        <f>value(JPY!$B1578)</f>
        <v>110.477016</v>
      </c>
      <c r="O1578" s="1">
        <f>value(SAR!$B1578)</f>
        <v>3251.514024</v>
      </c>
      <c r="P1578" s="1">
        <f>value(AED!$B1578)</f>
        <v>3438.44994</v>
      </c>
      <c r="Q1578" s="1">
        <f>value(KWD!$B1578)</f>
        <v>43135.06111</v>
      </c>
    </row>
    <row r="1579">
      <c r="A1579" s="4">
        <f>value(USD!A1579)</f>
        <v>41889.99861</v>
      </c>
      <c r="B1579" s="1">
        <f>value(USD!B1579)</f>
        <v>11737.08</v>
      </c>
      <c r="C1579" s="1">
        <f>value(AUD!$B1579)</f>
        <v>10594.647</v>
      </c>
      <c r="D1579" s="1">
        <f>value(EUR!$B1579)</f>
        <v>15268.2474</v>
      </c>
      <c r="E1579" s="1">
        <f>value(GBP!$B1579)</f>
        <v>19009.4814</v>
      </c>
      <c r="F1579" s="1">
        <f>value(CHF!$B1579)</f>
        <v>12611.331</v>
      </c>
      <c r="G1579" s="1">
        <f>value(SGD!$B1579)</f>
        <v>9347.7741</v>
      </c>
      <c r="H1579" s="1">
        <f>value(MYR!$B1579)</f>
        <v>3642.6873</v>
      </c>
      <c r="I1579" s="1">
        <f>value(THB!$B1579)</f>
        <v>367.86834</v>
      </c>
      <c r="J1579" s="1">
        <f>value(VND!$B1579)</f>
        <v>0.6196438766</v>
      </c>
      <c r="K1579" s="1">
        <f>value(CNY!$B1579)</f>
        <v>1963.5476</v>
      </c>
      <c r="L1579" s="1">
        <f>value(HKD!$B1579)</f>
        <v>1522.69404</v>
      </c>
      <c r="M1579" s="1">
        <f>value(TWD!$B1579)</f>
        <v>395.60304</v>
      </c>
      <c r="N1579" s="1">
        <f>value(JPY!$B1579)</f>
        <v>111.05682</v>
      </c>
      <c r="O1579" s="1">
        <f>value(SAR!$B1579)</f>
        <v>3325.97254</v>
      </c>
      <c r="P1579" s="1">
        <f>value(AED!$B1579)</f>
        <v>3447.79295</v>
      </c>
      <c r="Q1579" s="1">
        <f>value(KWD!$B1579)</f>
        <v>43405.30057</v>
      </c>
    </row>
    <row r="1580">
      <c r="A1580" s="4">
        <f>value(USD!A1580)</f>
        <v>41890.99861</v>
      </c>
      <c r="B1580" s="1">
        <f>value(USD!B1580)</f>
        <v>11713</v>
      </c>
      <c r="C1580" s="1">
        <f>value(AUD!$B1580)</f>
        <v>10598.57649</v>
      </c>
      <c r="D1580" s="1">
        <f>value(EUR!$B1580)</f>
        <v>15268.5245</v>
      </c>
      <c r="E1580" s="1">
        <f>value(GBP!$B1580)</f>
        <v>19142.663</v>
      </c>
      <c r="F1580" s="1">
        <f>value(CHF!$B1580)</f>
        <v>12636.806</v>
      </c>
      <c r="G1580" s="1">
        <f>value(SGD!$B1580)</f>
        <v>9349.2095</v>
      </c>
      <c r="H1580" s="1">
        <f>value(MYR!$B1580)</f>
        <v>3613.14515</v>
      </c>
      <c r="I1580" s="1">
        <f>value(THB!$B1580)</f>
        <v>366.85575</v>
      </c>
      <c r="J1580" s="1">
        <f>value(VND!$B1580)</f>
        <v>0.6144612624</v>
      </c>
      <c r="K1580" s="1">
        <f>value(CNY!$B1580)</f>
        <v>1967.108665</v>
      </c>
      <c r="L1580" s="1">
        <f>value(HKD!$B1580)</f>
        <v>1524.3713</v>
      </c>
      <c r="M1580" s="1">
        <f>value(TWD!$B1580)</f>
        <v>393.2032</v>
      </c>
      <c r="N1580" s="1">
        <f>value(JPY!$B1580)</f>
        <v>110.56477</v>
      </c>
      <c r="O1580" s="1">
        <f>value(SAR!$B1580)</f>
        <v>3332.587189</v>
      </c>
      <c r="P1580" s="1">
        <f>value(AED!$B1580)</f>
        <v>3464.03486</v>
      </c>
      <c r="Q1580" s="1">
        <f>value(KWD!$B1580)</f>
        <v>43330.72982</v>
      </c>
    </row>
    <row r="1581">
      <c r="A1581" s="4">
        <f>value(USD!A1581)</f>
        <v>41891.99861</v>
      </c>
      <c r="B1581" s="1">
        <f>value(USD!B1581)</f>
        <v>11802</v>
      </c>
      <c r="C1581" s="1">
        <f>value(AUD!$B1581)</f>
        <v>10538.2444</v>
      </c>
      <c r="D1581" s="1">
        <f>value(EUR!$B1581)</f>
        <v>15286.726</v>
      </c>
      <c r="E1581" s="1">
        <f>value(GBP!$B1581)</f>
        <v>19227.299</v>
      </c>
      <c r="F1581" s="1">
        <f>value(CHF!$B1581)</f>
        <v>12735.966</v>
      </c>
      <c r="G1581" s="1">
        <f>value(SGD!$B1581)</f>
        <v>9366.6391</v>
      </c>
      <c r="H1581" s="1">
        <f>value(MYR!$B1581)</f>
        <v>3636.542</v>
      </c>
      <c r="I1581" s="1">
        <f>value(THB!$B1581)</f>
        <v>367.2032</v>
      </c>
      <c r="J1581" s="1">
        <f>value(VND!$B1581)</f>
        <v>0.6214231116</v>
      </c>
      <c r="K1581" s="1">
        <f>value(CNY!$B1581)</f>
        <v>1954.774937</v>
      </c>
      <c r="L1581" s="1">
        <f>value(HKD!$B1581)</f>
        <v>1526.4249</v>
      </c>
      <c r="M1581" s="1">
        <f>value(TWD!$B1581)</f>
        <v>394.2939</v>
      </c>
      <c r="N1581" s="1">
        <f>value(JPY!$B1581)</f>
        <v>110.50403</v>
      </c>
      <c r="O1581" s="1">
        <f>value(SAR!$B1581)</f>
        <v>3262.939684</v>
      </c>
      <c r="P1581" s="1">
        <f>value(AED!$B1581)</f>
        <v>3485.2649</v>
      </c>
      <c r="Q1581" s="1">
        <f>value(KWD!$B1581)</f>
        <v>42936.49192</v>
      </c>
    </row>
    <row r="1582">
      <c r="A1582" s="4">
        <f>value(USD!A1582)</f>
        <v>41892.99861</v>
      </c>
      <c r="B1582" s="1">
        <f>value(USD!B1582)</f>
        <v>11815</v>
      </c>
      <c r="C1582" s="1">
        <f>value(AUD!$B1582)</f>
        <v>10559.897</v>
      </c>
      <c r="D1582" s="1">
        <f>value(EUR!$B1582)</f>
        <v>15404.74275</v>
      </c>
      <c r="E1582" s="1">
        <f>value(GBP!$B1582)</f>
        <v>19329.0509</v>
      </c>
      <c r="F1582" s="1">
        <f>value(CHF!$B1582)</f>
        <v>12741.66462</v>
      </c>
      <c r="G1582" s="1">
        <f>value(SGD!$B1582)</f>
        <v>9407.57175</v>
      </c>
      <c r="H1582" s="1">
        <f>value(MYR!$B1582)</f>
        <v>3656.89565</v>
      </c>
      <c r="I1582" s="1">
        <f>value(THB!$B1582)</f>
        <v>363.08675</v>
      </c>
      <c r="J1582" s="1">
        <f>value(VND!$B1582)</f>
        <v>0.6230578465</v>
      </c>
      <c r="K1582" s="1">
        <f>value(CNY!$B1582)</f>
        <v>1979.13129</v>
      </c>
      <c r="L1582" s="1">
        <f>value(HKD!$B1582)</f>
        <v>1533.28385</v>
      </c>
      <c r="M1582" s="1">
        <f>value(TWD!$B1582)</f>
        <v>396.959</v>
      </c>
      <c r="N1582" s="1">
        <f>value(JPY!$B1582)</f>
        <v>110.64935</v>
      </c>
      <c r="O1582" s="1">
        <f>value(SAR!$B1582)</f>
        <v>3253.735267</v>
      </c>
      <c r="P1582" s="1">
        <f>value(AED!$B1582)</f>
        <v>3475.7386</v>
      </c>
      <c r="Q1582" s="1">
        <f>value(KWD!$B1582)</f>
        <v>43393.79789</v>
      </c>
    </row>
    <row r="1583">
      <c r="A1583" s="4">
        <f>value(USD!A1583)</f>
        <v>41893.99861</v>
      </c>
      <c r="B1583" s="1">
        <f>value(USD!B1583)</f>
        <v>11830</v>
      </c>
      <c r="C1583" s="1">
        <f>value(AUD!$B1583)</f>
        <v>10569.35526</v>
      </c>
      <c r="D1583" s="1">
        <f>value(EUR!$B1583)</f>
        <v>15413.09277</v>
      </c>
      <c r="E1583" s="1">
        <f>value(GBP!$B1583)</f>
        <v>19365.47309</v>
      </c>
      <c r="F1583" s="1">
        <f>value(CHF!$B1583)</f>
        <v>12752.37891</v>
      </c>
      <c r="G1583" s="1">
        <f>value(SGD!$B1583)</f>
        <v>9423.212778</v>
      </c>
      <c r="H1583" s="1">
        <f>value(MYR!$B1583)</f>
        <v>3658.570843</v>
      </c>
      <c r="I1583" s="1">
        <f>value(THB!$B1583)</f>
        <v>363.3332752</v>
      </c>
      <c r="J1583" s="1">
        <f>value(VND!$B1583)</f>
        <v>0.623033647</v>
      </c>
      <c r="K1583" s="1">
        <f>value(CNY!$B1583)</f>
        <v>1980.1061</v>
      </c>
      <c r="L1583" s="1">
        <f>value(HKD!$B1583)</f>
        <v>1535.833087</v>
      </c>
      <c r="M1583" s="1">
        <f>value(TWD!$B1583)</f>
        <v>397.1427936</v>
      </c>
      <c r="N1583" s="1">
        <f>value(JPY!$B1583)</f>
        <v>110.9523632</v>
      </c>
      <c r="O1583" s="1">
        <f>value(SAR!$B1583)</f>
        <v>3235.05864</v>
      </c>
      <c r="P1583" s="1">
        <f>value(AED!$B1583)</f>
        <v>3450.42586</v>
      </c>
      <c r="Q1583" s="1">
        <f>value(KWD!$B1583)</f>
        <v>42703.35187</v>
      </c>
    </row>
    <row r="1584">
      <c r="A1584" s="4">
        <f>value(USD!A1584)</f>
        <v>41894.99861</v>
      </c>
      <c r="B1584" s="1">
        <f>value(USD!B1584)</f>
        <v>11885</v>
      </c>
      <c r="C1584" s="1">
        <f>value(AUD!$B1584)</f>
        <v>10554.51811</v>
      </c>
      <c r="D1584" s="1">
        <f>value(EUR!$B1584)</f>
        <v>15430.94991</v>
      </c>
      <c r="E1584" s="1">
        <f>value(GBP!$B1584)</f>
        <v>19352.37785</v>
      </c>
      <c r="F1584" s="1">
        <f>value(CHF!$B1584)</f>
        <v>12753.741</v>
      </c>
      <c r="G1584" s="1">
        <f>value(SGD!$B1584)</f>
        <v>9416.069922</v>
      </c>
      <c r="H1584" s="1">
        <f>value(MYR!$B1584)</f>
        <v>3662.737509</v>
      </c>
      <c r="I1584" s="1">
        <f>value(THB!$B1584)</f>
        <v>363.8094656</v>
      </c>
      <c r="J1584" s="1">
        <f>value(VND!$B1584)</f>
        <v>0.6281586644</v>
      </c>
      <c r="K1584" s="1">
        <f>value(CNY!$B1584)</f>
        <v>1991.70825</v>
      </c>
      <c r="L1584" s="1">
        <f>value(HKD!$B1584)</f>
        <v>1535.952135</v>
      </c>
      <c r="M1584" s="1">
        <f>value(TWD!$B1584)</f>
        <v>397.7380316</v>
      </c>
      <c r="N1584" s="1">
        <f>value(JPY!$B1584)</f>
        <v>110.9523632</v>
      </c>
      <c r="O1584" s="1">
        <f>value(SAR!$B1584)</f>
        <v>3228.749701</v>
      </c>
      <c r="P1584" s="1">
        <f>value(AED!$B1584)</f>
        <v>3480.561629</v>
      </c>
      <c r="Q1584" s="1">
        <f>value(KWD!$B1584)</f>
        <v>43267.04025</v>
      </c>
    </row>
    <row r="1585">
      <c r="A1585" s="4">
        <f>value(USD!A1585)</f>
        <v>41895.99861</v>
      </c>
      <c r="B1585" s="1">
        <f>value(USD!B1585)</f>
        <v>11904.76</v>
      </c>
      <c r="C1585" s="1">
        <f>value(AUD!$B1585)</f>
        <v>10585.3956</v>
      </c>
      <c r="D1585" s="1">
        <f>value(EUR!$B1585)</f>
        <v>15439.116</v>
      </c>
      <c r="E1585" s="1">
        <f>value(GBP!$B1585)</f>
        <v>19370.2663</v>
      </c>
      <c r="F1585" s="1">
        <f>value(CHF!$B1585)</f>
        <v>12839.5305</v>
      </c>
      <c r="G1585" s="1">
        <f>value(SGD!$B1585)</f>
        <v>9439.1528</v>
      </c>
      <c r="H1585" s="1">
        <f>value(MYR!$B1585)</f>
        <v>3634.32685</v>
      </c>
      <c r="I1585" s="1">
        <f>value(THB!$B1585)</f>
        <v>369.5076</v>
      </c>
      <c r="J1585" s="1">
        <f>value(VND!$B1585)</f>
        <v>0.6272623272</v>
      </c>
      <c r="K1585" s="1">
        <f>value(CNY!$B1585)</f>
        <v>1987.254</v>
      </c>
      <c r="L1585" s="1">
        <f>value(HKD!$B1585)</f>
        <v>1539.73435</v>
      </c>
      <c r="M1585" s="1">
        <f>value(TWD!$B1585)</f>
        <v>396.60005</v>
      </c>
      <c r="N1585" s="1">
        <f>value(JPY!$B1585)</f>
        <v>111.35355</v>
      </c>
      <c r="O1585" s="1">
        <f>value(SAR!$B1585)</f>
        <v>3237.538659</v>
      </c>
      <c r="P1585" s="1">
        <f>value(AED!$B1585)</f>
        <v>3433.5507</v>
      </c>
      <c r="Q1585" s="1">
        <f>value(KWD!$B1585)</f>
        <v>43419.30285</v>
      </c>
    </row>
    <row r="1586">
      <c r="A1586" s="4">
        <f>value(USD!A1586)</f>
        <v>41896.99861</v>
      </c>
      <c r="B1586" s="1">
        <f>value(USD!B1586)</f>
        <v>11904.76</v>
      </c>
      <c r="C1586" s="1">
        <f>value(AUD!$B1586)</f>
        <v>10647.0375</v>
      </c>
      <c r="D1586" s="1">
        <f>value(EUR!$B1586)</f>
        <v>15520.575</v>
      </c>
      <c r="E1586" s="1">
        <f>value(GBP!$B1586)</f>
        <v>19474.54635</v>
      </c>
      <c r="F1586" s="1">
        <f>value(CHF!$B1586)</f>
        <v>12688.0934</v>
      </c>
      <c r="G1586" s="1">
        <f>value(SGD!$B1586)</f>
        <v>9501.708</v>
      </c>
      <c r="H1586" s="1">
        <f>value(MYR!$B1586)</f>
        <v>3646.91565</v>
      </c>
      <c r="I1586" s="1">
        <f>value(THB!$B1586)</f>
        <v>371.535</v>
      </c>
      <c r="J1586" s="1">
        <f>value(VND!$B1586)</f>
        <v>0.6277674503</v>
      </c>
      <c r="K1586" s="1">
        <f>value(CNY!$B1586)</f>
        <v>1976.246</v>
      </c>
      <c r="L1586" s="1">
        <f>value(HKD!$B1586)</f>
        <v>1546.18485</v>
      </c>
      <c r="M1586" s="1">
        <f>value(TWD!$B1586)</f>
        <v>397.78215</v>
      </c>
      <c r="N1586" s="1">
        <f>value(JPY!$B1586)</f>
        <v>111.808065</v>
      </c>
      <c r="O1586" s="1">
        <f>value(SAR!$B1586)</f>
        <v>3237.538659</v>
      </c>
      <c r="P1586" s="1">
        <f>value(AED!$B1586)</f>
        <v>3476.28296</v>
      </c>
      <c r="Q1586" s="1">
        <f>value(KWD!$B1586)</f>
        <v>43611.43429</v>
      </c>
    </row>
    <row r="1587">
      <c r="A1587" s="4">
        <f>value(USD!A1587)</f>
        <v>41897.99861</v>
      </c>
      <c r="B1587" s="1">
        <f>value(USD!B1587)</f>
        <v>11935</v>
      </c>
      <c r="C1587" s="1">
        <f>value(AUD!$B1587)</f>
        <v>10596.4041</v>
      </c>
      <c r="D1587" s="1">
        <f>value(EUR!$B1587)</f>
        <v>15357.05484</v>
      </c>
      <c r="E1587" s="1">
        <f>value(GBP!$B1587)</f>
        <v>19434.0633</v>
      </c>
      <c r="F1587" s="1">
        <f>value(CHF!$B1587)</f>
        <v>12810.4207</v>
      </c>
      <c r="G1587" s="1">
        <f>value(SGD!$B1587)</f>
        <v>9431.55852</v>
      </c>
      <c r="H1587" s="1">
        <f>value(MYR!$B1587)</f>
        <v>3615.39488</v>
      </c>
      <c r="I1587" s="1">
        <f>value(THB!$B1587)</f>
        <v>369.74542</v>
      </c>
      <c r="J1587" s="1">
        <f>value(VND!$B1587)</f>
        <v>0.6256816315</v>
      </c>
      <c r="K1587" s="1">
        <f>value(CNY!$B1587)</f>
        <v>1979.511878</v>
      </c>
      <c r="L1587" s="1">
        <f>value(HKD!$B1587)</f>
        <v>1543.33724</v>
      </c>
      <c r="M1587" s="1">
        <f>value(TWD!$B1587)</f>
        <v>393.07132</v>
      </c>
      <c r="N1587" s="1">
        <f>value(JPY!$B1587)</f>
        <v>110.146096</v>
      </c>
      <c r="O1587" s="1">
        <f>value(SAR!$B1587)</f>
        <v>3270.066143</v>
      </c>
      <c r="P1587" s="1">
        <f>value(AED!$B1587)</f>
        <v>3486.6258</v>
      </c>
      <c r="Q1587" s="1">
        <f>value(KWD!$B1587)</f>
        <v>43420.64314</v>
      </c>
    </row>
    <row r="1588">
      <c r="A1588" s="4">
        <f>value(USD!A1588)</f>
        <v>41898.99861</v>
      </c>
      <c r="B1588" s="1">
        <f>value(USD!B1588)</f>
        <v>11985</v>
      </c>
      <c r="C1588" s="1">
        <f>value(AUD!$B1588)</f>
        <v>10652.86736</v>
      </c>
      <c r="D1588" s="1">
        <f>value(EUR!$B1588)</f>
        <v>15457.9635</v>
      </c>
      <c r="E1588" s="1">
        <f>value(GBP!$B1588)</f>
        <v>19683.49926</v>
      </c>
      <c r="F1588" s="1">
        <f>value(CHF!$B1588)</f>
        <v>12730.7392</v>
      </c>
      <c r="G1588" s="1">
        <f>value(SGD!$B1588)</f>
        <v>9446.77263</v>
      </c>
      <c r="H1588" s="1">
        <f>value(MYR!$B1588)</f>
        <v>3645.15895</v>
      </c>
      <c r="I1588" s="1">
        <f>value(THB!$B1588)</f>
        <v>370.91931</v>
      </c>
      <c r="J1588" s="1">
        <f>value(VND!$B1588)</f>
        <v>0.6228045107</v>
      </c>
      <c r="K1588" s="1">
        <f>value(CNY!$B1588)</f>
        <v>1990.243584</v>
      </c>
      <c r="L1588" s="1">
        <f>value(HKD!$B1588)</f>
        <v>1544.24038</v>
      </c>
      <c r="M1588" s="1">
        <f>value(TWD!$B1588)</f>
        <v>397.01173</v>
      </c>
      <c r="N1588" s="1">
        <f>value(JPY!$B1588)</f>
        <v>110.042986</v>
      </c>
      <c r="O1588" s="1">
        <f>value(SAR!$B1588)</f>
        <v>3237.452272</v>
      </c>
      <c r="P1588" s="1">
        <f>value(AED!$B1588)</f>
        <v>3507.94125</v>
      </c>
      <c r="Q1588" s="1">
        <f>value(KWD!$B1588)</f>
        <v>43538.61024</v>
      </c>
    </row>
    <row r="1589">
      <c r="A1589" s="4">
        <f>value(USD!A1589)</f>
        <v>41899.99861</v>
      </c>
      <c r="B1589" s="1">
        <f>value(USD!B1589)</f>
        <v>11962</v>
      </c>
      <c r="C1589" s="1">
        <f>value(AUD!$B1589)</f>
        <v>10565.7994</v>
      </c>
      <c r="D1589" s="1">
        <f>value(EUR!$B1589)</f>
        <v>15372.9907</v>
      </c>
      <c r="E1589" s="1">
        <f>value(GBP!$B1589)</f>
        <v>19516.7121</v>
      </c>
      <c r="F1589" s="1">
        <f>value(CHF!$B1589)</f>
        <v>12755.1</v>
      </c>
      <c r="G1589" s="1">
        <f>value(SGD!$B1589)</f>
        <v>9453.26887</v>
      </c>
      <c r="H1589" s="1">
        <f>value(MYR!$B1589)</f>
        <v>3627.73342</v>
      </c>
      <c r="I1589" s="1">
        <f>value(THB!$B1589)</f>
        <v>364.04354</v>
      </c>
      <c r="J1589" s="1">
        <f>value(VND!$B1589)</f>
        <v>0.610050677</v>
      </c>
      <c r="K1589" s="1">
        <f>value(CNY!$B1589)</f>
        <v>1987.22095</v>
      </c>
      <c r="L1589" s="1">
        <f>value(HKD!$B1589)</f>
        <v>1545.807</v>
      </c>
      <c r="M1589" s="1">
        <f>value(TWD!$B1589)</f>
        <v>395.439</v>
      </c>
      <c r="N1589" s="1">
        <f>value(JPY!$B1589)</f>
        <v>109.88411</v>
      </c>
      <c r="O1589" s="1">
        <f>value(SAR!$B1589)</f>
        <v>3238.143489</v>
      </c>
      <c r="P1589" s="1">
        <f>value(AED!$B1589)</f>
        <v>3487.44234</v>
      </c>
      <c r="Q1589" s="1">
        <f>value(KWD!$B1589)</f>
        <v>43329.72061</v>
      </c>
    </row>
    <row r="1590">
      <c r="A1590" s="4">
        <f>value(USD!A1590)</f>
        <v>41900.99861</v>
      </c>
      <c r="B1590" s="1">
        <f>value(USD!B1590)</f>
        <v>11969</v>
      </c>
      <c r="C1590" s="1">
        <f>value(AUD!$B1590)</f>
        <v>10578.04708</v>
      </c>
      <c r="D1590" s="1">
        <f>value(EUR!$B1590)</f>
        <v>15400.95792</v>
      </c>
      <c r="E1590" s="1">
        <f>value(GBP!$B1590)</f>
        <v>19552.21776</v>
      </c>
      <c r="F1590" s="1">
        <f>value(CHF!$B1590)</f>
        <v>12763.50336</v>
      </c>
      <c r="G1590" s="1">
        <f>value(SGD!$B1590)</f>
        <v>9470.466672</v>
      </c>
      <c r="H1590" s="1">
        <f>value(MYR!$B1590)</f>
        <v>3634.693296</v>
      </c>
      <c r="I1590" s="1">
        <f>value(THB!$B1590)</f>
        <v>364.705824</v>
      </c>
      <c r="J1590" s="1">
        <f>value(VND!$B1590)</f>
        <v>0.6176331364</v>
      </c>
      <c r="K1590" s="1">
        <f>value(CNY!$B1590)</f>
        <v>1980.62368</v>
      </c>
      <c r="L1590" s="1">
        <f>value(HKD!$B1590)</f>
        <v>1548.6192</v>
      </c>
      <c r="M1590" s="1">
        <f>value(TWD!$B1590)</f>
        <v>396.278448</v>
      </c>
      <c r="N1590" s="1">
        <f>value(JPY!$B1590)</f>
        <v>110.084016</v>
      </c>
      <c r="O1590" s="1">
        <f>value(SAR!$B1590)</f>
        <v>3247.965779</v>
      </c>
      <c r="P1590" s="1">
        <f>value(AED!$B1590)</f>
        <v>3500.2348</v>
      </c>
      <c r="Q1590" s="1">
        <f>value(KWD!$B1590)</f>
        <v>43562.97258</v>
      </c>
    </row>
    <row r="1591">
      <c r="A1591" s="4">
        <f>value(USD!A1591)</f>
        <v>41901.99861</v>
      </c>
      <c r="B1591" s="1">
        <f>value(USD!B1591)</f>
        <v>11983</v>
      </c>
      <c r="C1591" s="1">
        <f>value(AUD!$B1591)</f>
        <v>10553.65684</v>
      </c>
      <c r="D1591" s="1">
        <f>value(EUR!$B1591)</f>
        <v>15408.1608</v>
      </c>
      <c r="E1591" s="1">
        <f>value(GBP!$B1591)</f>
        <v>19571.42544</v>
      </c>
      <c r="F1591" s="1">
        <f>value(CHF!$B1591)</f>
        <v>12752.8344</v>
      </c>
      <c r="G1591" s="1">
        <f>value(SGD!$B1591)</f>
        <v>9484.512288</v>
      </c>
      <c r="H1591" s="1">
        <f>value(MYR!$B1591)</f>
        <v>3636.494016</v>
      </c>
      <c r="I1591" s="1">
        <f>value(THB!$B1591)</f>
        <v>364.94592</v>
      </c>
      <c r="J1591" s="1">
        <f>value(VND!$B1591)</f>
        <v>0.6179428737</v>
      </c>
      <c r="K1591" s="1">
        <f>value(CNY!$B1591)</f>
        <v>1988.30905</v>
      </c>
      <c r="L1591" s="1">
        <f>value(HKD!$B1591)</f>
        <v>1548.739248</v>
      </c>
      <c r="M1591" s="1">
        <f>value(TWD!$B1591)</f>
        <v>396.518544</v>
      </c>
      <c r="N1591" s="1">
        <f>value(JPY!$B1591)</f>
        <v>110.204064</v>
      </c>
      <c r="O1591" s="1">
        <f>value(SAR!$B1591)</f>
        <v>3248.052465</v>
      </c>
      <c r="P1591" s="1">
        <f>value(AED!$B1591)</f>
        <v>3483.08746</v>
      </c>
      <c r="Q1591" s="1">
        <f>value(KWD!$B1591)</f>
        <v>43447.54438</v>
      </c>
    </row>
    <row r="1592">
      <c r="A1592" s="4">
        <f>value(USD!A1592)</f>
        <v>41902.99861</v>
      </c>
      <c r="B1592" s="1">
        <f>value(USD!B1592)</f>
        <v>12004.8</v>
      </c>
      <c r="C1592" s="1">
        <f>value(AUD!$B1592)</f>
        <v>10649.2749</v>
      </c>
      <c r="D1592" s="1">
        <f>value(EUR!$B1592)</f>
        <v>15403.3812</v>
      </c>
      <c r="E1592" s="1">
        <f>value(GBP!$B1592)</f>
        <v>19617.1632</v>
      </c>
      <c r="F1592" s="1">
        <f>value(CHF!$B1592)</f>
        <v>12734.883</v>
      </c>
      <c r="G1592" s="1">
        <f>value(SGD!$B1592)</f>
        <v>9435.7548</v>
      </c>
      <c r="H1592" s="1">
        <f>value(MYR!$B1592)</f>
        <v>3629.367</v>
      </c>
      <c r="I1592" s="1">
        <f>value(THB!$B1592)</f>
        <v>371.38824</v>
      </c>
      <c r="J1592" s="1">
        <f>value(VND!$B1592)</f>
        <v>0.6119911041</v>
      </c>
      <c r="K1592" s="1">
        <f>value(CNY!$B1592)</f>
        <v>1989.28401</v>
      </c>
      <c r="L1592" s="1">
        <f>value(HKD!$B1592)</f>
        <v>1546.57188</v>
      </c>
      <c r="M1592" s="1">
        <f>value(TWD!$B1592)</f>
        <v>396.56304</v>
      </c>
      <c r="N1592" s="1">
        <f>value(JPY!$B1592)</f>
        <v>110.16972</v>
      </c>
      <c r="O1592" s="1">
        <f>value(SAR!$B1592)</f>
        <v>3244.417132</v>
      </c>
      <c r="P1592" s="1">
        <f>value(AED!$B1592)</f>
        <v>3498.8739</v>
      </c>
      <c r="Q1592" s="1">
        <f>value(KWD!$B1592)</f>
        <v>43911.34851</v>
      </c>
    </row>
    <row r="1593">
      <c r="A1593" s="4">
        <f>value(USD!A1593)</f>
        <v>41903.99861</v>
      </c>
      <c r="B1593" s="1">
        <f>value(USD!B1593)</f>
        <v>12004.8</v>
      </c>
      <c r="C1593" s="1">
        <f>value(AUD!$B1593)</f>
        <v>10757.949</v>
      </c>
      <c r="D1593" s="1">
        <f>value(EUR!$B1593)</f>
        <v>15376.662</v>
      </c>
      <c r="E1593" s="1">
        <f>value(GBP!$B1593)</f>
        <v>19617.633</v>
      </c>
      <c r="F1593" s="1">
        <f>value(CHF!$B1593)</f>
        <v>12624.9453</v>
      </c>
      <c r="G1593" s="1">
        <f>value(SGD!$B1593)</f>
        <v>9434.2752</v>
      </c>
      <c r="H1593" s="1">
        <f>value(MYR!$B1593)</f>
        <v>3609.6732</v>
      </c>
      <c r="I1593" s="1">
        <f>value(THB!$B1593)</f>
        <v>371.07</v>
      </c>
      <c r="J1593" s="1">
        <f>value(VND!$B1593)</f>
        <v>0.6096466277</v>
      </c>
      <c r="K1593" s="1">
        <f>value(CNY!$B1593)</f>
        <v>1986.77</v>
      </c>
      <c r="L1593" s="1">
        <f>value(HKD!$B1593)</f>
        <v>1544.13</v>
      </c>
      <c r="M1593" s="1">
        <f>value(TWD!$B1593)</f>
        <v>394.7706</v>
      </c>
      <c r="N1593" s="1">
        <f>value(JPY!$B1593)</f>
        <v>110.0043</v>
      </c>
      <c r="O1593" s="1">
        <f>value(SAR!$B1593)</f>
        <v>3276.349426</v>
      </c>
      <c r="P1593" s="1">
        <f>value(AED!$B1593)</f>
        <v>3499.41826</v>
      </c>
      <c r="Q1593" s="1">
        <f>value(KWD!$B1593)</f>
        <v>43896.08339</v>
      </c>
    </row>
    <row r="1594">
      <c r="A1594" s="4">
        <f>value(USD!A1594)</f>
        <v>41904.99861</v>
      </c>
      <c r="B1594" s="1">
        <f>value(USD!B1594)</f>
        <v>11988</v>
      </c>
      <c r="C1594" s="1">
        <f>value(AUD!$B1594)</f>
        <v>10786.5582</v>
      </c>
      <c r="D1594" s="1">
        <f>value(EUR!$B1594)</f>
        <v>15260.16825</v>
      </c>
      <c r="E1594" s="1">
        <f>value(GBP!$B1594)</f>
        <v>19504.1133</v>
      </c>
      <c r="F1594" s="1">
        <f>value(CHF!$B1594)</f>
        <v>12654.51744</v>
      </c>
      <c r="G1594" s="1">
        <f>value(SGD!$B1594)</f>
        <v>9421.35498</v>
      </c>
      <c r="H1594" s="1">
        <f>value(MYR!$B1594)</f>
        <v>3597.35103</v>
      </c>
      <c r="I1594" s="1">
        <f>value(THB!$B1594)</f>
        <v>370.35243</v>
      </c>
      <c r="J1594" s="1">
        <f>value(VND!$B1594)</f>
        <v>0.6020954578</v>
      </c>
      <c r="K1594" s="1">
        <f>value(CNY!$B1594)</f>
        <v>1990.707601</v>
      </c>
      <c r="L1594" s="1">
        <f>value(HKD!$B1594)</f>
        <v>1540.52757</v>
      </c>
      <c r="M1594" s="1">
        <f>value(TWD!$B1594)</f>
        <v>393.40242</v>
      </c>
      <c r="N1594" s="1">
        <f>value(JPY!$B1594)</f>
        <v>109.409823</v>
      </c>
      <c r="O1594" s="1">
        <f>value(SAR!$B1594)</f>
        <v>3276.524241</v>
      </c>
      <c r="P1594" s="1">
        <f>value(AED!$B1594)</f>
        <v>3532.35204</v>
      </c>
      <c r="Q1594" s="1">
        <f>value(KWD!$B1594)</f>
        <v>43802.76389</v>
      </c>
    </row>
    <row r="1595">
      <c r="A1595" s="4">
        <f>value(USD!A1595)</f>
        <v>41905.99861</v>
      </c>
      <c r="B1595" s="1">
        <f>value(USD!B1595)</f>
        <v>11970</v>
      </c>
      <c r="C1595" s="1">
        <f>value(AUD!$B1595)</f>
        <v>10683.8496</v>
      </c>
      <c r="D1595" s="1">
        <f>value(EUR!$B1595)</f>
        <v>15279.1368</v>
      </c>
      <c r="E1595" s="1">
        <f>value(GBP!$B1595)</f>
        <v>19551.0905</v>
      </c>
      <c r="F1595" s="1">
        <f>value(CHF!$B1595)</f>
        <v>12662.14</v>
      </c>
      <c r="G1595" s="1">
        <f>value(SGD!$B1595)</f>
        <v>9428.4827</v>
      </c>
      <c r="H1595" s="1">
        <f>value(MYR!$B1595)</f>
        <v>3621.18896</v>
      </c>
      <c r="I1595" s="1">
        <f>value(THB!$B1595)</f>
        <v>370.59932</v>
      </c>
      <c r="J1595" s="1">
        <f>value(VND!$B1595)</f>
        <v>0.6153045674</v>
      </c>
      <c r="K1595" s="1">
        <f>value(CNY!$B1595)</f>
        <v>2002.688032</v>
      </c>
      <c r="L1595" s="1">
        <f>value(HKD!$B1595)</f>
        <v>1544.68288</v>
      </c>
      <c r="M1595" s="1">
        <f>value(TWD!$B1595)</f>
        <v>395.99268</v>
      </c>
      <c r="N1595" s="1">
        <f>value(JPY!$B1595)</f>
        <v>110.1976</v>
      </c>
      <c r="O1595" s="1">
        <f>value(SAR!$B1595)</f>
        <v>3276.87375</v>
      </c>
      <c r="P1595" s="1">
        <f>value(AED!$B1595)</f>
        <v>3536.9791</v>
      </c>
      <c r="Q1595" s="1">
        <f>value(KWD!$B1595)</f>
        <v>43885.08327</v>
      </c>
    </row>
    <row r="1596">
      <c r="A1596" s="4">
        <f>value(USD!A1596)</f>
        <v>41906.99861</v>
      </c>
      <c r="B1596" s="1">
        <f>value(USD!B1596)</f>
        <v>11943</v>
      </c>
      <c r="C1596" s="1">
        <f>value(AUD!$B1596)</f>
        <v>10597.1811</v>
      </c>
      <c r="D1596" s="1">
        <f>value(EUR!$B1596)</f>
        <v>15280.7255</v>
      </c>
      <c r="E1596" s="1">
        <f>value(GBP!$B1596)</f>
        <v>19571.369</v>
      </c>
      <c r="F1596" s="1">
        <f>value(CHF!$B1596)</f>
        <v>12677.91872</v>
      </c>
      <c r="G1596" s="1">
        <f>value(SGD!$B1596)</f>
        <v>9450.333</v>
      </c>
      <c r="H1596" s="1">
        <f>value(MYR!$B1596)</f>
        <v>3611.2645</v>
      </c>
      <c r="I1596" s="1">
        <f>value(THB!$B1596)</f>
        <v>372.104</v>
      </c>
      <c r="J1596" s="1">
        <f>value(VND!$B1596)</f>
        <v>0.6161955124</v>
      </c>
      <c r="K1596" s="1">
        <f>value(CNY!$B1596)</f>
        <v>1991.4435</v>
      </c>
      <c r="L1596" s="1">
        <f>value(HKD!$B1596)</f>
        <v>1553.245</v>
      </c>
      <c r="M1596" s="1">
        <f>value(TWD!$B1596)</f>
        <v>396.0835</v>
      </c>
      <c r="N1596" s="1">
        <f>value(JPY!$B1596)</f>
        <v>110.2575</v>
      </c>
      <c r="O1596" s="1">
        <f>value(SAR!$B1596)</f>
        <v>3276.786403</v>
      </c>
      <c r="P1596" s="1">
        <f>value(AED!$B1596)</f>
        <v>3530.1746</v>
      </c>
      <c r="Q1596" s="1">
        <f>value(KWD!$B1596)</f>
        <v>43450.425</v>
      </c>
    </row>
    <row r="1597">
      <c r="A1597" s="4">
        <f>value(USD!A1597)</f>
        <v>41907.99861</v>
      </c>
      <c r="B1597" s="1">
        <f>value(USD!B1597)</f>
        <v>11978</v>
      </c>
      <c r="C1597" s="1">
        <f>value(AUD!$B1597)</f>
        <v>10613.68422</v>
      </c>
      <c r="D1597" s="1">
        <f>value(EUR!$B1597)</f>
        <v>15299.14777</v>
      </c>
      <c r="E1597" s="1">
        <f>value(GBP!$B1597)</f>
        <v>19594.68236</v>
      </c>
      <c r="F1597" s="1">
        <f>value(CHF!$B1597)</f>
        <v>12664.64972</v>
      </c>
      <c r="G1597" s="1">
        <f>value(SGD!$B1597)</f>
        <v>9462.480076</v>
      </c>
      <c r="H1597" s="1">
        <f>value(MYR!$B1597)</f>
        <v>3615.197184</v>
      </c>
      <c r="I1597" s="1">
        <f>value(THB!$B1597)</f>
        <v>364.7766528</v>
      </c>
      <c r="J1597" s="1">
        <f>value(VND!$B1597)</f>
        <v>0.6184490218</v>
      </c>
      <c r="K1597" s="1">
        <f>value(CNY!$B1597)</f>
        <v>1980.255</v>
      </c>
      <c r="L1597" s="1">
        <f>value(HKD!$B1597)</f>
        <v>1554.643353</v>
      </c>
      <c r="M1597" s="1">
        <f>value(TWD!$B1597)</f>
        <v>396.5016064</v>
      </c>
      <c r="N1597" s="1">
        <f>value(JPY!$B1597)</f>
        <v>110.373888</v>
      </c>
      <c r="O1597" s="1">
        <f>value(SAR!$B1597)</f>
        <v>3276.698934</v>
      </c>
      <c r="P1597" s="1">
        <f>value(AED!$B1597)</f>
        <v>3542.4227</v>
      </c>
      <c r="Q1597" s="1">
        <f>value(KWD!$B1597)</f>
        <v>43751.24796</v>
      </c>
    </row>
    <row r="1598">
      <c r="A1598" s="4">
        <f>value(USD!A1598)</f>
        <v>41908.99861</v>
      </c>
      <c r="B1598" s="1">
        <f>value(USD!B1598)</f>
        <v>12050</v>
      </c>
      <c r="C1598" s="1">
        <f>value(AUD!$B1598)</f>
        <v>10584.83339</v>
      </c>
      <c r="D1598" s="1">
        <f>value(EUR!$B1598)</f>
        <v>15284.31063</v>
      </c>
      <c r="E1598" s="1">
        <f>value(GBP!$B1598)</f>
        <v>19586.23846</v>
      </c>
      <c r="F1598" s="1">
        <f>value(CHF!$B1598)</f>
        <v>12764.8846</v>
      </c>
      <c r="G1598" s="1">
        <f>value(SGD!$B1598)</f>
        <v>9461.515059</v>
      </c>
      <c r="H1598" s="1">
        <f>value(MYR!$B1598)</f>
        <v>3611.578368</v>
      </c>
      <c r="I1598" s="1">
        <f>value(THB!$B1598)</f>
        <v>364.4147712</v>
      </c>
      <c r="J1598" s="1">
        <f>value(VND!$B1598)</f>
        <v>0.6164448118</v>
      </c>
      <c r="K1598" s="1">
        <f>value(CNY!$B1598)</f>
        <v>1977.58782</v>
      </c>
      <c r="L1598" s="1">
        <f>value(HKD!$B1598)</f>
        <v>1554.522726</v>
      </c>
      <c r="M1598" s="1">
        <f>value(TWD!$B1598)</f>
        <v>396.1397248</v>
      </c>
      <c r="N1598" s="1">
        <f>value(JPY!$B1598)</f>
        <v>110.2532608</v>
      </c>
      <c r="O1598" s="1">
        <f>value(SAR!$B1598)</f>
        <v>3309.223205</v>
      </c>
      <c r="P1598" s="1">
        <f>value(AED!$B1598)</f>
        <v>3512.025</v>
      </c>
      <c r="Q1598" s="1">
        <f>value(KWD!$B1598)</f>
        <v>43903.0036</v>
      </c>
    </row>
    <row r="1599">
      <c r="A1599" s="4">
        <f>value(USD!A1599)</f>
        <v>41909.99861</v>
      </c>
      <c r="B1599" s="1">
        <f>value(USD!B1599)</f>
        <v>12062.72</v>
      </c>
      <c r="C1599" s="1">
        <f>value(AUD!$B1599)</f>
        <v>10682.076</v>
      </c>
      <c r="D1599" s="1">
        <f>value(EUR!$B1599)</f>
        <v>15406.74096</v>
      </c>
      <c r="E1599" s="1">
        <f>value(GBP!$B1599)</f>
        <v>19719.09368</v>
      </c>
      <c r="F1599" s="1">
        <f>value(CHF!$B1599)</f>
        <v>12747.225</v>
      </c>
      <c r="G1599" s="1">
        <f>value(SGD!$B1599)</f>
        <v>9528.07024</v>
      </c>
      <c r="H1599" s="1">
        <f>value(MYR!$B1599)</f>
        <v>3635.19338</v>
      </c>
      <c r="I1599" s="1">
        <f>value(THB!$B1599)</f>
        <v>374.5807</v>
      </c>
      <c r="J1599" s="1">
        <f>value(VND!$B1599)</f>
        <v>0.6115725839</v>
      </c>
      <c r="K1599" s="1">
        <f>value(CNY!$B1599)</f>
        <v>1981.68289</v>
      </c>
      <c r="L1599" s="1">
        <f>value(HKD!$B1599)</f>
        <v>1562.91824</v>
      </c>
      <c r="M1599" s="1">
        <f>value(TWD!$B1599)</f>
        <v>398.50044</v>
      </c>
      <c r="N1599" s="1">
        <f>value(JPY!$B1599)</f>
        <v>110.941454</v>
      </c>
      <c r="O1599" s="1">
        <f>value(SAR!$B1599)</f>
        <v>3277.660604</v>
      </c>
      <c r="P1599" s="1">
        <f>value(AED!$B1599)</f>
        <v>3546.5054</v>
      </c>
      <c r="Q1599" s="1">
        <f>value(KWD!$B1599)</f>
        <v>43822.28537</v>
      </c>
    </row>
    <row r="1600">
      <c r="A1600" s="4">
        <f>value(USD!A1600)</f>
        <v>41910.99861</v>
      </c>
      <c r="B1600" s="1">
        <f>value(USD!B1600)</f>
        <v>12062.72</v>
      </c>
      <c r="C1600" s="1">
        <f>value(AUD!$B1600)</f>
        <v>10621.04256</v>
      </c>
      <c r="D1600" s="1">
        <f>value(EUR!$B1600)</f>
        <v>15375.3205</v>
      </c>
      <c r="E1600" s="1">
        <f>value(GBP!$B1600)</f>
        <v>19741.88425</v>
      </c>
      <c r="F1600" s="1">
        <f>value(CHF!$B1600)</f>
        <v>12680.702</v>
      </c>
      <c r="G1600" s="1">
        <f>value(SGD!$B1600)</f>
        <v>9540.20825</v>
      </c>
      <c r="H1600" s="1">
        <f>value(MYR!$B1600)</f>
        <v>3652.5</v>
      </c>
      <c r="I1600" s="1">
        <f>value(THB!$B1600)</f>
        <v>375.2335</v>
      </c>
      <c r="J1600" s="1">
        <f>value(VND!$B1600)</f>
        <v>0.6149656525</v>
      </c>
      <c r="K1600" s="1">
        <f>value(CNY!$B1600)</f>
        <v>1980.71225</v>
      </c>
      <c r="L1600" s="1">
        <f>value(HKD!$B1600)</f>
        <v>1567.8965</v>
      </c>
      <c r="M1600" s="1">
        <f>value(TWD!$B1600)</f>
        <v>400.92275</v>
      </c>
      <c r="N1600" s="1">
        <f>value(JPY!$B1600)</f>
        <v>111.06035</v>
      </c>
      <c r="O1600" s="1">
        <f>value(SAR!$B1600)</f>
        <v>3277.223381</v>
      </c>
      <c r="P1600" s="1">
        <f>value(AED!$B1600)</f>
        <v>3558.20914</v>
      </c>
      <c r="Q1600" s="1">
        <f>value(KWD!$B1600)</f>
        <v>44007.6093</v>
      </c>
    </row>
    <row r="1601">
      <c r="A1601" s="4">
        <f>value(USD!A1601)</f>
        <v>41911.99861</v>
      </c>
      <c r="B1601" s="1">
        <f>value(USD!B1601)</f>
        <v>12142</v>
      </c>
      <c r="C1601" s="1">
        <f>value(AUD!$B1601)</f>
        <v>10758.5373</v>
      </c>
      <c r="D1601" s="1">
        <f>value(EUR!$B1601)</f>
        <v>15305.634</v>
      </c>
      <c r="E1601" s="1">
        <f>value(GBP!$B1601)</f>
        <v>19632.405</v>
      </c>
      <c r="F1601" s="1">
        <f>value(CHF!$B1601)</f>
        <v>12695.7984</v>
      </c>
      <c r="G1601" s="1">
        <f>value(SGD!$B1601)</f>
        <v>9531.6327</v>
      </c>
      <c r="H1601" s="1">
        <f>value(MYR!$B1601)</f>
        <v>3643.1242</v>
      </c>
      <c r="I1601" s="1">
        <f>value(THB!$B1601)</f>
        <v>373.7253</v>
      </c>
      <c r="J1601" s="1">
        <f>value(VND!$B1601)</f>
        <v>0.600926998</v>
      </c>
      <c r="K1601" s="1">
        <f>value(CNY!$B1601)</f>
        <v>2000.612425</v>
      </c>
      <c r="L1601" s="1">
        <f>value(HKD!$B1601)</f>
        <v>1562.2227</v>
      </c>
      <c r="M1601" s="1">
        <f>value(TWD!$B1601)</f>
        <v>398.9557</v>
      </c>
      <c r="N1601" s="1">
        <f>value(JPY!$B1601)</f>
        <v>111.21997</v>
      </c>
      <c r="O1601" s="1">
        <f>value(SAR!$B1601)</f>
        <v>3277.573135</v>
      </c>
      <c r="P1601" s="1">
        <f>value(AED!$B1601)</f>
        <v>3558.3075</v>
      </c>
      <c r="Q1601" s="1">
        <f>value(KWD!$B1601)</f>
        <v>44039.45274</v>
      </c>
    </row>
    <row r="1602">
      <c r="A1602" s="4">
        <f>value(USD!A1602)</f>
        <v>41912.99861</v>
      </c>
      <c r="B1602" s="1">
        <f>value(USD!B1602)</f>
        <v>12175</v>
      </c>
      <c r="C1602" s="1">
        <f>value(AUD!$B1602)</f>
        <v>10688.2677</v>
      </c>
      <c r="D1602" s="1">
        <f>value(EUR!$B1602)</f>
        <v>15344.6928</v>
      </c>
      <c r="E1602" s="1">
        <f>value(GBP!$B1602)</f>
        <v>19559.6688</v>
      </c>
      <c r="F1602" s="1">
        <f>value(CHF!$B1602)</f>
        <v>12585.4092</v>
      </c>
      <c r="G1602" s="1">
        <f>value(SGD!$B1602)</f>
        <v>9518.2152</v>
      </c>
      <c r="H1602" s="1">
        <f>value(MYR!$B1602)</f>
        <v>3662.91104</v>
      </c>
      <c r="I1602" s="1">
        <f>value(THB!$B1602)</f>
        <v>373.0496</v>
      </c>
      <c r="J1602" s="1">
        <f>value(VND!$B1602)</f>
        <v>0.600278226</v>
      </c>
      <c r="K1602" s="1">
        <f>value(CNY!$B1602)</f>
        <v>1980.800593</v>
      </c>
      <c r="L1602" s="1">
        <f>value(HKD!$B1602)</f>
        <v>1560.26784</v>
      </c>
      <c r="M1602" s="1">
        <f>value(TWD!$B1602)</f>
        <v>398.96928</v>
      </c>
      <c r="N1602" s="1">
        <f>value(JPY!$B1602)</f>
        <v>111.7332</v>
      </c>
      <c r="O1602" s="1">
        <f>value(SAR!$B1602)</f>
        <v>3324.441813</v>
      </c>
      <c r="P1602" s="1">
        <f>value(AED!$B1602)</f>
        <v>3585.9715</v>
      </c>
      <c r="Q1602" s="1">
        <f>value(KWD!$B1602)</f>
        <v>43973.45172</v>
      </c>
    </row>
    <row r="1603">
      <c r="A1603" s="4">
        <f>value(USD!A1603)</f>
        <v>41913.99861</v>
      </c>
      <c r="B1603" s="1">
        <f>value(USD!B1603)</f>
        <v>12130</v>
      </c>
      <c r="C1603" s="1">
        <f>value(AUD!$B1603)</f>
        <v>10582.5939</v>
      </c>
      <c r="D1603" s="1">
        <f>value(EUR!$B1603)</f>
        <v>15243.3034</v>
      </c>
      <c r="E1603" s="1">
        <f>value(GBP!$B1603)</f>
        <v>19444.5303</v>
      </c>
      <c r="F1603" s="1">
        <f>value(CHF!$B1603)</f>
        <v>12603.65652</v>
      </c>
      <c r="G1603" s="1">
        <f>value(SGD!$B1603)</f>
        <v>9499.35285</v>
      </c>
      <c r="H1603" s="1">
        <f>value(MYR!$B1603)</f>
        <v>3637.49022</v>
      </c>
      <c r="I1603" s="1">
        <f>value(THB!$B1603)</f>
        <v>364.45552</v>
      </c>
      <c r="J1603" s="1">
        <f>value(VND!$B1603)</f>
        <v>0.6121343351</v>
      </c>
      <c r="K1603" s="1">
        <f>value(CNY!$B1603)</f>
        <v>1975.37373</v>
      </c>
      <c r="L1603" s="1">
        <f>value(HKD!$B1603)</f>
        <v>1569.03461</v>
      </c>
      <c r="M1603" s="1">
        <f>value(TWD!$B1603)</f>
        <v>396.73517</v>
      </c>
      <c r="N1603" s="1">
        <f>value(JPY!$B1603)</f>
        <v>110.96891</v>
      </c>
      <c r="O1603" s="1">
        <f>value(SAR!$B1603)</f>
        <v>3360.690632</v>
      </c>
      <c r="P1603" s="1">
        <f>value(AED!$B1603)</f>
        <v>3585.5325</v>
      </c>
      <c r="Q1603" s="1">
        <f>value(KWD!$B1603)</f>
        <v>44290.98773</v>
      </c>
    </row>
    <row r="1604">
      <c r="A1604" s="4">
        <f>value(USD!A1604)</f>
        <v>41914.99861</v>
      </c>
      <c r="B1604" s="1">
        <f>value(USD!B1604)</f>
        <v>12112</v>
      </c>
      <c r="C1604" s="1">
        <f>value(AUD!$B1604)</f>
        <v>10597.5739</v>
      </c>
      <c r="D1604" s="1">
        <f>value(EUR!$B1604)</f>
        <v>15260.97316</v>
      </c>
      <c r="E1604" s="1">
        <f>value(GBP!$B1604)</f>
        <v>19480.48468</v>
      </c>
      <c r="F1604" s="1">
        <f>value(CHF!$B1604)</f>
        <v>12596.33944</v>
      </c>
      <c r="G1604" s="1">
        <f>value(SGD!$B1604)</f>
        <v>9510.364332</v>
      </c>
      <c r="H1604" s="1">
        <f>value(MYR!$B1604)</f>
        <v>3641.950636</v>
      </c>
      <c r="I1604" s="1">
        <f>value(THB!$B1604)</f>
        <v>373.2926232</v>
      </c>
      <c r="J1604" s="1">
        <f>value(VND!$B1604)</f>
        <v>0.6084929988</v>
      </c>
      <c r="K1604" s="1">
        <f>value(CNY!$B1604)</f>
        <v>1977.55767</v>
      </c>
      <c r="L1604" s="1">
        <f>value(HKD!$B1604)</f>
        <v>1570.853407</v>
      </c>
      <c r="M1604" s="1">
        <f>value(TWD!$B1604)</f>
        <v>397.1950584</v>
      </c>
      <c r="N1604" s="1">
        <f>value(JPY!$B1604)</f>
        <v>111.0975432</v>
      </c>
      <c r="O1604" s="1">
        <f>value(SAR!$B1604)</f>
        <v>3364.490461</v>
      </c>
      <c r="P1604" s="1">
        <f>value(AED!$B1604)</f>
        <v>3588.6933</v>
      </c>
      <c r="Q1604" s="1">
        <f>value(KWD!$B1604)</f>
        <v>44072.93618</v>
      </c>
    </row>
    <row r="1605">
      <c r="A1605" s="4">
        <f>value(USD!A1605)</f>
        <v>41915.99861</v>
      </c>
      <c r="B1605" s="1">
        <f>value(USD!B1605)</f>
        <v>12181</v>
      </c>
      <c r="C1605" s="1">
        <f>value(AUD!$B1605)</f>
        <v>10615.14965</v>
      </c>
      <c r="D1605" s="1">
        <f>value(EUR!$B1605)</f>
        <v>15254.8756</v>
      </c>
      <c r="E1605" s="1">
        <f>value(GBP!$B1605)</f>
        <v>19462.192</v>
      </c>
      <c r="F1605" s="1">
        <f>value(CHF!$B1605)</f>
        <v>12675.3945</v>
      </c>
      <c r="G1605" s="1">
        <f>value(SGD!$B1605)</f>
        <v>9514.26677</v>
      </c>
      <c r="H1605" s="1">
        <f>value(MYR!$B1605)</f>
        <v>3640.487222</v>
      </c>
      <c r="I1605" s="1">
        <f>value(THB!$B1605)</f>
        <v>373.170672</v>
      </c>
      <c r="J1605" s="1">
        <f>value(VND!$B1605)</f>
        <v>0.609566441</v>
      </c>
      <c r="K1605" s="1">
        <f>value(CNY!$B1605)</f>
        <v>1982.94225</v>
      </c>
      <c r="L1605" s="1">
        <f>value(HKD!$B1605)</f>
        <v>1571.097309</v>
      </c>
      <c r="M1605" s="1">
        <f>value(TWD!$B1605)</f>
        <v>397.0731072</v>
      </c>
      <c r="N1605" s="1">
        <f>value(JPY!$B1605)</f>
        <v>110.975592</v>
      </c>
      <c r="O1605" s="1">
        <f>value(SAR!$B1605)</f>
        <v>3364.490461</v>
      </c>
      <c r="P1605" s="1">
        <f>value(AED!$B1605)</f>
        <v>3614.607557</v>
      </c>
      <c r="Q1605" s="1">
        <f>value(KWD!$B1605)</f>
        <v>43819.50112</v>
      </c>
    </row>
    <row r="1606">
      <c r="A1606" s="4">
        <f>value(USD!A1606)</f>
        <v>41916.99861</v>
      </c>
      <c r="B1606" s="1">
        <f>value(USD!B1606)</f>
        <v>12195.12</v>
      </c>
      <c r="C1606" s="1">
        <f>value(AUD!$B1606)</f>
        <v>10563.70182</v>
      </c>
      <c r="D1606" s="1">
        <f>value(EUR!$B1606)</f>
        <v>15373.2432</v>
      </c>
      <c r="E1606" s="1">
        <f>value(GBP!$B1606)</f>
        <v>19535.89863</v>
      </c>
      <c r="F1606" s="1">
        <f>value(CHF!$B1606)</f>
        <v>12766.5882</v>
      </c>
      <c r="G1606" s="1">
        <f>value(SGD!$B1606)</f>
        <v>9515.83833</v>
      </c>
      <c r="H1606" s="1">
        <f>value(MYR!$B1606)</f>
        <v>3687.58626</v>
      </c>
      <c r="I1606" s="1">
        <f>value(THB!$B1606)</f>
        <v>372.54849</v>
      </c>
      <c r="J1606" s="1">
        <f>value(VND!$B1606)</f>
        <v>0.6075316862</v>
      </c>
      <c r="K1606" s="1">
        <f>value(CNY!$B1606)</f>
        <v>1982.8205</v>
      </c>
      <c r="L1606" s="1">
        <f>value(HKD!$B1606)</f>
        <v>1566.23418</v>
      </c>
      <c r="M1606" s="1">
        <f>value(TWD!$B1606)</f>
        <v>402.30864</v>
      </c>
      <c r="N1606" s="1">
        <f>value(JPY!$B1606)</f>
        <v>111.643077</v>
      </c>
      <c r="O1606" s="1">
        <f>value(SAR!$B1606)</f>
        <v>3427.672093</v>
      </c>
      <c r="P1606" s="1">
        <f>value(AED!$B1606)</f>
        <v>3591.4151</v>
      </c>
      <c r="Q1606" s="1">
        <f>value(KWD!$B1606)</f>
        <v>43164.97584</v>
      </c>
    </row>
    <row r="1607">
      <c r="A1607" s="4">
        <f>value(USD!A1607)</f>
        <v>41917.99861</v>
      </c>
      <c r="B1607" s="1">
        <f>value(USD!B1607)</f>
        <v>12195.12</v>
      </c>
      <c r="C1607" s="1">
        <f>value(AUD!$B1607)</f>
        <v>10509.0029</v>
      </c>
      <c r="D1607" s="1">
        <f>value(EUR!$B1607)</f>
        <v>15475.3188</v>
      </c>
      <c r="E1607" s="1">
        <f>value(GBP!$B1607)</f>
        <v>19664.01574</v>
      </c>
      <c r="F1607" s="1">
        <f>value(CHF!$B1607)</f>
        <v>12818.058</v>
      </c>
      <c r="G1607" s="1">
        <f>value(SGD!$B1607)</f>
        <v>9579.88944</v>
      </c>
      <c r="H1607" s="1">
        <f>value(MYR!$B1607)</f>
        <v>3698.63296</v>
      </c>
      <c r="I1607" s="1">
        <f>value(THB!$B1607)</f>
        <v>374.72606</v>
      </c>
      <c r="J1607" s="1">
        <f>value(VND!$B1607)</f>
        <v>0.6147212569</v>
      </c>
      <c r="K1607" s="1">
        <f>value(CNY!$B1607)</f>
        <v>1983.91625</v>
      </c>
      <c r="L1607" s="1">
        <f>value(HKD!$B1607)</f>
        <v>1575.26674</v>
      </c>
      <c r="M1607" s="1">
        <f>value(TWD!$B1607)</f>
        <v>403.68272</v>
      </c>
      <c r="N1607" s="1">
        <f>value(JPY!$B1607)</f>
        <v>113.0165</v>
      </c>
      <c r="O1607" s="1">
        <f>value(SAR!$B1607)</f>
        <v>3388.722829</v>
      </c>
      <c r="P1607" s="1">
        <f>value(AED!$B1607)</f>
        <v>3571.0016</v>
      </c>
      <c r="Q1607" s="1">
        <f>value(KWD!$B1607)</f>
        <v>43606.60339</v>
      </c>
    </row>
    <row r="1608">
      <c r="A1608" s="4">
        <f>value(USD!A1608)</f>
        <v>41918.99861</v>
      </c>
      <c r="B1608" s="1">
        <f>value(USD!B1608)</f>
        <v>12147</v>
      </c>
      <c r="C1608" s="1">
        <f>value(AUD!$B1608)</f>
        <v>10505.3818</v>
      </c>
      <c r="D1608" s="1">
        <f>value(EUR!$B1608)</f>
        <v>15543.33</v>
      </c>
      <c r="E1608" s="1">
        <f>value(GBP!$B1608)</f>
        <v>19727.697</v>
      </c>
      <c r="F1608" s="1">
        <f>value(CHF!$B1608)</f>
        <v>12769.9008</v>
      </c>
      <c r="G1608" s="1">
        <f>value(SGD!$B1608)</f>
        <v>9588.6351</v>
      </c>
      <c r="H1608" s="1">
        <f>value(MYR!$B1608)</f>
        <v>3680.4603</v>
      </c>
      <c r="I1608" s="1">
        <f>value(THB!$B1608)</f>
        <v>374.9691</v>
      </c>
      <c r="J1608" s="1">
        <f>value(VND!$B1608)</f>
        <v>0.6112210191</v>
      </c>
      <c r="K1608" s="1">
        <f>value(CNY!$B1608)</f>
        <v>1987.194804</v>
      </c>
      <c r="L1608" s="1">
        <f>value(HKD!$B1608)</f>
        <v>1574.1132</v>
      </c>
      <c r="M1608" s="1">
        <f>value(TWD!$B1608)</f>
        <v>403.4184</v>
      </c>
      <c r="N1608" s="1">
        <f>value(JPY!$B1608)</f>
        <v>112.84482</v>
      </c>
      <c r="O1608" s="1">
        <f>value(SAR!$B1608)</f>
        <v>3379.827129</v>
      </c>
      <c r="P1608" s="1">
        <f>value(AED!$B1608)</f>
        <v>3505.6784</v>
      </c>
      <c r="Q1608" s="1">
        <f>value(KWD!$B1608)</f>
        <v>43580.8164</v>
      </c>
    </row>
    <row r="1609">
      <c r="A1609" s="4">
        <f>value(USD!A1609)</f>
        <v>41919.99861</v>
      </c>
      <c r="B1609" s="1">
        <f>value(USD!B1609)</f>
        <v>12218</v>
      </c>
      <c r="C1609" s="1">
        <f>value(AUD!$B1609)</f>
        <v>10562.3499</v>
      </c>
      <c r="D1609" s="1">
        <f>value(EUR!$B1609)</f>
        <v>15464.3328</v>
      </c>
      <c r="E1609" s="1">
        <f>value(GBP!$B1609)</f>
        <v>19648.6272</v>
      </c>
      <c r="F1609" s="1">
        <f>value(CHF!$B1609)</f>
        <v>12749.682</v>
      </c>
      <c r="G1609" s="1">
        <f>value(SGD!$B1609)</f>
        <v>9585.3504</v>
      </c>
      <c r="H1609" s="1">
        <f>value(MYR!$B1609)</f>
        <v>3668.5728</v>
      </c>
      <c r="I1609" s="1">
        <f>value(THB!$B1609)</f>
        <v>375.5136</v>
      </c>
      <c r="J1609" s="1">
        <f>value(VND!$B1609)</f>
        <v>0.6078616103</v>
      </c>
      <c r="K1609" s="1">
        <f>value(CNY!$B1609)</f>
        <v>1981.828951</v>
      </c>
      <c r="L1609" s="1">
        <f>value(HKD!$B1609)</f>
        <v>1571.91456</v>
      </c>
      <c r="M1609" s="1">
        <f>value(TWD!$B1609)</f>
        <v>399.16608</v>
      </c>
      <c r="N1609" s="1">
        <f>value(JPY!$B1609)</f>
        <v>112.971072</v>
      </c>
      <c r="O1609" s="1">
        <f>value(SAR!$B1609)</f>
        <v>3328.26624</v>
      </c>
      <c r="P1609" s="1">
        <f>value(AED!$B1609)</f>
        <v>3554.12644</v>
      </c>
      <c r="Q1609" s="1">
        <f>value(KWD!$B1609)</f>
        <v>43310.79849</v>
      </c>
    </row>
    <row r="1610">
      <c r="A1610" s="4">
        <f>value(USD!A1610)</f>
        <v>41920.99861</v>
      </c>
      <c r="B1610" s="1">
        <f>value(USD!B1610)</f>
        <v>12210</v>
      </c>
      <c r="C1610" s="1">
        <f>value(AUD!$B1610)</f>
        <v>10619.35875</v>
      </c>
      <c r="D1610" s="1">
        <f>value(EUR!$B1610)</f>
        <v>15417.567</v>
      </c>
      <c r="E1610" s="1">
        <f>value(GBP!$B1610)</f>
        <v>19626.354</v>
      </c>
      <c r="F1610" s="1">
        <f>value(CHF!$B1610)</f>
        <v>12765.2719</v>
      </c>
      <c r="G1610" s="1">
        <f>value(SGD!$B1610)</f>
        <v>9565.9245</v>
      </c>
      <c r="H1610" s="1">
        <f>value(MYR!$B1610)</f>
        <v>3665.442</v>
      </c>
      <c r="I1610" s="1">
        <f>value(THB!$B1610)</f>
        <v>367.7652</v>
      </c>
      <c r="J1610" s="1">
        <f>value(VND!$B1610)</f>
        <v>0.6069788352</v>
      </c>
      <c r="K1610" s="1">
        <f>value(CNY!$B1610)</f>
        <v>1995.8211</v>
      </c>
      <c r="L1610" s="1">
        <f>value(HKD!$B1610)</f>
        <v>1573.6248</v>
      </c>
      <c r="M1610" s="1">
        <f>value(TWD!$B1610)</f>
        <v>400.3659</v>
      </c>
      <c r="N1610" s="1">
        <f>value(JPY!$B1610)</f>
        <v>113.4309</v>
      </c>
      <c r="O1610" s="1">
        <f>value(SAR!$B1610)</f>
        <v>3299.098213</v>
      </c>
      <c r="P1610" s="1">
        <f>value(AED!$B1610)</f>
        <v>3545.1445</v>
      </c>
      <c r="Q1610" s="1">
        <f>value(KWD!$B1610)</f>
        <v>43143.20879</v>
      </c>
    </row>
    <row r="1611">
      <c r="A1611" s="4">
        <f>value(USD!A1611)</f>
        <v>41921.99861</v>
      </c>
      <c r="B1611" s="1">
        <f>value(USD!B1611)</f>
        <v>12192</v>
      </c>
      <c r="C1611" s="1">
        <f>value(AUD!$B1611)</f>
        <v>10629.98049</v>
      </c>
      <c r="D1611" s="1">
        <f>value(EUR!$B1611)</f>
        <v>15436.41911</v>
      </c>
      <c r="E1611" s="1">
        <f>value(GBP!$B1611)</f>
        <v>19651.57497</v>
      </c>
      <c r="F1611" s="1">
        <f>value(CHF!$B1611)</f>
        <v>12793.87824</v>
      </c>
      <c r="G1611" s="1">
        <f>value(SGD!$B1611)</f>
        <v>9577.621408</v>
      </c>
      <c r="H1611" s="1">
        <f>value(MYR!$B1611)</f>
        <v>3669.679487</v>
      </c>
      <c r="I1611" s="1">
        <f>value(THB!$B1611)</f>
        <v>368.2148916</v>
      </c>
      <c r="J1611" s="1">
        <f>value(VND!$B1611)</f>
        <v>0.6028068096</v>
      </c>
      <c r="K1611" s="1">
        <f>value(CNY!$B1611)</f>
        <v>1998.2781</v>
      </c>
      <c r="L1611" s="1">
        <f>value(HKD!$B1611)</f>
        <v>1575.548978</v>
      </c>
      <c r="M1611" s="1">
        <f>value(TWD!$B1611)</f>
        <v>400.8554547</v>
      </c>
      <c r="N1611" s="1">
        <f>value(JPY!$B1611)</f>
        <v>113.5695997</v>
      </c>
      <c r="O1611" s="1">
        <f>value(SAR!$B1611)</f>
        <v>3322.577993</v>
      </c>
      <c r="P1611" s="1">
        <f>value(AED!$B1611)</f>
        <v>3522.82574</v>
      </c>
      <c r="Q1611" s="1">
        <f>value(KWD!$B1611)</f>
        <v>43261.50432</v>
      </c>
    </row>
    <row r="1612">
      <c r="A1612" s="4">
        <f>value(USD!A1612)</f>
        <v>41922.99861</v>
      </c>
      <c r="B1612" s="1">
        <f>value(USD!B1612)</f>
        <v>12210</v>
      </c>
      <c r="C1612" s="1">
        <f>value(AUD!$B1612)</f>
        <v>10637.96114</v>
      </c>
      <c r="D1612" s="1">
        <f>value(EUR!$B1612)</f>
        <v>15458.79073</v>
      </c>
      <c r="E1612" s="1">
        <f>value(GBP!$B1612)</f>
        <v>19671.86835</v>
      </c>
      <c r="F1612" s="1">
        <f>value(CHF!$B1612)</f>
        <v>12856.36</v>
      </c>
      <c r="G1612" s="1">
        <f>value(SGD!$B1612)</f>
        <v>9593.269318</v>
      </c>
      <c r="H1612" s="1">
        <f>value(MYR!$B1612)</f>
        <v>3674.936207</v>
      </c>
      <c r="I1612" s="1">
        <f>value(THB!$B1612)</f>
        <v>368.7038888</v>
      </c>
      <c r="J1612" s="1">
        <f>value(VND!$B1612)</f>
        <v>0.6065133892</v>
      </c>
      <c r="K1612" s="1">
        <f>value(CNY!$B1612)</f>
        <v>1997.7867</v>
      </c>
      <c r="L1612" s="1">
        <f>value(HKD!$B1612)</f>
        <v>1575.671227</v>
      </c>
      <c r="M1612" s="1">
        <f>value(TWD!$B1612)</f>
        <v>401.4667012</v>
      </c>
      <c r="N1612" s="1">
        <f>value(JPY!$B1612)</f>
        <v>113.9363476</v>
      </c>
      <c r="O1612" s="1">
        <f>value(SAR!$B1612)</f>
        <v>3311.726328</v>
      </c>
      <c r="P1612" s="1">
        <f>value(AED!$B1612)</f>
        <v>3512.4829</v>
      </c>
      <c r="Q1612" s="1">
        <f>value(KWD!$B1612)</f>
        <v>43460.82871</v>
      </c>
    </row>
    <row r="1613">
      <c r="A1613" s="4">
        <f>value(USD!A1613)</f>
        <v>41923.99861</v>
      </c>
      <c r="B1613" s="1">
        <f>value(USD!B1613)</f>
        <v>12224.93</v>
      </c>
      <c r="C1613" s="1">
        <f>value(AUD!$B1613)</f>
        <v>10645.459</v>
      </c>
      <c r="D1613" s="1">
        <f>value(EUR!$B1613)</f>
        <v>15537.92</v>
      </c>
      <c r="E1613" s="1">
        <f>value(GBP!$B1613)</f>
        <v>19608.084</v>
      </c>
      <c r="F1613" s="1">
        <f>value(CHF!$B1613)</f>
        <v>12772.5258</v>
      </c>
      <c r="G1613" s="1">
        <f>value(SGD!$B1613)</f>
        <v>9593.714</v>
      </c>
      <c r="H1613" s="1">
        <f>value(MYR!$B1613)</f>
        <v>3683.668</v>
      </c>
      <c r="I1613" s="1">
        <f>value(THB!$B1613)</f>
        <v>376.126</v>
      </c>
      <c r="J1613" s="1">
        <f>value(VND!$B1613)</f>
        <v>0.6119078946</v>
      </c>
      <c r="K1613" s="1">
        <f>value(CNY!$B1613)</f>
        <v>1996.3125</v>
      </c>
      <c r="L1613" s="1">
        <f>value(HKD!$B1613)</f>
        <v>1572.336</v>
      </c>
      <c r="M1613" s="1">
        <f>value(TWD!$B1613)</f>
        <v>402.844</v>
      </c>
      <c r="N1613" s="1">
        <f>value(JPY!$B1613)</f>
        <v>113.9968</v>
      </c>
      <c r="O1613" s="1">
        <f>value(SAR!$B1613)</f>
        <v>3322.852219</v>
      </c>
      <c r="P1613" s="1">
        <f>value(AED!$B1613)</f>
        <v>3519.2874</v>
      </c>
      <c r="Q1613" s="1">
        <f>value(KWD!$B1613)</f>
        <v>43550.15659</v>
      </c>
    </row>
    <row r="1614">
      <c r="A1614" s="4">
        <f>value(USD!A1614)</f>
        <v>41924.99861</v>
      </c>
      <c r="B1614" s="1">
        <f>value(USD!B1614)</f>
        <v>12224.93</v>
      </c>
      <c r="C1614" s="1">
        <f>value(AUD!$B1614)</f>
        <v>10752.1683</v>
      </c>
      <c r="D1614" s="1">
        <f>value(EUR!$B1614)</f>
        <v>15420.7116</v>
      </c>
      <c r="E1614" s="1">
        <f>value(GBP!$B1614)</f>
        <v>19379.45052</v>
      </c>
      <c r="F1614" s="1">
        <f>value(CHF!$B1614)</f>
        <v>12983.8513</v>
      </c>
      <c r="G1614" s="1">
        <f>value(SGD!$B1614)</f>
        <v>9561.76824</v>
      </c>
      <c r="H1614" s="1">
        <f>value(MYR!$B1614)</f>
        <v>3659.4</v>
      </c>
      <c r="I1614" s="1">
        <f>value(THB!$B1614)</f>
        <v>375.0885</v>
      </c>
      <c r="J1614" s="1">
        <f>value(VND!$B1614)</f>
        <v>0.5996288529</v>
      </c>
      <c r="K1614" s="1">
        <f>value(CNY!$B1614)</f>
        <v>1997.2953</v>
      </c>
      <c r="L1614" s="1">
        <f>value(HKD!$B1614)</f>
        <v>1572.44418</v>
      </c>
      <c r="M1614" s="1">
        <f>value(TWD!$B1614)</f>
        <v>400.33836</v>
      </c>
      <c r="N1614" s="1">
        <f>value(JPY!$B1614)</f>
        <v>113.709756</v>
      </c>
      <c r="O1614" s="1">
        <f>value(SAR!$B1614)</f>
        <v>3323.11783</v>
      </c>
      <c r="P1614" s="1">
        <f>value(AED!$B1614)</f>
        <v>3541.0618</v>
      </c>
      <c r="Q1614" s="1">
        <f>value(KWD!$B1614)</f>
        <v>43617.50525</v>
      </c>
    </row>
    <row r="1615">
      <c r="A1615" s="4">
        <f>value(USD!A1615)</f>
        <v>41925.99861</v>
      </c>
      <c r="B1615" s="1">
        <f>value(USD!B1615)</f>
        <v>12200</v>
      </c>
      <c r="C1615" s="1">
        <f>value(AUD!$B1615)</f>
        <v>10601.0564</v>
      </c>
      <c r="D1615" s="1">
        <f>value(EUR!$B1615)</f>
        <v>15673.7913</v>
      </c>
      <c r="E1615" s="1">
        <f>value(GBP!$B1615)</f>
        <v>19557.0865</v>
      </c>
      <c r="F1615" s="1">
        <f>value(CHF!$B1615)</f>
        <v>12946.263</v>
      </c>
      <c r="G1615" s="1">
        <f>value(SGD!$B1615)</f>
        <v>9603.33034</v>
      </c>
      <c r="H1615" s="1">
        <f>value(MYR!$B1615)</f>
        <v>3710.52769</v>
      </c>
      <c r="I1615" s="1">
        <f>value(THB!$B1615)</f>
        <v>376.95841</v>
      </c>
      <c r="J1615" s="1">
        <f>value(VND!$B1615)</f>
        <v>0.5984690292</v>
      </c>
      <c r="K1615" s="1">
        <f>value(CNY!$B1615)</f>
        <v>2017.120305</v>
      </c>
      <c r="L1615" s="1">
        <f>value(HKD!$B1615)</f>
        <v>1576.0603</v>
      </c>
      <c r="M1615" s="1">
        <f>value(TWD!$B1615)</f>
        <v>408.01499</v>
      </c>
      <c r="N1615" s="1">
        <f>value(JPY!$B1615)</f>
        <v>115.325064</v>
      </c>
      <c r="O1615" s="1">
        <f>value(SAR!$B1615)</f>
        <v>3307.12849</v>
      </c>
      <c r="P1615" s="1">
        <f>value(AED!$B1615)</f>
        <v>3547.8663</v>
      </c>
      <c r="Q1615" s="1">
        <f>value(KWD!$B1615)</f>
        <v>43489.83918</v>
      </c>
    </row>
    <row r="1616">
      <c r="A1616" s="4">
        <f>value(USD!A1616)</f>
        <v>41926.99861</v>
      </c>
      <c r="B1616" s="1">
        <f>value(USD!B1616)</f>
        <v>12198</v>
      </c>
      <c r="C1616" s="1">
        <f>value(AUD!$B1616)</f>
        <v>10726.02</v>
      </c>
      <c r="D1616" s="1">
        <f>value(EUR!$B1616)</f>
        <v>15633.684</v>
      </c>
      <c r="E1616" s="1">
        <f>value(GBP!$B1616)</f>
        <v>19631.238</v>
      </c>
      <c r="F1616" s="1">
        <f>value(CHF!$B1616)</f>
        <v>12782.1324</v>
      </c>
      <c r="G1616" s="1">
        <f>value(SGD!$B1616)</f>
        <v>9571.9074</v>
      </c>
      <c r="H1616" s="1">
        <f>value(MYR!$B1616)</f>
        <v>3668.6166</v>
      </c>
      <c r="I1616" s="1">
        <f>value(THB!$B1616)</f>
        <v>376.5564</v>
      </c>
      <c r="J1616" s="1">
        <f>value(VND!$B1616)</f>
        <v>0.5999999961</v>
      </c>
      <c r="K1616" s="1">
        <f>value(CNY!$B1616)</f>
        <v>2002.090532</v>
      </c>
      <c r="L1616" s="1">
        <f>value(HKD!$B1616)</f>
        <v>1573.7469</v>
      </c>
      <c r="M1616" s="1">
        <f>value(TWD!$B1616)</f>
        <v>403.1742</v>
      </c>
      <c r="N1616" s="1">
        <f>value(JPY!$B1616)</f>
        <v>114.76179</v>
      </c>
      <c r="O1616" s="1">
        <f>value(SAR!$B1616)</f>
        <v>3305.003365</v>
      </c>
      <c r="P1616" s="1">
        <f>value(AED!$B1616)</f>
        <v>3561.88879</v>
      </c>
      <c r="Q1616" s="1">
        <f>value(KWD!$B1616)</f>
        <v>43170.30264</v>
      </c>
    </row>
    <row r="1617">
      <c r="A1617" s="4">
        <f>value(USD!A1617)</f>
        <v>41927.99861</v>
      </c>
      <c r="B1617" s="1">
        <f>value(USD!B1617)</f>
        <v>12227</v>
      </c>
      <c r="C1617" s="1">
        <f>value(AUD!$B1617)</f>
        <v>10614.9615</v>
      </c>
      <c r="D1617" s="1">
        <f>value(EUR!$B1617)</f>
        <v>15438.03732</v>
      </c>
      <c r="E1617" s="1">
        <f>value(GBP!$B1617)</f>
        <v>19472.36004</v>
      </c>
      <c r="F1617" s="1">
        <f>value(CHF!$B1617)</f>
        <v>12804.84624</v>
      </c>
      <c r="G1617" s="1">
        <f>value(SGD!$B1617)</f>
        <v>9490.26738</v>
      </c>
      <c r="H1617" s="1">
        <f>value(MYR!$B1617)</f>
        <v>3610.6317</v>
      </c>
      <c r="I1617" s="1">
        <f>value(THB!$B1617)</f>
        <v>373.22568</v>
      </c>
      <c r="J1617" s="1">
        <f>value(VND!$B1617)</f>
        <v>0.6001391117</v>
      </c>
      <c r="K1617" s="1">
        <f>value(CNY!$B1617)</f>
        <v>1989.4329</v>
      </c>
      <c r="L1617" s="1">
        <f>value(HKD!$B1617)</f>
        <v>1559.82678</v>
      </c>
      <c r="M1617" s="1">
        <f>value(TWD!$B1617)</f>
        <v>396.70356</v>
      </c>
      <c r="N1617" s="1">
        <f>value(JPY!$B1617)</f>
        <v>113.1537</v>
      </c>
      <c r="O1617" s="1">
        <f>value(SAR!$B1617)</f>
        <v>3306.599824</v>
      </c>
      <c r="P1617" s="1">
        <f>value(AED!$B1617)</f>
        <v>3554.5402</v>
      </c>
      <c r="Q1617" s="1">
        <f>value(KWD!$B1617)</f>
        <v>43294.87267</v>
      </c>
    </row>
    <row r="1618">
      <c r="A1618" s="4">
        <f>value(USD!A1618)</f>
        <v>41928.99861</v>
      </c>
      <c r="B1618" s="1">
        <f>value(USD!B1618)</f>
        <v>12210</v>
      </c>
      <c r="C1618" s="1">
        <f>value(AUD!$B1618)</f>
        <v>10575.56699</v>
      </c>
      <c r="D1618" s="1">
        <f>value(EUR!$B1618)</f>
        <v>15464.23971</v>
      </c>
      <c r="E1618" s="1">
        <f>value(GBP!$B1618)</f>
        <v>19501.81476</v>
      </c>
      <c r="F1618" s="1">
        <f>value(CHF!$B1618)</f>
        <v>12791.51291</v>
      </c>
      <c r="G1618" s="1">
        <f>value(SGD!$B1618)</f>
        <v>9505.331669</v>
      </c>
      <c r="H1618" s="1">
        <f>value(MYR!$B1618)</f>
        <v>3616.484215</v>
      </c>
      <c r="I1618" s="1">
        <f>value(THB!$B1618)</f>
        <v>373.8181164</v>
      </c>
      <c r="J1618" s="1">
        <f>value(VND!$B1618)</f>
        <v>0.5993045879</v>
      </c>
      <c r="K1618" s="1">
        <f>value(CNY!$B1618)</f>
        <v>1985.7474</v>
      </c>
      <c r="L1618" s="1">
        <f>value(HKD!$B1618)</f>
        <v>1562.302756</v>
      </c>
      <c r="M1618" s="1">
        <f>value(TWD!$B1618)</f>
        <v>397.4544759</v>
      </c>
      <c r="N1618" s="1">
        <f>value(JPY!$B1618)</f>
        <v>113.3333135</v>
      </c>
      <c r="O1618" s="1">
        <f>value(SAR!$B1618)</f>
        <v>3309.264288</v>
      </c>
      <c r="P1618" s="1">
        <f>value(AED!$B1618)</f>
        <v>3526.77886</v>
      </c>
      <c r="Q1618" s="1">
        <f>value(KWD!$B1618)</f>
        <v>43228.18823</v>
      </c>
    </row>
    <row r="1619">
      <c r="A1619" s="4">
        <f>value(USD!A1619)</f>
        <v>41929.99861</v>
      </c>
      <c r="B1619" s="1">
        <f>value(USD!B1619)</f>
        <v>12102</v>
      </c>
      <c r="C1619" s="1">
        <f>value(AUD!$B1619)</f>
        <v>10525.8258</v>
      </c>
      <c r="D1619" s="1">
        <f>value(EUR!$B1619)</f>
        <v>15446.90638</v>
      </c>
      <c r="E1619" s="1">
        <f>value(GBP!$B1619)</f>
        <v>19500.60264</v>
      </c>
      <c r="F1619" s="1">
        <f>value(CHF!$B1619)</f>
        <v>12741.4836</v>
      </c>
      <c r="G1619" s="1">
        <f>value(SGD!$B1619)</f>
        <v>9513.695304</v>
      </c>
      <c r="H1619" s="1">
        <f>value(MYR!$B1619)</f>
        <v>3612.484216</v>
      </c>
      <c r="I1619" s="1">
        <f>value(THB!$B1619)</f>
        <v>373.333268</v>
      </c>
      <c r="J1619" s="1">
        <f>value(VND!$B1619)</f>
        <v>0.5995364997</v>
      </c>
      <c r="K1619" s="1">
        <f>value(CNY!$B1619)</f>
        <v>1988.81865</v>
      </c>
      <c r="L1619" s="1">
        <f>value(HKD!$B1619)</f>
        <v>1562.181544</v>
      </c>
      <c r="M1619" s="1">
        <f>value(TWD!$B1619)</f>
        <v>396.9696275</v>
      </c>
      <c r="N1619" s="1">
        <f>value(JPY!$B1619)</f>
        <v>113.0908893</v>
      </c>
      <c r="O1619" s="1">
        <f>value(SAR!$B1619)</f>
        <v>3305.763014</v>
      </c>
      <c r="P1619" s="1">
        <f>value(AED!$B1619)</f>
        <v>3534.12745</v>
      </c>
      <c r="Q1619" s="1">
        <f>value(KWD!$B1619)</f>
        <v>43161.50379</v>
      </c>
    </row>
    <row r="1620">
      <c r="A1620" s="4">
        <f>value(USD!A1620)</f>
        <v>41930.99861</v>
      </c>
      <c r="B1620" s="1">
        <f>value(USD!B1620)</f>
        <v>12121.21</v>
      </c>
      <c r="C1620" s="1">
        <f>value(AUD!$B1620)</f>
        <v>10592.9803</v>
      </c>
      <c r="D1620" s="1">
        <f>value(EUR!$B1620)</f>
        <v>15377.031</v>
      </c>
      <c r="E1620" s="1">
        <f>value(GBP!$B1620)</f>
        <v>19421.088</v>
      </c>
      <c r="F1620" s="1">
        <f>value(CHF!$B1620)</f>
        <v>12627.1058</v>
      </c>
      <c r="G1620" s="1">
        <f>value(SGD!$B1620)</f>
        <v>9463.33374</v>
      </c>
      <c r="H1620" s="1">
        <f>value(MYR!$B1620)</f>
        <v>3611.409</v>
      </c>
      <c r="I1620" s="1">
        <f>value(THB!$B1620)</f>
        <v>372.31764</v>
      </c>
      <c r="J1620" s="1">
        <f>value(VND!$B1620)</f>
        <v>0.5986095009</v>
      </c>
      <c r="K1620" s="1">
        <f>value(CNY!$B1620)</f>
        <v>2012.27598</v>
      </c>
      <c r="L1620" s="1">
        <f>value(HKD!$B1620)</f>
        <v>1549.1202</v>
      </c>
      <c r="M1620" s="1">
        <f>value(TWD!$B1620)</f>
        <v>396.47382</v>
      </c>
      <c r="N1620" s="1">
        <f>value(JPY!$B1620)</f>
        <v>112.3683</v>
      </c>
      <c r="O1620" s="1">
        <f>value(SAR!$B1620)</f>
        <v>3302.238802</v>
      </c>
      <c r="P1620" s="1">
        <f>value(AED!$B1620)</f>
        <v>3528.68405</v>
      </c>
      <c r="Q1620" s="1">
        <f>value(KWD!$B1620)</f>
        <v>43218.69303</v>
      </c>
    </row>
    <row r="1621">
      <c r="A1621" s="4">
        <f>value(USD!A1621)</f>
        <v>41931.99861</v>
      </c>
      <c r="B1621" s="1">
        <f>value(USD!B1621)</f>
        <v>12121.21</v>
      </c>
      <c r="C1621" s="1">
        <f>value(AUD!$B1621)</f>
        <v>10442.4975</v>
      </c>
      <c r="D1621" s="1">
        <f>value(EUR!$B1621)</f>
        <v>15235.477</v>
      </c>
      <c r="E1621" s="1">
        <f>value(GBP!$B1621)</f>
        <v>19309.8583</v>
      </c>
      <c r="F1621" s="1">
        <f>value(CHF!$B1621)</f>
        <v>12559.832</v>
      </c>
      <c r="G1621" s="1">
        <f>value(SGD!$B1621)</f>
        <v>9426.69667</v>
      </c>
      <c r="H1621" s="1">
        <f>value(MYR!$B1621)</f>
        <v>3592.26416</v>
      </c>
      <c r="I1621" s="1">
        <f>value(THB!$B1621)</f>
        <v>371.11752</v>
      </c>
      <c r="J1621" s="1">
        <f>value(VND!$B1621)</f>
        <v>0.6005561984</v>
      </c>
      <c r="K1621" s="1">
        <f>value(CNY!$B1621)</f>
        <v>2039.48652</v>
      </c>
      <c r="L1621" s="1">
        <f>value(HKD!$B1621)</f>
        <v>1545.48391</v>
      </c>
      <c r="M1621" s="1">
        <f>value(TWD!$B1621)</f>
        <v>393.29347</v>
      </c>
      <c r="N1621" s="1">
        <f>value(JPY!$B1621)</f>
        <v>111.982554</v>
      </c>
      <c r="O1621" s="1">
        <f>value(SAR!$B1621)</f>
        <v>3325.073856</v>
      </c>
      <c r="P1621" s="1">
        <f>value(AED!$B1621)</f>
        <v>3523.24065</v>
      </c>
      <c r="Q1621" s="1">
        <f>value(KWD!$B1621)</f>
        <v>42961.60137</v>
      </c>
    </row>
    <row r="1622">
      <c r="A1622" s="4">
        <f>value(USD!A1622)</f>
        <v>41932.99861</v>
      </c>
      <c r="B1622" s="1">
        <f>value(USD!B1622)</f>
        <v>12018</v>
      </c>
      <c r="C1622" s="1">
        <f>value(AUD!$B1622)</f>
        <v>10402.83</v>
      </c>
      <c r="D1622" s="1">
        <f>value(EUR!$B1622)</f>
        <v>15149.908</v>
      </c>
      <c r="E1622" s="1">
        <f>value(GBP!$B1622)</f>
        <v>19220.712</v>
      </c>
      <c r="F1622" s="1">
        <f>value(CHF!$B1622)</f>
        <v>12638.462</v>
      </c>
      <c r="G1622" s="1">
        <f>value(SGD!$B1622)</f>
        <v>9406.8158</v>
      </c>
      <c r="H1622" s="1">
        <f>value(MYR!$B1622)</f>
        <v>3590.0466</v>
      </c>
      <c r="I1622" s="1">
        <f>value(THB!$B1622)</f>
        <v>370.4216</v>
      </c>
      <c r="J1622" s="1">
        <f>value(VND!$B1622)</f>
        <v>0.6013904974</v>
      </c>
      <c r="K1622" s="1">
        <f>value(CNY!$B1622)</f>
        <v>2041.539979</v>
      </c>
      <c r="L1622" s="1">
        <f>value(HKD!$B1622)</f>
        <v>1544.3418</v>
      </c>
      <c r="M1622" s="1">
        <f>value(TWD!$B1622)</f>
        <v>392.944</v>
      </c>
      <c r="N1622" s="1">
        <f>value(JPY!$B1622)</f>
        <v>111.7734</v>
      </c>
      <c r="O1622" s="1">
        <f>value(SAR!$B1622)</f>
        <v>3363.975437</v>
      </c>
      <c r="P1622" s="1">
        <f>value(AED!$B1622)</f>
        <v>3536.9791</v>
      </c>
      <c r="Q1622" s="1">
        <f>value(KWD!$B1622)</f>
        <v>42863.77017</v>
      </c>
    </row>
    <row r="1623">
      <c r="A1623" s="4">
        <f>value(USD!A1623)</f>
        <v>41933.99861</v>
      </c>
      <c r="B1623" s="1">
        <f>value(USD!B1623)</f>
        <v>11987</v>
      </c>
      <c r="C1623" s="1">
        <f>value(AUD!$B1623)</f>
        <v>10507.63375</v>
      </c>
      <c r="D1623" s="1">
        <f>value(EUR!$B1623)</f>
        <v>15250.7805</v>
      </c>
      <c r="E1623" s="1">
        <f>value(GBP!$B1623)</f>
        <v>19328.987</v>
      </c>
      <c r="F1623" s="1">
        <f>value(CHF!$B1623)</f>
        <v>12678.75</v>
      </c>
      <c r="G1623" s="1">
        <f>value(SGD!$B1623)</f>
        <v>9439.5472</v>
      </c>
      <c r="H1623" s="1">
        <f>value(MYR!$B1623)</f>
        <v>3609.267</v>
      </c>
      <c r="I1623" s="1">
        <f>value(THB!$B1623)</f>
        <v>372.37895</v>
      </c>
      <c r="J1623" s="1">
        <f>value(VND!$B1623)</f>
        <v>0.5955082129</v>
      </c>
      <c r="K1623" s="1">
        <f>value(CNY!$B1623)</f>
        <v>2041.034929</v>
      </c>
      <c r="L1623" s="1">
        <f>value(HKD!$B1623)</f>
        <v>1553.8895</v>
      </c>
      <c r="M1623" s="1">
        <f>value(TWD!$B1623)</f>
        <v>396.00675</v>
      </c>
      <c r="N1623" s="1">
        <f>value(JPY!$B1623)</f>
        <v>111.41231</v>
      </c>
      <c r="O1623" s="1">
        <f>value(SAR!$B1623)</f>
        <v>3369.87251</v>
      </c>
      <c r="P1623" s="1">
        <f>value(AED!$B1623)</f>
        <v>3517.9265</v>
      </c>
      <c r="Q1623" s="1">
        <f>value(KWD!$B1623)</f>
        <v>42737.29771</v>
      </c>
    </row>
    <row r="1624">
      <c r="A1624" s="4">
        <f>value(USD!A1624)</f>
        <v>41934.99861</v>
      </c>
      <c r="B1624" s="1">
        <f>value(USD!B1624)</f>
        <v>11980</v>
      </c>
      <c r="C1624" s="1">
        <f>value(AUD!$B1624)</f>
        <v>10538.53489</v>
      </c>
      <c r="D1624" s="1">
        <f>value(EUR!$B1624)</f>
        <v>15297.093</v>
      </c>
      <c r="E1624" s="1">
        <f>value(GBP!$B1624)</f>
        <v>19426.86375</v>
      </c>
      <c r="F1624" s="1">
        <f>value(CHF!$B1624)</f>
        <v>12700.11206</v>
      </c>
      <c r="G1624" s="1">
        <f>value(SGD!$B1624)</f>
        <v>9464.6265</v>
      </c>
      <c r="H1624" s="1">
        <f>value(MYR!$B1624)</f>
        <v>3618.8775</v>
      </c>
      <c r="I1624" s="1">
        <f>value(THB!$B1624)</f>
        <v>372.03075</v>
      </c>
      <c r="J1624" s="1">
        <f>value(VND!$B1624)</f>
        <v>0.6018047103</v>
      </c>
      <c r="K1624" s="1">
        <f>value(CNY!$B1624)</f>
        <v>2075.1465</v>
      </c>
      <c r="L1624" s="1">
        <f>value(HKD!$B1624)</f>
        <v>1556.4675</v>
      </c>
      <c r="M1624" s="1">
        <f>value(TWD!$B1624)</f>
        <v>397.7505</v>
      </c>
      <c r="N1624" s="1">
        <f>value(JPY!$B1624)</f>
        <v>111.573</v>
      </c>
      <c r="O1624" s="1">
        <f>value(SAR!$B1624)</f>
        <v>3391.547719</v>
      </c>
      <c r="P1624" s="1">
        <f>value(AED!$B1624)</f>
        <v>3520.6483</v>
      </c>
      <c r="Q1624" s="1">
        <f>value(KWD!$B1624)</f>
        <v>43219.68953</v>
      </c>
    </row>
    <row r="1625">
      <c r="A1625" s="4">
        <f>value(USD!A1625)</f>
        <v>41935.99861</v>
      </c>
      <c r="B1625" s="1">
        <f>value(USD!B1625)</f>
        <v>12055</v>
      </c>
      <c r="C1625" s="1">
        <f>value(AUD!$B1625)</f>
        <v>10488.7926</v>
      </c>
      <c r="D1625" s="1">
        <f>value(EUR!$B1625)</f>
        <v>15319.21544</v>
      </c>
      <c r="E1625" s="1">
        <f>value(GBP!$B1625)</f>
        <v>19454.64182</v>
      </c>
      <c r="F1625" s="1">
        <f>value(CHF!$B1625)</f>
        <v>12702.53044</v>
      </c>
      <c r="G1625" s="1">
        <f>value(SGD!$B1625)</f>
        <v>9477.865219</v>
      </c>
      <c r="H1625" s="1">
        <f>value(MYR!$B1625)</f>
        <v>3623.818514</v>
      </c>
      <c r="I1625" s="1">
        <f>value(THB!$B1625)</f>
        <v>366.5051859</v>
      </c>
      <c r="J1625" s="1">
        <f>value(VND!$B1625)</f>
        <v>0.6014801108</v>
      </c>
      <c r="K1625" s="1">
        <f>value(CNY!$B1625)</f>
        <v>2053.128</v>
      </c>
      <c r="L1625" s="1">
        <f>value(HKD!$B1625)</f>
        <v>1558.523702</v>
      </c>
      <c r="M1625" s="1">
        <f>value(TWD!$B1625)</f>
        <v>398.3068566</v>
      </c>
      <c r="N1625" s="1">
        <f>value(JPY!$B1625)</f>
        <v>111.7290636</v>
      </c>
      <c r="O1625" s="1">
        <f>value(SAR!$B1625)</f>
        <v>3362.218297</v>
      </c>
      <c r="P1625" s="1">
        <f>value(AED!$B1625)</f>
        <v>3508.4002</v>
      </c>
      <c r="Q1625" s="1">
        <f>value(KWD!$B1625)</f>
        <v>43013.4225</v>
      </c>
    </row>
    <row r="1626">
      <c r="A1626" s="4">
        <f>value(USD!A1626)</f>
        <v>41936.99861</v>
      </c>
      <c r="B1626" s="1">
        <f>value(USD!B1626)</f>
        <v>12075</v>
      </c>
      <c r="C1626" s="1">
        <f>value(AUD!$B1626)</f>
        <v>10555.84736</v>
      </c>
      <c r="D1626" s="1">
        <f>value(EUR!$B1626)</f>
        <v>15327.317</v>
      </c>
      <c r="E1626" s="1">
        <f>value(GBP!$B1626)</f>
        <v>19453.43263</v>
      </c>
      <c r="F1626" s="1">
        <f>value(CHF!$B1626)</f>
        <v>12742.51</v>
      </c>
      <c r="G1626" s="1">
        <f>value(SGD!$B1626)</f>
        <v>9477.381544</v>
      </c>
      <c r="H1626" s="1">
        <f>value(MYR!$B1626)</f>
        <v>3625.511378</v>
      </c>
      <c r="I1626" s="1">
        <f>value(THB!$B1626)</f>
        <v>366.6261048</v>
      </c>
      <c r="J1626" s="1">
        <f>value(VND!$B1626)</f>
        <v>0.6049896023</v>
      </c>
      <c r="K1626" s="1">
        <f>value(CNY!$B1626)</f>
        <v>2045.54893</v>
      </c>
      <c r="L1626" s="1">
        <f>value(HKD!$B1626)</f>
        <v>1558.644621</v>
      </c>
      <c r="M1626" s="1">
        <f>value(TWD!$B1626)</f>
        <v>398.4277755</v>
      </c>
      <c r="N1626" s="1">
        <f>value(JPY!$B1626)</f>
        <v>111.7290636</v>
      </c>
      <c r="O1626" s="1">
        <f>value(SAR!$B1626)</f>
        <v>3346.739769</v>
      </c>
      <c r="P1626" s="1">
        <f>value(AED!$B1626)</f>
        <v>3550.5881</v>
      </c>
      <c r="Q1626" s="1">
        <f>value(KWD!$B1626)</f>
        <v>42791.73012</v>
      </c>
    </row>
    <row r="1627">
      <c r="A1627" s="4">
        <f>value(USD!A1627)</f>
        <v>41937.99861</v>
      </c>
      <c r="B1627" s="1">
        <f>value(USD!B1627)</f>
        <v>12091.89</v>
      </c>
      <c r="C1627" s="1">
        <f>value(AUD!$B1627)</f>
        <v>10610.24594</v>
      </c>
      <c r="D1627" s="1">
        <f>value(EUR!$B1627)</f>
        <v>15365.79</v>
      </c>
      <c r="E1627" s="1">
        <f>value(GBP!$B1627)</f>
        <v>19508.467</v>
      </c>
      <c r="F1627" s="1">
        <f>value(CHF!$B1627)</f>
        <v>12815.4583</v>
      </c>
      <c r="G1627" s="1">
        <f>value(SGD!$B1627)</f>
        <v>9490.514</v>
      </c>
      <c r="H1627" s="1">
        <f>value(MYR!$B1627)</f>
        <v>3630</v>
      </c>
      <c r="I1627" s="1">
        <f>value(THB!$B1627)</f>
        <v>372.801</v>
      </c>
      <c r="J1627" s="1">
        <f>value(VND!$B1627)</f>
        <v>0.6026327886</v>
      </c>
      <c r="K1627" s="1">
        <f>value(CNY!$B1627)</f>
        <v>2008.656</v>
      </c>
      <c r="L1627" s="1">
        <f>value(HKD!$B1627)</f>
        <v>1559.69</v>
      </c>
      <c r="M1627" s="1">
        <f>value(TWD!$B1627)</f>
        <v>398.816</v>
      </c>
      <c r="N1627" s="1">
        <f>value(JPY!$B1627)</f>
        <v>112.167</v>
      </c>
      <c r="O1627" s="1">
        <f>value(SAR!$B1627)</f>
        <v>3346.033891</v>
      </c>
      <c r="P1627" s="1">
        <f>value(AED!$B1627)</f>
        <v>3532.44375</v>
      </c>
      <c r="Q1627" s="1">
        <f>value(KWD!$B1627)</f>
        <v>42558.83604</v>
      </c>
    </row>
    <row r="1628">
      <c r="A1628" s="4">
        <f>value(USD!A1628)</f>
        <v>41938.99861</v>
      </c>
      <c r="B1628" s="1">
        <f>value(USD!B1628)</f>
        <v>12091.89</v>
      </c>
      <c r="C1628" s="1">
        <f>value(AUD!$B1628)</f>
        <v>10607.19919</v>
      </c>
      <c r="D1628" s="1">
        <f>value(EUR!$B1628)</f>
        <v>15458.8969</v>
      </c>
      <c r="E1628" s="1">
        <f>value(GBP!$B1628)</f>
        <v>19590.3317</v>
      </c>
      <c r="F1628" s="1">
        <f>value(CHF!$B1628)</f>
        <v>12661.5332</v>
      </c>
      <c r="G1628" s="1">
        <f>value(SGD!$B1628)</f>
        <v>9536.16227</v>
      </c>
      <c r="H1628" s="1">
        <f>value(MYR!$B1628)</f>
        <v>3648.62494</v>
      </c>
      <c r="I1628" s="1">
        <f>value(THB!$B1628)</f>
        <v>373.94097</v>
      </c>
      <c r="J1628" s="1">
        <f>value(VND!$B1628)</f>
        <v>0.6080332316</v>
      </c>
      <c r="K1628" s="1">
        <f>value(CNY!$B1628)</f>
        <v>1987.25323</v>
      </c>
      <c r="L1628" s="1">
        <f>value(HKD!$B1628)</f>
        <v>1564.4593</v>
      </c>
      <c r="M1628" s="1">
        <f>value(TWD!$B1628)</f>
        <v>400.521</v>
      </c>
      <c r="N1628" s="1">
        <f>value(JPY!$B1628)</f>
        <v>112.230839</v>
      </c>
      <c r="O1628" s="1">
        <f>value(SAR!$B1628)</f>
        <v>3353.760836</v>
      </c>
      <c r="P1628" s="1">
        <f>value(AED!$B1628)</f>
        <v>3510.30546</v>
      </c>
      <c r="Q1628" s="1">
        <f>value(KWD!$B1628)</f>
        <v>42550.3616</v>
      </c>
    </row>
    <row r="1629">
      <c r="A1629" s="4">
        <f>value(USD!A1629)</f>
        <v>41939.99861</v>
      </c>
      <c r="B1629" s="1">
        <f>value(USD!B1629)</f>
        <v>12100</v>
      </c>
      <c r="C1629" s="1">
        <f>value(AUD!$B1629)</f>
        <v>10668.29</v>
      </c>
      <c r="D1629" s="1">
        <f>value(EUR!$B1629)</f>
        <v>15273.4052</v>
      </c>
      <c r="E1629" s="1">
        <f>value(GBP!$B1629)</f>
        <v>19350.8276</v>
      </c>
      <c r="F1629" s="1">
        <f>value(CHF!$B1629)</f>
        <v>12704.04</v>
      </c>
      <c r="G1629" s="1">
        <f>value(SGD!$B1629)</f>
        <v>9455.70216</v>
      </c>
      <c r="H1629" s="1">
        <f>value(MYR!$B1629)</f>
        <v>3596.88632</v>
      </c>
      <c r="I1629" s="1">
        <f>value(THB!$B1629)</f>
        <v>371.34532</v>
      </c>
      <c r="J1629" s="1">
        <f>value(VND!$B1629)</f>
        <v>0.6063191848</v>
      </c>
      <c r="K1629" s="1">
        <f>value(CNY!$B1629)</f>
        <v>1996.149028</v>
      </c>
      <c r="L1629" s="1">
        <f>value(HKD!$B1629)</f>
        <v>1559.14248</v>
      </c>
      <c r="M1629" s="1">
        <f>value(TWD!$B1629)</f>
        <v>394.92472</v>
      </c>
      <c r="N1629" s="1">
        <f>value(JPY!$B1629)</f>
        <v>111.12548</v>
      </c>
      <c r="O1629" s="1">
        <f>value(SAR!$B1629)</f>
        <v>3345.412833</v>
      </c>
      <c r="P1629" s="1">
        <f>value(AED!$B1629)</f>
        <v>3489.3476</v>
      </c>
      <c r="Q1629" s="1">
        <f>value(KWD!$B1629)</f>
        <v>42562.88674</v>
      </c>
    </row>
    <row r="1630">
      <c r="A1630" s="4">
        <f>value(USD!A1630)</f>
        <v>41940.99861</v>
      </c>
      <c r="B1630" s="1">
        <f>value(USD!B1630)</f>
        <v>12137</v>
      </c>
      <c r="C1630" s="1">
        <f>value(AUD!$B1630)</f>
        <v>10688.25629</v>
      </c>
      <c r="D1630" s="1">
        <f>value(EUR!$B1630)</f>
        <v>15318.72</v>
      </c>
      <c r="E1630" s="1">
        <f>value(GBP!$B1630)</f>
        <v>19433.925</v>
      </c>
      <c r="F1630" s="1">
        <f>value(CHF!$B1630)</f>
        <v>12537.109</v>
      </c>
      <c r="G1630" s="1">
        <f>value(SGD!$B1630)</f>
        <v>9510.4125</v>
      </c>
      <c r="H1630" s="1">
        <f>value(MYR!$B1630)</f>
        <v>3631.392</v>
      </c>
      <c r="I1630" s="1">
        <f>value(THB!$B1630)</f>
        <v>373.248</v>
      </c>
      <c r="J1630" s="1">
        <f>value(VND!$B1630)</f>
        <v>0.6037787977</v>
      </c>
      <c r="K1630" s="1">
        <f>value(CNY!$B1630)</f>
        <v>1995.652134</v>
      </c>
      <c r="L1630" s="1">
        <f>value(HKD!$B1630)</f>
        <v>1566.4995</v>
      </c>
      <c r="M1630" s="1">
        <f>value(TWD!$B1630)</f>
        <v>400.0995</v>
      </c>
      <c r="N1630" s="1">
        <f>value(JPY!$B1630)</f>
        <v>111.20895</v>
      </c>
      <c r="O1630" s="1">
        <f>value(SAR!$B1630)</f>
        <v>3326.042282</v>
      </c>
      <c r="P1630" s="1">
        <f>value(AED!$B1630)</f>
        <v>3483.904</v>
      </c>
      <c r="Q1630" s="1">
        <f>value(KWD!$B1630)</f>
        <v>42838.20814</v>
      </c>
    </row>
    <row r="1631">
      <c r="A1631" s="4">
        <f>value(USD!A1631)</f>
        <v>41941.99861</v>
      </c>
      <c r="B1631" s="1">
        <f>value(USD!B1631)</f>
        <v>12092</v>
      </c>
      <c r="C1631" s="1">
        <f>value(AUD!$B1631)</f>
        <v>10696.81375</v>
      </c>
      <c r="D1631" s="1">
        <f>value(EUR!$B1631)</f>
        <v>15113.2091</v>
      </c>
      <c r="E1631" s="1">
        <f>value(GBP!$B1631)</f>
        <v>19308.379</v>
      </c>
      <c r="F1631" s="1">
        <f>value(CHF!$B1631)</f>
        <v>12532.03479</v>
      </c>
      <c r="G1631" s="1">
        <f>value(SGD!$B1631)</f>
        <v>9384.9078</v>
      </c>
      <c r="H1631" s="1">
        <f>value(MYR!$B1631)</f>
        <v>3582.1346</v>
      </c>
      <c r="I1631" s="1">
        <f>value(THB!$B1631)</f>
        <v>361.6172</v>
      </c>
      <c r="J1631" s="1">
        <f>value(VND!$B1631)</f>
        <v>0.5987117466</v>
      </c>
      <c r="K1631" s="1">
        <f>value(CNY!$B1631)</f>
        <v>2002.1974</v>
      </c>
      <c r="L1631" s="1">
        <f>value(HKD!$B1631)</f>
        <v>1556.3058</v>
      </c>
      <c r="M1631" s="1">
        <f>value(TWD!$B1631)</f>
        <v>394.4476</v>
      </c>
      <c r="N1631" s="1">
        <f>value(JPY!$B1631)</f>
        <v>107.423</v>
      </c>
      <c r="O1631" s="1">
        <f>value(SAR!$B1631)</f>
        <v>3351.717076</v>
      </c>
      <c r="P1631" s="1">
        <f>value(AED!$B1631)</f>
        <v>3494.865082</v>
      </c>
      <c r="Q1631" s="1">
        <f>value(KWD!$B1631)</f>
        <v>42985.44637</v>
      </c>
    </row>
    <row r="1632">
      <c r="A1632" s="4">
        <f>value(USD!A1632)</f>
        <v>41942.99861</v>
      </c>
      <c r="B1632" s="1">
        <f>value(USD!B1632)</f>
        <v>12150</v>
      </c>
      <c r="C1632" s="1">
        <f>value(AUD!$B1632)</f>
        <v>10617.4548</v>
      </c>
      <c r="D1632" s="1">
        <f>value(EUR!$B1632)</f>
        <v>15147.8008</v>
      </c>
      <c r="E1632" s="1">
        <f>value(GBP!$B1632)</f>
        <v>19344.54516</v>
      </c>
      <c r="F1632" s="1">
        <f>value(CHF!$B1632)</f>
        <v>12535.66236</v>
      </c>
      <c r="G1632" s="1">
        <f>value(SGD!$B1632)</f>
        <v>9401.92815</v>
      </c>
      <c r="H1632" s="1">
        <f>value(MYR!$B1632)</f>
        <v>3588.631114</v>
      </c>
      <c r="I1632" s="1">
        <f>value(THB!$B1632)</f>
        <v>362.2730244</v>
      </c>
      <c r="J1632" s="1">
        <f>value(VND!$B1632)</f>
        <v>0.6011446263</v>
      </c>
      <c r="K1632" s="1">
        <f>value(CNY!$B1632)</f>
        <v>1993.97315</v>
      </c>
      <c r="L1632" s="1">
        <f>value(HKD!$B1632)</f>
        <v>1559.128296</v>
      </c>
      <c r="M1632" s="1">
        <f>value(TWD!$B1632)</f>
        <v>395.1629652</v>
      </c>
      <c r="N1632" s="1">
        <f>value(JPY!$B1632)</f>
        <v>107.617821</v>
      </c>
      <c r="O1632" s="1">
        <f>value(SAR!$B1632)</f>
        <v>3367.191848</v>
      </c>
      <c r="P1632" s="1">
        <f>value(AED!$B1632)</f>
        <v>3507.472066</v>
      </c>
      <c r="Q1632" s="1">
        <f>value(KWD!$B1632)</f>
        <v>42857.60682</v>
      </c>
    </row>
    <row r="1633">
      <c r="A1633" s="4">
        <f>value(USD!A1633)</f>
        <v>41943.99861</v>
      </c>
      <c r="B1633" s="1">
        <f>value(USD!B1633)</f>
        <v>12070</v>
      </c>
      <c r="C1633" s="1">
        <f>value(AUD!$B1633)</f>
        <v>10556.38875</v>
      </c>
      <c r="D1633" s="1">
        <f>value(EUR!$B1633)</f>
        <v>15116.7972</v>
      </c>
      <c r="E1633" s="1">
        <f>value(GBP!$B1633)</f>
        <v>19310.74833</v>
      </c>
      <c r="F1633" s="1">
        <f>value(CHF!$B1633)</f>
        <v>12550.1162</v>
      </c>
      <c r="G1633" s="1">
        <f>value(SGD!$B1633)</f>
        <v>9396.4868</v>
      </c>
      <c r="H1633" s="1">
        <f>value(MYR!$B1633)</f>
        <v>3582.343331</v>
      </c>
      <c r="I1633" s="1">
        <f>value(THB!$B1633)</f>
        <v>361.547511</v>
      </c>
      <c r="J1633" s="1">
        <f>value(VND!$B1633)</f>
        <v>0.6047323676</v>
      </c>
      <c r="K1633" s="1">
        <f>value(CNY!$B1633)</f>
        <v>2004.9266</v>
      </c>
      <c r="L1633" s="1">
        <f>value(HKD!$B1633)</f>
        <v>1559.007377</v>
      </c>
      <c r="M1633" s="1">
        <f>value(TWD!$B1633)</f>
        <v>394.5583707</v>
      </c>
      <c r="N1633" s="1">
        <f>value(JPY!$B1633)</f>
        <v>107.1341454</v>
      </c>
      <c r="O1633" s="1">
        <f>value(SAR!$B1633)</f>
        <v>3348.705728</v>
      </c>
      <c r="P1633" s="1">
        <f>value(AED!$B1633)</f>
        <v>3530.1746</v>
      </c>
      <c r="Q1633" s="1">
        <f>value(KWD!$B1633)</f>
        <v>42658.7262</v>
      </c>
    </row>
    <row r="1634">
      <c r="A1634" s="4">
        <f>value(USD!A1634)</f>
        <v>41944.99861</v>
      </c>
      <c r="B1634" s="1">
        <f>value(USD!B1634)</f>
        <v>12091.89</v>
      </c>
      <c r="C1634" s="1">
        <f>value(AUD!$B1634)</f>
        <v>10399.2486</v>
      </c>
      <c r="D1634" s="1">
        <f>value(EUR!$B1634)</f>
        <v>15128.9072</v>
      </c>
      <c r="E1634" s="1">
        <f>value(GBP!$B1634)</f>
        <v>19342.1432</v>
      </c>
      <c r="F1634" s="1">
        <f>value(CHF!$B1634)</f>
        <v>12619.831</v>
      </c>
      <c r="G1634" s="1">
        <f>value(SGD!$B1634)</f>
        <v>9382.68286</v>
      </c>
      <c r="H1634" s="1">
        <f>value(MYR!$B1634)</f>
        <v>3584.76163</v>
      </c>
      <c r="I1634" s="1">
        <f>value(THB!$B1634)</f>
        <v>369.98992</v>
      </c>
      <c r="J1634" s="1">
        <f>value(VND!$B1634)</f>
        <v>0.6048690776</v>
      </c>
      <c r="K1634" s="1">
        <f>value(CNY!$B1634)</f>
        <v>2006.7971</v>
      </c>
      <c r="L1634" s="1">
        <f>value(HKD!$B1634)</f>
        <v>1561.31872</v>
      </c>
      <c r="M1634" s="1">
        <f>value(TWD!$B1634)</f>
        <v>394.80927</v>
      </c>
      <c r="N1634" s="1">
        <f>value(JPY!$B1634)</f>
        <v>106.505279</v>
      </c>
      <c r="O1634" s="1">
        <f>value(SAR!$B1634)</f>
        <v>3323.11378</v>
      </c>
      <c r="P1634" s="1">
        <f>value(AED!$B1634)</f>
        <v>3517.9265</v>
      </c>
      <c r="Q1634" s="1">
        <f>value(KWD!$B1634)</f>
        <v>42838.68039</v>
      </c>
    </row>
    <row r="1635">
      <c r="A1635" s="4">
        <f>value(USD!A1635)</f>
        <v>41945.99861</v>
      </c>
      <c r="B1635" s="1">
        <f>value(USD!B1635)</f>
        <v>12091.89</v>
      </c>
      <c r="C1635" s="1">
        <f>value(AUD!$B1635)</f>
        <v>10458.28201</v>
      </c>
      <c r="D1635" s="1">
        <f>value(EUR!$B1635)</f>
        <v>15199.3821</v>
      </c>
      <c r="E1635" s="1">
        <f>value(GBP!$B1635)</f>
        <v>19379.633</v>
      </c>
      <c r="F1635" s="1">
        <f>value(CHF!$B1635)</f>
        <v>12618.17</v>
      </c>
      <c r="G1635" s="1">
        <f>value(SGD!$B1635)</f>
        <v>9396.3912</v>
      </c>
      <c r="H1635" s="1">
        <f>value(MYR!$B1635)</f>
        <v>3579.716</v>
      </c>
      <c r="I1635" s="1">
        <f>value(THB!$B1635)</f>
        <v>370.0816</v>
      </c>
      <c r="J1635" s="1">
        <f>value(VND!$B1635)</f>
        <v>0.5972923321</v>
      </c>
      <c r="K1635" s="1">
        <f>value(CNY!$B1635)</f>
        <v>1995.0316</v>
      </c>
      <c r="L1635" s="1">
        <f>value(HKD!$B1635)</f>
        <v>1562.0689</v>
      </c>
      <c r="M1635" s="1">
        <f>value(TWD!$B1635)</f>
        <v>398.2979</v>
      </c>
      <c r="N1635" s="1">
        <f>value(JPY!$B1635)</f>
        <v>106.72543</v>
      </c>
      <c r="O1635" s="1">
        <f>value(SAR!$B1635)</f>
        <v>3302.451781</v>
      </c>
      <c r="P1635" s="1">
        <f>value(AED!$B1635)</f>
        <v>3512.025</v>
      </c>
      <c r="Q1635" s="1">
        <f>value(KWD!$B1635)</f>
        <v>42970.97316</v>
      </c>
    </row>
    <row r="1636">
      <c r="A1636" s="4">
        <f>value(USD!A1636)</f>
        <v>41946.99861</v>
      </c>
      <c r="B1636" s="1">
        <f>value(USD!B1636)</f>
        <v>12107</v>
      </c>
      <c r="C1636" s="1">
        <f>value(AUD!$B1636)</f>
        <v>10514.4578</v>
      </c>
      <c r="D1636" s="1">
        <f>value(EUR!$B1636)</f>
        <v>15188.43425</v>
      </c>
      <c r="E1636" s="1">
        <f>value(GBP!$B1636)</f>
        <v>19433.36975</v>
      </c>
      <c r="F1636" s="1">
        <f>value(CHF!$B1636)</f>
        <v>12487.77</v>
      </c>
      <c r="G1636" s="1">
        <f>value(SGD!$B1636)</f>
        <v>9408.353</v>
      </c>
      <c r="H1636" s="1">
        <f>value(MYR!$B1636)</f>
        <v>3575.3105</v>
      </c>
      <c r="I1636" s="1">
        <f>value(THB!$B1636)</f>
        <v>370.97225</v>
      </c>
      <c r="J1636" s="1">
        <f>value(VND!$B1636)</f>
        <v>0.6016984115</v>
      </c>
      <c r="K1636" s="1">
        <f>value(CNY!$B1636)</f>
        <v>1995.09615</v>
      </c>
      <c r="L1636" s="1">
        <f>value(HKD!$B1636)</f>
        <v>1570.45325</v>
      </c>
      <c r="M1636" s="1">
        <f>value(TWD!$B1636)</f>
        <v>398.00075</v>
      </c>
      <c r="N1636" s="1">
        <f>value(JPY!$B1636)</f>
        <v>106.153825</v>
      </c>
      <c r="O1636" s="1">
        <f>value(SAR!$B1636)</f>
        <v>3303.989277</v>
      </c>
      <c r="P1636" s="1">
        <f>value(AED!$B1636)</f>
        <v>3519.2874</v>
      </c>
      <c r="Q1636" s="1">
        <f>value(KWD!$B1636)</f>
        <v>43064.47205</v>
      </c>
    </row>
    <row r="1637">
      <c r="A1637" s="4">
        <f>value(USD!A1637)</f>
        <v>41947.99861</v>
      </c>
      <c r="B1637" s="1">
        <f>value(USD!B1637)</f>
        <v>12110</v>
      </c>
      <c r="C1637" s="1">
        <f>value(AUD!$B1637)</f>
        <v>10622.54732</v>
      </c>
      <c r="D1637" s="1">
        <f>value(EUR!$B1637)</f>
        <v>15041.7</v>
      </c>
      <c r="E1637" s="1">
        <f>value(GBP!$B1637)</f>
        <v>19244.385</v>
      </c>
      <c r="F1637" s="1">
        <f>value(CHF!$B1637)</f>
        <v>12593.82</v>
      </c>
      <c r="G1637" s="1">
        <f>value(SGD!$B1637)</f>
        <v>9374.94</v>
      </c>
      <c r="H1637" s="1">
        <f>value(MYR!$B1637)</f>
        <v>3533.5845</v>
      </c>
      <c r="I1637" s="1">
        <f>value(THB!$B1637)</f>
        <v>369.603</v>
      </c>
      <c r="J1637" s="1">
        <f>value(VND!$B1637)</f>
        <v>0.603582904</v>
      </c>
      <c r="K1637" s="1">
        <f>value(CNY!$B1637)</f>
        <v>1997.882919</v>
      </c>
      <c r="L1637" s="1">
        <f>value(HKD!$B1637)</f>
        <v>1566.9855</v>
      </c>
      <c r="M1637" s="1">
        <f>value(TWD!$B1637)</f>
        <v>393.0525</v>
      </c>
      <c r="N1637" s="1">
        <f>value(JPY!$B1637)</f>
        <v>105.5106</v>
      </c>
      <c r="O1637" s="1">
        <f>value(SAR!$B1637)</f>
        <v>3322.601147</v>
      </c>
      <c r="P1637" s="1">
        <f>value(AED!$B1637)</f>
        <v>3522.55356</v>
      </c>
      <c r="Q1637" s="1">
        <f>value(KWD!$B1637)</f>
        <v>42875.61432</v>
      </c>
    </row>
    <row r="1638">
      <c r="A1638" s="4">
        <f>value(USD!A1638)</f>
        <v>41948.99861</v>
      </c>
      <c r="B1638" s="1">
        <f>value(USD!B1638)</f>
        <v>12175</v>
      </c>
      <c r="C1638" s="1">
        <f>value(AUD!$B1638)</f>
        <v>10545.55781</v>
      </c>
      <c r="D1638" s="1">
        <f>value(EUR!$B1638)</f>
        <v>15162.745</v>
      </c>
      <c r="E1638" s="1">
        <f>value(GBP!$B1638)</f>
        <v>19322.9425</v>
      </c>
      <c r="F1638" s="1">
        <f>value(CHF!$B1638)</f>
        <v>12630.11993</v>
      </c>
      <c r="G1638" s="1">
        <f>value(SGD!$B1638)</f>
        <v>9444.75625</v>
      </c>
      <c r="H1638" s="1">
        <f>value(MYR!$B1638)</f>
        <v>3587.60725</v>
      </c>
      <c r="I1638" s="1">
        <f>value(THB!$B1638)</f>
        <v>365.0065</v>
      </c>
      <c r="J1638" s="1">
        <f>value(VND!$B1638)</f>
        <v>0.6044046793</v>
      </c>
      <c r="K1638" s="1">
        <f>value(CNY!$B1638)</f>
        <v>1993.5424</v>
      </c>
      <c r="L1638" s="1">
        <f>value(HKD!$B1638)</f>
        <v>1570.20975</v>
      </c>
      <c r="M1638" s="1">
        <f>value(TWD!$B1638)</f>
        <v>399.34</v>
      </c>
      <c r="N1638" s="1">
        <f>value(JPY!$B1638)</f>
        <v>106.166</v>
      </c>
      <c r="O1638" s="1">
        <f>value(SAR!$B1638)</f>
        <v>3312.667863</v>
      </c>
      <c r="P1638" s="1">
        <f>value(AED!$B1638)</f>
        <v>3530.218148</v>
      </c>
      <c r="Q1638" s="1">
        <f>value(KWD!$B1638)</f>
        <v>42956.29422</v>
      </c>
    </row>
    <row r="1639">
      <c r="A1639" s="4">
        <f>value(USD!A1639)</f>
        <v>41949.99861</v>
      </c>
      <c r="B1639" s="1">
        <f>value(USD!B1639)</f>
        <v>12150</v>
      </c>
      <c r="C1639" s="1">
        <f>value(AUD!$B1639)</f>
        <v>10427.1002</v>
      </c>
      <c r="D1639" s="1">
        <f>value(EUR!$B1639)</f>
        <v>15193.94878</v>
      </c>
      <c r="E1639" s="1">
        <f>value(GBP!$B1639)</f>
        <v>19357.32617</v>
      </c>
      <c r="F1639" s="1">
        <f>value(CHF!$B1639)</f>
        <v>12558.546</v>
      </c>
      <c r="G1639" s="1">
        <f>value(SGD!$B1639)</f>
        <v>9460.36434</v>
      </c>
      <c r="H1639" s="1">
        <f>value(MYR!$B1639)</f>
        <v>3593.53601</v>
      </c>
      <c r="I1639" s="1">
        <f>value(THB!$B1639)</f>
        <v>365.6096976</v>
      </c>
      <c r="J1639" s="1">
        <f>value(VND!$B1639)</f>
        <v>0.6062843953</v>
      </c>
      <c r="K1639" s="1">
        <f>value(CNY!$B1639)</f>
        <v>2001.9798</v>
      </c>
      <c r="L1639" s="1">
        <f>value(HKD!$B1639)</f>
        <v>1572.804626</v>
      </c>
      <c r="M1639" s="1">
        <f>value(TWD!$B1639)</f>
        <v>399.999936</v>
      </c>
      <c r="N1639" s="1">
        <f>value(JPY!$B1639)</f>
        <v>106.3414464</v>
      </c>
      <c r="O1639" s="1">
        <f>value(SAR!$B1639)</f>
        <v>3317.705856</v>
      </c>
      <c r="P1639" s="1">
        <f>value(AED!$B1639)</f>
        <v>3518.47086</v>
      </c>
      <c r="Q1639" s="1">
        <f>value(KWD!$B1639)</f>
        <v>42941.21265</v>
      </c>
    </row>
    <row r="1640">
      <c r="A1640" s="4">
        <f>value(USD!A1640)</f>
        <v>41950.99861</v>
      </c>
      <c r="B1640" s="1">
        <f>value(USD!B1640)</f>
        <v>12175</v>
      </c>
      <c r="C1640" s="1">
        <f>value(AUD!$B1640)</f>
        <v>10367.28451</v>
      </c>
      <c r="D1640" s="1">
        <f>value(EUR!$B1640)</f>
        <v>15194.38781</v>
      </c>
      <c r="E1640" s="1">
        <f>value(GBP!$B1640)</f>
        <v>19366.33836</v>
      </c>
      <c r="F1640" s="1">
        <f>value(CHF!$B1640)</f>
        <v>12571.8848</v>
      </c>
      <c r="G1640" s="1">
        <f>value(SGD!$B1640)</f>
        <v>9463.657022</v>
      </c>
      <c r="H1640" s="1">
        <f>value(MYR!$B1640)</f>
        <v>3595.243327</v>
      </c>
      <c r="I1640" s="1">
        <f>value(THB!$B1640)</f>
        <v>365.8536</v>
      </c>
      <c r="J1640" s="1">
        <f>value(VND!$B1640)</f>
        <v>0.6046831919</v>
      </c>
      <c r="K1640" s="1">
        <f>value(CNY!$B1640)</f>
        <v>1996.1529</v>
      </c>
      <c r="L1640" s="1">
        <f>value(HKD!$B1640)</f>
        <v>1572.804626</v>
      </c>
      <c r="M1640" s="1">
        <f>value(TWD!$B1640)</f>
        <v>400.2438384</v>
      </c>
      <c r="N1640" s="1">
        <f>value(JPY!$B1640)</f>
        <v>106.4633976</v>
      </c>
      <c r="O1640" s="1">
        <f>value(SAR!$B1640)</f>
        <v>3344.4192</v>
      </c>
      <c r="P1640" s="1">
        <f>value(AED!$B1640)</f>
        <v>3520.6483</v>
      </c>
      <c r="Q1640" s="1">
        <f>value(KWD!$B1640)</f>
        <v>43027.91656</v>
      </c>
    </row>
    <row r="1641">
      <c r="A1641" s="4">
        <f>value(USD!A1641)</f>
        <v>41951.99861</v>
      </c>
      <c r="B1641" s="1">
        <f>value(USD!B1641)</f>
        <v>12195.12</v>
      </c>
      <c r="C1641" s="1">
        <f>value(AUD!$B1641)</f>
        <v>10384.0575</v>
      </c>
      <c r="D1641" s="1">
        <f>value(EUR!$B1641)</f>
        <v>15107.4495</v>
      </c>
      <c r="E1641" s="1">
        <f>value(GBP!$B1641)</f>
        <v>19265.675</v>
      </c>
      <c r="F1641" s="1">
        <f>value(CHF!$B1641)</f>
        <v>12596.4832</v>
      </c>
      <c r="G1641" s="1">
        <f>value(SGD!$B1641)</f>
        <v>9415.14145</v>
      </c>
      <c r="H1641" s="1">
        <f>value(MYR!$B1641)</f>
        <v>3564.45375</v>
      </c>
      <c r="I1641" s="1">
        <f>value(THB!$B1641)</f>
        <v>369.87665</v>
      </c>
      <c r="J1641" s="1">
        <f>value(VND!$B1641)</f>
        <v>0.6043148907</v>
      </c>
      <c r="K1641" s="1">
        <f>value(CNY!$B1641)</f>
        <v>1994.5422</v>
      </c>
      <c r="L1641" s="1">
        <f>value(HKD!$B1641)</f>
        <v>1567.38725</v>
      </c>
      <c r="M1641" s="1">
        <f>value(TWD!$B1641)</f>
        <v>396.0099</v>
      </c>
      <c r="N1641" s="1">
        <f>value(JPY!$B1641)</f>
        <v>105.91867</v>
      </c>
      <c r="O1641" s="1">
        <f>value(SAR!$B1641)</f>
        <v>3386.719115</v>
      </c>
      <c r="P1641" s="1">
        <f>value(AED!$B1641)</f>
        <v>3515.2047</v>
      </c>
      <c r="Q1641" s="1">
        <f>value(KWD!$B1641)</f>
        <v>43087.6914</v>
      </c>
    </row>
    <row r="1642">
      <c r="A1642" s="4">
        <f>value(USD!A1642)</f>
        <v>41952.99861</v>
      </c>
      <c r="B1642" s="1">
        <f>value(USD!B1642)</f>
        <v>12195.12</v>
      </c>
      <c r="C1642" s="1">
        <f>value(AUD!$B1642)</f>
        <v>10367.86475</v>
      </c>
      <c r="D1642" s="1">
        <f>value(EUR!$B1642)</f>
        <v>15128.4672</v>
      </c>
      <c r="E1642" s="1">
        <f>value(GBP!$B1642)</f>
        <v>19311.4144</v>
      </c>
      <c r="F1642" s="1">
        <f>value(CHF!$B1642)</f>
        <v>12644.0125</v>
      </c>
      <c r="G1642" s="1">
        <f>value(SGD!$B1642)</f>
        <v>9386.4656</v>
      </c>
      <c r="H1642" s="1">
        <f>value(MYR!$B1642)</f>
        <v>3573.27264</v>
      </c>
      <c r="I1642" s="1">
        <f>value(THB!$B1642)</f>
        <v>368.32736</v>
      </c>
      <c r="J1642" s="1">
        <f>value(VND!$B1642)</f>
        <v>0.6059215008</v>
      </c>
      <c r="K1642" s="1">
        <f>value(CNY!$B1642)</f>
        <v>2010.6528</v>
      </c>
      <c r="L1642" s="1">
        <f>value(HKD!$B1642)</f>
        <v>1563.9056</v>
      </c>
      <c r="M1642" s="1">
        <f>value(TWD!$B1642)</f>
        <v>398.4048</v>
      </c>
      <c r="N1642" s="1">
        <f>value(JPY!$B1642)</f>
        <v>104.749536</v>
      </c>
      <c r="O1642" s="1">
        <f>value(SAR!$B1642)</f>
        <v>3402.075079</v>
      </c>
      <c r="P1642" s="1">
        <f>value(AED!$B1642)</f>
        <v>3526.63626</v>
      </c>
      <c r="Q1642" s="1">
        <f>value(KWD!$B1642)</f>
        <v>42705.79664</v>
      </c>
    </row>
    <row r="1643">
      <c r="A1643" s="4">
        <f>value(USD!A1643)</f>
        <v>41953.99861</v>
      </c>
      <c r="B1643" s="1">
        <f>value(USD!B1643)</f>
        <v>12155</v>
      </c>
      <c r="C1643" s="1">
        <f>value(AUD!$B1643)</f>
        <v>10351.79375</v>
      </c>
      <c r="D1643" s="1">
        <f>value(EUR!$B1643)</f>
        <v>15144.7849</v>
      </c>
      <c r="E1643" s="1">
        <f>value(GBP!$B1643)</f>
        <v>19215.2429</v>
      </c>
      <c r="F1643" s="1">
        <f>value(CHF!$B1643)</f>
        <v>12717.28</v>
      </c>
      <c r="G1643" s="1">
        <f>value(SGD!$B1643)</f>
        <v>9439.92833</v>
      </c>
      <c r="H1643" s="1">
        <f>value(MYR!$B1643)</f>
        <v>3576.64076</v>
      </c>
      <c r="I1643" s="1">
        <f>value(THB!$B1643)</f>
        <v>370.4848</v>
      </c>
      <c r="J1643" s="1">
        <f>value(VND!$B1643)</f>
        <v>0.6052317538</v>
      </c>
      <c r="K1643" s="1">
        <f>value(CNY!$B1643)</f>
        <v>2021.455225</v>
      </c>
      <c r="L1643" s="1">
        <f>value(HKD!$B1643)</f>
        <v>1571.51365</v>
      </c>
      <c r="M1643" s="1">
        <f>value(TWD!$B1643)</f>
        <v>387.42473</v>
      </c>
      <c r="N1643" s="1">
        <f>value(JPY!$B1643)</f>
        <v>105.368802</v>
      </c>
      <c r="O1643" s="1">
        <f>value(SAR!$B1643)</f>
        <v>3367.509929</v>
      </c>
      <c r="P1643" s="1">
        <f>value(AED!$B1643)</f>
        <v>3531.5355</v>
      </c>
      <c r="Q1643" s="1">
        <f>value(KWD!$B1643)</f>
        <v>43187.31612</v>
      </c>
    </row>
    <row r="1644">
      <c r="A1644" s="4">
        <f>value(USD!A1644)</f>
        <v>41954.99861</v>
      </c>
      <c r="B1644" s="1">
        <f>value(USD!B1644)</f>
        <v>12128</v>
      </c>
      <c r="C1644" s="1">
        <f>value(AUD!$B1644)</f>
        <v>10291.46176</v>
      </c>
      <c r="D1644" s="1">
        <f>value(EUR!$B1644)</f>
        <v>15199.6264</v>
      </c>
      <c r="E1644" s="1">
        <f>value(GBP!$B1644)</f>
        <v>19134.8087</v>
      </c>
      <c r="F1644" s="1">
        <f>value(CHF!$B1644)</f>
        <v>12722.48465</v>
      </c>
      <c r="G1644" s="1">
        <f>value(SGD!$B1644)</f>
        <v>9428.10694</v>
      </c>
      <c r="H1644" s="1">
        <f>value(MYR!$B1644)</f>
        <v>3586.02475</v>
      </c>
      <c r="I1644" s="1">
        <f>value(THB!$B1644)</f>
        <v>371.33789</v>
      </c>
      <c r="J1644" s="1">
        <f>value(VND!$B1644)</f>
        <v>0.6034878346</v>
      </c>
      <c r="K1644" s="1">
        <f>value(CNY!$B1644)</f>
        <v>2012.044938</v>
      </c>
      <c r="L1644" s="1">
        <f>value(HKD!$B1644)</f>
        <v>1571.39178</v>
      </c>
      <c r="M1644" s="1">
        <f>value(TWD!$B1644)</f>
        <v>388.39969</v>
      </c>
      <c r="N1644" s="1">
        <f>value(JPY!$B1644)</f>
        <v>105.185997</v>
      </c>
      <c r="O1644" s="1">
        <f>value(SAR!$B1644)</f>
        <v>3354.317243</v>
      </c>
      <c r="P1644" s="1">
        <f>value(AED!$B1644)</f>
        <v>3500.2348</v>
      </c>
      <c r="Q1644" s="1">
        <f>value(KWD!$B1644)</f>
        <v>43227.06454</v>
      </c>
    </row>
    <row r="1645">
      <c r="A1645" s="4">
        <f>value(USD!A1645)</f>
        <v>41955.99861</v>
      </c>
      <c r="B1645" s="1">
        <f>value(USD!B1645)</f>
        <v>12187</v>
      </c>
      <c r="C1645" s="1">
        <f>value(AUD!$B1645)</f>
        <v>10412.766</v>
      </c>
      <c r="D1645" s="1">
        <f>value(EUR!$B1645)</f>
        <v>15280.012</v>
      </c>
      <c r="E1645" s="1">
        <f>value(GBP!$B1645)</f>
        <v>19113.374</v>
      </c>
      <c r="F1645" s="1">
        <f>value(CHF!$B1645)</f>
        <v>12739.59955</v>
      </c>
      <c r="G1645" s="1">
        <f>value(SGD!$B1645)</f>
        <v>9399.856</v>
      </c>
      <c r="H1645" s="1">
        <f>value(MYR!$B1645)</f>
        <v>3599.61</v>
      </c>
      <c r="I1645" s="1">
        <f>value(THB!$B1645)</f>
        <v>366.488</v>
      </c>
      <c r="J1645" s="1">
        <f>value(VND!$B1645)</f>
        <v>0.6071592435</v>
      </c>
      <c r="K1645" s="1">
        <f>value(CNY!$B1645)</f>
        <v>2029.21625</v>
      </c>
      <c r="L1645" s="1">
        <f>value(HKD!$B1645)</f>
        <v>1573.19</v>
      </c>
      <c r="M1645" s="1">
        <f>value(TWD!$B1645)</f>
        <v>389.18</v>
      </c>
      <c r="N1645" s="1">
        <f>value(JPY!$B1645)</f>
        <v>104.92</v>
      </c>
      <c r="O1645" s="1">
        <f>value(SAR!$B1645)</f>
        <v>3364.154712</v>
      </c>
      <c r="P1645" s="1">
        <f>value(AED!$B1645)</f>
        <v>3539.7009</v>
      </c>
      <c r="Q1645" s="1">
        <f>value(KWD!$B1645)</f>
        <v>43471.75959</v>
      </c>
    </row>
    <row r="1646">
      <c r="A1646" s="4">
        <f>value(USD!A1646)</f>
        <v>41956.99861</v>
      </c>
      <c r="B1646" s="1">
        <f>value(USD!B1646)</f>
        <v>12187</v>
      </c>
      <c r="C1646" s="1">
        <f>value(AUD!$B1646)</f>
        <v>10393.3557</v>
      </c>
      <c r="D1646" s="1">
        <f>value(EUR!$B1646)</f>
        <v>15310.50233</v>
      </c>
      <c r="E1646" s="1">
        <f>value(GBP!$B1646)</f>
        <v>19154.02032</v>
      </c>
      <c r="F1646" s="1">
        <f>value(CHF!$B1646)</f>
        <v>12636.459</v>
      </c>
      <c r="G1646" s="1">
        <f>value(SGD!$B1646)</f>
        <v>9419.064066</v>
      </c>
      <c r="H1646" s="1">
        <f>value(MYR!$B1646)</f>
        <v>3606.721097</v>
      </c>
      <c r="I1646" s="1">
        <f>value(THB!$B1646)</f>
        <v>367.1146479</v>
      </c>
      <c r="J1646" s="1">
        <f>value(VND!$B1646)</f>
        <v>0.609224411</v>
      </c>
      <c r="K1646" s="1">
        <f>value(CNY!$B1646)</f>
        <v>2035.7512</v>
      </c>
      <c r="L1646" s="1">
        <f>value(HKD!$B1646)</f>
        <v>1576.282474</v>
      </c>
      <c r="M1646" s="1">
        <f>value(TWD!$B1646)</f>
        <v>389.975267</v>
      </c>
      <c r="N1646" s="1">
        <f>value(JPY!$B1646)</f>
        <v>105.134398</v>
      </c>
      <c r="O1646" s="1">
        <f>value(SAR!$B1646)</f>
        <v>3354.118307</v>
      </c>
      <c r="P1646" s="1">
        <f>value(AED!$B1646)</f>
        <v>3539.42872</v>
      </c>
      <c r="Q1646" s="1">
        <f>value(KWD!$B1646)</f>
        <v>43280.80005</v>
      </c>
    </row>
    <row r="1647">
      <c r="A1647" s="4">
        <f>value(USD!A1647)</f>
        <v>41957.99861</v>
      </c>
      <c r="B1647" s="1">
        <f>value(USD!B1647)</f>
        <v>12200</v>
      </c>
      <c r="C1647" s="1">
        <f>value(AUD!$B1647)</f>
        <v>10313.87175</v>
      </c>
      <c r="D1647" s="1">
        <f>value(EUR!$B1647)</f>
        <v>15304.87886</v>
      </c>
      <c r="E1647" s="1">
        <f>value(GBP!$B1647)</f>
        <v>19152.79783</v>
      </c>
      <c r="F1647" s="1">
        <f>value(CHF!$B1647)</f>
        <v>12648.8</v>
      </c>
      <c r="G1647" s="1">
        <f>value(SGD!$B1647)</f>
        <v>9419.064066</v>
      </c>
      <c r="H1647" s="1">
        <f>value(MYR!$B1647)</f>
        <v>3605.131857</v>
      </c>
      <c r="I1647" s="1">
        <f>value(THB!$B1647)</f>
        <v>372.0046199</v>
      </c>
      <c r="J1647" s="1">
        <f>value(VND!$B1647)</f>
        <v>0.6145512918</v>
      </c>
      <c r="K1647" s="1">
        <f>value(CNY!$B1647)</f>
        <v>2047.1568</v>
      </c>
      <c r="L1647" s="1">
        <f>value(HKD!$B1647)</f>
        <v>1576.526972</v>
      </c>
      <c r="M1647" s="1">
        <f>value(TWD!$B1647)</f>
        <v>389.975267</v>
      </c>
      <c r="N1647" s="1">
        <f>value(JPY!$B1647)</f>
        <v>104.5231515</v>
      </c>
      <c r="O1647" s="1">
        <f>value(SAR!$B1647)</f>
        <v>3367.183649</v>
      </c>
      <c r="P1647" s="1">
        <f>value(AED!$B1647)</f>
        <v>3564.1971</v>
      </c>
      <c r="Q1647" s="1">
        <f>value(KWD!$B1647)</f>
        <v>43677.23823</v>
      </c>
    </row>
    <row r="1648">
      <c r="A1648" s="4">
        <f>value(USD!A1648)</f>
        <v>41958.99861</v>
      </c>
      <c r="B1648" s="1">
        <f>value(USD!B1648)</f>
        <v>12224.93</v>
      </c>
      <c r="C1648" s="1">
        <f>value(AUD!$B1648)</f>
        <v>10301.09535</v>
      </c>
      <c r="D1648" s="1">
        <f>value(EUR!$B1648)</f>
        <v>15179.1165</v>
      </c>
      <c r="E1648" s="1">
        <f>value(GBP!$B1648)</f>
        <v>19067.8581</v>
      </c>
      <c r="F1648" s="1">
        <f>value(CHF!$B1648)</f>
        <v>12629.6472</v>
      </c>
      <c r="G1648" s="1">
        <f>value(SGD!$B1648)</f>
        <v>9389.29635</v>
      </c>
      <c r="H1648" s="1">
        <f>value(MYR!$B1648)</f>
        <v>3563.1351</v>
      </c>
      <c r="I1648" s="1">
        <f>value(THB!$B1648)</f>
        <v>371.58165</v>
      </c>
      <c r="J1648" s="1">
        <f>value(VND!$B1648)</f>
        <v>0.6108306524</v>
      </c>
      <c r="K1648" s="1">
        <f>value(CNY!$B1648)</f>
        <v>2029.8317</v>
      </c>
      <c r="L1648" s="1">
        <f>value(HKD!$B1648)</f>
        <v>1572.4233</v>
      </c>
      <c r="M1648" s="1">
        <f>value(TWD!$B1648)</f>
        <v>385.97175</v>
      </c>
      <c r="N1648" s="1">
        <f>value(JPY!$B1648)</f>
        <v>104.498955</v>
      </c>
      <c r="O1648" s="1">
        <f>value(SAR!$B1648)</f>
        <v>3379.586352</v>
      </c>
      <c r="P1648" s="1">
        <f>value(AED!$B1648)</f>
        <v>3551.13246</v>
      </c>
      <c r="Q1648" s="1">
        <f>value(KWD!$B1648)</f>
        <v>43610.2332</v>
      </c>
    </row>
    <row r="1649">
      <c r="A1649" s="4">
        <f>value(USD!A1649)</f>
        <v>41959.99861</v>
      </c>
      <c r="B1649" s="1">
        <f>value(USD!B1649)</f>
        <v>12224.93</v>
      </c>
      <c r="C1649" s="1">
        <f>value(AUD!$B1649)</f>
        <v>10217.6802</v>
      </c>
      <c r="D1649" s="1">
        <f>value(EUR!$B1649)</f>
        <v>15195.05</v>
      </c>
      <c r="E1649" s="1">
        <f>value(GBP!$B1649)</f>
        <v>18949.1925</v>
      </c>
      <c r="F1649" s="1">
        <f>value(CHF!$B1649)</f>
        <v>12657.1456</v>
      </c>
      <c r="G1649" s="1">
        <f>value(SGD!$B1649)</f>
        <v>9337.09875</v>
      </c>
      <c r="H1649" s="1">
        <f>value(MYR!$B1649)</f>
        <v>3553.47375</v>
      </c>
      <c r="I1649" s="1">
        <f>value(THB!$B1649)</f>
        <v>369.8125</v>
      </c>
      <c r="J1649" s="1">
        <f>value(VND!$B1649)</f>
        <v>0.6124368937</v>
      </c>
      <c r="K1649" s="1">
        <f>value(CNY!$B1649)</f>
        <v>2024.59845</v>
      </c>
      <c r="L1649" s="1">
        <f>value(HKD!$B1649)</f>
        <v>1563.3975</v>
      </c>
      <c r="M1649" s="1">
        <f>value(TWD!$B1649)</f>
        <v>393.94125</v>
      </c>
      <c r="N1649" s="1">
        <f>value(JPY!$B1649)</f>
        <v>103.71725</v>
      </c>
      <c r="O1649" s="1">
        <f>value(SAR!$B1649)</f>
        <v>3395.949482</v>
      </c>
      <c r="P1649" s="1">
        <f>value(AED!$B1649)</f>
        <v>3584.6106</v>
      </c>
      <c r="Q1649" s="1">
        <f>value(KWD!$B1649)</f>
        <v>43590.51122</v>
      </c>
    </row>
    <row r="1650">
      <c r="A1650" s="4">
        <f>value(USD!A1650)</f>
        <v>41960.99861</v>
      </c>
      <c r="B1650" s="1">
        <f>value(USD!B1650)</f>
        <v>12195</v>
      </c>
      <c r="C1650" s="1">
        <f>value(AUD!$B1650)</f>
        <v>10327.53685</v>
      </c>
      <c r="D1650" s="1">
        <f>value(EUR!$B1650)</f>
        <v>15174.81882</v>
      </c>
      <c r="E1650" s="1">
        <f>value(GBP!$B1650)</f>
        <v>18962.6238</v>
      </c>
      <c r="F1650" s="1">
        <f>value(CHF!$B1650)</f>
        <v>12506.6964</v>
      </c>
      <c r="G1650" s="1">
        <f>value(SGD!$B1650)</f>
        <v>9287.80092</v>
      </c>
      <c r="H1650" s="1">
        <f>value(MYR!$B1650)</f>
        <v>3535.72032</v>
      </c>
      <c r="I1650" s="1">
        <f>value(THB!$B1650)</f>
        <v>368.38488</v>
      </c>
      <c r="J1650" s="1">
        <f>value(VND!$B1650)</f>
        <v>0.6064293911</v>
      </c>
      <c r="K1650" s="1">
        <f>value(CNY!$B1650)</f>
        <v>2063.123021</v>
      </c>
      <c r="L1650" s="1">
        <f>value(HKD!$B1650)</f>
        <v>1560.43188</v>
      </c>
      <c r="M1650" s="1">
        <f>value(TWD!$B1650)</f>
        <v>391.98378</v>
      </c>
      <c r="N1650" s="1">
        <f>value(JPY!$B1650)</f>
        <v>102.358716</v>
      </c>
      <c r="O1650" s="1">
        <f>value(SAR!$B1650)</f>
        <v>3417.58292</v>
      </c>
      <c r="P1650" s="1">
        <f>value(AED!$B1650)</f>
        <v>3577.8061</v>
      </c>
      <c r="Q1650" s="1">
        <f>value(KWD!$B1650)</f>
        <v>43314.5773</v>
      </c>
    </row>
    <row r="1651">
      <c r="A1651" s="4">
        <f>value(USD!A1651)</f>
        <v>41961.99861</v>
      </c>
      <c r="B1651" s="1">
        <f>value(USD!B1651)</f>
        <v>12125</v>
      </c>
      <c r="C1651" s="1">
        <f>value(AUD!$B1651)</f>
        <v>10216.47967</v>
      </c>
      <c r="D1651" s="1">
        <f>value(EUR!$B1651)</f>
        <v>15217.81525</v>
      </c>
      <c r="E1651" s="1">
        <f>value(GBP!$B1651)</f>
        <v>19038.49695</v>
      </c>
      <c r="F1651" s="1">
        <f>value(CHF!$B1651)</f>
        <v>12636.02739</v>
      </c>
      <c r="G1651" s="1">
        <f>value(SGD!$B1651)</f>
        <v>9322.51188</v>
      </c>
      <c r="H1651" s="1">
        <f>value(MYR!$B1651)</f>
        <v>3540.16674</v>
      </c>
      <c r="I1651" s="1">
        <f>value(THB!$B1651)</f>
        <v>369.44985</v>
      </c>
      <c r="J1651" s="1">
        <f>value(VND!$B1651)</f>
        <v>0.6077170335</v>
      </c>
      <c r="K1651" s="1">
        <f>value(CNY!$B1651)</f>
        <v>2065.472534</v>
      </c>
      <c r="L1651" s="1">
        <f>value(HKD!$B1651)</f>
        <v>1564.18636</v>
      </c>
      <c r="M1651" s="1">
        <f>value(TWD!$B1651)</f>
        <v>382.91748</v>
      </c>
      <c r="N1651" s="1">
        <f>value(JPY!$B1651)</f>
        <v>102.572382</v>
      </c>
      <c r="O1651" s="1">
        <f>value(SAR!$B1651)</f>
        <v>3407.605031</v>
      </c>
      <c r="P1651" s="1">
        <f>value(AED!$B1651)</f>
        <v>3566.10236</v>
      </c>
      <c r="Q1651" s="1">
        <f>value(KWD!$B1651)</f>
        <v>43440.75627</v>
      </c>
    </row>
    <row r="1652">
      <c r="A1652" s="4">
        <f>value(USD!A1652)</f>
        <v>41962.99861</v>
      </c>
      <c r="B1652" s="1">
        <f>value(USD!B1652)</f>
        <v>12102</v>
      </c>
      <c r="C1652" s="1">
        <f>value(AUD!$B1652)</f>
        <v>10191.636</v>
      </c>
      <c r="D1652" s="1">
        <f>value(EUR!$B1652)</f>
        <v>15032.787</v>
      </c>
      <c r="E1652" s="1">
        <f>value(GBP!$B1652)</f>
        <v>18999.0647</v>
      </c>
      <c r="F1652" s="1">
        <f>value(CHF!$B1652)</f>
        <v>12505.45927</v>
      </c>
      <c r="G1652" s="1">
        <f>value(SGD!$B1652)</f>
        <v>9332.33961</v>
      </c>
      <c r="H1652" s="1">
        <f>value(MYR!$B1652)</f>
        <v>3539.1961</v>
      </c>
      <c r="I1652" s="1">
        <f>value(THB!$B1652)</f>
        <v>369.81384</v>
      </c>
      <c r="J1652" s="1">
        <f>value(VND!$B1652)</f>
        <v>0.6116214891</v>
      </c>
      <c r="K1652" s="1">
        <f>value(CNY!$B1652)</f>
        <v>2023.34496</v>
      </c>
      <c r="L1652" s="1">
        <f>value(HKD!$B1652)</f>
        <v>1563.57971</v>
      </c>
      <c r="M1652" s="1">
        <f>value(TWD!$B1652)</f>
        <v>391.28925</v>
      </c>
      <c r="N1652" s="1">
        <f>value(JPY!$B1652)</f>
        <v>103.00917</v>
      </c>
      <c r="O1652" s="1">
        <f>value(SAR!$B1652)</f>
        <v>3379.271633</v>
      </c>
      <c r="P1652" s="1">
        <f>value(AED!$B1652)</f>
        <v>3541.87834</v>
      </c>
      <c r="Q1652" s="1">
        <f>value(KWD!$B1652)</f>
        <v>43718.85971</v>
      </c>
    </row>
    <row r="1653">
      <c r="A1653" s="4">
        <f>value(USD!A1653)</f>
        <v>41963.99861</v>
      </c>
      <c r="B1653" s="1">
        <f>value(USD!B1653)</f>
        <v>12133</v>
      </c>
      <c r="C1653" s="1">
        <f>value(AUD!$B1653)</f>
        <v>10199.2527</v>
      </c>
      <c r="D1653" s="1">
        <f>value(EUR!$B1653)</f>
        <v>15183.8211</v>
      </c>
      <c r="E1653" s="1">
        <f>value(GBP!$B1653)</f>
        <v>19189.94791</v>
      </c>
      <c r="F1653" s="1">
        <f>value(CHF!$B1653)</f>
        <v>12539.4555</v>
      </c>
      <c r="G1653" s="1">
        <f>value(SGD!$B1653)</f>
        <v>9426.101433</v>
      </c>
      <c r="H1653" s="1">
        <f>value(MYR!$B1653)</f>
        <v>3574.75433</v>
      </c>
      <c r="I1653" s="1">
        <f>value(THB!$B1653)</f>
        <v>373.529352</v>
      </c>
      <c r="J1653" s="1">
        <f>value(VND!$B1653)</f>
        <v>0.611710677</v>
      </c>
      <c r="K1653" s="1">
        <f>value(CNY!$B1653)</f>
        <v>2032.29702</v>
      </c>
      <c r="L1653" s="1">
        <f>value(HKD!$B1653)</f>
        <v>1579.288963</v>
      </c>
      <c r="M1653" s="1">
        <f>value(TWD!$B1653)</f>
        <v>382.67482</v>
      </c>
      <c r="N1653" s="1">
        <f>value(JPY!$B1653)</f>
        <v>104.044101</v>
      </c>
      <c r="O1653" s="1">
        <f>value(SAR!$B1653)</f>
        <v>3409.331215</v>
      </c>
      <c r="P1653" s="1">
        <f>value(AED!$B1653)</f>
        <v>3551.13246</v>
      </c>
      <c r="Q1653" s="1">
        <f>value(KWD!$B1653)</f>
        <v>43653.2368</v>
      </c>
    </row>
    <row r="1654">
      <c r="A1654" s="4">
        <f>value(USD!A1654)</f>
        <v>41964.99861</v>
      </c>
      <c r="B1654" s="1">
        <f>value(USD!B1654)</f>
        <v>12133</v>
      </c>
      <c r="C1654" s="1">
        <f>value(AUD!$B1654)</f>
        <v>10230.948</v>
      </c>
      <c r="D1654" s="1">
        <f>value(EUR!$B1654)</f>
        <v>15035.22668</v>
      </c>
      <c r="E1654" s="1">
        <f>value(GBP!$B1654)</f>
        <v>19009.70757</v>
      </c>
      <c r="F1654" s="1">
        <f>value(CHF!$B1654)</f>
        <v>12586.7742</v>
      </c>
      <c r="G1654" s="1">
        <f>value(SGD!$B1654)</f>
        <v>9350.418896</v>
      </c>
      <c r="H1654" s="1">
        <f>value(MYR!$B1654)</f>
        <v>3538.879725</v>
      </c>
      <c r="I1654" s="1">
        <f>value(THB!$B1654)</f>
        <v>369.8660904</v>
      </c>
      <c r="J1654" s="1">
        <f>value(VND!$B1654)</f>
        <v>0.6126291615</v>
      </c>
      <c r="K1654" s="1">
        <f>value(CNY!$B1654)</f>
        <v>2026.25145</v>
      </c>
      <c r="L1654" s="1">
        <f>value(HKD!$B1654)</f>
        <v>1566.220074</v>
      </c>
      <c r="M1654" s="1">
        <f>value(TWD!$B1654)</f>
        <v>383.28147</v>
      </c>
      <c r="N1654" s="1">
        <f>value(JPY!$B1654)</f>
        <v>103.171254</v>
      </c>
      <c r="O1654" s="1">
        <f>value(SAR!$B1654)</f>
        <v>3366.693344</v>
      </c>
      <c r="P1654" s="1">
        <f>value(AED!$B1654)</f>
        <v>3582.43316</v>
      </c>
      <c r="Q1654" s="1">
        <f>value(KWD!$B1654)</f>
        <v>43148.8898</v>
      </c>
    </row>
    <row r="1655">
      <c r="A1655" s="4">
        <f>value(USD!A1655)</f>
        <v>41965.99861</v>
      </c>
      <c r="B1655" s="1">
        <f>value(USD!B1655)</f>
        <v>12254.9</v>
      </c>
      <c r="C1655" s="1">
        <f>value(AUD!$B1655)</f>
        <v>10281.10259</v>
      </c>
      <c r="D1655" s="1">
        <f>value(EUR!$B1655)</f>
        <v>15088.96279</v>
      </c>
      <c r="E1655" s="1">
        <f>value(GBP!$B1655)</f>
        <v>19040.3169</v>
      </c>
      <c r="F1655" s="1">
        <f>value(CHF!$B1655)</f>
        <v>12663.2175</v>
      </c>
      <c r="G1655" s="1">
        <f>value(SGD!$B1655)</f>
        <v>9305.28302</v>
      </c>
      <c r="H1655" s="1">
        <f>value(MYR!$B1655)</f>
        <v>3556.1823</v>
      </c>
      <c r="I1655" s="1">
        <f>value(THB!$B1655)</f>
        <v>369.20719</v>
      </c>
      <c r="J1655" s="1">
        <f>value(VND!$B1655)</f>
        <v>0.6118889095</v>
      </c>
      <c r="K1655" s="1">
        <f>value(CNY!$B1655)</f>
        <v>2015.86323</v>
      </c>
      <c r="L1655" s="1">
        <f>value(HKD!$B1655)</f>
        <v>1564.30769</v>
      </c>
      <c r="M1655" s="1">
        <f>value(TWD!$B1655)</f>
        <v>385.4605</v>
      </c>
      <c r="N1655" s="1">
        <f>value(JPY!$B1655)</f>
        <v>102.353988</v>
      </c>
      <c r="O1655" s="1">
        <f>value(SAR!$B1655)</f>
        <v>3404.777129</v>
      </c>
      <c r="P1655" s="1">
        <f>value(AED!$B1655)</f>
        <v>3584.06624</v>
      </c>
      <c r="Q1655" s="1">
        <f>value(KWD!$B1655)</f>
        <v>43477.38777</v>
      </c>
    </row>
    <row r="1656">
      <c r="A1656" s="4">
        <f>value(USD!A1656)</f>
        <v>41966.99861</v>
      </c>
      <c r="B1656" s="1">
        <f>value(USD!B1656)</f>
        <v>12150.66</v>
      </c>
      <c r="C1656" s="1">
        <f>value(AUD!$B1656)</f>
        <v>10392.03576</v>
      </c>
      <c r="D1656" s="1">
        <f>value(EUR!$B1656)</f>
        <v>15137.1308</v>
      </c>
      <c r="E1656" s="1">
        <f>value(GBP!$B1656)</f>
        <v>19064.21891</v>
      </c>
      <c r="F1656" s="1">
        <f>value(CHF!$B1656)</f>
        <v>12620.605</v>
      </c>
      <c r="G1656" s="1">
        <f>value(SGD!$B1656)</f>
        <v>9332.46094</v>
      </c>
      <c r="H1656" s="1">
        <f>value(MYR!$B1656)</f>
        <v>3562.61279</v>
      </c>
      <c r="I1656" s="1">
        <f>value(THB!$B1656)</f>
        <v>369.69251</v>
      </c>
      <c r="J1656" s="1">
        <f>value(VND!$B1656)</f>
        <v>0.6100527837</v>
      </c>
      <c r="K1656" s="1">
        <f>value(CNY!$B1656)</f>
        <v>2026.638</v>
      </c>
      <c r="L1656" s="1">
        <f>value(HKD!$B1656)</f>
        <v>1564.55035</v>
      </c>
      <c r="M1656" s="1">
        <f>value(TWD!$B1656)</f>
        <v>383.87775</v>
      </c>
      <c r="N1656" s="1">
        <f>value(JPY!$B1656)</f>
        <v>102.88784</v>
      </c>
      <c r="O1656" s="1">
        <f>value(SAR!$B1656)</f>
        <v>3415.089251</v>
      </c>
      <c r="P1656" s="1">
        <f>value(AED!$B1656)</f>
        <v>3542.4227</v>
      </c>
      <c r="Q1656" s="1">
        <f>value(KWD!$B1656)</f>
        <v>43515.68544</v>
      </c>
    </row>
    <row r="1657">
      <c r="A1657" s="4">
        <f>value(USD!A1657)</f>
        <v>41967.99861</v>
      </c>
      <c r="B1657" s="1">
        <f>value(USD!B1657)</f>
        <v>12133</v>
      </c>
      <c r="C1657" s="1">
        <f>value(AUD!$B1657)</f>
        <v>10404.03824</v>
      </c>
      <c r="D1657" s="1">
        <f>value(EUR!$B1657)</f>
        <v>15223.74175</v>
      </c>
      <c r="E1657" s="1">
        <f>value(GBP!$B1657)</f>
        <v>19219.82025</v>
      </c>
      <c r="F1657" s="1">
        <f>value(CHF!$B1657)</f>
        <v>12607.2125</v>
      </c>
      <c r="G1657" s="1">
        <f>value(SGD!$B1657)</f>
        <v>9376.08925</v>
      </c>
      <c r="H1657" s="1">
        <f>value(MYR!$B1657)</f>
        <v>3580.424</v>
      </c>
      <c r="I1657" s="1">
        <f>value(THB!$B1657)</f>
        <v>371.094</v>
      </c>
      <c r="J1657" s="1">
        <f>value(VND!$B1657)</f>
        <v>0.6111111074</v>
      </c>
      <c r="K1657" s="1">
        <f>value(CNY!$B1657)</f>
        <v>2065.384161</v>
      </c>
      <c r="L1657" s="1">
        <f>value(HKD!$B1657)</f>
        <v>1570.088</v>
      </c>
      <c r="M1657" s="1">
        <f>value(TWD!$B1657)</f>
        <v>382.66025</v>
      </c>
      <c r="N1657" s="1">
        <f>value(JPY!$B1657)</f>
        <v>103.4875</v>
      </c>
      <c r="O1657" s="1">
        <f>value(SAR!$B1657)</f>
        <v>3438.292155</v>
      </c>
      <c r="P1657" s="1">
        <f>value(AED!$B1657)</f>
        <v>3567.73544</v>
      </c>
      <c r="Q1657" s="1">
        <f>value(KWD!$B1657)</f>
        <v>43607.64891</v>
      </c>
    </row>
    <row r="1658">
      <c r="A1658" s="4">
        <f>value(USD!A1658)</f>
        <v>41968.99861</v>
      </c>
      <c r="B1658" s="1">
        <f>value(USD!B1658)</f>
        <v>12133</v>
      </c>
      <c r="C1658" s="1">
        <f>value(AUD!$B1658)</f>
        <v>10369.06349</v>
      </c>
      <c r="D1658" s="1">
        <f>value(EUR!$B1658)</f>
        <v>15169.563</v>
      </c>
      <c r="E1658" s="1">
        <f>value(GBP!$B1658)</f>
        <v>19141.535</v>
      </c>
      <c r="F1658" s="1">
        <f>value(CHF!$B1658)</f>
        <v>12640.04675</v>
      </c>
      <c r="G1658" s="1">
        <f>value(SGD!$B1658)</f>
        <v>9364.2795</v>
      </c>
      <c r="H1658" s="1">
        <f>value(MYR!$B1658)</f>
        <v>3563.01375</v>
      </c>
      <c r="I1658" s="1">
        <f>value(THB!$B1658)</f>
        <v>370.97225</v>
      </c>
      <c r="J1658" s="1">
        <f>value(VND!$B1658)</f>
        <v>0.6107437979</v>
      </c>
      <c r="K1658" s="1">
        <f>value(CNY!$B1658)</f>
        <v>2063.251062</v>
      </c>
      <c r="L1658" s="1">
        <f>value(HKD!$B1658)</f>
        <v>1570.3315</v>
      </c>
      <c r="M1658" s="1">
        <f>value(TWD!$B1658)</f>
        <v>394.47135</v>
      </c>
      <c r="N1658" s="1">
        <f>value(JPY!$B1658)</f>
        <v>103.26835</v>
      </c>
      <c r="O1658" s="1">
        <f>value(SAR!$B1658)</f>
        <v>3415.797937</v>
      </c>
      <c r="P1658" s="1">
        <f>value(AED!$B1658)</f>
        <v>3576.4452</v>
      </c>
      <c r="Q1658" s="1">
        <f>value(KWD!$B1658)</f>
        <v>43688.22516</v>
      </c>
    </row>
    <row r="1659">
      <c r="A1659" s="4">
        <f>value(USD!A1659)</f>
        <v>41969.99861</v>
      </c>
      <c r="B1659" s="1">
        <f>value(USD!B1659)</f>
        <v>12175</v>
      </c>
      <c r="C1659" s="1">
        <f>value(AUD!$B1659)</f>
        <v>10552.42</v>
      </c>
      <c r="D1659" s="1">
        <f>value(EUR!$B1659)</f>
        <v>15156.53575</v>
      </c>
      <c r="E1659" s="1">
        <f>value(GBP!$B1659)</f>
        <v>19050.2225</v>
      </c>
      <c r="F1659" s="1">
        <f>value(CHF!$B1659)</f>
        <v>12597.55896</v>
      </c>
      <c r="G1659" s="1">
        <f>value(SGD!$B1659)</f>
        <v>9332.6245</v>
      </c>
      <c r="H1659" s="1">
        <f>value(MYR!$B1659)</f>
        <v>3526.00175</v>
      </c>
      <c r="I1659" s="1">
        <f>value(THB!$B1659)</f>
        <v>362.93675</v>
      </c>
      <c r="J1659" s="1">
        <f>value(VND!$B1659)</f>
        <v>0.6083562865</v>
      </c>
      <c r="K1659" s="1">
        <f>value(CNY!$B1659)</f>
        <v>2031.1566</v>
      </c>
      <c r="L1659" s="1">
        <f>value(HKD!$B1659)</f>
        <v>1569.8445</v>
      </c>
      <c r="M1659" s="1">
        <f>value(TWD!$B1659)</f>
        <v>383.7834</v>
      </c>
      <c r="N1659" s="1">
        <f>value(JPY!$B1659)</f>
        <v>102.63525</v>
      </c>
      <c r="O1659" s="1">
        <f>value(SAR!$B1659)</f>
        <v>3428.967509</v>
      </c>
      <c r="P1659" s="1">
        <f>value(AED!$B1659)</f>
        <v>3585.42714</v>
      </c>
      <c r="Q1659" s="1">
        <f>value(KWD!$B1659)</f>
        <v>43522.79364</v>
      </c>
    </row>
    <row r="1660">
      <c r="A1660" s="4">
        <f>value(USD!A1660)</f>
        <v>41970.99861</v>
      </c>
      <c r="B1660" s="1">
        <f>value(USD!B1660)</f>
        <v>12175</v>
      </c>
      <c r="C1660" s="1">
        <f>value(AUD!$B1660)</f>
        <v>10440.2067</v>
      </c>
      <c r="D1660" s="1">
        <f>value(EUR!$B1660)</f>
        <v>15187.70488</v>
      </c>
      <c r="E1660" s="1">
        <f>value(GBP!$B1660)</f>
        <v>19093.94816</v>
      </c>
      <c r="F1660" s="1">
        <f>value(CHF!$B1660)</f>
        <v>12732.174</v>
      </c>
      <c r="G1660" s="1">
        <f>value(SGD!$B1660)</f>
        <v>9348.047284</v>
      </c>
      <c r="H1660" s="1">
        <f>value(MYR!$B1660)</f>
        <v>3531.828703</v>
      </c>
      <c r="I1660" s="1">
        <f>value(THB!$B1660)</f>
        <v>363.5365272</v>
      </c>
      <c r="J1660" s="1">
        <f>value(VND!$B1660)</f>
        <v>0.6099128001</v>
      </c>
      <c r="K1660" s="1">
        <f>value(CNY!$B1660)</f>
        <v>2021.10018</v>
      </c>
      <c r="L1660" s="1">
        <f>value(HKD!$B1660)</f>
        <v>1572.438772</v>
      </c>
      <c r="M1660" s="1">
        <f>value(TWD!$B1660)</f>
        <v>394.1028</v>
      </c>
      <c r="N1660" s="1">
        <f>value(JPY!$B1660)</f>
        <v>102.8048616</v>
      </c>
      <c r="O1660" s="1">
        <f>value(SAR!$B1660)</f>
        <v>3412.260288</v>
      </c>
      <c r="P1660" s="1">
        <f>value(AED!$B1660)</f>
        <v>3597.40306</v>
      </c>
      <c r="Q1660" s="1">
        <f>value(KWD!$B1660)</f>
        <v>43542.25012</v>
      </c>
    </row>
    <row r="1661">
      <c r="A1661" s="4">
        <f>value(USD!A1661)</f>
        <v>41971.99861</v>
      </c>
      <c r="B1661" s="1">
        <f>value(USD!B1661)</f>
        <v>12175</v>
      </c>
      <c r="C1661" s="1">
        <f>value(AUD!$B1661)</f>
        <v>10294.40463</v>
      </c>
      <c r="D1661" s="1">
        <f>value(EUR!$B1661)</f>
        <v>15164.63172</v>
      </c>
      <c r="E1661" s="1">
        <f>value(GBP!$B1661)</f>
        <v>19036.58232</v>
      </c>
      <c r="F1661" s="1">
        <f>value(CHF!$B1661)</f>
        <v>12638.808</v>
      </c>
      <c r="G1661" s="1">
        <f>value(SGD!$B1661)</f>
        <v>9328.169239</v>
      </c>
      <c r="H1661" s="1">
        <f>value(MYR!$B1661)</f>
        <v>3527.560411</v>
      </c>
      <c r="I1661" s="1">
        <f>value(THB!$B1661)</f>
        <v>363.0487224</v>
      </c>
      <c r="J1661" s="1">
        <f>value(VND!$B1661)</f>
        <v>0.6107897116</v>
      </c>
      <c r="K1661" s="1">
        <f>value(CNY!$B1661)</f>
        <v>2005.24455</v>
      </c>
      <c r="L1661" s="1">
        <f>value(HKD!$B1661)</f>
        <v>1572.560724</v>
      </c>
      <c r="M1661" s="1">
        <f>value(TWD!$B1661)</f>
        <v>393.73425</v>
      </c>
      <c r="N1661" s="1">
        <f>value(JPY!$B1661)</f>
        <v>102.6097396</v>
      </c>
      <c r="O1661" s="1">
        <f>value(SAR!$B1661)</f>
        <v>3428.182712</v>
      </c>
      <c r="P1661" s="1">
        <f>value(AED!$B1661)</f>
        <v>3584.6106</v>
      </c>
      <c r="Q1661" s="1">
        <f>value(KWD!$B1661)</f>
        <v>43662.3396</v>
      </c>
    </row>
    <row r="1662">
      <c r="A1662" s="4">
        <f>value(USD!A1662)</f>
        <v>41972.99861</v>
      </c>
      <c r="B1662" s="1">
        <f>value(USD!B1662)</f>
        <v>12195.12</v>
      </c>
      <c r="C1662" s="1">
        <f>value(AUD!$B1662)</f>
        <v>10192.416</v>
      </c>
      <c r="D1662" s="1">
        <f>value(EUR!$B1662)</f>
        <v>15316.938</v>
      </c>
      <c r="E1662" s="1">
        <f>value(GBP!$B1662)</f>
        <v>19325.5335</v>
      </c>
      <c r="F1662" s="1">
        <f>value(CHF!$B1662)</f>
        <v>12570.012</v>
      </c>
      <c r="G1662" s="1">
        <f>value(SGD!$B1662)</f>
        <v>9403.06185</v>
      </c>
      <c r="H1662" s="1">
        <f>value(MYR!$B1662)</f>
        <v>3515.35275</v>
      </c>
      <c r="I1662" s="1">
        <f>value(THB!$B1662)</f>
        <v>374.2011</v>
      </c>
      <c r="J1662" s="1">
        <f>value(VND!$B1662)</f>
        <v>0.6113813637</v>
      </c>
      <c r="K1662" s="1">
        <f>value(CNY!$B1662)</f>
        <v>1998.32145</v>
      </c>
      <c r="L1662" s="1">
        <f>value(HKD!$B1662)</f>
        <v>1583.90505</v>
      </c>
      <c r="M1662" s="1">
        <f>value(TWD!$B1662)</f>
        <v>393.8571</v>
      </c>
      <c r="N1662" s="1">
        <f>value(JPY!$B1662)</f>
        <v>103.80825</v>
      </c>
      <c r="O1662" s="1">
        <f>value(SAR!$B1662)</f>
        <v>3432.285948</v>
      </c>
      <c r="P1662" s="1">
        <f>value(AED!$B1662)</f>
        <v>3583.2497</v>
      </c>
      <c r="Q1662" s="1">
        <f>value(KWD!$B1662)</f>
        <v>43563.56432</v>
      </c>
    </row>
    <row r="1663">
      <c r="A1663" s="4">
        <f>value(USD!A1663)</f>
        <v>41973.99861</v>
      </c>
      <c r="B1663" s="1">
        <f>value(USD!B1663)</f>
        <v>12195.12</v>
      </c>
      <c r="C1663" s="1">
        <f>value(AUD!$B1663)</f>
        <v>10067.23268</v>
      </c>
      <c r="D1663" s="1">
        <f>value(EUR!$B1663)</f>
        <v>15218.658</v>
      </c>
      <c r="E1663" s="1">
        <f>value(GBP!$B1663)</f>
        <v>19219.8825</v>
      </c>
      <c r="F1663" s="1">
        <f>value(CHF!$B1663)</f>
        <v>12651.093</v>
      </c>
      <c r="G1663" s="1">
        <f>value(SGD!$B1663)</f>
        <v>9369.5238</v>
      </c>
      <c r="H1663" s="1">
        <f>value(MYR!$B1663)</f>
        <v>3508.47315</v>
      </c>
      <c r="I1663" s="1">
        <f>value(THB!$B1663)</f>
        <v>373.58685</v>
      </c>
      <c r="J1663" s="1">
        <f>value(VND!$B1663)</f>
        <v>0.6113813637</v>
      </c>
      <c r="K1663" s="1">
        <f>value(CNY!$B1663)</f>
        <v>1993.51881</v>
      </c>
      <c r="L1663" s="1">
        <f>value(HKD!$B1663)</f>
        <v>1584.15075</v>
      </c>
      <c r="M1663" s="1">
        <f>value(TWD!$B1663)</f>
        <v>392.6286</v>
      </c>
      <c r="N1663" s="1">
        <f>value(JPY!$B1663)</f>
        <v>103.07115</v>
      </c>
      <c r="O1663" s="1">
        <f>value(SAR!$B1663)</f>
        <v>3460.98446</v>
      </c>
      <c r="P1663" s="1">
        <f>value(AED!$B1663)</f>
        <v>3592.776</v>
      </c>
      <c r="Q1663" s="1">
        <f>value(KWD!$B1663)</f>
        <v>43584.89915</v>
      </c>
    </row>
    <row r="1664">
      <c r="A1664" s="4">
        <f>value(USD!A1664)</f>
        <v>41974.99861</v>
      </c>
      <c r="B1664" s="1">
        <f>value(USD!B1664)</f>
        <v>12285</v>
      </c>
      <c r="C1664" s="1">
        <f>value(AUD!$B1664)</f>
        <v>10121.11781</v>
      </c>
      <c r="D1664" s="1">
        <f>value(EUR!$B1664)</f>
        <v>15128.9775</v>
      </c>
      <c r="E1664" s="1">
        <f>value(GBP!$B1664)</f>
        <v>19278.1134</v>
      </c>
      <c r="F1664" s="1">
        <f>value(CHF!$B1664)</f>
        <v>12549.1275</v>
      </c>
      <c r="G1664" s="1">
        <f>value(SGD!$B1664)</f>
        <v>9359.81865</v>
      </c>
      <c r="H1664" s="1">
        <f>value(MYR!$B1664)</f>
        <v>3501.34785</v>
      </c>
      <c r="I1664" s="1">
        <f>value(THB!$B1664)</f>
        <v>373.34115</v>
      </c>
      <c r="J1664" s="1">
        <f>value(VND!$B1664)</f>
        <v>0.6124397472</v>
      </c>
      <c r="K1664" s="1">
        <f>value(CNY!$B1664)</f>
        <v>2008.38475</v>
      </c>
      <c r="L1664" s="1">
        <f>value(HKD!$B1664)</f>
        <v>1584.2736</v>
      </c>
      <c r="M1664" s="1">
        <f>value(TWD!$B1664)</f>
        <v>392.6286</v>
      </c>
      <c r="N1664" s="1">
        <f>value(JPY!$B1664)</f>
        <v>102.48147</v>
      </c>
      <c r="O1664" s="1">
        <f>value(SAR!$B1664)</f>
        <v>3469.496714</v>
      </c>
      <c r="P1664" s="1">
        <f>value(AED!$B1664)</f>
        <v>3590.433</v>
      </c>
      <c r="Q1664" s="1">
        <f>value(KWD!$B1664)</f>
        <v>43877.67867</v>
      </c>
    </row>
    <row r="1665">
      <c r="A1665" s="4">
        <f>value(USD!A1665)</f>
        <v>41975.99861</v>
      </c>
      <c r="B1665" s="1">
        <f>value(USD!B1665)</f>
        <v>12285</v>
      </c>
      <c r="C1665" s="1">
        <f>value(AUD!$B1665)</f>
        <v>10115.028</v>
      </c>
      <c r="D1665" s="1">
        <f>value(EUR!$B1665)</f>
        <v>15213.12975</v>
      </c>
      <c r="E1665" s="1">
        <f>value(GBP!$B1665)</f>
        <v>19257.966</v>
      </c>
      <c r="F1665" s="1">
        <f>value(CHF!$B1665)</f>
        <v>12677.41129</v>
      </c>
      <c r="G1665" s="1">
        <f>value(SGD!$B1665)</f>
        <v>9362.1528</v>
      </c>
      <c r="H1665" s="1">
        <f>value(MYR!$B1665)</f>
        <v>3521.49525</v>
      </c>
      <c r="I1665" s="1">
        <f>value(THB!$B1665)</f>
        <v>373.34115</v>
      </c>
      <c r="J1665" s="1">
        <f>value(VND!$B1665)</f>
        <v>0.6114784168</v>
      </c>
      <c r="K1665" s="1">
        <f>value(CNY!$B1665)</f>
        <v>1993.11567</v>
      </c>
      <c r="L1665" s="1">
        <f>value(HKD!$B1665)</f>
        <v>1584.765</v>
      </c>
      <c r="M1665" s="1">
        <f>value(TWD!$B1665)</f>
        <v>392.99715</v>
      </c>
      <c r="N1665" s="1">
        <f>value(JPY!$B1665)</f>
        <v>102.50604</v>
      </c>
      <c r="O1665" s="1">
        <f>value(SAR!$B1665)</f>
        <v>3461.897666</v>
      </c>
      <c r="P1665" s="1">
        <f>value(AED!$B1665)</f>
        <v>3579.167</v>
      </c>
      <c r="Q1665" s="1">
        <f>value(KWD!$B1665)</f>
        <v>44000.65125</v>
      </c>
    </row>
    <row r="1666">
      <c r="A1666" s="4">
        <f>value(USD!A1666)</f>
        <v>41976.99861</v>
      </c>
      <c r="B1666" s="1">
        <f>value(USD!B1666)</f>
        <v>12285</v>
      </c>
      <c r="C1666" s="1">
        <f>value(AUD!$B1666)</f>
        <v>10069.8065</v>
      </c>
      <c r="D1666" s="1">
        <f>value(EUR!$B1666)</f>
        <v>15092.1225</v>
      </c>
      <c r="E1666" s="1">
        <f>value(GBP!$B1666)</f>
        <v>19142.487</v>
      </c>
      <c r="F1666" s="1">
        <f>value(CHF!$B1666)</f>
        <v>12571.95265</v>
      </c>
      <c r="G1666" s="1">
        <f>value(SGD!$B1666)</f>
        <v>9285.003</v>
      </c>
      <c r="H1666" s="1">
        <f>value(MYR!$B1666)</f>
        <v>3456.7533</v>
      </c>
      <c r="I1666" s="1">
        <f>value(THB!$B1666)</f>
        <v>371.62125</v>
      </c>
      <c r="J1666" s="1">
        <f>value(VND!$B1666)</f>
        <v>0.6088154233</v>
      </c>
      <c r="K1666" s="1">
        <f>value(CNY!$B1666)</f>
        <v>1995.92208</v>
      </c>
      <c r="L1666" s="1">
        <f>value(HKD!$B1666)</f>
        <v>1584.765</v>
      </c>
      <c r="M1666" s="1">
        <f>value(TWD!$B1666)</f>
        <v>398.69137</v>
      </c>
      <c r="N1666" s="1">
        <f>value(JPY!$B1666)</f>
        <v>101.10555</v>
      </c>
      <c r="O1666" s="1">
        <f>value(SAR!$B1666)</f>
        <v>3474.650861</v>
      </c>
      <c r="P1666" s="1">
        <f>value(AED!$B1666)</f>
        <v>3600.9414</v>
      </c>
      <c r="Q1666" s="1">
        <f>value(KWD!$B1666)</f>
        <v>44389.90881</v>
      </c>
    </row>
    <row r="1667">
      <c r="A1667" s="4">
        <f>value(USD!A1667)</f>
        <v>41977.99861</v>
      </c>
      <c r="B1667" s="1">
        <f>value(USD!B1667)</f>
        <v>12285</v>
      </c>
      <c r="C1667" s="1">
        <f>value(AUD!$B1667)</f>
        <v>10108.9302</v>
      </c>
      <c r="D1667" s="1">
        <f>value(EUR!$B1667)</f>
        <v>15241.92579</v>
      </c>
      <c r="E1667" s="1">
        <f>value(GBP!$B1667)</f>
        <v>19332.4939</v>
      </c>
      <c r="F1667" s="1">
        <f>value(CHF!$B1667)</f>
        <v>12582.297</v>
      </c>
      <c r="G1667" s="1">
        <f>value(SGD!$B1667)</f>
        <v>9377.165252</v>
      </c>
      <c r="H1667" s="1">
        <f>value(MYR!$B1667)</f>
        <v>3491.064777</v>
      </c>
      <c r="I1667" s="1">
        <f>value(THB!$B1667)</f>
        <v>375.309935</v>
      </c>
      <c r="J1667" s="1">
        <f>value(VND!$B1667)</f>
        <v>0.6124885178</v>
      </c>
      <c r="K1667" s="1">
        <f>value(CNY!$B1667)</f>
        <v>1994.8635</v>
      </c>
      <c r="L1667" s="1">
        <f>value(HKD!$B1667)</f>
        <v>1600.49526</v>
      </c>
      <c r="M1667" s="1">
        <f>value(TWD!$B1667)</f>
        <v>402.57504</v>
      </c>
      <c r="N1667" s="1">
        <f>value(JPY!$B1667)</f>
        <v>102.1091162</v>
      </c>
      <c r="O1667" s="1">
        <f>value(SAR!$B1667)</f>
        <v>3444.684678</v>
      </c>
      <c r="P1667" s="1">
        <f>value(AED!$B1667)</f>
        <v>3613.58775</v>
      </c>
      <c r="Q1667" s="1">
        <f>value(KWD!$B1667)</f>
        <v>44153.24969</v>
      </c>
    </row>
    <row r="1668">
      <c r="A1668" s="4">
        <f>value(USD!A1668)</f>
        <v>41978.99861</v>
      </c>
      <c r="B1668" s="1">
        <f>value(USD!B1668)</f>
        <v>12285</v>
      </c>
      <c r="C1668" s="1">
        <f>value(AUD!$B1668)</f>
        <v>10110.4266</v>
      </c>
      <c r="D1668" s="1">
        <f>value(EUR!$B1668)</f>
        <v>15121.76752</v>
      </c>
      <c r="E1668" s="1">
        <f>value(GBP!$B1668)</f>
        <v>19144.15277</v>
      </c>
      <c r="F1668" s="1">
        <f>value(CHF!$B1668)</f>
        <v>12664.6065</v>
      </c>
      <c r="G1668" s="1">
        <f>value(SGD!$B1668)</f>
        <v>9304.179771</v>
      </c>
      <c r="H1668" s="1">
        <f>value(MYR!$B1668)</f>
        <v>3464.5748</v>
      </c>
      <c r="I1668" s="1">
        <f>value(THB!$B1668)</f>
        <v>372.4476336</v>
      </c>
      <c r="J1668" s="1">
        <f>value(VND!$B1668)</f>
        <v>0.6123479409</v>
      </c>
      <c r="K1668" s="1">
        <f>value(CNY!$B1668)</f>
        <v>1992.42635</v>
      </c>
      <c r="L1668" s="1">
        <f>value(HKD!$B1668)</f>
        <v>1586.71548</v>
      </c>
      <c r="M1668" s="1">
        <f>value(TWD!$B1668)</f>
        <v>397.4505</v>
      </c>
      <c r="N1668" s="1">
        <f>value(JPY!$B1668)</f>
        <v>101.1069864</v>
      </c>
      <c r="O1668" s="1">
        <f>value(SAR!$B1668)</f>
        <v>3474.851866</v>
      </c>
      <c r="P1668" s="1">
        <f>value(AED!$B1668)</f>
        <v>3643.94584</v>
      </c>
      <c r="Q1668" s="1">
        <f>value(KWD!$B1668)</f>
        <v>44251.73975</v>
      </c>
    </row>
    <row r="1669">
      <c r="A1669" s="4">
        <f>value(USD!A1669)</f>
        <v>41979.99861</v>
      </c>
      <c r="B1669" s="1">
        <f>value(USD!B1669)</f>
        <v>12406.94</v>
      </c>
      <c r="C1669" s="1">
        <f>value(AUD!$B1669)</f>
        <v>10059.546</v>
      </c>
      <c r="D1669" s="1">
        <f>value(EUR!$B1669)</f>
        <v>15127.749</v>
      </c>
      <c r="E1669" s="1">
        <f>value(GBP!$B1669)</f>
        <v>19224.18225</v>
      </c>
      <c r="F1669" s="1">
        <f>value(CHF!$B1669)</f>
        <v>12707.604</v>
      </c>
      <c r="G1669" s="1">
        <f>value(SGD!$B1669)</f>
        <v>9312.7671</v>
      </c>
      <c r="H1669" s="1">
        <f>value(MYR!$B1669)</f>
        <v>3464.73855</v>
      </c>
      <c r="I1669" s="1">
        <f>value(THB!$B1669)</f>
        <v>371.62125</v>
      </c>
      <c r="J1669" s="1">
        <f>value(VND!$B1669)</f>
        <v>0.6205178271</v>
      </c>
      <c r="K1669" s="1">
        <f>value(CNY!$B1669)</f>
        <v>2012.8341</v>
      </c>
      <c r="L1669" s="1">
        <f>value(HKD!$B1669)</f>
        <v>1584.765</v>
      </c>
      <c r="M1669" s="1">
        <f>value(TWD!$B1669)</f>
        <v>405.92475</v>
      </c>
      <c r="N1669" s="1">
        <f>value(JPY!$B1669)</f>
        <v>101.756655</v>
      </c>
      <c r="O1669" s="1">
        <f>value(SAR!$B1669)</f>
        <v>3491.067257</v>
      </c>
      <c r="P1669" s="1">
        <f>value(AED!$B1669)</f>
        <v>3622.7158</v>
      </c>
      <c r="Q1669" s="1">
        <f>value(KWD!$B1669)</f>
        <v>43799.12309</v>
      </c>
    </row>
    <row r="1670">
      <c r="A1670" s="4">
        <f>value(USD!A1670)</f>
        <v>41980.99861</v>
      </c>
      <c r="B1670" s="1">
        <f>value(USD!B1670)</f>
        <v>12300.12</v>
      </c>
      <c r="C1670" s="1">
        <f>value(AUD!$B1670)</f>
        <v>10102.11696</v>
      </c>
      <c r="D1670" s="1">
        <f>value(EUR!$B1670)</f>
        <v>15226.029</v>
      </c>
      <c r="E1670" s="1">
        <f>value(GBP!$B1670)</f>
        <v>19269.0225</v>
      </c>
      <c r="F1670" s="1">
        <f>value(CHF!$B1670)</f>
        <v>12854.3382</v>
      </c>
      <c r="G1670" s="1">
        <f>value(SGD!$B1670)</f>
        <v>9332.79165</v>
      </c>
      <c r="H1670" s="1">
        <f>value(MYR!$B1670)</f>
        <v>3475.4265</v>
      </c>
      <c r="I1670" s="1">
        <f>value(THB!$B1670)</f>
        <v>373.34115</v>
      </c>
      <c r="J1670" s="1">
        <f>value(VND!$B1670)</f>
        <v>0.6218812587</v>
      </c>
      <c r="K1670" s="1">
        <f>value(CNY!$B1670)</f>
        <v>2036.6727</v>
      </c>
      <c r="L1670" s="1">
        <f>value(HKD!$B1670)</f>
        <v>1584.5193</v>
      </c>
      <c r="M1670" s="1">
        <f>value(TWD!$B1670)</f>
        <v>404.14197</v>
      </c>
      <c r="N1670" s="1">
        <f>value(JPY!$B1670)</f>
        <v>102.985155</v>
      </c>
      <c r="O1670" s="1">
        <f>value(SAR!$B1670)</f>
        <v>3489.427554</v>
      </c>
      <c r="P1670" s="1">
        <f>value(AED!$B1670)</f>
        <v>3632.2421</v>
      </c>
      <c r="Q1670" s="1">
        <f>value(KWD!$B1670)</f>
        <v>43887.86577</v>
      </c>
    </row>
    <row r="1671">
      <c r="A1671" s="4">
        <f>value(USD!A1671)</f>
        <v>41981.99861</v>
      </c>
      <c r="B1671" s="1">
        <f>value(USD!B1671)</f>
        <v>12285</v>
      </c>
      <c r="C1671" s="1">
        <f>value(AUD!$B1671)</f>
        <v>10093.053</v>
      </c>
      <c r="D1671" s="1">
        <f>value(EUR!$B1671)</f>
        <v>15293.5965</v>
      </c>
      <c r="E1671" s="1">
        <f>value(GBP!$B1671)</f>
        <v>19324.305</v>
      </c>
      <c r="F1671" s="1">
        <f>value(CHF!$B1671)</f>
        <v>13082.4276</v>
      </c>
      <c r="G1671" s="1">
        <f>value(SGD!$B1671)</f>
        <v>9373.57785</v>
      </c>
      <c r="H1671" s="1">
        <f>value(MYR!$B1671)</f>
        <v>3487.09725</v>
      </c>
      <c r="I1671" s="1">
        <f>value(THB!$B1671)</f>
        <v>374.07825</v>
      </c>
      <c r="J1671" s="1">
        <f>value(VND!$B1671)</f>
        <v>0.6204757456</v>
      </c>
      <c r="K1671" s="1">
        <f>value(CNY!$B1671)</f>
        <v>2045.779445</v>
      </c>
      <c r="L1671" s="1">
        <f>value(HKD!$B1671)</f>
        <v>1584.765</v>
      </c>
      <c r="M1671" s="1">
        <f>value(TWD!$B1671)</f>
        <v>396.864</v>
      </c>
      <c r="N1671" s="1">
        <f>value(JPY!$B1671)</f>
        <v>104.238225</v>
      </c>
      <c r="O1671" s="1">
        <f>value(SAR!$B1671)</f>
        <v>3517.178764</v>
      </c>
      <c r="P1671" s="1">
        <f>value(AED!$B1671)</f>
        <v>3595.06125</v>
      </c>
      <c r="Q1671" s="1">
        <f>value(KWD!$B1671)</f>
        <v>44172.76548</v>
      </c>
    </row>
    <row r="1672">
      <c r="A1672" s="4">
        <f>value(USD!A1672)</f>
        <v>41982.99861</v>
      </c>
      <c r="B1672" s="1">
        <f>value(USD!B1672)</f>
        <v>12285</v>
      </c>
      <c r="C1672" s="1">
        <f>value(AUD!$B1672)</f>
        <v>10161.0504</v>
      </c>
      <c r="D1672" s="1">
        <f>value(EUR!$B1672)</f>
        <v>15442.40478</v>
      </c>
      <c r="E1672" s="1">
        <f>value(GBP!$B1672)</f>
        <v>19590.71433</v>
      </c>
      <c r="F1672" s="1">
        <f>value(CHF!$B1672)</f>
        <v>13098.48212</v>
      </c>
      <c r="G1672" s="1">
        <f>value(SGD!$B1672)</f>
        <v>9485.09078</v>
      </c>
      <c r="H1672" s="1">
        <f>value(MYR!$B1672)</f>
        <v>3488.01981</v>
      </c>
      <c r="I1672" s="1">
        <f>value(THB!$B1672)</f>
        <v>379.24909</v>
      </c>
      <c r="J1672" s="1">
        <f>value(VND!$B1672)</f>
        <v>0.6196565222</v>
      </c>
      <c r="K1672" s="1">
        <f>value(CNY!$B1672)</f>
        <v>2049.23213</v>
      </c>
      <c r="L1672" s="1">
        <f>value(HKD!$B1672)</f>
        <v>1607.60237</v>
      </c>
      <c r="M1672" s="1">
        <f>value(TWD!$B1672)</f>
        <v>392.89959</v>
      </c>
      <c r="N1672" s="1">
        <f>value(JPY!$B1672)</f>
        <v>104.6892</v>
      </c>
      <c r="O1672" s="1">
        <f>value(SAR!$B1672)</f>
        <v>3511.999912</v>
      </c>
      <c r="P1672" s="1">
        <f>value(AED!$B1672)</f>
        <v>3601.0737</v>
      </c>
      <c r="Q1672" s="1">
        <f>value(KWD!$B1672)</f>
        <v>44192.28348</v>
      </c>
    </row>
    <row r="1673">
      <c r="A1673" s="4">
        <f>value(USD!A1673)</f>
        <v>41983.99861</v>
      </c>
      <c r="B1673" s="1">
        <f>value(USD!B1673)</f>
        <v>12285</v>
      </c>
      <c r="C1673" s="1">
        <f>value(AUD!$B1673)</f>
        <v>10116.0633</v>
      </c>
      <c r="D1673" s="1">
        <f>value(EUR!$B1673)</f>
        <v>15712.15572</v>
      </c>
      <c r="E1673" s="1">
        <f>value(GBP!$B1673)</f>
        <v>19812.44304</v>
      </c>
      <c r="F1673" s="1">
        <f>value(CHF!$B1673)</f>
        <v>13098.48212</v>
      </c>
      <c r="G1673" s="1">
        <f>value(SGD!$B1673)</f>
        <v>9595.71408</v>
      </c>
      <c r="H1673" s="1">
        <f>value(MYR!$B1673)</f>
        <v>3544.72872</v>
      </c>
      <c r="I1673" s="1">
        <f>value(THB!$B1673)</f>
        <v>383.90928</v>
      </c>
      <c r="J1673" s="1">
        <f>value(VND!$B1673)</f>
        <v>0.6199813152</v>
      </c>
      <c r="K1673" s="1">
        <f>value(CNY!$B1673)</f>
        <v>2018.77425</v>
      </c>
      <c r="L1673" s="1">
        <f>value(HKD!$B1673)</f>
        <v>1626.948</v>
      </c>
      <c r="M1673" s="1">
        <f>value(TWD!$B1673)</f>
        <v>394.4836</v>
      </c>
      <c r="N1673" s="1">
        <f>value(JPY!$B1673)</f>
        <v>106.19304</v>
      </c>
      <c r="O1673" s="1">
        <f>value(SAR!$B1673)</f>
        <v>3515.999912</v>
      </c>
      <c r="P1673" s="1">
        <f>value(AED!$B1673)</f>
        <v>3624.0767</v>
      </c>
      <c r="Q1673" s="1">
        <f>value(KWD!$B1673)</f>
        <v>44242.49686</v>
      </c>
    </row>
    <row r="1674">
      <c r="A1674" s="4">
        <f>value(USD!A1674)</f>
        <v>41984.99861</v>
      </c>
      <c r="B1674" s="1">
        <f>value(USD!B1674)</f>
        <v>12463</v>
      </c>
      <c r="C1674" s="1">
        <f>value(AUD!$B1674)</f>
        <v>10130.9313</v>
      </c>
      <c r="D1674" s="1">
        <f>value(EUR!$B1674)</f>
        <v>15734.84521</v>
      </c>
      <c r="E1674" s="1">
        <f>value(GBP!$B1674)</f>
        <v>19843.43021</v>
      </c>
      <c r="F1674" s="1">
        <f>value(CHF!$B1674)</f>
        <v>13311.315</v>
      </c>
      <c r="G1674" s="1">
        <f>value(SGD!$B1674)</f>
        <v>9606.563658</v>
      </c>
      <c r="H1674" s="1">
        <f>value(MYR!$B1674)</f>
        <v>3549.367948</v>
      </c>
      <c r="I1674" s="1">
        <f>value(THB!$B1674)</f>
        <v>384.469617</v>
      </c>
      <c r="J1674" s="1">
        <f>value(VND!$B1674)</f>
        <v>0.6208296342</v>
      </c>
      <c r="K1674" s="1">
        <f>value(CNY!$B1674)</f>
        <v>2009.10775</v>
      </c>
      <c r="L1674" s="1">
        <f>value(HKD!$B1674)</f>
        <v>1628.78754</v>
      </c>
      <c r="M1674" s="1">
        <f>value(TWD!$B1674)</f>
        <v>390.8242</v>
      </c>
      <c r="N1674" s="1">
        <f>value(JPY!$B1674)</f>
        <v>106.3131092</v>
      </c>
      <c r="O1674" s="1">
        <f>value(SAR!$B1674)</f>
        <v>3541.389244</v>
      </c>
      <c r="P1674" s="1">
        <f>value(AED!$B1674)</f>
        <v>3625.4376</v>
      </c>
      <c r="Q1674" s="1">
        <f>value(KWD!$B1674)</f>
        <v>44212.26417</v>
      </c>
    </row>
    <row r="1675">
      <c r="A1675" s="4">
        <f>value(USD!A1675)</f>
        <v>41985.99861</v>
      </c>
      <c r="B1675" s="1">
        <f>value(USD!B1675)</f>
        <v>12612</v>
      </c>
      <c r="C1675" s="1">
        <f>value(AUD!$B1675)</f>
        <v>10093.5744</v>
      </c>
      <c r="D1675" s="1">
        <f>value(EUR!$B1675)</f>
        <v>15733.58258</v>
      </c>
      <c r="E1675" s="1">
        <f>value(GBP!$B1675)</f>
        <v>19858.3292</v>
      </c>
      <c r="F1675" s="1">
        <f>value(CHF!$B1675)</f>
        <v>13232.2575</v>
      </c>
      <c r="G1675" s="1">
        <f>value(SGD!$B1675)</f>
        <v>9628.0283</v>
      </c>
      <c r="H1675" s="1">
        <f>value(MYR!$B1675)</f>
        <v>3548.48411</v>
      </c>
      <c r="I1675" s="1">
        <f>value(THB!$B1675)</f>
        <v>384.3433544</v>
      </c>
      <c r="J1675" s="1">
        <f>value(VND!$B1675)</f>
        <v>0.6219631576</v>
      </c>
      <c r="K1675" s="1">
        <f>value(CNY!$B1675)</f>
        <v>2020.37875</v>
      </c>
      <c r="L1675" s="1">
        <f>value(HKD!$B1675)</f>
        <v>1628.661277</v>
      </c>
      <c r="M1675" s="1">
        <f>value(TWD!$B1675)</f>
        <v>391.9321</v>
      </c>
      <c r="N1675" s="1">
        <f>value(JPY!$B1675)</f>
        <v>106.9444222</v>
      </c>
      <c r="O1675" s="1">
        <f>value(SAR!$B1675)</f>
        <v>3522.705964</v>
      </c>
      <c r="P1675" s="1">
        <f>value(AED!$B1675)</f>
        <v>3631.815</v>
      </c>
      <c r="Q1675" s="1">
        <f>value(KWD!$B1675)</f>
        <v>44138.14995</v>
      </c>
    </row>
    <row r="1676">
      <c r="A1676" s="4">
        <f>value(USD!A1676)</f>
        <v>41986.99861</v>
      </c>
      <c r="B1676" s="1">
        <f>value(USD!B1676)</f>
        <v>12626.26</v>
      </c>
      <c r="C1676" s="1">
        <f>value(AUD!$B1676)</f>
        <v>10120.45053</v>
      </c>
      <c r="D1676" s="1">
        <f>value(EUR!$B1676)</f>
        <v>15988.3555</v>
      </c>
      <c r="E1676" s="1">
        <f>value(GBP!$B1676)</f>
        <v>20099.713</v>
      </c>
      <c r="F1676" s="1">
        <f>value(CHF!$B1676)</f>
        <v>13017.7056</v>
      </c>
      <c r="G1676" s="1">
        <f>value(SGD!$B1676)</f>
        <v>9793.8845</v>
      </c>
      <c r="H1676" s="1">
        <f>value(MYR!$B1676)</f>
        <v>3613.42</v>
      </c>
      <c r="I1676" s="1">
        <f>value(THB!$B1676)</f>
        <v>389.4835</v>
      </c>
      <c r="J1676" s="1">
        <f>value(VND!$B1676)</f>
        <v>0.6218977355</v>
      </c>
      <c r="K1676" s="1">
        <f>value(CNY!$B1676)</f>
        <v>2012.53543</v>
      </c>
      <c r="L1676" s="1">
        <f>value(HKD!$B1676)</f>
        <v>1657.393</v>
      </c>
      <c r="M1676" s="1">
        <f>value(TWD!$B1676)</f>
        <v>392.6803</v>
      </c>
      <c r="N1676" s="1">
        <f>value(JPY!$B1676)</f>
        <v>109.08365</v>
      </c>
      <c r="O1676" s="1">
        <f>value(SAR!$B1676)</f>
        <v>3502.402499</v>
      </c>
      <c r="P1676" s="1">
        <f>value(AED!$B1676)</f>
        <v>3628.1594</v>
      </c>
      <c r="Q1676" s="1">
        <f>value(KWD!$B1676)</f>
        <v>44197.23924</v>
      </c>
    </row>
    <row r="1677">
      <c r="A1677" s="4">
        <f>value(USD!A1677)</f>
        <v>41987.99861</v>
      </c>
      <c r="B1677" s="1">
        <f>value(USD!B1677)</f>
        <v>12626.26</v>
      </c>
      <c r="C1677" s="1">
        <f>value(AUD!$B1677)</f>
        <v>10222.4625</v>
      </c>
      <c r="D1677" s="1">
        <f>value(EUR!$B1677)</f>
        <v>15891.6681</v>
      </c>
      <c r="E1677" s="1">
        <f>value(GBP!$B1677)</f>
        <v>19996.3995</v>
      </c>
      <c r="F1677" s="1">
        <f>value(CHF!$B1677)</f>
        <v>12733.344</v>
      </c>
      <c r="G1677" s="1">
        <f>value(SGD!$B1677)</f>
        <v>9749.68995</v>
      </c>
      <c r="H1677" s="1">
        <f>value(MYR!$B1677)</f>
        <v>3566.5476</v>
      </c>
      <c r="I1677" s="1">
        <f>value(THB!$B1677)</f>
        <v>385.08855</v>
      </c>
      <c r="J1677" s="1">
        <f>value(VND!$B1677)</f>
        <v>0.6225807877</v>
      </c>
      <c r="K1677" s="1">
        <f>value(CNY!$B1677)</f>
        <v>2022.79596</v>
      </c>
      <c r="L1677" s="1">
        <f>value(HKD!$B1677)</f>
        <v>1638.4368</v>
      </c>
      <c r="M1677" s="1">
        <f>value(TWD!$B1677)</f>
        <v>390.915</v>
      </c>
      <c r="N1677" s="1">
        <f>value(JPY!$B1677)</f>
        <v>108.894555</v>
      </c>
      <c r="O1677" s="1">
        <f>value(SAR!$B1677)</f>
        <v>3434.66658</v>
      </c>
      <c r="P1677" s="1">
        <f>value(AED!$B1677)</f>
        <v>3617.2722</v>
      </c>
      <c r="Q1677" s="1">
        <f>value(KWD!$B1677)</f>
        <v>44192.68921</v>
      </c>
    </row>
    <row r="1678">
      <c r="A1678" s="4">
        <f>value(USD!A1678)</f>
        <v>41988.99861</v>
      </c>
      <c r="B1678" s="1">
        <f>value(USD!B1678)</f>
        <v>12850</v>
      </c>
      <c r="C1678" s="1">
        <f>value(AUD!$B1678)</f>
        <v>10206.553</v>
      </c>
      <c r="D1678" s="1">
        <f>value(EUR!$B1678)</f>
        <v>15634.93356</v>
      </c>
      <c r="E1678" s="1">
        <f>value(GBP!$B1678)</f>
        <v>19732.49465</v>
      </c>
      <c r="F1678" s="1">
        <f>value(CHF!$B1678)</f>
        <v>12561.1619</v>
      </c>
      <c r="G1678" s="1">
        <f>value(SGD!$B1678)</f>
        <v>9655.30524</v>
      </c>
      <c r="H1678" s="1">
        <f>value(MYR!$B1678)</f>
        <v>3537.79468</v>
      </c>
      <c r="I1678" s="1">
        <f>value(THB!$B1678)</f>
        <v>384.11863</v>
      </c>
      <c r="J1678" s="1">
        <f>value(VND!$B1678)</f>
        <v>0.6226661641</v>
      </c>
      <c r="K1678" s="1">
        <f>value(CNY!$B1678)</f>
        <v>2074.092003</v>
      </c>
      <c r="L1678" s="1">
        <f>value(HKD!$B1678)</f>
        <v>1633.92989</v>
      </c>
      <c r="M1678" s="1">
        <f>value(TWD!$B1678)</f>
        <v>390.6668</v>
      </c>
      <c r="N1678" s="1">
        <f>value(JPY!$B1678)</f>
        <v>106.693987</v>
      </c>
      <c r="O1678" s="1">
        <f>value(SAR!$B1678)</f>
        <v>3486.502975</v>
      </c>
      <c r="P1678" s="1">
        <f>value(AED!$B1678)</f>
        <v>3622.8489</v>
      </c>
      <c r="Q1678" s="1">
        <f>value(KWD!$B1678)</f>
        <v>44019.93175</v>
      </c>
    </row>
    <row r="1679">
      <c r="A1679" s="4">
        <f>value(USD!A1679)</f>
        <v>41989.99861</v>
      </c>
      <c r="B1679" s="1">
        <f>value(USD!B1679)</f>
        <v>12705</v>
      </c>
      <c r="C1679" s="1">
        <f>value(AUD!$B1679)</f>
        <v>10270.128</v>
      </c>
      <c r="D1679" s="1">
        <f>value(EUR!$B1679)</f>
        <v>15334.0512</v>
      </c>
      <c r="E1679" s="1">
        <f>value(GBP!$B1679)</f>
        <v>19548.672</v>
      </c>
      <c r="F1679" s="1">
        <f>value(CHF!$B1679)</f>
        <v>12621.11776</v>
      </c>
      <c r="G1679" s="1">
        <f>value(SGD!$B1679)</f>
        <v>9492.4128</v>
      </c>
      <c r="H1679" s="1">
        <f>value(MYR!$B1679)</f>
        <v>3526.7232</v>
      </c>
      <c r="I1679" s="1">
        <f>value(THB!$B1679)</f>
        <v>379.2672</v>
      </c>
      <c r="J1679" s="1">
        <f>value(VND!$B1679)</f>
        <v>0.6217073037</v>
      </c>
      <c r="K1679" s="1">
        <f>value(CNY!$B1679)</f>
        <v>2073.573868</v>
      </c>
      <c r="L1679" s="1">
        <f>value(HKD!$B1679)</f>
        <v>1608.9216</v>
      </c>
      <c r="M1679" s="1">
        <f>value(TWD!$B1679)</f>
        <v>391.7268</v>
      </c>
      <c r="N1679" s="1">
        <f>value(JPY!$B1679)</f>
        <v>104.85696</v>
      </c>
      <c r="O1679" s="1">
        <f>value(SAR!$B1679)</f>
        <v>3473.148031</v>
      </c>
      <c r="P1679" s="1">
        <f>value(AED!$B1679)</f>
        <v>3620.8044</v>
      </c>
      <c r="Q1679" s="1">
        <f>value(KWD!$B1679)</f>
        <v>44032.86657</v>
      </c>
    </row>
    <row r="1680">
      <c r="A1680" s="4">
        <f>value(USD!A1680)</f>
        <v>41990.99861</v>
      </c>
      <c r="B1680" s="1">
        <f>value(USD!B1680)</f>
        <v>12673</v>
      </c>
      <c r="C1680" s="1">
        <f>value(AUD!$B1680)</f>
        <v>10228.8537</v>
      </c>
      <c r="D1680" s="1">
        <f>value(EUR!$B1680)</f>
        <v>15121.99659</v>
      </c>
      <c r="E1680" s="1">
        <f>value(GBP!$B1680)</f>
        <v>19327.1476</v>
      </c>
      <c r="F1680" s="1">
        <f>value(CHF!$B1680)</f>
        <v>12653.13</v>
      </c>
      <c r="G1680" s="1">
        <f>value(SGD!$B1680)</f>
        <v>9403.49579</v>
      </c>
      <c r="H1680" s="1">
        <f>value(MYR!$B1680)</f>
        <v>3482.17619</v>
      </c>
      <c r="I1680" s="1">
        <f>value(THB!$B1680)</f>
        <v>375.83313</v>
      </c>
      <c r="J1680" s="1">
        <f>value(VND!$B1680)</f>
        <v>0.6245339206</v>
      </c>
      <c r="K1680" s="1">
        <f>value(CNY!$B1680)</f>
        <v>2026.9066</v>
      </c>
      <c r="L1680" s="1">
        <f>value(HKD!$B1680)</f>
        <v>1594.97199</v>
      </c>
      <c r="M1680" s="1">
        <f>value(TWD!$B1680)</f>
        <v>390.5328</v>
      </c>
      <c r="N1680" s="1">
        <f>value(JPY!$B1680)</f>
        <v>103.38812</v>
      </c>
      <c r="O1680" s="1">
        <f>value(SAR!$B1680)</f>
        <v>3451.098481</v>
      </c>
      <c r="P1680" s="1">
        <f>value(AED!$B1680)</f>
        <v>3606.385</v>
      </c>
      <c r="Q1680" s="1">
        <f>value(KWD!$B1680)</f>
        <v>44068.63525</v>
      </c>
    </row>
    <row r="1681">
      <c r="A1681" s="4">
        <f>value(USD!A1681)</f>
        <v>41991.99861</v>
      </c>
      <c r="B1681" s="1">
        <f>value(USD!B1681)</f>
        <v>12480</v>
      </c>
      <c r="C1681" s="1">
        <f>value(AUD!$B1681)</f>
        <v>10306.0643</v>
      </c>
      <c r="D1681" s="1">
        <f>value(EUR!$B1681)</f>
        <v>15194.42205</v>
      </c>
      <c r="E1681" s="1">
        <f>value(GBP!$B1681)</f>
        <v>19414.78222</v>
      </c>
      <c r="F1681" s="1">
        <f>value(CHF!$B1681)</f>
        <v>12565.2215</v>
      </c>
      <c r="G1681" s="1">
        <f>value(SGD!$B1681)</f>
        <v>9429.440805</v>
      </c>
      <c r="H1681" s="1">
        <f>value(MYR!$B1681)</f>
        <v>3497.763905</v>
      </c>
      <c r="I1681" s="1">
        <f>value(THB!$B1681)</f>
        <v>377.5155204</v>
      </c>
      <c r="J1681" s="1">
        <f>value(VND!$B1681)</f>
        <v>0.6260196676</v>
      </c>
      <c r="K1681" s="1">
        <f>value(CNY!$B1681)</f>
        <v>2040.1381</v>
      </c>
      <c r="L1681" s="1">
        <f>value(HKD!$B1681)</f>
        <v>1602.111769</v>
      </c>
      <c r="M1681" s="1">
        <f>value(TWD!$B1681)</f>
        <v>390.5328</v>
      </c>
      <c r="N1681" s="1">
        <f>value(JPY!$B1681)</f>
        <v>103.9751532</v>
      </c>
      <c r="O1681" s="1">
        <f>value(SAR!$B1681)</f>
        <v>3444.915933</v>
      </c>
      <c r="P1681" s="1">
        <f>value(AED!$B1681)</f>
        <v>3617.2722</v>
      </c>
      <c r="Q1681" s="1">
        <f>value(KWD!$B1681)</f>
        <v>44097.97816</v>
      </c>
    </row>
    <row r="1682">
      <c r="A1682" s="4">
        <f>value(USD!A1682)</f>
        <v>41992.99861</v>
      </c>
      <c r="B1682" s="1">
        <f>value(USD!B1682)</f>
        <v>12367</v>
      </c>
      <c r="C1682" s="1">
        <f>value(AUD!$B1682)</f>
        <v>10511.50584</v>
      </c>
      <c r="D1682" s="1">
        <f>value(EUR!$B1682)</f>
        <v>15185.58975</v>
      </c>
      <c r="E1682" s="1">
        <f>value(GBP!$B1682)</f>
        <v>19412.91886</v>
      </c>
      <c r="F1682" s="1">
        <f>value(CHF!$B1682)</f>
        <v>12647.074</v>
      </c>
      <c r="G1682" s="1">
        <f>value(SGD!$B1682)</f>
        <v>9440.620929</v>
      </c>
      <c r="H1682" s="1">
        <f>value(MYR!$B1682)</f>
        <v>3496.770116</v>
      </c>
      <c r="I1682" s="1">
        <f>value(THB!$B1682)</f>
        <v>377.3912968</v>
      </c>
      <c r="J1682" s="1">
        <f>value(VND!$B1682)</f>
        <v>0.6259029609</v>
      </c>
      <c r="K1682" s="1">
        <f>value(CNY!$B1682)</f>
        <v>2050.3366</v>
      </c>
      <c r="L1682" s="1">
        <f>value(HKD!$B1682)</f>
        <v>1601.863322</v>
      </c>
      <c r="M1682" s="1">
        <f>value(TWD!$B1682)</f>
        <v>393.3696</v>
      </c>
      <c r="N1682" s="1">
        <f>value(JPY!$B1682)</f>
        <v>103.9751532</v>
      </c>
      <c r="O1682" s="1">
        <f>value(SAR!$B1682)</f>
        <v>3447.44832</v>
      </c>
      <c r="P1682" s="1">
        <f>value(AED!$B1682)</f>
        <v>3620.94357</v>
      </c>
      <c r="Q1682" s="1">
        <f>value(KWD!$B1682)</f>
        <v>44157.90052</v>
      </c>
    </row>
    <row r="1683">
      <c r="A1683" s="4">
        <f>value(USD!A1683)</f>
        <v>41993.99861</v>
      </c>
      <c r="B1683" s="1">
        <f>value(USD!B1683)</f>
        <v>12422.36</v>
      </c>
      <c r="C1683" s="1">
        <f>value(AUD!$B1683)</f>
        <v>10233.5142</v>
      </c>
      <c r="D1683" s="1">
        <f>value(EUR!$B1683)</f>
        <v>15226.12</v>
      </c>
      <c r="E1683" s="1">
        <f>value(GBP!$B1683)</f>
        <v>19406.5746</v>
      </c>
      <c r="F1683" s="1">
        <f>value(CHF!$B1683)</f>
        <v>12655.803</v>
      </c>
      <c r="G1683" s="1">
        <f>value(SGD!$B1683)</f>
        <v>9442.3126</v>
      </c>
      <c r="H1683" s="1">
        <f>value(MYR!$B1683)</f>
        <v>3496.7744</v>
      </c>
      <c r="I1683" s="1">
        <f>value(THB!$B1683)</f>
        <v>378.4102</v>
      </c>
      <c r="J1683" s="1">
        <f>value(VND!$B1683)</f>
        <v>0.6279438432</v>
      </c>
      <c r="K1683" s="1">
        <f>value(CNY!$B1683)</f>
        <v>2043.7108</v>
      </c>
      <c r="L1683" s="1">
        <f>value(HKD!$B1683)</f>
        <v>1606.4678</v>
      </c>
      <c r="M1683" s="1">
        <f>value(TWD!$B1683)</f>
        <v>394.405</v>
      </c>
      <c r="N1683" s="1">
        <f>value(JPY!$B1683)</f>
        <v>103.67966</v>
      </c>
      <c r="O1683" s="1">
        <f>value(SAR!$B1683)</f>
        <v>3472.574297</v>
      </c>
      <c r="P1683" s="1">
        <f>value(AED!$B1683)</f>
        <v>3626.9145</v>
      </c>
      <c r="Q1683" s="1">
        <f>value(KWD!$B1683)</f>
        <v>44193.44041</v>
      </c>
    </row>
    <row r="1684">
      <c r="A1684" s="4">
        <f>value(USD!A1684)</f>
        <v>41994.99861</v>
      </c>
      <c r="B1684" s="1">
        <f>value(USD!B1684)</f>
        <v>12422.36</v>
      </c>
      <c r="C1684" s="1">
        <f>value(AUD!$B1684)</f>
        <v>10284.96357</v>
      </c>
      <c r="D1684" s="1">
        <f>value(EUR!$B1684)</f>
        <v>15112.7795</v>
      </c>
      <c r="E1684" s="1">
        <f>value(GBP!$B1684)</f>
        <v>19268.08</v>
      </c>
      <c r="F1684" s="1">
        <f>value(CHF!$B1684)</f>
        <v>12571.33</v>
      </c>
      <c r="G1684" s="1">
        <f>value(SGD!$B1684)</f>
        <v>9363.26885</v>
      </c>
      <c r="H1684" s="1">
        <f>value(MYR!$B1684)</f>
        <v>3470.4891</v>
      </c>
      <c r="I1684" s="1">
        <f>value(THB!$B1684)</f>
        <v>377.1677</v>
      </c>
      <c r="J1684" s="1">
        <f>value(VND!$B1684)</f>
        <v>0.6195804113</v>
      </c>
      <c r="K1684" s="1">
        <f>value(CNY!$B1684)</f>
        <v>2031.48925</v>
      </c>
      <c r="L1684" s="1">
        <f>value(HKD!$B1684)</f>
        <v>1600.5418</v>
      </c>
      <c r="M1684" s="1">
        <f>value(TWD!$B1684)</f>
        <v>394.84375</v>
      </c>
      <c r="N1684" s="1">
        <f>value(JPY!$B1684)</f>
        <v>102.833445</v>
      </c>
      <c r="O1684" s="1">
        <f>value(SAR!$B1684)</f>
        <v>3475.165933</v>
      </c>
      <c r="P1684" s="1">
        <f>value(AED!$B1684)</f>
        <v>3625.98196</v>
      </c>
      <c r="Q1684" s="1">
        <f>value(KWD!$B1684)</f>
        <v>44065.77268</v>
      </c>
    </row>
    <row r="1685">
      <c r="A1685" s="4">
        <f>value(USD!A1685)</f>
        <v>41995.99861</v>
      </c>
      <c r="B1685" s="1">
        <f>value(USD!B1685)</f>
        <v>12460</v>
      </c>
      <c r="C1685" s="1">
        <f>value(AUD!$B1685)</f>
        <v>10221.40215</v>
      </c>
      <c r="D1685" s="1">
        <f>value(EUR!$B1685)</f>
        <v>15206.7909</v>
      </c>
      <c r="E1685" s="1">
        <f>value(GBP!$B1685)</f>
        <v>19388.356</v>
      </c>
      <c r="F1685" s="1">
        <f>value(CHF!$B1685)</f>
        <v>12566.98449</v>
      </c>
      <c r="G1685" s="1">
        <f>value(SGD!$B1685)</f>
        <v>9418.4663</v>
      </c>
      <c r="H1685" s="1">
        <f>value(MYR!$B1685)</f>
        <v>3500.4537</v>
      </c>
      <c r="I1685" s="1">
        <f>value(THB!$B1685)</f>
        <v>378.8386</v>
      </c>
      <c r="J1685" s="1">
        <f>value(VND!$B1685)</f>
        <v>0.6267461233</v>
      </c>
      <c r="K1685" s="1">
        <f>value(CNY!$B1685)</f>
        <v>2051.855422</v>
      </c>
      <c r="L1685" s="1">
        <f>value(HKD!$B1685)</f>
        <v>1606.5101</v>
      </c>
      <c r="M1685" s="1">
        <f>value(TWD!$B1685)</f>
        <v>397.5</v>
      </c>
      <c r="N1685" s="1">
        <f>value(JPY!$B1685)</f>
        <v>103.501</v>
      </c>
      <c r="O1685" s="1">
        <f>value(SAR!$B1685)</f>
        <v>3493.220123</v>
      </c>
      <c r="P1685" s="1">
        <f>value(AED!$B1685)</f>
        <v>3631.55898</v>
      </c>
      <c r="Q1685" s="1">
        <f>value(KWD!$B1685)</f>
        <v>43943.65326</v>
      </c>
    </row>
    <row r="1686">
      <c r="A1686" s="4">
        <f>value(USD!A1686)</f>
        <v>41996.99861</v>
      </c>
      <c r="B1686" s="1">
        <f>value(USD!B1686)</f>
        <v>12415</v>
      </c>
      <c r="C1686" s="1">
        <f>value(AUD!$B1686)</f>
        <v>10249.518</v>
      </c>
      <c r="D1686" s="1">
        <f>value(EUR!$B1686)</f>
        <v>15220.882</v>
      </c>
      <c r="E1686" s="1">
        <f>value(GBP!$B1686)</f>
        <v>19400.826</v>
      </c>
      <c r="F1686" s="1">
        <f>value(CHF!$B1686)</f>
        <v>12597.75828</v>
      </c>
      <c r="G1686" s="1">
        <f>value(SGD!$B1686)</f>
        <v>9421.3344</v>
      </c>
      <c r="H1686" s="1">
        <f>value(MYR!$B1686)</f>
        <v>3502.823</v>
      </c>
      <c r="I1686" s="1">
        <f>value(THB!$B1686)</f>
        <v>379.088</v>
      </c>
      <c r="J1686" s="1">
        <f>value(VND!$B1686)</f>
        <v>0.6290269922</v>
      </c>
      <c r="K1686" s="1">
        <f>value(CNY!$B1686)</f>
        <v>2051.150288</v>
      </c>
      <c r="L1686" s="1">
        <f>value(HKD!$B1686)</f>
        <v>1606.8842</v>
      </c>
      <c r="M1686" s="1">
        <f>value(TWD!$B1686)</f>
        <v>393.9364</v>
      </c>
      <c r="N1686" s="1">
        <f>value(JPY!$B1686)</f>
        <v>103.501</v>
      </c>
      <c r="O1686" s="1">
        <f>value(SAR!$B1686)</f>
        <v>3488.061535</v>
      </c>
      <c r="P1686" s="1">
        <f>value(AED!$B1686)</f>
        <v>3624.89324</v>
      </c>
      <c r="Q1686" s="1">
        <f>value(KWD!$B1686)</f>
        <v>44121.0495</v>
      </c>
    </row>
    <row r="1687">
      <c r="A1687" s="4">
        <f>value(USD!A1687)</f>
        <v>41997.99861</v>
      </c>
      <c r="B1687" s="1">
        <f>value(USD!B1687)</f>
        <v>12470</v>
      </c>
      <c r="C1687" s="1">
        <f>value(AUD!$B1687)</f>
        <v>10344.1566</v>
      </c>
      <c r="D1687" s="1">
        <f>value(EUR!$B1687)</f>
        <v>15132.754</v>
      </c>
      <c r="E1687" s="1">
        <f>value(GBP!$B1687)</f>
        <v>19307.478</v>
      </c>
      <c r="F1687" s="1">
        <f>value(CHF!$B1687)</f>
        <v>12532.859</v>
      </c>
      <c r="G1687" s="1">
        <f>value(SGD!$B1687)</f>
        <v>9372.4043</v>
      </c>
      <c r="H1687" s="1">
        <f>value(MYR!$B1687)</f>
        <v>3483.1147</v>
      </c>
      <c r="I1687" s="1">
        <f>value(THB!$B1687)</f>
        <v>377.0158</v>
      </c>
      <c r="J1687" s="1">
        <f>value(VND!$B1687)</f>
        <v>0.6254367444</v>
      </c>
      <c r="K1687" s="1">
        <f>value(CNY!$B1687)</f>
        <v>2018.77845</v>
      </c>
      <c r="L1687" s="1">
        <f>value(HKD!$B1687)</f>
        <v>1598.5321</v>
      </c>
      <c r="M1687" s="1">
        <f>value(TWD!$B1687)</f>
        <v>393.41015</v>
      </c>
      <c r="N1687" s="1">
        <f>value(JPY!$B1687)</f>
        <v>103.003</v>
      </c>
      <c r="O1687" s="1">
        <f>value(SAR!$B1687)</f>
        <v>3458.787067</v>
      </c>
      <c r="P1687" s="1">
        <f>value(AED!$B1687)</f>
        <v>3609.1068</v>
      </c>
      <c r="Q1687" s="1">
        <f>value(KWD!$B1687)</f>
        <v>44169.26026</v>
      </c>
    </row>
    <row r="1688">
      <c r="A1688" s="4">
        <f>value(USD!A1688)</f>
        <v>41998.99861</v>
      </c>
      <c r="B1688" s="1">
        <f>value(USD!B1688)</f>
        <v>12470</v>
      </c>
      <c r="C1688" s="1">
        <f>value(AUD!$B1688)</f>
        <v>10532.77247</v>
      </c>
      <c r="D1688" s="1">
        <f>value(EUR!$B1688)</f>
        <v>15129.1504</v>
      </c>
      <c r="E1688" s="1">
        <f>value(GBP!$B1688)</f>
        <v>19303.48252</v>
      </c>
      <c r="F1688" s="1">
        <f>value(CHF!$B1688)</f>
        <v>12560.346</v>
      </c>
      <c r="G1688" s="1">
        <f>value(SGD!$B1688)</f>
        <v>9371.4813</v>
      </c>
      <c r="H1688" s="1">
        <f>value(MYR!$B1688)</f>
        <v>3481.71135</v>
      </c>
      <c r="I1688" s="1">
        <f>value(THB!$B1688)</f>
        <v>376.8639</v>
      </c>
      <c r="J1688" s="1">
        <f>value(VND!$B1688)</f>
        <v>0.6265442131</v>
      </c>
      <c r="K1688" s="1">
        <f>value(CNY!$B1688)</f>
        <v>2040.9656</v>
      </c>
      <c r="L1688" s="1">
        <f>value(HKD!$B1688)</f>
        <v>1598.63235</v>
      </c>
      <c r="M1688" s="1">
        <f>value(TWD!$B1688)</f>
        <v>394.19562</v>
      </c>
      <c r="N1688" s="1">
        <f>value(JPY!$B1688)</f>
        <v>102.9615</v>
      </c>
      <c r="O1688" s="1">
        <f>value(SAR!$B1688)</f>
        <v>3462.851226</v>
      </c>
      <c r="P1688" s="1">
        <f>value(AED!$B1688)</f>
        <v>3631.815</v>
      </c>
      <c r="Q1688" s="1">
        <f>value(KWD!$B1688)</f>
        <v>44102.05897</v>
      </c>
    </row>
    <row r="1689">
      <c r="A1689" s="4">
        <f>value(USD!A1689)</f>
        <v>41999.99861</v>
      </c>
      <c r="B1689" s="1">
        <f>value(USD!B1689)</f>
        <v>12410</v>
      </c>
      <c r="C1689" s="1">
        <f>value(AUD!$B1689)</f>
        <v>10347.759</v>
      </c>
      <c r="D1689" s="1">
        <f>value(EUR!$B1689)</f>
        <v>15152.6773</v>
      </c>
      <c r="E1689" s="1">
        <f>value(GBP!$B1689)</f>
        <v>19366.12683</v>
      </c>
      <c r="F1689" s="1">
        <f>value(CHF!$B1689)</f>
        <v>12458.145</v>
      </c>
      <c r="G1689" s="1">
        <f>value(SGD!$B1689)</f>
        <v>9401.494302</v>
      </c>
      <c r="H1689" s="1">
        <f>value(MYR!$B1689)</f>
        <v>3488.16933</v>
      </c>
      <c r="I1689" s="1">
        <f>value(THB!$B1689)</f>
        <v>377.459523</v>
      </c>
      <c r="J1689" s="1">
        <f>value(VND!$B1689)</f>
        <v>0.6288179022</v>
      </c>
      <c r="K1689" s="1">
        <f>value(CNY!$B1689)</f>
        <v>2048.0628</v>
      </c>
      <c r="L1689" s="1">
        <f>value(HKD!$B1689)</f>
        <v>1604.358639</v>
      </c>
      <c r="M1689" s="1">
        <f>value(TWD!$B1689)</f>
        <v>394.98006</v>
      </c>
      <c r="N1689" s="1">
        <f>value(JPY!$B1689)</f>
        <v>103.36239</v>
      </c>
      <c r="O1689" s="1">
        <f>value(SAR!$B1689)</f>
        <v>3456.687978</v>
      </c>
      <c r="P1689" s="1">
        <f>value(AED!$B1689)</f>
        <v>3630.8812</v>
      </c>
      <c r="Q1689" s="1">
        <f>value(KWD!$B1689)</f>
        <v>44164.39986</v>
      </c>
    </row>
    <row r="1690">
      <c r="A1690" s="4">
        <f>value(USD!A1690)</f>
        <v>42000.99861</v>
      </c>
      <c r="B1690" s="1">
        <f>value(USD!B1690)</f>
        <v>12405</v>
      </c>
      <c r="C1690" s="1">
        <f>value(AUD!$B1690)</f>
        <v>10254.3606</v>
      </c>
      <c r="D1690" s="1">
        <f>value(EUR!$B1690)</f>
        <v>15078.2741</v>
      </c>
      <c r="E1690" s="1">
        <f>value(GBP!$B1690)</f>
        <v>19251.8812</v>
      </c>
      <c r="F1690" s="1">
        <f>value(CHF!$B1690)</f>
        <v>12456.906</v>
      </c>
      <c r="G1690" s="1">
        <f>value(SGD!$B1690)</f>
        <v>9368.4331</v>
      </c>
      <c r="H1690" s="1">
        <f>value(MYR!$B1690)</f>
        <v>3472.318</v>
      </c>
      <c r="I1690" s="1">
        <f>value(THB!$B1690)</f>
        <v>376.1471</v>
      </c>
      <c r="J1690" s="1">
        <f>value(VND!$B1690)</f>
        <v>0.6324926274</v>
      </c>
      <c r="K1690" s="1">
        <f>value(CNY!$B1690)</f>
        <v>2059.66725</v>
      </c>
      <c r="L1690" s="1">
        <f>value(HKD!$B1690)</f>
        <v>1599.4008</v>
      </c>
      <c r="M1690" s="1">
        <f>value(TWD!$B1690)</f>
        <v>394.35255</v>
      </c>
      <c r="N1690" s="1">
        <f>value(JPY!$B1690)</f>
        <v>102.8789</v>
      </c>
      <c r="O1690" s="1">
        <f>value(SAR!$B1690)</f>
        <v>3451.355641</v>
      </c>
      <c r="P1690" s="1">
        <f>value(AED!$B1690)</f>
        <v>3626.7985</v>
      </c>
      <c r="Q1690" s="1">
        <f>value(KWD!$B1690)</f>
        <v>44035.08508</v>
      </c>
    </row>
    <row r="1691">
      <c r="A1691" s="4">
        <f>value(USD!A1691)</f>
        <v>42001.99861</v>
      </c>
      <c r="B1691" s="1">
        <f>value(USD!B1691)</f>
        <v>12453.3</v>
      </c>
      <c r="C1691" s="1">
        <f>value(AUD!$B1691)</f>
        <v>10092.9105</v>
      </c>
      <c r="D1691" s="1">
        <f>value(EUR!$B1691)</f>
        <v>15100.236</v>
      </c>
      <c r="E1691" s="1">
        <f>value(GBP!$B1691)</f>
        <v>19331.73</v>
      </c>
      <c r="F1691" s="1">
        <f>value(CHF!$B1691)</f>
        <v>12457.9104</v>
      </c>
      <c r="G1691" s="1">
        <f>value(SGD!$B1691)</f>
        <v>9394.488</v>
      </c>
      <c r="H1691" s="1">
        <f>value(MYR!$B1691)</f>
        <v>3483.4374</v>
      </c>
      <c r="I1691" s="1">
        <f>value(THB!$B1691)</f>
        <v>377.4438</v>
      </c>
      <c r="J1691" s="1">
        <f>value(VND!$B1691)</f>
        <v>0.6276804005</v>
      </c>
      <c r="K1691" s="1">
        <f>value(CNY!$B1691)</f>
        <v>2048.28618</v>
      </c>
      <c r="L1691" s="1">
        <f>value(HKD!$B1691)</f>
        <v>1600.938</v>
      </c>
      <c r="M1691" s="1">
        <f>value(TWD!$B1691)</f>
        <v>392.27474</v>
      </c>
      <c r="N1691" s="1">
        <f>value(JPY!$B1691)</f>
        <v>103.9554</v>
      </c>
      <c r="O1691" s="1">
        <f>value(SAR!$B1691)</f>
        <v>3468.385512</v>
      </c>
      <c r="P1691" s="1">
        <f>value(AED!$B1691)</f>
        <v>3630.45375</v>
      </c>
      <c r="Q1691" s="1">
        <f>value(KWD!$B1691)</f>
        <v>44007.68701</v>
      </c>
    </row>
    <row r="1692">
      <c r="A1692" s="4">
        <f>value(USD!A1692)</f>
        <v>42002.99861</v>
      </c>
      <c r="B1692" s="1">
        <f>value(USD!B1692)</f>
        <v>12410</v>
      </c>
      <c r="C1692" s="1">
        <f>value(AUD!$B1692)</f>
        <v>9944.71635</v>
      </c>
      <c r="D1692" s="1">
        <f>value(EUR!$B1692)</f>
        <v>14987.6874</v>
      </c>
      <c r="E1692" s="1">
        <f>value(GBP!$B1692)</f>
        <v>19297.425</v>
      </c>
      <c r="F1692" s="1">
        <f>value(CHF!$B1692)</f>
        <v>12471.14034</v>
      </c>
      <c r="G1692" s="1">
        <f>value(SGD!$B1692)</f>
        <v>9345.2814</v>
      </c>
      <c r="H1692" s="1">
        <f>value(MYR!$B1692)</f>
        <v>3461.766</v>
      </c>
      <c r="I1692" s="1">
        <f>value(THB!$B1692)</f>
        <v>376.4082</v>
      </c>
      <c r="J1692" s="1">
        <f>value(VND!$B1692)</f>
        <v>0.6287246404</v>
      </c>
      <c r="K1692" s="1">
        <f>value(CNY!$B1692)</f>
        <v>2057.399798</v>
      </c>
      <c r="L1692" s="1">
        <f>value(HKD!$B1692)</f>
        <v>1597.6905</v>
      </c>
      <c r="M1692" s="1">
        <f>value(TWD!$B1692)</f>
        <v>397.528</v>
      </c>
      <c r="N1692" s="1">
        <f>value(JPY!$B1692)</f>
        <v>103.4565</v>
      </c>
      <c r="O1692" s="1">
        <f>value(SAR!$B1692)</f>
        <v>3449.518223</v>
      </c>
      <c r="P1692" s="1">
        <f>value(AED!$B1692)</f>
        <v>3620.81054</v>
      </c>
      <c r="Q1692" s="1">
        <f>value(KWD!$B1692)</f>
        <v>43905.18064</v>
      </c>
    </row>
    <row r="1693">
      <c r="A1693" s="4">
        <f>value(USD!A1693)</f>
        <v>42003.99861</v>
      </c>
      <c r="B1693" s="1">
        <f>value(USD!B1693)</f>
        <v>12420</v>
      </c>
      <c r="C1693" s="1">
        <f>value(AUD!$B1693)</f>
        <v>9823.11456</v>
      </c>
      <c r="D1693" s="1">
        <f>value(EUR!$B1693)</f>
        <v>14977.7754</v>
      </c>
      <c r="E1693" s="1">
        <f>value(GBP!$B1693)</f>
        <v>19303.3722</v>
      </c>
      <c r="F1693" s="1">
        <f>value(CHF!$B1693)</f>
        <v>12542.55875</v>
      </c>
      <c r="G1693" s="1">
        <f>value(SGD!$B1693)</f>
        <v>9353.7066</v>
      </c>
      <c r="H1693" s="1">
        <f>value(MYR!$B1693)</f>
        <v>3459.0402</v>
      </c>
      <c r="I1693" s="1">
        <f>value(THB!$B1693)</f>
        <v>376.0365</v>
      </c>
      <c r="J1693" s="1">
        <f>value(VND!$B1693)</f>
        <v>0.628007823</v>
      </c>
      <c r="K1693" s="1">
        <f>value(CNY!$B1693)</f>
        <v>2057.528498</v>
      </c>
      <c r="L1693" s="1">
        <f>value(HKD!$B1693)</f>
        <v>1597.3188</v>
      </c>
      <c r="M1693" s="1">
        <f>value(TWD!$B1693)</f>
        <v>400.2447</v>
      </c>
      <c r="N1693" s="1">
        <f>value(JPY!$B1693)</f>
        <v>103.34499</v>
      </c>
      <c r="O1693" s="1">
        <f>value(SAR!$B1693)</f>
        <v>3452.371419</v>
      </c>
      <c r="P1693" s="1">
        <f>value(AED!$B1693)</f>
        <v>3614.00604</v>
      </c>
      <c r="Q1693" s="1">
        <f>value(KWD!$B1693)</f>
        <v>44054.82414</v>
      </c>
    </row>
    <row r="1694">
      <c r="A1694" s="4">
        <f>value(USD!A1694)</f>
        <v>42004.99861</v>
      </c>
      <c r="B1694" s="1">
        <f>value(USD!B1694)</f>
        <v>12390</v>
      </c>
      <c r="C1694" s="1">
        <f>value(AUD!$B1694)</f>
        <v>9854.814936</v>
      </c>
      <c r="D1694" s="1">
        <f>value(EUR!$B1694)</f>
        <v>14977.1232</v>
      </c>
      <c r="E1694" s="1">
        <f>value(GBP!$B1694)</f>
        <v>19125.8496</v>
      </c>
      <c r="F1694" s="1">
        <f>value(CHF!$B1694)</f>
        <v>12490.07655</v>
      </c>
      <c r="G1694" s="1">
        <f>value(SGD!$B1694)</f>
        <v>9371.9808</v>
      </c>
      <c r="H1694" s="1">
        <f>value(MYR!$B1694)</f>
        <v>3468.6912</v>
      </c>
      <c r="I1694" s="1">
        <f>value(THB!$B1694)</f>
        <v>377.8944</v>
      </c>
      <c r="J1694" s="1">
        <f>value(VND!$B1694)</f>
        <v>0.6337044107</v>
      </c>
      <c r="K1694" s="1">
        <f>value(CNY!$B1694)</f>
        <v>2054.7708</v>
      </c>
      <c r="L1694" s="1">
        <f>value(HKD!$B1694)</f>
        <v>1608.7968</v>
      </c>
      <c r="M1694" s="1">
        <f>value(TWD!$B1694)</f>
        <v>396.3311</v>
      </c>
      <c r="N1694" s="1">
        <f>value(JPY!$B1694)</f>
        <v>103.584</v>
      </c>
      <c r="O1694" s="1">
        <f>value(SAR!$B1694)</f>
        <v>3436.966655</v>
      </c>
      <c r="P1694" s="1">
        <f>value(AED!$B1694)</f>
        <v>3614.5504</v>
      </c>
      <c r="Q1694" s="1">
        <f>value(KWD!$B1694)</f>
        <v>44143.63153</v>
      </c>
    </row>
    <row r="1695">
      <c r="A1695" s="4">
        <f>value(USD!A1695)</f>
        <v>42005.99861</v>
      </c>
      <c r="B1695" s="1">
        <f>value(USD!B1695)</f>
        <v>12390</v>
      </c>
      <c r="C1695" s="1">
        <f>value(AUD!$B1695)</f>
        <v>9889.704</v>
      </c>
      <c r="D1695" s="1">
        <f>value(EUR!$B1695)</f>
        <v>15061.39099</v>
      </c>
      <c r="E1695" s="1">
        <f>value(GBP!$B1695)</f>
        <v>19234.20105</v>
      </c>
      <c r="F1695" s="1">
        <f>value(CHF!$B1695)</f>
        <v>12531.108</v>
      </c>
      <c r="G1695" s="1">
        <f>value(SGD!$B1695)</f>
        <v>9422.332668</v>
      </c>
      <c r="H1695" s="1">
        <f>value(MYR!$B1695)</f>
        <v>3487.327077</v>
      </c>
      <c r="I1695" s="1">
        <f>value(THB!$B1695)</f>
        <v>379.924674</v>
      </c>
      <c r="J1695" s="1">
        <f>value(VND!$B1695)</f>
        <v>0.6344919892</v>
      </c>
      <c r="K1695" s="1">
        <f>value(CNY!$B1695)</f>
        <v>2047.77594</v>
      </c>
      <c r="L1695" s="1">
        <f>value(HKD!$B1695)</f>
        <v>1617.440215</v>
      </c>
      <c r="M1695" s="1">
        <f>value(TWD!$B1695)</f>
        <v>395.01585</v>
      </c>
      <c r="N1695" s="1">
        <f>value(JPY!$B1695)</f>
        <v>104.140515</v>
      </c>
      <c r="O1695" s="1">
        <f>value(SAR!$B1695)</f>
        <v>3478.388329</v>
      </c>
      <c r="P1695" s="1">
        <f>value(AED!$B1695)</f>
        <v>3621.3549</v>
      </c>
      <c r="Q1695" s="1">
        <f>value(KWD!$B1695)</f>
        <v>44050.48981</v>
      </c>
    </row>
    <row r="1696">
      <c r="A1696" s="4">
        <f>value(USD!A1696)</f>
        <v>42006.99861</v>
      </c>
      <c r="B1696" s="1">
        <f>value(USD!B1696)</f>
        <v>12480</v>
      </c>
      <c r="C1696" s="1">
        <f>value(AUD!$B1696)</f>
        <v>9859.2795</v>
      </c>
      <c r="D1696" s="1">
        <f>value(EUR!$B1696)</f>
        <v>14986.19652</v>
      </c>
      <c r="E1696" s="1">
        <f>value(GBP!$B1696)</f>
        <v>19176.91122</v>
      </c>
      <c r="F1696" s="1">
        <f>value(CHF!$B1696)</f>
        <v>12380.6241</v>
      </c>
      <c r="G1696" s="1">
        <f>value(SGD!$B1696)</f>
        <v>9399.747978</v>
      </c>
      <c r="H1696" s="1">
        <f>value(MYR!$B1696)</f>
        <v>3470.890441</v>
      </c>
      <c r="I1696" s="1">
        <f>value(THB!$B1696)</f>
        <v>379.924674</v>
      </c>
      <c r="J1696" s="1">
        <f>value(VND!$B1696)</f>
        <v>0.6295460743</v>
      </c>
      <c r="K1696" s="1">
        <f>value(CNY!$B1696)</f>
        <v>2053.9719</v>
      </c>
      <c r="L1696" s="1">
        <f>value(HKD!$B1696)</f>
        <v>1617.565686</v>
      </c>
      <c r="M1696" s="1">
        <f>value(TWD!$B1696)</f>
        <v>393.61065</v>
      </c>
      <c r="N1696" s="1">
        <f>value(JPY!$B1696)</f>
        <v>104.140515</v>
      </c>
      <c r="O1696" s="1">
        <f>value(SAR!$B1696)</f>
        <v>3463.97195</v>
      </c>
      <c r="P1696" s="1">
        <f>value(AED!$B1696)</f>
        <v>3630.33684</v>
      </c>
      <c r="Q1696" s="1">
        <f>value(KWD!$B1696)</f>
        <v>44091.4188</v>
      </c>
    </row>
    <row r="1697">
      <c r="A1697" s="4">
        <f>value(USD!A1697)</f>
        <v>42007.99861</v>
      </c>
      <c r="B1697" s="1">
        <f>value(USD!B1697)</f>
        <v>12547.05</v>
      </c>
      <c r="C1697" s="1">
        <f>value(AUD!$B1697)</f>
        <v>9828.2405</v>
      </c>
      <c r="D1697" s="1">
        <f>value(EUR!$B1697)</f>
        <v>15069.2</v>
      </c>
      <c r="E1697" s="1">
        <f>value(GBP!$B1697)</f>
        <v>19260.7</v>
      </c>
      <c r="F1697" s="1">
        <f>value(CHF!$B1697)</f>
        <v>12389.21565</v>
      </c>
      <c r="G1697" s="1">
        <f>value(SGD!$B1697)</f>
        <v>9459.78625</v>
      </c>
      <c r="H1697" s="1">
        <f>value(MYR!$B1697)</f>
        <v>3515.81</v>
      </c>
      <c r="I1697" s="1">
        <f>value(THB!$B1697)</f>
        <v>382.79</v>
      </c>
      <c r="J1697" s="1">
        <f>value(VND!$B1697)</f>
        <v>0.6274303363</v>
      </c>
      <c r="K1697" s="1">
        <f>value(CNY!$B1697)</f>
        <v>2053.90575</v>
      </c>
      <c r="L1697" s="1">
        <f>value(HKD!$B1697)</f>
        <v>1627.74125</v>
      </c>
      <c r="M1697" s="1">
        <f>value(TWD!$B1697)</f>
        <v>395.17563</v>
      </c>
      <c r="N1697" s="1">
        <f>value(JPY!$B1697)</f>
        <v>105.6977625</v>
      </c>
      <c r="O1697" s="1">
        <f>value(SAR!$B1697)</f>
        <v>3439.291611</v>
      </c>
      <c r="P1697" s="1">
        <f>value(AED!$B1697)</f>
        <v>3628.43158</v>
      </c>
      <c r="Q1697" s="1">
        <f>value(KWD!$B1697)</f>
        <v>44048.19976</v>
      </c>
    </row>
    <row r="1698">
      <c r="A1698" s="4">
        <f>value(USD!A1698)</f>
        <v>42008.99861</v>
      </c>
      <c r="B1698" s="1">
        <f>value(USD!B1698)</f>
        <v>12547.05</v>
      </c>
      <c r="C1698" s="1">
        <f>value(AUD!$B1698)</f>
        <v>9779.46</v>
      </c>
      <c r="D1698" s="1">
        <f>value(EUR!$B1698)</f>
        <v>15001.5355</v>
      </c>
      <c r="E1698" s="1">
        <f>value(GBP!$B1698)</f>
        <v>19124.336</v>
      </c>
      <c r="F1698" s="1">
        <f>value(CHF!$B1698)</f>
        <v>12637.20853</v>
      </c>
      <c r="G1698" s="1">
        <f>value(SGD!$B1698)</f>
        <v>9469.30075</v>
      </c>
      <c r="H1698" s="1">
        <f>value(MYR!$B1698)</f>
        <v>3482.206</v>
      </c>
      <c r="I1698" s="1">
        <f>value(THB!$B1698)</f>
        <v>384.104</v>
      </c>
      <c r="J1698" s="1">
        <f>value(VND!$B1698)</f>
        <v>0.6361545528</v>
      </c>
      <c r="K1698" s="1">
        <f>value(CNY!$B1698)</f>
        <v>2070.51012</v>
      </c>
      <c r="L1698" s="1">
        <f>value(HKD!$B1698)</f>
        <v>1629.28325</v>
      </c>
      <c r="M1698" s="1">
        <f>value(TWD!$B1698)</f>
        <v>398.46017</v>
      </c>
      <c r="N1698" s="1">
        <f>value(JPY!$B1698)</f>
        <v>106.454929</v>
      </c>
      <c r="O1698" s="1">
        <f>value(SAR!$B1698)</f>
        <v>3422.225669</v>
      </c>
      <c r="P1698" s="1">
        <f>value(AED!$B1698)</f>
        <v>3633.603</v>
      </c>
      <c r="Q1698" s="1">
        <f>value(KWD!$B1698)</f>
        <v>44068.06782</v>
      </c>
    </row>
    <row r="1699">
      <c r="A1699" s="4">
        <f>value(USD!A1699)</f>
        <v>42009.99861</v>
      </c>
      <c r="B1699" s="1">
        <f>value(USD!B1699)</f>
        <v>12625</v>
      </c>
      <c r="C1699" s="1">
        <f>value(AUD!$B1699)</f>
        <v>9877.8435</v>
      </c>
      <c r="D1699" s="1">
        <f>value(EUR!$B1699)</f>
        <v>15051.8304</v>
      </c>
      <c r="E1699" s="1">
        <f>value(GBP!$B1699)</f>
        <v>19212.288</v>
      </c>
      <c r="F1699" s="1">
        <f>value(CHF!$B1699)</f>
        <v>12369.63</v>
      </c>
      <c r="G1699" s="1">
        <f>value(SGD!$B1699)</f>
        <v>9506.6736</v>
      </c>
      <c r="H1699" s="1">
        <f>value(MYR!$B1699)</f>
        <v>3490.4952</v>
      </c>
      <c r="I1699" s="1">
        <f>value(THB!$B1699)</f>
        <v>386.688</v>
      </c>
      <c r="J1699" s="1">
        <f>value(VND!$B1699)</f>
        <v>0.6362381444</v>
      </c>
      <c r="K1699" s="1">
        <f>value(CNY!$B1699)</f>
        <v>2074.642206</v>
      </c>
      <c r="L1699" s="1">
        <f>value(HKD!$B1699)</f>
        <v>1640.1168</v>
      </c>
      <c r="M1699" s="1">
        <f>value(TWD!$B1699)</f>
        <v>397.404</v>
      </c>
      <c r="N1699" s="1">
        <f>value(JPY!$B1699)</f>
        <v>106.61268</v>
      </c>
      <c r="O1699" s="1">
        <f>value(SAR!$B1699)</f>
        <v>3413.333248</v>
      </c>
      <c r="P1699" s="1">
        <f>value(AED!$B1699)</f>
        <v>3630.8812</v>
      </c>
      <c r="Q1699" s="1">
        <f>value(KWD!$B1699)</f>
        <v>44288.7286</v>
      </c>
    </row>
    <row r="1700">
      <c r="A1700" s="4">
        <f>value(USD!A1700)</f>
        <v>42010.99861</v>
      </c>
      <c r="B1700" s="1">
        <f>value(USD!B1700)</f>
        <v>12635</v>
      </c>
      <c r="C1700" s="1">
        <f>value(AUD!$B1700)</f>
        <v>9933.500896</v>
      </c>
      <c r="D1700" s="1">
        <f>value(EUR!$B1700)</f>
        <v>14869.9642</v>
      </c>
      <c r="E1700" s="1">
        <f>value(GBP!$B1700)</f>
        <v>19021.9328</v>
      </c>
      <c r="F1700" s="1">
        <f>value(CHF!$B1700)</f>
        <v>12342.30872</v>
      </c>
      <c r="G1700" s="1">
        <f>value(SGD!$B1700)</f>
        <v>9423.7052</v>
      </c>
      <c r="H1700" s="1">
        <f>value(MYR!$B1700)</f>
        <v>3475.4421</v>
      </c>
      <c r="I1700" s="1">
        <f>value(THB!$B1700)</f>
        <v>383.344</v>
      </c>
      <c r="J1700" s="1">
        <f>value(VND!$B1700)</f>
        <v>0.6289687865</v>
      </c>
      <c r="K1700" s="1">
        <f>value(CNY!$B1700)</f>
        <v>2068.400334</v>
      </c>
      <c r="L1700" s="1">
        <f>value(HKD!$B1700)</f>
        <v>1625.9334</v>
      </c>
      <c r="M1700" s="1">
        <f>value(TWD!$B1700)</f>
        <v>397.5636</v>
      </c>
      <c r="N1700" s="1">
        <f>value(JPY!$B1700)</f>
        <v>105.258192</v>
      </c>
      <c r="O1700" s="1">
        <f>value(SAR!$B1700)</f>
        <v>3422.918101</v>
      </c>
      <c r="P1700" s="1">
        <f>value(AED!$B1700)</f>
        <v>3629.2536</v>
      </c>
      <c r="Q1700" s="1">
        <f>value(KWD!$B1700)</f>
        <v>44401.09759</v>
      </c>
    </row>
    <row r="1701">
      <c r="A1701" s="4">
        <f>value(USD!A1701)</f>
        <v>42011.99861</v>
      </c>
      <c r="B1701" s="1">
        <f>value(USD!B1701)</f>
        <v>12720</v>
      </c>
      <c r="C1701" s="1">
        <f>value(AUD!$B1701)</f>
        <v>9948.84616</v>
      </c>
      <c r="D1701" s="1">
        <f>value(EUR!$B1701)</f>
        <v>14878.2165</v>
      </c>
      <c r="E1701" s="1">
        <f>value(GBP!$B1701)</f>
        <v>19047.2835</v>
      </c>
      <c r="F1701" s="1">
        <f>value(CHF!$B1701)</f>
        <v>12317.58495</v>
      </c>
      <c r="G1701" s="1">
        <f>value(SGD!$B1701)</f>
        <v>9420.86005</v>
      </c>
      <c r="H1701" s="1">
        <f>value(MYR!$B1701)</f>
        <v>3471.08125</v>
      </c>
      <c r="I1701" s="1">
        <f>value(THB!$B1701)</f>
        <v>382.4786</v>
      </c>
      <c r="J1701" s="1">
        <f>value(VND!$B1701)</f>
        <v>0.629676655</v>
      </c>
      <c r="K1701" s="1">
        <f>value(CNY!$B1701)</f>
        <v>2070.23345</v>
      </c>
      <c r="L1701" s="1">
        <f>value(HKD!$B1701)</f>
        <v>1620.50805</v>
      </c>
      <c r="M1701" s="1">
        <f>value(TWD!$B1701)</f>
        <v>398.8461</v>
      </c>
      <c r="N1701" s="1">
        <f>value(JPY!$B1701)</f>
        <v>105.92295</v>
      </c>
      <c r="O1701" s="1">
        <f>value(SAR!$B1701)</f>
        <v>3440.001489</v>
      </c>
      <c r="P1701" s="1">
        <f>value(AED!$B1701)</f>
        <v>3647.212</v>
      </c>
      <c r="Q1701" s="1">
        <f>value(KWD!$B1701)</f>
        <v>44323.4319</v>
      </c>
    </row>
    <row r="1702">
      <c r="A1702" s="4">
        <f>value(USD!A1702)</f>
        <v>42012.99861</v>
      </c>
      <c r="B1702" s="1">
        <f>value(USD!B1702)</f>
        <v>12610</v>
      </c>
      <c r="C1702" s="1">
        <f>value(AUD!$B1702)</f>
        <v>9861.20325</v>
      </c>
      <c r="D1702" s="1">
        <f>value(EUR!$B1702)</f>
        <v>15166.22693</v>
      </c>
      <c r="E1702" s="1">
        <f>value(GBP!$B1702)</f>
        <v>19413.66369</v>
      </c>
      <c r="F1702" s="1">
        <f>value(CHF!$B1702)</f>
        <v>14584.9893</v>
      </c>
      <c r="G1702" s="1">
        <f>value(SGD!$B1702)</f>
        <v>9600.122559</v>
      </c>
      <c r="H1702" s="1">
        <f>value(MYR!$B1702)</f>
        <v>3537.129862</v>
      </c>
      <c r="I1702" s="1">
        <f>value(THB!$B1702)</f>
        <v>389.7564996</v>
      </c>
      <c r="J1702" s="1">
        <f>value(VND!$B1702)</f>
        <v>0.6235612724</v>
      </c>
      <c r="K1702" s="1">
        <f>value(CNY!$B1702)</f>
        <v>2067.0289</v>
      </c>
      <c r="L1702" s="1">
        <f>value(HKD!$B1702)</f>
        <v>1651.343487</v>
      </c>
      <c r="M1702" s="1">
        <f>value(TWD!$B1702)</f>
        <v>403.4137</v>
      </c>
      <c r="N1702" s="1">
        <f>value(JPY!$B1702)</f>
        <v>107.9384787</v>
      </c>
      <c r="O1702" s="1">
        <f>value(SAR!$B1702)</f>
        <v>3462.452263</v>
      </c>
      <c r="P1702" s="1">
        <f>value(AED!$B1702)</f>
        <v>3655.3774</v>
      </c>
      <c r="Q1702" s="1">
        <f>value(KWD!$B1702)</f>
        <v>44561.00367</v>
      </c>
    </row>
    <row r="1703">
      <c r="A1703" s="4">
        <f>value(USD!A1703)</f>
        <v>42013.99861</v>
      </c>
      <c r="B1703" s="1">
        <f>value(USD!B1703)</f>
        <v>12565</v>
      </c>
      <c r="C1703" s="1">
        <f>value(AUD!$B1703)</f>
        <v>9759.4575</v>
      </c>
      <c r="D1703" s="1">
        <f>value(EUR!$B1703)</f>
        <v>15178.51213</v>
      </c>
      <c r="E1703" s="1">
        <f>value(GBP!$B1703)</f>
        <v>19420.71036</v>
      </c>
      <c r="F1703" s="1">
        <f>value(CHF!$B1703)</f>
        <v>14606.638</v>
      </c>
      <c r="G1703" s="1">
        <f>value(SGD!$B1703)</f>
        <v>9602.810456</v>
      </c>
      <c r="H1703" s="1">
        <f>value(MYR!$B1703)</f>
        <v>3540.408159</v>
      </c>
      <c r="I1703" s="1">
        <f>value(THB!$B1703)</f>
        <v>390.02546</v>
      </c>
      <c r="J1703" s="1">
        <f>value(VND!$B1703)</f>
        <v>0.6272538716</v>
      </c>
      <c r="K1703" s="1">
        <f>value(CNY!$B1703)</f>
        <v>2074.591</v>
      </c>
      <c r="L1703" s="1">
        <f>value(HKD!$B1703)</f>
        <v>1649.104371</v>
      </c>
      <c r="M1703" s="1">
        <f>value(TWD!$B1703)</f>
        <v>399.0762</v>
      </c>
      <c r="N1703" s="1">
        <f>value(JPY!$B1703)</f>
        <v>108.1841112</v>
      </c>
      <c r="O1703" s="1">
        <f>value(SAR!$B1703)</f>
        <v>3449.886456</v>
      </c>
      <c r="P1703" s="1">
        <f>value(AED!$B1703)</f>
        <v>3655.3774</v>
      </c>
      <c r="Q1703" s="1">
        <f>value(KWD!$B1703)</f>
        <v>43981.85955</v>
      </c>
    </row>
    <row r="1704">
      <c r="A1704" s="4">
        <f>value(USD!A1704)</f>
        <v>42014.99861</v>
      </c>
      <c r="B1704" s="1">
        <f>value(USD!B1704)</f>
        <v>12804.09</v>
      </c>
      <c r="C1704" s="1">
        <f>value(AUD!$B1704)</f>
        <v>9793.2125</v>
      </c>
      <c r="D1704" s="1">
        <f>value(EUR!$B1704)</f>
        <v>14856.114</v>
      </c>
      <c r="E1704" s="1">
        <f>value(GBP!$B1704)</f>
        <v>19045.4628</v>
      </c>
      <c r="F1704" s="1">
        <f>value(CHF!$B1704)</f>
        <v>14915.48444</v>
      </c>
      <c r="G1704" s="1">
        <f>value(SGD!$B1704)</f>
        <v>9403.55598</v>
      </c>
      <c r="H1704" s="1">
        <f>value(MYR!$B1704)</f>
        <v>3464.24988</v>
      </c>
      <c r="I1704" s="1">
        <f>value(THB!$B1704)</f>
        <v>381.7632</v>
      </c>
      <c r="J1704" s="1">
        <f>value(VND!$B1704)</f>
        <v>0.6223224264</v>
      </c>
      <c r="K1704" s="1">
        <f>value(CNY!$B1704)</f>
        <v>2057.937</v>
      </c>
      <c r="L1704" s="1">
        <f>value(HKD!$B1704)</f>
        <v>1619.60526</v>
      </c>
      <c r="M1704" s="1">
        <f>value(TWD!$B1704)</f>
        <v>397.6215</v>
      </c>
      <c r="N1704" s="1">
        <f>value(JPY!$B1704)</f>
        <v>106.1151</v>
      </c>
      <c r="O1704" s="1">
        <f>value(SAR!$B1704)</f>
        <v>3440.183352</v>
      </c>
      <c r="P1704" s="1">
        <f>value(AED!$B1704)</f>
        <v>3664.9037</v>
      </c>
      <c r="Q1704" s="1">
        <f>value(KWD!$B1704)</f>
        <v>44488.50348</v>
      </c>
    </row>
    <row r="1705">
      <c r="A1705" s="4">
        <f>value(USD!A1705)</f>
        <v>42015.99861</v>
      </c>
      <c r="B1705" s="1">
        <f>value(USD!B1705)</f>
        <v>12787.72</v>
      </c>
      <c r="C1705" s="1">
        <f>value(AUD!$B1705)</f>
        <v>9815.3426</v>
      </c>
      <c r="D1705" s="1">
        <f>value(EUR!$B1705)</f>
        <v>14822.70294</v>
      </c>
      <c r="E1705" s="1">
        <f>value(GBP!$B1705)</f>
        <v>19090.7029</v>
      </c>
      <c r="F1705" s="1">
        <f>value(CHF!$B1705)</f>
        <v>14350.206</v>
      </c>
      <c r="G1705" s="1">
        <f>value(SGD!$B1705)</f>
        <v>9437.48086</v>
      </c>
      <c r="H1705" s="1">
        <f>value(MYR!$B1705)</f>
        <v>3433.60773</v>
      </c>
      <c r="I1705" s="1">
        <f>value(THB!$B1705)</f>
        <v>383.14828</v>
      </c>
      <c r="J1705" s="1">
        <f>value(VND!$B1705)</f>
        <v>0.6290555106</v>
      </c>
      <c r="K1705" s="1">
        <f>value(CNY!$B1705)</f>
        <v>2079.9789</v>
      </c>
      <c r="L1705" s="1">
        <f>value(HKD!$B1705)</f>
        <v>1623.34539</v>
      </c>
      <c r="M1705" s="1">
        <f>value(TWD!$B1705)</f>
        <v>401.09625</v>
      </c>
      <c r="N1705" s="1">
        <f>value(JPY!$B1705)</f>
        <v>106.8309038</v>
      </c>
      <c r="O1705" s="1">
        <f>value(SAR!$B1705)</f>
        <v>3454.171402</v>
      </c>
      <c r="P1705" s="1">
        <f>value(AED!$B1705)</f>
        <v>3617.2722</v>
      </c>
      <c r="Q1705" s="1">
        <f>value(KWD!$B1705)</f>
        <v>44592.80046</v>
      </c>
    </row>
    <row r="1706">
      <c r="A1706" s="4">
        <f>value(USD!A1706)</f>
        <v>42016.99861</v>
      </c>
      <c r="B1706" s="1">
        <f>value(USD!B1706)</f>
        <v>12558</v>
      </c>
      <c r="C1706" s="1">
        <f>value(AUD!$B1706)</f>
        <v>9842.62296</v>
      </c>
      <c r="D1706" s="1">
        <f>value(EUR!$B1706)</f>
        <v>14793.5565</v>
      </c>
      <c r="E1706" s="1">
        <f>value(GBP!$B1706)</f>
        <v>19122.5205</v>
      </c>
      <c r="F1706" s="1">
        <f>value(CHF!$B1706)</f>
        <v>14360.8784</v>
      </c>
      <c r="G1706" s="1">
        <f>value(SGD!$B1706)</f>
        <v>9408.34035</v>
      </c>
      <c r="H1706" s="1">
        <f>value(MYR!$B1706)</f>
        <v>3437.68455</v>
      </c>
      <c r="I1706" s="1">
        <f>value(THB!$B1706)</f>
        <v>382.9275</v>
      </c>
      <c r="J1706" s="1">
        <f>value(VND!$B1706)</f>
        <v>0.6235591896</v>
      </c>
      <c r="K1706" s="1">
        <f>value(CNY!$B1706)</f>
        <v>2111.507421</v>
      </c>
      <c r="L1706" s="1">
        <f>value(HKD!$B1706)</f>
        <v>1619.0928</v>
      </c>
      <c r="M1706" s="1">
        <f>value(TWD!$B1706)</f>
        <v>399.13377</v>
      </c>
      <c r="N1706" s="1">
        <f>value(JPY!$B1706)</f>
        <v>106.928424</v>
      </c>
      <c r="O1706" s="1">
        <f>value(SAR!$B1706)</f>
        <v>3451.476096</v>
      </c>
      <c r="P1706" s="1">
        <f>value(AED!$B1706)</f>
        <v>3664.485</v>
      </c>
      <c r="Q1706" s="1">
        <f>value(KWD!$B1706)</f>
        <v>44380.16362</v>
      </c>
    </row>
    <row r="1707">
      <c r="A1707" s="4">
        <f>value(USD!A1707)</f>
        <v>42017.99861</v>
      </c>
      <c r="B1707" s="1">
        <f>value(USD!B1707)</f>
        <v>12587</v>
      </c>
      <c r="C1707" s="1">
        <f>value(AUD!$B1707)</f>
        <v>10050.51202</v>
      </c>
      <c r="D1707" s="1">
        <f>value(EUR!$B1707)</f>
        <v>14508.9284</v>
      </c>
      <c r="E1707" s="1">
        <f>value(GBP!$B1707)</f>
        <v>18925.4482</v>
      </c>
      <c r="F1707" s="1">
        <f>value(CHF!$B1707)</f>
        <v>14476.851</v>
      </c>
      <c r="G1707" s="1">
        <f>value(SGD!$B1707)</f>
        <v>9413.34686</v>
      </c>
      <c r="H1707" s="1">
        <f>value(MYR!$B1707)</f>
        <v>3416.13193</v>
      </c>
      <c r="I1707" s="1">
        <f>value(THB!$B1707)</f>
        <v>380.42919</v>
      </c>
      <c r="J1707" s="1">
        <f>value(VND!$B1707)</f>
        <v>0.6292124653</v>
      </c>
      <c r="K1707" s="1">
        <f>value(CNY!$B1707)</f>
        <v>2111.242871</v>
      </c>
      <c r="L1707" s="1">
        <f>value(HKD!$B1707)</f>
        <v>1608.12693</v>
      </c>
      <c r="M1707" s="1">
        <f>value(TWD!$B1707)</f>
        <v>401.22408</v>
      </c>
      <c r="N1707" s="1">
        <f>value(JPY!$B1707)</f>
        <v>107.3555962</v>
      </c>
      <c r="O1707" s="1">
        <f>value(SAR!$B1707)</f>
        <v>3461.6632</v>
      </c>
      <c r="P1707" s="1">
        <f>value(AED!$B1707)</f>
        <v>3672.25256</v>
      </c>
      <c r="Q1707" s="1">
        <f>value(KWD!$B1707)</f>
        <v>44425.34208</v>
      </c>
    </row>
    <row r="1708">
      <c r="A1708" s="4">
        <f>value(USD!A1708)</f>
        <v>42018.99861</v>
      </c>
      <c r="B1708" s="1">
        <f>value(USD!B1708)</f>
        <v>12555</v>
      </c>
      <c r="C1708" s="1">
        <f>value(AUD!$B1708)</f>
        <v>9875.6604</v>
      </c>
      <c r="D1708" s="1">
        <f>value(EUR!$B1708)</f>
        <v>14541.7252</v>
      </c>
      <c r="E1708" s="1">
        <f>value(GBP!$B1708)</f>
        <v>19057.442</v>
      </c>
      <c r="F1708" s="1">
        <f>value(CHF!$B1708)</f>
        <v>14222.3325</v>
      </c>
      <c r="G1708" s="1">
        <f>value(SGD!$B1708)</f>
        <v>9479.2816</v>
      </c>
      <c r="H1708" s="1">
        <f>value(MYR!$B1708)</f>
        <v>3460.3806</v>
      </c>
      <c r="I1708" s="1">
        <f>value(THB!$B1708)</f>
        <v>385.8286</v>
      </c>
      <c r="J1708" s="1">
        <f>value(VND!$B1708)</f>
        <v>0.63265398</v>
      </c>
      <c r="K1708" s="1">
        <f>value(CNY!$B1708)</f>
        <v>2086.71226</v>
      </c>
      <c r="L1708" s="1">
        <f>value(HKD!$B1708)</f>
        <v>1622.82</v>
      </c>
      <c r="M1708" s="1">
        <f>value(TWD!$B1708)</f>
        <v>401.2272</v>
      </c>
      <c r="N1708" s="1">
        <f>value(JPY!$B1708)</f>
        <v>106.93</v>
      </c>
      <c r="O1708" s="1">
        <f>value(SAR!$B1708)</f>
        <v>3451.617974</v>
      </c>
      <c r="P1708" s="1">
        <f>value(AED!$B1708)</f>
        <v>3654.95625</v>
      </c>
      <c r="Q1708" s="1">
        <f>value(KWD!$B1708)</f>
        <v>44563.77162</v>
      </c>
    </row>
    <row r="1709">
      <c r="A1709" s="4">
        <f>value(USD!A1709)</f>
        <v>42019.99861</v>
      </c>
      <c r="B1709" s="1">
        <f>value(USD!B1709)</f>
        <v>12469</v>
      </c>
      <c r="C1709" s="1">
        <f>value(AUD!$B1709)</f>
        <v>9904.1514</v>
      </c>
      <c r="D1709" s="1">
        <f>value(EUR!$B1709)</f>
        <v>14824.99673</v>
      </c>
      <c r="E1709" s="1">
        <f>value(GBP!$B1709)</f>
        <v>19425.59829</v>
      </c>
      <c r="F1709" s="1">
        <f>value(CHF!$B1709)</f>
        <v>14077.7436</v>
      </c>
      <c r="G1709" s="1">
        <f>value(SGD!$B1709)</f>
        <v>9660.510695</v>
      </c>
      <c r="H1709" s="1">
        <f>value(MYR!$B1709)</f>
        <v>3526.537685</v>
      </c>
      <c r="I1709" s="1">
        <f>value(THB!$B1709)</f>
        <v>393.2050417</v>
      </c>
      <c r="J1709" s="1">
        <f>value(VND!$B1709)</f>
        <v>0.6316264754</v>
      </c>
      <c r="K1709" s="1">
        <f>value(CNY!$B1709)</f>
        <v>2086.2334</v>
      </c>
      <c r="L1709" s="1">
        <f>value(HKD!$B1709)</f>
        <v>1653.84579</v>
      </c>
      <c r="M1709" s="1">
        <f>value(TWD!$B1709)</f>
        <v>403.95498</v>
      </c>
      <c r="N1709" s="1">
        <f>value(JPY!$B1709)</f>
        <v>108.974335</v>
      </c>
      <c r="O1709" s="1">
        <f>value(SAR!$B1709)</f>
        <v>3453.938495</v>
      </c>
      <c r="P1709" s="1">
        <f>value(AED!$B1709)</f>
        <v>3658.0992</v>
      </c>
      <c r="Q1709" s="1">
        <f>value(KWD!$B1709)</f>
        <v>44634.12074</v>
      </c>
    </row>
    <row r="1710">
      <c r="A1710" s="4">
        <f>value(USD!A1710)</f>
        <v>42020.99861</v>
      </c>
      <c r="B1710" s="1">
        <f>value(USD!B1710)</f>
        <v>12580</v>
      </c>
      <c r="C1710" s="1">
        <f>value(AUD!$B1710)</f>
        <v>9885.2039</v>
      </c>
      <c r="D1710" s="1">
        <f>value(EUR!$B1710)</f>
        <v>14805.62534</v>
      </c>
      <c r="E1710" s="1">
        <f>value(GBP!$B1710)</f>
        <v>19385.39226</v>
      </c>
      <c r="F1710" s="1">
        <f>value(CHF!$B1710)</f>
        <v>14206.50296</v>
      </c>
      <c r="G1710" s="1">
        <f>value(SGD!$B1710)</f>
        <v>9644.42471</v>
      </c>
      <c r="H1710" s="1">
        <f>value(MYR!$B1710)</f>
        <v>3522.789281</v>
      </c>
      <c r="I1710" s="1">
        <f>value(THB!$B1710)</f>
        <v>392.9575221</v>
      </c>
      <c r="J1710" s="1">
        <f>value(VND!$B1710)</f>
        <v>0.6343115003</v>
      </c>
      <c r="K1710" s="1">
        <f>value(CNY!$B1710)</f>
        <v>2103.784</v>
      </c>
      <c r="L1710" s="1">
        <f>value(HKD!$B1710)</f>
        <v>1651.471528</v>
      </c>
      <c r="M1710" s="1">
        <f>value(TWD!$B1710)</f>
        <v>405.6624</v>
      </c>
      <c r="N1710" s="1">
        <f>value(JPY!$B1710)</f>
        <v>108.9628059</v>
      </c>
      <c r="O1710" s="1">
        <f>value(SAR!$B1710)</f>
        <v>3448.505957</v>
      </c>
      <c r="P1710" s="1">
        <f>value(AED!$B1710)</f>
        <v>3670.3473</v>
      </c>
      <c r="Q1710" s="1">
        <f>value(KWD!$B1710)</f>
        <v>44472.7002</v>
      </c>
    </row>
    <row r="1711">
      <c r="A1711" s="4">
        <f>value(USD!A1711)</f>
        <v>42021.99861</v>
      </c>
      <c r="B1711" s="1">
        <f>value(USD!B1711)</f>
        <v>12820.51</v>
      </c>
      <c r="C1711" s="1">
        <f>value(AUD!$B1711)</f>
        <v>9902.1134</v>
      </c>
      <c r="D1711" s="1">
        <f>value(EUR!$B1711)</f>
        <v>14643.0957</v>
      </c>
      <c r="E1711" s="1">
        <f>value(GBP!$B1711)</f>
        <v>19054.881</v>
      </c>
      <c r="F1711" s="1">
        <f>value(CHF!$B1711)</f>
        <v>14193.98732</v>
      </c>
      <c r="G1711" s="1">
        <f>value(SGD!$B1711)</f>
        <v>9469.2162</v>
      </c>
      <c r="H1711" s="1">
        <f>value(MYR!$B1711)</f>
        <v>3471.4818</v>
      </c>
      <c r="I1711" s="1">
        <f>value(THB!$B1711)</f>
        <v>387.2358</v>
      </c>
      <c r="J1711" s="1">
        <f>value(VND!$B1711)</f>
        <v>0.6298137094</v>
      </c>
      <c r="K1711" s="1">
        <f>value(CNY!$B1711)</f>
        <v>2102.1954</v>
      </c>
      <c r="L1711" s="1">
        <f>value(HKD!$B1711)</f>
        <v>1629.0174</v>
      </c>
      <c r="M1711" s="1">
        <f>value(TWD!$B1711)</f>
        <v>408.1292</v>
      </c>
      <c r="N1711" s="1">
        <f>value(JPY!$B1711)</f>
        <v>107.272905</v>
      </c>
      <c r="O1711" s="1">
        <f>value(SAR!$B1711)</f>
        <v>3455.56854</v>
      </c>
      <c r="P1711" s="1">
        <f>value(AED!$B1711)</f>
        <v>3679.05706</v>
      </c>
      <c r="Q1711" s="1">
        <f>value(KWD!$B1711)</f>
        <v>44505.68414</v>
      </c>
    </row>
    <row r="1712">
      <c r="A1712" s="4">
        <f>value(USD!A1712)</f>
        <v>42022.99861</v>
      </c>
      <c r="B1712" s="1">
        <f>value(USD!B1712)</f>
        <v>12804.09</v>
      </c>
      <c r="C1712" s="1">
        <f>value(AUD!$B1712)</f>
        <v>9820.8719</v>
      </c>
      <c r="D1712" s="1">
        <f>value(EUR!$B1712)</f>
        <v>14502.829</v>
      </c>
      <c r="E1712" s="1">
        <f>value(GBP!$B1712)</f>
        <v>19022.6366</v>
      </c>
      <c r="F1712" s="1">
        <f>value(CHF!$B1712)</f>
        <v>13846.8343</v>
      </c>
      <c r="G1712" s="1">
        <f>value(SGD!$B1712)</f>
        <v>9383.814</v>
      </c>
      <c r="H1712" s="1">
        <f>value(MYR!$B1712)</f>
        <v>3398.52348</v>
      </c>
      <c r="I1712" s="1">
        <f>value(THB!$B1712)</f>
        <v>383.64348</v>
      </c>
      <c r="J1712" s="1">
        <f>value(VND!$B1712)</f>
        <v>0.6416459316</v>
      </c>
      <c r="K1712" s="1">
        <f>value(CNY!$B1712)</f>
        <v>2106.4356</v>
      </c>
      <c r="L1712" s="1">
        <f>value(HKD!$B1712)</f>
        <v>1620.24676</v>
      </c>
      <c r="M1712" s="1">
        <f>value(TWD!$B1712)</f>
        <v>402.74829</v>
      </c>
      <c r="N1712" s="1">
        <f>value(JPY!$B1712)</f>
        <v>105.8549492</v>
      </c>
      <c r="O1712" s="1">
        <f>value(SAR!$B1712)</f>
        <v>3460.369052</v>
      </c>
      <c r="P1712" s="1">
        <f>value(AED!$B1712)</f>
        <v>3664.9037</v>
      </c>
      <c r="Q1712" s="1">
        <f>value(KWD!$B1712)</f>
        <v>44557.29327</v>
      </c>
    </row>
    <row r="1713">
      <c r="A1713" s="4">
        <f>value(USD!A1713)</f>
        <v>42023.99861</v>
      </c>
      <c r="B1713" s="1">
        <f>value(USD!B1713)</f>
        <v>12630</v>
      </c>
      <c r="C1713" s="1">
        <f>value(AUD!$B1713)</f>
        <v>9928.385808</v>
      </c>
      <c r="D1713" s="1">
        <f>value(EUR!$B1713)</f>
        <v>14472.98685</v>
      </c>
      <c r="E1713" s="1">
        <f>value(GBP!$B1713)</f>
        <v>18874.62765</v>
      </c>
      <c r="F1713" s="1">
        <f>value(CHF!$B1713)</f>
        <v>13844.4</v>
      </c>
      <c r="G1713" s="1">
        <f>value(SGD!$B1713)</f>
        <v>9327.93345</v>
      </c>
      <c r="H1713" s="1">
        <f>value(MYR!$B1713)</f>
        <v>3395.34135</v>
      </c>
      <c r="I1713" s="1">
        <f>value(THB!$B1713)</f>
        <v>382.1769</v>
      </c>
      <c r="J1713" s="1">
        <f>value(VND!$B1713)</f>
        <v>0.6456062461</v>
      </c>
      <c r="K1713" s="1">
        <f>value(CNY!$B1713)</f>
        <v>2121.646349</v>
      </c>
      <c r="L1713" s="1">
        <f>value(HKD!$B1713)</f>
        <v>1607.985</v>
      </c>
      <c r="M1713" s="1">
        <f>value(TWD!$B1713)</f>
        <v>399.1386</v>
      </c>
      <c r="N1713" s="1">
        <f>value(JPY!$B1713)</f>
        <v>105.748074</v>
      </c>
      <c r="O1713" s="1">
        <f>value(SAR!$B1713)</f>
        <v>3432.90344</v>
      </c>
      <c r="P1713" s="1">
        <f>value(AED!$B1713)</f>
        <v>3670.74675</v>
      </c>
      <c r="Q1713" s="1">
        <f>value(KWD!$B1713)</f>
        <v>45000.48301</v>
      </c>
    </row>
    <row r="1714">
      <c r="A1714" s="4">
        <f>value(USD!A1714)</f>
        <v>42024.99861</v>
      </c>
      <c r="B1714" s="1">
        <f>value(USD!B1714)</f>
        <v>12562</v>
      </c>
      <c r="C1714" s="1">
        <f>value(AUD!$B1714)</f>
        <v>9781.9233</v>
      </c>
      <c r="D1714" s="1">
        <f>value(EUR!$B1714)</f>
        <v>14070.37125</v>
      </c>
      <c r="E1714" s="1">
        <f>value(GBP!$B1714)</f>
        <v>18615.06705</v>
      </c>
      <c r="F1714" s="1">
        <f>value(CHF!$B1714)</f>
        <v>13729.1465</v>
      </c>
      <c r="G1714" s="1">
        <f>value(SGD!$B1714)</f>
        <v>9253.01355</v>
      </c>
      <c r="H1714" s="1">
        <f>value(MYR!$B1714)</f>
        <v>3297.7452</v>
      </c>
      <c r="I1714" s="1">
        <f>value(THB!$B1714)</f>
        <v>380.5854</v>
      </c>
      <c r="J1714" s="1">
        <f>value(VND!$B1714)</f>
        <v>0.6403473007</v>
      </c>
      <c r="K1714" s="1">
        <f>value(CNY!$B1714)</f>
        <v>2118.724703</v>
      </c>
      <c r="L1714" s="1">
        <f>value(HKD!$B1714)</f>
        <v>1600.12095</v>
      </c>
      <c r="M1714" s="1">
        <f>value(TWD!$B1714)</f>
        <v>403.72292</v>
      </c>
      <c r="N1714" s="1">
        <f>value(JPY!$B1714)</f>
        <v>104.4501</v>
      </c>
      <c r="O1714" s="1">
        <f>value(SAR!$B1714)</f>
        <v>3471.981133</v>
      </c>
      <c r="P1714" s="1">
        <f>value(AED!$B1714)</f>
        <v>3665.44806</v>
      </c>
      <c r="Q1714" s="1">
        <f>value(KWD!$B1714)</f>
        <v>45526.80752</v>
      </c>
    </row>
    <row r="1715">
      <c r="A1715" s="4">
        <f>value(USD!A1715)</f>
        <v>42025.99861</v>
      </c>
      <c r="B1715" s="1">
        <f>value(USD!B1715)</f>
        <v>12465</v>
      </c>
      <c r="C1715" s="1">
        <f>value(AUD!$B1715)</f>
        <v>9974.932</v>
      </c>
      <c r="D1715" s="1">
        <f>value(EUR!$B1715)</f>
        <v>13917.73536</v>
      </c>
      <c r="E1715" s="1">
        <f>value(GBP!$B1715)</f>
        <v>18620.8347</v>
      </c>
      <c r="F1715" s="1">
        <f>value(CHF!$B1715)</f>
        <v>13623.366</v>
      </c>
      <c r="G1715" s="1">
        <f>value(SGD!$B1715)</f>
        <v>9235.00974</v>
      </c>
      <c r="H1715" s="1">
        <f>value(MYR!$B1715)</f>
        <v>3392.59707</v>
      </c>
      <c r="I1715" s="1">
        <f>value(THB!$B1715)</f>
        <v>381.13764</v>
      </c>
      <c r="J1715" s="1">
        <f>value(VND!$B1715)</f>
        <v>0.644300754</v>
      </c>
      <c r="K1715" s="1">
        <f>value(CNY!$B1715)</f>
        <v>2106.7137</v>
      </c>
      <c r="L1715" s="1">
        <f>value(HKD!$B1715)</f>
        <v>1602.19431</v>
      </c>
      <c r="M1715" s="1">
        <f>value(TWD!$B1715)</f>
        <v>404.9241</v>
      </c>
      <c r="N1715" s="1">
        <f>value(JPY!$B1715)</f>
        <v>105.47127</v>
      </c>
      <c r="O1715" s="1">
        <f>value(SAR!$B1715)</f>
        <v>3472.826783</v>
      </c>
      <c r="P1715" s="1">
        <f>value(AED!$B1715)</f>
        <v>3703.96125</v>
      </c>
      <c r="Q1715" s="1">
        <f>value(KWD!$B1715)</f>
        <v>45281.45315</v>
      </c>
    </row>
    <row r="1716">
      <c r="A1716" s="4">
        <f>value(USD!A1716)</f>
        <v>42026.99861</v>
      </c>
      <c r="B1716" s="1">
        <f>value(USD!B1716)</f>
        <v>12405</v>
      </c>
      <c r="C1716" s="1">
        <f>value(AUD!$B1716)</f>
        <v>9999.486</v>
      </c>
      <c r="D1716" s="1">
        <f>value(EUR!$B1716)</f>
        <v>14028.30528</v>
      </c>
      <c r="E1716" s="1">
        <f>value(GBP!$B1716)</f>
        <v>18762.10831</v>
      </c>
      <c r="F1716" s="1">
        <f>value(CHF!$B1716)</f>
        <v>13813.323</v>
      </c>
      <c r="G1716" s="1">
        <f>value(SGD!$B1716)</f>
        <v>9303.876463</v>
      </c>
      <c r="H1716" s="1">
        <f>value(MYR!$B1716)</f>
        <v>3417.896127</v>
      </c>
      <c r="I1716" s="1">
        <f>value(THB!$B1716)</f>
        <v>383.9798352</v>
      </c>
      <c r="J1716" s="1">
        <f>value(VND!$B1716)</f>
        <v>0.6433025968</v>
      </c>
      <c r="K1716" s="1">
        <f>value(CNY!$B1716)</f>
        <v>2099.3312</v>
      </c>
      <c r="L1716" s="1">
        <f>value(HKD!$B1716)</f>
        <v>1614.14209</v>
      </c>
      <c r="M1716" s="1">
        <f>value(TWD!$B1716)</f>
        <v>407.29485</v>
      </c>
      <c r="N1716" s="1">
        <f>value(JPY!$B1716)</f>
        <v>106.2577836</v>
      </c>
      <c r="O1716" s="1">
        <f>value(SAR!$B1716)</f>
        <v>3495.168902</v>
      </c>
      <c r="P1716" s="1">
        <f>value(AED!$B1716)</f>
        <v>3741.1141</v>
      </c>
      <c r="Q1716" s="1">
        <f>value(KWD!$B1716)</f>
        <v>45421.41929</v>
      </c>
    </row>
    <row r="1717">
      <c r="A1717" s="4">
        <f>value(USD!A1717)</f>
        <v>42027.99861</v>
      </c>
      <c r="B1717" s="1">
        <f>value(USD!B1717)</f>
        <v>12423</v>
      </c>
      <c r="C1717" s="1">
        <f>value(AUD!$B1717)</f>
        <v>10043.8575</v>
      </c>
      <c r="D1717" s="1">
        <f>value(EUR!$B1717)</f>
        <v>13930.40794</v>
      </c>
      <c r="E1717" s="1">
        <f>value(GBP!$B1717)</f>
        <v>18764.19842</v>
      </c>
      <c r="F1717" s="1">
        <f>value(CHF!$B1717)</f>
        <v>13901.53041</v>
      </c>
      <c r="G1717" s="1">
        <f>value(SGD!$B1717)</f>
        <v>9283.726282</v>
      </c>
      <c r="H1717" s="1">
        <f>value(MYR!$B1717)</f>
        <v>3392.990004</v>
      </c>
      <c r="I1717" s="1">
        <f>value(THB!$B1717)</f>
        <v>381.2263944</v>
      </c>
      <c r="J1717" s="1">
        <f>value(VND!$B1717)</f>
        <v>0.645030057</v>
      </c>
      <c r="K1717" s="1">
        <f>value(CNY!$B1717)</f>
        <v>2067.884</v>
      </c>
      <c r="L1717" s="1">
        <f>value(HKD!$B1717)</f>
        <v>1614.267247</v>
      </c>
      <c r="M1717" s="1">
        <f>value(TWD!$B1717)</f>
        <v>405.01893</v>
      </c>
      <c r="N1717" s="1">
        <f>value(JPY!$B1717)</f>
        <v>106.6332528</v>
      </c>
      <c r="O1717" s="1">
        <f>value(SAR!$B1717)</f>
        <v>3479.478336</v>
      </c>
      <c r="P1717" s="1">
        <f>value(AED!$B1717)</f>
        <v>3722.0615</v>
      </c>
      <c r="Q1717" s="1">
        <f>value(KWD!$B1717)</f>
        <v>45746.22399</v>
      </c>
    </row>
    <row r="1718">
      <c r="A1718" s="4">
        <f>value(USD!A1718)</f>
        <v>42028.99861</v>
      </c>
      <c r="B1718" s="1">
        <f>value(USD!B1718)</f>
        <v>12515.64</v>
      </c>
      <c r="C1718" s="1">
        <f>value(AUD!$B1718)</f>
        <v>10045.64826</v>
      </c>
      <c r="D1718" s="1">
        <f>value(EUR!$B1718)</f>
        <v>14045.75221</v>
      </c>
      <c r="E1718" s="1">
        <f>value(GBP!$B1718)</f>
        <v>18835.14106</v>
      </c>
      <c r="F1718" s="1">
        <f>value(CHF!$B1718)</f>
        <v>13875.95497</v>
      </c>
      <c r="G1718" s="1">
        <f>value(SGD!$B1718)</f>
        <v>9290.328</v>
      </c>
      <c r="H1718" s="1">
        <f>value(MYR!$B1718)</f>
        <v>3390.71998</v>
      </c>
      <c r="I1718" s="1">
        <f>value(THB!$B1718)</f>
        <v>383.22603</v>
      </c>
      <c r="J1718" s="1">
        <f>value(VND!$B1718)</f>
        <v>0.6461663471</v>
      </c>
      <c r="K1718" s="1">
        <f>value(CNY!$B1718)</f>
        <v>2107.43062</v>
      </c>
      <c r="L1718" s="1">
        <f>value(HKD!$B1718)</f>
        <v>1610.57326</v>
      </c>
      <c r="M1718" s="1">
        <f>value(TWD!$B1718)</f>
        <v>406.5046</v>
      </c>
      <c r="N1718" s="1">
        <f>value(JPY!$B1718)</f>
        <v>105.3290937</v>
      </c>
      <c r="O1718" s="1">
        <f>value(SAR!$B1718)</f>
        <v>3515.937742</v>
      </c>
      <c r="P1718" s="1">
        <f>value(AED!$B1718)</f>
        <v>3733.223</v>
      </c>
      <c r="Q1718" s="1">
        <f>value(KWD!$B1718)</f>
        <v>45738.0874</v>
      </c>
    </row>
    <row r="1719">
      <c r="A1719" s="4">
        <f>value(USD!A1719)</f>
        <v>42029.99861</v>
      </c>
      <c r="B1719" s="1">
        <f>value(USD!B1719)</f>
        <v>12515.64</v>
      </c>
      <c r="C1719" s="1">
        <f>value(AUD!$B1719)</f>
        <v>10095.23584</v>
      </c>
      <c r="D1719" s="1">
        <f>value(EUR!$B1719)</f>
        <v>14150.67</v>
      </c>
      <c r="E1719" s="1">
        <f>value(GBP!$B1719)</f>
        <v>18905.325</v>
      </c>
      <c r="F1719" s="1">
        <f>value(CHF!$B1719)</f>
        <v>13635.1035</v>
      </c>
      <c r="G1719" s="1">
        <f>value(SGD!$B1719)</f>
        <v>9293.925</v>
      </c>
      <c r="H1719" s="1">
        <f>value(MYR!$B1719)</f>
        <v>3418.8945</v>
      </c>
      <c r="I1719" s="1">
        <f>value(THB!$B1719)</f>
        <v>382.464</v>
      </c>
      <c r="J1719" s="1">
        <f>value(VND!$B1719)</f>
        <v>0.6502009248</v>
      </c>
      <c r="K1719" s="1">
        <f>value(CNY!$B1719)</f>
        <v>2099.23925</v>
      </c>
      <c r="L1719" s="1">
        <f>value(HKD!$B1719)</f>
        <v>1605.801</v>
      </c>
      <c r="M1719" s="1">
        <f>value(TWD!$B1719)</f>
        <v>403.87332</v>
      </c>
      <c r="N1719" s="1">
        <f>value(JPY!$B1719)</f>
        <v>105.691785</v>
      </c>
      <c r="O1719" s="1">
        <f>value(SAR!$B1719)</f>
        <v>3509.076284</v>
      </c>
      <c r="P1719" s="1">
        <f>value(AED!$B1719)</f>
        <v>3764.2494</v>
      </c>
      <c r="Q1719" s="1">
        <f>value(KWD!$B1719)</f>
        <v>45524.67351</v>
      </c>
    </row>
    <row r="1720">
      <c r="A1720" s="4">
        <f>value(USD!A1720)</f>
        <v>42030.99861</v>
      </c>
      <c r="B1720" s="1">
        <f>value(USD!B1720)</f>
        <v>12487</v>
      </c>
      <c r="C1720" s="1">
        <f>value(AUD!$B1720)</f>
        <v>10028.228</v>
      </c>
      <c r="D1720" s="1">
        <f>value(EUR!$B1720)</f>
        <v>14054.222</v>
      </c>
      <c r="E1720" s="1">
        <f>value(GBP!$B1720)</f>
        <v>18857.8664</v>
      </c>
      <c r="F1720" s="1">
        <f>value(CHF!$B1720)</f>
        <v>13592.3175</v>
      </c>
      <c r="G1720" s="1">
        <f>value(SGD!$B1720)</f>
        <v>9199.13845</v>
      </c>
      <c r="H1720" s="1">
        <f>value(MYR!$B1720)</f>
        <v>3352.886</v>
      </c>
      <c r="I1720" s="1">
        <f>value(THB!$B1720)</f>
        <v>382.3685</v>
      </c>
      <c r="J1720" s="1">
        <f>value(VND!$B1720)</f>
        <v>0.6490744797</v>
      </c>
      <c r="K1720" s="1">
        <f>value(CNY!$B1720)</f>
        <v>2101.302226</v>
      </c>
      <c r="L1720" s="1">
        <f>value(HKD!$B1720)</f>
        <v>1606.57045</v>
      </c>
      <c r="M1720" s="1">
        <f>value(TWD!$B1720)</f>
        <v>407.63205</v>
      </c>
      <c r="N1720" s="1">
        <f>value(JPY!$B1720)</f>
        <v>105.9135835</v>
      </c>
      <c r="O1720" s="1">
        <f>value(SAR!$B1720)</f>
        <v>3497.597373</v>
      </c>
      <c r="P1720" s="1">
        <f>value(AED!$B1720)</f>
        <v>3763.70504</v>
      </c>
      <c r="Q1720" s="1">
        <f>value(KWD!$B1720)</f>
        <v>46014.90388</v>
      </c>
    </row>
    <row r="1721">
      <c r="A1721" s="4">
        <f>value(USD!A1721)</f>
        <v>42031.99861</v>
      </c>
      <c r="B1721" s="1">
        <f>value(USD!B1721)</f>
        <v>12450</v>
      </c>
      <c r="C1721" s="1">
        <f>value(AUD!$B1721)</f>
        <v>10021.3307</v>
      </c>
      <c r="D1721" s="1">
        <f>value(EUR!$B1721)</f>
        <v>14246.838</v>
      </c>
      <c r="E1721" s="1">
        <f>value(GBP!$B1721)</f>
        <v>18951.789</v>
      </c>
      <c r="F1721" s="1">
        <f>value(CHF!$B1721)</f>
        <v>13626.1625</v>
      </c>
      <c r="G1721" s="1">
        <f>value(SGD!$B1721)</f>
        <v>9287.3445</v>
      </c>
      <c r="H1721" s="1">
        <f>value(MYR!$B1721)</f>
        <v>3403.956</v>
      </c>
      <c r="I1721" s="1">
        <f>value(THB!$B1721)</f>
        <v>383.2593</v>
      </c>
      <c r="J1721" s="1">
        <f>value(VND!$B1721)</f>
        <v>0.6421541962</v>
      </c>
      <c r="K1721" s="1">
        <f>value(CNY!$B1721)</f>
        <v>2102.084494</v>
      </c>
      <c r="L1721" s="1">
        <f>value(HKD!$B1721)</f>
        <v>1621.4043</v>
      </c>
      <c r="M1721" s="1">
        <f>value(TWD!$B1721)</f>
        <v>408.08118</v>
      </c>
      <c r="N1721" s="1">
        <f>value(JPY!$B1721)</f>
        <v>106.274322</v>
      </c>
      <c r="O1721" s="1">
        <f>value(SAR!$B1721)</f>
        <v>3474.395134</v>
      </c>
      <c r="P1721" s="1">
        <f>value(AED!$B1721)</f>
        <v>3741.93064</v>
      </c>
      <c r="Q1721" s="1">
        <f>value(KWD!$B1721)</f>
        <v>45878.71702</v>
      </c>
    </row>
    <row r="1722">
      <c r="A1722" s="4">
        <f>value(USD!A1722)</f>
        <v>42032.99861</v>
      </c>
      <c r="B1722" s="1">
        <f>value(USD!B1722)</f>
        <v>12455</v>
      </c>
      <c r="C1722" s="1">
        <f>value(AUD!$B1722)</f>
        <v>10132.311</v>
      </c>
      <c r="D1722" s="1">
        <f>value(EUR!$B1722)</f>
        <v>14367.078</v>
      </c>
      <c r="E1722" s="1">
        <f>value(GBP!$B1722)</f>
        <v>19180.291</v>
      </c>
      <c r="F1722" s="1">
        <f>value(CHF!$B1722)</f>
        <v>13649.3428</v>
      </c>
      <c r="G1722" s="1">
        <f>value(SGD!$B1722)</f>
        <v>9397.6679</v>
      </c>
      <c r="H1722" s="1">
        <f>value(MYR!$B1722)</f>
        <v>3424.7519</v>
      </c>
      <c r="I1722" s="1">
        <f>value(THB!$B1722)</f>
        <v>388.0104</v>
      </c>
      <c r="J1722" s="1">
        <f>value(VND!$B1722)</f>
        <v>0.6512479635</v>
      </c>
      <c r="K1722" s="1">
        <f>value(CNY!$B1722)</f>
        <v>2082.14041</v>
      </c>
      <c r="L1722" s="1">
        <f>value(HKD!$B1722)</f>
        <v>1642.0427</v>
      </c>
      <c r="M1722" s="1">
        <f>value(TWD!$B1722)</f>
        <v>411.92172</v>
      </c>
      <c r="N1722" s="1">
        <f>value(JPY!$B1722)</f>
        <v>108.205</v>
      </c>
      <c r="O1722" s="1">
        <f>value(SAR!$B1722)</f>
        <v>3479.478336</v>
      </c>
      <c r="P1722" s="1">
        <f>value(AED!$B1722)</f>
        <v>3779.2193</v>
      </c>
      <c r="Q1722" s="1">
        <f>value(KWD!$B1722)</f>
        <v>46329.26892</v>
      </c>
    </row>
    <row r="1723">
      <c r="A1723" s="4">
        <f>value(USD!A1723)</f>
        <v>42033.99861</v>
      </c>
      <c r="B1723" s="1">
        <f>value(USD!B1723)</f>
        <v>12570</v>
      </c>
      <c r="C1723" s="1">
        <f>value(AUD!$B1723)</f>
        <v>10032.57424</v>
      </c>
      <c r="D1723" s="1">
        <f>value(EUR!$B1723)</f>
        <v>14432.22079</v>
      </c>
      <c r="E1723" s="1">
        <f>value(GBP!$B1723)</f>
        <v>19267.25772</v>
      </c>
      <c r="F1723" s="1">
        <f>value(CHF!$B1723)</f>
        <v>13615.8474</v>
      </c>
      <c r="G1723" s="1">
        <f>value(SGD!$B1723)</f>
        <v>9440.278535</v>
      </c>
      <c r="H1723" s="1">
        <f>value(MYR!$B1723)</f>
        <v>3440.919697</v>
      </c>
      <c r="I1723" s="1">
        <f>value(THB!$B1723)</f>
        <v>389.8975828</v>
      </c>
      <c r="J1723" s="1">
        <f>value(VND!$B1723)</f>
        <v>0.6542182766</v>
      </c>
      <c r="K1723" s="1">
        <f>value(CNY!$B1723)</f>
        <v>2078.4793</v>
      </c>
      <c r="L1723" s="1">
        <f>value(HKD!$B1723)</f>
        <v>1649.360125</v>
      </c>
      <c r="M1723" s="1">
        <f>value(TWD!$B1723)</f>
        <v>411.6816</v>
      </c>
      <c r="N1723" s="1">
        <f>value(JPY!$B1723)</f>
        <v>108.8234972</v>
      </c>
      <c r="O1723" s="1">
        <f>value(SAR!$B1723)</f>
        <v>3514.27111</v>
      </c>
      <c r="P1723" s="1">
        <f>value(AED!$B1723)</f>
        <v>3760.1667</v>
      </c>
      <c r="Q1723" s="1">
        <f>value(KWD!$B1723)</f>
        <v>45895.9572</v>
      </c>
    </row>
    <row r="1724">
      <c r="A1724" s="4">
        <f>value(USD!A1724)</f>
        <v>42034.99861</v>
      </c>
      <c r="B1724" s="1">
        <f>value(USD!B1724)</f>
        <v>12730</v>
      </c>
      <c r="C1724" s="1">
        <f>value(AUD!$B1724)</f>
        <v>10131.2757</v>
      </c>
      <c r="D1724" s="1">
        <f>value(EUR!$B1724)</f>
        <v>14459.075</v>
      </c>
      <c r="E1724" s="1">
        <f>value(GBP!$B1724)</f>
        <v>19288.99684</v>
      </c>
      <c r="F1724" s="1">
        <f>value(CHF!$B1724)</f>
        <v>13979.26611</v>
      </c>
      <c r="G1724" s="1">
        <f>value(SGD!$B1724)</f>
        <v>9454.600782</v>
      </c>
      <c r="H1724" s="1">
        <f>value(MYR!$B1724)</f>
        <v>3447.18568</v>
      </c>
      <c r="I1724" s="1">
        <f>value(THB!$B1724)</f>
        <v>390.5369688</v>
      </c>
      <c r="J1724" s="1">
        <f>value(VND!$B1724)</f>
        <v>0.6600488336</v>
      </c>
      <c r="K1724" s="1">
        <f>value(CNY!$B1724)</f>
        <v>2080.3077</v>
      </c>
      <c r="L1724" s="1">
        <f>value(HKD!$B1724)</f>
        <v>1649.360125</v>
      </c>
      <c r="M1724" s="1">
        <f>value(TWD!$B1724)</f>
        <v>411.6678</v>
      </c>
      <c r="N1724" s="1">
        <f>value(JPY!$B1724)</f>
        <v>109.0792516</v>
      </c>
      <c r="O1724" s="1">
        <f>value(SAR!$B1724)</f>
        <v>3515.122279</v>
      </c>
      <c r="P1724" s="1">
        <f>value(AED!$B1724)</f>
        <v>3787.3847</v>
      </c>
      <c r="Q1724" s="1">
        <f>value(KWD!$B1724)</f>
        <v>46255.78992</v>
      </c>
    </row>
    <row r="1725">
      <c r="A1725" s="4">
        <f>value(USD!A1725)</f>
        <v>42035.99861</v>
      </c>
      <c r="B1725" s="1">
        <f>value(USD!B1725)</f>
        <v>12787.72</v>
      </c>
      <c r="C1725" s="1">
        <f>value(AUD!$B1725)</f>
        <v>10121.0654</v>
      </c>
      <c r="D1725" s="1">
        <f>value(EUR!$B1725)</f>
        <v>14338.29195</v>
      </c>
      <c r="E1725" s="1">
        <f>value(GBP!$B1725)</f>
        <v>18999.23895</v>
      </c>
      <c r="F1725" s="1">
        <f>value(CHF!$B1725)</f>
        <v>13688.332</v>
      </c>
      <c r="G1725" s="1">
        <f>value(SGD!$B1725)</f>
        <v>9349.713</v>
      </c>
      <c r="H1725" s="1">
        <f>value(MYR!$B1725)</f>
        <v>3420.2196</v>
      </c>
      <c r="I1725" s="1">
        <f>value(THB!$B1725)</f>
        <v>387.6957</v>
      </c>
      <c r="J1725" s="1">
        <f>value(VND!$B1725)</f>
        <v>0.6617547326</v>
      </c>
      <c r="K1725" s="1">
        <f>value(CNY!$B1725)</f>
        <v>2095.3906</v>
      </c>
      <c r="L1725" s="1">
        <f>value(HKD!$B1725)</f>
        <v>1630.6992</v>
      </c>
      <c r="M1725" s="1">
        <f>value(TWD!$B1725)</f>
        <v>413.48655</v>
      </c>
      <c r="N1725" s="1">
        <f>value(JPY!$B1725)</f>
        <v>107.5292865</v>
      </c>
      <c r="O1725" s="1">
        <f>value(SAR!$B1725)</f>
        <v>3474.187137</v>
      </c>
      <c r="P1725" s="1">
        <f>value(AED!$B1725)</f>
        <v>3755.946</v>
      </c>
      <c r="Q1725" s="1">
        <f>value(KWD!$B1725)</f>
        <v>45795.56499</v>
      </c>
    </row>
    <row r="1726">
      <c r="A1726" s="4">
        <f>value(USD!A1726)</f>
        <v>42036.99861</v>
      </c>
      <c r="B1726" s="1">
        <f>value(USD!B1726)</f>
        <v>12787.72</v>
      </c>
      <c r="C1726" s="1">
        <f>value(AUD!$B1726)</f>
        <v>10077.6225</v>
      </c>
      <c r="D1726" s="1">
        <f>value(EUR!$B1726)</f>
        <v>14408.05775</v>
      </c>
      <c r="E1726" s="1">
        <f>value(GBP!$B1726)</f>
        <v>19038.55</v>
      </c>
      <c r="F1726" s="1">
        <f>value(CHF!$B1726)</f>
        <v>13728.6149</v>
      </c>
      <c r="G1726" s="1">
        <f>value(SGD!$B1726)</f>
        <v>9339.9555</v>
      </c>
      <c r="H1726" s="1">
        <f>value(MYR!$B1726)</f>
        <v>3434.484</v>
      </c>
      <c r="I1726" s="1">
        <f>value(THB!$B1726)</f>
        <v>385.5495</v>
      </c>
      <c r="J1726" s="1">
        <f>value(VND!$B1726)</f>
        <v>0.6630508458</v>
      </c>
      <c r="K1726" s="1">
        <f>value(CNY!$B1726)</f>
        <v>2096.8101</v>
      </c>
      <c r="L1726" s="1">
        <f>value(HKD!$B1726)</f>
        <v>1621.54625</v>
      </c>
      <c r="M1726" s="1">
        <f>value(TWD!$B1726)</f>
        <v>409.446</v>
      </c>
      <c r="N1726" s="1">
        <f>value(JPY!$B1726)</f>
        <v>106.8686375</v>
      </c>
      <c r="O1726" s="1">
        <f>value(SAR!$B1726)</f>
        <v>3499.572791</v>
      </c>
      <c r="P1726" s="1">
        <f>value(AED!$B1726)</f>
        <v>3799.6328</v>
      </c>
      <c r="Q1726" s="1">
        <f>value(KWD!$B1726)</f>
        <v>46105.3905</v>
      </c>
    </row>
    <row r="1727">
      <c r="A1727" s="4">
        <f>value(USD!A1727)</f>
        <v>42037.99861</v>
      </c>
      <c r="B1727" s="1">
        <f>value(USD!B1727)</f>
        <v>12645</v>
      </c>
      <c r="C1727" s="1">
        <f>value(AUD!$B1727)</f>
        <v>10138.9084</v>
      </c>
      <c r="D1727" s="1">
        <f>value(EUR!$B1727)</f>
        <v>14286.45</v>
      </c>
      <c r="E1727" s="1">
        <f>value(GBP!$B1727)</f>
        <v>19159.7</v>
      </c>
      <c r="F1727" s="1">
        <f>value(CHF!$B1727)</f>
        <v>13783.302</v>
      </c>
      <c r="G1727" s="1">
        <f>value(SGD!$B1727)</f>
        <v>9361.9425</v>
      </c>
      <c r="H1727" s="1">
        <f>value(MYR!$B1727)</f>
        <v>3436.90375</v>
      </c>
      <c r="I1727" s="1">
        <f>value(THB!$B1727)</f>
        <v>387.0825</v>
      </c>
      <c r="J1727" s="1">
        <f>value(VND!$B1727)</f>
        <v>0.6600586996</v>
      </c>
      <c r="K1727" s="1">
        <f>value(CNY!$B1727)</f>
        <v>2113.796916</v>
      </c>
      <c r="L1727" s="1">
        <f>value(HKD!$B1727)</f>
        <v>1628.49875</v>
      </c>
      <c r="M1727" s="1">
        <f>value(TWD!$B1727)</f>
        <v>414.354</v>
      </c>
      <c r="N1727" s="1">
        <f>value(JPY!$B1727)</f>
        <v>107.6192875</v>
      </c>
      <c r="O1727" s="1">
        <f>value(SAR!$B1727)</f>
        <v>3504.093337</v>
      </c>
      <c r="P1727" s="1">
        <f>value(AED!$B1727)</f>
        <v>3754.86105</v>
      </c>
      <c r="Q1727" s="1">
        <f>value(KWD!$B1727)</f>
        <v>46406.78</v>
      </c>
    </row>
    <row r="1728">
      <c r="A1728" s="4">
        <f>value(USD!A1728)</f>
        <v>42038.99861</v>
      </c>
      <c r="B1728" s="1">
        <f>value(USD!B1728)</f>
        <v>12575</v>
      </c>
      <c r="C1728" s="1">
        <f>value(AUD!$B1728)</f>
        <v>10178.2506</v>
      </c>
      <c r="D1728" s="1">
        <f>value(EUR!$B1728)</f>
        <v>14438.67357</v>
      </c>
      <c r="E1728" s="1">
        <f>value(GBP!$B1728)</f>
        <v>19285.8014</v>
      </c>
      <c r="F1728" s="1">
        <f>value(CHF!$B1728)</f>
        <v>13722.642</v>
      </c>
      <c r="G1728" s="1">
        <f>value(SGD!$B1728)</f>
        <v>9358.81211</v>
      </c>
      <c r="H1728" s="1">
        <f>value(MYR!$B1728)</f>
        <v>3470.48764</v>
      </c>
      <c r="I1728" s="1">
        <f>value(THB!$B1728)</f>
        <v>385.66568</v>
      </c>
      <c r="J1728" s="1">
        <f>value(VND!$B1728)</f>
        <v>0.6643612626</v>
      </c>
      <c r="K1728" s="1">
        <f>value(CNY!$B1728)</f>
        <v>2113.00848</v>
      </c>
      <c r="L1728" s="1">
        <f>value(HKD!$B1728)</f>
        <v>1623.47126</v>
      </c>
      <c r="M1728" s="1">
        <f>value(TWD!$B1728)</f>
        <v>414.67556</v>
      </c>
      <c r="N1728" s="1">
        <f>value(JPY!$B1728)</f>
        <v>107.0662807</v>
      </c>
      <c r="O1728" s="1">
        <f>value(SAR!$B1728)</f>
        <v>3516.738639</v>
      </c>
      <c r="P1728" s="1">
        <f>value(AED!$B1728)</f>
        <v>3786.1629</v>
      </c>
      <c r="Q1728" s="1">
        <f>value(KWD!$B1728)</f>
        <v>46388.53029</v>
      </c>
    </row>
    <row r="1729">
      <c r="A1729" s="4">
        <f>value(USD!A1729)</f>
        <v>42039.99861</v>
      </c>
      <c r="B1729" s="1">
        <f>value(USD!B1729)</f>
        <v>12625</v>
      </c>
      <c r="C1729" s="1">
        <f>value(AUD!$B1729)</f>
        <v>10039.812</v>
      </c>
      <c r="D1729" s="1">
        <f>value(EUR!$B1729)</f>
        <v>14291.7129</v>
      </c>
      <c r="E1729" s="1">
        <f>value(GBP!$B1729)</f>
        <v>19253.9553</v>
      </c>
      <c r="F1729" s="1">
        <f>value(CHF!$B1729)</f>
        <v>13574.5316</v>
      </c>
      <c r="G1729" s="1">
        <f>value(SGD!$B1729)</f>
        <v>9334.27104</v>
      </c>
      <c r="H1729" s="1">
        <f>value(MYR!$B1729)</f>
        <v>3457.52577</v>
      </c>
      <c r="I1729" s="1">
        <f>value(THB!$B1729)</f>
        <v>386.82246</v>
      </c>
      <c r="J1729" s="1">
        <f>value(VND!$B1729)</f>
        <v>0.6632030576</v>
      </c>
      <c r="K1729" s="1">
        <f>value(CNY!$B1729)</f>
        <v>2107.92309</v>
      </c>
      <c r="L1729" s="1">
        <f>value(HKD!$B1729)</f>
        <v>1629.27801</v>
      </c>
      <c r="M1729" s="1">
        <f>value(TWD!$B1729)</f>
        <v>414.0576</v>
      </c>
      <c r="N1729" s="1">
        <f>value(JPY!$B1729)</f>
        <v>105.99087</v>
      </c>
      <c r="O1729" s="1">
        <f>value(SAR!$B1729)</f>
        <v>3528.767839</v>
      </c>
      <c r="P1729" s="1">
        <f>value(AED!$B1729)</f>
        <v>3810.52</v>
      </c>
      <c r="Q1729" s="1">
        <f>value(KWD!$B1729)</f>
        <v>46550.92365</v>
      </c>
    </row>
    <row r="1730">
      <c r="A1730" s="4">
        <f>value(USD!A1730)</f>
        <v>42040.99861</v>
      </c>
      <c r="B1730" s="1">
        <f>value(USD!B1730)</f>
        <v>12587</v>
      </c>
      <c r="C1730" s="1">
        <f>value(AUD!$B1730)</f>
        <v>10050.8208</v>
      </c>
      <c r="D1730" s="1">
        <f>value(EUR!$B1730)</f>
        <v>14659.25274</v>
      </c>
      <c r="E1730" s="1">
        <f>value(GBP!$B1730)</f>
        <v>19749.88436</v>
      </c>
      <c r="F1730" s="1">
        <f>value(CHF!$B1730)</f>
        <v>13702.93711</v>
      </c>
      <c r="G1730" s="1">
        <f>value(SGD!$B1730)</f>
        <v>9570.978636</v>
      </c>
      <c r="H1730" s="1">
        <f>value(MYR!$B1730)</f>
        <v>3545.205098</v>
      </c>
      <c r="I1730" s="1">
        <f>value(THB!$B1730)</f>
        <v>396.6318832</v>
      </c>
      <c r="J1730" s="1">
        <f>value(VND!$B1730)</f>
        <v>0.6583125874</v>
      </c>
      <c r="K1730" s="1">
        <f>value(CNY!$B1730)</f>
        <v>2105.925</v>
      </c>
      <c r="L1730" s="1">
        <f>value(HKD!$B1730)</f>
        <v>1670.594839</v>
      </c>
      <c r="M1730" s="1">
        <f>value(TWD!$B1730)</f>
        <v>415.276</v>
      </c>
      <c r="N1730" s="1">
        <f>value(JPY!$B1730)</f>
        <v>108.6786904</v>
      </c>
      <c r="O1730" s="1">
        <f>value(SAR!$B1730)</f>
        <v>3516.407121</v>
      </c>
      <c r="P1730" s="1">
        <f>value(AED!$B1730)</f>
        <v>3807.39372</v>
      </c>
      <c r="Q1730" s="1">
        <f>value(KWD!$B1730)</f>
        <v>46585.17877</v>
      </c>
    </row>
    <row r="1731">
      <c r="A1731" s="4">
        <f>value(USD!A1731)</f>
        <v>42041.99861</v>
      </c>
      <c r="B1731" s="1">
        <f>value(USD!B1731)</f>
        <v>12633</v>
      </c>
      <c r="C1731" s="1">
        <f>value(AUD!$B1731)</f>
        <v>10211.63772</v>
      </c>
      <c r="D1731" s="1">
        <f>value(EUR!$B1731)</f>
        <v>14654.13616</v>
      </c>
      <c r="E1731" s="1">
        <f>value(GBP!$B1731)</f>
        <v>19733.14862</v>
      </c>
      <c r="F1731" s="1">
        <f>value(CHF!$B1731)</f>
        <v>13716.10847</v>
      </c>
      <c r="G1731" s="1">
        <f>value(SGD!$B1731)</f>
        <v>9569.553767</v>
      </c>
      <c r="H1731" s="1">
        <f>value(MYR!$B1731)</f>
        <v>3545.205098</v>
      </c>
      <c r="I1731" s="1">
        <f>value(THB!$B1731)</f>
        <v>396.5023496</v>
      </c>
      <c r="J1731" s="1">
        <f>value(VND!$B1731)</f>
        <v>0.6632145354</v>
      </c>
      <c r="K1731" s="1">
        <f>value(CNY!$B1731)</f>
        <v>2091.16204</v>
      </c>
      <c r="L1731" s="1">
        <f>value(HKD!$B1731)</f>
        <v>1670.724372</v>
      </c>
      <c r="M1731" s="1">
        <f>value(TWD!$B1731)</f>
        <v>415.7769</v>
      </c>
      <c r="N1731" s="1">
        <f>value(JPY!$B1731)</f>
        <v>108.8561514</v>
      </c>
      <c r="O1731" s="1">
        <f>value(SAR!$B1731)</f>
        <v>3514.602913</v>
      </c>
      <c r="P1731" s="1">
        <f>value(AED!$B1731)</f>
        <v>3824.129</v>
      </c>
      <c r="Q1731" s="1">
        <f>value(KWD!$B1731)</f>
        <v>47010.09357</v>
      </c>
    </row>
    <row r="1732">
      <c r="A1732" s="4">
        <f>value(USD!A1732)</f>
        <v>42042.99861</v>
      </c>
      <c r="B1732" s="1">
        <f>value(USD!B1732)</f>
        <v>12953.36</v>
      </c>
      <c r="C1732" s="1">
        <f>value(AUD!$B1732)</f>
        <v>10043.9859</v>
      </c>
      <c r="D1732" s="1">
        <f>value(EUR!$B1732)</f>
        <v>14342.0993</v>
      </c>
      <c r="E1732" s="1">
        <f>value(GBP!$B1732)</f>
        <v>19269.67085</v>
      </c>
      <c r="F1732" s="1">
        <f>value(CHF!$B1732)</f>
        <v>13525.803</v>
      </c>
      <c r="G1732" s="1">
        <f>value(SGD!$B1732)</f>
        <v>9351.836</v>
      </c>
      <c r="H1732" s="1">
        <f>value(MYR!$B1732)</f>
        <v>3491.2339</v>
      </c>
      <c r="I1732" s="1">
        <f>value(THB!$B1732)</f>
        <v>387.92895</v>
      </c>
      <c r="J1732" s="1">
        <f>value(VND!$B1732)</f>
        <v>0.6601726687</v>
      </c>
      <c r="K1732" s="1">
        <f>value(CNY!$B1732)</f>
        <v>2092.27305</v>
      </c>
      <c r="L1732" s="1">
        <f>value(HKD!$B1732)</f>
        <v>1633.2784</v>
      </c>
      <c r="M1732" s="1">
        <f>value(TWD!$B1732)</f>
        <v>415.72305</v>
      </c>
      <c r="N1732" s="1">
        <f>value(JPY!$B1732)</f>
        <v>106.7976125</v>
      </c>
      <c r="O1732" s="1">
        <f>value(SAR!$B1732)</f>
        <v>3520.093764</v>
      </c>
      <c r="P1732" s="1">
        <f>value(AED!$B1732)</f>
        <v>3828.35235</v>
      </c>
      <c r="Q1732" s="1">
        <f>value(KWD!$B1732)</f>
        <v>47305.79402</v>
      </c>
    </row>
    <row r="1733">
      <c r="A1733" s="4">
        <f>value(USD!A1733)</f>
        <v>42043.99861</v>
      </c>
      <c r="B1733" s="1">
        <f>value(USD!B1733)</f>
        <v>12953.36</v>
      </c>
      <c r="C1733" s="1">
        <f>value(AUD!$B1733)</f>
        <v>9984.173</v>
      </c>
      <c r="D1733" s="1">
        <f>value(EUR!$B1733)</f>
        <v>14405.6913</v>
      </c>
      <c r="E1733" s="1">
        <f>value(GBP!$B1733)</f>
        <v>19417.5839</v>
      </c>
      <c r="F1733" s="1">
        <f>value(CHF!$B1733)</f>
        <v>13635.3872</v>
      </c>
      <c r="G1733" s="1">
        <f>value(SGD!$B1733)</f>
        <v>9390.23514</v>
      </c>
      <c r="H1733" s="1">
        <f>value(MYR!$B1733)</f>
        <v>3499.03411</v>
      </c>
      <c r="I1733" s="1">
        <f>value(THB!$B1733)</f>
        <v>389.70074</v>
      </c>
      <c r="J1733" s="1">
        <f>value(VND!$B1733)</f>
        <v>0.652545431</v>
      </c>
      <c r="K1733" s="1">
        <f>value(CNY!$B1733)</f>
        <v>2091.5138</v>
      </c>
      <c r="L1733" s="1">
        <f>value(HKD!$B1733)</f>
        <v>1641.27392</v>
      </c>
      <c r="M1733" s="1">
        <f>value(TWD!$B1733)</f>
        <v>416.03835</v>
      </c>
      <c r="N1733" s="1">
        <f>value(JPY!$B1733)</f>
        <v>106.6064428</v>
      </c>
      <c r="O1733" s="1">
        <f>value(SAR!$B1733)</f>
        <v>3520.555195</v>
      </c>
      <c r="P1733" s="1">
        <f>value(AED!$B1733)</f>
        <v>3862.3761</v>
      </c>
      <c r="Q1733" s="1">
        <f>value(KWD!$B1733)</f>
        <v>46941.816</v>
      </c>
    </row>
    <row r="1734">
      <c r="A1734" s="4">
        <f>value(USD!A1734)</f>
        <v>42044.99861</v>
      </c>
      <c r="B1734" s="1">
        <f>value(USD!B1734)</f>
        <v>12665</v>
      </c>
      <c r="C1734" s="1">
        <f>value(AUD!$B1734)</f>
        <v>10016.9525</v>
      </c>
      <c r="D1734" s="1">
        <f>value(EUR!$B1734)</f>
        <v>14482.58305</v>
      </c>
      <c r="E1734" s="1">
        <f>value(GBP!$B1734)</f>
        <v>19516.1005</v>
      </c>
      <c r="F1734" s="1">
        <f>value(CHF!$B1734)</f>
        <v>13595.253</v>
      </c>
      <c r="G1734" s="1">
        <f>value(SGD!$B1734)</f>
        <v>9414.4921</v>
      </c>
      <c r="H1734" s="1">
        <f>value(MYR!$B1734)</f>
        <v>3492.9479</v>
      </c>
      <c r="I1734" s="1">
        <f>value(THB!$B1734)</f>
        <v>391.44885</v>
      </c>
      <c r="J1734" s="1">
        <f>value(VND!$B1734)</f>
        <v>0.6392071226</v>
      </c>
      <c r="K1734" s="1">
        <f>value(CNY!$B1734)</f>
        <v>2097.789148</v>
      </c>
      <c r="L1734" s="1">
        <f>value(HKD!$B1734)</f>
        <v>1651.20475</v>
      </c>
      <c r="M1734" s="1">
        <f>value(TWD!$B1734)</f>
        <v>414.3296</v>
      </c>
      <c r="N1734" s="1">
        <f>value(JPY!$B1734)</f>
        <v>106.5414415</v>
      </c>
      <c r="O1734" s="1">
        <f>value(SAR!$B1734)</f>
        <v>3511.067095</v>
      </c>
      <c r="P1734" s="1">
        <f>value(AED!$B1734)</f>
        <v>3885.3695</v>
      </c>
      <c r="Q1734" s="1">
        <f>value(KWD!$B1734)</f>
        <v>47229.21675</v>
      </c>
    </row>
    <row r="1735">
      <c r="A1735" s="4">
        <f>value(USD!A1735)</f>
        <v>42045.99861</v>
      </c>
      <c r="B1735" s="1">
        <f>value(USD!B1735)</f>
        <v>12727</v>
      </c>
      <c r="C1735" s="1">
        <f>value(AUD!$B1735)</f>
        <v>10146.0363</v>
      </c>
      <c r="D1735" s="1">
        <f>value(EUR!$B1735)</f>
        <v>14560.8648</v>
      </c>
      <c r="E1735" s="1">
        <f>value(GBP!$B1735)</f>
        <v>19651.753</v>
      </c>
      <c r="F1735" s="1">
        <f>value(CHF!$B1735)</f>
        <v>13567.905</v>
      </c>
      <c r="G1735" s="1">
        <f>value(SGD!$B1735)</f>
        <v>9416.3426</v>
      </c>
      <c r="H1735" s="1">
        <f>value(MYR!$B1735)</f>
        <v>3492.2119</v>
      </c>
      <c r="I1735" s="1">
        <f>value(THB!$B1735)</f>
        <v>390.6343</v>
      </c>
      <c r="J1735" s="1">
        <f>value(VND!$B1735)</f>
        <v>0.6288552137</v>
      </c>
      <c r="K1735" s="1">
        <f>value(CNY!$B1735)</f>
        <v>2114.914289</v>
      </c>
      <c r="L1735" s="1">
        <f>value(HKD!$B1735)</f>
        <v>1646.6915</v>
      </c>
      <c r="M1735" s="1">
        <f>value(TWD!$B1735)</f>
        <v>406.8792</v>
      </c>
      <c r="N1735" s="1">
        <f>value(JPY!$B1735)</f>
        <v>107.363775</v>
      </c>
      <c r="O1735" s="1">
        <f>value(SAR!$B1735)</f>
        <v>3531.861484</v>
      </c>
      <c r="P1735" s="1">
        <f>value(AED!$B1735)</f>
        <v>3854.0688</v>
      </c>
      <c r="Q1735" s="1">
        <f>value(KWD!$B1735)</f>
        <v>47163.87175</v>
      </c>
    </row>
    <row r="1736">
      <c r="A1736" s="4">
        <f>value(USD!A1736)</f>
        <v>42046.99861</v>
      </c>
      <c r="B1736" s="1">
        <f>value(USD!B1736)</f>
        <v>12805</v>
      </c>
      <c r="C1736" s="1">
        <f>value(AUD!$B1736)</f>
        <v>10066.87935</v>
      </c>
      <c r="D1736" s="1">
        <f>value(EUR!$B1736)</f>
        <v>14432.7645</v>
      </c>
      <c r="E1736" s="1">
        <f>value(GBP!$B1736)</f>
        <v>19520.0446</v>
      </c>
      <c r="F1736" s="1">
        <f>value(CHF!$B1736)</f>
        <v>13636.8759</v>
      </c>
      <c r="G1736" s="1">
        <f>value(SGD!$B1736)</f>
        <v>9350.93551</v>
      </c>
      <c r="H1736" s="1">
        <f>value(MYR!$B1736)</f>
        <v>3462.72255</v>
      </c>
      <c r="I1736" s="1">
        <f>value(THB!$B1736)</f>
        <v>388.04297</v>
      </c>
      <c r="J1736" s="1">
        <f>value(VND!$B1736)</f>
        <v>0.6135895557</v>
      </c>
      <c r="K1736" s="1">
        <f>value(CNY!$B1736)</f>
        <v>2098.51395</v>
      </c>
      <c r="L1736" s="1">
        <f>value(HKD!$B1736)</f>
        <v>1634.57238</v>
      </c>
      <c r="M1736" s="1">
        <f>value(TWD!$B1736)</f>
        <v>414.46092</v>
      </c>
      <c r="N1736" s="1">
        <f>value(JPY!$B1736)</f>
        <v>106.61357</v>
      </c>
      <c r="O1736" s="1">
        <f>value(SAR!$B1736)</f>
        <v>3543.306979</v>
      </c>
      <c r="P1736" s="1">
        <f>value(AED!$B1736)</f>
        <v>3878.9925</v>
      </c>
      <c r="Q1736" s="1">
        <f>value(KWD!$B1736)</f>
        <v>47289.22457</v>
      </c>
    </row>
    <row r="1737">
      <c r="A1737" s="4">
        <f>value(USD!A1737)</f>
        <v>42047.99861</v>
      </c>
      <c r="B1737" s="1">
        <f>value(USD!B1737)</f>
        <v>12770</v>
      </c>
      <c r="C1737" s="1">
        <f>value(AUD!$B1737)</f>
        <v>10142.09637</v>
      </c>
      <c r="D1737" s="1">
        <f>value(EUR!$B1737)</f>
        <v>14576.09923</v>
      </c>
      <c r="E1737" s="1">
        <f>value(GBP!$B1737)</f>
        <v>19719.52779</v>
      </c>
      <c r="F1737" s="1">
        <f>value(CHF!$B1737)</f>
        <v>13674.38562</v>
      </c>
      <c r="G1737" s="1">
        <f>value(SGD!$B1737)</f>
        <v>9444.680906</v>
      </c>
      <c r="H1737" s="1">
        <f>value(MYR!$B1737)</f>
        <v>3497.437183</v>
      </c>
      <c r="I1737" s="1">
        <f>value(THB!$B1737)</f>
        <v>391.9331949</v>
      </c>
      <c r="J1737" s="1">
        <f>value(VND!$B1737)</f>
        <v>0.6090256447</v>
      </c>
      <c r="K1737" s="1">
        <f>value(CNY!$B1737)</f>
        <v>2097.1331</v>
      </c>
      <c r="L1737" s="1">
        <f>value(HKD!$B1737)</f>
        <v>1650.959364</v>
      </c>
      <c r="M1737" s="1">
        <f>value(TWD!$B1737)</f>
        <v>412.8925</v>
      </c>
      <c r="N1737" s="1">
        <f>value(JPY!$B1737)</f>
        <v>107.6823969</v>
      </c>
      <c r="O1737" s="1">
        <f>value(SAR!$B1737)</f>
        <v>3574.136256</v>
      </c>
      <c r="P1737" s="1">
        <f>value(AED!$B1737)</f>
        <v>3874.4823</v>
      </c>
      <c r="Q1737" s="1">
        <f>value(KWD!$B1737)</f>
        <v>47415.49812</v>
      </c>
    </row>
    <row r="1738">
      <c r="A1738" s="4">
        <f>value(USD!A1738)</f>
        <v>42048.99861</v>
      </c>
      <c r="B1738" s="1">
        <f>value(USD!B1738)</f>
        <v>12677</v>
      </c>
      <c r="C1738" s="1">
        <f>value(AUD!$B1738)</f>
        <v>10111.55189</v>
      </c>
      <c r="D1738" s="1">
        <f>value(EUR!$B1738)</f>
        <v>14574.16448</v>
      </c>
      <c r="E1738" s="1">
        <f>value(GBP!$B1738)</f>
        <v>19698.20388</v>
      </c>
      <c r="F1738" s="1">
        <f>value(CHF!$B1738)</f>
        <v>13678.24662</v>
      </c>
      <c r="G1738" s="1">
        <f>value(SGD!$B1738)</f>
        <v>9435.163447</v>
      </c>
      <c r="H1738" s="1">
        <f>value(MYR!$B1738)</f>
        <v>3498.208683</v>
      </c>
      <c r="I1738" s="1">
        <f>value(THB!$B1738)</f>
        <v>392.0714952</v>
      </c>
      <c r="J1738" s="1">
        <f>value(VND!$B1738)</f>
        <v>0.6138388741</v>
      </c>
      <c r="K1738" s="1">
        <f>value(CNY!$B1738)</f>
        <v>2082.993</v>
      </c>
      <c r="L1738" s="1">
        <f>value(HKD!$B1738)</f>
        <v>1648.720739</v>
      </c>
      <c r="M1738" s="1">
        <f>value(TWD!$B1738)</f>
        <v>410.81082</v>
      </c>
      <c r="N1738" s="1">
        <f>value(JPY!$B1738)</f>
        <v>107.8004796</v>
      </c>
      <c r="O1738" s="1">
        <f>value(SAR!$B1738)</f>
        <v>3549.427878</v>
      </c>
      <c r="P1738" s="1">
        <f>value(AED!$B1738)</f>
        <v>3884.294</v>
      </c>
      <c r="Q1738" s="1">
        <f>value(KWD!$B1738)</f>
        <v>47769.1056</v>
      </c>
    </row>
    <row r="1739">
      <c r="A1739" s="4">
        <f>value(USD!A1739)</f>
        <v>42049.99861</v>
      </c>
      <c r="B1739" s="1">
        <f>value(USD!B1739)</f>
        <v>12804.09</v>
      </c>
      <c r="C1739" s="1">
        <f>value(AUD!$B1739)</f>
        <v>10082.2995</v>
      </c>
      <c r="D1739" s="1">
        <f>value(EUR!$B1739)</f>
        <v>14295.0657</v>
      </c>
      <c r="E1739" s="1">
        <f>value(GBP!$B1739)</f>
        <v>19367.8095</v>
      </c>
      <c r="F1739" s="1">
        <f>value(CHF!$B1739)</f>
        <v>13524.862</v>
      </c>
      <c r="G1739" s="1">
        <f>value(SGD!$B1739)</f>
        <v>9290.9475</v>
      </c>
      <c r="H1739" s="1">
        <f>value(MYR!$B1739)</f>
        <v>3430.14465</v>
      </c>
      <c r="I1739" s="1">
        <f>value(THB!$B1739)</f>
        <v>386.39745</v>
      </c>
      <c r="J1739" s="1">
        <f>value(VND!$B1739)</f>
        <v>0.6191037625</v>
      </c>
      <c r="K1739" s="1">
        <f>value(CNY!$B1739)</f>
        <v>2084.73395</v>
      </c>
      <c r="L1739" s="1">
        <f>value(HKD!$B1739)</f>
        <v>1625.69505</v>
      </c>
      <c r="M1739" s="1">
        <f>value(TWD!$B1739)</f>
        <v>411.1533</v>
      </c>
      <c r="N1739" s="1">
        <f>value(JPY!$B1739)</f>
        <v>106.44537</v>
      </c>
      <c r="O1739" s="1">
        <f>value(SAR!$B1739)</f>
        <v>3562.466566</v>
      </c>
      <c r="P1739" s="1">
        <f>value(AED!$B1739)</f>
        <v>3895.8975</v>
      </c>
      <c r="Q1739" s="1">
        <f>value(KWD!$B1739)</f>
        <v>47692.80772</v>
      </c>
    </row>
    <row r="1740">
      <c r="A1740" s="4">
        <f>value(USD!A1740)</f>
        <v>42050.99861</v>
      </c>
      <c r="B1740" s="1">
        <f>value(USD!B1740)</f>
        <v>12787.72</v>
      </c>
      <c r="C1740" s="1">
        <f>value(AUD!$B1740)</f>
        <v>9998.8832</v>
      </c>
      <c r="D1740" s="1">
        <f>value(EUR!$B1740)</f>
        <v>14564.80564</v>
      </c>
      <c r="E1740" s="1">
        <f>value(GBP!$B1740)</f>
        <v>19608.59616</v>
      </c>
      <c r="F1740" s="1">
        <f>value(CHF!$B1740)</f>
        <v>13461.1643</v>
      </c>
      <c r="G1740" s="1">
        <f>value(SGD!$B1740)</f>
        <v>9415.39068</v>
      </c>
      <c r="H1740" s="1">
        <f>value(MYR!$B1740)</f>
        <v>3484.45704</v>
      </c>
      <c r="I1740" s="1">
        <f>value(THB!$B1740)</f>
        <v>391.71724</v>
      </c>
      <c r="J1740" s="1">
        <f>value(VND!$B1740)</f>
        <v>0.6018245259</v>
      </c>
      <c r="K1740" s="1">
        <f>value(CNY!$B1740)</f>
        <v>2075.5478</v>
      </c>
      <c r="L1740" s="1">
        <f>value(HKD!$B1740)</f>
        <v>1646.05536</v>
      </c>
      <c r="M1740" s="1">
        <f>value(TWD!$B1740)</f>
        <v>411.8205</v>
      </c>
      <c r="N1740" s="1">
        <f>value(JPY!$B1740)</f>
        <v>107.118764</v>
      </c>
      <c r="O1740" s="1">
        <f>value(SAR!$B1740)</f>
        <v>3525.093369</v>
      </c>
      <c r="P1740" s="1">
        <f>value(AED!$B1740)</f>
        <v>3919.392</v>
      </c>
      <c r="Q1740" s="1">
        <f>value(KWD!$B1740)</f>
        <v>47188.57827</v>
      </c>
    </row>
    <row r="1741">
      <c r="A1741" s="4">
        <f>value(USD!A1741)</f>
        <v>42051.99861</v>
      </c>
      <c r="B1741" s="1">
        <f>value(USD!B1741)</f>
        <v>12615</v>
      </c>
      <c r="C1741" s="1">
        <f>value(AUD!$B1741)</f>
        <v>10015.488</v>
      </c>
      <c r="D1741" s="1">
        <f>value(EUR!$B1741)</f>
        <v>14602.119</v>
      </c>
      <c r="E1741" s="1">
        <f>value(GBP!$B1741)</f>
        <v>19773.516</v>
      </c>
      <c r="F1741" s="1">
        <f>value(CHF!$B1741)</f>
        <v>13544.028</v>
      </c>
      <c r="G1741" s="1">
        <f>value(SGD!$B1741)</f>
        <v>9437.127</v>
      </c>
      <c r="H1741" s="1">
        <f>value(MYR!$B1741)</f>
        <v>3479.7084</v>
      </c>
      <c r="I1741" s="1">
        <f>value(THB!$B1741)</f>
        <v>392.7546</v>
      </c>
      <c r="J1741" s="1">
        <f>value(VND!$B1741)</f>
        <v>0.609645127</v>
      </c>
      <c r="K1741" s="1">
        <f>value(CNY!$B1741)</f>
        <v>2083.052942</v>
      </c>
      <c r="L1741" s="1">
        <f>value(HKD!$B1741)</f>
        <v>1650.9528</v>
      </c>
      <c r="M1741" s="1">
        <f>value(TWD!$B1741)</f>
        <v>414.2384</v>
      </c>
      <c r="N1741" s="1">
        <f>value(JPY!$B1741)</f>
        <v>107.91144</v>
      </c>
      <c r="O1741" s="1">
        <f>value(SAR!$B1741)</f>
        <v>3533.08764</v>
      </c>
      <c r="P1741" s="1">
        <f>value(AED!$B1741)</f>
        <v>3913.27563</v>
      </c>
      <c r="Q1741" s="1">
        <f>value(KWD!$B1741)</f>
        <v>47874.34774</v>
      </c>
    </row>
    <row r="1742">
      <c r="A1742" s="4">
        <f>value(USD!A1742)</f>
        <v>42052.99861</v>
      </c>
      <c r="B1742" s="1">
        <f>value(USD!B1742)</f>
        <v>12772</v>
      </c>
      <c r="C1742" s="1">
        <f>value(AUD!$B1742)</f>
        <v>9997.2048</v>
      </c>
      <c r="D1742" s="1">
        <f>value(EUR!$B1742)</f>
        <v>14643.8025</v>
      </c>
      <c r="E1742" s="1">
        <f>value(GBP!$B1742)</f>
        <v>19864.8045</v>
      </c>
      <c r="F1742" s="1">
        <f>value(CHF!$B1742)</f>
        <v>13492.1358</v>
      </c>
      <c r="G1742" s="1">
        <f>value(SGD!$B1742)</f>
        <v>9480.65415</v>
      </c>
      <c r="H1742" s="1">
        <f>value(MYR!$B1742)</f>
        <v>3481.91355</v>
      </c>
      <c r="I1742" s="1">
        <f>value(THB!$B1742)</f>
        <v>395.5695</v>
      </c>
      <c r="J1742" s="1">
        <f>value(VND!$B1742)</f>
        <v>0.6151001837</v>
      </c>
      <c r="K1742" s="1">
        <f>value(CNY!$B1742)</f>
        <v>2084.087871</v>
      </c>
      <c r="L1742" s="1">
        <f>value(HKD!$B1742)</f>
        <v>1660.74765</v>
      </c>
      <c r="M1742" s="1">
        <f>value(TWD!$B1742)</f>
        <v>415.42545</v>
      </c>
      <c r="N1742" s="1">
        <f>value(JPY!$B1742)</f>
        <v>108.2713665</v>
      </c>
      <c r="O1742" s="1">
        <f>value(SAR!$B1742)</f>
        <v>3552.087421</v>
      </c>
      <c r="P1742" s="1">
        <f>value(AED!$B1742)</f>
        <v>3872.47175</v>
      </c>
      <c r="Q1742" s="1">
        <f>value(KWD!$B1742)</f>
        <v>47977.44103</v>
      </c>
    </row>
    <row r="1743">
      <c r="A1743" s="4">
        <f>value(USD!A1743)</f>
        <v>42053.99861</v>
      </c>
      <c r="B1743" s="1">
        <f>value(USD!B1743)</f>
        <v>12810</v>
      </c>
      <c r="C1743" s="1">
        <f>value(AUD!$B1743)</f>
        <v>10122.37875</v>
      </c>
      <c r="D1743" s="1">
        <f>value(EUR!$B1743)</f>
        <v>14581.194</v>
      </c>
      <c r="E1743" s="1">
        <f>value(GBP!$B1743)</f>
        <v>19735.8639</v>
      </c>
      <c r="F1743" s="1">
        <f>value(CHF!$B1743)</f>
        <v>13589.2638</v>
      </c>
      <c r="G1743" s="1">
        <f>value(SGD!$B1743)</f>
        <v>9415.37679</v>
      </c>
      <c r="H1743" s="1">
        <f>value(MYR!$B1743)</f>
        <v>3488.85177</v>
      </c>
      <c r="I1743" s="1">
        <f>value(THB!$B1743)</f>
        <v>393.23097</v>
      </c>
      <c r="J1743" s="1">
        <f>value(VND!$B1743)</f>
        <v>0.6219245487</v>
      </c>
      <c r="K1743" s="1">
        <f>value(CNY!$B1743)</f>
        <v>2098.1578</v>
      </c>
      <c r="L1743" s="1">
        <f>value(HKD!$B1743)</f>
        <v>1651.08318</v>
      </c>
      <c r="M1743" s="1">
        <f>value(TWD!$B1743)</f>
        <v>417.08269</v>
      </c>
      <c r="N1743" s="1">
        <f>value(JPY!$B1743)</f>
        <v>107.6292</v>
      </c>
      <c r="O1743" s="1">
        <f>value(SAR!$B1743)</f>
        <v>3555.982591</v>
      </c>
      <c r="P1743" s="1">
        <f>value(AED!$B1743)</f>
        <v>3920.64063</v>
      </c>
      <c r="Q1743" s="1">
        <f>value(KWD!$B1743)</f>
        <v>48343.82122</v>
      </c>
    </row>
    <row r="1744">
      <c r="A1744" s="4">
        <f>value(USD!A1744)</f>
        <v>42054.99861</v>
      </c>
      <c r="B1744" s="1">
        <f>value(USD!B1744)</f>
        <v>12885</v>
      </c>
      <c r="C1744" s="1">
        <f>value(AUD!$B1744)</f>
        <v>10145.23369</v>
      </c>
      <c r="D1744" s="1">
        <f>value(EUR!$B1744)</f>
        <v>14647.3069</v>
      </c>
      <c r="E1744" s="1">
        <f>value(GBP!$B1744)</f>
        <v>19821.05092</v>
      </c>
      <c r="F1744" s="1">
        <f>value(CHF!$B1744)</f>
        <v>13637.18993</v>
      </c>
      <c r="G1744" s="1">
        <f>value(SGD!$B1744)</f>
        <v>9457.269448</v>
      </c>
      <c r="H1744" s="1">
        <f>value(MYR!$B1744)</f>
        <v>3504.375022</v>
      </c>
      <c r="I1744" s="1">
        <f>value(THB!$B1744)</f>
        <v>394.9806069</v>
      </c>
      <c r="J1744" s="1">
        <f>value(VND!$B1744)</f>
        <v>0.6245963408</v>
      </c>
      <c r="K1744" s="1">
        <f>value(CNY!$B1744)</f>
        <v>2089.10475</v>
      </c>
      <c r="L1744" s="1">
        <f>value(HKD!$B1744)</f>
        <v>1658.429488</v>
      </c>
      <c r="M1744" s="1">
        <f>value(TWD!$B1744)</f>
        <v>415.961</v>
      </c>
      <c r="N1744" s="1">
        <f>value(JPY!$B1744)</f>
        <v>108.108084</v>
      </c>
      <c r="O1744" s="1">
        <f>value(SAR!$B1744)</f>
        <v>3561.131809</v>
      </c>
      <c r="P1744" s="1">
        <f>value(AED!$B1744)</f>
        <v>3939.1681</v>
      </c>
      <c r="Q1744" s="1">
        <f>value(KWD!$B1744)</f>
        <v>48500.89992</v>
      </c>
    </row>
    <row r="1745">
      <c r="A1745" s="4">
        <f>value(USD!A1745)</f>
        <v>42055.99861</v>
      </c>
      <c r="B1745" s="1">
        <f>value(USD!B1745)</f>
        <v>12813</v>
      </c>
      <c r="C1745" s="1">
        <f>value(AUD!$B1745)</f>
        <v>10190.0239</v>
      </c>
      <c r="D1745" s="1">
        <f>value(EUR!$B1745)</f>
        <v>14644.78437</v>
      </c>
      <c r="E1745" s="1">
        <f>value(GBP!$B1745)</f>
        <v>19801.92608</v>
      </c>
      <c r="F1745" s="1">
        <f>value(CHF!$B1745)</f>
        <v>13622.88564</v>
      </c>
      <c r="G1745" s="1">
        <f>value(SGD!$B1745)</f>
        <v>9453.408445</v>
      </c>
      <c r="H1745" s="1">
        <f>value(MYR!$B1745)</f>
        <v>3504.889823</v>
      </c>
      <c r="I1745" s="1">
        <f>value(THB!$B1745)</f>
        <v>394.9806069</v>
      </c>
      <c r="J1745" s="1">
        <f>value(VND!$B1745)</f>
        <v>0.6237479439</v>
      </c>
      <c r="K1745" s="1">
        <f>value(CNY!$B1745)</f>
        <v>2078.86743</v>
      </c>
      <c r="L1745" s="1">
        <f>value(HKD!$B1745)</f>
        <v>1658.815588</v>
      </c>
      <c r="M1745" s="1">
        <f>value(TWD!$B1745)</f>
        <v>413.10104</v>
      </c>
      <c r="N1745" s="1">
        <f>value(JPY!$B1745)</f>
        <v>108.108084</v>
      </c>
      <c r="O1745" s="1">
        <f>value(SAR!$B1745)</f>
        <v>3558.937376</v>
      </c>
      <c r="P1745" s="1">
        <f>value(AED!$B1745)</f>
        <v>3972.90495</v>
      </c>
      <c r="Q1745" s="1">
        <f>value(KWD!$B1745)</f>
        <v>48576.15486</v>
      </c>
    </row>
    <row r="1746">
      <c r="A1746" s="4">
        <f>value(USD!A1746)</f>
        <v>42056.99861</v>
      </c>
      <c r="B1746" s="1">
        <f>value(USD!B1746)</f>
        <v>12870.01</v>
      </c>
      <c r="C1746" s="1">
        <f>value(AUD!$B1746)</f>
        <v>10144.8786</v>
      </c>
      <c r="D1746" s="1">
        <f>value(EUR!$B1746)</f>
        <v>14572.952</v>
      </c>
      <c r="E1746" s="1">
        <f>value(GBP!$B1746)</f>
        <v>19871.272</v>
      </c>
      <c r="F1746" s="1">
        <f>value(CHF!$B1746)</f>
        <v>13552.4855</v>
      </c>
      <c r="G1746" s="1">
        <f>value(SGD!$B1746)</f>
        <v>9455.958</v>
      </c>
      <c r="H1746" s="1">
        <f>value(MYR!$B1746)</f>
        <v>3477.2154</v>
      </c>
      <c r="I1746" s="1">
        <f>value(THB!$B1746)</f>
        <v>394.4162</v>
      </c>
      <c r="J1746" s="1">
        <f>value(VND!$B1746)</f>
        <v>0.6018845121</v>
      </c>
      <c r="K1746" s="1">
        <f>value(CNY!$B1746)</f>
        <v>2068.2506</v>
      </c>
      <c r="L1746" s="1">
        <f>value(HKD!$B1746)</f>
        <v>1657.7826</v>
      </c>
      <c r="M1746" s="1">
        <f>value(TWD!$B1746)</f>
        <v>406.9499</v>
      </c>
      <c r="N1746" s="1">
        <f>value(JPY!$B1746)</f>
        <v>108.132024</v>
      </c>
      <c r="O1746" s="1">
        <f>value(SAR!$B1746)</f>
        <v>3548.163136</v>
      </c>
      <c r="P1746" s="1">
        <f>value(AED!$B1746)</f>
        <v>3985.1544</v>
      </c>
      <c r="Q1746" s="1">
        <f>value(KWD!$B1746)</f>
        <v>48456.8167</v>
      </c>
    </row>
    <row r="1747">
      <c r="A1747" s="4">
        <f>value(USD!A1747)</f>
        <v>42057.99861</v>
      </c>
      <c r="B1747" s="1">
        <f>value(USD!B1747)</f>
        <v>12870.01</v>
      </c>
      <c r="C1747" s="1">
        <f>value(AUD!$B1747)</f>
        <v>10120.8282</v>
      </c>
      <c r="D1747" s="1">
        <f>value(EUR!$B1747)</f>
        <v>14509.2386</v>
      </c>
      <c r="E1747" s="1">
        <f>value(GBP!$B1747)</f>
        <v>19754.7289</v>
      </c>
      <c r="F1747" s="1">
        <f>value(CHF!$B1747)</f>
        <v>13494.2474</v>
      </c>
      <c r="G1747" s="1">
        <f>value(SGD!$B1747)</f>
        <v>9423.58283</v>
      </c>
      <c r="H1747" s="1">
        <f>value(MYR!$B1747)</f>
        <v>3452.37466</v>
      </c>
      <c r="I1747" s="1">
        <f>value(THB!$B1747)</f>
        <v>392.61196</v>
      </c>
      <c r="J1747" s="1">
        <f>value(VND!$B1747)</f>
        <v>0.6155807424</v>
      </c>
      <c r="K1747" s="1">
        <f>value(CNY!$B1747)</f>
        <v>2065.152</v>
      </c>
      <c r="L1747" s="1">
        <f>value(HKD!$B1747)</f>
        <v>1649.66127</v>
      </c>
      <c r="M1747" s="1">
        <f>value(TWD!$B1747)</f>
        <v>419.67705</v>
      </c>
      <c r="N1747" s="1">
        <f>value(JPY!$B1747)</f>
        <v>107.6189309</v>
      </c>
      <c r="O1747" s="1">
        <f>value(SAR!$B1747)</f>
        <v>3555.021273</v>
      </c>
      <c r="P1747" s="1">
        <f>value(AED!$B1747)</f>
        <v>3993.3207</v>
      </c>
      <c r="Q1747" s="1">
        <f>value(KWD!$B1747)</f>
        <v>48641.39695</v>
      </c>
    </row>
    <row r="1748">
      <c r="A1748" s="4">
        <f>value(USD!A1748)</f>
        <v>42058.99861</v>
      </c>
      <c r="B1748" s="1">
        <f>value(USD!B1748)</f>
        <v>12860</v>
      </c>
      <c r="C1748" s="1">
        <f>value(AUD!$B1748)</f>
        <v>10189.8223</v>
      </c>
      <c r="D1748" s="1">
        <f>value(EUR!$B1748)</f>
        <v>14606.8794</v>
      </c>
      <c r="E1748" s="1">
        <f>value(GBP!$B1748)</f>
        <v>19958.673</v>
      </c>
      <c r="F1748" s="1">
        <f>value(CHF!$B1748)</f>
        <v>13506.967</v>
      </c>
      <c r="G1748" s="1">
        <f>value(SGD!$B1748)</f>
        <v>9493.28895</v>
      </c>
      <c r="H1748" s="1">
        <f>value(MYR!$B1748)</f>
        <v>3504.273</v>
      </c>
      <c r="I1748" s="1">
        <f>value(THB!$B1748)</f>
        <v>395.1627</v>
      </c>
      <c r="J1748" s="1">
        <f>value(VND!$B1748)</f>
        <v>0.6195093028</v>
      </c>
      <c r="K1748" s="1">
        <f>value(CNY!$B1748)</f>
        <v>2071.116739</v>
      </c>
      <c r="L1748" s="1">
        <f>value(HKD!$B1748)</f>
        <v>1657.2666</v>
      </c>
      <c r="M1748" s="1">
        <f>value(TWD!$B1748)</f>
        <v>418.25295</v>
      </c>
      <c r="N1748" s="1">
        <f>value(JPY!$B1748)</f>
        <v>108.11055</v>
      </c>
      <c r="O1748" s="1">
        <f>value(SAR!$B1748)</f>
        <v>3551.366895</v>
      </c>
      <c r="P1748" s="1">
        <f>value(AED!$B1748)</f>
        <v>3979.03974</v>
      </c>
      <c r="Q1748" s="1">
        <f>value(KWD!$B1748)</f>
        <v>48657.594</v>
      </c>
    </row>
    <row r="1749">
      <c r="A1749" s="4">
        <f>value(USD!A1749)</f>
        <v>42059.99861</v>
      </c>
      <c r="B1749" s="1">
        <f>value(USD!B1749)</f>
        <v>12797</v>
      </c>
      <c r="C1749" s="1">
        <f>value(AUD!$B1749)</f>
        <v>10102.125</v>
      </c>
      <c r="D1749" s="1">
        <f>value(EUR!$B1749)</f>
        <v>14403.6971</v>
      </c>
      <c r="E1749" s="1">
        <f>value(GBP!$B1749)</f>
        <v>19819.45121</v>
      </c>
      <c r="F1749" s="1">
        <f>value(CHF!$B1749)</f>
        <v>13243.14</v>
      </c>
      <c r="G1749" s="1">
        <f>value(SGD!$B1749)</f>
        <v>9473.42331</v>
      </c>
      <c r="H1749" s="1">
        <f>value(MYR!$B1749)</f>
        <v>3473.57569</v>
      </c>
      <c r="I1749" s="1">
        <f>value(THB!$B1749)</f>
        <v>396.76702</v>
      </c>
      <c r="J1749" s="1">
        <f>value(VND!$B1749)</f>
        <v>0.6215563945</v>
      </c>
      <c r="K1749" s="1">
        <f>value(CNY!$B1749)</f>
        <v>2079.76676</v>
      </c>
      <c r="L1749" s="1">
        <f>value(HKD!$B1749)</f>
        <v>1657.78158</v>
      </c>
      <c r="M1749" s="1">
        <f>value(TWD!$B1749)</f>
        <v>417.1395</v>
      </c>
      <c r="N1749" s="1">
        <f>value(JPY!$B1749)</f>
        <v>107.6838035</v>
      </c>
      <c r="O1749" s="1">
        <f>value(SAR!$B1749)</f>
        <v>3533.14483</v>
      </c>
      <c r="P1749" s="1">
        <f>value(AED!$B1749)</f>
        <v>4000.67037</v>
      </c>
      <c r="Q1749" s="1">
        <f>value(KWD!$B1749)</f>
        <v>48246.13736</v>
      </c>
    </row>
    <row r="1750">
      <c r="A1750" s="4">
        <f>value(USD!A1750)</f>
        <v>42060.99861</v>
      </c>
      <c r="B1750" s="1">
        <f>value(USD!B1750)</f>
        <v>12855</v>
      </c>
      <c r="C1750" s="1">
        <f>value(AUD!$B1750)</f>
        <v>10160.44332</v>
      </c>
      <c r="D1750" s="1">
        <f>value(EUR!$B1750)</f>
        <v>14526.14562</v>
      </c>
      <c r="E1750" s="1">
        <f>value(GBP!$B1750)</f>
        <v>20028.9474</v>
      </c>
      <c r="F1750" s="1">
        <f>value(CHF!$B1750)</f>
        <v>13205.905</v>
      </c>
      <c r="G1750" s="1">
        <f>value(SGD!$B1750)</f>
        <v>9520.27146</v>
      </c>
      <c r="H1750" s="1">
        <f>value(MYR!$B1750)</f>
        <v>3515.61042</v>
      </c>
      <c r="I1750" s="1">
        <f>value(THB!$B1750)</f>
        <v>400.50108</v>
      </c>
      <c r="J1750" s="1">
        <f>value(VND!$B1750)</f>
        <v>0.61911697</v>
      </c>
      <c r="K1750" s="1">
        <f>value(CNY!$B1750)</f>
        <v>2091.4125</v>
      </c>
      <c r="L1750" s="1">
        <f>value(HKD!$B1750)</f>
        <v>1673.12376</v>
      </c>
      <c r="M1750" s="1">
        <f>value(TWD!$B1750)</f>
        <v>413.8585</v>
      </c>
      <c r="N1750" s="1">
        <f>value(JPY!$B1750)</f>
        <v>108.49608</v>
      </c>
      <c r="O1750" s="1">
        <f>value(SAR!$B1750)</f>
        <v>3544.094403</v>
      </c>
      <c r="P1750" s="1">
        <f>value(AED!$B1750)</f>
        <v>3996.63</v>
      </c>
      <c r="Q1750" s="1">
        <f>value(KWD!$B1750)</f>
        <v>48567.63499</v>
      </c>
    </row>
    <row r="1751">
      <c r="A1751" s="4">
        <f>value(USD!A1751)</f>
        <v>42061.99861</v>
      </c>
      <c r="B1751" s="1">
        <f>value(USD!B1751)</f>
        <v>12857</v>
      </c>
      <c r="C1751" s="1">
        <f>value(AUD!$B1751)</f>
        <v>10018.0985</v>
      </c>
      <c r="D1751" s="1">
        <f>value(EUR!$B1751)</f>
        <v>14561.7022</v>
      </c>
      <c r="E1751" s="1">
        <f>value(GBP!$B1751)</f>
        <v>20075.48583</v>
      </c>
      <c r="F1751" s="1">
        <f>value(CHF!$B1751)</f>
        <v>13427.2454</v>
      </c>
      <c r="G1751" s="1">
        <f>value(SGD!$B1751)</f>
        <v>9539.270923</v>
      </c>
      <c r="H1751" s="1">
        <f>value(MYR!$B1751)</f>
        <v>3522.626471</v>
      </c>
      <c r="I1751" s="1">
        <f>value(THB!$B1751)</f>
        <v>401.300354</v>
      </c>
      <c r="J1751" s="1">
        <f>value(VND!$B1751)</f>
        <v>0.6190324471</v>
      </c>
      <c r="K1751" s="1">
        <f>value(CNY!$B1751)</f>
        <v>2085.19025</v>
      </c>
      <c r="L1751" s="1">
        <f>value(HKD!$B1751)</f>
        <v>1676.462788</v>
      </c>
      <c r="M1751" s="1">
        <f>value(TWD!$B1751)</f>
        <v>414.1787</v>
      </c>
      <c r="N1751" s="1">
        <f>value(JPY!$B1751)</f>
        <v>108.712604</v>
      </c>
      <c r="O1751" s="1">
        <f>value(SAR!$B1751)</f>
        <v>3550.496336</v>
      </c>
      <c r="P1751" s="1">
        <f>value(AED!$B1751)</f>
        <v>3960.90888</v>
      </c>
      <c r="Q1751" s="1">
        <f>value(KWD!$B1751)</f>
        <v>48328.90893</v>
      </c>
    </row>
    <row r="1752">
      <c r="A1752" s="4">
        <f>value(USD!A1752)</f>
        <v>42062.99861</v>
      </c>
      <c r="B1752" s="1">
        <f>value(USD!B1752)</f>
        <v>12978</v>
      </c>
      <c r="C1752" s="1">
        <f>value(AUD!$B1752)</f>
        <v>9941.5332</v>
      </c>
      <c r="D1752" s="1">
        <f>value(EUR!$B1752)</f>
        <v>14511.7022</v>
      </c>
      <c r="E1752" s="1">
        <f>value(GBP!$B1752)</f>
        <v>20031.20756</v>
      </c>
      <c r="F1752" s="1">
        <f>value(CHF!$B1752)</f>
        <v>13237.7198</v>
      </c>
      <c r="G1752" s="1">
        <f>value(SGD!$B1752)</f>
        <v>9527.567413</v>
      </c>
      <c r="H1752" s="1">
        <f>value(MYR!$B1752)</f>
        <v>3511.703195</v>
      </c>
      <c r="I1752" s="1">
        <f>value(THB!$B1752)</f>
        <v>400.130003</v>
      </c>
      <c r="J1752" s="1">
        <f>value(VND!$B1752)</f>
        <v>0.6206456892</v>
      </c>
      <c r="K1752" s="1">
        <f>value(CNY!$B1752)</f>
        <v>2082.576</v>
      </c>
      <c r="L1752" s="1">
        <f>value(HKD!$B1752)</f>
        <v>1676.982944</v>
      </c>
      <c r="M1752" s="1">
        <f>value(TWD!$B1752)</f>
        <v>412.6089</v>
      </c>
      <c r="N1752" s="1">
        <f>value(JPY!$B1752)</f>
        <v>108.452526</v>
      </c>
      <c r="O1752" s="1">
        <f>value(SAR!$B1752)</f>
        <v>3552.249086</v>
      </c>
      <c r="P1752" s="1">
        <f>value(AED!$B1752)</f>
        <v>3991.5197</v>
      </c>
      <c r="Q1752" s="1">
        <f>value(KWD!$B1752)</f>
        <v>47823.05271</v>
      </c>
    </row>
    <row r="1753">
      <c r="A1753" s="4">
        <f>value(USD!A1753)</f>
        <v>42063.99861</v>
      </c>
      <c r="B1753" s="1">
        <f>value(USD!B1753)</f>
        <v>13003.9</v>
      </c>
      <c r="C1753" s="1">
        <f>value(AUD!$B1753)</f>
        <v>9854.559</v>
      </c>
      <c r="D1753" s="1">
        <f>value(EUR!$B1753)</f>
        <v>14523.9917</v>
      </c>
      <c r="E1753" s="1">
        <f>value(GBP!$B1753)</f>
        <v>19957.07125</v>
      </c>
      <c r="F1753" s="1">
        <f>value(CHF!$B1753)</f>
        <v>13089.605</v>
      </c>
      <c r="G1753" s="1">
        <f>value(SGD!$B1753)</f>
        <v>9511.5603</v>
      </c>
      <c r="H1753" s="1">
        <f>value(MYR!$B1753)</f>
        <v>3494.48545</v>
      </c>
      <c r="I1753" s="1">
        <f>value(THB!$B1753)</f>
        <v>401.41555</v>
      </c>
      <c r="J1753" s="1">
        <f>value(VND!$B1753)</f>
        <v>0.618735192</v>
      </c>
      <c r="K1753" s="1">
        <f>value(CNY!$B1753)</f>
        <v>2086.3848</v>
      </c>
      <c r="L1753" s="1">
        <f>value(HKD!$B1753)</f>
        <v>1675.5753</v>
      </c>
      <c r="M1753" s="1">
        <f>value(TWD!$B1753)</f>
        <v>416.26595</v>
      </c>
      <c r="N1753" s="1">
        <f>value(JPY!$B1753)</f>
        <v>108.1184</v>
      </c>
      <c r="O1753" s="1">
        <f>value(SAR!$B1753)</f>
        <v>3555.757168</v>
      </c>
      <c r="P1753" s="1">
        <f>value(AED!$B1753)</f>
        <v>3976.21125</v>
      </c>
      <c r="Q1753" s="1">
        <f>value(KWD!$B1753)</f>
        <v>46568.6181</v>
      </c>
    </row>
    <row r="1754">
      <c r="A1754" s="4">
        <f>value(USD!A1754)</f>
        <v>42064.99861</v>
      </c>
      <c r="B1754" s="1">
        <f>value(USD!B1754)</f>
        <v>13003.9</v>
      </c>
      <c r="C1754" s="1">
        <f>value(AUD!$B1754)</f>
        <v>9840.033</v>
      </c>
      <c r="D1754" s="1">
        <f>value(EUR!$B1754)</f>
        <v>14502.4055</v>
      </c>
      <c r="E1754" s="1">
        <f>value(GBP!$B1754)</f>
        <v>19928.6644</v>
      </c>
      <c r="F1754" s="1">
        <f>value(CHF!$B1754)</f>
        <v>13052.86775</v>
      </c>
      <c r="G1754" s="1">
        <f>value(SGD!$B1754)</f>
        <v>9519.4612</v>
      </c>
      <c r="H1754" s="1">
        <f>value(MYR!$B1754)</f>
        <v>3515.9076</v>
      </c>
      <c r="I1754" s="1">
        <f>value(THB!$B1754)</f>
        <v>400.6433</v>
      </c>
      <c r="J1754" s="1">
        <f>value(VND!$B1754)</f>
        <v>0.610306178</v>
      </c>
      <c r="K1754" s="1">
        <f>value(CNY!$B1754)</f>
        <v>2088.1917</v>
      </c>
      <c r="L1754" s="1">
        <f>value(HKD!$B1754)</f>
        <v>1672.3518</v>
      </c>
      <c r="M1754" s="1">
        <f>value(TWD!$B1754)</f>
        <v>415.4595</v>
      </c>
      <c r="N1754" s="1">
        <f>value(JPY!$B1754)</f>
        <v>108.4292</v>
      </c>
      <c r="O1754" s="1">
        <f>value(SAR!$B1754)</f>
        <v>3559.670149</v>
      </c>
      <c r="P1754" s="1">
        <f>value(AED!$B1754)</f>
        <v>3928.37394</v>
      </c>
      <c r="Q1754" s="1">
        <f>value(KWD!$B1754)</f>
        <v>45974.52368</v>
      </c>
    </row>
    <row r="1755">
      <c r="A1755" s="4">
        <f>value(USD!A1755)</f>
        <v>42065.99861</v>
      </c>
      <c r="B1755" s="1">
        <f>value(USD!B1755)</f>
        <v>12995</v>
      </c>
      <c r="C1755" s="1">
        <f>value(AUD!$B1755)</f>
        <v>9888.1462</v>
      </c>
      <c r="D1755" s="1">
        <f>value(EUR!$B1755)</f>
        <v>14419.3185</v>
      </c>
      <c r="E1755" s="1">
        <f>value(GBP!$B1755)</f>
        <v>19864.2739</v>
      </c>
      <c r="F1755" s="1">
        <f>value(CHF!$B1755)</f>
        <v>13127.7243</v>
      </c>
      <c r="G1755" s="1">
        <f>value(SGD!$B1755)</f>
        <v>9517.99965</v>
      </c>
      <c r="H1755" s="1">
        <f>value(MYR!$B1755)</f>
        <v>3485.28685</v>
      </c>
      <c r="I1755" s="1">
        <f>value(THB!$B1755)</f>
        <v>401.51275</v>
      </c>
      <c r="J1755" s="1">
        <f>value(VND!$B1755)</f>
        <v>0.61345917</v>
      </c>
      <c r="K1755" s="1">
        <f>value(CNY!$B1755)</f>
        <v>2092.735316</v>
      </c>
      <c r="L1755" s="1">
        <f>value(HKD!$B1755)</f>
        <v>1678.1541</v>
      </c>
      <c r="M1755" s="1">
        <f>value(TWD!$B1755)</f>
        <v>411.67224</v>
      </c>
      <c r="N1755" s="1">
        <f>value(JPY!$B1755)</f>
        <v>108.7624505</v>
      </c>
      <c r="O1755" s="1">
        <f>value(SAR!$B1755)</f>
        <v>3555.543617</v>
      </c>
      <c r="P1755" s="1">
        <f>value(AED!$B1755)</f>
        <v>3826.8508</v>
      </c>
      <c r="Q1755" s="1">
        <f>value(KWD!$B1755)</f>
        <v>44451.0657</v>
      </c>
    </row>
    <row r="1756">
      <c r="A1756" s="4">
        <f>value(USD!A1756)</f>
        <v>42066.99861</v>
      </c>
      <c r="B1756" s="1">
        <f>value(USD!B1756)</f>
        <v>12970</v>
      </c>
      <c r="C1756" s="1">
        <f>value(AUD!$B1756)</f>
        <v>9909.20224</v>
      </c>
      <c r="D1756" s="1">
        <f>value(EUR!$B1756)</f>
        <v>14228.442</v>
      </c>
      <c r="E1756" s="1">
        <f>value(GBP!$B1756)</f>
        <v>19667.469</v>
      </c>
      <c r="F1756" s="1">
        <f>value(CHF!$B1756)</f>
        <v>13104.17595</v>
      </c>
      <c r="G1756" s="1">
        <f>value(SGD!$B1756)</f>
        <v>9407.325</v>
      </c>
      <c r="H1756" s="1">
        <f>value(MYR!$B1756)</f>
        <v>3459.651</v>
      </c>
      <c r="I1756" s="1">
        <f>value(THB!$B1756)</f>
        <v>397.191</v>
      </c>
      <c r="J1756" s="1">
        <f>value(VND!$B1756)</f>
        <v>0.6156682384</v>
      </c>
      <c r="K1756" s="1">
        <f>value(CNY!$B1756)</f>
        <v>2091.568001</v>
      </c>
      <c r="L1756" s="1">
        <f>value(HKD!$B1756)</f>
        <v>1662.939</v>
      </c>
      <c r="M1756" s="1">
        <f>value(TWD!$B1756)</f>
        <v>402.548</v>
      </c>
      <c r="N1756" s="1">
        <f>value(JPY!$B1756)</f>
        <v>107.43894</v>
      </c>
      <c r="O1756" s="1">
        <f>value(SAR!$B1756)</f>
        <v>3540.059195</v>
      </c>
      <c r="P1756" s="1">
        <f>value(AED!$B1756)</f>
        <v>3774.19165</v>
      </c>
      <c r="Q1756" s="1">
        <f>value(KWD!$B1756)</f>
        <v>44171.77068</v>
      </c>
    </row>
    <row r="1757">
      <c r="A1757" s="4">
        <f>value(USD!A1757)</f>
        <v>42067.99861</v>
      </c>
      <c r="B1757" s="1">
        <f>value(USD!B1757)</f>
        <v>13015</v>
      </c>
      <c r="C1757" s="1">
        <f>value(AUD!$B1757)</f>
        <v>9823.1838</v>
      </c>
      <c r="D1757" s="1">
        <f>value(EUR!$B1757)</f>
        <v>14134.944</v>
      </c>
      <c r="E1757" s="1">
        <f>value(GBP!$B1757)</f>
        <v>19589.302</v>
      </c>
      <c r="F1757" s="1">
        <f>value(CHF!$B1757)</f>
        <v>13210.8873</v>
      </c>
      <c r="G1757" s="1">
        <f>value(SGD!$B1757)</f>
        <v>9452.3529</v>
      </c>
      <c r="H1757" s="1">
        <f>value(MYR!$B1757)</f>
        <v>3466.3709</v>
      </c>
      <c r="I1757" s="1">
        <f>value(THB!$B1757)</f>
        <v>399.4998</v>
      </c>
      <c r="J1757" s="1">
        <f>value(VND!$B1757)</f>
        <v>0.6188895442</v>
      </c>
      <c r="K1757" s="1">
        <f>value(CNY!$B1757)</f>
        <v>2079.04941</v>
      </c>
      <c r="L1757" s="1">
        <f>value(HKD!$B1757)</f>
        <v>1679.6973</v>
      </c>
      <c r="M1757" s="1">
        <f>value(TWD!$B1757)</f>
        <v>410.752</v>
      </c>
      <c r="N1757" s="1">
        <f>value(JPY!$B1757)</f>
        <v>107.7581</v>
      </c>
      <c r="O1757" s="1">
        <f>value(SAR!$B1757)</f>
        <v>3557.143549</v>
      </c>
      <c r="P1757" s="1">
        <f>value(AED!$B1757)</f>
        <v>3649.9338</v>
      </c>
      <c r="Q1757" s="1">
        <f>value(KWD!$B1757)</f>
        <v>44802.06636</v>
      </c>
    </row>
    <row r="1758">
      <c r="A1758" s="4">
        <f>value(USD!A1758)</f>
        <v>42068.99861</v>
      </c>
      <c r="B1758" s="1">
        <f>value(USD!B1758)</f>
        <v>12900</v>
      </c>
      <c r="C1758" s="1">
        <f>value(AUD!$B1758)</f>
        <v>9926.8805</v>
      </c>
      <c r="D1758" s="1">
        <f>value(EUR!$B1758)</f>
        <v>14346.53089</v>
      </c>
      <c r="E1758" s="1">
        <f>value(GBP!$B1758)</f>
        <v>19894.28086</v>
      </c>
      <c r="F1758" s="1">
        <f>value(CHF!$B1758)</f>
        <v>13185.9205</v>
      </c>
      <c r="G1758" s="1">
        <f>value(SGD!$B1758)</f>
        <v>9595.632579</v>
      </c>
      <c r="H1758" s="1">
        <f>value(MYR!$B1758)</f>
        <v>3518.914485</v>
      </c>
      <c r="I1758" s="1">
        <f>value(THB!$B1758)</f>
        <v>405.5554566</v>
      </c>
      <c r="J1758" s="1">
        <f>value(VND!$B1758)</f>
        <v>0.6170857372</v>
      </c>
      <c r="K1758" s="1">
        <f>value(CNY!$B1758)</f>
        <v>2084.73395</v>
      </c>
      <c r="L1758" s="1">
        <f>value(HKD!$B1758)</f>
        <v>1705.158314</v>
      </c>
      <c r="M1758" s="1">
        <f>value(TWD!$B1758)</f>
        <v>403.2214011</v>
      </c>
      <c r="N1758" s="1">
        <f>value(JPY!$B1758)</f>
        <v>109.3915077</v>
      </c>
      <c r="O1758" s="1">
        <f>value(SAR!$B1758)</f>
        <v>3561.321904</v>
      </c>
      <c r="P1758" s="1">
        <f>value(AED!$B1758)</f>
        <v>3625.4376</v>
      </c>
      <c r="Q1758" s="1">
        <f>value(KWD!$B1758)</f>
        <v>45266.11635</v>
      </c>
    </row>
    <row r="1759">
      <c r="A1759" s="4">
        <f>value(USD!A1759)</f>
        <v>42069.99861</v>
      </c>
      <c r="B1759" s="1">
        <f>value(USD!B1759)</f>
        <v>13030</v>
      </c>
      <c r="C1759" s="1">
        <f>value(AUD!$B1759)</f>
        <v>9929.7605</v>
      </c>
      <c r="D1759" s="1">
        <f>value(EUR!$B1759)</f>
        <v>14340.60496</v>
      </c>
      <c r="E1759" s="1">
        <f>value(GBP!$B1759)</f>
        <v>19916.6618</v>
      </c>
      <c r="F1759" s="1">
        <f>value(CHF!$B1759)</f>
        <v>13089.9678</v>
      </c>
      <c r="G1759" s="1">
        <f>value(SGD!$B1759)</f>
        <v>9592.325701</v>
      </c>
      <c r="H1759" s="1">
        <f>value(MYR!$B1759)</f>
        <v>3518.649935</v>
      </c>
      <c r="I1759" s="1">
        <f>value(THB!$B1759)</f>
        <v>405.5554566</v>
      </c>
      <c r="J1759" s="1">
        <f>value(VND!$B1759)</f>
        <v>0.6154963326</v>
      </c>
      <c r="K1759" s="1">
        <f>value(CNY!$B1759)</f>
        <v>2084.09355</v>
      </c>
      <c r="L1759" s="1">
        <f>value(HKD!$B1759)</f>
        <v>1705.026039</v>
      </c>
      <c r="M1759" s="1">
        <f>value(TWD!$B1759)</f>
        <v>417.5043</v>
      </c>
      <c r="N1759" s="1">
        <f>value(JPY!$B1759)</f>
        <v>109.5237828</v>
      </c>
      <c r="O1759" s="1">
        <f>value(SAR!$B1759)</f>
        <v>3556.842649</v>
      </c>
      <c r="P1759" s="1">
        <f>value(AED!$B1759)</f>
        <v>3674.97436</v>
      </c>
      <c r="Q1759" s="1">
        <f>value(KWD!$B1759)</f>
        <v>44031.20904</v>
      </c>
    </row>
    <row r="1760">
      <c r="A1760" s="4">
        <f>value(USD!A1760)</f>
        <v>42070.99861</v>
      </c>
      <c r="B1760" s="1">
        <f>value(USD!B1760)</f>
        <v>13227.51</v>
      </c>
      <c r="C1760" s="1">
        <f>value(AUD!$B1760)</f>
        <v>9962.92505</v>
      </c>
      <c r="D1760" s="1">
        <f>value(EUR!$B1760)</f>
        <v>14160.6736</v>
      </c>
      <c r="E1760" s="1">
        <f>value(GBP!$B1760)</f>
        <v>19742.97533</v>
      </c>
      <c r="F1760" s="1">
        <f>value(CHF!$B1760)</f>
        <v>13041.6736</v>
      </c>
      <c r="G1760" s="1">
        <f>value(SGD!$B1760)</f>
        <v>9463.93689</v>
      </c>
      <c r="H1760" s="1">
        <f>value(MYR!$B1760)</f>
        <v>3475.58778</v>
      </c>
      <c r="I1760" s="1">
        <f>value(THB!$B1760)</f>
        <v>400.68745</v>
      </c>
      <c r="J1760" s="1">
        <f>value(VND!$B1760)</f>
        <v>0.6160327912</v>
      </c>
      <c r="K1760" s="1">
        <f>value(CNY!$B1760)</f>
        <v>2088.27969</v>
      </c>
      <c r="L1760" s="1">
        <f>value(HKD!$B1760)</f>
        <v>1684.58678</v>
      </c>
      <c r="M1760" s="1">
        <f>value(TWD!$B1760)</f>
        <v>414.634</v>
      </c>
      <c r="N1760" s="1">
        <f>value(JPY!$B1760)</f>
        <v>107.6600769</v>
      </c>
      <c r="O1760" s="1">
        <f>value(SAR!$B1760)</f>
        <v>3559.89213</v>
      </c>
      <c r="P1760" s="1">
        <f>value(AED!$B1760)</f>
        <v>3715.53</v>
      </c>
      <c r="Q1760" s="1">
        <f>value(KWD!$B1760)</f>
        <v>44473.9434</v>
      </c>
    </row>
    <row r="1761">
      <c r="A1761" s="4">
        <f>value(USD!A1761)</f>
        <v>42071.99861</v>
      </c>
      <c r="B1761" s="1">
        <f>value(USD!B1761)</f>
        <v>13227.51</v>
      </c>
      <c r="C1761" s="1">
        <f>value(AUD!$B1761)</f>
        <v>9893.5906</v>
      </c>
      <c r="D1761" s="1">
        <f>value(EUR!$B1761)</f>
        <v>13994.049</v>
      </c>
      <c r="E1761" s="1">
        <f>value(GBP!$B1761)</f>
        <v>19705.639</v>
      </c>
      <c r="F1761" s="1">
        <f>value(CHF!$B1761)</f>
        <v>13124.72</v>
      </c>
      <c r="G1761" s="1">
        <f>value(SGD!$B1761)</f>
        <v>9411.4456</v>
      </c>
      <c r="H1761" s="1">
        <f>value(MYR!$B1761)</f>
        <v>3453.3554</v>
      </c>
      <c r="I1761" s="1">
        <f>value(THB!$B1761)</f>
        <v>399.1578</v>
      </c>
      <c r="J1761" s="1">
        <f>value(VND!$B1761)</f>
        <v>0.623396836</v>
      </c>
      <c r="K1761" s="1">
        <f>value(CNY!$B1761)</f>
        <v>2092.3485</v>
      </c>
      <c r="L1761" s="1">
        <f>value(HKD!$B1761)</f>
        <v>1684.0695</v>
      </c>
      <c r="M1761" s="1">
        <f>value(TWD!$B1761)</f>
        <v>414.606</v>
      </c>
      <c r="N1761" s="1">
        <f>value(JPY!$B1761)</f>
        <v>107.951665</v>
      </c>
      <c r="O1761" s="1">
        <f>value(SAR!$B1761)</f>
        <v>3551.444174</v>
      </c>
      <c r="P1761" s="1">
        <f>value(AED!$B1761)</f>
        <v>3609.372</v>
      </c>
      <c r="Q1761" s="1">
        <f>value(KWD!$B1761)</f>
        <v>44700.60402</v>
      </c>
    </row>
    <row r="1762">
      <c r="A1762" s="4">
        <f>value(USD!A1762)</f>
        <v>42072.99861</v>
      </c>
      <c r="B1762" s="1">
        <f>value(USD!B1762)</f>
        <v>13073</v>
      </c>
      <c r="C1762" s="1">
        <f>value(AUD!$B1762)</f>
        <v>9918.240154</v>
      </c>
      <c r="D1762" s="1">
        <f>value(EUR!$B1762)</f>
        <v>13895.80425</v>
      </c>
      <c r="E1762" s="1">
        <f>value(GBP!$B1762)</f>
        <v>19674.2275</v>
      </c>
      <c r="F1762" s="1">
        <f>value(CHF!$B1762)</f>
        <v>13189.8858</v>
      </c>
      <c r="G1762" s="1">
        <f>value(SGD!$B1762)</f>
        <v>9492.71925</v>
      </c>
      <c r="H1762" s="1">
        <f>value(MYR!$B1762)</f>
        <v>3473.32525</v>
      </c>
      <c r="I1762" s="1">
        <f>value(THB!$B1762)</f>
        <v>399.993</v>
      </c>
      <c r="J1762" s="1">
        <f>value(VND!$B1762)</f>
        <v>0.6233218321</v>
      </c>
      <c r="K1762" s="1">
        <f>value(CNY!$B1762)</f>
        <v>2107.972981</v>
      </c>
      <c r="L1762" s="1">
        <f>value(HKD!$B1762)</f>
        <v>1696.28125</v>
      </c>
      <c r="M1762" s="1">
        <f>value(TWD!$B1762)</f>
        <v>415.3116</v>
      </c>
      <c r="N1762" s="1">
        <f>value(JPY!$B1762)</f>
        <v>108.496125</v>
      </c>
      <c r="O1762" s="1">
        <f>value(SAR!$B1762)</f>
        <v>3540.799911</v>
      </c>
      <c r="P1762" s="1">
        <f>value(AED!$B1762)</f>
        <v>3647.748</v>
      </c>
      <c r="Q1762" s="1">
        <f>value(KWD!$B1762)</f>
        <v>45273.62385</v>
      </c>
    </row>
    <row r="1763">
      <c r="A1763" s="4">
        <f>value(USD!A1763)</f>
        <v>42073.99861</v>
      </c>
      <c r="B1763" s="1">
        <f>value(USD!B1763)</f>
        <v>13070</v>
      </c>
      <c r="C1763" s="1">
        <f>value(AUD!$B1763)</f>
        <v>9894.6325</v>
      </c>
      <c r="D1763" s="1">
        <f>value(EUR!$B1763)</f>
        <v>13991.9397</v>
      </c>
      <c r="E1763" s="1">
        <f>value(GBP!$B1763)</f>
        <v>19612.2372</v>
      </c>
      <c r="F1763" s="1">
        <f>value(CHF!$B1763)</f>
        <v>13333.6925</v>
      </c>
      <c r="G1763" s="1">
        <f>value(SGD!$B1763)</f>
        <v>9536.2653</v>
      </c>
      <c r="H1763" s="1">
        <f>value(MYR!$B1763)</f>
        <v>3492.684</v>
      </c>
      <c r="I1763" s="1">
        <f>value(THB!$B1763)</f>
        <v>400.6314</v>
      </c>
      <c r="J1763" s="1">
        <f>value(VND!$B1763)</f>
        <v>0.6208052035</v>
      </c>
      <c r="K1763" s="1">
        <f>value(CNY!$B1763)</f>
        <v>2095.695972</v>
      </c>
      <c r="L1763" s="1">
        <f>value(HKD!$B1763)</f>
        <v>1695.2424</v>
      </c>
      <c r="M1763" s="1">
        <f>value(TWD!$B1763)</f>
        <v>421.13268</v>
      </c>
      <c r="N1763" s="1">
        <f>value(JPY!$B1763)</f>
        <v>108.541872</v>
      </c>
      <c r="O1763" s="1">
        <f>value(SAR!$B1763)</f>
        <v>3545.493337</v>
      </c>
      <c r="P1763" s="1">
        <f>value(AED!$B1763)</f>
        <v>3668.29925</v>
      </c>
      <c r="Q1763" s="1">
        <f>value(KWD!$B1763)</f>
        <v>45579.15408</v>
      </c>
    </row>
    <row r="1764">
      <c r="A1764" s="4">
        <f>value(USD!A1764)</f>
        <v>42074.99861</v>
      </c>
      <c r="B1764" s="1">
        <f>value(USD!B1764)</f>
        <v>13175</v>
      </c>
      <c r="C1764" s="1">
        <f>value(AUD!$B1764)</f>
        <v>9877.21875</v>
      </c>
      <c r="D1764" s="1">
        <f>value(EUR!$B1764)</f>
        <v>13835.41605</v>
      </c>
      <c r="E1764" s="1">
        <f>value(GBP!$B1764)</f>
        <v>19434.69</v>
      </c>
      <c r="F1764" s="1">
        <f>value(CHF!$B1764)</f>
        <v>13354.61854</v>
      </c>
      <c r="G1764" s="1">
        <f>value(SGD!$B1764)</f>
        <v>9463.79745</v>
      </c>
      <c r="H1764" s="1">
        <f>value(MYR!$B1764)</f>
        <v>3478.9941</v>
      </c>
      <c r="I1764" s="1">
        <f>value(THB!$B1764)</f>
        <v>400.0329</v>
      </c>
      <c r="J1764" s="1">
        <f>value(VND!$B1764)</f>
        <v>0.6196648701</v>
      </c>
      <c r="K1764" s="1">
        <f>value(CNY!$B1764)</f>
        <v>2071.6174</v>
      </c>
      <c r="L1764" s="1">
        <f>value(HKD!$B1764)</f>
        <v>1697.7006</v>
      </c>
      <c r="M1764" s="1">
        <f>value(TWD!$B1764)</f>
        <v>410.6352656</v>
      </c>
      <c r="N1764" s="1">
        <f>value(JPY!$B1764)</f>
        <v>108.6444</v>
      </c>
      <c r="O1764" s="1">
        <f>value(SAR!$B1764)</f>
        <v>3551.693645</v>
      </c>
      <c r="P1764" s="1">
        <f>value(AED!$B1764)</f>
        <v>3715.257</v>
      </c>
      <c r="Q1764" s="1">
        <f>value(KWD!$B1764)</f>
        <v>45477.1774</v>
      </c>
    </row>
    <row r="1765">
      <c r="A1765" s="4">
        <f>value(USD!A1765)</f>
        <v>42075.99861</v>
      </c>
      <c r="B1765" s="1">
        <f>value(USD!B1765)</f>
        <v>13170</v>
      </c>
      <c r="C1765" s="1">
        <f>value(AUD!$B1765)</f>
        <v>9900.25308</v>
      </c>
      <c r="D1765" s="1">
        <f>value(EUR!$B1765)</f>
        <v>13942.32142</v>
      </c>
      <c r="E1765" s="1">
        <f>value(GBP!$B1765)</f>
        <v>19575.02954</v>
      </c>
      <c r="F1765" s="1">
        <f>value(CHF!$B1765)</f>
        <v>13328.54294</v>
      </c>
      <c r="G1765" s="1">
        <f>value(SGD!$B1765)</f>
        <v>9532.136331</v>
      </c>
      <c r="H1765" s="1">
        <f>value(MYR!$B1765)</f>
        <v>3504.11621</v>
      </c>
      <c r="I1765" s="1">
        <f>value(THB!$B1765)</f>
        <v>402.9215714</v>
      </c>
      <c r="J1765" s="1">
        <f>value(VND!$B1765)</f>
        <v>0.620809926</v>
      </c>
      <c r="K1765" s="1">
        <f>value(CNY!$B1765)</f>
        <v>2096.79615</v>
      </c>
      <c r="L1765" s="1">
        <f>value(HKD!$B1765)</f>
        <v>1709.959839</v>
      </c>
      <c r="M1765" s="1">
        <f>value(TWD!$B1765)</f>
        <v>418.8348</v>
      </c>
      <c r="N1765" s="1">
        <f>value(JPY!$B1765)</f>
        <v>109.4289304</v>
      </c>
      <c r="O1765" s="1">
        <f>value(SAR!$B1765)</f>
        <v>3559.93274</v>
      </c>
      <c r="P1765" s="1">
        <f>value(AED!$B1765)</f>
        <v>3738.1226</v>
      </c>
      <c r="Q1765" s="1">
        <f>value(KWD!$B1765)</f>
        <v>44729.84294</v>
      </c>
    </row>
    <row r="1766">
      <c r="A1766" s="4">
        <f>value(USD!A1766)</f>
        <v>42076.99861</v>
      </c>
      <c r="B1766" s="1">
        <f>value(USD!B1766)</f>
        <v>13185</v>
      </c>
      <c r="C1766" s="1">
        <f>value(AUD!$B1766)</f>
        <v>9982.4212</v>
      </c>
      <c r="D1766" s="1">
        <f>value(EUR!$B1766)</f>
        <v>13917.66008</v>
      </c>
      <c r="E1766" s="1">
        <f>value(GBP!$B1766)</f>
        <v>19590.96579</v>
      </c>
      <c r="F1766" s="1">
        <f>value(CHF!$B1766)</f>
        <v>13393.4164</v>
      </c>
      <c r="G1766" s="1">
        <f>value(SGD!$B1766)</f>
        <v>9538.37803</v>
      </c>
      <c r="H1766" s="1">
        <f>value(MYR!$B1766)</f>
        <v>3498.936928</v>
      </c>
      <c r="I1766" s="1">
        <f>value(THB!$B1766)</f>
        <v>402.390363</v>
      </c>
      <c r="J1766" s="1">
        <f>value(VND!$B1766)</f>
        <v>0.6178732925</v>
      </c>
      <c r="K1766" s="1">
        <f>value(CNY!$B1766)</f>
        <v>2097.15508</v>
      </c>
      <c r="L1766" s="1">
        <f>value(HKD!$B1766)</f>
        <v>1709.694235</v>
      </c>
      <c r="M1766" s="1">
        <f>value(TWD!$B1766)</f>
        <v>419.48205</v>
      </c>
      <c r="N1766" s="1">
        <f>value(JPY!$B1766)</f>
        <v>109.4289304</v>
      </c>
      <c r="O1766" s="1">
        <f>value(SAR!$B1766)</f>
        <v>3559.39433</v>
      </c>
      <c r="P1766" s="1">
        <f>value(AED!$B1766)</f>
        <v>3728.866</v>
      </c>
      <c r="Q1766" s="1">
        <f>value(KWD!$B1766)</f>
        <v>44817.1776</v>
      </c>
    </row>
    <row r="1767">
      <c r="A1767" s="4">
        <f>value(USD!A1767)</f>
        <v>42077.99861</v>
      </c>
      <c r="B1767" s="1">
        <f>value(USD!B1767)</f>
        <v>13280.21</v>
      </c>
      <c r="C1767" s="1">
        <f>value(AUD!$B1767)</f>
        <v>9959.936</v>
      </c>
      <c r="D1767" s="1">
        <f>value(EUR!$B1767)</f>
        <v>13948.4345</v>
      </c>
      <c r="E1767" s="1">
        <f>value(GBP!$B1767)</f>
        <v>19558.55265</v>
      </c>
      <c r="F1767" s="1">
        <f>value(CHF!$B1767)</f>
        <v>13441.848</v>
      </c>
      <c r="G1767" s="1">
        <f>value(SGD!$B1767)</f>
        <v>9493.93445</v>
      </c>
      <c r="H1767" s="1">
        <f>value(MYR!$B1767)</f>
        <v>3504.592</v>
      </c>
      <c r="I1767" s="1">
        <f>value(THB!$B1767)</f>
        <v>400.20435</v>
      </c>
      <c r="J1767" s="1">
        <f>value(VND!$B1767)</f>
        <v>0.6108178746</v>
      </c>
      <c r="K1767" s="1">
        <f>value(CNY!$B1767)</f>
        <v>2109.3426</v>
      </c>
      <c r="L1767" s="1">
        <f>value(HKD!$B1767)</f>
        <v>1699.2521</v>
      </c>
      <c r="M1767" s="1">
        <f>value(TWD!$B1767)</f>
        <v>420.7707</v>
      </c>
      <c r="N1767" s="1">
        <f>value(JPY!$B1767)</f>
        <v>108.7268</v>
      </c>
      <c r="O1767" s="1">
        <f>value(SAR!$B1767)</f>
        <v>3563.135559</v>
      </c>
      <c r="P1767" s="1">
        <f>value(AED!$B1767)</f>
        <v>3668.44204</v>
      </c>
      <c r="Q1767" s="1">
        <f>value(KWD!$B1767)</f>
        <v>45021.49892</v>
      </c>
    </row>
    <row r="1768">
      <c r="A1768" s="4">
        <f>value(USD!A1768)</f>
        <v>42078.99861</v>
      </c>
      <c r="B1768" s="1">
        <f>value(USD!B1768)</f>
        <v>13280.21</v>
      </c>
      <c r="C1768" s="1">
        <f>value(AUD!$B1768)</f>
        <v>10059.78761</v>
      </c>
      <c r="D1768" s="1">
        <f>value(EUR!$B1768)</f>
        <v>13903.0016</v>
      </c>
      <c r="E1768" s="1">
        <f>value(GBP!$B1768)</f>
        <v>19352.9184</v>
      </c>
      <c r="F1768" s="1">
        <f>value(CHF!$B1768)</f>
        <v>13456.251</v>
      </c>
      <c r="G1768" s="1">
        <f>value(SGD!$B1768)</f>
        <v>9444.8256</v>
      </c>
      <c r="H1768" s="1">
        <f>value(MYR!$B1768)</f>
        <v>3471.9456</v>
      </c>
      <c r="I1768" s="1">
        <f>value(THB!$B1768)</f>
        <v>398.3232</v>
      </c>
      <c r="J1768" s="1">
        <f>value(VND!$B1768)</f>
        <v>0.6186617079</v>
      </c>
      <c r="K1768" s="1">
        <f>value(CNY!$B1768)</f>
        <v>2102.13264</v>
      </c>
      <c r="L1768" s="1">
        <f>value(HKD!$B1768)</f>
        <v>1689.9872</v>
      </c>
      <c r="M1768" s="1">
        <f>value(TWD!$B1768)</f>
        <v>421.36164</v>
      </c>
      <c r="N1768" s="1">
        <f>value(JPY!$B1768)</f>
        <v>108.152096</v>
      </c>
      <c r="O1768" s="1">
        <f>value(SAR!$B1768)</f>
        <v>3561.036695</v>
      </c>
      <c r="P1768" s="1">
        <f>value(AED!$B1768)</f>
        <v>3680.2792</v>
      </c>
      <c r="Q1768" s="1">
        <f>value(KWD!$B1768)</f>
        <v>45165.76155</v>
      </c>
    </row>
    <row r="1769">
      <c r="A1769" s="4">
        <f>value(USD!A1769)</f>
        <v>42079.99861</v>
      </c>
      <c r="B1769" s="1">
        <f>value(USD!B1769)</f>
        <v>13195</v>
      </c>
      <c r="C1769" s="1">
        <f>value(AUD!$B1769)</f>
        <v>10014.6558</v>
      </c>
      <c r="D1769" s="1">
        <f>value(EUR!$B1769)</f>
        <v>13972.6104</v>
      </c>
      <c r="E1769" s="1">
        <f>value(GBP!$B1769)</f>
        <v>19268.0936</v>
      </c>
      <c r="F1769" s="1">
        <f>value(CHF!$B1769)</f>
        <v>13500.477</v>
      </c>
      <c r="G1769" s="1">
        <f>value(SGD!$B1769)</f>
        <v>9346.8872</v>
      </c>
      <c r="H1769" s="1">
        <f>value(MYR!$B1769)</f>
        <v>3484.5552</v>
      </c>
      <c r="I1769" s="1">
        <f>value(THB!$B1769)</f>
        <v>393.3552</v>
      </c>
      <c r="J1769" s="1">
        <f>value(VND!$B1769)</f>
        <v>0.6159551294</v>
      </c>
      <c r="K1769" s="1">
        <f>value(CNY!$B1769)</f>
        <v>2119.999236</v>
      </c>
      <c r="L1769" s="1">
        <f>value(HKD!$B1769)</f>
        <v>1660.1032</v>
      </c>
      <c r="M1769" s="1">
        <f>value(TWD!$B1769)</f>
        <v>421.947</v>
      </c>
      <c r="N1769" s="1">
        <f>value(JPY!$B1769)</f>
        <v>107.254336</v>
      </c>
      <c r="O1769" s="1">
        <f>value(SAR!$B1769)</f>
        <v>3559.89213</v>
      </c>
      <c r="P1769" s="1">
        <f>value(AED!$B1769)</f>
        <v>3704.7781</v>
      </c>
      <c r="Q1769" s="1">
        <f>value(KWD!$B1769)</f>
        <v>44995.03514</v>
      </c>
    </row>
    <row r="1770">
      <c r="A1770" s="4">
        <f>value(USD!A1770)</f>
        <v>42080.99861</v>
      </c>
      <c r="B1770" s="1">
        <f>value(USD!B1770)</f>
        <v>13120</v>
      </c>
      <c r="C1770" s="1">
        <f>value(AUD!$B1770)</f>
        <v>9968.794</v>
      </c>
      <c r="D1770" s="1">
        <f>value(EUR!$B1770)</f>
        <v>13930.40498</v>
      </c>
      <c r="E1770" s="1">
        <f>value(GBP!$B1770)</f>
        <v>19272.69394</v>
      </c>
      <c r="F1770" s="1">
        <f>value(CHF!$B1770)</f>
        <v>13547.2755</v>
      </c>
      <c r="G1770" s="1">
        <f>value(SGD!$B1770)</f>
        <v>9415.20974</v>
      </c>
      <c r="H1770" s="1">
        <f>value(MYR!$B1770)</f>
        <v>3445.22272</v>
      </c>
      <c r="I1770" s="1">
        <f>value(THB!$B1770)</f>
        <v>398.53016</v>
      </c>
      <c r="J1770" s="1">
        <f>value(VND!$B1770)</f>
        <v>0.6160471348</v>
      </c>
      <c r="K1770" s="1">
        <f>value(CNY!$B1770)</f>
        <v>2117.104501</v>
      </c>
      <c r="L1770" s="1">
        <f>value(HKD!$B1770)</f>
        <v>1682.91504</v>
      </c>
      <c r="M1770" s="1">
        <f>value(TWD!$B1770)</f>
        <v>417.8214</v>
      </c>
      <c r="N1770" s="1">
        <f>value(JPY!$B1770)</f>
        <v>108.1150168</v>
      </c>
      <c r="O1770" s="1">
        <f>value(SAR!$B1770)</f>
        <v>3577.62647</v>
      </c>
      <c r="P1770" s="1">
        <f>value(AED!$B1770)</f>
        <v>3715.257</v>
      </c>
      <c r="Q1770" s="1">
        <f>value(KWD!$B1770)</f>
        <v>44950.42058</v>
      </c>
    </row>
    <row r="1771">
      <c r="A1771" s="4">
        <f>value(USD!A1771)</f>
        <v>42081.99861</v>
      </c>
      <c r="B1771" s="1">
        <f>value(USD!B1771)</f>
        <v>12880</v>
      </c>
      <c r="C1771" s="1">
        <f>value(AUD!$B1771)</f>
        <v>9994.92</v>
      </c>
      <c r="D1771" s="1">
        <f>value(EUR!$B1771)</f>
        <v>14073.5125</v>
      </c>
      <c r="E1771" s="1">
        <f>value(GBP!$B1771)</f>
        <v>19472.375</v>
      </c>
      <c r="F1771" s="1">
        <f>value(CHF!$B1771)</f>
        <v>13666.224</v>
      </c>
      <c r="G1771" s="1">
        <f>value(SGD!$B1771)</f>
        <v>9443.25525</v>
      </c>
      <c r="H1771" s="1">
        <f>value(MYR!$B1771)</f>
        <v>3456.835</v>
      </c>
      <c r="I1771" s="1">
        <f>value(THB!$B1771)</f>
        <v>399.3465</v>
      </c>
      <c r="J1771" s="1">
        <f>value(VND!$B1771)</f>
        <v>0.620650697</v>
      </c>
      <c r="K1771" s="1">
        <f>value(CNY!$B1771)</f>
        <v>2120.8968</v>
      </c>
      <c r="L1771" s="1">
        <f>value(HKD!$B1771)</f>
        <v>1678.662</v>
      </c>
      <c r="M1771" s="1">
        <f>value(TWD!$B1771)</f>
        <v>422.53245</v>
      </c>
      <c r="N1771" s="1">
        <f>value(JPY!$B1771)</f>
        <v>108.49825</v>
      </c>
      <c r="O1771" s="1">
        <f>value(SAR!$B1771)</f>
        <v>3585.444569</v>
      </c>
      <c r="P1771" s="1">
        <f>value(AED!$B1771)</f>
        <v>3702.19236</v>
      </c>
      <c r="Q1771" s="1">
        <f>value(KWD!$B1771)</f>
        <v>45020.63965</v>
      </c>
    </row>
    <row r="1772">
      <c r="A1772" s="4">
        <f>value(USD!A1772)</f>
        <v>42082.99861</v>
      </c>
      <c r="B1772" s="1">
        <f>value(USD!B1772)</f>
        <v>13058</v>
      </c>
      <c r="C1772" s="1">
        <f>value(AUD!$B1772)</f>
        <v>10054.1094</v>
      </c>
      <c r="D1772" s="1">
        <f>value(EUR!$B1772)</f>
        <v>14112.15383</v>
      </c>
      <c r="E1772" s="1">
        <f>value(GBP!$B1772)</f>
        <v>19499.26849</v>
      </c>
      <c r="F1772" s="1">
        <f>value(CHF!$B1772)</f>
        <v>13524.1058</v>
      </c>
      <c r="G1772" s="1">
        <f>value(SGD!$B1772)</f>
        <v>9452.535378</v>
      </c>
      <c r="H1772" s="1">
        <f>value(MYR!$B1772)</f>
        <v>3460.23212</v>
      </c>
      <c r="I1772" s="1">
        <f>value(THB!$B1772)</f>
        <v>399.738948</v>
      </c>
      <c r="J1772" s="1">
        <f>value(VND!$B1772)</f>
        <v>0.6176630424</v>
      </c>
      <c r="K1772" s="1">
        <f>value(CNY!$B1772)</f>
        <v>2117.26515</v>
      </c>
      <c r="L1772" s="1">
        <f>value(HKD!$B1772)</f>
        <v>1680.311664</v>
      </c>
      <c r="M1772" s="1">
        <f>value(TWD!$B1772)</f>
        <v>422.89008</v>
      </c>
      <c r="N1772" s="1">
        <f>value(JPY!$B1772)</f>
        <v>108.604874</v>
      </c>
      <c r="O1772" s="1">
        <f>value(SAR!$B1772)</f>
        <v>3581.524218</v>
      </c>
      <c r="P1772" s="1">
        <f>value(AED!$B1772)</f>
        <v>3702.32838</v>
      </c>
      <c r="Q1772" s="1">
        <f>value(KWD!$B1772)</f>
        <v>44922.25976</v>
      </c>
    </row>
    <row r="1773">
      <c r="A1773" s="4">
        <f>value(USD!A1773)</f>
        <v>42083.99861</v>
      </c>
      <c r="B1773" s="1">
        <f>value(USD!B1773)</f>
        <v>13025</v>
      </c>
      <c r="C1773" s="1">
        <f>value(AUD!$B1773)</f>
        <v>10120.51458</v>
      </c>
      <c r="D1773" s="1">
        <f>value(EUR!$B1773)</f>
        <v>14109.50716</v>
      </c>
      <c r="E1773" s="1">
        <f>value(GBP!$B1773)</f>
        <v>19477.03904</v>
      </c>
      <c r="F1773" s="1">
        <f>value(CHF!$B1773)</f>
        <v>13429.598</v>
      </c>
      <c r="G1773" s="1">
        <f>value(SGD!$B1773)</f>
        <v>9460.749192</v>
      </c>
      <c r="H1773" s="1">
        <f>value(MYR!$B1773)</f>
        <v>3461.796656</v>
      </c>
      <c r="I1773" s="1">
        <f>value(THB!$B1773)</f>
        <v>399.869326</v>
      </c>
      <c r="J1773" s="1">
        <f>value(VND!$B1773)</f>
        <v>0.6275936762</v>
      </c>
      <c r="K1773" s="1">
        <f>value(CNY!$B1773)</f>
        <v>2112.82852</v>
      </c>
      <c r="L1773" s="1">
        <f>value(HKD!$B1773)</f>
        <v>1680.57242</v>
      </c>
      <c r="M1773" s="1">
        <f>value(TWD!$B1773)</f>
        <v>425.0637</v>
      </c>
      <c r="N1773" s="1">
        <f>value(JPY!$B1773)</f>
        <v>108.604874</v>
      </c>
      <c r="O1773" s="1">
        <f>value(SAR!$B1773)</f>
        <v>3594.884622</v>
      </c>
      <c r="P1773" s="1">
        <f>value(AED!$B1773)</f>
        <v>3710.086</v>
      </c>
      <c r="Q1773" s="1">
        <f>value(KWD!$B1773)</f>
        <v>44324.93907</v>
      </c>
    </row>
    <row r="1774">
      <c r="A1774" s="4">
        <f>value(USD!A1774)</f>
        <v>42084.99861</v>
      </c>
      <c r="B1774" s="1">
        <f>value(USD!B1774)</f>
        <v>13037.8</v>
      </c>
      <c r="C1774" s="1">
        <f>value(AUD!$B1774)</f>
        <v>10155.89468</v>
      </c>
      <c r="D1774" s="1">
        <f>value(EUR!$B1774)</f>
        <v>14167.92552</v>
      </c>
      <c r="E1774" s="1">
        <f>value(GBP!$B1774)</f>
        <v>19348.4907</v>
      </c>
      <c r="F1774" s="1">
        <f>value(CHF!$B1774)</f>
        <v>13407.6426</v>
      </c>
      <c r="G1774" s="1">
        <f>value(SGD!$B1774)</f>
        <v>9460.55642</v>
      </c>
      <c r="H1774" s="1">
        <f>value(MYR!$B1774)</f>
        <v>3448.92121</v>
      </c>
      <c r="I1774" s="1">
        <f>value(THB!$B1774)</f>
        <v>398.12668</v>
      </c>
      <c r="J1774" s="1">
        <f>value(VND!$B1774)</f>
        <v>0.6267005152</v>
      </c>
      <c r="K1774" s="1">
        <f>value(CNY!$B1774)</f>
        <v>2098.73664</v>
      </c>
      <c r="L1774" s="1">
        <f>value(HKD!$B1774)</f>
        <v>1668.74099</v>
      </c>
      <c r="M1774" s="1">
        <f>value(TWD!$B1774)</f>
        <v>424.0275</v>
      </c>
      <c r="N1774" s="1">
        <f>value(JPY!$B1774)</f>
        <v>108.0675785</v>
      </c>
      <c r="O1774" s="1">
        <f>value(SAR!$B1774)</f>
        <v>3548.068379</v>
      </c>
      <c r="P1774" s="1">
        <f>value(AED!$B1774)</f>
        <v>3696.476</v>
      </c>
      <c r="Q1774" s="1">
        <f>value(KWD!$B1774)</f>
        <v>44476.39053</v>
      </c>
    </row>
    <row r="1775">
      <c r="A1775" s="4">
        <f>value(USD!A1775)</f>
        <v>42085.99861</v>
      </c>
      <c r="B1775" s="1">
        <f>value(USD!B1775)</f>
        <v>13037.8</v>
      </c>
      <c r="C1775" s="1">
        <f>value(AUD!$B1775)</f>
        <v>10167.73185</v>
      </c>
      <c r="D1775" s="1">
        <f>value(EUR!$B1775)</f>
        <v>14068.38575</v>
      </c>
      <c r="E1775" s="1">
        <f>value(GBP!$B1775)</f>
        <v>19140.696</v>
      </c>
      <c r="F1775" s="1">
        <f>value(CHF!$B1775)</f>
        <v>13522.579</v>
      </c>
      <c r="G1775" s="1">
        <f>value(SGD!$B1775)</f>
        <v>9433.0388</v>
      </c>
      <c r="H1775" s="1">
        <f>value(MYR!$B1775)</f>
        <v>3442.40875</v>
      </c>
      <c r="I1775" s="1">
        <f>value(THB!$B1775)</f>
        <v>396.6997</v>
      </c>
      <c r="J1775" s="1">
        <f>value(VND!$B1775)</f>
        <v>0.6248076739</v>
      </c>
      <c r="K1775" s="1">
        <f>value(CNY!$B1775)</f>
        <v>2102.39358</v>
      </c>
      <c r="L1775" s="1">
        <f>value(HKD!$B1775)</f>
        <v>1663.9707</v>
      </c>
      <c r="M1775" s="1">
        <f>value(TWD!$B1775)</f>
        <v>427.8933</v>
      </c>
      <c r="N1775" s="1">
        <f>value(JPY!$B1775)</f>
        <v>107.70513</v>
      </c>
      <c r="O1775" s="1">
        <f>value(SAR!$B1775)</f>
        <v>3593.837498</v>
      </c>
      <c r="P1775" s="1">
        <f>value(AED!$B1775)</f>
        <v>3646.119</v>
      </c>
      <c r="Q1775" s="1">
        <f>value(KWD!$B1775)</f>
        <v>44629.59212</v>
      </c>
    </row>
    <row r="1776">
      <c r="A1776" s="4">
        <f>value(USD!A1776)</f>
        <v>42086.99861</v>
      </c>
      <c r="B1776" s="1">
        <f>value(USD!B1776)</f>
        <v>12943</v>
      </c>
      <c r="C1776" s="1">
        <f>value(AUD!$B1776)</f>
        <v>10341.5325</v>
      </c>
      <c r="D1776" s="1">
        <f>value(EUR!$B1776)</f>
        <v>14172.573</v>
      </c>
      <c r="E1776" s="1">
        <f>value(GBP!$B1776)</f>
        <v>19233.5043</v>
      </c>
      <c r="F1776" s="1">
        <f>value(CHF!$B1776)</f>
        <v>13601.5815</v>
      </c>
      <c r="G1776" s="1">
        <f>value(SGD!$B1776)</f>
        <v>9433.8573</v>
      </c>
      <c r="H1776" s="1">
        <f>value(MYR!$B1776)</f>
        <v>3467.9553</v>
      </c>
      <c r="I1776" s="1">
        <f>value(THB!$B1776)</f>
        <v>396.6924</v>
      </c>
      <c r="J1776" s="1">
        <f>value(VND!$B1776)</f>
        <v>0.6416623664</v>
      </c>
      <c r="K1776" s="1">
        <f>value(CNY!$B1776)</f>
        <v>2106.404354</v>
      </c>
      <c r="L1776" s="1">
        <f>value(HKD!$B1776)</f>
        <v>1667.0649</v>
      </c>
      <c r="M1776" s="1">
        <f>value(TWD!$B1776)</f>
        <v>426.6867</v>
      </c>
      <c r="N1776" s="1">
        <f>value(JPY!$B1776)</f>
        <v>108.168501</v>
      </c>
      <c r="O1776" s="1">
        <f>value(SAR!$B1776)</f>
        <v>3601.996882</v>
      </c>
      <c r="P1776" s="1">
        <f>value(AED!$B1776)</f>
        <v>3662.31645</v>
      </c>
      <c r="Q1776" s="1">
        <f>value(KWD!$B1776)</f>
        <v>44902.67001</v>
      </c>
    </row>
    <row r="1777">
      <c r="A1777" s="4">
        <f>value(USD!A1777)</f>
        <v>42087.99861</v>
      </c>
      <c r="B1777" s="1">
        <f>value(USD!B1777)</f>
        <v>12905</v>
      </c>
      <c r="C1777" s="1">
        <f>value(AUD!$B1777)</f>
        <v>10324.63845</v>
      </c>
      <c r="D1777" s="1">
        <f>value(EUR!$B1777)</f>
        <v>14161.5151</v>
      </c>
      <c r="E1777" s="1">
        <f>value(GBP!$B1777)</f>
        <v>19328.957</v>
      </c>
      <c r="F1777" s="1">
        <f>value(CHF!$B1777)</f>
        <v>13617.37098</v>
      </c>
      <c r="G1777" s="1">
        <f>value(SGD!$B1777)</f>
        <v>9495.8689</v>
      </c>
      <c r="H1777" s="1">
        <f>value(MYR!$B1777)</f>
        <v>3452.5938</v>
      </c>
      <c r="I1777" s="1">
        <f>value(THB!$B1777)</f>
        <v>398.8866</v>
      </c>
      <c r="J1777" s="1">
        <f>value(VND!$B1777)</f>
        <v>0.6218586145</v>
      </c>
      <c r="K1777" s="1">
        <f>value(CNY!$B1777)</f>
        <v>2105.75076</v>
      </c>
      <c r="L1777" s="1">
        <f>value(HKD!$B1777)</f>
        <v>1677.6395</v>
      </c>
      <c r="M1777" s="1">
        <f>value(TWD!$B1777)</f>
        <v>425.68398</v>
      </c>
      <c r="N1777" s="1">
        <f>value(JPY!$B1777)</f>
        <v>109.143492</v>
      </c>
      <c r="O1777" s="1">
        <f>value(SAR!$B1777)</f>
        <v>3579.904458</v>
      </c>
      <c r="P1777" s="1">
        <f>value(AED!$B1777)</f>
        <v>3682.18125</v>
      </c>
      <c r="Q1777" s="1">
        <f>value(KWD!$B1777)</f>
        <v>44973.61981</v>
      </c>
    </row>
    <row r="1778">
      <c r="A1778" s="4">
        <f>value(USD!A1778)</f>
        <v>42088.99861</v>
      </c>
      <c r="B1778" s="1">
        <f>value(USD!B1778)</f>
        <v>12930</v>
      </c>
      <c r="C1778" s="1">
        <f>value(AUD!$B1778)</f>
        <v>10234.7343</v>
      </c>
      <c r="D1778" s="1">
        <f>value(EUR!$B1778)</f>
        <v>14202.936</v>
      </c>
      <c r="E1778" s="1">
        <f>value(GBP!$B1778)</f>
        <v>19388.259</v>
      </c>
      <c r="F1778" s="1">
        <f>value(CHF!$B1778)</f>
        <v>13510.6965</v>
      </c>
      <c r="G1778" s="1">
        <f>value(SGD!$B1778)</f>
        <v>9514.63755</v>
      </c>
      <c r="H1778" s="1">
        <f>value(MYR!$B1778)</f>
        <v>3478.65045</v>
      </c>
      <c r="I1778" s="1">
        <f>value(THB!$B1778)</f>
        <v>399.9138</v>
      </c>
      <c r="J1778" s="1">
        <f>value(VND!$B1778)</f>
        <v>0.6290534611</v>
      </c>
      <c r="K1778" s="1">
        <f>value(CNY!$B1778)</f>
        <v>2122.3725</v>
      </c>
      <c r="L1778" s="1">
        <f>value(HKD!$B1778)</f>
        <v>1680.9936</v>
      </c>
      <c r="M1778" s="1">
        <f>value(TWD!$B1778)</f>
        <v>424.09367</v>
      </c>
      <c r="N1778" s="1">
        <f>value(JPY!$B1778)</f>
        <v>109.36365</v>
      </c>
      <c r="O1778" s="1">
        <f>value(SAR!$B1778)</f>
        <v>3588.210124</v>
      </c>
      <c r="P1778" s="1">
        <f>value(AED!$B1778)</f>
        <v>3704.642</v>
      </c>
      <c r="Q1778" s="1">
        <f>value(KWD!$B1778)</f>
        <v>44687.57664</v>
      </c>
    </row>
    <row r="1779">
      <c r="A1779" s="4">
        <f>value(USD!A1779)</f>
        <v>42089.99861</v>
      </c>
      <c r="B1779" s="1">
        <f>value(USD!B1779)</f>
        <v>13010</v>
      </c>
      <c r="C1779" s="1">
        <f>value(AUD!$B1779)</f>
        <v>10184.5965</v>
      </c>
      <c r="D1779" s="1">
        <f>value(EUR!$B1779)</f>
        <v>14314.05558</v>
      </c>
      <c r="E1779" s="1">
        <f>value(GBP!$B1779)</f>
        <v>19550.67666</v>
      </c>
      <c r="F1779" s="1">
        <f>value(CHF!$B1779)</f>
        <v>13453.7235</v>
      </c>
      <c r="G1779" s="1">
        <f>value(SGD!$B1779)</f>
        <v>9591.718158</v>
      </c>
      <c r="H1779" s="1">
        <f>value(MYR!$B1779)</f>
        <v>3506.831922</v>
      </c>
      <c r="I1779" s="1">
        <f>value(THB!$B1779)</f>
        <v>403.153608</v>
      </c>
      <c r="J1779" s="1">
        <f>value(VND!$B1779)</f>
        <v>0.634687852</v>
      </c>
      <c r="K1779" s="1">
        <f>value(CNY!$B1779)</f>
        <v>2120.96976</v>
      </c>
      <c r="L1779" s="1">
        <f>value(HKD!$B1779)</f>
        <v>1694.611776</v>
      </c>
      <c r="M1779" s="1">
        <f>value(TWD!$B1779)</f>
        <v>426.24549</v>
      </c>
      <c r="N1779" s="1">
        <f>value(JPY!$B1779)</f>
        <v>110.249634</v>
      </c>
      <c r="O1779" s="1">
        <f>value(SAR!$B1779)</f>
        <v>3600.416382</v>
      </c>
      <c r="P1779" s="1">
        <f>value(AED!$B1779)</f>
        <v>3713.8961</v>
      </c>
      <c r="Q1779" s="1">
        <f>value(KWD!$B1779)</f>
        <v>44585.46005</v>
      </c>
    </row>
    <row r="1780">
      <c r="A1780" s="4">
        <f>value(USD!A1780)</f>
        <v>42090.99861</v>
      </c>
      <c r="B1780" s="1">
        <f>value(USD!B1780)</f>
        <v>13035</v>
      </c>
      <c r="C1780" s="1">
        <f>value(AUD!$B1780)</f>
        <v>10204.68606</v>
      </c>
      <c r="D1780" s="1">
        <f>value(EUR!$B1780)</f>
        <v>14299.60092</v>
      </c>
      <c r="E1780" s="1">
        <f>value(GBP!$B1780)</f>
        <v>19557.15498</v>
      </c>
      <c r="F1780" s="1">
        <f>value(CHF!$B1780)</f>
        <v>13372.205</v>
      </c>
      <c r="G1780" s="1">
        <f>value(SGD!$B1780)</f>
        <v>9588.69582</v>
      </c>
      <c r="H1780" s="1">
        <f>value(MYR!$B1780)</f>
        <v>3504.860832</v>
      </c>
      <c r="I1780" s="1">
        <f>value(THB!$B1780)</f>
        <v>402.890796</v>
      </c>
      <c r="J1780" s="1">
        <f>value(VND!$B1780)</f>
        <v>0.6351234134</v>
      </c>
      <c r="K1780" s="1">
        <f>value(CNY!$B1780)</f>
        <v>2099.0592</v>
      </c>
      <c r="L1780" s="1">
        <f>value(HKD!$B1780)</f>
        <v>1694.611776</v>
      </c>
      <c r="M1780" s="1">
        <f>value(TWD!$B1780)</f>
        <v>430.00254</v>
      </c>
      <c r="N1780" s="1">
        <f>value(JPY!$B1780)</f>
        <v>110.118228</v>
      </c>
      <c r="O1780" s="1">
        <f>value(SAR!$B1780)</f>
        <v>3608.767578</v>
      </c>
      <c r="P1780" s="1">
        <f>value(AED!$B1780)</f>
        <v>3691.032</v>
      </c>
      <c r="Q1780" s="1">
        <f>value(KWD!$B1780)</f>
        <v>44858.26058</v>
      </c>
    </row>
    <row r="1781">
      <c r="A1781" s="4">
        <f>value(USD!A1781)</f>
        <v>42091.99861</v>
      </c>
      <c r="B1781" s="1">
        <f>value(USD!B1781)</f>
        <v>13140.6</v>
      </c>
      <c r="C1781" s="1">
        <f>value(AUD!$B1781)</f>
        <v>10080.954</v>
      </c>
      <c r="D1781" s="1">
        <f>value(EUR!$B1781)</f>
        <v>14172.17404</v>
      </c>
      <c r="E1781" s="1">
        <f>value(GBP!$B1781)</f>
        <v>19379.2296</v>
      </c>
      <c r="F1781" s="1">
        <f>value(CHF!$B1781)</f>
        <v>13235.092</v>
      </c>
      <c r="G1781" s="1">
        <f>value(SGD!$B1781)</f>
        <v>9508.62159</v>
      </c>
      <c r="H1781" s="1">
        <f>value(MYR!$B1781)</f>
        <v>3455.36061</v>
      </c>
      <c r="I1781" s="1">
        <f>value(THB!$B1781)</f>
        <v>401.7709</v>
      </c>
      <c r="J1781" s="1">
        <f>value(VND!$B1781)</f>
        <v>0.6313760986</v>
      </c>
      <c r="K1781" s="1">
        <f>value(CNY!$B1781)</f>
        <v>2114.9758</v>
      </c>
      <c r="L1781" s="1">
        <f>value(HKD!$B1781)</f>
        <v>1687.43778</v>
      </c>
      <c r="M1781" s="1">
        <f>value(TWD!$B1781)</f>
        <v>429.80352</v>
      </c>
      <c r="N1781" s="1">
        <f>value(JPY!$B1781)</f>
        <v>109.0251796</v>
      </c>
      <c r="O1781" s="1">
        <f>value(SAR!$B1781)</f>
        <v>3594.596741</v>
      </c>
      <c r="P1781" s="1">
        <f>value(AED!$B1781)</f>
        <v>3681.2345</v>
      </c>
      <c r="Q1781" s="1">
        <f>value(KWD!$B1781)</f>
        <v>45311.56429</v>
      </c>
    </row>
    <row r="1782">
      <c r="A1782" s="4">
        <f>value(USD!A1782)</f>
        <v>42092.99861</v>
      </c>
      <c r="B1782" s="1">
        <f>value(USD!B1782)</f>
        <v>13140.6</v>
      </c>
      <c r="C1782" s="1">
        <f>value(AUD!$B1782)</f>
        <v>10314.2655</v>
      </c>
      <c r="D1782" s="1">
        <f>value(EUR!$B1782)</f>
        <v>14022.9138</v>
      </c>
      <c r="E1782" s="1">
        <f>value(GBP!$B1782)</f>
        <v>19365.368</v>
      </c>
      <c r="F1782" s="1">
        <f>value(CHF!$B1782)</f>
        <v>13151.667</v>
      </c>
      <c r="G1782" s="1">
        <f>value(SGD!$B1782)</f>
        <v>9508.4636</v>
      </c>
      <c r="H1782" s="1">
        <f>value(MYR!$B1782)</f>
        <v>3456.1984</v>
      </c>
      <c r="I1782" s="1">
        <f>value(THB!$B1782)</f>
        <v>400.942</v>
      </c>
      <c r="J1782" s="1">
        <f>value(VND!$B1782)</f>
        <v>0.6396269913</v>
      </c>
      <c r="K1782" s="1">
        <f>value(CNY!$B1782)</f>
        <v>2120.2704</v>
      </c>
      <c r="L1782" s="1">
        <f>value(HKD!$B1782)</f>
        <v>1684.3482</v>
      </c>
      <c r="M1782" s="1">
        <f>value(TWD!$B1782)</f>
        <v>424.15885</v>
      </c>
      <c r="N1782" s="1">
        <f>value(JPY!$B1782)</f>
        <v>108.7898</v>
      </c>
      <c r="O1782" s="1">
        <f>value(SAR!$B1782)</f>
        <v>3595.274848</v>
      </c>
      <c r="P1782" s="1">
        <f>value(AED!$B1782)</f>
        <v>3704.3698</v>
      </c>
      <c r="Q1782" s="1">
        <f>value(KWD!$B1782)</f>
        <v>45191.69821</v>
      </c>
    </row>
    <row r="1783">
      <c r="A1783" s="4">
        <f>value(USD!A1783)</f>
        <v>42093.99861</v>
      </c>
      <c r="B1783" s="1">
        <f>value(USD!B1783)</f>
        <v>13087</v>
      </c>
      <c r="C1783" s="1">
        <f>value(AUD!$B1783)</f>
        <v>10344.682</v>
      </c>
      <c r="D1783" s="1">
        <f>value(EUR!$B1783)</f>
        <v>13953.69272</v>
      </c>
      <c r="E1783" s="1">
        <f>value(GBP!$B1783)</f>
        <v>19222.67468</v>
      </c>
      <c r="F1783" s="1">
        <f>value(CHF!$B1783)</f>
        <v>13219.92175</v>
      </c>
      <c r="G1783" s="1">
        <f>value(SGD!$B1783)</f>
        <v>9505.85922</v>
      </c>
      <c r="H1783" s="1">
        <f>value(MYR!$B1783)</f>
        <v>3438.4053</v>
      </c>
      <c r="I1783" s="1">
        <f>value(THB!$B1783)</f>
        <v>398.58808</v>
      </c>
      <c r="J1783" s="1">
        <f>value(VND!$B1783)</f>
        <v>0.633004695</v>
      </c>
      <c r="K1783" s="1">
        <f>value(CNY!$B1783)</f>
        <v>2125.955112</v>
      </c>
      <c r="L1783" s="1">
        <f>value(HKD!$B1783)</f>
        <v>1671.32284</v>
      </c>
      <c r="M1783" s="1">
        <f>value(TWD!$B1783)</f>
        <v>427.71404</v>
      </c>
      <c r="N1783" s="1">
        <f>value(JPY!$B1783)</f>
        <v>108.32888</v>
      </c>
      <c r="O1783" s="1">
        <f>value(SAR!$B1783)</f>
        <v>3596.186605</v>
      </c>
      <c r="P1783" s="1">
        <f>value(AED!$B1783)</f>
        <v>3740.8446</v>
      </c>
      <c r="Q1783" s="1">
        <f>value(KWD!$B1783)</f>
        <v>45205.91824</v>
      </c>
    </row>
    <row r="1784">
      <c r="A1784" s="4">
        <f>value(USD!A1784)</f>
        <v>42094.99861</v>
      </c>
      <c r="B1784" s="1">
        <f>value(USD!B1784)</f>
        <v>13060</v>
      </c>
      <c r="C1784" s="1">
        <f>value(AUD!$B1784)</f>
        <v>10343.7405</v>
      </c>
      <c r="D1784" s="1">
        <f>value(EUR!$B1784)</f>
        <v>14112.3577</v>
      </c>
      <c r="E1784" s="1">
        <f>value(GBP!$B1784)</f>
        <v>19253.6386</v>
      </c>
      <c r="F1784" s="1">
        <f>value(CHF!$B1784)</f>
        <v>13206.98514</v>
      </c>
      <c r="G1784" s="1">
        <f>value(SGD!$B1784)</f>
        <v>9564.4913</v>
      </c>
      <c r="H1784" s="1">
        <f>value(MYR!$B1784)</f>
        <v>3484.3949</v>
      </c>
      <c r="I1784" s="1">
        <f>value(THB!$B1784)</f>
        <v>399.1589</v>
      </c>
      <c r="J1784" s="1">
        <f>value(VND!$B1784)</f>
        <v>0.6252517555</v>
      </c>
      <c r="K1784" s="1">
        <f>value(CNY!$B1784)</f>
        <v>2122.96068</v>
      </c>
      <c r="L1784" s="1">
        <f>value(HKD!$B1784)</f>
        <v>1674.8053</v>
      </c>
      <c r="M1784" s="1">
        <f>value(TWD!$B1784)</f>
        <v>430.2036</v>
      </c>
      <c r="N1784" s="1">
        <f>value(JPY!$B1784)</f>
        <v>108.4598095</v>
      </c>
      <c r="O1784" s="1">
        <f>value(SAR!$B1784)</f>
        <v>3631.970936</v>
      </c>
      <c r="P1784" s="1">
        <f>value(AED!$B1784)</f>
        <v>3731.18052</v>
      </c>
      <c r="Q1784" s="1">
        <f>value(KWD!$B1784)</f>
        <v>45141.62493</v>
      </c>
    </row>
    <row r="1785">
      <c r="A1785" s="4">
        <f>value(USD!A1785)</f>
        <v>42095.99861</v>
      </c>
      <c r="B1785" s="1">
        <f>value(USD!B1785)</f>
        <v>12958</v>
      </c>
      <c r="C1785" s="1">
        <f>value(AUD!$B1785)</f>
        <v>10349.01087</v>
      </c>
      <c r="D1785" s="1">
        <f>value(EUR!$B1785)</f>
        <v>14218.7155</v>
      </c>
      <c r="E1785" s="1">
        <f>value(GBP!$B1785)</f>
        <v>19223.2055</v>
      </c>
      <c r="F1785" s="1">
        <f>value(CHF!$B1785)</f>
        <v>13345.035</v>
      </c>
      <c r="G1785" s="1">
        <f>value(SGD!$B1785)</f>
        <v>9595.9151</v>
      </c>
      <c r="H1785" s="1">
        <f>value(MYR!$B1785)</f>
        <v>3512.4778</v>
      </c>
      <c r="I1785" s="1">
        <f>value(THB!$B1785)</f>
        <v>402.30395</v>
      </c>
      <c r="J1785" s="1">
        <f>value(VND!$B1785)</f>
        <v>0.61990359</v>
      </c>
      <c r="K1785" s="1">
        <f>value(CNY!$B1785)</f>
        <v>2130.44823</v>
      </c>
      <c r="L1785" s="1">
        <f>value(HKD!$B1785)</f>
        <v>1672.09605</v>
      </c>
      <c r="M1785" s="1">
        <f>value(TWD!$B1785)</f>
        <v>430.88883</v>
      </c>
      <c r="N1785" s="1">
        <f>value(JPY!$B1785)</f>
        <v>108.906</v>
      </c>
      <c r="O1785" s="1">
        <f>value(SAR!$B1785)</f>
        <v>3665.04006</v>
      </c>
      <c r="P1785" s="1">
        <f>value(AED!$B1785)</f>
        <v>3734.3096</v>
      </c>
      <c r="Q1785" s="1">
        <f>value(KWD!$B1785)</f>
        <v>44976.93458</v>
      </c>
    </row>
    <row r="1786">
      <c r="A1786" s="4">
        <f>value(USD!A1786)</f>
        <v>42096.99861</v>
      </c>
      <c r="B1786" s="1">
        <f>value(USD!B1786)</f>
        <v>12985</v>
      </c>
      <c r="C1786" s="1">
        <f>value(AUD!$B1786)</f>
        <v>10424.99624</v>
      </c>
      <c r="D1786" s="1">
        <f>value(EUR!$B1786)</f>
        <v>14274.303</v>
      </c>
      <c r="E1786" s="1">
        <f>value(GBP!$B1786)</f>
        <v>19284.74468</v>
      </c>
      <c r="F1786" s="1">
        <f>value(CHF!$B1786)</f>
        <v>13333.11</v>
      </c>
      <c r="G1786" s="1">
        <f>value(SGD!$B1786)</f>
        <v>9624.706546</v>
      </c>
      <c r="H1786" s="1">
        <f>value(MYR!$B1786)</f>
        <v>3523.016588</v>
      </c>
      <c r="I1786" s="1">
        <f>value(THB!$B1786)</f>
        <v>403.511017</v>
      </c>
      <c r="J1786" s="1">
        <f>value(VND!$B1786)</f>
        <v>0.6316168846</v>
      </c>
      <c r="K1786" s="1">
        <f>value(CNY!$B1786)</f>
        <v>2123.2674</v>
      </c>
      <c r="L1786" s="1">
        <f>value(HKD!$B1786)</f>
        <v>1677.112983</v>
      </c>
      <c r="M1786" s="1">
        <f>value(TWD!$B1786)</f>
        <v>430.34552</v>
      </c>
      <c r="N1786" s="1">
        <f>value(JPY!$B1786)</f>
        <v>109.23276</v>
      </c>
      <c r="O1786" s="1">
        <f>value(SAR!$B1786)</f>
        <v>3649.586324</v>
      </c>
      <c r="P1786" s="1">
        <f>value(AED!$B1786)</f>
        <v>3730.501</v>
      </c>
      <c r="Q1786" s="1">
        <f>value(KWD!$B1786)</f>
        <v>44612.83768</v>
      </c>
    </row>
    <row r="1787">
      <c r="A1787" s="4">
        <f>value(USD!A1787)</f>
        <v>42097.99861</v>
      </c>
      <c r="B1787" s="1">
        <f>value(USD!B1787)</f>
        <v>12965</v>
      </c>
      <c r="C1787" s="1">
        <f>value(AUD!$B1787)</f>
        <v>10401.666</v>
      </c>
      <c r="D1787" s="1">
        <f>value(EUR!$B1787)</f>
        <v>14265.87898</v>
      </c>
      <c r="E1787" s="1">
        <f>value(GBP!$B1787)</f>
        <v>19361.85484</v>
      </c>
      <c r="F1787" s="1">
        <f>value(CHF!$B1787)</f>
        <v>13360.0023</v>
      </c>
      <c r="G1787" s="1">
        <f>value(SGD!$B1787)</f>
        <v>9613.223188</v>
      </c>
      <c r="H1787" s="1">
        <f>value(MYR!$B1787)</f>
        <v>3522.306351</v>
      </c>
      <c r="I1787" s="1">
        <f>value(THB!$B1787)</f>
        <v>403.5016776</v>
      </c>
      <c r="J1787" s="1">
        <f>value(VND!$B1787)</f>
        <v>0.6271485431</v>
      </c>
      <c r="K1787" s="1">
        <f>value(CNY!$B1787)</f>
        <v>2120.8815</v>
      </c>
      <c r="L1787" s="1">
        <f>value(HKD!$B1787)</f>
        <v>1672.891236</v>
      </c>
      <c r="M1787" s="1">
        <f>value(TWD!$B1787)</f>
        <v>428.6835</v>
      </c>
      <c r="N1787" s="1">
        <f>value(JPY!$B1787)</f>
        <v>109.0790456</v>
      </c>
      <c r="O1787" s="1">
        <f>value(SAR!$B1787)</f>
        <v>3659.480188</v>
      </c>
      <c r="P1787" s="1">
        <f>value(AED!$B1787)</f>
        <v>3716.6179</v>
      </c>
      <c r="Q1787" s="1">
        <f>value(KWD!$B1787)</f>
        <v>44980.24693</v>
      </c>
    </row>
    <row r="1788">
      <c r="A1788" s="4">
        <f>value(USD!A1788)</f>
        <v>42098.99861</v>
      </c>
      <c r="B1788" s="1">
        <f>value(USD!B1788)</f>
        <v>13003.9</v>
      </c>
      <c r="C1788" s="1">
        <f>value(AUD!$B1788)</f>
        <v>10501.2776</v>
      </c>
      <c r="D1788" s="1">
        <f>value(EUR!$B1788)</f>
        <v>14152.7685</v>
      </c>
      <c r="E1788" s="1">
        <f>value(GBP!$B1788)</f>
        <v>19272.12765</v>
      </c>
      <c r="F1788" s="1">
        <f>value(CHF!$B1788)</f>
        <v>13398.182</v>
      </c>
      <c r="G1788" s="1">
        <f>value(SGD!$B1788)</f>
        <v>9540.85335</v>
      </c>
      <c r="H1788" s="1">
        <f>value(MYR!$B1788)</f>
        <v>3494.3733</v>
      </c>
      <c r="I1788" s="1">
        <f>value(THB!$B1788)</f>
        <v>400.2594</v>
      </c>
      <c r="J1788" s="1">
        <f>value(VND!$B1788)</f>
        <v>0.6232448483</v>
      </c>
      <c r="K1788" s="1">
        <f>value(CNY!$B1788)</f>
        <v>2128.104</v>
      </c>
      <c r="L1788" s="1">
        <f>value(HKD!$B1788)</f>
        <v>1669.77555</v>
      </c>
      <c r="M1788" s="1">
        <f>value(TWD!$B1788)</f>
        <v>427.46755</v>
      </c>
      <c r="N1788" s="1">
        <f>value(JPY!$B1788)</f>
        <v>108.34965</v>
      </c>
      <c r="O1788" s="1">
        <f>value(SAR!$B1788)</f>
        <v>3690.657204</v>
      </c>
      <c r="P1788" s="1">
        <f>value(AED!$B1788)</f>
        <v>3685.7234</v>
      </c>
      <c r="Q1788" s="1">
        <f>value(KWD!$B1788)</f>
        <v>44839.50522</v>
      </c>
    </row>
    <row r="1789">
      <c r="A1789" s="4">
        <f>value(USD!A1789)</f>
        <v>42099.99861</v>
      </c>
      <c r="B1789" s="1">
        <f>value(USD!B1789)</f>
        <v>12970.16</v>
      </c>
      <c r="C1789" s="1">
        <f>value(AUD!$B1789)</f>
        <v>10627.42526</v>
      </c>
      <c r="D1789" s="1">
        <f>value(EUR!$B1789)</f>
        <v>14061.8895</v>
      </c>
      <c r="E1789" s="1">
        <f>value(GBP!$B1789)</f>
        <v>19259.8895</v>
      </c>
      <c r="F1789" s="1">
        <f>value(CHF!$B1789)</f>
        <v>13432.32</v>
      </c>
      <c r="G1789" s="1">
        <f>value(SGD!$B1789)</f>
        <v>9551.5849</v>
      </c>
      <c r="H1789" s="1">
        <f>value(MYR!$B1789)</f>
        <v>3491.4966</v>
      </c>
      <c r="I1789" s="1">
        <f>value(THB!$B1789)</f>
        <v>398.4267</v>
      </c>
      <c r="J1789" s="1">
        <f>value(VND!$B1789)</f>
        <v>0.6158324576</v>
      </c>
      <c r="K1789" s="1">
        <f>value(CNY!$B1789)</f>
        <v>2127.09252</v>
      </c>
      <c r="L1789" s="1">
        <f>value(HKD!$B1789)</f>
        <v>1676.0951</v>
      </c>
      <c r="M1789" s="1">
        <f>value(TWD!$B1789)</f>
        <v>427.548</v>
      </c>
      <c r="N1789" s="1">
        <f>value(JPY!$B1789)</f>
        <v>108.0157395</v>
      </c>
      <c r="O1789" s="1">
        <f>value(SAR!$B1789)</f>
        <v>3686.483541</v>
      </c>
      <c r="P1789" s="1">
        <f>value(AED!$B1789)</f>
        <v>3719.47635</v>
      </c>
      <c r="Q1789" s="1">
        <f>value(KWD!$B1789)</f>
        <v>44740.73979</v>
      </c>
    </row>
    <row r="1790">
      <c r="A1790" s="4">
        <f>value(USD!A1790)</f>
        <v>42100.99861</v>
      </c>
      <c r="B1790" s="1">
        <f>value(USD!B1790)</f>
        <v>12945</v>
      </c>
      <c r="C1790" s="1">
        <f>value(AUD!$B1790)</f>
        <v>10519.7092</v>
      </c>
      <c r="D1790" s="1">
        <f>value(EUR!$B1790)</f>
        <v>13936.89825</v>
      </c>
      <c r="E1790" s="1">
        <f>value(GBP!$B1790)</f>
        <v>19225.9375</v>
      </c>
      <c r="F1790" s="1">
        <f>value(CHF!$B1790)</f>
        <v>13481.38589</v>
      </c>
      <c r="G1790" s="1">
        <f>value(SGD!$B1790)</f>
        <v>9527.5345</v>
      </c>
      <c r="H1790" s="1">
        <f>value(MYR!$B1790)</f>
        <v>3463.51225</v>
      </c>
      <c r="I1790" s="1">
        <f>value(THB!$B1790)</f>
        <v>396.66825</v>
      </c>
      <c r="J1790" s="1">
        <f>value(VND!$B1790)</f>
        <v>0.6134071601</v>
      </c>
      <c r="K1790" s="1">
        <f>value(CNY!$B1790)</f>
        <v>2120.306</v>
      </c>
      <c r="L1790" s="1">
        <f>value(HKD!$B1790)</f>
        <v>1667.45425</v>
      </c>
      <c r="M1790" s="1">
        <f>value(TWD!$B1790)</f>
        <v>426.36804</v>
      </c>
      <c r="N1790" s="1">
        <f>value(JPY!$B1790)</f>
        <v>107.6019175</v>
      </c>
      <c r="O1790" s="1">
        <f>value(SAR!$B1790)</f>
        <v>3669.949961</v>
      </c>
      <c r="P1790" s="1">
        <f>value(AED!$B1790)</f>
        <v>3707.0916</v>
      </c>
      <c r="Q1790" s="1">
        <f>value(KWD!$B1790)</f>
        <v>45166.05038</v>
      </c>
    </row>
    <row r="1791">
      <c r="A1791" s="4">
        <f>value(USD!A1791)</f>
        <v>42101.99861</v>
      </c>
      <c r="B1791" s="1">
        <f>value(USD!B1791)</f>
        <v>12995</v>
      </c>
      <c r="C1791" s="1">
        <f>value(AUD!$B1791)</f>
        <v>10476.48006</v>
      </c>
      <c r="D1791" s="1">
        <f>value(EUR!$B1791)</f>
        <v>13797.37645</v>
      </c>
      <c r="E1791" s="1">
        <f>value(GBP!$B1791)</f>
        <v>19033.8525</v>
      </c>
      <c r="F1791" s="1">
        <f>value(CHF!$B1791)</f>
        <v>13539.94011</v>
      </c>
      <c r="G1791" s="1">
        <f>value(SGD!$B1791)</f>
        <v>9516.7969</v>
      </c>
      <c r="H1791" s="1">
        <f>value(MYR!$B1791)</f>
        <v>3461.9234</v>
      </c>
      <c r="I1791" s="1">
        <f>value(THB!$B1791)</f>
        <v>396.8458</v>
      </c>
      <c r="J1791" s="1">
        <f>value(VND!$B1791)</f>
        <v>0.6158503417</v>
      </c>
      <c r="K1791" s="1">
        <f>value(CNY!$B1791)</f>
        <v>2133.8667</v>
      </c>
      <c r="L1791" s="1">
        <f>value(HKD!$B1791)</f>
        <v>1668.8737</v>
      </c>
      <c r="M1791" s="1">
        <f>value(TWD!$B1791)</f>
        <v>424.0875</v>
      </c>
      <c r="N1791" s="1">
        <f>value(JPY!$B1791)</f>
        <v>107.2841835</v>
      </c>
      <c r="O1791" s="1">
        <f>value(SAR!$B1791)</f>
        <v>3706.125605</v>
      </c>
      <c r="P1791" s="1">
        <f>value(AED!$B1791)</f>
        <v>3698.9262</v>
      </c>
      <c r="Q1791" s="1">
        <f>value(KWD!$B1791)</f>
        <v>44824.96926</v>
      </c>
    </row>
    <row r="1792">
      <c r="A1792" s="4">
        <f>value(USD!A1792)</f>
        <v>42102.99861</v>
      </c>
      <c r="B1792" s="1">
        <f>value(USD!B1792)</f>
        <v>12925</v>
      </c>
      <c r="C1792" s="1">
        <f>value(AUD!$B1792)</f>
        <v>10518.81916</v>
      </c>
      <c r="D1792" s="1">
        <f>value(EUR!$B1792)</f>
        <v>13664.689</v>
      </c>
      <c r="E1792" s="1">
        <f>value(GBP!$B1792)</f>
        <v>18860.7769</v>
      </c>
      <c r="F1792" s="1">
        <f>value(CHF!$B1792)</f>
        <v>13571.808</v>
      </c>
      <c r="G1792" s="1">
        <f>value(SGD!$B1792)</f>
        <v>9418.8519</v>
      </c>
      <c r="H1792" s="1">
        <f>value(MYR!$B1792)</f>
        <v>3451.6842</v>
      </c>
      <c r="I1792" s="1">
        <f>value(THB!$B1792)</f>
        <v>395.3363</v>
      </c>
      <c r="J1792" s="1">
        <f>value(VND!$B1792)</f>
        <v>0.6165746808</v>
      </c>
      <c r="K1792" s="1">
        <f>value(CNY!$B1792)</f>
        <v>2140.59375</v>
      </c>
      <c r="L1792" s="1">
        <f>value(HKD!$B1792)</f>
        <v>1663.0678</v>
      </c>
      <c r="M1792" s="1">
        <f>value(TWD!$B1792)</f>
        <v>427.8582</v>
      </c>
      <c r="N1792" s="1">
        <f>value(JPY!$B1792)</f>
        <v>107.2448</v>
      </c>
      <c r="O1792" s="1">
        <f>value(SAR!$B1792)</f>
        <v>3686.752684</v>
      </c>
      <c r="P1792" s="1">
        <f>value(AED!$B1792)</f>
        <v>3738.3923</v>
      </c>
      <c r="Q1792" s="1">
        <f>value(KWD!$B1792)</f>
        <v>45637.72473</v>
      </c>
    </row>
    <row r="1793">
      <c r="A1793" s="4">
        <f>value(USD!A1793)</f>
        <v>42103.99861</v>
      </c>
      <c r="B1793" s="1">
        <f>value(USD!B1793)</f>
        <v>12935</v>
      </c>
      <c r="C1793" s="1">
        <f>value(AUD!$B1793)</f>
        <v>10522.22928</v>
      </c>
      <c r="D1793" s="1">
        <f>value(EUR!$B1793)</f>
        <v>13723.15588</v>
      </c>
      <c r="E1793" s="1">
        <f>value(GBP!$B1793)</f>
        <v>18932.81929</v>
      </c>
      <c r="F1793" s="1">
        <f>value(CHF!$B1793)</f>
        <v>13533.7675</v>
      </c>
      <c r="G1793" s="1">
        <f>value(SGD!$B1793)</f>
        <v>9452.910293</v>
      </c>
      <c r="H1793" s="1">
        <f>value(MYR!$B1793)</f>
        <v>3466.105917</v>
      </c>
      <c r="I1793" s="1">
        <f>value(THB!$B1793)</f>
        <v>397.0245609</v>
      </c>
      <c r="J1793" s="1">
        <f>value(VND!$B1793)</f>
        <v>0.6092000617</v>
      </c>
      <c r="K1793" s="1">
        <f>value(CNY!$B1793)</f>
        <v>2157.74396</v>
      </c>
      <c r="L1793" s="1">
        <f>value(HKD!$B1793)</f>
        <v>1669.081422</v>
      </c>
      <c r="M1793" s="1">
        <f>value(TWD!$B1793)</f>
        <v>427.32225</v>
      </c>
      <c r="N1793" s="1">
        <f>value(JPY!$B1793)</f>
        <v>107.6325952</v>
      </c>
      <c r="O1793" s="1">
        <f>value(SAR!$B1793)</f>
        <v>3710.171895</v>
      </c>
      <c r="P1793" s="1">
        <f>value(AED!$B1793)</f>
        <v>3711.99084</v>
      </c>
      <c r="Q1793" s="1">
        <f>value(KWD!$B1793)</f>
        <v>45438.10082</v>
      </c>
    </row>
    <row r="1794">
      <c r="A1794" s="4">
        <f>value(USD!A1794)</f>
        <v>42104.99861</v>
      </c>
      <c r="B1794" s="1">
        <f>value(USD!B1794)</f>
        <v>12890</v>
      </c>
      <c r="C1794" s="1">
        <f>value(AUD!$B1794)</f>
        <v>10429.97776</v>
      </c>
      <c r="D1794" s="1">
        <f>value(EUR!$B1794)</f>
        <v>13722.50905</v>
      </c>
      <c r="E1794" s="1">
        <f>value(GBP!$B1794)</f>
        <v>18938.16211</v>
      </c>
      <c r="F1794" s="1">
        <f>value(CHF!$B1794)</f>
        <v>13301.19</v>
      </c>
      <c r="G1794" s="1">
        <f>value(SGD!$B1794)</f>
        <v>9453.815855</v>
      </c>
      <c r="H1794" s="1">
        <f>value(MYR!$B1794)</f>
        <v>3465.847185</v>
      </c>
      <c r="I1794" s="1">
        <f>value(THB!$B1794)</f>
        <v>397.0245609</v>
      </c>
      <c r="J1794" s="1">
        <f>value(VND!$B1794)</f>
        <v>0.6159456071</v>
      </c>
      <c r="K1794" s="1">
        <f>value(CNY!$B1794)</f>
        <v>2144.5072</v>
      </c>
      <c r="L1794" s="1">
        <f>value(HKD!$B1794)</f>
        <v>1669.081422</v>
      </c>
      <c r="M1794" s="1">
        <f>value(TWD!$B1794)</f>
        <v>431.36136</v>
      </c>
      <c r="N1794" s="1">
        <f>value(JPY!$B1794)</f>
        <v>107.6325952</v>
      </c>
      <c r="O1794" s="1">
        <f>value(SAR!$B1794)</f>
        <v>3684.027852</v>
      </c>
      <c r="P1794" s="1">
        <f>value(AED!$B1794)</f>
        <v>3778.67494</v>
      </c>
      <c r="Q1794" s="1">
        <f>value(KWD!$B1794)</f>
        <v>45417.75371</v>
      </c>
    </row>
    <row r="1795">
      <c r="A1795" s="4">
        <f>value(USD!A1795)</f>
        <v>42105.99861</v>
      </c>
      <c r="B1795" s="1">
        <f>value(USD!B1795)</f>
        <v>12936.61</v>
      </c>
      <c r="C1795" s="1">
        <f>value(AUD!$B1795)</f>
        <v>10251.9155</v>
      </c>
      <c r="D1795" s="1">
        <f>value(EUR!$B1795)</f>
        <v>13789.8695</v>
      </c>
      <c r="E1795" s="1">
        <f>value(GBP!$B1795)</f>
        <v>19132.8406</v>
      </c>
      <c r="F1795" s="1">
        <f>value(CHF!$B1795)</f>
        <v>13531.245</v>
      </c>
      <c r="G1795" s="1">
        <f>value(SGD!$B1795)</f>
        <v>9503.2825</v>
      </c>
      <c r="H1795" s="1">
        <f>value(MYR!$B1795)</f>
        <v>3463.4475</v>
      </c>
      <c r="I1795" s="1">
        <f>value(THB!$B1795)</f>
        <v>400.2206</v>
      </c>
      <c r="J1795" s="1">
        <f>value(VND!$B1795)</f>
        <v>0.6266123502</v>
      </c>
      <c r="K1795" s="1">
        <f>value(CNY!$B1795)</f>
        <v>2151.7478</v>
      </c>
      <c r="L1795" s="1">
        <f>value(HKD!$B1795)</f>
        <v>1683.0659</v>
      </c>
      <c r="M1795" s="1">
        <f>value(TWD!$B1795)</f>
        <v>425.5207</v>
      </c>
      <c r="N1795" s="1">
        <f>value(JPY!$B1795)</f>
        <v>108.6374555</v>
      </c>
      <c r="O1795" s="1">
        <f>value(SAR!$B1795)</f>
        <v>3726.044893</v>
      </c>
      <c r="P1795" s="1">
        <f>value(AED!$B1795)</f>
        <v>3762.6332</v>
      </c>
      <c r="Q1795" s="1">
        <f>value(KWD!$B1795)</f>
        <v>45123.54594</v>
      </c>
    </row>
    <row r="1796">
      <c r="A1796" s="4">
        <f>value(USD!A1796)</f>
        <v>42106.99861</v>
      </c>
      <c r="B1796" s="1">
        <f>value(USD!B1796)</f>
        <v>12936.61</v>
      </c>
      <c r="C1796" s="1">
        <f>value(AUD!$B1796)</f>
        <v>10354.0092</v>
      </c>
      <c r="D1796" s="1">
        <f>value(EUR!$B1796)</f>
        <v>13813.185</v>
      </c>
      <c r="E1796" s="1">
        <f>value(GBP!$B1796)</f>
        <v>19164.075</v>
      </c>
      <c r="F1796" s="1">
        <f>value(CHF!$B1796)</f>
        <v>13554.1566</v>
      </c>
      <c r="G1796" s="1">
        <f>value(SGD!$B1796)</f>
        <v>9536.23575</v>
      </c>
      <c r="H1796" s="1">
        <f>value(MYR!$B1796)</f>
        <v>3460.173</v>
      </c>
      <c r="I1796" s="1">
        <f>value(THB!$B1796)</f>
        <v>399.24075</v>
      </c>
      <c r="J1796" s="1">
        <f>value(VND!$B1796)</f>
        <v>0.6209150262</v>
      </c>
      <c r="K1796" s="1">
        <f>value(CNY!$B1796)</f>
        <v>2127.0614</v>
      </c>
      <c r="L1796" s="1">
        <f>value(HKD!$B1796)</f>
        <v>1673.775</v>
      </c>
      <c r="M1796" s="1">
        <f>value(TWD!$B1796)</f>
        <v>426.37275</v>
      </c>
      <c r="N1796" s="1">
        <f>value(JPY!$B1796)</f>
        <v>108.5994525</v>
      </c>
      <c r="O1796" s="1">
        <f>value(SAR!$B1796)</f>
        <v>3683.086354</v>
      </c>
      <c r="P1796" s="1">
        <f>value(AED!$B1796)</f>
        <v>3758.40347</v>
      </c>
      <c r="Q1796" s="1">
        <f>value(KWD!$B1796)</f>
        <v>45374.48935</v>
      </c>
    </row>
    <row r="1797">
      <c r="A1797" s="4">
        <f>value(USD!A1797)</f>
        <v>42107.99861</v>
      </c>
      <c r="B1797" s="1">
        <f>value(USD!B1797)</f>
        <v>13045</v>
      </c>
      <c r="C1797" s="1">
        <f>value(AUD!$B1797)</f>
        <v>10265.2308</v>
      </c>
      <c r="D1797" s="1">
        <f>value(EUR!$B1797)</f>
        <v>13768.70823</v>
      </c>
      <c r="E1797" s="1">
        <f>value(GBP!$B1797)</f>
        <v>19121.86602</v>
      </c>
      <c r="F1797" s="1">
        <f>value(CHF!$B1797)</f>
        <v>13600.50977</v>
      </c>
      <c r="G1797" s="1">
        <f>value(SGD!$B1797)</f>
        <v>9504.70209</v>
      </c>
      <c r="H1797" s="1">
        <f>value(MYR!$B1797)</f>
        <v>3441.95136</v>
      </c>
      <c r="I1797" s="1">
        <f>value(THB!$B1797)</f>
        <v>396.96966</v>
      </c>
      <c r="J1797" s="1">
        <f>value(VND!$B1797)</f>
        <v>0.621054994</v>
      </c>
      <c r="K1797" s="1">
        <f>value(CNY!$B1797)</f>
        <v>2130.6915</v>
      </c>
      <c r="L1797" s="1">
        <f>value(HKD!$B1797)</f>
        <v>1663.58403</v>
      </c>
      <c r="M1797" s="1">
        <f>value(TWD!$B1797)</f>
        <v>427.44585</v>
      </c>
      <c r="N1797" s="1">
        <f>value(JPY!$B1797)</f>
        <v>108.2277549</v>
      </c>
      <c r="O1797" s="1">
        <f>value(SAR!$B1797)</f>
        <v>3712.501243</v>
      </c>
      <c r="P1797" s="1">
        <f>value(AED!$B1797)</f>
        <v>3727.5051</v>
      </c>
      <c r="Q1797" s="1">
        <f>value(KWD!$B1797)</f>
        <v>45700.15204</v>
      </c>
    </row>
    <row r="1798">
      <c r="A1798" s="4">
        <f>value(USD!A1798)</f>
        <v>42108.99861</v>
      </c>
      <c r="B1798" s="1">
        <f>value(USD!B1798)</f>
        <v>12975</v>
      </c>
      <c r="C1798" s="1">
        <f>value(AUD!$B1798)</f>
        <v>10307.8725</v>
      </c>
      <c r="D1798" s="1">
        <f>value(EUR!$B1798)</f>
        <v>13791.756</v>
      </c>
      <c r="E1798" s="1">
        <f>value(GBP!$B1798)</f>
        <v>19131.0296</v>
      </c>
      <c r="F1798" s="1">
        <f>value(CHF!$B1798)</f>
        <v>13529.3982</v>
      </c>
      <c r="G1798" s="1">
        <f>value(SGD!$B1798)</f>
        <v>9485.518</v>
      </c>
      <c r="H1798" s="1">
        <f>value(MYR!$B1798)</f>
        <v>3450.1184</v>
      </c>
      <c r="I1798" s="1">
        <f>value(THB!$B1798)</f>
        <v>395.2406</v>
      </c>
      <c r="J1798" s="1">
        <f>value(VND!$B1798)</f>
        <v>0.6253136147</v>
      </c>
      <c r="K1798" s="1">
        <f>value(CNY!$B1798)</f>
        <v>2145.44595</v>
      </c>
      <c r="L1798" s="1">
        <f>value(HKD!$B1798)</f>
        <v>1653.6518</v>
      </c>
      <c r="M1798" s="1">
        <f>value(TWD!$B1798)</f>
        <v>424.5507</v>
      </c>
      <c r="N1798" s="1">
        <f>value(JPY!$B1798)</f>
        <v>107.658514</v>
      </c>
      <c r="O1798" s="1">
        <f>value(SAR!$B1798)</f>
        <v>3737.31974</v>
      </c>
      <c r="P1798" s="1">
        <f>value(AED!$B1798)</f>
        <v>3744.65244</v>
      </c>
      <c r="Q1798" s="1">
        <f>value(KWD!$B1798)</f>
        <v>46104.88078</v>
      </c>
    </row>
    <row r="1799">
      <c r="A1799" s="4">
        <f>value(USD!A1799)</f>
        <v>42109.99861</v>
      </c>
      <c r="B1799" s="1">
        <f>value(USD!B1799)</f>
        <v>12897</v>
      </c>
      <c r="C1799" s="1">
        <f>value(AUD!$B1799)</f>
        <v>10233.9231</v>
      </c>
      <c r="D1799" s="1">
        <f>value(EUR!$B1799)</f>
        <v>13830.656</v>
      </c>
      <c r="E1799" s="1">
        <f>value(GBP!$B1799)</f>
        <v>19151.36</v>
      </c>
      <c r="F1799" s="1">
        <f>value(CHF!$B1799)</f>
        <v>13522.249</v>
      </c>
      <c r="G1799" s="1">
        <f>value(SGD!$B1799)</f>
        <v>9504.768</v>
      </c>
      <c r="H1799" s="1">
        <f>value(MYR!$B1799)</f>
        <v>3455.872</v>
      </c>
      <c r="I1799" s="1">
        <f>value(THB!$B1799)</f>
        <v>395.264</v>
      </c>
      <c r="J1799" s="1">
        <f>value(VND!$B1799)</f>
        <v>0.6235039017</v>
      </c>
      <c r="K1799" s="1">
        <f>value(CNY!$B1799)</f>
        <v>2144.9196</v>
      </c>
      <c r="L1799" s="1">
        <f>value(HKD!$B1799)</f>
        <v>1650.944</v>
      </c>
      <c r="M1799" s="1">
        <f>value(TWD!$B1799)</f>
        <v>429.40875</v>
      </c>
      <c r="N1799" s="1">
        <f>value(JPY!$B1799)</f>
        <v>107.648</v>
      </c>
      <c r="O1799" s="1">
        <f>value(SAR!$B1799)</f>
        <v>3733.916994</v>
      </c>
      <c r="P1799" s="1">
        <f>value(AED!$B1799)</f>
        <v>3775.414</v>
      </c>
      <c r="Q1799" s="1">
        <f>value(KWD!$B1799)</f>
        <v>45970.92528</v>
      </c>
    </row>
    <row r="1800">
      <c r="A1800" s="4">
        <f>value(USD!A1800)</f>
        <v>42110.99861</v>
      </c>
      <c r="B1800" s="1">
        <f>value(USD!B1800)</f>
        <v>12820</v>
      </c>
      <c r="C1800" s="1">
        <f>value(AUD!$B1800)</f>
        <v>10184.361</v>
      </c>
      <c r="D1800" s="1">
        <f>value(EUR!$B1800)</f>
        <v>13875.40385</v>
      </c>
      <c r="E1800" s="1">
        <f>value(GBP!$B1800)</f>
        <v>19212.9903</v>
      </c>
      <c r="F1800" s="1">
        <f>value(CHF!$B1800)</f>
        <v>13729.9365</v>
      </c>
      <c r="G1800" s="1">
        <f>value(SGD!$B1800)</f>
        <v>9532.220443</v>
      </c>
      <c r="H1800" s="1">
        <f>value(MYR!$B1800)</f>
        <v>3465.85353</v>
      </c>
      <c r="I1800" s="1">
        <f>value(THB!$B1800)</f>
        <v>396.4056336</v>
      </c>
      <c r="J1800" s="1">
        <f>value(VND!$B1800)</f>
        <v>0.6310701515</v>
      </c>
      <c r="K1800" s="1">
        <f>value(CNY!$B1800)</f>
        <v>2147.8734</v>
      </c>
      <c r="L1800" s="1">
        <f>value(HKD!$B1800)</f>
        <v>1655.71239</v>
      </c>
      <c r="M1800" s="1">
        <f>value(TWD!$B1800)</f>
        <v>426.1068</v>
      </c>
      <c r="N1800" s="1">
        <f>value(JPY!$B1800)</f>
        <v>107.9589177</v>
      </c>
      <c r="O1800" s="1">
        <f>value(SAR!$B1800)</f>
        <v>3751.368265</v>
      </c>
      <c r="P1800" s="1">
        <f>value(AED!$B1800)</f>
        <v>3805.22359</v>
      </c>
      <c r="Q1800" s="1">
        <f>value(KWD!$B1800)</f>
        <v>45984.40217</v>
      </c>
    </row>
    <row r="1801">
      <c r="A1801" s="4">
        <f>value(USD!A1801)</f>
        <v>42111.99861</v>
      </c>
      <c r="B1801" s="1">
        <f>value(USD!B1801)</f>
        <v>12800</v>
      </c>
      <c r="C1801" s="1">
        <f>value(AUD!$B1801)</f>
        <v>10077.8075</v>
      </c>
      <c r="D1801" s="1">
        <f>value(EUR!$B1801)</f>
        <v>13928.0842</v>
      </c>
      <c r="E1801" s="1">
        <f>value(GBP!$B1801)</f>
        <v>19285.03966</v>
      </c>
      <c r="F1801" s="1">
        <f>value(CHF!$B1801)</f>
        <v>13880.8341</v>
      </c>
      <c r="G1801" s="1">
        <f>value(SGD!$B1801)</f>
        <v>9593.293059</v>
      </c>
      <c r="H1801" s="1">
        <f>value(MYR!$B1801)</f>
        <v>3480.539093</v>
      </c>
      <c r="I1801" s="1">
        <f>value(THB!$B1801)</f>
        <v>398.0667651</v>
      </c>
      <c r="J1801" s="1">
        <f>value(VND!$B1801)</f>
        <v>0.6327791373</v>
      </c>
      <c r="K1801" s="1">
        <f>value(CNY!$B1801)</f>
        <v>2145.7301</v>
      </c>
      <c r="L1801" s="1">
        <f>value(HKD!$B1801)</f>
        <v>1662.37011</v>
      </c>
      <c r="M1801" s="1">
        <f>value(TWD!$B1801)</f>
        <v>431.8158</v>
      </c>
      <c r="N1801" s="1">
        <f>value(JPY!$B1801)</f>
        <v>108.3762219</v>
      </c>
      <c r="O1801" s="1">
        <f>value(SAR!$B1801)</f>
        <v>3754.972291</v>
      </c>
      <c r="P1801" s="1">
        <f>value(AED!$B1801)</f>
        <v>3788.7456</v>
      </c>
      <c r="Q1801" s="1">
        <f>value(KWD!$B1801)</f>
        <v>46672.16715</v>
      </c>
    </row>
    <row r="1802">
      <c r="A1802" s="4">
        <f>value(USD!A1802)</f>
        <v>42112.99861</v>
      </c>
      <c r="B1802" s="1">
        <f>value(USD!B1802)</f>
        <v>12836.97</v>
      </c>
      <c r="C1802" s="1">
        <f>value(AUD!$B1802)</f>
        <v>10085.592</v>
      </c>
      <c r="D1802" s="1">
        <f>value(EUR!$B1802)</f>
        <v>13939.1184</v>
      </c>
      <c r="E1802" s="1">
        <f>value(GBP!$B1802)</f>
        <v>19336.1948</v>
      </c>
      <c r="F1802" s="1">
        <f>value(CHF!$B1802)</f>
        <v>13898.82</v>
      </c>
      <c r="G1802" s="1">
        <f>value(SGD!$B1802)</f>
        <v>9618.552</v>
      </c>
      <c r="H1802" s="1">
        <f>value(MYR!$B1802)</f>
        <v>3515.9076</v>
      </c>
      <c r="I1802" s="1">
        <f>value(THB!$B1802)</f>
        <v>399.9948</v>
      </c>
      <c r="J1802" s="1">
        <f>value(VND!$B1802)</f>
        <v>0.6313062365</v>
      </c>
      <c r="K1802" s="1">
        <f>value(CNY!$B1802)</f>
        <v>2140.3545</v>
      </c>
      <c r="L1802" s="1">
        <f>value(HKD!$B1802)</f>
        <v>1673.3894</v>
      </c>
      <c r="M1802" s="1">
        <f>value(TWD!$B1802)</f>
        <v>432.4252</v>
      </c>
      <c r="N1802" s="1">
        <f>value(JPY!$B1802)</f>
        <v>108.8183</v>
      </c>
      <c r="O1802" s="1">
        <f>value(SAR!$B1802)</f>
        <v>3788.445064</v>
      </c>
      <c r="P1802" s="1">
        <f>value(AED!$B1802)</f>
        <v>3790.1065</v>
      </c>
      <c r="Q1802" s="1">
        <f>value(KWD!$B1802)</f>
        <v>46240.4892</v>
      </c>
    </row>
    <row r="1803">
      <c r="A1803" s="4">
        <f>value(USD!A1803)</f>
        <v>42113.99861</v>
      </c>
      <c r="B1803" s="1">
        <f>value(USD!B1803)</f>
        <v>12886.59</v>
      </c>
      <c r="C1803" s="1">
        <f>value(AUD!$B1803)</f>
        <v>10038.7056</v>
      </c>
      <c r="D1803" s="1">
        <f>value(EUR!$B1803)</f>
        <v>13883.13025</v>
      </c>
      <c r="E1803" s="1">
        <f>value(GBP!$B1803)</f>
        <v>19299.61</v>
      </c>
      <c r="F1803" s="1">
        <f>value(CHF!$B1803)</f>
        <v>13997.37981</v>
      </c>
      <c r="G1803" s="1">
        <f>value(SGD!$B1803)</f>
        <v>9559.33</v>
      </c>
      <c r="H1803" s="1">
        <f>value(MYR!$B1803)</f>
        <v>3501.25325</v>
      </c>
      <c r="I1803" s="1">
        <f>value(THB!$B1803)</f>
        <v>398.8655</v>
      </c>
      <c r="J1803" s="1">
        <f>value(VND!$B1803)</f>
        <v>0.6229130892</v>
      </c>
      <c r="K1803" s="1">
        <f>value(CNY!$B1803)</f>
        <v>2143.5755</v>
      </c>
      <c r="L1803" s="1">
        <f>value(HKD!$B1803)</f>
        <v>1667.5835</v>
      </c>
      <c r="M1803" s="1">
        <f>value(TWD!$B1803)</f>
        <v>432.3237</v>
      </c>
      <c r="N1803" s="1">
        <f>value(JPY!$B1803)</f>
        <v>108.024565</v>
      </c>
      <c r="O1803" s="1">
        <f>value(SAR!$B1803)</f>
        <v>3807.072695</v>
      </c>
      <c r="P1803" s="1">
        <f>value(AED!$B1803)</f>
        <v>3846.4686</v>
      </c>
      <c r="Q1803" s="1">
        <f>value(KWD!$B1803)</f>
        <v>46143.67835</v>
      </c>
    </row>
    <row r="1804">
      <c r="A1804" s="4">
        <f>value(USD!A1804)</f>
        <v>42114.99861</v>
      </c>
      <c r="B1804" s="1">
        <f>value(USD!B1804)</f>
        <v>12970</v>
      </c>
      <c r="C1804" s="1">
        <f>value(AUD!$B1804)</f>
        <v>10205.715</v>
      </c>
      <c r="D1804" s="1">
        <f>value(EUR!$B1804)</f>
        <v>13833.96</v>
      </c>
      <c r="E1804" s="1">
        <f>value(GBP!$B1804)</f>
        <v>19396.44</v>
      </c>
      <c r="F1804" s="1">
        <f>value(CHF!$B1804)</f>
        <v>13964.78758</v>
      </c>
      <c r="G1804" s="1">
        <f>value(SGD!$B1804)</f>
        <v>9571.155</v>
      </c>
      <c r="H1804" s="1">
        <f>value(MYR!$B1804)</f>
        <v>3486.483</v>
      </c>
      <c r="I1804" s="1">
        <f>value(THB!$B1804)</f>
        <v>397.836</v>
      </c>
      <c r="J1804" s="1">
        <f>value(VND!$B1804)</f>
        <v>0.6253966698</v>
      </c>
      <c r="K1804" s="1">
        <f>value(CNY!$B1804)</f>
        <v>2142.15408</v>
      </c>
      <c r="L1804" s="1">
        <f>value(HKD!$B1804)</f>
        <v>1664.358</v>
      </c>
      <c r="M1804" s="1">
        <f>value(TWD!$B1804)</f>
        <v>422.7256</v>
      </c>
      <c r="N1804" s="1">
        <f>value(JPY!$B1804)</f>
        <v>107.586</v>
      </c>
      <c r="O1804" s="1">
        <f>value(SAR!$B1804)</f>
        <v>3781.344172</v>
      </c>
      <c r="P1804" s="1">
        <f>value(AED!$B1804)</f>
        <v>3809.70346</v>
      </c>
      <c r="Q1804" s="1">
        <f>value(KWD!$B1804)</f>
        <v>45409.54112</v>
      </c>
    </row>
    <row r="1805">
      <c r="A1805" s="4">
        <f>value(USD!A1805)</f>
        <v>42115.99861</v>
      </c>
      <c r="B1805" s="1">
        <f>value(USD!B1805)</f>
        <v>12925</v>
      </c>
      <c r="C1805" s="1">
        <f>value(AUD!$B1805)</f>
        <v>10281.033</v>
      </c>
      <c r="D1805" s="1">
        <f>value(EUR!$B1805)</f>
        <v>13984.5708</v>
      </c>
      <c r="E1805" s="1">
        <f>value(GBP!$B1805)</f>
        <v>19460.943</v>
      </c>
      <c r="F1805" s="1">
        <f>value(CHF!$B1805)</f>
        <v>13769.202</v>
      </c>
      <c r="G1805" s="1">
        <f>value(SGD!$B1805)</f>
        <v>9621.9888</v>
      </c>
      <c r="H1805" s="1">
        <f>value(MYR!$B1805)</f>
        <v>3517.9944</v>
      </c>
      <c r="I1805" s="1">
        <f>value(THB!$B1805)</f>
        <v>398.244</v>
      </c>
      <c r="J1805" s="1">
        <f>value(VND!$B1805)</f>
        <v>0.6312166581</v>
      </c>
      <c r="K1805" s="1">
        <f>value(CNY!$B1805)</f>
        <v>2134.9725</v>
      </c>
      <c r="L1805" s="1">
        <f>value(HKD!$B1805)</f>
        <v>1668.2286</v>
      </c>
      <c r="M1805" s="1">
        <f>value(TWD!$B1805)</f>
        <v>429.52158</v>
      </c>
      <c r="N1805" s="1">
        <f>value(JPY!$B1805)</f>
        <v>108.110316</v>
      </c>
      <c r="O1805" s="1">
        <f>value(SAR!$B1805)</f>
        <v>3806.191387</v>
      </c>
      <c r="P1805" s="1">
        <f>value(AED!$B1805)</f>
        <v>3802.4943</v>
      </c>
      <c r="Q1805" s="1">
        <f>value(KWD!$B1805)</f>
        <v>46221.80896</v>
      </c>
    </row>
    <row r="1806">
      <c r="A1806" s="4">
        <f>value(USD!A1806)</f>
        <v>42116.99861</v>
      </c>
      <c r="B1806" s="1">
        <f>value(USD!B1806)</f>
        <v>12900</v>
      </c>
      <c r="C1806" s="1">
        <f>value(AUD!$B1806)</f>
        <v>10203.165</v>
      </c>
      <c r="D1806" s="1">
        <f>value(EUR!$B1806)</f>
        <v>14069.2482</v>
      </c>
      <c r="E1806" s="1">
        <f>value(GBP!$B1806)</f>
        <v>19654.10946</v>
      </c>
      <c r="F1806" s="1">
        <f>value(CHF!$B1806)</f>
        <v>14023.2915</v>
      </c>
      <c r="G1806" s="1">
        <f>value(SGD!$B1806)</f>
        <v>9712.58274</v>
      </c>
      <c r="H1806" s="1">
        <f>value(MYR!$B1806)</f>
        <v>3557.62638</v>
      </c>
      <c r="I1806" s="1">
        <f>value(THB!$B1806)</f>
        <v>396.80172</v>
      </c>
      <c r="J1806" s="1">
        <f>value(VND!$B1806)</f>
        <v>0.6260471801</v>
      </c>
      <c r="K1806" s="1">
        <f>value(CNY!$B1806)</f>
        <v>2140.8861</v>
      </c>
      <c r="L1806" s="1">
        <f>value(HKD!$B1806)</f>
        <v>1669.77684</v>
      </c>
      <c r="M1806" s="1">
        <f>value(TWD!$B1806)</f>
        <v>428.9025</v>
      </c>
      <c r="N1806" s="1">
        <f>value(JPY!$B1806)</f>
        <v>108.7128</v>
      </c>
      <c r="O1806" s="1">
        <f>value(SAR!$B1806)</f>
        <v>3801.372478</v>
      </c>
      <c r="P1806" s="1">
        <f>value(AED!$B1806)</f>
        <v>3745.1968</v>
      </c>
      <c r="Q1806" s="1">
        <f>value(KWD!$B1806)</f>
        <v>45710.79752</v>
      </c>
    </row>
    <row r="1807">
      <c r="A1807" s="4">
        <f>value(USD!A1807)</f>
        <v>42117.99861</v>
      </c>
      <c r="B1807" s="1">
        <f>value(USD!B1807)</f>
        <v>12930</v>
      </c>
      <c r="C1807" s="1">
        <f>value(AUD!$B1807)</f>
        <v>10198.57676</v>
      </c>
      <c r="D1807" s="1">
        <f>value(EUR!$B1807)</f>
        <v>14106.12552</v>
      </c>
      <c r="E1807" s="1">
        <f>value(GBP!$B1807)</f>
        <v>19701.2969</v>
      </c>
      <c r="F1807" s="1">
        <f>value(CHF!$B1807)</f>
        <v>14180.862</v>
      </c>
      <c r="G1807" s="1">
        <f>value(SGD!$B1807)</f>
        <v>9733.715975</v>
      </c>
      <c r="H1807" s="1">
        <f>value(MYR!$B1807)</f>
        <v>3565.367282</v>
      </c>
      <c r="I1807" s="1">
        <f>value(THB!$B1807)</f>
        <v>397.6651056</v>
      </c>
      <c r="J1807" s="1">
        <f>value(VND!$B1807)</f>
        <v>0.6343578236</v>
      </c>
      <c r="K1807" s="1">
        <f>value(CNY!$B1807)</f>
        <v>2141.51694</v>
      </c>
      <c r="L1807" s="1">
        <f>value(HKD!$B1807)</f>
        <v>1673.410043</v>
      </c>
      <c r="M1807" s="1">
        <f>value(TWD!$B1807)</f>
        <v>429.3999</v>
      </c>
      <c r="N1807" s="1">
        <f>value(JPY!$B1807)</f>
        <v>108.949344</v>
      </c>
      <c r="O1807" s="1">
        <f>value(SAR!$B1807)</f>
        <v>3809.193273</v>
      </c>
      <c r="P1807" s="1">
        <f>value(AED!$B1807)</f>
        <v>3815.9636</v>
      </c>
      <c r="Q1807" s="1">
        <f>value(KWD!$B1807)</f>
        <v>45400.54208</v>
      </c>
    </row>
    <row r="1808">
      <c r="A1808" s="4">
        <f>value(USD!A1808)</f>
        <v>42118.99861</v>
      </c>
      <c r="B1808" s="1">
        <f>value(USD!B1808)</f>
        <v>12942</v>
      </c>
      <c r="C1808" s="1">
        <f>value(AUD!$B1808)</f>
        <v>10230.066</v>
      </c>
      <c r="D1808" s="1">
        <f>value(EUR!$B1808)</f>
        <v>14093.76496</v>
      </c>
      <c r="E1808" s="1">
        <f>value(GBP!$B1808)</f>
        <v>19681.82869</v>
      </c>
      <c r="F1808" s="1">
        <f>value(CHF!$B1808)</f>
        <v>14205.456</v>
      </c>
      <c r="G1808" s="1">
        <f>value(SGD!$B1808)</f>
        <v>9731.251644</v>
      </c>
      <c r="H1808" s="1">
        <f>value(MYR!$B1808)</f>
        <v>3564.070266</v>
      </c>
      <c r="I1808" s="1">
        <f>value(THB!$B1808)</f>
        <v>397.535404</v>
      </c>
      <c r="J1808" s="1">
        <f>value(VND!$B1808)</f>
        <v>0.6318631394</v>
      </c>
      <c r="K1808" s="1">
        <f>value(CNY!$B1808)</f>
        <v>2146.70708</v>
      </c>
      <c r="L1808" s="1">
        <f>value(HKD!$B1808)</f>
        <v>1673.410043</v>
      </c>
      <c r="M1808" s="1">
        <f>value(TWD!$B1808)</f>
        <v>428.3566</v>
      </c>
      <c r="N1808" s="1">
        <f>value(JPY!$B1808)</f>
        <v>109.0790456</v>
      </c>
      <c r="O1808" s="1">
        <f>value(SAR!$B1808)</f>
        <v>3819.768729</v>
      </c>
      <c r="P1808" s="1">
        <f>value(AED!$B1808)</f>
        <v>3773.7757</v>
      </c>
      <c r="Q1808" s="1">
        <f>value(KWD!$B1808)</f>
        <v>45003.29768</v>
      </c>
    </row>
    <row r="1809">
      <c r="A1809" s="4">
        <f>value(USD!A1809)</f>
        <v>42119.99861</v>
      </c>
      <c r="B1809" s="1">
        <f>value(USD!B1809)</f>
        <v>12970.16</v>
      </c>
      <c r="C1809" s="1">
        <f>value(AUD!$B1809)</f>
        <v>10260.9705</v>
      </c>
      <c r="D1809" s="1">
        <f>value(EUR!$B1809)</f>
        <v>14060.05155</v>
      </c>
      <c r="E1809" s="1">
        <f>value(GBP!$B1809)</f>
        <v>19677.99648</v>
      </c>
      <c r="F1809" s="1">
        <f>value(CHF!$B1809)</f>
        <v>14000.7357</v>
      </c>
      <c r="G1809" s="1">
        <f>value(SGD!$B1809)</f>
        <v>9733.38465</v>
      </c>
      <c r="H1809" s="1">
        <f>value(MYR!$B1809)</f>
        <v>3561.00069</v>
      </c>
      <c r="I1809" s="1">
        <f>value(THB!$B1809)</f>
        <v>396.08328</v>
      </c>
      <c r="J1809" s="1">
        <f>value(VND!$B1809)</f>
        <v>0.6297527426</v>
      </c>
      <c r="K1809" s="1">
        <f>value(CNY!$B1809)</f>
        <v>2144.70878</v>
      </c>
      <c r="L1809" s="1">
        <f>value(HKD!$B1809)</f>
        <v>1667.84154</v>
      </c>
      <c r="M1809" s="1">
        <f>value(TWD!$B1809)</f>
        <v>429.6345</v>
      </c>
      <c r="N1809" s="1">
        <f>value(JPY!$B1809)</f>
        <v>108.45753</v>
      </c>
      <c r="O1809" s="1">
        <f>value(SAR!$B1809)</f>
        <v>3844.100304</v>
      </c>
      <c r="P1809" s="1">
        <f>value(AED!$B1809)</f>
        <v>3745.6096</v>
      </c>
      <c r="Q1809" s="1">
        <f>value(KWD!$B1809)</f>
        <v>44949.18837</v>
      </c>
    </row>
    <row r="1810">
      <c r="A1810" s="4">
        <f>value(USD!A1810)</f>
        <v>42120.99861</v>
      </c>
      <c r="B1810" s="1">
        <f>value(USD!B1810)</f>
        <v>12970.16</v>
      </c>
      <c r="C1810" s="1">
        <f>value(AUD!$B1810)</f>
        <v>10208.7855</v>
      </c>
      <c r="D1810" s="1">
        <f>value(EUR!$B1810)</f>
        <v>14184.521</v>
      </c>
      <c r="E1810" s="1">
        <f>value(GBP!$B1810)</f>
        <v>19832.33005</v>
      </c>
      <c r="F1810" s="1">
        <f>value(CHF!$B1810)</f>
        <v>14111.83702</v>
      </c>
      <c r="G1810" s="1">
        <f>value(SGD!$B1810)</f>
        <v>9811.06815</v>
      </c>
      <c r="H1810" s="1">
        <f>value(MYR!$B1810)</f>
        <v>3573.55245</v>
      </c>
      <c r="I1810" s="1">
        <f>value(THB!$B1810)</f>
        <v>396.45775</v>
      </c>
      <c r="J1810" s="1">
        <f>value(VND!$B1810)</f>
        <v>0.6258487914</v>
      </c>
      <c r="K1810" s="1">
        <f>value(CNY!$B1810)</f>
        <v>2148.59568</v>
      </c>
      <c r="L1810" s="1">
        <f>value(HKD!$B1810)</f>
        <v>1668.8737</v>
      </c>
      <c r="M1810" s="1">
        <f>value(TWD!$B1810)</f>
        <v>427.23654</v>
      </c>
      <c r="N1810" s="1">
        <f>value(JPY!$B1810)</f>
        <v>108.78335</v>
      </c>
      <c r="O1810" s="1">
        <f>value(SAR!$B1810)</f>
        <v>3839.19023</v>
      </c>
      <c r="P1810" s="1">
        <f>value(AED!$B1810)</f>
        <v>3714.03255</v>
      </c>
      <c r="Q1810" s="1">
        <f>value(KWD!$B1810)</f>
        <v>44998.34097</v>
      </c>
    </row>
    <row r="1811">
      <c r="A1811" s="4">
        <f>value(USD!A1811)</f>
        <v>42121.99861</v>
      </c>
      <c r="B1811" s="1">
        <f>value(USD!B1811)</f>
        <v>12927</v>
      </c>
      <c r="C1811" s="1">
        <f>value(AUD!$B1811)</f>
        <v>10248.7518</v>
      </c>
      <c r="D1811" s="1">
        <f>value(EUR!$B1811)</f>
        <v>14349.8565</v>
      </c>
      <c r="E1811" s="1">
        <f>value(GBP!$B1811)</f>
        <v>19920.8709</v>
      </c>
      <c r="F1811" s="1">
        <f>value(CHF!$B1811)</f>
        <v>14119.73175</v>
      </c>
      <c r="G1811" s="1">
        <f>value(SGD!$B1811)</f>
        <v>9770.06835</v>
      </c>
      <c r="H1811" s="1">
        <f>value(MYR!$B1811)</f>
        <v>3594.89025</v>
      </c>
      <c r="I1811" s="1">
        <f>value(THB!$B1811)</f>
        <v>392.616</v>
      </c>
      <c r="J1811" s="1">
        <f>value(VND!$B1811)</f>
        <v>0.6226935519</v>
      </c>
      <c r="K1811" s="1">
        <f>value(CNY!$B1811)</f>
        <v>2146.8616</v>
      </c>
      <c r="L1811" s="1">
        <f>value(HKD!$B1811)</f>
        <v>1666.16415</v>
      </c>
      <c r="M1811" s="1">
        <f>value(TWD!$B1811)</f>
        <v>429.34556</v>
      </c>
      <c r="N1811" s="1">
        <f>value(JPY!$B1811)</f>
        <v>108.5337855</v>
      </c>
      <c r="O1811" s="1">
        <f>value(SAR!$B1811)</f>
        <v>3799.91984</v>
      </c>
      <c r="P1811" s="1">
        <f>value(AED!$B1811)</f>
        <v>3708.4525</v>
      </c>
      <c r="Q1811" s="1">
        <f>value(KWD!$B1811)</f>
        <v>44998.34097</v>
      </c>
    </row>
    <row r="1812">
      <c r="A1812" s="4">
        <f>value(USD!A1812)</f>
        <v>42122.99861</v>
      </c>
      <c r="B1812" s="1">
        <f>value(USD!B1812)</f>
        <v>12935</v>
      </c>
      <c r="C1812" s="1">
        <f>value(AUD!$B1812)</f>
        <v>10285.97065</v>
      </c>
      <c r="D1812" s="1">
        <f>value(EUR!$B1812)</f>
        <v>14527.3884</v>
      </c>
      <c r="E1812" s="1">
        <f>value(GBP!$B1812)</f>
        <v>19893.01167</v>
      </c>
      <c r="F1812" s="1">
        <f>value(CHF!$B1812)</f>
        <v>14089.266</v>
      </c>
      <c r="G1812" s="1">
        <f>value(SGD!$B1812)</f>
        <v>9784.08984</v>
      </c>
      <c r="H1812" s="1">
        <f>value(MYR!$B1812)</f>
        <v>3626.53473</v>
      </c>
      <c r="I1812" s="1">
        <f>value(THB!$B1812)</f>
        <v>391.81968</v>
      </c>
      <c r="J1812" s="1">
        <f>value(VND!$B1812)</f>
        <v>0.6222051115</v>
      </c>
      <c r="K1812" s="1">
        <f>value(CNY!$B1812)</f>
        <v>2136.9816</v>
      </c>
      <c r="L1812" s="1">
        <f>value(HKD!$B1812)</f>
        <v>1671.58257</v>
      </c>
      <c r="M1812" s="1">
        <f>value(TWD!$B1812)</f>
        <v>428.1737</v>
      </c>
      <c r="N1812" s="1">
        <f>value(JPY!$B1812)</f>
        <v>108.4384287</v>
      </c>
      <c r="O1812" s="1">
        <f>value(SAR!$B1812)</f>
        <v>3840.902309</v>
      </c>
      <c r="P1812" s="1">
        <f>value(AED!$B1812)</f>
        <v>3709.8134</v>
      </c>
      <c r="Q1812" s="1">
        <f>value(KWD!$B1812)</f>
        <v>44520.31538</v>
      </c>
    </row>
    <row r="1813">
      <c r="A1813" s="4">
        <f>value(USD!A1813)</f>
        <v>42123.99861</v>
      </c>
      <c r="B1813" s="1">
        <f>value(USD!B1813)</f>
        <v>12915</v>
      </c>
      <c r="C1813" s="1">
        <f>value(AUD!$B1813)</f>
        <v>10331.1252</v>
      </c>
      <c r="D1813" s="1">
        <f>value(EUR!$B1813)</f>
        <v>14532</v>
      </c>
      <c r="E1813" s="1">
        <f>value(GBP!$B1813)</f>
        <v>19917.9225</v>
      </c>
      <c r="F1813" s="1">
        <f>value(CHF!$B1813)</f>
        <v>14155.8505</v>
      </c>
      <c r="G1813" s="1">
        <f>value(SGD!$B1813)</f>
        <v>9747.5985</v>
      </c>
      <c r="H1813" s="1">
        <f>value(MYR!$B1813)</f>
        <v>3607.3095</v>
      </c>
      <c r="I1813" s="1">
        <f>value(THB!$B1813)</f>
        <v>391.71525</v>
      </c>
      <c r="J1813" s="1">
        <f>value(VND!$B1813)</f>
        <v>0.6268855676</v>
      </c>
      <c r="K1813" s="1">
        <f>value(CNY!$B1813)</f>
        <v>2149.074</v>
      </c>
      <c r="L1813" s="1">
        <f>value(HKD!$B1813)</f>
        <v>1673.5155</v>
      </c>
      <c r="M1813" s="1">
        <f>value(TWD!$B1813)</f>
        <v>417.5574</v>
      </c>
      <c r="N1813" s="1">
        <f>value(JPY!$B1813)</f>
        <v>107.952</v>
      </c>
      <c r="O1813" s="1">
        <f>value(SAR!$B1813)</f>
        <v>3862.890073</v>
      </c>
      <c r="P1813" s="1">
        <f>value(AED!$B1813)</f>
        <v>3709.8134</v>
      </c>
      <c r="Q1813" s="1">
        <f>value(KWD!$B1813)</f>
        <v>45137.23268</v>
      </c>
    </row>
    <row r="1814">
      <c r="A1814" s="4">
        <f>value(USD!A1814)</f>
        <v>42124.99861</v>
      </c>
      <c r="B1814" s="1">
        <f>value(USD!B1814)</f>
        <v>12957</v>
      </c>
      <c r="C1814" s="1">
        <f>value(AUD!$B1814)</f>
        <v>10327.828</v>
      </c>
      <c r="D1814" s="1">
        <f>value(EUR!$B1814)</f>
        <v>14640.46451</v>
      </c>
      <c r="E1814" s="1">
        <f>value(GBP!$B1814)</f>
        <v>20070.44918</v>
      </c>
      <c r="F1814" s="1">
        <f>value(CHF!$B1814)</f>
        <v>14283.8004</v>
      </c>
      <c r="G1814" s="1">
        <f>value(SGD!$B1814)</f>
        <v>9820.388081</v>
      </c>
      <c r="H1814" s="1">
        <f>value(MYR!$B1814)</f>
        <v>3634.246857</v>
      </c>
      <c r="I1814" s="1">
        <f>value(THB!$B1814)</f>
        <v>394.6403591</v>
      </c>
      <c r="J1814" s="1">
        <f>value(VND!$B1814)</f>
        <v>0.6302118847</v>
      </c>
      <c r="K1814" s="1">
        <f>value(CNY!$B1814)</f>
        <v>2148.407</v>
      </c>
      <c r="L1814" s="1">
        <f>value(HKD!$B1814)</f>
        <v>1686.012372</v>
      </c>
      <c r="M1814" s="1">
        <f>value(TWD!$B1814)</f>
        <v>428.6142</v>
      </c>
      <c r="N1814" s="1">
        <f>value(JPY!$B1814)</f>
        <v>108.7581248</v>
      </c>
      <c r="O1814" s="1">
        <f>value(SAR!$B1814)</f>
        <v>3896.259891</v>
      </c>
      <c r="P1814" s="1">
        <f>value(AED!$B1814)</f>
        <v>3673.20405</v>
      </c>
      <c r="Q1814" s="1">
        <f>value(KWD!$B1814)</f>
        <v>45640.34709</v>
      </c>
    </row>
    <row r="1815">
      <c r="A1815" s="4">
        <f>value(USD!A1815)</f>
        <v>42125.99861</v>
      </c>
      <c r="B1815" s="1">
        <f>value(USD!B1815)</f>
        <v>12975</v>
      </c>
      <c r="C1815" s="1">
        <f>value(AUD!$B1815)</f>
        <v>10294.759</v>
      </c>
      <c r="D1815" s="1">
        <f>value(EUR!$B1815)</f>
        <v>14582.7793</v>
      </c>
      <c r="E1815" s="1">
        <f>value(GBP!$B1815)</f>
        <v>19745.7481</v>
      </c>
      <c r="F1815" s="1">
        <f>value(CHF!$B1815)</f>
        <v>14253.1389</v>
      </c>
      <c r="G1815" s="1">
        <f>value(SGD!$B1815)</f>
        <v>9798.819346</v>
      </c>
      <c r="H1815" s="1">
        <f>value(MYR!$B1815)</f>
        <v>3624.769156</v>
      </c>
      <c r="I1815" s="1">
        <f>value(THB!$B1815)</f>
        <v>392.177024</v>
      </c>
      <c r="J1815" s="1">
        <f>value(VND!$B1815)</f>
        <v>0.6344272759</v>
      </c>
      <c r="K1815" s="1">
        <f>value(CNY!$B1815)</f>
        <v>2145.325</v>
      </c>
      <c r="L1815" s="1">
        <f>value(HKD!$B1815)</f>
        <v>1682.006578</v>
      </c>
      <c r="M1815" s="1">
        <f>value(TWD!$B1815)</f>
        <v>428.214</v>
      </c>
      <c r="N1815" s="1">
        <f>value(JPY!$B1815)</f>
        <v>108.5031791</v>
      </c>
      <c r="O1815" s="1">
        <f>value(SAR!$B1815)</f>
        <v>3908.481645</v>
      </c>
      <c r="P1815" s="1">
        <f>value(AED!$B1815)</f>
        <v>3723.96676</v>
      </c>
      <c r="Q1815" s="1">
        <f>value(KWD!$B1815)</f>
        <v>45469.53935</v>
      </c>
    </row>
    <row r="1816">
      <c r="A1816" s="4">
        <f>value(USD!A1816)</f>
        <v>42126.99861</v>
      </c>
      <c r="B1816" s="1">
        <f>value(USD!B1816)</f>
        <v>13071.89</v>
      </c>
      <c r="C1816" s="1">
        <f>value(AUD!$B1816)</f>
        <v>10350.252</v>
      </c>
      <c r="D1816" s="1">
        <f>value(EUR!$B1816)</f>
        <v>14335.042</v>
      </c>
      <c r="E1816" s="1">
        <f>value(GBP!$B1816)</f>
        <v>19444.32</v>
      </c>
      <c r="F1816" s="1">
        <f>value(CHF!$B1816)</f>
        <v>14234.277</v>
      </c>
      <c r="G1816" s="1">
        <f>value(SGD!$B1816)</f>
        <v>9652.8446</v>
      </c>
      <c r="H1816" s="1">
        <f>value(MYR!$B1816)</f>
        <v>3573.9226</v>
      </c>
      <c r="I1816" s="1">
        <f>value(THB!$B1816)</f>
        <v>385.6714</v>
      </c>
      <c r="J1816" s="1">
        <f>value(VND!$B1816)</f>
        <v>0.6305450186</v>
      </c>
      <c r="K1816" s="1">
        <f>value(CNY!$B1816)</f>
        <v>2147.2017</v>
      </c>
      <c r="L1816" s="1">
        <f>value(HKD!$B1816)</f>
        <v>1658.6828</v>
      </c>
      <c r="M1816" s="1">
        <f>value(TWD!$B1816)</f>
        <v>427.59925</v>
      </c>
      <c r="N1816" s="1">
        <f>value(JPY!$B1816)</f>
        <v>107.063358</v>
      </c>
      <c r="O1816" s="1">
        <f>value(SAR!$B1816)</f>
        <v>3916.804473</v>
      </c>
      <c r="P1816" s="1">
        <f>value(AED!$B1816)</f>
        <v>3768.47055</v>
      </c>
      <c r="Q1816" s="1">
        <f>value(KWD!$B1816)</f>
        <v>45469.53935</v>
      </c>
    </row>
    <row r="1817">
      <c r="A1817" s="4">
        <f>value(USD!A1817)</f>
        <v>42127.99861</v>
      </c>
      <c r="B1817" s="1">
        <f>value(USD!B1817)</f>
        <v>13037.8</v>
      </c>
      <c r="C1817" s="1">
        <f>value(AUD!$B1817)</f>
        <v>10337.0784</v>
      </c>
      <c r="D1817" s="1">
        <f>value(EUR!$B1817)</f>
        <v>14544.5319</v>
      </c>
      <c r="E1817" s="1">
        <f>value(GBP!$B1817)</f>
        <v>19729.8855</v>
      </c>
      <c r="F1817" s="1">
        <f>value(CHF!$B1817)</f>
        <v>14275.81106</v>
      </c>
      <c r="G1817" s="1">
        <f>value(SGD!$B1817)</f>
        <v>9760.12245</v>
      </c>
      <c r="H1817" s="1">
        <f>value(MYR!$B1817)</f>
        <v>3625.5339</v>
      </c>
      <c r="I1817" s="1">
        <f>value(THB!$B1817)</f>
        <v>390.01995</v>
      </c>
      <c r="J1817" s="1">
        <f>value(VND!$B1817)</f>
        <v>0.6304676271</v>
      </c>
      <c r="K1817" s="1">
        <f>value(CNY!$B1817)</f>
        <v>2142.71421</v>
      </c>
      <c r="L1817" s="1">
        <f>value(HKD!$B1817)</f>
        <v>1677.645</v>
      </c>
      <c r="M1817" s="1">
        <f>value(TWD!$B1817)</f>
        <v>429.387</v>
      </c>
      <c r="N1817" s="1">
        <f>value(JPY!$B1817)</f>
        <v>108.4617</v>
      </c>
      <c r="O1817" s="1">
        <f>value(SAR!$B1817)</f>
        <v>3902.132979</v>
      </c>
      <c r="P1817" s="1">
        <f>value(AED!$B1817)</f>
        <v>3749.2795</v>
      </c>
      <c r="Q1817" s="1">
        <f>value(KWD!$B1817)</f>
        <v>46047.50663</v>
      </c>
    </row>
    <row r="1818">
      <c r="A1818" s="4">
        <f>value(USD!A1818)</f>
        <v>42128.99861</v>
      </c>
      <c r="B1818" s="1">
        <f>value(USD!B1818)</f>
        <v>12860</v>
      </c>
      <c r="C1818" s="1">
        <f>value(AUD!$B1818)</f>
        <v>10278.4554</v>
      </c>
      <c r="D1818" s="1">
        <f>value(EUR!$B1818)</f>
        <v>14746.536</v>
      </c>
      <c r="E1818" s="1">
        <f>value(GBP!$B1818)</f>
        <v>19815.4952</v>
      </c>
      <c r="F1818" s="1">
        <f>value(CHF!$B1818)</f>
        <v>14209.6952</v>
      </c>
      <c r="G1818" s="1">
        <f>value(SGD!$B1818)</f>
        <v>9822.05124</v>
      </c>
      <c r="H1818" s="1">
        <f>value(MYR!$B1818)</f>
        <v>3645.0212</v>
      </c>
      <c r="I1818" s="1">
        <f>value(THB!$B1818)</f>
        <v>390.12</v>
      </c>
      <c r="J1818" s="1">
        <f>value(VND!$B1818)</f>
        <v>0.6206880793</v>
      </c>
      <c r="K1818" s="1">
        <f>value(CNY!$B1818)</f>
        <v>2138.68746</v>
      </c>
      <c r="L1818" s="1">
        <f>value(HKD!$B1818)</f>
        <v>1677.38596</v>
      </c>
      <c r="M1818" s="1">
        <f>value(TWD!$B1818)</f>
        <v>425.96206</v>
      </c>
      <c r="N1818" s="1">
        <f>value(JPY!$B1818)</f>
        <v>108.8941956</v>
      </c>
      <c r="O1818" s="1">
        <f>value(SAR!$B1818)</f>
        <v>3923.908673</v>
      </c>
      <c r="P1818" s="1">
        <f>value(AED!$B1818)</f>
        <v>3749.2795</v>
      </c>
      <c r="Q1818" s="1">
        <f>value(KWD!$B1818)</f>
        <v>45546.022</v>
      </c>
    </row>
    <row r="1819">
      <c r="A1819" s="4">
        <f>value(USD!A1819)</f>
        <v>42129.99861</v>
      </c>
      <c r="B1819" s="1">
        <f>value(USD!B1819)</f>
        <v>13005</v>
      </c>
      <c r="C1819" s="1">
        <f>value(AUD!$B1819)</f>
        <v>10256.4275</v>
      </c>
      <c r="D1819" s="1">
        <f>value(EUR!$B1819)</f>
        <v>14724.018</v>
      </c>
      <c r="E1819" s="1">
        <f>value(GBP!$B1819)</f>
        <v>20166.3</v>
      </c>
      <c r="F1819" s="1">
        <f>value(CHF!$B1819)</f>
        <v>14048.9392</v>
      </c>
      <c r="G1819" s="1">
        <f>value(SGD!$B1819)</f>
        <v>9825.1785</v>
      </c>
      <c r="H1819" s="1">
        <f>value(MYR!$B1819)</f>
        <v>3636.7434</v>
      </c>
      <c r="I1819" s="1">
        <f>value(THB!$B1819)</f>
        <v>390.231</v>
      </c>
      <c r="J1819" s="1">
        <f>value(VND!$B1819)</f>
        <v>0.6231141912</v>
      </c>
      <c r="K1819" s="1">
        <f>value(CNY!$B1819)</f>
        <v>2138.6112</v>
      </c>
      <c r="L1819" s="1">
        <f>value(HKD!$B1819)</f>
        <v>1688.86215</v>
      </c>
      <c r="M1819" s="1">
        <f>value(TWD!$B1819)</f>
        <v>425.16156</v>
      </c>
      <c r="N1819" s="1">
        <f>value(JPY!$B1819)</f>
        <v>109.372059</v>
      </c>
      <c r="O1819" s="1">
        <f>value(SAR!$B1819)</f>
        <v>3919.265225</v>
      </c>
      <c r="P1819" s="1">
        <f>value(AED!$B1819)</f>
        <v>3799.0954</v>
      </c>
      <c r="Q1819" s="1">
        <f>value(KWD!$B1819)</f>
        <v>45747.64467</v>
      </c>
    </row>
    <row r="1820">
      <c r="A1820" s="4">
        <f>value(USD!A1820)</f>
        <v>42130.99861</v>
      </c>
      <c r="B1820" s="1">
        <f>value(USD!B1820)</f>
        <v>13004</v>
      </c>
      <c r="C1820" s="1">
        <f>value(AUD!$B1820)</f>
        <v>10243.932</v>
      </c>
      <c r="D1820" s="1">
        <f>value(EUR!$B1820)</f>
        <v>14623.72995</v>
      </c>
      <c r="E1820" s="1">
        <f>value(GBP!$B1820)</f>
        <v>20143.2633</v>
      </c>
      <c r="F1820" s="1">
        <f>value(CHF!$B1820)</f>
        <v>13900.02</v>
      </c>
      <c r="G1820" s="1">
        <f>value(SGD!$B1820)</f>
        <v>9814.99716</v>
      </c>
      <c r="H1820" s="1">
        <f>value(MYR!$B1820)</f>
        <v>3633.32856</v>
      </c>
      <c r="I1820" s="1">
        <f>value(THB!$B1820)</f>
        <v>388.14825</v>
      </c>
      <c r="J1820" s="1">
        <f>value(VND!$B1820)</f>
        <v>0.6261400916</v>
      </c>
      <c r="K1820" s="1">
        <f>value(CNY!$B1820)</f>
        <v>2142.77025</v>
      </c>
      <c r="L1820" s="1">
        <f>value(HKD!$B1820)</f>
        <v>1682.54112</v>
      </c>
      <c r="M1820" s="1">
        <f>value(TWD!$B1820)</f>
        <v>425.624</v>
      </c>
      <c r="N1820" s="1">
        <f>value(JPY!$B1820)</f>
        <v>108.94245</v>
      </c>
      <c r="O1820" s="1">
        <f>value(SAR!$B1820)</f>
        <v>3884.884284</v>
      </c>
      <c r="P1820" s="1">
        <f>value(AED!$B1820)</f>
        <v>3757.4449</v>
      </c>
      <c r="Q1820" s="1">
        <f>value(KWD!$B1820)</f>
        <v>45882.73151</v>
      </c>
    </row>
    <row r="1821">
      <c r="A1821" s="4">
        <f>value(USD!A1821)</f>
        <v>42131.99861</v>
      </c>
      <c r="B1821" s="1">
        <f>value(USD!B1821)</f>
        <v>13095</v>
      </c>
      <c r="C1821" s="1">
        <f>value(AUD!$B1821)</f>
        <v>10286.14566</v>
      </c>
      <c r="D1821" s="1">
        <f>value(EUR!$B1821)</f>
        <v>14735.46837</v>
      </c>
      <c r="E1821" s="1">
        <f>value(GBP!$B1821)</f>
        <v>20318.54531</v>
      </c>
      <c r="F1821" s="1">
        <f>value(CHF!$B1821)</f>
        <v>13986.236</v>
      </c>
      <c r="G1821" s="1">
        <f>value(SGD!$B1821)</f>
        <v>9898.417489</v>
      </c>
      <c r="H1821" s="1">
        <f>value(MYR!$B1821)</f>
        <v>3664.209207</v>
      </c>
      <c r="I1821" s="1">
        <f>value(THB!$B1821)</f>
        <v>391.4472275</v>
      </c>
      <c r="J1821" s="1">
        <f>value(VND!$B1821)</f>
        <v>0.6284762324</v>
      </c>
      <c r="K1821" s="1">
        <f>value(CNY!$B1821)</f>
        <v>2147.28462</v>
      </c>
      <c r="L1821" s="1">
        <f>value(HKD!$B1821)</f>
        <v>1696.841494</v>
      </c>
      <c r="M1821" s="1">
        <f>value(TWD!$B1821)</f>
        <v>425.09475</v>
      </c>
      <c r="N1821" s="1">
        <f>value(JPY!$B1821)</f>
        <v>109.8683815</v>
      </c>
      <c r="O1821" s="1">
        <f>value(SAR!$B1821)</f>
        <v>3915.469503</v>
      </c>
      <c r="P1821" s="1">
        <f>value(AED!$B1821)</f>
        <v>3784.6629</v>
      </c>
      <c r="Q1821" s="1">
        <f>value(KWD!$B1821)</f>
        <v>45773.59215</v>
      </c>
    </row>
    <row r="1822">
      <c r="A1822" s="4">
        <f>value(USD!A1822)</f>
        <v>42132.99861</v>
      </c>
      <c r="B1822" s="1">
        <f>value(USD!B1822)</f>
        <v>13047</v>
      </c>
      <c r="C1822" s="1">
        <f>value(AUD!$B1822)</f>
        <v>10195.19338</v>
      </c>
      <c r="D1822" s="1">
        <f>value(EUR!$B1822)</f>
        <v>14726.8368</v>
      </c>
      <c r="E1822" s="1">
        <f>value(GBP!$B1822)</f>
        <v>20308.019</v>
      </c>
      <c r="F1822" s="1">
        <f>value(CHF!$B1822)</f>
        <v>13910.004</v>
      </c>
      <c r="G1822" s="1">
        <f>value(SGD!$B1822)</f>
        <v>9887.364861</v>
      </c>
      <c r="H1822" s="1">
        <f>value(MYR!$B1822)</f>
        <v>3664.209207</v>
      </c>
      <c r="I1822" s="1">
        <f>value(THB!$B1822)</f>
        <v>391.3156486</v>
      </c>
      <c r="J1822" s="1">
        <f>value(VND!$B1822)</f>
        <v>0.6209853884</v>
      </c>
      <c r="K1822" s="1">
        <f>value(CNY!$B1822)</f>
        <v>2147.35748</v>
      </c>
      <c r="L1822" s="1">
        <f>value(HKD!$B1822)</f>
        <v>1696.841494</v>
      </c>
      <c r="M1822" s="1">
        <f>value(TWD!$B1822)</f>
        <v>426.54924</v>
      </c>
      <c r="N1822" s="1">
        <f>value(JPY!$B1822)</f>
        <v>109.8683815</v>
      </c>
      <c r="O1822" s="1">
        <f>value(SAR!$B1822)</f>
        <v>3894.562727</v>
      </c>
      <c r="P1822" s="1">
        <f>value(AED!$B1822)</f>
        <v>3791.4674</v>
      </c>
      <c r="Q1822" s="1">
        <f>value(KWD!$B1822)</f>
        <v>45552.02718</v>
      </c>
    </row>
    <row r="1823">
      <c r="A1823" s="4">
        <f>value(USD!A1823)</f>
        <v>42133.99861</v>
      </c>
      <c r="B1823" s="1">
        <f>value(USD!B1823)</f>
        <v>13157.89</v>
      </c>
      <c r="C1823" s="1">
        <f>value(AUD!$B1823)</f>
        <v>10217.974</v>
      </c>
      <c r="D1823" s="1">
        <f>value(EUR!$B1823)</f>
        <v>14676.648</v>
      </c>
      <c r="E1823" s="1">
        <f>value(GBP!$B1823)</f>
        <v>20513.592</v>
      </c>
      <c r="F1823" s="1">
        <f>value(CHF!$B1823)</f>
        <v>13927.8129</v>
      </c>
      <c r="G1823" s="1">
        <f>value(SGD!$B1823)</f>
        <v>9847.3407</v>
      </c>
      <c r="H1823" s="1">
        <f>value(MYR!$B1823)</f>
        <v>3641.6367</v>
      </c>
      <c r="I1823" s="1">
        <f>value(THB!$B1823)</f>
        <v>390.0954</v>
      </c>
      <c r="J1823" s="1">
        <f>value(VND!$B1823)</f>
        <v>0.6189348007</v>
      </c>
      <c r="K1823" s="1">
        <f>value(CNY!$B1823)</f>
        <v>2149.2165</v>
      </c>
      <c r="L1823" s="1">
        <f>value(HKD!$B1823)</f>
        <v>1698.7983</v>
      </c>
      <c r="M1823" s="1">
        <f>value(TWD!$B1823)</f>
        <v>425.79214</v>
      </c>
      <c r="N1823" s="1">
        <f>value(JPY!$B1823)</f>
        <v>109.616544</v>
      </c>
      <c r="O1823" s="1">
        <f>value(SAR!$B1823)</f>
        <v>3853.321185</v>
      </c>
      <c r="P1823" s="1">
        <f>value(AED!$B1823)</f>
        <v>3780.9969</v>
      </c>
      <c r="Q1823" s="1">
        <f>value(KWD!$B1823)</f>
        <v>45505.52511</v>
      </c>
    </row>
    <row r="1824">
      <c r="A1824" s="4">
        <f>value(USD!A1824)</f>
        <v>42134.99861</v>
      </c>
      <c r="B1824" s="1">
        <f>value(USD!B1824)</f>
        <v>13157.89</v>
      </c>
      <c r="C1824" s="1">
        <f>value(AUD!$B1824)</f>
        <v>10259.998</v>
      </c>
      <c r="D1824" s="1">
        <f>value(EUR!$B1824)</f>
        <v>14747.3755</v>
      </c>
      <c r="E1824" s="1">
        <f>value(GBP!$B1824)</f>
        <v>20594.2715</v>
      </c>
      <c r="F1824" s="1">
        <f>value(CHF!$B1824)</f>
        <v>13877.85</v>
      </c>
      <c r="G1824" s="1">
        <f>value(SGD!$B1824)</f>
        <v>9848.234</v>
      </c>
      <c r="H1824" s="1">
        <f>value(MYR!$B1824)</f>
        <v>3649.3149</v>
      </c>
      <c r="I1824" s="1">
        <f>value(THB!$B1824)</f>
        <v>389.48635</v>
      </c>
      <c r="J1824" s="1">
        <f>value(VND!$B1824)</f>
        <v>0.6238197308</v>
      </c>
      <c r="K1824" s="1">
        <f>value(CNY!$B1824)</f>
        <v>2148.2736</v>
      </c>
      <c r="L1824" s="1">
        <f>value(HKD!$B1824)</f>
        <v>1695.57355</v>
      </c>
      <c r="M1824" s="1">
        <f>value(TWD!$B1824)</f>
        <v>426.399</v>
      </c>
      <c r="N1824" s="1">
        <f>value(JPY!$B1824)</f>
        <v>109.68188</v>
      </c>
      <c r="O1824" s="1">
        <f>value(SAR!$B1824)</f>
        <v>3755.442169</v>
      </c>
      <c r="P1824" s="1">
        <f>value(AED!$B1824)</f>
        <v>3757.721</v>
      </c>
      <c r="Q1824" s="1">
        <f>value(KWD!$B1824)</f>
        <v>45643.92148</v>
      </c>
    </row>
    <row r="1825">
      <c r="A1825" s="4">
        <f>value(USD!A1825)</f>
        <v>42135.99861</v>
      </c>
      <c r="B1825" s="1">
        <f>value(USD!B1825)</f>
        <v>13170</v>
      </c>
      <c r="C1825" s="1">
        <f>value(AUD!$B1825)</f>
        <v>10172.2884</v>
      </c>
      <c r="D1825" s="1">
        <f>value(EUR!$B1825)</f>
        <v>14866.8394</v>
      </c>
      <c r="E1825" s="1">
        <f>value(GBP!$B1825)</f>
        <v>20614.6868</v>
      </c>
      <c r="F1825" s="1">
        <f>value(CHF!$B1825)</f>
        <v>13864.059</v>
      </c>
      <c r="G1825" s="1">
        <f>value(SGD!$B1825)</f>
        <v>9880.74228</v>
      </c>
      <c r="H1825" s="1">
        <f>value(MYR!$B1825)</f>
        <v>3651.00332</v>
      </c>
      <c r="I1825" s="1">
        <f>value(THB!$B1825)</f>
        <v>390.30858</v>
      </c>
      <c r="J1825" s="1">
        <f>value(VND!$B1825)</f>
        <v>0.6228468967</v>
      </c>
      <c r="K1825" s="1">
        <f>value(CNY!$B1825)</f>
        <v>2147.33505</v>
      </c>
      <c r="L1825" s="1">
        <f>value(HKD!$B1825)</f>
        <v>1690.02698</v>
      </c>
      <c r="M1825" s="1">
        <f>value(TWD!$B1825)</f>
        <v>425.6794</v>
      </c>
      <c r="N1825" s="1">
        <f>value(JPY!$B1825)</f>
        <v>109.919229</v>
      </c>
      <c r="O1825" s="1">
        <f>value(SAR!$B1825)</f>
        <v>3701.380157</v>
      </c>
      <c r="P1825" s="1">
        <f>value(AED!$B1825)</f>
        <v>3754.86105</v>
      </c>
      <c r="Q1825" s="1">
        <f>value(KWD!$B1825)</f>
        <v>45571.4028</v>
      </c>
    </row>
    <row r="1826">
      <c r="A1826" s="4">
        <f>value(USD!A1826)</f>
        <v>42136.99861</v>
      </c>
      <c r="B1826" s="1">
        <f>value(USD!B1826)</f>
        <v>13145</v>
      </c>
      <c r="C1826" s="1">
        <f>value(AUD!$B1826)</f>
        <v>10125.4686</v>
      </c>
      <c r="D1826" s="1">
        <f>value(EUR!$B1826)</f>
        <v>14835.99117</v>
      </c>
      <c r="E1826" s="1">
        <f>value(GBP!$B1826)</f>
        <v>20521.501</v>
      </c>
      <c r="F1826" s="1">
        <f>value(CHF!$B1826)</f>
        <v>13953.5835</v>
      </c>
      <c r="G1826" s="1">
        <f>value(SGD!$B1826)</f>
        <v>9857.99815</v>
      </c>
      <c r="H1826" s="1">
        <f>value(MYR!$B1826)</f>
        <v>3650.40676</v>
      </c>
      <c r="I1826" s="1">
        <f>value(THB!$B1826)</f>
        <v>388.17779</v>
      </c>
      <c r="J1826" s="1">
        <f>value(VND!$B1826)</f>
        <v>0.613655021</v>
      </c>
      <c r="K1826" s="1">
        <f>value(CNY!$B1826)</f>
        <v>2157.534</v>
      </c>
      <c r="L1826" s="1">
        <f>value(HKD!$B1826)</f>
        <v>1678.677</v>
      </c>
      <c r="M1826" s="1">
        <f>value(TWD!$B1826)</f>
        <v>427.5201</v>
      </c>
      <c r="N1826" s="1">
        <f>value(JPY!$B1826)</f>
        <v>109.1543453</v>
      </c>
      <c r="O1826" s="1">
        <f>value(SAR!$B1826)</f>
        <v>3580.105113</v>
      </c>
      <c r="P1826" s="1">
        <f>value(AED!$B1826)</f>
        <v>3769.01493</v>
      </c>
      <c r="Q1826" s="1">
        <f>value(KWD!$B1826)</f>
        <v>46044.08111</v>
      </c>
    </row>
    <row r="1827">
      <c r="A1827" s="4">
        <f>value(USD!A1827)</f>
        <v>42137.99861</v>
      </c>
      <c r="B1827" s="1">
        <f>value(USD!B1827)</f>
        <v>13102</v>
      </c>
      <c r="C1827" s="1">
        <f>value(AUD!$B1827)</f>
        <v>10015.9388</v>
      </c>
      <c r="D1827" s="1">
        <f>value(EUR!$B1827)</f>
        <v>14932.81338</v>
      </c>
      <c r="E1827" s="1">
        <f>value(GBP!$B1827)</f>
        <v>20516.4075</v>
      </c>
      <c r="F1827" s="1">
        <f>value(CHF!$B1827)</f>
        <v>14032.92</v>
      </c>
      <c r="G1827" s="1">
        <f>value(SGD!$B1827)</f>
        <v>9875.79618</v>
      </c>
      <c r="H1827" s="1">
        <f>value(MYR!$B1827)</f>
        <v>3659.81397</v>
      </c>
      <c r="I1827" s="1">
        <f>value(THB!$B1827)</f>
        <v>389.19201</v>
      </c>
      <c r="J1827" s="1">
        <f>value(VND!$B1827)</f>
        <v>0.6136198043</v>
      </c>
      <c r="K1827" s="1">
        <f>value(CNY!$B1827)</f>
        <v>2162.23</v>
      </c>
      <c r="L1827" s="1">
        <f>value(HKD!$B1827)</f>
        <v>1683.063</v>
      </c>
      <c r="M1827" s="1">
        <f>value(TWD!$B1827)</f>
        <v>427.326</v>
      </c>
      <c r="N1827" s="1">
        <f>value(JPY!$B1827)</f>
        <v>109.33386</v>
      </c>
      <c r="O1827" s="1">
        <f>value(SAR!$B1827)</f>
        <v>3555.697809</v>
      </c>
      <c r="P1827" s="1">
        <f>value(AED!$B1827)</f>
        <v>3762.8885</v>
      </c>
      <c r="Q1827" s="1">
        <f>value(KWD!$B1827)</f>
        <v>45840.5987</v>
      </c>
    </row>
    <row r="1828">
      <c r="A1828" s="4">
        <f>value(USD!A1828)</f>
        <v>42138.99861</v>
      </c>
      <c r="B1828" s="1">
        <f>value(USD!B1828)</f>
        <v>13013</v>
      </c>
      <c r="C1828" s="1">
        <f>value(AUD!$B1828)</f>
        <v>9973.3842</v>
      </c>
      <c r="D1828" s="1">
        <f>value(EUR!$B1828)</f>
        <v>14969.06568</v>
      </c>
      <c r="E1828" s="1">
        <f>value(GBP!$B1828)</f>
        <v>20560.71042</v>
      </c>
      <c r="F1828" s="1">
        <f>value(CHF!$B1828)</f>
        <v>13933.122</v>
      </c>
      <c r="G1828" s="1">
        <f>value(SGD!$B1828)</f>
        <v>9894.636416</v>
      </c>
      <c r="H1828" s="1">
        <f>value(MYR!$B1828)</f>
        <v>3666.795863</v>
      </c>
      <c r="I1828" s="1">
        <f>value(THB!$B1828)</f>
        <v>389.9344787</v>
      </c>
      <c r="J1828" s="1">
        <f>value(VND!$B1828)</f>
        <v>0.6130765308</v>
      </c>
      <c r="K1828" s="1">
        <f>value(CNY!$B1828)</f>
        <v>2164.3788</v>
      </c>
      <c r="L1828" s="1">
        <f>value(HKD!$B1828)</f>
        <v>1686.27381</v>
      </c>
      <c r="M1828" s="1">
        <f>value(TWD!$B1828)</f>
        <v>426.9397</v>
      </c>
      <c r="N1828" s="1">
        <f>value(JPY!$B1828)</f>
        <v>109.5424382</v>
      </c>
      <c r="O1828" s="1">
        <f>value(SAR!$B1828)</f>
        <v>3605.532898</v>
      </c>
      <c r="P1828" s="1">
        <f>value(AED!$B1828)</f>
        <v>3803.73006</v>
      </c>
      <c r="Q1828" s="1">
        <f>value(KWD!$B1828)</f>
        <v>45424.67649</v>
      </c>
    </row>
    <row r="1829">
      <c r="A1829" s="4">
        <f>value(USD!A1829)</f>
        <v>42139.99861</v>
      </c>
      <c r="B1829" s="1">
        <f>value(USD!B1829)</f>
        <v>13047</v>
      </c>
      <c r="C1829" s="1">
        <f>value(AUD!$B1829)</f>
        <v>9934.45375</v>
      </c>
      <c r="D1829" s="1">
        <f>value(EUR!$B1829)</f>
        <v>14958.033</v>
      </c>
      <c r="E1829" s="1">
        <f>value(GBP!$B1829)</f>
        <v>20573.84767</v>
      </c>
      <c r="F1829" s="1">
        <f>value(CHF!$B1829)</f>
        <v>14083.65</v>
      </c>
      <c r="G1829" s="1">
        <f>value(SGD!$B1829)</f>
        <v>9898.427264</v>
      </c>
      <c r="H1829" s="1">
        <f>value(MYR!$B1829)</f>
        <v>3666.795863</v>
      </c>
      <c r="I1829" s="1">
        <f>value(THB!$B1829)</f>
        <v>389.2808842</v>
      </c>
      <c r="J1829" s="1">
        <f>value(VND!$B1829)</f>
        <v>0.616952595</v>
      </c>
      <c r="K1829" s="1">
        <f>value(CNY!$B1829)</f>
        <v>2168.53825</v>
      </c>
      <c r="L1829" s="1">
        <f>value(HKD!$B1829)</f>
        <v>1686.404528</v>
      </c>
      <c r="M1829" s="1">
        <f>value(TWD!$B1829)</f>
        <v>425.8653</v>
      </c>
      <c r="N1829" s="1">
        <f>value(JPY!$B1829)</f>
        <v>109.5424382</v>
      </c>
      <c r="O1829" s="1">
        <f>value(SAR!$B1829)</f>
        <v>3645.541126</v>
      </c>
      <c r="P1829" s="1">
        <f>value(AED!$B1829)</f>
        <v>3790.1065</v>
      </c>
      <c r="Q1829" s="1">
        <f>value(KWD!$B1829)</f>
        <v>45454.54007</v>
      </c>
    </row>
    <row r="1830">
      <c r="A1830" s="4">
        <f>value(USD!A1830)</f>
        <v>42140.99861</v>
      </c>
      <c r="B1830" s="1">
        <f>value(USD!B1830)</f>
        <v>13071.89</v>
      </c>
      <c r="C1830" s="1">
        <f>value(AUD!$B1830)</f>
        <v>9893.2365</v>
      </c>
      <c r="D1830" s="1">
        <f>value(EUR!$B1830)</f>
        <v>14904.51718</v>
      </c>
      <c r="E1830" s="1">
        <f>value(GBP!$B1830)</f>
        <v>20613.0082</v>
      </c>
      <c r="F1830" s="1">
        <f>value(CHF!$B1830)</f>
        <v>14153.454</v>
      </c>
      <c r="G1830" s="1">
        <f>value(SGD!$B1830)</f>
        <v>9910.45952</v>
      </c>
      <c r="H1830" s="1">
        <f>value(MYR!$B1830)</f>
        <v>3666.80158</v>
      </c>
      <c r="I1830" s="1">
        <f>value(THB!$B1830)</f>
        <v>393.67542</v>
      </c>
      <c r="J1830" s="1">
        <f>value(VND!$B1830)</f>
        <v>0.6032171549</v>
      </c>
      <c r="K1830" s="1">
        <f>value(CNY!$B1830)</f>
        <v>2140.7532</v>
      </c>
      <c r="L1830" s="1">
        <f>value(HKD!$B1830)</f>
        <v>1697.898</v>
      </c>
      <c r="M1830" s="1">
        <f>value(TWD!$B1830)</f>
        <v>426.5712</v>
      </c>
      <c r="N1830" s="1">
        <f>value(JPY!$B1830)</f>
        <v>109.7460722</v>
      </c>
      <c r="O1830" s="1">
        <f>value(SAR!$B1830)</f>
        <v>3542.234233</v>
      </c>
      <c r="P1830" s="1">
        <f>value(AED!$B1830)</f>
        <v>3764.526</v>
      </c>
      <c r="Q1830" s="1">
        <f>value(KWD!$B1830)</f>
        <v>45255.53613</v>
      </c>
    </row>
    <row r="1831">
      <c r="A1831" s="4">
        <f>value(USD!A1831)</f>
        <v>42141.99861</v>
      </c>
      <c r="B1831" s="1">
        <f>value(USD!B1831)</f>
        <v>13071.89</v>
      </c>
      <c r="C1831" s="1">
        <f>value(AUD!$B1831)</f>
        <v>9920.0471</v>
      </c>
      <c r="D1831" s="1">
        <f>value(EUR!$B1831)</f>
        <v>14671.7856</v>
      </c>
      <c r="E1831" s="1">
        <f>value(GBP!$B1831)</f>
        <v>20426.2016</v>
      </c>
      <c r="F1831" s="1">
        <f>value(CHF!$B1831)</f>
        <v>14200.2675</v>
      </c>
      <c r="G1831" s="1">
        <f>value(SGD!$B1831)</f>
        <v>9862.30528</v>
      </c>
      <c r="H1831" s="1">
        <f>value(MYR!$B1831)</f>
        <v>3640.55696</v>
      </c>
      <c r="I1831" s="1">
        <f>value(THB!$B1831)</f>
        <v>392.4064</v>
      </c>
      <c r="J1831" s="1">
        <f>value(VND!$B1831)</f>
        <v>0.6087608455</v>
      </c>
      <c r="K1831" s="1">
        <f>value(CNY!$B1831)</f>
        <v>2167.5984</v>
      </c>
      <c r="L1831" s="1">
        <f>value(HKD!$B1831)</f>
        <v>1698.40864</v>
      </c>
      <c r="M1831" s="1">
        <f>value(TWD!$B1831)</f>
        <v>420.8943</v>
      </c>
      <c r="N1831" s="1">
        <f>value(JPY!$B1831)</f>
        <v>109.1245328</v>
      </c>
      <c r="O1831" s="1">
        <f>value(SAR!$B1831)</f>
        <v>3578.104046</v>
      </c>
      <c r="P1831" s="1">
        <f>value(AED!$B1831)</f>
        <v>3763.30325</v>
      </c>
      <c r="Q1831" s="1">
        <f>value(KWD!$B1831)</f>
        <v>45198.08769</v>
      </c>
    </row>
    <row r="1832">
      <c r="A1832" s="4">
        <f>value(USD!A1832)</f>
        <v>42142.99861</v>
      </c>
      <c r="B1832" s="1">
        <f>value(USD!B1832)</f>
        <v>13162</v>
      </c>
      <c r="C1832" s="1">
        <f>value(AUD!$B1832)</f>
        <v>9875.64528</v>
      </c>
      <c r="D1832" s="1">
        <f>value(EUR!$B1832)</f>
        <v>14444.047</v>
      </c>
      <c r="E1832" s="1">
        <f>value(GBP!$B1832)</f>
        <v>20225.96075</v>
      </c>
      <c r="F1832" s="1">
        <f>value(CHF!$B1832)</f>
        <v>14244.832</v>
      </c>
      <c r="G1832" s="1">
        <f>value(SGD!$B1832)</f>
        <v>9736.0009</v>
      </c>
      <c r="H1832" s="1">
        <f>value(MYR!$B1832)</f>
        <v>3602.16155</v>
      </c>
      <c r="I1832" s="1">
        <f>value(THB!$B1832)</f>
        <v>386.8058</v>
      </c>
      <c r="J1832" s="1">
        <f>value(VND!$B1832)</f>
        <v>0.6113022885</v>
      </c>
      <c r="K1832" s="1">
        <f>value(CNY!$B1832)</f>
        <v>2172.75168</v>
      </c>
      <c r="L1832" s="1">
        <f>value(HKD!$B1832)</f>
        <v>1678.6747</v>
      </c>
      <c r="M1832" s="1">
        <f>value(TWD!$B1832)</f>
        <v>427.355</v>
      </c>
      <c r="N1832" s="1">
        <f>value(JPY!$B1832)</f>
        <v>107.352926</v>
      </c>
      <c r="O1832" s="1">
        <f>value(SAR!$B1832)</f>
        <v>3598.803419</v>
      </c>
      <c r="P1832" s="1">
        <f>value(AED!$B1832)</f>
        <v>3747.78411</v>
      </c>
      <c r="Q1832" s="1">
        <f>value(KWD!$B1832)</f>
        <v>45538.08436</v>
      </c>
    </row>
    <row r="1833">
      <c r="A1833" s="4">
        <f>value(USD!A1833)</f>
        <v>42143.99861</v>
      </c>
      <c r="B1833" s="1">
        <f>value(USD!B1833)</f>
        <v>13168</v>
      </c>
      <c r="C1833" s="1">
        <f>value(AUD!$B1833)</f>
        <v>9813.92</v>
      </c>
      <c r="D1833" s="1">
        <f>value(EUR!$B1833)</f>
        <v>14562.988</v>
      </c>
      <c r="E1833" s="1">
        <f>value(GBP!$B1833)</f>
        <v>20529.7496</v>
      </c>
      <c r="F1833" s="1">
        <f>value(CHF!$B1833)</f>
        <v>14349.511</v>
      </c>
      <c r="G1833" s="1">
        <f>value(SGD!$B1833)</f>
        <v>9813.3042</v>
      </c>
      <c r="H1833" s="1">
        <f>value(MYR!$B1833)</f>
        <v>3639.4362</v>
      </c>
      <c r="I1833" s="1">
        <f>value(THB!$B1833)</f>
        <v>391.9292</v>
      </c>
      <c r="J1833" s="1">
        <f>value(VND!$B1833)</f>
        <v>0.6099113383</v>
      </c>
      <c r="K1833" s="1">
        <f>value(CNY!$B1833)</f>
        <v>2162.63325</v>
      </c>
      <c r="L1833" s="1">
        <f>value(HKD!$B1833)</f>
        <v>1690.53876</v>
      </c>
      <c r="M1833" s="1">
        <f>value(TWD!$B1833)</f>
        <v>426.88688</v>
      </c>
      <c r="N1833" s="1">
        <f>value(JPY!$B1833)</f>
        <v>108.2812556</v>
      </c>
      <c r="O1833" s="1">
        <f>value(SAR!$B1833)</f>
        <v>3639.999909</v>
      </c>
      <c r="P1833" s="1">
        <f>value(AED!$B1833)</f>
        <v>3742.20834</v>
      </c>
      <c r="Q1833" s="1">
        <f>value(KWD!$B1833)</f>
        <v>45565.35525</v>
      </c>
    </row>
    <row r="1834">
      <c r="A1834" s="4">
        <f>value(USD!A1834)</f>
        <v>42144.99861</v>
      </c>
      <c r="B1834" s="1">
        <f>value(USD!B1834)</f>
        <v>13015</v>
      </c>
      <c r="C1834" s="1">
        <f>value(AUD!$B1834)</f>
        <v>9904.242</v>
      </c>
      <c r="D1834" s="1">
        <f>value(EUR!$B1834)</f>
        <v>14464.6434</v>
      </c>
      <c r="E1834" s="1">
        <f>value(GBP!$B1834)</f>
        <v>20351.232</v>
      </c>
      <c r="F1834" s="1">
        <f>value(CHF!$B1834)</f>
        <v>14347.2095</v>
      </c>
      <c r="G1834" s="1">
        <f>value(SGD!$B1834)</f>
        <v>9829.5084</v>
      </c>
      <c r="H1834" s="1">
        <f>value(MYR!$B1834)</f>
        <v>3645.4302</v>
      </c>
      <c r="I1834" s="1">
        <f>value(THB!$B1834)</f>
        <v>391.9662</v>
      </c>
      <c r="J1834" s="1">
        <f>value(VND!$B1834)</f>
        <v>0.6119314431</v>
      </c>
      <c r="K1834" s="1">
        <f>value(CNY!$B1834)</f>
        <v>2164.1088</v>
      </c>
      <c r="L1834" s="1">
        <f>value(HKD!$B1834)</f>
        <v>1694.9286</v>
      </c>
      <c r="M1834" s="1">
        <f>value(TWD!$B1834)</f>
        <v>423.693</v>
      </c>
      <c r="N1834" s="1">
        <f>value(JPY!$B1834)</f>
        <v>108.1422</v>
      </c>
      <c r="O1834" s="1">
        <f>value(SAR!$B1834)</f>
        <v>3666.043713</v>
      </c>
      <c r="P1834" s="1">
        <f>value(AED!$B1834)</f>
        <v>3770.35861</v>
      </c>
      <c r="Q1834" s="1">
        <f>value(KWD!$B1834)</f>
        <v>45755.72536</v>
      </c>
    </row>
    <row r="1835">
      <c r="A1835" s="4">
        <f>value(USD!A1835)</f>
        <v>42145.99861</v>
      </c>
      <c r="B1835" s="1">
        <f>value(USD!B1835)</f>
        <v>13108</v>
      </c>
      <c r="C1835" s="1">
        <f>value(AUD!$B1835)</f>
        <v>9831.4398</v>
      </c>
      <c r="D1835" s="1">
        <f>value(EUR!$B1835)</f>
        <v>14511.27737</v>
      </c>
      <c r="E1835" s="1">
        <f>value(GBP!$B1835)</f>
        <v>20409.61704</v>
      </c>
      <c r="F1835" s="1">
        <f>value(CHF!$B1835)</f>
        <v>14159.7215</v>
      </c>
      <c r="G1835" s="1">
        <f>value(SGD!$B1835)</f>
        <v>9855.862553</v>
      </c>
      <c r="H1835" s="1">
        <f>value(MYR!$B1835)</f>
        <v>3655.204058</v>
      </c>
      <c r="I1835" s="1">
        <f>value(THB!$B1835)</f>
        <v>393.0171109</v>
      </c>
      <c r="J1835" s="1">
        <f>value(VND!$B1835)</f>
        <v>0.6167072155</v>
      </c>
      <c r="K1835" s="1">
        <f>value(CNY!$B1835)</f>
        <v>2170.68045</v>
      </c>
      <c r="L1835" s="1">
        <f>value(HKD!$B1835)</f>
        <v>1699.472917</v>
      </c>
      <c r="M1835" s="1">
        <f>value(TWD!$B1835)</f>
        <v>423.8976</v>
      </c>
      <c r="N1835" s="1">
        <f>value(JPY!$B1835)</f>
        <v>108.4321429</v>
      </c>
      <c r="O1835" s="1">
        <f>value(SAR!$B1835)</f>
        <v>3657.331998</v>
      </c>
      <c r="P1835" s="1">
        <f>value(AED!$B1835)</f>
        <v>3764.2494</v>
      </c>
      <c r="Q1835" s="1">
        <f>value(KWD!$B1835)</f>
        <v>45528.61599</v>
      </c>
    </row>
    <row r="1836">
      <c r="A1836" s="4">
        <f>value(USD!A1836)</f>
        <v>42146.99861</v>
      </c>
      <c r="B1836" s="1">
        <f>value(USD!B1836)</f>
        <v>13140</v>
      </c>
      <c r="C1836" s="1">
        <f>value(AUD!$B1836)</f>
        <v>9880.40396</v>
      </c>
      <c r="D1836" s="1">
        <f>value(EUR!$B1836)</f>
        <v>14449.72716</v>
      </c>
      <c r="E1836" s="1">
        <f>value(GBP!$B1836)</f>
        <v>20378.23581</v>
      </c>
      <c r="F1836" s="1">
        <f>value(CHF!$B1836)</f>
        <v>14162.715</v>
      </c>
      <c r="G1836" s="1">
        <f>value(SGD!$B1836)</f>
        <v>9811.2504</v>
      </c>
      <c r="H1836" s="1">
        <f>value(MYR!$B1836)</f>
        <v>3630.61053</v>
      </c>
      <c r="I1836" s="1">
        <f>value(THB!$B1836)</f>
        <v>391.63329</v>
      </c>
      <c r="J1836" s="1">
        <f>value(VND!$B1836)</f>
        <v>0.6074151281</v>
      </c>
      <c r="K1836" s="1">
        <f>value(CNY!$B1836)</f>
        <v>2176.50734</v>
      </c>
      <c r="L1836" s="1">
        <f>value(HKD!$B1836)</f>
        <v>1699.18527</v>
      </c>
      <c r="M1836" s="1">
        <f>value(TWD!$B1836)</f>
        <v>425.0472</v>
      </c>
      <c r="N1836" s="1">
        <f>value(JPY!$B1836)</f>
        <v>108.3163098</v>
      </c>
      <c r="O1836" s="1">
        <f>value(SAR!$B1836)</f>
        <v>3594.3249</v>
      </c>
      <c r="P1836" s="1">
        <f>value(AED!$B1836)</f>
        <v>3777.8584</v>
      </c>
      <c r="Q1836" s="1">
        <f>value(KWD!$B1836)</f>
        <v>45421.54052</v>
      </c>
    </row>
    <row r="1837">
      <c r="A1837" s="4">
        <f>value(USD!A1837)</f>
        <v>42147.99861</v>
      </c>
      <c r="B1837" s="1">
        <f>value(USD!B1837)</f>
        <v>13175.23</v>
      </c>
      <c r="C1837" s="1">
        <f>value(AUD!$B1837)</f>
        <v>9838.149</v>
      </c>
      <c r="D1837" s="1">
        <f>value(EUR!$B1837)</f>
        <v>14385.3828</v>
      </c>
      <c r="E1837" s="1">
        <f>value(GBP!$B1837)</f>
        <v>20346.2498</v>
      </c>
      <c r="F1837" s="1">
        <f>value(CHF!$B1837)</f>
        <v>14324.277</v>
      </c>
      <c r="G1837" s="1">
        <f>value(SGD!$B1837)</f>
        <v>9796.96908</v>
      </c>
      <c r="H1837" s="1">
        <f>value(MYR!$B1837)</f>
        <v>3624.89442</v>
      </c>
      <c r="I1837" s="1">
        <f>value(THB!$B1837)</f>
        <v>391.35537</v>
      </c>
      <c r="J1837" s="1">
        <f>value(VND!$B1837)</f>
        <v>0.6092408268</v>
      </c>
      <c r="K1837" s="1">
        <f>value(CNY!$B1837)</f>
        <v>2168.26895</v>
      </c>
      <c r="L1837" s="1">
        <f>value(HKD!$B1837)</f>
        <v>1704.72866</v>
      </c>
      <c r="M1837" s="1">
        <f>value(TWD!$B1837)</f>
        <v>425.7855</v>
      </c>
      <c r="N1837" s="1">
        <f>value(JPY!$B1837)</f>
        <v>107.4555317</v>
      </c>
      <c r="O1837" s="1">
        <f>value(SAR!$B1837)</f>
        <v>3612.172335</v>
      </c>
      <c r="P1837" s="1">
        <f>value(AED!$B1837)</f>
        <v>3756.9044</v>
      </c>
      <c r="Q1837" s="1">
        <f>value(KWD!$B1837)</f>
        <v>45084.3964</v>
      </c>
    </row>
    <row r="1838">
      <c r="A1838" s="4">
        <f>value(USD!A1838)</f>
        <v>42149.99861</v>
      </c>
      <c r="B1838" s="1">
        <f>value(USD!B1838)</f>
        <v>13173</v>
      </c>
      <c r="C1838" s="1">
        <f>value(AUD!$B1838)</f>
        <v>9836.916</v>
      </c>
      <c r="D1838" s="1">
        <f>value(EUR!$B1838)</f>
        <v>14352.1392</v>
      </c>
      <c r="E1838" s="1">
        <f>value(GBP!$B1838)</f>
        <v>20211.999</v>
      </c>
      <c r="F1838" s="1">
        <f>value(CHF!$B1838)</f>
        <v>14320.332</v>
      </c>
      <c r="G1838" s="1">
        <f>value(SGD!$B1838)</f>
        <v>9744.483</v>
      </c>
      <c r="H1838" s="1">
        <f>value(MYR!$B1838)</f>
        <v>3612.1359</v>
      </c>
      <c r="I1838" s="1">
        <f>value(THB!$B1838)</f>
        <v>389.5686</v>
      </c>
      <c r="J1838" s="1">
        <f>value(VND!$B1838)</f>
        <v>0.611270945</v>
      </c>
      <c r="K1838" s="1">
        <f>value(CNY!$B1838)</f>
        <v>2172.1113</v>
      </c>
      <c r="L1838" s="1">
        <f>value(HKD!$B1838)</f>
        <v>1697.613</v>
      </c>
      <c r="M1838" s="1">
        <f>value(TWD!$B1838)</f>
        <v>424.01285</v>
      </c>
      <c r="N1838" s="1">
        <f>value(JPY!$B1838)</f>
        <v>106.4136</v>
      </c>
      <c r="O1838" s="1">
        <f>value(SAR!$B1838)</f>
        <v>3635.34369</v>
      </c>
      <c r="P1838" s="1">
        <f>value(AED!$B1838)</f>
        <v>3746.5577</v>
      </c>
      <c r="Q1838" s="1">
        <f>value(KWD!$B1838)</f>
        <v>44976.06955</v>
      </c>
    </row>
    <row r="1839">
      <c r="A1839" s="4">
        <f>value(USD!A1839)</f>
        <v>42150.99861</v>
      </c>
      <c r="B1839" s="1">
        <f>value(USD!B1839)</f>
        <v>13217</v>
      </c>
      <c r="C1839" s="1">
        <f>value(AUD!$B1839)</f>
        <v>9895.9035</v>
      </c>
      <c r="D1839" s="1">
        <f>value(EUR!$B1839)</f>
        <v>14427.5235</v>
      </c>
      <c r="E1839" s="1">
        <f>value(GBP!$B1839)</f>
        <v>20164.8305</v>
      </c>
      <c r="F1839" s="1">
        <f>value(CHF!$B1839)</f>
        <v>14309.818</v>
      </c>
      <c r="G1839" s="1">
        <f>value(SGD!$B1839)</f>
        <v>9764.2172</v>
      </c>
      <c r="H1839" s="1">
        <f>value(MYR!$B1839)</f>
        <v>3604.8403</v>
      </c>
      <c r="I1839" s="1">
        <f>value(THB!$B1839)</f>
        <v>389.81565</v>
      </c>
      <c r="J1839" s="1">
        <f>value(VND!$B1839)</f>
        <v>0.6114272608</v>
      </c>
      <c r="K1839" s="1">
        <f>value(CNY!$B1839)</f>
        <v>2167.91766</v>
      </c>
      <c r="L1839" s="1">
        <f>value(HKD!$B1839)</f>
        <v>1697.89005</v>
      </c>
      <c r="M1839" s="1">
        <f>value(TWD!$B1839)</f>
        <v>424.44484</v>
      </c>
      <c r="N1839" s="1">
        <f>value(JPY!$B1839)</f>
        <v>106.302109</v>
      </c>
      <c r="O1839" s="1">
        <f>value(SAR!$B1839)</f>
        <v>3644.178583</v>
      </c>
      <c r="P1839" s="1">
        <f>value(AED!$B1839)</f>
        <v>3722.335</v>
      </c>
      <c r="Q1839" s="1">
        <f>value(KWD!$B1839)</f>
        <v>45389.92462</v>
      </c>
    </row>
    <row r="1840">
      <c r="A1840" s="4">
        <f>value(USD!A1840)</f>
        <v>42151.99861</v>
      </c>
      <c r="B1840" s="1">
        <f>value(USD!B1840)</f>
        <v>13170</v>
      </c>
      <c r="C1840" s="1">
        <f>value(AUD!$B1840)</f>
        <v>9879.82</v>
      </c>
      <c r="D1840" s="1">
        <f>value(EUR!$B1840)</f>
        <v>14504.424</v>
      </c>
      <c r="E1840" s="1">
        <f>value(GBP!$B1840)</f>
        <v>20182.8</v>
      </c>
      <c r="F1840" s="1">
        <f>value(CHF!$B1840)</f>
        <v>14471.048</v>
      </c>
      <c r="G1840" s="1">
        <f>value(SGD!$B1840)</f>
        <v>9790.836</v>
      </c>
      <c r="H1840" s="1">
        <f>value(MYR!$B1840)</f>
        <v>3606.108</v>
      </c>
      <c r="I1840" s="1">
        <f>value(THB!$B1840)</f>
        <v>391.38</v>
      </c>
      <c r="J1840" s="1">
        <f>value(VND!$B1840)</f>
        <v>0.6063685591</v>
      </c>
      <c r="K1840" s="1">
        <f>value(CNY!$B1840)</f>
        <v>2150.54235</v>
      </c>
      <c r="L1840" s="1">
        <f>value(HKD!$B1840)</f>
        <v>1702.272</v>
      </c>
      <c r="M1840" s="1">
        <f>value(TWD!$B1840)</f>
        <v>425.42253</v>
      </c>
      <c r="N1840" s="1">
        <f>value(JPY!$B1840)</f>
        <v>106.26</v>
      </c>
      <c r="O1840" s="1">
        <f>value(SAR!$B1840)</f>
        <v>3632.333576</v>
      </c>
      <c r="P1840" s="1">
        <f>value(AED!$B1840)</f>
        <v>3709.8134</v>
      </c>
      <c r="Q1840" s="1">
        <f>value(KWD!$B1840)</f>
        <v>45063.0387</v>
      </c>
    </row>
    <row r="1841">
      <c r="A1841" s="4">
        <f>value(USD!A1841)</f>
        <v>42152.99861</v>
      </c>
      <c r="B1841" s="1">
        <f>value(USD!B1841)</f>
        <v>13165</v>
      </c>
      <c r="C1841" s="1">
        <f>value(AUD!$B1841)</f>
        <v>9876.422</v>
      </c>
      <c r="D1841" s="1">
        <f>value(EUR!$B1841)</f>
        <v>14399.9772</v>
      </c>
      <c r="E1841" s="1">
        <f>value(GBP!$B1841)</f>
        <v>20040.4848</v>
      </c>
      <c r="F1841" s="1">
        <f>value(CHF!$B1841)</f>
        <v>14419.65</v>
      </c>
      <c r="G1841" s="1">
        <f>value(SGD!$B1841)</f>
        <v>9724.1718</v>
      </c>
      <c r="H1841" s="1">
        <f>value(MYR!$B1841)</f>
        <v>3567.74964</v>
      </c>
      <c r="I1841" s="1">
        <f>value(THB!$B1841)</f>
        <v>391.0242</v>
      </c>
      <c r="J1841" s="1">
        <f>value(VND!$B1841)</f>
        <v>0.6091335845</v>
      </c>
      <c r="K1841" s="1">
        <f>value(CNY!$B1841)</f>
        <v>2152.467</v>
      </c>
      <c r="L1841" s="1">
        <f>value(HKD!$B1841)</f>
        <v>1700.46072</v>
      </c>
      <c r="M1841" s="1">
        <f>value(TWD!$B1841)</f>
        <v>422.8434</v>
      </c>
      <c r="N1841" s="1">
        <f>value(JPY!$B1841)</f>
        <v>105.6134604</v>
      </c>
      <c r="O1841" s="1">
        <f>value(SAR!$B1841)</f>
        <v>3631.266907</v>
      </c>
      <c r="P1841" s="1">
        <f>value(AED!$B1841)</f>
        <v>3737.0314</v>
      </c>
      <c r="Q1841" s="1">
        <f>value(KWD!$B1841)</f>
        <v>45365.76052</v>
      </c>
    </row>
    <row r="1842">
      <c r="A1842" s="4">
        <f>value(USD!A1842)</f>
        <v>42153.99861</v>
      </c>
      <c r="B1842" s="1">
        <f>value(USD!B1842)</f>
        <v>13200</v>
      </c>
      <c r="C1842" s="1">
        <f>value(AUD!$B1842)</f>
        <v>9781.3376</v>
      </c>
      <c r="D1842" s="1">
        <f>value(EUR!$B1842)</f>
        <v>14656.99</v>
      </c>
      <c r="E1842" s="1">
        <f>value(GBP!$B1842)</f>
        <v>20168.155</v>
      </c>
      <c r="F1842" s="1">
        <f>value(CHF!$B1842)</f>
        <v>14491.928</v>
      </c>
      <c r="G1842" s="1">
        <f>value(SGD!$B1842)</f>
        <v>9749.41</v>
      </c>
      <c r="H1842" s="1">
        <f>value(MYR!$B1842)</f>
        <v>3576.1425</v>
      </c>
      <c r="I1842" s="1">
        <f>value(THB!$B1842)</f>
        <v>389.503</v>
      </c>
      <c r="J1842" s="1">
        <f>value(VND!$B1842)</f>
        <v>0.6034349217</v>
      </c>
      <c r="K1842" s="1">
        <f>value(CNY!$B1842)</f>
        <v>2138.08625</v>
      </c>
      <c r="L1842" s="1">
        <f>value(HKD!$B1842)</f>
        <v>1695.4295</v>
      </c>
      <c r="M1842" s="1">
        <f>value(TWD!$B1842)</f>
        <v>427.1946</v>
      </c>
      <c r="N1842" s="1">
        <f>value(JPY!$B1842)</f>
        <v>105.99952</v>
      </c>
      <c r="O1842" s="1">
        <f>value(SAR!$B1842)</f>
        <v>3637.770808</v>
      </c>
      <c r="P1842" s="1">
        <f>value(AED!$B1842)</f>
        <v>3696.74876</v>
      </c>
      <c r="Q1842" s="1">
        <f>value(KWD!$B1842)</f>
        <v>45232.05901</v>
      </c>
    </row>
    <row r="1843">
      <c r="A1843" s="4">
        <f>value(USD!A1843)</f>
        <v>42156.99861</v>
      </c>
      <c r="B1843" s="1">
        <f>value(USD!B1843)</f>
        <v>13188</v>
      </c>
      <c r="C1843" s="1">
        <f>value(AUD!$B1843)</f>
        <v>9793.0945</v>
      </c>
      <c r="D1843" s="1">
        <f>value(EUR!$B1843)</f>
        <v>14891.4234</v>
      </c>
      <c r="E1843" s="1">
        <f>value(GBP!$B1843)</f>
        <v>20275.3719</v>
      </c>
      <c r="F1843" s="1">
        <f>value(CHF!$B1843)</f>
        <v>14435.3304</v>
      </c>
      <c r="G1843" s="1">
        <f>value(SGD!$B1843)</f>
        <v>9840.8709</v>
      </c>
      <c r="H1843" s="1">
        <f>value(MYR!$B1843)</f>
        <v>3570.9093</v>
      </c>
      <c r="I1843" s="1">
        <f>value(THB!$B1843)</f>
        <v>392.2695</v>
      </c>
      <c r="J1843" s="1">
        <f>value(VND!$B1843)</f>
        <v>0.6036815961</v>
      </c>
      <c r="K1843" s="1">
        <f>value(CNY!$B1843)</f>
        <v>2144.88885</v>
      </c>
      <c r="L1843" s="1">
        <f>value(HKD!$B1843)</f>
        <v>1706.2731</v>
      </c>
      <c r="M1843" s="1">
        <f>value(TWD!$B1843)</f>
        <v>422.5575</v>
      </c>
      <c r="N1843" s="1">
        <f>value(JPY!$B1843)</f>
        <v>106.410213</v>
      </c>
      <c r="O1843" s="1">
        <f>value(SAR!$B1843)</f>
        <v>3626.458606</v>
      </c>
      <c r="P1843" s="1">
        <f>value(AED!$B1843)</f>
        <v>3704.91416</v>
      </c>
      <c r="Q1843" s="1">
        <f>value(KWD!$B1843)</f>
        <v>45300.1152</v>
      </c>
    </row>
    <row r="1844">
      <c r="A1844" s="4">
        <f>value(USD!A1844)</f>
        <v>42157.99861</v>
      </c>
      <c r="B1844" s="1">
        <f>value(USD!B1844)</f>
        <v>13150</v>
      </c>
      <c r="C1844" s="1">
        <f>value(AUD!$B1844)</f>
        <v>9761.505</v>
      </c>
      <c r="D1844" s="1">
        <f>value(EUR!$B1844)</f>
        <v>14878.62</v>
      </c>
      <c r="E1844" s="1">
        <f>value(GBP!$B1844)</f>
        <v>20390.4</v>
      </c>
      <c r="F1844" s="1">
        <f>value(CHF!$B1844)</f>
        <v>14189.425</v>
      </c>
      <c r="G1844" s="1">
        <f>value(SGD!$B1844)</f>
        <v>9843.147</v>
      </c>
      <c r="H1844" s="1">
        <f>value(MYR!$B1844)</f>
        <v>3571.10775</v>
      </c>
      <c r="I1844" s="1">
        <f>value(THB!$B1844)</f>
        <v>393.07275</v>
      </c>
      <c r="J1844" s="1">
        <f>value(VND!$B1844)</f>
        <v>0.6031119402</v>
      </c>
      <c r="K1844" s="1">
        <f>value(CNY!$B1844)</f>
        <v>2162.8737</v>
      </c>
      <c r="L1844" s="1">
        <f>value(HKD!$B1844)</f>
        <v>1712.34225</v>
      </c>
      <c r="M1844" s="1">
        <f>value(TWD!$B1844)</f>
        <v>423.65635</v>
      </c>
      <c r="N1844" s="1">
        <f>value(JPY!$B1844)</f>
        <v>106.731</v>
      </c>
      <c r="O1844" s="1">
        <f>value(SAR!$B1844)</f>
        <v>3577.151091</v>
      </c>
      <c r="P1844" s="1">
        <f>value(AED!$B1844)</f>
        <v>3697.5653</v>
      </c>
      <c r="Q1844" s="1">
        <f>value(KWD!$B1844)</f>
        <v>45579.05825</v>
      </c>
    </row>
    <row r="1845">
      <c r="A1845" s="4">
        <f>value(USD!A1845)</f>
        <v>42158.99861</v>
      </c>
      <c r="B1845" s="1">
        <f>value(USD!B1845)</f>
        <v>13230</v>
      </c>
      <c r="C1845" s="1">
        <f>value(AUD!$B1845)</f>
        <v>9821.762</v>
      </c>
      <c r="D1845" s="1">
        <f>value(EUR!$B1845)</f>
        <v>14875.4068</v>
      </c>
      <c r="E1845" s="1">
        <f>value(GBP!$B1845)</f>
        <v>20443.476</v>
      </c>
      <c r="F1845" s="1">
        <f>value(CHF!$B1845)</f>
        <v>14232.261</v>
      </c>
      <c r="G1845" s="1">
        <f>value(SGD!$B1845)</f>
        <v>9859.32484</v>
      </c>
      <c r="H1845" s="1">
        <f>value(MYR!$B1845)</f>
        <v>3550.76536</v>
      </c>
      <c r="I1845" s="1">
        <f>value(THB!$B1845)</f>
        <v>394.41048</v>
      </c>
      <c r="J1845" s="1">
        <f>value(VND!$B1845)</f>
        <v>0.595347981</v>
      </c>
      <c r="K1845" s="1">
        <f>value(CNY!$B1845)</f>
        <v>2162.28436</v>
      </c>
      <c r="L1845" s="1">
        <f>value(HKD!$B1845)</f>
        <v>1726.78424</v>
      </c>
      <c r="M1845" s="1">
        <f>value(TWD!$B1845)</f>
        <v>423.8895</v>
      </c>
      <c r="N1845" s="1">
        <f>value(JPY!$B1845)</f>
        <v>106.56848</v>
      </c>
      <c r="O1845" s="1">
        <f>value(SAR!$B1845)</f>
        <v>3592.214823</v>
      </c>
      <c r="P1845" s="1">
        <f>value(AED!$B1845)</f>
        <v>3703.128659</v>
      </c>
      <c r="Q1845" s="1">
        <f>value(KWD!$B1845)</f>
        <v>45314.79444</v>
      </c>
    </row>
    <row r="1846">
      <c r="A1846" s="4">
        <f>value(USD!A1846)</f>
        <v>42159.99861</v>
      </c>
      <c r="B1846" s="1">
        <f>value(USD!B1846)</f>
        <v>13275</v>
      </c>
      <c r="C1846" s="1">
        <f>value(AUD!$B1846)</f>
        <v>9840.79496</v>
      </c>
      <c r="D1846" s="1">
        <f>value(EUR!$B1846)</f>
        <v>15013.9462</v>
      </c>
      <c r="E1846" s="1">
        <f>value(GBP!$B1846)</f>
        <v>20418.871</v>
      </c>
      <c r="F1846" s="1">
        <f>value(CHF!$B1846)</f>
        <v>14200.9525</v>
      </c>
      <c r="G1846" s="1">
        <f>value(SGD!$B1846)</f>
        <v>9829.8343</v>
      </c>
      <c r="H1846" s="1">
        <f>value(MYR!$B1846)</f>
        <v>3500.6631</v>
      </c>
      <c r="I1846" s="1">
        <f>value(THB!$B1846)</f>
        <v>393.7098</v>
      </c>
      <c r="J1846" s="1">
        <f>value(VND!$B1846)</f>
        <v>0.593092747</v>
      </c>
      <c r="K1846" s="1">
        <f>value(CNY!$B1846)</f>
        <v>2148.94988</v>
      </c>
      <c r="L1846" s="1">
        <f>value(HKD!$B1846)</f>
        <v>1716.8569</v>
      </c>
      <c r="M1846" s="1">
        <f>value(TWD!$B1846)</f>
        <v>423.41336</v>
      </c>
      <c r="N1846" s="1">
        <f>value(JPY!$B1846)</f>
        <v>106.831384</v>
      </c>
      <c r="O1846" s="1">
        <f>value(SAR!$B1846)</f>
        <v>3606.762739</v>
      </c>
      <c r="P1846" s="1">
        <f>value(AED!$B1846)</f>
        <v>3722.33368</v>
      </c>
      <c r="Q1846" s="1">
        <f>value(KWD!$B1846)</f>
        <v>45098.03844</v>
      </c>
    </row>
    <row r="1847">
      <c r="A1847" s="4">
        <f>value(USD!A1847)</f>
        <v>42160.99861</v>
      </c>
      <c r="B1847" s="1">
        <f>value(USD!B1847)</f>
        <v>13388</v>
      </c>
      <c r="C1847" s="1">
        <f>value(AUD!$B1847)</f>
        <v>9796.7595</v>
      </c>
      <c r="D1847" s="1">
        <f>value(EUR!$B1847)</f>
        <v>15072.1099</v>
      </c>
      <c r="E1847" s="1">
        <f>value(GBP!$B1847)</f>
        <v>20536.22015</v>
      </c>
      <c r="F1847" s="1">
        <f>value(CHF!$B1847)</f>
        <v>14243.8824</v>
      </c>
      <c r="G1847" s="1">
        <f>value(SGD!$B1847)</f>
        <v>9871.96375</v>
      </c>
      <c r="H1847" s="1">
        <f>value(MYR!$B1847)</f>
        <v>3562.44775</v>
      </c>
      <c r="I1847" s="1">
        <f>value(THB!$B1847)</f>
        <v>395.67925</v>
      </c>
      <c r="J1847" s="1">
        <f>value(VND!$B1847)</f>
        <v>0.6005284953</v>
      </c>
      <c r="K1847" s="1">
        <f>value(CNY!$B1847)</f>
        <v>2172.30825</v>
      </c>
      <c r="L1847" s="1">
        <f>value(HKD!$B1847)</f>
        <v>1721.10465</v>
      </c>
      <c r="M1847" s="1">
        <f>value(TWD!$B1847)</f>
        <v>414.91464</v>
      </c>
      <c r="N1847" s="1">
        <f>value(JPY!$B1847)</f>
        <v>107.307145</v>
      </c>
      <c r="O1847" s="1">
        <f>value(SAR!$B1847)</f>
        <v>3633.014747</v>
      </c>
      <c r="P1847" s="1">
        <f>value(AED!$B1847)</f>
        <v>3690.7608</v>
      </c>
      <c r="Q1847" s="1">
        <f>value(KWD!$B1847)</f>
        <v>45288.082</v>
      </c>
    </row>
    <row r="1848">
      <c r="A1848" s="4">
        <f>value(USD!A1848)</f>
        <v>42163.99861</v>
      </c>
      <c r="B1848" s="1">
        <f>value(USD!B1848)</f>
        <v>13310</v>
      </c>
      <c r="C1848" s="1">
        <f>value(AUD!$B1848)</f>
        <v>9777.0624</v>
      </c>
      <c r="D1848" s="1">
        <f>value(EUR!$B1848)</f>
        <v>14934.855</v>
      </c>
      <c r="E1848" s="1">
        <f>value(GBP!$B1848)</f>
        <v>20462.468</v>
      </c>
      <c r="F1848" s="1">
        <f>value(CHF!$B1848)</f>
        <v>14382.4312</v>
      </c>
      <c r="G1848" s="1">
        <f>value(SGD!$B1848)</f>
        <v>9825.44435</v>
      </c>
      <c r="H1848" s="1">
        <f>value(MYR!$B1848)</f>
        <v>3542.76945</v>
      </c>
      <c r="I1848" s="1">
        <f>value(THB!$B1848)</f>
        <v>392.32055</v>
      </c>
      <c r="J1848" s="1">
        <f>value(VND!$B1848)</f>
        <v>0.5972735138</v>
      </c>
      <c r="K1848" s="1">
        <f>value(CNY!$B1848)</f>
        <v>2163.29085</v>
      </c>
      <c r="L1848" s="1">
        <f>value(HKD!$B1848)</f>
        <v>1703.1809</v>
      </c>
      <c r="M1848" s="1">
        <f>value(TWD!$B1848)</f>
        <v>424.881</v>
      </c>
      <c r="N1848" s="1">
        <f>value(JPY!$B1848)</f>
        <v>107.4583285</v>
      </c>
      <c r="O1848" s="1">
        <f>value(SAR!$B1848)</f>
        <v>3642.551989</v>
      </c>
      <c r="P1848" s="1">
        <f>value(AED!$B1848)</f>
        <v>3662.1819</v>
      </c>
      <c r="Q1848" s="1">
        <f>value(KWD!$B1848)</f>
        <v>45222.49873</v>
      </c>
    </row>
    <row r="1849">
      <c r="A1849" s="4">
        <f>value(USD!A1849)</f>
        <v>42164.99861</v>
      </c>
      <c r="B1849" s="1">
        <f>value(USD!B1849)</f>
        <v>13345</v>
      </c>
      <c r="C1849" s="1">
        <f>value(AUD!$B1849)</f>
        <v>9941.142</v>
      </c>
      <c r="D1849" s="1">
        <f>value(EUR!$B1849)</f>
        <v>14872.2399</v>
      </c>
      <c r="E1849" s="1">
        <f>value(GBP!$B1849)</f>
        <v>20520.6561</v>
      </c>
      <c r="F1849" s="1">
        <f>value(CHF!$B1849)</f>
        <v>14267.9348</v>
      </c>
      <c r="G1849" s="1">
        <f>value(SGD!$B1849)</f>
        <v>9830.5515</v>
      </c>
      <c r="H1849" s="1">
        <f>value(MYR!$B1849)</f>
        <v>3517.5924</v>
      </c>
      <c r="I1849" s="1">
        <f>value(THB!$B1849)</f>
        <v>392.1372</v>
      </c>
      <c r="J1849" s="1">
        <f>value(VND!$B1849)</f>
        <v>0.5989143803</v>
      </c>
      <c r="K1849" s="1">
        <f>value(CNY!$B1849)</f>
        <v>2171.99235</v>
      </c>
      <c r="L1849" s="1">
        <f>value(HKD!$B1849)</f>
        <v>1706.2731</v>
      </c>
      <c r="M1849" s="1">
        <f>value(TWD!$B1849)</f>
        <v>422.04825</v>
      </c>
      <c r="N1849" s="1">
        <f>value(JPY!$B1849)</f>
        <v>107.035992</v>
      </c>
      <c r="O1849" s="1">
        <f>value(SAR!$B1849)</f>
        <v>3620.247715</v>
      </c>
      <c r="P1849" s="1">
        <f>value(AED!$B1849)</f>
        <v>3669.93</v>
      </c>
      <c r="Q1849" s="1">
        <f>value(KWD!$B1849)</f>
        <v>44497.6938</v>
      </c>
    </row>
    <row r="1850">
      <c r="A1850" s="4">
        <f>value(USD!A1850)</f>
        <v>42165.99861</v>
      </c>
      <c r="B1850" s="1">
        <f>value(USD!B1850)</f>
        <v>13205</v>
      </c>
      <c r="C1850" s="1">
        <f>value(AUD!$B1850)</f>
        <v>9934.995</v>
      </c>
      <c r="D1850" s="1">
        <f>value(EUR!$B1850)</f>
        <v>14994.0215</v>
      </c>
      <c r="E1850" s="1">
        <f>value(GBP!$B1850)</f>
        <v>20714.1455</v>
      </c>
      <c r="F1850" s="1">
        <f>value(CHF!$B1850)</f>
        <v>14037.172</v>
      </c>
      <c r="G1850" s="1">
        <f>value(SGD!$B1850)</f>
        <v>9906.49315</v>
      </c>
      <c r="H1850" s="1">
        <f>value(MYR!$B1850)</f>
        <v>3546.8497</v>
      </c>
      <c r="I1850" s="1">
        <f>value(THB!$B1850)</f>
        <v>394.9229</v>
      </c>
      <c r="J1850" s="1">
        <f>value(VND!$B1850)</f>
        <v>0.5925196808</v>
      </c>
      <c r="K1850" s="1">
        <f>value(CNY!$B1850)</f>
        <v>2151.42</v>
      </c>
      <c r="L1850" s="1">
        <f>value(HKD!$B1850)</f>
        <v>1717.23555</v>
      </c>
      <c r="M1850" s="1">
        <f>value(TWD!$B1850)</f>
        <v>422.1811</v>
      </c>
      <c r="N1850" s="1">
        <f>value(JPY!$B1850)</f>
        <v>107.8515</v>
      </c>
      <c r="O1850" s="1">
        <f>value(SAR!$B1850)</f>
        <v>3610.228655</v>
      </c>
      <c r="P1850" s="1">
        <f>value(AED!$B1850)</f>
        <v>3664.9037</v>
      </c>
      <c r="Q1850" s="1">
        <f>value(KWD!$B1850)</f>
        <v>44903.63589</v>
      </c>
    </row>
    <row r="1851">
      <c r="A1851" s="4">
        <f>value(USD!A1851)</f>
        <v>42166.99861</v>
      </c>
      <c r="B1851" s="1">
        <f>value(USD!B1851)</f>
        <v>13230</v>
      </c>
      <c r="C1851" s="1">
        <f>value(AUD!$B1851)</f>
        <v>9888.56135</v>
      </c>
      <c r="D1851" s="1">
        <f>value(EUR!$B1851)</f>
        <v>15017.1012</v>
      </c>
      <c r="E1851" s="1">
        <f>value(GBP!$B1851)</f>
        <v>20770.2756</v>
      </c>
      <c r="F1851" s="1">
        <f>value(CHF!$B1851)</f>
        <v>14050.296</v>
      </c>
      <c r="G1851" s="1">
        <f>value(SGD!$B1851)</f>
        <v>9890.1</v>
      </c>
      <c r="H1851" s="1">
        <f>value(MYR!$B1851)</f>
        <v>3541.122</v>
      </c>
      <c r="I1851" s="1">
        <f>value(THB!$B1851)</f>
        <v>394.8048</v>
      </c>
      <c r="J1851" s="1">
        <f>value(VND!$B1851)</f>
        <v>0.5915056481</v>
      </c>
      <c r="K1851" s="1">
        <f>value(CNY!$B1851)</f>
        <v>2178.0392</v>
      </c>
      <c r="L1851" s="1">
        <f>value(HKD!$B1851)</f>
        <v>1717.8804</v>
      </c>
      <c r="M1851" s="1">
        <f>value(TWD!$B1851)</f>
        <v>419.658</v>
      </c>
      <c r="N1851" s="1">
        <f>value(JPY!$B1851)</f>
        <v>107.907984</v>
      </c>
      <c r="O1851" s="1">
        <f>value(SAR!$B1851)</f>
        <v>3633.887693</v>
      </c>
      <c r="P1851" s="1">
        <f>value(AED!$B1851)</f>
        <v>3613.1895</v>
      </c>
      <c r="Q1851" s="1">
        <f>value(KWD!$B1851)</f>
        <v>45210.9735</v>
      </c>
    </row>
    <row r="1852">
      <c r="A1852" s="4">
        <f>value(USD!A1852)</f>
        <v>42167.99861</v>
      </c>
      <c r="B1852" s="1">
        <f>value(USD!B1852)</f>
        <v>13315</v>
      </c>
      <c r="C1852" s="1">
        <f>value(AUD!$B1852)</f>
        <v>10001.01525</v>
      </c>
      <c r="D1852" s="1">
        <f>value(EUR!$B1852)</f>
        <v>14991.492</v>
      </c>
      <c r="E1852" s="1">
        <f>value(GBP!$B1852)</f>
        <v>20855.756</v>
      </c>
      <c r="F1852" s="1">
        <f>value(CHF!$B1852)</f>
        <v>14175.084</v>
      </c>
      <c r="G1852" s="1">
        <f>value(SGD!$B1852)</f>
        <v>9927.0944</v>
      </c>
      <c r="H1852" s="1">
        <f>value(MYR!$B1852)</f>
        <v>3557.111</v>
      </c>
      <c r="I1852" s="1">
        <f>value(THB!$B1852)</f>
        <v>395.531</v>
      </c>
      <c r="J1852" s="1">
        <f>value(VND!$B1852)</f>
        <v>0.598813592</v>
      </c>
      <c r="K1852" s="1">
        <f>value(CNY!$B1852)</f>
        <v>2152.8477</v>
      </c>
      <c r="L1852" s="1">
        <f>value(HKD!$B1852)</f>
        <v>1720.7266</v>
      </c>
      <c r="M1852" s="1">
        <f>value(TWD!$B1852)</f>
        <v>426.0592</v>
      </c>
      <c r="N1852" s="1">
        <f>value(JPY!$B1852)</f>
        <v>108.054</v>
      </c>
      <c r="O1852" s="1">
        <f>value(SAR!$B1852)</f>
        <v>3665.777447</v>
      </c>
      <c r="P1852" s="1">
        <f>value(AED!$B1852)</f>
        <v>3646.39546</v>
      </c>
      <c r="Q1852" s="1">
        <f>value(KWD!$B1852)</f>
        <v>44911.2736</v>
      </c>
    </row>
    <row r="1853">
      <c r="A1853" s="4">
        <f>value(USD!A1853)</f>
        <v>42170.99861</v>
      </c>
      <c r="B1853" s="1">
        <f>value(USD!B1853)</f>
        <v>13320</v>
      </c>
      <c r="C1853" s="1">
        <f>value(AUD!$B1853)</f>
        <v>9981.7404</v>
      </c>
      <c r="D1853" s="1">
        <f>value(EUR!$B1853)</f>
        <v>15152.211</v>
      </c>
      <c r="E1853" s="1">
        <f>value(GBP!$B1853)</f>
        <v>21121.9182</v>
      </c>
      <c r="F1853" s="1">
        <f>value(CHF!$B1853)</f>
        <v>14144.402</v>
      </c>
      <c r="G1853" s="1">
        <f>value(SGD!$B1853)</f>
        <v>9968.3073</v>
      </c>
      <c r="H1853" s="1">
        <f>value(MYR!$B1853)</f>
        <v>3572.0401</v>
      </c>
      <c r="I1853" s="1">
        <f>value(THB!$B1853)</f>
        <v>396.1676</v>
      </c>
      <c r="J1853" s="1">
        <f>value(VND!$B1853)</f>
        <v>0.5885063822</v>
      </c>
      <c r="K1853" s="1">
        <f>value(CNY!$B1853)</f>
        <v>2175.2458</v>
      </c>
      <c r="L1853" s="1">
        <f>value(HKD!$B1853)</f>
        <v>1719.3034</v>
      </c>
      <c r="M1853" s="1">
        <f>value(TWD!$B1853)</f>
        <v>427.3691</v>
      </c>
      <c r="N1853" s="1">
        <f>value(JPY!$B1853)</f>
        <v>107.897019</v>
      </c>
      <c r="O1853" s="1">
        <f>value(SAR!$B1853)</f>
        <v>3660.151558</v>
      </c>
      <c r="P1853" s="1">
        <f>value(AED!$B1853)</f>
        <v>3674.43</v>
      </c>
      <c r="Q1853" s="1">
        <f>value(KWD!$B1853)</f>
        <v>44958.98022</v>
      </c>
    </row>
    <row r="1854">
      <c r="A1854" s="4">
        <f>value(USD!A1854)</f>
        <v>42171.99861</v>
      </c>
      <c r="B1854" s="1">
        <f>value(USD!B1854)</f>
        <v>13340</v>
      </c>
      <c r="C1854" s="1">
        <f>value(AUD!$B1854)</f>
        <v>9943.8945</v>
      </c>
      <c r="D1854" s="1">
        <f>value(EUR!$B1854)</f>
        <v>15110.4642</v>
      </c>
      <c r="E1854" s="1">
        <f>value(GBP!$B1854)</f>
        <v>21097.875</v>
      </c>
      <c r="F1854" s="1">
        <f>value(CHF!$B1854)</f>
        <v>14073.865</v>
      </c>
      <c r="G1854" s="1">
        <f>value(SGD!$B1854)</f>
        <v>9955.1403</v>
      </c>
      <c r="H1854" s="1">
        <f>value(MYR!$B1854)</f>
        <v>3579.7944</v>
      </c>
      <c r="I1854" s="1">
        <f>value(THB!$B1854)</f>
        <v>394.9788</v>
      </c>
      <c r="J1854" s="1">
        <f>value(VND!$B1854)</f>
        <v>0.5891059744</v>
      </c>
      <c r="K1854" s="1">
        <f>value(CNY!$B1854)</f>
        <v>2194.64</v>
      </c>
      <c r="L1854" s="1">
        <f>value(HKD!$B1854)</f>
        <v>1714.1442</v>
      </c>
      <c r="M1854" s="1">
        <f>value(TWD!$B1854)</f>
        <v>427.7325</v>
      </c>
      <c r="N1854" s="1">
        <f>value(JPY!$B1854)</f>
        <v>108.0477</v>
      </c>
      <c r="O1854" s="1">
        <f>value(SAR!$B1854)</f>
        <v>3663.160012</v>
      </c>
      <c r="P1854" s="1">
        <f>value(AED!$B1854)</f>
        <v>3651.2947</v>
      </c>
      <c r="Q1854" s="1">
        <f>value(KWD!$B1854)</f>
        <v>45309.85916</v>
      </c>
    </row>
    <row r="1855">
      <c r="A1855" s="4">
        <f>value(USD!A1855)</f>
        <v>42172.99861</v>
      </c>
      <c r="B1855" s="1">
        <f>value(USD!B1855)</f>
        <v>13330</v>
      </c>
      <c r="C1855" s="1">
        <f>value(AUD!$B1855)</f>
        <v>10142.4355</v>
      </c>
      <c r="D1855" s="1">
        <f>value(EUR!$B1855)</f>
        <v>15112.174</v>
      </c>
      <c r="E1855" s="1">
        <f>value(GBP!$B1855)</f>
        <v>21138.942</v>
      </c>
      <c r="F1855" s="1">
        <f>value(CHF!$B1855)</f>
        <v>14097.762</v>
      </c>
      <c r="G1855" s="1">
        <f>value(SGD!$B1855)</f>
        <v>9976.2443</v>
      </c>
      <c r="H1855" s="1">
        <f>value(MYR!$B1855)</f>
        <v>3557.8961</v>
      </c>
      <c r="I1855" s="1">
        <f>value(THB!$B1855)</f>
        <v>395.4401</v>
      </c>
      <c r="J1855" s="1">
        <f>value(VND!$B1855)</f>
        <v>0.5939863252</v>
      </c>
      <c r="K1855" s="1">
        <f>value(CNY!$B1855)</f>
        <v>2197.23504</v>
      </c>
      <c r="L1855" s="1">
        <f>value(HKD!$B1855)</f>
        <v>1716.99</v>
      </c>
      <c r="M1855" s="1">
        <f>value(TWD!$B1855)</f>
        <v>430.78</v>
      </c>
      <c r="N1855" s="1">
        <f>value(JPY!$B1855)</f>
        <v>108.4765</v>
      </c>
      <c r="O1855" s="1">
        <f>value(SAR!$B1855)</f>
        <v>3658.76437</v>
      </c>
      <c r="P1855" s="1">
        <f>value(AED!$B1855)</f>
        <v>3654.56086</v>
      </c>
      <c r="Q1855" s="1">
        <f>value(KWD!$B1855)</f>
        <v>44803.3428</v>
      </c>
    </row>
    <row r="1856">
      <c r="A1856" s="4">
        <f>value(USD!A1856)</f>
        <v>42173.99861</v>
      </c>
      <c r="B1856" s="1">
        <f>value(USD!B1856)</f>
        <v>13290</v>
      </c>
      <c r="C1856" s="1">
        <f>value(AUD!$B1856)</f>
        <v>10082.5775</v>
      </c>
      <c r="D1856" s="1">
        <f>value(EUR!$B1856)</f>
        <v>15092.31618</v>
      </c>
      <c r="E1856" s="1">
        <f>value(GBP!$B1856)</f>
        <v>21051.7452</v>
      </c>
      <c r="F1856" s="1">
        <f>value(CHF!$B1856)</f>
        <v>14029.3438</v>
      </c>
      <c r="G1856" s="1">
        <f>value(SGD!$B1856)</f>
        <v>9955.8819</v>
      </c>
      <c r="H1856" s="1">
        <f>value(MYR!$B1856)</f>
        <v>3556.68876</v>
      </c>
      <c r="I1856" s="1">
        <f>value(THB!$B1856)</f>
        <v>394.67034</v>
      </c>
      <c r="J1856" s="1">
        <f>value(VND!$B1856)</f>
        <v>0.5986605848</v>
      </c>
      <c r="K1856" s="1">
        <f>value(CNY!$B1856)</f>
        <v>2210.065</v>
      </c>
      <c r="L1856" s="1">
        <f>value(HKD!$B1856)</f>
        <v>1715.958</v>
      </c>
      <c r="M1856" s="1">
        <f>value(TWD!$B1856)</f>
        <v>428.0328</v>
      </c>
      <c r="N1856" s="1">
        <f>value(JPY!$B1856)</f>
        <v>107.7462</v>
      </c>
      <c r="O1856" s="1">
        <f>value(SAR!$B1856)</f>
        <v>3645.124143</v>
      </c>
      <c r="P1856" s="1">
        <f>value(AED!$B1856)</f>
        <v>3683.082602</v>
      </c>
      <c r="Q1856" s="1">
        <f>value(KWD!$B1856)</f>
        <v>44887.0248</v>
      </c>
    </row>
    <row r="1857">
      <c r="A1857" s="4">
        <f>value(USD!A1857)</f>
        <v>42174.99861</v>
      </c>
      <c r="B1857" s="1">
        <f>value(USD!B1857)</f>
        <v>13310</v>
      </c>
      <c r="C1857" s="1">
        <f>value(AUD!$B1857)</f>
        <v>10109.6008</v>
      </c>
      <c r="D1857" s="1">
        <f>value(EUR!$B1857)</f>
        <v>14802.9</v>
      </c>
      <c r="E1857" s="1">
        <f>value(GBP!$B1857)</f>
        <v>20850.2</v>
      </c>
      <c r="F1857" s="1">
        <f>value(CHF!$B1857)</f>
        <v>14119.8252</v>
      </c>
      <c r="G1857" s="1">
        <f>value(SGD!$B1857)</f>
        <v>9881.4525</v>
      </c>
      <c r="H1857" s="1">
        <f>value(MYR!$B1857)</f>
        <v>3536.69</v>
      </c>
      <c r="I1857" s="1">
        <f>value(THB!$B1857)</f>
        <v>392.0675</v>
      </c>
      <c r="J1857" s="1">
        <f>value(VND!$B1857)</f>
        <v>0.6007564683</v>
      </c>
      <c r="K1857" s="1">
        <f>value(CNY!$B1857)</f>
        <v>2213.5497</v>
      </c>
      <c r="L1857" s="1">
        <f>value(HKD!$B1857)</f>
        <v>1708.8525</v>
      </c>
      <c r="M1857" s="1">
        <f>value(TWD!$B1857)</f>
        <v>428.806</v>
      </c>
      <c r="N1857" s="1">
        <f>value(JPY!$B1857)</f>
        <v>106.95665</v>
      </c>
      <c r="O1857" s="1">
        <f>value(SAR!$B1857)</f>
        <v>3616.259815</v>
      </c>
      <c r="P1857" s="1">
        <f>value(AED!$B1857)</f>
        <v>3643.1293</v>
      </c>
      <c r="Q1857" s="1">
        <f>value(KWD!$B1857)</f>
        <v>44803.3428</v>
      </c>
    </row>
    <row r="1858">
      <c r="A1858" s="4">
        <f>value(USD!A1858)</f>
        <v>42177.99861</v>
      </c>
      <c r="B1858" s="1">
        <f>value(USD!B1858)</f>
        <v>13302</v>
      </c>
      <c r="C1858" s="1">
        <f>value(AUD!$B1858)</f>
        <v>10191.327</v>
      </c>
      <c r="D1858" s="1">
        <f>value(EUR!$B1858)</f>
        <v>14888.787</v>
      </c>
      <c r="E1858" s="1">
        <f>value(GBP!$B1858)</f>
        <v>20871.945</v>
      </c>
      <c r="F1858" s="1">
        <f>value(CHF!$B1858)</f>
        <v>13969.232</v>
      </c>
      <c r="G1858" s="1">
        <f>value(SGD!$B1858)</f>
        <v>9893.076</v>
      </c>
      <c r="H1858" s="1">
        <f>value(MYR!$B1858)</f>
        <v>3539.2599</v>
      </c>
      <c r="I1858" s="1">
        <f>value(THB!$B1858)</f>
        <v>392.9853</v>
      </c>
      <c r="J1858" s="1">
        <f>value(VND!$B1858)</f>
        <v>0.5971557377</v>
      </c>
      <c r="K1858" s="1">
        <f>value(CNY!$B1858)</f>
        <v>2232.087</v>
      </c>
      <c r="L1858" s="1">
        <f>value(HKD!$B1858)</f>
        <v>1714.1442</v>
      </c>
      <c r="M1858" s="1">
        <f>value(TWD!$B1858)</f>
        <v>417.4492</v>
      </c>
      <c r="N1858" s="1">
        <f>value(JPY!$B1858)</f>
        <v>107.287512</v>
      </c>
      <c r="O1858" s="1">
        <f>value(SAR!$B1858)</f>
        <v>3648.670195</v>
      </c>
      <c r="P1858" s="1">
        <f>value(AED!$B1858)</f>
        <v>3649.9338</v>
      </c>
      <c r="Q1858" s="1">
        <f>value(KWD!$B1858)</f>
        <v>44771.13438</v>
      </c>
    </row>
    <row r="1859">
      <c r="A1859" s="4">
        <f>value(USD!A1859)</f>
        <v>42178.99861</v>
      </c>
      <c r="B1859" s="1">
        <f>value(USD!B1859)</f>
        <v>13250</v>
      </c>
      <c r="C1859" s="1">
        <f>value(AUD!$B1859)</f>
        <v>10145.6036</v>
      </c>
      <c r="D1859" s="1">
        <f>value(EUR!$B1859)</f>
        <v>14900.6903</v>
      </c>
      <c r="E1859" s="1">
        <f>value(GBP!$B1859)</f>
        <v>20943.71108</v>
      </c>
      <c r="F1859" s="1">
        <f>value(CHF!$B1859)</f>
        <v>14078.0205</v>
      </c>
      <c r="G1859" s="1">
        <f>value(SGD!$B1859)</f>
        <v>9902.7532</v>
      </c>
      <c r="H1859" s="1">
        <f>value(MYR!$B1859)</f>
        <v>3536.86861</v>
      </c>
      <c r="I1859" s="1">
        <f>value(THB!$B1859)</f>
        <v>393.63577</v>
      </c>
      <c r="J1859" s="1">
        <f>value(VND!$B1859)</f>
        <v>0.599945512</v>
      </c>
      <c r="K1859" s="1">
        <f>value(CNY!$B1859)</f>
        <v>2241.746</v>
      </c>
      <c r="L1859" s="1">
        <f>value(HKD!$B1859)</f>
        <v>1715.95397</v>
      </c>
      <c r="M1859" s="1">
        <f>value(TWD!$B1859)</f>
        <v>432.2274</v>
      </c>
      <c r="N1859" s="1">
        <f>value(JPY!$B1859)</f>
        <v>107.6159488</v>
      </c>
      <c r="O1859" s="1">
        <f>value(SAR!$B1859)</f>
        <v>3629.967124</v>
      </c>
      <c r="P1859" s="1">
        <f>value(AED!$B1859)</f>
        <v>3643.1293</v>
      </c>
      <c r="Q1859" s="1">
        <f>value(KWD!$B1859)</f>
        <v>44739.55087</v>
      </c>
    </row>
    <row r="1860">
      <c r="A1860" s="4">
        <f>value(USD!A1860)</f>
        <v>42179.99861</v>
      </c>
      <c r="B1860" s="1">
        <f>value(USD!B1860)</f>
        <v>13290</v>
      </c>
      <c r="C1860" s="1">
        <f>value(AUD!$B1860)</f>
        <v>10107.5296</v>
      </c>
      <c r="D1860" s="1">
        <f>value(EUR!$B1860)</f>
        <v>14875.3452</v>
      </c>
      <c r="E1860" s="1">
        <f>value(GBP!$B1860)</f>
        <v>20982.15</v>
      </c>
      <c r="F1860" s="1">
        <f>value(CHF!$B1860)</f>
        <v>14002.2324</v>
      </c>
      <c r="G1860" s="1">
        <f>value(SGD!$B1860)</f>
        <v>9871.06912</v>
      </c>
      <c r="H1860" s="1">
        <f>value(MYR!$B1860)</f>
        <v>3509.94734</v>
      </c>
      <c r="I1860" s="1">
        <f>value(THB!$B1860)</f>
        <v>393.93154</v>
      </c>
      <c r="J1860" s="1">
        <f>value(VND!$B1860)</f>
        <v>0.602293921</v>
      </c>
      <c r="K1860" s="1">
        <f>value(CNY!$B1860)</f>
        <v>2223.4032</v>
      </c>
      <c r="L1860" s="1">
        <f>value(HKD!$B1860)</f>
        <v>1718.27156</v>
      </c>
      <c r="M1860" s="1">
        <f>value(TWD!$B1860)</f>
        <v>433.389</v>
      </c>
      <c r="N1860" s="1">
        <f>value(JPY!$B1860)</f>
        <v>107.50854</v>
      </c>
      <c r="O1860" s="1">
        <f>value(SAR!$B1860)</f>
        <v>3623.130421</v>
      </c>
      <c r="P1860" s="1">
        <f>value(AED!$B1860)</f>
        <v>3655.2431</v>
      </c>
      <c r="Q1860" s="1">
        <f>value(KWD!$B1860)</f>
        <v>44387.23657</v>
      </c>
    </row>
    <row r="1861">
      <c r="A1861" s="4">
        <f>value(USD!A1861)</f>
        <v>42180.99861</v>
      </c>
      <c r="B1861" s="1">
        <f>value(USD!B1861)</f>
        <v>13303</v>
      </c>
      <c r="C1861" s="1">
        <f>value(AUD!$B1861)</f>
        <v>10184.6475</v>
      </c>
      <c r="D1861" s="1">
        <f>value(EUR!$B1861)</f>
        <v>14941.9552</v>
      </c>
      <c r="E1861" s="1">
        <f>value(GBP!$B1861)</f>
        <v>20948.845</v>
      </c>
      <c r="F1861" s="1">
        <f>value(CHF!$B1861)</f>
        <v>13922.8964</v>
      </c>
      <c r="G1861" s="1">
        <f>value(SGD!$B1861)</f>
        <v>9886.52264</v>
      </c>
      <c r="H1861" s="1">
        <f>value(MYR!$B1861)</f>
        <v>3531.39576</v>
      </c>
      <c r="I1861" s="1">
        <f>value(THB!$B1861)</f>
        <v>394.3312</v>
      </c>
      <c r="J1861" s="1">
        <f>value(VND!$B1861)</f>
        <v>0.5913785286</v>
      </c>
      <c r="K1861" s="1">
        <f>value(CNY!$B1861)</f>
        <v>2233.9725</v>
      </c>
      <c r="L1861" s="1">
        <f>value(HKD!$B1861)</f>
        <v>1718.27156</v>
      </c>
      <c r="M1861" s="1">
        <f>value(TWD!$B1861)</f>
        <v>435.9864</v>
      </c>
      <c r="N1861" s="1">
        <f>value(JPY!$B1861)</f>
        <v>108.5743</v>
      </c>
      <c r="O1861" s="1">
        <f>value(SAR!$B1861)</f>
        <v>3664.914445</v>
      </c>
      <c r="P1861" s="1">
        <f>value(AED!$B1861)</f>
        <v>3654.0165</v>
      </c>
      <c r="Q1861" s="1">
        <f>value(KWD!$B1861)</f>
        <v>44101.8682</v>
      </c>
    </row>
    <row r="1862">
      <c r="A1862" s="4">
        <f>value(USD!A1862)</f>
        <v>42181.99861</v>
      </c>
      <c r="B1862" s="1">
        <f>value(USD!B1862)</f>
        <v>13322</v>
      </c>
      <c r="C1862" s="1">
        <f>value(AUD!$B1862)</f>
        <v>10099.3176</v>
      </c>
      <c r="D1862" s="1">
        <f>value(EUR!$B1862)</f>
        <v>14853.6486</v>
      </c>
      <c r="E1862" s="1">
        <f>value(GBP!$B1862)</f>
        <v>20925.5928</v>
      </c>
      <c r="F1862" s="1">
        <f>value(CHF!$B1862)</f>
        <v>13873.32</v>
      </c>
      <c r="G1862" s="1">
        <f>value(SGD!$B1862)</f>
        <v>9897.62928</v>
      </c>
      <c r="H1862" s="1">
        <f>value(MYR!$B1862)</f>
        <v>3553.6417</v>
      </c>
      <c r="I1862" s="1">
        <f>value(THB!$B1862)</f>
        <v>393.85584</v>
      </c>
      <c r="J1862" s="1">
        <f>value(VND!$B1862)</f>
        <v>0.596228102</v>
      </c>
      <c r="K1862" s="1">
        <f>value(CNY!$B1862)</f>
        <v>2233.04445</v>
      </c>
      <c r="L1862" s="1">
        <f>value(HKD!$B1862)</f>
        <v>1720.98458</v>
      </c>
      <c r="M1862" s="1">
        <f>value(TWD!$B1862)</f>
        <v>434.7675</v>
      </c>
      <c r="N1862" s="1">
        <f>value(JPY!$B1862)</f>
        <v>108.9894638</v>
      </c>
      <c r="O1862" s="1">
        <f>value(SAR!$B1862)</f>
        <v>3636.702942</v>
      </c>
      <c r="P1862" s="1">
        <f>value(AED!$B1862)</f>
        <v>3638.62125</v>
      </c>
      <c r="Q1862" s="1">
        <f>value(KWD!$B1862)</f>
        <v>44119.20974</v>
      </c>
    </row>
    <row r="1863">
      <c r="A1863" s="4">
        <f>value(USD!A1863)</f>
        <v>42184.99861</v>
      </c>
      <c r="B1863" s="1">
        <f>value(USD!B1863)</f>
        <v>13322</v>
      </c>
      <c r="C1863" s="1">
        <f>value(AUD!$B1863)</f>
        <v>9977.055</v>
      </c>
      <c r="D1863" s="1">
        <f>value(EUR!$B1863)</f>
        <v>14699.7425</v>
      </c>
      <c r="E1863" s="1">
        <f>value(GBP!$B1863)</f>
        <v>20780.0754</v>
      </c>
      <c r="F1863" s="1">
        <f>value(CHF!$B1863)</f>
        <v>13844.252</v>
      </c>
      <c r="G1863" s="1">
        <f>value(SGD!$B1863)</f>
        <v>9841.46928</v>
      </c>
      <c r="H1863" s="1">
        <f>value(MYR!$B1863)</f>
        <v>3533.53176</v>
      </c>
      <c r="I1863" s="1">
        <f>value(THB!$B1863)</f>
        <v>393.01418</v>
      </c>
      <c r="J1863" s="1">
        <f>value(VND!$B1863)</f>
        <v>0.6009209856</v>
      </c>
      <c r="K1863" s="1">
        <f>value(CNY!$B1863)</f>
        <v>2239.5338</v>
      </c>
      <c r="L1863" s="1">
        <f>value(HKD!$B1863)</f>
        <v>1717.88882</v>
      </c>
      <c r="M1863" s="1">
        <f>value(TWD!$B1863)</f>
        <v>440.1462</v>
      </c>
      <c r="N1863" s="1">
        <f>value(JPY!$B1863)</f>
        <v>107.9796804</v>
      </c>
      <c r="O1863" s="1">
        <f>value(SAR!$B1863)</f>
        <v>3702.923183</v>
      </c>
      <c r="P1863" s="1">
        <f>value(AED!$B1863)</f>
        <v>3605.29628</v>
      </c>
      <c r="Q1863" s="1">
        <f>value(KWD!$B1863)</f>
        <v>43748.94672</v>
      </c>
    </row>
    <row r="1864">
      <c r="A1864" s="4">
        <f>value(USD!A1864)</f>
        <v>42185.99861</v>
      </c>
      <c r="B1864" s="1">
        <f>value(USD!B1864)</f>
        <v>13342</v>
      </c>
      <c r="C1864" s="1">
        <f>value(AUD!$B1864)</f>
        <v>9802.14</v>
      </c>
      <c r="D1864" s="1">
        <f>value(EUR!$B1864)</f>
        <v>14698.71</v>
      </c>
      <c r="E1864" s="1">
        <f>value(GBP!$B1864)</f>
        <v>20693.556</v>
      </c>
      <c r="F1864" s="1">
        <f>value(CHF!$B1864)</f>
        <v>13915.0725</v>
      </c>
      <c r="G1864" s="1">
        <f>value(SGD!$B1864)</f>
        <v>9828.7098</v>
      </c>
      <c r="H1864" s="1">
        <f>value(MYR!$B1864)</f>
        <v>3526.6296</v>
      </c>
      <c r="I1864" s="1">
        <f>value(THB!$B1864)</f>
        <v>392.0982</v>
      </c>
      <c r="J1864" s="1">
        <f>value(VND!$B1864)</f>
        <v>0.6040421515</v>
      </c>
      <c r="K1864" s="1">
        <f>value(CNY!$B1864)</f>
        <v>2246.8131</v>
      </c>
      <c r="L1864" s="1">
        <f>value(HKD!$B1864)</f>
        <v>1710.4074</v>
      </c>
      <c r="M1864" s="1">
        <f>value(TWD!$B1864)</f>
        <v>436.2339</v>
      </c>
      <c r="N1864" s="1">
        <f>value(JPY!$B1864)</f>
        <v>107.734848</v>
      </c>
      <c r="O1864" s="1">
        <f>value(SAR!$B1864)</f>
        <v>3688.776079</v>
      </c>
      <c r="P1864" s="1">
        <f>value(AED!$B1864)</f>
        <v>3606.11282</v>
      </c>
      <c r="Q1864" s="1">
        <f>value(KWD!$B1864)</f>
        <v>43442.59556</v>
      </c>
    </row>
    <row r="1865">
      <c r="A1865" s="4">
        <f>value(USD!A1865)</f>
        <v>42186.99861</v>
      </c>
      <c r="B1865" s="1">
        <f>value(USD!B1865)</f>
        <v>13318</v>
      </c>
      <c r="C1865" s="1">
        <f>value(AUD!$B1865)</f>
        <v>9943.4288</v>
      </c>
      <c r="D1865" s="1">
        <f>value(EUR!$B1865)</f>
        <v>14826.3428</v>
      </c>
      <c r="E1865" s="1">
        <f>value(GBP!$B1865)</f>
        <v>20769.046</v>
      </c>
      <c r="F1865" s="1">
        <f>value(CHF!$B1865)</f>
        <v>13957.44</v>
      </c>
      <c r="G1865" s="1">
        <f>value(SGD!$B1865)</f>
        <v>9907.3512</v>
      </c>
      <c r="H1865" s="1">
        <f>value(MYR!$B1865)</f>
        <v>3533.766</v>
      </c>
      <c r="I1865" s="1">
        <f>value(THB!$B1865)</f>
        <v>394.9974</v>
      </c>
      <c r="J1865" s="1">
        <f>value(VND!$B1865)</f>
        <v>0.5998905754</v>
      </c>
      <c r="K1865" s="1">
        <f>value(CNY!$B1865)</f>
        <v>2260.08</v>
      </c>
      <c r="L1865" s="1">
        <f>value(HKD!$B1865)</f>
        <v>1720.4598</v>
      </c>
      <c r="M1865" s="1">
        <f>value(TWD!$B1865)</f>
        <v>440.0325</v>
      </c>
      <c r="N1865" s="1">
        <f>value(JPY!$B1865)</f>
        <v>108.5876</v>
      </c>
      <c r="O1865" s="1">
        <f>value(SAR!$B1865)</f>
        <v>3680.296304</v>
      </c>
      <c r="P1865" s="1">
        <f>value(AED!$B1865)</f>
        <v>3576.4452</v>
      </c>
      <c r="Q1865" s="1">
        <f>value(KWD!$B1865)</f>
        <v>43297.241</v>
      </c>
    </row>
    <row r="1866">
      <c r="A1866" s="4">
        <f>value(USD!A1866)</f>
        <v>42187.99861</v>
      </c>
      <c r="B1866" s="1">
        <f>value(USD!B1866)</f>
        <v>13260</v>
      </c>
      <c r="C1866" s="1">
        <f>value(AUD!$B1866)</f>
        <v>9892.3945</v>
      </c>
      <c r="D1866" s="1">
        <f>value(EUR!$B1866)</f>
        <v>14736.9648</v>
      </c>
      <c r="E1866" s="1">
        <f>value(GBP!$B1866)</f>
        <v>20807.4652</v>
      </c>
      <c r="F1866" s="1">
        <f>value(CHF!$B1866)</f>
        <v>13994.06</v>
      </c>
      <c r="G1866" s="1">
        <f>value(SGD!$B1866)</f>
        <v>9878.27</v>
      </c>
      <c r="H1866" s="1">
        <f>value(MYR!$B1866)</f>
        <v>3474.8032</v>
      </c>
      <c r="I1866" s="1">
        <f>value(THB!$B1866)</f>
        <v>393.6634</v>
      </c>
      <c r="J1866" s="1">
        <f>value(VND!$B1866)</f>
        <v>0.5980409949</v>
      </c>
      <c r="K1866" s="1">
        <f>value(CNY!$B1866)</f>
        <v>2256.32638</v>
      </c>
      <c r="L1866" s="1">
        <f>value(HKD!$B1866)</f>
        <v>1720.4598</v>
      </c>
      <c r="M1866" s="1">
        <f>value(TWD!$B1866)</f>
        <v>443.088</v>
      </c>
      <c r="N1866" s="1">
        <f>value(JPY!$B1866)</f>
        <v>108.778362</v>
      </c>
      <c r="O1866" s="1">
        <f>value(SAR!$B1866)</f>
        <v>3654.826282</v>
      </c>
      <c r="P1866" s="1">
        <f>value(AED!$B1866)</f>
        <v>3545.96104</v>
      </c>
      <c r="Q1866" s="1">
        <f>value(KWD!$B1866)</f>
        <v>43911.77654</v>
      </c>
    </row>
    <row r="1867">
      <c r="A1867" s="4">
        <f>value(USD!A1867)</f>
        <v>42188.99861</v>
      </c>
      <c r="B1867" s="1">
        <f>value(USD!B1867)</f>
        <v>13340</v>
      </c>
      <c r="C1867" s="1">
        <f>value(AUD!$B1867)</f>
        <v>9957.4735</v>
      </c>
      <c r="D1867" s="1">
        <f>value(EUR!$B1867)</f>
        <v>14668.16</v>
      </c>
      <c r="E1867" s="1">
        <f>value(GBP!$B1867)</f>
        <v>20600.45</v>
      </c>
      <c r="F1867" s="1">
        <f>value(CHF!$B1867)</f>
        <v>13921.538</v>
      </c>
      <c r="G1867" s="1">
        <f>value(SGD!$B1867)</f>
        <v>9834.78275</v>
      </c>
      <c r="H1867" s="1">
        <f>value(MYR!$B1867)</f>
        <v>3480.2235</v>
      </c>
      <c r="I1867" s="1">
        <f>value(THB!$B1867)</f>
        <v>392.0215</v>
      </c>
      <c r="J1867" s="1">
        <f>value(VND!$B1867)</f>
        <v>0.5989061021</v>
      </c>
      <c r="K1867" s="1">
        <f>value(CNY!$B1867)</f>
        <v>2235.3165</v>
      </c>
      <c r="L1867" s="1">
        <f>value(HKD!$B1867)</f>
        <v>1717.99225</v>
      </c>
      <c r="M1867" s="1">
        <f>value(TWD!$B1867)</f>
        <v>438.78604</v>
      </c>
      <c r="N1867" s="1">
        <f>value(JPY!$B1867)</f>
        <v>108.7546525</v>
      </c>
      <c r="O1867" s="1">
        <f>value(SAR!$B1867)</f>
        <v>3668.50645</v>
      </c>
      <c r="P1867" s="1">
        <f>value(AED!$B1867)</f>
        <v>3538.34</v>
      </c>
      <c r="Q1867" s="1">
        <f>value(KWD!$B1867)</f>
        <v>43641.9295</v>
      </c>
    </row>
    <row r="1868">
      <c r="A1868" s="4">
        <f>value(USD!A1868)</f>
        <v>42191.99861</v>
      </c>
      <c r="B1868" s="1">
        <f>value(USD!B1868)</f>
        <v>13340</v>
      </c>
      <c r="C1868" s="1">
        <f>value(AUD!$B1868)</f>
        <v>9949.8</v>
      </c>
      <c r="D1868" s="1">
        <f>value(EUR!$B1868)</f>
        <v>14759.178</v>
      </c>
      <c r="E1868" s="1">
        <f>value(GBP!$B1868)</f>
        <v>20491.8945</v>
      </c>
      <c r="F1868" s="1">
        <f>value(CHF!$B1868)</f>
        <v>13991.4815</v>
      </c>
      <c r="G1868" s="1">
        <f>value(SGD!$B1868)</f>
        <v>9868.03335</v>
      </c>
      <c r="H1868" s="1">
        <f>value(MYR!$B1868)</f>
        <v>3509.2386</v>
      </c>
      <c r="I1868" s="1">
        <f>value(THB!$B1868)</f>
        <v>392.18235</v>
      </c>
      <c r="J1868" s="1">
        <f>value(VND!$B1868)</f>
        <v>0.6019045879</v>
      </c>
      <c r="K1868" s="1">
        <f>value(CNY!$B1868)</f>
        <v>2262.99936</v>
      </c>
      <c r="L1868" s="1">
        <f>value(HKD!$B1868)</f>
        <v>1719.9483</v>
      </c>
      <c r="M1868" s="1">
        <f>value(TWD!$B1868)</f>
        <v>435.5695</v>
      </c>
      <c r="N1868" s="1">
        <f>value(JPY!$B1868)</f>
        <v>110.325789</v>
      </c>
      <c r="O1868" s="1">
        <f>value(SAR!$B1868)</f>
        <v>3700.54152</v>
      </c>
      <c r="P1868" s="1">
        <f>value(AED!$B1868)</f>
        <v>3587.73639</v>
      </c>
      <c r="Q1868" s="1">
        <f>value(KWD!$B1868)</f>
        <v>43741.87285</v>
      </c>
    </row>
    <row r="1869">
      <c r="A1869" s="4">
        <f>value(USD!A1869)</f>
        <v>42192.99861</v>
      </c>
      <c r="B1869" s="1">
        <f>value(USD!B1869)</f>
        <v>13325</v>
      </c>
      <c r="C1869" s="1">
        <f>value(AUD!$B1869)</f>
        <v>9802.51064</v>
      </c>
      <c r="D1869" s="1">
        <f>value(EUR!$B1869)</f>
        <v>14712.45285</v>
      </c>
      <c r="E1869" s="1">
        <f>value(GBP!$B1869)</f>
        <v>20446.97706</v>
      </c>
      <c r="F1869" s="1">
        <f>value(CHF!$B1869)</f>
        <v>13816.284</v>
      </c>
      <c r="G1869" s="1">
        <f>value(SGD!$B1869)</f>
        <v>9852.60089</v>
      </c>
      <c r="H1869" s="1">
        <f>value(MYR!$B1869)</f>
        <v>3510.52867</v>
      </c>
      <c r="I1869" s="1">
        <f>value(THB!$B1869)</f>
        <v>391.50729</v>
      </c>
      <c r="J1869" s="1">
        <f>value(VND!$B1869)</f>
        <v>0.6026168793</v>
      </c>
      <c r="K1869" s="1">
        <f>value(CNY!$B1869)</f>
        <v>2271.6453</v>
      </c>
      <c r="L1869" s="1">
        <f>value(HKD!$B1869)</f>
        <v>1715.95397</v>
      </c>
      <c r="M1869" s="1">
        <f>value(TWD!$B1869)</f>
        <v>440.87583</v>
      </c>
      <c r="N1869" s="1">
        <f>value(JPY!$B1869)</f>
        <v>109.2947874</v>
      </c>
      <c r="O1869" s="1">
        <f>value(SAR!$B1869)</f>
        <v>3731.912961</v>
      </c>
      <c r="P1869" s="1">
        <f>value(AED!$B1869)</f>
        <v>3565.558</v>
      </c>
      <c r="Q1869" s="1">
        <f>value(KWD!$B1869)</f>
        <v>43054.34589</v>
      </c>
    </row>
    <row r="1870">
      <c r="A1870" s="4">
        <f>value(USD!A1870)</f>
        <v>42193.99861</v>
      </c>
      <c r="B1870" s="1">
        <f>value(USD!B1870)</f>
        <v>13335</v>
      </c>
      <c r="C1870" s="1">
        <f>value(AUD!$B1870)</f>
        <v>9894.01</v>
      </c>
      <c r="D1870" s="1">
        <f>value(EUR!$B1870)</f>
        <v>14801.25216</v>
      </c>
      <c r="E1870" s="1">
        <f>value(GBP!$B1870)</f>
        <v>20612.7672</v>
      </c>
      <c r="F1870" s="1">
        <f>value(CHF!$B1870)</f>
        <v>13909.564</v>
      </c>
      <c r="G1870" s="1">
        <f>value(SGD!$B1870)</f>
        <v>9824.79054</v>
      </c>
      <c r="H1870" s="1">
        <f>value(MYR!$B1870)</f>
        <v>3498.753</v>
      </c>
      <c r="I1870" s="1">
        <f>value(THB!$B1870)</f>
        <v>390.90432</v>
      </c>
      <c r="J1870" s="1">
        <f>value(VND!$B1870)</f>
        <v>0.600200489</v>
      </c>
      <c r="K1870" s="1">
        <f>value(CNY!$B1870)</f>
        <v>2287.76625</v>
      </c>
      <c r="L1870" s="1">
        <f>value(HKD!$B1870)</f>
        <v>1712.72922</v>
      </c>
      <c r="M1870" s="1">
        <f>value(TWD!$B1870)</f>
        <v>439.3092</v>
      </c>
      <c r="N1870" s="1">
        <f>value(JPY!$B1870)</f>
        <v>108.2157</v>
      </c>
      <c r="O1870" s="1">
        <f>value(SAR!$B1870)</f>
        <v>3715.071076</v>
      </c>
      <c r="P1870" s="1">
        <f>value(AED!$B1870)</f>
        <v>3573.8547</v>
      </c>
      <c r="Q1870" s="1">
        <f>value(KWD!$B1870)</f>
        <v>43242.1561</v>
      </c>
    </row>
    <row r="1871">
      <c r="A1871" s="4">
        <f>value(USD!A1871)</f>
        <v>42194.99861</v>
      </c>
      <c r="B1871" s="1">
        <f>value(USD!B1871)</f>
        <v>13303</v>
      </c>
      <c r="C1871" s="1">
        <f>value(AUD!$B1871)</f>
        <v>9868.004</v>
      </c>
      <c r="D1871" s="1">
        <f>value(EUR!$B1871)</f>
        <v>14592.5952</v>
      </c>
      <c r="E1871" s="1">
        <f>value(GBP!$B1871)</f>
        <v>20557.44</v>
      </c>
      <c r="F1871" s="1">
        <f>value(CHF!$B1871)</f>
        <v>13929.1408</v>
      </c>
      <c r="G1871" s="1">
        <f>value(SGD!$B1871)</f>
        <v>9774.08</v>
      </c>
      <c r="H1871" s="1">
        <f>value(MYR!$B1871)</f>
        <v>3483.344</v>
      </c>
      <c r="I1871" s="1">
        <f>value(THB!$B1871)</f>
        <v>389.5024</v>
      </c>
      <c r="J1871" s="1">
        <f>value(VND!$B1871)</f>
        <v>0.5975759781</v>
      </c>
      <c r="K1871" s="1">
        <f>value(CNY!$B1871)</f>
        <v>2293.0632</v>
      </c>
      <c r="L1871" s="1">
        <f>value(HKD!$B1871)</f>
        <v>1712.9872</v>
      </c>
      <c r="M1871" s="1">
        <f>value(TWD!$B1871)</f>
        <v>443.25015</v>
      </c>
      <c r="N1871" s="1">
        <f>value(JPY!$B1871)</f>
        <v>107.4352</v>
      </c>
      <c r="O1871" s="1">
        <f>value(SAR!$B1871)</f>
        <v>3715.909644</v>
      </c>
      <c r="P1871" s="1">
        <f>value(AED!$B1871)</f>
        <v>3522.82574</v>
      </c>
      <c r="Q1871" s="1">
        <f>value(KWD!$B1871)</f>
        <v>43718.55273</v>
      </c>
    </row>
    <row r="1872">
      <c r="A1872" s="4">
        <f>value(USD!A1872)</f>
        <v>42195.99861</v>
      </c>
      <c r="B1872" s="1">
        <f>value(USD!B1872)</f>
        <v>13278</v>
      </c>
      <c r="C1872" s="1">
        <f>value(AUD!$B1872)</f>
        <v>9797.4855</v>
      </c>
      <c r="D1872" s="1">
        <f>value(EUR!$B1872)</f>
        <v>14643.483</v>
      </c>
      <c r="E1872" s="1">
        <f>value(GBP!$B1872)</f>
        <v>20799.7065</v>
      </c>
      <c r="F1872" s="1">
        <f>value(CHF!$B1872)</f>
        <v>13863.9975</v>
      </c>
      <c r="G1872" s="1">
        <f>value(SGD!$B1872)</f>
        <v>9775.4496</v>
      </c>
      <c r="H1872" s="1">
        <f>value(MYR!$B1872)</f>
        <v>3494.02605</v>
      </c>
      <c r="I1872" s="1">
        <f>value(THB!$B1872)</f>
        <v>390.6348</v>
      </c>
      <c r="J1872" s="1">
        <f>value(VND!$B1872)</f>
        <v>0.5968006441</v>
      </c>
      <c r="K1872" s="1">
        <f>value(CNY!$B1872)</f>
        <v>2298.2022</v>
      </c>
      <c r="L1872" s="1">
        <f>value(HKD!$B1872)</f>
        <v>1716.345</v>
      </c>
      <c r="M1872" s="1">
        <f>value(TWD!$B1872)</f>
        <v>440.2248</v>
      </c>
      <c r="N1872" s="1">
        <f>value(JPY!$B1872)</f>
        <v>107.90355</v>
      </c>
      <c r="O1872" s="1">
        <f>value(SAR!$B1872)</f>
        <v>3770.916055</v>
      </c>
      <c r="P1872" s="1">
        <f>value(AED!$B1872)</f>
        <v>3532.8964</v>
      </c>
      <c r="Q1872" s="1">
        <f>value(KWD!$B1872)</f>
        <v>42542.55265</v>
      </c>
    </row>
    <row r="1873">
      <c r="A1873" s="4">
        <f>value(USD!A1873)</f>
        <v>42198.99861</v>
      </c>
      <c r="B1873" s="1">
        <f>value(USD!B1873)</f>
        <v>13280</v>
      </c>
      <c r="C1873" s="1">
        <f>value(AUD!$B1873)</f>
        <v>9909.705</v>
      </c>
      <c r="D1873" s="1">
        <f>value(EUR!$B1873)</f>
        <v>14593.1058</v>
      </c>
      <c r="E1873" s="1">
        <f>value(GBP!$B1873)</f>
        <v>20845.9602</v>
      </c>
      <c r="F1873" s="1">
        <f>value(CHF!$B1873)</f>
        <v>13863.36</v>
      </c>
      <c r="G1873" s="1">
        <f>value(SGD!$B1873)</f>
        <v>9760.7484</v>
      </c>
      <c r="H1873" s="1">
        <f>value(MYR!$B1873)</f>
        <v>3490.15446</v>
      </c>
      <c r="I1873" s="1">
        <f>value(THB!$B1873)</f>
        <v>389.60298</v>
      </c>
      <c r="J1873" s="1">
        <f>value(VND!$B1873)</f>
        <v>0.5954452259</v>
      </c>
      <c r="K1873" s="1">
        <f>value(CNY!$B1873)</f>
        <v>2292.23794</v>
      </c>
      <c r="L1873" s="1">
        <f>value(HKD!$B1873)</f>
        <v>1720.73538</v>
      </c>
      <c r="M1873" s="1">
        <f>value(TWD!$B1873)</f>
        <v>441.1269</v>
      </c>
      <c r="N1873" s="1">
        <f>value(JPY!$B1873)</f>
        <v>107.6483304</v>
      </c>
      <c r="O1873" s="1">
        <f>value(SAR!$B1873)</f>
        <v>3736.518885</v>
      </c>
      <c r="P1873" s="1">
        <f>value(AED!$B1873)</f>
        <v>3571.81814</v>
      </c>
      <c r="Q1873" s="1">
        <f>value(KWD!$B1873)</f>
        <v>43092.24107</v>
      </c>
    </row>
    <row r="1874">
      <c r="A1874" s="4">
        <f>value(USD!A1874)</f>
        <v>42199.99861</v>
      </c>
      <c r="B1874" s="1">
        <f>value(USD!B1874)</f>
        <v>13305</v>
      </c>
      <c r="C1874" s="1">
        <f>value(AUD!$B1874)</f>
        <v>9961.56</v>
      </c>
      <c r="D1874" s="1">
        <f>value(EUR!$B1874)</f>
        <v>14507.86068</v>
      </c>
      <c r="E1874" s="1">
        <f>value(GBP!$B1874)</f>
        <v>20809.95762</v>
      </c>
      <c r="F1874" s="1">
        <f>value(CHF!$B1874)</f>
        <v>13784.367</v>
      </c>
      <c r="G1874" s="1">
        <f>value(SGD!$B1874)</f>
        <v>9754.2927</v>
      </c>
      <c r="H1874" s="1">
        <f>value(MYR!$B1874)</f>
        <v>3500.85391</v>
      </c>
      <c r="I1874" s="1">
        <f>value(THB!$B1874)</f>
        <v>389.66513</v>
      </c>
      <c r="J1874" s="1">
        <f>value(VND!$B1874)</f>
        <v>0.5990520767</v>
      </c>
      <c r="K1874" s="1">
        <f>value(CNY!$B1874)</f>
        <v>2307.57597</v>
      </c>
      <c r="L1874" s="1">
        <f>value(HKD!$B1874)</f>
        <v>1719.699</v>
      </c>
      <c r="M1874" s="1">
        <f>value(TWD!$B1874)</f>
        <v>439.09468</v>
      </c>
      <c r="N1874" s="1">
        <f>value(JPY!$B1874)</f>
        <v>107.31455</v>
      </c>
      <c r="O1874" s="1">
        <f>value(SAR!$B1874)</f>
        <v>3728.913052</v>
      </c>
      <c r="P1874" s="1">
        <f>value(AED!$B1874)</f>
        <v>3475.8663</v>
      </c>
      <c r="Q1874" s="1">
        <f>value(KWD!$B1874)</f>
        <v>43438.27434</v>
      </c>
    </row>
    <row r="1875">
      <c r="A1875" s="4">
        <f>value(USD!A1875)</f>
        <v>42200.99861</v>
      </c>
      <c r="B1875" s="1">
        <f>value(USD!B1875)</f>
        <v>13338</v>
      </c>
      <c r="C1875" s="1">
        <f>value(AUD!$B1875)</f>
        <v>9923.7</v>
      </c>
      <c r="D1875" s="1">
        <f>value(EUR!$B1875)</f>
        <v>14455.38</v>
      </c>
      <c r="E1875" s="1">
        <f>value(GBP!$B1875)</f>
        <v>20838.015</v>
      </c>
      <c r="F1875" s="1">
        <f>value(CHF!$B1875)</f>
        <v>13802.2087</v>
      </c>
      <c r="G1875" s="1">
        <f>value(SGD!$B1875)</f>
        <v>9757.515</v>
      </c>
      <c r="H1875" s="1">
        <f>value(MYR!$B1875)</f>
        <v>3506.244</v>
      </c>
      <c r="I1875" s="1">
        <f>value(THB!$B1875)</f>
        <v>389.553</v>
      </c>
      <c r="J1875" s="1">
        <f>value(VND!$B1875)</f>
        <v>0.6001457989</v>
      </c>
      <c r="K1875" s="1">
        <f>value(CNY!$B1875)</f>
        <v>2306.5216</v>
      </c>
      <c r="L1875" s="1">
        <f>value(HKD!$B1875)</f>
        <v>1722.2835</v>
      </c>
      <c r="M1875" s="1">
        <f>value(TWD!$B1875)</f>
        <v>441.49788</v>
      </c>
      <c r="N1875" s="1">
        <f>value(JPY!$B1875)</f>
        <v>107.601</v>
      </c>
      <c r="O1875" s="1">
        <f>value(SAR!$B1875)</f>
        <v>3667.86615</v>
      </c>
      <c r="P1875" s="1">
        <f>value(AED!$B1875)</f>
        <v>3520.77765</v>
      </c>
      <c r="Q1875" s="1">
        <f>value(KWD!$B1875)</f>
        <v>43780.10338</v>
      </c>
    </row>
    <row r="1876">
      <c r="A1876" s="4">
        <f>value(USD!A1876)</f>
        <v>42201.99861</v>
      </c>
      <c r="B1876" s="1">
        <f>value(USD!B1876)</f>
        <v>13331</v>
      </c>
      <c r="C1876" s="1">
        <f>value(AUD!$B1876)</f>
        <v>10063.0062</v>
      </c>
      <c r="D1876" s="1">
        <f>value(EUR!$B1876)</f>
        <v>14451.222</v>
      </c>
      <c r="E1876" s="1">
        <f>value(GBP!$B1876)</f>
        <v>20766.378</v>
      </c>
      <c r="F1876" s="1">
        <f>value(CHF!$B1876)</f>
        <v>13723.528</v>
      </c>
      <c r="G1876" s="1">
        <f>value(SGD!$B1876)</f>
        <v>9725.3936</v>
      </c>
      <c r="H1876" s="1">
        <f>value(MYR!$B1876)</f>
        <v>3493.4792</v>
      </c>
      <c r="I1876" s="1">
        <f>value(THB!$B1876)</f>
        <v>386.7266</v>
      </c>
      <c r="J1876" s="1">
        <f>value(VND!$B1876)</f>
        <v>0.5986413157</v>
      </c>
      <c r="K1876" s="1">
        <f>value(CNY!$B1876)</f>
        <v>2289.17512</v>
      </c>
      <c r="L1876" s="1">
        <f>value(HKD!$B1876)</f>
        <v>1720.86</v>
      </c>
      <c r="M1876" s="1">
        <f>value(TWD!$B1876)</f>
        <v>440.9872</v>
      </c>
      <c r="N1876" s="1">
        <f>value(JPY!$B1876)</f>
        <v>107.31363</v>
      </c>
      <c r="O1876" s="1">
        <f>value(SAR!$B1876)</f>
        <v>3742.858553</v>
      </c>
      <c r="P1876" s="1">
        <f>value(AED!$B1876)</f>
        <v>3548.9436</v>
      </c>
      <c r="Q1876" s="1">
        <f>value(KWD!$B1876)</f>
        <v>43881.89615</v>
      </c>
    </row>
    <row r="1877">
      <c r="A1877" s="4">
        <f>value(USD!A1877)</f>
        <v>42202.99861</v>
      </c>
      <c r="B1877" s="1">
        <f>value(USD!B1877)</f>
        <v>13350</v>
      </c>
      <c r="C1877" s="1">
        <f>value(AUD!$B1877)</f>
        <v>10118.5716</v>
      </c>
      <c r="D1877" s="1">
        <f>value(EUR!$B1877)</f>
        <v>14581.8225</v>
      </c>
      <c r="E1877" s="1">
        <f>value(GBP!$B1877)</f>
        <v>20738.592</v>
      </c>
      <c r="F1877" s="1">
        <f>value(CHF!$B1877)</f>
        <v>13705.4695</v>
      </c>
      <c r="G1877" s="1">
        <f>value(SGD!$B1877)</f>
        <v>9775.6218</v>
      </c>
      <c r="H1877" s="1">
        <f>value(MYR!$B1877)</f>
        <v>3523.107</v>
      </c>
      <c r="I1877" s="1">
        <f>value(THB!$B1877)</f>
        <v>386.715</v>
      </c>
      <c r="J1877" s="1">
        <f>value(VND!$B1877)</f>
        <v>0.5962325896</v>
      </c>
      <c r="K1877" s="1">
        <f>value(CNY!$B1877)</f>
        <v>2307.3911</v>
      </c>
      <c r="L1877" s="1">
        <f>value(HKD!$B1877)</f>
        <v>1720.34835</v>
      </c>
      <c r="M1877" s="1">
        <f>value(TWD!$B1877)</f>
        <v>439.32488</v>
      </c>
      <c r="N1877" s="1">
        <f>value(JPY!$B1877)</f>
        <v>107.6494545</v>
      </c>
      <c r="O1877" s="1">
        <f>value(SAR!$B1877)</f>
        <v>3700.68857</v>
      </c>
      <c r="P1877" s="1">
        <f>value(AED!$B1877)</f>
        <v>3576.87132</v>
      </c>
      <c r="Q1877" s="1">
        <f>value(KWD!$B1877)</f>
        <v>43553.85526</v>
      </c>
    </row>
    <row r="1878">
      <c r="A1878" s="4">
        <f>value(USD!A1878)</f>
        <v>42205.99861</v>
      </c>
      <c r="B1878" s="1">
        <f>value(USD!B1878)</f>
        <v>13340</v>
      </c>
      <c r="C1878" s="1">
        <f>value(AUD!$B1878)</f>
        <v>10244.529</v>
      </c>
      <c r="D1878" s="1">
        <f>value(EUR!$B1878)</f>
        <v>14636.82</v>
      </c>
      <c r="E1878" s="1">
        <f>value(GBP!$B1878)</f>
        <v>20920.08</v>
      </c>
      <c r="F1878" s="1">
        <f>value(CHF!$B1878)</f>
        <v>13685.1654</v>
      </c>
      <c r="G1878" s="1">
        <f>value(SGD!$B1878)</f>
        <v>9811.614</v>
      </c>
      <c r="H1878" s="1">
        <f>value(MYR!$B1878)</f>
        <v>3516.294</v>
      </c>
      <c r="I1878" s="1">
        <f>value(THB!$B1878)</f>
        <v>385.786</v>
      </c>
      <c r="J1878" s="1">
        <f>value(VND!$B1878)</f>
        <v>0.5962817795</v>
      </c>
      <c r="K1878" s="1">
        <f>value(CNY!$B1878)</f>
        <v>2297.6586</v>
      </c>
      <c r="L1878" s="1">
        <f>value(HKD!$B1878)</f>
        <v>1728.868</v>
      </c>
      <c r="M1878" s="1">
        <f>value(TWD!$B1878)</f>
        <v>443.32295</v>
      </c>
      <c r="N1878" s="1">
        <f>value(JPY!$B1878)</f>
        <v>107.99596</v>
      </c>
      <c r="O1878" s="1">
        <f>value(SAR!$B1878)</f>
        <v>3670.409961</v>
      </c>
      <c r="P1878" s="1">
        <f>value(AED!$B1878)</f>
        <v>3588.14894</v>
      </c>
      <c r="Q1878" s="1">
        <f>value(KWD!$B1878)</f>
        <v>43859.93746</v>
      </c>
    </row>
    <row r="1879">
      <c r="A1879" s="4">
        <f>value(USD!A1879)</f>
        <v>42206.99861</v>
      </c>
      <c r="B1879" s="1">
        <f>value(USD!B1879)</f>
        <v>13335</v>
      </c>
      <c r="C1879" s="1">
        <f>value(AUD!$B1879)</f>
        <v>10260</v>
      </c>
      <c r="D1879" s="1">
        <f>value(EUR!$B1879)</f>
        <v>14752.855</v>
      </c>
      <c r="E1879" s="1">
        <f>value(GBP!$B1879)</f>
        <v>20837.988</v>
      </c>
      <c r="F1879" s="1">
        <f>value(CHF!$B1879)</f>
        <v>13764.1785</v>
      </c>
      <c r="G1879" s="1">
        <f>value(SGD!$B1879)</f>
        <v>9808.0633</v>
      </c>
      <c r="H1879" s="1">
        <f>value(MYR!$B1879)</f>
        <v>3507.916</v>
      </c>
      <c r="I1879" s="1">
        <f>value(THB!$B1879)</f>
        <v>385.5753</v>
      </c>
      <c r="J1879" s="1">
        <f>value(VND!$B1879)</f>
        <v>0.600118498</v>
      </c>
      <c r="K1879" s="1">
        <f>value(CNY!$B1879)</f>
        <v>2271.17688</v>
      </c>
      <c r="L1879" s="1">
        <f>value(HKD!$B1879)</f>
        <v>1732.47</v>
      </c>
      <c r="M1879" s="1">
        <f>value(TWD!$B1879)</f>
        <v>446.18275</v>
      </c>
      <c r="N1879" s="1">
        <f>value(JPY!$B1879)</f>
        <v>108.394873</v>
      </c>
      <c r="O1879" s="1">
        <f>value(SAR!$B1879)</f>
        <v>3639.442976</v>
      </c>
      <c r="P1879" s="1">
        <f>value(AED!$B1879)</f>
        <v>3565.96119</v>
      </c>
      <c r="Q1879" s="1">
        <f>value(KWD!$B1879)</f>
        <v>43893.45077</v>
      </c>
    </row>
    <row r="1880">
      <c r="A1880" s="4">
        <f>value(USD!A1880)</f>
        <v>42207.99861</v>
      </c>
      <c r="B1880" s="1">
        <f>value(USD!B1880)</f>
        <v>13400</v>
      </c>
      <c r="C1880" s="1">
        <f>value(AUD!$B1880)</f>
        <v>10349.13968</v>
      </c>
      <c r="D1880" s="1">
        <f>value(EUR!$B1880)</f>
        <v>14739.425</v>
      </c>
      <c r="E1880" s="1">
        <f>value(GBP!$B1880)</f>
        <v>20832.616</v>
      </c>
      <c r="F1880" s="1">
        <f>value(CHF!$B1880)</f>
        <v>14088.625</v>
      </c>
      <c r="G1880" s="1">
        <f>value(SGD!$B1880)</f>
        <v>9790.0671</v>
      </c>
      <c r="H1880" s="1">
        <f>value(MYR!$B1880)</f>
        <v>3508.8561</v>
      </c>
      <c r="I1880" s="1">
        <f>value(THB!$B1880)</f>
        <v>384.2323</v>
      </c>
      <c r="J1880" s="1">
        <f>value(VND!$B1880)</f>
        <v>0.5994356964</v>
      </c>
      <c r="K1880" s="1">
        <f>value(CNY!$B1880)</f>
        <v>2211.9192</v>
      </c>
      <c r="L1880" s="1">
        <f>value(HKD!$B1880)</f>
        <v>1732.3357</v>
      </c>
      <c r="M1880" s="1">
        <f>value(TWD!$B1880)</f>
        <v>444.39207</v>
      </c>
      <c r="N1880" s="1">
        <f>value(JPY!$B1880)</f>
        <v>108.5144</v>
      </c>
      <c r="O1880" s="1">
        <f>value(SAR!$B1880)</f>
        <v>3637.698556</v>
      </c>
      <c r="P1880" s="1">
        <f>value(AED!$B1880)</f>
        <v>3596.99085</v>
      </c>
      <c r="Q1880" s="1">
        <f>value(KWD!$B1880)</f>
        <v>43684.48173</v>
      </c>
    </row>
    <row r="1881">
      <c r="A1881" s="4">
        <f>value(USD!A1881)</f>
        <v>42208.99861</v>
      </c>
      <c r="B1881" s="1">
        <f>value(USD!B1881)</f>
        <v>13430</v>
      </c>
      <c r="C1881" s="1">
        <f>value(AUD!$B1881)</f>
        <v>10224.78775</v>
      </c>
      <c r="D1881" s="1">
        <f>value(EUR!$B1881)</f>
        <v>14931.3385</v>
      </c>
      <c r="E1881" s="1">
        <f>value(GBP!$B1881)</f>
        <v>20952.8865</v>
      </c>
      <c r="F1881" s="1">
        <f>value(CHF!$B1881)</f>
        <v>14016.875</v>
      </c>
      <c r="G1881" s="1">
        <f>value(SGD!$B1881)</f>
        <v>9831.73905</v>
      </c>
      <c r="H1881" s="1">
        <f>value(MYR!$B1881)</f>
        <v>3516.5194</v>
      </c>
      <c r="I1881" s="1">
        <f>value(THB!$B1881)</f>
        <v>386.04155</v>
      </c>
      <c r="J1881" s="1">
        <f>value(VND!$B1881)</f>
        <v>0.6019616662</v>
      </c>
      <c r="K1881" s="1">
        <f>value(CNY!$B1881)</f>
        <v>2181.10315</v>
      </c>
      <c r="L1881" s="1">
        <f>value(HKD!$B1881)</f>
        <v>1736.985</v>
      </c>
      <c r="M1881" s="1">
        <f>value(TWD!$B1881)</f>
        <v>421.097</v>
      </c>
      <c r="N1881" s="1">
        <f>value(JPY!$B1881)</f>
        <v>109.225387</v>
      </c>
      <c r="O1881" s="1">
        <f>value(SAR!$B1881)</f>
        <v>3636.412033</v>
      </c>
      <c r="P1881" s="1">
        <f>value(AED!$B1881)</f>
        <v>3601.89027</v>
      </c>
      <c r="Q1881" s="1">
        <f>value(KWD!$B1881)</f>
        <v>43996.01565</v>
      </c>
    </row>
    <row r="1882">
      <c r="A1882" s="4">
        <f>value(USD!A1882)</f>
        <v>42209.99861</v>
      </c>
      <c r="B1882" s="1">
        <f>value(USD!B1882)</f>
        <v>13430</v>
      </c>
      <c r="C1882" s="1">
        <f>value(AUD!$B1882)</f>
        <v>10343.51445</v>
      </c>
      <c r="D1882" s="1">
        <f>value(EUR!$B1882)</f>
        <v>14703.1257</v>
      </c>
      <c r="E1882" s="1">
        <f>value(GBP!$B1882)</f>
        <v>20741.8359</v>
      </c>
      <c r="F1882" s="1">
        <f>value(CHF!$B1882)</f>
        <v>14042.7885</v>
      </c>
      <c r="G1882" s="1">
        <f>value(SGD!$B1882)</f>
        <v>9744.8925</v>
      </c>
      <c r="H1882" s="1">
        <f>value(MYR!$B1882)</f>
        <v>3490.6185</v>
      </c>
      <c r="I1882" s="1">
        <f>value(THB!$B1882)</f>
        <v>381.1572</v>
      </c>
      <c r="J1882" s="1">
        <f>value(VND!$B1882)</f>
        <v>0.601157649</v>
      </c>
      <c r="K1882" s="1">
        <f>value(CNY!$B1882)</f>
        <v>2109.9294</v>
      </c>
      <c r="L1882" s="1">
        <f>value(HKD!$B1882)</f>
        <v>1714.5429</v>
      </c>
      <c r="M1882" s="1">
        <f>value(TWD!$B1882)</f>
        <v>427.3193</v>
      </c>
      <c r="N1882" s="1">
        <f>value(JPY!$B1882)</f>
        <v>107.525403</v>
      </c>
      <c r="O1882" s="1">
        <f>value(SAR!$B1882)</f>
        <v>3640.685856</v>
      </c>
      <c r="P1882" s="1">
        <f>value(AED!$B1882)</f>
        <v>3584.7423</v>
      </c>
      <c r="Q1882" s="1">
        <f>value(KWD!$B1882)</f>
        <v>43681.43278</v>
      </c>
    </row>
    <row r="1883">
      <c r="A1883" s="4">
        <f>value(USD!A1883)</f>
        <v>42212.99861</v>
      </c>
      <c r="B1883" s="1">
        <f>value(USD!B1883)</f>
        <v>13465</v>
      </c>
      <c r="C1883" s="1">
        <f>value(AUD!$B1883)</f>
        <v>10311.322</v>
      </c>
      <c r="D1883" s="1">
        <f>value(EUR!$B1883)</f>
        <v>14783.3872</v>
      </c>
      <c r="E1883" s="1">
        <f>value(GBP!$B1883)</f>
        <v>20996.3886</v>
      </c>
      <c r="F1883" s="1">
        <f>value(CHF!$B1883)</f>
        <v>14134.26</v>
      </c>
      <c r="G1883" s="1">
        <f>value(SGD!$B1883)</f>
        <v>9826.2038</v>
      </c>
      <c r="H1883" s="1">
        <f>value(MYR!$B1883)</f>
        <v>3509.2912</v>
      </c>
      <c r="I1883" s="1">
        <f>value(THB!$B1883)</f>
        <v>384.4176</v>
      </c>
      <c r="J1883" s="1">
        <f>value(VND!$B1883)</f>
        <v>0.5997629993</v>
      </c>
      <c r="K1883" s="1">
        <f>value(CNY!$B1883)</f>
        <v>2098.4328</v>
      </c>
      <c r="L1883" s="1">
        <f>value(HKD!$B1883)</f>
        <v>1736.34</v>
      </c>
      <c r="M1883" s="1">
        <f>value(TWD!$B1883)</f>
        <v>413.028</v>
      </c>
      <c r="N1883" s="1">
        <f>value(JPY!$B1883)</f>
        <v>108.587204</v>
      </c>
      <c r="O1883" s="1">
        <f>value(SAR!$B1883)</f>
        <v>3602.413058</v>
      </c>
      <c r="P1883" s="1">
        <f>value(AED!$B1883)</f>
        <v>3614.9355</v>
      </c>
      <c r="Q1883" s="1">
        <f>value(KWD!$B1883)</f>
        <v>43913.75676</v>
      </c>
    </row>
    <row r="1884">
      <c r="A1884" s="4">
        <f>value(USD!A1884)</f>
        <v>42213.99861</v>
      </c>
      <c r="B1884" s="1">
        <f>value(USD!B1884)</f>
        <v>13290</v>
      </c>
      <c r="C1884" s="1">
        <f>value(AUD!$B1884)</f>
        <v>10327.422</v>
      </c>
      <c r="D1884" s="1">
        <f>value(EUR!$B1884)</f>
        <v>14760.248</v>
      </c>
      <c r="E1884" s="1">
        <f>value(GBP!$B1884)</f>
        <v>21050.35332</v>
      </c>
      <c r="F1884" s="1">
        <f>value(CHF!$B1884)</f>
        <v>14140.5128</v>
      </c>
      <c r="G1884" s="1">
        <f>value(SGD!$B1884)</f>
        <v>9811.51732</v>
      </c>
      <c r="H1884" s="1">
        <f>value(MYR!$B1884)</f>
        <v>3514.93584</v>
      </c>
      <c r="I1884" s="1">
        <f>value(THB!$B1884)</f>
        <v>383.71248</v>
      </c>
      <c r="J1884" s="1">
        <f>value(VND!$B1884)</f>
        <v>0.6003011678</v>
      </c>
      <c r="K1884" s="1">
        <f>value(CNY!$B1884)</f>
        <v>2135.20628</v>
      </c>
      <c r="L1884" s="1">
        <f>value(HKD!$B1884)</f>
        <v>1740.06324</v>
      </c>
      <c r="M1884" s="1">
        <f>value(TWD!$B1884)</f>
        <v>411.8544</v>
      </c>
      <c r="N1884" s="1">
        <f>value(JPY!$B1884)</f>
        <v>108.7239328</v>
      </c>
      <c r="O1884" s="1">
        <f>value(SAR!$B1884)</f>
        <v>3653.501997</v>
      </c>
      <c r="P1884" s="1">
        <f>value(AED!$B1884)</f>
        <v>3587.4642</v>
      </c>
      <c r="Q1884" s="1">
        <f>value(KWD!$B1884)</f>
        <v>43649.02024</v>
      </c>
    </row>
    <row r="1885">
      <c r="A1885" s="4">
        <f>value(USD!A1885)</f>
        <v>42214.99861</v>
      </c>
      <c r="B1885" s="1">
        <f>value(USD!B1885)</f>
        <v>13460</v>
      </c>
      <c r="C1885" s="1">
        <f>value(AUD!$B1885)</f>
        <v>10242.144</v>
      </c>
      <c r="D1885" s="1">
        <f>value(EUR!$B1885)</f>
        <v>14742.5295</v>
      </c>
      <c r="E1885" s="1">
        <f>value(GBP!$B1885)</f>
        <v>20973.8775</v>
      </c>
      <c r="F1885" s="1">
        <f>value(CHF!$B1885)</f>
        <v>14231.9296</v>
      </c>
      <c r="G1885" s="1">
        <f>value(SGD!$B1885)</f>
        <v>9780.6495</v>
      </c>
      <c r="H1885" s="1">
        <f>value(MYR!$B1885)</f>
        <v>3497.88375</v>
      </c>
      <c r="I1885" s="1">
        <f>value(THB!$B1885)</f>
        <v>383.418</v>
      </c>
      <c r="J1885" s="1">
        <f>value(VND!$B1885)</f>
        <v>0.5999179962</v>
      </c>
      <c r="K1885" s="1">
        <f>value(CNY!$B1885)</f>
        <v>2152.059</v>
      </c>
      <c r="L1885" s="1">
        <f>value(HKD!$B1885)</f>
        <v>1731.42225</v>
      </c>
      <c r="M1885" s="1">
        <f>value(TWD!$B1885)</f>
        <v>414.64642</v>
      </c>
      <c r="N1885" s="1">
        <f>value(JPY!$B1885)</f>
        <v>108.33975</v>
      </c>
      <c r="O1885" s="1">
        <f>value(SAR!$B1885)</f>
        <v>3689.441905</v>
      </c>
      <c r="P1885" s="1">
        <f>value(AED!$B1885)</f>
        <v>3603.928</v>
      </c>
      <c r="Q1885" s="1">
        <f>value(KWD!$B1885)</f>
        <v>43553.41695</v>
      </c>
    </row>
    <row r="1886">
      <c r="A1886" s="4">
        <f>value(USD!A1886)</f>
        <v>42215.99861</v>
      </c>
      <c r="B1886" s="1">
        <f>value(USD!B1886)</f>
        <v>13492</v>
      </c>
      <c r="C1886" s="1">
        <f>value(AUD!$B1886)</f>
        <v>10283.67</v>
      </c>
      <c r="D1886" s="1">
        <f>value(EUR!$B1886)</f>
        <v>14720.832</v>
      </c>
      <c r="E1886" s="1">
        <f>value(GBP!$B1886)</f>
        <v>20948.928</v>
      </c>
      <c r="F1886" s="1">
        <f>value(CHF!$B1886)</f>
        <v>14470.947</v>
      </c>
      <c r="G1886" s="1">
        <f>value(SGD!$B1886)</f>
        <v>9753.2736</v>
      </c>
      <c r="H1886" s="1">
        <f>value(MYR!$B1886)</f>
        <v>3477.0624</v>
      </c>
      <c r="I1886" s="1">
        <f>value(THB!$B1886)</f>
        <v>383.04</v>
      </c>
      <c r="J1886" s="1">
        <f>value(VND!$B1886)</f>
        <v>0.6005834817</v>
      </c>
      <c r="K1886" s="1">
        <f>value(CNY!$B1886)</f>
        <v>2089.2456</v>
      </c>
      <c r="L1886" s="1">
        <f>value(HKD!$B1886)</f>
        <v>1733.3568</v>
      </c>
      <c r="M1886" s="1">
        <f>value(TWD!$B1886)</f>
        <v>416.871</v>
      </c>
      <c r="N1886" s="1">
        <f>value(JPY!$B1886)</f>
        <v>108.4608</v>
      </c>
      <c r="O1886" s="1">
        <f>value(SAR!$B1886)</f>
        <v>3670.005752</v>
      </c>
      <c r="P1886" s="1">
        <f>value(AED!$B1886)</f>
        <v>3581.34444</v>
      </c>
      <c r="Q1886" s="1">
        <f>value(KWD!$B1886)</f>
        <v>43598.53971</v>
      </c>
    </row>
    <row r="1887">
      <c r="A1887" s="4">
        <f>value(USD!A1887)</f>
        <v>42216.99861</v>
      </c>
      <c r="B1887" s="1">
        <f>value(USD!B1887)</f>
        <v>13425</v>
      </c>
      <c r="C1887" s="1">
        <f>value(AUD!$B1887)</f>
        <v>10266.24995</v>
      </c>
      <c r="D1887" s="1">
        <f>value(EUR!$B1887)</f>
        <v>14678.4225</v>
      </c>
      <c r="E1887" s="1">
        <f>value(GBP!$B1887)</f>
        <v>20986.7055</v>
      </c>
      <c r="F1887" s="1">
        <f>value(CHF!$B1887)</f>
        <v>14596.929</v>
      </c>
      <c r="G1887" s="1">
        <f>value(SGD!$B1887)</f>
        <v>9756.3975</v>
      </c>
      <c r="H1887" s="1">
        <f>value(MYR!$B1887)</f>
        <v>3477.7815</v>
      </c>
      <c r="I1887" s="1">
        <f>value(THB!$B1887)</f>
        <v>384.18765</v>
      </c>
      <c r="J1887" s="1">
        <f>value(VND!$B1887)</f>
        <v>0.6048825445</v>
      </c>
      <c r="K1887" s="1">
        <f>value(CNY!$B1887)</f>
        <v>2110.902</v>
      </c>
      <c r="L1887" s="1">
        <f>value(HKD!$B1887)</f>
        <v>1738.89075</v>
      </c>
      <c r="M1887" s="1">
        <f>value(TWD!$B1887)</f>
        <v>409.6014</v>
      </c>
      <c r="N1887" s="1">
        <f>value(JPY!$B1887)</f>
        <v>108.55425</v>
      </c>
      <c r="O1887" s="1">
        <f>value(SAR!$B1887)</f>
        <v>3675.783814</v>
      </c>
      <c r="P1887" s="1">
        <f>value(AED!$B1887)</f>
        <v>3572.90686</v>
      </c>
      <c r="Q1887" s="1">
        <f>value(KWD!$B1887)</f>
        <v>43598.53971</v>
      </c>
    </row>
    <row r="1888">
      <c r="A1888" s="4">
        <f>value(USD!A1888)</f>
        <v>42219.99861</v>
      </c>
      <c r="B1888" s="1">
        <f>value(USD!B1888)</f>
        <v>13440</v>
      </c>
      <c r="C1888" s="1">
        <f>value(AUD!$B1888)</f>
        <v>10242.3393</v>
      </c>
      <c r="D1888" s="1">
        <f>value(EUR!$B1888)</f>
        <v>14737.72027</v>
      </c>
      <c r="E1888" s="1">
        <f>value(GBP!$B1888)</f>
        <v>21089.2234</v>
      </c>
      <c r="F1888" s="1">
        <f>value(CHF!$B1888)</f>
        <v>14916.88</v>
      </c>
      <c r="G1888" s="1">
        <f>value(SGD!$B1888)</f>
        <v>9766.57318</v>
      </c>
      <c r="H1888" s="1">
        <f>value(MYR!$B1888)</f>
        <v>3456.97275</v>
      </c>
      <c r="I1888" s="1">
        <f>value(THB!$B1888)</f>
        <v>384.01797</v>
      </c>
      <c r="J1888" s="1">
        <f>value(VND!$B1888)</f>
        <v>0.5966646918</v>
      </c>
      <c r="K1888" s="1">
        <f>value(CNY!$B1888)</f>
        <v>2121.504</v>
      </c>
      <c r="L1888" s="1">
        <f>value(HKD!$B1888)</f>
        <v>1743.693</v>
      </c>
      <c r="M1888" s="1">
        <f>value(TWD!$B1888)</f>
        <v>412.854</v>
      </c>
      <c r="N1888" s="1">
        <f>value(JPY!$B1888)</f>
        <v>108.3455135</v>
      </c>
      <c r="O1888" s="1">
        <f>value(SAR!$B1888)</f>
        <v>3719.386973</v>
      </c>
      <c r="P1888" s="1">
        <f>value(AED!$B1888)</f>
        <v>3576.608508</v>
      </c>
      <c r="Q1888" s="1">
        <f>value(KWD!$B1888)</f>
        <v>43625.49642</v>
      </c>
    </row>
    <row r="1889">
      <c r="A1889" s="4">
        <f>value(USD!A1889)</f>
        <v>42220.99861</v>
      </c>
      <c r="B1889" s="1">
        <f>value(USD!B1889)</f>
        <v>13485</v>
      </c>
      <c r="C1889" s="1">
        <f>value(AUD!$B1889)</f>
        <v>10276</v>
      </c>
      <c r="D1889" s="1">
        <f>value(EUR!$B1889)</f>
        <v>14708.6274</v>
      </c>
      <c r="E1889" s="1">
        <f>value(GBP!$B1889)</f>
        <v>20886.908</v>
      </c>
      <c r="F1889" s="1">
        <f>value(CHF!$B1889)</f>
        <v>14690.1</v>
      </c>
      <c r="G1889" s="1">
        <f>value(SGD!$B1889)</f>
        <v>9728.7318</v>
      </c>
      <c r="H1889" s="1">
        <f>value(MYR!$B1889)</f>
        <v>3446.36675</v>
      </c>
      <c r="I1889" s="1">
        <f>value(THB!$B1889)</f>
        <v>382.9446</v>
      </c>
      <c r="J1889" s="1">
        <f>value(VND!$B1889)</f>
        <v>0.59684939</v>
      </c>
      <c r="K1889" s="1">
        <f>value(CNY!$B1889)</f>
        <v>2146.053</v>
      </c>
      <c r="L1889" s="1">
        <f>value(HKD!$B1889)</f>
        <v>1736.985</v>
      </c>
      <c r="M1889" s="1">
        <f>value(TWD!$B1889)</f>
        <v>417.85975</v>
      </c>
      <c r="N1889" s="1">
        <f>value(JPY!$B1889)</f>
        <v>107.9340935</v>
      </c>
      <c r="O1889" s="1">
        <f>value(SAR!$B1889)</f>
        <v>3683.78915</v>
      </c>
      <c r="P1889" s="1">
        <f>value(AED!$B1889)</f>
        <v>3576.608508</v>
      </c>
      <c r="Q1889" s="1">
        <f>value(KWD!$B1889)</f>
        <v>43843.34271</v>
      </c>
    </row>
    <row r="1890">
      <c r="A1890" s="4">
        <f>value(USD!A1890)</f>
        <v>42221.99861</v>
      </c>
      <c r="B1890" s="1">
        <f>value(USD!B1890)</f>
        <v>13517</v>
      </c>
      <c r="C1890" s="1">
        <f>value(AUD!$B1890)</f>
        <v>10199.78784</v>
      </c>
      <c r="D1890" s="1">
        <f>value(EUR!$B1890)</f>
        <v>14781.4129</v>
      </c>
      <c r="E1890" s="1">
        <f>value(GBP!$B1890)</f>
        <v>20891.9085</v>
      </c>
      <c r="F1890" s="1">
        <f>value(CHF!$B1890)</f>
        <v>14660.792</v>
      </c>
      <c r="G1890" s="1">
        <f>value(SGD!$B1890)</f>
        <v>9729.46763</v>
      </c>
      <c r="H1890" s="1">
        <f>value(MYR!$B1890)</f>
        <v>3436.41221</v>
      </c>
      <c r="I1890" s="1">
        <f>value(THB!$B1890)</f>
        <v>383.32169</v>
      </c>
      <c r="J1890" s="1">
        <f>value(VND!$B1890)</f>
        <v>0.5998651887</v>
      </c>
      <c r="K1890" s="1">
        <f>value(CNY!$B1890)</f>
        <v>2163.08483</v>
      </c>
      <c r="L1890" s="1">
        <f>value(HKD!$B1890)</f>
        <v>1739.03734</v>
      </c>
      <c r="M1890" s="1">
        <f>value(TWD!$B1890)</f>
        <v>421.1025</v>
      </c>
      <c r="N1890" s="1">
        <f>value(JPY!$B1890)</f>
        <v>108.53815</v>
      </c>
      <c r="O1890" s="1">
        <f>value(SAR!$B1890)</f>
        <v>3709.087973</v>
      </c>
      <c r="P1890" s="1">
        <f>value(AED!$B1890)</f>
        <v>3576.4452</v>
      </c>
      <c r="Q1890" s="1">
        <f>value(KWD!$B1890)</f>
        <v>43724.48034</v>
      </c>
    </row>
    <row r="1891">
      <c r="A1891" s="4">
        <f>value(USD!A1891)</f>
        <v>42222.99861</v>
      </c>
      <c r="B1891" s="1">
        <f>value(USD!B1891)</f>
        <v>13465</v>
      </c>
      <c r="C1891" s="1">
        <f>value(AUD!$B1891)</f>
        <v>10316.8275</v>
      </c>
      <c r="D1891" s="1">
        <f>value(EUR!$B1891)</f>
        <v>14834.30451</v>
      </c>
      <c r="E1891" s="1">
        <f>value(GBP!$B1891)</f>
        <v>20986.29945</v>
      </c>
      <c r="F1891" s="1">
        <f>value(CHF!$B1891)</f>
        <v>14286.102</v>
      </c>
      <c r="G1891" s="1">
        <f>value(SGD!$B1891)</f>
        <v>9739.46907</v>
      </c>
      <c r="H1891" s="1">
        <f>value(MYR!$B1891)</f>
        <v>3402.43755</v>
      </c>
      <c r="I1891" s="1">
        <f>value(THB!$B1891)</f>
        <v>383.13615</v>
      </c>
      <c r="J1891" s="1">
        <f>value(VND!$B1891)</f>
        <v>0.6072533621</v>
      </c>
      <c r="K1891" s="1">
        <f>value(CNY!$B1891)</f>
        <v>2157.613</v>
      </c>
      <c r="L1891" s="1">
        <f>value(HKD!$B1891)</f>
        <v>1736.97366</v>
      </c>
      <c r="M1891" s="1">
        <f>value(TWD!$B1891)</f>
        <v>422.42708</v>
      </c>
      <c r="N1891" s="1">
        <f>value(JPY!$B1891)</f>
        <v>108.00534</v>
      </c>
      <c r="O1891" s="1">
        <f>value(SAR!$B1891)</f>
        <v>3715.657414</v>
      </c>
      <c r="P1891" s="1">
        <f>value(AED!$B1891)</f>
        <v>3595.4978</v>
      </c>
      <c r="Q1891" s="1">
        <f>value(KWD!$B1891)</f>
        <v>43746.25366</v>
      </c>
    </row>
    <row r="1892">
      <c r="A1892" s="4">
        <f>value(USD!A1892)</f>
        <v>42223.99861</v>
      </c>
      <c r="B1892" s="1">
        <f>value(USD!B1892)</f>
        <v>13483</v>
      </c>
      <c r="C1892" s="1">
        <f>value(AUD!$B1892)</f>
        <v>10297.54735</v>
      </c>
      <c r="D1892" s="1">
        <f>value(EUR!$B1892)</f>
        <v>15018.5595</v>
      </c>
      <c r="E1892" s="1">
        <f>value(GBP!$B1892)</f>
        <v>21195.2295</v>
      </c>
      <c r="F1892" s="1">
        <f>value(CHF!$B1892)</f>
        <v>14438.58</v>
      </c>
      <c r="G1892" s="1">
        <f>value(SGD!$B1892)</f>
        <v>9700.365</v>
      </c>
      <c r="H1892" s="1">
        <f>value(MYR!$B1892)</f>
        <v>3391.86255</v>
      </c>
      <c r="I1892" s="1">
        <f>value(THB!$B1892)</f>
        <v>384.34125</v>
      </c>
      <c r="J1892" s="1">
        <f>value(VND!$B1892)</f>
        <v>0.6067651262</v>
      </c>
      <c r="K1892" s="1">
        <f>value(CNY!$B1892)</f>
        <v>2119.4155</v>
      </c>
      <c r="L1892" s="1">
        <f>value(HKD!$B1892)</f>
        <v>1753.4124</v>
      </c>
      <c r="M1892" s="1">
        <f>value(TWD!$B1892)</f>
        <v>420.727</v>
      </c>
      <c r="N1892" s="1">
        <f>value(JPY!$B1892)</f>
        <v>108.7570095</v>
      </c>
      <c r="O1892" s="1">
        <f>value(SAR!$B1892)</f>
        <v>3703.999907</v>
      </c>
      <c r="P1892" s="1">
        <f>value(AED!$B1892)</f>
        <v>3585.28668</v>
      </c>
      <c r="Q1892" s="1">
        <f>value(KWD!$B1892)</f>
        <v>43556.94782</v>
      </c>
    </row>
    <row r="1893">
      <c r="A1893" s="4">
        <f>value(USD!A1893)</f>
        <v>42226.99861</v>
      </c>
      <c r="B1893" s="1">
        <f>value(USD!B1893)</f>
        <v>13467</v>
      </c>
      <c r="C1893" s="1">
        <f>value(AUD!$B1893)</f>
        <v>10224.3372</v>
      </c>
      <c r="D1893" s="1">
        <f>value(EUR!$B1893)</f>
        <v>15333.922</v>
      </c>
      <c r="E1893" s="1">
        <f>value(GBP!$B1893)</f>
        <v>21455.945</v>
      </c>
      <c r="F1893" s="1">
        <f>value(CHF!$B1893)</f>
        <v>14502.6</v>
      </c>
      <c r="G1893" s="1">
        <f>value(SGD!$B1893)</f>
        <v>9818.0535</v>
      </c>
      <c r="H1893" s="1">
        <f>value(MYR!$B1893)</f>
        <v>3422.505</v>
      </c>
      <c r="I1893" s="1">
        <f>value(THB!$B1893)</f>
        <v>389.67075</v>
      </c>
      <c r="J1893" s="1">
        <f>value(VND!$B1893)</f>
        <v>0.609458287</v>
      </c>
      <c r="K1893" s="1">
        <f>value(CNY!$B1893)</f>
        <v>2128.4536</v>
      </c>
      <c r="L1893" s="1">
        <f>value(HKD!$B1893)</f>
        <v>1772.0054</v>
      </c>
      <c r="M1893" s="1">
        <f>value(TWD!$B1893)</f>
        <v>412.69636</v>
      </c>
      <c r="N1893" s="1">
        <f>value(JPY!$B1893)</f>
        <v>110.5963935</v>
      </c>
      <c r="O1893" s="1">
        <f>value(SAR!$B1893)</f>
        <v>3676.921025</v>
      </c>
      <c r="P1893" s="1">
        <f>value(AED!$B1893)</f>
        <v>3585.15496</v>
      </c>
      <c r="Q1893" s="1">
        <f>value(KWD!$B1893)</f>
        <v>43641.96939</v>
      </c>
    </row>
    <row r="1894">
      <c r="A1894" s="4">
        <f>value(USD!A1894)</f>
        <v>42227.99861</v>
      </c>
      <c r="B1894" s="1">
        <f>value(USD!B1894)</f>
        <v>13605</v>
      </c>
      <c r="C1894" s="1">
        <f>value(AUD!$B1894)</f>
        <v>10061.336</v>
      </c>
      <c r="D1894" s="1">
        <f>value(EUR!$B1894)</f>
        <v>15258.565</v>
      </c>
      <c r="E1894" s="1">
        <f>value(GBP!$B1894)</f>
        <v>21350.7775</v>
      </c>
      <c r="F1894" s="1">
        <f>value(CHF!$B1894)</f>
        <v>14565.7044</v>
      </c>
      <c r="G1894" s="1">
        <f>value(SGD!$B1894)</f>
        <v>9786.1035</v>
      </c>
      <c r="H1894" s="1">
        <f>value(MYR!$B1894)</f>
        <v>3393.3145</v>
      </c>
      <c r="I1894" s="1">
        <f>value(THB!$B1894)</f>
        <v>388.6435</v>
      </c>
      <c r="J1894" s="1">
        <f>value(VND!$B1894)</f>
        <v>0.6063010066</v>
      </c>
      <c r="K1894" s="1">
        <f>value(CNY!$B1894)</f>
        <v>2142.8945</v>
      </c>
      <c r="L1894" s="1">
        <f>value(HKD!$B1894)</f>
        <v>1763.2545</v>
      </c>
      <c r="M1894" s="1">
        <f>value(TWD!$B1894)</f>
        <v>415.8752</v>
      </c>
      <c r="N1894" s="1">
        <f>value(JPY!$B1894)</f>
        <v>109.947</v>
      </c>
      <c r="O1894" s="1">
        <f>value(SAR!$B1894)</f>
        <v>3682.398122</v>
      </c>
      <c r="P1894" s="1">
        <f>value(AED!$B1894)</f>
        <v>3569.6407</v>
      </c>
      <c r="Q1894" s="1">
        <f>value(KWD!$B1894)</f>
        <v>43641.96939</v>
      </c>
    </row>
    <row r="1895">
      <c r="A1895" s="4">
        <f>value(USD!A1895)</f>
        <v>42228.99861</v>
      </c>
      <c r="B1895" s="1">
        <f>value(USD!B1895)</f>
        <v>13745</v>
      </c>
      <c r="C1895" s="1">
        <f>value(AUD!$B1895)</f>
        <v>9973.0945</v>
      </c>
      <c r="D1895" s="1">
        <f>value(EUR!$B1895)</f>
        <v>15230.5075</v>
      </c>
      <c r="E1895" s="1">
        <f>value(GBP!$B1895)</f>
        <v>21451.6315</v>
      </c>
      <c r="F1895" s="1">
        <f>value(CHF!$B1895)</f>
        <v>14479.93</v>
      </c>
      <c r="G1895" s="1">
        <f>value(SGD!$B1895)</f>
        <v>9747.11335</v>
      </c>
      <c r="H1895" s="1">
        <f>value(MYR!$B1895)</f>
        <v>3358.2549</v>
      </c>
      <c r="I1895" s="1">
        <f>value(THB!$B1895)</f>
        <v>388.54595</v>
      </c>
      <c r="J1895" s="1">
        <f>value(VND!$B1895)</f>
        <v>0.6039482027</v>
      </c>
      <c r="K1895" s="1">
        <f>value(CNY!$B1895)</f>
        <v>2148.51</v>
      </c>
      <c r="L1895" s="1">
        <f>value(HKD!$B1895)</f>
        <v>1768.1378</v>
      </c>
      <c r="M1895" s="1">
        <f>value(TWD!$B1895)</f>
        <v>416.0577</v>
      </c>
      <c r="N1895" s="1">
        <f>value(JPY!$B1895)</f>
        <v>110.2686</v>
      </c>
      <c r="O1895" s="1">
        <f>value(SAR!$B1895)</f>
        <v>3691.450405</v>
      </c>
      <c r="P1895" s="1">
        <f>value(AED!$B1895)</f>
        <v>3576.608508</v>
      </c>
      <c r="Q1895" s="1">
        <f>value(KWD!$B1895)</f>
        <v>43504.9816</v>
      </c>
    </row>
    <row r="1896">
      <c r="A1896" s="4">
        <f>value(USD!A1896)</f>
        <v>42229.99861</v>
      </c>
      <c r="B1896" s="1">
        <f>value(USD!B1896)</f>
        <v>13675</v>
      </c>
      <c r="C1896" s="1">
        <f>value(AUD!$B1896)</f>
        <v>9743.1696</v>
      </c>
      <c r="D1896" s="1">
        <f>value(EUR!$B1896)</f>
        <v>15318.108</v>
      </c>
      <c r="E1896" s="1">
        <f>value(GBP!$B1896)</f>
        <v>21549.906</v>
      </c>
      <c r="F1896" s="1">
        <f>value(CHF!$B1896)</f>
        <v>14437.7225</v>
      </c>
      <c r="G1896" s="1">
        <f>value(SGD!$B1896)</f>
        <v>9823.1724</v>
      </c>
      <c r="H1896" s="1">
        <f>value(MYR!$B1896)</f>
        <v>3371.4774</v>
      </c>
      <c r="I1896" s="1">
        <f>value(THB!$B1896)</f>
        <v>388.8996</v>
      </c>
      <c r="J1896" s="1">
        <f>value(VND!$B1896)</f>
        <v>0.6041201393</v>
      </c>
      <c r="K1896" s="1">
        <f>value(CNY!$B1896)</f>
        <v>2138.64246</v>
      </c>
      <c r="L1896" s="1">
        <f>value(HKD!$B1896)</f>
        <v>1783.2402</v>
      </c>
      <c r="M1896" s="1">
        <f>value(TWD!$B1896)</f>
        <v>417.69</v>
      </c>
      <c r="N1896" s="1">
        <f>value(JPY!$B1896)</f>
        <v>111.121284</v>
      </c>
      <c r="O1896" s="1">
        <f>value(SAR!$B1896)</f>
        <v>3691.095966</v>
      </c>
      <c r="P1896" s="1">
        <f>value(AED!$B1896)</f>
        <v>3576.608508</v>
      </c>
      <c r="Q1896" s="1">
        <f>value(KWD!$B1896)</f>
        <v>43446.32449</v>
      </c>
    </row>
    <row r="1897">
      <c r="A1897" s="4">
        <f>value(USD!A1897)</f>
        <v>42230.99861</v>
      </c>
      <c r="B1897" s="1">
        <f>value(USD!B1897)</f>
        <v>13715</v>
      </c>
      <c r="C1897" s="1">
        <f>value(AUD!$B1897)</f>
        <v>9764.0928</v>
      </c>
      <c r="D1897" s="1">
        <f>value(EUR!$B1897)</f>
        <v>15250.9012</v>
      </c>
      <c r="E1897" s="1">
        <f>value(GBP!$B1897)</f>
        <v>21658.38156</v>
      </c>
      <c r="F1897" s="1">
        <f>value(CHF!$B1897)</f>
        <v>14573.13</v>
      </c>
      <c r="G1897" s="1">
        <f>value(SGD!$B1897)</f>
        <v>9844.1532</v>
      </c>
      <c r="H1897" s="1">
        <f>value(MYR!$B1897)</f>
        <v>3384.26472</v>
      </c>
      <c r="I1897" s="1">
        <f>value(THB!$B1897)</f>
        <v>388.42852</v>
      </c>
      <c r="J1897" s="1">
        <f>value(VND!$B1897)</f>
        <v>0.607242083</v>
      </c>
      <c r="K1897" s="1">
        <f>value(CNY!$B1897)</f>
        <v>2140.68276</v>
      </c>
      <c r="L1897" s="1">
        <f>value(HKD!$B1897)</f>
        <v>1783.1206</v>
      </c>
      <c r="M1897" s="1">
        <f>value(TWD!$B1897)</f>
        <v>416.08518</v>
      </c>
      <c r="N1897" s="1">
        <f>value(JPY!$B1897)</f>
        <v>111.1619092</v>
      </c>
      <c r="O1897" s="1">
        <f>value(SAR!$B1897)</f>
        <v>3731.207674</v>
      </c>
      <c r="P1897" s="1">
        <f>value(AED!$B1897)</f>
        <v>3564.1971</v>
      </c>
      <c r="Q1897" s="1">
        <f>value(KWD!$B1897)</f>
        <v>43663.83851</v>
      </c>
    </row>
    <row r="1898">
      <c r="A1898" s="4">
        <f>value(USD!A1898)</f>
        <v>42233.99861</v>
      </c>
      <c r="B1898" s="1">
        <f>value(USD!B1898)</f>
        <v>13830</v>
      </c>
      <c r="C1898" s="1">
        <f>value(AUD!$B1898)</f>
        <v>9913.1684</v>
      </c>
      <c r="D1898" s="1">
        <f>value(EUR!$B1898)</f>
        <v>15286.4012</v>
      </c>
      <c r="E1898" s="1">
        <f>value(GBP!$B1898)</f>
        <v>21558.2388</v>
      </c>
      <c r="F1898" s="1">
        <f>value(CHF!$B1898)</f>
        <v>14629.02</v>
      </c>
      <c r="G1898" s="1">
        <f>value(SGD!$B1898)</f>
        <v>9804.24872</v>
      </c>
      <c r="H1898" s="1">
        <f>value(MYR!$B1898)</f>
        <v>3334.43992</v>
      </c>
      <c r="I1898" s="1">
        <f>value(THB!$B1898)</f>
        <v>385.76888</v>
      </c>
      <c r="J1898" s="1">
        <f>value(VND!$B1898)</f>
        <v>0.6046025922</v>
      </c>
      <c r="K1898" s="1">
        <f>value(CNY!$B1898)</f>
        <v>2157.0838</v>
      </c>
      <c r="L1898" s="1">
        <f>value(HKD!$B1898)</f>
        <v>1772.94208</v>
      </c>
      <c r="M1898" s="1">
        <f>value(TWD!$B1898)</f>
        <v>417.98946</v>
      </c>
      <c r="N1898" s="1">
        <f>value(JPY!$B1898)</f>
        <v>110.9422356</v>
      </c>
      <c r="O1898" s="1">
        <f>value(SAR!$B1898)</f>
        <v>3713.531254</v>
      </c>
      <c r="P1898" s="1">
        <f>value(AED!$B1898)</f>
        <v>3558.33987</v>
      </c>
      <c r="Q1898" s="1">
        <f>value(KWD!$B1898)</f>
        <v>43753.5246</v>
      </c>
    </row>
    <row r="1899">
      <c r="A1899" s="4">
        <f>value(USD!A1899)</f>
        <v>42234.99861</v>
      </c>
      <c r="B1899" s="1">
        <f>value(USD!B1899)</f>
        <v>13828</v>
      </c>
      <c r="C1899" s="1">
        <f>value(AUD!$B1899)</f>
        <v>9856.665</v>
      </c>
      <c r="D1899" s="1">
        <f>value(EUR!$B1899)</f>
        <v>15599.7975</v>
      </c>
      <c r="E1899" s="1">
        <f>value(GBP!$B1899)</f>
        <v>21781.3995</v>
      </c>
      <c r="F1899" s="1">
        <f>value(CHF!$B1899)</f>
        <v>14475.768</v>
      </c>
      <c r="G1899" s="1">
        <f>value(SGD!$B1899)</f>
        <v>9893.3402</v>
      </c>
      <c r="H1899" s="1">
        <f>value(MYR!$B1899)</f>
        <v>3366.8348</v>
      </c>
      <c r="I1899" s="1">
        <f>value(THB!$B1899)</f>
        <v>389.8908</v>
      </c>
      <c r="J1899" s="1">
        <f>value(VND!$B1899)</f>
        <v>0.6067149544</v>
      </c>
      <c r="K1899" s="1">
        <f>value(CNY!$B1899)</f>
        <v>2182.896006</v>
      </c>
      <c r="L1899" s="1">
        <f>value(HKD!$B1899)</f>
        <v>1790.8873</v>
      </c>
      <c r="M1899" s="1">
        <f>value(TWD!$B1899)</f>
        <v>420.0766</v>
      </c>
      <c r="N1899" s="1">
        <f>value(JPY!$B1899)</f>
        <v>112.4809965</v>
      </c>
      <c r="O1899" s="1">
        <f>value(SAR!$B1899)</f>
        <v>3692.233685</v>
      </c>
      <c r="P1899" s="1">
        <f>value(AED!$B1899)</f>
        <v>3577.8061</v>
      </c>
      <c r="Q1899" s="1">
        <f>value(KWD!$B1899)</f>
        <v>43596.62879</v>
      </c>
    </row>
    <row r="1900">
      <c r="A1900" s="4">
        <f>value(USD!A1900)</f>
        <v>42235.99861</v>
      </c>
      <c r="B1900" s="1">
        <f>value(USD!B1900)</f>
        <v>13748</v>
      </c>
      <c r="C1900" s="1">
        <f>value(AUD!$B1900)</f>
        <v>9701.016</v>
      </c>
      <c r="D1900" s="1">
        <f>value(EUR!$B1900)</f>
        <v>15736.6665</v>
      </c>
      <c r="E1900" s="1">
        <f>value(GBP!$B1900)</f>
        <v>21685.4055</v>
      </c>
      <c r="F1900" s="1">
        <f>value(CHF!$B1900)</f>
        <v>14610.525</v>
      </c>
      <c r="G1900" s="1">
        <f>value(SGD!$B1900)</f>
        <v>9807.2685</v>
      </c>
      <c r="H1900" s="1">
        <f>value(MYR!$B1900)</f>
        <v>3281.0625</v>
      </c>
      <c r="I1900" s="1">
        <f>value(THB!$B1900)</f>
        <v>386.68185</v>
      </c>
      <c r="J1900" s="1">
        <f>value(VND!$B1900)</f>
        <v>0.6125193707</v>
      </c>
      <c r="K1900" s="1">
        <f>value(CNY!$B1900)</f>
        <v>2142.3808</v>
      </c>
      <c r="L1900" s="1">
        <f>value(HKD!$B1900)</f>
        <v>1781.8587</v>
      </c>
      <c r="M1900" s="1">
        <f>value(TWD!$B1900)</f>
        <v>415.0048</v>
      </c>
      <c r="N1900" s="1">
        <f>value(JPY!$B1900)</f>
        <v>113.14485</v>
      </c>
      <c r="O1900" s="1">
        <f>value(SAR!$B1900)</f>
        <v>3690.800249</v>
      </c>
      <c r="P1900" s="1">
        <f>value(AED!$B1900)</f>
        <v>3584.36464</v>
      </c>
      <c r="Q1900" s="1">
        <f>value(KWD!$B1900)</f>
        <v>43495.85822</v>
      </c>
    </row>
    <row r="1901">
      <c r="A1901" s="4">
        <f>value(USD!A1901)</f>
        <v>42236.99861</v>
      </c>
      <c r="B1901" s="1">
        <f>value(USD!B1901)</f>
        <v>13885</v>
      </c>
      <c r="C1901" s="1">
        <f>value(AUD!$B1901)</f>
        <v>9815.5</v>
      </c>
      <c r="D1901" s="1">
        <f>value(EUR!$B1901)</f>
        <v>16113.0134</v>
      </c>
      <c r="E1901" s="1">
        <f>value(GBP!$B1901)</f>
        <v>21927.257</v>
      </c>
      <c r="F1901" s="1">
        <f>value(CHF!$B1901)</f>
        <v>14613.651</v>
      </c>
      <c r="G1901" s="1">
        <f>value(SGD!$B1901)</f>
        <v>9863.64775</v>
      </c>
      <c r="H1901" s="1">
        <f>value(MYR!$B1901)</f>
        <v>3250.40485</v>
      </c>
      <c r="I1901" s="1">
        <f>value(THB!$B1901)</f>
        <v>389.48085</v>
      </c>
      <c r="J1901" s="1">
        <f>value(VND!$B1901)</f>
        <v>0.6192775367</v>
      </c>
      <c r="K1901" s="1">
        <f>value(CNY!$B1901)</f>
        <v>2112.9273</v>
      </c>
      <c r="L1901" s="1">
        <f>value(HKD!$B1901)</f>
        <v>1794.61755</v>
      </c>
      <c r="M1901" s="1">
        <f>value(TWD!$B1901)</f>
        <v>410.55675</v>
      </c>
      <c r="N1901" s="1">
        <f>value(JPY!$B1901)</f>
        <v>116.9931455</v>
      </c>
      <c r="O1901" s="1">
        <f>value(SAR!$B1901)</f>
        <v>3669.189281</v>
      </c>
      <c r="P1901" s="1">
        <f>value(AED!$B1901)</f>
        <v>3573.7234</v>
      </c>
      <c r="Q1901" s="1">
        <f>value(KWD!$B1901)</f>
        <v>43450.53193</v>
      </c>
    </row>
    <row r="1902">
      <c r="A1902" s="4">
        <f>value(USD!A1902)</f>
        <v>42237.99861</v>
      </c>
      <c r="B1902" s="1">
        <f>value(USD!B1902)</f>
        <v>13815</v>
      </c>
      <c r="C1902" s="1">
        <f>value(AUD!$B1902)</f>
        <v>9782.98475</v>
      </c>
      <c r="D1902" s="1">
        <f>value(EUR!$B1902)</f>
        <v>15939.138</v>
      </c>
      <c r="E1902" s="1">
        <f>value(GBP!$B1902)</f>
        <v>21656.616</v>
      </c>
      <c r="F1902" s="1">
        <f>value(CHF!$B1902)</f>
        <v>14719.505</v>
      </c>
      <c r="G1902" s="1">
        <f>value(SGD!$B1902)</f>
        <v>9826.29</v>
      </c>
      <c r="H1902" s="1">
        <f>value(MYR!$B1902)</f>
        <v>3258.18</v>
      </c>
      <c r="I1902" s="1">
        <f>value(THB!$B1902)</f>
        <v>387.642</v>
      </c>
      <c r="J1902" s="1">
        <f>value(VND!$B1902)</f>
        <v>0.6194508876</v>
      </c>
      <c r="K1902" s="1">
        <f>value(CNY!$B1902)</f>
        <v>2124.0063</v>
      </c>
      <c r="L1902" s="1">
        <f>value(HKD!$B1902)</f>
        <v>1780.062</v>
      </c>
      <c r="M1902" s="1">
        <f>value(TWD!$B1902)</f>
        <v>412.7994</v>
      </c>
      <c r="N1902" s="1">
        <f>value(JPY!$B1902)</f>
        <v>116.37264</v>
      </c>
      <c r="O1902" s="1">
        <f>value(SAR!$B1902)</f>
        <v>3667.627015</v>
      </c>
      <c r="P1902" s="1">
        <f>value(AED!$B1902)</f>
        <v>3601.189597</v>
      </c>
      <c r="Q1902" s="1">
        <f>value(KWD!$B1902)</f>
        <v>43716.16257</v>
      </c>
    </row>
    <row r="1903">
      <c r="A1903" s="4">
        <f>value(USD!A1903)</f>
        <v>42240.99861</v>
      </c>
      <c r="B1903" s="1">
        <f>value(USD!B1903)</f>
        <v>13915</v>
      </c>
      <c r="C1903" s="1">
        <f>value(AUD!$B1903)</f>
        <v>9901.983</v>
      </c>
      <c r="D1903" s="1">
        <f>value(EUR!$B1903)</f>
        <v>15825.056</v>
      </c>
      <c r="E1903" s="1">
        <f>value(GBP!$B1903)</f>
        <v>21605.892</v>
      </c>
      <c r="F1903" s="1">
        <f>value(CHF!$B1903)</f>
        <v>14776.506</v>
      </c>
      <c r="G1903" s="1">
        <f>value(SGD!$B1903)</f>
        <v>9935.8904</v>
      </c>
      <c r="H1903" s="1">
        <f>value(MYR!$B1903)</f>
        <v>3298.3292</v>
      </c>
      <c r="I1903" s="1">
        <f>value(THB!$B1903)</f>
        <v>391.4384</v>
      </c>
      <c r="J1903" s="1">
        <f>value(VND!$B1903)</f>
        <v>0.6166879114</v>
      </c>
      <c r="K1903" s="1">
        <f>value(CNY!$B1903)</f>
        <v>2131.40475</v>
      </c>
      <c r="L1903" s="1">
        <f>value(HKD!$B1903)</f>
        <v>1800.84</v>
      </c>
      <c r="M1903" s="1">
        <f>value(TWD!$B1903)</f>
        <v>416.8405</v>
      </c>
      <c r="N1903" s="1">
        <f>value(JPY!$B1903)</f>
        <v>116.249108</v>
      </c>
      <c r="O1903" s="1">
        <f>value(SAR!$B1903)</f>
        <v>3695.216257</v>
      </c>
      <c r="P1903" s="1">
        <f>value(AED!$B1903)</f>
        <v>3566.64672</v>
      </c>
      <c r="Q1903" s="1">
        <f>value(KWD!$B1903)</f>
        <v>43736.08487</v>
      </c>
    </row>
    <row r="1904">
      <c r="A1904" s="4">
        <f>value(USD!A1904)</f>
        <v>42241.99861</v>
      </c>
      <c r="B1904" s="1">
        <f>value(USD!B1904)</f>
        <v>13800</v>
      </c>
      <c r="C1904" s="1">
        <f>value(AUD!$B1904)</f>
        <v>9977.84848</v>
      </c>
      <c r="D1904" s="1">
        <f>value(EUR!$B1904)</f>
        <v>15515.2365</v>
      </c>
      <c r="E1904" s="1">
        <f>value(GBP!$B1904)</f>
        <v>21256.7155</v>
      </c>
      <c r="F1904" s="1">
        <f>value(CHF!$B1904)</f>
        <v>14777.28</v>
      </c>
      <c r="G1904" s="1">
        <f>value(SGD!$B1904)</f>
        <v>9849.9059</v>
      </c>
      <c r="H1904" s="1">
        <f>value(MYR!$B1904)</f>
        <v>3262.7934</v>
      </c>
      <c r="I1904" s="1">
        <f>value(THB!$B1904)</f>
        <v>386.5359</v>
      </c>
      <c r="J1904" s="1">
        <f>value(VND!$B1904)</f>
        <v>0.6176604384</v>
      </c>
      <c r="K1904" s="1">
        <f>value(CNY!$B1904)</f>
        <v>2142.6223</v>
      </c>
      <c r="L1904" s="1">
        <f>value(HKD!$B1904)</f>
        <v>1779.69295</v>
      </c>
      <c r="M1904" s="1">
        <f>value(TWD!$B1904)</f>
        <v>415.7855</v>
      </c>
      <c r="N1904" s="1">
        <f>value(JPY!$B1904)</f>
        <v>113.990844</v>
      </c>
      <c r="O1904" s="1">
        <f>value(SAR!$B1904)</f>
        <v>3692.332293</v>
      </c>
      <c r="P1904" s="1">
        <f>value(AED!$B1904)</f>
        <v>3561.74748</v>
      </c>
      <c r="Q1904" s="1">
        <f>value(KWD!$B1904)</f>
        <v>43771.7603</v>
      </c>
    </row>
    <row r="1905">
      <c r="A1905" s="4">
        <f>value(USD!A1905)</f>
        <v>42242.99861</v>
      </c>
      <c r="B1905" s="1">
        <f>value(USD!B1905)</f>
        <v>13960</v>
      </c>
      <c r="C1905" s="1">
        <f>value(AUD!$B1905)</f>
        <v>9882.906</v>
      </c>
      <c r="D1905" s="1">
        <f>value(EUR!$B1905)</f>
        <v>15552.771</v>
      </c>
      <c r="E1905" s="1">
        <f>value(GBP!$B1905)</f>
        <v>21408.881</v>
      </c>
      <c r="F1905" s="1">
        <f>value(CHF!$B1905)</f>
        <v>14815.4985</v>
      </c>
      <c r="G1905" s="1">
        <f>value(SGD!$B1905)</f>
        <v>9870.2578</v>
      </c>
      <c r="H1905" s="1">
        <f>value(MYR!$B1905)</f>
        <v>3322.1253</v>
      </c>
      <c r="I1905" s="1">
        <f>value(THB!$B1905)</f>
        <v>387.5326</v>
      </c>
      <c r="J1905" s="1">
        <f>value(VND!$B1905)</f>
        <v>0.6187141875</v>
      </c>
      <c r="K1905" s="1">
        <f>value(CNY!$B1905)</f>
        <v>2159.53343</v>
      </c>
      <c r="L1905" s="1">
        <f>value(HKD!$B1905)</f>
        <v>1794.6682</v>
      </c>
      <c r="M1905" s="1">
        <f>value(TWD!$B1905)</f>
        <v>403.48265</v>
      </c>
      <c r="N1905" s="1">
        <f>value(JPY!$B1905)</f>
        <v>114.2011</v>
      </c>
      <c r="O1905" s="1">
        <f>value(SAR!$B1905)</f>
        <v>3705.879079</v>
      </c>
      <c r="P1905" s="1">
        <f>value(AED!$B1905)</f>
        <v>3583.52188</v>
      </c>
      <c r="Q1905" s="1">
        <f>value(KWD!$B1905)</f>
        <v>43794.40087</v>
      </c>
    </row>
    <row r="1906">
      <c r="A1906" s="4">
        <f>value(USD!A1906)</f>
        <v>42243.99861</v>
      </c>
      <c r="B1906" s="1">
        <f>value(USD!B1906)</f>
        <v>13795</v>
      </c>
      <c r="C1906" s="1">
        <f>value(AUD!$B1906)</f>
        <v>9717.36844</v>
      </c>
      <c r="D1906" s="1">
        <f>value(EUR!$B1906)</f>
        <v>15715</v>
      </c>
      <c r="E1906" s="1">
        <f>value(GBP!$B1906)</f>
        <v>21508.9</v>
      </c>
      <c r="F1906" s="1">
        <f>value(CHF!$B1906)</f>
        <v>14782.62</v>
      </c>
      <c r="G1906" s="1">
        <f>value(SGD!$B1906)</f>
        <v>9924.6</v>
      </c>
      <c r="H1906" s="1">
        <f>value(MYR!$B1906)</f>
        <v>3323.88</v>
      </c>
      <c r="I1906" s="1">
        <f>value(THB!$B1906)</f>
        <v>390.32</v>
      </c>
      <c r="J1906" s="1">
        <f>value(VND!$B1906)</f>
        <v>0.6152483836</v>
      </c>
      <c r="K1906" s="1">
        <f>value(CNY!$B1906)</f>
        <v>2144.4482</v>
      </c>
      <c r="L1906" s="1">
        <f>value(HKD!$B1906)</f>
        <v>1806.28</v>
      </c>
      <c r="M1906" s="1">
        <f>value(TWD!$B1906)</f>
        <v>412.7664</v>
      </c>
      <c r="N1906" s="1">
        <f>value(JPY!$B1906)</f>
        <v>115.5924</v>
      </c>
      <c r="O1906" s="1">
        <f>value(SAR!$B1906)</f>
        <v>3685.939346</v>
      </c>
      <c r="P1906" s="1">
        <f>value(AED!$B1906)</f>
        <v>3585.15496</v>
      </c>
      <c r="Q1906" s="1">
        <f>value(KWD!$B1906)</f>
        <v>43694.79268</v>
      </c>
    </row>
    <row r="1907">
      <c r="A1907" s="4">
        <f>value(USD!A1907)</f>
        <v>42244.99861</v>
      </c>
      <c r="B1907" s="1">
        <f>value(USD!B1907)</f>
        <v>13910</v>
      </c>
      <c r="C1907" s="1">
        <f>value(AUD!$B1907)</f>
        <v>9748.3256</v>
      </c>
      <c r="D1907" s="1">
        <f>value(EUR!$B1907)</f>
        <v>15796.6484</v>
      </c>
      <c r="E1907" s="1">
        <f>value(GBP!$B1907)</f>
        <v>21404.57748</v>
      </c>
      <c r="F1907" s="1">
        <f>value(CHF!$B1907)</f>
        <v>14865.3363</v>
      </c>
      <c r="G1907" s="1">
        <f>value(SGD!$B1907)</f>
        <v>9892.45348</v>
      </c>
      <c r="H1907" s="1">
        <f>value(MYR!$B1907)</f>
        <v>3327.32556</v>
      </c>
      <c r="I1907" s="1">
        <f>value(THB!$B1907)</f>
        <v>390.9646</v>
      </c>
      <c r="J1907" s="1">
        <f>value(VND!$B1907)</f>
        <v>0.615468399</v>
      </c>
      <c r="K1907" s="1">
        <f>value(CNY!$B1907)</f>
        <v>2131.4964</v>
      </c>
      <c r="L1907" s="1">
        <f>value(HKD!$B1907)</f>
        <v>1804.87164</v>
      </c>
      <c r="M1907" s="1">
        <f>value(TWD!$B1907)</f>
        <v>403.18025</v>
      </c>
      <c r="N1907" s="1">
        <f>value(JPY!$B1907)</f>
        <v>116.7998</v>
      </c>
      <c r="O1907" s="1">
        <f>value(SAR!$B1907)</f>
        <v>3674.782309</v>
      </c>
      <c r="P1907" s="1">
        <f>value(AED!$B1907)</f>
        <v>3592.33875</v>
      </c>
      <c r="Q1907" s="1">
        <f>value(KWD!$B1907)</f>
        <v>43656.4461</v>
      </c>
    </row>
    <row r="1908">
      <c r="A1908" s="4">
        <f>value(USD!A1908)</f>
        <v>42247.99861</v>
      </c>
      <c r="B1908" s="1">
        <f>value(USD!B1908)</f>
        <v>14000</v>
      </c>
      <c r="C1908" s="1">
        <f>value(AUD!$B1908)</f>
        <v>9864.8002</v>
      </c>
      <c r="D1908" s="1">
        <f>value(EUR!$B1908)</f>
        <v>15754.265</v>
      </c>
      <c r="E1908" s="1">
        <f>value(GBP!$B1908)</f>
        <v>21500.715</v>
      </c>
      <c r="F1908" s="1">
        <f>value(CHF!$B1908)</f>
        <v>14883.842</v>
      </c>
      <c r="G1908" s="1">
        <f>value(SGD!$B1908)</f>
        <v>9921.4075</v>
      </c>
      <c r="H1908" s="1">
        <f>value(MYR!$B1908)</f>
        <v>3317.6265</v>
      </c>
      <c r="I1908" s="1">
        <f>value(THB!$B1908)</f>
        <v>392.6975</v>
      </c>
      <c r="J1908" s="1">
        <f>value(VND!$B1908)</f>
        <v>0.6179897511</v>
      </c>
      <c r="K1908" s="1">
        <f>value(CNY!$B1908)</f>
        <v>2123.6955</v>
      </c>
      <c r="L1908" s="1">
        <f>value(HKD!$B1908)</f>
        <v>1812.731</v>
      </c>
      <c r="M1908" s="1">
        <f>value(TWD!$B1908)</f>
        <v>407.3473</v>
      </c>
      <c r="N1908" s="1">
        <f>value(JPY!$B1908)</f>
        <v>116.501195</v>
      </c>
      <c r="O1908" s="1">
        <f>value(SAR!$B1908)</f>
        <v>3649.001992</v>
      </c>
      <c r="P1908" s="1">
        <f>value(AED!$B1908)</f>
        <v>3590.0542</v>
      </c>
      <c r="Q1908" s="1">
        <f>value(KWD!$B1908)</f>
        <v>43706.2254</v>
      </c>
    </row>
    <row r="1909">
      <c r="A1909" s="4">
        <f>value(USD!A1909)</f>
        <v>42248.99861</v>
      </c>
      <c r="B1909" s="1">
        <f>value(USD!B1909)</f>
        <v>13988</v>
      </c>
      <c r="C1909" s="1">
        <f>value(AUD!$B1909)</f>
        <v>9814.35</v>
      </c>
      <c r="D1909" s="1">
        <f>value(EUR!$B1909)</f>
        <v>15647.3125</v>
      </c>
      <c r="E1909" s="1">
        <f>value(GBP!$B1909)</f>
        <v>21460.9396</v>
      </c>
      <c r="F1909" s="1">
        <f>value(CHF!$B1909)</f>
        <v>14958.4155</v>
      </c>
      <c r="G1909" s="1">
        <f>value(SGD!$B1909)</f>
        <v>9929.18675</v>
      </c>
      <c r="H1909" s="1">
        <f>value(MYR!$B1909)</f>
        <v>3305.97825</v>
      </c>
      <c r="I1909" s="1">
        <f>value(THB!$B1909)</f>
        <v>391.42895</v>
      </c>
      <c r="J1909" s="1">
        <f>value(VND!$B1909)</f>
        <v>0.6195731061</v>
      </c>
      <c r="K1909" s="1">
        <f>value(CNY!$B1909)</f>
        <v>2137.1783</v>
      </c>
      <c r="L1909" s="1">
        <f>value(HKD!$B1909)</f>
        <v>1814.80695</v>
      </c>
      <c r="M1909" s="1">
        <f>value(TWD!$B1909)</f>
        <v>417.64977</v>
      </c>
      <c r="N1909" s="1">
        <f>value(JPY!$B1909)</f>
        <v>117.130507</v>
      </c>
      <c r="O1909" s="1">
        <f>value(SAR!$B1909)</f>
        <v>3638.6449</v>
      </c>
      <c r="P1909" s="1">
        <f>value(AED!$B1909)</f>
        <v>3581.8888</v>
      </c>
      <c r="Q1909" s="1">
        <f>value(KWD!$B1909)</f>
        <v>43737.33735</v>
      </c>
    </row>
    <row r="1910">
      <c r="A1910" s="4">
        <f>value(USD!A1910)</f>
        <v>42249.99861</v>
      </c>
      <c r="B1910" s="1">
        <f>value(USD!B1910)</f>
        <v>14050</v>
      </c>
      <c r="C1910" s="1">
        <f>value(AUD!$B1910)</f>
        <v>9653.3394</v>
      </c>
      <c r="D1910" s="1">
        <f>value(EUR!$B1910)</f>
        <v>15796.7337</v>
      </c>
      <c r="E1910" s="1">
        <f>value(GBP!$B1910)</f>
        <v>21524.811</v>
      </c>
      <c r="F1910" s="1">
        <f>value(CHF!$B1910)</f>
        <v>14945.976</v>
      </c>
      <c r="G1910" s="1">
        <f>value(SGD!$B1910)</f>
        <v>9958.6839</v>
      </c>
      <c r="H1910" s="1">
        <f>value(MYR!$B1910)</f>
        <v>3274.0587</v>
      </c>
      <c r="I1910" s="1">
        <f>value(THB!$B1910)</f>
        <v>394.0563</v>
      </c>
      <c r="J1910" s="1">
        <f>value(VND!$B1910)</f>
        <v>0.6163669988</v>
      </c>
      <c r="K1910" s="1">
        <f>value(CNY!$B1910)</f>
        <v>2157.23871</v>
      </c>
      <c r="L1910" s="1">
        <f>value(HKD!$B1910)</f>
        <v>1830.7938</v>
      </c>
      <c r="M1910" s="1">
        <f>value(TWD!$B1910)</f>
        <v>415.07824</v>
      </c>
      <c r="N1910" s="1">
        <f>value(JPY!$B1910)</f>
        <v>119.196</v>
      </c>
      <c r="O1910" s="1">
        <f>value(SAR!$B1910)</f>
        <v>3665.536406</v>
      </c>
      <c r="P1910" s="1">
        <f>value(AED!$B1910)</f>
        <v>3580.65945</v>
      </c>
      <c r="Q1910" s="1">
        <f>value(KWD!$B1910)</f>
        <v>43853.62721</v>
      </c>
    </row>
    <row r="1911">
      <c r="A1911" s="4">
        <f>value(USD!A1911)</f>
        <v>42250.99861</v>
      </c>
      <c r="B1911" s="1">
        <f>value(USD!B1911)</f>
        <v>14065</v>
      </c>
      <c r="C1911" s="1">
        <f>value(AUD!$B1911)</f>
        <v>9641.0976</v>
      </c>
      <c r="D1911" s="1">
        <f>value(EUR!$B1911)</f>
        <v>15932.3275</v>
      </c>
      <c r="E1911" s="1">
        <f>value(GBP!$B1911)</f>
        <v>21807.20375</v>
      </c>
      <c r="F1911" s="1">
        <f>value(CHF!$B1911)</f>
        <v>14991.273</v>
      </c>
      <c r="G1911" s="1">
        <f>value(SGD!$B1911)</f>
        <v>10000.2085</v>
      </c>
      <c r="H1911" s="1">
        <f>value(MYR!$B1911)</f>
        <v>3289.10275</v>
      </c>
      <c r="I1911" s="1">
        <f>value(THB!$B1911)</f>
        <v>394.70375</v>
      </c>
      <c r="J1911" s="1">
        <f>value(VND!$B1911)</f>
        <v>0.613671198</v>
      </c>
      <c r="K1911" s="1">
        <f>value(CNY!$B1911)</f>
        <v>2138.55457</v>
      </c>
      <c r="L1911" s="1">
        <f>value(HKD!$B1911)</f>
        <v>1841.7605</v>
      </c>
      <c r="M1911" s="1">
        <f>value(TWD!$B1911)</f>
        <v>406.2492</v>
      </c>
      <c r="N1911" s="1">
        <f>value(JPY!$B1911)</f>
        <v>119.5317125</v>
      </c>
      <c r="O1911" s="1">
        <f>value(SAR!$B1911)</f>
        <v>3626.024433</v>
      </c>
      <c r="P1911" s="1">
        <f>value(AED!$B1911)</f>
        <v>3584.7423</v>
      </c>
      <c r="Q1911" s="1">
        <f>value(KWD!$B1911)</f>
        <v>43599.12156</v>
      </c>
    </row>
    <row r="1912">
      <c r="A1912" s="4">
        <f>value(USD!A1912)</f>
        <v>42251.99861</v>
      </c>
      <c r="B1912" s="1">
        <f>value(USD!B1912)</f>
        <v>14190</v>
      </c>
      <c r="C1912" s="1">
        <f>value(AUD!$B1912)</f>
        <v>9722.6879</v>
      </c>
      <c r="D1912" s="1">
        <f>value(EUR!$B1912)</f>
        <v>15866.28</v>
      </c>
      <c r="E1912" s="1">
        <f>value(GBP!$B1912)</f>
        <v>21800.736</v>
      </c>
      <c r="F1912" s="1">
        <f>value(CHF!$B1912)</f>
        <v>14919.5719</v>
      </c>
      <c r="G1912" s="1">
        <f>value(SGD!$B1912)</f>
        <v>9990.1632</v>
      </c>
      <c r="H1912" s="1">
        <f>value(MYR!$B1912)</f>
        <v>3276.624</v>
      </c>
      <c r="I1912" s="1">
        <f>value(THB!$B1912)</f>
        <v>392.3736</v>
      </c>
      <c r="J1912" s="1">
        <f>value(VND!$B1912)</f>
        <v>0.6084984773</v>
      </c>
      <c r="K1912" s="1">
        <f>value(CNY!$B1912)</f>
        <v>2151.60768</v>
      </c>
      <c r="L1912" s="1">
        <f>value(HKD!$B1912)</f>
        <v>1826.7816</v>
      </c>
      <c r="M1912" s="1">
        <f>value(TWD!$B1912)</f>
        <v>415.2615</v>
      </c>
      <c r="N1912" s="1">
        <f>value(JPY!$B1912)</f>
        <v>117.89616</v>
      </c>
      <c r="O1912" s="1">
        <f>value(SAR!$B1912)</f>
        <v>3633.548621</v>
      </c>
      <c r="P1912" s="1">
        <f>value(AED!$B1912)</f>
        <v>3586.10325</v>
      </c>
      <c r="Q1912" s="1">
        <f>value(KWD!$B1912)</f>
        <v>43939.73767</v>
      </c>
    </row>
    <row r="1913">
      <c r="A1913" s="4">
        <f>value(USD!A1913)</f>
        <v>42254.99861</v>
      </c>
      <c r="B1913" s="1">
        <f>value(USD!B1913)</f>
        <v>14275</v>
      </c>
      <c r="C1913" s="1">
        <f>value(AUD!$B1913)</f>
        <v>9719.4776</v>
      </c>
      <c r="D1913" s="1">
        <f>value(EUR!$B1913)</f>
        <v>15985.65</v>
      </c>
      <c r="E1913" s="1">
        <f>value(GBP!$B1913)</f>
        <v>21880.875</v>
      </c>
      <c r="F1913" s="1">
        <f>value(CHF!$B1913)</f>
        <v>15073.2432</v>
      </c>
      <c r="G1913" s="1">
        <f>value(SGD!$B1913)</f>
        <v>10029.0075</v>
      </c>
      <c r="H1913" s="1">
        <f>value(MYR!$B1913)</f>
        <v>3278.4975</v>
      </c>
      <c r="I1913" s="1">
        <f>value(THB!$B1913)</f>
        <v>393.7275</v>
      </c>
      <c r="J1913" s="1">
        <f>value(VND!$B1913)</f>
        <v>0.6063235252</v>
      </c>
      <c r="K1913" s="1">
        <f>value(CNY!$B1913)</f>
        <v>2151.0216</v>
      </c>
      <c r="L1913" s="1">
        <f>value(HKD!$B1913)</f>
        <v>1838.25</v>
      </c>
      <c r="M1913" s="1">
        <f>value(TWD!$B1913)</f>
        <v>419.89125</v>
      </c>
      <c r="N1913" s="1">
        <f>value(JPY!$B1913)</f>
        <v>118.4631</v>
      </c>
      <c r="O1913" s="1">
        <f>value(SAR!$B1913)</f>
        <v>3625.954146</v>
      </c>
      <c r="P1913" s="1">
        <f>value(AED!$B1913)</f>
        <v>3595.638065</v>
      </c>
      <c r="Q1913" s="1">
        <f>value(KWD!$B1913)</f>
        <v>44488.1274</v>
      </c>
    </row>
    <row r="1914">
      <c r="A1914" s="4">
        <f>value(USD!A1914)</f>
        <v>42255.99861</v>
      </c>
      <c r="B1914" s="1">
        <f>value(USD!B1914)</f>
        <v>14160</v>
      </c>
      <c r="C1914" s="1">
        <f>value(AUD!$B1914)</f>
        <v>9626.9865</v>
      </c>
      <c r="D1914" s="1">
        <f>value(EUR!$B1914)</f>
        <v>16061.0658</v>
      </c>
      <c r="E1914" s="1">
        <f>value(GBP!$B1914)</f>
        <v>21977.1318</v>
      </c>
      <c r="F1914" s="1">
        <f>value(CHF!$B1914)</f>
        <v>15113.06</v>
      </c>
      <c r="G1914" s="1">
        <f>value(SGD!$B1914)</f>
        <v>10068.7002</v>
      </c>
      <c r="H1914" s="1">
        <f>value(MYR!$B1914)</f>
        <v>3305.79405</v>
      </c>
      <c r="I1914" s="1">
        <f>value(THB!$B1914)</f>
        <v>394.45185</v>
      </c>
      <c r="J1914" s="1">
        <f>value(VND!$B1914)</f>
        <v>0.6014459751</v>
      </c>
      <c r="K1914" s="1">
        <f>value(CNY!$B1914)</f>
        <v>2146.06595</v>
      </c>
      <c r="L1914" s="1">
        <f>value(HKD!$B1914)</f>
        <v>1836.74205</v>
      </c>
      <c r="M1914" s="1">
        <f>value(TWD!$B1914)</f>
        <v>403.2212</v>
      </c>
      <c r="N1914" s="1">
        <f>value(JPY!$B1914)</f>
        <v>117.996762</v>
      </c>
      <c r="O1914" s="1">
        <f>value(SAR!$B1914)</f>
        <v>3628.117242</v>
      </c>
      <c r="P1914" s="1">
        <f>value(AED!$B1914)</f>
        <v>3564.32805</v>
      </c>
      <c r="Q1914" s="1">
        <f>value(KWD!$B1914)</f>
        <v>44471.46518</v>
      </c>
    </row>
    <row r="1915">
      <c r="A1915" s="4">
        <f>value(USD!A1915)</f>
        <v>42256.99861</v>
      </c>
      <c r="B1915" s="1">
        <f>value(USD!B1915)</f>
        <v>14250</v>
      </c>
      <c r="C1915" s="1">
        <f>value(AUD!$B1915)</f>
        <v>9601.488</v>
      </c>
      <c r="D1915" s="1">
        <f>value(EUR!$B1915)</f>
        <v>16174.9023</v>
      </c>
      <c r="E1915" s="1">
        <f>value(GBP!$B1915)</f>
        <v>22015.0425</v>
      </c>
      <c r="F1915" s="1">
        <f>value(CHF!$B1915)</f>
        <v>14933.2624</v>
      </c>
      <c r="G1915" s="1">
        <f>value(SGD!$B1915)</f>
        <v>10090.1743</v>
      </c>
      <c r="H1915" s="1">
        <f>value(MYR!$B1915)</f>
        <v>3304.3612</v>
      </c>
      <c r="I1915" s="1">
        <f>value(THB!$B1915)</f>
        <v>395.7071</v>
      </c>
      <c r="J1915" s="1">
        <f>value(VND!$B1915)</f>
        <v>0.6012110656</v>
      </c>
      <c r="K1915" s="1">
        <f>value(CNY!$B1915)</f>
        <v>2139.4654</v>
      </c>
      <c r="L1915" s="1">
        <f>value(HKD!$B1915)</f>
        <v>1841.1154</v>
      </c>
      <c r="M1915" s="1">
        <f>value(TWD!$B1915)</f>
        <v>416.91915</v>
      </c>
      <c r="N1915" s="1">
        <f>value(JPY!$B1915)</f>
        <v>118.2983</v>
      </c>
      <c r="O1915" s="1">
        <f>value(SAR!$B1915)</f>
        <v>3650.924993</v>
      </c>
      <c r="P1915" s="1">
        <f>value(AED!$B1915)</f>
        <v>3588.6933</v>
      </c>
      <c r="Q1915" s="1">
        <f>value(KWD!$B1915)</f>
        <v>44393.29554</v>
      </c>
    </row>
    <row r="1916">
      <c r="A1916" s="4">
        <f>value(USD!A1916)</f>
        <v>42257.99861</v>
      </c>
      <c r="B1916" s="1">
        <f>value(USD!B1916)</f>
        <v>14235</v>
      </c>
      <c r="C1916" s="1">
        <f>value(AUD!$B1916)</f>
        <v>9662.26</v>
      </c>
      <c r="D1916" s="1">
        <f>value(EUR!$B1916)</f>
        <v>16180.317</v>
      </c>
      <c r="E1916" s="1">
        <f>value(GBP!$B1916)</f>
        <v>22073.175</v>
      </c>
      <c r="F1916" s="1">
        <f>value(CHF!$B1916)</f>
        <v>15015.4935</v>
      </c>
      <c r="G1916" s="1">
        <f>value(SGD!$B1916)</f>
        <v>10178.5599</v>
      </c>
      <c r="H1916" s="1">
        <f>value(MYR!$B1916)</f>
        <v>3309.0444</v>
      </c>
      <c r="I1916" s="1">
        <f>value(THB!$B1916)</f>
        <v>396.6732</v>
      </c>
      <c r="J1916" s="1">
        <f>value(VND!$B1916)</f>
        <v>0.6022727212</v>
      </c>
      <c r="K1916" s="1">
        <f>value(CNY!$B1916)</f>
        <v>2122.5304</v>
      </c>
      <c r="L1916" s="1">
        <f>value(HKD!$B1916)</f>
        <v>1846.2762</v>
      </c>
      <c r="M1916" s="1">
        <f>value(TWD!$B1916)</f>
        <v>406.1484</v>
      </c>
      <c r="N1916" s="1">
        <f>value(JPY!$B1916)</f>
        <v>118.870308</v>
      </c>
      <c r="O1916" s="1">
        <f>value(SAR!$B1916)</f>
        <v>3620.247715</v>
      </c>
      <c r="P1916" s="1">
        <f>value(AED!$B1916)</f>
        <v>3633.603</v>
      </c>
      <c r="Q1916" s="1">
        <f>value(KWD!$B1916)</f>
        <v>44697.62162</v>
      </c>
    </row>
    <row r="1917">
      <c r="A1917" s="4">
        <f>value(USD!A1917)</f>
        <v>42258.99861</v>
      </c>
      <c r="B1917" s="1">
        <f>value(USD!B1917)</f>
        <v>14270</v>
      </c>
      <c r="C1917" s="1">
        <f>value(AUD!$B1917)</f>
        <v>9576.4043</v>
      </c>
      <c r="D1917" s="1">
        <f>value(EUR!$B1917)</f>
        <v>16228.8</v>
      </c>
      <c r="E1917" s="1">
        <f>value(GBP!$B1917)</f>
        <v>22092.48</v>
      </c>
      <c r="F1917" s="1">
        <f>value(CHF!$B1917)</f>
        <v>15024.1635</v>
      </c>
      <c r="G1917" s="1">
        <f>value(SGD!$B1917)</f>
        <v>10260</v>
      </c>
      <c r="H1917" s="1">
        <f>value(MYR!$B1917)</f>
        <v>3369.6</v>
      </c>
      <c r="I1917" s="1">
        <f>value(THB!$B1917)</f>
        <v>400.032</v>
      </c>
      <c r="J1917" s="1">
        <f>value(VND!$B1917)</f>
        <v>0.6065819963</v>
      </c>
      <c r="K1917" s="1">
        <f>value(CNY!$B1917)</f>
        <v>2153.296117</v>
      </c>
      <c r="L1917" s="1">
        <f>value(HKD!$B1917)</f>
        <v>1857.888</v>
      </c>
      <c r="M1917" s="1">
        <f>value(TWD!$B1917)</f>
        <v>407.5641</v>
      </c>
      <c r="N1917" s="1">
        <f>value(JPY!$B1917)</f>
        <v>119.52</v>
      </c>
      <c r="O1917" s="1">
        <f>value(SAR!$B1917)</f>
        <v>3591.831221</v>
      </c>
      <c r="P1917" s="1">
        <f>value(AED!$B1917)</f>
        <v>3632.2421</v>
      </c>
      <c r="Q1917" s="1">
        <f>value(KWD!$B1917)</f>
        <v>44578.10338</v>
      </c>
    </row>
    <row r="1918">
      <c r="A1918" s="4">
        <f>value(USD!A1918)</f>
        <v>42261.99861</v>
      </c>
      <c r="B1918" s="1">
        <f>value(USD!B1918)</f>
        <v>14310</v>
      </c>
      <c r="C1918" s="1">
        <f>value(AUD!$B1918)</f>
        <v>9618.9063</v>
      </c>
      <c r="D1918" s="1">
        <f>value(EUR!$B1918)</f>
        <v>16234.5084</v>
      </c>
      <c r="E1918" s="1">
        <f>value(GBP!$B1918)</f>
        <v>22311.6663</v>
      </c>
      <c r="F1918" s="1">
        <f>value(CHF!$B1918)</f>
        <v>14792.3817</v>
      </c>
      <c r="G1918" s="1">
        <f>value(SGD!$B1918)</f>
        <v>10289.90644</v>
      </c>
      <c r="H1918" s="1">
        <f>value(MYR!$B1918)</f>
        <v>3408.93047</v>
      </c>
      <c r="I1918" s="1">
        <f>value(THB!$B1918)</f>
        <v>400.39945</v>
      </c>
      <c r="J1918" s="1">
        <f>value(VND!$B1918)</f>
        <v>0.6066857894</v>
      </c>
      <c r="K1918" s="1">
        <f>value(CNY!$B1918)</f>
        <v>2138.98245</v>
      </c>
      <c r="L1918" s="1">
        <f>value(HKD!$B1918)</f>
        <v>1854.92054</v>
      </c>
      <c r="M1918" s="1">
        <f>value(TWD!$B1918)</f>
        <v>420.0163</v>
      </c>
      <c r="N1918" s="1">
        <f>value(JPY!$B1918)</f>
        <v>119.18533</v>
      </c>
      <c r="O1918" s="1">
        <f>value(SAR!$B1918)</f>
        <v>3598.601119</v>
      </c>
      <c r="P1918" s="1">
        <f>value(AED!$B1918)</f>
        <v>3622.8489</v>
      </c>
      <c r="Q1918" s="1">
        <f>value(KWD!$B1918)</f>
        <v>44195.54395</v>
      </c>
    </row>
    <row r="1919">
      <c r="A1919" s="4">
        <f>value(USD!A1919)</f>
        <v>42262.99861</v>
      </c>
      <c r="B1919" s="1">
        <f>value(USD!B1919)</f>
        <v>14400</v>
      </c>
      <c r="C1919" s="1">
        <f>value(AUD!$B1919)</f>
        <v>9552.8844</v>
      </c>
      <c r="D1919" s="1">
        <f>value(EUR!$B1919)</f>
        <v>16215.0775</v>
      </c>
      <c r="E1919" s="1">
        <f>value(GBP!$B1919)</f>
        <v>22141.2125</v>
      </c>
      <c r="F1919" s="1">
        <f>value(CHF!$B1919)</f>
        <v>14529.604</v>
      </c>
      <c r="G1919" s="1">
        <f>value(SGD!$B1919)</f>
        <v>10183.25075</v>
      </c>
      <c r="H1919" s="1">
        <f>value(MYR!$B1919)</f>
        <v>3362.5055</v>
      </c>
      <c r="I1919" s="1">
        <f>value(THB!$B1919)</f>
        <v>397.162</v>
      </c>
      <c r="J1919" s="1">
        <f>value(VND!$B1919)</f>
        <v>0.6084776608</v>
      </c>
      <c r="K1919" s="1">
        <f>value(CNY!$B1919)</f>
        <v>2131.9386</v>
      </c>
      <c r="L1919" s="1">
        <f>value(HKD!$B1919)</f>
        <v>1835.3095</v>
      </c>
      <c r="M1919" s="1">
        <f>value(TWD!$B1919)</f>
        <v>405.86688</v>
      </c>
      <c r="N1919" s="1">
        <f>value(JPY!$B1919)</f>
        <v>118.49425</v>
      </c>
      <c r="O1919" s="1">
        <f>value(SAR!$B1919)</f>
        <v>3590.09216</v>
      </c>
      <c r="P1919" s="1">
        <f>value(AED!$B1919)</f>
        <v>3649.462245</v>
      </c>
      <c r="Q1919" s="1">
        <f>value(KWD!$B1919)</f>
        <v>44024.58966</v>
      </c>
    </row>
    <row r="1920">
      <c r="A1920" s="4">
        <f>value(USD!A1920)</f>
        <v>42263.99861</v>
      </c>
      <c r="B1920" s="1">
        <f>value(USD!B1920)</f>
        <v>14377</v>
      </c>
      <c r="C1920" s="1">
        <f>value(AUD!$B1920)</f>
        <v>9559.33475</v>
      </c>
      <c r="D1920" s="1">
        <f>value(EUR!$B1920)</f>
        <v>16289.793</v>
      </c>
      <c r="E1920" s="1">
        <f>value(GBP!$B1920)</f>
        <v>22369.2993</v>
      </c>
      <c r="F1920" s="1">
        <f>value(CHF!$B1920)</f>
        <v>14239.355</v>
      </c>
      <c r="G1920" s="1">
        <f>value(SGD!$B1920)</f>
        <v>10276.97259</v>
      </c>
      <c r="H1920" s="1">
        <f>value(MYR!$B1920)</f>
        <v>3393.77889</v>
      </c>
      <c r="I1920" s="1">
        <f>value(THB!$B1920)</f>
        <v>403.57206</v>
      </c>
      <c r="J1920" s="1">
        <f>value(VND!$B1920)</f>
        <v>0.6087194845</v>
      </c>
      <c r="K1920" s="1">
        <f>value(CNY!$B1920)</f>
        <v>2127.5145</v>
      </c>
      <c r="L1920" s="1">
        <f>value(HKD!$B1920)</f>
        <v>1858.27506</v>
      </c>
      <c r="M1920" s="1">
        <f>value(TWD!$B1920)</f>
        <v>422.87618</v>
      </c>
      <c r="N1920" s="1">
        <f>value(JPY!$B1920)</f>
        <v>119.97699</v>
      </c>
      <c r="O1920" s="1">
        <f>value(SAR!$B1920)</f>
        <v>3671.027506</v>
      </c>
      <c r="P1920" s="1">
        <f>value(AED!$B1920)</f>
        <v>3640.95186</v>
      </c>
      <c r="Q1920" s="1">
        <f>value(KWD!$B1920)</f>
        <v>44048.24721</v>
      </c>
    </row>
    <row r="1921">
      <c r="A1921" s="4">
        <f>value(USD!A1921)</f>
        <v>42264.99861</v>
      </c>
      <c r="B1921" s="1">
        <f>value(USD!B1921)</f>
        <v>14225</v>
      </c>
      <c r="C1921" s="1">
        <f>value(AUD!$B1921)</f>
        <v>9710.0545</v>
      </c>
      <c r="D1921" s="1">
        <f>value(EUR!$B1921)</f>
        <v>16189.036</v>
      </c>
      <c r="E1921" s="1">
        <f>value(GBP!$B1921)</f>
        <v>22435.735</v>
      </c>
      <c r="F1921" s="1">
        <f>value(CHF!$B1921)</f>
        <v>13869.963</v>
      </c>
      <c r="G1921" s="1">
        <f>value(SGD!$B1921)</f>
        <v>10259.5194</v>
      </c>
      <c r="H1921" s="1">
        <f>value(MYR!$B1921)</f>
        <v>3368.616</v>
      </c>
      <c r="I1921" s="1">
        <f>value(THB!$B1921)</f>
        <v>403.713</v>
      </c>
      <c r="J1921" s="1">
        <f>value(VND!$B1921)</f>
        <v>0.6084545393</v>
      </c>
      <c r="K1921" s="1">
        <f>value(CNY!$B1921)</f>
        <v>2149.39015</v>
      </c>
      <c r="L1921" s="1">
        <f>value(HKD!$B1921)</f>
        <v>1866.9194</v>
      </c>
      <c r="M1921" s="1">
        <f>value(TWD!$B1921)</f>
        <v>412.2506</v>
      </c>
      <c r="N1921" s="1">
        <f>value(JPY!$B1921)</f>
        <v>120.060484</v>
      </c>
      <c r="O1921" s="1">
        <f>value(SAR!$B1921)</f>
        <v>3543.40163</v>
      </c>
      <c r="P1921" s="1">
        <f>value(AED!$B1921)</f>
        <v>3619.44964</v>
      </c>
      <c r="Q1921" s="1">
        <f>value(KWD!$B1921)</f>
        <v>44248.25473</v>
      </c>
    </row>
    <row r="1922">
      <c r="A1922" s="4">
        <f>value(USD!A1922)</f>
        <v>42265.99861</v>
      </c>
      <c r="B1922" s="1">
        <f>value(USD!B1922)</f>
        <v>14403</v>
      </c>
      <c r="C1922" s="1">
        <f>value(AUD!$B1922)</f>
        <v>9793.12437</v>
      </c>
      <c r="D1922" s="1">
        <f>value(EUR!$B1922)</f>
        <v>16228.1805</v>
      </c>
      <c r="E1922" s="1">
        <f>value(GBP!$B1922)</f>
        <v>22403.325</v>
      </c>
      <c r="F1922" s="1">
        <f>value(CHF!$B1922)</f>
        <v>13831.488</v>
      </c>
      <c r="G1922" s="1">
        <f>value(SGD!$B1922)</f>
        <v>10292.394</v>
      </c>
      <c r="H1922" s="1">
        <f>value(MYR!$B1922)</f>
        <v>3382.39125</v>
      </c>
      <c r="I1922" s="1">
        <f>value(THB!$B1922)</f>
        <v>404.42745</v>
      </c>
      <c r="J1922" s="1">
        <f>value(VND!$B1922)</f>
        <v>0.6082671672</v>
      </c>
      <c r="K1922" s="1">
        <f>value(CNY!$B1922)</f>
        <v>2133.39234</v>
      </c>
      <c r="L1922" s="1">
        <f>value(HKD!$B1922)</f>
        <v>1883.0469</v>
      </c>
      <c r="M1922" s="1">
        <f>value(TWD!$B1922)</f>
        <v>410.20597</v>
      </c>
      <c r="N1922" s="1">
        <f>value(JPY!$B1922)</f>
        <v>121.5252675</v>
      </c>
      <c r="O1922" s="1">
        <f>value(SAR!$B1922)</f>
        <v>3575.966225</v>
      </c>
      <c r="P1922" s="1">
        <f>value(AED!$B1922)</f>
        <v>3605.56846</v>
      </c>
      <c r="Q1922" s="1">
        <f>value(KWD!$B1922)</f>
        <v>44264.25144</v>
      </c>
    </row>
    <row r="1923">
      <c r="A1923" s="4">
        <f>value(USD!A1923)</f>
        <v>42268.99861</v>
      </c>
      <c r="B1923" s="1">
        <f>value(USD!B1923)</f>
        <v>14470</v>
      </c>
      <c r="C1923" s="1">
        <f>value(AUD!$B1923)</f>
        <v>9722.53608</v>
      </c>
      <c r="D1923" s="1">
        <f>value(EUR!$B1923)</f>
        <v>16377.768</v>
      </c>
      <c r="E1923" s="1">
        <f>value(GBP!$B1923)</f>
        <v>22320.144</v>
      </c>
      <c r="F1923" s="1">
        <f>value(CHF!$B1923)</f>
        <v>14017.7764</v>
      </c>
      <c r="G1923" s="1">
        <f>value(SGD!$B1923)</f>
        <v>10261.908</v>
      </c>
      <c r="H1923" s="1">
        <f>value(MYR!$B1923)</f>
        <v>3339.384</v>
      </c>
      <c r="I1923" s="1">
        <f>value(THB!$B1923)</f>
        <v>404.2104</v>
      </c>
      <c r="J1923" s="1">
        <f>value(VND!$B1923)</f>
        <v>0.6120417669</v>
      </c>
      <c r="K1923" s="1">
        <f>value(CNY!$B1923)</f>
        <v>2187.831544</v>
      </c>
      <c r="L1923" s="1">
        <f>value(HKD!$B1923)</f>
        <v>1888.8528</v>
      </c>
      <c r="M1923" s="1">
        <f>value(TWD!$B1923)</f>
        <v>420.4365</v>
      </c>
      <c r="N1923" s="1">
        <f>value(JPY!$B1923)</f>
        <v>121.791624</v>
      </c>
      <c r="O1923" s="1">
        <f>value(SAR!$B1923)</f>
        <v>3604.132665</v>
      </c>
      <c r="P1923" s="1">
        <f>value(AED!$B1923)</f>
        <v>3607.7459</v>
      </c>
      <c r="Q1923" s="1">
        <f>value(KWD!$B1923)</f>
        <v>44220.86079</v>
      </c>
    </row>
    <row r="1924">
      <c r="A1924" s="4">
        <f>value(USD!A1924)</f>
        <v>42269.99861</v>
      </c>
      <c r="B1924" s="1">
        <f>value(USD!B1924)</f>
        <v>14595</v>
      </c>
      <c r="C1924" s="1">
        <f>value(AUD!$B1924)</f>
        <v>9754.92</v>
      </c>
      <c r="D1924" s="1">
        <f>value(EUR!$B1924)</f>
        <v>16397.9793</v>
      </c>
      <c r="E1924" s="1">
        <f>value(GBP!$B1924)</f>
        <v>22336.542</v>
      </c>
      <c r="F1924" s="1">
        <f>value(CHF!$B1924)</f>
        <v>14241.045</v>
      </c>
      <c r="G1924" s="1">
        <f>value(SGD!$B1924)</f>
        <v>10295.6994</v>
      </c>
      <c r="H1924" s="1">
        <f>value(MYR!$B1924)</f>
        <v>3336.3981</v>
      </c>
      <c r="I1924" s="1">
        <f>value(THB!$B1924)</f>
        <v>404.1585</v>
      </c>
      <c r="J1924" s="1">
        <f>value(VND!$B1924)</f>
        <v>0.6030676682</v>
      </c>
      <c r="K1924" s="1">
        <f>value(CNY!$B1924)</f>
        <v>2168.94109</v>
      </c>
      <c r="L1924" s="1">
        <f>value(HKD!$B1924)</f>
        <v>1892.7234</v>
      </c>
      <c r="M1924" s="1">
        <f>value(TWD!$B1924)</f>
        <v>408.19986</v>
      </c>
      <c r="N1924" s="1">
        <f>value(JPY!$B1924)</f>
        <v>121.976649</v>
      </c>
      <c r="O1924" s="1">
        <f>value(SAR!$B1924)</f>
        <v>3581.344328</v>
      </c>
      <c r="P1924" s="1">
        <f>value(AED!$B1924)</f>
        <v>3629.637</v>
      </c>
      <c r="Q1924" s="1">
        <f>value(KWD!$B1924)</f>
        <v>44578.27045</v>
      </c>
    </row>
    <row r="1925">
      <c r="A1925" s="4">
        <f>value(USD!A1925)</f>
        <v>42270.99861</v>
      </c>
      <c r="B1925" s="1">
        <f>value(USD!B1925)</f>
        <v>14640</v>
      </c>
      <c r="C1925" s="1">
        <f>value(AUD!$B1925)</f>
        <v>9751.3816</v>
      </c>
      <c r="D1925" s="1">
        <f>value(EUR!$B1925)</f>
        <v>16360.66193</v>
      </c>
      <c r="E1925" s="1">
        <f>value(GBP!$B1925)</f>
        <v>22187.72898</v>
      </c>
      <c r="F1925" s="1">
        <f>value(CHF!$B1925)</f>
        <v>13958.802</v>
      </c>
      <c r="G1925" s="1">
        <f>value(SGD!$B1925)</f>
        <v>10251.63295</v>
      </c>
      <c r="H1925" s="1">
        <f>value(MYR!$B1925)</f>
        <v>3316.15879</v>
      </c>
      <c r="I1925" s="1">
        <f>value(THB!$B1925)</f>
        <v>403.86771</v>
      </c>
      <c r="J1925" s="1">
        <f>value(VND!$B1925)</f>
        <v>0.6000452607</v>
      </c>
      <c r="K1925" s="1">
        <f>value(CNY!$B1925)</f>
        <v>2159.375</v>
      </c>
      <c r="L1925" s="1">
        <f>value(HKD!$B1925)</f>
        <v>1885.73917</v>
      </c>
      <c r="M1925" s="1">
        <f>value(TWD!$B1925)</f>
        <v>411.5229</v>
      </c>
      <c r="N1925" s="1">
        <f>value(JPY!$B1925)</f>
        <v>121.17493</v>
      </c>
      <c r="O1925" s="1">
        <f>value(SAR!$B1925)</f>
        <v>3580.533243</v>
      </c>
      <c r="P1925" s="1">
        <f>value(AED!$B1925)</f>
        <v>3625.4376</v>
      </c>
      <c r="Q1925" s="1">
        <f>value(KWD!$B1925)</f>
        <v>45088.21175</v>
      </c>
    </row>
    <row r="1926">
      <c r="A1926" s="4">
        <f>value(USD!A1926)</f>
        <v>42271.99861</v>
      </c>
      <c r="B1926" s="1">
        <f>value(USD!B1926)</f>
        <v>14670</v>
      </c>
      <c r="C1926" s="1">
        <f>value(AUD!$B1926)</f>
        <v>9815.35055</v>
      </c>
      <c r="D1926" s="1">
        <f>value(EUR!$B1926)</f>
        <v>16501.7916</v>
      </c>
      <c r="E1926" s="1">
        <f>value(GBP!$B1926)</f>
        <v>22280.652</v>
      </c>
      <c r="F1926" s="1">
        <f>value(CHF!$B1926)</f>
        <v>14080.72</v>
      </c>
      <c r="G1926" s="1">
        <f>value(SGD!$B1926)</f>
        <v>10267.76511</v>
      </c>
      <c r="H1926" s="1">
        <f>value(MYR!$B1926)</f>
        <v>3288.45375</v>
      </c>
      <c r="I1926" s="1">
        <f>value(THB!$B1926)</f>
        <v>403.28568</v>
      </c>
      <c r="J1926" s="1">
        <f>value(VND!$B1926)</f>
        <v>0.6041666562</v>
      </c>
      <c r="K1926" s="1">
        <f>value(CNY!$B1926)</f>
        <v>2157.75796</v>
      </c>
      <c r="L1926" s="1">
        <f>value(HKD!$B1926)</f>
        <v>1896.20694</v>
      </c>
      <c r="M1926" s="1">
        <f>value(TWD!$B1926)</f>
        <v>413.7784</v>
      </c>
      <c r="N1926" s="1">
        <f>value(JPY!$B1926)</f>
        <v>122.6082528</v>
      </c>
      <c r="O1926" s="1">
        <f>value(SAR!$B1926)</f>
        <v>3612.716211</v>
      </c>
      <c r="P1926" s="1">
        <f>value(AED!$B1926)</f>
        <v>3624.89324</v>
      </c>
      <c r="Q1926" s="1">
        <f>value(KWD!$B1926)</f>
        <v>45048.16854</v>
      </c>
    </row>
    <row r="1927">
      <c r="A1927" s="4">
        <f>value(USD!A1927)</f>
        <v>42272.99861</v>
      </c>
      <c r="B1927" s="1">
        <f>value(USD!B1927)</f>
        <v>14617</v>
      </c>
      <c r="C1927" s="1">
        <f>value(AUD!$B1927)</f>
        <v>9797.0024</v>
      </c>
      <c r="D1927" s="1">
        <f>value(EUR!$B1927)</f>
        <v>16517.936</v>
      </c>
      <c r="E1927" s="1">
        <f>value(GBP!$B1927)</f>
        <v>22246.072</v>
      </c>
      <c r="F1927" s="1">
        <f>value(CHF!$B1927)</f>
        <v>14104.2825</v>
      </c>
      <c r="G1927" s="1">
        <f>value(SGD!$B1927)</f>
        <v>10280.6976</v>
      </c>
      <c r="H1927" s="1">
        <f>value(MYR!$B1927)</f>
        <v>3290.6688</v>
      </c>
      <c r="I1927" s="1">
        <f>value(THB!$B1927)</f>
        <v>402.5256</v>
      </c>
      <c r="J1927" s="1">
        <f>value(VND!$B1927)</f>
        <v>0.6027110577</v>
      </c>
      <c r="K1927" s="1">
        <f>value(CNY!$B1927)</f>
        <v>2139.84375</v>
      </c>
      <c r="L1927" s="1">
        <f>value(HKD!$B1927)</f>
        <v>1894.0136</v>
      </c>
      <c r="M1927" s="1">
        <f>value(TWD!$B1927)</f>
        <v>415.0944</v>
      </c>
      <c r="N1927" s="1">
        <f>value(JPY!$B1927)</f>
        <v>122.440008</v>
      </c>
      <c r="O1927" s="1">
        <f>value(SAR!$B1927)</f>
        <v>3574.00327</v>
      </c>
      <c r="P1927" s="1">
        <f>value(AED!$B1927)</f>
        <v>3656.7383</v>
      </c>
      <c r="Q1927" s="1">
        <f>value(KWD!$B1927)</f>
        <v>45163.32431</v>
      </c>
    </row>
    <row r="1928">
      <c r="A1928" s="4">
        <f>value(USD!A1928)</f>
        <v>42275.99861</v>
      </c>
      <c r="B1928" s="1">
        <f>value(USD!B1928)</f>
        <v>14697</v>
      </c>
      <c r="C1928" s="1">
        <f>value(AUD!$B1928)</f>
        <v>9928.294002</v>
      </c>
      <c r="D1928" s="1">
        <f>value(EUR!$B1928)</f>
        <v>16252.25568</v>
      </c>
      <c r="E1928" s="1">
        <f>value(GBP!$B1928)</f>
        <v>22001.1688</v>
      </c>
      <c r="F1928" s="1">
        <f>value(CHF!$B1928)</f>
        <v>14268.345</v>
      </c>
      <c r="G1928" s="1">
        <f>value(SGD!$B1928)</f>
        <v>10219.8696</v>
      </c>
      <c r="H1928" s="1">
        <f>value(MYR!$B1928)</f>
        <v>3315.96424</v>
      </c>
      <c r="I1928" s="1">
        <f>value(THB!$B1928)</f>
        <v>399.88896</v>
      </c>
      <c r="J1928" s="1">
        <f>value(VND!$B1928)</f>
        <v>0.612688955</v>
      </c>
      <c r="K1928" s="1">
        <f>value(CNY!$B1928)</f>
        <v>2154.64038</v>
      </c>
      <c r="L1928" s="1">
        <f>value(HKD!$B1928)</f>
        <v>1877.49904</v>
      </c>
      <c r="M1928" s="1">
        <f>value(TWD!$B1928)</f>
        <v>421.78825</v>
      </c>
      <c r="N1928" s="1">
        <f>value(JPY!$B1928)</f>
        <v>121.3869632</v>
      </c>
      <c r="O1928" s="1">
        <f>value(SAR!$B1928)</f>
        <v>3580.487433</v>
      </c>
      <c r="P1928" s="1">
        <f>value(AED!$B1928)</f>
        <v>3700.2871</v>
      </c>
      <c r="Q1928" s="1">
        <f>value(KWD!$B1928)</f>
        <v>44908.78146</v>
      </c>
    </row>
    <row r="1929">
      <c r="A1929" s="4">
        <f>value(USD!A1929)</f>
        <v>42276.99861</v>
      </c>
      <c r="B1929" s="1">
        <f>value(USD!B1929)</f>
        <v>14680</v>
      </c>
      <c r="C1929" s="1">
        <f>value(AUD!$B1929)</f>
        <v>9822.26535</v>
      </c>
      <c r="D1929" s="1">
        <f>value(EUR!$B1929)</f>
        <v>16412.62805</v>
      </c>
      <c r="E1929" s="1">
        <f>value(GBP!$B1929)</f>
        <v>22198.4105</v>
      </c>
      <c r="F1929" s="1">
        <f>value(CHF!$B1929)</f>
        <v>14357.8515</v>
      </c>
      <c r="G1929" s="1">
        <f>value(SGD!$B1929)</f>
        <v>10247.3154</v>
      </c>
      <c r="H1929" s="1">
        <f>value(MYR!$B1929)</f>
        <v>3306.22425</v>
      </c>
      <c r="I1929" s="1">
        <f>value(THB!$B1929)</f>
        <v>401.38105</v>
      </c>
      <c r="J1929" s="1">
        <f>value(VND!$B1929)</f>
        <v>0.609239865</v>
      </c>
      <c r="K1929" s="1">
        <f>value(CNY!$B1929)</f>
        <v>2169.11271</v>
      </c>
      <c r="L1929" s="1">
        <f>value(HKD!$B1929)</f>
        <v>1892.0783</v>
      </c>
      <c r="M1929" s="1">
        <f>value(TWD!$B1929)</f>
        <v>419.5197</v>
      </c>
      <c r="N1929" s="1">
        <f>value(JPY!$B1929)</f>
        <v>122.376492</v>
      </c>
      <c r="O1929" s="1">
        <f>value(SAR!$B1929)</f>
        <v>3569.238076</v>
      </c>
      <c r="P1929" s="1">
        <f>value(AED!$B1929)</f>
        <v>3704.0973</v>
      </c>
      <c r="Q1929" s="1">
        <f>value(KWD!$B1929)</f>
        <v>44996.34233</v>
      </c>
    </row>
    <row r="1930">
      <c r="A1930" s="4">
        <f>value(USD!A1930)</f>
        <v>42277.99861</v>
      </c>
      <c r="B1930" s="1">
        <f>value(USD!B1930)</f>
        <v>14552</v>
      </c>
      <c r="C1930" s="1">
        <f>value(AUD!$B1930)</f>
        <v>9881.991</v>
      </c>
      <c r="D1930" s="1">
        <f>value(EUR!$B1930)</f>
        <v>16370.89055</v>
      </c>
      <c r="E1930" s="1">
        <f>value(GBP!$B1930)</f>
        <v>22171.8505</v>
      </c>
      <c r="F1930" s="1">
        <f>value(CHF!$B1930)</f>
        <v>14279.51</v>
      </c>
      <c r="G1930" s="1">
        <f>value(SGD!$B1930)</f>
        <v>10188.88615</v>
      </c>
      <c r="H1930" s="1">
        <f>value(MYR!$B1930)</f>
        <v>3269.1832</v>
      </c>
      <c r="I1930" s="1">
        <f>value(THB!$B1930)</f>
        <v>400.61515</v>
      </c>
      <c r="J1930" s="1">
        <f>value(VND!$B1930)</f>
        <v>0.5984266276</v>
      </c>
      <c r="K1930" s="1">
        <f>value(CNY!$B1930)</f>
        <v>2163.5813</v>
      </c>
      <c r="L1930" s="1">
        <f>value(HKD!$B1930)</f>
        <v>1884.3371</v>
      </c>
      <c r="M1930" s="1">
        <f>value(TWD!$B1930)</f>
        <v>414.73111</v>
      </c>
      <c r="N1930" s="1">
        <f>value(JPY!$B1930)</f>
        <v>121.8057</v>
      </c>
      <c r="O1930" s="1">
        <f>value(SAR!$B1930)</f>
        <v>3585.253192</v>
      </c>
      <c r="P1930" s="1">
        <f>value(AED!$B1930)</f>
        <v>3708.172154</v>
      </c>
      <c r="Q1930" s="1">
        <f>value(KWD!$B1930)</f>
        <v>45134.32039</v>
      </c>
    </row>
    <row r="1931">
      <c r="A1931" s="4">
        <f>value(USD!A1931)</f>
        <v>42278.99861</v>
      </c>
      <c r="B1931" s="1">
        <f>value(USD!B1931)</f>
        <v>14665</v>
      </c>
      <c r="C1931" s="1">
        <f>value(AUD!$B1931)</f>
        <v>9857.0988</v>
      </c>
      <c r="D1931" s="1">
        <f>value(EUR!$B1931)</f>
        <v>16156.3002</v>
      </c>
      <c r="E1931" s="1">
        <f>value(GBP!$B1931)</f>
        <v>21867.4383</v>
      </c>
      <c r="F1931" s="1">
        <f>value(CHF!$B1931)</f>
        <v>13840.5582</v>
      </c>
      <c r="G1931" s="1">
        <f>value(SGD!$B1931)</f>
        <v>10157.36808</v>
      </c>
      <c r="H1931" s="1">
        <f>value(MYR!$B1931)</f>
        <v>3315.98175</v>
      </c>
      <c r="I1931" s="1">
        <f>value(THB!$B1931)</f>
        <v>397.48482</v>
      </c>
      <c r="J1931" s="1">
        <f>value(VND!$B1931)</f>
        <v>0.6003655431</v>
      </c>
      <c r="K1931" s="1">
        <f>value(CNY!$B1931)</f>
        <v>2178.62715</v>
      </c>
      <c r="L1931" s="1">
        <f>value(HKD!$B1931)</f>
        <v>1862.14566</v>
      </c>
      <c r="M1931" s="1">
        <f>value(TWD!$B1931)</f>
        <v>412.6738</v>
      </c>
      <c r="N1931" s="1">
        <f>value(JPY!$B1931)</f>
        <v>119.7939</v>
      </c>
      <c r="O1931" s="1">
        <f>value(SAR!$B1931)</f>
        <v>3580.2864</v>
      </c>
      <c r="P1931" s="1">
        <f>value(AED!$B1931)</f>
        <v>3685.3172</v>
      </c>
      <c r="Q1931" s="1">
        <f>value(KWD!$B1931)</f>
        <v>44938.6322</v>
      </c>
    </row>
    <row r="1932">
      <c r="A1932" s="4">
        <f>value(USD!A1932)</f>
        <v>42279.99861</v>
      </c>
      <c r="B1932" s="1">
        <f>value(USD!B1932)</f>
        <v>14605</v>
      </c>
      <c r="C1932" s="1">
        <f>value(AUD!$B1932)</f>
        <v>9911.176</v>
      </c>
      <c r="D1932" s="1">
        <f>value(EUR!$B1932)</f>
        <v>15838.59</v>
      </c>
      <c r="E1932" s="1">
        <f>value(GBP!$B1932)</f>
        <v>21404.944</v>
      </c>
      <c r="F1932" s="1">
        <f>value(CHF!$B1932)</f>
        <v>13805.272</v>
      </c>
      <c r="G1932" s="1">
        <f>value(SGD!$B1932)</f>
        <v>9891.6318</v>
      </c>
      <c r="H1932" s="1">
        <f>value(MYR!$B1932)</f>
        <v>3252.3592</v>
      </c>
      <c r="I1932" s="1">
        <f>value(THB!$B1932)</f>
        <v>387.0718</v>
      </c>
      <c r="J1932" s="1">
        <f>value(VND!$B1932)</f>
        <v>0.5981931987</v>
      </c>
      <c r="K1932" s="1">
        <f>value(CNY!$B1932)</f>
        <v>2165.1168</v>
      </c>
      <c r="L1932" s="1">
        <f>value(HKD!$B1932)</f>
        <v>1814.0212</v>
      </c>
      <c r="M1932" s="1">
        <f>value(TWD!$B1932)</f>
        <v>407.7088</v>
      </c>
      <c r="N1932" s="1">
        <f>value(JPY!$B1932)</f>
        <v>116.9792</v>
      </c>
      <c r="O1932" s="1">
        <f>value(SAR!$B1932)</f>
        <v>3568.18663</v>
      </c>
      <c r="P1932" s="1">
        <f>value(AED!$B1932)</f>
        <v>3693.4826</v>
      </c>
      <c r="Q1932" s="1">
        <f>value(KWD!$B1932)</f>
        <v>44930.40912</v>
      </c>
    </row>
    <row r="1933">
      <c r="A1933" s="4">
        <f>value(USD!A1933)</f>
        <v>42282.99861</v>
      </c>
      <c r="B1933" s="1">
        <f>value(USD!B1933)</f>
        <v>14433</v>
      </c>
      <c r="C1933" s="1">
        <f>value(AUD!$B1933)</f>
        <v>9805.0401</v>
      </c>
      <c r="D1933" s="1">
        <f>value(EUR!$B1933)</f>
        <v>15580.9324</v>
      </c>
      <c r="E1933" s="1">
        <f>value(GBP!$B1933)</f>
        <v>21231.4745</v>
      </c>
      <c r="F1933" s="1">
        <f>value(CHF!$B1933)</f>
        <v>13852.258</v>
      </c>
      <c r="G1933" s="1">
        <f>value(SGD!$B1933)</f>
        <v>9818.6384</v>
      </c>
      <c r="H1933" s="1">
        <f>value(MYR!$B1933)</f>
        <v>3285.58905</v>
      </c>
      <c r="I1933" s="1">
        <f>value(THB!$B1933)</f>
        <v>385.86295</v>
      </c>
      <c r="J1933" s="1">
        <f>value(VND!$B1933)</f>
        <v>0.5985577932</v>
      </c>
      <c r="K1933" s="1">
        <f>value(CNY!$B1933)</f>
        <v>2163.388</v>
      </c>
      <c r="L1933" s="1">
        <f>value(HKD!$B1933)</f>
        <v>1788.8623</v>
      </c>
      <c r="M1933" s="1">
        <f>value(TWD!$B1933)</f>
        <v>413.59</v>
      </c>
      <c r="N1933" s="1">
        <f>value(JPY!$B1933)</f>
        <v>115.6341</v>
      </c>
      <c r="O1933" s="1">
        <f>value(SAR!$B1933)</f>
        <v>3536.888107</v>
      </c>
      <c r="P1933" s="1">
        <f>value(AED!$B1933)</f>
        <v>3703.82544</v>
      </c>
      <c r="Q1933" s="1">
        <f>value(KWD!$B1933)</f>
        <v>45514.43816</v>
      </c>
    </row>
    <row r="1934">
      <c r="A1934" s="4">
        <f>value(USD!A1934)</f>
        <v>42283.99861</v>
      </c>
      <c r="B1934" s="1">
        <f>value(USD!B1934)</f>
        <v>14060</v>
      </c>
      <c r="C1934" s="1">
        <f>value(AUD!$B1934)</f>
        <v>10037.409</v>
      </c>
      <c r="D1934" s="1">
        <f>value(EUR!$B1934)</f>
        <v>15130.503</v>
      </c>
      <c r="E1934" s="1">
        <f>value(GBP!$B1934)</f>
        <v>20581.668</v>
      </c>
      <c r="F1934" s="1">
        <f>value(CHF!$B1934)</f>
        <v>13827.45</v>
      </c>
      <c r="G1934" s="1">
        <f>value(SGD!$B1934)</f>
        <v>9550.602</v>
      </c>
      <c r="H1934" s="1">
        <f>value(MYR!$B1934)</f>
        <v>3224.7027</v>
      </c>
      <c r="I1934" s="1">
        <f>value(THB!$B1934)</f>
        <v>374.2731</v>
      </c>
      <c r="J1934" s="1">
        <f>value(VND!$B1934)</f>
        <v>0.5989388803</v>
      </c>
      <c r="K1934" s="1">
        <f>value(CNY!$B1934)</f>
        <v>2195.2368</v>
      </c>
      <c r="L1934" s="1">
        <f>value(HKD!$B1934)</f>
        <v>1730.2923</v>
      </c>
      <c r="M1934" s="1">
        <f>value(TWD!$B1934)</f>
        <v>421.35735</v>
      </c>
      <c r="N1934" s="1">
        <f>value(JPY!$B1934)</f>
        <v>111.8394</v>
      </c>
      <c r="O1934" s="1">
        <f>value(SAR!$B1934)</f>
        <v>3537.21696</v>
      </c>
      <c r="P1934" s="1">
        <f>value(AED!$B1934)</f>
        <v>3687.76682</v>
      </c>
      <c r="Q1934" s="1">
        <f>value(KWD!$B1934)</f>
        <v>45207.60679</v>
      </c>
    </row>
    <row r="1935">
      <c r="A1935" s="4">
        <f>value(USD!A1935)</f>
        <v>42284.99861</v>
      </c>
      <c r="B1935" s="1">
        <f>value(USD!B1935)</f>
        <v>13865</v>
      </c>
      <c r="C1935" s="1">
        <f>value(AUD!$B1935)</f>
        <v>10117.622</v>
      </c>
      <c r="D1935" s="1">
        <f>value(EUR!$B1935)</f>
        <v>15127.524</v>
      </c>
      <c r="E1935" s="1">
        <f>value(GBP!$B1935)</f>
        <v>20388.924</v>
      </c>
      <c r="F1935" s="1">
        <f>value(CHF!$B1935)</f>
        <v>13683.612</v>
      </c>
      <c r="G1935" s="1">
        <f>value(SGD!$B1935)</f>
        <v>9526.1976</v>
      </c>
      <c r="H1935" s="1">
        <f>value(MYR!$B1935)</f>
        <v>3203.8596</v>
      </c>
      <c r="I1935" s="1">
        <f>value(THB!$B1935)</f>
        <v>374.4252</v>
      </c>
      <c r="J1935" s="1">
        <f>value(VND!$B1935)</f>
        <v>0.5965922013</v>
      </c>
      <c r="K1935" s="1">
        <f>value(CNY!$B1935)</f>
        <v>2206.817334</v>
      </c>
      <c r="L1935" s="1">
        <f>value(HKD!$B1935)</f>
        <v>1718.4132</v>
      </c>
      <c r="M1935" s="1">
        <f>value(TWD!$B1935)</f>
        <v>408.3968</v>
      </c>
      <c r="N1935" s="1">
        <f>value(JPY!$B1935)</f>
        <v>110.8224</v>
      </c>
      <c r="O1935" s="1">
        <f>value(SAR!$B1935)</f>
        <v>3508.02246</v>
      </c>
      <c r="P1935" s="1">
        <f>value(AED!$B1935)</f>
        <v>3690.7608</v>
      </c>
      <c r="Q1935" s="1">
        <f>value(KWD!$B1935)</f>
        <v>45200.93708</v>
      </c>
    </row>
    <row r="1936">
      <c r="A1936" s="4">
        <f>value(USD!A1936)</f>
        <v>42285.99861</v>
      </c>
      <c r="B1936" s="1">
        <f>value(USD!B1936)</f>
        <v>13410</v>
      </c>
      <c r="C1936" s="1">
        <f>value(AUD!$B1936)</f>
        <v>10080.76684</v>
      </c>
      <c r="D1936" s="1">
        <f>value(EUR!$B1936)</f>
        <v>15328.8206</v>
      </c>
      <c r="E1936" s="1">
        <f>value(GBP!$B1936)</f>
        <v>20705.317</v>
      </c>
      <c r="F1936" s="1">
        <f>value(CHF!$B1936)</f>
        <v>13751.622</v>
      </c>
      <c r="G1936" s="1">
        <f>value(SGD!$B1936)</f>
        <v>9634.3521</v>
      </c>
      <c r="H1936" s="1">
        <f>value(MYR!$B1936)</f>
        <v>3247.231</v>
      </c>
      <c r="I1936" s="1">
        <f>value(THB!$B1936)</f>
        <v>380.62138</v>
      </c>
      <c r="J1936" s="1">
        <f>value(VND!$B1936)</f>
        <v>0.5950981215</v>
      </c>
      <c r="K1936" s="1">
        <f>value(CNY!$B1936)</f>
        <v>2166.87557</v>
      </c>
      <c r="L1936" s="1">
        <f>value(HKD!$B1936)</f>
        <v>1742.16306</v>
      </c>
      <c r="M1936" s="1">
        <f>value(TWD!$B1936)</f>
        <v>415.0809</v>
      </c>
      <c r="N1936" s="1">
        <f>value(JPY!$B1936)</f>
        <v>112.478411</v>
      </c>
      <c r="O1936" s="1">
        <f>value(SAR!$B1936)</f>
        <v>3474.411264</v>
      </c>
      <c r="P1936" s="1">
        <f>value(AED!$B1936)</f>
        <v>3738.735246</v>
      </c>
      <c r="Q1936" s="1">
        <f>value(KWD!$B1936)</f>
        <v>45088.60983</v>
      </c>
    </row>
    <row r="1937">
      <c r="A1937" s="4">
        <f>value(USD!A1937)</f>
        <v>42286.99861</v>
      </c>
      <c r="B1937" s="1">
        <f>value(USD!B1937)</f>
        <v>13320</v>
      </c>
      <c r="C1937" s="1">
        <f>value(AUD!$B1937)</f>
        <v>10032.957</v>
      </c>
      <c r="D1937" s="1">
        <f>value(EUR!$B1937)</f>
        <v>15537.522</v>
      </c>
      <c r="E1937" s="1">
        <f>value(GBP!$B1937)</f>
        <v>20820.345</v>
      </c>
      <c r="F1937" s="1">
        <f>value(CHF!$B1937)</f>
        <v>13789.471</v>
      </c>
      <c r="G1937" s="1">
        <f>value(SGD!$B1937)</f>
        <v>9740.913</v>
      </c>
      <c r="H1937" s="1">
        <f>value(MYR!$B1937)</f>
        <v>3211.026</v>
      </c>
      <c r="I1937" s="1">
        <f>value(THB!$B1937)</f>
        <v>382.3365</v>
      </c>
      <c r="J1937" s="1">
        <f>value(VND!$B1937)</f>
        <v>0.6037839211</v>
      </c>
      <c r="K1937" s="1">
        <f>value(CNY!$B1937)</f>
        <v>2161.9972</v>
      </c>
      <c r="L1937" s="1">
        <f>value(HKD!$B1937)</f>
        <v>1761.123</v>
      </c>
      <c r="M1937" s="1">
        <f>value(TWD!$B1937)</f>
        <v>402.755</v>
      </c>
      <c r="N1937" s="1">
        <f>value(JPY!$B1937)</f>
        <v>113.989785</v>
      </c>
      <c r="O1937" s="1">
        <f>value(SAR!$B1937)</f>
        <v>3466.944</v>
      </c>
      <c r="P1937" s="1">
        <f>value(AED!$B1937)</f>
        <v>3710.08558</v>
      </c>
      <c r="Q1937" s="1">
        <f>value(KWD!$B1937)</f>
        <v>45130.47419</v>
      </c>
    </row>
    <row r="1938">
      <c r="A1938" s="4">
        <f>value(USD!A1938)</f>
        <v>42289.99861</v>
      </c>
      <c r="B1938" s="1">
        <f>value(USD!B1938)</f>
        <v>13502</v>
      </c>
      <c r="C1938" s="1">
        <f>value(AUD!$B1938)</f>
        <v>10089.15414</v>
      </c>
      <c r="D1938" s="1">
        <f>value(EUR!$B1938)</f>
        <v>15213.198</v>
      </c>
      <c r="E1938" s="1">
        <f>value(GBP!$B1938)</f>
        <v>20519.85</v>
      </c>
      <c r="F1938" s="1">
        <f>value(CHF!$B1938)</f>
        <v>13753.824</v>
      </c>
      <c r="G1938" s="1">
        <f>value(SGD!$B1938)</f>
        <v>9614.0304</v>
      </c>
      <c r="H1938" s="1">
        <f>value(MYR!$B1938)</f>
        <v>3176.0352</v>
      </c>
      <c r="I1938" s="1">
        <f>value(THB!$B1938)</f>
        <v>374.4624</v>
      </c>
      <c r="J1938" s="1">
        <f>value(VND!$B1938)</f>
        <v>0.5961590968</v>
      </c>
      <c r="K1938" s="1">
        <f>value(CNY!$B1938)</f>
        <v>2125.92</v>
      </c>
      <c r="L1938" s="1">
        <f>value(HKD!$B1938)</f>
        <v>1710.8052</v>
      </c>
      <c r="M1938" s="1">
        <f>value(TWD!$B1938)</f>
        <v>405.0836</v>
      </c>
      <c r="N1938" s="1">
        <f>value(JPY!$B1938)</f>
        <v>111.56301</v>
      </c>
      <c r="O1938" s="1">
        <f>value(SAR!$B1938)</f>
        <v>3518.592554</v>
      </c>
      <c r="P1938" s="1">
        <f>value(AED!$B1938)</f>
        <v>3713.35174</v>
      </c>
      <c r="Q1938" s="1">
        <f>value(KWD!$B1938)</f>
        <v>44489.37828</v>
      </c>
    </row>
    <row r="1939">
      <c r="A1939" s="4">
        <f>value(USD!A1939)</f>
        <v>42290.99861</v>
      </c>
      <c r="B1939" s="1">
        <f>value(USD!B1939)</f>
        <v>13650</v>
      </c>
      <c r="C1939" s="1">
        <f>value(AUD!$B1939)</f>
        <v>10064.6268</v>
      </c>
      <c r="D1939" s="1">
        <f>value(EUR!$B1939)</f>
        <v>15230.44</v>
      </c>
      <c r="E1939" s="1">
        <f>value(GBP!$B1939)</f>
        <v>20729.8</v>
      </c>
      <c r="F1939" s="1">
        <f>value(CHF!$B1939)</f>
        <v>13511.5365</v>
      </c>
      <c r="G1939" s="1">
        <f>value(SGD!$B1939)</f>
        <v>9705.218</v>
      </c>
      <c r="H1939" s="1">
        <f>value(MYR!$B1939)</f>
        <v>3254.458</v>
      </c>
      <c r="I1939" s="1">
        <f>value(THB!$B1939)</f>
        <v>380.292</v>
      </c>
      <c r="J1939" s="1">
        <f>value(VND!$B1939)</f>
        <v>0.5966309942</v>
      </c>
      <c r="K1939" s="1">
        <f>value(CNY!$B1939)</f>
        <v>2161.6036</v>
      </c>
      <c r="L1939" s="1">
        <f>value(HKD!$B1939)</f>
        <v>1728.868</v>
      </c>
      <c r="M1939" s="1">
        <f>value(TWD!$B1939)</f>
        <v>405.4925</v>
      </c>
      <c r="N1939" s="1">
        <f>value(JPY!$B1939)</f>
        <v>112.54392</v>
      </c>
      <c r="O1939" s="1">
        <f>value(SAR!$B1939)</f>
        <v>3497.156874</v>
      </c>
      <c r="P1939" s="1">
        <f>value(AED!$B1939)</f>
        <v>3704.3698</v>
      </c>
      <c r="Q1939" s="1">
        <f>value(KWD!$B1939)</f>
        <v>44346.60873</v>
      </c>
    </row>
    <row r="1940">
      <c r="A1940" s="4">
        <f>value(USD!A1940)</f>
        <v>42291.99861</v>
      </c>
      <c r="B1940" s="1">
        <f>value(USD!B1940)</f>
        <v>13260</v>
      </c>
      <c r="C1940" s="1">
        <f>value(AUD!$B1940)</f>
        <v>10096.47254</v>
      </c>
      <c r="D1940" s="1">
        <f>value(EUR!$B1940)</f>
        <v>15290.0825</v>
      </c>
      <c r="E1940" s="1">
        <f>value(GBP!$B1940)</f>
        <v>20797.315</v>
      </c>
      <c r="F1940" s="1">
        <f>value(CHF!$B1940)</f>
        <v>13545.1485</v>
      </c>
      <c r="G1940" s="1">
        <f>value(SGD!$B1940)</f>
        <v>9726.92875</v>
      </c>
      <c r="H1940" s="1">
        <f>value(MYR!$B1940)</f>
        <v>3214.8655</v>
      </c>
      <c r="I1940" s="1">
        <f>value(THB!$B1940)</f>
        <v>381.612</v>
      </c>
      <c r="J1940" s="1">
        <f>value(VND!$B1940)</f>
        <v>0.5982517545</v>
      </c>
      <c r="K1940" s="1">
        <f>value(CNY!$B1940)</f>
        <v>2138.39895</v>
      </c>
      <c r="L1940" s="1">
        <f>value(HKD!$B1940)</f>
        <v>1738.5445</v>
      </c>
      <c r="M1940" s="1">
        <f>value(TWD!$B1940)</f>
        <v>399.9918</v>
      </c>
      <c r="N1940" s="1">
        <f>value(JPY!$B1940)</f>
        <v>112.78575</v>
      </c>
      <c r="O1940" s="1">
        <f>value(SAR!$B1940)</f>
        <v>3501.519954</v>
      </c>
      <c r="P1940" s="1">
        <f>value(AED!$B1940)</f>
        <v>3704.3698</v>
      </c>
      <c r="Q1940" s="1">
        <f>value(KWD!$B1940)</f>
        <v>43969.81506</v>
      </c>
    </row>
    <row r="1941">
      <c r="A1941" s="4">
        <f>value(USD!A1941)</f>
        <v>42292.99861</v>
      </c>
      <c r="B1941" s="1">
        <f>value(USD!B1941)</f>
        <v>13400</v>
      </c>
      <c r="C1941" s="1">
        <f>value(AUD!$B1941)</f>
        <v>10067.7792</v>
      </c>
      <c r="D1941" s="1">
        <f>value(EUR!$B1941)</f>
        <v>15459.5805</v>
      </c>
      <c r="E1941" s="1">
        <f>value(GBP!$B1941)</f>
        <v>21112.455</v>
      </c>
      <c r="F1941" s="1">
        <f>value(CHF!$B1941)</f>
        <v>13588.5675</v>
      </c>
      <c r="G1941" s="1">
        <f>value(SGD!$B1941)</f>
        <v>9823.632</v>
      </c>
      <c r="H1941" s="1">
        <f>value(MYR!$B1941)</f>
        <v>3175.9455</v>
      </c>
      <c r="I1941" s="1">
        <f>value(THB!$B1941)</f>
        <v>384.384</v>
      </c>
      <c r="J1941" s="1">
        <f>value(VND!$B1941)</f>
        <v>0.5987313443</v>
      </c>
      <c r="K1941" s="1">
        <f>value(CNY!$B1941)</f>
        <v>2151.04581</v>
      </c>
      <c r="L1941" s="1">
        <f>value(HKD!$B1941)</f>
        <v>1761.123</v>
      </c>
      <c r="M1941" s="1">
        <f>value(TWD!$B1941)</f>
        <v>403.07172</v>
      </c>
      <c r="N1941" s="1">
        <f>value(JPY!$B1941)</f>
        <v>114.205455</v>
      </c>
      <c r="O1941" s="1">
        <f>value(SAR!$B1941)</f>
        <v>3451.46658</v>
      </c>
      <c r="P1941" s="1">
        <f>value(AED!$B1941)</f>
        <v>3652.11124</v>
      </c>
      <c r="Q1941" s="1">
        <f>value(KWD!$B1941)</f>
        <v>43906.8891</v>
      </c>
    </row>
    <row r="1942">
      <c r="A1942" s="4">
        <f>value(USD!A1942)</f>
        <v>42293.99861</v>
      </c>
      <c r="B1942" s="1">
        <f>value(USD!B1942)</f>
        <v>13475</v>
      </c>
      <c r="C1942" s="1">
        <f>value(AUD!$B1942)</f>
        <v>10124.17125</v>
      </c>
      <c r="D1942" s="1">
        <f>value(EUR!$B1942)</f>
        <v>15588.3283</v>
      </c>
      <c r="E1942" s="1">
        <f>value(GBP!$B1942)</f>
        <v>21209.2452</v>
      </c>
      <c r="F1942" s="1">
        <f>value(CHF!$B1942)</f>
        <v>13511.1914</v>
      </c>
      <c r="G1942" s="1">
        <f>value(SGD!$B1942)</f>
        <v>9869.76977</v>
      </c>
      <c r="H1942" s="1">
        <f>value(MYR!$B1942)</f>
        <v>3177.40421</v>
      </c>
      <c r="I1942" s="1">
        <f>value(THB!$B1942)</f>
        <v>387.40793</v>
      </c>
      <c r="J1942" s="1">
        <f>value(VND!$B1942)</f>
        <v>0.5943181758</v>
      </c>
      <c r="K1942" s="1">
        <f>value(CNY!$B1942)</f>
        <v>2122.7552</v>
      </c>
      <c r="L1942" s="1">
        <f>value(HKD!$B1942)</f>
        <v>1771.83166</v>
      </c>
      <c r="M1942" s="1">
        <f>value(TWD!$B1942)</f>
        <v>409.39665</v>
      </c>
      <c r="N1942" s="1">
        <f>value(JPY!$B1942)</f>
        <v>114.67055</v>
      </c>
      <c r="O1942" s="1">
        <f>value(SAR!$B1942)</f>
        <v>3465.121849</v>
      </c>
      <c r="P1942" s="1">
        <f>value(AED!$B1942)</f>
        <v>3632.78646</v>
      </c>
      <c r="Q1942" s="1">
        <f>value(KWD!$B1942)</f>
        <v>44068.24125</v>
      </c>
    </row>
    <row r="1943">
      <c r="A1943" s="4">
        <f>value(USD!A1943)</f>
        <v>42296.99861</v>
      </c>
      <c r="B1943" s="1">
        <f>value(USD!B1943)</f>
        <v>13650</v>
      </c>
      <c r="C1943" s="1">
        <f>value(AUD!$B1943)</f>
        <v>10148.4486</v>
      </c>
      <c r="D1943" s="1">
        <f>value(EUR!$B1943)</f>
        <v>15544.02</v>
      </c>
      <c r="E1943" s="1">
        <f>value(GBP!$B1943)</f>
        <v>21127.592</v>
      </c>
      <c r="F1943" s="1">
        <f>value(CHF!$B1943)</f>
        <v>13599.4257</v>
      </c>
      <c r="G1943" s="1">
        <f>value(SGD!$B1943)</f>
        <v>9830.298</v>
      </c>
      <c r="H1943" s="1">
        <f>value(MYR!$B1943)</f>
        <v>3182.373</v>
      </c>
      <c r="I1943" s="1">
        <f>value(THB!$B1943)</f>
        <v>384.148</v>
      </c>
      <c r="J1943" s="1">
        <f>value(VND!$B1943)</f>
        <v>0.5936958191</v>
      </c>
      <c r="K1943" s="1">
        <f>value(CNY!$B1943)</f>
        <v>2106.10575</v>
      </c>
      <c r="L1943" s="1">
        <f>value(HKD!$B1943)</f>
        <v>1767.574</v>
      </c>
      <c r="M1943" s="1">
        <f>value(TWD!$B1943)</f>
        <v>406.22475</v>
      </c>
      <c r="N1943" s="1">
        <f>value(JPY!$B1943)</f>
        <v>114.258</v>
      </c>
      <c r="O1943" s="1">
        <f>value(SAR!$B1943)</f>
        <v>3503.951626</v>
      </c>
      <c r="P1943" s="1">
        <f>value(AED!$B1943)</f>
        <v>3600.25713</v>
      </c>
      <c r="Q1943" s="1">
        <f>value(KWD!$B1943)</f>
        <v>44301.86056</v>
      </c>
    </row>
    <row r="1944">
      <c r="A1944" s="4">
        <f>value(USD!A1944)</f>
        <v>42297.99861</v>
      </c>
      <c r="B1944" s="1">
        <f>value(USD!B1944)</f>
        <v>13733</v>
      </c>
      <c r="C1944" s="1">
        <f>value(AUD!$B1944)</f>
        <v>10152.0241</v>
      </c>
      <c r="D1944" s="1">
        <f>value(EUR!$B1944)</f>
        <v>14934.2979</v>
      </c>
      <c r="E1944" s="1">
        <f>value(GBP!$B1944)</f>
        <v>20730.5118</v>
      </c>
      <c r="F1944" s="1">
        <f>value(CHF!$B1944)</f>
        <v>13486.6404</v>
      </c>
      <c r="G1944" s="1">
        <f>value(SGD!$B1944)</f>
        <v>9662.3782</v>
      </c>
      <c r="H1944" s="1">
        <f>value(MYR!$B1944)</f>
        <v>3144.95652</v>
      </c>
      <c r="I1944" s="1">
        <f>value(THB!$B1944)</f>
        <v>378.32746</v>
      </c>
      <c r="J1944" s="1">
        <f>value(VND!$B1944)</f>
        <v>0.5941407225</v>
      </c>
      <c r="K1944" s="1">
        <f>value(CNY!$B1944)</f>
        <v>2103.4275</v>
      </c>
      <c r="L1944" s="1">
        <f>value(HKD!$B1944)</f>
        <v>1738.93156</v>
      </c>
      <c r="M1944" s="1">
        <f>value(TWD!$B1944)</f>
        <v>406.3625</v>
      </c>
      <c r="N1944" s="1">
        <f>value(JPY!$B1944)</f>
        <v>111.4994506</v>
      </c>
      <c r="O1944" s="1">
        <f>value(SAR!$B1944)</f>
        <v>3409.060555</v>
      </c>
      <c r="P1944" s="1">
        <f>value(AED!$B1944)</f>
        <v>3594.26895</v>
      </c>
      <c r="Q1944" s="1">
        <f>value(KWD!$B1944)</f>
        <v>44274.92777</v>
      </c>
    </row>
    <row r="1945">
      <c r="A1945" s="4">
        <f>value(USD!A1945)</f>
        <v>42298.99861</v>
      </c>
      <c r="B1945" s="1">
        <f>value(USD!B1945)</f>
        <v>13700</v>
      </c>
      <c r="C1945" s="1">
        <f>value(AUD!$B1945)</f>
        <v>10057.5618</v>
      </c>
      <c r="D1945" s="1">
        <f>value(EUR!$B1945)</f>
        <v>14893.632</v>
      </c>
      <c r="E1945" s="1">
        <f>value(GBP!$B1945)</f>
        <v>20703.176</v>
      </c>
      <c r="F1945" s="1">
        <f>value(CHF!$B1945)</f>
        <v>13474.9575</v>
      </c>
      <c r="G1945" s="1">
        <f>value(SGD!$B1945)</f>
        <v>9665.3128</v>
      </c>
      <c r="H1945" s="1">
        <f>value(MYR!$B1945)</f>
        <v>3175.5776</v>
      </c>
      <c r="I1945" s="1">
        <f>value(THB!$B1945)</f>
        <v>380.0472</v>
      </c>
      <c r="J1945" s="1">
        <f>value(VND!$B1945)</f>
        <v>0.5896532943</v>
      </c>
      <c r="K1945" s="1">
        <f>value(CNY!$B1945)</f>
        <v>2108.561</v>
      </c>
      <c r="L1945" s="1">
        <f>value(HKD!$B1945)</f>
        <v>1744.3504</v>
      </c>
      <c r="M1945" s="1">
        <f>value(TWD!$B1945)</f>
        <v>406.84655</v>
      </c>
      <c r="N1945" s="1">
        <f>value(JPY!$B1945)</f>
        <v>111.2696</v>
      </c>
      <c r="O1945" s="1">
        <f>value(SAR!$B1945)</f>
        <v>3453.016488</v>
      </c>
      <c r="P1945" s="1">
        <f>value(AED!$B1945)</f>
        <v>3606.385</v>
      </c>
      <c r="Q1945" s="1">
        <f>value(KWD!$B1945)</f>
        <v>44371.3149</v>
      </c>
    </row>
    <row r="1946">
      <c r="A1946" s="4">
        <f>value(USD!A1946)</f>
        <v>42299.99861</v>
      </c>
      <c r="B1946" s="1">
        <f>value(USD!B1946)</f>
        <v>13478</v>
      </c>
      <c r="C1946" s="1">
        <f>value(AUD!$B1946)</f>
        <v>9914.08</v>
      </c>
      <c r="D1946" s="1">
        <f>value(EUR!$B1946)</f>
        <v>15052.66</v>
      </c>
      <c r="E1946" s="1">
        <f>value(GBP!$B1946)</f>
        <v>20899.9243</v>
      </c>
      <c r="F1946" s="1">
        <f>value(CHF!$B1946)</f>
        <v>13599.112</v>
      </c>
      <c r="G1946" s="1">
        <f>value(SGD!$B1946)</f>
        <v>9773.8854</v>
      </c>
      <c r="H1946" s="1">
        <f>value(MYR!$B1946)</f>
        <v>3187.7342</v>
      </c>
      <c r="I1946" s="1">
        <f>value(THB!$B1946)</f>
        <v>383.2576</v>
      </c>
      <c r="J1946" s="1">
        <f>value(VND!$B1946)</f>
        <v>0.593982023</v>
      </c>
      <c r="K1946" s="1">
        <f>value(CNY!$B1946)</f>
        <v>2108.6973</v>
      </c>
      <c r="L1946" s="1">
        <f>value(HKD!$B1946)</f>
        <v>1755.9622</v>
      </c>
      <c r="M1946" s="1">
        <f>value(TWD!$B1946)</f>
        <v>404.7626</v>
      </c>
      <c r="N1946" s="1">
        <f>value(JPY!$B1946)</f>
        <v>112.511148</v>
      </c>
      <c r="O1946" s="1">
        <f>value(SAR!$B1946)</f>
        <v>3476.985313</v>
      </c>
      <c r="P1946" s="1">
        <f>value(AED!$B1946)</f>
        <v>3628.0035</v>
      </c>
      <c r="Q1946" s="1">
        <f>value(KWD!$B1946)</f>
        <v>44261.30772</v>
      </c>
    </row>
    <row r="1947">
      <c r="A1947" s="4">
        <f>value(USD!A1947)</f>
        <v>42300.99861</v>
      </c>
      <c r="B1947" s="1">
        <f>value(USD!B1947)</f>
        <v>13520</v>
      </c>
      <c r="C1947" s="1">
        <f>value(AUD!$B1947)</f>
        <v>9987.848</v>
      </c>
      <c r="D1947" s="1">
        <f>value(EUR!$B1947)</f>
        <v>15059.9085</v>
      </c>
      <c r="E1947" s="1">
        <f>value(GBP!$B1947)</f>
        <v>20898.15</v>
      </c>
      <c r="F1947" s="1">
        <f>value(CHF!$B1947)</f>
        <v>13655.45709</v>
      </c>
      <c r="G1947" s="1">
        <f>value(SGD!$B1947)</f>
        <v>9771.216</v>
      </c>
      <c r="H1947" s="1">
        <f>value(MYR!$B1947)</f>
        <v>3168.5745</v>
      </c>
      <c r="I1947" s="1">
        <f>value(THB!$B1947)</f>
        <v>383.9745</v>
      </c>
      <c r="J1947" s="1">
        <f>value(VND!$B1947)</f>
        <v>0.5975782459</v>
      </c>
      <c r="K1947" s="1">
        <f>value(CNY!$B1947)</f>
        <v>2079.98435</v>
      </c>
      <c r="L1947" s="1">
        <f>value(HKD!$B1947)</f>
        <v>1761.123</v>
      </c>
      <c r="M1947" s="1">
        <f>value(TWD!$B1947)</f>
        <v>408.2508</v>
      </c>
      <c r="N1947" s="1">
        <f>value(JPY!$B1947)</f>
        <v>113.285445</v>
      </c>
      <c r="O1947" s="1">
        <f>value(SAR!$B1947)</f>
        <v>3508.276336</v>
      </c>
      <c r="P1947" s="1">
        <f>value(AED!$B1947)</f>
        <v>3625.70978</v>
      </c>
      <c r="Q1947" s="1">
        <f>value(KWD!$B1947)</f>
        <v>44505.75941</v>
      </c>
    </row>
    <row r="1948">
      <c r="A1948" s="4">
        <f>value(USD!A1948)</f>
        <v>42303.99861</v>
      </c>
      <c r="B1948" s="1">
        <f>value(USD!B1948)</f>
        <v>13610</v>
      </c>
      <c r="C1948" s="1">
        <f>value(AUD!$B1948)</f>
        <v>9941.89825</v>
      </c>
      <c r="D1948" s="1">
        <f>value(EUR!$B1948)</f>
        <v>14860.59306</v>
      </c>
      <c r="E1948" s="1">
        <f>value(GBP!$B1948)</f>
        <v>20766.1734</v>
      </c>
      <c r="F1948" s="1">
        <f>value(CHF!$B1948)</f>
        <v>13575.44364</v>
      </c>
      <c r="G1948" s="1">
        <f>value(SGD!$B1948)</f>
        <v>9695.77764</v>
      </c>
      <c r="H1948" s="1">
        <f>value(MYR!$B1948)</f>
        <v>3147.91086</v>
      </c>
      <c r="I1948" s="1">
        <f>value(THB!$B1948)</f>
        <v>383.84844</v>
      </c>
      <c r="J1948" s="1">
        <f>value(VND!$B1948)</f>
        <v>0.5946498218</v>
      </c>
      <c r="K1948" s="1">
        <f>value(CNY!$B1948)</f>
        <v>2109.7644</v>
      </c>
      <c r="L1948" s="1">
        <f>value(HKD!$B1948)</f>
        <v>1754.93004</v>
      </c>
      <c r="M1948" s="1">
        <f>value(TWD!$B1948)</f>
        <v>418.5965</v>
      </c>
      <c r="N1948" s="1">
        <f>value(JPY!$B1948)</f>
        <v>112.5279858</v>
      </c>
      <c r="O1948" s="1">
        <f>value(SAR!$B1948)</f>
        <v>3519.878137</v>
      </c>
      <c r="P1948" s="1">
        <f>value(AED!$B1948)</f>
        <v>3633.603</v>
      </c>
      <c r="Q1948" s="1">
        <f>value(KWD!$B1948)</f>
        <v>44273.22556</v>
      </c>
    </row>
    <row r="1949">
      <c r="A1949" s="4">
        <f>value(USD!A1949)</f>
        <v>42304.99861</v>
      </c>
      <c r="B1949" s="1">
        <f>value(USD!B1949)</f>
        <v>13650</v>
      </c>
      <c r="C1949" s="1">
        <f>value(AUD!$B1949)</f>
        <v>9902.9344</v>
      </c>
      <c r="D1949" s="1">
        <f>value(EUR!$B1949)</f>
        <v>14951.3184</v>
      </c>
      <c r="E1949" s="1">
        <f>value(GBP!$B1949)</f>
        <v>20836.9038</v>
      </c>
      <c r="F1949" s="1">
        <f>value(CHF!$B1949)</f>
        <v>13521.1972</v>
      </c>
      <c r="G1949" s="1">
        <f>value(SGD!$B1949)</f>
        <v>9693.32928</v>
      </c>
      <c r="H1949" s="1">
        <f>value(MYR!$B1949)</f>
        <v>3134.44488</v>
      </c>
      <c r="I1949" s="1">
        <f>value(THB!$B1949)</f>
        <v>381.40008</v>
      </c>
      <c r="J1949" s="1">
        <f>value(VND!$B1949)</f>
        <v>0.5975014807</v>
      </c>
      <c r="K1949" s="1">
        <f>value(CNY!$B1949)</f>
        <v>2132.6838</v>
      </c>
      <c r="L1949" s="1">
        <f>value(HKD!$B1949)</f>
        <v>1754.93004</v>
      </c>
      <c r="M1949" s="1">
        <f>value(TWD!$B1949)</f>
        <v>408.0882</v>
      </c>
      <c r="N1949" s="1">
        <f>value(JPY!$B1949)</f>
        <v>112.400127</v>
      </c>
      <c r="O1949" s="1">
        <f>value(SAR!$B1949)</f>
        <v>3497.890621</v>
      </c>
      <c r="P1949" s="1">
        <f>value(AED!$B1949)</f>
        <v>3625.4376</v>
      </c>
      <c r="Q1949" s="1">
        <f>value(KWD!$B1949)</f>
        <v>44277.64226</v>
      </c>
    </row>
    <row r="1950">
      <c r="A1950" s="4">
        <f>value(USD!A1950)</f>
        <v>42305.99861</v>
      </c>
      <c r="B1950" s="1">
        <f>value(USD!B1950)</f>
        <v>13602</v>
      </c>
      <c r="C1950" s="1">
        <f>value(AUD!$B1950)</f>
        <v>9865.0621</v>
      </c>
      <c r="D1950" s="1">
        <f>value(EUR!$B1950)</f>
        <v>15001.178</v>
      </c>
      <c r="E1950" s="1">
        <f>value(GBP!$B1950)</f>
        <v>21027.001</v>
      </c>
      <c r="F1950" s="1">
        <f>value(CHF!$B1950)</f>
        <v>13445.4273</v>
      </c>
      <c r="G1950" s="1">
        <f>value(SGD!$B1950)</f>
        <v>9718.3263</v>
      </c>
      <c r="H1950" s="1">
        <f>value(MYR!$B1950)</f>
        <v>3165.2949</v>
      </c>
      <c r="I1950" s="1">
        <f>value(THB!$B1950)</f>
        <v>382.0489</v>
      </c>
      <c r="J1950" s="1">
        <f>value(VND!$B1950)</f>
        <v>0.5980477106</v>
      </c>
      <c r="K1950" s="1">
        <f>value(CNY!$B1950)</f>
        <v>2121.35</v>
      </c>
      <c r="L1950" s="1">
        <f>value(HKD!$B1950)</f>
        <v>1758.4063</v>
      </c>
      <c r="M1950" s="1">
        <f>value(TWD!$B1950)</f>
        <v>401.31135</v>
      </c>
      <c r="N1950" s="1">
        <f>value(JPY!$B1950)</f>
        <v>112.9927</v>
      </c>
      <c r="O1950" s="1">
        <f>value(SAR!$B1950)</f>
        <v>3527.762883</v>
      </c>
      <c r="P1950" s="1">
        <f>value(AED!$B1950)</f>
        <v>3643.40148</v>
      </c>
      <c r="Q1950" s="1">
        <f>value(KWD!$B1950)</f>
        <v>44110.787</v>
      </c>
    </row>
    <row r="1951">
      <c r="A1951" s="4">
        <f>value(USD!A1951)</f>
        <v>42306.99861</v>
      </c>
      <c r="B1951" s="1">
        <f>value(USD!B1951)</f>
        <v>13602</v>
      </c>
      <c r="C1951" s="1">
        <f>value(AUD!$B1951)</f>
        <v>9850.875</v>
      </c>
      <c r="D1951" s="1">
        <f>value(EUR!$B1951)</f>
        <v>15184.78241</v>
      </c>
      <c r="E1951" s="1">
        <f>value(GBP!$B1951)</f>
        <v>21281.37399</v>
      </c>
      <c r="F1951" s="1">
        <f>value(CHF!$B1951)</f>
        <v>13471.2037</v>
      </c>
      <c r="G1951" s="1">
        <f>value(SGD!$B1951)</f>
        <v>9708.4778</v>
      </c>
      <c r="H1951" s="1">
        <f>value(MYR!$B1951)</f>
        <v>3203.171613</v>
      </c>
      <c r="I1951" s="1">
        <f>value(THB!$B1951)</f>
        <v>386.620593</v>
      </c>
      <c r="J1951" s="1">
        <f>value(VND!$B1951)</f>
        <v>0.5954229613</v>
      </c>
      <c r="K1951" s="1">
        <f>value(CNY!$B1951)</f>
        <v>2121.0745</v>
      </c>
      <c r="L1951" s="1">
        <f>value(HKD!$B1951)</f>
        <v>1779.447831</v>
      </c>
      <c r="M1951" s="1">
        <f>value(TWD!$B1951)</f>
        <v>409.7115</v>
      </c>
      <c r="N1951" s="1">
        <f>value(JPY!$B1951)</f>
        <v>114.344799</v>
      </c>
      <c r="O1951" s="1">
        <f>value(SAR!$B1951)</f>
        <v>3532.568008</v>
      </c>
      <c r="P1951" s="1">
        <f>value(AED!$B1951)</f>
        <v>3628.70376</v>
      </c>
      <c r="Q1951" s="1">
        <f>value(KWD!$B1951)</f>
        <v>44139.18976</v>
      </c>
    </row>
    <row r="1952">
      <c r="A1952" s="4">
        <f>value(USD!A1952)</f>
        <v>42307.99861</v>
      </c>
      <c r="B1952" s="1">
        <f>value(USD!B1952)</f>
        <v>13630</v>
      </c>
      <c r="C1952" s="1">
        <f>value(AUD!$B1952)</f>
        <v>9907.647</v>
      </c>
      <c r="D1952" s="1">
        <f>value(EUR!$B1952)</f>
        <v>14957.012</v>
      </c>
      <c r="E1952" s="1">
        <f>value(GBP!$B1952)</f>
        <v>20941.9896</v>
      </c>
      <c r="F1952" s="1">
        <f>value(CHF!$B1952)</f>
        <v>13289.2392</v>
      </c>
      <c r="G1952" s="1">
        <f>value(SGD!$B1952)</f>
        <v>9593.7669</v>
      </c>
      <c r="H1952" s="1">
        <f>value(MYR!$B1952)</f>
        <v>3154.9056</v>
      </c>
      <c r="I1952" s="1">
        <f>value(THB!$B1952)</f>
        <v>381.3264</v>
      </c>
      <c r="J1952" s="1">
        <f>value(VND!$B1952)</f>
        <v>0.5970999827</v>
      </c>
      <c r="K1952" s="1">
        <f>value(CNY!$B1952)</f>
        <v>2118.921931</v>
      </c>
      <c r="L1952" s="1">
        <f>value(HKD!$B1952)</f>
        <v>1752.0916</v>
      </c>
      <c r="M1952" s="1">
        <f>value(TWD!$B1952)</f>
        <v>411.80978</v>
      </c>
      <c r="N1952" s="1">
        <f>value(JPY!$B1952)</f>
        <v>112.4424</v>
      </c>
      <c r="O1952" s="1">
        <f>value(SAR!$B1952)</f>
        <v>3511.531718</v>
      </c>
      <c r="P1952" s="1">
        <f>value(AED!$B1952)</f>
        <v>3629.065759</v>
      </c>
      <c r="Q1952" s="1">
        <f>value(KWD!$B1952)</f>
        <v>43899.92334</v>
      </c>
    </row>
    <row r="1953">
      <c r="A1953" s="4">
        <f>value(USD!A1953)</f>
        <v>42308.99861</v>
      </c>
      <c r="B1953" s="1">
        <f>value(USD!B1953)</f>
        <v>13793.1</v>
      </c>
      <c r="C1953" s="1">
        <f>value(AUD!$B1953)</f>
        <v>9922.64</v>
      </c>
      <c r="D1953" s="1">
        <f>value(EUR!$B1953)</f>
        <v>14682.92925</v>
      </c>
      <c r="E1953" s="1">
        <f>value(GBP!$B1953)</f>
        <v>20652.00915</v>
      </c>
      <c r="F1953" s="1">
        <f>value(CHF!$B1953)</f>
        <v>13473.65828</v>
      </c>
      <c r="G1953" s="1">
        <f>value(SGD!$B1953)</f>
        <v>9585.47655</v>
      </c>
      <c r="H1953" s="1">
        <f>value(MYR!$B1953)</f>
        <v>3154.7904</v>
      </c>
      <c r="I1953" s="1">
        <f>value(THB!$B1953)</f>
        <v>376.1316</v>
      </c>
      <c r="J1953" s="1">
        <f>value(VND!$B1953)</f>
        <v>0.5989806131</v>
      </c>
      <c r="K1953" s="1">
        <f>value(CNY!$B1953)</f>
        <v>2134.86272</v>
      </c>
      <c r="L1953" s="1">
        <f>value(HKD!$B1953)</f>
        <v>1728.08895</v>
      </c>
      <c r="M1953" s="1">
        <f>value(TWD!$B1953)</f>
        <v>409.773</v>
      </c>
      <c r="N1953" s="1">
        <f>value(JPY!$B1953)</f>
        <v>110.6427</v>
      </c>
      <c r="O1953" s="1">
        <f>value(SAR!$B1953)</f>
        <v>3550.457133</v>
      </c>
      <c r="P1953" s="1">
        <f>value(AED!$B1953)</f>
        <v>3606.385</v>
      </c>
      <c r="Q1953" s="1">
        <f>value(KWD!$B1953)</f>
        <v>44132.82175</v>
      </c>
    </row>
    <row r="1954">
      <c r="A1954" s="4">
        <f>value(USD!A1954)</f>
        <v>42310.99861</v>
      </c>
      <c r="B1954" s="1">
        <f>value(USD!B1954)</f>
        <v>13580</v>
      </c>
      <c r="C1954" s="1">
        <f>value(AUD!$B1954)</f>
        <v>9789.273</v>
      </c>
      <c r="D1954" s="1">
        <f>value(EUR!$B1954)</f>
        <v>14618.8575</v>
      </c>
      <c r="E1954" s="1">
        <f>value(GBP!$B1954)</f>
        <v>20704.15035</v>
      </c>
      <c r="F1954" s="1">
        <f>value(CHF!$B1954)</f>
        <v>13417.80015</v>
      </c>
      <c r="G1954" s="1">
        <f>value(SGD!$B1954)</f>
        <v>9614.51675</v>
      </c>
      <c r="H1954" s="1">
        <f>value(MYR!$B1954)</f>
        <v>3119.6763</v>
      </c>
      <c r="I1954" s="1">
        <f>value(THB!$B1954)</f>
        <v>378.48915</v>
      </c>
      <c r="J1954" s="1">
        <f>value(VND!$B1954)</f>
        <v>0.6002474554</v>
      </c>
      <c r="K1954" s="1">
        <f>value(CNY!$B1954)</f>
        <v>2116.16845</v>
      </c>
      <c r="L1954" s="1">
        <f>value(HKD!$B1954)</f>
        <v>1735.82955</v>
      </c>
      <c r="M1954" s="1">
        <f>value(TWD!$B1954)</f>
        <v>404.93754</v>
      </c>
      <c r="N1954" s="1">
        <f>value(JPY!$B1954)</f>
        <v>110.7359955</v>
      </c>
      <c r="O1954" s="1">
        <f>value(SAR!$B1954)</f>
        <v>3518.32561</v>
      </c>
      <c r="P1954" s="1">
        <f>value(AED!$B1954)</f>
        <v>3607.7459</v>
      </c>
      <c r="Q1954" s="1">
        <f>value(KWD!$B1954)</f>
        <v>44376.24375</v>
      </c>
    </row>
    <row r="1955">
      <c r="A1955" s="4">
        <f>value(USD!A1955)</f>
        <v>42311.99861</v>
      </c>
      <c r="B1955" s="1">
        <f>value(USD!B1955)</f>
        <v>13395</v>
      </c>
      <c r="C1955" s="1">
        <f>value(AUD!$B1955)</f>
        <v>9972.1257</v>
      </c>
      <c r="D1955" s="1">
        <f>value(EUR!$B1955)</f>
        <v>14719.2575</v>
      </c>
      <c r="E1955" s="1">
        <f>value(GBP!$B1955)</f>
        <v>20569.0905</v>
      </c>
      <c r="F1955" s="1">
        <f>value(CHF!$B1955)</f>
        <v>13386.0084</v>
      </c>
      <c r="G1955" s="1">
        <f>value(SGD!$B1955)</f>
        <v>9565.108</v>
      </c>
      <c r="H1955" s="1">
        <f>value(MYR!$B1955)</f>
        <v>3147.13225</v>
      </c>
      <c r="I1955" s="1">
        <f>value(THB!$B1955)</f>
        <v>379.91725</v>
      </c>
      <c r="J1955" s="1">
        <f>value(VND!$B1955)</f>
        <v>0.5947078325</v>
      </c>
      <c r="K1955" s="1">
        <f>value(CNY!$B1955)</f>
        <v>2120.37345</v>
      </c>
      <c r="L1955" s="1">
        <f>value(HKD!$B1955)</f>
        <v>1744.86025</v>
      </c>
      <c r="M1955" s="1">
        <f>value(TWD!$B1955)</f>
        <v>403.825</v>
      </c>
      <c r="N1955" s="1">
        <f>value(JPY!$B1955)</f>
        <v>111.1308675</v>
      </c>
      <c r="O1955" s="1">
        <f>value(SAR!$B1955)</f>
        <v>3534.342267</v>
      </c>
      <c r="P1955" s="1">
        <f>value(AED!$B1955)</f>
        <v>3591.4151</v>
      </c>
      <c r="Q1955" s="1">
        <f>value(KWD!$B1955)</f>
        <v>44375.5582</v>
      </c>
    </row>
    <row r="1956">
      <c r="A1956" s="4">
        <f>value(USD!A1956)</f>
        <v>42312.99861</v>
      </c>
      <c r="B1956" s="1">
        <f>value(USD!B1956)</f>
        <v>13455</v>
      </c>
      <c r="C1956" s="1">
        <f>value(AUD!$B1956)</f>
        <v>10080.5445</v>
      </c>
      <c r="D1956" s="1">
        <f>value(EUR!$B1956)</f>
        <v>14612.1043</v>
      </c>
      <c r="E1956" s="1">
        <f>value(GBP!$B1956)</f>
        <v>20480.328</v>
      </c>
      <c r="F1956" s="1">
        <f>value(CHF!$B1956)</f>
        <v>13296.456</v>
      </c>
      <c r="G1956" s="1">
        <f>value(SGD!$B1956)</f>
        <v>9591.3434</v>
      </c>
      <c r="H1956" s="1">
        <f>value(MYR!$B1956)</f>
        <v>3121.5896</v>
      </c>
      <c r="I1956" s="1">
        <f>value(THB!$B1956)</f>
        <v>379.4468</v>
      </c>
      <c r="J1956" s="1">
        <f>value(VND!$B1956)</f>
        <v>0.5968096793</v>
      </c>
      <c r="K1956" s="1">
        <f>value(CNY!$B1956)</f>
        <v>2112.3452</v>
      </c>
      <c r="L1956" s="1">
        <f>value(HKD!$B1956)</f>
        <v>1755.8261</v>
      </c>
      <c r="M1956" s="1">
        <f>value(TWD!$B1956)</f>
        <v>403.4211</v>
      </c>
      <c r="N1956" s="1">
        <f>value(JPY!$B1956)</f>
        <v>110.5132</v>
      </c>
      <c r="O1956" s="1">
        <f>value(SAR!$B1956)</f>
        <v>3513.390738</v>
      </c>
      <c r="P1956" s="1">
        <f>value(AED!$B1956)</f>
        <v>3606.385</v>
      </c>
      <c r="Q1956" s="1">
        <f>value(KWD!$B1956)</f>
        <v>43629.6112</v>
      </c>
    </row>
    <row r="1957">
      <c r="A1957" s="4">
        <f>value(USD!A1957)</f>
        <v>42313.99861</v>
      </c>
      <c r="B1957" s="1">
        <f>value(USD!B1957)</f>
        <v>13525</v>
      </c>
      <c r="C1957" s="1">
        <f>value(AUD!$B1957)</f>
        <v>10014.28725</v>
      </c>
      <c r="D1957" s="1">
        <f>value(EUR!$B1957)</f>
        <v>14734.37464</v>
      </c>
      <c r="E1957" s="1">
        <f>value(GBP!$B1957)</f>
        <v>20646.00653</v>
      </c>
      <c r="F1957" s="1">
        <f>value(CHF!$B1957)</f>
        <v>13415.7986</v>
      </c>
      <c r="G1957" s="1">
        <f>value(SGD!$B1957)</f>
        <v>9542.172</v>
      </c>
      <c r="H1957" s="1">
        <f>value(MYR!$B1957)</f>
        <v>3146.227451</v>
      </c>
      <c r="I1957" s="1">
        <f>value(THB!$B1957)</f>
        <v>382.4416696</v>
      </c>
      <c r="J1957" s="1">
        <f>value(VND!$B1957)</f>
        <v>0.601547028</v>
      </c>
      <c r="K1957" s="1">
        <f>value(CNY!$B1957)</f>
        <v>2114.7525</v>
      </c>
      <c r="L1957" s="1">
        <f>value(HKD!$B1957)</f>
        <v>1769.684354</v>
      </c>
      <c r="M1957" s="1">
        <f>value(TWD!$B1957)</f>
        <v>397.8835</v>
      </c>
      <c r="N1957" s="1">
        <f>value(JPY!$B1957)</f>
        <v>111.3854504</v>
      </c>
      <c r="O1957" s="1">
        <f>value(SAR!$B1957)</f>
        <v>3505.487638</v>
      </c>
      <c r="P1957" s="1">
        <f>value(AED!$B1957)</f>
        <v>3640.4075</v>
      </c>
      <c r="Q1957" s="1">
        <f>value(KWD!$B1957)</f>
        <v>43559.98948</v>
      </c>
    </row>
    <row r="1958">
      <c r="A1958" s="4">
        <f>value(USD!A1958)</f>
        <v>42314.99861</v>
      </c>
      <c r="B1958" s="1">
        <f>value(USD!B1958)</f>
        <v>13610</v>
      </c>
      <c r="C1958" s="1">
        <f>value(AUD!$B1958)</f>
        <v>10032.3325</v>
      </c>
      <c r="D1958" s="1">
        <f>value(EUR!$B1958)</f>
        <v>14678.88165</v>
      </c>
      <c r="E1958" s="1">
        <f>value(GBP!$B1958)</f>
        <v>20629.3297</v>
      </c>
      <c r="F1958" s="1">
        <f>value(CHF!$B1958)</f>
        <v>13234.04244</v>
      </c>
      <c r="G1958" s="1">
        <f>value(SGD!$B1958)</f>
        <v>9531.338</v>
      </c>
      <c r="H1958" s="1">
        <f>value(MYR!$B1958)</f>
        <v>3106.83005</v>
      </c>
      <c r="I1958" s="1">
        <f>value(THB!$B1958)</f>
        <v>379.6039</v>
      </c>
      <c r="J1958" s="1">
        <f>value(VND!$B1958)</f>
        <v>0.5928997731</v>
      </c>
      <c r="K1958" s="1">
        <f>value(CNY!$B1958)</f>
        <v>2152.106156</v>
      </c>
      <c r="L1958" s="1">
        <f>value(HKD!$B1958)</f>
        <v>1760.205</v>
      </c>
      <c r="M1958" s="1">
        <f>value(TWD!$B1958)</f>
        <v>395.85875</v>
      </c>
      <c r="N1958" s="1">
        <f>value(JPY!$B1958)</f>
        <v>110.8560735</v>
      </c>
      <c r="O1958" s="1">
        <f>value(SAR!$B1958)</f>
        <v>3504.253342</v>
      </c>
      <c r="P1958" s="1">
        <f>value(AED!$B1958)</f>
        <v>3643.1293</v>
      </c>
      <c r="Q1958" s="1">
        <f>value(KWD!$B1958)</f>
        <v>43752.68679</v>
      </c>
    </row>
    <row r="1959">
      <c r="A1959" s="4">
        <f>value(USD!A1959)</f>
        <v>42315.99861</v>
      </c>
      <c r="B1959" s="1">
        <f>value(USD!B1959)</f>
        <v>13717.42</v>
      </c>
      <c r="C1959" s="1">
        <f>value(AUD!$B1959)</f>
        <v>10062.98</v>
      </c>
      <c r="D1959" s="1">
        <f>value(EUR!$B1959)</f>
        <v>14558.4228</v>
      </c>
      <c r="E1959" s="1">
        <f>value(GBP!$B1959)</f>
        <v>20523.4668</v>
      </c>
      <c r="F1959" s="1">
        <f>value(CHF!$B1959)</f>
        <v>13489.97227</v>
      </c>
      <c r="G1959" s="1">
        <f>value(SGD!$B1959)</f>
        <v>9595.1861</v>
      </c>
      <c r="H1959" s="1">
        <f>value(MYR!$B1959)</f>
        <v>3091.9512</v>
      </c>
      <c r="I1959" s="1">
        <f>value(THB!$B1959)</f>
        <v>377.9172</v>
      </c>
      <c r="J1959" s="1">
        <f>value(VND!$B1959)</f>
        <v>0.5979447234</v>
      </c>
      <c r="K1959" s="1">
        <f>value(CNY!$B1959)</f>
        <v>2101.25905</v>
      </c>
      <c r="L1959" s="1">
        <f>value(HKD!$B1959)</f>
        <v>1749.1044</v>
      </c>
      <c r="M1959" s="1">
        <f>value(TWD!$B1959)</f>
        <v>398.52553</v>
      </c>
      <c r="N1959" s="1">
        <f>value(JPY!$B1959)</f>
        <v>110.146524</v>
      </c>
      <c r="O1959" s="1">
        <f>value(SAR!$B1959)</f>
        <v>3504.253342</v>
      </c>
      <c r="P1959" s="1">
        <f>value(AED!$B1959)</f>
        <v>3582.2836</v>
      </c>
      <c r="Q1959" s="1">
        <f>value(KWD!$B1959)</f>
        <v>43520.816</v>
      </c>
    </row>
    <row r="1960">
      <c r="A1960" s="4">
        <f>value(USD!A1960)</f>
        <v>42317.99861</v>
      </c>
      <c r="B1960" s="1">
        <f>value(USD!B1960)</f>
        <v>13645</v>
      </c>
      <c r="C1960" s="1">
        <f>value(AUD!$B1960)</f>
        <v>10025.3131</v>
      </c>
      <c r="D1960" s="1">
        <f>value(EUR!$B1960)</f>
        <v>14554.523</v>
      </c>
      <c r="E1960" s="1">
        <f>value(GBP!$B1960)</f>
        <v>20585.05</v>
      </c>
      <c r="F1960" s="1">
        <f>value(CHF!$B1960)</f>
        <v>13464.5496</v>
      </c>
      <c r="G1960" s="1">
        <f>value(SGD!$B1960)</f>
        <v>9647.586</v>
      </c>
      <c r="H1960" s="1">
        <f>value(MYR!$B1960)</f>
        <v>3093.1675</v>
      </c>
      <c r="I1960" s="1">
        <f>value(THB!$B1960)</f>
        <v>377.077</v>
      </c>
      <c r="J1960" s="1">
        <f>value(VND!$B1960)</f>
        <v>0.5960805553</v>
      </c>
      <c r="K1960" s="1">
        <f>value(CNY!$B1960)</f>
        <v>2097.9436</v>
      </c>
      <c r="L1960" s="1">
        <f>value(HKD!$B1960)</f>
        <v>1744.86025</v>
      </c>
      <c r="M1960" s="1">
        <f>value(TWD!$B1960)</f>
        <v>401.5233859</v>
      </c>
      <c r="N1960" s="1">
        <f>value(JPY!$B1960)</f>
        <v>110.1678875</v>
      </c>
      <c r="O1960" s="1">
        <f>value(SAR!$B1960)</f>
        <v>3508.02246</v>
      </c>
      <c r="P1960" s="1">
        <f>value(AED!$B1960)</f>
        <v>3576.17302</v>
      </c>
      <c r="Q1960" s="1">
        <f>value(KWD!$B1960)</f>
        <v>43548.52464</v>
      </c>
    </row>
    <row r="1961">
      <c r="A1961" s="4">
        <f>value(USD!A1961)</f>
        <v>42318.99861</v>
      </c>
      <c r="B1961" s="1">
        <f>value(USD!B1961)</f>
        <v>13560</v>
      </c>
      <c r="C1961" s="1">
        <f>value(AUD!$B1961)</f>
        <v>9885.7605</v>
      </c>
      <c r="D1961" s="1">
        <f>value(EUR!$B1961)</f>
        <v>14713.771</v>
      </c>
      <c r="E1961" s="1">
        <f>value(GBP!$B1961)</f>
        <v>20729.9354</v>
      </c>
      <c r="F1961" s="1">
        <f>value(CHF!$B1961)</f>
        <v>13551.01822</v>
      </c>
      <c r="G1961" s="1">
        <f>value(SGD!$B1961)</f>
        <v>9635.90152</v>
      </c>
      <c r="H1961" s="1">
        <f>value(MYR!$B1961)</f>
        <v>3101.3107</v>
      </c>
      <c r="I1961" s="1">
        <f>value(THB!$B1961)</f>
        <v>379.3107</v>
      </c>
      <c r="J1961" s="1">
        <f>value(VND!$B1961)</f>
        <v>0.5971652416</v>
      </c>
      <c r="K1961" s="1">
        <f>value(CNY!$B1961)</f>
        <v>2106.1287</v>
      </c>
      <c r="L1961" s="1">
        <f>value(HKD!$B1961)</f>
        <v>1756.0983</v>
      </c>
      <c r="M1961" s="1">
        <f>value(TWD!$B1961)</f>
        <v>403.0062</v>
      </c>
      <c r="N1961" s="1">
        <f>value(JPY!$B1961)</f>
        <v>111.031741</v>
      </c>
      <c r="O1961" s="1">
        <f>value(SAR!$B1961)</f>
        <v>3527.087173</v>
      </c>
      <c r="P1961" s="1">
        <f>value(AED!$B1961)</f>
        <v>3586.51586</v>
      </c>
      <c r="Q1961" s="1">
        <f>value(KWD!$B1961)</f>
        <v>43299.5158</v>
      </c>
    </row>
    <row r="1962">
      <c r="A1962" s="4">
        <f>value(USD!A1962)</f>
        <v>42319.99861</v>
      </c>
      <c r="B1962" s="1">
        <f>value(USD!B1962)</f>
        <v>13525</v>
      </c>
      <c r="C1962" s="1">
        <f>value(AUD!$B1962)</f>
        <v>9839.178</v>
      </c>
      <c r="D1962" s="1">
        <f>value(EUR!$B1962)</f>
        <v>14798.4624</v>
      </c>
      <c r="E1962" s="1">
        <f>value(GBP!$B1962)</f>
        <v>20934.7119</v>
      </c>
      <c r="F1962" s="1">
        <f>value(CHF!$B1962)</f>
        <v>13775.8005</v>
      </c>
      <c r="G1962" s="1">
        <f>value(SGD!$B1962)</f>
        <v>9630.6168</v>
      </c>
      <c r="H1962" s="1">
        <f>value(MYR!$B1962)</f>
        <v>3115.26324</v>
      </c>
      <c r="I1962" s="1">
        <f>value(THB!$B1962)</f>
        <v>382.19283</v>
      </c>
      <c r="J1962" s="1">
        <f>value(VND!$B1962)</f>
        <v>0.594886198</v>
      </c>
      <c r="K1962" s="1">
        <f>value(CNY!$B1962)</f>
        <v>2098.3585</v>
      </c>
      <c r="L1962" s="1">
        <f>value(HKD!$B1962)</f>
        <v>1772.98443</v>
      </c>
      <c r="M1962" s="1">
        <f>value(TWD!$B1962)</f>
        <v>404.7408</v>
      </c>
      <c r="N1962" s="1">
        <f>value(JPY!$B1962)</f>
        <v>112.00545</v>
      </c>
      <c r="O1962" s="1">
        <f>value(SAR!$B1962)</f>
        <v>3516.283972</v>
      </c>
      <c r="P1962" s="1">
        <f>value(AED!$B1962)</f>
        <v>3569.77185</v>
      </c>
      <c r="Q1962" s="1">
        <f>value(KWD!$B1962)</f>
        <v>43696.24028</v>
      </c>
    </row>
    <row r="1963">
      <c r="A1963" s="4">
        <f>value(USD!A1963)</f>
        <v>42320.99861</v>
      </c>
      <c r="B1963" s="1">
        <f>value(USD!B1963)</f>
        <v>13610</v>
      </c>
      <c r="C1963" s="1">
        <f>value(AUD!$B1963)</f>
        <v>9773.8452</v>
      </c>
      <c r="D1963" s="1">
        <f>value(EUR!$B1963)</f>
        <v>14677.98843</v>
      </c>
      <c r="E1963" s="1">
        <f>value(GBP!$B1963)</f>
        <v>20756.21366</v>
      </c>
      <c r="F1963" s="1">
        <f>value(CHF!$B1963)</f>
        <v>13788.2676</v>
      </c>
      <c r="G1963" s="1">
        <f>value(SGD!$B1963)</f>
        <v>9645.3049</v>
      </c>
      <c r="H1963" s="1">
        <f>value(MYR!$B1963)</f>
        <v>3088.281519</v>
      </c>
      <c r="I1963" s="1">
        <f>value(THB!$B1963)</f>
        <v>378.8826057</v>
      </c>
      <c r="J1963" s="1">
        <f>value(VND!$B1963)</f>
        <v>0.5974742354</v>
      </c>
      <c r="K1963" s="1">
        <f>value(CNY!$B1963)</f>
        <v>2127.66871</v>
      </c>
      <c r="L1963" s="1">
        <f>value(HKD!$B1963)</f>
        <v>1757.628369</v>
      </c>
      <c r="M1963" s="1">
        <f>value(TWD!$B1963)</f>
        <v>400.81008</v>
      </c>
      <c r="N1963" s="1">
        <f>value(JPY!$B1963)</f>
        <v>111.0353555</v>
      </c>
      <c r="O1963" s="1">
        <f>value(SAR!$B1963)</f>
        <v>3517.316789</v>
      </c>
      <c r="P1963" s="1">
        <f>value(AED!$B1963)</f>
        <v>3572.044636</v>
      </c>
      <c r="Q1963" s="1">
        <f>value(KWD!$B1963)</f>
        <v>43828.15438</v>
      </c>
    </row>
    <row r="1964">
      <c r="A1964" s="4">
        <f>value(USD!A1964)</f>
        <v>42321.99861</v>
      </c>
      <c r="B1964" s="1">
        <f>value(USD!B1964)</f>
        <v>13743</v>
      </c>
      <c r="C1964" s="1">
        <f>value(AUD!$B1964)</f>
        <v>9654.6612</v>
      </c>
      <c r="D1964" s="1">
        <f>value(EUR!$B1964)</f>
        <v>14649.7396</v>
      </c>
      <c r="E1964" s="1">
        <f>value(GBP!$B1964)</f>
        <v>20836.29708</v>
      </c>
      <c r="F1964" s="1">
        <f>value(CHF!$B1964)</f>
        <v>13858.4879</v>
      </c>
      <c r="G1964" s="1">
        <f>value(SGD!$B1964)</f>
        <v>9659.95665</v>
      </c>
      <c r="H1964" s="1">
        <f>value(MYR!$B1964)</f>
        <v>3122.13408</v>
      </c>
      <c r="I1964" s="1">
        <f>value(THB!$B1964)</f>
        <v>380.67116</v>
      </c>
      <c r="J1964" s="1">
        <f>value(VND!$B1964)</f>
        <v>0.5987112587</v>
      </c>
      <c r="K1964" s="1">
        <f>value(CNY!$B1964)</f>
        <v>2134.125265</v>
      </c>
      <c r="L1964" s="1">
        <f>value(HKD!$B1964)</f>
        <v>1768.46908</v>
      </c>
      <c r="M1964" s="1">
        <f>value(TWD!$B1964)</f>
        <v>409.9217</v>
      </c>
      <c r="N1964" s="1">
        <f>value(JPY!$B1964)</f>
        <v>111.192442</v>
      </c>
      <c r="O1964" s="1">
        <f>value(SAR!$B1964)</f>
        <v>3497.706367</v>
      </c>
      <c r="P1964" s="1">
        <f>value(AED!$B1964)</f>
        <v>3554.6708</v>
      </c>
      <c r="Q1964" s="1">
        <f>value(KWD!$B1964)</f>
        <v>43485.4762</v>
      </c>
    </row>
    <row r="1965">
      <c r="A1965" s="4">
        <f>value(USD!A1965)</f>
        <v>42322.99861</v>
      </c>
      <c r="B1965" s="1">
        <f>value(USD!B1965)</f>
        <v>13623.97</v>
      </c>
      <c r="C1965" s="1">
        <f>value(AUD!$B1965)</f>
        <v>9745.362517</v>
      </c>
      <c r="D1965" s="1">
        <f>value(EUR!$B1965)</f>
        <v>14600.824</v>
      </c>
      <c r="E1965" s="1">
        <f>value(GBP!$B1965)</f>
        <v>20874.98</v>
      </c>
      <c r="F1965" s="1">
        <f>value(CHF!$B1965)</f>
        <v>14078.2509</v>
      </c>
      <c r="G1965" s="1">
        <f>value(SGD!$B1965)</f>
        <v>9580.4978</v>
      </c>
      <c r="H1965" s="1">
        <f>value(MYR!$B1965)</f>
        <v>3115.9492</v>
      </c>
      <c r="I1965" s="1">
        <f>value(THB!$B1965)</f>
        <v>381.1416</v>
      </c>
      <c r="J1965" s="1">
        <f>value(VND!$B1965)</f>
        <v>0.5967432874</v>
      </c>
      <c r="K1965" s="1">
        <f>value(CNY!$B1965)</f>
        <v>2116.043</v>
      </c>
      <c r="L1965" s="1">
        <f>value(HKD!$B1965)</f>
        <v>1770.0172</v>
      </c>
      <c r="M1965" s="1">
        <f>value(TWD!$B1965)</f>
        <v>394.6605</v>
      </c>
      <c r="N1965" s="1">
        <f>value(JPY!$B1965)</f>
        <v>111.130628</v>
      </c>
      <c r="O1965" s="1">
        <f>value(SAR!$B1965)</f>
        <v>3504.533762</v>
      </c>
      <c r="P1965" s="1">
        <f>value(AED!$B1965)</f>
        <v>3581.8888</v>
      </c>
      <c r="Q1965" s="1">
        <f>value(KWD!$B1965)</f>
        <v>43510.73611</v>
      </c>
    </row>
    <row r="1966">
      <c r="A1966" s="4">
        <f>value(USD!A1966)</f>
        <v>42324.99861</v>
      </c>
      <c r="B1966" s="1">
        <f>value(USD!B1966)</f>
        <v>13708</v>
      </c>
      <c r="C1966" s="1">
        <f>value(AUD!$B1966)</f>
        <v>9642.93055</v>
      </c>
      <c r="D1966" s="1">
        <f>value(EUR!$B1966)</f>
        <v>14620.494</v>
      </c>
      <c r="E1966" s="1">
        <f>value(GBP!$B1966)</f>
        <v>20883.679</v>
      </c>
      <c r="F1966" s="1">
        <f>value(CHF!$B1966)</f>
        <v>14151.072</v>
      </c>
      <c r="G1966" s="1">
        <f>value(SGD!$B1966)</f>
        <v>9713.870984</v>
      </c>
      <c r="H1966" s="1">
        <f>value(MYR!$B1966)</f>
        <v>3140.50075</v>
      </c>
      <c r="I1966" s="1">
        <f>value(THB!$B1966)</f>
        <v>380.999</v>
      </c>
      <c r="J1966" s="1">
        <f>value(VND!$B1966)</f>
        <v>0.5963394576</v>
      </c>
      <c r="K1966" s="1">
        <f>value(CNY!$B1966)</f>
        <v>2102.8515</v>
      </c>
      <c r="L1966" s="1">
        <f>value(HKD!$B1966)</f>
        <v>1768.2191</v>
      </c>
      <c r="M1966" s="1">
        <f>value(TWD!$B1966)</f>
        <v>397.7234</v>
      </c>
      <c r="N1966" s="1">
        <f>value(JPY!$B1966)</f>
        <v>110.9268995</v>
      </c>
      <c r="O1966" s="1">
        <f>value(SAR!$B1966)</f>
        <v>3504.533762</v>
      </c>
      <c r="P1966" s="1">
        <f>value(AED!$B1966)</f>
        <v>3595.91004</v>
      </c>
      <c r="Q1966" s="1">
        <f>value(KWD!$B1966)</f>
        <v>43628.93391</v>
      </c>
    </row>
    <row r="1967">
      <c r="A1967" s="4">
        <f>value(USD!A1967)</f>
        <v>42325.99861</v>
      </c>
      <c r="B1967" s="1">
        <f>value(USD!B1967)</f>
        <v>13720</v>
      </c>
      <c r="C1967" s="1">
        <f>value(AUD!$B1967)</f>
        <v>9633.0485</v>
      </c>
      <c r="D1967" s="1">
        <f>value(EUR!$B1967)</f>
        <v>14643.8951</v>
      </c>
      <c r="E1967" s="1">
        <f>value(GBP!$B1967)</f>
        <v>20870.43855</v>
      </c>
      <c r="F1967" s="1">
        <f>value(CHF!$B1967)</f>
        <v>14090.7075</v>
      </c>
      <c r="G1967" s="1">
        <f>value(SGD!$B1967)</f>
        <v>9638.1978</v>
      </c>
      <c r="H1967" s="1">
        <f>value(MYR!$B1967)</f>
        <v>3185.57495</v>
      </c>
      <c r="I1967" s="1">
        <f>value(THB!$B1967)</f>
        <v>381.5207</v>
      </c>
      <c r="J1967" s="1">
        <f>value(VND!$B1967)</f>
        <v>0.5980749815</v>
      </c>
      <c r="K1967" s="1">
        <f>value(CNY!$B1967)</f>
        <v>2101.1235</v>
      </c>
      <c r="L1967" s="1">
        <f>value(HKD!$B1967)</f>
        <v>1761.7681</v>
      </c>
      <c r="M1967" s="1">
        <f>value(TWD!$B1967)</f>
        <v>399.1311</v>
      </c>
      <c r="N1967" s="1">
        <f>value(JPY!$B1967)</f>
        <v>111.0765975</v>
      </c>
      <c r="O1967" s="1">
        <f>value(SAR!$B1967)</f>
        <v>3491.999912</v>
      </c>
      <c r="P1967" s="1">
        <f>value(AED!$B1967)</f>
        <v>3565.427</v>
      </c>
      <c r="Q1967" s="1">
        <f>value(KWD!$B1967)</f>
        <v>43537.408</v>
      </c>
    </row>
    <row r="1968">
      <c r="A1968" s="4">
        <f>value(USD!A1968)</f>
        <v>42326.99861</v>
      </c>
      <c r="B1968" s="1">
        <f>value(USD!B1968)</f>
        <v>13705</v>
      </c>
      <c r="C1968" s="1">
        <f>value(AUD!$B1968)</f>
        <v>9601.37133</v>
      </c>
      <c r="D1968" s="1">
        <f>value(EUR!$B1968)</f>
        <v>14413.4654</v>
      </c>
      <c r="E1968" s="1">
        <f>value(GBP!$B1968)</f>
        <v>20567.26</v>
      </c>
      <c r="F1968" s="1">
        <f>value(CHF!$B1968)</f>
        <v>14371.623</v>
      </c>
      <c r="G1968" s="1">
        <f>value(SGD!$B1968)</f>
        <v>9660.3936</v>
      </c>
      <c r="H1968" s="1">
        <f>value(MYR!$B1968)</f>
        <v>3153.6014</v>
      </c>
      <c r="I1968" s="1">
        <f>value(THB!$B1968)</f>
        <v>369.7774</v>
      </c>
      <c r="J1968" s="1">
        <f>value(VND!$B1968)</f>
        <v>0.5960845136</v>
      </c>
      <c r="K1968" s="1">
        <f>value(CNY!$B1968)</f>
        <v>2090.54727</v>
      </c>
      <c r="L1968" s="1">
        <f>value(HKD!$B1968)</f>
        <v>1746.9308</v>
      </c>
      <c r="M1968" s="1">
        <f>value(TWD!$B1968)</f>
        <v>399.85408</v>
      </c>
      <c r="N1968" s="1">
        <f>value(JPY!$B1968)</f>
        <v>110.2156</v>
      </c>
      <c r="O1968" s="1">
        <f>value(SAR!$B1968)</f>
        <v>3490.507994</v>
      </c>
      <c r="P1968" s="1">
        <f>value(AED!$B1968)</f>
        <v>3567.04995</v>
      </c>
      <c r="Q1968" s="1">
        <f>value(KWD!$B1968)</f>
        <v>43356.42542</v>
      </c>
    </row>
    <row r="1969">
      <c r="A1969" s="4">
        <f>value(USD!A1969)</f>
        <v>42327.99861</v>
      </c>
      <c r="B1969" s="1">
        <f>value(USD!B1969)</f>
        <v>13655</v>
      </c>
      <c r="C1969" s="1">
        <f>value(AUD!$B1969)</f>
        <v>9667.8225</v>
      </c>
      <c r="D1969" s="1">
        <f>value(EUR!$B1969)</f>
        <v>14612.08393</v>
      </c>
      <c r="E1969" s="1">
        <f>value(GBP!$B1969)</f>
        <v>20860.84597</v>
      </c>
      <c r="F1969" s="1">
        <f>value(CHF!$B1969)</f>
        <v>14195.7574</v>
      </c>
      <c r="G1969" s="1">
        <f>value(SGD!$B1969)</f>
        <v>9672.8184</v>
      </c>
      <c r="H1969" s="1">
        <f>value(MYR!$B1969)</f>
        <v>3199.312316</v>
      </c>
      <c r="I1969" s="1">
        <f>value(THB!$B1969)</f>
        <v>375.1372606</v>
      </c>
      <c r="J1969" s="1">
        <f>value(VND!$B1969)</f>
        <v>0.5972848602</v>
      </c>
      <c r="K1969" s="1">
        <f>value(CNY!$B1969)</f>
        <v>2094.08051</v>
      </c>
      <c r="L1969" s="1">
        <f>value(HKD!$B1969)</f>
        <v>1772.252265</v>
      </c>
      <c r="M1969" s="1">
        <f>value(TWD!$B1969)</f>
        <v>411.0824</v>
      </c>
      <c r="N1969" s="1">
        <f>value(JPY!$B1969)</f>
        <v>111.8131564</v>
      </c>
      <c r="O1969" s="1">
        <f>value(SAR!$B1969)</f>
        <v>3509.451048</v>
      </c>
      <c r="P1969" s="1">
        <f>value(AED!$B1969)</f>
        <v>3576.739914</v>
      </c>
      <c r="Q1969" s="1">
        <f>value(KWD!$B1969)</f>
        <v>43143.1632</v>
      </c>
    </row>
    <row r="1970">
      <c r="A1970" s="4">
        <f>value(USD!A1970)</f>
        <v>42328.99861</v>
      </c>
      <c r="B1970" s="1">
        <f>value(USD!B1970)</f>
        <v>13540</v>
      </c>
      <c r="C1970" s="1">
        <f>value(AUD!$B1970)</f>
        <v>9582.6834</v>
      </c>
      <c r="D1970" s="1">
        <f>value(EUR!$B1970)</f>
        <v>14538.05685</v>
      </c>
      <c r="E1970" s="1">
        <f>value(GBP!$B1970)</f>
        <v>20667.90255</v>
      </c>
      <c r="F1970" s="1">
        <f>value(CHF!$B1970)</f>
        <v>14094.333</v>
      </c>
      <c r="G1970" s="1">
        <f>value(SGD!$B1970)</f>
        <v>9750.4765</v>
      </c>
      <c r="H1970" s="1">
        <f>value(MYR!$B1970)</f>
        <v>3183.3984</v>
      </c>
      <c r="I1970" s="1">
        <f>value(THB!$B1970)</f>
        <v>380.84355</v>
      </c>
      <c r="J1970" s="1">
        <f>value(VND!$B1970)</f>
        <v>0.5977666308</v>
      </c>
      <c r="K1970" s="1">
        <f>value(CNY!$B1970)</f>
        <v>2109.971459</v>
      </c>
      <c r="L1970" s="1">
        <f>value(HKD!$B1970)</f>
        <v>1763.0583</v>
      </c>
      <c r="M1970" s="1">
        <f>value(TWD!$B1970)</f>
        <v>405.24055</v>
      </c>
      <c r="N1970" s="1">
        <f>value(JPY!$B1970)</f>
        <v>111.145644</v>
      </c>
      <c r="O1970" s="1">
        <f>value(SAR!$B1970)</f>
        <v>3516.847207</v>
      </c>
      <c r="P1970" s="1">
        <f>value(AED!$B1970)</f>
        <v>3571.0016</v>
      </c>
      <c r="Q1970" s="1">
        <f>value(KWD!$B1970)</f>
        <v>43159.7376</v>
      </c>
    </row>
    <row r="1971">
      <c r="A1971" s="4">
        <f>value(USD!A1971)</f>
        <v>42330.99861</v>
      </c>
      <c r="B1971" s="1">
        <f>value(USD!B1971)</f>
        <v>13736.26</v>
      </c>
      <c r="C1971" s="1">
        <f>value(AUD!$B1971)</f>
        <v>9590.207057</v>
      </c>
      <c r="D1971" s="1">
        <f>value(EUR!$B1971)</f>
        <v>14494.404</v>
      </c>
      <c r="E1971" s="1">
        <f>value(GBP!$B1971)</f>
        <v>20543.046</v>
      </c>
      <c r="F1971" s="1">
        <f>value(CHF!$B1971)</f>
        <v>13857.696</v>
      </c>
      <c r="G1971" s="1">
        <f>value(SGD!$B1971)</f>
        <v>9637.2927</v>
      </c>
      <c r="H1971" s="1">
        <f>value(MYR!$B1971)</f>
        <v>3227.5314</v>
      </c>
      <c r="I1971" s="1">
        <f>value(THB!$B1971)</f>
        <v>380.679</v>
      </c>
      <c r="J1971" s="1">
        <f>value(VND!$B1971)</f>
        <v>0.5986938241</v>
      </c>
      <c r="K1971" s="1">
        <f>value(CNY!$B1971)</f>
        <v>2104.985311</v>
      </c>
      <c r="L1971" s="1">
        <f>value(HKD!$B1971)</f>
        <v>1757.3886</v>
      </c>
      <c r="M1971" s="1">
        <f>value(TWD!$B1971)</f>
        <v>407.95508</v>
      </c>
      <c r="N1971" s="1">
        <f>value(JPY!$B1971)</f>
        <v>111.162354</v>
      </c>
      <c r="O1971" s="1">
        <f>value(SAR!$B1971)</f>
        <v>3501.61344</v>
      </c>
      <c r="P1971" s="1">
        <f>value(AED!$B1971)</f>
        <v>3558.7535</v>
      </c>
      <c r="Q1971" s="1">
        <f>value(KWD!$B1971)</f>
        <v>43320.50179</v>
      </c>
    </row>
    <row r="1972">
      <c r="A1972" s="4">
        <f>value(USD!A1972)</f>
        <v>42331.99861</v>
      </c>
      <c r="B1972" s="1">
        <f>value(USD!B1972)</f>
        <v>13665</v>
      </c>
      <c r="C1972" s="1">
        <f>value(AUD!$B1972)</f>
        <v>9573.4375</v>
      </c>
      <c r="D1972" s="1">
        <f>value(EUR!$B1972)</f>
        <v>14435.298</v>
      </c>
      <c r="E1972" s="1">
        <f>value(GBP!$B1972)</f>
        <v>20550.2544</v>
      </c>
      <c r="F1972" s="1">
        <f>value(CHF!$B1972)</f>
        <v>14090.1</v>
      </c>
      <c r="G1972" s="1">
        <f>value(SGD!$B1972)</f>
        <v>9841.10338</v>
      </c>
      <c r="H1972" s="1">
        <f>value(MYR!$B1972)</f>
        <v>3213.8991</v>
      </c>
      <c r="I1972" s="1">
        <f>value(THB!$B1972)</f>
        <v>380.6559</v>
      </c>
      <c r="J1972" s="1">
        <f>value(VND!$B1972)</f>
        <v>0.5986605286</v>
      </c>
      <c r="K1972" s="1">
        <f>value(CNY!$B1972)</f>
        <v>2102.4366</v>
      </c>
      <c r="L1972" s="1">
        <f>value(HKD!$B1972)</f>
        <v>1753.3818</v>
      </c>
      <c r="M1972" s="1">
        <f>value(TWD!$B1972)</f>
        <v>399.2064</v>
      </c>
      <c r="N1972" s="1">
        <f>value(JPY!$B1972)</f>
        <v>110.7585</v>
      </c>
      <c r="O1972" s="1">
        <f>value(SAR!$B1972)</f>
        <v>3498.504871</v>
      </c>
      <c r="P1972" s="1">
        <f>value(AED!$B1972)</f>
        <v>3542.4227</v>
      </c>
      <c r="Q1972" s="1">
        <f>value(KWD!$B1972)</f>
        <v>43638.52376</v>
      </c>
    </row>
    <row r="1973">
      <c r="A1973" s="4">
        <f>value(USD!A1973)</f>
        <v>42332.99861</v>
      </c>
      <c r="B1973" s="1">
        <f>value(USD!B1973)</f>
        <v>13620</v>
      </c>
      <c r="C1973" s="1">
        <f>value(AUD!$B1973)</f>
        <v>9560.679</v>
      </c>
      <c r="D1973" s="1">
        <f>value(EUR!$B1973)</f>
        <v>14563.2205</v>
      </c>
      <c r="E1973" s="1">
        <f>value(GBP!$B1973)</f>
        <v>20736.2789</v>
      </c>
      <c r="F1973" s="1">
        <f>value(CHF!$B1973)</f>
        <v>13971.7605</v>
      </c>
      <c r="G1973" s="1">
        <f>value(SGD!$B1973)</f>
        <v>9824.0852</v>
      </c>
      <c r="H1973" s="1">
        <f>value(MYR!$B1973)</f>
        <v>3245.8552</v>
      </c>
      <c r="I1973" s="1">
        <f>value(THB!$B1973)</f>
        <v>383.61855</v>
      </c>
      <c r="J1973" s="1">
        <f>value(VND!$B1973)</f>
        <v>0.6033986514</v>
      </c>
      <c r="K1973" s="1">
        <f>value(CNY!$B1973)</f>
        <v>2107.8168</v>
      </c>
      <c r="L1973" s="1">
        <f>value(HKD!$B1973)</f>
        <v>1772.0897</v>
      </c>
      <c r="M1973" s="1">
        <f>value(TWD!$B1973)</f>
        <v>407.82105</v>
      </c>
      <c r="N1973" s="1">
        <f>value(JPY!$B1973)</f>
        <v>111.94025</v>
      </c>
      <c r="O1973" s="1">
        <f>value(SAR!$B1973)</f>
        <v>3494.725568</v>
      </c>
      <c r="P1973" s="1">
        <f>value(AED!$B1973)</f>
        <v>3543.7836</v>
      </c>
      <c r="Q1973" s="1">
        <f>value(KWD!$B1973)</f>
        <v>43326.14543</v>
      </c>
    </row>
    <row r="1974">
      <c r="A1974" s="4">
        <f>value(USD!A1974)</f>
        <v>42333.99861</v>
      </c>
      <c r="B1974" s="1">
        <f>value(USD!B1974)</f>
        <v>13590</v>
      </c>
      <c r="C1974" s="1">
        <f>value(AUD!$B1974)</f>
        <v>9584.8725</v>
      </c>
      <c r="D1974" s="1">
        <f>value(EUR!$B1974)</f>
        <v>14443.05114</v>
      </c>
      <c r="E1974" s="1">
        <f>value(GBP!$B1974)</f>
        <v>20497.36848</v>
      </c>
      <c r="F1974" s="1">
        <f>value(CHF!$B1974)</f>
        <v>13854.944</v>
      </c>
      <c r="G1974" s="1">
        <f>value(SGD!$B1974)</f>
        <v>9777.28898</v>
      </c>
      <c r="H1974" s="1">
        <f>value(MYR!$B1974)</f>
        <v>3188.70078</v>
      </c>
      <c r="I1974" s="1">
        <f>value(THB!$B1974)</f>
        <v>372.86292</v>
      </c>
      <c r="J1974" s="1">
        <f>value(VND!$B1974)</f>
        <v>0.6013267831</v>
      </c>
      <c r="K1974" s="1">
        <f>value(CNY!$B1974)</f>
        <v>2097.76598</v>
      </c>
      <c r="L1974" s="1">
        <f>value(HKD!$B1974)</f>
        <v>1759.43838</v>
      </c>
      <c r="M1974" s="1">
        <f>value(TWD!$B1974)</f>
        <v>397.66</v>
      </c>
      <c r="N1974" s="1">
        <f>value(JPY!$B1974)</f>
        <v>111.01332</v>
      </c>
      <c r="O1974" s="1">
        <f>value(SAR!$B1974)</f>
        <v>3514.776137</v>
      </c>
      <c r="P1974" s="1">
        <f>value(AED!$B1974)</f>
        <v>3555.34578</v>
      </c>
      <c r="Q1974" s="1">
        <f>value(KWD!$B1974)</f>
        <v>43375.83897</v>
      </c>
    </row>
    <row r="1975">
      <c r="A1975" s="4">
        <f>value(USD!A1975)</f>
        <v>42334.99861</v>
      </c>
      <c r="B1975" s="1">
        <f>value(USD!B1975)</f>
        <v>13735</v>
      </c>
      <c r="C1975" s="1">
        <f>value(AUD!$B1975)</f>
        <v>9656.1997</v>
      </c>
      <c r="D1975" s="1">
        <f>value(EUR!$B1975)</f>
        <v>14817.71605</v>
      </c>
      <c r="E1975" s="1">
        <f>value(GBP!$B1975)</f>
        <v>21027.15484</v>
      </c>
      <c r="F1975" s="1">
        <f>value(CHF!$B1975)</f>
        <v>13806.011</v>
      </c>
      <c r="G1975" s="1">
        <f>value(SGD!$B1975)</f>
        <v>9802.6071</v>
      </c>
      <c r="H1975" s="1">
        <f>value(MYR!$B1975)</f>
        <v>3270.068998</v>
      </c>
      <c r="I1975" s="1">
        <f>value(THB!$B1975)</f>
        <v>382.3775134</v>
      </c>
      <c r="J1975" s="1">
        <f>value(VND!$B1975)</f>
        <v>0.6032670406</v>
      </c>
      <c r="K1975" s="1">
        <f>value(CNY!$B1975)</f>
        <v>2092.0047</v>
      </c>
      <c r="L1975" s="1">
        <f>value(HKD!$B1975)</f>
        <v>1804.33515</v>
      </c>
      <c r="M1975" s="1">
        <f>value(TWD!$B1975)</f>
        <v>396.4096</v>
      </c>
      <c r="N1975" s="1">
        <f>value(JPY!$B1975)</f>
        <v>113.8461214</v>
      </c>
      <c r="O1975" s="1">
        <f>value(SAR!$B1975)</f>
        <v>3516.847207</v>
      </c>
      <c r="P1975" s="1">
        <f>value(AED!$B1975)</f>
        <v>3581.446079</v>
      </c>
      <c r="Q1975" s="1">
        <f>value(KWD!$B1975)</f>
        <v>43394.03609</v>
      </c>
    </row>
    <row r="1976">
      <c r="A1976" s="4">
        <f>value(USD!A1976)</f>
        <v>42335.99861</v>
      </c>
      <c r="B1976" s="1">
        <f>value(USD!B1976)</f>
        <v>13638</v>
      </c>
      <c r="C1976" s="1">
        <f>value(AUD!$B1976)</f>
        <v>9624.82458</v>
      </c>
      <c r="D1976" s="1">
        <f>value(EUR!$B1976)</f>
        <v>14673.91451</v>
      </c>
      <c r="E1976" s="1">
        <f>value(GBP!$B1976)</f>
        <v>20900.8565</v>
      </c>
      <c r="F1976" s="1">
        <f>value(CHF!$B1976)</f>
        <v>13748.9875</v>
      </c>
      <c r="G1976" s="1">
        <f>value(SGD!$B1976)</f>
        <v>9836.14452</v>
      </c>
      <c r="H1976" s="1">
        <f>value(MYR!$B1976)</f>
        <v>3256.67414</v>
      </c>
      <c r="I1976" s="1">
        <f>value(THB!$B1976)</f>
        <v>387.19687</v>
      </c>
      <c r="J1976" s="1">
        <f>value(VND!$B1976)</f>
        <v>0.6031876056</v>
      </c>
      <c r="K1976" s="1">
        <f>value(CNY!$B1976)</f>
        <v>2088.446</v>
      </c>
      <c r="L1976" s="1">
        <f>value(HKD!$B1976)</f>
        <v>1790.76817</v>
      </c>
      <c r="M1976" s="1">
        <f>value(TWD!$B1976)</f>
        <v>398.9158272</v>
      </c>
      <c r="N1976" s="1">
        <f>value(JPY!$B1976)</f>
        <v>112.59113</v>
      </c>
      <c r="O1976" s="1">
        <f>value(SAR!$B1976)</f>
        <v>3518.666578</v>
      </c>
      <c r="P1976" s="1">
        <f>value(AED!$B1976)</f>
        <v>3559.57004</v>
      </c>
      <c r="Q1976" s="1">
        <f>value(KWD!$B1976)</f>
        <v>43409.59011</v>
      </c>
    </row>
    <row r="1977">
      <c r="A1977" s="4">
        <f>value(USD!A1977)</f>
        <v>42336.99861</v>
      </c>
      <c r="B1977" s="1">
        <f>value(USD!B1977)</f>
        <v>13986.01</v>
      </c>
      <c r="C1977" s="1">
        <f>value(AUD!$B1977)</f>
        <v>9698.057082</v>
      </c>
      <c r="D1977" s="1">
        <f>value(EUR!$B1977)</f>
        <v>14684.3028</v>
      </c>
      <c r="E1977" s="1">
        <f>value(GBP!$B1977)</f>
        <v>20832.268</v>
      </c>
      <c r="F1977" s="1">
        <f>value(CHF!$B1977)</f>
        <v>13822.183</v>
      </c>
      <c r="G1977" s="1">
        <f>value(SGD!$B1977)</f>
        <v>9855.4672</v>
      </c>
      <c r="H1977" s="1">
        <f>value(MYR!$B1977)</f>
        <v>3266.357</v>
      </c>
      <c r="I1977" s="1">
        <f>value(THB!$B1977)</f>
        <v>385.8544</v>
      </c>
      <c r="J1977" s="1">
        <f>value(VND!$B1977)</f>
        <v>0.6006144384</v>
      </c>
      <c r="K1977" s="1">
        <f>value(CNY!$B1977)</f>
        <v>2134.696399</v>
      </c>
      <c r="L1977" s="1">
        <f>value(HKD!$B1977)</f>
        <v>1782.78</v>
      </c>
      <c r="M1977" s="1">
        <f>value(TWD!$B1977)</f>
        <v>397.188</v>
      </c>
      <c r="N1977" s="1">
        <f>value(JPY!$B1977)</f>
        <v>112.422936</v>
      </c>
      <c r="O1977" s="1">
        <f>value(SAR!$B1977)</f>
        <v>3521.3711</v>
      </c>
      <c r="P1977" s="1">
        <f>value(AED!$B1977)</f>
        <v>3563.65274</v>
      </c>
      <c r="Q1977" s="1">
        <f>value(KWD!$B1977)</f>
        <v>43423.3979</v>
      </c>
    </row>
    <row r="1978">
      <c r="A1978" s="4">
        <f>value(USD!A1978)</f>
        <v>42338.99861</v>
      </c>
      <c r="B1978" s="1">
        <f>value(USD!B1978)</f>
        <v>13883</v>
      </c>
      <c r="C1978" s="1">
        <f>value(AUD!$B1978)</f>
        <v>9697.503065</v>
      </c>
      <c r="D1978" s="1">
        <f>value(EUR!$B1978)</f>
        <v>14649.64121</v>
      </c>
      <c r="E1978" s="1">
        <f>value(GBP!$B1978)</f>
        <v>20634.69957</v>
      </c>
      <c r="F1978" s="1">
        <f>value(CHF!$B1978)</f>
        <v>13826.272</v>
      </c>
      <c r="G1978" s="1">
        <f>value(SGD!$B1978)</f>
        <v>9925.09</v>
      </c>
      <c r="H1978" s="1">
        <f>value(MYR!$B1978)</f>
        <v>3241.8836</v>
      </c>
      <c r="I1978" s="1">
        <f>value(THB!$B1978)</f>
        <v>384.80109</v>
      </c>
      <c r="J1978" s="1">
        <f>value(VND!$B1978)</f>
        <v>0.6015889572</v>
      </c>
      <c r="K1978" s="1">
        <f>value(CNY!$B1978)</f>
        <v>2070.9422</v>
      </c>
      <c r="L1978" s="1">
        <f>value(HKD!$B1978)</f>
        <v>1781.24107</v>
      </c>
      <c r="M1978" s="1">
        <f>value(TWD!$B1978)</f>
        <v>400.43633</v>
      </c>
      <c r="N1978" s="1">
        <f>value(JPY!$B1978)</f>
        <v>112.0203331</v>
      </c>
      <c r="O1978" s="1">
        <f>value(SAR!$B1978)</f>
        <v>3514.112431</v>
      </c>
      <c r="P1978" s="1">
        <f>value(AED!$B1978)</f>
        <v>3566.9189</v>
      </c>
      <c r="Q1978" s="1">
        <f>value(KWD!$B1978)</f>
        <v>43356.61525</v>
      </c>
    </row>
    <row r="1979">
      <c r="A1979" s="4">
        <f>value(USD!A1979)</f>
        <v>42339.99861</v>
      </c>
      <c r="B1979" s="1">
        <f>value(USD!B1979)</f>
        <v>13820</v>
      </c>
      <c r="C1979" s="1">
        <f>value(AUD!$B1979)</f>
        <v>9592.488</v>
      </c>
      <c r="D1979" s="1">
        <f>value(EUR!$B1979)</f>
        <v>14949.462</v>
      </c>
      <c r="E1979" s="1">
        <f>value(GBP!$B1979)</f>
        <v>20721.9045</v>
      </c>
      <c r="F1979" s="1">
        <f>value(CHF!$B1979)</f>
        <v>13856.00871</v>
      </c>
      <c r="G1979" s="1">
        <f>value(SGD!$B1979)</f>
        <v>9910.0656</v>
      </c>
      <c r="H1979" s="1">
        <f>value(MYR!$B1979)</f>
        <v>3253.3842</v>
      </c>
      <c r="I1979" s="1">
        <f>value(THB!$B1979)</f>
        <v>381.8166</v>
      </c>
      <c r="J1979" s="1">
        <f>value(VND!$B1979)</f>
        <v>0.6011200357</v>
      </c>
      <c r="K1979" s="1">
        <f>value(CNY!$B1979)</f>
        <v>2085.7243</v>
      </c>
      <c r="L1979" s="1">
        <f>value(HKD!$B1979)</f>
        <v>1766.9289</v>
      </c>
      <c r="M1979" s="1">
        <f>value(TWD!$B1979)</f>
        <v>402.975</v>
      </c>
      <c r="N1979" s="1">
        <f>value(JPY!$B1979)</f>
        <v>111.649857</v>
      </c>
      <c r="O1979" s="1">
        <f>value(SAR!$B1979)</f>
        <v>3511.652003</v>
      </c>
      <c r="P1979" s="1">
        <f>value(AED!$B1979)</f>
        <v>3568.55198</v>
      </c>
      <c r="Q1979" s="1">
        <f>value(KWD!$B1979)</f>
        <v>43578.44749</v>
      </c>
    </row>
    <row r="1980">
      <c r="A1980" s="4">
        <f>value(USD!A1980)</f>
        <v>42340.99861</v>
      </c>
      <c r="B1980" s="1">
        <f>value(USD!B1980)</f>
        <v>13807</v>
      </c>
      <c r="C1980" s="1">
        <f>value(AUD!$B1980)</f>
        <v>9720.164</v>
      </c>
      <c r="D1980" s="1">
        <f>value(EUR!$B1980)</f>
        <v>14972.8314</v>
      </c>
      <c r="E1980" s="1">
        <f>value(GBP!$B1980)</f>
        <v>20788.338</v>
      </c>
      <c r="F1980" s="1">
        <f>value(CHF!$B1980)</f>
        <v>13654.241</v>
      </c>
      <c r="G1980" s="1">
        <f>value(SGD!$B1980)</f>
        <v>9919.3345</v>
      </c>
      <c r="H1980" s="1">
        <f>value(MYR!$B1980)</f>
        <v>3278.11866</v>
      </c>
      <c r="I1980" s="1">
        <f>value(THB!$B1980)</f>
        <v>375.5934</v>
      </c>
      <c r="J1980" s="1">
        <f>value(VND!$B1980)</f>
        <v>0.6039937941</v>
      </c>
      <c r="K1980" s="1">
        <f>value(CNY!$B1980)</f>
        <v>2065.55056</v>
      </c>
      <c r="L1980" s="1">
        <f>value(HKD!$B1980)</f>
        <v>1775.05716</v>
      </c>
      <c r="M1980" s="1">
        <f>value(TWD!$B1980)</f>
        <v>393.3278</v>
      </c>
      <c r="N1980" s="1">
        <f>value(JPY!$B1980)</f>
        <v>111.71496</v>
      </c>
      <c r="O1980" s="1">
        <f>value(SAR!$B1980)</f>
        <v>3515.937742</v>
      </c>
      <c r="P1980" s="1">
        <f>value(AED!$B1980)</f>
        <v>3569.09634</v>
      </c>
      <c r="Q1980" s="1">
        <f>value(KWD!$B1980)</f>
        <v>43385.22579</v>
      </c>
    </row>
    <row r="1981">
      <c r="A1981" s="4">
        <f>value(USD!A1981)</f>
        <v>42341.99861</v>
      </c>
      <c r="B1981" s="1">
        <f>value(USD!B1981)</f>
        <v>13695</v>
      </c>
      <c r="C1981" s="1">
        <f>value(AUD!$B1981)</f>
        <v>9679.89468</v>
      </c>
      <c r="D1981" s="1">
        <f>value(EUR!$B1981)</f>
        <v>15071.98846</v>
      </c>
      <c r="E1981" s="1">
        <f>value(GBP!$B1981)</f>
        <v>20932.18003</v>
      </c>
      <c r="F1981" s="1">
        <f>value(CHF!$B1981)</f>
        <v>13784.615</v>
      </c>
      <c r="G1981" s="1">
        <f>value(SGD!$B1981)</f>
        <v>9985.8123</v>
      </c>
      <c r="H1981" s="1">
        <f>value(MYR!$B1981)</f>
        <v>3300.13719</v>
      </c>
      <c r="I1981" s="1">
        <f>value(THB!$B1981)</f>
        <v>378.116193</v>
      </c>
      <c r="J1981" s="1">
        <f>value(VND!$B1981)</f>
        <v>0.6040747633</v>
      </c>
      <c r="K1981" s="1">
        <f>value(CNY!$B1981)</f>
        <v>2072.427</v>
      </c>
      <c r="L1981" s="1">
        <f>value(HKD!$B1981)</f>
        <v>1786.979898</v>
      </c>
      <c r="M1981" s="1">
        <f>value(TWD!$B1981)</f>
        <v>393.67964</v>
      </c>
      <c r="N1981" s="1">
        <f>value(JPY!$B1981)</f>
        <v>112.4653292</v>
      </c>
      <c r="O1981" s="1">
        <f>value(SAR!$B1981)</f>
        <v>3513.520594</v>
      </c>
      <c r="P1981" s="1">
        <f>value(AED!$B1981)</f>
        <v>3564.1971</v>
      </c>
      <c r="Q1981" s="1">
        <f>value(KWD!$B1981)</f>
        <v>43234.11088</v>
      </c>
    </row>
    <row r="1982">
      <c r="A1982" s="4">
        <f>value(USD!A1982)</f>
        <v>42342.99861</v>
      </c>
      <c r="B1982" s="1">
        <f>value(USD!B1982)</f>
        <v>13758</v>
      </c>
      <c r="C1982" s="1">
        <f>value(AUD!$B1982)</f>
        <v>9750.0248</v>
      </c>
      <c r="D1982" s="1">
        <f>value(EUR!$B1982)</f>
        <v>15025.371</v>
      </c>
      <c r="E1982" s="1">
        <f>value(GBP!$B1982)</f>
        <v>20871.4373</v>
      </c>
      <c r="F1982" s="1">
        <f>value(CHF!$B1982)</f>
        <v>14006.9865</v>
      </c>
      <c r="G1982" s="1">
        <f>value(SGD!$B1982)</f>
        <v>9937.45009</v>
      </c>
      <c r="H1982" s="1">
        <f>value(MYR!$B1982)</f>
        <v>3236.8419</v>
      </c>
      <c r="I1982" s="1">
        <f>value(THB!$B1982)</f>
        <v>386.4182</v>
      </c>
      <c r="J1982" s="1">
        <f>value(VND!$B1982)</f>
        <v>0.6059223369</v>
      </c>
      <c r="K1982" s="1">
        <f>value(CNY!$B1982)</f>
        <v>2065.1917</v>
      </c>
      <c r="L1982" s="1">
        <f>value(HKD!$B1982)</f>
        <v>1789.3687</v>
      </c>
      <c r="M1982" s="1">
        <f>value(TWD!$B1982)</f>
        <v>396.7520828</v>
      </c>
      <c r="N1982" s="1">
        <f>value(JPY!$B1982)</f>
        <v>112.477378</v>
      </c>
      <c r="O1982" s="1">
        <f>value(SAR!$B1982)</f>
        <v>3526.059648</v>
      </c>
      <c r="P1982" s="1">
        <f>value(AED!$B1982)</f>
        <v>3583.3545</v>
      </c>
      <c r="Q1982" s="1">
        <f>value(KWD!$B1982)</f>
        <v>43125.4299</v>
      </c>
    </row>
    <row r="1983">
      <c r="A1983" s="4">
        <f>value(USD!A1983)</f>
        <v>42343.99861</v>
      </c>
      <c r="B1983" s="1">
        <f>value(USD!B1983)</f>
        <v>13850.41</v>
      </c>
      <c r="C1983" s="1">
        <f>value(AUD!$B1983)</f>
        <v>9685.31875</v>
      </c>
      <c r="D1983" s="1">
        <f>value(EUR!$B1983)</f>
        <v>15225.78701</v>
      </c>
      <c r="E1983" s="1">
        <f>value(GBP!$B1983)</f>
        <v>20979.12404</v>
      </c>
      <c r="F1983" s="1">
        <f>value(CHF!$B1983)</f>
        <v>13753.2355</v>
      </c>
      <c r="G1983" s="1">
        <f>value(SGD!$B1983)</f>
        <v>9936.7213</v>
      </c>
      <c r="H1983" s="1">
        <f>value(MYR!$B1983)</f>
        <v>3267.45146</v>
      </c>
      <c r="I1983" s="1">
        <f>value(THB!$B1983)</f>
        <v>388.33662</v>
      </c>
      <c r="J1983" s="1">
        <f>value(VND!$B1983)</f>
        <v>0.6074043484</v>
      </c>
      <c r="K1983" s="1">
        <f>value(CNY!$B1983)</f>
        <v>2069.387424</v>
      </c>
      <c r="L1983" s="1">
        <f>value(HKD!$B1983)</f>
        <v>1803.71037</v>
      </c>
      <c r="M1983" s="1">
        <f>value(TWD!$B1983)</f>
        <v>391.9128</v>
      </c>
      <c r="N1983" s="1">
        <f>value(JPY!$B1983)</f>
        <v>113.7121755</v>
      </c>
      <c r="O1983" s="1">
        <f>value(SAR!$B1983)</f>
        <v>3496.008685</v>
      </c>
      <c r="P1983" s="1">
        <f>value(AED!$B1983)</f>
        <v>3565.9305</v>
      </c>
      <c r="Q1983" s="1">
        <f>value(KWD!$B1983)</f>
        <v>43467.75042</v>
      </c>
    </row>
    <row r="1984">
      <c r="A1984" s="4">
        <f>value(USD!A1984)</f>
        <v>42345.99861</v>
      </c>
      <c r="B1984" s="1">
        <f>value(USD!B1984)</f>
        <v>13870</v>
      </c>
      <c r="C1984" s="1">
        <f>value(AUD!$B1984)</f>
        <v>9966.288885</v>
      </c>
      <c r="D1984" s="1">
        <f>value(EUR!$B1984)</f>
        <v>15332.88</v>
      </c>
      <c r="E1984" s="1">
        <f>value(GBP!$B1984)</f>
        <v>21129.168</v>
      </c>
      <c r="F1984" s="1">
        <f>value(CHF!$B1984)</f>
        <v>13798.4175</v>
      </c>
      <c r="G1984" s="1">
        <f>value(SGD!$B1984)</f>
        <v>9750.4736</v>
      </c>
      <c r="H1984" s="1">
        <f>value(MYR!$B1984)</f>
        <v>3246.7008</v>
      </c>
      <c r="I1984" s="1">
        <f>value(THB!$B1984)</f>
        <v>386.5584</v>
      </c>
      <c r="J1984" s="1">
        <f>value(VND!$B1984)</f>
        <v>0.6000181878</v>
      </c>
      <c r="K1984" s="1">
        <f>value(CNY!$B1984)</f>
        <v>2068.527365</v>
      </c>
      <c r="L1984" s="1">
        <f>value(HKD!$B1984)</f>
        <v>1795.9584</v>
      </c>
      <c r="M1984" s="1">
        <f>value(TWD!$B1984)</f>
        <v>400.4226</v>
      </c>
      <c r="N1984" s="1">
        <f>value(JPY!$B1984)</f>
        <v>114.377856</v>
      </c>
      <c r="O1984" s="1">
        <f>value(SAR!$B1984)</f>
        <v>3519.848349</v>
      </c>
      <c r="P1984" s="1">
        <f>value(AED!$B1984)</f>
        <v>3554.12644</v>
      </c>
      <c r="Q1984" s="1">
        <f>value(KWD!$B1984)</f>
        <v>43208.22655</v>
      </c>
    </row>
    <row r="1985">
      <c r="A1985" s="4">
        <f>value(USD!A1985)</f>
        <v>42346.99861</v>
      </c>
      <c r="B1985" s="1">
        <f>value(USD!B1985)</f>
        <v>13979</v>
      </c>
      <c r="C1985" s="1">
        <f>value(AUD!$B1985)</f>
        <v>9688.204</v>
      </c>
      <c r="D1985" s="1">
        <f>value(EUR!$B1985)</f>
        <v>15242.5835</v>
      </c>
      <c r="E1985" s="1">
        <f>value(GBP!$B1985)</f>
        <v>21106.1225</v>
      </c>
      <c r="F1985" s="1">
        <f>value(CHF!$B1985)</f>
        <v>13799.73011</v>
      </c>
      <c r="G1985" s="1">
        <f>value(SGD!$B1985)</f>
        <v>9885.9226</v>
      </c>
      <c r="H1985" s="1">
        <f>value(MYR!$B1985)</f>
        <v>3246.61375</v>
      </c>
      <c r="I1985" s="1">
        <f>value(THB!$B1985)</f>
        <v>386.41875</v>
      </c>
      <c r="J1985" s="1">
        <f>value(VND!$B1985)</f>
        <v>0.5973239868</v>
      </c>
      <c r="K1985" s="1">
        <f>value(CNY!$B1985)</f>
        <v>2080.1196</v>
      </c>
      <c r="L1985" s="1">
        <f>value(HKD!$B1985)</f>
        <v>1796.6035</v>
      </c>
      <c r="M1985" s="1">
        <f>value(TWD!$B1985)</f>
        <v>392.31435</v>
      </c>
      <c r="N1985" s="1">
        <f>value(JPY!$B1985)</f>
        <v>114.382735</v>
      </c>
      <c r="O1985" s="1">
        <f>value(SAR!$B1985)</f>
        <v>3563.896509</v>
      </c>
      <c r="P1985" s="1">
        <f>value(AED!$B1985)</f>
        <v>3543.9138</v>
      </c>
      <c r="Q1985" s="1">
        <f>value(KWD!$B1985)</f>
        <v>43499.34828</v>
      </c>
    </row>
    <row r="1986">
      <c r="A1986" s="4">
        <f>value(USD!A1986)</f>
        <v>42347.99861</v>
      </c>
      <c r="B1986" s="1">
        <f>value(USD!B1986)</f>
        <v>13920</v>
      </c>
      <c r="C1986" s="1">
        <f>value(AUD!$B1986)</f>
        <v>9649.444</v>
      </c>
      <c r="D1986" s="1">
        <f>value(EUR!$B1986)</f>
        <v>15531.9786</v>
      </c>
      <c r="E1986" s="1">
        <f>value(GBP!$B1986)</f>
        <v>21500.208</v>
      </c>
      <c r="F1986" s="1">
        <f>value(CHF!$B1986)</f>
        <v>13812.15</v>
      </c>
      <c r="G1986" s="1">
        <f>value(SGD!$B1986)</f>
        <v>9806.7145</v>
      </c>
      <c r="H1986" s="1">
        <f>value(MYR!$B1986)</f>
        <v>3244.9545</v>
      </c>
      <c r="I1986" s="1">
        <f>value(THB!$B1986)</f>
        <v>384.7599</v>
      </c>
      <c r="J1986" s="1">
        <f>value(VND!$B1986)</f>
        <v>0.5995683858</v>
      </c>
      <c r="K1986" s="1">
        <f>value(CNY!$B1986)</f>
        <v>2062.476</v>
      </c>
      <c r="L1986" s="1">
        <f>value(HKD!$B1986)</f>
        <v>1822.9113</v>
      </c>
      <c r="M1986" s="1">
        <f>value(TWD!$B1986)</f>
        <v>393.499</v>
      </c>
      <c r="N1986" s="1">
        <f>value(JPY!$B1986)</f>
        <v>116.8551</v>
      </c>
      <c r="O1986" s="1">
        <f>value(SAR!$B1986)</f>
        <v>3562.847032</v>
      </c>
      <c r="P1986" s="1">
        <f>value(AED!$B1986)</f>
        <v>3572.044636</v>
      </c>
      <c r="Q1986" s="1">
        <f>value(KWD!$B1986)</f>
        <v>43632.73656</v>
      </c>
    </row>
    <row r="1987">
      <c r="A1987" s="4">
        <f>value(USD!A1987)</f>
        <v>42348.99861</v>
      </c>
      <c r="B1987" s="1">
        <f>value(USD!B1987)</f>
        <v>13925</v>
      </c>
      <c r="C1987" s="1">
        <f>value(AUD!$B1987)</f>
        <v>9714.93296</v>
      </c>
      <c r="D1987" s="1">
        <f>value(EUR!$B1987)</f>
        <v>15621.21559</v>
      </c>
      <c r="E1987" s="1">
        <f>value(GBP!$B1987)</f>
        <v>21617.98885</v>
      </c>
      <c r="F1987" s="1">
        <f>value(CHF!$B1987)</f>
        <v>13915.82685</v>
      </c>
      <c r="G1987" s="1">
        <f>value(SGD!$B1987)</f>
        <v>9772.7648</v>
      </c>
      <c r="H1987" s="1">
        <f>value(MYR!$B1987)</f>
        <v>3262.072611</v>
      </c>
      <c r="I1987" s="1">
        <f>value(THB!$B1987)</f>
        <v>386.7896242</v>
      </c>
      <c r="J1987" s="1">
        <f>value(VND!$B1987)</f>
        <v>0.5950917384</v>
      </c>
      <c r="K1987" s="1">
        <f>value(CNY!$B1987)</f>
        <v>2046.10185</v>
      </c>
      <c r="L1987" s="1">
        <f>value(HKD!$B1987)</f>
        <v>1832.527705</v>
      </c>
      <c r="M1987" s="1">
        <f>value(TWD!$B1987)</f>
        <v>390.1305</v>
      </c>
      <c r="N1987" s="1">
        <f>value(JPY!$B1987)</f>
        <v>117.4715458</v>
      </c>
      <c r="O1987" s="1">
        <f>value(SAR!$B1987)</f>
        <v>3553.123267</v>
      </c>
      <c r="P1987" s="1">
        <f>value(AED!$B1987)</f>
        <v>3541.322</v>
      </c>
      <c r="Q1987" s="1">
        <f>value(KWD!$B1987)</f>
        <v>43495.4347</v>
      </c>
    </row>
    <row r="1988">
      <c r="A1988" s="4">
        <f>value(USD!A1988)</f>
        <v>42349.99861</v>
      </c>
      <c r="B1988" s="1">
        <f>value(USD!B1988)</f>
        <v>14130</v>
      </c>
      <c r="C1988" s="1">
        <f>value(AUD!$B1988)</f>
        <v>9798.46208</v>
      </c>
      <c r="D1988" s="1">
        <f>value(EUR!$B1988)</f>
        <v>15382.703</v>
      </c>
      <c r="E1988" s="1">
        <f>value(GBP!$B1988)</f>
        <v>21213.8532</v>
      </c>
      <c r="F1988" s="1">
        <f>value(CHF!$B1988)</f>
        <v>13687.51945</v>
      </c>
      <c r="G1988" s="1">
        <f>value(SGD!$B1988)</f>
        <v>9716.46805</v>
      </c>
      <c r="H1988" s="1">
        <f>value(MYR!$B1988)</f>
        <v>3214.69099</v>
      </c>
      <c r="I1988" s="1">
        <f>value(THB!$B1988)</f>
        <v>387.01705</v>
      </c>
      <c r="J1988" s="1">
        <f>value(VND!$B1988)</f>
        <v>0.5941903801</v>
      </c>
      <c r="K1988" s="1">
        <f>value(CNY!$B1988)</f>
        <v>2050.4428</v>
      </c>
      <c r="L1988" s="1">
        <f>value(HKD!$B1988)</f>
        <v>1805.89294</v>
      </c>
      <c r="M1988" s="1">
        <f>value(TWD!$B1988)</f>
        <v>390.39165</v>
      </c>
      <c r="N1988" s="1">
        <f>value(JPY!$B1988)</f>
        <v>115.61522</v>
      </c>
      <c r="O1988" s="1">
        <f>value(SAR!$B1988)</f>
        <v>3574.618577</v>
      </c>
      <c r="P1988" s="1">
        <f>value(AED!$B1988)</f>
        <v>3563.38056</v>
      </c>
      <c r="Q1988" s="1">
        <f>value(KWD!$B1988)</f>
        <v>43548.37506</v>
      </c>
    </row>
    <row r="1989">
      <c r="A1989" s="4">
        <f>value(USD!A1989)</f>
        <v>42350.99861</v>
      </c>
      <c r="B1989" s="1">
        <f>value(USD!B1989)</f>
        <v>14204.54</v>
      </c>
      <c r="C1989" s="1">
        <f>value(AUD!$B1989)</f>
        <v>9595.22135</v>
      </c>
      <c r="D1989" s="1">
        <f>value(EUR!$B1989)</f>
        <v>15276.195</v>
      </c>
      <c r="E1989" s="1">
        <f>value(GBP!$B1989)</f>
        <v>21010.88</v>
      </c>
      <c r="F1989" s="1">
        <f>value(CHF!$B1989)</f>
        <v>13798.62675</v>
      </c>
      <c r="G1989" s="1">
        <f>value(SGD!$B1989)</f>
        <v>9698.68375</v>
      </c>
      <c r="H1989" s="1">
        <f>value(MYR!$B1989)</f>
        <v>3230.0037</v>
      </c>
      <c r="I1989" s="1">
        <f>value(THB!$B1989)</f>
        <v>387.9469</v>
      </c>
      <c r="J1989" s="1">
        <f>value(VND!$B1989)</f>
        <v>0.5988456579</v>
      </c>
      <c r="K1989" s="1">
        <f>value(CNY!$B1989)</f>
        <v>2060.6836</v>
      </c>
      <c r="L1989" s="1">
        <f>value(HKD!$B1989)</f>
        <v>1802.2697</v>
      </c>
      <c r="M1989" s="1">
        <f>value(TWD!$B1989)</f>
        <v>388.90256</v>
      </c>
      <c r="N1989" s="1">
        <f>value(JPY!$B1989)</f>
        <v>114.801269</v>
      </c>
      <c r="O1989" s="1">
        <f>value(SAR!$B1989)</f>
        <v>3571.295011</v>
      </c>
      <c r="P1989" s="1">
        <f>value(AED!$B1989)</f>
        <v>3576.4452</v>
      </c>
      <c r="Q1989" s="1">
        <f>value(KWD!$B1989)</f>
        <v>43458.78789</v>
      </c>
    </row>
    <row r="1990">
      <c r="A1990" s="4">
        <f>value(USD!A1990)</f>
        <v>42352.99861</v>
      </c>
      <c r="B1990" s="1">
        <f>value(USD!B1990)</f>
        <v>13997</v>
      </c>
      <c r="C1990" s="1">
        <f>value(AUD!$B1990)</f>
        <v>9619.04608</v>
      </c>
      <c r="D1990" s="1">
        <f>value(EUR!$B1990)</f>
        <v>14961.1104</v>
      </c>
      <c r="E1990" s="1">
        <f>value(GBP!$B1990)</f>
        <v>20601.472</v>
      </c>
      <c r="F1990" s="1">
        <f>value(CHF!$B1990)</f>
        <v>14012.187</v>
      </c>
      <c r="G1990" s="1">
        <f>value(SGD!$B1990)</f>
        <v>9690.5211</v>
      </c>
      <c r="H1990" s="1">
        <f>value(MYR!$B1990)</f>
        <v>3192.1824</v>
      </c>
      <c r="I1990" s="1">
        <f>value(THB!$B1990)</f>
        <v>382.2528</v>
      </c>
      <c r="J1990" s="1">
        <f>value(VND!$B1990)</f>
        <v>0.5990452325</v>
      </c>
      <c r="K1990" s="1">
        <f>value(CNY!$B1990)</f>
        <v>2064.091302</v>
      </c>
      <c r="L1990" s="1">
        <f>value(HKD!$B1990)</f>
        <v>1775.3152</v>
      </c>
      <c r="M1990" s="1">
        <f>value(TWD!$B1990)</f>
        <v>400.91474</v>
      </c>
      <c r="N1990" s="1">
        <f>value(JPY!$B1990)</f>
        <v>112.361408</v>
      </c>
      <c r="O1990" s="1">
        <f>value(SAR!$B1990)</f>
        <v>3550.298976</v>
      </c>
      <c r="P1990" s="1">
        <f>value(AED!$B1990)</f>
        <v>3566.37454</v>
      </c>
      <c r="Q1990" s="1">
        <f>value(KWD!$B1990)</f>
        <v>43435.44843</v>
      </c>
    </row>
    <row r="1991">
      <c r="A1991" s="4">
        <f>value(USD!A1991)</f>
        <v>42353.99861</v>
      </c>
      <c r="B1991" s="1">
        <f>value(USD!B1991)</f>
        <v>13970</v>
      </c>
      <c r="C1991" s="1">
        <f>value(AUD!$B1991)</f>
        <v>9651.901546</v>
      </c>
      <c r="D1991" s="1">
        <f>value(EUR!$B1991)</f>
        <v>15201.185</v>
      </c>
      <c r="E1991" s="1">
        <f>value(GBP!$B1991)</f>
        <v>20926.252</v>
      </c>
      <c r="F1991" s="1">
        <f>value(CHF!$B1991)</f>
        <v>13956.672</v>
      </c>
      <c r="G1991" s="1">
        <f>value(SGD!$B1991)</f>
        <v>9694.8827</v>
      </c>
      <c r="H1991" s="1">
        <f>value(MYR!$B1991)</f>
        <v>3232.5914</v>
      </c>
      <c r="I1991" s="1">
        <f>value(THB!$B1991)</f>
        <v>387.7932</v>
      </c>
      <c r="J1991" s="1">
        <f>value(VND!$B1991)</f>
        <v>0.6010220794</v>
      </c>
      <c r="K1991" s="1">
        <f>value(CNY!$B1991)</f>
        <v>2043.68625</v>
      </c>
      <c r="L1991" s="1">
        <f>value(HKD!$B1991)</f>
        <v>1808.4398</v>
      </c>
      <c r="M1991" s="1">
        <f>value(TWD!$B1991)</f>
        <v>390.915</v>
      </c>
      <c r="N1991" s="1">
        <f>value(JPY!$B1991)</f>
        <v>114.48031</v>
      </c>
      <c r="O1991" s="1">
        <f>value(SAR!$B1991)</f>
        <v>3536.966221</v>
      </c>
      <c r="P1991" s="1">
        <f>value(AED!$B1991)</f>
        <v>3571.54596</v>
      </c>
      <c r="Q1991" s="1">
        <f>value(KWD!$B1991)</f>
        <v>43418.94459</v>
      </c>
    </row>
    <row r="1992">
      <c r="A1992" s="4">
        <f>value(USD!A1992)</f>
        <v>42354.99861</v>
      </c>
      <c r="B1992" s="1">
        <f>value(USD!B1992)</f>
        <v>13760</v>
      </c>
      <c r="C1992" s="1">
        <f>value(AUD!$B1992)</f>
        <v>9675.77</v>
      </c>
      <c r="D1992" s="1">
        <f>value(EUR!$B1992)</f>
        <v>15067.23415</v>
      </c>
      <c r="E1992" s="1">
        <f>value(GBP!$B1992)</f>
        <v>20646.0942</v>
      </c>
      <c r="F1992" s="1">
        <f>value(CHF!$B1992)</f>
        <v>14150.27705</v>
      </c>
      <c r="G1992" s="1">
        <f>value(SGD!$B1992)</f>
        <v>9588.60235</v>
      </c>
      <c r="H1992" s="1">
        <f>value(MYR!$B1992)</f>
        <v>3221.81005</v>
      </c>
      <c r="I1992" s="1">
        <f>value(THB!$B1992)</f>
        <v>383.36725</v>
      </c>
      <c r="J1992" s="1">
        <f>value(VND!$B1992)</f>
        <v>0.6025483489</v>
      </c>
      <c r="K1992" s="1">
        <f>value(CNY!$B1992)</f>
        <v>2055.0998</v>
      </c>
      <c r="L1992" s="1">
        <f>value(HKD!$B1992)</f>
        <v>1788.16905</v>
      </c>
      <c r="M1992" s="1">
        <f>value(TWD!$B1992)</f>
        <v>387.97384</v>
      </c>
      <c r="N1992" s="1">
        <f>value(JPY!$B1992)</f>
        <v>114.38625</v>
      </c>
      <c r="O1992" s="1">
        <f>value(SAR!$B1992)</f>
        <v>3539.196739</v>
      </c>
      <c r="P1992" s="1">
        <f>value(AED!$B1992)</f>
        <v>3566.9189</v>
      </c>
      <c r="Q1992" s="1">
        <f>value(KWD!$B1992)</f>
        <v>43468.72554</v>
      </c>
    </row>
    <row r="1993">
      <c r="A1993" s="4">
        <f>value(USD!A1993)</f>
        <v>42355.99861</v>
      </c>
      <c r="B1993" s="1">
        <f>value(USD!B1993)</f>
        <v>14020</v>
      </c>
      <c r="C1993" s="1">
        <f>value(AUD!$B1993)</f>
        <v>9577.428</v>
      </c>
      <c r="D1993" s="1">
        <f>value(EUR!$B1993)</f>
        <v>15158.46431</v>
      </c>
      <c r="E1993" s="1">
        <f>value(GBP!$B1993)</f>
        <v>20772.38286</v>
      </c>
      <c r="F1993" s="1">
        <f>value(CHF!$B1993)</f>
        <v>13779.46075</v>
      </c>
      <c r="G1993" s="1">
        <f>value(SGD!$B1993)</f>
        <v>9687.67692</v>
      </c>
      <c r="H1993" s="1">
        <f>value(MYR!$B1993)</f>
        <v>3240.86439</v>
      </c>
      <c r="I1993" s="1">
        <f>value(THB!$B1993)</f>
        <v>385.63455</v>
      </c>
      <c r="J1993" s="1">
        <f>value(VND!$B1993)</f>
        <v>0.6022737546</v>
      </c>
      <c r="K1993" s="1">
        <f>value(CNY!$B1993)</f>
        <v>2066.58</v>
      </c>
      <c r="L1993" s="1">
        <f>value(HKD!$B1993)</f>
        <v>1798.74459</v>
      </c>
      <c r="M1993" s="1">
        <f>value(TWD!$B1993)</f>
        <v>398.45</v>
      </c>
      <c r="N1993" s="1">
        <f>value(JPY!$B1993)</f>
        <v>115.06275</v>
      </c>
      <c r="O1993" s="1">
        <f>value(SAR!$B1993)</f>
        <v>3555.199911</v>
      </c>
      <c r="P1993" s="1">
        <f>value(AED!$B1993)</f>
        <v>3565.83018</v>
      </c>
      <c r="Q1993" s="1">
        <f>value(KWD!$B1993)</f>
        <v>43457.06505</v>
      </c>
    </row>
    <row r="1994">
      <c r="A1994" s="4">
        <f>value(USD!A1994)</f>
        <v>42356.99861</v>
      </c>
      <c r="B1994" s="1">
        <f>value(USD!B1994)</f>
        <v>13865</v>
      </c>
      <c r="C1994" s="1">
        <f>value(AUD!$B1994)</f>
        <v>9555.06825</v>
      </c>
      <c r="D1994" s="1">
        <f>value(EUR!$B1994)</f>
        <v>15012.4352</v>
      </c>
      <c r="E1994" s="1">
        <f>value(GBP!$B1994)</f>
        <v>20495.52</v>
      </c>
      <c r="F1994" s="1">
        <f>value(CHF!$B1994)</f>
        <v>13748.097</v>
      </c>
      <c r="G1994" s="1">
        <f>value(SGD!$B1994)</f>
        <v>9783.7077</v>
      </c>
      <c r="H1994" s="1">
        <f>value(MYR!$B1994)</f>
        <v>3203.7408</v>
      </c>
      <c r="I1994" s="1">
        <f>value(THB!$B1994)</f>
        <v>380.464</v>
      </c>
      <c r="J1994" s="1">
        <f>value(VND!$B1994)</f>
        <v>0.5990884175</v>
      </c>
      <c r="K1994" s="1">
        <f>value(CNY!$B1994)</f>
        <v>2057.72685</v>
      </c>
      <c r="L1994" s="1">
        <f>value(HKD!$B1994)</f>
        <v>1774.9024</v>
      </c>
      <c r="M1994" s="1">
        <f>value(TWD!$B1994)</f>
        <v>390.81665</v>
      </c>
      <c r="N1994" s="1">
        <f>value(JPY!$B1994)</f>
        <v>113.510368</v>
      </c>
      <c r="O1994" s="1">
        <f>value(SAR!$B1994)</f>
        <v>3555.507999</v>
      </c>
      <c r="P1994" s="1">
        <f>value(AED!$B1994)</f>
        <v>3560.93094</v>
      </c>
      <c r="Q1994" s="1">
        <f>value(KWD!$B1994)</f>
        <v>43359.33512</v>
      </c>
    </row>
    <row r="1995">
      <c r="A1995" s="4">
        <f>value(USD!A1995)</f>
        <v>42357.99861</v>
      </c>
      <c r="B1995" s="1">
        <f>value(USD!B1995)</f>
        <v>13947</v>
      </c>
      <c r="C1995" s="1">
        <f>value(AUD!$B1995)</f>
        <v>9597.76</v>
      </c>
      <c r="D1995" s="1">
        <f>value(EUR!$B1995)</f>
        <v>14937.1815</v>
      </c>
      <c r="E1995" s="1">
        <f>value(GBP!$B1995)</f>
        <v>20219.161</v>
      </c>
      <c r="F1995" s="1">
        <f>value(CHF!$B1995)</f>
        <v>13761.01013</v>
      </c>
      <c r="G1995" s="1">
        <f>value(SGD!$B1995)</f>
        <v>9703.11</v>
      </c>
      <c r="H1995" s="1">
        <f>value(MYR!$B1995)</f>
        <v>3173.96345</v>
      </c>
      <c r="I1995" s="1">
        <f>value(THB!$B1995)</f>
        <v>377.83005</v>
      </c>
      <c r="J1995" s="1">
        <f>value(VND!$B1995)</f>
        <v>0.5958265384</v>
      </c>
      <c r="K1995" s="1">
        <f>value(CNY!$B1995)</f>
        <v>2058.09056</v>
      </c>
      <c r="L1995" s="1">
        <f>value(HKD!$B1995)</f>
        <v>1760.06855</v>
      </c>
      <c r="M1995" s="1">
        <f>value(TWD!$B1995)</f>
        <v>399.419</v>
      </c>
      <c r="N1995" s="1">
        <f>value(JPY!$B1995)</f>
        <v>112.7172515</v>
      </c>
      <c r="O1995" s="1">
        <f>value(SAR!$B1995)</f>
        <v>3555.448659</v>
      </c>
      <c r="P1995" s="1">
        <f>value(AED!$B1995)</f>
        <v>3565.01364</v>
      </c>
      <c r="Q1995" s="1">
        <f>value(KWD!$B1995)</f>
        <v>43543.6632</v>
      </c>
    </row>
    <row r="1996">
      <c r="A1996" s="4">
        <f>value(USD!A1996)</f>
        <v>42359.99861</v>
      </c>
      <c r="B1996" s="1">
        <f>value(USD!B1996)</f>
        <v>13760</v>
      </c>
      <c r="C1996" s="1">
        <f>value(AUD!$B1996)</f>
        <v>9563.78555</v>
      </c>
      <c r="D1996" s="1">
        <f>value(EUR!$B1996)</f>
        <v>14860.7875</v>
      </c>
      <c r="E1996" s="1">
        <f>value(GBP!$B1996)</f>
        <v>20263.9175</v>
      </c>
      <c r="F1996" s="1">
        <f>value(CHF!$B1996)</f>
        <v>13745.921</v>
      </c>
      <c r="G1996" s="1">
        <f>value(SGD!$B1996)</f>
        <v>9717.84925</v>
      </c>
      <c r="H1996" s="1">
        <f>value(MYR!$B1996)</f>
        <v>3171.49125</v>
      </c>
      <c r="I1996" s="1">
        <f>value(THB!$B1996)</f>
        <v>377.4125</v>
      </c>
      <c r="J1996" s="1">
        <f>value(VND!$B1996)</f>
        <v>0.5963801324</v>
      </c>
      <c r="K1996" s="1">
        <f>value(CNY!$B1996)</f>
        <v>2081.459937</v>
      </c>
      <c r="L1996" s="1">
        <f>value(HKD!$B1996)</f>
        <v>1757.625</v>
      </c>
      <c r="M1996" s="1">
        <f>value(TWD!$B1996)</f>
        <v>396.9199</v>
      </c>
      <c r="N1996" s="1">
        <f>value(JPY!$B1996)</f>
        <v>112.6474125</v>
      </c>
      <c r="O1996" s="1">
        <f>value(SAR!$B1996)</f>
        <v>3587.066673</v>
      </c>
      <c r="P1996" s="1">
        <f>value(AED!$B1996)</f>
        <v>3569.46975</v>
      </c>
      <c r="Q1996" s="1">
        <f>value(KWD!$B1996)</f>
        <v>43583.00733</v>
      </c>
    </row>
    <row r="1997">
      <c r="A1997" s="4">
        <f>value(USD!A1997)</f>
        <v>42360.99861</v>
      </c>
      <c r="B1997" s="1">
        <f>value(USD!B1997)</f>
        <v>13645</v>
      </c>
      <c r="C1997" s="1">
        <f>value(AUD!$B1997)</f>
        <v>9638.207469</v>
      </c>
      <c r="D1997" s="1">
        <f>value(EUR!$B1997)</f>
        <v>14942.569</v>
      </c>
      <c r="E1997" s="1">
        <f>value(GBP!$B1997)</f>
        <v>20323.2841</v>
      </c>
      <c r="F1997" s="1">
        <f>value(CHF!$B1997)</f>
        <v>13941.42102</v>
      </c>
      <c r="G1997" s="1">
        <f>value(SGD!$B1997)</f>
        <v>9733.00774</v>
      </c>
      <c r="H1997" s="1">
        <f>value(MYR!$B1997)</f>
        <v>3172.6551</v>
      </c>
      <c r="I1997" s="1">
        <f>value(THB!$B1997)</f>
        <v>371.2812</v>
      </c>
      <c r="J1997" s="1">
        <f>value(VND!$B1997)</f>
        <v>0.5994069217</v>
      </c>
      <c r="K1997" s="1">
        <f>value(CNY!$B1997)</f>
        <v>2072.393638</v>
      </c>
      <c r="L1997" s="1">
        <f>value(HKD!$B1997)</f>
        <v>1758.1337</v>
      </c>
      <c r="M1997" s="1">
        <f>value(TWD!$B1997)</f>
        <v>386.60741</v>
      </c>
      <c r="N1997" s="1">
        <f>value(JPY!$B1997)</f>
        <v>113.385244</v>
      </c>
      <c r="O1997" s="1">
        <f>value(SAR!$B1997)</f>
        <v>3628.720029</v>
      </c>
      <c r="P1997" s="1">
        <f>value(AED!$B1997)</f>
        <v>3555.21516</v>
      </c>
      <c r="Q1997" s="1">
        <f>value(KWD!$B1997)</f>
        <v>43592.03936</v>
      </c>
    </row>
    <row r="1998">
      <c r="A1998" s="4">
        <f>value(USD!A1998)</f>
        <v>42361.99861</v>
      </c>
      <c r="B1998" s="1">
        <f>value(USD!B1998)</f>
        <v>13625</v>
      </c>
      <c r="C1998" s="1">
        <f>value(AUD!$B1998)</f>
        <v>9483.66</v>
      </c>
      <c r="D1998" s="1">
        <f>value(EUR!$B1998)</f>
        <v>14958.925</v>
      </c>
      <c r="E1998" s="1">
        <f>value(GBP!$B1998)</f>
        <v>20329.145</v>
      </c>
      <c r="F1998" s="1">
        <f>value(CHF!$B1998)</f>
        <v>13954.12189</v>
      </c>
      <c r="G1998" s="1">
        <f>value(SGD!$B1998)</f>
        <v>9783.71743</v>
      </c>
      <c r="H1998" s="1">
        <f>value(MYR!$B1998)</f>
        <v>3172.6551</v>
      </c>
      <c r="I1998" s="1">
        <f>value(THB!$B1998)</f>
        <v>371.6901</v>
      </c>
      <c r="J1998" s="1">
        <f>value(VND!$B1998)</f>
        <v>0.597547675</v>
      </c>
      <c r="K1998" s="1">
        <f>value(CNY!$B1998)</f>
        <v>2051.9205</v>
      </c>
      <c r="L1998" s="1">
        <f>value(HKD!$B1998)</f>
        <v>1758.1337</v>
      </c>
      <c r="M1998" s="1">
        <f>value(TWD!$B1998)</f>
        <v>386.2848</v>
      </c>
      <c r="N1998" s="1">
        <f>value(JPY!$B1998)</f>
        <v>113.129</v>
      </c>
      <c r="O1998" s="1">
        <f>value(SAR!$B1998)</f>
        <v>3627.032729</v>
      </c>
      <c r="P1998" s="1">
        <f>value(AED!$B1998)</f>
        <v>3568.55198</v>
      </c>
      <c r="Q1998" s="1">
        <f>value(KWD!$B1998)</f>
        <v>43625.49642</v>
      </c>
    </row>
    <row r="1999">
      <c r="A1999" s="4">
        <f>value(USD!A1999)</f>
        <v>42362.99861</v>
      </c>
      <c r="B1999" s="1">
        <f>value(USD!B1999)</f>
        <v>13630</v>
      </c>
      <c r="C1999" s="1">
        <f>value(AUD!$B1999)</f>
        <v>9534.6449</v>
      </c>
      <c r="D1999" s="1">
        <f>value(EUR!$B1999)</f>
        <v>14999.94295</v>
      </c>
      <c r="E1999" s="1">
        <f>value(GBP!$B1999)</f>
        <v>20379.80548</v>
      </c>
      <c r="F1999" s="1">
        <f>value(CHF!$B1999)</f>
        <v>13851.33675</v>
      </c>
      <c r="G1999" s="1">
        <f>value(SGD!$B1999)</f>
        <v>9679.5138</v>
      </c>
      <c r="H1999" s="1">
        <f>value(MYR!$B1999)</f>
        <v>3179.917524</v>
      </c>
      <c r="I1999" s="1">
        <f>value(THB!$B1999)</f>
        <v>372.540924</v>
      </c>
      <c r="J1999" s="1">
        <f>value(VND!$B1999)</f>
        <v>0.5968552859</v>
      </c>
      <c r="K1999" s="1">
        <f>value(CNY!$B1999)</f>
        <v>2054.9484</v>
      </c>
      <c r="L1999" s="1">
        <f>value(HKD!$B1999)</f>
        <v>1740.855</v>
      </c>
      <c r="M1999" s="1">
        <f>value(TWD!$B1999)</f>
        <v>398.67674</v>
      </c>
      <c r="N1999" s="1">
        <f>value(JPY!$B1999)</f>
        <v>113.38796</v>
      </c>
      <c r="O1999" s="1">
        <f>value(SAR!$B1999)</f>
        <v>3631.993181</v>
      </c>
      <c r="P1999" s="1">
        <f>value(AED!$B1999)</f>
        <v>3569.6407</v>
      </c>
      <c r="Q1999" s="1">
        <f>value(KWD!$B1999)</f>
        <v>43754.97848</v>
      </c>
    </row>
    <row r="2000">
      <c r="A2000" s="4">
        <f>value(USD!A2000)</f>
        <v>42363.99861</v>
      </c>
      <c r="B2000" s="1">
        <f>value(USD!B2000)</f>
        <v>13630</v>
      </c>
      <c r="C2000" s="1">
        <f>value(AUD!$B2000)</f>
        <v>9682.2</v>
      </c>
      <c r="D2000" s="1">
        <f>value(EUR!$B2000)</f>
        <v>14809.413</v>
      </c>
      <c r="E2000" s="1">
        <f>value(GBP!$B2000)</f>
        <v>20091.356</v>
      </c>
      <c r="F2000" s="1">
        <f>value(CHF!$B2000)</f>
        <v>13780.0737</v>
      </c>
      <c r="G2000" s="1">
        <f>value(SGD!$B2000)</f>
        <v>9681.7734</v>
      </c>
      <c r="H2000" s="1">
        <f>value(MYR!$B2000)</f>
        <v>3141.0962</v>
      </c>
      <c r="I2000" s="1">
        <f>value(THB!$B2000)</f>
        <v>373.5416</v>
      </c>
      <c r="J2000" s="1">
        <f>value(VND!$B2000)</f>
        <v>0.5936463085</v>
      </c>
      <c r="K2000" s="1">
        <f>value(CNY!$B2000)</f>
        <v>2048.1727</v>
      </c>
      <c r="L2000" s="1">
        <f>value(HKD!$B2000)</f>
        <v>1765.11482</v>
      </c>
      <c r="M2000" s="1">
        <f>value(TWD!$B2000)</f>
        <v>382.4615</v>
      </c>
      <c r="N2000" s="1">
        <f>value(JPY!$B2000)</f>
        <v>112.14345</v>
      </c>
      <c r="O2000" s="1">
        <f>value(SAR!$B2000)</f>
        <v>3613.750311</v>
      </c>
      <c r="P2000" s="1">
        <f>value(AED!$B2000)</f>
        <v>3568.2698</v>
      </c>
      <c r="Q2000" s="1">
        <f>value(KWD!$B2000)</f>
        <v>43924.57456</v>
      </c>
    </row>
    <row r="2001">
      <c r="A2001" s="4">
        <f>value(USD!A2001)</f>
        <v>42364.99861</v>
      </c>
      <c r="B2001" s="1">
        <f>value(USD!B2001)</f>
        <v>13661.2</v>
      </c>
      <c r="C2001" s="1">
        <f>value(AUD!$B2001)</f>
        <v>9589.5786</v>
      </c>
      <c r="D2001" s="1">
        <f>value(EUR!$B2001)</f>
        <v>14947.44818</v>
      </c>
      <c r="E2001" s="1">
        <f>value(GBP!$B2001)</f>
        <v>20276.45036</v>
      </c>
      <c r="F2001" s="1">
        <f>value(CHF!$B2001)</f>
        <v>13744.12375</v>
      </c>
      <c r="G2001" s="1">
        <f>value(SGD!$B2001)</f>
        <v>9717.4287</v>
      </c>
      <c r="H2001" s="1">
        <f>value(MYR!$B2001)</f>
        <v>3193.78926</v>
      </c>
      <c r="I2001" s="1">
        <f>value(THB!$B2001)</f>
        <v>378.85458</v>
      </c>
      <c r="J2001" s="1">
        <f>value(VND!$B2001)</f>
        <v>0.5959453229</v>
      </c>
      <c r="K2001" s="1">
        <f>value(CNY!$B2001)</f>
        <v>2055.9987</v>
      </c>
      <c r="L2001" s="1">
        <f>value(HKD!$B2001)</f>
        <v>1785.86655</v>
      </c>
      <c r="M2001" s="1">
        <f>value(TWD!$B2001)</f>
        <v>395.42295</v>
      </c>
      <c r="N2001" s="1">
        <f>value(JPY!$B2001)</f>
        <v>113.42378</v>
      </c>
      <c r="O2001" s="1">
        <f>value(SAR!$B2001)</f>
        <v>3622.530633</v>
      </c>
      <c r="P2001" s="1">
        <f>value(AED!$B2001)</f>
        <v>3577.365</v>
      </c>
      <c r="Q2001" s="1">
        <f>value(KWD!$B2001)</f>
        <v>44015.02677</v>
      </c>
    </row>
    <row r="2002">
      <c r="A2002" s="4">
        <f>value(USD!A2002)</f>
        <v>42366.99861</v>
      </c>
      <c r="B2002" s="1">
        <f>value(USD!B2002)</f>
        <v>13495</v>
      </c>
      <c r="C2002" s="1">
        <f>value(AUD!$B2002)</f>
        <v>9597.35106</v>
      </c>
      <c r="D2002" s="1">
        <f>value(EUR!$B2002)</f>
        <v>15136.7385</v>
      </c>
      <c r="E2002" s="1">
        <f>value(GBP!$B2002)</f>
        <v>20511.3675</v>
      </c>
      <c r="F2002" s="1">
        <f>value(CHF!$B2002)</f>
        <v>13655.81882</v>
      </c>
      <c r="G2002" s="1">
        <f>value(SGD!$B2002)</f>
        <v>9626.7423</v>
      </c>
      <c r="H2002" s="1">
        <f>value(MYR!$B2002)</f>
        <v>3213.7014</v>
      </c>
      <c r="I2002" s="1">
        <f>value(THB!$B2002)</f>
        <v>383.92185</v>
      </c>
      <c r="J2002" s="1">
        <f>value(VND!$B2002)</f>
        <v>0.5958086487</v>
      </c>
      <c r="K2002" s="1">
        <f>value(CNY!$B2002)</f>
        <v>2052.1455</v>
      </c>
      <c r="L2002" s="1">
        <f>value(HKD!$B2002)</f>
        <v>1777.11275</v>
      </c>
      <c r="M2002" s="1">
        <f>value(TWD!$B2002)</f>
        <v>392.05266</v>
      </c>
      <c r="N2002" s="1">
        <f>value(JPY!$B2002)</f>
        <v>114.9135</v>
      </c>
      <c r="O2002" s="1">
        <f>value(SAR!$B2002)</f>
        <v>3632.286959</v>
      </c>
      <c r="P2002" s="1">
        <f>value(AED!$B2002)</f>
        <v>3588.172791</v>
      </c>
      <c r="Q2002" s="1">
        <f>value(KWD!$B2002)</f>
        <v>44087.51681</v>
      </c>
    </row>
    <row r="2003">
      <c r="A2003" s="4">
        <f>value(USD!A2003)</f>
        <v>42367.99861</v>
      </c>
      <c r="B2003" s="1">
        <f>value(USD!B2003)</f>
        <v>13682</v>
      </c>
      <c r="C2003" s="1">
        <f>value(AUD!$B2003)</f>
        <v>9673.876671</v>
      </c>
      <c r="D2003" s="1">
        <f>value(EUR!$B2003)</f>
        <v>14956.6195</v>
      </c>
      <c r="E2003" s="1">
        <f>value(GBP!$B2003)</f>
        <v>20299.25325</v>
      </c>
      <c r="F2003" s="1">
        <f>value(CHF!$B2003)</f>
        <v>13522.23655</v>
      </c>
      <c r="G2003" s="1">
        <f>value(SGD!$B2003)</f>
        <v>9725.699601</v>
      </c>
      <c r="H2003" s="1">
        <f>value(MYR!$B2003)</f>
        <v>3194.56025</v>
      </c>
      <c r="I2003" s="1">
        <f>value(THB!$B2003)</f>
        <v>373.44025</v>
      </c>
      <c r="J2003" s="1">
        <f>value(VND!$B2003)</f>
        <v>0.5943026381</v>
      </c>
      <c r="K2003" s="1">
        <f>value(CNY!$B2003)</f>
        <v>2038.709644</v>
      </c>
      <c r="L2003" s="1">
        <f>value(HKD!$B2003)</f>
        <v>1776.975</v>
      </c>
      <c r="M2003" s="1">
        <f>value(TWD!$B2003)</f>
        <v>395.137842</v>
      </c>
      <c r="N2003" s="1">
        <f>value(JPY!$B2003)</f>
        <v>114.47025</v>
      </c>
      <c r="O2003" s="1">
        <f>value(SAR!$B2003)</f>
        <v>3617.021258</v>
      </c>
      <c r="P2003" s="1">
        <f>value(AED!$B2003)</f>
        <v>3595.22562</v>
      </c>
      <c r="Q2003" s="1">
        <f>value(KWD!$B2003)</f>
        <v>44047.61259</v>
      </c>
    </row>
    <row r="2004">
      <c r="A2004" s="4">
        <f>value(USD!A2004)</f>
        <v>42368.99861</v>
      </c>
      <c r="B2004" s="1">
        <f>value(USD!B2004)</f>
        <v>13845</v>
      </c>
      <c r="C2004" s="1">
        <f>value(AUD!$B2004)</f>
        <v>9662.509967</v>
      </c>
      <c r="D2004" s="1">
        <f>value(EUR!$B2004)</f>
        <v>14959.65</v>
      </c>
      <c r="E2004" s="1">
        <f>value(GBP!$B2004)</f>
        <v>20308.4825</v>
      </c>
      <c r="F2004" s="1">
        <f>value(CHF!$B2004)</f>
        <v>13629.63446</v>
      </c>
      <c r="G2004" s="1">
        <f>value(SGD!$B2004)</f>
        <v>9620.4284</v>
      </c>
      <c r="H2004" s="1">
        <f>value(MYR!$B2004)</f>
        <v>3194.56025</v>
      </c>
      <c r="I2004" s="1">
        <f>value(THB!$B2004)</f>
        <v>373.578</v>
      </c>
      <c r="J2004" s="1">
        <f>value(VND!$B2004)</f>
        <v>0.586656362</v>
      </c>
      <c r="K2004" s="1">
        <f>value(CNY!$B2004)</f>
        <v>2039.499</v>
      </c>
      <c r="L2004" s="1">
        <f>value(HKD!$B2004)</f>
        <v>1781.76735</v>
      </c>
      <c r="M2004" s="1">
        <f>value(TWD!$B2004)</f>
        <v>405.11359</v>
      </c>
      <c r="N2004" s="1">
        <f>value(JPY!$B2004)</f>
        <v>114.47025</v>
      </c>
      <c r="O2004" s="1">
        <f>value(SAR!$B2004)</f>
        <v>3617.736403</v>
      </c>
      <c r="P2004" s="1">
        <f>value(AED!$B2004)</f>
        <v>3602.03012</v>
      </c>
      <c r="Q2004" s="1">
        <f>value(KWD!$B2004)</f>
        <v>44211.64309</v>
      </c>
    </row>
    <row r="2005">
      <c r="A2005" s="4">
        <f>value(USD!A2005)</f>
        <v>42369.99861</v>
      </c>
      <c r="B2005" s="1">
        <f>value(USD!B2005)</f>
        <v>13775</v>
      </c>
      <c r="C2005" s="1">
        <f>value(AUD!$B2005)</f>
        <v>9680.032</v>
      </c>
      <c r="D2005" s="1">
        <f>value(EUR!$B2005)</f>
        <v>15005.53357</v>
      </c>
      <c r="E2005" s="1">
        <f>value(GBP!$B2005)</f>
        <v>20367.39639</v>
      </c>
      <c r="F2005" s="1">
        <f>value(CHF!$B2005)</f>
        <v>13626.72587</v>
      </c>
      <c r="G2005" s="1">
        <f>value(SGD!$B2005)</f>
        <v>9596.0779</v>
      </c>
      <c r="H2005" s="1">
        <f>value(MYR!$B2005)</f>
        <v>3203.175706</v>
      </c>
      <c r="I2005" s="1">
        <f>value(THB!$B2005)</f>
        <v>374.585508</v>
      </c>
      <c r="J2005" s="1">
        <f>value(VND!$B2005)</f>
        <v>0.5884951627</v>
      </c>
      <c r="K2005" s="1">
        <f>value(CNY!$B2005)</f>
        <v>2021.60452</v>
      </c>
      <c r="L2005" s="1">
        <f>value(HKD!$B2005)</f>
        <v>1800.31343</v>
      </c>
      <c r="M2005" s="1">
        <f>value(TWD!$B2005)</f>
        <v>402.72474</v>
      </c>
      <c r="N2005" s="1">
        <f>value(JPY!$B2005)</f>
        <v>114.7789665</v>
      </c>
      <c r="O2005" s="1">
        <f>value(SAR!$B2005)</f>
        <v>3663.100239</v>
      </c>
      <c r="P2005" s="1">
        <f>value(AED!$B2005)</f>
        <v>3608.56244</v>
      </c>
      <c r="Q2005" s="1">
        <f>value(KWD!$B2005)</f>
        <v>44283.37809</v>
      </c>
    </row>
    <row r="2006">
      <c r="A2006" s="4">
        <f>value(USD!A2006)</f>
        <v>42370.99861</v>
      </c>
      <c r="B2006" s="1">
        <f>value(USD!B2006)</f>
        <v>13775</v>
      </c>
      <c r="C2006" s="1">
        <f>value(AUD!$B2006)</f>
        <v>9644.472</v>
      </c>
      <c r="D2006" s="1">
        <f>value(EUR!$B2006)</f>
        <v>14987.56396</v>
      </c>
      <c r="E2006" s="1">
        <f>value(GBP!$B2006)</f>
        <v>20349.44059</v>
      </c>
      <c r="F2006" s="1">
        <f>value(CHF!$B2006)</f>
        <v>13654.4973</v>
      </c>
      <c r="G2006" s="1">
        <f>value(SGD!$B2006)</f>
        <v>9625.0497</v>
      </c>
      <c r="H2006" s="1">
        <f>value(MYR!$B2006)</f>
        <v>3203.175706</v>
      </c>
      <c r="I2006" s="1">
        <f>value(THB!$B2006)</f>
        <v>374.309265</v>
      </c>
      <c r="J2006" s="1">
        <f>value(VND!$B2006)</f>
        <v>0.5925267633</v>
      </c>
      <c r="K2006" s="1">
        <f>value(CNY!$B2006)</f>
        <v>2022.19487</v>
      </c>
      <c r="L2006" s="1">
        <f>value(HKD!$B2006)</f>
        <v>1780.98305</v>
      </c>
      <c r="M2006" s="1">
        <f>value(TWD!$B2006)</f>
        <v>405.03975</v>
      </c>
      <c r="N2006" s="1">
        <f>value(JPY!$B2006)</f>
        <v>114.7789665</v>
      </c>
      <c r="O2006" s="1">
        <f>value(SAR!$B2006)</f>
        <v>3638.814669</v>
      </c>
      <c r="P2006" s="1">
        <f>value(AED!$B2006)</f>
        <v>3605.29628</v>
      </c>
      <c r="Q2006" s="1">
        <f>value(KWD!$B2006)</f>
        <v>44264.85404</v>
      </c>
    </row>
    <row r="2007">
      <c r="A2007" s="4">
        <f>value(USD!A2007)</f>
        <v>42371.99861</v>
      </c>
      <c r="B2007" s="1">
        <f>value(USD!B2007)</f>
        <v>13812.15</v>
      </c>
      <c r="C2007" s="1">
        <f>value(AUD!$B2007)</f>
        <v>9625.1535</v>
      </c>
      <c r="D2007" s="1">
        <f>value(EUR!$B2007)</f>
        <v>15105.6611</v>
      </c>
      <c r="E2007" s="1">
        <f>value(GBP!$B2007)</f>
        <v>20533.39883</v>
      </c>
      <c r="F2007" s="1">
        <f>value(CHF!$B2007)</f>
        <v>13642.2356</v>
      </c>
      <c r="G2007" s="1">
        <f>value(SGD!$B2007)</f>
        <v>9621.647</v>
      </c>
      <c r="H2007" s="1">
        <f>value(MYR!$B2007)</f>
        <v>3192.66375</v>
      </c>
      <c r="I2007" s="1">
        <f>value(THB!$B2007)</f>
        <v>385.63191</v>
      </c>
      <c r="J2007" s="1">
        <f>value(VND!$B2007)</f>
        <v>0.5970546392</v>
      </c>
      <c r="K2007" s="1">
        <f>value(CNY!$B2007)</f>
        <v>2011.2084</v>
      </c>
      <c r="L2007" s="1">
        <f>value(HKD!$B2007)</f>
        <v>1793.32785</v>
      </c>
      <c r="M2007" s="1">
        <f>value(TWD!$B2007)</f>
        <v>404.40048</v>
      </c>
      <c r="N2007" s="1">
        <f>value(JPY!$B2007)</f>
        <v>116.82009</v>
      </c>
      <c r="O2007" s="1">
        <f>value(SAR!$B2007)</f>
        <v>3643.185108</v>
      </c>
      <c r="P2007" s="1">
        <f>value(AED!$B2007)</f>
        <v>3618.36092</v>
      </c>
      <c r="Q2007" s="1">
        <f>value(KWD!$B2007)</f>
        <v>44052.79276</v>
      </c>
    </row>
    <row r="2008">
      <c r="A2008" s="4">
        <f>value(USD!A2008)</f>
        <v>42372.99861</v>
      </c>
      <c r="B2008" s="1">
        <f>value(USD!B2008)</f>
        <v>13812.15</v>
      </c>
      <c r="C2008" s="1">
        <f>value(AUD!$B2008)</f>
        <v>9715.262</v>
      </c>
      <c r="D2008" s="1">
        <f>value(EUR!$B2008)</f>
        <v>14840.51305</v>
      </c>
      <c r="E2008" s="1">
        <f>value(GBP!$B2008)</f>
        <v>20252.4872</v>
      </c>
      <c r="F2008" s="1">
        <f>value(CHF!$B2008)</f>
        <v>13605.87358</v>
      </c>
      <c r="G2008" s="1">
        <f>value(SGD!$B2008)</f>
        <v>9703.13066</v>
      </c>
      <c r="H2008" s="1">
        <f>value(MYR!$B2008)</f>
        <v>3160.7928</v>
      </c>
      <c r="I2008" s="1">
        <f>value(THB!$B2008)</f>
        <v>381.5702</v>
      </c>
      <c r="J2008" s="1">
        <f>value(VND!$B2008)</f>
        <v>0.5890747072</v>
      </c>
      <c r="K2008" s="1">
        <f>value(CNY!$B2008)</f>
        <v>1996.541</v>
      </c>
      <c r="L2008" s="1">
        <f>value(HKD!$B2008)</f>
        <v>1795.9949</v>
      </c>
      <c r="M2008" s="1">
        <f>value(TWD!$B2008)</f>
        <v>401.9484</v>
      </c>
      <c r="N2008" s="1">
        <f>value(JPY!$B2008)</f>
        <v>115.8805505</v>
      </c>
      <c r="O2008" s="1">
        <f>value(SAR!$B2008)</f>
        <v>3633.790653</v>
      </c>
      <c r="P2008" s="1">
        <f>value(AED!$B2008)</f>
        <v>3624.231842</v>
      </c>
      <c r="Q2008" s="1">
        <f>value(KWD!$B2008)</f>
        <v>44075.38494</v>
      </c>
    </row>
    <row r="2009">
      <c r="A2009" s="4">
        <f>value(USD!A2009)</f>
        <v>42373.99861</v>
      </c>
      <c r="B2009" s="1">
        <f>value(USD!B2009)</f>
        <v>13957</v>
      </c>
      <c r="C2009" s="1">
        <f>value(AUD!$B2009)</f>
        <v>9564.64125</v>
      </c>
      <c r="D2009" s="1">
        <f>value(EUR!$B2009)</f>
        <v>14982.6375</v>
      </c>
      <c r="E2009" s="1">
        <f>value(GBP!$B2009)</f>
        <v>20337.453</v>
      </c>
      <c r="F2009" s="1">
        <f>value(CHF!$B2009)</f>
        <v>13571.87705</v>
      </c>
      <c r="G2009" s="1">
        <f>value(SGD!$B2009)</f>
        <v>9707.54968</v>
      </c>
      <c r="H2009" s="1">
        <f>value(MYR!$B2009)</f>
        <v>3141.00045</v>
      </c>
      <c r="I2009" s="1">
        <f>value(THB!$B2009)</f>
        <v>383.36085</v>
      </c>
      <c r="J2009" s="1">
        <f>value(VND!$B2009)</f>
        <v>0.5953490431</v>
      </c>
      <c r="K2009" s="1">
        <f>value(CNY!$B2009)</f>
        <v>2043.732822</v>
      </c>
      <c r="L2009" s="1">
        <f>value(HKD!$B2009)</f>
        <v>1788.6153</v>
      </c>
      <c r="M2009" s="1">
        <f>value(TWD!$B2009)</f>
        <v>405.77568</v>
      </c>
      <c r="N2009" s="1">
        <f>value(JPY!$B2009)</f>
        <v>117.2121975</v>
      </c>
      <c r="O2009" s="1">
        <f>value(SAR!$B2009)</f>
        <v>3633.790653</v>
      </c>
      <c r="P2009" s="1">
        <f>value(AED!$B2009)</f>
        <v>3622.7158</v>
      </c>
      <c r="Q2009" s="1">
        <f>value(KWD!$B2009)</f>
        <v>44065.4304</v>
      </c>
    </row>
    <row r="2010">
      <c r="A2010" s="4">
        <f>value(USD!A2010)</f>
        <v>42374.99861</v>
      </c>
      <c r="B2010" s="1">
        <f>value(USD!B2010)</f>
        <v>13805</v>
      </c>
      <c r="C2010" s="1">
        <f>value(AUD!$B2010)</f>
        <v>9575.268664</v>
      </c>
      <c r="D2010" s="1">
        <f>value(EUR!$B2010)</f>
        <v>15217.5499</v>
      </c>
      <c r="E2010" s="1">
        <f>value(GBP!$B2010)</f>
        <v>20367.053</v>
      </c>
      <c r="F2010" s="1">
        <f>value(CHF!$B2010)</f>
        <v>13360.33825</v>
      </c>
      <c r="G2010" s="1">
        <f>value(SGD!$B2010)</f>
        <v>9676.761</v>
      </c>
      <c r="H2010" s="1">
        <f>value(MYR!$B2010)</f>
        <v>3160.8563</v>
      </c>
      <c r="I2010" s="1">
        <f>value(THB!$B2010)</f>
        <v>383.7715</v>
      </c>
      <c r="J2010" s="1">
        <f>value(VND!$B2010)</f>
        <v>0.5920029037</v>
      </c>
      <c r="K2010" s="1">
        <f>value(CNY!$B2010)</f>
        <v>1993.94</v>
      </c>
      <c r="L2010" s="1">
        <f>value(HKD!$B2010)</f>
        <v>1808.847822</v>
      </c>
      <c r="M2010" s="1">
        <f>value(TWD!$B2010)</f>
        <v>403.0444</v>
      </c>
      <c r="N2010" s="1">
        <f>value(JPY!$B2010)</f>
        <v>118.487187</v>
      </c>
      <c r="O2010" s="1">
        <f>value(SAR!$B2010)</f>
        <v>3581.571606</v>
      </c>
      <c r="P2010" s="1">
        <f>value(AED!$B2010)</f>
        <v>3605.84064</v>
      </c>
      <c r="Q2010" s="1">
        <f>value(KWD!$B2010)</f>
        <v>44034.88971</v>
      </c>
    </row>
    <row r="2011">
      <c r="A2011" s="4">
        <f>value(USD!A2011)</f>
        <v>42375.99861</v>
      </c>
      <c r="B2011" s="1">
        <f>value(USD!B2011)</f>
        <v>13905</v>
      </c>
      <c r="C2011" s="1">
        <f>value(AUD!$B2011)</f>
        <v>9539.937</v>
      </c>
      <c r="D2011" s="1">
        <f>value(EUR!$B2011)</f>
        <v>15173.7138</v>
      </c>
      <c r="E2011" s="1">
        <f>value(GBP!$B2011)</f>
        <v>20164.9464</v>
      </c>
      <c r="F2011" s="1">
        <f>value(CHF!$B2011)</f>
        <v>13763.18528</v>
      </c>
      <c r="G2011" s="1">
        <f>value(SGD!$B2011)</f>
        <v>9622.0842</v>
      </c>
      <c r="H2011" s="1">
        <f>value(MYR!$B2011)</f>
        <v>3129.8337</v>
      </c>
      <c r="I2011" s="1">
        <f>value(THB!$B2011)</f>
        <v>377.2524</v>
      </c>
      <c r="J2011" s="1">
        <f>value(VND!$B2011)</f>
        <v>0.5904385614</v>
      </c>
      <c r="K2011" s="1">
        <f>value(CNY!$B2011)</f>
        <v>2027.10599</v>
      </c>
      <c r="L2011" s="1">
        <f>value(HKD!$B2011)</f>
        <v>1777.94595</v>
      </c>
      <c r="M2011" s="1">
        <f>value(TWD!$B2011)</f>
        <v>408.3216</v>
      </c>
      <c r="N2011" s="1">
        <f>value(JPY!$B2011)</f>
        <v>118.4817</v>
      </c>
      <c r="O2011" s="1">
        <f>value(SAR!$B2011)</f>
        <v>3562.524915</v>
      </c>
      <c r="P2011" s="1">
        <f>value(AED!$B2011)</f>
        <v>3615.36694</v>
      </c>
      <c r="Q2011" s="1">
        <f>value(KWD!$B2011)</f>
        <v>43824.10487</v>
      </c>
    </row>
    <row r="2012">
      <c r="A2012" s="4">
        <f>value(USD!A2012)</f>
        <v>42376.99861</v>
      </c>
      <c r="B2012" s="1">
        <f>value(USD!B2012)</f>
        <v>13930</v>
      </c>
      <c r="C2012" s="1">
        <f>value(AUD!$B2012)</f>
        <v>9507.9788</v>
      </c>
      <c r="D2012" s="1">
        <f>value(EUR!$B2012)</f>
        <v>15366.86932</v>
      </c>
      <c r="E2012" s="1">
        <f>value(GBP!$B2012)</f>
        <v>20427.11975</v>
      </c>
      <c r="F2012" s="1">
        <f>value(CHF!$B2012)</f>
        <v>13365.0328</v>
      </c>
      <c r="G2012" s="1">
        <f>value(SGD!$B2012)</f>
        <v>9619.02025</v>
      </c>
      <c r="H2012" s="1">
        <f>value(MYR!$B2012)</f>
        <v>3169.196597</v>
      </c>
      <c r="I2012" s="1">
        <f>value(THB!$B2012)</f>
        <v>381.9969804</v>
      </c>
      <c r="J2012" s="1">
        <f>value(VND!$B2012)</f>
        <v>0.594209526</v>
      </c>
      <c r="K2012" s="1">
        <f>value(CNY!$B2012)</f>
        <v>2010.326</v>
      </c>
      <c r="L2012" s="1">
        <f>value(HKD!$B2012)</f>
        <v>1777.20985</v>
      </c>
      <c r="M2012" s="1">
        <f>value(TWD!$B2012)</f>
        <v>407.63484</v>
      </c>
      <c r="N2012" s="1">
        <f>value(JPY!$B2012)</f>
        <v>119.9718057</v>
      </c>
      <c r="O2012" s="1">
        <f>value(SAR!$B2012)</f>
        <v>3530.683506</v>
      </c>
      <c r="P2012" s="1">
        <f>value(AED!$B2012)</f>
        <v>3614.5504</v>
      </c>
      <c r="Q2012" s="1">
        <f>value(KWD!$B2012)</f>
        <v>43824.10487</v>
      </c>
    </row>
    <row r="2013">
      <c r="A2013" s="4">
        <f>value(USD!A2013)</f>
        <v>42377.99861</v>
      </c>
      <c r="B2013" s="1">
        <f>value(USD!B2013)</f>
        <v>13890</v>
      </c>
      <c r="C2013" s="1">
        <f>value(AUD!$B2013)</f>
        <v>9652.16148</v>
      </c>
      <c r="D2013" s="1">
        <f>value(EUR!$B2013)</f>
        <v>15361.65312</v>
      </c>
      <c r="E2013" s="1">
        <f>value(GBP!$B2013)</f>
        <v>20394.65737</v>
      </c>
      <c r="F2013" s="1">
        <f>value(CHF!$B2013)</f>
        <v>13474.622</v>
      </c>
      <c r="G2013" s="1">
        <f>value(SGD!$B2013)</f>
        <v>9603.18905</v>
      </c>
      <c r="H2013" s="1">
        <f>value(MYR!$B2013)</f>
        <v>3164.74633</v>
      </c>
      <c r="I2013" s="1">
        <f>value(THB!$B2013)</f>
        <v>382.022368</v>
      </c>
      <c r="J2013" s="1">
        <f>value(VND!$B2013)</f>
        <v>0.587705731</v>
      </c>
      <c r="K2013" s="1">
        <f>value(CNY!$B2013)</f>
        <v>2015.9802</v>
      </c>
      <c r="L2013" s="1">
        <f>value(HKD!$B2013)</f>
        <v>1784.32442</v>
      </c>
      <c r="M2013" s="1">
        <f>value(TWD!$B2013)</f>
        <v>405.36176</v>
      </c>
      <c r="N2013" s="1">
        <f>value(JPY!$B2013)</f>
        <v>119.9437876</v>
      </c>
      <c r="O2013" s="1">
        <f>value(SAR!$B2013)</f>
        <v>3525.28154</v>
      </c>
      <c r="P2013" s="1">
        <f>value(AED!$B2013)</f>
        <v>3612.64514</v>
      </c>
      <c r="Q2013" s="1">
        <f>value(KWD!$B2013)</f>
        <v>43824.10487</v>
      </c>
    </row>
    <row r="2014">
      <c r="A2014" s="4">
        <f>value(USD!A2014)</f>
        <v>42378.99861</v>
      </c>
      <c r="B2014" s="1">
        <f>value(USD!B2014)</f>
        <v>14064.69</v>
      </c>
      <c r="C2014" s="1">
        <f>value(AUD!$B2014)</f>
        <v>9665.784</v>
      </c>
      <c r="D2014" s="1">
        <f>value(EUR!$B2014)</f>
        <v>14986.84605</v>
      </c>
      <c r="E2014" s="1">
        <f>value(GBP!$B2014)</f>
        <v>20072.47</v>
      </c>
      <c r="F2014" s="1">
        <f>value(CHF!$B2014)</f>
        <v>13503.49604</v>
      </c>
      <c r="G2014" s="1">
        <f>value(SGD!$B2014)</f>
        <v>9612.17734</v>
      </c>
      <c r="H2014" s="1">
        <f>value(MYR!$B2014)</f>
        <v>3122.55295</v>
      </c>
      <c r="I2014" s="1">
        <f>value(THB!$B2014)</f>
        <v>380.32775</v>
      </c>
      <c r="J2014" s="1">
        <f>value(VND!$B2014)</f>
        <v>0.593999994</v>
      </c>
      <c r="K2014" s="1">
        <f>value(CNY!$B2014)</f>
        <v>1993.73972</v>
      </c>
      <c r="L2014" s="1">
        <f>value(HKD!$B2014)</f>
        <v>1776.65075</v>
      </c>
      <c r="M2014" s="1">
        <f>value(TWD!$B2014)</f>
        <v>405.7632</v>
      </c>
      <c r="N2014" s="1">
        <f>value(JPY!$B2014)</f>
        <v>117.3190315</v>
      </c>
      <c r="O2014" s="1">
        <f>value(SAR!$B2014)</f>
        <v>3537.95617</v>
      </c>
      <c r="P2014" s="1">
        <f>value(AED!$B2014)</f>
        <v>3591.4151</v>
      </c>
      <c r="Q2014" s="1">
        <f>value(KWD!$B2014)</f>
        <v>43554</v>
      </c>
    </row>
    <row r="2015">
      <c r="A2015" s="4">
        <f>value(USD!A2015)</f>
        <v>42379.99861</v>
      </c>
      <c r="B2015" s="1">
        <f>value(USD!B2015)</f>
        <v>14044.94</v>
      </c>
      <c r="C2015" s="1">
        <f>value(AUD!$B2015)</f>
        <v>9686.318</v>
      </c>
      <c r="D2015" s="1">
        <f>value(EUR!$B2015)</f>
        <v>14956.539</v>
      </c>
      <c r="E2015" s="1">
        <f>value(GBP!$B2015)</f>
        <v>19911.703</v>
      </c>
      <c r="F2015" s="1">
        <f>value(CHF!$B2015)</f>
        <v>13696.3944</v>
      </c>
      <c r="G2015" s="1">
        <f>value(SGD!$B2015)</f>
        <v>9682.960135</v>
      </c>
      <c r="H2015" s="1">
        <f>value(MYR!$B2015)</f>
        <v>3135.3276</v>
      </c>
      <c r="I2015" s="1">
        <f>value(THB!$B2015)</f>
        <v>378.94865</v>
      </c>
      <c r="J2015" s="1">
        <f>value(VND!$B2015)</f>
        <v>0.5930126509</v>
      </c>
      <c r="K2015" s="1">
        <f>value(CNY!$B2015)</f>
        <v>2019.033708</v>
      </c>
      <c r="L2015" s="1">
        <f>value(HKD!$B2015)</f>
        <v>1792.17698</v>
      </c>
      <c r="M2015" s="1">
        <f>value(TWD!$B2015)</f>
        <v>407.9248</v>
      </c>
      <c r="N2015" s="1">
        <f>value(JPY!$B2015)</f>
        <v>117.050575</v>
      </c>
      <c r="O2015" s="1">
        <f>value(SAR!$B2015)</f>
        <v>3553.599911</v>
      </c>
      <c r="P2015" s="1">
        <f>value(AED!$B2015)</f>
        <v>3593.409524</v>
      </c>
      <c r="Q2015" s="1">
        <f>value(KWD!$B2015)</f>
        <v>43324.4853</v>
      </c>
    </row>
    <row r="2016">
      <c r="A2016" s="4">
        <f>value(USD!A2016)</f>
        <v>42380.99861</v>
      </c>
      <c r="B2016" s="1">
        <f>value(USD!B2016)</f>
        <v>13805</v>
      </c>
      <c r="C2016" s="1">
        <f>value(AUD!$B2016)</f>
        <v>9879.730863</v>
      </c>
      <c r="D2016" s="1">
        <f>value(EUR!$B2016)</f>
        <v>15071.0748</v>
      </c>
      <c r="E2016" s="1">
        <f>value(GBP!$B2016)</f>
        <v>19946.6035</v>
      </c>
      <c r="F2016" s="1">
        <f>value(CHF!$B2016)</f>
        <v>13704.548</v>
      </c>
      <c r="G2016" s="1">
        <f>value(SGD!$B2016)</f>
        <v>9689.192819</v>
      </c>
      <c r="H2016" s="1">
        <f>value(MYR!$B2016)</f>
        <v>3141.74583</v>
      </c>
      <c r="I2016" s="1">
        <f>value(THB!$B2016)</f>
        <v>381.20791</v>
      </c>
      <c r="J2016" s="1">
        <f>value(VND!$B2016)</f>
        <v>0.5958613074</v>
      </c>
      <c r="K2016" s="1">
        <f>value(CNY!$B2016)</f>
        <v>1996.1942</v>
      </c>
      <c r="L2016" s="1">
        <f>value(HKD!$B2016)</f>
        <v>1794.405083</v>
      </c>
      <c r="M2016" s="1">
        <f>value(TWD!$B2016)</f>
        <v>405.96104</v>
      </c>
      <c r="N2016" s="1">
        <f>value(JPY!$B2016)</f>
        <v>117.9044356</v>
      </c>
      <c r="O2016" s="1">
        <f>value(SAR!$B2016)</f>
        <v>3555.964753</v>
      </c>
      <c r="P2016" s="1">
        <f>value(AED!$B2016)</f>
        <v>3593.409524</v>
      </c>
      <c r="Q2016" s="1">
        <f>value(KWD!$B2016)</f>
        <v>43450.79676</v>
      </c>
    </row>
    <row r="2017">
      <c r="A2017" s="4">
        <f>value(USD!A2017)</f>
        <v>42381.99861</v>
      </c>
      <c r="B2017" s="1">
        <f>value(USD!B2017)</f>
        <v>13795</v>
      </c>
      <c r="C2017" s="1">
        <f>value(AUD!$B2017)</f>
        <v>9690.2</v>
      </c>
      <c r="D2017" s="1">
        <f>value(EUR!$B2017)</f>
        <v>15007.0375</v>
      </c>
      <c r="E2017" s="1">
        <f>value(GBP!$B2017)</f>
        <v>19935.65</v>
      </c>
      <c r="F2017" s="1">
        <f>value(CHF!$B2017)</f>
        <v>13717.0046</v>
      </c>
      <c r="G2017" s="1">
        <f>value(SGD!$B2017)</f>
        <v>9657.489</v>
      </c>
      <c r="H2017" s="1">
        <f>value(MYR!$B2017)</f>
        <v>3153.89725</v>
      </c>
      <c r="I2017" s="1">
        <f>value(THB!$B2017)</f>
        <v>380.1875</v>
      </c>
      <c r="J2017" s="1">
        <f>value(VND!$B2017)</f>
        <v>0.5933711666</v>
      </c>
      <c r="K2017" s="1">
        <f>value(CNY!$B2017)</f>
        <v>2014.3805</v>
      </c>
      <c r="L2017" s="1">
        <f>value(HKD!$B2017)</f>
        <v>1784.9065</v>
      </c>
      <c r="M2017" s="1">
        <f>value(TWD!$B2017)</f>
        <v>395.95032</v>
      </c>
      <c r="N2017" s="1">
        <f>value(JPY!$B2017)</f>
        <v>116.9581175</v>
      </c>
      <c r="O2017" s="1">
        <f>value(SAR!$B2017)</f>
        <v>3564.848097</v>
      </c>
      <c r="P2017" s="1">
        <f>value(AED!$B2017)</f>
        <v>3572.3625</v>
      </c>
      <c r="Q2017" s="1">
        <f>value(KWD!$B2017)</f>
        <v>43446.89296</v>
      </c>
    </row>
    <row r="2018">
      <c r="A2018" s="4">
        <f>value(USD!A2018)</f>
        <v>42382.99861</v>
      </c>
      <c r="B2018" s="1">
        <f>value(USD!B2018)</f>
        <v>13847</v>
      </c>
      <c r="C2018" s="1">
        <f>value(AUD!$B2018)</f>
        <v>9793.483</v>
      </c>
      <c r="D2018" s="1">
        <f>value(EUR!$B2018)</f>
        <v>15245.52111</v>
      </c>
      <c r="E2018" s="1">
        <f>value(GBP!$B2018)</f>
        <v>19915.85663</v>
      </c>
      <c r="F2018" s="1">
        <f>value(CHF!$B2018)</f>
        <v>13717.97539</v>
      </c>
      <c r="G2018" s="1">
        <f>value(SGD!$B2018)</f>
        <v>9727.5204</v>
      </c>
      <c r="H2018" s="1">
        <f>value(MYR!$B2018)</f>
        <v>3154.54448</v>
      </c>
      <c r="I2018" s="1">
        <f>value(THB!$B2018)</f>
        <v>376.99154</v>
      </c>
      <c r="J2018" s="1">
        <f>value(VND!$B2018)</f>
        <v>0.5937797931</v>
      </c>
      <c r="K2018" s="1">
        <f>value(CNY!$B2018)</f>
        <v>1958.4072</v>
      </c>
      <c r="L2018" s="1">
        <f>value(HKD!$B2018)</f>
        <v>1768.0272</v>
      </c>
      <c r="M2018" s="1">
        <f>value(TWD!$B2018)</f>
        <v>404.2043</v>
      </c>
      <c r="N2018" s="1">
        <f>value(JPY!$B2018)</f>
        <v>119.46915</v>
      </c>
      <c r="O2018" s="1">
        <f>value(SAR!$B2018)</f>
        <v>3555.792781</v>
      </c>
      <c r="P2018" s="1">
        <f>value(AED!$B2018)</f>
        <v>3554.12644</v>
      </c>
      <c r="Q2018" s="1">
        <f>value(KWD!$B2018)</f>
        <v>43770.13313</v>
      </c>
    </row>
    <row r="2019">
      <c r="A2019" s="4">
        <f>value(USD!A2019)</f>
        <v>42383.99861</v>
      </c>
      <c r="B2019" s="1">
        <f>value(USD!B2019)</f>
        <v>13825</v>
      </c>
      <c r="C2019" s="1">
        <f>value(AUD!$B2019)</f>
        <v>9781.77</v>
      </c>
      <c r="D2019" s="1">
        <f>value(EUR!$B2019)</f>
        <v>15264.56907</v>
      </c>
      <c r="E2019" s="1">
        <f>value(GBP!$B2019)</f>
        <v>19942.12019</v>
      </c>
      <c r="F2019" s="1">
        <f>value(CHF!$B2019)</f>
        <v>13849.6852</v>
      </c>
      <c r="G2019" s="1">
        <f>value(SGD!$B2019)</f>
        <v>9632.4158</v>
      </c>
      <c r="H2019" s="1">
        <f>value(MYR!$B2019)</f>
        <v>3157.481617</v>
      </c>
      <c r="I2019" s="1">
        <f>value(THB!$B2019)</f>
        <v>377.3425498</v>
      </c>
      <c r="J2019" s="1">
        <f>value(VND!$B2019)</f>
        <v>0.5952294076</v>
      </c>
      <c r="K2019" s="1">
        <f>value(CNY!$B2019)</f>
        <v>1997.29335</v>
      </c>
      <c r="L2019" s="1">
        <f>value(HKD!$B2019)</f>
        <v>1767.6645</v>
      </c>
      <c r="M2019" s="1">
        <f>value(TWD!$B2019)</f>
        <v>404.24265</v>
      </c>
      <c r="N2019" s="1">
        <f>value(JPY!$B2019)</f>
        <v>119.5803855</v>
      </c>
      <c r="O2019" s="1">
        <f>value(SAR!$B2019)</f>
        <v>3574.079401</v>
      </c>
      <c r="P2019" s="1">
        <f>value(AED!$B2019)</f>
        <v>3557.3926</v>
      </c>
      <c r="Q2019" s="1">
        <f>value(KWD!$B2019)</f>
        <v>43736.91606</v>
      </c>
    </row>
    <row r="2020">
      <c r="A2020" s="4">
        <f>value(USD!A2020)</f>
        <v>42384.99861</v>
      </c>
      <c r="B2020" s="1">
        <f>value(USD!B2020)</f>
        <v>13973</v>
      </c>
      <c r="C2020" s="1">
        <f>value(AUD!$B2020)</f>
        <v>9792.354</v>
      </c>
      <c r="D2020" s="1">
        <f>value(EUR!$B2020)</f>
        <v>15267.12851</v>
      </c>
      <c r="E2020" s="1">
        <f>value(GBP!$B2020)</f>
        <v>19959.43487</v>
      </c>
      <c r="F2020" s="1">
        <f>value(CHF!$B2020)</f>
        <v>13931.544</v>
      </c>
      <c r="G2020" s="1">
        <f>value(SGD!$B2020)</f>
        <v>9642.24485</v>
      </c>
      <c r="H2020" s="1">
        <f>value(MYR!$B2020)</f>
        <v>3157.481617</v>
      </c>
      <c r="I2020" s="1">
        <f>value(THB!$B2020)</f>
        <v>377.4824099</v>
      </c>
      <c r="J2020" s="1">
        <f>value(VND!$B2020)</f>
        <v>0.591656819</v>
      </c>
      <c r="K2020" s="1">
        <f>value(CNY!$B2020)</f>
        <v>2017.10898</v>
      </c>
      <c r="L2020" s="1">
        <f>value(HKD!$B2020)</f>
        <v>1762.29431</v>
      </c>
      <c r="M2020" s="1">
        <f>value(TWD!$B2020)</f>
        <v>403.69424</v>
      </c>
      <c r="N2020" s="1">
        <f>value(JPY!$B2020)</f>
        <v>119.4405254</v>
      </c>
      <c r="O2020" s="1">
        <f>value(SAR!$B2020)</f>
        <v>3555.199911</v>
      </c>
      <c r="P2020" s="1">
        <f>value(AED!$B2020)</f>
        <v>3557.66478</v>
      </c>
      <c r="Q2020" s="1">
        <f>value(KWD!$B2020)</f>
        <v>43766.81143</v>
      </c>
    </row>
    <row r="2021">
      <c r="A2021" s="4">
        <f>value(USD!A2021)</f>
        <v>42385.99861</v>
      </c>
      <c r="B2021" s="1">
        <f>value(USD!B2021)</f>
        <v>13986.01</v>
      </c>
      <c r="C2021" s="1">
        <f>value(AUD!$B2021)</f>
        <v>9784.26085</v>
      </c>
      <c r="D2021" s="1">
        <f>value(EUR!$B2021)</f>
        <v>15167.667</v>
      </c>
      <c r="E2021" s="1">
        <f>value(GBP!$B2021)</f>
        <v>19844.5175</v>
      </c>
      <c r="F2021" s="1">
        <f>value(CHF!$B2021)</f>
        <v>13818.285</v>
      </c>
      <c r="G2021" s="1">
        <f>value(SGD!$B2021)</f>
        <v>9601.08075</v>
      </c>
      <c r="H2021" s="1">
        <f>value(MYR!$B2021)</f>
        <v>3161.94975</v>
      </c>
      <c r="I2021" s="1">
        <f>value(THB!$B2021)</f>
        <v>383.216</v>
      </c>
      <c r="J2021" s="1">
        <f>value(VND!$B2021)</f>
        <v>0.5905490287</v>
      </c>
      <c r="K2021" s="1">
        <f>value(CNY!$B2021)</f>
        <v>2031.799572</v>
      </c>
      <c r="L2021" s="1">
        <f>value(HKD!$B2021)</f>
        <v>1762.22793</v>
      </c>
      <c r="M2021" s="1">
        <f>value(TWD!$B2021)</f>
        <v>406.31195</v>
      </c>
      <c r="N2021" s="1">
        <f>value(JPY!$B2021)</f>
        <v>118.59644</v>
      </c>
      <c r="O2021" s="1">
        <f>value(SAR!$B2021)</f>
        <v>3580.474704</v>
      </c>
      <c r="P2021" s="1">
        <f>value(AED!$B2021)</f>
        <v>3586.51586</v>
      </c>
      <c r="Q2021" s="1">
        <f>value(KWD!$B2021)</f>
        <v>43782.60838</v>
      </c>
    </row>
    <row r="2022">
      <c r="A2022" s="4">
        <f>value(USD!A2022)</f>
        <v>42386.99861</v>
      </c>
      <c r="B2022" s="1">
        <f>value(USD!B2022)</f>
        <v>13986.01</v>
      </c>
      <c r="C2022" s="1">
        <f>value(AUD!$B2022)</f>
        <v>9856.707178</v>
      </c>
      <c r="D2022" s="1">
        <f>value(EUR!$B2022)</f>
        <v>15088.53</v>
      </c>
      <c r="E2022" s="1">
        <f>value(GBP!$B2022)</f>
        <v>19609.557</v>
      </c>
      <c r="F2022" s="1">
        <f>value(CHF!$B2022)</f>
        <v>13858.788</v>
      </c>
      <c r="G2022" s="1">
        <f>value(SGD!$B2022)</f>
        <v>9900.280434</v>
      </c>
      <c r="H2022" s="1">
        <f>value(MYR!$B2022)</f>
        <v>3156.9741</v>
      </c>
      <c r="I2022" s="1">
        <f>value(THB!$B2022)</f>
        <v>380.7399</v>
      </c>
      <c r="J2022" s="1">
        <f>value(VND!$B2022)</f>
        <v>0.5901170648</v>
      </c>
      <c r="K2022" s="1">
        <f>value(CNY!$B2022)</f>
        <v>2031.53676</v>
      </c>
      <c r="L2022" s="1">
        <f>value(HKD!$B2022)</f>
        <v>1775.622562</v>
      </c>
      <c r="M2022" s="1">
        <f>value(TWD!$B2022)</f>
        <v>406.09276</v>
      </c>
      <c r="N2022" s="1">
        <f>value(JPY!$B2022)</f>
        <v>117.625533</v>
      </c>
      <c r="O2022" s="1">
        <f>value(SAR!$B2022)</f>
        <v>3537.294995</v>
      </c>
      <c r="P2022" s="1">
        <f>value(AED!$B2022)</f>
        <v>3585.686552</v>
      </c>
      <c r="Q2022" s="1">
        <f>value(KWD!$B2022)</f>
        <v>44011.95851</v>
      </c>
    </row>
    <row r="2023">
      <c r="A2023" s="4">
        <f>value(USD!A2023)</f>
        <v>42387.99861</v>
      </c>
      <c r="B2023" s="1">
        <f>value(USD!B2023)</f>
        <v>13925</v>
      </c>
      <c r="C2023" s="1">
        <f>value(AUD!$B2023)</f>
        <v>9758.1044</v>
      </c>
      <c r="D2023" s="1">
        <f>value(EUR!$B2023)</f>
        <v>15034.6875</v>
      </c>
      <c r="E2023" s="1">
        <f>value(GBP!$B2023)</f>
        <v>19625.97</v>
      </c>
      <c r="F2023" s="1">
        <f>value(CHF!$B2023)</f>
        <v>13767.9625</v>
      </c>
      <c r="G2023" s="1">
        <f>value(SGD!$B2023)</f>
        <v>9574.5298</v>
      </c>
      <c r="H2023" s="1">
        <f>value(MYR!$B2023)</f>
        <v>3152.1</v>
      </c>
      <c r="I2023" s="1">
        <f>value(THB!$B2023)</f>
        <v>380.87875</v>
      </c>
      <c r="J2023" s="1">
        <f>value(VND!$B2023)</f>
        <v>0.592843802</v>
      </c>
      <c r="K2023" s="1">
        <f>value(CNY!$B2023)</f>
        <v>2032.15945</v>
      </c>
      <c r="L2023" s="1">
        <f>value(HKD!$B2023)</f>
        <v>1775.622562</v>
      </c>
      <c r="M2023" s="1">
        <f>value(TWD!$B2023)</f>
        <v>405.8483</v>
      </c>
      <c r="N2023" s="1">
        <f>value(JPY!$B2023)</f>
        <v>118.024025</v>
      </c>
      <c r="O2023" s="1">
        <f>value(SAR!$B2023)</f>
        <v>3538.535447</v>
      </c>
      <c r="P2023" s="1">
        <f>value(AED!$B2023)</f>
        <v>3586.24368</v>
      </c>
      <c r="Q2023" s="1">
        <f>value(KWD!$B2023)</f>
        <v>43845.76276</v>
      </c>
    </row>
    <row r="2024">
      <c r="A2024" s="4">
        <f>value(USD!A2024)</f>
        <v>42388.99861</v>
      </c>
      <c r="B2024" s="1">
        <f>value(USD!B2024)</f>
        <v>13830</v>
      </c>
      <c r="C2024" s="1">
        <f>value(AUD!$B2024)</f>
        <v>9791.0703</v>
      </c>
      <c r="D2024" s="1">
        <f>value(EUR!$B2024)</f>
        <v>14950.24251</v>
      </c>
      <c r="E2024" s="1">
        <f>value(GBP!$B2024)</f>
        <v>19583.92408</v>
      </c>
      <c r="F2024" s="1">
        <f>value(CHF!$B2024)</f>
        <v>13848.23286</v>
      </c>
      <c r="G2024" s="1">
        <f>value(SGD!$B2024)</f>
        <v>9598.7803</v>
      </c>
      <c r="H2024" s="1">
        <f>value(MYR!$B2024)</f>
        <v>3154.75328</v>
      </c>
      <c r="I2024" s="1">
        <f>value(THB!$B2024)</f>
        <v>379.61133</v>
      </c>
      <c r="J2024" s="1">
        <f>value(VND!$B2024)</f>
        <v>0.5938908271</v>
      </c>
      <c r="K2024" s="1">
        <f>value(CNY!$B2024)</f>
        <v>2018.07804</v>
      </c>
      <c r="L2024" s="1">
        <f>value(HKD!$B2024)</f>
        <v>1774.2507</v>
      </c>
      <c r="M2024" s="1">
        <f>value(TWD!$B2024)</f>
        <v>404.38944</v>
      </c>
      <c r="N2024" s="1">
        <f>value(JPY!$B2024)</f>
        <v>116.7693814</v>
      </c>
      <c r="O2024" s="1">
        <f>value(SAR!$B2024)</f>
        <v>3522.800044</v>
      </c>
      <c r="P2024" s="1">
        <f>value(AED!$B2024)</f>
        <v>3585.15496</v>
      </c>
      <c r="Q2024" s="1">
        <f>value(KWD!$B2024)</f>
        <v>43689.53876</v>
      </c>
    </row>
    <row r="2025">
      <c r="A2025" s="4">
        <f>value(USD!A2025)</f>
        <v>42389.99861</v>
      </c>
      <c r="B2025" s="1">
        <f>value(USD!B2025)</f>
        <v>13825</v>
      </c>
      <c r="C2025" s="1">
        <f>value(AUD!$B2025)</f>
        <v>9632.411</v>
      </c>
      <c r="D2025" s="1">
        <f>value(EUR!$B2025)</f>
        <v>14842.49843</v>
      </c>
      <c r="E2025" s="1">
        <f>value(GBP!$B2025)</f>
        <v>19608.99574</v>
      </c>
      <c r="F2025" s="1">
        <f>value(CHF!$B2025)</f>
        <v>13460.85</v>
      </c>
      <c r="G2025" s="1">
        <f>value(SGD!$B2025)</f>
        <v>9584.8174</v>
      </c>
      <c r="H2025" s="1">
        <f>value(MYR!$B2025)</f>
        <v>3207.72498</v>
      </c>
      <c r="I2025" s="1">
        <f>value(THB!$B2025)</f>
        <v>372.68117</v>
      </c>
      <c r="J2025" s="1">
        <f>value(VND!$B2025)</f>
        <v>0.5918311588</v>
      </c>
      <c r="K2025" s="1">
        <f>value(CNY!$B2025)</f>
        <v>2030.48475</v>
      </c>
      <c r="L2025" s="1">
        <f>value(HKD!$B2025)</f>
        <v>1780.6652</v>
      </c>
      <c r="M2025" s="1">
        <f>value(TWD!$B2025)</f>
        <v>405.53514</v>
      </c>
      <c r="N2025" s="1">
        <f>value(JPY!$B2025)</f>
        <v>115.74974</v>
      </c>
      <c r="O2025" s="1">
        <f>value(SAR!$B2025)</f>
        <v>3535.97344</v>
      </c>
      <c r="P2025" s="1">
        <f>value(AED!$B2025)</f>
        <v>3604.86225</v>
      </c>
      <c r="Q2025" s="1">
        <f>value(KWD!$B2025)</f>
        <v>43742.51814</v>
      </c>
    </row>
    <row r="2026">
      <c r="A2026" s="4">
        <f>value(USD!A2026)</f>
        <v>42390.99861</v>
      </c>
      <c r="B2026" s="1">
        <f>value(USD!B2026)</f>
        <v>13769</v>
      </c>
      <c r="C2026" s="1">
        <f>value(AUD!$B2026)</f>
        <v>9890.101</v>
      </c>
      <c r="D2026" s="1">
        <f>value(EUR!$B2026)</f>
        <v>14957.40401</v>
      </c>
      <c r="E2026" s="1">
        <f>value(GBP!$B2026)</f>
        <v>19756.22482</v>
      </c>
      <c r="F2026" s="1">
        <f>value(CHF!$B2026)</f>
        <v>13549.7258</v>
      </c>
      <c r="G2026" s="1">
        <f>value(SGD!$B2026)</f>
        <v>9740.61108</v>
      </c>
      <c r="H2026" s="1">
        <f>value(MYR!$B2026)</f>
        <v>3231.854669</v>
      </c>
      <c r="I2026" s="1">
        <f>value(THB!$B2026)</f>
        <v>384.2103734</v>
      </c>
      <c r="J2026" s="1">
        <f>value(VND!$B2026)</f>
        <v>0.5910809353</v>
      </c>
      <c r="K2026" s="1">
        <f>value(CNY!$B2026)</f>
        <v>2027.95725</v>
      </c>
      <c r="L2026" s="1">
        <f>value(HKD!$B2026)</f>
        <v>1770.65858</v>
      </c>
      <c r="M2026" s="1">
        <f>value(TWD!$B2026)</f>
        <v>408.27766</v>
      </c>
      <c r="N2026" s="1">
        <f>value(JPY!$B2026)</f>
        <v>116.6204522</v>
      </c>
      <c r="O2026" s="1">
        <f>value(SAR!$B2026)</f>
        <v>3566.761673</v>
      </c>
      <c r="P2026" s="1">
        <f>value(AED!$B2026)</f>
        <v>3590.32638</v>
      </c>
      <c r="Q2026" s="1">
        <f>value(KWD!$B2026)</f>
        <v>43783.16017</v>
      </c>
    </row>
    <row r="2027">
      <c r="A2027" s="4">
        <f>value(USD!A2027)</f>
        <v>42391.99861</v>
      </c>
      <c r="B2027" s="1">
        <f>value(USD!B2027)</f>
        <v>13747</v>
      </c>
      <c r="C2027" s="1">
        <f>value(AUD!$B2027)</f>
        <v>9911.4876</v>
      </c>
      <c r="D2027" s="1">
        <f>value(EUR!$B2027)</f>
        <v>14954.01066</v>
      </c>
      <c r="E2027" s="1">
        <f>value(GBP!$B2027)</f>
        <v>19743.34394</v>
      </c>
      <c r="F2027" s="1">
        <f>value(CHF!$B2027)</f>
        <v>13594.5</v>
      </c>
      <c r="G2027" s="1">
        <f>value(SGD!$B2027)</f>
        <v>9640.59525</v>
      </c>
      <c r="H2027" s="1">
        <f>value(MYR!$B2027)</f>
        <v>3231.854669</v>
      </c>
      <c r="I2027" s="1">
        <f>value(THB!$B2027)</f>
        <v>384.2103734</v>
      </c>
      <c r="J2027" s="1">
        <f>value(VND!$B2027)</f>
        <v>0.592134571</v>
      </c>
      <c r="K2027" s="1">
        <f>value(CNY!$B2027)</f>
        <v>2021.0682</v>
      </c>
      <c r="L2027" s="1">
        <f>value(HKD!$B2027)</f>
        <v>1765.7742</v>
      </c>
      <c r="M2027" s="1">
        <f>value(TWD!$B2027)</f>
        <v>396.60892</v>
      </c>
      <c r="N2027" s="1">
        <f>value(JPY!$B2027)</f>
        <v>116.7589563</v>
      </c>
      <c r="O2027" s="1">
        <f>value(SAR!$B2027)</f>
        <v>3573.049187</v>
      </c>
      <c r="P2027" s="1">
        <f>value(AED!$B2027)</f>
        <v>3577.53392</v>
      </c>
      <c r="Q2027" s="1">
        <f>value(KWD!$B2027)</f>
        <v>43742.51814</v>
      </c>
    </row>
    <row r="2028">
      <c r="A2028" s="4">
        <f>value(USD!A2028)</f>
        <v>42392.99861</v>
      </c>
      <c r="B2028" s="1">
        <f>value(USD!B2028)</f>
        <v>13850.41</v>
      </c>
      <c r="C2028" s="1">
        <f>value(AUD!$B2028)</f>
        <v>9989.48412</v>
      </c>
      <c r="D2028" s="1">
        <f>value(EUR!$B2028)</f>
        <v>15007.3479</v>
      </c>
      <c r="E2028" s="1">
        <f>value(GBP!$B2028)</f>
        <v>19693.5051</v>
      </c>
      <c r="F2028" s="1">
        <f>value(CHF!$B2028)</f>
        <v>13504.8805</v>
      </c>
      <c r="G2028" s="1">
        <f>value(SGD!$B2028)</f>
        <v>9666.393011</v>
      </c>
      <c r="H2028" s="1">
        <f>value(MYR!$B2028)</f>
        <v>3222.39</v>
      </c>
      <c r="I2028" s="1">
        <f>value(THB!$B2028)</f>
        <v>384.0591</v>
      </c>
      <c r="J2028" s="1">
        <f>value(VND!$B2028)</f>
        <v>0.5927254522</v>
      </c>
      <c r="K2028" s="1">
        <f>value(CNY!$B2028)</f>
        <v>2033.996963</v>
      </c>
      <c r="L2028" s="1">
        <f>value(HKD!$B2028)</f>
        <v>1756.55375</v>
      </c>
      <c r="M2028" s="1">
        <f>value(TWD!$B2028)</f>
        <v>408.12135</v>
      </c>
      <c r="N2028" s="1">
        <f>value(JPY!$B2028)</f>
        <v>116.964459</v>
      </c>
      <c r="O2028" s="1">
        <f>value(SAR!$B2028)</f>
        <v>3513.361916</v>
      </c>
      <c r="P2028" s="1">
        <f>value(AED!$B2028)</f>
        <v>3582.70534</v>
      </c>
      <c r="Q2028" s="1">
        <f>value(KWD!$B2028)</f>
        <v>43672.91918</v>
      </c>
    </row>
    <row r="2029">
      <c r="A2029" s="4">
        <f>value(USD!A2029)</f>
        <v>42393.99861</v>
      </c>
      <c r="B2029" s="1">
        <f>value(USD!B2029)</f>
        <v>13850.41</v>
      </c>
      <c r="C2029" s="1">
        <f>value(AUD!$B2029)</f>
        <v>9977.65758</v>
      </c>
      <c r="D2029" s="1">
        <f>value(EUR!$B2029)</f>
        <v>15075.3456</v>
      </c>
      <c r="E2029" s="1">
        <f>value(GBP!$B2029)</f>
        <v>19902.532</v>
      </c>
      <c r="F2029" s="1">
        <f>value(CHF!$B2029)</f>
        <v>13563.9554</v>
      </c>
      <c r="G2029" s="1">
        <f>value(SGD!$B2029)</f>
        <v>9670.021426</v>
      </c>
      <c r="H2029" s="1">
        <f>value(MYR!$B2029)</f>
        <v>3252.6392</v>
      </c>
      <c r="I2029" s="1">
        <f>value(THB!$B2029)</f>
        <v>386.9744</v>
      </c>
      <c r="J2029" s="1">
        <f>value(VND!$B2029)</f>
        <v>0.5986709413</v>
      </c>
      <c r="K2029" s="1">
        <f>value(CNY!$B2029)</f>
        <v>2041.75806</v>
      </c>
      <c r="L2029" s="1">
        <f>value(HKD!$B2029)</f>
        <v>1811.84737</v>
      </c>
      <c r="M2029" s="1">
        <f>value(TWD!$B2029)</f>
        <v>407.571</v>
      </c>
      <c r="N2029" s="1">
        <f>value(JPY!$B2029)</f>
        <v>117.219376</v>
      </c>
      <c r="O2029" s="1">
        <f>value(SAR!$B2029)</f>
        <v>3507.849168</v>
      </c>
      <c r="P2029" s="1">
        <f>value(AED!$B2029)</f>
        <v>3586.034101</v>
      </c>
      <c r="Q2029" s="1">
        <f>value(KWD!$B2029)</f>
        <v>43736.07357</v>
      </c>
    </row>
    <row r="2030">
      <c r="A2030" s="4">
        <f>value(USD!A2030)</f>
        <v>42394.99861</v>
      </c>
      <c r="B2030" s="1">
        <f>value(USD!B2030)</f>
        <v>13830</v>
      </c>
      <c r="C2030" s="1">
        <f>value(AUD!$B2030)</f>
        <v>9976.8944</v>
      </c>
      <c r="D2030" s="1">
        <f>value(EUR!$B2030)</f>
        <v>15049.7008</v>
      </c>
      <c r="E2030" s="1">
        <f>value(GBP!$B2030)</f>
        <v>19659.5688</v>
      </c>
      <c r="F2030" s="1">
        <f>value(CHF!$B2030)</f>
        <v>13631.92524</v>
      </c>
      <c r="G2030" s="1">
        <f>value(SGD!$B2030)</f>
        <v>9718.1656</v>
      </c>
      <c r="H2030" s="1">
        <f>value(MYR!$B2030)</f>
        <v>3232.4284</v>
      </c>
      <c r="I2030" s="1">
        <f>value(THB!$B2030)</f>
        <v>384.93778</v>
      </c>
      <c r="J2030" s="1">
        <f>value(VND!$B2030)</f>
        <v>0.5937671059</v>
      </c>
      <c r="K2030" s="1">
        <f>value(CNY!$B2030)</f>
        <v>2025.5024</v>
      </c>
      <c r="L2030" s="1">
        <f>value(HKD!$B2030)</f>
        <v>1751.8639</v>
      </c>
      <c r="M2030" s="1">
        <f>value(TWD!$B2030)</f>
        <v>406.644</v>
      </c>
      <c r="N2030" s="1">
        <f>value(JPY!$B2030)</f>
        <v>116.4640364</v>
      </c>
      <c r="O2030" s="1">
        <f>value(SAR!$B2030)</f>
        <v>3513.398136</v>
      </c>
      <c r="P2030" s="1">
        <f>value(AED!$B2030)</f>
        <v>3584.597257</v>
      </c>
      <c r="Q2030" s="1">
        <f>value(KWD!$B2030)</f>
        <v>43403.68207</v>
      </c>
    </row>
    <row r="2031">
      <c r="A2031" s="4">
        <f>value(USD!A2031)</f>
        <v>42395.99861</v>
      </c>
      <c r="B2031" s="1">
        <f>value(USD!B2031)</f>
        <v>13880</v>
      </c>
      <c r="C2031" s="1">
        <f>value(AUD!$B2031)</f>
        <v>9980.3418</v>
      </c>
      <c r="D2031" s="1">
        <f>value(EUR!$B2031)</f>
        <v>15050.651</v>
      </c>
      <c r="E2031" s="1">
        <f>value(GBP!$B2031)</f>
        <v>19761.034</v>
      </c>
      <c r="F2031" s="1">
        <f>value(CHF!$B2031)</f>
        <v>13654.92928</v>
      </c>
      <c r="G2031" s="1">
        <f>value(SGD!$B2031)</f>
        <v>9700.824</v>
      </c>
      <c r="H2031" s="1">
        <f>value(MYR!$B2031)</f>
        <v>3304.9765</v>
      </c>
      <c r="I2031" s="1">
        <f>value(THB!$B2031)</f>
        <v>383.7682</v>
      </c>
      <c r="J2031" s="1">
        <f>value(VND!$B2031)</f>
        <v>0.595369644</v>
      </c>
      <c r="K2031" s="1">
        <f>value(CNY!$B2031)</f>
        <v>2047.4336</v>
      </c>
      <c r="L2031" s="1">
        <f>value(HKD!$B2031)</f>
        <v>1761.4217</v>
      </c>
      <c r="M2031" s="1">
        <f>value(TWD!$B2031)</f>
        <v>406.62105</v>
      </c>
      <c r="N2031" s="1">
        <f>value(JPY!$B2031)</f>
        <v>115.76365</v>
      </c>
      <c r="O2031" s="1">
        <f>value(SAR!$B2031)</f>
        <v>3496.587264</v>
      </c>
      <c r="P2031" s="1">
        <f>value(AED!$B2031)</f>
        <v>3576.17302</v>
      </c>
      <c r="Q2031" s="1">
        <f>value(KWD!$B2031)</f>
        <v>43395.34705</v>
      </c>
    </row>
    <row r="2032">
      <c r="A2032" s="4">
        <f>value(USD!A2032)</f>
        <v>42396.99861</v>
      </c>
      <c r="B2032" s="1">
        <f>value(USD!B2032)</f>
        <v>13802</v>
      </c>
      <c r="C2032" s="1">
        <f>value(AUD!$B2032)</f>
        <v>9953.0094</v>
      </c>
      <c r="D2032" s="1">
        <f>value(EUR!$B2032)</f>
        <v>14809.88825</v>
      </c>
      <c r="E2032" s="1">
        <f>value(GBP!$B2032)</f>
        <v>19480.0375</v>
      </c>
      <c r="F2032" s="1">
        <f>value(CHF!$B2032)</f>
        <v>13387.677</v>
      </c>
      <c r="G2032" s="1">
        <f>value(SGD!$B2032)</f>
        <v>9665.93745</v>
      </c>
      <c r="H2032" s="1">
        <f>value(MYR!$B2032)</f>
        <v>3291.98275</v>
      </c>
      <c r="I2032" s="1">
        <f>value(THB!$B2032)</f>
        <v>372.64375</v>
      </c>
      <c r="J2032" s="1">
        <f>value(VND!$B2032)</f>
        <v>0.5940260358</v>
      </c>
      <c r="K2032" s="1">
        <f>value(CNY!$B2032)</f>
        <v>2039.75316</v>
      </c>
      <c r="L2032" s="1">
        <f>value(HKD!$B2032)</f>
        <v>1742.5706</v>
      </c>
      <c r="M2032" s="1">
        <f>value(TWD!$B2032)</f>
        <v>408.0066</v>
      </c>
      <c r="N2032" s="1">
        <f>value(JPY!$B2032)</f>
        <v>112.9555</v>
      </c>
      <c r="O2032" s="1">
        <f>value(SAR!$B2032)</f>
        <v>3503.577363</v>
      </c>
      <c r="P2032" s="1">
        <f>value(AED!$B2032)</f>
        <v>3582.2655</v>
      </c>
      <c r="Q2032" s="1">
        <f>value(KWD!$B2032)</f>
        <v>43458.46997</v>
      </c>
    </row>
    <row r="2033">
      <c r="A2033" s="4">
        <f>value(USD!A2033)</f>
        <v>42397.99861</v>
      </c>
      <c r="B2033" s="1">
        <f>value(USD!B2033)</f>
        <v>13765</v>
      </c>
      <c r="C2033" s="1">
        <f>value(AUD!$B2033)</f>
        <v>9956.24454</v>
      </c>
      <c r="D2033" s="1">
        <f>value(EUR!$B2033)</f>
        <v>15256.66842</v>
      </c>
      <c r="E2033" s="1">
        <f>value(GBP!$B2033)</f>
        <v>20067.66602</v>
      </c>
      <c r="F2033" s="1">
        <f>value(CHF!$B2033)</f>
        <v>13523.985</v>
      </c>
      <c r="G2033" s="1">
        <f>value(SGD!$B2033)</f>
        <v>9697.6468</v>
      </c>
      <c r="H2033" s="1">
        <f>value(MYR!$B2033)</f>
        <v>3390.561685</v>
      </c>
      <c r="I2033" s="1">
        <f>value(THB!$B2033)</f>
        <v>383.802625</v>
      </c>
      <c r="J2033" s="1">
        <f>value(VND!$B2033)</f>
        <v>0.5967123228</v>
      </c>
      <c r="K2033" s="1">
        <f>value(CNY!$B2033)</f>
        <v>2024.70848</v>
      </c>
      <c r="L2033" s="1">
        <f>value(HKD!$B2033)</f>
        <v>1747.50856</v>
      </c>
      <c r="M2033" s="1">
        <f>value(TWD!$B2033)</f>
        <v>407.898</v>
      </c>
      <c r="N2033" s="1">
        <f>value(JPY!$B2033)</f>
        <v>116.33797</v>
      </c>
      <c r="O2033" s="1">
        <f>value(SAR!$B2033)</f>
        <v>3486.664637</v>
      </c>
      <c r="P2033" s="1">
        <f>value(AED!$B2033)</f>
        <v>3555.0405</v>
      </c>
      <c r="Q2033" s="1">
        <f>value(KWD!$B2033)</f>
        <v>43448.5032</v>
      </c>
    </row>
    <row r="2034">
      <c r="A2034" s="4">
        <f>value(USD!A2034)</f>
        <v>42398.99861</v>
      </c>
      <c r="B2034" s="1">
        <f>value(USD!B2034)</f>
        <v>13675</v>
      </c>
      <c r="C2034" s="1">
        <f>value(AUD!$B2034)</f>
        <v>9882.8997</v>
      </c>
      <c r="D2034" s="1">
        <f>value(EUR!$B2034)</f>
        <v>15267.2753</v>
      </c>
      <c r="E2034" s="1">
        <f>value(GBP!$B2034)</f>
        <v>20087.44375</v>
      </c>
      <c r="F2034" s="1">
        <f>value(CHF!$B2034)</f>
        <v>13526.881</v>
      </c>
      <c r="G2034" s="1">
        <f>value(SGD!$B2034)</f>
        <v>9630.84125</v>
      </c>
      <c r="H2034" s="1">
        <f>value(MYR!$B2034)</f>
        <v>3395.34499</v>
      </c>
      <c r="I2034" s="1">
        <f>value(THB!$B2034)</f>
        <v>384.2030388</v>
      </c>
      <c r="J2034" s="1">
        <f>value(VND!$B2034)</f>
        <v>0.5989038465</v>
      </c>
      <c r="K2034" s="1">
        <f>value(CNY!$B2034)</f>
        <v>2026.93755</v>
      </c>
      <c r="L2034" s="1">
        <f>value(HKD!$B2034)</f>
        <v>1742.9555</v>
      </c>
      <c r="M2034" s="1">
        <f>value(TWD!$B2034)</f>
        <v>400.263909</v>
      </c>
      <c r="N2034" s="1">
        <f>value(JPY!$B2034)</f>
        <v>116.2200088</v>
      </c>
      <c r="O2034" s="1">
        <f>value(SAR!$B2034)</f>
        <v>3512.143037</v>
      </c>
      <c r="P2034" s="1">
        <f>value(AED!$B2034)</f>
        <v>3555.21516</v>
      </c>
      <c r="Q2034" s="1">
        <f>value(KWD!$B2034)</f>
        <v>43365.44672</v>
      </c>
    </row>
    <row r="2035">
      <c r="A2035" s="4">
        <f>value(USD!A2035)</f>
        <v>42399.99861</v>
      </c>
      <c r="B2035" s="1">
        <f>value(USD!B2035)</f>
        <v>14084.5</v>
      </c>
      <c r="C2035" s="1">
        <f>value(AUD!$B2035)</f>
        <v>9963.211948</v>
      </c>
      <c r="D2035" s="1">
        <f>value(EUR!$B2035)</f>
        <v>14850.5665</v>
      </c>
      <c r="E2035" s="1">
        <f>value(GBP!$B2035)</f>
        <v>19657.186</v>
      </c>
      <c r="F2035" s="1">
        <f>value(CHF!$B2035)</f>
        <v>13557.585</v>
      </c>
      <c r="G2035" s="1">
        <f>value(SGD!$B2035)</f>
        <v>9699.454056</v>
      </c>
      <c r="H2035" s="1">
        <f>value(MYR!$B2035)</f>
        <v>3267.7925</v>
      </c>
      <c r="I2035" s="1">
        <f>value(THB!$B2035)</f>
        <v>382.8667</v>
      </c>
      <c r="J2035" s="1">
        <f>value(VND!$B2035)</f>
        <v>0.5946473939</v>
      </c>
      <c r="K2035" s="1">
        <f>value(CNY!$B2035)</f>
        <v>2027.857392</v>
      </c>
      <c r="L2035" s="1">
        <f>value(HKD!$B2035)</f>
        <v>1746.394278</v>
      </c>
      <c r="M2035" s="1">
        <f>value(TWD!$B2035)</f>
        <v>405.6831</v>
      </c>
      <c r="N2035" s="1">
        <f>value(JPY!$B2035)</f>
        <v>112.7201</v>
      </c>
      <c r="O2035" s="1">
        <f>value(SAR!$B2035)</f>
        <v>3525.738465</v>
      </c>
      <c r="P2035" s="1">
        <f>value(AED!$B2035)</f>
        <v>3560.38658</v>
      </c>
      <c r="Q2035" s="1">
        <f>value(KWD!$B2035)</f>
        <v>43308.85595</v>
      </c>
    </row>
    <row r="2036">
      <c r="A2036" s="4">
        <f>value(USD!A2036)</f>
        <v>42400.99861</v>
      </c>
      <c r="B2036" s="1">
        <f>value(USD!B2036)</f>
        <v>14104.37</v>
      </c>
      <c r="C2036" s="1">
        <f>value(AUD!$B2036)</f>
        <v>10028.8734</v>
      </c>
      <c r="D2036" s="1">
        <f>value(EUR!$B2036)</f>
        <v>14992.3362</v>
      </c>
      <c r="E2036" s="1">
        <f>value(GBP!$B2036)</f>
        <v>19779.438</v>
      </c>
      <c r="F2036" s="1">
        <f>value(CHF!$B2036)</f>
        <v>13453.1925</v>
      </c>
      <c r="G2036" s="1">
        <f>value(SGD!$B2036)</f>
        <v>9488.7045</v>
      </c>
      <c r="H2036" s="1">
        <f>value(MYR!$B2036)</f>
        <v>3236.2983</v>
      </c>
      <c r="I2036" s="1">
        <f>value(THB!$B2036)</f>
        <v>383.2043</v>
      </c>
      <c r="J2036" s="1">
        <f>value(VND!$B2036)</f>
        <v>0.5920461159</v>
      </c>
      <c r="K2036" s="1">
        <f>value(CNY!$B2036)</f>
        <v>2027.502</v>
      </c>
      <c r="L2036" s="1">
        <f>value(HKD!$B2036)</f>
        <v>1747.546631</v>
      </c>
      <c r="M2036" s="1">
        <f>value(TWD!$B2036)</f>
        <v>409.39425</v>
      </c>
      <c r="N2036" s="1">
        <f>value(JPY!$B2036)</f>
        <v>114.5082</v>
      </c>
      <c r="O2036" s="1">
        <f>value(SAR!$B2036)</f>
        <v>3496.596718</v>
      </c>
      <c r="P2036" s="1">
        <f>value(AED!$B2036)</f>
        <v>3559.57004</v>
      </c>
      <c r="Q2036" s="1">
        <f>value(KWD!$B2036)</f>
        <v>42927.87987</v>
      </c>
    </row>
    <row r="2037">
      <c r="A2037" s="4">
        <f>value(USD!A2037)</f>
        <v>42401.99861</v>
      </c>
      <c r="B2037" s="1">
        <f>value(USD!B2037)</f>
        <v>13630</v>
      </c>
      <c r="C2037" s="1">
        <f>value(AUD!$B2037)</f>
        <v>10062.93</v>
      </c>
      <c r="D2037" s="1">
        <f>value(EUR!$B2037)</f>
        <v>15065.01858</v>
      </c>
      <c r="E2037" s="1">
        <f>value(GBP!$B2037)</f>
        <v>19808.80372</v>
      </c>
      <c r="F2037" s="1">
        <f>value(CHF!$B2037)</f>
        <v>13481.18258</v>
      </c>
      <c r="G2037" s="1">
        <f>value(SGD!$B2037)</f>
        <v>9531.42962</v>
      </c>
      <c r="H2037" s="1">
        <f>value(MYR!$B2037)</f>
        <v>3256.2845</v>
      </c>
      <c r="I2037" s="1">
        <f>value(THB!$B2037)</f>
        <v>380.16018</v>
      </c>
      <c r="J2037" s="1">
        <f>value(VND!$B2037)</f>
        <v>0.588680767</v>
      </c>
      <c r="K2037" s="1">
        <f>value(CNY!$B2037)</f>
        <v>2038.4351</v>
      </c>
      <c r="L2037" s="1">
        <f>value(HKD!$B2037)</f>
        <v>1754.6308</v>
      </c>
      <c r="M2037" s="1">
        <f>value(TWD!$B2037)</f>
        <v>412.6485</v>
      </c>
      <c r="N2037" s="1">
        <f>value(JPY!$B2037)</f>
        <v>114.90372</v>
      </c>
      <c r="O2037" s="1">
        <f>value(SAR!$B2037)</f>
        <v>3493.828121</v>
      </c>
      <c r="P2037" s="1">
        <f>value(AED!$B2037)</f>
        <v>3554.7385</v>
      </c>
      <c r="Q2037" s="1">
        <f>value(KWD!$B2037)</f>
        <v>42941.17332</v>
      </c>
    </row>
    <row r="2038">
      <c r="A2038" s="4">
        <f>value(USD!A2038)</f>
        <v>42402.99861</v>
      </c>
      <c r="B2038" s="1">
        <f>value(USD!B2038)</f>
        <v>13730</v>
      </c>
      <c r="C2038" s="1">
        <f>value(AUD!$B2038)</f>
        <v>10139.192</v>
      </c>
      <c r="D2038" s="1">
        <f>value(EUR!$B2038)</f>
        <v>15241.3564</v>
      </c>
      <c r="E2038" s="1">
        <f>value(GBP!$B2038)</f>
        <v>19842.893</v>
      </c>
      <c r="F2038" s="1">
        <f>value(CHF!$B2038)</f>
        <v>13390.3935</v>
      </c>
      <c r="G2038" s="1">
        <f>value(SGD!$B2038)</f>
        <v>9609.84</v>
      </c>
      <c r="H2038" s="1">
        <f>value(MYR!$B2038)</f>
        <v>3312.75244</v>
      </c>
      <c r="I2038" s="1">
        <f>value(THB!$B2038)</f>
        <v>381.8166</v>
      </c>
      <c r="J2038" s="1">
        <f>value(VND!$B2038)</f>
        <v>0.6180858756</v>
      </c>
      <c r="K2038" s="1">
        <f>value(CNY!$B2038)</f>
        <v>2032.70304</v>
      </c>
      <c r="L2038" s="1">
        <f>value(HKD!$B2038)</f>
        <v>1739.07</v>
      </c>
      <c r="M2038" s="1">
        <f>value(TWD!$B2038)</f>
        <v>412.22705</v>
      </c>
      <c r="N2038" s="1">
        <f>value(JPY!$B2038)</f>
        <v>116.4669944</v>
      </c>
      <c r="O2038" s="1">
        <f>value(SAR!$B2038)</f>
        <v>3503.319176</v>
      </c>
      <c r="P2038" s="1">
        <f>value(AED!$B2038)</f>
        <v>3548.95502</v>
      </c>
      <c r="Q2038" s="1">
        <f>value(KWD!$B2038)</f>
        <v>43213.68908</v>
      </c>
    </row>
    <row r="2039">
      <c r="A2039" s="4">
        <f>value(USD!A2039)</f>
        <v>42403.99861</v>
      </c>
      <c r="B2039" s="1">
        <f>value(USD!B2039)</f>
        <v>13582</v>
      </c>
      <c r="C2039" s="1">
        <f>value(AUD!$B2039)</f>
        <v>10088.2386</v>
      </c>
      <c r="D2039" s="1">
        <f>value(EUR!$B2039)</f>
        <v>15157.19205</v>
      </c>
      <c r="E2039" s="1">
        <f>value(GBP!$B2039)</f>
        <v>19698.38585</v>
      </c>
      <c r="F2039" s="1">
        <f>value(CHF!$B2039)</f>
        <v>13284.4134</v>
      </c>
      <c r="G2039" s="1">
        <f>value(SGD!$B2039)</f>
        <v>9553.22395</v>
      </c>
      <c r="H2039" s="1">
        <f>value(MYR!$B2039)</f>
        <v>3259.72075</v>
      </c>
      <c r="I2039" s="1">
        <f>value(THB!$B2039)</f>
        <v>381.33095</v>
      </c>
      <c r="J2039" s="1">
        <f>value(VND!$B2039)</f>
        <v>0.6072646183</v>
      </c>
      <c r="K2039" s="1">
        <f>value(CNY!$B2039)</f>
        <v>2035.074</v>
      </c>
      <c r="L2039" s="1">
        <f>value(HKD!$B2039)</f>
        <v>1726.41105</v>
      </c>
      <c r="M2039" s="1">
        <f>value(TWD!$B2039)</f>
        <v>410.6135</v>
      </c>
      <c r="N2039" s="1">
        <f>value(JPY!$B2039)</f>
        <v>116.2876</v>
      </c>
      <c r="O2039" s="1">
        <f>value(SAR!$B2039)</f>
        <v>3501.841619</v>
      </c>
      <c r="P2039" s="1">
        <f>value(AED!$B2039)</f>
        <v>3515.87823</v>
      </c>
      <c r="Q2039" s="1">
        <f>value(KWD!$B2039)</f>
        <v>43251.67762</v>
      </c>
    </row>
    <row r="2040">
      <c r="A2040" s="4">
        <f>value(USD!A2040)</f>
        <v>42404.99861</v>
      </c>
      <c r="B2040" s="1">
        <f>value(USD!B2040)</f>
        <v>13612</v>
      </c>
      <c r="C2040" s="1">
        <f>value(AUD!$B2040)</f>
        <v>10076.2852</v>
      </c>
      <c r="D2040" s="1">
        <f>value(EUR!$B2040)</f>
        <v>15181.75267</v>
      </c>
      <c r="E2040" s="1">
        <f>value(GBP!$B2040)</f>
        <v>19727.888</v>
      </c>
      <c r="F2040" s="1">
        <f>value(CHF!$B2040)</f>
        <v>13288.747</v>
      </c>
      <c r="G2040" s="1">
        <f>value(SGD!$B2040)</f>
        <v>9552.77342</v>
      </c>
      <c r="H2040" s="1">
        <f>value(MYR!$B2040)</f>
        <v>3264.625328</v>
      </c>
      <c r="I2040" s="1">
        <f>value(THB!$B2040)</f>
        <v>381.9047008</v>
      </c>
      <c r="J2040" s="1">
        <f>value(VND!$B2040)</f>
        <v>0.6143342186</v>
      </c>
      <c r="K2040" s="1">
        <f>value(CNY!$B2040)</f>
        <v>2028.3659</v>
      </c>
      <c r="L2040" s="1">
        <f>value(HKD!$B2040)</f>
        <v>1730.0232</v>
      </c>
      <c r="M2040" s="1">
        <f>value(TWD!$B2040)</f>
        <v>412.68045</v>
      </c>
      <c r="N2040" s="1">
        <f>value(JPY!$B2040)</f>
        <v>116.326512</v>
      </c>
      <c r="O2040" s="1">
        <f>value(SAR!$B2040)</f>
        <v>3490.389685</v>
      </c>
      <c r="P2040" s="1">
        <f>value(AED!$B2040)</f>
        <v>3516.83778</v>
      </c>
      <c r="Q2040" s="1">
        <f>value(KWD!$B2040)</f>
        <v>43245.03067</v>
      </c>
    </row>
    <row r="2041">
      <c r="A2041" s="4">
        <f>value(USD!A2041)</f>
        <v>42405.99861</v>
      </c>
      <c r="B2041" s="1">
        <f>value(USD!B2041)</f>
        <v>13585</v>
      </c>
      <c r="C2041" s="1">
        <f>value(AUD!$B2041)</f>
        <v>10077.52614</v>
      </c>
      <c r="D2041" s="1">
        <f>value(EUR!$B2041)</f>
        <v>15179.82737</v>
      </c>
      <c r="E2041" s="1">
        <f>value(GBP!$B2041)</f>
        <v>19765.92815</v>
      </c>
      <c r="F2041" s="1">
        <f>value(CHF!$B2041)</f>
        <v>13234.608</v>
      </c>
      <c r="G2041" s="1">
        <f>value(SGD!$B2041)</f>
        <v>9625.703498</v>
      </c>
      <c r="H2041" s="1">
        <f>value(MYR!$B2041)</f>
        <v>3269.071601</v>
      </c>
      <c r="I2041" s="1">
        <f>value(THB!$B2041)</f>
        <v>382.0161188</v>
      </c>
      <c r="J2041" s="1">
        <f>value(VND!$B2041)</f>
        <v>0.6065372464</v>
      </c>
      <c r="K2041" s="1">
        <f>value(CNY!$B2041)</f>
        <v>2032.456602</v>
      </c>
      <c r="L2041" s="1">
        <f>value(HKD!$B2041)</f>
        <v>1727.8288</v>
      </c>
      <c r="M2041" s="1">
        <f>value(TWD!$B2041)</f>
        <v>408.78052</v>
      </c>
      <c r="N2041" s="1">
        <f>value(JPY!$B2041)</f>
        <v>116.4781315</v>
      </c>
      <c r="O2041" s="1">
        <f>value(SAR!$B2041)</f>
        <v>3474.465398</v>
      </c>
      <c r="P2041" s="1">
        <f>value(AED!$B2041)</f>
        <v>3539.28657</v>
      </c>
      <c r="Q2041" s="1">
        <f>value(KWD!$B2041)</f>
        <v>43092.15091</v>
      </c>
    </row>
    <row r="2042">
      <c r="A2042" s="4">
        <f>value(USD!A2042)</f>
        <v>42406.99861</v>
      </c>
      <c r="B2042" s="1">
        <f>value(USD!B2042)</f>
        <v>13605.44</v>
      </c>
      <c r="C2042" s="1">
        <f>value(AUD!$B2042)</f>
        <v>10072.2699</v>
      </c>
      <c r="D2042" s="1">
        <f>value(EUR!$B2042)</f>
        <v>15302.0764</v>
      </c>
      <c r="E2042" s="1">
        <f>value(GBP!$B2042)</f>
        <v>19738.5708</v>
      </c>
      <c r="F2042" s="1">
        <f>value(CHF!$B2042)</f>
        <v>13117.8932</v>
      </c>
      <c r="G2042" s="1">
        <f>value(SGD!$B2042)</f>
        <v>9616.095927</v>
      </c>
      <c r="H2042" s="1">
        <f>value(MYR!$B2042)</f>
        <v>3251.87928</v>
      </c>
      <c r="I2042" s="1">
        <f>value(THB!$B2042)</f>
        <v>384.84264</v>
      </c>
      <c r="J2042" s="1">
        <f>value(VND!$B2042)</f>
        <v>0.6099428893</v>
      </c>
      <c r="K2042" s="1">
        <f>value(CNY!$B2042)</f>
        <v>2032.325196</v>
      </c>
      <c r="L2042" s="1">
        <f>value(HKD!$B2042)</f>
        <v>1739.023684</v>
      </c>
      <c r="M2042" s="1">
        <f>value(TWD!$B2042)</f>
        <v>407.21278</v>
      </c>
      <c r="N2042" s="1">
        <f>value(JPY!$B2042)</f>
        <v>118.2167116</v>
      </c>
      <c r="O2042" s="1">
        <f>value(SAR!$B2042)</f>
        <v>3475.985725</v>
      </c>
      <c r="P2042" s="1">
        <f>value(AED!$B2042)</f>
        <v>3542.15052</v>
      </c>
      <c r="Q2042" s="1">
        <f>value(KWD!$B2042)</f>
        <v>43070.27618</v>
      </c>
    </row>
    <row r="2043">
      <c r="A2043" s="4">
        <f>value(USD!A2043)</f>
        <v>42407.99861</v>
      </c>
      <c r="B2043" s="1">
        <f>value(USD!B2043)</f>
        <v>13623.97</v>
      </c>
      <c r="C2043" s="1">
        <f>value(AUD!$B2043)</f>
        <v>9983.2464</v>
      </c>
      <c r="D2043" s="1">
        <f>value(EUR!$B2043)</f>
        <v>15306.2568</v>
      </c>
      <c r="E2043" s="1">
        <f>value(GBP!$B2043)</f>
        <v>19610.472</v>
      </c>
      <c r="F2043" s="1">
        <f>value(CHF!$B2043)</f>
        <v>13409.32998</v>
      </c>
      <c r="G2043" s="1">
        <f>value(SGD!$B2043)</f>
        <v>9561.9763</v>
      </c>
      <c r="H2043" s="1">
        <f>value(MYR!$B2043)</f>
        <v>3238.3992</v>
      </c>
      <c r="I2043" s="1">
        <f>value(THB!$B2043)</f>
        <v>382.7988</v>
      </c>
      <c r="J2043" s="1">
        <f>value(VND!$B2043)</f>
        <v>0.6032990437</v>
      </c>
      <c r="K2043" s="1">
        <f>value(CNY!$B2043)</f>
        <v>2026.71315</v>
      </c>
      <c r="L2043" s="1">
        <f>value(HKD!$B2043)</f>
        <v>1704.7755</v>
      </c>
      <c r="M2043" s="1">
        <f>value(TWD!$B2043)</f>
        <v>407.32615</v>
      </c>
      <c r="N2043" s="1">
        <f>value(JPY!$B2043)</f>
        <v>117.702156</v>
      </c>
      <c r="O2043" s="1">
        <f>value(SAR!$B2043)</f>
        <v>3483.385654</v>
      </c>
      <c r="P2043" s="1">
        <f>value(AED!$B2043)</f>
        <v>3542.517</v>
      </c>
      <c r="Q2043" s="1">
        <f>value(KWD!$B2043)</f>
        <v>43256.43056</v>
      </c>
    </row>
    <row r="2044">
      <c r="A2044" s="4">
        <f>value(USD!A2044)</f>
        <v>42408.99861</v>
      </c>
      <c r="B2044" s="1">
        <f>value(USD!B2044)</f>
        <v>13676</v>
      </c>
      <c r="C2044" s="1">
        <f>value(AUD!$B2044)</f>
        <v>9962.982</v>
      </c>
      <c r="D2044" s="1">
        <f>value(EUR!$B2044)</f>
        <v>15176.1636</v>
      </c>
      <c r="E2044" s="1">
        <f>value(GBP!$B2044)</f>
        <v>19538.94735</v>
      </c>
      <c r="F2044" s="1">
        <f>value(CHF!$B2044)</f>
        <v>13052</v>
      </c>
      <c r="G2044" s="1">
        <f>value(SGD!$B2044)</f>
        <v>9520.9659</v>
      </c>
      <c r="H2044" s="1">
        <f>value(MYR!$B2044)</f>
        <v>3244.5387</v>
      </c>
      <c r="I2044" s="1">
        <f>value(THB!$B2044)</f>
        <v>380.91105</v>
      </c>
      <c r="J2044" s="1">
        <f>value(VND!$B2044)</f>
        <v>0.5972923328</v>
      </c>
      <c r="K2044" s="1">
        <f>value(CNY!$B2044)</f>
        <v>2021.73945</v>
      </c>
      <c r="L2044" s="1">
        <f>value(HKD!$B2044)</f>
        <v>1719.37098</v>
      </c>
      <c r="M2044" s="1">
        <f>value(TWD!$B2044)</f>
        <v>408.6258</v>
      </c>
      <c r="N2044" s="1">
        <f>value(JPY!$B2044)</f>
        <v>118.7874675</v>
      </c>
      <c r="O2044" s="1">
        <f>value(SAR!$B2044)</f>
        <v>3508.957684</v>
      </c>
      <c r="P2044" s="1">
        <f>value(AED!$B2044)</f>
        <v>3530.180469</v>
      </c>
      <c r="Q2044" s="1">
        <f>value(KWD!$B2044)</f>
        <v>43149.85608</v>
      </c>
    </row>
    <row r="2045">
      <c r="A2045" s="4">
        <f>value(USD!A2045)</f>
        <v>42409.99861</v>
      </c>
      <c r="B2045" s="1">
        <f>value(USD!B2045)</f>
        <v>13560</v>
      </c>
      <c r="C2045" s="1">
        <f>value(AUD!$B2045)</f>
        <v>10023.62856</v>
      </c>
      <c r="D2045" s="1">
        <f>value(EUR!$B2045)</f>
        <v>15252.62</v>
      </c>
      <c r="E2045" s="1">
        <f>value(GBP!$B2045)</f>
        <v>19513.648</v>
      </c>
      <c r="F2045" s="1">
        <f>value(CHF!$B2045)</f>
        <v>13225.8154</v>
      </c>
      <c r="G2045" s="1">
        <f>value(SGD!$B2045)</f>
        <v>9527.84455</v>
      </c>
      <c r="H2045" s="1">
        <f>value(MYR!$B2045)</f>
        <v>3243.8272</v>
      </c>
      <c r="I2045" s="1">
        <f>value(THB!$B2045)</f>
        <v>382.158</v>
      </c>
      <c r="J2045" s="1">
        <f>value(VND!$B2045)</f>
        <v>0.6021461886</v>
      </c>
      <c r="K2045" s="1">
        <f>value(CNY!$B2045)</f>
        <v>2028.93075</v>
      </c>
      <c r="L2045" s="1">
        <f>value(HKD!$B2045)</f>
        <v>1733.4</v>
      </c>
      <c r="M2045" s="1">
        <f>value(TWD!$B2045)</f>
        <v>407.1924</v>
      </c>
      <c r="N2045" s="1">
        <f>value(JPY!$B2045)</f>
        <v>119.819676</v>
      </c>
      <c r="O2045" s="1">
        <f>value(SAR!$B2045)</f>
        <v>3491.283786</v>
      </c>
      <c r="P2045" s="1">
        <f>value(AED!$B2045)</f>
        <v>3527.99716</v>
      </c>
      <c r="Q2045" s="1">
        <f>value(KWD!$B2045)</f>
        <v>43155.792</v>
      </c>
    </row>
    <row r="2046">
      <c r="A2046" s="4">
        <f>value(USD!A2046)</f>
        <v>42410.99861</v>
      </c>
      <c r="B2046" s="1">
        <f>value(USD!B2046)</f>
        <v>13455</v>
      </c>
      <c r="C2046" s="1">
        <f>value(AUD!$B2046)</f>
        <v>9893.35748</v>
      </c>
      <c r="D2046" s="1">
        <f>value(EUR!$B2046)</f>
        <v>15152.83775</v>
      </c>
      <c r="E2046" s="1">
        <f>value(GBP!$B2046)</f>
        <v>19526.943</v>
      </c>
      <c r="F2046" s="1">
        <f>value(CHF!$B2046)</f>
        <v>13120.96</v>
      </c>
      <c r="G2046" s="1">
        <f>value(SGD!$B2046)</f>
        <v>9582.1707</v>
      </c>
      <c r="H2046" s="1">
        <f>value(MYR!$B2046)</f>
        <v>3239.54435</v>
      </c>
      <c r="I2046" s="1">
        <f>value(THB!$B2046)</f>
        <v>370.69145</v>
      </c>
      <c r="J2046" s="1">
        <f>value(VND!$B2046)</f>
        <v>0.6015304873</v>
      </c>
      <c r="K2046" s="1">
        <f>value(CNY!$B2046)</f>
        <v>2032.17616</v>
      </c>
      <c r="L2046" s="1">
        <f>value(HKD!$B2046)</f>
        <v>1723.96165</v>
      </c>
      <c r="M2046" s="1">
        <f>value(TWD!$B2046)</f>
        <v>408.1967</v>
      </c>
      <c r="N2046" s="1">
        <f>value(JPY!$B2046)</f>
        <v>118.89595</v>
      </c>
      <c r="O2046" s="1">
        <f>value(SAR!$B2046)</f>
        <v>3495.381386</v>
      </c>
      <c r="P2046" s="1">
        <f>value(AED!$B2046)</f>
        <v>3546.77758</v>
      </c>
      <c r="Q2046" s="1">
        <f>value(KWD!$B2046)</f>
        <v>42978.78589</v>
      </c>
    </row>
    <row r="2047">
      <c r="A2047" s="4">
        <f>value(USD!A2047)</f>
        <v>42411.99861</v>
      </c>
      <c r="B2047" s="1">
        <f>value(USD!B2047)</f>
        <v>13480</v>
      </c>
      <c r="C2047" s="1">
        <f>value(AUD!$B2047)</f>
        <v>9900.7758</v>
      </c>
      <c r="D2047" s="1">
        <f>value(EUR!$B2047)</f>
        <v>15252.79868</v>
      </c>
      <c r="E2047" s="1">
        <f>value(GBP!$B2047)</f>
        <v>19661.22507</v>
      </c>
      <c r="F2047" s="1">
        <f>value(CHF!$B2047)</f>
        <v>13332.202</v>
      </c>
      <c r="G2047" s="1">
        <f>value(SGD!$B2047)</f>
        <v>9530.81025</v>
      </c>
      <c r="H2047" s="1">
        <f>value(MYR!$B2047)</f>
        <v>3260.025776</v>
      </c>
      <c r="I2047" s="1">
        <f>value(THB!$B2047)</f>
        <v>373.0350789</v>
      </c>
      <c r="J2047" s="1">
        <f>value(VND!$B2047)</f>
        <v>0.6017996748</v>
      </c>
      <c r="K2047" s="1">
        <f>value(CNY!$B2047)</f>
        <v>2026.2216</v>
      </c>
      <c r="L2047" s="1">
        <f>value(HKD!$B2047)</f>
        <v>1726.04085</v>
      </c>
      <c r="M2047" s="1">
        <f>value(TWD!$B2047)</f>
        <v>410.8423</v>
      </c>
      <c r="N2047" s="1">
        <f>value(JPY!$B2047)</f>
        <v>119.6476479</v>
      </c>
      <c r="O2047" s="1">
        <f>value(SAR!$B2047)</f>
        <v>3498.491666</v>
      </c>
      <c r="P2047" s="1">
        <f>value(AED!$B2047)</f>
        <v>3543.0615</v>
      </c>
      <c r="Q2047" s="1">
        <f>value(KWD!$B2047)</f>
        <v>42965.53208</v>
      </c>
    </row>
    <row r="2048">
      <c r="A2048" s="4">
        <f>value(USD!A2048)</f>
        <v>42412.99861</v>
      </c>
      <c r="B2048" s="1">
        <f>value(USD!B2048)</f>
        <v>13465</v>
      </c>
      <c r="C2048" s="1">
        <f>value(AUD!$B2048)</f>
        <v>9927.7233</v>
      </c>
      <c r="D2048" s="1">
        <f>value(EUR!$B2048)</f>
        <v>15206.90439</v>
      </c>
      <c r="E2048" s="1">
        <f>value(GBP!$B2048)</f>
        <v>19665.30366</v>
      </c>
      <c r="F2048" s="1">
        <f>value(CHF!$B2048)</f>
        <v>13166.9139</v>
      </c>
      <c r="G2048" s="1">
        <f>value(SGD!$B2048)</f>
        <v>9537.23103</v>
      </c>
      <c r="H2048" s="1">
        <f>value(MYR!$B2048)</f>
        <v>3260.025776</v>
      </c>
      <c r="I2048" s="1">
        <f>value(THB!$B2048)</f>
        <v>371.9510685</v>
      </c>
      <c r="J2048" s="1">
        <f>value(VND!$B2048)</f>
        <v>0.6043891539</v>
      </c>
      <c r="K2048" s="1">
        <f>value(CNY!$B2048)</f>
        <v>2043.650295</v>
      </c>
      <c r="L2048" s="1">
        <f>value(HKD!$B2048)</f>
        <v>1740.458829</v>
      </c>
      <c r="M2048" s="1">
        <f>value(TWD!$B2048)</f>
        <v>414.3756</v>
      </c>
      <c r="N2048" s="1">
        <f>value(JPY!$B2048)</f>
        <v>119.1503581</v>
      </c>
      <c r="O2048" s="1">
        <f>value(SAR!$B2048)</f>
        <v>3500.186768</v>
      </c>
      <c r="P2048" s="1">
        <f>value(AED!$B2048)</f>
        <v>3539.7009</v>
      </c>
      <c r="Q2048" s="1">
        <f>value(KWD!$B2048)</f>
        <v>42872.29757</v>
      </c>
    </row>
    <row r="2049">
      <c r="A2049" s="4">
        <f>value(USD!A2049)</f>
        <v>42413.99861</v>
      </c>
      <c r="B2049" s="1">
        <f>value(USD!B2049)</f>
        <v>13550.13</v>
      </c>
      <c r="C2049" s="1">
        <f>value(AUD!$B2049)</f>
        <v>9938.89281</v>
      </c>
      <c r="D2049" s="1">
        <f>value(EUR!$B2049)</f>
        <v>14834.547</v>
      </c>
      <c r="E2049" s="1">
        <f>value(GBP!$B2049)</f>
        <v>19181.71125</v>
      </c>
      <c r="F2049" s="1">
        <f>value(CHF!$B2049)</f>
        <v>13264.65772</v>
      </c>
      <c r="G2049" s="1">
        <f>value(SGD!$B2049)</f>
        <v>9513.07335</v>
      </c>
      <c r="H2049" s="1">
        <f>value(MYR!$B2049)</f>
        <v>3194.89425</v>
      </c>
      <c r="I2049" s="1">
        <f>value(THB!$B2049)</f>
        <v>372.36375</v>
      </c>
      <c r="J2049" s="1">
        <f>value(VND!$B2049)</f>
        <v>0.6056725337</v>
      </c>
      <c r="K2049" s="1">
        <f>value(CNY!$B2049)</f>
        <v>2023.38864</v>
      </c>
      <c r="L2049" s="1">
        <f>value(HKD!$B2049)</f>
        <v>1740.458829</v>
      </c>
      <c r="M2049" s="1">
        <f>value(TWD!$B2049)</f>
        <v>415.36065</v>
      </c>
      <c r="N2049" s="1">
        <f>value(JPY!$B2049)</f>
        <v>116.0779275</v>
      </c>
      <c r="O2049" s="1">
        <f>value(SAR!$B2049)</f>
        <v>3497.172977</v>
      </c>
      <c r="P2049" s="1">
        <f>value(AED!$B2049)</f>
        <v>3530.44678</v>
      </c>
      <c r="Q2049" s="1">
        <f>value(KWD!$B2049)</f>
        <v>43300.19073</v>
      </c>
    </row>
    <row r="2050">
      <c r="A2050" s="4">
        <f>value(USD!A2050)</f>
        <v>42414.99861</v>
      </c>
      <c r="B2050" s="1">
        <f>value(USD!B2050)</f>
        <v>13550.13</v>
      </c>
      <c r="C2050" s="1">
        <f>value(AUD!$B2050)</f>
        <v>9942.64065</v>
      </c>
      <c r="D2050" s="1">
        <f>value(EUR!$B2050)</f>
        <v>14926.9374</v>
      </c>
      <c r="E2050" s="1">
        <f>value(GBP!$B2050)</f>
        <v>19159.0497</v>
      </c>
      <c r="F2050" s="1">
        <f>value(CHF!$B2050)</f>
        <v>13144.846</v>
      </c>
      <c r="G2050" s="1">
        <f>value(SGD!$B2050)</f>
        <v>9452.47806</v>
      </c>
      <c r="H2050" s="1">
        <f>value(MYR!$B2050)</f>
        <v>3173.61533</v>
      </c>
      <c r="I2050" s="1">
        <f>value(THB!$B2050)</f>
        <v>375.51791</v>
      </c>
      <c r="J2050" s="1">
        <f>value(VND!$B2050)</f>
        <v>0.607048846</v>
      </c>
      <c r="K2050" s="1">
        <f>value(CNY!$B2050)</f>
        <v>2026.62882</v>
      </c>
      <c r="L2050" s="1">
        <f>value(HKD!$B2050)</f>
        <v>1722.24795</v>
      </c>
      <c r="M2050" s="1">
        <f>value(TWD!$B2050)</f>
        <v>414.5948</v>
      </c>
      <c r="N2050" s="1">
        <f>value(JPY!$B2050)</f>
        <v>117.4086286</v>
      </c>
      <c r="O2050" s="1">
        <f>value(SAR!$B2050)</f>
        <v>3497.315827</v>
      </c>
      <c r="P2050" s="1">
        <f>value(AED!$B2050)</f>
        <v>3531.221806</v>
      </c>
      <c r="Q2050" s="1">
        <f>value(KWD!$B2050)</f>
        <v>43123.54974</v>
      </c>
    </row>
    <row r="2051">
      <c r="A2051" s="4">
        <f>value(USD!A2051)</f>
        <v>42415.99861</v>
      </c>
      <c r="B2051" s="1">
        <f>value(USD!B2051)</f>
        <v>13275</v>
      </c>
      <c r="C2051" s="1">
        <f>value(AUD!$B2051)</f>
        <v>10042.6786</v>
      </c>
      <c r="D2051" s="1">
        <f>value(EUR!$B2051)</f>
        <v>15012.135</v>
      </c>
      <c r="E2051" s="1">
        <f>value(GBP!$B2051)</f>
        <v>19275.3</v>
      </c>
      <c r="F2051" s="1">
        <f>value(CHF!$B2051)</f>
        <v>13290.9744</v>
      </c>
      <c r="G2051" s="1">
        <f>value(SGD!$B2051)</f>
        <v>9470.12022</v>
      </c>
      <c r="H2051" s="1">
        <f>value(MYR!$B2051)</f>
        <v>3239.73</v>
      </c>
      <c r="I2051" s="1">
        <f>value(THB!$B2051)</f>
        <v>378.675</v>
      </c>
      <c r="J2051" s="1">
        <f>value(VND!$B2051)</f>
        <v>0.6050787617</v>
      </c>
      <c r="K2051" s="1">
        <f>value(CNY!$B2051)</f>
        <v>2035.20028</v>
      </c>
      <c r="L2051" s="1">
        <f>value(HKD!$B2051)</f>
        <v>1725.867</v>
      </c>
      <c r="M2051" s="1">
        <f>value(TWD!$B2051)</f>
        <v>414.6992</v>
      </c>
      <c r="N2051" s="1">
        <f>value(JPY!$B2051)</f>
        <v>118.1034</v>
      </c>
      <c r="O2051" s="1">
        <f>value(SAR!$B2051)</f>
        <v>3514.83418</v>
      </c>
      <c r="P2051" s="1">
        <f>value(AED!$B2051)</f>
        <v>3518.19868</v>
      </c>
      <c r="Q2051" s="1">
        <f>value(KWD!$B2051)</f>
        <v>43156.32183</v>
      </c>
    </row>
    <row r="2052">
      <c r="A2052" s="4">
        <f>value(USD!A2052)</f>
        <v>42416.99861</v>
      </c>
      <c r="B2052" s="1">
        <f>value(USD!B2052)</f>
        <v>13397</v>
      </c>
      <c r="C2052" s="1">
        <f>value(AUD!$B2052)</f>
        <v>10066.441</v>
      </c>
      <c r="D2052" s="1">
        <f>value(EUR!$B2052)</f>
        <v>14902.1869</v>
      </c>
      <c r="E2052" s="1">
        <f>value(GBP!$B2052)</f>
        <v>19223.4267</v>
      </c>
      <c r="F2052" s="1">
        <f>value(CHF!$B2052)</f>
        <v>13052.217</v>
      </c>
      <c r="G2052" s="1">
        <f>value(SGD!$B2052)</f>
        <v>9456.201</v>
      </c>
      <c r="H2052" s="1">
        <f>value(MYR!$B2052)</f>
        <v>3195.58715</v>
      </c>
      <c r="I2052" s="1">
        <f>value(THB!$B2052)</f>
        <v>376.82735</v>
      </c>
      <c r="J2052" s="1">
        <f>value(VND!$B2052)</f>
        <v>0.6052784478</v>
      </c>
      <c r="K2052" s="1">
        <f>value(CNY!$B2052)</f>
        <v>2031.781</v>
      </c>
      <c r="L2052" s="1">
        <f>value(HKD!$B2052)</f>
        <v>1722.51565</v>
      </c>
      <c r="M2052" s="1">
        <f>value(TWD!$B2052)</f>
        <v>416.67696</v>
      </c>
      <c r="N2052" s="1">
        <f>value(JPY!$B2052)</f>
        <v>118.435669</v>
      </c>
      <c r="O2052" s="1">
        <f>value(SAR!$B2052)</f>
        <v>3497.276416</v>
      </c>
      <c r="P2052" s="1">
        <f>value(AED!$B2052)</f>
        <v>3556.84824</v>
      </c>
      <c r="Q2052" s="1">
        <f>value(KWD!$B2052)</f>
        <v>43254.76988</v>
      </c>
    </row>
    <row r="2053">
      <c r="A2053" s="4">
        <f>value(USD!A2053)</f>
        <v>42417.99861</v>
      </c>
      <c r="B2053" s="1">
        <f>value(USD!B2053)</f>
        <v>13500</v>
      </c>
      <c r="C2053" s="1">
        <f>value(AUD!$B2053)</f>
        <v>10133.08788</v>
      </c>
      <c r="D2053" s="1">
        <f>value(EUR!$B2053)</f>
        <v>14943.17684</v>
      </c>
      <c r="E2053" s="1">
        <f>value(GBP!$B2053)</f>
        <v>19339.84799</v>
      </c>
      <c r="F2053" s="1">
        <f>value(CHF!$B2053)</f>
        <v>13372.203</v>
      </c>
      <c r="G2053" s="1">
        <f>value(SGD!$B2053)</f>
        <v>9475.00384</v>
      </c>
      <c r="H2053" s="1">
        <f>value(MYR!$B2053)</f>
        <v>3184.8844</v>
      </c>
      <c r="I2053" s="1">
        <f>value(THB!$B2053)</f>
        <v>369.10823</v>
      </c>
      <c r="J2053" s="1">
        <f>value(VND!$B2053)</f>
        <v>0.6053137867</v>
      </c>
      <c r="K2053" s="1">
        <f>value(CNY!$B2053)</f>
        <v>2030.05075</v>
      </c>
      <c r="L2053" s="1">
        <f>value(HKD!$B2053)</f>
        <v>1728.0381</v>
      </c>
      <c r="M2053" s="1">
        <f>value(TWD!$B2053)</f>
        <v>415.9543</v>
      </c>
      <c r="N2053" s="1">
        <f>value(JPY!$B2053)</f>
        <v>119.23176</v>
      </c>
      <c r="O2053" s="1">
        <f>value(SAR!$B2053)</f>
        <v>3485.851511</v>
      </c>
      <c r="P2053" s="1">
        <f>value(AED!$B2053)</f>
        <v>3543.51142</v>
      </c>
      <c r="Q2053" s="1">
        <f>value(KWD!$B2053)</f>
        <v>43284.55739</v>
      </c>
    </row>
    <row r="2054">
      <c r="A2054" s="4">
        <f>value(USD!A2054)</f>
        <v>42418.99861</v>
      </c>
      <c r="B2054" s="1">
        <f>value(USD!B2054)</f>
        <v>13415</v>
      </c>
      <c r="C2054" s="1">
        <f>value(AUD!$B2054)</f>
        <v>10133.734</v>
      </c>
      <c r="D2054" s="1">
        <f>value(EUR!$B2054)</f>
        <v>15064.9418</v>
      </c>
      <c r="E2054" s="1">
        <f>value(GBP!$B2054)</f>
        <v>19492.54349</v>
      </c>
      <c r="F2054" s="1">
        <f>value(CHF!$B2054)</f>
        <v>13442.178</v>
      </c>
      <c r="G2054" s="1">
        <f>value(SGD!$B2054)</f>
        <v>9681.864246</v>
      </c>
      <c r="H2054" s="1">
        <f>value(MYR!$B2054)</f>
        <v>3209.740588</v>
      </c>
      <c r="I2054" s="1">
        <f>value(THB!$B2054)</f>
        <v>371.9889071</v>
      </c>
      <c r="J2054" s="1">
        <f>value(VND!$B2054)</f>
        <v>0.6041414502</v>
      </c>
      <c r="K2054" s="1">
        <f>value(CNY!$B2054)</f>
        <v>2032.627316</v>
      </c>
      <c r="L2054" s="1">
        <f>value(HKD!$B2054)</f>
        <v>1725.78375</v>
      </c>
      <c r="M2054" s="1">
        <f>value(TWD!$B2054)</f>
        <v>416.8344</v>
      </c>
      <c r="N2054" s="1">
        <f>value(JPY!$B2054)</f>
        <v>120.1622952</v>
      </c>
      <c r="O2054" s="1">
        <f>value(SAR!$B2054)</f>
        <v>3472.092485</v>
      </c>
      <c r="P2054" s="1">
        <f>value(AED!$B2054)</f>
        <v>3550.31592</v>
      </c>
      <c r="Q2054" s="1">
        <f>value(KWD!$B2054)</f>
        <v>43330.89351</v>
      </c>
    </row>
    <row r="2055">
      <c r="A2055" s="4">
        <f>value(USD!A2055)</f>
        <v>42419.99861</v>
      </c>
      <c r="B2055" s="1">
        <f>value(USD!B2055)</f>
        <v>13427</v>
      </c>
      <c r="C2055" s="1">
        <f>value(AUD!$B2055)</f>
        <v>10099.20388</v>
      </c>
      <c r="D2055" s="1">
        <f>value(EUR!$B2055)</f>
        <v>15048.43302</v>
      </c>
      <c r="E2055" s="1">
        <f>value(GBP!$B2055)</f>
        <v>19296.33254</v>
      </c>
      <c r="F2055" s="1">
        <f>value(CHF!$B2055)</f>
        <v>13547.9586</v>
      </c>
      <c r="G2055" s="1">
        <f>value(SGD!$B2055)</f>
        <v>9422.4</v>
      </c>
      <c r="H2055" s="1">
        <f>value(MYR!$B2055)</f>
        <v>3209.740588</v>
      </c>
      <c r="I2055" s="1">
        <f>value(THB!$B2055)</f>
        <v>371.7182713</v>
      </c>
      <c r="J2055" s="1">
        <f>value(VND!$B2055)</f>
        <v>0.6085271198</v>
      </c>
      <c r="K2055" s="1">
        <f>value(CNY!$B2055)</f>
        <v>2030.8643</v>
      </c>
      <c r="L2055" s="1">
        <f>value(HKD!$B2055)</f>
        <v>1728.225778</v>
      </c>
      <c r="M2055" s="1">
        <f>value(TWD!$B2055)</f>
        <v>417.1086</v>
      </c>
      <c r="N2055" s="1">
        <f>value(JPY!$B2055)</f>
        <v>120.2976131</v>
      </c>
      <c r="O2055" s="1">
        <f>value(SAR!$B2055)</f>
        <v>3499.653219</v>
      </c>
      <c r="P2055" s="1">
        <f>value(AED!$B2055)</f>
        <v>3557.12042</v>
      </c>
      <c r="Q2055" s="1">
        <f>value(KWD!$B2055)</f>
        <v>43179.48146</v>
      </c>
    </row>
    <row r="2056">
      <c r="A2056" s="4">
        <f>value(USD!A2056)</f>
        <v>42420.99861</v>
      </c>
      <c r="B2056" s="1">
        <f>value(USD!B2056)</f>
        <v>13531.79</v>
      </c>
      <c r="C2056" s="1">
        <f>value(AUD!$B2056)</f>
        <v>10181.02176</v>
      </c>
      <c r="D2056" s="1">
        <f>value(EUR!$B2056)</f>
        <v>14758.43485</v>
      </c>
      <c r="E2056" s="1">
        <f>value(GBP!$B2056)</f>
        <v>18935.7595</v>
      </c>
      <c r="F2056" s="1">
        <f>value(CHF!$B2056)</f>
        <v>13553.21484</v>
      </c>
      <c r="G2056" s="1">
        <f>value(SGD!$B2056)</f>
        <v>9507.98254</v>
      </c>
      <c r="H2056" s="1">
        <f>value(MYR!$B2056)</f>
        <v>3191.7871</v>
      </c>
      <c r="I2056" s="1">
        <f>value(THB!$B2056)</f>
        <v>374.11075</v>
      </c>
      <c r="J2056" s="1">
        <f>value(VND!$B2056)</f>
        <v>0.608855582</v>
      </c>
      <c r="K2056" s="1">
        <f>value(CNY!$B2056)</f>
        <v>2025.7188</v>
      </c>
      <c r="L2056" s="1">
        <f>value(HKD!$B2056)</f>
        <v>1718.87265</v>
      </c>
      <c r="M2056" s="1">
        <f>value(TWD!$B2056)</f>
        <v>418.15795</v>
      </c>
      <c r="N2056" s="1">
        <f>value(JPY!$B2056)</f>
        <v>118.45725</v>
      </c>
      <c r="O2056" s="1">
        <f>value(SAR!$B2056)</f>
        <v>3473.223236</v>
      </c>
      <c r="P2056" s="1">
        <f>value(AED!$B2056)</f>
        <v>3559.57004</v>
      </c>
      <c r="Q2056" s="1">
        <f>value(KWD!$B2056)</f>
        <v>43076.91738</v>
      </c>
    </row>
    <row r="2057">
      <c r="A2057" s="4">
        <f>value(USD!A2057)</f>
        <v>42421.99861</v>
      </c>
      <c r="B2057" s="1">
        <f>value(USD!B2057)</f>
        <v>13531.79</v>
      </c>
      <c r="C2057" s="1">
        <f>value(AUD!$B2057)</f>
        <v>10201.58388</v>
      </c>
      <c r="D2057" s="1">
        <f>value(EUR!$B2057)</f>
        <v>14781.843</v>
      </c>
      <c r="E2057" s="1">
        <f>value(GBP!$B2057)</f>
        <v>18787.41</v>
      </c>
      <c r="F2057" s="1">
        <f>value(CHF!$B2057)</f>
        <v>13574.5351</v>
      </c>
      <c r="G2057" s="1">
        <f>value(SGD!$B2057)</f>
        <v>9476.278</v>
      </c>
      <c r="H2057" s="1">
        <f>value(MYR!$B2057)</f>
        <v>3167.5761</v>
      </c>
      <c r="I2057" s="1">
        <f>value(THB!$B2057)</f>
        <v>374.9436</v>
      </c>
      <c r="J2057" s="1">
        <f>value(VND!$B2057)</f>
        <v>0.6082887091</v>
      </c>
      <c r="K2057" s="1">
        <f>value(CNY!$B2057)</f>
        <v>2025.87</v>
      </c>
      <c r="L2057" s="1">
        <f>value(HKD!$B2057)</f>
        <v>1703.96544</v>
      </c>
      <c r="M2057" s="1">
        <f>value(TWD!$B2057)</f>
        <v>417.1465</v>
      </c>
      <c r="N2057" s="1">
        <f>value(JPY!$B2057)</f>
        <v>119.827737</v>
      </c>
      <c r="O2057" s="1">
        <f>value(SAR!$B2057)</f>
        <v>3495.021205</v>
      </c>
      <c r="P2057" s="1">
        <f>value(AED!$B2057)</f>
        <v>3565.359415</v>
      </c>
      <c r="Q2057" s="1">
        <f>value(KWD!$B2057)</f>
        <v>42918.10846</v>
      </c>
    </row>
    <row r="2058">
      <c r="A2058" s="4">
        <f>value(USD!A2058)</f>
        <v>42422.99861</v>
      </c>
      <c r="B2058" s="1">
        <f>value(USD!B2058)</f>
        <v>13385</v>
      </c>
      <c r="C2058" s="1">
        <f>value(AUD!$B2058)</f>
        <v>10270.7966</v>
      </c>
      <c r="D2058" s="1">
        <f>value(EUR!$B2058)</f>
        <v>14741.30205</v>
      </c>
      <c r="E2058" s="1">
        <f>value(GBP!$B2058)</f>
        <v>18641.2895</v>
      </c>
      <c r="F2058" s="1">
        <f>value(CHF!$B2058)</f>
        <v>13461.2775</v>
      </c>
      <c r="G2058" s="1">
        <f>value(SGD!$B2058)</f>
        <v>9504.807</v>
      </c>
      <c r="H2058" s="1">
        <f>value(MYR!$B2058)</f>
        <v>3171.4419</v>
      </c>
      <c r="I2058" s="1">
        <f>value(THB!$B2058)</f>
        <v>374.78</v>
      </c>
      <c r="J2058" s="1">
        <f>value(VND!$B2058)</f>
        <v>0.6040479196</v>
      </c>
      <c r="K2058" s="1">
        <f>value(CNY!$B2058)</f>
        <v>2033.5797</v>
      </c>
      <c r="L2058" s="1">
        <f>value(HKD!$B2058)</f>
        <v>1704.21887</v>
      </c>
      <c r="M2058" s="1">
        <f>value(TWD!$B2058)</f>
        <v>417.2826</v>
      </c>
      <c r="N2058" s="1">
        <f>value(JPY!$B2058)</f>
        <v>119.3942</v>
      </c>
      <c r="O2058" s="1">
        <f>value(SAR!$B2058)</f>
        <v>3508.397082</v>
      </c>
      <c r="P2058" s="1">
        <f>value(AED!$B2058)</f>
        <v>3552.35169</v>
      </c>
      <c r="Q2058" s="1">
        <f>value(KWD!$B2058)</f>
        <v>43027.28959</v>
      </c>
    </row>
    <row r="2059">
      <c r="A2059" s="4">
        <f>value(USD!A2059)</f>
        <v>42423.99861</v>
      </c>
      <c r="B2059" s="1">
        <f>value(USD!B2059)</f>
        <v>13410</v>
      </c>
      <c r="C2059" s="1">
        <f>value(AUD!$B2059)</f>
        <v>10197.63068</v>
      </c>
      <c r="D2059" s="1">
        <f>value(EUR!$B2059)</f>
        <v>14803.6204</v>
      </c>
      <c r="E2059" s="1">
        <f>value(GBP!$B2059)</f>
        <v>18752.309</v>
      </c>
      <c r="F2059" s="1">
        <f>value(CHF!$B2059)</f>
        <v>13544.0535</v>
      </c>
      <c r="G2059" s="1">
        <f>value(SGD!$B2059)</f>
        <v>9419.9154</v>
      </c>
      <c r="H2059" s="1">
        <f>value(MYR!$B2059)</f>
        <v>3192.0424</v>
      </c>
      <c r="I2059" s="1">
        <f>value(THB!$B2059)</f>
        <v>376.1743</v>
      </c>
      <c r="J2059" s="1">
        <f>value(VND!$B2059)</f>
        <v>0.6050889432</v>
      </c>
      <c r="K2059" s="1">
        <f>value(CNY!$B2059)</f>
        <v>2034.747</v>
      </c>
      <c r="L2059" s="1">
        <f>value(HKD!$B2059)</f>
        <v>1690.9866</v>
      </c>
      <c r="M2059" s="1">
        <f>value(TWD!$B2059)</f>
        <v>415.82382</v>
      </c>
      <c r="N2059" s="1">
        <f>value(JPY!$B2059)</f>
        <v>118.7212</v>
      </c>
      <c r="O2059" s="1">
        <f>value(SAR!$B2059)</f>
        <v>3498.424609</v>
      </c>
      <c r="P2059" s="1">
        <f>value(AED!$B2059)</f>
        <v>3543.7836</v>
      </c>
      <c r="Q2059" s="1">
        <f>value(KWD!$B2059)</f>
        <v>43068.32423</v>
      </c>
    </row>
    <row r="2060">
      <c r="A2060" s="4">
        <f>value(USD!A2060)</f>
        <v>42424.99861</v>
      </c>
      <c r="B2060" s="1">
        <f>value(USD!B2060)</f>
        <v>13385</v>
      </c>
      <c r="C2060" s="1">
        <f>value(AUD!$B2060)</f>
        <v>10173.345</v>
      </c>
      <c r="D2060" s="1">
        <f>value(EUR!$B2060)</f>
        <v>14672.451</v>
      </c>
      <c r="E2060" s="1">
        <f>value(GBP!$B2060)</f>
        <v>18619.1325</v>
      </c>
      <c r="F2060" s="1">
        <f>value(CHF!$B2060)</f>
        <v>13550.592</v>
      </c>
      <c r="G2060" s="1">
        <f>value(SGD!$B2060)</f>
        <v>9487.998194</v>
      </c>
      <c r="H2060" s="1">
        <f>value(MYR!$B2060)</f>
        <v>3171.11925</v>
      </c>
      <c r="I2060" s="1">
        <f>value(THB!$B2060)</f>
        <v>366.09975</v>
      </c>
      <c r="J2060" s="1">
        <f>value(VND!$B2060)</f>
        <v>0.5938630478</v>
      </c>
      <c r="K2060" s="1">
        <f>value(CNY!$B2060)</f>
        <v>2040.289133</v>
      </c>
      <c r="L2060" s="1">
        <f>value(HKD!$B2060)</f>
        <v>1678.0064</v>
      </c>
      <c r="M2060" s="1">
        <f>value(TWD!$B2060)</f>
        <v>411.88842</v>
      </c>
      <c r="N2060" s="1">
        <f>value(JPY!$B2060)</f>
        <v>117.73725</v>
      </c>
      <c r="O2060" s="1">
        <f>value(SAR!$B2060)</f>
        <v>3499.386507</v>
      </c>
      <c r="P2060" s="1">
        <f>value(AED!$B2060)</f>
        <v>3530.71896</v>
      </c>
      <c r="Q2060" s="1">
        <f>value(KWD!$B2060)</f>
        <v>43144.38746</v>
      </c>
    </row>
    <row r="2061">
      <c r="A2061" s="4">
        <f>value(USD!A2061)</f>
        <v>42425.99861</v>
      </c>
      <c r="B2061" s="1">
        <f>value(USD!B2061)</f>
        <v>13430</v>
      </c>
      <c r="C2061" s="1">
        <f>value(AUD!$B2061)</f>
        <v>10182.55532</v>
      </c>
      <c r="D2061" s="1">
        <f>value(EUR!$B2061)</f>
        <v>14692.5132</v>
      </c>
      <c r="E2061" s="1">
        <f>value(GBP!$B2061)</f>
        <v>18649.20669</v>
      </c>
      <c r="F2061" s="1">
        <f>value(CHF!$B2061)</f>
        <v>13459.74</v>
      </c>
      <c r="G2061" s="1">
        <f>value(SGD!$B2061)</f>
        <v>9428.2826</v>
      </c>
      <c r="H2061" s="1">
        <f>value(MYR!$B2061)</f>
        <v>3174.86554</v>
      </c>
      <c r="I2061" s="1">
        <f>value(THB!$B2061)</f>
        <v>366.5322522</v>
      </c>
      <c r="J2061" s="1">
        <f>value(VND!$B2061)</f>
        <v>0.5964242292</v>
      </c>
      <c r="K2061" s="1">
        <f>value(CNY!$B2061)</f>
        <v>2041.478036</v>
      </c>
      <c r="L2061" s="1">
        <f>value(HKD!$B2061)</f>
        <v>1717.332904</v>
      </c>
      <c r="M2061" s="1">
        <f>value(TWD!$B2061)</f>
        <v>408.97884</v>
      </c>
      <c r="N2061" s="1">
        <f>value(JPY!$B2061)</f>
        <v>117.8763422</v>
      </c>
      <c r="O2061" s="1">
        <f>value(SAR!$B2061)</f>
        <v>3498.678412</v>
      </c>
      <c r="P2061" s="1">
        <f>value(AED!$B2061)</f>
        <v>3539.7009</v>
      </c>
      <c r="Q2061" s="1">
        <f>value(KWD!$B2061)</f>
        <v>43157.61585</v>
      </c>
    </row>
    <row r="2062">
      <c r="A2062" s="4">
        <f>value(USD!A2062)</f>
        <v>42426.99861</v>
      </c>
      <c r="B2062" s="1">
        <f>value(USD!B2062)</f>
        <v>13425</v>
      </c>
      <c r="C2062" s="1">
        <f>value(AUD!$B2062)</f>
        <v>10174.766</v>
      </c>
      <c r="D2062" s="1">
        <f>value(EUR!$B2062)</f>
        <v>14680.51051</v>
      </c>
      <c r="E2062" s="1">
        <f>value(GBP!$B2062)</f>
        <v>18630.37604</v>
      </c>
      <c r="F2062" s="1">
        <f>value(CHF!$B2062)</f>
        <v>13564.40649</v>
      </c>
      <c r="G2062" s="1">
        <f>value(SGD!$B2062)</f>
        <v>9496.98387</v>
      </c>
      <c r="H2062" s="1">
        <f>value(MYR!$B2062)</f>
        <v>3174.86554</v>
      </c>
      <c r="I2062" s="1">
        <f>value(THB!$B2062)</f>
        <v>366.3978436</v>
      </c>
      <c r="J2062" s="1">
        <f>value(VND!$B2062)</f>
        <v>0.5880585103</v>
      </c>
      <c r="K2062" s="1">
        <f>value(CNY!$B2062)</f>
        <v>2022.52275</v>
      </c>
      <c r="L2062" s="1">
        <f>value(HKD!$B2062)</f>
        <v>1673.75</v>
      </c>
      <c r="M2062" s="1">
        <f>value(TWD!$B2062)</f>
        <v>409.75115</v>
      </c>
      <c r="N2062" s="1">
        <f>value(JPY!$B2062)</f>
        <v>118.1451594</v>
      </c>
      <c r="O2062" s="1">
        <f>value(SAR!$B2062)</f>
        <v>3497.423832</v>
      </c>
      <c r="P2062" s="1">
        <f>value(AED!$B2062)</f>
        <v>3544.60014</v>
      </c>
      <c r="Q2062" s="1">
        <f>value(KWD!$B2062)</f>
        <v>43050.44922</v>
      </c>
    </row>
    <row r="2063">
      <c r="A2063" s="4">
        <f>value(USD!A2063)</f>
        <v>42427.99861</v>
      </c>
      <c r="B2063" s="1">
        <f>value(USD!B2063)</f>
        <v>13440.86</v>
      </c>
      <c r="C2063" s="1">
        <f>value(AUD!$B2063)</f>
        <v>10192.42</v>
      </c>
      <c r="D2063" s="1">
        <f>value(EUR!$B2063)</f>
        <v>14547.8025</v>
      </c>
      <c r="E2063" s="1">
        <f>value(GBP!$B2063)</f>
        <v>18612.49995</v>
      </c>
      <c r="F2063" s="1">
        <f>value(CHF!$B2063)</f>
        <v>13635.1782</v>
      </c>
      <c r="G2063" s="1">
        <f>value(SGD!$B2063)</f>
        <v>9342.6597</v>
      </c>
      <c r="H2063" s="1">
        <f>value(MYR!$B2063)</f>
        <v>3185.01315</v>
      </c>
      <c r="I2063" s="1">
        <f>value(THB!$B2063)</f>
        <v>374.62095</v>
      </c>
      <c r="J2063" s="1">
        <f>value(VND!$B2063)</f>
        <v>0.5997752779</v>
      </c>
      <c r="K2063" s="1">
        <f>value(CNY!$B2063)</f>
        <v>2027.72115</v>
      </c>
      <c r="L2063" s="1">
        <f>value(HKD!$B2063)</f>
        <v>1696.92194</v>
      </c>
      <c r="M2063" s="1">
        <f>value(TWD!$B2063)</f>
        <v>411.1475</v>
      </c>
      <c r="N2063" s="1">
        <f>value(JPY!$B2063)</f>
        <v>118.81485</v>
      </c>
      <c r="O2063" s="1">
        <f>value(SAR!$B2063)</f>
        <v>3493.551135</v>
      </c>
      <c r="P2063" s="1">
        <f>value(AED!$B2063)</f>
        <v>3550.86028</v>
      </c>
      <c r="Q2063" s="1">
        <f>value(KWD!$B2063)</f>
        <v>42860.44168</v>
      </c>
    </row>
    <row r="2064">
      <c r="A2064" s="4">
        <f>value(USD!A2064)</f>
        <v>42428.99861</v>
      </c>
      <c r="B2064" s="1">
        <f>value(USD!B2064)</f>
        <v>13440.86</v>
      </c>
      <c r="C2064" s="1">
        <f>value(AUD!$B2064)</f>
        <v>9999.1155</v>
      </c>
      <c r="D2064" s="1">
        <f>value(EUR!$B2064)</f>
        <v>14401.0512</v>
      </c>
      <c r="E2064" s="1">
        <f>value(GBP!$B2064)</f>
        <v>18490.0914</v>
      </c>
      <c r="F2064" s="1">
        <f>value(CHF!$B2064)</f>
        <v>13633.392</v>
      </c>
      <c r="G2064" s="1">
        <f>value(SGD!$B2064)</f>
        <v>9571.51195</v>
      </c>
      <c r="H2064" s="1">
        <f>value(MYR!$B2064)</f>
        <v>3188.44466</v>
      </c>
      <c r="I2064" s="1">
        <f>value(THB!$B2064)</f>
        <v>371.94768</v>
      </c>
      <c r="J2064" s="1">
        <f>value(VND!$B2064)</f>
        <v>0.6000507835</v>
      </c>
      <c r="K2064" s="1">
        <f>value(CNY!$B2064)</f>
        <v>2054.832</v>
      </c>
      <c r="L2064" s="1">
        <f>value(HKD!$B2064)</f>
        <v>1686.494</v>
      </c>
      <c r="M2064" s="1">
        <f>value(TWD!$B2064)</f>
        <v>413.50578</v>
      </c>
      <c r="N2064" s="1">
        <f>value(JPY!$B2064)</f>
        <v>116.2389484</v>
      </c>
      <c r="O2064" s="1">
        <f>value(SAR!$B2064)</f>
        <v>3497.369804</v>
      </c>
      <c r="P2064" s="1">
        <f>value(AED!$B2064)</f>
        <v>3553.824676</v>
      </c>
      <c r="Q2064" s="1">
        <f>value(KWD!$B2064)</f>
        <v>43018.98832</v>
      </c>
    </row>
    <row r="2065">
      <c r="A2065" s="4">
        <f>value(USD!A2065)</f>
        <v>42429.99861</v>
      </c>
      <c r="B2065" s="1">
        <f>value(USD!B2065)</f>
        <v>13365</v>
      </c>
      <c r="C2065" s="1">
        <f>value(AUD!$B2065)</f>
        <v>10050.027</v>
      </c>
      <c r="D2065" s="1">
        <f>value(EUR!$B2065)</f>
        <v>14397.6883</v>
      </c>
      <c r="E2065" s="1">
        <f>value(GBP!$B2065)</f>
        <v>18650.6173</v>
      </c>
      <c r="F2065" s="1">
        <f>value(CHF!$B2065)</f>
        <v>13719.288</v>
      </c>
      <c r="G2065" s="1">
        <f>value(SGD!$B2065)</f>
        <v>9593.88192</v>
      </c>
      <c r="H2065" s="1">
        <f>value(MYR!$B2065)</f>
        <v>3176.44775</v>
      </c>
      <c r="I2065" s="1">
        <f>value(THB!$B2065)</f>
        <v>372.42939</v>
      </c>
      <c r="J2065" s="1">
        <f>value(VND!$B2065)</f>
        <v>0.6004765306</v>
      </c>
      <c r="K2065" s="1">
        <f>value(CNY!$B2065)</f>
        <v>2051.6603</v>
      </c>
      <c r="L2065" s="1">
        <f>value(HKD!$B2065)</f>
        <v>1691.0127</v>
      </c>
      <c r="M2065" s="1">
        <f>value(TWD!$B2065)</f>
        <v>410.68643</v>
      </c>
      <c r="N2065" s="1">
        <f>value(JPY!$B2065)</f>
        <v>116.7435635</v>
      </c>
      <c r="O2065" s="1">
        <f>value(SAR!$B2065)</f>
        <v>3496.359798</v>
      </c>
      <c r="P2065" s="1">
        <f>value(AED!$B2065)</f>
        <v>3541.60616</v>
      </c>
      <c r="Q2065" s="1">
        <f>value(KWD!$B2065)</f>
        <v>43114.77691</v>
      </c>
    </row>
    <row r="2066">
      <c r="A2066" s="4">
        <f>value(USD!A2066)</f>
        <v>42430.99861</v>
      </c>
      <c r="B2066" s="1">
        <f>value(USD!B2066)</f>
        <v>13246</v>
      </c>
      <c r="C2066" s="1">
        <f>value(AUD!$B2066)</f>
        <v>10021.432</v>
      </c>
      <c r="D2066" s="1">
        <f>value(EUR!$B2066)</f>
        <v>14383.044</v>
      </c>
      <c r="E2066" s="1">
        <f>value(GBP!$B2066)</f>
        <v>18619.38</v>
      </c>
      <c r="F2066" s="1">
        <f>value(CHF!$B2066)</f>
        <v>13685.6358</v>
      </c>
      <c r="G2066" s="1">
        <f>value(SGD!$B2066)</f>
        <v>9669.379104</v>
      </c>
      <c r="H2066" s="1">
        <f>value(MYR!$B2066)</f>
        <v>3173.1786</v>
      </c>
      <c r="I2066" s="1">
        <f>value(THB!$B2066)</f>
        <v>370.548</v>
      </c>
      <c r="J2066" s="1">
        <f>value(VND!$B2066)</f>
        <v>0.5984585537</v>
      </c>
      <c r="K2066" s="1">
        <f>value(CNY!$B2066)</f>
        <v>2047.8766</v>
      </c>
      <c r="L2066" s="1">
        <f>value(HKD!$B2066)</f>
        <v>1667.44669</v>
      </c>
      <c r="M2066" s="1">
        <f>value(TWD!$B2066)</f>
        <v>411.714</v>
      </c>
      <c r="N2066" s="1">
        <f>value(JPY!$B2066)</f>
        <v>115.570242</v>
      </c>
      <c r="O2066" s="1">
        <f>value(SAR!$B2066)</f>
        <v>3487.57098</v>
      </c>
      <c r="P2066" s="1">
        <f>value(AED!$B2066)</f>
        <v>3531.80768</v>
      </c>
      <c r="Q2066" s="1">
        <f>value(KWD!$B2066)</f>
        <v>43116.46932</v>
      </c>
    </row>
    <row r="2067">
      <c r="A2067" s="4">
        <f>value(USD!A2067)</f>
        <v>42431.99861</v>
      </c>
      <c r="B2067" s="1">
        <f>value(USD!B2067)</f>
        <v>13249</v>
      </c>
      <c r="C2067" s="1">
        <f>value(AUD!$B2067)</f>
        <v>10043.5858</v>
      </c>
      <c r="D2067" s="1">
        <f>value(EUR!$B2067)</f>
        <v>14338.09568</v>
      </c>
      <c r="E2067" s="1">
        <f>value(GBP!$B2067)</f>
        <v>18534.9356</v>
      </c>
      <c r="F2067" s="1">
        <f>value(CHF!$B2067)</f>
        <v>13695.3991</v>
      </c>
      <c r="G2067" s="1">
        <f>value(SGD!$B2067)</f>
        <v>9675.817998</v>
      </c>
      <c r="H2067" s="1">
        <f>value(MYR!$B2067)</f>
        <v>3201.37044</v>
      </c>
      <c r="I2067" s="1">
        <f>value(THB!$B2067)</f>
        <v>361.39672</v>
      </c>
      <c r="J2067" s="1">
        <f>value(VND!$B2067)</f>
        <v>0.597149144</v>
      </c>
      <c r="K2067" s="1">
        <f>value(CNY!$B2067)</f>
        <v>2058.846303</v>
      </c>
      <c r="L2067" s="1">
        <f>value(HKD!$B2067)</f>
        <v>1679.659774</v>
      </c>
      <c r="M2067" s="1">
        <f>value(TWD!$B2067)</f>
        <v>410.5224</v>
      </c>
      <c r="N2067" s="1">
        <f>value(JPY!$B2067)</f>
        <v>114.51612</v>
      </c>
      <c r="O2067" s="1">
        <f>value(SAR!$B2067)</f>
        <v>3499.719623</v>
      </c>
      <c r="P2067" s="1">
        <f>value(AED!$B2067)</f>
        <v>3544.87232</v>
      </c>
      <c r="Q2067" s="1">
        <f>value(KWD!$B2067)</f>
        <v>43116.46932</v>
      </c>
    </row>
    <row r="2068">
      <c r="A2068" s="4">
        <f>value(USD!A2068)</f>
        <v>42432.99861</v>
      </c>
      <c r="B2068" s="1">
        <f>value(USD!B2068)</f>
        <v>13140</v>
      </c>
      <c r="C2068" s="1">
        <f>value(AUD!$B2068)</f>
        <v>10058.90944</v>
      </c>
      <c r="D2068" s="1">
        <f>value(EUR!$B2068)</f>
        <v>14658.09902</v>
      </c>
      <c r="E2068" s="1">
        <f>value(GBP!$B2068)</f>
        <v>18957.24385</v>
      </c>
      <c r="F2068" s="1">
        <f>value(CHF!$B2068)</f>
        <v>13713.53016</v>
      </c>
      <c r="G2068" s="1">
        <f>value(SGD!$B2068)</f>
        <v>9684.75912</v>
      </c>
      <c r="H2068" s="1">
        <f>value(MYR!$B2068)</f>
        <v>3272.035016</v>
      </c>
      <c r="I2068" s="1">
        <f>value(THB!$B2068)</f>
        <v>369.3739118</v>
      </c>
      <c r="J2068" s="1">
        <f>value(VND!$B2068)</f>
        <v>0.5940585221</v>
      </c>
      <c r="K2068" s="1">
        <f>value(CNY!$B2068)</f>
        <v>2052.43311</v>
      </c>
      <c r="L2068" s="1">
        <f>value(HKD!$B2068)</f>
        <v>1672.7326</v>
      </c>
      <c r="M2068" s="1">
        <f>value(TWD!$B2068)</f>
        <v>413.22582</v>
      </c>
      <c r="N2068" s="1">
        <f>value(JPY!$B2068)</f>
        <v>117.0438603</v>
      </c>
      <c r="O2068" s="1">
        <f>value(SAR!$B2068)</f>
        <v>3501.44165</v>
      </c>
      <c r="P2068" s="1">
        <f>value(AED!$B2068)</f>
        <v>3552.89607</v>
      </c>
      <c r="Q2068" s="1">
        <f>value(KWD!$B2068)</f>
        <v>43116.46932</v>
      </c>
    </row>
    <row r="2069">
      <c r="A2069" s="4">
        <f>value(USD!A2069)</f>
        <v>42433.99861</v>
      </c>
      <c r="B2069" s="1">
        <f>value(USD!B2069)</f>
        <v>13028</v>
      </c>
      <c r="C2069" s="1">
        <f>value(AUD!$B2069)</f>
        <v>10033.6509</v>
      </c>
      <c r="D2069" s="1">
        <f>value(EUR!$B2069)</f>
        <v>14658.12966</v>
      </c>
      <c r="E2069" s="1">
        <f>value(GBP!$B2069)</f>
        <v>18949.99526</v>
      </c>
      <c r="F2069" s="1">
        <f>value(CHF!$B2069)</f>
        <v>13704.33174</v>
      </c>
      <c r="G2069" s="1">
        <f>value(SGD!$B2069)</f>
        <v>9627.79389</v>
      </c>
      <c r="H2069" s="1">
        <f>value(MYR!$B2069)</f>
        <v>3276.39918</v>
      </c>
      <c r="I2069" s="1">
        <f>value(THB!$B2069)</f>
        <v>369.333241</v>
      </c>
      <c r="J2069" s="1">
        <f>value(VND!$B2069)</f>
        <v>0.5999373701</v>
      </c>
      <c r="K2069" s="1">
        <f>value(CNY!$B2069)</f>
        <v>2040.04618</v>
      </c>
      <c r="L2069" s="1">
        <f>value(HKD!$B2069)</f>
        <v>1690.76732</v>
      </c>
      <c r="M2069" s="1">
        <f>value(TWD!$B2069)</f>
        <v>411.69216</v>
      </c>
      <c r="N2069" s="1">
        <f>value(JPY!$B2069)</f>
        <v>117.0666374</v>
      </c>
      <c r="O2069" s="1">
        <f>value(SAR!$B2069)</f>
        <v>3500.86791</v>
      </c>
      <c r="P2069" s="1">
        <f>value(AED!$B2069)</f>
        <v>3555.61797</v>
      </c>
      <c r="Q2069" s="1">
        <f>value(KWD!$B2069)</f>
        <v>42982.65471</v>
      </c>
    </row>
    <row r="2070">
      <c r="A2070" s="4">
        <f>value(USD!A2070)</f>
        <v>42434.99861</v>
      </c>
      <c r="B2070" s="1">
        <f>value(USD!B2070)</f>
        <v>13315.57</v>
      </c>
      <c r="C2070" s="1">
        <f>value(AUD!$B2070)</f>
        <v>9885.0582</v>
      </c>
      <c r="D2070" s="1">
        <f>value(EUR!$B2070)</f>
        <v>14317.03</v>
      </c>
      <c r="E2070" s="1">
        <f>value(GBP!$B2070)</f>
        <v>18532.8</v>
      </c>
      <c r="F2070" s="1">
        <f>value(CHF!$B2070)</f>
        <v>13695.822</v>
      </c>
      <c r="G2070" s="1">
        <f>value(SGD!$B2070)</f>
        <v>9662.808</v>
      </c>
      <c r="H2070" s="1">
        <f>value(MYR!$B2070)</f>
        <v>3168.75</v>
      </c>
      <c r="I2070" s="1">
        <f>value(THB!$B2070)</f>
        <v>366.73</v>
      </c>
      <c r="J2070" s="1">
        <f>value(VND!$B2070)</f>
        <v>0.5895361517</v>
      </c>
      <c r="K2070" s="1">
        <f>value(CNY!$B2070)</f>
        <v>2040.30294</v>
      </c>
      <c r="L2070" s="1">
        <f>value(HKD!$B2070)</f>
        <v>1645.5422</v>
      </c>
      <c r="M2070" s="1">
        <f>value(TWD!$B2070)</f>
        <v>403.5998991</v>
      </c>
      <c r="N2070" s="1">
        <f>value(JPY!$B2070)</f>
        <v>114.5664</v>
      </c>
      <c r="O2070" s="1">
        <f>value(SAR!$B2070)</f>
        <v>3503.999912</v>
      </c>
      <c r="P2070" s="1">
        <f>value(AED!$B2070)</f>
        <v>3557.558739</v>
      </c>
      <c r="Q2070" s="1">
        <f>value(KWD!$B2070)</f>
        <v>43065.23109</v>
      </c>
    </row>
    <row r="2071">
      <c r="A2071" s="4">
        <f>value(USD!A2071)</f>
        <v>42435.99861</v>
      </c>
      <c r="B2071" s="1">
        <f>value(USD!B2071)</f>
        <v>13333.33</v>
      </c>
      <c r="C2071" s="1">
        <f>value(AUD!$B2071)</f>
        <v>9965.1075</v>
      </c>
      <c r="D2071" s="1">
        <f>value(EUR!$B2071)</f>
        <v>14500.4181</v>
      </c>
      <c r="E2071" s="1">
        <f>value(GBP!$B2071)</f>
        <v>18723.6105</v>
      </c>
      <c r="F2071" s="1">
        <f>value(CHF!$B2071)</f>
        <v>13807.092</v>
      </c>
      <c r="G2071" s="1">
        <f>value(SGD!$B2071)</f>
        <v>9651.75321</v>
      </c>
      <c r="H2071" s="1">
        <f>value(MYR!$B2071)</f>
        <v>3180.31168</v>
      </c>
      <c r="I2071" s="1">
        <f>value(THB!$B2071)</f>
        <v>372.49506</v>
      </c>
      <c r="J2071" s="1">
        <f>value(VND!$B2071)</f>
        <v>0.599660121</v>
      </c>
      <c r="K2071" s="1">
        <f>value(CNY!$B2071)</f>
        <v>2033.8472</v>
      </c>
      <c r="L2071" s="1">
        <f>value(HKD!$B2071)</f>
        <v>1667.3215</v>
      </c>
      <c r="M2071" s="1">
        <f>value(TWD!$B2071)</f>
        <v>410.75</v>
      </c>
      <c r="N2071" s="1">
        <f>value(JPY!$B2071)</f>
        <v>116.9892836</v>
      </c>
      <c r="O2071" s="1">
        <f>value(SAR!$B2071)</f>
        <v>3514.399912</v>
      </c>
      <c r="P2071" s="1">
        <f>value(AED!$B2071)</f>
        <v>3557.558739</v>
      </c>
      <c r="Q2071" s="1">
        <f>value(KWD!$B2071)</f>
        <v>43162.93887</v>
      </c>
    </row>
    <row r="2072">
      <c r="A2072" s="4">
        <f>value(USD!A2072)</f>
        <v>42436.99861</v>
      </c>
      <c r="B2072" s="1">
        <f>value(USD!B2072)</f>
        <v>13000</v>
      </c>
      <c r="C2072" s="1">
        <f>value(AUD!$B2072)</f>
        <v>9972.7185</v>
      </c>
      <c r="D2072" s="1">
        <f>value(EUR!$B2072)</f>
        <v>14392.053</v>
      </c>
      <c r="E2072" s="1">
        <f>value(GBP!$B2072)</f>
        <v>18606.847</v>
      </c>
      <c r="F2072" s="1">
        <f>value(CHF!$B2072)</f>
        <v>13783.1808</v>
      </c>
      <c r="G2072" s="1">
        <f>value(SGD!$B2072)</f>
        <v>9590.1306</v>
      </c>
      <c r="H2072" s="1">
        <f>value(MYR!$B2072)</f>
        <v>3191.291</v>
      </c>
      <c r="I2072" s="1">
        <f>value(THB!$B2072)</f>
        <v>371.123</v>
      </c>
      <c r="J2072" s="1">
        <f>value(VND!$B2072)</f>
        <v>0.5958641458</v>
      </c>
      <c r="K2072" s="1">
        <f>value(CNY!$B2072)</f>
        <v>2040.32928</v>
      </c>
      <c r="L2072" s="1">
        <f>value(HKD!$B2072)</f>
        <v>1680.72858</v>
      </c>
      <c r="M2072" s="1">
        <f>value(TWD!$B2072)</f>
        <v>410.905</v>
      </c>
      <c r="N2072" s="1">
        <f>value(JPY!$B2072)</f>
        <v>115.65728</v>
      </c>
      <c r="O2072" s="1">
        <f>value(SAR!$B2072)</f>
        <v>3526.537763</v>
      </c>
      <c r="P2072" s="1">
        <f>value(AED!$B2072)</f>
        <v>3541.87834</v>
      </c>
      <c r="Q2072" s="1">
        <f>value(KWD!$B2072)</f>
        <v>43307.36506</v>
      </c>
    </row>
    <row r="2073">
      <c r="A2073" s="4">
        <f>value(USD!A2073)</f>
        <v>42437.99861</v>
      </c>
      <c r="B2073" s="1">
        <f>value(USD!B2073)</f>
        <v>13181</v>
      </c>
      <c r="C2073" s="1">
        <f>value(AUD!$B2073)</f>
        <v>9803.8798</v>
      </c>
      <c r="D2073" s="1">
        <f>value(EUR!$B2073)</f>
        <v>14672.775</v>
      </c>
      <c r="E2073" s="1">
        <f>value(GBP!$B2073)</f>
        <v>18756.205</v>
      </c>
      <c r="F2073" s="1">
        <f>value(CHF!$B2073)</f>
        <v>13772.6432</v>
      </c>
      <c r="G2073" s="1">
        <f>value(SGD!$B2073)</f>
        <v>9673.836172</v>
      </c>
      <c r="H2073" s="1">
        <f>value(MYR!$B2073)</f>
        <v>3176.147</v>
      </c>
      <c r="I2073" s="1">
        <f>value(THB!$B2073)</f>
        <v>372.3668</v>
      </c>
      <c r="J2073" s="1">
        <f>value(VND!$B2073)</f>
        <v>0.6004921659</v>
      </c>
      <c r="K2073" s="1">
        <f>value(CNY!$B2073)</f>
        <v>2039.545856</v>
      </c>
      <c r="L2073" s="1">
        <f>value(HKD!$B2073)</f>
        <v>1693.954746</v>
      </c>
      <c r="M2073" s="1">
        <f>value(TWD!$B2073)</f>
        <v>409.44085</v>
      </c>
      <c r="N2073" s="1">
        <f>value(JPY!$B2073)</f>
        <v>116.298975</v>
      </c>
      <c r="O2073" s="1">
        <f>value(SAR!$B2073)</f>
        <v>3533.117902</v>
      </c>
      <c r="P2073" s="1">
        <f>value(AED!$B2073)</f>
        <v>3548.68284</v>
      </c>
      <c r="Q2073" s="1">
        <f>value(KWD!$B2073)</f>
        <v>43384.60964</v>
      </c>
    </row>
    <row r="2074">
      <c r="A2074" s="4">
        <f>value(USD!A2074)</f>
        <v>42438.99861</v>
      </c>
      <c r="B2074" s="1">
        <f>value(USD!B2074)</f>
        <v>13100</v>
      </c>
      <c r="C2074" s="1">
        <f>value(AUD!$B2074)</f>
        <v>9883.373786</v>
      </c>
      <c r="D2074" s="1">
        <f>value(EUR!$B2074)</f>
        <v>14426.2678</v>
      </c>
      <c r="E2074" s="1">
        <f>value(GBP!$B2074)</f>
        <v>18615.78747</v>
      </c>
      <c r="F2074" s="1">
        <f>value(CHF!$B2074)</f>
        <v>13749.766</v>
      </c>
      <c r="G2074" s="1">
        <f>value(SGD!$B2074)</f>
        <v>9701.30514</v>
      </c>
      <c r="H2074" s="1">
        <f>value(MYR!$B2074)</f>
        <v>3172.45873</v>
      </c>
      <c r="I2074" s="1">
        <f>value(THB!$B2074)</f>
        <v>362.53343</v>
      </c>
      <c r="J2074" s="1">
        <f>value(VND!$B2074)</f>
        <v>0.6015666913</v>
      </c>
      <c r="K2074" s="1">
        <f>value(CNY!$B2074)</f>
        <v>2041.8228</v>
      </c>
      <c r="L2074" s="1">
        <f>value(HKD!$B2074)</f>
        <v>1694.217558</v>
      </c>
      <c r="M2074" s="1">
        <f>value(TWD!$B2074)</f>
        <v>411.545</v>
      </c>
      <c r="N2074" s="1">
        <f>value(JPY!$B2074)</f>
        <v>113.63954</v>
      </c>
      <c r="O2074" s="1">
        <f>value(SAR!$B2074)</f>
        <v>3540.565074</v>
      </c>
      <c r="P2074" s="1">
        <f>value(AED!$B2074)</f>
        <v>3550.86028</v>
      </c>
      <c r="Q2074" s="1">
        <f>value(KWD!$B2074)</f>
        <v>43384.60964</v>
      </c>
    </row>
    <row r="2075">
      <c r="A2075" s="4">
        <f>value(USD!A2075)</f>
        <v>42439.99861</v>
      </c>
      <c r="B2075" s="1">
        <f>value(USD!B2075)</f>
        <v>13130</v>
      </c>
      <c r="C2075" s="1">
        <f>value(AUD!$B2075)</f>
        <v>9782.6001</v>
      </c>
      <c r="D2075" s="1">
        <f>value(EUR!$B2075)</f>
        <v>14534.89146</v>
      </c>
      <c r="E2075" s="1">
        <f>value(GBP!$B2075)</f>
        <v>18756.17908</v>
      </c>
      <c r="F2075" s="1">
        <f>value(CHF!$B2075)</f>
        <v>13776.60504</v>
      </c>
      <c r="G2075" s="1">
        <f>value(SGD!$B2075)</f>
        <v>9728.5534</v>
      </c>
      <c r="H2075" s="1">
        <f>value(MYR!$B2075)</f>
        <v>3195.695158</v>
      </c>
      <c r="I2075" s="1">
        <f>value(THB!$B2075)</f>
        <v>365.188778</v>
      </c>
      <c r="J2075" s="1">
        <f>value(VND!$B2075)</f>
        <v>0.600348176</v>
      </c>
      <c r="K2075" s="1">
        <f>value(CNY!$B2075)</f>
        <v>2041.6494</v>
      </c>
      <c r="L2075" s="1">
        <f>value(HKD!$B2075)</f>
        <v>1700.07968</v>
      </c>
      <c r="M2075" s="1">
        <f>value(TWD!$B2075)</f>
        <v>411.54875</v>
      </c>
      <c r="N2075" s="1">
        <f>value(JPY!$B2075)</f>
        <v>114.471884</v>
      </c>
      <c r="O2075" s="1">
        <f>value(SAR!$B2075)</f>
        <v>3536.038376</v>
      </c>
      <c r="P2075" s="1">
        <f>value(AED!$B2075)</f>
        <v>3556.84824</v>
      </c>
      <c r="Q2075" s="1">
        <f>value(KWD!$B2075)</f>
        <v>43391.22668</v>
      </c>
    </row>
    <row r="2076">
      <c r="A2076" s="4">
        <f>value(USD!A2076)</f>
        <v>42440.99861</v>
      </c>
      <c r="B2076" s="1">
        <f>value(USD!B2076)</f>
        <v>12943</v>
      </c>
      <c r="C2076" s="1">
        <f>value(AUD!$B2076)</f>
        <v>9799.2962</v>
      </c>
      <c r="D2076" s="1">
        <f>value(EUR!$B2076)</f>
        <v>14556.7037</v>
      </c>
      <c r="E2076" s="1">
        <f>value(GBP!$B2076)</f>
        <v>18743.14128</v>
      </c>
      <c r="F2076" s="1">
        <f>value(CHF!$B2076)</f>
        <v>13779.23316</v>
      </c>
      <c r="G2076" s="1">
        <f>value(SGD!$B2076)</f>
        <v>9795.0844</v>
      </c>
      <c r="H2076" s="1">
        <f>value(MYR!$B2076)</f>
        <v>3195.695158</v>
      </c>
      <c r="I2076" s="1">
        <f>value(THB!$B2076)</f>
        <v>365.971046</v>
      </c>
      <c r="J2076" s="1">
        <f>value(VND!$B2076)</f>
        <v>0.6002770455</v>
      </c>
      <c r="K2076" s="1">
        <f>value(CNY!$B2076)</f>
        <v>2054.7489</v>
      </c>
      <c r="L2076" s="1">
        <f>value(HKD!$B2076)</f>
        <v>1689.50496</v>
      </c>
      <c r="M2076" s="1">
        <f>value(TWD!$B2076)</f>
        <v>411.4549</v>
      </c>
      <c r="N2076" s="1">
        <f>value(JPY!$B2076)</f>
        <v>114.602262</v>
      </c>
      <c r="O2076" s="1">
        <f>value(SAR!$B2076)</f>
        <v>3545.539312</v>
      </c>
      <c r="P2076" s="1">
        <f>value(AED!$B2076)</f>
        <v>3569.09634</v>
      </c>
      <c r="Q2076" s="1">
        <f>value(KWD!$B2076)</f>
        <v>43262.80829</v>
      </c>
    </row>
    <row r="2077">
      <c r="A2077" s="4">
        <f>value(USD!A2077)</f>
        <v>42441.99861</v>
      </c>
      <c r="B2077" s="1">
        <f>value(USD!B2077)</f>
        <v>13037.8</v>
      </c>
      <c r="C2077" s="1">
        <f>value(AUD!$B2077)</f>
        <v>9743.1685</v>
      </c>
      <c r="D2077" s="1">
        <f>value(EUR!$B2077)</f>
        <v>14409.098</v>
      </c>
      <c r="E2077" s="1">
        <f>value(GBP!$B2077)</f>
        <v>18533.8824</v>
      </c>
      <c r="F2077" s="1">
        <f>value(CHF!$B2077)</f>
        <v>13722.2505</v>
      </c>
      <c r="G2077" s="1">
        <f>value(SGD!$B2077)</f>
        <v>9755.86752</v>
      </c>
      <c r="H2077" s="1">
        <f>value(MYR!$B2077)</f>
        <v>3147.7798</v>
      </c>
      <c r="I2077" s="1">
        <f>value(THB!$B2077)</f>
        <v>369.5406</v>
      </c>
      <c r="J2077" s="1">
        <f>value(VND!$B2077)</f>
        <v>0.6010015116</v>
      </c>
      <c r="K2077" s="1">
        <f>value(CNY!$B2077)</f>
        <v>2076.5003</v>
      </c>
      <c r="L2077" s="1">
        <f>value(HKD!$B2077)</f>
        <v>1703.6778</v>
      </c>
      <c r="M2077" s="1">
        <f>value(TWD!$B2077)</f>
        <v>405.7228</v>
      </c>
      <c r="N2077" s="1">
        <f>value(JPY!$B2077)</f>
        <v>113.9644</v>
      </c>
      <c r="O2077" s="1">
        <f>value(SAR!$B2077)</f>
        <v>3554.325499</v>
      </c>
      <c r="P2077" s="1">
        <f>value(AED!$B2077)</f>
        <v>3571.078369</v>
      </c>
      <c r="Q2077" s="1">
        <f>value(KWD!$B2077)</f>
        <v>43136.40687</v>
      </c>
    </row>
    <row r="2078">
      <c r="A2078" s="4">
        <f>value(USD!A2078)</f>
        <v>42442.99861</v>
      </c>
      <c r="B2078" s="1">
        <f>value(USD!B2078)</f>
        <v>13037.8</v>
      </c>
      <c r="C2078" s="1">
        <f>value(AUD!$B2078)</f>
        <v>9696.0325</v>
      </c>
      <c r="D2078" s="1">
        <f>value(EUR!$B2078)</f>
        <v>14575.7161</v>
      </c>
      <c r="E2078" s="1">
        <f>value(GBP!$B2078)</f>
        <v>18575.47527</v>
      </c>
      <c r="F2078" s="1">
        <f>value(CHF!$B2078)</f>
        <v>13680.8945</v>
      </c>
      <c r="G2078" s="1">
        <f>value(SGD!$B2078)</f>
        <v>9713.71746</v>
      </c>
      <c r="H2078" s="1">
        <f>value(MYR!$B2078)</f>
        <v>3155.16289</v>
      </c>
      <c r="I2078" s="1">
        <f>value(THB!$B2078)</f>
        <v>373.48058</v>
      </c>
      <c r="J2078" s="1">
        <f>value(VND!$B2078)</f>
        <v>0.6004739748</v>
      </c>
      <c r="K2078" s="1">
        <f>value(CNY!$B2078)</f>
        <v>2077.4835</v>
      </c>
      <c r="L2078" s="1">
        <f>value(HKD!$B2078)</f>
        <v>1705.20438</v>
      </c>
      <c r="M2078" s="1">
        <f>value(TWD!$B2078)</f>
        <v>406.25788</v>
      </c>
      <c r="N2078" s="1">
        <f>value(JPY!$B2078)</f>
        <v>116.0099446</v>
      </c>
      <c r="O2078" s="1">
        <f>value(SAR!$B2078)</f>
        <v>3549.806548</v>
      </c>
      <c r="P2078" s="1">
        <f>value(AED!$B2078)</f>
        <v>3571.623032</v>
      </c>
      <c r="Q2078" s="1">
        <f>value(KWD!$B2078)</f>
        <v>43478.39911</v>
      </c>
    </row>
    <row r="2079">
      <c r="A2079" s="4">
        <f>value(USD!A2079)</f>
        <v>42443.99861</v>
      </c>
      <c r="B2079" s="1">
        <f>value(USD!B2079)</f>
        <v>12980</v>
      </c>
      <c r="C2079" s="1">
        <f>value(AUD!$B2079)</f>
        <v>9687.96444</v>
      </c>
      <c r="D2079" s="1">
        <f>value(EUR!$B2079)</f>
        <v>14324.109</v>
      </c>
      <c r="E2079" s="1">
        <f>value(GBP!$B2079)</f>
        <v>18200.0594</v>
      </c>
      <c r="F2079" s="1">
        <f>value(CHF!$B2079)</f>
        <v>13595.8735</v>
      </c>
      <c r="G2079" s="1">
        <f>value(SGD!$B2079)</f>
        <v>9723.649782</v>
      </c>
      <c r="H2079" s="1">
        <f>value(MYR!$B2079)</f>
        <v>3082.678</v>
      </c>
      <c r="I2079" s="1">
        <f>value(THB!$B2079)</f>
        <v>364.4558</v>
      </c>
      <c r="J2079" s="1">
        <f>value(VND!$B2079)</f>
        <v>0.6024472929</v>
      </c>
      <c r="K2079" s="1">
        <f>value(CNY!$B2079)</f>
        <v>2080.380219</v>
      </c>
      <c r="L2079" s="1">
        <f>value(HKD!$B2079)</f>
        <v>1697.3496</v>
      </c>
      <c r="M2079" s="1">
        <f>value(TWD!$B2079)</f>
        <v>408.09169</v>
      </c>
      <c r="N2079" s="1">
        <f>value(JPY!$B2079)</f>
        <v>113.2699</v>
      </c>
      <c r="O2079" s="1">
        <f>value(SAR!$B2079)</f>
        <v>3537.138764</v>
      </c>
      <c r="P2079" s="1">
        <f>value(AED!$B2079)</f>
        <v>3562.93575</v>
      </c>
      <c r="Q2079" s="1">
        <f>value(KWD!$B2079)</f>
        <v>44971.03503</v>
      </c>
    </row>
    <row r="2080">
      <c r="A2080" s="4">
        <f>value(USD!A2080)</f>
        <v>42444.99861</v>
      </c>
      <c r="B2080" s="1">
        <f>value(USD!B2080)</f>
        <v>13123</v>
      </c>
      <c r="C2080" s="1">
        <f>value(AUD!$B2080)</f>
        <v>9683.082504</v>
      </c>
      <c r="D2080" s="1">
        <f>value(EUR!$B2080)</f>
        <v>14635.9525</v>
      </c>
      <c r="E2080" s="1">
        <f>value(GBP!$B2080)</f>
        <v>18720.8255</v>
      </c>
      <c r="F2080" s="1">
        <f>value(CHF!$B2080)</f>
        <v>13626.434</v>
      </c>
      <c r="G2080" s="1">
        <f>value(SGD!$B2080)</f>
        <v>9741.12678</v>
      </c>
      <c r="H2080" s="1">
        <f>value(MYR!$B2080)</f>
        <v>3202.9647</v>
      </c>
      <c r="I2080" s="1">
        <f>value(THB!$B2080)</f>
        <v>371.7519</v>
      </c>
      <c r="J2080" s="1">
        <f>value(VND!$B2080)</f>
        <v>0.603369473</v>
      </c>
      <c r="K2080" s="1">
        <f>value(CNY!$B2080)</f>
        <v>2064.9854</v>
      </c>
      <c r="L2080" s="1">
        <f>value(HKD!$B2080)</f>
        <v>1711.553464</v>
      </c>
      <c r="M2080" s="1">
        <f>value(TWD!$B2080)</f>
        <v>407.0896</v>
      </c>
      <c r="N2080" s="1">
        <f>value(JPY!$B2080)</f>
        <v>116.1550065</v>
      </c>
      <c r="O2080" s="1">
        <f>value(SAR!$B2080)</f>
        <v>3546.010286</v>
      </c>
      <c r="P2080" s="1">
        <f>value(AED!$B2080)</f>
        <v>3549.49938</v>
      </c>
      <c r="Q2080" s="1">
        <f>value(KWD!$B2080)</f>
        <v>44100.355</v>
      </c>
    </row>
    <row r="2081">
      <c r="A2081" s="4">
        <f>value(USD!A2081)</f>
        <v>42445.99861</v>
      </c>
      <c r="B2081" s="1">
        <f>value(USD!B2081)</f>
        <v>12770</v>
      </c>
      <c r="C2081" s="1">
        <f>value(AUD!$B2081)</f>
        <v>9704.952</v>
      </c>
      <c r="D2081" s="1">
        <f>value(EUR!$B2081)</f>
        <v>14692.78296</v>
      </c>
      <c r="E2081" s="1">
        <f>value(GBP!$B2081)</f>
        <v>18879.024</v>
      </c>
      <c r="F2081" s="1">
        <f>value(CHF!$B2081)</f>
        <v>13558.038</v>
      </c>
      <c r="G2081" s="1">
        <f>value(SGD!$B2081)</f>
        <v>9711.6426</v>
      </c>
      <c r="H2081" s="1">
        <f>value(MYR!$B2081)</f>
        <v>3212.5632</v>
      </c>
      <c r="I2081" s="1">
        <f>value(THB!$B2081)</f>
        <v>373.40832</v>
      </c>
      <c r="J2081" s="1">
        <f>value(VND!$B2081)</f>
        <v>0.6016556833</v>
      </c>
      <c r="K2081" s="1">
        <f>value(CNY!$B2081)</f>
        <v>2069.425</v>
      </c>
      <c r="L2081" s="1">
        <f>value(HKD!$B2081)</f>
        <v>1711.40142</v>
      </c>
      <c r="M2081" s="1">
        <f>value(TWD!$B2081)</f>
        <v>397.5062715</v>
      </c>
      <c r="N2081" s="1">
        <f>value(JPY!$B2081)</f>
        <v>116.82048</v>
      </c>
      <c r="O2081" s="1">
        <f>value(SAR!$B2081)</f>
        <v>3545.682577</v>
      </c>
      <c r="P2081" s="1">
        <f>value(AED!$B2081)</f>
        <v>3575.62866</v>
      </c>
      <c r="Q2081" s="1">
        <f>value(KWD!$B2081)</f>
        <v>44613.75867</v>
      </c>
    </row>
    <row r="2082">
      <c r="A2082" s="4">
        <f>value(USD!A2082)</f>
        <v>42446.99861</v>
      </c>
      <c r="B2082" s="1">
        <f>value(USD!B2082)</f>
        <v>12935</v>
      </c>
      <c r="C2082" s="1">
        <f>value(AUD!$B2082)</f>
        <v>9735.458</v>
      </c>
      <c r="D2082" s="1">
        <f>value(EUR!$B2082)</f>
        <v>14810.31033</v>
      </c>
      <c r="E2082" s="1">
        <f>value(GBP!$B2082)</f>
        <v>19027.5888</v>
      </c>
      <c r="F2082" s="1">
        <f>value(CHF!$B2082)</f>
        <v>13763.22415</v>
      </c>
      <c r="G2082" s="1">
        <f>value(SGD!$B2082)</f>
        <v>9744.2244</v>
      </c>
      <c r="H2082" s="1">
        <f>value(MYR!$B2082)</f>
        <v>3237.84384</v>
      </c>
      <c r="I2082" s="1">
        <f>value(THB!$B2082)</f>
        <v>376.346784</v>
      </c>
      <c r="J2082" s="1">
        <f>value(VND!$B2082)</f>
        <v>0.6026504831</v>
      </c>
      <c r="K2082" s="1">
        <f>value(CNY!$B2082)</f>
        <v>2076.5808</v>
      </c>
      <c r="L2082" s="1">
        <f>value(HKD!$B2082)</f>
        <v>1699.0338</v>
      </c>
      <c r="M2082" s="1">
        <f>value(TWD!$B2082)</f>
        <v>405.513</v>
      </c>
      <c r="N2082" s="1">
        <f>value(JPY!$B2082)</f>
        <v>117.739776</v>
      </c>
      <c r="O2082" s="1">
        <f>value(SAR!$B2082)</f>
        <v>3543.340701</v>
      </c>
      <c r="P2082" s="1">
        <f>value(AED!$B2082)</f>
        <v>3698.38184</v>
      </c>
      <c r="Q2082" s="1">
        <f>value(KWD!$B2082)</f>
        <v>44047.53229</v>
      </c>
    </row>
    <row r="2083">
      <c r="A2083" s="4">
        <f>value(USD!A2083)</f>
        <v>42447.99861</v>
      </c>
      <c r="B2083" s="1">
        <f>value(USD!B2083)</f>
        <v>13038</v>
      </c>
      <c r="C2083" s="1">
        <f>value(AUD!$B2083)</f>
        <v>9705.444</v>
      </c>
      <c r="D2083" s="1">
        <f>value(EUR!$B2083)</f>
        <v>14817.20915</v>
      </c>
      <c r="E2083" s="1">
        <f>value(GBP!$B2083)</f>
        <v>19005.24978</v>
      </c>
      <c r="F2083" s="1">
        <f>value(CHF!$B2083)</f>
        <v>13682.53634</v>
      </c>
      <c r="G2083" s="1">
        <f>value(SGD!$B2083)</f>
        <v>9782.8444</v>
      </c>
      <c r="H2083" s="1">
        <f>value(MYR!$B2083)</f>
        <v>3237.84384</v>
      </c>
      <c r="I2083" s="1">
        <f>value(THB!$B2083)</f>
        <v>376.47819</v>
      </c>
      <c r="J2083" s="1">
        <f>value(VND!$B2083)</f>
        <v>0.6017996218</v>
      </c>
      <c r="K2083" s="1">
        <f>value(CNY!$B2083)</f>
        <v>2066.2225</v>
      </c>
      <c r="L2083" s="1">
        <f>value(HKD!$B2083)</f>
        <v>1707.298</v>
      </c>
      <c r="M2083" s="1">
        <f>value(TWD!$B2083)</f>
        <v>407.6968</v>
      </c>
      <c r="N2083" s="1">
        <f>value(JPY!$B2083)</f>
        <v>117.871182</v>
      </c>
      <c r="O2083" s="1">
        <f>value(SAR!$B2083)</f>
        <v>3518.760395</v>
      </c>
      <c r="P2083" s="1">
        <f>value(AED!$B2083)</f>
        <v>3635.78044</v>
      </c>
      <c r="Q2083" s="1">
        <f>value(KWD!$B2083)</f>
        <v>44372.27723</v>
      </c>
    </row>
    <row r="2084">
      <c r="A2084" s="4">
        <f>value(USD!A2084)</f>
        <v>42448.99861</v>
      </c>
      <c r="B2084" s="1">
        <f>value(USD!B2084)</f>
        <v>13140.6</v>
      </c>
      <c r="C2084" s="1">
        <f>value(AUD!$B2084)</f>
        <v>9827.8255</v>
      </c>
      <c r="D2084" s="1">
        <f>value(EUR!$B2084)</f>
        <v>14810.70501</v>
      </c>
      <c r="E2084" s="1">
        <f>value(GBP!$B2084)</f>
        <v>18939.22512</v>
      </c>
      <c r="F2084" s="1">
        <f>value(CHF!$B2084)</f>
        <v>13583.6064</v>
      </c>
      <c r="G2084" s="1">
        <f>value(SGD!$B2084)</f>
        <v>9731.86876</v>
      </c>
      <c r="H2084" s="1">
        <f>value(MYR!$B2084)</f>
        <v>3257.5193</v>
      </c>
      <c r="I2084" s="1">
        <f>value(THB!$B2084)</f>
        <v>377.16563</v>
      </c>
      <c r="J2084" s="1">
        <f>value(VND!$B2084)</f>
        <v>0.6006660066</v>
      </c>
      <c r="K2084" s="1">
        <f>value(CNY!$B2084)</f>
        <v>2064.9168</v>
      </c>
      <c r="L2084" s="1">
        <f>value(HKD!$B2084)</f>
        <v>1696.0662</v>
      </c>
      <c r="M2084" s="1">
        <f>value(TWD!$B2084)</f>
        <v>407.72232</v>
      </c>
      <c r="N2084" s="1">
        <f>value(JPY!$B2084)</f>
        <v>117.5409463</v>
      </c>
      <c r="O2084" s="1">
        <f>value(SAR!$B2084)</f>
        <v>3518.760395</v>
      </c>
      <c r="P2084" s="1">
        <f>value(AED!$B2084)</f>
        <v>3678.107151</v>
      </c>
      <c r="Q2084" s="1">
        <f>value(KWD!$B2084)</f>
        <v>43850.45259</v>
      </c>
    </row>
    <row r="2085">
      <c r="A2085" s="4">
        <f>value(USD!A2085)</f>
        <v>42449.99861</v>
      </c>
      <c r="B2085" s="1">
        <f>value(USD!B2085)</f>
        <v>13140.6</v>
      </c>
      <c r="C2085" s="1">
        <f>value(AUD!$B2085)</f>
        <v>9825.2589</v>
      </c>
      <c r="D2085" s="1">
        <f>value(EUR!$B2085)</f>
        <v>14699.322</v>
      </c>
      <c r="E2085" s="1">
        <f>value(GBP!$B2085)</f>
        <v>18633.5523</v>
      </c>
      <c r="F2085" s="1">
        <f>value(CHF!$B2085)</f>
        <v>13600.2798</v>
      </c>
      <c r="G2085" s="1">
        <f>value(SGD!$B2085)</f>
        <v>9717.55925</v>
      </c>
      <c r="H2085" s="1">
        <f>value(MYR!$B2085)</f>
        <v>3273.80889</v>
      </c>
      <c r="I2085" s="1">
        <f>value(THB!$B2085)</f>
        <v>374.42658</v>
      </c>
      <c r="J2085" s="1">
        <f>value(VND!$B2085)</f>
        <v>0.6037077291</v>
      </c>
      <c r="K2085" s="1">
        <f>value(CNY!$B2085)</f>
        <v>2090.521409</v>
      </c>
      <c r="L2085" s="1">
        <f>value(HKD!$B2085)</f>
        <v>1692.59538</v>
      </c>
      <c r="M2085" s="1">
        <f>value(TWD!$B2085)</f>
        <v>405.445</v>
      </c>
      <c r="N2085" s="1">
        <f>value(JPY!$B2085)</f>
        <v>116.6879868</v>
      </c>
      <c r="O2085" s="1">
        <f>value(SAR!$B2085)</f>
        <v>3518.760395</v>
      </c>
      <c r="P2085" s="1">
        <f>value(AED!$B2085)</f>
        <v>3631.42556</v>
      </c>
      <c r="Q2085" s="1">
        <f>value(KWD!$B2085)</f>
        <v>44031.61197</v>
      </c>
    </row>
    <row r="2086">
      <c r="A2086" s="4">
        <f>value(USD!A2086)</f>
        <v>42450.99861</v>
      </c>
      <c r="B2086" s="1">
        <f>value(USD!B2086)</f>
        <v>13183</v>
      </c>
      <c r="C2086" s="1">
        <f>value(AUD!$B2086)</f>
        <v>9843.045845</v>
      </c>
      <c r="D2086" s="1">
        <f>value(EUR!$B2086)</f>
        <v>14771.33055</v>
      </c>
      <c r="E2086" s="1">
        <f>value(GBP!$B2086)</f>
        <v>18650.99025</v>
      </c>
      <c r="F2086" s="1">
        <f>value(CHF!$B2086)</f>
        <v>13551.7638</v>
      </c>
      <c r="G2086" s="1">
        <f>value(SGD!$B2086)</f>
        <v>9736.658976</v>
      </c>
      <c r="H2086" s="1">
        <f>value(MYR!$B2086)</f>
        <v>3278.77365</v>
      </c>
      <c r="I2086" s="1">
        <f>value(THB!$B2086)</f>
        <v>374.7774</v>
      </c>
      <c r="J2086" s="1">
        <f>value(VND!$B2086)</f>
        <v>0.598376452</v>
      </c>
      <c r="K2086" s="1">
        <f>value(CNY!$B2086)</f>
        <v>2070.68521</v>
      </c>
      <c r="L2086" s="1">
        <f>value(HKD!$B2086)</f>
        <v>1694.348964</v>
      </c>
      <c r="M2086" s="1">
        <f>value(TWD!$B2086)</f>
        <v>406.255</v>
      </c>
      <c r="N2086" s="1">
        <f>value(JPY!$B2086)</f>
        <v>117.5302455</v>
      </c>
      <c r="O2086" s="1">
        <f>value(SAR!$B2086)</f>
        <v>3503.737256</v>
      </c>
      <c r="P2086" s="1">
        <f>value(AED!$B2086)</f>
        <v>3663.27062</v>
      </c>
      <c r="Q2086" s="1">
        <f>value(KWD!$B2086)</f>
        <v>44173.24567</v>
      </c>
    </row>
    <row r="2087">
      <c r="A2087" s="4">
        <f>value(USD!A2087)</f>
        <v>42451.99861</v>
      </c>
      <c r="B2087" s="1">
        <f>value(USD!B2087)</f>
        <v>13101</v>
      </c>
      <c r="C2087" s="1">
        <f>value(AUD!$B2087)</f>
        <v>9775.88</v>
      </c>
      <c r="D2087" s="1">
        <f>value(EUR!$B2087)</f>
        <v>14774.6445</v>
      </c>
      <c r="E2087" s="1">
        <f>value(GBP!$B2087)</f>
        <v>18695.5824</v>
      </c>
      <c r="F2087" s="1">
        <f>value(CHF!$B2087)</f>
        <v>13511.8376</v>
      </c>
      <c r="G2087" s="1">
        <f>value(SGD!$B2087)</f>
        <v>9744.674742</v>
      </c>
      <c r="H2087" s="1">
        <f>value(MYR!$B2087)</f>
        <v>3288.13584</v>
      </c>
      <c r="I2087" s="1">
        <f>value(THB!$B2087)</f>
        <v>373.69992</v>
      </c>
      <c r="J2087" s="1">
        <f>value(VND!$B2087)</f>
        <v>0.6030710638</v>
      </c>
      <c r="K2087" s="1">
        <f>value(CNY!$B2087)</f>
        <v>2072.64456</v>
      </c>
      <c r="L2087" s="1">
        <f>value(HKD!$B2087)</f>
        <v>1694.086152</v>
      </c>
      <c r="M2087" s="1">
        <f>value(TWD!$B2087)</f>
        <v>395.400654</v>
      </c>
      <c r="N2087" s="1">
        <f>value(JPY!$B2087)</f>
        <v>117.2496732</v>
      </c>
      <c r="O2087" s="1">
        <f>value(SAR!$B2087)</f>
        <v>3486.223795</v>
      </c>
      <c r="P2087" s="1">
        <f>value(AED!$B2087)</f>
        <v>3623.53234</v>
      </c>
      <c r="Q2087" s="1">
        <f>value(KWD!$B2087)</f>
        <v>43935.55291</v>
      </c>
    </row>
    <row r="2088">
      <c r="A2088" s="4">
        <f>value(USD!A2088)</f>
        <v>42452.99861</v>
      </c>
      <c r="B2088" s="1">
        <f>value(USD!B2088)</f>
        <v>13215</v>
      </c>
      <c r="C2088" s="1">
        <f>value(AUD!$B2088)</f>
        <v>9755.3373</v>
      </c>
      <c r="D2088" s="1">
        <f>value(EUR!$B2088)</f>
        <v>14697.1932</v>
      </c>
      <c r="E2088" s="1">
        <f>value(GBP!$B2088)</f>
        <v>18639.501</v>
      </c>
      <c r="F2088" s="1">
        <f>value(CHF!$B2088)</f>
        <v>13480.012</v>
      </c>
      <c r="G2088" s="1">
        <f>value(SGD!$B2088)</f>
        <v>9740.45385</v>
      </c>
      <c r="H2088" s="1">
        <f>value(MYR!$B2088)</f>
        <v>3256.2825</v>
      </c>
      <c r="I2088" s="1">
        <f>value(THB!$B2088)</f>
        <v>372.0525</v>
      </c>
      <c r="J2088" s="1">
        <f>value(VND!$B2088)</f>
        <v>0.5976975193</v>
      </c>
      <c r="K2088" s="1">
        <f>value(CNY!$B2088)</f>
        <v>2069.2644</v>
      </c>
      <c r="L2088" s="1">
        <f>value(HKD!$B2088)</f>
        <v>1694.2716</v>
      </c>
      <c r="M2088" s="1">
        <f>value(TWD!$B2088)</f>
        <v>407.2448</v>
      </c>
      <c r="N2088" s="1">
        <f>value(JPY!$B2088)</f>
        <v>116.4228</v>
      </c>
      <c r="O2088" s="1">
        <f>value(SAR!$B2088)</f>
        <v>3488.961739</v>
      </c>
      <c r="P2088" s="1">
        <f>value(AED!$B2088)</f>
        <v>3638.50224</v>
      </c>
      <c r="Q2088" s="1">
        <f>value(KWD!$B2088)</f>
        <v>43955.21426</v>
      </c>
    </row>
    <row r="2089">
      <c r="A2089" s="4">
        <f>value(USD!A2089)</f>
        <v>42453.99861</v>
      </c>
      <c r="B2089" s="1">
        <f>value(USD!B2089)</f>
        <v>13233</v>
      </c>
      <c r="C2089" s="1">
        <f>value(AUD!$B2089)</f>
        <v>9777.21192</v>
      </c>
      <c r="D2089" s="1">
        <f>value(EUR!$B2089)</f>
        <v>14831.25884</v>
      </c>
      <c r="E2089" s="1">
        <f>value(GBP!$B2089)</f>
        <v>18799.57151</v>
      </c>
      <c r="F2089" s="1">
        <f>value(CHF!$B2089)</f>
        <v>13510.57871</v>
      </c>
      <c r="G2089" s="1">
        <f>value(SGD!$B2089)</f>
        <v>9727.75003</v>
      </c>
      <c r="H2089" s="1">
        <f>value(MYR!$B2089)</f>
        <v>3283.531922</v>
      </c>
      <c r="I2089" s="1">
        <f>value(THB!$B2089)</f>
        <v>375.1659325</v>
      </c>
      <c r="J2089" s="1">
        <f>value(VND!$B2089)</f>
        <v>0.6002538557</v>
      </c>
      <c r="K2089" s="1">
        <f>value(CNY!$B2089)</f>
        <v>2065.8619</v>
      </c>
      <c r="L2089" s="1">
        <f>value(HKD!$B2089)</f>
        <v>1702.769</v>
      </c>
      <c r="M2089" s="1">
        <f>value(TWD!$B2089)</f>
        <v>405.71725</v>
      </c>
      <c r="N2089" s="1">
        <f>value(JPY!$B2089)</f>
        <v>117.3970564</v>
      </c>
      <c r="O2089" s="1">
        <f>value(SAR!$B2089)</f>
        <v>3489.32188</v>
      </c>
      <c r="P2089" s="1">
        <f>value(AED!$B2089)</f>
        <v>3650.20598</v>
      </c>
      <c r="Q2089" s="1">
        <f>value(KWD!$B2089)</f>
        <v>44316.94362</v>
      </c>
    </row>
    <row r="2090">
      <c r="A2090" s="4">
        <f>value(USD!A2090)</f>
        <v>42454.99861</v>
      </c>
      <c r="B2090" s="1">
        <f>value(USD!B2090)</f>
        <v>13170</v>
      </c>
      <c r="C2090" s="1">
        <f>value(AUD!$B2090)</f>
        <v>9785.0878</v>
      </c>
      <c r="D2090" s="1">
        <f>value(EUR!$B2090)</f>
        <v>14814.07425</v>
      </c>
      <c r="E2090" s="1">
        <f>value(GBP!$B2090)</f>
        <v>18759.62464</v>
      </c>
      <c r="F2090" s="1">
        <f>value(CHF!$B2090)</f>
        <v>13499.32965</v>
      </c>
      <c r="G2090" s="1">
        <f>value(SGD!$B2090)</f>
        <v>9730.58625</v>
      </c>
      <c r="H2090" s="1">
        <f>value(MYR!$B2090)</f>
        <v>3283.531922</v>
      </c>
      <c r="I2090" s="1">
        <f>value(THB!$B2090)</f>
        <v>374.9003283</v>
      </c>
      <c r="J2090" s="1">
        <f>value(VND!$B2090)</f>
        <v>0.5954637265</v>
      </c>
      <c r="K2090" s="1">
        <f>value(CNY!$B2090)</f>
        <v>2042.8905</v>
      </c>
      <c r="L2090" s="1">
        <f>value(HKD!$B2090)</f>
        <v>1697.8708</v>
      </c>
      <c r="M2090" s="1">
        <f>value(TWD!$B2090)</f>
        <v>404.37605</v>
      </c>
      <c r="N2090" s="1">
        <f>value(JPY!$B2090)</f>
        <v>116.9986501</v>
      </c>
      <c r="O2090" s="1">
        <f>value(SAR!$B2090)</f>
        <v>3513.304448</v>
      </c>
      <c r="P2090" s="1">
        <f>value(AED!$B2090)</f>
        <v>3637.14134</v>
      </c>
      <c r="Q2090" s="1">
        <f>value(KWD!$B2090)</f>
        <v>44060.44521</v>
      </c>
    </row>
    <row r="2091">
      <c r="A2091" s="4">
        <f>value(USD!A2091)</f>
        <v>42455.99861</v>
      </c>
      <c r="B2091" s="1">
        <f>value(USD!B2091)</f>
        <v>13280.21</v>
      </c>
      <c r="C2091" s="1">
        <f>value(AUD!$B2091)</f>
        <v>9742.0464</v>
      </c>
      <c r="D2091" s="1">
        <f>value(EUR!$B2091)</f>
        <v>14872.82058</v>
      </c>
      <c r="E2091" s="1">
        <f>value(GBP!$B2091)</f>
        <v>18931.7724</v>
      </c>
      <c r="F2091" s="1">
        <f>value(CHF!$B2091)</f>
        <v>13525.026</v>
      </c>
      <c r="G2091" s="1">
        <f>value(SGD!$B2091)</f>
        <v>9665.87704</v>
      </c>
      <c r="H2091" s="1">
        <f>value(MYR!$B2091)</f>
        <v>3303.83196</v>
      </c>
      <c r="I2091" s="1">
        <f>value(THB!$B2091)</f>
        <v>375.50184</v>
      </c>
      <c r="J2091" s="1">
        <f>value(VND!$B2091)</f>
        <v>0.5996306599</v>
      </c>
      <c r="K2091" s="1">
        <f>value(CNY!$B2091)</f>
        <v>2048.65093</v>
      </c>
      <c r="L2091" s="1">
        <f>value(HKD!$B2091)</f>
        <v>1697.34392</v>
      </c>
      <c r="M2091" s="1">
        <f>value(TWD!$B2091)</f>
        <v>405.9636</v>
      </c>
      <c r="N2091" s="1">
        <f>value(JPY!$B2091)</f>
        <v>117.105321</v>
      </c>
      <c r="O2091" s="1">
        <f>value(SAR!$B2091)</f>
        <v>3510.638208</v>
      </c>
      <c r="P2091" s="1">
        <f>value(AED!$B2091)</f>
        <v>3638.768976</v>
      </c>
      <c r="Q2091" s="1">
        <f>value(KWD!$B2091)</f>
        <v>44123.24692</v>
      </c>
    </row>
    <row r="2092">
      <c r="A2092" s="4">
        <f>value(USD!A2092)</f>
        <v>42456.99861</v>
      </c>
      <c r="B2092" s="1">
        <f>value(USD!B2092)</f>
        <v>13280.21</v>
      </c>
      <c r="C2092" s="1">
        <f>value(AUD!$B2092)</f>
        <v>9864.008306</v>
      </c>
      <c r="D2092" s="1">
        <f>value(EUR!$B2092)</f>
        <v>14877.584</v>
      </c>
      <c r="E2092" s="1">
        <f>value(GBP!$B2092)</f>
        <v>18957.7166</v>
      </c>
      <c r="F2092" s="1">
        <f>value(CHF!$B2092)</f>
        <v>13511.372</v>
      </c>
      <c r="G2092" s="1">
        <f>value(SGD!$B2092)</f>
        <v>9668.5381</v>
      </c>
      <c r="H2092" s="1">
        <f>value(MYR!$B2092)</f>
        <v>3323.7324</v>
      </c>
      <c r="I2092" s="1">
        <f>value(THB!$B2092)</f>
        <v>372.7304</v>
      </c>
      <c r="J2092" s="1">
        <f>value(VND!$B2092)</f>
        <v>0.6020113598</v>
      </c>
      <c r="K2092" s="1">
        <f>value(CNY!$B2092)</f>
        <v>2034.0828</v>
      </c>
      <c r="L2092" s="1">
        <f>value(HKD!$B2092)</f>
        <v>1689.9989</v>
      </c>
      <c r="M2092" s="1">
        <f>value(TWD!$B2092)</f>
        <v>408.31812</v>
      </c>
      <c r="N2092" s="1">
        <f>value(JPY!$B2092)</f>
        <v>116.9066</v>
      </c>
      <c r="O2092" s="1">
        <f>value(SAR!$B2092)</f>
        <v>3524.408184</v>
      </c>
      <c r="P2092" s="1">
        <f>value(AED!$B2092)</f>
        <v>3670.75157</v>
      </c>
      <c r="Q2092" s="1">
        <f>value(KWD!$B2092)</f>
        <v>44705.44471</v>
      </c>
    </row>
    <row r="2093">
      <c r="A2093" s="4">
        <f>value(USD!A2093)</f>
        <v>42457.99861</v>
      </c>
      <c r="B2093" s="1">
        <f>value(USD!B2093)</f>
        <v>13278</v>
      </c>
      <c r="C2093" s="1">
        <f>value(AUD!$B2093)</f>
        <v>9804.7783</v>
      </c>
      <c r="D2093" s="1">
        <f>value(EUR!$B2093)</f>
        <v>15005.2892</v>
      </c>
      <c r="E2093" s="1">
        <f>value(GBP!$B2093)</f>
        <v>19027.204</v>
      </c>
      <c r="F2093" s="1">
        <f>value(CHF!$B2093)</f>
        <v>13547.019</v>
      </c>
      <c r="G2093" s="1">
        <f>value(SGD!$B2093)</f>
        <v>9713.092868</v>
      </c>
      <c r="H2093" s="1">
        <f>value(MYR!$B2093)</f>
        <v>3372.7576</v>
      </c>
      <c r="I2093" s="1">
        <f>value(THB!$B2093)</f>
        <v>375.354</v>
      </c>
      <c r="J2093" s="1">
        <f>value(VND!$B2093)</f>
        <v>0.5990538328</v>
      </c>
      <c r="K2093" s="1">
        <f>value(CNY!$B2093)</f>
        <v>2012.22351</v>
      </c>
      <c r="L2093" s="1">
        <f>value(HKD!$B2093)</f>
        <v>1693.429122</v>
      </c>
      <c r="M2093" s="1">
        <f>value(TWD!$B2093)</f>
        <v>397.1051202</v>
      </c>
      <c r="N2093" s="1">
        <f>value(JPY!$B2093)</f>
        <v>117.798928</v>
      </c>
      <c r="O2093" s="1">
        <f>value(SAR!$B2093)</f>
        <v>3516.096271</v>
      </c>
      <c r="P2093" s="1">
        <f>value(AED!$B2093)</f>
        <v>3650.47816</v>
      </c>
      <c r="Q2093" s="1">
        <f>value(KWD!$B2093)</f>
        <v>44544.45649</v>
      </c>
    </row>
    <row r="2094">
      <c r="A2094" s="4">
        <f>value(USD!A2094)</f>
        <v>42458.99861</v>
      </c>
      <c r="B2094" s="1">
        <f>value(USD!B2094)</f>
        <v>13180</v>
      </c>
      <c r="C2094" s="1">
        <f>value(AUD!$B2094)</f>
        <v>9868.93691</v>
      </c>
      <c r="D2094" s="1">
        <f>value(EUR!$B2094)</f>
        <v>14972.4882</v>
      </c>
      <c r="E2094" s="1">
        <f>value(GBP!$B2094)</f>
        <v>18901.59858</v>
      </c>
      <c r="F2094" s="1">
        <f>value(CHF!$B2094)</f>
        <v>13624.365</v>
      </c>
      <c r="G2094" s="1">
        <f>value(SGD!$B2094)</f>
        <v>9704.8224</v>
      </c>
      <c r="H2094" s="1">
        <f>value(MYR!$B2094)</f>
        <v>3384.63234</v>
      </c>
      <c r="I2094" s="1">
        <f>value(THB!$B2094)</f>
        <v>374.3451</v>
      </c>
      <c r="J2094" s="1">
        <f>value(VND!$B2094)</f>
        <v>0.5993096884</v>
      </c>
      <c r="K2094" s="1">
        <f>value(CNY!$B2094)</f>
        <v>2012.30995</v>
      </c>
      <c r="L2094" s="1">
        <f>value(HKD!$B2094)</f>
        <v>1693.429122</v>
      </c>
      <c r="M2094" s="1">
        <f>value(TWD!$B2094)</f>
        <v>408.42594</v>
      </c>
      <c r="N2094" s="1">
        <f>value(JPY!$B2094)</f>
        <v>116.9311986</v>
      </c>
      <c r="O2094" s="1">
        <f>value(SAR!$B2094)</f>
        <v>3534.986712</v>
      </c>
      <c r="P2094" s="1">
        <f>value(AED!$B2094)</f>
        <v>3655.92176</v>
      </c>
      <c r="Q2094" s="1">
        <f>value(KWD!$B2094)</f>
        <v>44378.47315</v>
      </c>
    </row>
    <row r="2095">
      <c r="A2095" s="4">
        <f>value(USD!A2095)</f>
        <v>42459.99861</v>
      </c>
      <c r="B2095" s="1">
        <f>value(USD!B2095)</f>
        <v>13240</v>
      </c>
      <c r="C2095" s="1">
        <f>value(AUD!$B2095)</f>
        <v>9863.167</v>
      </c>
      <c r="D2095" s="1">
        <f>value(EUR!$B2095)</f>
        <v>14954.01586</v>
      </c>
      <c r="E2095" s="1">
        <f>value(GBP!$B2095)</f>
        <v>18673.1575</v>
      </c>
      <c r="F2095" s="1">
        <f>value(CHF!$B2095)</f>
        <v>13727.0325</v>
      </c>
      <c r="G2095" s="1">
        <f>value(SGD!$B2095)</f>
        <v>9773.54082</v>
      </c>
      <c r="H2095" s="1">
        <f>value(MYR!$B2095)</f>
        <v>3365.50026</v>
      </c>
      <c r="I2095" s="1">
        <f>value(THB!$B2095)</f>
        <v>372.8068</v>
      </c>
      <c r="J2095" s="1">
        <f>value(VND!$B2095)</f>
        <v>0.6027212012</v>
      </c>
      <c r="K2095" s="1">
        <f>value(CNY!$B2095)</f>
        <v>2018.9025</v>
      </c>
      <c r="L2095" s="1">
        <f>value(HKD!$B2095)</f>
        <v>1688.33835</v>
      </c>
      <c r="M2095" s="1">
        <f>value(TWD!$B2095)</f>
        <v>409.28718</v>
      </c>
      <c r="N2095" s="1">
        <f>value(JPY!$B2095)</f>
        <v>117.61792</v>
      </c>
      <c r="O2095" s="1">
        <f>value(SAR!$B2095)</f>
        <v>3521.168077</v>
      </c>
      <c r="P2095" s="1">
        <f>value(AED!$B2095)</f>
        <v>3703.55326</v>
      </c>
      <c r="Q2095" s="1">
        <f>value(KWD!$B2095)</f>
        <v>44381.06416</v>
      </c>
    </row>
    <row r="2096">
      <c r="A2096" s="4">
        <f>value(USD!A2096)</f>
        <v>42460.99861</v>
      </c>
      <c r="B2096" s="1">
        <f>value(USD!B2096)</f>
        <v>13158</v>
      </c>
      <c r="C2096" s="1">
        <f>value(AUD!$B2096)</f>
        <v>9835.947</v>
      </c>
      <c r="D2096" s="1">
        <f>value(EUR!$B2096)</f>
        <v>14974.69924</v>
      </c>
      <c r="E2096" s="1">
        <f>value(GBP!$B2096)</f>
        <v>18692.5035</v>
      </c>
      <c r="F2096" s="1">
        <f>value(CHF!$B2096)</f>
        <v>13764.85126</v>
      </c>
      <c r="G2096" s="1">
        <f>value(SGD!$B2096)</f>
        <v>9796.29396</v>
      </c>
      <c r="H2096" s="1">
        <f>value(MYR!$B2096)</f>
        <v>3368.987028</v>
      </c>
      <c r="I2096" s="1">
        <f>value(THB!$B2096)</f>
        <v>373.19304</v>
      </c>
      <c r="J2096" s="1">
        <f>value(VND!$B2096)</f>
        <v>0.6064571518</v>
      </c>
      <c r="K2096" s="1">
        <f>value(CNY!$B2096)</f>
        <v>2029.81632</v>
      </c>
      <c r="L2096" s="1">
        <f>value(HKD!$B2096)</f>
        <v>1685.50189</v>
      </c>
      <c r="M2096" s="1">
        <f>value(TWD!$B2096)</f>
        <v>408.876</v>
      </c>
      <c r="N2096" s="1">
        <f>value(JPY!$B2096)</f>
        <v>117.60837</v>
      </c>
      <c r="O2096" s="1">
        <f>value(SAR!$B2096)</f>
        <v>3508.060125</v>
      </c>
      <c r="P2096" s="1">
        <f>value(AED!$B2096)</f>
        <v>3690.21644</v>
      </c>
      <c r="Q2096" s="1">
        <f>value(KWD!$B2096)</f>
        <v>44211.20524</v>
      </c>
    </row>
    <row r="2097">
      <c r="A2097" s="4">
        <f>value(USD!A2097)</f>
        <v>42461.99861</v>
      </c>
      <c r="B2097" s="1">
        <f>value(USD!B2097)</f>
        <v>13127</v>
      </c>
      <c r="C2097" s="1">
        <f>value(AUD!$B2097)</f>
        <v>9882.62536</v>
      </c>
      <c r="D2097" s="1">
        <f>value(EUR!$B2097)</f>
        <v>14971.21698</v>
      </c>
      <c r="E2097" s="1">
        <f>value(GBP!$B2097)</f>
        <v>18689.08694</v>
      </c>
      <c r="F2097" s="1">
        <f>value(CHF!$B2097)</f>
        <v>13774.09828</v>
      </c>
      <c r="G2097" s="1">
        <f>value(SGD!$B2097)</f>
        <v>9757.42244</v>
      </c>
      <c r="H2097" s="1">
        <f>value(MYR!$B2097)</f>
        <v>3368.987028</v>
      </c>
      <c r="I2097" s="1">
        <f>value(THB!$B2097)</f>
        <v>373.19304</v>
      </c>
      <c r="J2097" s="1">
        <f>value(VND!$B2097)</f>
        <v>0.6076236119</v>
      </c>
      <c r="K2097" s="1">
        <f>value(CNY!$B2097)</f>
        <v>2034.357686</v>
      </c>
      <c r="L2097" s="1">
        <f>value(HKD!$B2097)</f>
        <v>1694.52195</v>
      </c>
      <c r="M2097" s="1">
        <f>value(TWD!$B2097)</f>
        <v>408.93209</v>
      </c>
      <c r="N2097" s="1">
        <f>value(JPY!$B2097)</f>
        <v>117.5820888</v>
      </c>
      <c r="O2097" s="1">
        <f>value(SAR!$B2097)</f>
        <v>3509.197487</v>
      </c>
      <c r="P2097" s="1">
        <f>value(AED!$B2097)</f>
        <v>3683.81475</v>
      </c>
      <c r="Q2097" s="1">
        <f>value(KWD!$B2097)</f>
        <v>44299.46136</v>
      </c>
    </row>
    <row r="2098">
      <c r="A2098" s="4">
        <f>value(USD!A2098)</f>
        <v>42462.99861</v>
      </c>
      <c r="B2098" s="1">
        <f>value(USD!B2098)</f>
        <v>13140.6</v>
      </c>
      <c r="C2098" s="1">
        <f>value(AUD!$B2098)</f>
        <v>9896.219844</v>
      </c>
      <c r="D2098" s="1">
        <f>value(EUR!$B2098)</f>
        <v>14959.89</v>
      </c>
      <c r="E2098" s="1">
        <f>value(GBP!$B2098)</f>
        <v>18740.1366</v>
      </c>
      <c r="F2098" s="1">
        <f>value(CHF!$B2098)</f>
        <v>13702.608</v>
      </c>
      <c r="G2098" s="1">
        <f>value(SGD!$B2098)</f>
        <v>9742.9241</v>
      </c>
      <c r="H2098" s="1">
        <f>value(MYR!$B2098)</f>
        <v>3360.8178</v>
      </c>
      <c r="I2098" s="1">
        <f>value(THB!$B2098)</f>
        <v>372.519</v>
      </c>
      <c r="J2098" s="1">
        <f>value(VND!$B2098)</f>
        <v>0.6038461434</v>
      </c>
      <c r="K2098" s="1">
        <f>value(CNY!$B2098)</f>
        <v>2021.46175</v>
      </c>
      <c r="L2098" s="1">
        <f>value(HKD!$B2098)</f>
        <v>1697.8708</v>
      </c>
      <c r="M2098" s="1">
        <f>value(TWD!$B2098)</f>
        <v>408.86334</v>
      </c>
      <c r="N2098" s="1">
        <f>value(JPY!$B2098)</f>
        <v>118.081296</v>
      </c>
      <c r="O2098" s="1">
        <f>value(SAR!$B2098)</f>
        <v>3512.457951</v>
      </c>
      <c r="P2098" s="1">
        <f>value(AED!$B2098)</f>
        <v>3683.082602</v>
      </c>
      <c r="Q2098" s="1">
        <f>value(KWD!$B2098)</f>
        <v>44325.52677</v>
      </c>
    </row>
    <row r="2099">
      <c r="A2099" s="4">
        <f>value(USD!A2099)</f>
        <v>42463.99861</v>
      </c>
      <c r="B2099" s="1">
        <f>value(USD!B2099)</f>
        <v>13140.6</v>
      </c>
      <c r="C2099" s="1">
        <f>value(AUD!$B2099)</f>
        <v>9838.87452</v>
      </c>
      <c r="D2099" s="1">
        <f>value(EUR!$B2099)</f>
        <v>15034.8294</v>
      </c>
      <c r="E2099" s="1">
        <f>value(GBP!$B2099)</f>
        <v>18698.3587</v>
      </c>
      <c r="F2099" s="1">
        <f>value(CHF!$B2099)</f>
        <v>13819.1985</v>
      </c>
      <c r="G2099" s="1">
        <f>value(SGD!$B2099)</f>
        <v>9750.983644</v>
      </c>
      <c r="H2099" s="1">
        <f>value(MYR!$B2099)</f>
        <v>3355.0758</v>
      </c>
      <c r="I2099" s="1">
        <f>value(THB!$B2099)</f>
        <v>373.843</v>
      </c>
      <c r="J2099" s="1">
        <f>value(VND!$B2099)</f>
        <v>0.6002069344</v>
      </c>
      <c r="K2099" s="1">
        <f>value(CNY!$B2099)</f>
        <v>2023.593</v>
      </c>
      <c r="L2099" s="1">
        <f>value(HKD!$B2099)</f>
        <v>1692.457</v>
      </c>
      <c r="M2099" s="1">
        <f>value(TWD!$B2099)</f>
        <v>407.38545</v>
      </c>
      <c r="N2099" s="1">
        <f>value(JPY!$B2099)</f>
        <v>119.652217</v>
      </c>
      <c r="O2099" s="1">
        <f>value(SAR!$B2099)</f>
        <v>3509.197487</v>
      </c>
      <c r="P2099" s="1">
        <f>value(AED!$B2099)</f>
        <v>3670.92388</v>
      </c>
      <c r="Q2099" s="1">
        <f>value(KWD!$B2099)</f>
        <v>44583.13782</v>
      </c>
    </row>
    <row r="2100">
      <c r="A2100" s="4">
        <f>value(USD!A2100)</f>
        <v>42464.99861</v>
      </c>
      <c r="B2100" s="1">
        <f>value(USD!B2100)</f>
        <v>13140</v>
      </c>
      <c r="C2100" s="1">
        <f>value(AUD!$B2100)</f>
        <v>9844.8561</v>
      </c>
      <c r="D2100" s="1">
        <f>value(EUR!$B2100)</f>
        <v>15018.0558</v>
      </c>
      <c r="E2100" s="1">
        <f>value(GBP!$B2100)</f>
        <v>18617.04136</v>
      </c>
      <c r="F2100" s="1">
        <f>value(CHF!$B2100)</f>
        <v>13946.745</v>
      </c>
      <c r="G2100" s="1">
        <f>value(SGD!$B2100)</f>
        <v>9753.0817</v>
      </c>
      <c r="H2100" s="1">
        <f>value(MYR!$B2100)</f>
        <v>3366.23632</v>
      </c>
      <c r="I2100" s="1">
        <f>value(THB!$B2100)</f>
        <v>373.68964</v>
      </c>
      <c r="J2100" s="1">
        <f>value(VND!$B2100)</f>
        <v>0.5990911943</v>
      </c>
      <c r="K2100" s="1">
        <f>value(CNY!$B2100)</f>
        <v>2023.1748</v>
      </c>
      <c r="L2100" s="1">
        <f>value(HKD!$B2100)</f>
        <v>1705.290589</v>
      </c>
      <c r="M2100" s="1">
        <f>value(TWD!$B2100)</f>
        <v>409.86468</v>
      </c>
      <c r="N2100" s="1">
        <f>value(JPY!$B2100)</f>
        <v>119.99692</v>
      </c>
      <c r="O2100" s="1">
        <f>value(SAR!$B2100)</f>
        <v>3507.474575</v>
      </c>
      <c r="P2100" s="1">
        <f>value(AED!$B2100)</f>
        <v>3668.71422</v>
      </c>
      <c r="Q2100" s="1">
        <f>value(KWD!$B2100)</f>
        <v>44408.67121</v>
      </c>
    </row>
    <row r="2101">
      <c r="A2101" s="4">
        <f>value(USD!A2101)</f>
        <v>42465.99861</v>
      </c>
      <c r="B2101" s="1">
        <f>value(USD!B2101)</f>
        <v>13210</v>
      </c>
      <c r="C2101" s="1">
        <f>value(AUD!$B2101)</f>
        <v>9894.5065</v>
      </c>
      <c r="D2101" s="1">
        <f>value(EUR!$B2101)</f>
        <v>14976.564</v>
      </c>
      <c r="E2101" s="1">
        <f>value(GBP!$B2101)</f>
        <v>18512.5874</v>
      </c>
      <c r="F2101" s="1">
        <f>value(CHF!$B2101)</f>
        <v>13782.716</v>
      </c>
      <c r="G2101" s="1">
        <f>value(SGD!$B2101)</f>
        <v>9735.768</v>
      </c>
      <c r="H2101" s="1">
        <f>value(MYR!$B2101)</f>
        <v>3333.43804</v>
      </c>
      <c r="I2101" s="1">
        <f>value(THB!$B2101)</f>
        <v>373.95308</v>
      </c>
      <c r="J2101" s="1">
        <f>value(VND!$B2101)</f>
        <v>0.5995879333</v>
      </c>
      <c r="K2101" s="1">
        <f>value(CNY!$B2101)</f>
        <v>2031.45936</v>
      </c>
      <c r="L2101" s="1">
        <f>value(HKD!$B2101)</f>
        <v>1689.49872</v>
      </c>
      <c r="M2101" s="1">
        <f>value(TWD!$B2101)</f>
        <v>408.39564</v>
      </c>
      <c r="N2101" s="1">
        <f>value(JPY!$B2101)</f>
        <v>121.4814044</v>
      </c>
      <c r="O2101" s="1">
        <f>value(SAR!$B2101)</f>
        <v>3512.640469</v>
      </c>
      <c r="P2101" s="1">
        <f>value(AED!$B2101)</f>
        <v>3674.97436</v>
      </c>
      <c r="Q2101" s="1">
        <f>value(KWD!$B2101)</f>
        <v>44183.29798</v>
      </c>
    </row>
    <row r="2102">
      <c r="A2102" s="4">
        <f>value(USD!A2102)</f>
        <v>42466.99861</v>
      </c>
      <c r="B2102" s="1">
        <f>value(USD!B2102)</f>
        <v>13172</v>
      </c>
      <c r="C2102" s="1">
        <f>value(AUD!$B2102)</f>
        <v>9822.755</v>
      </c>
      <c r="D2102" s="1">
        <f>value(EUR!$B2102)</f>
        <v>14944.2802</v>
      </c>
      <c r="E2102" s="1">
        <f>value(GBP!$B2102)</f>
        <v>18521.92105</v>
      </c>
      <c r="F2102" s="1">
        <f>value(CHF!$B2102)</f>
        <v>13682.68</v>
      </c>
      <c r="G2102" s="1">
        <f>value(SGD!$B2102)</f>
        <v>9750.88065</v>
      </c>
      <c r="H2102" s="1">
        <f>value(MYR!$B2102)</f>
        <v>3343.0135</v>
      </c>
      <c r="I2102" s="1">
        <f>value(THB!$B2102)</f>
        <v>373.2529</v>
      </c>
      <c r="J2102" s="1">
        <f>value(VND!$B2102)</f>
        <v>0.6013957593</v>
      </c>
      <c r="K2102" s="1">
        <f>value(CNY!$B2102)</f>
        <v>2028.73044</v>
      </c>
      <c r="L2102" s="1">
        <f>value(HKD!$B2102)</f>
        <v>1687.04712</v>
      </c>
      <c r="M2102" s="1">
        <f>value(TWD!$B2102)</f>
        <v>408.58482</v>
      </c>
      <c r="N2102" s="1">
        <f>value(JPY!$B2102)</f>
        <v>121.31375</v>
      </c>
      <c r="O2102" s="1">
        <f>value(SAR!$B2102)</f>
        <v>3481.297795</v>
      </c>
      <c r="P2102" s="1">
        <f>value(AED!$B2102)</f>
        <v>3694.02696</v>
      </c>
      <c r="Q2102" s="1">
        <f>value(KWD!$B2102)</f>
        <v>44774.15932</v>
      </c>
    </row>
    <row r="2103">
      <c r="A2103" s="4">
        <f>value(USD!A2103)</f>
        <v>42467.99861</v>
      </c>
      <c r="B2103" s="1">
        <f>value(USD!B2103)</f>
        <v>13172</v>
      </c>
      <c r="C2103" s="1">
        <f>value(AUD!$B2103)</f>
        <v>9827.925</v>
      </c>
      <c r="D2103" s="1">
        <f>value(EUR!$B2103)</f>
        <v>14979.64011</v>
      </c>
      <c r="E2103" s="1">
        <f>value(GBP!$B2103)</f>
        <v>18561.0975</v>
      </c>
      <c r="F2103" s="1">
        <f>value(CHF!$B2103)</f>
        <v>13780.15496</v>
      </c>
      <c r="G2103" s="1">
        <f>value(SGD!$B2103)</f>
        <v>9790.3146</v>
      </c>
      <c r="H2103" s="1">
        <f>value(MYR!$B2103)</f>
        <v>3349.53894</v>
      </c>
      <c r="I2103" s="1">
        <f>value(THB!$B2103)</f>
        <v>373.981476</v>
      </c>
      <c r="J2103" s="1">
        <f>value(VND!$B2103)</f>
        <v>0.601935156</v>
      </c>
      <c r="K2103" s="1">
        <f>value(CNY!$B2103)</f>
        <v>2040.666156</v>
      </c>
      <c r="L2103" s="1">
        <f>value(HKD!$B2103)</f>
        <v>1697.36072</v>
      </c>
      <c r="M2103" s="1">
        <f>value(TWD!$B2103)</f>
        <v>407.7864</v>
      </c>
      <c r="N2103" s="1">
        <f>value(JPY!$B2103)</f>
        <v>121.55055</v>
      </c>
      <c r="O2103" s="1">
        <f>value(SAR!$B2103)</f>
        <v>3486.360916</v>
      </c>
      <c r="P2103" s="1">
        <f>value(AED!$B2103)</f>
        <v>3679.32924</v>
      </c>
      <c r="Q2103" s="1">
        <f>value(KWD!$B2103)</f>
        <v>44136.38666</v>
      </c>
    </row>
    <row r="2104">
      <c r="A2104" s="4">
        <f>value(USD!A2104)</f>
        <v>42468.99861</v>
      </c>
      <c r="B2104" s="1">
        <f>value(USD!B2104)</f>
        <v>13115</v>
      </c>
      <c r="C2104" s="1">
        <f>value(AUD!$B2104)</f>
        <v>9854.275158</v>
      </c>
      <c r="D2104" s="1">
        <f>value(EUR!$B2104)</f>
        <v>14985.54024</v>
      </c>
      <c r="E2104" s="1">
        <f>value(GBP!$B2104)</f>
        <v>18565.17108</v>
      </c>
      <c r="F2104" s="1">
        <f>value(CHF!$B2104)</f>
        <v>13770.2838</v>
      </c>
      <c r="G2104" s="1">
        <f>value(SGD!$B2104)</f>
        <v>9798.90625</v>
      </c>
      <c r="H2104" s="1">
        <f>value(MYR!$B2104)</f>
        <v>3349.53894</v>
      </c>
      <c r="I2104" s="1">
        <f>value(THB!$B2104)</f>
        <v>374.112882</v>
      </c>
      <c r="J2104" s="1">
        <f>value(VND!$B2104)</f>
        <v>0.6000810537</v>
      </c>
      <c r="K2104" s="1">
        <f>value(CNY!$B2104)</f>
        <v>2014.53</v>
      </c>
      <c r="L2104" s="1">
        <f>value(HKD!$B2104)</f>
        <v>1697.73908</v>
      </c>
      <c r="M2104" s="1">
        <f>value(TWD!$B2104)</f>
        <v>402.2306775</v>
      </c>
      <c r="N2104" s="1">
        <f>value(JPY!$B2104)</f>
        <v>121.2982504</v>
      </c>
      <c r="O2104" s="1">
        <f>value(SAR!$B2104)</f>
        <v>3488.173573</v>
      </c>
      <c r="P2104" s="1">
        <f>value(AED!$B2104)</f>
        <v>3663.6774</v>
      </c>
      <c r="Q2104" s="1">
        <f>value(KWD!$B2104)</f>
        <v>43636.35513</v>
      </c>
    </row>
    <row r="2105">
      <c r="A2105" s="4">
        <f>value(USD!A2105)</f>
        <v>42469.99861</v>
      </c>
      <c r="B2105" s="1">
        <f>value(USD!B2105)</f>
        <v>13140.6</v>
      </c>
      <c r="C2105" s="1">
        <f>value(AUD!$B2105)</f>
        <v>9830.23195</v>
      </c>
      <c r="D2105" s="1">
        <f>value(EUR!$B2105)</f>
        <v>14942.83545</v>
      </c>
      <c r="E2105" s="1">
        <f>value(GBP!$B2105)</f>
        <v>18634.185</v>
      </c>
      <c r="F2105" s="1">
        <f>value(CHF!$B2105)</f>
        <v>13629.1202</v>
      </c>
      <c r="G2105" s="1">
        <f>value(SGD!$B2105)</f>
        <v>9822.978308</v>
      </c>
      <c r="H2105" s="1">
        <f>value(MYR!$B2105)</f>
        <v>3351.66525</v>
      </c>
      <c r="I2105" s="1">
        <f>value(THB!$B2105)</f>
        <v>373.4694</v>
      </c>
      <c r="J2105" s="1">
        <f>value(VND!$B2105)</f>
        <v>0.6024662294</v>
      </c>
      <c r="K2105" s="1">
        <f>value(CNY!$B2105)</f>
        <v>2010.91605</v>
      </c>
      <c r="L2105" s="1">
        <f>value(HKD!$B2105)</f>
        <v>1700.70355</v>
      </c>
      <c r="M2105" s="1">
        <f>value(TWD!$B2105)</f>
        <v>411.116</v>
      </c>
      <c r="N2105" s="1">
        <f>value(JPY!$B2105)</f>
        <v>121.288509</v>
      </c>
      <c r="O2105" s="1">
        <f>value(SAR!$B2105)</f>
        <v>3491.190539</v>
      </c>
      <c r="P2105" s="1">
        <f>value(AED!$B2105)</f>
        <v>3714.698094</v>
      </c>
      <c r="Q2105" s="1">
        <f>value(KWD!$B2105)</f>
        <v>43598.32219</v>
      </c>
    </row>
    <row r="2106">
      <c r="A2106" s="4">
        <f>value(USD!A2106)</f>
        <v>42470.99861</v>
      </c>
      <c r="B2106" s="1">
        <f>value(USD!B2106)</f>
        <v>13140.6</v>
      </c>
      <c r="C2106" s="1">
        <f>value(AUD!$B2106)</f>
        <v>9816.255</v>
      </c>
      <c r="D2106" s="1">
        <f>value(EUR!$B2106)</f>
        <v>14881.64955</v>
      </c>
      <c r="E2106" s="1">
        <f>value(GBP!$B2106)</f>
        <v>18648.24231</v>
      </c>
      <c r="F2106" s="1">
        <f>value(CHF!$B2106)</f>
        <v>13640.4359</v>
      </c>
      <c r="G2106" s="1">
        <f>value(SGD!$B2106)</f>
        <v>9829.054921</v>
      </c>
      <c r="H2106" s="1">
        <f>value(MYR!$B2106)</f>
        <v>3390.74401</v>
      </c>
      <c r="I2106" s="1">
        <f>value(THB!$B2106)</f>
        <v>373.10342</v>
      </c>
      <c r="J2106" s="1">
        <f>value(VND!$B2106)</f>
        <v>0.6029730601</v>
      </c>
      <c r="K2106" s="1">
        <f>value(CNY!$B2106)</f>
        <v>2005.3761</v>
      </c>
      <c r="L2106" s="1">
        <f>value(HKD!$B2106)</f>
        <v>1702.904967</v>
      </c>
      <c r="M2106" s="1">
        <f>value(TWD!$B2106)</f>
        <v>413.18352</v>
      </c>
      <c r="N2106" s="1">
        <f>value(JPY!$B2106)</f>
        <v>120.2990533</v>
      </c>
      <c r="O2106" s="1">
        <f>value(SAR!$B2106)</f>
        <v>3484.516754</v>
      </c>
      <c r="P2106" s="1">
        <f>value(AED!$B2106)</f>
        <v>3657.01048</v>
      </c>
      <c r="Q2106" s="1">
        <f>value(KWD!$B2106)</f>
        <v>43709.34511</v>
      </c>
    </row>
    <row r="2107">
      <c r="A2107" s="4">
        <f>value(USD!A2107)</f>
        <v>42471.99861</v>
      </c>
      <c r="B2107" s="1">
        <f>value(USD!B2107)</f>
        <v>13095</v>
      </c>
      <c r="C2107" s="1">
        <f>value(AUD!$B2107)</f>
        <v>9872.784</v>
      </c>
      <c r="D2107" s="1">
        <f>value(EUR!$B2107)</f>
        <v>14822.302</v>
      </c>
      <c r="E2107" s="1">
        <f>value(GBP!$B2107)</f>
        <v>18651.4405</v>
      </c>
      <c r="F2107" s="1">
        <f>value(CHF!$B2107)</f>
        <v>13647.348</v>
      </c>
      <c r="G2107" s="1">
        <f>value(SGD!$B2107)</f>
        <v>9760.2273</v>
      </c>
      <c r="H2107" s="1">
        <f>value(MYR!$B2107)</f>
        <v>3398.11395</v>
      </c>
      <c r="I2107" s="1">
        <f>value(THB!$B2107)</f>
        <v>374.76395</v>
      </c>
      <c r="J2107" s="1">
        <f>value(VND!$B2107)</f>
        <v>0.5991568685</v>
      </c>
      <c r="K2107" s="1">
        <f>value(CNY!$B2107)</f>
        <v>2013.735</v>
      </c>
      <c r="L2107" s="1">
        <f>value(HKD!$B2107)</f>
        <v>1700.3229</v>
      </c>
      <c r="M2107" s="1">
        <f>value(TWD!$B2107)</f>
        <v>413.91</v>
      </c>
      <c r="N2107" s="1">
        <f>value(JPY!$B2107)</f>
        <v>120.097978</v>
      </c>
      <c r="O2107" s="1">
        <f>value(SAR!$B2107)</f>
        <v>3480.872403</v>
      </c>
      <c r="P2107" s="1">
        <f>value(AED!$B2107)</f>
        <v>3619.836</v>
      </c>
      <c r="Q2107" s="1">
        <f>value(KWD!$B2107)</f>
        <v>43821.61706</v>
      </c>
    </row>
    <row r="2108">
      <c r="A2108" s="4">
        <f>value(USD!A2108)</f>
        <v>42472.99861</v>
      </c>
      <c r="B2108" s="1">
        <f>value(USD!B2108)</f>
        <v>13073</v>
      </c>
      <c r="C2108" s="1">
        <f>value(AUD!$B2108)</f>
        <v>9882.8838</v>
      </c>
      <c r="D2108" s="1">
        <f>value(EUR!$B2108)</f>
        <v>14842.2096</v>
      </c>
      <c r="E2108" s="1">
        <f>value(GBP!$B2108)</f>
        <v>18626.5252</v>
      </c>
      <c r="F2108" s="1">
        <f>value(CHF!$B2108)</f>
        <v>13661.3004</v>
      </c>
      <c r="G2108" s="1">
        <f>value(SGD!$B2108)</f>
        <v>9754.39485</v>
      </c>
      <c r="H2108" s="1">
        <f>value(MYR!$B2108)</f>
        <v>3363.07504</v>
      </c>
      <c r="I2108" s="1">
        <f>value(THB!$B2108)</f>
        <v>375.13856</v>
      </c>
      <c r="J2108" s="1">
        <f>value(VND!$B2108)</f>
        <v>0.5894876284</v>
      </c>
      <c r="K2108" s="1">
        <f>value(CNY!$B2108)</f>
        <v>2045.17125</v>
      </c>
      <c r="L2108" s="1">
        <f>value(HKD!$B2108)</f>
        <v>1696.4556</v>
      </c>
      <c r="M2108" s="1">
        <f>value(TWD!$B2108)</f>
        <v>413.13759</v>
      </c>
      <c r="N2108" s="1">
        <f>value(JPY!$B2108)</f>
        <v>120.464526</v>
      </c>
      <c r="O2108" s="1">
        <f>value(SAR!$B2108)</f>
        <v>3447.475093</v>
      </c>
      <c r="P2108" s="1">
        <f>value(AED!$B2108)</f>
        <v>3613.73386</v>
      </c>
      <c r="Q2108" s="1">
        <f>value(KWD!$B2108)</f>
        <v>43841.74643</v>
      </c>
    </row>
    <row r="2109">
      <c r="A2109" s="4">
        <f>value(USD!A2109)</f>
        <v>42473.99861</v>
      </c>
      <c r="B2109" s="1">
        <f>value(USD!B2109)</f>
        <v>13145</v>
      </c>
      <c r="C2109" s="1">
        <f>value(AUD!$B2109)</f>
        <v>9856.3476</v>
      </c>
      <c r="D2109" s="1">
        <f>value(EUR!$B2109)</f>
        <v>14815.2355</v>
      </c>
      <c r="E2109" s="1">
        <f>value(GBP!$B2109)</f>
        <v>18636.722</v>
      </c>
      <c r="F2109" s="1">
        <f>value(CHF!$B2109)</f>
        <v>13645.79613</v>
      </c>
      <c r="G2109" s="1">
        <f>value(SGD!$B2109)</f>
        <v>9830.8065</v>
      </c>
      <c r="H2109" s="1">
        <f>value(MYR!$B2109)</f>
        <v>3364.0373</v>
      </c>
      <c r="I2109" s="1">
        <f>value(THB!$B2109)</f>
        <v>374.4676</v>
      </c>
      <c r="J2109" s="1">
        <f>value(VND!$B2109)</f>
        <v>0.601617197</v>
      </c>
      <c r="K2109" s="1">
        <f>value(CNY!$B2109)</f>
        <v>2064.217356</v>
      </c>
      <c r="L2109" s="1">
        <f>value(HKD!$B2109)</f>
        <v>1695.6795</v>
      </c>
      <c r="M2109" s="1">
        <f>value(TWD!$B2109)</f>
        <v>415.57374</v>
      </c>
      <c r="N2109" s="1">
        <f>value(JPY!$B2109)</f>
        <v>120.6647</v>
      </c>
      <c r="O2109" s="1">
        <f>value(SAR!$B2109)</f>
        <v>3449.739673</v>
      </c>
      <c r="P2109" s="1">
        <f>value(AED!$B2109)</f>
        <v>3621.62708</v>
      </c>
      <c r="Q2109" s="1">
        <f>value(KWD!$B2109)</f>
        <v>43861.02203</v>
      </c>
    </row>
    <row r="2110">
      <c r="A2110" s="4">
        <f>value(USD!A2110)</f>
        <v>42474.99861</v>
      </c>
      <c r="B2110" s="1">
        <f>value(USD!B2110)</f>
        <v>13172</v>
      </c>
      <c r="C2110" s="1">
        <f>value(AUD!$B2110)</f>
        <v>9902.664191</v>
      </c>
      <c r="D2110" s="1">
        <f>value(EUR!$B2110)</f>
        <v>14928.95138</v>
      </c>
      <c r="E2110" s="1">
        <f>value(GBP!$B2110)</f>
        <v>18789.59858</v>
      </c>
      <c r="F2110" s="1">
        <f>value(CHF!$B2110)</f>
        <v>13615.704</v>
      </c>
      <c r="G2110" s="1">
        <f>value(SGD!$B2110)</f>
        <v>9823.92175</v>
      </c>
      <c r="H2110" s="1">
        <f>value(MYR!$B2110)</f>
        <v>3389.020337</v>
      </c>
      <c r="I2110" s="1">
        <f>value(THB!$B2110)</f>
        <v>377.2485852</v>
      </c>
      <c r="J2110" s="1">
        <f>value(VND!$B2110)</f>
        <v>0.6023097027</v>
      </c>
      <c r="K2110" s="1">
        <f>value(CNY!$B2110)</f>
        <v>2011.7655</v>
      </c>
      <c r="L2110" s="1">
        <f>value(HKD!$B2110)</f>
        <v>1697.3496</v>
      </c>
      <c r="M2110" s="1">
        <f>value(TWD!$B2110)</f>
        <v>415.82165</v>
      </c>
      <c r="N2110" s="1">
        <f>value(JPY!$B2110)</f>
        <v>121.5608169</v>
      </c>
      <c r="O2110" s="1">
        <f>value(SAR!$B2110)</f>
        <v>3463.218369</v>
      </c>
      <c r="P2110" s="1">
        <f>value(AED!$B2110)</f>
        <v>3632.2421</v>
      </c>
      <c r="Q2110" s="1">
        <f>value(KWD!$B2110)</f>
        <v>43548.69311</v>
      </c>
    </row>
    <row r="2111">
      <c r="A2111" s="4">
        <f>value(USD!A2111)</f>
        <v>42475.99861</v>
      </c>
      <c r="B2111" s="1">
        <f>value(USD!B2111)</f>
        <v>13130</v>
      </c>
      <c r="C2111" s="1">
        <f>value(AUD!$B2111)</f>
        <v>9881.85</v>
      </c>
      <c r="D2111" s="1">
        <f>value(EUR!$B2111)</f>
        <v>14941.79529</v>
      </c>
      <c r="E2111" s="1">
        <f>value(GBP!$B2111)</f>
        <v>18748.67267</v>
      </c>
      <c r="F2111" s="1">
        <f>value(CHF!$B2111)</f>
        <v>13584.36</v>
      </c>
      <c r="G2111" s="1">
        <f>value(SGD!$B2111)</f>
        <v>9773.1337</v>
      </c>
      <c r="H2111" s="1">
        <f>value(MYR!$B2111)</f>
        <v>3389.020337</v>
      </c>
      <c r="I2111" s="1">
        <f>value(THB!$B2111)</f>
        <v>377.5131354</v>
      </c>
      <c r="J2111" s="1">
        <f>value(VND!$B2111)</f>
        <v>0.6003784368</v>
      </c>
      <c r="K2111" s="1">
        <f>value(CNY!$B2111)</f>
        <v>1979.3956</v>
      </c>
      <c r="L2111" s="1">
        <f>value(HKD!$B2111)</f>
        <v>1698.12575</v>
      </c>
      <c r="M2111" s="1">
        <f>value(TWD!$B2111)</f>
        <v>416.6118</v>
      </c>
      <c r="N2111" s="1">
        <f>value(JPY!$B2111)</f>
        <v>122.425896</v>
      </c>
      <c r="O2111" s="1">
        <f>value(SAR!$B2111)</f>
        <v>3469.289819</v>
      </c>
      <c r="P2111" s="1">
        <f>value(AED!$B2111)</f>
        <v>3633.910563</v>
      </c>
      <c r="Q2111" s="1">
        <f>value(KWD!$B2111)</f>
        <v>43576.69984</v>
      </c>
    </row>
    <row r="2112">
      <c r="A2112" s="4">
        <f>value(USD!A2112)</f>
        <v>42476.99861</v>
      </c>
      <c r="B2112" s="1">
        <f>value(USD!B2112)</f>
        <v>13227.51</v>
      </c>
      <c r="C2112" s="1">
        <f>value(AUD!$B2112)</f>
        <v>9874.975</v>
      </c>
      <c r="D2112" s="1">
        <f>value(EUR!$B2112)</f>
        <v>14816.56176</v>
      </c>
      <c r="E2112" s="1">
        <f>value(GBP!$B2112)</f>
        <v>18725.48496</v>
      </c>
      <c r="F2112" s="1">
        <f>value(CHF!$B2112)</f>
        <v>13597.5635</v>
      </c>
      <c r="G2112" s="1">
        <f>value(SGD!$B2112)</f>
        <v>9844.097663</v>
      </c>
      <c r="H2112" s="1">
        <f>value(MYR!$B2112)</f>
        <v>3363.01056</v>
      </c>
      <c r="I2112" s="1">
        <f>value(THB!$B2112)</f>
        <v>374.25024</v>
      </c>
      <c r="J2112" s="1">
        <f>value(VND!$B2112)</f>
        <v>0.5992795955</v>
      </c>
      <c r="K2112" s="1">
        <f>value(CNY!$B2112)</f>
        <v>1979.39035</v>
      </c>
      <c r="L2112" s="1">
        <f>value(HKD!$B2112)</f>
        <v>1702.772867</v>
      </c>
      <c r="M2112" s="1">
        <f>value(TWD!$B2112)</f>
        <v>419.04849</v>
      </c>
      <c r="N2112" s="1">
        <f>value(JPY!$B2112)</f>
        <v>120.1086432</v>
      </c>
      <c r="O2112" s="1">
        <f>value(SAR!$B2112)</f>
        <v>3468.756656</v>
      </c>
      <c r="P2112" s="1">
        <f>value(AED!$B2112)</f>
        <v>3635.50826</v>
      </c>
      <c r="Q2112" s="1">
        <f>value(KWD!$B2112)</f>
        <v>44029.53</v>
      </c>
    </row>
    <row r="2113">
      <c r="A2113" s="4">
        <f>value(USD!A2113)</f>
        <v>42477.99861</v>
      </c>
      <c r="B2113" s="1">
        <f>value(USD!B2113)</f>
        <v>13227.51</v>
      </c>
      <c r="C2113" s="1">
        <f>value(AUD!$B2113)</f>
        <v>9910.7645</v>
      </c>
      <c r="D2113" s="1">
        <f>value(EUR!$B2113)</f>
        <v>14862.16278</v>
      </c>
      <c r="E2113" s="1">
        <f>value(GBP!$B2113)</f>
        <v>18827.4825</v>
      </c>
      <c r="F2113" s="1">
        <f>value(CHF!$B2113)</f>
        <v>13722.793</v>
      </c>
      <c r="G2113" s="1">
        <f>value(SGD!$B2113)</f>
        <v>9748.62252</v>
      </c>
      <c r="H2113" s="1">
        <f>value(MYR!$B2113)</f>
        <v>3403.0143</v>
      </c>
      <c r="I2113" s="1">
        <f>value(THB!$B2113)</f>
        <v>375.43734</v>
      </c>
      <c r="J2113" s="1">
        <f>value(VND!$B2113)</f>
        <v>0.5996483736</v>
      </c>
      <c r="K2113" s="1">
        <f>value(CNY!$B2113)</f>
        <v>1979.97602</v>
      </c>
      <c r="L2113" s="1">
        <f>value(HKD!$B2113)</f>
        <v>1702.640766</v>
      </c>
      <c r="M2113" s="1">
        <f>value(TWD!$B2113)</f>
        <v>418.08816</v>
      </c>
      <c r="N2113" s="1">
        <f>value(JPY!$B2113)</f>
        <v>119.7578376</v>
      </c>
      <c r="O2113" s="1">
        <f>value(SAR!$B2113)</f>
        <v>3456.493913</v>
      </c>
      <c r="P2113" s="1">
        <f>value(AED!$B2113)</f>
        <v>3614.00604</v>
      </c>
      <c r="Q2113" s="1">
        <f>value(KWD!$B2113)</f>
        <v>43920.08623</v>
      </c>
    </row>
    <row r="2114">
      <c r="A2114" s="4">
        <f>value(USD!A2114)</f>
        <v>42478.99861</v>
      </c>
      <c r="B2114" s="1">
        <f>value(USD!B2114)</f>
        <v>13104</v>
      </c>
      <c r="C2114" s="1">
        <f>value(AUD!$B2114)</f>
        <v>9975.925</v>
      </c>
      <c r="D2114" s="1">
        <f>value(EUR!$B2114)</f>
        <v>14879.81822</v>
      </c>
      <c r="E2114" s="1">
        <f>value(GBP!$B2114)</f>
        <v>18874.7776</v>
      </c>
      <c r="F2114" s="1">
        <f>value(CHF!$B2114)</f>
        <v>13736.9685</v>
      </c>
      <c r="G2114" s="1">
        <f>value(SGD!$B2114)</f>
        <v>9717.5135</v>
      </c>
      <c r="H2114" s="1">
        <f>value(MYR!$B2114)</f>
        <v>3393.79982</v>
      </c>
      <c r="I2114" s="1">
        <f>value(THB!$B2114)</f>
        <v>376.94258</v>
      </c>
      <c r="J2114" s="1">
        <f>value(VND!$B2114)</f>
        <v>0.5946211906</v>
      </c>
      <c r="K2114" s="1">
        <f>value(CNY!$B2114)</f>
        <v>1974.0698</v>
      </c>
      <c r="L2114" s="1">
        <f>value(HKD!$B2114)</f>
        <v>1687.29075</v>
      </c>
      <c r="M2114" s="1">
        <f>value(TWD!$B2114)</f>
        <v>417.45424</v>
      </c>
      <c r="N2114" s="1">
        <f>value(JPY!$B2114)</f>
        <v>119.843515</v>
      </c>
      <c r="O2114" s="1">
        <f>value(SAR!$B2114)</f>
        <v>3458.746897</v>
      </c>
      <c r="P2114" s="1">
        <f>value(AED!$B2114)</f>
        <v>3614.5504</v>
      </c>
      <c r="Q2114" s="1">
        <f>value(KWD!$B2114)</f>
        <v>43904.91438</v>
      </c>
    </row>
    <row r="2115">
      <c r="A2115" s="4">
        <f>value(USD!A2115)</f>
        <v>42479.99861</v>
      </c>
      <c r="B2115" s="1">
        <f>value(USD!B2115)</f>
        <v>13086</v>
      </c>
      <c r="C2115" s="1">
        <f>value(AUD!$B2115)</f>
        <v>9990.72375</v>
      </c>
      <c r="D2115" s="1">
        <f>value(EUR!$B2115)</f>
        <v>14870.66112</v>
      </c>
      <c r="E2115" s="1">
        <f>value(GBP!$B2115)</f>
        <v>18863.75292</v>
      </c>
      <c r="F2115" s="1">
        <f>value(CHF!$B2115)</f>
        <v>13746.58573</v>
      </c>
      <c r="G2115" s="1">
        <f>value(SGD!$B2115)</f>
        <v>9687.92851</v>
      </c>
      <c r="H2115" s="1">
        <f>value(MYR!$B2115)</f>
        <v>3340.81436</v>
      </c>
      <c r="I2115" s="1">
        <f>value(THB!$B2115)</f>
        <v>375.27028</v>
      </c>
      <c r="J2115" s="1">
        <f>value(VND!$B2115)</f>
        <v>0.597907119</v>
      </c>
      <c r="K2115" s="1">
        <f>value(CNY!$B2115)</f>
        <v>1968.633733</v>
      </c>
      <c r="L2115" s="1">
        <f>value(HKD!$B2115)</f>
        <v>1698.228</v>
      </c>
      <c r="M2115" s="1">
        <f>value(TWD!$B2115)</f>
        <v>417.16398</v>
      </c>
      <c r="N2115" s="1">
        <f>value(JPY!$B2115)</f>
        <v>120.3367576</v>
      </c>
      <c r="O2115" s="1">
        <f>value(SAR!$B2115)</f>
        <v>3477.715495</v>
      </c>
      <c r="P2115" s="1">
        <f>value(AED!$B2115)</f>
        <v>3652.11124</v>
      </c>
      <c r="Q2115" s="1">
        <f>value(KWD!$B2115)</f>
        <v>43904.91438</v>
      </c>
    </row>
    <row r="2116">
      <c r="A2116" s="4">
        <f>value(USD!A2116)</f>
        <v>42480.99861</v>
      </c>
      <c r="B2116" s="1">
        <f>value(USD!B2116)</f>
        <v>13166</v>
      </c>
      <c r="C2116" s="1">
        <f>value(AUD!$B2116)</f>
        <v>10104.76028</v>
      </c>
      <c r="D2116" s="1">
        <f>value(EUR!$B2116)</f>
        <v>14810.19995</v>
      </c>
      <c r="E2116" s="1">
        <f>value(GBP!$B2116)</f>
        <v>19002.1195</v>
      </c>
      <c r="F2116" s="1">
        <f>value(CHF!$B2116)</f>
        <v>13678.108</v>
      </c>
      <c r="G2116" s="1">
        <f>value(SGD!$B2116)</f>
        <v>9650.56785</v>
      </c>
      <c r="H2116" s="1">
        <f>value(MYR!$B2116)</f>
        <v>3375.67685</v>
      </c>
      <c r="I2116" s="1">
        <f>value(THB!$B2116)</f>
        <v>375.7936</v>
      </c>
      <c r="J2116" s="1">
        <f>value(VND!$B2116)</f>
        <v>0.5988201702</v>
      </c>
      <c r="K2116" s="1">
        <f>value(CNY!$B2116)</f>
        <v>1974.014307</v>
      </c>
      <c r="L2116" s="1">
        <f>value(HKD!$B2116)</f>
        <v>1719.6135</v>
      </c>
      <c r="M2116" s="1">
        <f>value(TWD!$B2116)</f>
        <v>416.28594</v>
      </c>
      <c r="N2116" s="1">
        <f>value(JPY!$B2116)</f>
        <v>117.9633</v>
      </c>
      <c r="O2116" s="1">
        <f>value(SAR!$B2116)</f>
        <v>3474.569468</v>
      </c>
      <c r="P2116" s="1">
        <f>value(AED!$B2116)</f>
        <v>3650.20598</v>
      </c>
      <c r="Q2116" s="1">
        <f>value(KWD!$B2116)</f>
        <v>43819.78292</v>
      </c>
    </row>
    <row r="2117">
      <c r="A2117" s="4">
        <f>value(USD!A2117)</f>
        <v>42481.99861</v>
      </c>
      <c r="B2117" s="1">
        <f>value(USD!B2117)</f>
        <v>13172</v>
      </c>
      <c r="C2117" s="1">
        <f>value(AUD!$B2117)</f>
        <v>9845.33675</v>
      </c>
      <c r="D2117" s="1">
        <f>value(EUR!$B2117)</f>
        <v>14842.58897</v>
      </c>
      <c r="E2117" s="1">
        <f>value(GBP!$B2117)</f>
        <v>19059.53238</v>
      </c>
      <c r="F2117" s="1">
        <f>value(CHF!$B2117)</f>
        <v>13659.562</v>
      </c>
      <c r="G2117" s="1">
        <f>value(SGD!$B2117)</f>
        <v>9713.6952</v>
      </c>
      <c r="H2117" s="1">
        <f>value(MYR!$B2117)</f>
        <v>3383.993883</v>
      </c>
      <c r="I2117" s="1">
        <f>value(THB!$B2117)</f>
        <v>376.5872097</v>
      </c>
      <c r="J2117" s="1">
        <f>value(VND!$B2117)</f>
        <v>0.5948298892</v>
      </c>
      <c r="K2117" s="1">
        <f>value(CNY!$B2117)</f>
        <v>1959.1306</v>
      </c>
      <c r="L2117" s="1">
        <f>value(HKD!$B2117)</f>
        <v>1719.1029</v>
      </c>
      <c r="M2117" s="1">
        <f>value(TWD!$B2117)</f>
        <v>419.28978</v>
      </c>
      <c r="N2117" s="1">
        <f>value(JPY!$B2117)</f>
        <v>118.2539394</v>
      </c>
      <c r="O2117" s="1">
        <f>value(SAR!$B2117)</f>
        <v>3471.239718</v>
      </c>
      <c r="P2117" s="1">
        <f>value(AED!$B2117)</f>
        <v>3649.66162</v>
      </c>
      <c r="Q2117" s="1">
        <f>value(KWD!$B2117)</f>
        <v>43785.8141</v>
      </c>
    </row>
    <row r="2118">
      <c r="A2118" s="4">
        <f>value(USD!A2118)</f>
        <v>42482.99861</v>
      </c>
      <c r="B2118" s="1">
        <f>value(USD!B2118)</f>
        <v>13195</v>
      </c>
      <c r="C2118" s="1">
        <f>value(AUD!$B2118)</f>
        <v>9739.716</v>
      </c>
      <c r="D2118" s="1">
        <f>value(EUR!$B2118)</f>
        <v>14836.97729</v>
      </c>
      <c r="E2118" s="1">
        <f>value(GBP!$B2118)</f>
        <v>19078.18952</v>
      </c>
      <c r="F2118" s="1">
        <f>value(CHF!$B2118)</f>
        <v>13729.1112</v>
      </c>
      <c r="G2118" s="1">
        <f>value(SGD!$B2118)</f>
        <v>9697.063852</v>
      </c>
      <c r="H2118" s="1">
        <f>value(MYR!$B2118)</f>
        <v>3379.521974</v>
      </c>
      <c r="I2118" s="1">
        <f>value(THB!$B2118)</f>
        <v>376.3537547</v>
      </c>
      <c r="J2118" s="1">
        <f>value(VND!$B2118)</f>
        <v>0.5926238887</v>
      </c>
      <c r="K2118" s="1">
        <f>value(CNY!$B2118)</f>
        <v>1970.1836</v>
      </c>
      <c r="L2118" s="1">
        <f>value(HKD!$B2118)</f>
        <v>1714.7273</v>
      </c>
      <c r="M2118" s="1">
        <f>value(TWD!$B2118)</f>
        <v>417.3193</v>
      </c>
      <c r="N2118" s="1">
        <f>value(JPY!$B2118)</f>
        <v>118.5177471</v>
      </c>
      <c r="O2118" s="1">
        <f>value(SAR!$B2118)</f>
        <v>3458.748799</v>
      </c>
      <c r="P2118" s="1">
        <f>value(AED!$B2118)</f>
        <v>3649.66162</v>
      </c>
      <c r="Q2118" s="1">
        <f>value(KWD!$B2118)</f>
        <v>43909.70043</v>
      </c>
    </row>
    <row r="2119">
      <c r="A2119" s="4">
        <f>value(USD!A2119)</f>
        <v>42483.99861</v>
      </c>
      <c r="B2119" s="1">
        <f>value(USD!B2119)</f>
        <v>13227.51</v>
      </c>
      <c r="C2119" s="1">
        <f>value(AUD!$B2119)</f>
        <v>9811.94242</v>
      </c>
      <c r="D2119" s="1">
        <f>value(EUR!$B2119)</f>
        <v>14859.854</v>
      </c>
      <c r="E2119" s="1">
        <f>value(GBP!$B2119)</f>
        <v>19107.034</v>
      </c>
      <c r="F2119" s="1">
        <f>value(CHF!$B2119)</f>
        <v>13693.9743</v>
      </c>
      <c r="G2119" s="1">
        <f>value(SGD!$B2119)</f>
        <v>9723.9996</v>
      </c>
      <c r="H2119" s="1">
        <f>value(MYR!$B2119)</f>
        <v>3370.5726</v>
      </c>
      <c r="I2119" s="1">
        <f>value(THB!$B2119)</f>
        <v>375.6512</v>
      </c>
      <c r="J2119" s="1">
        <f>value(VND!$B2119)</f>
        <v>0.5966217021</v>
      </c>
      <c r="K2119" s="1">
        <f>value(CNY!$B2119)</f>
        <v>1974.40128</v>
      </c>
      <c r="L2119" s="1">
        <f>value(HKD!$B2119)</f>
        <v>1726.94296</v>
      </c>
      <c r="M2119" s="1">
        <f>value(TWD!$B2119)</f>
        <v>416.8662</v>
      </c>
      <c r="N2119" s="1">
        <f>value(JPY!$B2119)</f>
        <v>118.640093</v>
      </c>
      <c r="O2119" s="1">
        <f>value(SAR!$B2119)</f>
        <v>3457.682189</v>
      </c>
      <c r="P2119" s="1">
        <f>value(AED!$B2119)</f>
        <v>3644.508478</v>
      </c>
      <c r="Q2119" s="1">
        <f>value(KWD!$B2119)</f>
        <v>43968.59132</v>
      </c>
    </row>
    <row r="2120">
      <c r="A2120" s="4">
        <f>value(USD!A2120)</f>
        <v>42484.99861</v>
      </c>
      <c r="B2120" s="1">
        <f>value(USD!B2120)</f>
        <v>13210.03</v>
      </c>
      <c r="C2120" s="1">
        <f>value(AUD!$B2120)</f>
        <v>9812.64836</v>
      </c>
      <c r="D2120" s="1">
        <f>value(EUR!$B2120)</f>
        <v>14864.878</v>
      </c>
      <c r="E2120" s="1">
        <f>value(GBP!$B2120)</f>
        <v>19176.752</v>
      </c>
      <c r="F2120" s="1">
        <f>value(CHF!$B2120)</f>
        <v>13626.444</v>
      </c>
      <c r="G2120" s="1">
        <f>value(SGD!$B2120)</f>
        <v>9714.94828</v>
      </c>
      <c r="H2120" s="1">
        <f>value(MYR!$B2120)</f>
        <v>3349.22</v>
      </c>
      <c r="I2120" s="1">
        <f>value(THB!$B2120)</f>
        <v>374.1388</v>
      </c>
      <c r="J2120" s="1">
        <f>value(VND!$B2120)</f>
        <v>0.597220353</v>
      </c>
      <c r="K2120" s="1">
        <f>value(CNY!$B2120)</f>
        <v>1960.546</v>
      </c>
      <c r="L2120" s="1">
        <f>value(HKD!$B2120)</f>
        <v>1722.69006</v>
      </c>
      <c r="M2120" s="1">
        <f>value(TWD!$B2120)</f>
        <v>415.0926</v>
      </c>
      <c r="N2120" s="1">
        <f>value(JPY!$B2120)</f>
        <v>118.276816</v>
      </c>
      <c r="O2120" s="1">
        <f>value(SAR!$B2120)</f>
        <v>3451.350966</v>
      </c>
      <c r="P2120" s="1">
        <f>value(AED!$B2120)</f>
        <v>3639.1803</v>
      </c>
      <c r="Q2120" s="1">
        <f>value(KWD!$B2120)</f>
        <v>43994.09982</v>
      </c>
    </row>
    <row r="2121">
      <c r="A2121" s="4">
        <f>value(USD!A2121)</f>
        <v>42485.99861</v>
      </c>
      <c r="B2121" s="1">
        <f>value(USD!B2121)</f>
        <v>13190</v>
      </c>
      <c r="C2121" s="1">
        <f>value(AUD!$B2121)</f>
        <v>9831.7909</v>
      </c>
      <c r="D2121" s="1">
        <f>value(EUR!$B2121)</f>
        <v>14900.4054</v>
      </c>
      <c r="E2121" s="1">
        <f>value(GBP!$B2121)</f>
        <v>19125.13365</v>
      </c>
      <c r="F2121" s="1">
        <f>value(CHF!$B2121)</f>
        <v>13814.30942</v>
      </c>
      <c r="G2121" s="1">
        <f>value(SGD!$B2121)</f>
        <v>9722.3721</v>
      </c>
      <c r="H2121" s="1">
        <f>value(MYR!$B2121)</f>
        <v>3369.65325</v>
      </c>
      <c r="I2121" s="1">
        <f>value(THB!$B2121)</f>
        <v>374.25975</v>
      </c>
      <c r="J2121" s="1">
        <f>value(VND!$B2121)</f>
        <v>0.5932482309</v>
      </c>
      <c r="K2121" s="1">
        <f>value(CNY!$B2121)</f>
        <v>1957.1007</v>
      </c>
      <c r="L2121" s="1">
        <f>value(HKD!$B2121)</f>
        <v>1713.04836</v>
      </c>
      <c r="M2121" s="1">
        <f>value(TWD!$B2121)</f>
        <v>416.58819</v>
      </c>
      <c r="N2121" s="1">
        <f>value(JPY!$B2121)</f>
        <v>117.92142</v>
      </c>
      <c r="O2121" s="1">
        <f>value(SAR!$B2121)</f>
        <v>3488.427851</v>
      </c>
      <c r="P2121" s="1">
        <f>value(AED!$B2121)</f>
        <v>3653.06199</v>
      </c>
      <c r="Q2121" s="1">
        <f>value(KWD!$B2121)</f>
        <v>43941.76094</v>
      </c>
    </row>
    <row r="2122">
      <c r="A2122" s="4">
        <f>value(USD!A2122)</f>
        <v>42486.99861</v>
      </c>
      <c r="B2122" s="1">
        <f>value(USD!B2122)</f>
        <v>13160</v>
      </c>
      <c r="C2122" s="1">
        <f>value(AUD!$B2122)</f>
        <v>9839.88783</v>
      </c>
      <c r="D2122" s="1">
        <f>value(EUR!$B2122)</f>
        <v>14954.535</v>
      </c>
      <c r="E2122" s="1">
        <f>value(GBP!$B2122)</f>
        <v>19238.736</v>
      </c>
      <c r="F2122" s="1">
        <f>value(CHF!$B2122)</f>
        <v>13804.9413</v>
      </c>
      <c r="G2122" s="1">
        <f>value(SGD!$B2122)</f>
        <v>9855.2874</v>
      </c>
      <c r="H2122" s="1">
        <f>value(MYR!$B2122)</f>
        <v>3385.6119</v>
      </c>
      <c r="I2122" s="1">
        <f>value(THB!$B2122)</f>
        <v>376.1352</v>
      </c>
      <c r="J2122" s="1">
        <f>value(VND!$B2122)</f>
        <v>0.5938322276</v>
      </c>
      <c r="K2122" s="1">
        <f>value(CNY!$B2122)</f>
        <v>1962.680016</v>
      </c>
      <c r="L2122" s="1">
        <f>value(HKD!$B2122)</f>
        <v>1706.74348</v>
      </c>
      <c r="M2122" s="1">
        <f>value(TWD!$B2122)</f>
        <v>415.15887</v>
      </c>
      <c r="N2122" s="1">
        <f>value(JPY!$B2122)</f>
        <v>121.833036</v>
      </c>
      <c r="O2122" s="1">
        <f>value(SAR!$B2122)</f>
        <v>3475.254886</v>
      </c>
      <c r="P2122" s="1">
        <f>value(AED!$B2122)</f>
        <v>3657.96141</v>
      </c>
      <c r="Q2122" s="1">
        <f>value(KWD!$B2122)</f>
        <v>43941.76094</v>
      </c>
    </row>
    <row r="2123">
      <c r="A2123" s="4">
        <f>value(USD!A2123)</f>
        <v>42487.99861</v>
      </c>
      <c r="B2123" s="1">
        <f>value(USD!B2123)</f>
        <v>13155</v>
      </c>
      <c r="C2123" s="1">
        <f>value(AUD!$B2123)</f>
        <v>9790.0191</v>
      </c>
      <c r="D2123" s="1">
        <f>value(EUR!$B2123)</f>
        <v>15081.4225</v>
      </c>
      <c r="E2123" s="1">
        <f>value(GBP!$B2123)</f>
        <v>19245.38125</v>
      </c>
      <c r="F2123" s="1">
        <f>value(CHF!$B2123)</f>
        <v>13745.5004</v>
      </c>
      <c r="G2123" s="1">
        <f>value(SGD!$B2123)</f>
        <v>9845.53035</v>
      </c>
      <c r="H2123" s="1">
        <f>value(MYR!$B2123)</f>
        <v>3360.152</v>
      </c>
      <c r="I2123" s="1">
        <f>value(THB!$B2123)</f>
        <v>376.93675</v>
      </c>
      <c r="J2123" s="1">
        <f>value(VND!$B2123)</f>
        <v>0.5941506341</v>
      </c>
      <c r="K2123" s="1">
        <f>value(CNY!$B2123)</f>
        <v>1962.811422</v>
      </c>
      <c r="L2123" s="1">
        <f>value(HKD!$B2123)</f>
        <v>1707.7742</v>
      </c>
      <c r="M2123" s="1">
        <f>value(TWD!$B2123)</f>
        <v>415.67994</v>
      </c>
      <c r="N2123" s="1">
        <f>value(JPY!$B2123)</f>
        <v>123.845</v>
      </c>
      <c r="O2123" s="1">
        <f>value(SAR!$B2123)</f>
        <v>3482.486076</v>
      </c>
      <c r="P2123" s="1">
        <f>value(AED!$B2123)</f>
        <v>3660.54882</v>
      </c>
      <c r="Q2123" s="1">
        <f>value(KWD!$B2123)</f>
        <v>43971.20156</v>
      </c>
    </row>
    <row r="2124">
      <c r="A2124" s="4">
        <f>value(USD!A2124)</f>
        <v>42488.99861</v>
      </c>
      <c r="B2124" s="1">
        <f>value(USD!B2124)</f>
        <v>13170</v>
      </c>
      <c r="C2124" s="1">
        <f>value(AUD!$B2124)</f>
        <v>9830.262</v>
      </c>
      <c r="D2124" s="1">
        <f>value(EUR!$B2124)</f>
        <v>15123.26506</v>
      </c>
      <c r="E2124" s="1">
        <f>value(GBP!$B2124)</f>
        <v>19305.13784</v>
      </c>
      <c r="F2124" s="1">
        <f>value(CHF!$B2124)</f>
        <v>13731.6795</v>
      </c>
      <c r="G2124" s="1">
        <f>value(SGD!$B2124)</f>
        <v>9863.4818</v>
      </c>
      <c r="H2124" s="1">
        <f>value(MYR!$B2124)</f>
        <v>3369.086051</v>
      </c>
      <c r="I2124" s="1">
        <f>value(THB!$B2124)</f>
        <v>377.9389583</v>
      </c>
      <c r="J2124" s="1">
        <f>value(VND!$B2124)</f>
        <v>0.5945079821</v>
      </c>
      <c r="K2124" s="1">
        <f>value(CNY!$B2124)</f>
        <v>1959.6032</v>
      </c>
      <c r="L2124" s="1">
        <f>value(HKD!$B2124)</f>
        <v>1716.76164</v>
      </c>
      <c r="M2124" s="1">
        <f>value(TWD!$B2124)</f>
        <v>417.22926</v>
      </c>
      <c r="N2124" s="1">
        <f>value(JPY!$B2124)</f>
        <v>124.174282</v>
      </c>
      <c r="O2124" s="1">
        <f>value(SAR!$B2124)</f>
        <v>3484.694897</v>
      </c>
      <c r="P2124" s="1">
        <f>value(AED!$B2124)</f>
        <v>3656.59693</v>
      </c>
      <c r="Q2124" s="1">
        <f>value(KWD!$B2124)</f>
        <v>43971.20156</v>
      </c>
    </row>
    <row r="2125">
      <c r="A2125" s="4">
        <f>value(USD!A2125)</f>
        <v>42489.99861</v>
      </c>
      <c r="B2125" s="1">
        <f>value(USD!B2125)</f>
        <v>13175</v>
      </c>
      <c r="C2125" s="1">
        <f>value(AUD!$B2125)</f>
        <v>9791.8296</v>
      </c>
      <c r="D2125" s="1">
        <f>value(EUR!$B2125)</f>
        <v>15140.54378</v>
      </c>
      <c r="E2125" s="1">
        <f>value(GBP!$B2125)</f>
        <v>19284.00179</v>
      </c>
      <c r="F2125" s="1">
        <f>value(CHF!$B2125)</f>
        <v>13765.154</v>
      </c>
      <c r="G2125" s="1">
        <f>value(SGD!$B2125)</f>
        <v>9820.2912</v>
      </c>
      <c r="H2125" s="1">
        <f>value(MYR!$B2125)</f>
        <v>3369.086051</v>
      </c>
      <c r="I2125" s="1">
        <f>value(THB!$B2125)</f>
        <v>378.2031589</v>
      </c>
      <c r="J2125" s="1">
        <f>value(VND!$B2125)</f>
        <v>0.5972060423</v>
      </c>
      <c r="K2125" s="1">
        <f>value(CNY!$B2125)</f>
        <v>1953.928</v>
      </c>
      <c r="L2125" s="1">
        <f>value(HKD!$B2125)</f>
        <v>1714.645948</v>
      </c>
      <c r="M2125" s="1">
        <f>value(TWD!$B2125)</f>
        <v>418.04376</v>
      </c>
      <c r="N2125" s="1">
        <f>value(JPY!$B2125)</f>
        <v>124.0619967</v>
      </c>
      <c r="O2125" s="1">
        <f>value(SAR!$B2125)</f>
        <v>3490.72457</v>
      </c>
      <c r="P2125" s="1">
        <f>value(AED!$B2125)</f>
        <v>3657.53724</v>
      </c>
      <c r="Q2125" s="1">
        <f>value(KWD!$B2125)</f>
        <v>43950.24319</v>
      </c>
    </row>
    <row r="2126">
      <c r="A2126" s="4">
        <f>value(USD!A2126)</f>
        <v>42490.99861</v>
      </c>
      <c r="B2126" s="1">
        <f>value(USD!B2126)</f>
        <v>13210.03</v>
      </c>
      <c r="C2126" s="1">
        <f>value(AUD!$B2126)</f>
        <v>9930.53556</v>
      </c>
      <c r="D2126" s="1">
        <f>value(EUR!$B2126)</f>
        <v>15089.23755</v>
      </c>
      <c r="E2126" s="1">
        <f>value(GBP!$B2126)</f>
        <v>19199.889</v>
      </c>
      <c r="F2126" s="1">
        <f>value(CHF!$B2126)</f>
        <v>13739.295</v>
      </c>
      <c r="G2126" s="1">
        <f>value(SGD!$B2126)</f>
        <v>9820.609</v>
      </c>
      <c r="H2126" s="1">
        <f>value(MYR!$B2126)</f>
        <v>3340.66545</v>
      </c>
      <c r="I2126" s="1">
        <f>value(THB!$B2126)</f>
        <v>375.3027</v>
      </c>
      <c r="J2126" s="1">
        <f>value(VND!$B2126)</f>
        <v>0.5836618365</v>
      </c>
      <c r="K2126" s="1">
        <f>value(CNY!$B2126)</f>
        <v>1946.2631</v>
      </c>
      <c r="L2126" s="1">
        <f>value(HKD!$B2126)</f>
        <v>1715.3496</v>
      </c>
      <c r="M2126" s="1">
        <f>value(TWD!$B2126)</f>
        <v>418.36218</v>
      </c>
      <c r="N2126" s="1">
        <f>value(JPY!$B2126)</f>
        <v>123.043239</v>
      </c>
      <c r="O2126" s="1">
        <f>value(SAR!$B2126)</f>
        <v>3494.461391</v>
      </c>
      <c r="P2126" s="1">
        <f>value(AED!$B2126)</f>
        <v>3660.376233</v>
      </c>
      <c r="Q2126" s="1">
        <f>value(KWD!$B2126)</f>
        <v>44135.44884</v>
      </c>
    </row>
    <row r="2127">
      <c r="A2127" s="4">
        <f>value(USD!A2127)</f>
        <v>42491.99861</v>
      </c>
      <c r="B2127" s="1">
        <f>value(USD!B2127)</f>
        <v>13210.03</v>
      </c>
      <c r="C2127" s="1">
        <f>value(AUD!$B2127)</f>
        <v>9811.9</v>
      </c>
      <c r="D2127" s="1">
        <f>value(EUR!$B2127)</f>
        <v>15163.67295</v>
      </c>
      <c r="E2127" s="1">
        <f>value(GBP!$B2127)</f>
        <v>19180.2195</v>
      </c>
      <c r="F2127" s="1">
        <f>value(CHF!$B2127)</f>
        <v>13745.3992</v>
      </c>
      <c r="G2127" s="1">
        <f>value(SGD!$B2127)</f>
        <v>9870.29064</v>
      </c>
      <c r="H2127" s="1">
        <f>value(MYR!$B2127)</f>
        <v>3300.7329</v>
      </c>
      <c r="I2127" s="1">
        <f>value(THB!$B2127)</f>
        <v>376.2999</v>
      </c>
      <c r="J2127" s="1">
        <f>value(VND!$B2127)</f>
        <v>0.5839579215</v>
      </c>
      <c r="K2127" s="1">
        <f>value(CNY!$B2127)</f>
        <v>1947.5316</v>
      </c>
      <c r="L2127" s="1">
        <f>value(HKD!$B2127)</f>
        <v>1715.3584</v>
      </c>
      <c r="M2127" s="1">
        <f>value(TWD!$B2127)</f>
        <v>405.0596394</v>
      </c>
      <c r="N2127" s="1">
        <f>value(JPY!$B2127)</f>
        <v>123.5685015</v>
      </c>
      <c r="O2127" s="1">
        <f>value(SAR!$B2127)</f>
        <v>3483.517844</v>
      </c>
      <c r="P2127" s="1">
        <f>value(AED!$B2127)</f>
        <v>3659.04682</v>
      </c>
      <c r="Q2127" s="1">
        <f>value(KWD!$B2127)</f>
        <v>44056.92765</v>
      </c>
    </row>
    <row r="2128">
      <c r="A2128" s="4">
        <f>value(USD!A2128)</f>
        <v>42492.99861</v>
      </c>
      <c r="B2128" s="1">
        <f>value(USD!B2128)</f>
        <v>13095</v>
      </c>
      <c r="C2128" s="1">
        <f>value(AUD!$B2128)</f>
        <v>9915.7672</v>
      </c>
      <c r="D2128" s="1">
        <f>value(EUR!$B2128)</f>
        <v>15337.815</v>
      </c>
      <c r="E2128" s="1">
        <f>value(GBP!$B2128)</f>
        <v>19361.505</v>
      </c>
      <c r="F2128" s="1">
        <f>value(CHF!$B2128)</f>
        <v>13801.87762</v>
      </c>
      <c r="G2128" s="1">
        <f>value(SGD!$B2128)</f>
        <v>9862.3171</v>
      </c>
      <c r="H2128" s="1">
        <f>value(MYR!$B2128)</f>
        <v>3310.3995</v>
      </c>
      <c r="I2128" s="1">
        <f>value(THB!$B2128)</f>
        <v>379.8075</v>
      </c>
      <c r="J2128" s="1">
        <f>value(VND!$B2128)</f>
        <v>0.5910825157</v>
      </c>
      <c r="K2128" s="1">
        <f>value(CNY!$B2128)</f>
        <v>1936.31088</v>
      </c>
      <c r="L2128" s="1">
        <f>value(HKD!$B2128)</f>
        <v>1729.75625</v>
      </c>
      <c r="M2128" s="1">
        <f>value(TWD!$B2128)</f>
        <v>418.8657</v>
      </c>
      <c r="N2128" s="1">
        <f>value(JPY!$B2128)</f>
        <v>124.84119</v>
      </c>
      <c r="O2128" s="1">
        <f>value(SAR!$B2128)</f>
        <v>3475.150753</v>
      </c>
      <c r="P2128" s="1">
        <f>value(AED!$B2128)</f>
        <v>3655.23951</v>
      </c>
      <c r="Q2128" s="1">
        <f>value(KWD!$B2128)</f>
        <v>44302.41973</v>
      </c>
    </row>
    <row r="2129">
      <c r="A2129" s="4">
        <f>value(USD!A2129)</f>
        <v>42493.99861</v>
      </c>
      <c r="B2129" s="1">
        <f>value(USD!B2129)</f>
        <v>13185</v>
      </c>
      <c r="C2129" s="1">
        <f>value(AUD!$B2129)</f>
        <v>9944.80608</v>
      </c>
      <c r="D2129" s="1">
        <f>value(EUR!$B2129)</f>
        <v>15215.969</v>
      </c>
      <c r="E2129" s="1">
        <f>value(GBP!$B2129)</f>
        <v>19337.83915</v>
      </c>
      <c r="F2129" s="1">
        <f>value(CHF!$B2129)</f>
        <v>13754.0835</v>
      </c>
      <c r="G2129" s="1">
        <f>value(SGD!$B2129)</f>
        <v>9825.7116</v>
      </c>
      <c r="H2129" s="1">
        <f>value(MYR!$B2129)</f>
        <v>3323.83915</v>
      </c>
      <c r="I2129" s="1">
        <f>value(THB!$B2129)</f>
        <v>379.39835</v>
      </c>
      <c r="J2129" s="1">
        <f>value(VND!$B2129)</f>
        <v>0.5856346289</v>
      </c>
      <c r="K2129" s="1">
        <f>value(CNY!$B2129)</f>
        <v>1966.578239</v>
      </c>
      <c r="L2129" s="1">
        <f>value(HKD!$B2129)</f>
        <v>1749.9484</v>
      </c>
      <c r="M2129" s="1">
        <f>value(TWD!$B2129)</f>
        <v>417.70944</v>
      </c>
      <c r="N2129" s="1">
        <f>value(JPY!$B2129)</f>
        <v>124.370062</v>
      </c>
      <c r="O2129" s="1">
        <f>value(SAR!$B2129)</f>
        <v>3463.356012</v>
      </c>
      <c r="P2129" s="1">
        <f>value(AED!$B2129)</f>
        <v>3671.8431</v>
      </c>
      <c r="Q2129" s="1">
        <f>value(KWD!$B2129)</f>
        <v>44302.41973</v>
      </c>
    </row>
    <row r="2130">
      <c r="A2130" s="4">
        <f>value(USD!A2130)</f>
        <v>42494.99861</v>
      </c>
      <c r="B2130" s="1">
        <f>value(USD!B2130)</f>
        <v>13350</v>
      </c>
      <c r="C2130" s="1">
        <f>value(AUD!$B2130)</f>
        <v>9930.482826</v>
      </c>
      <c r="D2130" s="1">
        <f>value(EUR!$B2130)</f>
        <v>15177.5261</v>
      </c>
      <c r="E2130" s="1">
        <f>value(GBP!$B2130)</f>
        <v>19204.4666</v>
      </c>
      <c r="F2130" s="1">
        <f>value(CHF!$B2130)</f>
        <v>13699.2039</v>
      </c>
      <c r="G2130" s="1">
        <f>value(SGD!$B2130)</f>
        <v>9949.447843</v>
      </c>
      <c r="H2130" s="1">
        <f>value(MYR!$B2130)</f>
        <v>3325.9028</v>
      </c>
      <c r="I2130" s="1">
        <f>value(THB!$B2130)</f>
        <v>378.6695</v>
      </c>
      <c r="J2130" s="1">
        <f>value(VND!$B2130)</f>
        <v>0.5883567648</v>
      </c>
      <c r="K2130" s="1">
        <f>value(CNY!$B2130)</f>
        <v>1970.262448</v>
      </c>
      <c r="L2130" s="1">
        <f>value(HKD!$B2130)</f>
        <v>1750.9635</v>
      </c>
      <c r="M2130" s="1">
        <f>value(TWD!$B2130)</f>
        <v>418.4145</v>
      </c>
      <c r="N2130" s="1">
        <f>value(JPY!$B2130)</f>
        <v>124.3154</v>
      </c>
      <c r="O2130" s="1">
        <f>value(SAR!$B2130)</f>
        <v>3471.703087</v>
      </c>
      <c r="P2130" s="1">
        <f>value(AED!$B2130)</f>
        <v>3665.31054</v>
      </c>
      <c r="Q2130" s="1">
        <f>value(KWD!$B2130)</f>
        <v>44282.75599</v>
      </c>
    </row>
    <row r="2131">
      <c r="A2131" s="4">
        <f>value(USD!A2131)</f>
        <v>42495.99861</v>
      </c>
      <c r="B2131" s="1">
        <f>value(USD!B2131)</f>
        <v>13345</v>
      </c>
      <c r="C2131" s="1">
        <f>value(AUD!$B2131)</f>
        <v>9887.3632</v>
      </c>
      <c r="D2131" s="1">
        <f>value(EUR!$B2131)</f>
        <v>15287.98273</v>
      </c>
      <c r="E2131" s="1">
        <f>value(GBP!$B2131)</f>
        <v>19344.84426</v>
      </c>
      <c r="F2131" s="1">
        <f>value(CHF!$B2131)</f>
        <v>13774.1355</v>
      </c>
      <c r="G2131" s="1">
        <f>value(SGD!$B2131)</f>
        <v>9881.38452</v>
      </c>
      <c r="H2131" s="1">
        <f>value(MYR!$B2131)</f>
        <v>3349.596421</v>
      </c>
      <c r="I2131" s="1">
        <f>value(THB!$B2131)</f>
        <v>381.367129</v>
      </c>
      <c r="J2131" s="1">
        <f>value(VND!$B2131)</f>
        <v>0.5980974469</v>
      </c>
      <c r="K2131" s="1">
        <f>value(CNY!$B2131)</f>
        <v>1949.9298</v>
      </c>
      <c r="L2131" s="1">
        <f>value(HKD!$B2131)</f>
        <v>1753.541178</v>
      </c>
      <c r="M2131" s="1">
        <f>value(TWD!$B2131)</f>
        <v>418.32</v>
      </c>
      <c r="N2131" s="1">
        <f>value(JPY!$B2131)</f>
        <v>125.2010188</v>
      </c>
      <c r="O2131" s="1">
        <f>value(SAR!$B2131)</f>
        <v>3472.429539</v>
      </c>
      <c r="P2131" s="1">
        <f>value(AED!$B2131)</f>
        <v>3679.46442</v>
      </c>
      <c r="Q2131" s="1">
        <f>value(KWD!$B2131)</f>
        <v>44187.79629</v>
      </c>
    </row>
    <row r="2132">
      <c r="A2132" s="4">
        <f>value(USD!A2132)</f>
        <v>42496.99861</v>
      </c>
      <c r="B2132" s="1">
        <f>value(USD!B2132)</f>
        <v>13310</v>
      </c>
      <c r="C2132" s="1">
        <f>value(AUD!$B2132)</f>
        <v>9941.707</v>
      </c>
      <c r="D2132" s="1">
        <f>value(EUR!$B2132)</f>
        <v>15266.74949</v>
      </c>
      <c r="E2132" s="1">
        <f>value(GBP!$B2132)</f>
        <v>19340.47429</v>
      </c>
      <c r="F2132" s="1">
        <f>value(CHF!$B2132)</f>
        <v>13734.95</v>
      </c>
      <c r="G2132" s="1">
        <f>value(SGD!$B2132)</f>
        <v>9902.36226</v>
      </c>
      <c r="H2132" s="1">
        <f>value(MYR!$B2132)</f>
        <v>3349.596421</v>
      </c>
      <c r="I2132" s="1">
        <f>value(THB!$B2132)</f>
        <v>381.2330808</v>
      </c>
      <c r="J2132" s="1">
        <f>value(VND!$B2132)</f>
        <v>0.5950431491</v>
      </c>
      <c r="K2132" s="1">
        <f>value(CNY!$B2132)</f>
        <v>1954.91583</v>
      </c>
      <c r="L2132" s="1">
        <f>value(HKD!$B2132)</f>
        <v>1742.8688</v>
      </c>
      <c r="M2132" s="1">
        <f>value(TWD!$B2132)</f>
        <v>418.0995</v>
      </c>
      <c r="N2132" s="1">
        <f>value(JPY!$B2132)</f>
        <v>124.7988742</v>
      </c>
      <c r="O2132" s="1">
        <f>value(SAR!$B2132)</f>
        <v>3478.562218</v>
      </c>
      <c r="P2132" s="1">
        <f>value(AED!$B2132)</f>
        <v>3681.472789</v>
      </c>
      <c r="Q2132" s="1">
        <f>value(KWD!$B2132)</f>
        <v>43962.97897</v>
      </c>
    </row>
    <row r="2133">
      <c r="A2133" s="4">
        <f>value(USD!A2133)</f>
        <v>42497.99861</v>
      </c>
      <c r="B2133" s="1">
        <f>value(USD!B2133)</f>
        <v>13404.82</v>
      </c>
      <c r="C2133" s="1">
        <f>value(AUD!$B2133)</f>
        <v>9885.02265</v>
      </c>
      <c r="D2133" s="1">
        <f>value(EUR!$B2133)</f>
        <v>15229.84827</v>
      </c>
      <c r="E2133" s="1">
        <f>value(GBP!$B2133)</f>
        <v>19280.2701</v>
      </c>
      <c r="F2133" s="1">
        <f>value(CHF!$B2133)</f>
        <v>13816.3968</v>
      </c>
      <c r="G2133" s="1">
        <f>value(SGD!$B2133)</f>
        <v>9879.7712</v>
      </c>
      <c r="H2133" s="1">
        <f>value(MYR!$B2133)</f>
        <v>3298.50066</v>
      </c>
      <c r="I2133" s="1">
        <f>value(THB!$B2133)</f>
        <v>379.37172</v>
      </c>
      <c r="J2133" s="1">
        <f>value(VND!$B2133)</f>
        <v>0.5830122574</v>
      </c>
      <c r="K2133" s="1">
        <f>value(CNY!$B2133)</f>
        <v>1962.21165</v>
      </c>
      <c r="L2133" s="1">
        <f>value(HKD!$B2133)</f>
        <v>1746.5947</v>
      </c>
      <c r="M2133" s="1">
        <f>value(TWD!$B2133)</f>
        <v>416.1703</v>
      </c>
      <c r="N2133" s="1">
        <f>value(JPY!$B2133)</f>
        <v>123.46971</v>
      </c>
      <c r="O2133" s="1">
        <f>value(SAR!$B2133)</f>
        <v>3479.628771</v>
      </c>
      <c r="P2133" s="1">
        <f>value(AED!$B2133)</f>
        <v>3679.838757</v>
      </c>
      <c r="Q2133" s="1">
        <f>value(KWD!$B2133)</f>
        <v>43683.71929</v>
      </c>
    </row>
    <row r="2134">
      <c r="A2134" s="4">
        <f>value(USD!A2134)</f>
        <v>42498.99861</v>
      </c>
      <c r="B2134" s="1">
        <f>value(USD!B2134)</f>
        <v>13404.82</v>
      </c>
      <c r="C2134" s="1">
        <f>value(AUD!$B2134)</f>
        <v>9910.0428</v>
      </c>
      <c r="D2134" s="1">
        <f>value(EUR!$B2134)</f>
        <v>15123.94838</v>
      </c>
      <c r="E2134" s="1">
        <f>value(GBP!$B2134)</f>
        <v>19212.9504</v>
      </c>
      <c r="F2134" s="1">
        <f>value(CHF!$B2134)</f>
        <v>13855.61087</v>
      </c>
      <c r="G2134" s="1">
        <f>value(SGD!$B2134)</f>
        <v>9892.5646</v>
      </c>
      <c r="H2134" s="1">
        <f>value(MYR!$B2134)</f>
        <v>3290.32414</v>
      </c>
      <c r="I2134" s="1">
        <f>value(THB!$B2134)</f>
        <v>377.26426</v>
      </c>
      <c r="J2134" s="1">
        <f>value(VND!$B2134)</f>
        <v>0.5983096237</v>
      </c>
      <c r="K2134" s="1">
        <f>value(CNY!$B2134)</f>
        <v>1963.76558</v>
      </c>
      <c r="L2134" s="1">
        <f>value(HKD!$B2134)</f>
        <v>1752.16608</v>
      </c>
      <c r="M2134" s="1">
        <f>value(TWD!$B2134)</f>
        <v>416.30225</v>
      </c>
      <c r="N2134" s="1">
        <f>value(JPY!$B2134)</f>
        <v>121.80968</v>
      </c>
      <c r="O2134" s="1">
        <f>value(SAR!$B2134)</f>
        <v>3473.478971</v>
      </c>
      <c r="P2134" s="1">
        <f>value(AED!$B2134)</f>
        <v>3676.19814</v>
      </c>
      <c r="Q2134" s="1">
        <f>value(KWD!$B2134)</f>
        <v>43673.1475</v>
      </c>
    </row>
    <row r="2135">
      <c r="A2135" s="4">
        <f>value(USD!A2135)</f>
        <v>42499.99861</v>
      </c>
      <c r="B2135" s="1">
        <f>value(USD!B2135)</f>
        <v>13377</v>
      </c>
      <c r="C2135" s="1">
        <f>value(AUD!$B2135)</f>
        <v>9898.12236</v>
      </c>
      <c r="D2135" s="1">
        <f>value(EUR!$B2135)</f>
        <v>15133.3728</v>
      </c>
      <c r="E2135" s="1">
        <f>value(GBP!$B2135)</f>
        <v>19122.0445</v>
      </c>
      <c r="F2135" s="1">
        <f>value(CHF!$B2135)</f>
        <v>13835.1906</v>
      </c>
      <c r="G2135" s="1">
        <f>value(SGD!$B2135)</f>
        <v>9888.12674</v>
      </c>
      <c r="H2135" s="1">
        <f>value(MYR!$B2135)</f>
        <v>3295.45619</v>
      </c>
      <c r="I2135" s="1">
        <f>value(THB!$B2135)</f>
        <v>375.55245</v>
      </c>
      <c r="J2135" s="1">
        <f>value(VND!$B2135)</f>
        <v>0.5958267877</v>
      </c>
      <c r="K2135" s="1">
        <f>value(CNY!$B2135)</f>
        <v>1959.0822</v>
      </c>
      <c r="L2135" s="1">
        <f>value(HKD!$B2135)</f>
        <v>1744.43375</v>
      </c>
      <c r="M2135" s="1">
        <f>value(TWD!$B2135)</f>
        <v>416.30225</v>
      </c>
      <c r="N2135" s="1">
        <f>value(JPY!$B2135)</f>
        <v>122.13734</v>
      </c>
      <c r="O2135" s="1">
        <f>value(SAR!$B2135)</f>
        <v>3464.238923</v>
      </c>
      <c r="P2135" s="1">
        <f>value(AED!$B2135)</f>
        <v>3659.05017</v>
      </c>
      <c r="Q2135" s="1">
        <f>value(KWD!$B2135)</f>
        <v>43705.56349</v>
      </c>
    </row>
    <row r="2136">
      <c r="A2136" s="4">
        <f>value(USD!A2136)</f>
        <v>42500.99861</v>
      </c>
      <c r="B2136" s="1">
        <f>value(USD!B2136)</f>
        <v>13298</v>
      </c>
      <c r="C2136" s="1">
        <f>value(AUD!$B2136)</f>
        <v>9969.733253</v>
      </c>
      <c r="D2136" s="1">
        <f>value(EUR!$B2136)</f>
        <v>15074.9115</v>
      </c>
      <c r="E2136" s="1">
        <f>value(GBP!$B2136)</f>
        <v>19145.38945</v>
      </c>
      <c r="F2136" s="1">
        <f>value(CHF!$B2136)</f>
        <v>13853.295</v>
      </c>
      <c r="G2136" s="1">
        <f>value(SGD!$B2136)</f>
        <v>9918.726567</v>
      </c>
      <c r="H2136" s="1">
        <f>value(MYR!$B2136)</f>
        <v>3291.87925</v>
      </c>
      <c r="I2136" s="1">
        <f>value(THB!$B2136)</f>
        <v>374.98395</v>
      </c>
      <c r="J2136" s="1">
        <f>value(VND!$B2136)</f>
        <v>0.5851754369</v>
      </c>
      <c r="K2136" s="1">
        <f>value(CNY!$B2136)</f>
        <v>1959.841089</v>
      </c>
      <c r="L2136" s="1">
        <f>value(HKD!$B2136)</f>
        <v>1745.5788</v>
      </c>
      <c r="M2136" s="1">
        <f>value(TWD!$B2136)</f>
        <v>416.45625</v>
      </c>
      <c r="N2136" s="1">
        <f>value(JPY!$B2136)</f>
        <v>121.437008</v>
      </c>
      <c r="O2136" s="1">
        <f>value(SAR!$B2136)</f>
        <v>3477.610653</v>
      </c>
      <c r="P2136" s="1">
        <f>value(AED!$B2136)</f>
        <v>3633.05864</v>
      </c>
      <c r="Q2136" s="1">
        <f>value(KWD!$B2136)</f>
        <v>43705.56349</v>
      </c>
    </row>
    <row r="2137">
      <c r="A2137" s="4">
        <f>value(USD!A2137)</f>
        <v>42501.99861</v>
      </c>
      <c r="B2137" s="1">
        <f>value(USD!B2137)</f>
        <v>13247</v>
      </c>
      <c r="C2137" s="1">
        <f>value(AUD!$B2137)</f>
        <v>9984.864826</v>
      </c>
      <c r="D2137" s="1">
        <f>value(EUR!$B2137)</f>
        <v>15073.29252</v>
      </c>
      <c r="E2137" s="1">
        <f>value(GBP!$B2137)</f>
        <v>19140.35244</v>
      </c>
      <c r="F2137" s="1">
        <f>value(CHF!$B2137)</f>
        <v>13858.128</v>
      </c>
      <c r="G2137" s="1">
        <f>value(SGD!$B2137)</f>
        <v>9845.28108</v>
      </c>
      <c r="H2137" s="1">
        <f>value(MYR!$B2137)</f>
        <v>3296.07036</v>
      </c>
      <c r="I2137" s="1">
        <f>value(THB!$B2137)</f>
        <v>375.69576</v>
      </c>
      <c r="J2137" s="1">
        <f>value(VND!$B2137)</f>
        <v>0.5940840997</v>
      </c>
      <c r="K2137" s="1">
        <f>value(CNY!$B2137)</f>
        <v>1959.92865</v>
      </c>
      <c r="L2137" s="1">
        <f>value(HKD!$B2137)</f>
        <v>1768.406112</v>
      </c>
      <c r="M2137" s="1">
        <f>value(TWD!$B2137)</f>
        <v>419.1618</v>
      </c>
      <c r="N2137" s="1">
        <f>value(JPY!$B2137)</f>
        <v>122.6544</v>
      </c>
      <c r="O2137" s="1">
        <f>value(SAR!$B2137)</f>
        <v>3484.702759</v>
      </c>
      <c r="P2137" s="1">
        <f>value(AED!$B2137)</f>
        <v>3625.16542</v>
      </c>
      <c r="Q2137" s="1">
        <f>value(KWD!$B2137)</f>
        <v>43735.04558</v>
      </c>
    </row>
    <row r="2138">
      <c r="A2138" s="4">
        <f>value(USD!A2138)</f>
        <v>42502.99861</v>
      </c>
      <c r="B2138" s="1">
        <f>value(USD!B2138)</f>
        <v>13255</v>
      </c>
      <c r="C2138" s="1">
        <f>value(AUD!$B2138)</f>
        <v>9903.70784</v>
      </c>
      <c r="D2138" s="1">
        <f>value(EUR!$B2138)</f>
        <v>15078.51623</v>
      </c>
      <c r="E2138" s="1">
        <f>value(GBP!$B2138)</f>
        <v>19149.10187</v>
      </c>
      <c r="F2138" s="1">
        <f>value(CHF!$B2138)</f>
        <v>13865.2188</v>
      </c>
      <c r="G2138" s="1">
        <f>value(SGD!$B2138)</f>
        <v>9784.67325</v>
      </c>
      <c r="H2138" s="1">
        <f>value(MYR!$B2138)</f>
        <v>3296.399175</v>
      </c>
      <c r="I2138" s="1">
        <f>value(THB!$B2138)</f>
        <v>375.7332394</v>
      </c>
      <c r="J2138" s="1">
        <f>value(VND!$B2138)</f>
        <v>0.5951649493</v>
      </c>
      <c r="K2138" s="1">
        <f>value(CNY!$B2138)</f>
        <v>1972.72056</v>
      </c>
      <c r="L2138" s="1">
        <f>value(HKD!$B2138)</f>
        <v>1754.3097</v>
      </c>
      <c r="M2138" s="1">
        <f>value(TWD!$B2138)</f>
        <v>418.24</v>
      </c>
      <c r="N2138" s="1">
        <f>value(JPY!$B2138)</f>
        <v>122.666636</v>
      </c>
      <c r="O2138" s="1">
        <f>value(SAR!$B2138)</f>
        <v>3483.559457</v>
      </c>
      <c r="P2138" s="1">
        <f>value(AED!$B2138)</f>
        <v>3631.42556</v>
      </c>
      <c r="Q2138" s="1">
        <f>value(KWD!$B2138)</f>
        <v>43619.55313</v>
      </c>
    </row>
    <row r="2139">
      <c r="A2139" s="4">
        <f>value(USD!A2139)</f>
        <v>42503.99861</v>
      </c>
      <c r="B2139" s="1">
        <f>value(USD!B2139)</f>
        <v>13332</v>
      </c>
      <c r="C2139" s="1">
        <f>value(AUD!$B2139)</f>
        <v>9829.04603</v>
      </c>
      <c r="D2139" s="1">
        <f>value(EUR!$B2139)</f>
        <v>15066.83376</v>
      </c>
      <c r="E2139" s="1">
        <f>value(GBP!$B2139)</f>
        <v>19102.64987</v>
      </c>
      <c r="F2139" s="1">
        <f>value(CHF!$B2139)</f>
        <v>13889.2776</v>
      </c>
      <c r="G2139" s="1">
        <f>value(SGD!$B2139)</f>
        <v>9806.95735</v>
      </c>
      <c r="H2139" s="1">
        <f>value(MYR!$B2139)</f>
        <v>3292.008371</v>
      </c>
      <c r="I2139" s="1">
        <f>value(THB!$B2139)</f>
        <v>375.499074</v>
      </c>
      <c r="J2139" s="1">
        <f>value(VND!$B2139)</f>
        <v>0.5986154413</v>
      </c>
      <c r="K2139" s="1">
        <f>value(CNY!$B2139)</f>
        <v>1964.0451</v>
      </c>
      <c r="L2139" s="1">
        <f>value(HKD!$B2139)</f>
        <v>1755.8541</v>
      </c>
      <c r="M2139" s="1">
        <f>value(TWD!$B2139)</f>
        <v>417.35703</v>
      </c>
      <c r="N2139" s="1">
        <f>value(JPY!$B2139)</f>
        <v>122.5165595</v>
      </c>
      <c r="O2139" s="1">
        <f>value(SAR!$B2139)</f>
        <v>3483.559457</v>
      </c>
      <c r="P2139" s="1">
        <f>value(AED!$B2139)</f>
        <v>3633.442203</v>
      </c>
      <c r="Q2139" s="1">
        <f>value(KWD!$B2139)</f>
        <v>43544.20014</v>
      </c>
    </row>
    <row r="2140">
      <c r="A2140" s="4">
        <f>value(USD!A2140)</f>
        <v>42504.99861</v>
      </c>
      <c r="B2140" s="1">
        <f>value(USD!B2140)</f>
        <v>13333.33</v>
      </c>
      <c r="C2140" s="1">
        <f>value(AUD!$B2140)</f>
        <v>9787.99345</v>
      </c>
      <c r="D2140" s="1">
        <f>value(EUR!$B2140)</f>
        <v>15067.584</v>
      </c>
      <c r="E2140" s="1">
        <f>value(GBP!$B2140)</f>
        <v>19239.2748</v>
      </c>
      <c r="F2140" s="1">
        <f>value(CHF!$B2140)</f>
        <v>13885.32986</v>
      </c>
      <c r="G2140" s="1">
        <f>value(SGD!$B2140)</f>
        <v>9783.1375</v>
      </c>
      <c r="H2140" s="1">
        <f>value(MYR!$B2140)</f>
        <v>3309.4872</v>
      </c>
      <c r="I2140" s="1">
        <f>value(THB!$B2140)</f>
        <v>376.1568</v>
      </c>
      <c r="J2140" s="1">
        <f>value(VND!$B2140)</f>
        <v>0.5991203135</v>
      </c>
      <c r="K2140" s="1">
        <f>value(CNY!$B2140)</f>
        <v>1961.18102</v>
      </c>
      <c r="L2140" s="1">
        <f>value(HKD!$B2140)</f>
        <v>1751.1987</v>
      </c>
      <c r="M2140" s="1">
        <f>value(TWD!$B2140)</f>
        <v>418.23798</v>
      </c>
      <c r="N2140" s="1">
        <f>value(JPY!$B2140)</f>
        <v>122.085792</v>
      </c>
      <c r="O2140" s="1">
        <f>value(SAR!$B2140)</f>
        <v>3483.559457</v>
      </c>
      <c r="P2140" s="1">
        <f>value(AED!$B2140)</f>
        <v>3635.893183</v>
      </c>
      <c r="Q2140" s="1">
        <f>value(KWD!$B2140)</f>
        <v>43404.56736</v>
      </c>
    </row>
    <row r="2141">
      <c r="A2141" s="4">
        <f>value(USD!A2141)</f>
        <v>42505.99861</v>
      </c>
      <c r="B2141" s="1">
        <f>value(USD!B2141)</f>
        <v>13315.57</v>
      </c>
      <c r="C2141" s="1">
        <f>value(AUD!$B2141)</f>
        <v>9839.93661</v>
      </c>
      <c r="D2141" s="1">
        <f>value(EUR!$B2141)</f>
        <v>15066.6534</v>
      </c>
      <c r="E2141" s="1">
        <f>value(GBP!$B2141)</f>
        <v>19247.1736</v>
      </c>
      <c r="F2141" s="1">
        <f>value(CHF!$B2141)</f>
        <v>13774.7</v>
      </c>
      <c r="G2141" s="1">
        <f>value(SGD!$B2141)</f>
        <v>9810.20142</v>
      </c>
      <c r="H2141" s="1">
        <f>value(MYR!$B2141)</f>
        <v>3311.25434</v>
      </c>
      <c r="I2141" s="1">
        <f>value(THB!$B2141)</f>
        <v>374.63534</v>
      </c>
      <c r="J2141" s="1">
        <f>value(VND!$B2141)</f>
        <v>0.595422559</v>
      </c>
      <c r="K2141" s="1">
        <f>value(CNY!$B2141)</f>
        <v>1967.973</v>
      </c>
      <c r="L2141" s="1">
        <f>value(HKD!$B2141)</f>
        <v>1751.1987</v>
      </c>
      <c r="M2141" s="1">
        <f>value(TWD!$B2141)</f>
        <v>415.94553</v>
      </c>
      <c r="N2141" s="1">
        <f>value(JPY!$B2141)</f>
        <v>122.199309</v>
      </c>
      <c r="O2141" s="1">
        <f>value(SAR!$B2141)</f>
        <v>3474.024133</v>
      </c>
      <c r="P2141" s="1">
        <f>value(AED!$B2141)</f>
        <v>3623.80452</v>
      </c>
      <c r="Q2141" s="1">
        <f>value(KWD!$B2141)</f>
        <v>43434.66638</v>
      </c>
    </row>
    <row r="2142">
      <c r="A2142" s="4">
        <f>value(USD!A2142)</f>
        <v>42506.99861</v>
      </c>
      <c r="B2142" s="1">
        <f>value(USD!B2142)</f>
        <v>13320</v>
      </c>
      <c r="C2142" s="1">
        <f>value(AUD!$B2142)</f>
        <v>9787.80546</v>
      </c>
      <c r="D2142" s="1">
        <f>value(EUR!$B2142)</f>
        <v>15071.383</v>
      </c>
      <c r="E2142" s="1">
        <f>value(GBP!$B2142)</f>
        <v>19605.6955</v>
      </c>
      <c r="F2142" s="1">
        <f>value(CHF!$B2142)</f>
        <v>13771.945</v>
      </c>
      <c r="G2142" s="1">
        <f>value(SGD!$B2142)</f>
        <v>9822.909525</v>
      </c>
      <c r="H2142" s="1">
        <f>value(MYR!$B2142)</f>
        <v>3298.5612</v>
      </c>
      <c r="I2142" s="1">
        <f>value(THB!$B2142)</f>
        <v>375.9113</v>
      </c>
      <c r="J2142" s="1">
        <f>value(VND!$B2142)</f>
        <v>0.5955610895</v>
      </c>
      <c r="K2142" s="1">
        <f>value(CNY!$B2142)</f>
        <v>1983.856819</v>
      </c>
      <c r="L2142" s="1">
        <f>value(HKD!$B2142)</f>
        <v>1726.8966</v>
      </c>
      <c r="M2142" s="1">
        <f>value(TWD!$B2142)</f>
        <v>416.22984</v>
      </c>
      <c r="N2142" s="1">
        <f>value(JPY!$B2142)</f>
        <v>121.946808</v>
      </c>
      <c r="O2142" s="1">
        <f>value(SAR!$B2142)</f>
        <v>3480.698275</v>
      </c>
      <c r="P2142" s="1">
        <f>value(AED!$B2142)</f>
        <v>3617.54438</v>
      </c>
      <c r="Q2142" s="1">
        <f>value(KWD!$B2142)</f>
        <v>43647.74885</v>
      </c>
    </row>
    <row r="2143">
      <c r="A2143" s="4">
        <f>value(USD!A2143)</f>
        <v>42507.99861</v>
      </c>
      <c r="B2143" s="1">
        <f>value(USD!B2143)</f>
        <v>13318</v>
      </c>
      <c r="C2143" s="1">
        <f>value(AUD!$B2143)</f>
        <v>9807.866856</v>
      </c>
      <c r="D2143" s="1">
        <f>value(EUR!$B2143)</f>
        <v>15232.3818</v>
      </c>
      <c r="E2143" s="1">
        <f>value(GBP!$B2143)</f>
        <v>19844.6215</v>
      </c>
      <c r="F2143" s="1">
        <f>value(CHF!$B2143)</f>
        <v>13745.2315</v>
      </c>
      <c r="G2143" s="1">
        <f>value(SGD!$B2143)</f>
        <v>9823.239091</v>
      </c>
      <c r="H2143" s="1">
        <f>value(MYR!$B2143)</f>
        <v>3314.1891</v>
      </c>
      <c r="I2143" s="1">
        <f>value(THB!$B2143)</f>
        <v>380.66</v>
      </c>
      <c r="J2143" s="1">
        <f>value(VND!$B2143)</f>
        <v>0.5947174188</v>
      </c>
      <c r="K2143" s="1">
        <f>value(CNY!$B2143)</f>
        <v>1975.064175</v>
      </c>
      <c r="L2143" s="1">
        <f>value(HKD!$B2143)</f>
        <v>1734.500196</v>
      </c>
      <c r="M2143" s="1">
        <f>value(TWD!$B2143)</f>
        <v>415.5766</v>
      </c>
      <c r="N2143" s="1">
        <f>value(JPY!$B2143)</f>
        <v>123.7145</v>
      </c>
      <c r="O2143" s="1">
        <f>value(SAR!$B2143)</f>
        <v>3483.205941</v>
      </c>
      <c r="P2143" s="1">
        <f>value(AED!$B2143)</f>
        <v>3603.93538</v>
      </c>
      <c r="Q2143" s="1">
        <f>value(KWD!$B2143)</f>
        <v>43739.9608</v>
      </c>
    </row>
    <row r="2144">
      <c r="A2144" s="4">
        <f>value(USD!A2144)</f>
        <v>42508.99861</v>
      </c>
      <c r="B2144" s="1">
        <f>value(USD!B2144)</f>
        <v>13435</v>
      </c>
      <c r="C2144" s="1">
        <f>value(AUD!$B2144)</f>
        <v>9788.2506</v>
      </c>
      <c r="D2144" s="1">
        <f>value(EUR!$B2144)</f>
        <v>15267.531</v>
      </c>
      <c r="E2144" s="1">
        <f>value(GBP!$B2144)</f>
        <v>19723.7127</v>
      </c>
      <c r="F2144" s="1">
        <f>value(CHF!$B2144)</f>
        <v>13766.75</v>
      </c>
      <c r="G2144" s="1">
        <f>value(SGD!$B2144)</f>
        <v>9847.965121</v>
      </c>
      <c r="H2144" s="1">
        <f>value(MYR!$B2144)</f>
        <v>3326.55855</v>
      </c>
      <c r="I2144" s="1">
        <f>value(THB!$B2144)</f>
        <v>380.80395</v>
      </c>
      <c r="J2144" s="1">
        <f>value(VND!$B2144)</f>
        <v>0.5953832315</v>
      </c>
      <c r="K2144" s="1">
        <f>value(CNY!$B2144)</f>
        <v>1958.2652</v>
      </c>
      <c r="L2144" s="1">
        <f>value(HKD!$B2144)</f>
        <v>1717.89237</v>
      </c>
      <c r="M2144" s="1">
        <f>value(TWD!$B2144)</f>
        <v>416.42945</v>
      </c>
      <c r="N2144" s="1">
        <f>value(JPY!$B2144)</f>
        <v>123.5334</v>
      </c>
      <c r="O2144" s="1">
        <f>value(SAR!$B2144)</f>
        <v>3489.918517</v>
      </c>
      <c r="P2144" s="1">
        <f>value(AED!$B2144)</f>
        <v>3608.56244</v>
      </c>
      <c r="Q2144" s="1">
        <f>value(KWD!$B2144)</f>
        <v>43657.85476</v>
      </c>
    </row>
    <row r="2145">
      <c r="A2145" s="4">
        <f>value(USD!A2145)</f>
        <v>42509.99861</v>
      </c>
      <c r="B2145" s="1">
        <f>value(USD!B2145)</f>
        <v>13595</v>
      </c>
      <c r="C2145" s="1">
        <f>value(AUD!$B2145)</f>
        <v>9889.40032</v>
      </c>
      <c r="D2145" s="1">
        <f>value(EUR!$B2145)</f>
        <v>15291.84365</v>
      </c>
      <c r="E2145" s="1">
        <f>value(GBP!$B2145)</f>
        <v>19759.19791</v>
      </c>
      <c r="F2145" s="1">
        <f>value(CHF!$B2145)</f>
        <v>13758.8625</v>
      </c>
      <c r="G2145" s="1">
        <f>value(SGD!$B2145)</f>
        <v>9862.137324</v>
      </c>
      <c r="H2145" s="1">
        <f>value(MYR!$B2145)</f>
        <v>3331.196904</v>
      </c>
      <c r="I2145" s="1">
        <f>value(THB!$B2145)</f>
        <v>381.3349203</v>
      </c>
      <c r="J2145" s="1">
        <f>value(VND!$B2145)</f>
        <v>0.5954293792</v>
      </c>
      <c r="K2145" s="1">
        <f>value(CNY!$B2145)</f>
        <v>1974.40452</v>
      </c>
      <c r="L2145" s="1">
        <f>value(HKD!$B2145)</f>
        <v>1702.84398</v>
      </c>
      <c r="M2145" s="1">
        <f>value(TWD!$B2145)</f>
        <v>416.04414</v>
      </c>
      <c r="N2145" s="1">
        <f>value(JPY!$B2145)</f>
        <v>123.7056476</v>
      </c>
      <c r="O2145" s="1">
        <f>value(SAR!$B2145)</f>
        <v>3496.799912</v>
      </c>
      <c r="P2145" s="1">
        <f>value(AED!$B2145)</f>
        <v>3623.53234</v>
      </c>
      <c r="Q2145" s="1">
        <f>value(KWD!$B2145)</f>
        <v>43828.87887</v>
      </c>
    </row>
    <row r="2146">
      <c r="A2146" s="4">
        <f>value(USD!A2146)</f>
        <v>42510.99861</v>
      </c>
      <c r="B2146" s="1">
        <f>value(USD!B2146)</f>
        <v>13605</v>
      </c>
      <c r="C2146" s="1">
        <f>value(AUD!$B2146)</f>
        <v>9844.4568</v>
      </c>
      <c r="D2146" s="1">
        <f>value(EUR!$B2146)</f>
        <v>15287.86545</v>
      </c>
      <c r="E2146" s="1">
        <f>value(GBP!$B2146)</f>
        <v>19740.31509</v>
      </c>
      <c r="F2146" s="1">
        <f>value(CHF!$B2146)</f>
        <v>13980.95014</v>
      </c>
      <c r="G2146" s="1">
        <f>value(SGD!$B2146)</f>
        <v>9938.819744</v>
      </c>
      <c r="H2146" s="1">
        <f>value(MYR!$B2146)</f>
        <v>3331.196904</v>
      </c>
      <c r="I2146" s="1">
        <f>value(THB!$B2146)</f>
        <v>381.3349203</v>
      </c>
      <c r="J2146" s="1">
        <f>value(VND!$B2146)</f>
        <v>0.5954293792</v>
      </c>
      <c r="K2146" s="1">
        <f>value(CNY!$B2146)</f>
        <v>1980.9864</v>
      </c>
      <c r="L2146" s="1">
        <f>value(HKD!$B2146)</f>
        <v>1701.3322</v>
      </c>
      <c r="M2146" s="1">
        <f>value(TWD!$B2146)</f>
        <v>414.56176</v>
      </c>
      <c r="N2146" s="1">
        <f>value(JPY!$B2146)</f>
        <v>123.7056476</v>
      </c>
      <c r="O2146" s="1">
        <f>value(SAR!$B2146)</f>
        <v>3496.799912</v>
      </c>
      <c r="P2146" s="1">
        <f>value(AED!$B2146)</f>
        <v>3623.53234</v>
      </c>
      <c r="Q2146" s="1">
        <f>value(KWD!$B2146)</f>
        <v>43869.48542</v>
      </c>
    </row>
    <row r="2147">
      <c r="A2147" s="4">
        <f>value(USD!A2147)</f>
        <v>42511.99861</v>
      </c>
      <c r="B2147" s="1">
        <f>value(USD!B2147)</f>
        <v>13623.97</v>
      </c>
      <c r="C2147" s="1">
        <f>value(AUD!$B2147)</f>
        <v>9807.47206</v>
      </c>
      <c r="D2147" s="1">
        <f>value(EUR!$B2147)</f>
        <v>15182.2666</v>
      </c>
      <c r="E2147" s="1">
        <f>value(GBP!$B2147)</f>
        <v>19603.212</v>
      </c>
      <c r="F2147" s="1">
        <f>value(CHF!$B2147)</f>
        <v>13675.4545</v>
      </c>
      <c r="G2147" s="1">
        <f>value(SGD!$B2147)</f>
        <v>9888.740493</v>
      </c>
      <c r="H2147" s="1">
        <f>value(MYR!$B2147)</f>
        <v>3306.468</v>
      </c>
      <c r="I2147" s="1">
        <f>value(THB!$B2147)</f>
        <v>379.2554</v>
      </c>
      <c r="J2147" s="1">
        <f>value(VND!$B2147)</f>
        <v>0.5939323608</v>
      </c>
      <c r="K2147" s="1">
        <f>value(CNY!$B2147)</f>
        <v>1973.04974</v>
      </c>
      <c r="L2147" s="1">
        <f>value(HKD!$B2147)</f>
        <v>1706.7325</v>
      </c>
      <c r="M2147" s="1">
        <f>value(TWD!$B2147)</f>
        <v>415.16102</v>
      </c>
      <c r="N2147" s="1">
        <f>value(JPY!$B2147)</f>
        <v>123.7556</v>
      </c>
      <c r="O2147" s="1">
        <f>value(SAR!$B2147)</f>
        <v>3497.333245</v>
      </c>
      <c r="P2147" s="1">
        <f>value(AED!$B2147)</f>
        <v>3633.33082</v>
      </c>
      <c r="Q2147" s="1">
        <f>value(KWD!$B2147)</f>
        <v>43918.67381</v>
      </c>
    </row>
    <row r="2148">
      <c r="A2148" s="4">
        <f>value(USD!A2148)</f>
        <v>42512.99861</v>
      </c>
      <c r="B2148" s="1">
        <f>value(USD!B2148)</f>
        <v>13623.97</v>
      </c>
      <c r="C2148" s="1">
        <f>value(AUD!$B2148)</f>
        <v>9891.6846</v>
      </c>
      <c r="D2148" s="1">
        <f>value(EUR!$B2148)</f>
        <v>15108.838</v>
      </c>
      <c r="E2148" s="1">
        <f>value(GBP!$B2148)</f>
        <v>19825.0915</v>
      </c>
      <c r="F2148" s="1">
        <f>value(CHF!$B2148)</f>
        <v>13420.568</v>
      </c>
      <c r="G2148" s="1">
        <f>value(SGD!$B2148)</f>
        <v>9912.519388</v>
      </c>
      <c r="H2148" s="1">
        <f>value(MYR!$B2148)</f>
        <v>3281.3617</v>
      </c>
      <c r="I2148" s="1">
        <f>value(THB!$B2148)</f>
        <v>379.2815</v>
      </c>
      <c r="J2148" s="1">
        <f>value(VND!$B2148)</f>
        <v>0.5936036327</v>
      </c>
      <c r="K2148" s="1">
        <f>value(CNY!$B2148)</f>
        <v>1964.88828</v>
      </c>
      <c r="L2148" s="1">
        <f>value(HKD!$B2148)</f>
        <v>1716.25554</v>
      </c>
      <c r="M2148" s="1">
        <f>value(TWD!$B2148)</f>
        <v>402.5032765</v>
      </c>
      <c r="N2148" s="1">
        <f>value(JPY!$B2148)</f>
        <v>123.0799</v>
      </c>
      <c r="O2148" s="1">
        <f>value(SAR!$B2148)</f>
        <v>3494.152702</v>
      </c>
      <c r="P2148" s="1">
        <f>value(AED!$B2148)</f>
        <v>3618.90528</v>
      </c>
      <c r="Q2148" s="1">
        <f>value(KWD!$B2148)</f>
        <v>43918.67381</v>
      </c>
    </row>
    <row r="2149">
      <c r="A2149" s="4">
        <f>value(USD!A2149)</f>
        <v>42513.99861</v>
      </c>
      <c r="B2149" s="1">
        <f>value(USD!B2149)</f>
        <v>13540</v>
      </c>
      <c r="C2149" s="1">
        <f>value(AUD!$B2149)</f>
        <v>9967.184325</v>
      </c>
      <c r="D2149" s="1">
        <f>value(EUR!$B2149)</f>
        <v>15181.0848</v>
      </c>
      <c r="E2149" s="1">
        <f>value(GBP!$B2149)</f>
        <v>19995.5952</v>
      </c>
      <c r="F2149" s="1">
        <f>value(CHF!$B2149)</f>
        <v>13410.9773</v>
      </c>
      <c r="G2149" s="1">
        <f>value(SGD!$B2149)</f>
        <v>9866.779847</v>
      </c>
      <c r="H2149" s="1">
        <f>value(MYR!$B2149)</f>
        <v>3324.02616</v>
      </c>
      <c r="I2149" s="1">
        <f>value(THB!$B2149)</f>
        <v>381.43224</v>
      </c>
      <c r="J2149" s="1">
        <f>value(VND!$B2149)</f>
        <v>0.5952210689</v>
      </c>
      <c r="K2149" s="1">
        <f>value(CNY!$B2149)</f>
        <v>1968.330474</v>
      </c>
      <c r="L2149" s="1">
        <f>value(HKD!$B2149)</f>
        <v>1721.790934</v>
      </c>
      <c r="M2149" s="1">
        <f>value(TWD!$B2149)</f>
        <v>415.02939</v>
      </c>
      <c r="N2149" s="1">
        <f>value(JPY!$B2149)</f>
        <v>123.5524752</v>
      </c>
      <c r="O2149" s="1">
        <f>value(SAR!$B2149)</f>
        <v>3481.87097</v>
      </c>
      <c r="P2149" s="1">
        <f>value(AED!$B2149)</f>
        <v>3639.0466</v>
      </c>
      <c r="Q2149" s="1">
        <f>value(KWD!$B2149)</f>
        <v>43961.30375</v>
      </c>
    </row>
    <row r="2150">
      <c r="A2150" s="4">
        <f>value(USD!A2150)</f>
        <v>42514.99861</v>
      </c>
      <c r="B2150" s="1">
        <f>value(USD!B2150)</f>
        <v>13570</v>
      </c>
      <c r="C2150" s="1">
        <f>value(AUD!$B2150)</f>
        <v>9956.554411</v>
      </c>
      <c r="D2150" s="1">
        <f>value(EUR!$B2150)</f>
        <v>15159.9761</v>
      </c>
      <c r="E2150" s="1">
        <f>value(GBP!$B2150)</f>
        <v>19867.03419</v>
      </c>
      <c r="F2150" s="1">
        <f>value(CHF!$B2150)</f>
        <v>13491.9303</v>
      </c>
      <c r="G2150" s="1">
        <f>value(SGD!$B2150)</f>
        <v>9869.673</v>
      </c>
      <c r="H2150" s="1">
        <f>value(MYR!$B2150)</f>
        <v>3331.02165</v>
      </c>
      <c r="I2150" s="1">
        <f>value(THB!$B2150)</f>
        <v>380.45592</v>
      </c>
      <c r="J2150" s="1">
        <f>value(VND!$B2150)</f>
        <v>0.5937848279</v>
      </c>
      <c r="K2150" s="1">
        <f>value(CNY!$B2150)</f>
        <v>1966.92945</v>
      </c>
      <c r="L2150" s="1">
        <f>value(HKD!$B2150)</f>
        <v>1715.61159</v>
      </c>
      <c r="M2150" s="1">
        <f>value(TWD!$B2150)</f>
        <v>418.08298</v>
      </c>
      <c r="N2150" s="1">
        <f>value(JPY!$B2150)</f>
        <v>123.4368096</v>
      </c>
      <c r="O2150" s="1">
        <f>value(SAR!$B2150)</f>
        <v>3503.293316</v>
      </c>
      <c r="P2150" s="1">
        <f>value(AED!$B2150)</f>
        <v>3641.22404</v>
      </c>
      <c r="Q2150" s="1">
        <f>value(KWD!$B2150)</f>
        <v>43823.05832</v>
      </c>
    </row>
    <row r="2151">
      <c r="A2151" s="4">
        <f>value(USD!A2151)</f>
        <v>42515.99861</v>
      </c>
      <c r="B2151" s="1">
        <f>value(USD!B2151)</f>
        <v>13608</v>
      </c>
      <c r="C2151" s="1">
        <f>value(AUD!$B2151)</f>
        <v>9791.9765</v>
      </c>
      <c r="D2151" s="1">
        <f>value(EUR!$B2151)</f>
        <v>15066.6516</v>
      </c>
      <c r="E2151" s="1">
        <f>value(GBP!$B2151)</f>
        <v>19820.652</v>
      </c>
      <c r="F2151" s="1">
        <f>value(CHF!$B2151)</f>
        <v>13475.6625</v>
      </c>
      <c r="G2151" s="1">
        <f>value(SGD!$B2151)</f>
        <v>9863.2625</v>
      </c>
      <c r="H2151" s="1">
        <f>value(MYR!$B2151)</f>
        <v>3313.7928</v>
      </c>
      <c r="I2151" s="1">
        <f>value(THB!$B2151)</f>
        <v>379.1376</v>
      </c>
      <c r="J2151" s="1">
        <f>value(VND!$B2151)</f>
        <v>0.5925909333</v>
      </c>
      <c r="K2151" s="1">
        <f>value(CNY!$B2151)</f>
        <v>1967.90121</v>
      </c>
      <c r="L2151" s="1">
        <f>value(HKD!$B2151)</f>
        <v>1719.8805</v>
      </c>
      <c r="M2151" s="1">
        <f>value(TWD!$B2151)</f>
        <v>419.47704</v>
      </c>
      <c r="N2151" s="1">
        <f>value(JPY!$B2151)</f>
        <v>122.9892</v>
      </c>
      <c r="O2151" s="1">
        <f>value(SAR!$B2151)</f>
        <v>3627.14213</v>
      </c>
      <c r="P2151" s="1">
        <f>value(AED!$B2151)</f>
        <v>3645.30674</v>
      </c>
      <c r="Q2151" s="1">
        <f>value(KWD!$B2151)</f>
        <v>43780.14527</v>
      </c>
    </row>
    <row r="2152">
      <c r="A2152" s="4">
        <f>value(USD!A2152)</f>
        <v>42516.99861</v>
      </c>
      <c r="B2152" s="1">
        <f>value(USD!B2152)</f>
        <v>13549</v>
      </c>
      <c r="C2152" s="1">
        <f>value(AUD!$B2152)</f>
        <v>9943.374</v>
      </c>
      <c r="D2152" s="1">
        <f>value(EUR!$B2152)</f>
        <v>15265.05079</v>
      </c>
      <c r="E2152" s="1">
        <f>value(GBP!$B2152)</f>
        <v>20084.00552</v>
      </c>
      <c r="F2152" s="1">
        <f>value(CHF!$B2152)</f>
        <v>13478.99278</v>
      </c>
      <c r="G2152" s="1">
        <f>value(SGD!$B2152)</f>
        <v>9857.8675</v>
      </c>
      <c r="H2152" s="1">
        <f>value(MYR!$B2152)</f>
        <v>3356.867218</v>
      </c>
      <c r="I2152" s="1">
        <f>value(THB!$B2152)</f>
        <v>384.0658296</v>
      </c>
      <c r="J2152" s="1">
        <f>value(VND!$B2152)</f>
        <v>0.5938950247</v>
      </c>
      <c r="K2152" s="1">
        <f>value(CNY!$B2152)</f>
        <v>1969.90731</v>
      </c>
      <c r="L2152" s="1">
        <f>value(HKD!$B2152)</f>
        <v>1716.282</v>
      </c>
      <c r="M2152" s="1">
        <f>value(TWD!$B2152)</f>
        <v>418.77006</v>
      </c>
      <c r="N2152" s="1">
        <f>value(JPY!$B2152)</f>
        <v>124.5878782</v>
      </c>
      <c r="O2152" s="1">
        <f>value(SAR!$B2152)</f>
        <v>3562.228219</v>
      </c>
      <c r="P2152" s="1">
        <f>value(AED!$B2152)</f>
        <v>3647.331091</v>
      </c>
      <c r="Q2152" s="1">
        <f>value(KWD!$B2152)</f>
        <v>43737.88007</v>
      </c>
    </row>
    <row r="2153">
      <c r="A2153" s="4">
        <f>value(USD!A2153)</f>
        <v>42517.99861</v>
      </c>
      <c r="B2153" s="1">
        <f>value(USD!B2153)</f>
        <v>13560</v>
      </c>
      <c r="C2153" s="1">
        <f>value(AUD!$B2153)</f>
        <v>9971.1576</v>
      </c>
      <c r="D2153" s="1">
        <f>value(EUR!$B2153)</f>
        <v>15258.2376</v>
      </c>
      <c r="E2153" s="1">
        <f>value(GBP!$B2153)</f>
        <v>20086.53299</v>
      </c>
      <c r="F2153" s="1">
        <f>value(CHF!$B2153)</f>
        <v>13463.24476</v>
      </c>
      <c r="G2153" s="1">
        <f>value(SGD!$B2153)</f>
        <v>9880.6475</v>
      </c>
      <c r="H2153" s="1">
        <f>value(MYR!$B2153)</f>
        <v>3356.867218</v>
      </c>
      <c r="I2153" s="1">
        <f>value(THB!$B2153)</f>
        <v>383.928467</v>
      </c>
      <c r="J2153" s="1">
        <f>value(VND!$B2153)</f>
        <v>0.5917741176</v>
      </c>
      <c r="K2153" s="1">
        <f>value(CNY!$B2153)</f>
        <v>1976.09526</v>
      </c>
      <c r="L2153" s="1">
        <f>value(HKD!$B2153)</f>
        <v>1724.91996</v>
      </c>
      <c r="M2153" s="1">
        <f>value(TWD!$B2153)</f>
        <v>416.0247</v>
      </c>
      <c r="N2153" s="1">
        <f>value(JPY!$B2153)</f>
        <v>123.9766146</v>
      </c>
      <c r="O2153" s="1">
        <f>value(SAR!$B2153)</f>
        <v>3603.698657</v>
      </c>
      <c r="P2153" s="1">
        <f>value(AED!$B2153)</f>
        <v>3649.51538</v>
      </c>
      <c r="Q2153" s="1">
        <f>value(KWD!$B2153)</f>
        <v>43978.31643</v>
      </c>
    </row>
    <row r="2154">
      <c r="A2154" s="4">
        <f>value(USD!A2154)</f>
        <v>42518.99861</v>
      </c>
      <c r="B2154" s="1">
        <f>value(USD!B2154)</f>
        <v>13736.26</v>
      </c>
      <c r="C2154" s="1">
        <f>value(AUD!$B2154)</f>
        <v>10008.20243</v>
      </c>
      <c r="D2154" s="1">
        <f>value(EUR!$B2154)</f>
        <v>15194.4757</v>
      </c>
      <c r="E2154" s="1">
        <f>value(GBP!$B2154)</f>
        <v>19942.153</v>
      </c>
      <c r="F2154" s="1">
        <f>value(CHF!$B2154)</f>
        <v>13450.494</v>
      </c>
      <c r="G2154" s="1">
        <f>value(SGD!$B2154)</f>
        <v>10022.85553</v>
      </c>
      <c r="H2154" s="1">
        <f>value(MYR!$B2154)</f>
        <v>3310.9699</v>
      </c>
      <c r="I2154" s="1">
        <f>value(THB!$B2154)</f>
        <v>381.12276</v>
      </c>
      <c r="J2154" s="1">
        <f>value(VND!$B2154)</f>
        <v>0.5926404287</v>
      </c>
      <c r="K2154" s="1">
        <f>value(CNY!$B2154)</f>
        <v>1972.02551</v>
      </c>
      <c r="L2154" s="1">
        <f>value(HKD!$B2154)</f>
        <v>1717.56156</v>
      </c>
      <c r="M2154" s="1">
        <f>value(TWD!$B2154)</f>
        <v>417.02228</v>
      </c>
      <c r="N2154" s="1">
        <f>value(JPY!$B2154)</f>
        <v>122.9802451</v>
      </c>
      <c r="O2154" s="1">
        <f>value(SAR!$B2154)</f>
        <v>3562.426473</v>
      </c>
      <c r="P2154" s="1">
        <f>value(AED!$B2154)</f>
        <v>3632.2421</v>
      </c>
      <c r="Q2154" s="1">
        <f>value(KWD!$B2154)</f>
        <v>43843.75143</v>
      </c>
    </row>
    <row r="2155">
      <c r="A2155" s="4">
        <f>value(USD!A2155)</f>
        <v>42519.99861</v>
      </c>
      <c r="B2155" s="1">
        <f>value(USD!B2155)</f>
        <v>13736.26</v>
      </c>
      <c r="C2155" s="1">
        <f>value(AUD!$B2155)</f>
        <v>9993.7152</v>
      </c>
      <c r="D2155" s="1">
        <f>value(EUR!$B2155)</f>
        <v>15187.3876</v>
      </c>
      <c r="E2155" s="1">
        <f>value(GBP!$B2155)</f>
        <v>19755.064</v>
      </c>
      <c r="F2155" s="1">
        <f>value(CHF!$B2155)</f>
        <v>13466.628</v>
      </c>
      <c r="G2155" s="1">
        <f>value(SGD!$B2155)</f>
        <v>9826.06235</v>
      </c>
      <c r="H2155" s="1">
        <f>value(MYR!$B2155)</f>
        <v>3311.83825</v>
      </c>
      <c r="I2155" s="1">
        <f>value(THB!$B2155)</f>
        <v>381.59471</v>
      </c>
      <c r="J2155" s="1">
        <f>value(VND!$B2155)</f>
        <v>0.59043686</v>
      </c>
      <c r="K2155" s="1">
        <f>value(CNY!$B2155)</f>
        <v>1971.66664</v>
      </c>
      <c r="L2155" s="1">
        <f>value(HKD!$B2155)</f>
        <v>1717.866237</v>
      </c>
      <c r="M2155" s="1">
        <f>value(TWD!$B2155)</f>
        <v>417.05742</v>
      </c>
      <c r="N2155" s="1">
        <f>value(JPY!$B2155)</f>
        <v>123.2563192</v>
      </c>
      <c r="O2155" s="1">
        <f>value(SAR!$B2155)</f>
        <v>3593.282743</v>
      </c>
      <c r="P2155" s="1">
        <f>value(AED!$B2155)</f>
        <v>3631.42556</v>
      </c>
      <c r="Q2155" s="1">
        <f>value(KWD!$B2155)</f>
        <v>43883.07524</v>
      </c>
    </row>
    <row r="2156">
      <c r="A2156" s="4">
        <f>value(USD!A2156)</f>
        <v>42520.99861</v>
      </c>
      <c r="B2156" s="1">
        <f>value(USD!B2156)</f>
        <v>13631</v>
      </c>
      <c r="C2156" s="1">
        <f>value(AUD!$B2156)</f>
        <v>10000.52222</v>
      </c>
      <c r="D2156" s="1">
        <f>value(EUR!$B2156)</f>
        <v>15225.2348</v>
      </c>
      <c r="E2156" s="1">
        <f>value(GBP!$B2156)</f>
        <v>19621.8092</v>
      </c>
      <c r="F2156" s="1">
        <f>value(CHF!$B2156)</f>
        <v>13548.906</v>
      </c>
      <c r="G2156" s="1">
        <f>value(SGD!$B2156)</f>
        <v>9727.4772</v>
      </c>
      <c r="H2156" s="1">
        <f>value(MYR!$B2156)</f>
        <v>3266.5361</v>
      </c>
      <c r="I2156" s="1">
        <f>value(THB!$B2156)</f>
        <v>381.2161</v>
      </c>
      <c r="J2156" s="1">
        <f>value(VND!$B2156)</f>
        <v>0.5937597437</v>
      </c>
      <c r="K2156" s="1">
        <f>value(CNY!$B2156)</f>
        <v>1967.92092</v>
      </c>
      <c r="L2156" s="1">
        <f>value(HKD!$B2156)</f>
        <v>1706.9975</v>
      </c>
      <c r="M2156" s="1">
        <f>value(TWD!$B2156)</f>
        <v>416.26017</v>
      </c>
      <c r="N2156" s="1">
        <f>value(JPY!$B2156)</f>
        <v>124.282437</v>
      </c>
      <c r="O2156" s="1">
        <f>value(SAR!$B2156)</f>
        <v>3554.019043</v>
      </c>
      <c r="P2156" s="1">
        <f>value(AED!$B2156)</f>
        <v>3624.34888</v>
      </c>
      <c r="Q2156" s="1">
        <f>value(KWD!$B2156)</f>
        <v>43741.99533</v>
      </c>
    </row>
    <row r="2157">
      <c r="A2157" s="4">
        <f>value(USD!A2157)</f>
        <v>42521.99861</v>
      </c>
      <c r="B2157" s="1">
        <f>value(USD!B2157)</f>
        <v>13643</v>
      </c>
      <c r="C2157" s="1">
        <f>value(AUD!$B2157)</f>
        <v>10037.77475</v>
      </c>
      <c r="D2157" s="1">
        <f>value(EUR!$B2157)</f>
        <v>15175.15</v>
      </c>
      <c r="E2157" s="1">
        <f>value(GBP!$B2157)</f>
        <v>19606.2938</v>
      </c>
      <c r="F2157" s="1">
        <f>value(CHF!$B2157)</f>
        <v>13380.34</v>
      </c>
      <c r="G2157" s="1">
        <f>value(SGD!$B2157)</f>
        <v>9755.57611</v>
      </c>
      <c r="H2157" s="1">
        <f>value(MYR!$B2157)</f>
        <v>3275.5187</v>
      </c>
      <c r="I2157" s="1">
        <f>value(THB!$B2157)</f>
        <v>381.7605</v>
      </c>
      <c r="J2157" s="1">
        <f>value(VND!$B2157)</f>
        <v>0.5963545033</v>
      </c>
      <c r="K2157" s="1">
        <f>value(CNY!$B2157)</f>
        <v>1978.97434</v>
      </c>
      <c r="L2157" s="1">
        <f>value(HKD!$B2157)</f>
        <v>1708.0393</v>
      </c>
      <c r="M2157" s="1">
        <f>value(TWD!$B2157)</f>
        <v>414.50981</v>
      </c>
      <c r="N2157" s="1">
        <f>value(JPY!$B2157)</f>
        <v>124.988796</v>
      </c>
      <c r="O2157" s="1">
        <f>value(SAR!$B2157)</f>
        <v>3581.417671</v>
      </c>
      <c r="P2157" s="1">
        <f>value(AED!$B2157)</f>
        <v>3644.47688</v>
      </c>
      <c r="Q2157" s="1">
        <f>value(KWD!$B2157)</f>
        <v>43772.7551</v>
      </c>
    </row>
    <row r="2158">
      <c r="A2158" s="4">
        <f>value(USD!A2158)</f>
        <v>42522.99861</v>
      </c>
      <c r="B2158" s="1">
        <f>value(USD!B2158)</f>
        <v>13610</v>
      </c>
      <c r="C2158" s="1">
        <f>value(AUD!$B2158)</f>
        <v>10038.64125</v>
      </c>
      <c r="D2158" s="1">
        <f>value(EUR!$B2158)</f>
        <v>15250.09372</v>
      </c>
      <c r="E2158" s="1">
        <f>value(GBP!$B2158)</f>
        <v>19473.40922</v>
      </c>
      <c r="F2158" s="1">
        <f>value(CHF!$B2158)</f>
        <v>13327.785</v>
      </c>
      <c r="G2158" s="1">
        <f>value(SGD!$B2158)</f>
        <v>9778.78347</v>
      </c>
      <c r="H2158" s="1">
        <f>value(MYR!$B2158)</f>
        <v>3281.50608</v>
      </c>
      <c r="I2158" s="1">
        <f>value(THB!$B2158)</f>
        <v>378.79014</v>
      </c>
      <c r="J2158" s="1">
        <f>value(VND!$B2158)</f>
        <v>0.5992179388</v>
      </c>
      <c r="K2158" s="1">
        <f>value(CNY!$B2158)</f>
        <v>1976.82395</v>
      </c>
      <c r="L2158" s="1">
        <f>value(HKD!$B2158)</f>
        <v>1700.5716</v>
      </c>
      <c r="M2158" s="1">
        <f>value(TWD!$B2158)</f>
        <v>411.14811</v>
      </c>
      <c r="N2158" s="1">
        <f>value(JPY!$B2158)</f>
        <v>125.86084</v>
      </c>
      <c r="O2158" s="1">
        <f>value(SAR!$B2158)</f>
        <v>3579.989739</v>
      </c>
      <c r="P2158" s="1">
        <f>value(AED!$B2158)</f>
        <v>3635.50826</v>
      </c>
      <c r="Q2158" s="1">
        <f>value(KWD!$B2158)</f>
        <v>43830.25127</v>
      </c>
    </row>
    <row r="2159">
      <c r="A2159" s="4">
        <f>value(USD!A2159)</f>
        <v>42523.99861</v>
      </c>
      <c r="B2159" s="1">
        <f>value(USD!B2159)</f>
        <v>13610</v>
      </c>
      <c r="C2159" s="1">
        <f>value(AUD!$B2159)</f>
        <v>10089.6096</v>
      </c>
      <c r="D2159" s="1">
        <f>value(EUR!$B2159)</f>
        <v>15299.64983</v>
      </c>
      <c r="E2159" s="1">
        <f>value(GBP!$B2159)</f>
        <v>19539.70361</v>
      </c>
      <c r="F2159" s="1">
        <f>value(CHF!$B2159)</f>
        <v>13358.73396</v>
      </c>
      <c r="G2159" s="1">
        <f>value(SGD!$B2159)</f>
        <v>9740.5105</v>
      </c>
      <c r="H2159" s="1">
        <f>value(MYR!$B2159)</f>
        <v>3291.520812</v>
      </c>
      <c r="I2159" s="1">
        <f>value(THB!$B2159)</f>
        <v>379.9461585</v>
      </c>
      <c r="J2159" s="1">
        <f>value(VND!$B2159)</f>
        <v>0.596908597</v>
      </c>
      <c r="K2159" s="1">
        <f>value(CNY!$B2159)</f>
        <v>1981.94971</v>
      </c>
      <c r="L2159" s="1">
        <f>value(HKD!$B2159)</f>
        <v>1707.66</v>
      </c>
      <c r="M2159" s="1">
        <f>value(TWD!$B2159)</f>
        <v>411.53385</v>
      </c>
      <c r="N2159" s="1">
        <f>value(JPY!$B2159)</f>
        <v>126.244951</v>
      </c>
      <c r="O2159" s="1">
        <f>value(SAR!$B2159)</f>
        <v>3563.086533</v>
      </c>
      <c r="P2159" s="1">
        <f>value(AED!$B2159)</f>
        <v>3638.768976</v>
      </c>
      <c r="Q2159" s="1">
        <f>value(KWD!$B2159)</f>
        <v>43896.8184</v>
      </c>
    </row>
    <row r="2160">
      <c r="A2160" s="4">
        <f>value(USD!A2160)</f>
        <v>42524.99861</v>
      </c>
      <c r="B2160" s="1">
        <f>value(USD!B2160)</f>
        <v>13418</v>
      </c>
      <c r="C2160" s="1">
        <f>value(AUD!$B2160)</f>
        <v>10077.33924</v>
      </c>
      <c r="D2160" s="1">
        <f>value(EUR!$B2160)</f>
        <v>15294.46423</v>
      </c>
      <c r="E2160" s="1">
        <f>value(GBP!$B2160)</f>
        <v>19381.38874</v>
      </c>
      <c r="F2160" s="1">
        <f>value(CHF!$B2160)</f>
        <v>13361.36208</v>
      </c>
      <c r="G2160" s="1">
        <f>value(SGD!$B2160)</f>
        <v>9750.64905</v>
      </c>
      <c r="H2160" s="1">
        <f>value(MYR!$B2160)</f>
        <v>3295.954684</v>
      </c>
      <c r="I2160" s="1">
        <f>value(THB!$B2160)</f>
        <v>379.9188852</v>
      </c>
      <c r="J2160" s="1">
        <f>value(VND!$B2160)</f>
        <v>0.5972625981</v>
      </c>
      <c r="K2160" s="1">
        <f>value(CNY!$B2160)</f>
        <v>1984.797</v>
      </c>
      <c r="L2160" s="1">
        <f>value(HKD!$B2160)</f>
        <v>1722.9675</v>
      </c>
      <c r="M2160" s="1">
        <f>value(TWD!$B2160)</f>
        <v>414.01552</v>
      </c>
      <c r="N2160" s="1">
        <f>value(JPY!$B2160)</f>
        <v>126.2492423</v>
      </c>
      <c r="O2160" s="1">
        <f>value(SAR!$B2160)</f>
        <v>3564.68103</v>
      </c>
      <c r="P2160" s="1">
        <f>value(AED!$B2160)</f>
        <v>3627.73698</v>
      </c>
      <c r="Q2160" s="1">
        <f>value(KWD!$B2160)</f>
        <v>43793.27078</v>
      </c>
    </row>
    <row r="2161">
      <c r="A2161" s="4">
        <f>value(USD!A2161)</f>
        <v>42525.99861</v>
      </c>
      <c r="B2161" s="1">
        <f>value(USD!B2161)</f>
        <v>13458.95</v>
      </c>
      <c r="C2161" s="1">
        <f>value(AUD!$B2161)</f>
        <v>10026.76836</v>
      </c>
      <c r="D2161" s="1">
        <f>value(EUR!$B2161)</f>
        <v>15163.66017</v>
      </c>
      <c r="E2161" s="1">
        <f>value(GBP!$B2161)</f>
        <v>19294.95708</v>
      </c>
      <c r="F2161" s="1">
        <f>value(CHF!$B2161)</f>
        <v>13345.664</v>
      </c>
      <c r="G2161" s="1">
        <f>value(SGD!$B2161)</f>
        <v>9749.861649</v>
      </c>
      <c r="H2161" s="1">
        <f>value(MYR!$B2161)</f>
        <v>3285.76446</v>
      </c>
      <c r="I2161" s="1">
        <f>value(THB!$B2161)</f>
        <v>377.85357</v>
      </c>
      <c r="J2161" s="1">
        <f>value(VND!$B2161)</f>
        <v>0.5886117806</v>
      </c>
      <c r="K2161" s="1">
        <f>value(CNY!$B2161)</f>
        <v>1985.81172</v>
      </c>
      <c r="L2161" s="1">
        <f>value(HKD!$B2161)</f>
        <v>1752.65278</v>
      </c>
      <c r="M2161" s="1">
        <f>value(TWD!$B2161)</f>
        <v>415.27674</v>
      </c>
      <c r="N2161" s="1">
        <f>value(JPY!$B2161)</f>
        <v>124.1764839</v>
      </c>
      <c r="O2161" s="1">
        <f>value(SAR!$B2161)</f>
        <v>3594.016567</v>
      </c>
      <c r="P2161" s="1">
        <f>value(AED!$B2161)</f>
        <v>3630.47022</v>
      </c>
      <c r="Q2161" s="1">
        <f>value(KWD!$B2161)</f>
        <v>43715.73569</v>
      </c>
    </row>
    <row r="2162">
      <c r="A2162" s="4">
        <f>value(USD!A2162)</f>
        <v>42526.99861</v>
      </c>
      <c r="B2162" s="1">
        <f>value(USD!B2162)</f>
        <v>13477.08</v>
      </c>
      <c r="C2162" s="1">
        <f>value(AUD!$B2162)</f>
        <v>10032.643</v>
      </c>
      <c r="D2162" s="1">
        <f>value(EUR!$B2162)</f>
        <v>15020.5812</v>
      </c>
      <c r="E2162" s="1">
        <f>value(GBP!$B2162)</f>
        <v>19232.058</v>
      </c>
      <c r="F2162" s="1">
        <f>value(CHF!$B2162)</f>
        <v>13216.21</v>
      </c>
      <c r="G2162" s="1">
        <f>value(SGD!$B2162)</f>
        <v>9696.397</v>
      </c>
      <c r="H2162" s="1">
        <f>value(MYR!$B2162)</f>
        <v>3259.1328</v>
      </c>
      <c r="I2162" s="1">
        <f>value(THB!$B2162)</f>
        <v>375.38226</v>
      </c>
      <c r="J2162" s="1">
        <f>value(VND!$B2162)</f>
        <v>0.5969386484</v>
      </c>
      <c r="K2162" s="1">
        <f>value(CNY!$B2162)</f>
        <v>1986.36942</v>
      </c>
      <c r="L2162" s="1">
        <f>value(HKD!$B2162)</f>
        <v>1724.5234</v>
      </c>
      <c r="M2162" s="1">
        <f>value(TWD!$B2162)</f>
        <v>415.21292</v>
      </c>
      <c r="N2162" s="1">
        <f>value(JPY!$B2162)</f>
        <v>123.2796081</v>
      </c>
      <c r="O2162" s="1">
        <f>value(SAR!$B2162)</f>
        <v>3579.683454</v>
      </c>
      <c r="P2162" s="1">
        <f>value(AED!$B2162)</f>
        <v>3632.509</v>
      </c>
      <c r="Q2162" s="1">
        <f>value(KWD!$B2162)</f>
        <v>43766.05572</v>
      </c>
    </row>
    <row r="2163">
      <c r="A2163" s="4">
        <f>value(USD!A2163)</f>
        <v>42527.99861</v>
      </c>
      <c r="B2163" s="1">
        <f>value(USD!B2163)</f>
        <v>13347</v>
      </c>
      <c r="C2163" s="1">
        <f>value(AUD!$B2163)</f>
        <v>10024.69314</v>
      </c>
      <c r="D2163" s="1">
        <f>value(EUR!$B2163)</f>
        <v>15056.341</v>
      </c>
      <c r="E2163" s="1">
        <f>value(GBP!$B2163)</f>
        <v>19165.737</v>
      </c>
      <c r="F2163" s="1">
        <f>value(CHF!$B2163)</f>
        <v>13219.3355</v>
      </c>
      <c r="G2163" s="1">
        <f>value(SGD!$B2163)</f>
        <v>9726.2928</v>
      </c>
      <c r="H2163" s="1">
        <f>value(MYR!$B2163)</f>
        <v>3281.31045</v>
      </c>
      <c r="I2163" s="1">
        <f>value(THB!$B2163)</f>
        <v>375.8143</v>
      </c>
      <c r="J2163" s="1">
        <f>value(VND!$B2163)</f>
        <v>0.5859161098</v>
      </c>
      <c r="K2163" s="1">
        <f>value(CNY!$B2163)</f>
        <v>1992.3787</v>
      </c>
      <c r="L2163" s="1">
        <f>value(HKD!$B2163)</f>
        <v>1695.9292</v>
      </c>
      <c r="M2163" s="1">
        <f>value(TWD!$B2163)</f>
        <v>413.74506</v>
      </c>
      <c r="N2163" s="1">
        <f>value(JPY!$B2163)</f>
        <v>123.5988</v>
      </c>
      <c r="O2163" s="1">
        <f>value(SAR!$B2163)</f>
        <v>3585.787109</v>
      </c>
      <c r="P2163" s="1">
        <f>value(AED!$B2163)</f>
        <v>3636.592</v>
      </c>
      <c r="Q2163" s="1">
        <f>value(KWD!$B2163)</f>
        <v>43781.38479</v>
      </c>
    </row>
    <row r="2164">
      <c r="A2164" s="4">
        <f>value(USD!A2164)</f>
        <v>42528.99861</v>
      </c>
      <c r="B2164" s="1">
        <f>value(USD!B2164)</f>
        <v>13227</v>
      </c>
      <c r="C2164" s="1">
        <f>value(AUD!$B2164)</f>
        <v>10093.11002</v>
      </c>
      <c r="D2164" s="1">
        <f>value(EUR!$B2164)</f>
        <v>14988.665</v>
      </c>
      <c r="E2164" s="1">
        <f>value(GBP!$B2164)</f>
        <v>19160.56</v>
      </c>
      <c r="F2164" s="1">
        <f>value(CHF!$B2164)</f>
        <v>13264.776</v>
      </c>
      <c r="G2164" s="1">
        <f>value(SGD!$B2164)</f>
        <v>9783.22176</v>
      </c>
      <c r="H2164" s="1">
        <f>value(MYR!$B2164)</f>
        <v>3269.9675</v>
      </c>
      <c r="I2164" s="1">
        <f>value(THB!$B2164)</f>
        <v>376.565</v>
      </c>
      <c r="J2164" s="1">
        <f>value(VND!$B2164)</f>
        <v>0.5867213995</v>
      </c>
      <c r="K2164" s="1">
        <f>value(CNY!$B2164)</f>
        <v>1990.6887</v>
      </c>
      <c r="L2164" s="1">
        <f>value(HKD!$B2164)</f>
        <v>1693.09154</v>
      </c>
      <c r="M2164" s="1">
        <f>value(TWD!$B2164)</f>
        <v>413.61742</v>
      </c>
      <c r="N2164" s="1">
        <f>value(JPY!$B2164)</f>
        <v>123.70465</v>
      </c>
      <c r="O2164" s="1">
        <f>value(SAR!$B2164)</f>
        <v>3632.795771</v>
      </c>
      <c r="P2164" s="1">
        <f>value(AED!$B2164)</f>
        <v>3633.4485</v>
      </c>
      <c r="Q2164" s="1">
        <f>value(KWD!$B2164)</f>
        <v>43780.78731</v>
      </c>
    </row>
    <row r="2165">
      <c r="A2165" s="4">
        <f>value(USD!A2165)</f>
        <v>42529.99861</v>
      </c>
      <c r="B2165" s="1">
        <f>value(USD!B2165)</f>
        <v>13205</v>
      </c>
      <c r="C2165" s="1">
        <f>value(AUD!$B2165)</f>
        <v>10048.84415</v>
      </c>
      <c r="D2165" s="1">
        <f>value(EUR!$B2165)</f>
        <v>14993.34912</v>
      </c>
      <c r="E2165" s="1">
        <f>value(GBP!$B2165)</f>
        <v>18994.8804</v>
      </c>
      <c r="F2165" s="1">
        <f>value(CHF!$B2165)</f>
        <v>13284.054</v>
      </c>
      <c r="G2165" s="1">
        <f>value(SGD!$B2165)</f>
        <v>9704.611</v>
      </c>
      <c r="H2165" s="1">
        <f>value(MYR!$B2165)</f>
        <v>3260.60568</v>
      </c>
      <c r="I2165" s="1">
        <f>value(THB!$B2165)</f>
        <v>377.52558</v>
      </c>
      <c r="J2165" s="1">
        <f>value(VND!$B2165)</f>
        <v>0.5856638713</v>
      </c>
      <c r="K2165" s="1">
        <f>value(CNY!$B2165)</f>
        <v>1988.48952</v>
      </c>
      <c r="L2165" s="1">
        <f>value(HKD!$B2165)</f>
        <v>1697.85645</v>
      </c>
      <c r="M2165" s="1">
        <f>value(TWD!$B2165)</f>
        <v>413.47363</v>
      </c>
      <c r="N2165" s="1">
        <f>value(JPY!$B2165)</f>
        <v>124.5981</v>
      </c>
      <c r="O2165" s="1">
        <f>value(SAR!$B2165)</f>
        <v>3619.037346</v>
      </c>
      <c r="P2165" s="1">
        <f>value(AED!$B2165)</f>
        <v>3624.89324</v>
      </c>
      <c r="Q2165" s="1">
        <f>value(KWD!$B2165)</f>
        <v>43725.35981</v>
      </c>
    </row>
    <row r="2166">
      <c r="A2166" s="4">
        <f>value(USD!A2166)</f>
        <v>42530.99861</v>
      </c>
      <c r="B2166" s="1">
        <f>value(USD!B2166)</f>
        <v>13250</v>
      </c>
      <c r="C2166" s="1">
        <f>value(AUD!$B2166)</f>
        <v>10064.04148</v>
      </c>
      <c r="D2166" s="1">
        <f>value(EUR!$B2166)</f>
        <v>15023.87972</v>
      </c>
      <c r="E2166" s="1">
        <f>value(GBP!$B2166)</f>
        <v>19045.28013</v>
      </c>
      <c r="F2166" s="1">
        <f>value(CHF!$B2166)</f>
        <v>13385.52149</v>
      </c>
      <c r="G2166" s="1">
        <f>value(SGD!$B2166)</f>
        <v>9739.8981</v>
      </c>
      <c r="H2166" s="1">
        <f>value(MYR!$B2166)</f>
        <v>3266.754488</v>
      </c>
      <c r="I2166" s="1">
        <f>value(THB!$B2166)</f>
        <v>378.2375129</v>
      </c>
      <c r="J2166" s="1">
        <f>value(VND!$B2166)</f>
        <v>0.5862662748</v>
      </c>
      <c r="K2166" s="1">
        <f>value(CNY!$B2166)</f>
        <v>1991.30826</v>
      </c>
      <c r="L2166" s="1">
        <f>value(HKD!$B2166)</f>
        <v>1689.9989</v>
      </c>
      <c r="M2166" s="1">
        <f>value(TWD!$B2166)</f>
        <v>413.97534</v>
      </c>
      <c r="N2166" s="1">
        <f>value(JPY!$B2166)</f>
        <v>124.8330655</v>
      </c>
      <c r="O2166" s="1">
        <f>value(SAR!$B2166)</f>
        <v>3607.593138</v>
      </c>
      <c r="P2166" s="1">
        <f>value(AED!$B2166)</f>
        <v>3629.065759</v>
      </c>
      <c r="Q2166" s="1">
        <f>value(KWD!$B2166)</f>
        <v>43641.72037</v>
      </c>
    </row>
    <row r="2167">
      <c r="A2167" s="4">
        <f>value(USD!A2167)</f>
        <v>42531.99861</v>
      </c>
      <c r="B2167" s="1">
        <f>value(USD!B2167)</f>
        <v>13326</v>
      </c>
      <c r="C2167" s="1">
        <f>value(AUD!$B2167)</f>
        <v>10019.5128</v>
      </c>
      <c r="D2167" s="1">
        <f>value(EUR!$B2167)</f>
        <v>15024.19341</v>
      </c>
      <c r="E2167" s="1">
        <f>value(GBP!$B2167)</f>
        <v>18965.23502</v>
      </c>
      <c r="F2167" s="1">
        <f>value(CHF!$B2167)</f>
        <v>13371.04781</v>
      </c>
      <c r="G2167" s="1">
        <f>value(SGD!$B2167)</f>
        <v>9764.12283</v>
      </c>
      <c r="H2167" s="1">
        <f>value(MYR!$B2167)</f>
        <v>3271.122026</v>
      </c>
      <c r="I2167" s="1">
        <f>value(THB!$B2167)</f>
        <v>378.342134</v>
      </c>
      <c r="J2167" s="1">
        <f>value(VND!$B2167)</f>
        <v>0.5940952676</v>
      </c>
      <c r="K2167" s="1">
        <f>value(CNY!$B2167)</f>
        <v>1994.672386</v>
      </c>
      <c r="L2167" s="1">
        <f>value(HKD!$B2167)</f>
        <v>1691.206114</v>
      </c>
      <c r="M2167" s="1">
        <f>value(TWD!$B2167)</f>
        <v>413.94915</v>
      </c>
      <c r="N2167" s="1">
        <f>value(JPY!$B2167)</f>
        <v>125.5226901</v>
      </c>
      <c r="O2167" s="1">
        <f>value(SAR!$B2167)</f>
        <v>3613.391447</v>
      </c>
      <c r="P2167" s="1">
        <f>value(AED!$B2167)</f>
        <v>3631.00374</v>
      </c>
      <c r="Q2167" s="1">
        <f>value(KWD!$B2167)</f>
        <v>43631.5865</v>
      </c>
    </row>
    <row r="2168">
      <c r="A2168" s="4">
        <f>value(USD!A2168)</f>
        <v>42532.99861</v>
      </c>
      <c r="B2168" s="1">
        <f>value(USD!B2168)</f>
        <v>13351.13</v>
      </c>
      <c r="C2168" s="1">
        <f>value(AUD!$B2168)</f>
        <v>10023.42024</v>
      </c>
      <c r="D2168" s="1">
        <f>value(EUR!$B2168)</f>
        <v>15036.47838</v>
      </c>
      <c r="E2168" s="1">
        <f>value(GBP!$B2168)</f>
        <v>18919.94951</v>
      </c>
      <c r="F2168" s="1">
        <f>value(CHF!$B2168)</f>
        <v>13305.5572</v>
      </c>
      <c r="G2168" s="1">
        <f>value(SGD!$B2168)</f>
        <v>9760.574868</v>
      </c>
      <c r="H2168" s="1">
        <f>value(MYR!$B2168)</f>
        <v>3257.38413</v>
      </c>
      <c r="I2168" s="1">
        <f>value(THB!$B2168)</f>
        <v>378.44961</v>
      </c>
      <c r="J2168" s="1">
        <f>value(VND!$B2168)</f>
        <v>0.595871661</v>
      </c>
      <c r="K2168" s="1">
        <f>value(CNY!$B2168)</f>
        <v>1984.9203</v>
      </c>
      <c r="L2168" s="1">
        <f>value(HKD!$B2168)</f>
        <v>1691.206114</v>
      </c>
      <c r="M2168" s="1">
        <f>value(TWD!$B2168)</f>
        <v>412.08867</v>
      </c>
      <c r="N2168" s="1">
        <f>value(JPY!$B2168)</f>
        <v>125.3745878</v>
      </c>
      <c r="O2168" s="1">
        <f>value(SAR!$B2168)</f>
        <v>3599.561973</v>
      </c>
      <c r="P2168" s="1">
        <f>value(AED!$B2168)</f>
        <v>3627.07068</v>
      </c>
      <c r="Q2168" s="1">
        <f>value(KWD!$B2168)</f>
        <v>43690.7099</v>
      </c>
    </row>
    <row r="2169">
      <c r="A2169" s="4">
        <f>value(USD!A2169)</f>
        <v>42533.99861</v>
      </c>
      <c r="B2169" s="1">
        <f>value(USD!B2169)</f>
        <v>13368.98</v>
      </c>
      <c r="C2169" s="1">
        <f>value(AUD!$B2169)</f>
        <v>10077.1461</v>
      </c>
      <c r="D2169" s="1">
        <f>value(EUR!$B2169)</f>
        <v>14964.015</v>
      </c>
      <c r="E2169" s="1">
        <f>value(GBP!$B2169)</f>
        <v>18851.535</v>
      </c>
      <c r="F2169" s="1">
        <f>value(CHF!$B2169)</f>
        <v>13276.302</v>
      </c>
      <c r="G2169" s="1">
        <f>value(SGD!$B2169)</f>
        <v>9708.4064</v>
      </c>
      <c r="H2169" s="1">
        <f>value(MYR!$B2169)</f>
        <v>3252.1935</v>
      </c>
      <c r="I2169" s="1">
        <f>value(THB!$B2169)</f>
        <v>377.538</v>
      </c>
      <c r="J2169" s="1">
        <f>value(VND!$B2169)</f>
        <v>0.5980568455</v>
      </c>
      <c r="K2169" s="1">
        <f>value(CNY!$B2169)</f>
        <v>1984.28544</v>
      </c>
      <c r="L2169" s="1">
        <f>value(HKD!$B2169)</f>
        <v>1683.0422</v>
      </c>
      <c r="M2169" s="1">
        <f>value(TWD!$B2169)</f>
        <v>411.83192</v>
      </c>
      <c r="N2169" s="1">
        <f>value(JPY!$B2169)</f>
        <v>125.809065</v>
      </c>
      <c r="O2169" s="1">
        <f>value(SAR!$B2169)</f>
        <v>3597.949874</v>
      </c>
      <c r="P2169" s="1">
        <f>value(AED!$B2169)</f>
        <v>3622.7158</v>
      </c>
      <c r="Q2169" s="1">
        <f>value(KWD!$B2169)</f>
        <v>43757.42906</v>
      </c>
    </row>
    <row r="2170">
      <c r="A2170" s="4">
        <f>value(USD!A2170)</f>
        <v>42534.99861</v>
      </c>
      <c r="B2170" s="1">
        <f>value(USD!B2170)</f>
        <v>13321</v>
      </c>
      <c r="C2170" s="1">
        <f>value(AUD!$B2170)</f>
        <v>10074.77952</v>
      </c>
      <c r="D2170" s="1">
        <f>value(EUR!$B2170)</f>
        <v>14998.32</v>
      </c>
      <c r="E2170" s="1">
        <f>value(GBP!$B2170)</f>
        <v>18905.076</v>
      </c>
      <c r="F2170" s="1">
        <f>value(CHF!$B2170)</f>
        <v>13283.228</v>
      </c>
      <c r="G2170" s="1">
        <f>value(SGD!$B2170)</f>
        <v>9702.82675</v>
      </c>
      <c r="H2170" s="1">
        <f>value(MYR!$B2170)</f>
        <v>3229.7004</v>
      </c>
      <c r="I2170" s="1">
        <f>value(THB!$B2170)</f>
        <v>377.8884</v>
      </c>
      <c r="J2170" s="1">
        <f>value(VND!$B2170)</f>
        <v>0.5957228261</v>
      </c>
      <c r="K2170" s="1">
        <f>value(CNY!$B2170)</f>
        <v>1984.61303</v>
      </c>
      <c r="L2170" s="1">
        <f>value(HKD!$B2170)</f>
        <v>1695.9292</v>
      </c>
      <c r="M2170" s="1">
        <f>value(TWD!$B2170)</f>
        <v>410.65902</v>
      </c>
      <c r="N2170" s="1">
        <f>value(JPY!$B2170)</f>
        <v>125.804736</v>
      </c>
      <c r="O2170" s="1">
        <f>value(SAR!$B2170)</f>
        <v>3603.896861</v>
      </c>
      <c r="P2170" s="1">
        <f>value(AED!$B2170)</f>
        <v>3620.67138</v>
      </c>
      <c r="Q2170" s="1">
        <f>value(KWD!$B2170)</f>
        <v>43762.90968</v>
      </c>
    </row>
    <row r="2171">
      <c r="A2171" s="4">
        <f>value(USD!A2171)</f>
        <v>42535.99861</v>
      </c>
      <c r="B2171" s="1">
        <f>value(USD!B2171)</f>
        <v>13350</v>
      </c>
      <c r="C2171" s="1">
        <f>value(AUD!$B2171)</f>
        <v>10086.6864</v>
      </c>
      <c r="D2171" s="1">
        <f>value(EUR!$B2171)</f>
        <v>15067.2816</v>
      </c>
      <c r="E2171" s="1">
        <f>value(GBP!$B2171)</f>
        <v>19130.6019</v>
      </c>
      <c r="F2171" s="1">
        <f>value(CHF!$B2171)</f>
        <v>13308.9761</v>
      </c>
      <c r="G2171" s="1">
        <f>value(SGD!$B2171)</f>
        <v>9656.21895</v>
      </c>
      <c r="H2171" s="1">
        <f>value(MYR!$B2171)</f>
        <v>3251.59326</v>
      </c>
      <c r="I2171" s="1">
        <f>value(THB!$B2171)</f>
        <v>379.4931</v>
      </c>
      <c r="J2171" s="1">
        <f>value(VND!$B2171)</f>
        <v>0.593475634</v>
      </c>
      <c r="K2171" s="1">
        <f>value(CNY!$B2171)</f>
        <v>1988.1488</v>
      </c>
      <c r="L2171" s="1">
        <f>value(HKD!$B2171)</f>
        <v>1702.63044</v>
      </c>
      <c r="M2171" s="1">
        <f>value(TWD!$B2171)</f>
        <v>413.21016</v>
      </c>
      <c r="N2171" s="1">
        <f>value(JPY!$B2171)</f>
        <v>127.8175596</v>
      </c>
      <c r="O2171" s="1">
        <f>value(SAR!$B2171)</f>
        <v>3623.064536</v>
      </c>
      <c r="P2171" s="1">
        <f>value(AED!$B2171)</f>
        <v>3616.9936</v>
      </c>
      <c r="Q2171" s="1">
        <f>value(KWD!$B2171)</f>
        <v>43681.96022</v>
      </c>
    </row>
    <row r="2172">
      <c r="A2172" s="4">
        <f>value(USD!A2172)</f>
        <v>42536.99861</v>
      </c>
      <c r="B2172" s="1">
        <f>value(USD!B2172)</f>
        <v>13320</v>
      </c>
      <c r="C2172" s="1">
        <f>value(AUD!$B2172)</f>
        <v>10097.69072</v>
      </c>
      <c r="D2172" s="1">
        <f>value(EUR!$B2172)</f>
        <v>15029.96352</v>
      </c>
      <c r="E2172" s="1">
        <f>value(GBP!$B2172)</f>
        <v>19139.4192</v>
      </c>
      <c r="F2172" s="1">
        <f>value(CHF!$B2172)</f>
        <v>13282.1577</v>
      </c>
      <c r="G2172" s="1">
        <f>value(SGD!$B2172)</f>
        <v>9687.7914</v>
      </c>
      <c r="H2172" s="1">
        <f>value(MYR!$B2172)</f>
        <v>3262.87368</v>
      </c>
      <c r="I2172" s="1">
        <f>value(THB!$B2172)</f>
        <v>378.09552</v>
      </c>
      <c r="J2172" s="1">
        <f>value(VND!$B2172)</f>
        <v>0.5962677154</v>
      </c>
      <c r="K2172" s="1">
        <f>value(CNY!$B2172)</f>
        <v>1990.15362</v>
      </c>
      <c r="L2172" s="1">
        <f>value(HKD!$B2172)</f>
        <v>1688.328</v>
      </c>
      <c r="M2172" s="1">
        <f>value(TWD!$B2172)</f>
        <v>411.53059</v>
      </c>
      <c r="N2172" s="1">
        <f>value(JPY!$B2172)</f>
        <v>127.9872</v>
      </c>
      <c r="O2172" s="1">
        <f>value(SAR!$B2172)</f>
        <v>3609.130941</v>
      </c>
      <c r="P2172" s="1">
        <f>value(AED!$B2172)</f>
        <v>3623.53234</v>
      </c>
      <c r="Q2172" s="1">
        <f>value(KWD!$B2172)</f>
        <v>43696.88962</v>
      </c>
    </row>
    <row r="2173">
      <c r="A2173" s="4">
        <f>value(USD!A2173)</f>
        <v>42537.99861</v>
      </c>
      <c r="B2173" s="1">
        <f>value(USD!B2173)</f>
        <v>13386</v>
      </c>
      <c r="C2173" s="1">
        <f>value(AUD!$B2173)</f>
        <v>10050.9287</v>
      </c>
      <c r="D2173" s="1">
        <f>value(EUR!$B2173)</f>
        <v>15036.5029</v>
      </c>
      <c r="E2173" s="1">
        <f>value(GBP!$B2173)</f>
        <v>19147.99521</v>
      </c>
      <c r="F2173" s="1">
        <f>value(CHF!$B2173)</f>
        <v>13278.20553</v>
      </c>
      <c r="G2173" s="1">
        <f>value(SGD!$B2173)</f>
        <v>9688.21602</v>
      </c>
      <c r="H2173" s="1">
        <f>value(MYR!$B2173)</f>
        <v>3263.199184</v>
      </c>
      <c r="I2173" s="1">
        <f>value(THB!$B2173)</f>
        <v>378.1332388</v>
      </c>
      <c r="J2173" s="1">
        <f>value(VND!$B2173)</f>
        <v>0.5876768662</v>
      </c>
      <c r="K2173" s="1">
        <f>value(CNY!$B2173)</f>
        <v>1974.36785</v>
      </c>
      <c r="L2173" s="1">
        <f>value(HKD!$B2173)</f>
        <v>1688.84135</v>
      </c>
      <c r="M2173" s="1">
        <f>value(TWD!$B2173)</f>
        <v>410.62512</v>
      </c>
      <c r="N2173" s="1">
        <f>value(JPY!$B2173)</f>
        <v>127.999968</v>
      </c>
      <c r="O2173" s="1">
        <f>value(SAR!$B2173)</f>
        <v>3589.141842</v>
      </c>
      <c r="P2173" s="1">
        <f>value(AED!$B2173)</f>
        <v>3629.065759</v>
      </c>
      <c r="Q2173" s="1">
        <f>value(KWD!$B2173)</f>
        <v>43680.48811</v>
      </c>
    </row>
    <row r="2174">
      <c r="A2174" s="4">
        <f>value(USD!A2174)</f>
        <v>42538.99861</v>
      </c>
      <c r="B2174" s="1">
        <f>value(USD!B2174)</f>
        <v>13332</v>
      </c>
      <c r="C2174" s="1">
        <f>value(AUD!$B2174)</f>
        <v>10067.90247</v>
      </c>
      <c r="D2174" s="1">
        <f>value(EUR!$B2174)</f>
        <v>15126.66288</v>
      </c>
      <c r="E2174" s="1">
        <f>value(GBP!$B2174)</f>
        <v>19443.4618</v>
      </c>
      <c r="F2174" s="1">
        <f>value(CHF!$B2174)</f>
        <v>13278.33</v>
      </c>
      <c r="G2174" s="1">
        <f>value(SGD!$B2174)</f>
        <v>9758.812276</v>
      </c>
      <c r="H2174" s="1">
        <f>value(MYR!$B2174)</f>
        <v>3263.199184</v>
      </c>
      <c r="I2174" s="1">
        <f>value(THB!$B2174)</f>
        <v>373.4665733</v>
      </c>
      <c r="J2174" s="1">
        <f>value(VND!$B2174)</f>
        <v>0.5965470808</v>
      </c>
      <c r="K2174" s="1">
        <f>value(CNY!$B2174)</f>
        <v>1974.63175</v>
      </c>
      <c r="L2174" s="1">
        <f>value(HKD!$B2174)</f>
        <v>1693.560528</v>
      </c>
      <c r="M2174" s="1">
        <f>value(TWD!$B2174)</f>
        <v>411.93488</v>
      </c>
      <c r="N2174" s="1">
        <f>value(JPY!$B2174)</f>
        <v>127.3839681</v>
      </c>
      <c r="O2174" s="1">
        <f>value(SAR!$B2174)</f>
        <v>3637.139281</v>
      </c>
      <c r="P2174" s="1">
        <f>value(AED!$B2174)</f>
        <v>3630.3204</v>
      </c>
      <c r="Q2174" s="1">
        <f>value(KWD!$B2174)</f>
        <v>43704.05631</v>
      </c>
    </row>
    <row r="2175">
      <c r="A2175" s="4">
        <f>value(USD!A2175)</f>
        <v>42539.99861</v>
      </c>
      <c r="B2175" s="1">
        <f>value(USD!B2175)</f>
        <v>13333.33</v>
      </c>
      <c r="C2175" s="1">
        <f>value(AUD!$B2175)</f>
        <v>10039.2006</v>
      </c>
      <c r="D2175" s="1">
        <f>value(EUR!$B2175)</f>
        <v>15000.325</v>
      </c>
      <c r="E2175" s="1">
        <f>value(GBP!$B2175)</f>
        <v>19439.075</v>
      </c>
      <c r="F2175" s="1">
        <f>value(CHF!$B2175)</f>
        <v>13263.3474</v>
      </c>
      <c r="G2175" s="1">
        <f>value(SGD!$B2175)</f>
        <v>9765.5228</v>
      </c>
      <c r="H2175" s="1">
        <f>value(MYR!$B2175)</f>
        <v>3259.5</v>
      </c>
      <c r="I2175" s="1">
        <f>value(THB!$B2175)</f>
        <v>376.3</v>
      </c>
      <c r="J2175" s="1">
        <f>value(VND!$B2175)</f>
        <v>0.5933333292</v>
      </c>
      <c r="K2175" s="1">
        <f>value(CNY!$B2175)</f>
        <v>1975.0276</v>
      </c>
      <c r="L2175" s="1">
        <f>value(HKD!$B2175)</f>
        <v>1693.560528</v>
      </c>
      <c r="M2175" s="1">
        <f>value(TWD!$B2175)</f>
        <v>412.08778</v>
      </c>
      <c r="N2175" s="1">
        <f>value(JPY!$B2175)</f>
        <v>127.5869</v>
      </c>
      <c r="O2175" s="1">
        <f>value(SAR!$B2175)</f>
        <v>4067.201348</v>
      </c>
      <c r="P2175" s="1">
        <f>value(AED!$B2175)</f>
        <v>3626.38737</v>
      </c>
      <c r="Q2175" s="1">
        <f>value(KWD!$B2175)</f>
        <v>43709.63968</v>
      </c>
    </row>
    <row r="2176">
      <c r="A2176" s="4">
        <f>value(USD!A2176)</f>
        <v>42540.99861</v>
      </c>
      <c r="B2176" s="1">
        <f>value(USD!B2176)</f>
        <v>13333.33</v>
      </c>
      <c r="C2176" s="1">
        <f>value(AUD!$B2176)</f>
        <v>10037.74464</v>
      </c>
      <c r="D2176" s="1">
        <f>value(EUR!$B2176)</f>
        <v>14910.5495</v>
      </c>
      <c r="E2176" s="1">
        <f>value(GBP!$B2176)</f>
        <v>19438.59005</v>
      </c>
      <c r="F2176" s="1">
        <f>value(CHF!$B2176)</f>
        <v>13295.7798</v>
      </c>
      <c r="G2176" s="1">
        <f>value(SGD!$B2176)</f>
        <v>9694.0675</v>
      </c>
      <c r="H2176" s="1">
        <f>value(MYR!$B2176)</f>
        <v>3287.5051</v>
      </c>
      <c r="I2176" s="1">
        <f>value(THB!$B2176)</f>
        <v>375.9118</v>
      </c>
      <c r="J2176" s="1">
        <f>value(VND!$B2176)</f>
        <v>0.5955747857</v>
      </c>
      <c r="K2176" s="1">
        <f>value(CNY!$B2176)</f>
        <v>1965.99375</v>
      </c>
      <c r="L2176" s="1">
        <f>value(HKD!$B2176)</f>
        <v>1690.7744</v>
      </c>
      <c r="M2176" s="1">
        <f>value(TWD!$B2176)</f>
        <v>412.52892</v>
      </c>
      <c r="N2176" s="1">
        <f>value(JPY!$B2176)</f>
        <v>126.577297</v>
      </c>
      <c r="O2176" s="1">
        <f>value(SAR!$B2176)</f>
        <v>3545.221773</v>
      </c>
      <c r="P2176" s="1">
        <f>value(AED!$B2176)</f>
        <v>3625.70978</v>
      </c>
      <c r="Q2176" s="1">
        <f>value(KWD!$B2176)</f>
        <v>43752.66769</v>
      </c>
    </row>
    <row r="2177">
      <c r="A2177" s="4">
        <f>value(USD!A2177)</f>
        <v>42541.99861</v>
      </c>
      <c r="B2177" s="1">
        <f>value(USD!B2177)</f>
        <v>13250</v>
      </c>
      <c r="C2177" s="1">
        <f>value(AUD!$B2177)</f>
        <v>9992.66807</v>
      </c>
      <c r="D2177" s="1">
        <f>value(EUR!$B2177)</f>
        <v>14942.018</v>
      </c>
      <c r="E2177" s="1">
        <f>value(GBP!$B2177)</f>
        <v>19504.849</v>
      </c>
      <c r="F2177" s="1">
        <f>value(CHF!$B2177)</f>
        <v>13326.9948</v>
      </c>
      <c r="G2177" s="1">
        <f>value(SGD!$B2177)</f>
        <v>9668.26399</v>
      </c>
      <c r="H2177" s="1">
        <f>value(MYR!$B2177)</f>
        <v>3273.01975</v>
      </c>
      <c r="I2177" s="1">
        <f>value(THB!$B2177)</f>
        <v>374.4741</v>
      </c>
      <c r="J2177" s="1">
        <f>value(VND!$B2177)</f>
        <v>0.5939906393</v>
      </c>
      <c r="K2177" s="1">
        <f>value(CNY!$B2177)</f>
        <v>1956.0884</v>
      </c>
      <c r="L2177" s="1">
        <f>value(HKD!$B2177)</f>
        <v>1684.97525</v>
      </c>
      <c r="M2177" s="1">
        <f>value(TWD!$B2177)</f>
        <v>410.58446</v>
      </c>
      <c r="N2177" s="1">
        <f>value(JPY!$B2177)</f>
        <v>126.070308</v>
      </c>
      <c r="O2177" s="1">
        <f>value(SAR!$B2177)</f>
        <v>3543.651746</v>
      </c>
      <c r="P2177" s="1">
        <f>value(AED!$B2177)</f>
        <v>3624.34888</v>
      </c>
      <c r="Q2177" s="1">
        <f>value(KWD!$B2177)</f>
        <v>43748.9646</v>
      </c>
    </row>
    <row r="2178">
      <c r="A2178" s="4">
        <f>value(USD!A2178)</f>
        <v>42542.99861</v>
      </c>
      <c r="B2178" s="1">
        <f>value(USD!B2178)</f>
        <v>13255</v>
      </c>
      <c r="C2178" s="1">
        <f>value(AUD!$B2178)</f>
        <v>9984.4352</v>
      </c>
      <c r="D2178" s="1">
        <f>value(EUR!$B2178)</f>
        <v>15005.4925</v>
      </c>
      <c r="E2178" s="1">
        <f>value(GBP!$B2178)</f>
        <v>19279.545</v>
      </c>
      <c r="F2178" s="1">
        <f>value(CHF!$B2178)</f>
        <v>13426.224</v>
      </c>
      <c r="G2178" s="1">
        <f>value(SGD!$B2178)</f>
        <v>9655.2398</v>
      </c>
      <c r="H2178" s="1">
        <f>value(MYR!$B2178)</f>
        <v>3344.035</v>
      </c>
      <c r="I2178" s="1">
        <f>value(THB!$B2178)</f>
        <v>376.035</v>
      </c>
      <c r="J2178" s="1">
        <f>value(VND!$B2178)</f>
        <v>0.5943080219</v>
      </c>
      <c r="K2178" s="1">
        <f>value(CNY!$B2178)</f>
        <v>1961.0228</v>
      </c>
      <c r="L2178" s="1">
        <f>value(HKD!$B2178)</f>
        <v>1677.76365</v>
      </c>
      <c r="M2178" s="1">
        <f>value(TWD!$B2178)</f>
        <v>411.1716</v>
      </c>
      <c r="N2178" s="1">
        <f>value(JPY!$B2178)</f>
        <v>126.236725</v>
      </c>
      <c r="O2178" s="1">
        <f>value(SAR!$B2178)</f>
        <v>3552.529687</v>
      </c>
      <c r="P2178" s="1">
        <f>value(AED!$B2178)</f>
        <v>3625.9762</v>
      </c>
      <c r="Q2178" s="1">
        <f>value(KWD!$B2178)</f>
        <v>43767.82942</v>
      </c>
    </row>
    <row r="2179">
      <c r="A2179" s="4">
        <f>value(USD!A2179)</f>
        <v>42543.99861</v>
      </c>
      <c r="B2179" s="1">
        <f>value(USD!B2179)</f>
        <v>13195</v>
      </c>
      <c r="C2179" s="1">
        <f>value(AUD!$B2179)</f>
        <v>10019.7877</v>
      </c>
      <c r="D2179" s="1">
        <f>value(EUR!$B2179)</f>
        <v>14854.94375</v>
      </c>
      <c r="E2179" s="1">
        <f>value(GBP!$B2179)</f>
        <v>18295.6625</v>
      </c>
      <c r="F2179" s="1">
        <f>value(CHF!$B2179)</f>
        <v>13532.79852</v>
      </c>
      <c r="G2179" s="1">
        <f>value(SGD!$B2179)</f>
        <v>9680.11352</v>
      </c>
      <c r="H2179" s="1">
        <f>value(MYR!$B2179)</f>
        <v>3263.5</v>
      </c>
      <c r="I2179" s="1">
        <f>value(THB!$B2179)</f>
        <v>378.5125</v>
      </c>
      <c r="J2179" s="1">
        <f>value(VND!$B2179)</f>
        <v>0.5934618943</v>
      </c>
      <c r="K2179" s="1">
        <f>value(CNY!$B2179)</f>
        <v>1961.17284</v>
      </c>
      <c r="L2179" s="1">
        <f>value(HKD!$B2179)</f>
        <v>1678.6686</v>
      </c>
      <c r="M2179" s="1">
        <f>value(TWD!$B2179)</f>
        <v>411.73128</v>
      </c>
      <c r="N2179" s="1">
        <f>value(JPY!$B2179)</f>
        <v>130.8075</v>
      </c>
      <c r="O2179" s="1">
        <f>value(SAR!$B2179)</f>
        <v>3558.09728</v>
      </c>
      <c r="P2179" s="1">
        <f>value(AED!$B2179)</f>
        <v>3630.47022</v>
      </c>
      <c r="Q2179" s="1">
        <f>value(KWD!$B2179)</f>
        <v>43803.9009</v>
      </c>
    </row>
    <row r="2180">
      <c r="A2180" s="4">
        <f>value(USD!A2180)</f>
        <v>42544.99861</v>
      </c>
      <c r="B2180" s="1">
        <f>value(USD!B2180)</f>
        <v>13250</v>
      </c>
      <c r="C2180" s="1">
        <f>value(AUD!$B2180)</f>
        <v>9985.976</v>
      </c>
      <c r="D2180" s="1">
        <f>value(EUR!$B2180)</f>
        <v>14989.18142</v>
      </c>
      <c r="E2180" s="1">
        <f>value(GBP!$B2180)</f>
        <v>18439.25999</v>
      </c>
      <c r="F2180" s="1">
        <f>value(CHF!$B2180)</f>
        <v>13534.11085</v>
      </c>
      <c r="G2180" s="1">
        <f>value(SGD!$B2180)</f>
        <v>9646.05393</v>
      </c>
      <c r="H2180" s="1">
        <f>value(MYR!$B2180)</f>
        <v>3288.40752</v>
      </c>
      <c r="I2180" s="1">
        <f>value(THB!$B2180)</f>
        <v>381.401364</v>
      </c>
      <c r="J2180" s="1">
        <f>value(VND!$B2180)</f>
        <v>0.5945885491</v>
      </c>
      <c r="K2180" s="1">
        <f>value(CNY!$B2180)</f>
        <v>1967.3261</v>
      </c>
      <c r="L2180" s="1">
        <f>value(HKD!$B2180)</f>
        <v>1684.21428</v>
      </c>
      <c r="M2180" s="1">
        <f>value(TWD!$B2180)</f>
        <v>412.5186</v>
      </c>
      <c r="N2180" s="1">
        <f>value(JPY!$B2180)</f>
        <v>131.8058424</v>
      </c>
      <c r="O2180" s="1">
        <f>value(SAR!$B2180)</f>
        <v>3559.731685</v>
      </c>
      <c r="P2180" s="1">
        <f>value(AED!$B2180)</f>
        <v>3634.044074</v>
      </c>
      <c r="Q2180" s="1">
        <f>value(KWD!$B2180)</f>
        <v>43759.83058</v>
      </c>
    </row>
    <row r="2181">
      <c r="A2181" s="4">
        <f>value(USD!A2181)</f>
        <v>42545.99861</v>
      </c>
      <c r="B2181" s="1">
        <f>value(USD!B2181)</f>
        <v>13375</v>
      </c>
      <c r="C2181" s="1">
        <f>value(AUD!$B2181)</f>
        <v>9987.2955</v>
      </c>
      <c r="D2181" s="1">
        <f>value(EUR!$B2181)</f>
        <v>15017.68467</v>
      </c>
      <c r="E2181" s="1">
        <f>value(GBP!$B2181)</f>
        <v>18291.42564</v>
      </c>
      <c r="F2181" s="1">
        <f>value(CHF!$B2181)</f>
        <v>13435.427</v>
      </c>
      <c r="G2181" s="1">
        <f>value(SGD!$B2181)</f>
        <v>9655.767229</v>
      </c>
      <c r="H2181" s="1">
        <f>value(MYR!$B2181)</f>
        <v>3319.72736</v>
      </c>
      <c r="I2181" s="1">
        <f>value(THB!$B2181)</f>
        <v>381.9047008</v>
      </c>
      <c r="J2181" s="1">
        <f>value(VND!$B2181)</f>
        <v>0.593239981</v>
      </c>
      <c r="K2181" s="1">
        <f>value(CNY!$B2181)</f>
        <v>1966.22811</v>
      </c>
      <c r="L2181" s="1">
        <f>value(HKD!$B2181)</f>
        <v>1696.578336</v>
      </c>
      <c r="M2181" s="1">
        <f>value(TWD!$B2181)</f>
        <v>411.78726</v>
      </c>
      <c r="N2181" s="1">
        <f>value(JPY!$B2181)</f>
        <v>133.133312</v>
      </c>
      <c r="O2181" s="1">
        <f>value(SAR!$B2181)</f>
        <v>3561.296768</v>
      </c>
      <c r="P2181" s="1">
        <f>value(AED!$B2181)</f>
        <v>3634.137</v>
      </c>
      <c r="Q2181" s="1">
        <f>value(KWD!$B2181)</f>
        <v>43695.68645</v>
      </c>
    </row>
    <row r="2182">
      <c r="A2182" s="4">
        <f>value(USD!A2182)</f>
        <v>42546.99861</v>
      </c>
      <c r="B2182" s="1">
        <f>value(USD!B2182)</f>
        <v>13477.08</v>
      </c>
      <c r="C2182" s="1">
        <f>value(AUD!$B2182)</f>
        <v>9980.30215</v>
      </c>
      <c r="D2182" s="1">
        <f>value(EUR!$B2182)</f>
        <v>14740.9005</v>
      </c>
      <c r="E2182" s="1">
        <f>value(GBP!$B2182)</f>
        <v>17709.6935</v>
      </c>
      <c r="F2182" s="1">
        <f>value(CHF!$B2182)</f>
        <v>13565.9304</v>
      </c>
      <c r="G2182" s="1">
        <f>value(SGD!$B2182)</f>
        <v>9611.2062</v>
      </c>
      <c r="H2182" s="1">
        <f>value(MYR!$B2182)</f>
        <v>3233.5483</v>
      </c>
      <c r="I2182" s="1">
        <f>value(THB!$B2182)</f>
        <v>378.66165</v>
      </c>
      <c r="J2182" s="1">
        <f>value(VND!$B2182)</f>
        <v>0.598743262</v>
      </c>
      <c r="K2182" s="1">
        <f>value(CNY!$B2182)</f>
        <v>1971.7884</v>
      </c>
      <c r="L2182" s="1">
        <f>value(HKD!$B2182)</f>
        <v>1696.578336</v>
      </c>
      <c r="M2182" s="1">
        <f>value(TWD!$B2182)</f>
        <v>410.55762</v>
      </c>
      <c r="N2182" s="1">
        <f>value(JPY!$B2182)</f>
        <v>131.4313305</v>
      </c>
      <c r="O2182" s="1">
        <f>value(SAR!$B2182)</f>
        <v>3544.202398</v>
      </c>
      <c r="P2182" s="1">
        <f>value(AED!$B2182)</f>
        <v>3632.91993</v>
      </c>
      <c r="Q2182" s="1">
        <f>value(KWD!$B2182)</f>
        <v>43689.12799</v>
      </c>
    </row>
    <row r="2183">
      <c r="A2183" s="4">
        <f>value(USD!A2183)</f>
        <v>42547.99861</v>
      </c>
      <c r="B2183" s="1">
        <f>value(USD!B2183)</f>
        <v>13605.44</v>
      </c>
      <c r="C2183" s="1">
        <f>value(AUD!$B2183)</f>
        <v>9963.84375</v>
      </c>
      <c r="D2183" s="1">
        <f>value(EUR!$B2183)</f>
        <v>14571.8048</v>
      </c>
      <c r="E2183" s="1">
        <f>value(GBP!$B2183)</f>
        <v>17563.336</v>
      </c>
      <c r="F2183" s="1">
        <f>value(CHF!$B2183)</f>
        <v>13505.292</v>
      </c>
      <c r="G2183" s="1">
        <f>value(SGD!$B2183)</f>
        <v>9690.5225</v>
      </c>
      <c r="H2183" s="1">
        <f>value(MYR!$B2183)</f>
        <v>3243.4136</v>
      </c>
      <c r="I2183" s="1">
        <f>value(THB!$B2183)</f>
        <v>373.086</v>
      </c>
      <c r="J2183" s="1">
        <f>value(VND!$B2183)</f>
        <v>0.5974602809</v>
      </c>
      <c r="K2183" s="1">
        <f>value(CNY!$B2183)</f>
        <v>1971.58496</v>
      </c>
      <c r="L2183" s="1">
        <f>value(HKD!$B2183)</f>
        <v>1686.14654</v>
      </c>
      <c r="M2183" s="1">
        <f>value(TWD!$B2183)</f>
        <v>410.6835</v>
      </c>
      <c r="N2183" s="1">
        <f>value(JPY!$B2183)</f>
        <v>128.121812</v>
      </c>
      <c r="O2183" s="1">
        <f>value(SAR!$B2183)</f>
        <v>3545.114724</v>
      </c>
      <c r="P2183" s="1">
        <f>value(AED!$B2183)</f>
        <v>3635.78044</v>
      </c>
      <c r="Q2183" s="1">
        <f>value(KWD!$B2183)</f>
        <v>43746.51015</v>
      </c>
    </row>
    <row r="2184">
      <c r="A2184" s="4">
        <f>value(USD!A2184)</f>
        <v>42548.99861</v>
      </c>
      <c r="B2184" s="1">
        <f>value(USD!B2184)</f>
        <v>13385</v>
      </c>
      <c r="C2184" s="1">
        <f>value(AUD!$B2184)</f>
        <v>10033.7672</v>
      </c>
      <c r="D2184" s="1">
        <f>value(EUR!$B2184)</f>
        <v>14615.03526</v>
      </c>
      <c r="E2184" s="1">
        <f>value(GBP!$B2184)</f>
        <v>17687.32763</v>
      </c>
      <c r="F2184" s="1">
        <f>value(CHF!$B2184)</f>
        <v>13452.8501</v>
      </c>
      <c r="G2184" s="1">
        <f>value(SGD!$B2184)</f>
        <v>9707.32074</v>
      </c>
      <c r="H2184" s="1">
        <f>value(MYR!$B2184)</f>
        <v>3260.31146</v>
      </c>
      <c r="I2184" s="1">
        <f>value(THB!$B2184)</f>
        <v>373.80455</v>
      </c>
      <c r="J2184" s="1">
        <f>value(VND!$B2184)</f>
        <v>0.5942377954</v>
      </c>
      <c r="K2184" s="1">
        <f>value(CNY!$B2184)</f>
        <v>1982.97216</v>
      </c>
      <c r="L2184" s="1">
        <f>value(HKD!$B2184)</f>
        <v>1687.94956</v>
      </c>
      <c r="M2184" s="1">
        <f>value(TWD!$B2184)</f>
        <v>410.78884</v>
      </c>
      <c r="N2184" s="1">
        <f>value(JPY!$B2184)</f>
        <v>127.8083086</v>
      </c>
      <c r="O2184" s="1">
        <f>value(SAR!$B2184)</f>
        <v>3577.656233</v>
      </c>
      <c r="P2184" s="1">
        <f>value(AED!$B2184)</f>
        <v>3630.6036</v>
      </c>
      <c r="Q2184" s="1">
        <f>value(KWD!$B2184)</f>
        <v>43749.79369</v>
      </c>
    </row>
    <row r="2185">
      <c r="A2185" s="4">
        <f>value(USD!A2185)</f>
        <v>42549.99861</v>
      </c>
      <c r="B2185" s="1">
        <f>value(USD!B2185)</f>
        <v>13160</v>
      </c>
      <c r="C2185" s="1">
        <f>value(AUD!$B2185)</f>
        <v>10022.076</v>
      </c>
      <c r="D2185" s="1">
        <f>value(EUR!$B2185)</f>
        <v>14633.0585</v>
      </c>
      <c r="E2185" s="1">
        <f>value(GBP!$B2185)</f>
        <v>17557.0348</v>
      </c>
      <c r="F2185" s="1">
        <f>value(CHF!$B2185)</f>
        <v>13373.9424</v>
      </c>
      <c r="G2185" s="1">
        <f>value(SGD!$B2185)</f>
        <v>9650.64548</v>
      </c>
      <c r="H2185" s="1">
        <f>value(MYR!$B2185)</f>
        <v>3296.75363</v>
      </c>
      <c r="I2185" s="1">
        <f>value(THB!$B2185)</f>
        <v>374.49034</v>
      </c>
      <c r="J2185" s="1">
        <f>value(VND!$B2185)</f>
        <v>0.5959848265</v>
      </c>
      <c r="K2185" s="1">
        <f>value(CNY!$B2185)</f>
        <v>1976.53944</v>
      </c>
      <c r="L2185" s="1">
        <f>value(HKD!$B2185)</f>
        <v>1689.36555</v>
      </c>
      <c r="M2185" s="1">
        <f>value(TWD!$B2185)</f>
        <v>410.94992</v>
      </c>
      <c r="N2185" s="1">
        <f>value(JPY!$B2185)</f>
        <v>127.8116292</v>
      </c>
      <c r="O2185" s="1">
        <f>value(SAR!$B2185)</f>
        <v>3579.989739</v>
      </c>
      <c r="P2185" s="1">
        <f>value(AED!$B2185)</f>
        <v>3627.19825</v>
      </c>
      <c r="Q2185" s="1">
        <f>value(KWD!$B2185)</f>
        <v>43748.75865</v>
      </c>
    </row>
    <row r="2186">
      <c r="A2186" s="4">
        <f>value(USD!A2186)</f>
        <v>42550.99861</v>
      </c>
      <c r="B2186" s="1">
        <f>value(USD!B2186)</f>
        <v>13139</v>
      </c>
      <c r="C2186" s="1">
        <f>value(AUD!$B2186)</f>
        <v>9998.66145</v>
      </c>
      <c r="D2186" s="1">
        <f>value(EUR!$B2186)</f>
        <v>14607.88045</v>
      </c>
      <c r="E2186" s="1">
        <f>value(GBP!$B2186)</f>
        <v>17393.113</v>
      </c>
      <c r="F2186" s="1">
        <f>value(CHF!$B2186)</f>
        <v>13398.15576</v>
      </c>
      <c r="G2186" s="1">
        <f>value(SGD!$B2186)</f>
        <v>9715.6542</v>
      </c>
      <c r="H2186" s="1">
        <f>value(MYR!$B2186)</f>
        <v>3280.8484</v>
      </c>
      <c r="I2186" s="1">
        <f>value(THB!$B2186)</f>
        <v>373.38405</v>
      </c>
      <c r="J2186" s="1">
        <f>value(VND!$B2186)</f>
        <v>0.5967821171</v>
      </c>
      <c r="K2186" s="1">
        <f>value(CNY!$B2186)</f>
        <v>1970.15416</v>
      </c>
      <c r="L2186" s="1">
        <f>value(HKD!$B2186)</f>
        <v>1690.13901</v>
      </c>
      <c r="M2186" s="1">
        <f>value(TWD!$B2186)</f>
        <v>412.33984</v>
      </c>
      <c r="N2186" s="1">
        <f>value(JPY!$B2186)</f>
        <v>127.87125</v>
      </c>
      <c r="O2186" s="1">
        <f>value(SAR!$B2186)</f>
        <v>3580.029353</v>
      </c>
      <c r="P2186" s="1">
        <f>value(AED!$B2186)</f>
        <v>3626.65383</v>
      </c>
      <c r="Q2186" s="1">
        <f>value(KWD!$B2186)</f>
        <v>43926.51069</v>
      </c>
    </row>
    <row r="2187">
      <c r="A2187" s="4">
        <f>value(USD!A2187)</f>
        <v>42551.99861</v>
      </c>
      <c r="B2187" s="1">
        <f>value(USD!B2187)</f>
        <v>13177</v>
      </c>
      <c r="C2187" s="1">
        <f>value(AUD!$B2187)</f>
        <v>9931.10959</v>
      </c>
      <c r="D2187" s="1">
        <f>value(EUR!$B2187)</f>
        <v>14619.83184</v>
      </c>
      <c r="E2187" s="1">
        <f>value(GBP!$B2187)</f>
        <v>17404.18677</v>
      </c>
      <c r="F2187" s="1">
        <f>value(CHF!$B2187)</f>
        <v>13331.7165</v>
      </c>
      <c r="G2187" s="1">
        <f>value(SGD!$B2187)</f>
        <v>9791.331435</v>
      </c>
      <c r="H2187" s="1">
        <f>value(MYR!$B2187)</f>
        <v>3282.937236</v>
      </c>
      <c r="I2187" s="1">
        <f>value(THB!$B2187)</f>
        <v>367.3225665</v>
      </c>
      <c r="J2187" s="1">
        <f>value(VND!$B2187)</f>
        <v>0.5949231308</v>
      </c>
      <c r="K2187" s="1">
        <f>value(CNY!$B2187)</f>
        <v>1955.49528</v>
      </c>
      <c r="L2187" s="1">
        <f>value(HKD!$B2187)</f>
        <v>1689.87231</v>
      </c>
      <c r="M2187" s="1">
        <f>value(TWD!$B2187)</f>
        <v>411.69162</v>
      </c>
      <c r="N2187" s="1">
        <f>value(JPY!$B2187)</f>
        <v>127.9526625</v>
      </c>
      <c r="O2187" s="1">
        <f>value(SAR!$B2187)</f>
        <v>3645.929627</v>
      </c>
      <c r="P2187" s="1">
        <f>value(AED!$B2187)</f>
        <v>3626.65383</v>
      </c>
      <c r="Q2187" s="1">
        <f>value(KWD!$B2187)</f>
        <v>43900.99819</v>
      </c>
    </row>
    <row r="2188">
      <c r="A2188" s="4">
        <f>value(USD!A2188)</f>
        <v>42552.99861</v>
      </c>
      <c r="B2188" s="1">
        <f>value(USD!B2188)</f>
        <v>13115</v>
      </c>
      <c r="C2188" s="1">
        <f>value(AUD!$B2188)</f>
        <v>9923.9679</v>
      </c>
      <c r="D2188" s="1">
        <f>value(EUR!$B2188)</f>
        <v>14601.03921</v>
      </c>
      <c r="E2188" s="1">
        <f>value(GBP!$B2188)</f>
        <v>17427.8088</v>
      </c>
      <c r="F2188" s="1">
        <f>value(CHF!$B2188)</f>
        <v>13345.9887</v>
      </c>
      <c r="G2188" s="1">
        <f>value(SGD!$B2188)</f>
        <v>9775.977115</v>
      </c>
      <c r="H2188" s="1">
        <f>value(MYR!$B2188)</f>
        <v>3282.937236</v>
      </c>
      <c r="I2188" s="1">
        <f>value(THB!$B2188)</f>
        <v>367.191333</v>
      </c>
      <c r="J2188" s="1">
        <f>value(VND!$B2188)</f>
        <v>0.5995047193</v>
      </c>
      <c r="K2188" s="1">
        <f>value(CNY!$B2188)</f>
        <v>1957.312168</v>
      </c>
      <c r="L2188" s="1">
        <f>value(HKD!$B2188)</f>
        <v>1691.468581</v>
      </c>
      <c r="M2188" s="1">
        <f>value(TWD!$B2188)</f>
        <v>412.92143</v>
      </c>
      <c r="N2188" s="1">
        <f>value(JPY!$B2188)</f>
        <v>127.9526625</v>
      </c>
      <c r="O2188" s="1">
        <f>value(SAR!$B2188)</f>
        <v>3638.860183</v>
      </c>
      <c r="P2188" s="1">
        <f>value(AED!$B2188)</f>
        <v>3627.32576</v>
      </c>
      <c r="Q2188" s="1">
        <f>value(KWD!$B2188)</f>
        <v>43809.98811</v>
      </c>
    </row>
    <row r="2189">
      <c r="A2189" s="4">
        <f>value(USD!A2189)</f>
        <v>42553.99861</v>
      </c>
      <c r="B2189" s="1">
        <f>value(USD!B2189)</f>
        <v>13123.35</v>
      </c>
      <c r="C2189" s="1">
        <f>value(AUD!$B2189)</f>
        <v>9939.3156</v>
      </c>
      <c r="D2189" s="1">
        <f>value(EUR!$B2189)</f>
        <v>14554.064</v>
      </c>
      <c r="E2189" s="1">
        <f>value(GBP!$B2189)</f>
        <v>17341.068</v>
      </c>
      <c r="F2189" s="1">
        <f>value(CHF!$B2189)</f>
        <v>13432.3161</v>
      </c>
      <c r="G2189" s="1">
        <f>value(SGD!$B2189)</f>
        <v>9689.3276</v>
      </c>
      <c r="H2189" s="1">
        <f>value(MYR!$B2189)</f>
        <v>3259.9066</v>
      </c>
      <c r="I2189" s="1">
        <f>value(THB!$B2189)</f>
        <v>372.0794</v>
      </c>
      <c r="J2189" s="1">
        <f>value(VND!$B2189)</f>
        <v>0.5956864736</v>
      </c>
      <c r="K2189" s="1">
        <f>value(CNY!$B2189)</f>
        <v>1972.60718</v>
      </c>
      <c r="L2189" s="1">
        <f>value(HKD!$B2189)</f>
        <v>1687.9455</v>
      </c>
      <c r="M2189" s="1">
        <f>value(TWD!$B2189)</f>
        <v>412.92143</v>
      </c>
      <c r="N2189" s="1">
        <f>value(JPY!$B2189)</f>
        <v>127.355896</v>
      </c>
      <c r="O2189" s="1">
        <f>value(SAR!$B2189)</f>
        <v>3568.663978</v>
      </c>
      <c r="P2189" s="1">
        <f>value(AED!$B2189)</f>
        <v>3631.14258</v>
      </c>
      <c r="Q2189" s="1">
        <f>value(KWD!$B2189)</f>
        <v>43651.85871</v>
      </c>
    </row>
    <row r="2190">
      <c r="A2190" s="4">
        <f>value(USD!A2190)</f>
        <v>42554.99861</v>
      </c>
      <c r="B2190" s="1">
        <f>value(USD!B2190)</f>
        <v>13123.35</v>
      </c>
      <c r="C2190" s="1">
        <f>value(AUD!$B2190)</f>
        <v>9965.2766</v>
      </c>
      <c r="D2190" s="1">
        <f>value(EUR!$B2190)</f>
        <v>14556.276</v>
      </c>
      <c r="E2190" s="1">
        <f>value(GBP!$B2190)</f>
        <v>17044.832</v>
      </c>
      <c r="F2190" s="1">
        <f>value(CHF!$B2190)</f>
        <v>13430.6892</v>
      </c>
      <c r="G2190" s="1">
        <f>value(SGD!$B2190)</f>
        <v>9764.0136</v>
      </c>
      <c r="H2190" s="1">
        <f>value(MYR!$B2190)</f>
        <v>3258.416</v>
      </c>
      <c r="I2190" s="1">
        <f>value(THB!$B2190)</f>
        <v>373.744</v>
      </c>
      <c r="J2190" s="1">
        <f>value(VND!$B2190)</f>
        <v>0.5968525076</v>
      </c>
      <c r="K2190" s="1">
        <f>value(CNY!$B2190)</f>
        <v>1970.58722</v>
      </c>
      <c r="L2190" s="1">
        <f>value(HKD!$B2190)</f>
        <v>1696.5818</v>
      </c>
      <c r="M2190" s="1">
        <f>value(TWD!$B2190)</f>
        <v>412.92143</v>
      </c>
      <c r="N2190" s="1">
        <f>value(JPY!$B2190)</f>
        <v>130.118184</v>
      </c>
      <c r="O2190" s="1">
        <f>value(SAR!$B2190)</f>
        <v>3582.563624</v>
      </c>
      <c r="P2190" s="1">
        <f>value(AED!$B2190)</f>
        <v>3645.16411</v>
      </c>
      <c r="Q2190" s="1">
        <f>value(KWD!$B2190)</f>
        <v>43708.66907</v>
      </c>
    </row>
    <row r="2191">
      <c r="A2191" s="4">
        <f>value(USD!A2191)</f>
        <v>42555.99861</v>
      </c>
      <c r="B2191" s="1">
        <f>value(USD!B2191)</f>
        <v>13060</v>
      </c>
      <c r="C2191" s="1">
        <f>value(AUD!$B2191)</f>
        <v>9888.51121</v>
      </c>
      <c r="D2191" s="1">
        <f>value(EUR!$B2191)</f>
        <v>14660.0352</v>
      </c>
      <c r="E2191" s="1">
        <f>value(GBP!$B2191)</f>
        <v>17072.01792</v>
      </c>
      <c r="F2191" s="1">
        <f>value(CHF!$B2191)</f>
        <v>13445.3305</v>
      </c>
      <c r="G2191" s="1">
        <f>value(SGD!$B2191)</f>
        <v>9791.4024</v>
      </c>
      <c r="H2191" s="1">
        <f>value(MYR!$B2191)</f>
        <v>3257.15436</v>
      </c>
      <c r="I2191" s="1">
        <f>value(THB!$B2191)</f>
        <v>374.82444</v>
      </c>
      <c r="J2191" s="1">
        <f>value(VND!$B2191)</f>
        <v>0.5994778467</v>
      </c>
      <c r="K2191" s="1">
        <f>value(CNY!$B2191)</f>
        <v>1972.25262</v>
      </c>
      <c r="L2191" s="1">
        <f>value(HKD!$B2191)</f>
        <v>1688.3322</v>
      </c>
      <c r="M2191" s="1">
        <f>value(TWD!$B2191)</f>
        <v>411.99158</v>
      </c>
      <c r="N2191" s="1">
        <f>value(JPY!$B2191)</f>
        <v>130.6019412</v>
      </c>
      <c r="O2191" s="1">
        <f>value(SAR!$B2191)</f>
        <v>3587.368493</v>
      </c>
      <c r="P2191" s="1">
        <f>value(AED!$B2191)</f>
        <v>3645.43632</v>
      </c>
      <c r="Q2191" s="1">
        <f>value(KWD!$B2191)</f>
        <v>43527.28897</v>
      </c>
    </row>
    <row r="2192">
      <c r="A2192" s="4">
        <f>value(USD!A2192)</f>
        <v>42556.99861</v>
      </c>
      <c r="B2192" s="1">
        <f>value(USD!B2192)</f>
        <v>13160</v>
      </c>
      <c r="C2192" s="1">
        <f>value(AUD!$B2192)</f>
        <v>9864.2298</v>
      </c>
      <c r="D2192" s="1">
        <f>value(EUR!$B2192)</f>
        <v>14494.626</v>
      </c>
      <c r="E2192" s="1">
        <f>value(GBP!$B2192)</f>
        <v>16916.685</v>
      </c>
      <c r="F2192" s="1">
        <f>value(CHF!$B2192)</f>
        <v>13445.4454</v>
      </c>
      <c r="G2192" s="1">
        <f>value(SGD!$B2192)</f>
        <v>9763.30736</v>
      </c>
      <c r="H2192" s="1">
        <f>value(MYR!$B2192)</f>
        <v>3240.547</v>
      </c>
      <c r="I2192" s="1">
        <f>value(THB!$B2192)</f>
        <v>371.647</v>
      </c>
      <c r="J2192" s="1">
        <f>value(VND!$B2192)</f>
        <v>0.5980628375</v>
      </c>
      <c r="K2192" s="1">
        <f>value(CNY!$B2192)</f>
        <v>1956.0884</v>
      </c>
      <c r="L2192" s="1">
        <f>value(HKD!$B2192)</f>
        <v>1683.30678</v>
      </c>
      <c r="M2192" s="1">
        <f>value(TWD!$B2192)</f>
        <v>413.04384</v>
      </c>
      <c r="N2192" s="1">
        <f>value(JPY!$B2192)</f>
        <v>129.94676</v>
      </c>
      <c r="O2192" s="1">
        <f>value(SAR!$B2192)</f>
        <v>3589.846216</v>
      </c>
      <c r="P2192" s="1">
        <f>value(AED!$B2192)</f>
        <v>3640.26433</v>
      </c>
      <c r="Q2192" s="1">
        <f>value(KWD!$B2192)</f>
        <v>43701.26737</v>
      </c>
    </row>
    <row r="2193">
      <c r="A2193" s="4">
        <f>value(USD!A2193)</f>
        <v>42557.99861</v>
      </c>
      <c r="B2193" s="1">
        <f>value(USD!B2193)</f>
        <v>13212</v>
      </c>
      <c r="C2193" s="1">
        <f>value(AUD!$B2193)</f>
        <v>9873.1156</v>
      </c>
      <c r="D2193" s="1">
        <f>value(EUR!$B2193)</f>
        <v>14480.7629</v>
      </c>
      <c r="E2193" s="1">
        <f>value(GBP!$B2193)</f>
        <v>16965.733</v>
      </c>
      <c r="F2193" s="1">
        <f>value(CHF!$B2193)</f>
        <v>13422.5112</v>
      </c>
      <c r="G2193" s="1">
        <f>value(SGD!$B2193)</f>
        <v>9744.79086</v>
      </c>
      <c r="H2193" s="1">
        <f>value(MYR!$B2193)</f>
        <v>3272.18745</v>
      </c>
      <c r="I2193" s="1">
        <f>value(THB!$B2193)</f>
        <v>372.182</v>
      </c>
      <c r="J2193" s="1">
        <f>value(VND!$B2193)</f>
        <v>0.5985532635</v>
      </c>
      <c r="K2193" s="1">
        <f>value(CNY!$B2193)</f>
        <v>1959.82248</v>
      </c>
      <c r="L2193" s="1">
        <f>value(HKD!$B2193)</f>
        <v>1677.8874</v>
      </c>
      <c r="M2193" s="1">
        <f>value(TWD!$B2193)</f>
        <v>413.16682</v>
      </c>
      <c r="N2193" s="1">
        <f>value(JPY!$B2193)</f>
        <v>130.2637</v>
      </c>
      <c r="O2193" s="1">
        <f>value(SAR!$B2193)</f>
        <v>3581.082783</v>
      </c>
      <c r="P2193" s="1">
        <f>value(AED!$B2193)</f>
        <v>3625.68048</v>
      </c>
      <c r="Q2193" s="1">
        <f>value(KWD!$B2193)</f>
        <v>43717.42173</v>
      </c>
    </row>
    <row r="2194">
      <c r="A2194" s="4">
        <f>value(USD!A2194)</f>
        <v>42558.99861</v>
      </c>
      <c r="B2194" s="1">
        <f>value(USD!B2194)</f>
        <v>13100</v>
      </c>
      <c r="C2194" s="1">
        <f>value(AUD!$B2194)</f>
        <v>9860.27167</v>
      </c>
      <c r="D2194" s="1">
        <f>value(EUR!$B2194)</f>
        <v>14522.88599</v>
      </c>
      <c r="E2194" s="1">
        <f>value(GBP!$B2194)</f>
        <v>17011.82076</v>
      </c>
      <c r="F2194" s="1">
        <f>value(CHF!$B2194)</f>
        <v>13630.1956</v>
      </c>
      <c r="G2194" s="1">
        <f>value(SGD!$B2194)</f>
        <v>9745.857396</v>
      </c>
      <c r="H2194" s="1">
        <f>value(MYR!$B2194)</f>
        <v>3281.076414</v>
      </c>
      <c r="I2194" s="1">
        <f>value(THB!$B2194)</f>
        <v>373.19304</v>
      </c>
      <c r="J2194" s="1">
        <f>value(VND!$B2194)</f>
        <v>0.5990623169</v>
      </c>
      <c r="K2194" s="1">
        <f>value(CNY!$B2194)</f>
        <v>1962.15</v>
      </c>
      <c r="L2194" s="1">
        <f>value(HKD!$B2194)</f>
        <v>1691.468581</v>
      </c>
      <c r="M2194" s="1">
        <f>value(TWD!$B2194)</f>
        <v>415.30104</v>
      </c>
      <c r="N2194" s="1">
        <f>value(JPY!$B2194)</f>
        <v>130.617564</v>
      </c>
      <c r="O2194" s="1">
        <f>value(SAR!$B2194)</f>
        <v>3580.987408</v>
      </c>
      <c r="P2194" s="1">
        <f>value(AED!$B2194)</f>
        <v>3629.465759</v>
      </c>
      <c r="Q2194" s="1">
        <f>value(KWD!$B2194)</f>
        <v>43822.32256</v>
      </c>
    </row>
    <row r="2195">
      <c r="A2195" s="4">
        <f>value(USD!A2195)</f>
        <v>42559.99861</v>
      </c>
      <c r="B2195" s="1">
        <f>value(USD!B2195)</f>
        <v>13105</v>
      </c>
      <c r="C2195" s="1">
        <f>value(AUD!$B2195)</f>
        <v>9870.882316</v>
      </c>
      <c r="D2195" s="1">
        <f>value(EUR!$B2195)</f>
        <v>14509.85052</v>
      </c>
      <c r="E2195" s="1">
        <f>value(GBP!$B2195)</f>
        <v>17007.61576</v>
      </c>
      <c r="F2195" s="1">
        <f>value(CHF!$B2195)</f>
        <v>13636.977</v>
      </c>
      <c r="G2195" s="1">
        <f>value(SGD!$B2195)</f>
        <v>9732.5593</v>
      </c>
      <c r="H2195" s="1">
        <f>value(MYR!$B2195)</f>
        <v>3281.076414</v>
      </c>
      <c r="I2195" s="1">
        <f>value(THB!$B2195)</f>
        <v>372.930228</v>
      </c>
      <c r="J2195" s="1">
        <f>value(VND!$B2195)</f>
        <v>0.5955655075</v>
      </c>
      <c r="K2195" s="1">
        <f>value(CNY!$B2195)</f>
        <v>1961.30766</v>
      </c>
      <c r="L2195" s="1">
        <f>value(HKD!$B2195)</f>
        <v>1691.206114</v>
      </c>
      <c r="M2195" s="1">
        <f>value(TWD!$B2195)</f>
        <v>416.46888</v>
      </c>
      <c r="N2195" s="1">
        <f>value(JPY!$B2195)</f>
        <v>130.486158</v>
      </c>
      <c r="O2195" s="1">
        <f>value(SAR!$B2195)</f>
        <v>3583.386641</v>
      </c>
      <c r="P2195" s="1">
        <f>value(AED!$B2195)</f>
        <v>3614.66994</v>
      </c>
      <c r="Q2195" s="1">
        <f>value(KWD!$B2195)</f>
        <v>43903.95244</v>
      </c>
    </row>
    <row r="2196">
      <c r="A2196" s="4">
        <f>value(USD!A2196)</f>
        <v>42560.99861</v>
      </c>
      <c r="B2196" s="1">
        <f>value(USD!B2196)</f>
        <v>13140.6</v>
      </c>
      <c r="C2196" s="1">
        <f>value(AUD!$B2196)</f>
        <v>9869.6174</v>
      </c>
      <c r="D2196" s="1">
        <f>value(EUR!$B2196)</f>
        <v>14506.5216</v>
      </c>
      <c r="E2196" s="1">
        <f>value(GBP!$B2196)</f>
        <v>17029.4976</v>
      </c>
      <c r="F2196" s="1">
        <f>value(CHF!$B2196)</f>
        <v>13729.0557</v>
      </c>
      <c r="G2196" s="1">
        <f>value(SGD!$B2196)</f>
        <v>9743.86875</v>
      </c>
      <c r="H2196" s="1">
        <f>value(MYR!$B2196)</f>
        <v>3275.5392</v>
      </c>
      <c r="I2196" s="1">
        <f>value(THB!$B2196)</f>
        <v>373.1328</v>
      </c>
      <c r="J2196" s="1">
        <f>value(VND!$B2196)</f>
        <v>0.592328583</v>
      </c>
      <c r="K2196" s="1">
        <f>value(CNY!$B2196)</f>
        <v>1960.03848</v>
      </c>
      <c r="L2196" s="1">
        <f>value(HKD!$B2196)</f>
        <v>1676.0783</v>
      </c>
      <c r="M2196" s="1">
        <f>value(TWD!$B2196)</f>
        <v>416.46888</v>
      </c>
      <c r="N2196" s="1">
        <f>value(JPY!$B2196)</f>
        <v>127.951488</v>
      </c>
      <c r="O2196" s="1">
        <f>value(SAR!$B2196)</f>
        <v>3655.59814</v>
      </c>
      <c r="P2196" s="1">
        <f>value(AED!$B2196)</f>
        <v>3631.6924</v>
      </c>
      <c r="Q2196" s="1">
        <f>value(KWD!$B2196)</f>
        <v>43727.06566</v>
      </c>
    </row>
    <row r="2197">
      <c r="A2197" s="4">
        <f>value(USD!A2197)</f>
        <v>42561.99861</v>
      </c>
      <c r="B2197" s="1">
        <f>value(USD!B2197)</f>
        <v>13140.6</v>
      </c>
      <c r="C2197" s="1">
        <f>value(AUD!$B2197)</f>
        <v>9901.15623</v>
      </c>
      <c r="D2197" s="1">
        <f>value(EUR!$B2197)</f>
        <v>14460.03475</v>
      </c>
      <c r="E2197" s="1">
        <f>value(GBP!$B2197)</f>
        <v>17358.6315</v>
      </c>
      <c r="F2197" s="1">
        <f>value(CHF!$B2197)</f>
        <v>13683.996</v>
      </c>
      <c r="G2197" s="1">
        <f>value(SGD!$B2197)</f>
        <v>9759.78717</v>
      </c>
      <c r="H2197" s="1">
        <f>value(MYR!$B2197)</f>
        <v>3300.52225</v>
      </c>
      <c r="I2197" s="1">
        <f>value(THB!$B2197)</f>
        <v>371.19925</v>
      </c>
      <c r="J2197" s="1">
        <f>value(VND!$B2197)</f>
        <v>0.5973326018</v>
      </c>
      <c r="K2197" s="1">
        <f>value(CNY!$B2197)</f>
        <v>1955.45883</v>
      </c>
      <c r="L2197" s="1">
        <f>value(HKD!$B2197)</f>
        <v>1686.77328</v>
      </c>
      <c r="M2197" s="1">
        <f>value(TWD!$B2197)</f>
        <v>416.5324</v>
      </c>
      <c r="N2197" s="1">
        <f>value(JPY!$B2197)</f>
        <v>124.774725</v>
      </c>
      <c r="O2197" s="1">
        <f>value(SAR!$B2197)</f>
        <v>3584.412009</v>
      </c>
      <c r="P2197" s="1">
        <f>value(AED!$B2197)</f>
        <v>3630.19256</v>
      </c>
      <c r="Q2197" s="1">
        <f>value(KWD!$B2197)</f>
        <v>43717.23862</v>
      </c>
    </row>
    <row r="2198">
      <c r="A2198" s="4">
        <f>value(USD!A2198)</f>
        <v>42562.99861</v>
      </c>
      <c r="B2198" s="1">
        <f>value(USD!B2198)</f>
        <v>13120</v>
      </c>
      <c r="C2198" s="1">
        <f>value(AUD!$B2198)</f>
        <v>9940.869</v>
      </c>
      <c r="D2198" s="1">
        <f>value(EUR!$B2198)</f>
        <v>14439.3616</v>
      </c>
      <c r="E2198" s="1">
        <f>value(GBP!$B2198)</f>
        <v>17070.60415</v>
      </c>
      <c r="F2198" s="1">
        <f>value(CHF!$B2198)</f>
        <v>13724.0442</v>
      </c>
      <c r="G2198" s="1">
        <f>value(SGD!$B2198)</f>
        <v>9746.48376</v>
      </c>
      <c r="H2198" s="1">
        <f>value(MYR!$B2198)</f>
        <v>3259.08615</v>
      </c>
      <c r="I2198" s="1">
        <f>value(THB!$B2198)</f>
        <v>369.49585</v>
      </c>
      <c r="J2198" s="1">
        <f>value(VND!$B2198)</f>
        <v>0.5951944117</v>
      </c>
      <c r="K2198" s="1">
        <f>value(CNY!$B2198)</f>
        <v>1936.51664</v>
      </c>
      <c r="L2198" s="1">
        <f>value(HKD!$B2198)</f>
        <v>1693.089</v>
      </c>
      <c r="M2198" s="1">
        <f>value(TWD!$B2198)</f>
        <v>415.25051</v>
      </c>
      <c r="N2198" s="1">
        <f>value(JPY!$B2198)</f>
        <v>125.0181855</v>
      </c>
      <c r="O2198" s="1">
        <f>value(SAR!$B2198)</f>
        <v>3601.55912</v>
      </c>
      <c r="P2198" s="1">
        <f>value(AED!$B2198)</f>
        <v>3638.63592</v>
      </c>
      <c r="Q2198" s="1">
        <f>value(KWD!$B2198)</f>
        <v>43832.56019</v>
      </c>
    </row>
    <row r="2199">
      <c r="A2199" s="4">
        <f>value(USD!A2199)</f>
        <v>42563.99861</v>
      </c>
      <c r="B2199" s="1">
        <f>value(USD!B2199)</f>
        <v>13075</v>
      </c>
      <c r="C2199" s="1">
        <f>value(AUD!$B2199)</f>
        <v>9965.47386</v>
      </c>
      <c r="D2199" s="1">
        <f>value(EUR!$B2199)</f>
        <v>14458.71</v>
      </c>
      <c r="E2199" s="1">
        <f>value(GBP!$B2199)</f>
        <v>17385.7362</v>
      </c>
      <c r="F2199" s="1">
        <f>value(CHF!$B2199)</f>
        <v>13699.5705</v>
      </c>
      <c r="G2199" s="1">
        <f>value(SGD!$B2199)</f>
        <v>9735.83527</v>
      </c>
      <c r="H2199" s="1">
        <f>value(MYR!$B2199)</f>
        <v>3308.9028</v>
      </c>
      <c r="I2199" s="1">
        <f>value(THB!$B2199)</f>
        <v>371.07</v>
      </c>
      <c r="J2199" s="1">
        <f>value(VND!$B2199)</f>
        <v>0.5921785112</v>
      </c>
      <c r="K2199" s="1">
        <f>value(CNY!$B2199)</f>
        <v>1935.04896</v>
      </c>
      <c r="L2199" s="1">
        <f>value(HKD!$B2199)</f>
        <v>1689.10773</v>
      </c>
      <c r="M2199" s="1">
        <f>value(TWD!$B2199)</f>
        <v>413.92134</v>
      </c>
      <c r="N2199" s="1">
        <f>value(JPY!$B2199)</f>
        <v>123.69</v>
      </c>
      <c r="O2199" s="1">
        <f>value(SAR!$B2199)</f>
        <v>3595.439505</v>
      </c>
      <c r="P2199" s="1">
        <f>value(AED!$B2199)</f>
        <v>3648.16257</v>
      </c>
      <c r="Q2199" s="1">
        <f>value(KWD!$B2199)</f>
        <v>43894.44189</v>
      </c>
    </row>
    <row r="2200">
      <c r="A2200" s="4">
        <f>value(USD!A2200)</f>
        <v>42564.99861</v>
      </c>
      <c r="B2200" s="1">
        <f>value(USD!B2200)</f>
        <v>13015</v>
      </c>
      <c r="C2200" s="1">
        <f>value(AUD!$B2200)</f>
        <v>9988.38078</v>
      </c>
      <c r="D2200" s="1">
        <f>value(EUR!$B2200)</f>
        <v>14397.06702</v>
      </c>
      <c r="E2200" s="1">
        <f>value(GBP!$B2200)</f>
        <v>17230.0842</v>
      </c>
      <c r="F2200" s="1">
        <f>value(CHF!$B2200)</f>
        <v>13720.1883</v>
      </c>
      <c r="G2200" s="1">
        <f>value(SGD!$B2200)</f>
        <v>9733.43302</v>
      </c>
      <c r="H2200" s="1">
        <f>value(MYR!$B2200)</f>
        <v>3260.66706</v>
      </c>
      <c r="I2200" s="1">
        <f>value(THB!$B2200)</f>
        <v>373.44258</v>
      </c>
      <c r="J2200" s="1">
        <f>value(VND!$B2200)</f>
        <v>0.5937834369</v>
      </c>
      <c r="K2200" s="1">
        <f>value(CNY!$B2200)</f>
        <v>1949.27973</v>
      </c>
      <c r="L2200" s="1">
        <f>value(HKD!$B2200)</f>
        <v>1691.55702</v>
      </c>
      <c r="M2200" s="1">
        <f>value(TWD!$B2200)</f>
        <v>417.49386</v>
      </c>
      <c r="N2200" s="1">
        <f>value(JPY!$B2200)</f>
        <v>124.48086</v>
      </c>
      <c r="O2200" s="1">
        <f>value(SAR!$B2200)</f>
        <v>3603.550711</v>
      </c>
      <c r="P2200" s="1">
        <f>value(AED!$B2200)</f>
        <v>3633.33082</v>
      </c>
      <c r="Q2200" s="1">
        <f>value(KWD!$B2200)</f>
        <v>43320.21102</v>
      </c>
    </row>
    <row r="2201">
      <c r="A2201" s="4">
        <f>value(USD!A2201)</f>
        <v>42565.99861</v>
      </c>
      <c r="B2201" s="1">
        <f>value(USD!B2201)</f>
        <v>13020</v>
      </c>
      <c r="C2201" s="1">
        <f>value(AUD!$B2201)</f>
        <v>9969.0301</v>
      </c>
      <c r="D2201" s="1">
        <f>value(EUR!$B2201)</f>
        <v>14522.41582</v>
      </c>
      <c r="E2201" s="1">
        <f>value(GBP!$B2201)</f>
        <v>17353.94112</v>
      </c>
      <c r="F2201" s="1">
        <f>value(CHF!$B2201)</f>
        <v>13732.9218</v>
      </c>
      <c r="G2201" s="1">
        <f>value(SGD!$B2201)</f>
        <v>9724.13652</v>
      </c>
      <c r="H2201" s="1">
        <f>value(MYR!$B2201)</f>
        <v>3284.60408</v>
      </c>
      <c r="I2201" s="1">
        <f>value(THB!$B2201)</f>
        <v>376.1840751</v>
      </c>
      <c r="J2201" s="1">
        <f>value(VND!$B2201)</f>
        <v>0.5975325212</v>
      </c>
      <c r="K2201" s="1">
        <f>value(CNY!$B2201)</f>
        <v>1961.73036</v>
      </c>
      <c r="L2201" s="1">
        <f>value(HKD!$B2201)</f>
        <v>1694.086152</v>
      </c>
      <c r="M2201" s="1">
        <f>value(TWD!$B2201)</f>
        <v>428.42964</v>
      </c>
      <c r="N2201" s="1">
        <f>value(JPY!$B2201)</f>
        <v>125.5262706</v>
      </c>
      <c r="O2201" s="1">
        <f>value(SAR!$B2201)</f>
        <v>3603.550711</v>
      </c>
      <c r="P2201" s="1">
        <f>value(AED!$B2201)</f>
        <v>3633.04812</v>
      </c>
      <c r="Q2201" s="1">
        <f>value(KWD!$B2201)</f>
        <v>43586.54397</v>
      </c>
    </row>
    <row r="2202">
      <c r="A2202" s="4">
        <f>value(USD!A2202)</f>
        <v>42566.99861</v>
      </c>
      <c r="B2202" s="1">
        <f>value(USD!B2202)</f>
        <v>13062</v>
      </c>
      <c r="C2202" s="1">
        <f>value(AUD!$B2202)</f>
        <v>9981.1296</v>
      </c>
      <c r="D2202" s="1">
        <f>value(EUR!$B2202)</f>
        <v>14544.46844</v>
      </c>
      <c r="E2202" s="1">
        <f>value(GBP!$B2202)</f>
        <v>17403.54636</v>
      </c>
      <c r="F2202" s="1">
        <f>value(CHF!$B2202)</f>
        <v>13702.143</v>
      </c>
      <c r="G2202" s="1">
        <f>value(SGD!$B2202)</f>
        <v>9785.52596</v>
      </c>
      <c r="H2202" s="1">
        <f>value(MYR!$B2202)</f>
        <v>3284.60408</v>
      </c>
      <c r="I2202" s="1">
        <f>value(THB!$B2202)</f>
        <v>376.8419696</v>
      </c>
      <c r="J2202" s="1">
        <f>value(VND!$B2202)</f>
        <v>0.596036583</v>
      </c>
      <c r="K2202" s="1">
        <f>value(CNY!$B2202)</f>
        <v>1961.559</v>
      </c>
      <c r="L2202" s="1">
        <f>value(HKD!$B2202)</f>
        <v>1689.10345</v>
      </c>
      <c r="M2202" s="1">
        <f>value(TWD!$B2202)</f>
        <v>420.1091</v>
      </c>
      <c r="N2202" s="1">
        <f>value(JPY!$B2202)</f>
        <v>124.7552182</v>
      </c>
      <c r="O2202" s="1">
        <f>value(SAR!$B2202)</f>
        <v>3601.951266</v>
      </c>
      <c r="P2202" s="1">
        <f>value(AED!$B2202)</f>
        <v>3639.59096</v>
      </c>
      <c r="Q2202" s="1">
        <f>value(KWD!$B2202)</f>
        <v>43845.5118</v>
      </c>
    </row>
    <row r="2203">
      <c r="A2203" s="4">
        <f>value(USD!A2203)</f>
        <v>42567.99861</v>
      </c>
      <c r="B2203" s="1">
        <f>value(USD!B2203)</f>
        <v>13157.89</v>
      </c>
      <c r="C2203" s="1">
        <f>value(AUD!$B2203)</f>
        <v>9938.94579</v>
      </c>
      <c r="D2203" s="1">
        <f>value(EUR!$B2203)</f>
        <v>14476.95366</v>
      </c>
      <c r="E2203" s="1">
        <f>value(GBP!$B2203)</f>
        <v>17348.22856</v>
      </c>
      <c r="F2203" s="1">
        <f>value(CHF!$B2203)</f>
        <v>13695.0394</v>
      </c>
      <c r="G2203" s="1">
        <f>value(SGD!$B2203)</f>
        <v>9779.19975</v>
      </c>
      <c r="H2203" s="1">
        <f>value(MYR!$B2203)</f>
        <v>3282.578</v>
      </c>
      <c r="I2203" s="1">
        <f>value(THB!$B2203)</f>
        <v>373.90002</v>
      </c>
      <c r="J2203" s="1">
        <f>value(VND!$B2203)</f>
        <v>0.5937444085</v>
      </c>
      <c r="K2203" s="1">
        <f>value(CNY!$B2203)</f>
        <v>1952.6796</v>
      </c>
      <c r="L2203" s="1">
        <f>value(HKD!$B2203)</f>
        <v>1688.7189</v>
      </c>
      <c r="M2203" s="1">
        <f>value(TWD!$B2203)</f>
        <v>410.2701636</v>
      </c>
      <c r="N2203" s="1">
        <f>value(JPY!$B2203)</f>
        <v>123.1803742</v>
      </c>
      <c r="O2203" s="1">
        <f>value(SAR!$B2203)</f>
        <v>3605.253282</v>
      </c>
      <c r="P2203" s="1">
        <f>value(AED!$B2203)</f>
        <v>3644.4902</v>
      </c>
      <c r="Q2203" s="1">
        <f>value(KWD!$B2203)</f>
        <v>43845.5118</v>
      </c>
    </row>
    <row r="2204">
      <c r="A2204" s="4">
        <f>value(USD!A2204)</f>
        <v>42568.99861</v>
      </c>
      <c r="B2204" s="1">
        <f>value(USD!B2204)</f>
        <v>13157.89</v>
      </c>
      <c r="C2204" s="1">
        <f>value(AUD!$B2204)</f>
        <v>9950.32168</v>
      </c>
      <c r="D2204" s="1">
        <f>value(EUR!$B2204)</f>
        <v>14418.0116</v>
      </c>
      <c r="E2204" s="1">
        <f>value(GBP!$B2204)</f>
        <v>17158.90022</v>
      </c>
      <c r="F2204" s="1">
        <f>value(CHF!$B2204)</f>
        <v>13589.1268</v>
      </c>
      <c r="G2204" s="1">
        <f>value(SGD!$B2204)</f>
        <v>9783.2467</v>
      </c>
      <c r="H2204" s="1">
        <f>value(MYR!$B2204)</f>
        <v>3259.10956</v>
      </c>
      <c r="I2204" s="1">
        <f>value(THB!$B2204)</f>
        <v>373.41236</v>
      </c>
      <c r="J2204" s="1">
        <f>value(VND!$B2204)</f>
        <v>0.5977414845</v>
      </c>
      <c r="K2204" s="1">
        <f>value(CNY!$B2204)</f>
        <v>1941.7076</v>
      </c>
      <c r="L2204" s="1">
        <f>value(HKD!$B2204)</f>
        <v>1686.3987</v>
      </c>
      <c r="M2204" s="1">
        <f>value(TWD!$B2204)</f>
        <v>416.53724</v>
      </c>
      <c r="N2204" s="1">
        <f>value(JPY!$B2204)</f>
        <v>123.3255856</v>
      </c>
      <c r="O2204" s="1">
        <f>value(SAR!$B2204)</f>
        <v>3588.531956</v>
      </c>
      <c r="P2204" s="1">
        <f>value(AED!$B2204)</f>
        <v>3597.40306</v>
      </c>
      <c r="Q2204" s="1">
        <f>value(KWD!$B2204)</f>
        <v>43812.6441</v>
      </c>
    </row>
    <row r="2205">
      <c r="A2205" s="4">
        <f>value(USD!A2205)</f>
        <v>42569.99861</v>
      </c>
      <c r="B2205" s="1">
        <f>value(USD!B2205)</f>
        <v>13078</v>
      </c>
      <c r="C2205" s="1">
        <f>value(AUD!$B2205)</f>
        <v>9906.30564</v>
      </c>
      <c r="D2205" s="1">
        <f>value(EUR!$B2205)</f>
        <v>14438.5648</v>
      </c>
      <c r="E2205" s="1">
        <f>value(GBP!$B2205)</f>
        <v>17374.0848</v>
      </c>
      <c r="F2205" s="1">
        <f>value(CHF!$B2205)</f>
        <v>13611.17565</v>
      </c>
      <c r="G2205" s="1">
        <f>value(SGD!$B2205)</f>
        <v>9755.0046</v>
      </c>
      <c r="H2205" s="1">
        <f>value(MYR!$B2205)</f>
        <v>3239.2939</v>
      </c>
      <c r="I2205" s="1">
        <f>value(THB!$B2205)</f>
        <v>373.62355</v>
      </c>
      <c r="J2205" s="1">
        <f>value(VND!$B2205)</f>
        <v>0.5985513104</v>
      </c>
      <c r="K2205" s="1">
        <f>value(CNY!$B2205)</f>
        <v>1953.3469</v>
      </c>
      <c r="L2205" s="1">
        <f>value(HKD!$B2205)</f>
        <v>1688.3322</v>
      </c>
      <c r="M2205" s="1">
        <f>value(TWD!$B2205)</f>
        <v>421.2667</v>
      </c>
      <c r="N2205" s="1">
        <f>value(JPY!$B2205)</f>
        <v>122.2054355</v>
      </c>
      <c r="O2205" s="1">
        <f>value(SAR!$B2205)</f>
        <v>3563.077211</v>
      </c>
      <c r="P2205" s="1">
        <f>value(AED!$B2205)</f>
        <v>3615.6326</v>
      </c>
      <c r="Q2205" s="1">
        <f>value(KWD!$B2205)</f>
        <v>43761.69006</v>
      </c>
    </row>
    <row r="2206">
      <c r="A2206" s="4">
        <f>value(USD!A2206)</f>
        <v>42570.99861</v>
      </c>
      <c r="B2206" s="1">
        <f>value(USD!B2206)</f>
        <v>13093</v>
      </c>
      <c r="C2206" s="1">
        <f>value(AUD!$B2206)</f>
        <v>9936.249</v>
      </c>
      <c r="D2206" s="1">
        <f>value(EUR!$B2206)</f>
        <v>14463.26854</v>
      </c>
      <c r="E2206" s="1">
        <f>value(GBP!$B2206)</f>
        <v>17356.60402</v>
      </c>
      <c r="F2206" s="1">
        <f>value(CHF!$B2206)</f>
        <v>13608.144</v>
      </c>
      <c r="G2206" s="1">
        <f>value(SGD!$B2206)</f>
        <v>9763.66215</v>
      </c>
      <c r="H2206" s="1">
        <f>value(MYR!$B2206)</f>
        <v>3225.56822</v>
      </c>
      <c r="I2206" s="1">
        <f>value(THB!$B2206)</f>
        <v>374.71238</v>
      </c>
      <c r="J2206" s="1">
        <f>value(VND!$B2206)</f>
        <v>0.5947168101</v>
      </c>
      <c r="K2206" s="1">
        <f>value(CNY!$B2206)</f>
        <v>1949.62734</v>
      </c>
      <c r="L2206" s="1">
        <f>value(HKD!$B2206)</f>
        <v>1690.13901</v>
      </c>
      <c r="M2206" s="1">
        <f>value(TWD!$B2206)</f>
        <v>417.62881</v>
      </c>
      <c r="N2206" s="1">
        <f>value(JPY!$B2206)</f>
        <v>123.89895</v>
      </c>
      <c r="O2206" s="1">
        <f>value(SAR!$B2206)</f>
        <v>3555.336034</v>
      </c>
      <c r="P2206" s="1">
        <f>value(AED!$B2206)</f>
        <v>3630.8812</v>
      </c>
      <c r="Q2206" s="1">
        <f>value(KWD!$B2206)</f>
        <v>43711.60318</v>
      </c>
    </row>
    <row r="2207">
      <c r="A2207" s="4">
        <f>value(USD!A2207)</f>
        <v>42571.99861</v>
      </c>
      <c r="B2207" s="1">
        <f>value(USD!B2207)</f>
        <v>13105</v>
      </c>
      <c r="C2207" s="1">
        <f>value(AUD!$B2207)</f>
        <v>9917.3881</v>
      </c>
      <c r="D2207" s="1">
        <f>value(EUR!$B2207)</f>
        <v>14391.77976</v>
      </c>
      <c r="E2207" s="1">
        <f>value(GBP!$B2207)</f>
        <v>17192.97882</v>
      </c>
      <c r="F2207" s="1">
        <f>value(CHF!$B2207)</f>
        <v>13542.1056</v>
      </c>
      <c r="G2207" s="1">
        <f>value(SGD!$B2207)</f>
        <v>9778.6227</v>
      </c>
      <c r="H2207" s="1">
        <f>value(MYR!$B2207)</f>
        <v>3210.71805</v>
      </c>
      <c r="I2207" s="1">
        <f>value(THB!$B2207)</f>
        <v>374.63841</v>
      </c>
      <c r="J2207" s="1">
        <f>value(VND!$B2207)</f>
        <v>0.5942808434</v>
      </c>
      <c r="K2207" s="1">
        <f>value(CNY!$B2207)</f>
        <v>1948.01895</v>
      </c>
      <c r="L2207" s="1">
        <f>value(HKD!$B2207)</f>
        <v>1689.49446</v>
      </c>
      <c r="M2207" s="1">
        <f>value(TWD!$B2207)</f>
        <v>419.62152</v>
      </c>
      <c r="N2207" s="1">
        <f>value(JPY!$B2207)</f>
        <v>123.52446</v>
      </c>
      <c r="O2207" s="1">
        <f>value(SAR!$B2207)</f>
        <v>3557.581992</v>
      </c>
      <c r="P2207" s="1">
        <f>value(AED!$B2207)</f>
        <v>3630.8812</v>
      </c>
      <c r="Q2207" s="1">
        <f>value(KWD!$B2207)</f>
        <v>43774.01079</v>
      </c>
    </row>
    <row r="2208">
      <c r="A2208" s="4">
        <f>value(USD!A2208)</f>
        <v>42572.99861</v>
      </c>
      <c r="B2208" s="1">
        <f>value(USD!B2208)</f>
        <v>13111</v>
      </c>
      <c r="C2208" s="1">
        <f>value(AUD!$B2208)</f>
        <v>9964.68966</v>
      </c>
      <c r="D2208" s="1">
        <f>value(EUR!$B2208)</f>
        <v>14404.79263</v>
      </c>
      <c r="E2208" s="1">
        <f>value(GBP!$B2208)</f>
        <v>17211.62785</v>
      </c>
      <c r="F2208" s="1">
        <f>value(CHF!$B2208)</f>
        <v>13506.1544</v>
      </c>
      <c r="G2208" s="1">
        <f>value(SGD!$B2208)</f>
        <v>9787.73406</v>
      </c>
      <c r="H2208" s="1">
        <f>value(MYR!$B2208)</f>
        <v>3213.252247</v>
      </c>
      <c r="I2208" s="1">
        <f>value(THB!$B2208)</f>
        <v>374.9341095</v>
      </c>
      <c r="J2208" s="1">
        <f>value(VND!$B2208)</f>
        <v>0.5982832911</v>
      </c>
      <c r="K2208" s="1">
        <f>value(CNY!$B2208)</f>
        <v>1942.79638</v>
      </c>
      <c r="L2208" s="1">
        <f>value(HKD!$B2208)</f>
        <v>1683.82242</v>
      </c>
      <c r="M2208" s="1">
        <f>value(TWD!$B2208)</f>
        <v>420.70307</v>
      </c>
      <c r="N2208" s="1">
        <f>value(JPY!$B2208)</f>
        <v>123.621957</v>
      </c>
      <c r="O2208" s="1">
        <f>value(SAR!$B2208)</f>
        <v>3557.581992</v>
      </c>
      <c r="P2208" s="1">
        <f>value(AED!$B2208)</f>
        <v>3628.6926</v>
      </c>
      <c r="Q2208" s="1">
        <f>value(KWD!$B2208)</f>
        <v>43787.59961</v>
      </c>
    </row>
    <row r="2209">
      <c r="A2209" s="4">
        <f>value(USD!A2209)</f>
        <v>42573.99861</v>
      </c>
      <c r="B2209" s="1">
        <f>value(USD!B2209)</f>
        <v>13113</v>
      </c>
      <c r="C2209" s="1">
        <f>value(AUD!$B2209)</f>
        <v>9961.9872</v>
      </c>
      <c r="D2209" s="1">
        <f>value(EUR!$B2209)</f>
        <v>14394.34644</v>
      </c>
      <c r="E2209" s="1">
        <f>value(GBP!$B2209)</f>
        <v>17226.62784</v>
      </c>
      <c r="F2209" s="1">
        <f>value(CHF!$B2209)</f>
        <v>13501.776</v>
      </c>
      <c r="G2209" s="1">
        <f>value(SGD!$B2209)</f>
        <v>9785.7298</v>
      </c>
      <c r="H2209" s="1">
        <f>value(MYR!$B2209)</f>
        <v>3213.252247</v>
      </c>
      <c r="I2209" s="1">
        <f>value(THB!$B2209)</f>
        <v>374.802876</v>
      </c>
      <c r="J2209" s="1">
        <f>value(VND!$B2209)</f>
        <v>0.5935434831</v>
      </c>
      <c r="K2209" s="1">
        <f>value(CNY!$B2209)</f>
        <v>1941.28957</v>
      </c>
      <c r="L2209" s="1">
        <f>value(HKD!$B2209)</f>
        <v>1690.66345</v>
      </c>
      <c r="M2209" s="1">
        <f>value(TWD!$B2209)</f>
        <v>417.46012</v>
      </c>
      <c r="N2209" s="1">
        <f>value(JPY!$B2209)</f>
        <v>123.35949</v>
      </c>
      <c r="O2209" s="1">
        <f>value(SAR!$B2209)</f>
        <v>3559.9818</v>
      </c>
      <c r="P2209" s="1">
        <f>value(AED!$B2209)</f>
        <v>3628.70376</v>
      </c>
      <c r="Q2209" s="1">
        <f>value(KWD!$B2209)</f>
        <v>43698.21183</v>
      </c>
    </row>
    <row r="2210">
      <c r="A2210" s="4">
        <f>value(USD!A2210)</f>
        <v>42574.99861</v>
      </c>
      <c r="B2210" s="1">
        <f>value(USD!B2210)</f>
        <v>13123.35</v>
      </c>
      <c r="C2210" s="1">
        <f>value(AUD!$B2210)</f>
        <v>9909.2655</v>
      </c>
      <c r="D2210" s="1">
        <f>value(EUR!$B2210)</f>
        <v>14390.75025</v>
      </c>
      <c r="E2210" s="1">
        <f>value(GBP!$B2210)</f>
        <v>17160.2118</v>
      </c>
      <c r="F2210" s="1">
        <f>value(CHF!$B2210)</f>
        <v>13543.7692</v>
      </c>
      <c r="G2210" s="1">
        <f>value(SGD!$B2210)</f>
        <v>9792.7678</v>
      </c>
      <c r="H2210" s="1">
        <f>value(MYR!$B2210)</f>
        <v>3183.78735</v>
      </c>
      <c r="I2210" s="1">
        <f>value(THB!$B2210)</f>
        <v>373.4694</v>
      </c>
      <c r="J2210" s="1">
        <f>value(VND!$B2210)</f>
        <v>0.5958925539</v>
      </c>
      <c r="K2210" s="1">
        <f>value(CNY!$B2210)</f>
        <v>1926.36178</v>
      </c>
      <c r="L2210" s="1">
        <f>value(HKD!$B2210)</f>
        <v>1691.17925</v>
      </c>
      <c r="M2210" s="1">
        <f>value(TWD!$B2210)</f>
        <v>404.9464042</v>
      </c>
      <c r="N2210" s="1">
        <f>value(JPY!$B2210)</f>
        <v>124.001793</v>
      </c>
      <c r="O2210" s="1">
        <f>value(SAR!$B2210)</f>
        <v>3554.096143</v>
      </c>
      <c r="P2210" s="1">
        <f>value(AED!$B2210)</f>
        <v>3622.17144</v>
      </c>
      <c r="Q2210" s="1">
        <f>value(KWD!$B2210)</f>
        <v>43698.21183</v>
      </c>
    </row>
    <row r="2211">
      <c r="A2211" s="4">
        <f>value(USD!A2211)</f>
        <v>42575.99861</v>
      </c>
      <c r="B2211" s="1">
        <f>value(USD!B2211)</f>
        <v>13123.35</v>
      </c>
      <c r="C2211" s="1">
        <f>value(AUD!$B2211)</f>
        <v>9960.51928</v>
      </c>
      <c r="D2211" s="1">
        <f>value(EUR!$B2211)</f>
        <v>14460.69454</v>
      </c>
      <c r="E2211" s="1">
        <f>value(GBP!$B2211)</f>
        <v>17307.63514</v>
      </c>
      <c r="F2211" s="1">
        <f>value(CHF!$B2211)</f>
        <v>13458.9</v>
      </c>
      <c r="G2211" s="1">
        <f>value(SGD!$B2211)</f>
        <v>9775.60996</v>
      </c>
      <c r="H2211" s="1">
        <f>value(MYR!$B2211)</f>
        <v>3213.5023</v>
      </c>
      <c r="I2211" s="1">
        <f>value(THB!$B2211)</f>
        <v>376.03834</v>
      </c>
      <c r="J2211" s="1">
        <f>value(VND!$B2211)</f>
        <v>0.5954116527</v>
      </c>
      <c r="K2211" s="1">
        <f>value(CNY!$B2211)</f>
        <v>1943.47296</v>
      </c>
      <c r="L2211" s="1">
        <f>value(HKD!$B2211)</f>
        <v>1690.40555</v>
      </c>
      <c r="M2211" s="1">
        <f>value(TWD!$B2211)</f>
        <v>420.67959</v>
      </c>
      <c r="N2211" s="1">
        <f>value(JPY!$B2211)</f>
        <v>125.5009862</v>
      </c>
      <c r="O2211" s="1">
        <f>value(SAR!$B2211)</f>
        <v>3548.335351</v>
      </c>
      <c r="P2211" s="1">
        <f>value(AED!$B2211)</f>
        <v>3627.47613</v>
      </c>
      <c r="Q2211" s="1">
        <f>value(KWD!$B2211)</f>
        <v>44411.83704</v>
      </c>
    </row>
    <row r="2212">
      <c r="A2212" s="4">
        <f>value(USD!A2212)</f>
        <v>42576.99861</v>
      </c>
      <c r="B2212" s="1">
        <f>value(USD!B2212)</f>
        <v>13095</v>
      </c>
      <c r="C2212" s="1">
        <f>value(AUD!$B2212)</f>
        <v>9916.85162</v>
      </c>
      <c r="D2212" s="1">
        <f>value(EUR!$B2212)</f>
        <v>14498.1762</v>
      </c>
      <c r="E2212" s="1">
        <f>value(GBP!$B2212)</f>
        <v>17334.81006</v>
      </c>
      <c r="F2212" s="1">
        <f>value(CHF!$B2212)</f>
        <v>13465.4975</v>
      </c>
      <c r="G2212" s="1">
        <f>value(SGD!$B2212)</f>
        <v>9793.069112</v>
      </c>
      <c r="H2212" s="1">
        <f>value(MYR!$B2212)</f>
        <v>3208.74804</v>
      </c>
      <c r="I2212" s="1">
        <f>value(THB!$B2212)</f>
        <v>374.99574</v>
      </c>
      <c r="J2212" s="1">
        <f>value(VND!$B2212)</f>
        <v>0.5947519153</v>
      </c>
      <c r="K2212" s="1">
        <f>value(CNY!$B2212)</f>
        <v>1937.09701</v>
      </c>
      <c r="L2212" s="1">
        <f>value(HKD!$B2212)</f>
        <v>1694.6658</v>
      </c>
      <c r="M2212" s="1">
        <f>value(TWD!$B2212)</f>
        <v>419.125</v>
      </c>
      <c r="N2212" s="1">
        <f>value(JPY!$B2212)</f>
        <v>124.7754774</v>
      </c>
      <c r="O2212" s="1">
        <f>value(SAR!$B2212)</f>
        <v>3534.703619</v>
      </c>
      <c r="P2212" s="1">
        <f>value(AED!$B2212)</f>
        <v>3625.02642</v>
      </c>
      <c r="Q2212" s="1">
        <f>value(KWD!$B2212)</f>
        <v>43786.39414</v>
      </c>
    </row>
    <row r="2213">
      <c r="A2213" s="4">
        <f>value(USD!A2213)</f>
        <v>42577.99861</v>
      </c>
      <c r="B2213" s="1">
        <f>value(USD!B2213)</f>
        <v>13162</v>
      </c>
      <c r="C2213" s="1">
        <f>value(AUD!$B2213)</f>
        <v>9918.48996</v>
      </c>
      <c r="D2213" s="1">
        <f>value(EUR!$B2213)</f>
        <v>14471.5285</v>
      </c>
      <c r="E2213" s="1">
        <f>value(GBP!$B2213)</f>
        <v>17181.32466</v>
      </c>
      <c r="F2213" s="1">
        <f>value(CHF!$B2213)</f>
        <v>13461.539</v>
      </c>
      <c r="G2213" s="1">
        <f>value(SGD!$B2213)</f>
        <v>9780.188</v>
      </c>
      <c r="H2213" s="1">
        <f>value(MYR!$B2213)</f>
        <v>3200.64638</v>
      </c>
      <c r="I2213" s="1">
        <f>value(THB!$B2213)</f>
        <v>374.37286</v>
      </c>
      <c r="J2213" s="1">
        <f>value(VND!$B2213)</f>
        <v>0.5943987003</v>
      </c>
      <c r="K2213" s="1">
        <f>value(CNY!$B2213)</f>
        <v>1937.6862</v>
      </c>
      <c r="L2213" s="1">
        <f>value(HKD!$B2213)</f>
        <v>1699.56384</v>
      </c>
      <c r="M2213" s="1">
        <f>value(TWD!$B2213)</f>
        <v>420.55592</v>
      </c>
      <c r="N2213" s="1">
        <f>value(JPY!$B2213)</f>
        <v>124.57332</v>
      </c>
      <c r="O2213" s="1">
        <f>value(SAR!$B2213)</f>
        <v>3535.183785</v>
      </c>
      <c r="P2213" s="1">
        <f>value(AED!$B2213)</f>
        <v>3618.22167</v>
      </c>
      <c r="Q2213" s="1">
        <f>value(KWD!$B2213)</f>
        <v>43786.79632</v>
      </c>
    </row>
    <row r="2214">
      <c r="A2214" s="4">
        <f>value(USD!A2214)</f>
        <v>42578.99861</v>
      </c>
      <c r="B2214" s="1">
        <f>value(USD!B2214)</f>
        <v>13098</v>
      </c>
      <c r="C2214" s="1">
        <f>value(AUD!$B2214)</f>
        <v>9852.19785</v>
      </c>
      <c r="D2214" s="1">
        <f>value(EUR!$B2214)</f>
        <v>14546.2044</v>
      </c>
      <c r="E2214" s="1">
        <f>value(GBP!$B2214)</f>
        <v>17222.856</v>
      </c>
      <c r="F2214" s="1">
        <f>value(CHF!$B2214)</f>
        <v>13388.8125</v>
      </c>
      <c r="G2214" s="1">
        <f>value(SGD!$B2214)</f>
        <v>9747.74592</v>
      </c>
      <c r="H2214" s="1">
        <f>value(MYR!$B2214)</f>
        <v>3230.1318</v>
      </c>
      <c r="I2214" s="1">
        <f>value(THB!$B2214)</f>
        <v>373.9344</v>
      </c>
      <c r="J2214" s="1">
        <f>value(VND!$B2214)</f>
        <v>0.5949429388</v>
      </c>
      <c r="K2214" s="1">
        <f>value(CNY!$B2214)</f>
        <v>1941.53064</v>
      </c>
      <c r="L2214" s="1">
        <f>value(HKD!$B2214)</f>
        <v>1703.30055</v>
      </c>
      <c r="M2214" s="1">
        <f>value(TWD!$B2214)</f>
        <v>426.57945</v>
      </c>
      <c r="N2214" s="1">
        <f>value(JPY!$B2214)</f>
        <v>127.4658</v>
      </c>
      <c r="O2214" s="1">
        <f>value(SAR!$B2214)</f>
        <v>3549.943933</v>
      </c>
      <c r="P2214" s="1">
        <f>value(AED!$B2214)</f>
        <v>3620.196611</v>
      </c>
      <c r="Q2214" s="1">
        <f>value(KWD!$B2214)</f>
        <v>43767.05624</v>
      </c>
    </row>
    <row r="2215">
      <c r="A2215" s="4">
        <f>value(USD!A2215)</f>
        <v>42579.99861</v>
      </c>
      <c r="B2215" s="1">
        <f>value(USD!B2215)</f>
        <v>13058</v>
      </c>
      <c r="C2215" s="1">
        <f>value(AUD!$B2215)</f>
        <v>9840.70857</v>
      </c>
      <c r="D2215" s="1">
        <f>value(EUR!$B2215)</f>
        <v>14669.34624</v>
      </c>
      <c r="E2215" s="1">
        <f>value(GBP!$B2215)</f>
        <v>17359.56738</v>
      </c>
      <c r="F2215" s="1">
        <f>value(CHF!$B2215)</f>
        <v>13454.9632</v>
      </c>
      <c r="G2215" s="1">
        <f>value(SGD!$B2215)</f>
        <v>9741.7522</v>
      </c>
      <c r="H2215" s="1">
        <f>value(MYR!$B2215)</f>
        <v>3255.771901</v>
      </c>
      <c r="I2215" s="1">
        <f>value(THB!$B2215)</f>
        <v>376.902612</v>
      </c>
      <c r="J2215" s="1">
        <f>value(VND!$B2215)</f>
        <v>0.5949236736</v>
      </c>
      <c r="K2215" s="1">
        <f>value(CNY!$B2215)</f>
        <v>1950.5837</v>
      </c>
      <c r="L2215" s="1">
        <f>value(HKD!$B2215)</f>
        <v>1706.65664</v>
      </c>
      <c r="M2215" s="1">
        <f>value(TWD!$B2215)</f>
        <v>424.63656</v>
      </c>
      <c r="N2215" s="1">
        <f>value(JPY!$B2215)</f>
        <v>128.60883</v>
      </c>
      <c r="O2215" s="1">
        <f>value(SAR!$B2215)</f>
        <v>3549.849278</v>
      </c>
      <c r="P2215" s="1">
        <f>value(AED!$B2215)</f>
        <v>3625.9704</v>
      </c>
      <c r="Q2215" s="1">
        <f>value(KWD!$B2215)</f>
        <v>43717.93569</v>
      </c>
    </row>
    <row r="2216">
      <c r="A2216" s="4">
        <f>value(USD!A2216)</f>
        <v>42580.99861</v>
      </c>
      <c r="B2216" s="1">
        <f>value(USD!B2216)</f>
        <v>13020</v>
      </c>
      <c r="C2216" s="1">
        <f>value(AUD!$B2216)</f>
        <v>9852.84528</v>
      </c>
      <c r="D2216" s="1">
        <f>value(EUR!$B2216)</f>
        <v>14654.58247</v>
      </c>
      <c r="E2216" s="1">
        <f>value(GBP!$B2216)</f>
        <v>17340.40728</v>
      </c>
      <c r="F2216" s="1">
        <f>value(CHF!$B2216)</f>
        <v>13476.477</v>
      </c>
      <c r="G2216" s="1">
        <f>value(SGD!$B2216)</f>
        <v>9744.5984</v>
      </c>
      <c r="H2216" s="1">
        <f>value(MYR!$B2216)</f>
        <v>3255.771901</v>
      </c>
      <c r="I2216" s="1">
        <f>value(THB!$B2216)</f>
        <v>376.640145</v>
      </c>
      <c r="J2216" s="1">
        <f>value(VND!$B2216)</f>
        <v>0.590987945</v>
      </c>
      <c r="K2216" s="1">
        <f>value(CNY!$B2216)</f>
        <v>1944.42384</v>
      </c>
      <c r="L2216" s="1">
        <f>value(HKD!$B2216)</f>
        <v>1709.6191</v>
      </c>
      <c r="M2216" s="1">
        <f>value(TWD!$B2216)</f>
        <v>423.65561</v>
      </c>
      <c r="N2216" s="1">
        <f>value(JPY!$B2216)</f>
        <v>128.2256281</v>
      </c>
      <c r="O2216" s="1">
        <f>value(SAR!$B2216)</f>
        <v>3563.439193</v>
      </c>
      <c r="P2216" s="1">
        <f>value(AED!$B2216)</f>
        <v>3622.30452</v>
      </c>
      <c r="Q2216" s="1">
        <f>value(KWD!$B2216)</f>
        <v>43751.42579</v>
      </c>
    </row>
    <row r="2217">
      <c r="A2217" s="4">
        <f>value(USD!A2217)</f>
        <v>42581.99861</v>
      </c>
      <c r="B2217" s="1">
        <f>value(USD!B2217)</f>
        <v>13123.35</v>
      </c>
      <c r="C2217" s="1">
        <f>value(AUD!$B2217)</f>
        <v>9822.59666</v>
      </c>
      <c r="D2217" s="1">
        <f>value(EUR!$B2217)</f>
        <v>14527.7466</v>
      </c>
      <c r="E2217" s="1">
        <f>value(GBP!$B2217)</f>
        <v>17148.8713</v>
      </c>
      <c r="F2217" s="1">
        <f>value(CHF!$B2217)</f>
        <v>13447.4448</v>
      </c>
      <c r="G2217" s="1">
        <f>value(SGD!$B2217)</f>
        <v>9760.9642</v>
      </c>
      <c r="H2217" s="1">
        <f>value(MYR!$B2217)</f>
        <v>3208.3961</v>
      </c>
      <c r="I2217" s="1">
        <f>value(THB!$B2217)</f>
        <v>373.9074</v>
      </c>
      <c r="J2217" s="1">
        <f>value(VND!$B2217)</f>
        <v>0.5931893184</v>
      </c>
      <c r="K2217" s="1">
        <f>value(CNY!$B2217)</f>
        <v>1938.20401</v>
      </c>
      <c r="L2217" s="1">
        <f>value(HKD!$B2217)</f>
        <v>1707.80678</v>
      </c>
      <c r="M2217" s="1">
        <f>value(TWD!$B2217)</f>
        <v>412.8549129</v>
      </c>
      <c r="N2217" s="1">
        <f>value(JPY!$B2217)</f>
        <v>127.075175</v>
      </c>
      <c r="O2217" s="1">
        <f>value(SAR!$B2217)</f>
        <v>3549.954484</v>
      </c>
      <c r="P2217" s="1">
        <f>value(AED!$B2217)</f>
        <v>3622.57671</v>
      </c>
      <c r="Q2217" s="1">
        <f>value(KWD!$B2217)</f>
        <v>44461.85037</v>
      </c>
    </row>
    <row r="2218">
      <c r="A2218" s="4">
        <f>value(USD!A2218)</f>
        <v>42582.99861</v>
      </c>
      <c r="B2218" s="1">
        <f>value(USD!B2218)</f>
        <v>13123.35</v>
      </c>
      <c r="C2218" s="1">
        <f>value(AUD!$B2218)</f>
        <v>9881.62956</v>
      </c>
      <c r="D2218" s="1">
        <f>value(EUR!$B2218)</f>
        <v>14686.86744</v>
      </c>
      <c r="E2218" s="1">
        <f>value(GBP!$B2218)</f>
        <v>17459.09844</v>
      </c>
      <c r="F2218" s="1">
        <f>value(CHF!$B2218)</f>
        <v>13507.7427</v>
      </c>
      <c r="G2218" s="1">
        <f>value(SGD!$B2218)</f>
        <v>9699.3806</v>
      </c>
      <c r="H2218" s="1">
        <f>value(MYR!$B2218)</f>
        <v>3208.06368</v>
      </c>
      <c r="I2218" s="1">
        <f>value(THB!$B2218)</f>
        <v>376.13316</v>
      </c>
      <c r="J2218" s="1">
        <f>value(VND!$B2218)</f>
        <v>0.5956827312</v>
      </c>
      <c r="K2218" s="1">
        <f>value(CNY!$B2218)</f>
        <v>1930.7358</v>
      </c>
      <c r="L2218" s="1">
        <f>value(HKD!$B2218)</f>
        <v>1713.46366</v>
      </c>
      <c r="M2218" s="1">
        <f>value(TWD!$B2218)</f>
        <v>423.1372</v>
      </c>
      <c r="N2218" s="1">
        <f>value(JPY!$B2218)</f>
        <v>129.47988</v>
      </c>
      <c r="O2218" s="1">
        <f>value(SAR!$B2218)</f>
        <v>3569.235679</v>
      </c>
      <c r="P2218" s="1">
        <f>value(AED!$B2218)</f>
        <v>3620.81054</v>
      </c>
      <c r="Q2218" s="1">
        <f>value(KWD!$B2218)</f>
        <v>43773.81996</v>
      </c>
    </row>
    <row r="2219">
      <c r="A2219" s="4">
        <f>value(USD!A2219)</f>
        <v>42583.99861</v>
      </c>
      <c r="B2219" s="1">
        <f>value(USD!B2219)</f>
        <v>13010</v>
      </c>
      <c r="C2219" s="1">
        <f>value(AUD!$B2219)</f>
        <v>9836.50545</v>
      </c>
      <c r="D2219" s="1">
        <f>value(EUR!$B2219)</f>
        <v>14651.4942</v>
      </c>
      <c r="E2219" s="1">
        <f>value(GBP!$B2219)</f>
        <v>17508.5244</v>
      </c>
      <c r="F2219" s="1">
        <f>value(CHF!$B2219)</f>
        <v>13496.175</v>
      </c>
      <c r="G2219" s="1">
        <f>value(SGD!$B2219)</f>
        <v>9696.4777</v>
      </c>
      <c r="H2219" s="1">
        <f>value(MYR!$B2219)</f>
        <v>3249.2592</v>
      </c>
      <c r="I2219" s="1">
        <f>value(THB!$B2219)</f>
        <v>375.0156</v>
      </c>
      <c r="J2219" s="1">
        <f>value(VND!$B2219)</f>
        <v>0.5957133249</v>
      </c>
      <c r="K2219" s="1">
        <f>value(CNY!$B2219)</f>
        <v>1925.30424</v>
      </c>
      <c r="L2219" s="1">
        <f>value(HKD!$B2219)</f>
        <v>1716.376973</v>
      </c>
      <c r="M2219" s="1">
        <f>value(TWD!$B2219)</f>
        <v>423.91455</v>
      </c>
      <c r="N2219" s="1">
        <f>value(JPY!$B2219)</f>
        <v>129.6918</v>
      </c>
      <c r="O2219" s="1">
        <f>value(SAR!$B2219)</f>
        <v>3571.371348</v>
      </c>
      <c r="P2219" s="1">
        <f>value(AED!$B2219)</f>
        <v>3619.72182</v>
      </c>
      <c r="Q2219" s="1">
        <f>value(KWD!$B2219)</f>
        <v>43826.41692</v>
      </c>
    </row>
    <row r="2220">
      <c r="A2220" s="4">
        <f>value(USD!A2220)</f>
        <v>42584.99861</v>
      </c>
      <c r="B2220" s="1">
        <f>value(USD!B2220)</f>
        <v>13092</v>
      </c>
      <c r="C2220" s="1">
        <f>value(AUD!$B2220)</f>
        <v>9865.56852</v>
      </c>
      <c r="D2220" s="1">
        <f>value(EUR!$B2220)</f>
        <v>14587.43887</v>
      </c>
      <c r="E2220" s="1">
        <f>value(GBP!$B2220)</f>
        <v>17198.47368</v>
      </c>
      <c r="F2220" s="1">
        <f>value(CHF!$B2220)</f>
        <v>13513.3056</v>
      </c>
      <c r="G2220" s="1">
        <f>value(SGD!$B2220)</f>
        <v>9693.70675</v>
      </c>
      <c r="H2220" s="1">
        <f>value(MYR!$B2220)</f>
        <v>3226.08963</v>
      </c>
      <c r="I2220" s="1">
        <f>value(THB!$B2220)</f>
        <v>375.26992</v>
      </c>
      <c r="J2220" s="1">
        <f>value(VND!$B2220)</f>
        <v>0.5964951526</v>
      </c>
      <c r="K2220" s="1">
        <f>value(CNY!$B2220)</f>
        <v>1928.1213</v>
      </c>
      <c r="L2220" s="1">
        <f>value(HKD!$B2220)</f>
        <v>1715.659</v>
      </c>
      <c r="M2220" s="1">
        <f>value(TWD!$B2220)</f>
        <v>424.36786</v>
      </c>
      <c r="N2220" s="1">
        <f>value(JPY!$B2220)</f>
        <v>129.4550194</v>
      </c>
      <c r="O2220" s="1">
        <f>value(SAR!$B2220)</f>
        <v>3571.466577</v>
      </c>
      <c r="P2220" s="1">
        <f>value(AED!$B2220)</f>
        <v>3625.84299</v>
      </c>
      <c r="Q2220" s="1">
        <f>value(KWD!$B2220)</f>
        <v>43760.87235</v>
      </c>
    </row>
    <row r="2221">
      <c r="A2221" s="4">
        <f>value(USD!A2221)</f>
        <v>42585.99861</v>
      </c>
      <c r="B2221" s="1">
        <f>value(USD!B2221)</f>
        <v>13140</v>
      </c>
      <c r="C2221" s="1">
        <f>value(AUD!$B2221)</f>
        <v>9952.82764</v>
      </c>
      <c r="D2221" s="1">
        <f>value(EUR!$B2221)</f>
        <v>14547.7053</v>
      </c>
      <c r="E2221" s="1">
        <f>value(GBP!$B2221)</f>
        <v>17151.7662</v>
      </c>
      <c r="F2221" s="1">
        <f>value(CHF!$B2221)</f>
        <v>13556.6224</v>
      </c>
      <c r="G2221" s="1">
        <f>value(SGD!$B2221)</f>
        <v>9668.925</v>
      </c>
      <c r="H2221" s="1">
        <f>value(MYR!$B2221)</f>
        <v>3252.02526</v>
      </c>
      <c r="I2221" s="1">
        <f>value(THB!$B2221)</f>
        <v>373.71456</v>
      </c>
      <c r="J2221" s="1">
        <f>value(VND!$B2221)</f>
        <v>0.596789613</v>
      </c>
      <c r="K2221" s="1">
        <f>value(CNY!$B2221)</f>
        <v>1926.1017</v>
      </c>
      <c r="L2221" s="1">
        <f>value(HKD!$B2221)</f>
        <v>1708.19712</v>
      </c>
      <c r="M2221" s="1">
        <f>value(TWD!$B2221)</f>
        <v>425.4822</v>
      </c>
      <c r="N2221" s="1">
        <f>value(JPY!$B2221)</f>
        <v>128.85804</v>
      </c>
      <c r="O2221" s="1">
        <f>value(SAR!$B2221)</f>
        <v>3571.466577</v>
      </c>
      <c r="P2221" s="1">
        <f>value(AED!$B2221)</f>
        <v>3630.18705</v>
      </c>
      <c r="Q2221" s="1">
        <f>value(KWD!$B2221)</f>
        <v>43859.41068</v>
      </c>
    </row>
    <row r="2222">
      <c r="A2222" s="4">
        <f>value(USD!A2222)</f>
        <v>42586.99861</v>
      </c>
      <c r="B2222" s="1">
        <f>value(USD!B2222)</f>
        <v>13103</v>
      </c>
      <c r="C2222" s="1">
        <f>value(AUD!$B2222)</f>
        <v>9981.1296</v>
      </c>
      <c r="D2222" s="1">
        <f>value(EUR!$B2222)</f>
        <v>14570.70463</v>
      </c>
      <c r="E2222" s="1">
        <f>value(GBP!$B2222)</f>
        <v>17179.94159</v>
      </c>
      <c r="F2222" s="1">
        <f>value(CHF!$B2222)</f>
        <v>13554.8117</v>
      </c>
      <c r="G2222" s="1">
        <f>value(SGD!$B2222)</f>
        <v>9704.7056</v>
      </c>
      <c r="H2222" s="1">
        <f>value(MYR!$B2222)</f>
        <v>3256.634898</v>
      </c>
      <c r="I2222" s="1">
        <f>value(THB!$B2222)</f>
        <v>374.244288</v>
      </c>
      <c r="J2222" s="1">
        <f>value(VND!$B2222)</f>
        <v>0.5954013669</v>
      </c>
      <c r="K2222" s="1">
        <f>value(CNY!$B2222)</f>
        <v>1928.59018</v>
      </c>
      <c r="L2222" s="1">
        <f>value(HKD!$B2222)</f>
        <v>1711.91304</v>
      </c>
      <c r="M2222" s="1">
        <f>value(TWD!$B2222)</f>
        <v>423.92448</v>
      </c>
      <c r="N2222" s="1">
        <f>value(JPY!$B2222)</f>
        <v>129.040692</v>
      </c>
      <c r="O2222" s="1">
        <f>value(SAR!$B2222)</f>
        <v>3574.837927</v>
      </c>
      <c r="P2222" s="1">
        <f>value(AED!$B2222)</f>
        <v>3624.34888</v>
      </c>
      <c r="Q2222" s="1">
        <f>value(KWD!$B2222)</f>
        <v>43808.92876</v>
      </c>
    </row>
    <row r="2223">
      <c r="A2223" s="4">
        <f>value(USD!A2223)</f>
        <v>42587.99861</v>
      </c>
      <c r="B2223" s="1">
        <f>value(USD!B2223)</f>
        <v>13122</v>
      </c>
      <c r="C2223" s="1">
        <f>value(AUD!$B2223)</f>
        <v>9942.85032</v>
      </c>
      <c r="D2223" s="1">
        <f>value(EUR!$B2223)</f>
        <v>14568.98322</v>
      </c>
      <c r="E2223" s="1">
        <f>value(GBP!$B2223)</f>
        <v>17193.02963</v>
      </c>
      <c r="F2223" s="1">
        <f>value(CHF!$B2223)</f>
        <v>13552.4334</v>
      </c>
      <c r="G2223" s="1">
        <f>value(SGD!$B2223)</f>
        <v>9701.2075</v>
      </c>
      <c r="H2223" s="1">
        <f>value(MYR!$B2223)</f>
        <v>3256.634898</v>
      </c>
      <c r="I2223" s="1">
        <f>value(THB!$B2223)</f>
        <v>374.375694</v>
      </c>
      <c r="J2223" s="1">
        <f>value(VND!$B2223)</f>
        <v>0.5953775275</v>
      </c>
      <c r="K2223" s="1">
        <f>value(CNY!$B2223)</f>
        <v>1928.007</v>
      </c>
      <c r="L2223" s="1">
        <f>value(HKD!$B2223)</f>
        <v>1711.792</v>
      </c>
      <c r="M2223" s="1">
        <f>value(TWD!$B2223)</f>
        <v>421.7018</v>
      </c>
      <c r="N2223" s="1">
        <f>value(JPY!$B2223)</f>
        <v>128.6175646</v>
      </c>
      <c r="O2223" s="1">
        <f>value(SAR!$B2223)</f>
        <v>3562.466566</v>
      </c>
      <c r="P2223" s="1">
        <f>value(AED!$B2223)</f>
        <v>3628.83708</v>
      </c>
      <c r="Q2223" s="1">
        <f>value(KWD!$B2223)</f>
        <v>43861.91999</v>
      </c>
    </row>
    <row r="2224">
      <c r="A2224" s="4">
        <f>value(USD!A2224)</f>
        <v>42588.99861</v>
      </c>
      <c r="B2224" s="1">
        <f>value(USD!B2224)</f>
        <v>13140.6</v>
      </c>
      <c r="C2224" s="1">
        <f>value(AUD!$B2224)</f>
        <v>9969.39788</v>
      </c>
      <c r="D2224" s="1">
        <f>value(EUR!$B2224)</f>
        <v>14524.0094</v>
      </c>
      <c r="E2224" s="1">
        <f>value(GBP!$B2224)</f>
        <v>17077.3876</v>
      </c>
      <c r="F2224" s="1">
        <f>value(CHF!$B2224)</f>
        <v>13525.176</v>
      </c>
      <c r="G2224" s="1">
        <f>value(SGD!$B2224)</f>
        <v>9678.16053</v>
      </c>
      <c r="H2224" s="1">
        <f>value(MYR!$B2224)</f>
        <v>3243.7496</v>
      </c>
      <c r="I2224" s="1">
        <f>value(THB!$B2224)</f>
        <v>374.5409</v>
      </c>
      <c r="J2224" s="1">
        <f>value(VND!$B2224)</f>
        <v>0.598488933</v>
      </c>
      <c r="K2224" s="1">
        <f>value(CNY!$B2224)</f>
        <v>1920.18084</v>
      </c>
      <c r="L2224" s="1">
        <f>value(HKD!$B2224)</f>
        <v>1711.02243</v>
      </c>
      <c r="M2224" s="1">
        <f>value(TWD!$B2224)</f>
        <v>427.2048</v>
      </c>
      <c r="N2224" s="1">
        <f>value(JPY!$B2224)</f>
        <v>128.1669</v>
      </c>
      <c r="O2224" s="1">
        <f>value(SAR!$B2224)</f>
        <v>3561.855835</v>
      </c>
      <c r="P2224" s="1">
        <f>value(AED!$B2224)</f>
        <v>3626.25414</v>
      </c>
      <c r="Q2224" s="1">
        <f>value(KWD!$B2224)</f>
        <v>44588.5508</v>
      </c>
    </row>
    <row r="2225">
      <c r="A2225" s="4">
        <f>value(USD!A2225)</f>
        <v>42589.99861</v>
      </c>
      <c r="B2225" s="1">
        <f>value(USD!B2225)</f>
        <v>13140.6</v>
      </c>
      <c r="C2225" s="1">
        <f>value(AUD!$B2225)</f>
        <v>9989.7252</v>
      </c>
      <c r="D2225" s="1">
        <f>value(EUR!$B2225)</f>
        <v>14563.20261</v>
      </c>
      <c r="E2225" s="1">
        <f>value(GBP!$B2225)</f>
        <v>17036.27838</v>
      </c>
      <c r="F2225" s="1">
        <f>value(CHF!$B2225)</f>
        <v>13420.9948</v>
      </c>
      <c r="G2225" s="1">
        <f>value(SGD!$B2225)</f>
        <v>9694.45067</v>
      </c>
      <c r="H2225" s="1">
        <f>value(MYR!$B2225)</f>
        <v>3248.91699</v>
      </c>
      <c r="I2225" s="1">
        <f>value(THB!$B2225)</f>
        <v>375.47466</v>
      </c>
      <c r="J2225" s="1">
        <f>value(VND!$B2225)</f>
        <v>0.5947662584</v>
      </c>
      <c r="K2225" s="1">
        <f>value(CNY!$B2225)</f>
        <v>1913.05168</v>
      </c>
      <c r="L2225" s="1">
        <f>value(HKD!$B2225)</f>
        <v>1701.0994</v>
      </c>
      <c r="M2225" s="1">
        <f>value(TWD!$B2225)</f>
        <v>419.875</v>
      </c>
      <c r="N2225" s="1">
        <f>value(JPY!$B2225)</f>
        <v>128.52081</v>
      </c>
      <c r="O2225" s="1">
        <f>value(SAR!$B2225)</f>
        <v>3554.914728</v>
      </c>
      <c r="P2225" s="1">
        <f>value(AED!$B2225)</f>
        <v>3634.55307</v>
      </c>
      <c r="Q2225" s="1">
        <f>value(KWD!$B2225)</f>
        <v>43475.83581</v>
      </c>
    </row>
    <row r="2226">
      <c r="A2226" s="4">
        <f>value(USD!A2226)</f>
        <v>42590.99861</v>
      </c>
      <c r="B2226" s="1">
        <f>value(USD!B2226)</f>
        <v>13105</v>
      </c>
      <c r="C2226" s="1">
        <f>value(AUD!$B2226)</f>
        <v>10020.48084</v>
      </c>
      <c r="D2226" s="1">
        <f>value(EUR!$B2226)</f>
        <v>14632.81218</v>
      </c>
      <c r="E2226" s="1">
        <f>value(GBP!$B2226)</f>
        <v>17030.1411</v>
      </c>
      <c r="F2226" s="1">
        <f>value(CHF!$B2226)</f>
        <v>13434.78203</v>
      </c>
      <c r="G2226" s="1">
        <f>value(SGD!$B2226)</f>
        <v>9675.90162</v>
      </c>
      <c r="H2226" s="1">
        <f>value(MYR!$B2226)</f>
        <v>3261.19941</v>
      </c>
      <c r="I2226" s="1">
        <f>value(THB!$B2226)</f>
        <v>376.26708</v>
      </c>
      <c r="J2226" s="1">
        <f>value(VND!$B2226)</f>
        <v>0.5949457791</v>
      </c>
      <c r="K2226" s="1">
        <f>value(CNY!$B2226)</f>
        <v>1923.25408</v>
      </c>
      <c r="L2226" s="1">
        <f>value(HKD!$B2226)</f>
        <v>1701.3633</v>
      </c>
      <c r="M2226" s="1">
        <f>value(TWD!$B2226)</f>
        <v>416.1648</v>
      </c>
      <c r="N2226" s="1">
        <f>value(JPY!$B2226)</f>
        <v>129.3306882</v>
      </c>
      <c r="O2226" s="1">
        <f>value(SAR!$B2226)</f>
        <v>3570.05694</v>
      </c>
      <c r="P2226" s="1">
        <f>value(AED!$B2226)</f>
        <v>3630.5871</v>
      </c>
      <c r="Q2226" s="1">
        <f>value(KWD!$B2226)</f>
        <v>43612.79499</v>
      </c>
    </row>
    <row r="2227">
      <c r="A2227" s="4">
        <f>value(USD!A2227)</f>
        <v>42591.99861</v>
      </c>
      <c r="B2227" s="1">
        <f>value(USD!B2227)</f>
        <v>13101</v>
      </c>
      <c r="C2227" s="1">
        <f>value(AUD!$B2227)</f>
        <v>9925.416</v>
      </c>
      <c r="D2227" s="1">
        <f>value(EUR!$B2227)</f>
        <v>14588.02848</v>
      </c>
      <c r="E2227" s="1">
        <f>value(GBP!$B2227)</f>
        <v>16963.48176</v>
      </c>
      <c r="F2227" s="1">
        <f>value(CHF!$B2227)</f>
        <v>13432.8415</v>
      </c>
      <c r="G2227" s="1">
        <f>value(SGD!$B2227)</f>
        <v>9687.25872</v>
      </c>
      <c r="H2227" s="1">
        <f>value(MYR!$B2227)</f>
        <v>3284.71644</v>
      </c>
      <c r="I2227" s="1">
        <f>value(THB!$B2227)</f>
        <v>376.82946</v>
      </c>
      <c r="J2227" s="1">
        <f>value(VND!$B2227)</f>
        <v>0.5959799424</v>
      </c>
      <c r="K2227" s="1">
        <f>value(CNY!$B2227)</f>
        <v>1923.75114</v>
      </c>
      <c r="L2227" s="1">
        <f>value(HKD!$B2227)</f>
        <v>1701.23135</v>
      </c>
      <c r="M2227" s="1">
        <f>value(TWD!$B2227)</f>
        <v>416.23395</v>
      </c>
      <c r="N2227" s="1">
        <f>value(JPY!$B2227)</f>
        <v>128.6249796</v>
      </c>
      <c r="O2227" s="1">
        <f>value(SAR!$B2227)</f>
        <v>3562.056514</v>
      </c>
      <c r="P2227" s="1">
        <f>value(AED!$B2227)</f>
        <v>3634.044074</v>
      </c>
      <c r="Q2227" s="1">
        <f>value(KWD!$B2227)</f>
        <v>43595.46764</v>
      </c>
    </row>
    <row r="2228">
      <c r="A2228" s="4">
        <f>value(USD!A2228)</f>
        <v>42592.99861</v>
      </c>
      <c r="B2228" s="1">
        <f>value(USD!B2228)</f>
        <v>13083</v>
      </c>
      <c r="C2228" s="1">
        <f>value(AUD!$B2228)</f>
        <v>9906.07518</v>
      </c>
      <c r="D2228" s="1">
        <f>value(EUR!$B2228)</f>
        <v>14635.67819</v>
      </c>
      <c r="E2228" s="1">
        <f>value(GBP!$B2228)</f>
        <v>16933.90538</v>
      </c>
      <c r="F2228" s="1">
        <f>value(CHF!$B2228)</f>
        <v>13404.4078</v>
      </c>
      <c r="G2228" s="1">
        <f>value(SGD!$B2228)</f>
        <v>9715.93064</v>
      </c>
      <c r="H2228" s="1">
        <f>value(MYR!$B2228)</f>
        <v>3249.29913</v>
      </c>
      <c r="I2228" s="1">
        <f>value(THB!$B2228)</f>
        <v>376.81014</v>
      </c>
      <c r="J2228" s="1">
        <f>value(VND!$B2228)</f>
        <v>0.5963143089</v>
      </c>
      <c r="K2228" s="1">
        <f>value(CNY!$B2228)</f>
        <v>1936.98164</v>
      </c>
      <c r="L2228" s="1">
        <f>value(HKD!$B2228)</f>
        <v>1692.3375</v>
      </c>
      <c r="M2228" s="1">
        <f>value(TWD!$B2228)</f>
        <v>419.00594</v>
      </c>
      <c r="N2228" s="1">
        <f>value(JPY!$B2228)</f>
        <v>129.40557</v>
      </c>
      <c r="O2228" s="1">
        <f>value(SAR!$B2228)</f>
        <v>3565.251351</v>
      </c>
      <c r="P2228" s="1">
        <f>value(AED!$B2228)</f>
        <v>3640.66552</v>
      </c>
      <c r="Q2228" s="1">
        <f>value(KWD!$B2228)</f>
        <v>43639.45994</v>
      </c>
    </row>
    <row r="2229">
      <c r="A2229" s="4">
        <f>value(USD!A2229)</f>
        <v>42593.99861</v>
      </c>
      <c r="B2229" s="1">
        <f>value(USD!B2229)</f>
        <v>13098</v>
      </c>
      <c r="C2229" s="1">
        <f>value(AUD!$B2229)</f>
        <v>9946.2704</v>
      </c>
      <c r="D2229" s="1">
        <f>value(EUR!$B2229)</f>
        <v>14652.15465</v>
      </c>
      <c r="E2229" s="1">
        <f>value(GBP!$B2229)</f>
        <v>16957.63853</v>
      </c>
      <c r="F2229" s="1">
        <f>value(CHF!$B2229)</f>
        <v>13436.9496</v>
      </c>
      <c r="G2229" s="1">
        <f>value(SGD!$B2229)</f>
        <v>9684.4674</v>
      </c>
      <c r="H2229" s="1">
        <f>value(MYR!$B2229)</f>
        <v>3252.35983</v>
      </c>
      <c r="I2229" s="1">
        <f>value(THB!$B2229)</f>
        <v>377.165079</v>
      </c>
      <c r="J2229" s="1">
        <f>value(VND!$B2229)</f>
        <v>0.5962397189</v>
      </c>
      <c r="K2229" s="1">
        <f>value(CNY!$B2229)</f>
        <v>1937.2429</v>
      </c>
      <c r="L2229" s="1">
        <f>value(HKD!$B2229)</f>
        <v>1683.69852</v>
      </c>
      <c r="M2229" s="1">
        <f>value(TWD!$B2229)</f>
        <v>418.89955</v>
      </c>
      <c r="N2229" s="1">
        <f>value(JPY!$B2229)</f>
        <v>129.5274645</v>
      </c>
      <c r="O2229" s="1">
        <f>value(SAR!$B2229)</f>
        <v>3553.315667</v>
      </c>
      <c r="P2229" s="1">
        <f>value(AED!$B2229)</f>
        <v>3612.10078</v>
      </c>
      <c r="Q2229" s="1">
        <f>value(KWD!$B2229)</f>
        <v>43655.89541</v>
      </c>
    </row>
    <row r="2230">
      <c r="A2230" s="4">
        <f>value(USD!A2230)</f>
        <v>42594.99861</v>
      </c>
      <c r="B2230" s="1">
        <f>value(USD!B2230)</f>
        <v>13111</v>
      </c>
      <c r="C2230" s="1">
        <f>value(AUD!$B2230)</f>
        <v>9920.4795</v>
      </c>
      <c r="D2230" s="1">
        <f>value(EUR!$B2230)</f>
        <v>14632.06264</v>
      </c>
      <c r="E2230" s="1">
        <f>value(GBP!$B2230)</f>
        <v>16917.2248</v>
      </c>
      <c r="F2230" s="1">
        <f>value(CHF!$B2230)</f>
        <v>13407.9544</v>
      </c>
      <c r="G2230" s="1">
        <f>value(SGD!$B2230)</f>
        <v>9671.50929</v>
      </c>
      <c r="H2230" s="1">
        <f>value(MYR!$B2230)</f>
        <v>3256.57888</v>
      </c>
      <c r="I2230" s="1">
        <f>value(THB!$B2230)</f>
        <v>376.66644</v>
      </c>
      <c r="J2230" s="1">
        <f>value(VND!$B2230)</f>
        <v>0.5984057903</v>
      </c>
      <c r="K2230" s="1">
        <f>value(CNY!$B2230)</f>
        <v>1937.2429</v>
      </c>
      <c r="L2230" s="1">
        <f>value(HKD!$B2230)</f>
        <v>1684.9844</v>
      </c>
      <c r="M2230" s="1">
        <f>value(TWD!$B2230)</f>
        <v>407.209465</v>
      </c>
      <c r="N2230" s="1">
        <f>value(JPY!$B2230)</f>
        <v>129.3680154</v>
      </c>
      <c r="O2230" s="1">
        <f>value(SAR!$B2230)</f>
        <v>3560.883073</v>
      </c>
      <c r="P2230" s="1">
        <f>value(AED!$B2230)</f>
        <v>3617.54438</v>
      </c>
      <c r="Q2230" s="1">
        <f>value(KWD!$B2230)</f>
        <v>43659.1825</v>
      </c>
    </row>
    <row r="2231">
      <c r="A2231" s="4">
        <f>value(USD!A2231)</f>
        <v>42595.99861</v>
      </c>
      <c r="B2231" s="1">
        <f>value(USD!B2231)</f>
        <v>13123.35</v>
      </c>
      <c r="C2231" s="1">
        <f>value(AUD!$B2231)</f>
        <v>9876.108</v>
      </c>
      <c r="D2231" s="1">
        <f>value(EUR!$B2231)</f>
        <v>14605.14468</v>
      </c>
      <c r="E2231" s="1">
        <f>value(GBP!$B2231)</f>
        <v>16824.63972</v>
      </c>
      <c r="F2231" s="1">
        <f>value(CHF!$B2231)</f>
        <v>13476.32664</v>
      </c>
      <c r="G2231" s="1">
        <f>value(SGD!$B2231)</f>
        <v>9649.14184</v>
      </c>
      <c r="H2231" s="1">
        <f>value(MYR!$B2231)</f>
        <v>3269.81046</v>
      </c>
      <c r="I2231" s="1">
        <f>value(THB!$B2231)</f>
        <v>377.36118</v>
      </c>
      <c r="J2231" s="1">
        <f>value(VND!$B2231)</f>
        <v>0.5887813377</v>
      </c>
      <c r="K2231" s="1">
        <f>value(CNY!$B2231)</f>
        <v>1920.19828</v>
      </c>
      <c r="L2231" s="1">
        <f>value(HKD!$B2231)</f>
        <v>1684.98261</v>
      </c>
      <c r="M2231" s="1">
        <f>value(TWD!$B2231)</f>
        <v>419.4098</v>
      </c>
      <c r="N2231" s="1">
        <f>value(JPY!$B2231)</f>
        <v>128.9846376</v>
      </c>
      <c r="O2231" s="1">
        <f>value(SAR!$B2231)</f>
        <v>3562.751882</v>
      </c>
      <c r="P2231" s="1">
        <f>value(AED!$B2231)</f>
        <v>3613.73386</v>
      </c>
      <c r="Q2231" s="1">
        <f>value(KWD!$B2231)</f>
        <v>44301.80771</v>
      </c>
    </row>
    <row r="2232">
      <c r="A2232" s="4">
        <f>value(USD!A2232)</f>
        <v>42596.99861</v>
      </c>
      <c r="B2232" s="1">
        <f>value(USD!B2232)</f>
        <v>13106</v>
      </c>
      <c r="C2232" s="1">
        <f>value(AUD!$B2232)</f>
        <v>9925.60192</v>
      </c>
      <c r="D2232" s="1">
        <f>value(EUR!$B2232)</f>
        <v>14782.78361</v>
      </c>
      <c r="E2232" s="1">
        <f>value(GBP!$B2232)</f>
        <v>17084.28855</v>
      </c>
      <c r="F2232" s="1">
        <f>value(CHF!$B2232)</f>
        <v>13481.2786</v>
      </c>
      <c r="G2232" s="1">
        <f>value(SGD!$B2232)</f>
        <v>9619.91529</v>
      </c>
      <c r="H2232" s="1">
        <f>value(MYR!$B2232)</f>
        <v>3288.63213</v>
      </c>
      <c r="I2232" s="1">
        <f>value(THB!$B2232)</f>
        <v>378.51457</v>
      </c>
      <c r="J2232" s="1">
        <f>value(VND!$B2232)</f>
        <v>0.5893862007</v>
      </c>
      <c r="K2232" s="1">
        <f>value(CNY!$B2232)</f>
        <v>1926.49488</v>
      </c>
      <c r="L2232" s="1">
        <f>value(HKD!$B2232)</f>
        <v>1698.38353</v>
      </c>
      <c r="M2232" s="1">
        <f>value(TWD!$B2232)</f>
        <v>416.66364</v>
      </c>
      <c r="N2232" s="1">
        <f>value(JPY!$B2232)</f>
        <v>130.8110692</v>
      </c>
      <c r="O2232" s="1">
        <f>value(SAR!$B2232)</f>
        <v>3566.470837</v>
      </c>
      <c r="P2232" s="1">
        <f>value(AED!$B2232)</f>
        <v>3614.52376</v>
      </c>
      <c r="Q2232" s="1">
        <f>value(KWD!$B2232)</f>
        <v>43649.32122</v>
      </c>
    </row>
    <row r="2233">
      <c r="A2233" s="4">
        <f>value(USD!A2233)</f>
        <v>42597.99861</v>
      </c>
      <c r="B2233" s="1">
        <f>value(USD!B2233)</f>
        <v>13062</v>
      </c>
      <c r="C2233" s="1">
        <f>value(AUD!$B2233)</f>
        <v>9958.1504</v>
      </c>
      <c r="D2233" s="1">
        <f>value(EUR!$B2233)</f>
        <v>14817.72045</v>
      </c>
      <c r="E2233" s="1">
        <f>value(GBP!$B2233)</f>
        <v>17105.3699</v>
      </c>
      <c r="F2233" s="1">
        <f>value(CHF!$B2233)</f>
        <v>13472.9556</v>
      </c>
      <c r="G2233" s="1">
        <f>value(SGD!$B2233)</f>
        <v>9626.086542</v>
      </c>
      <c r="H2233" s="1">
        <f>value(MYR!$B2233)</f>
        <v>3280.19265</v>
      </c>
      <c r="I2233" s="1">
        <f>value(THB!$B2233)</f>
        <v>379.0235</v>
      </c>
      <c r="J2233" s="1">
        <f>value(VND!$B2233)</f>
        <v>0.5988582923</v>
      </c>
      <c r="K2233" s="1">
        <f>value(CNY!$B2233)</f>
        <v>1930.28616</v>
      </c>
      <c r="L2233" s="1">
        <f>value(HKD!$B2233)</f>
        <v>1697.48964</v>
      </c>
      <c r="M2233" s="1">
        <f>value(TWD!$B2233)</f>
        <v>417.5232</v>
      </c>
      <c r="N2233" s="1">
        <f>value(JPY!$B2233)</f>
        <v>131.25492</v>
      </c>
      <c r="O2233" s="1">
        <f>value(SAR!$B2233)</f>
        <v>3558.743464</v>
      </c>
      <c r="P2233" s="1">
        <f>value(AED!$B2233)</f>
        <v>3614.95539</v>
      </c>
      <c r="Q2233" s="1">
        <f>value(KWD!$B2233)</f>
        <v>43679.36769</v>
      </c>
    </row>
    <row r="2234">
      <c r="A2234" s="4">
        <f>value(USD!A2234)</f>
        <v>42598.99861</v>
      </c>
      <c r="B2234" s="1">
        <f>value(USD!B2234)</f>
        <v>13111</v>
      </c>
      <c r="C2234" s="1">
        <f>value(AUD!$B2234)</f>
        <v>9902.0058</v>
      </c>
      <c r="D2234" s="1">
        <f>value(EUR!$B2234)</f>
        <v>14874.25794</v>
      </c>
      <c r="E2234" s="1">
        <f>value(GBP!$B2234)</f>
        <v>17252.88599</v>
      </c>
      <c r="F2234" s="1">
        <f>value(CHF!$B2234)</f>
        <v>13464.1695</v>
      </c>
      <c r="G2234" s="1">
        <f>value(SGD!$B2234)</f>
        <v>9621.88974</v>
      </c>
      <c r="H2234" s="1">
        <f>value(MYR!$B2234)</f>
        <v>3289.83464</v>
      </c>
      <c r="I2234" s="1">
        <f>value(THB!$B2234)</f>
        <v>379.24337</v>
      </c>
      <c r="J2234" s="1">
        <f>value(VND!$B2234)</f>
        <v>0.5979454994</v>
      </c>
      <c r="K2234" s="1">
        <f>value(CNY!$B2234)</f>
        <v>1931.05836</v>
      </c>
      <c r="L2234" s="1">
        <f>value(HKD!$B2234)</f>
        <v>1698.3864</v>
      </c>
      <c r="M2234" s="1">
        <f>value(TWD!$B2234)</f>
        <v>421.59356</v>
      </c>
      <c r="N2234" s="1">
        <f>value(JPY!$B2234)</f>
        <v>130.9038522</v>
      </c>
      <c r="O2234" s="1">
        <f>value(SAR!$B2234)</f>
        <v>3555.638574</v>
      </c>
      <c r="P2234" s="1">
        <f>value(AED!$B2234)</f>
        <v>3617.200886</v>
      </c>
      <c r="Q2234" s="1">
        <f>value(KWD!$B2234)</f>
        <v>43862.57733</v>
      </c>
    </row>
    <row r="2235">
      <c r="A2235" s="4">
        <f>value(USD!A2235)</f>
        <v>42599.99861</v>
      </c>
      <c r="B2235" s="1">
        <f>value(USD!B2235)</f>
        <v>13115</v>
      </c>
      <c r="C2235" s="1">
        <f>value(AUD!$B2235)</f>
        <v>9921.87102</v>
      </c>
      <c r="D2235" s="1">
        <f>value(EUR!$B2235)</f>
        <v>14877.8964</v>
      </c>
      <c r="E2235" s="1">
        <f>value(GBP!$B2235)</f>
        <v>17180.1558</v>
      </c>
      <c r="F2235" s="1">
        <f>value(CHF!$B2235)</f>
        <v>13452.3363</v>
      </c>
      <c r="G2235" s="1">
        <f>value(SGD!$B2235)</f>
        <v>9644.026</v>
      </c>
      <c r="H2235" s="1">
        <f>value(MYR!$B2235)</f>
        <v>3271.86</v>
      </c>
      <c r="I2235" s="1">
        <f>value(THB!$B2235)</f>
        <v>378.9576</v>
      </c>
      <c r="J2235" s="1">
        <f>value(VND!$B2235)</f>
        <v>0.6000629264</v>
      </c>
      <c r="K2235" s="1">
        <f>value(CNY!$B2235)</f>
        <v>1940.46174</v>
      </c>
      <c r="L2235" s="1">
        <f>value(HKD!$B2235)</f>
        <v>1697.60736</v>
      </c>
      <c r="M2235" s="1">
        <f>value(TWD!$B2235)</f>
        <v>420.16663</v>
      </c>
      <c r="N2235" s="1">
        <f>value(JPY!$B2235)</f>
        <v>131.1372</v>
      </c>
      <c r="O2235" s="1">
        <f>value(SAR!$B2235)</f>
        <v>3559.731376</v>
      </c>
      <c r="P2235" s="1">
        <f>value(AED!$B2235)</f>
        <v>3617.12001</v>
      </c>
      <c r="Q2235" s="1">
        <f>value(KWD!$B2235)</f>
        <v>43791.50294</v>
      </c>
    </row>
    <row r="2236">
      <c r="A2236" s="4">
        <f>value(USD!A2236)</f>
        <v>42600.99861</v>
      </c>
      <c r="B2236" s="1">
        <f>value(USD!B2236)</f>
        <v>13109</v>
      </c>
      <c r="C2236" s="1">
        <f>value(AUD!$B2236)</f>
        <v>9923.9611</v>
      </c>
      <c r="D2236" s="1">
        <f>value(EUR!$B2236)</f>
        <v>14921.48815</v>
      </c>
      <c r="E2236" s="1">
        <f>value(GBP!$B2236)</f>
        <v>17231.75156</v>
      </c>
      <c r="F2236" s="1">
        <f>value(CHF!$B2236)</f>
        <v>13305.8017</v>
      </c>
      <c r="G2236" s="1">
        <f>value(SGD!$B2236)</f>
        <v>9663.2352</v>
      </c>
      <c r="H2236" s="1">
        <f>value(MYR!$B2236)</f>
        <v>3280.63227</v>
      </c>
      <c r="I2236" s="1">
        <f>value(THB!$B2236)</f>
        <v>379.9736332</v>
      </c>
      <c r="J2236" s="1">
        <f>value(VND!$B2236)</f>
        <v>0.5948893703</v>
      </c>
      <c r="K2236" s="1">
        <f>value(CNY!$B2236)</f>
        <v>1940.59287</v>
      </c>
      <c r="L2236" s="1">
        <f>value(HKD!$B2236)</f>
        <v>1706.63249</v>
      </c>
      <c r="M2236" s="1">
        <f>value(TWD!$B2236)</f>
        <v>419.43352</v>
      </c>
      <c r="N2236" s="1">
        <f>value(JPY!$B2236)</f>
        <v>131.4887954</v>
      </c>
      <c r="O2236" s="1">
        <f>value(SAR!$B2236)</f>
        <v>3556.799911</v>
      </c>
      <c r="P2236" s="1">
        <f>value(AED!$B2236)</f>
        <v>3614.41101</v>
      </c>
      <c r="Q2236" s="1">
        <f>value(KWD!$B2236)</f>
        <v>43702.11549</v>
      </c>
    </row>
    <row r="2237">
      <c r="A2237" s="4">
        <f>value(USD!A2237)</f>
        <v>42601.99861</v>
      </c>
      <c r="B2237" s="1">
        <f>value(USD!B2237)</f>
        <v>13140</v>
      </c>
      <c r="C2237" s="1">
        <f>value(AUD!$B2237)</f>
        <v>9923.56921</v>
      </c>
      <c r="D2237" s="1">
        <f>value(EUR!$B2237)</f>
        <v>14886.07587</v>
      </c>
      <c r="E2237" s="1">
        <f>value(GBP!$B2237)</f>
        <v>17204.52555</v>
      </c>
      <c r="F2237" s="1">
        <f>value(CHF!$B2237)</f>
        <v>13308.63</v>
      </c>
      <c r="G2237" s="1">
        <f>value(SGD!$B2237)</f>
        <v>9645.9446</v>
      </c>
      <c r="H2237" s="1">
        <f>value(MYR!$B2237)</f>
        <v>3281.96637</v>
      </c>
      <c r="I2237" s="1">
        <f>value(THB!$B2237)</f>
        <v>380.21415</v>
      </c>
      <c r="J2237" s="1">
        <f>value(VND!$B2237)</f>
        <v>0.5967258535</v>
      </c>
      <c r="K2237" s="1">
        <f>value(CNY!$B2237)</f>
        <v>1932.23295</v>
      </c>
      <c r="L2237" s="1">
        <f>value(HKD!$B2237)</f>
        <v>1700.3199</v>
      </c>
      <c r="M2237" s="1">
        <f>value(TWD!$B2237)</f>
        <v>418.22671</v>
      </c>
      <c r="N2237" s="1">
        <f>value(JPY!$B2237)</f>
        <v>131.025618</v>
      </c>
      <c r="O2237" s="1">
        <f>value(SAR!$B2237)</f>
        <v>3558.724557</v>
      </c>
      <c r="P2237" s="1">
        <f>value(AED!$B2237)</f>
        <v>3619.836</v>
      </c>
      <c r="Q2237" s="1">
        <f>value(KWD!$B2237)</f>
        <v>43694.97931</v>
      </c>
    </row>
    <row r="2238">
      <c r="A2238" s="4">
        <f>value(USD!A2238)</f>
        <v>42602.99861</v>
      </c>
      <c r="B2238" s="1">
        <f>value(USD!B2238)</f>
        <v>13175.23</v>
      </c>
      <c r="C2238" s="1">
        <f>value(AUD!$B2238)</f>
        <v>9897.6878</v>
      </c>
      <c r="D2238" s="1">
        <f>value(EUR!$B2238)</f>
        <v>14949.9462</v>
      </c>
      <c r="E2238" s="1">
        <f>value(GBP!$B2238)</f>
        <v>17346.19089</v>
      </c>
      <c r="F2238" s="1">
        <f>value(CHF!$B2238)</f>
        <v>13456.8047</v>
      </c>
      <c r="G2238" s="1">
        <f>value(SGD!$B2238)</f>
        <v>9626.30214</v>
      </c>
      <c r="H2238" s="1">
        <f>value(MYR!$B2238)</f>
        <v>3262.22673</v>
      </c>
      <c r="I2238" s="1">
        <f>value(THB!$B2238)</f>
        <v>381.07965</v>
      </c>
      <c r="J2238" s="1">
        <f>value(VND!$B2238)</f>
        <v>0.5968842499</v>
      </c>
      <c r="K2238" s="1">
        <f>value(CNY!$B2238)</f>
        <v>1931.37946</v>
      </c>
      <c r="L2238" s="1">
        <f>value(HKD!$B2238)</f>
        <v>1693.99872</v>
      </c>
      <c r="M2238" s="1">
        <f>value(TWD!$B2238)</f>
        <v>417.41577</v>
      </c>
      <c r="N2238" s="1">
        <f>value(JPY!$B2238)</f>
        <v>131.7254316</v>
      </c>
      <c r="O2238" s="1">
        <f>value(SAR!$B2238)</f>
        <v>3553.407834</v>
      </c>
      <c r="P2238" s="1">
        <f>value(AED!$B2238)</f>
        <v>3631.69774</v>
      </c>
      <c r="Q2238" s="1">
        <f>value(KWD!$B2238)</f>
        <v>43185.25694</v>
      </c>
    </row>
    <row r="2239">
      <c r="A2239" s="4">
        <f>value(USD!A2239)</f>
        <v>42603.99861</v>
      </c>
      <c r="B2239" s="1">
        <f>value(USD!B2239)</f>
        <v>13179</v>
      </c>
      <c r="C2239" s="1">
        <f>value(AUD!$B2239)</f>
        <v>9966.63834</v>
      </c>
      <c r="D2239" s="1">
        <f>value(EUR!$B2239)</f>
        <v>14955.34638</v>
      </c>
      <c r="E2239" s="1">
        <f>value(GBP!$B2239)</f>
        <v>17458.2928</v>
      </c>
      <c r="F2239" s="1">
        <f>value(CHF!$B2239)</f>
        <v>13394.0088</v>
      </c>
      <c r="G2239" s="1">
        <f>value(SGD!$B2239)</f>
        <v>9622.25279</v>
      </c>
      <c r="H2239" s="1">
        <f>value(MYR!$B2239)</f>
        <v>3273.56224</v>
      </c>
      <c r="I2239" s="1">
        <f>value(THB!$B2239)</f>
        <v>381.93324</v>
      </c>
      <c r="J2239" s="1">
        <f>value(VND!$B2239)</f>
        <v>0.5961779448</v>
      </c>
      <c r="K2239" s="1">
        <f>value(CNY!$B2239)</f>
        <v>1921.46094</v>
      </c>
      <c r="L2239" s="1">
        <f>value(HKD!$B2239)</f>
        <v>1696.18418</v>
      </c>
      <c r="M2239" s="1">
        <f>value(TWD!$B2239)</f>
        <v>418.2136</v>
      </c>
      <c r="N2239" s="1">
        <f>value(JPY!$B2239)</f>
        <v>131.8993078</v>
      </c>
      <c r="O2239" s="1">
        <f>value(SAR!$B2239)</f>
        <v>3551.556449</v>
      </c>
      <c r="P2239" s="1">
        <f>value(AED!$B2239)</f>
        <v>3624.62106</v>
      </c>
      <c r="Q2239" s="1">
        <f>value(KWD!$B2239)</f>
        <v>43774.26646</v>
      </c>
    </row>
    <row r="2240">
      <c r="A2240" s="4">
        <f>value(USD!A2240)</f>
        <v>42604.99861</v>
      </c>
      <c r="B2240" s="1">
        <f>value(USD!B2240)</f>
        <v>13209</v>
      </c>
      <c r="C2240" s="1">
        <f>value(AUD!$B2240)</f>
        <v>9982.01644</v>
      </c>
      <c r="D2240" s="1">
        <f>value(EUR!$B2240)</f>
        <v>14929.03832</v>
      </c>
      <c r="E2240" s="1">
        <f>value(GBP!$B2240)</f>
        <v>17546.963</v>
      </c>
      <c r="F2240" s="1">
        <f>value(CHF!$B2240)</f>
        <v>13393.2516</v>
      </c>
      <c r="G2240" s="1">
        <f>value(SGD!$B2240)</f>
        <v>9618.99978</v>
      </c>
      <c r="H2240" s="1">
        <f>value(MYR!$B2240)</f>
        <v>3265.57798</v>
      </c>
      <c r="I2240" s="1">
        <f>value(THB!$B2240)</f>
        <v>382.62588</v>
      </c>
      <c r="J2240" s="1">
        <f>value(VND!$B2240)</f>
        <v>0.5941841115</v>
      </c>
      <c r="K2240" s="1">
        <f>value(CNY!$B2240)</f>
        <v>1937.44476</v>
      </c>
      <c r="L2240" s="1">
        <f>value(HKD!$B2240)</f>
        <v>1697.760137</v>
      </c>
      <c r="M2240" s="1">
        <f>value(TWD!$B2240)</f>
        <v>419.13783</v>
      </c>
      <c r="N2240" s="1">
        <f>value(JPY!$B2240)</f>
        <v>131.78452</v>
      </c>
      <c r="O2240" s="1">
        <f>value(SAR!$B2240)</f>
        <v>3547.250336</v>
      </c>
      <c r="P2240" s="1">
        <f>value(AED!$B2240)</f>
        <v>3617.81656</v>
      </c>
      <c r="Q2240" s="1">
        <f>value(KWD!$B2240)</f>
        <v>43636.06311</v>
      </c>
    </row>
    <row r="2241">
      <c r="A2241" s="4">
        <f>value(USD!A2241)</f>
        <v>42605.99861</v>
      </c>
      <c r="B2241" s="1">
        <f>value(USD!B2241)</f>
        <v>13234</v>
      </c>
      <c r="C2241" s="1">
        <f>value(AUD!$B2241)</f>
        <v>10040.66712</v>
      </c>
      <c r="D2241" s="1">
        <f>value(EUR!$B2241)</f>
        <v>14950.23036</v>
      </c>
      <c r="E2241" s="1">
        <f>value(GBP!$B2241)</f>
        <v>17474.65304</v>
      </c>
      <c r="F2241" s="1">
        <f>value(CHF!$B2241)</f>
        <v>13334.2344</v>
      </c>
      <c r="G2241" s="1">
        <f>value(SGD!$B2241)</f>
        <v>9602.17839</v>
      </c>
      <c r="H2241" s="1">
        <f>value(MYR!$B2241)</f>
        <v>3291.76346</v>
      </c>
      <c r="I2241" s="1">
        <f>value(THB!$B2241)</f>
        <v>383.33924</v>
      </c>
      <c r="J2241" s="1">
        <f>value(VND!$B2241)</f>
        <v>0.5941517838</v>
      </c>
      <c r="K2241" s="1">
        <f>value(CNY!$B2241)</f>
        <v>1997.16424</v>
      </c>
      <c r="L2241" s="1">
        <f>value(HKD!$B2241)</f>
        <v>1696.31581</v>
      </c>
      <c r="M2241" s="1">
        <f>value(TWD!$B2241)</f>
        <v>419.56558</v>
      </c>
      <c r="N2241" s="1">
        <f>value(JPY!$B2241)</f>
        <v>131.6957058</v>
      </c>
      <c r="O2241" s="1">
        <f>value(SAR!$B2241)</f>
        <v>3550.038589</v>
      </c>
      <c r="P2241" s="1">
        <f>value(AED!$B2241)</f>
        <v>3567.57415</v>
      </c>
      <c r="Q2241" s="1">
        <f>value(KWD!$B2241)</f>
        <v>43932.21315</v>
      </c>
    </row>
    <row r="2242">
      <c r="A2242" s="4">
        <f>value(USD!A2242)</f>
        <v>42606.99861</v>
      </c>
      <c r="B2242" s="1">
        <f>value(USD!B2242)</f>
        <v>13258</v>
      </c>
      <c r="C2242" s="1">
        <f>value(AUD!$B2242)</f>
        <v>10059.50682</v>
      </c>
      <c r="D2242" s="1">
        <f>value(EUR!$B2242)</f>
        <v>14882.23418</v>
      </c>
      <c r="E2242" s="1">
        <f>value(GBP!$B2242)</f>
        <v>17464.3278</v>
      </c>
      <c r="F2242" s="1">
        <f>value(CHF!$B2242)</f>
        <v>13310.6778</v>
      </c>
      <c r="G2242" s="1">
        <f>value(SGD!$B2242)</f>
        <v>9581.31798</v>
      </c>
      <c r="H2242" s="1">
        <f>value(MYR!$B2242)</f>
        <v>3288.9356</v>
      </c>
      <c r="I2242" s="1">
        <f>value(THB!$B2242)</f>
        <v>383.13308</v>
      </c>
      <c r="J2242" s="1">
        <f>value(VND!$B2242)</f>
        <v>0.6008038945</v>
      </c>
      <c r="K2242" s="1">
        <f>value(CNY!$B2242)</f>
        <v>1957.34774</v>
      </c>
      <c r="L2242" s="1">
        <f>value(HKD!$B2242)</f>
        <v>1693.6171</v>
      </c>
      <c r="M2242" s="1">
        <f>value(TWD!$B2242)</f>
        <v>419.74329</v>
      </c>
      <c r="N2242" s="1">
        <f>value(JPY!$B2242)</f>
        <v>130.54708</v>
      </c>
      <c r="O2242" s="1">
        <f>value(SAR!$B2242)</f>
        <v>3560.206576</v>
      </c>
      <c r="P2242" s="1">
        <f>value(AED!$B2242)</f>
        <v>3572.09032</v>
      </c>
      <c r="Q2242" s="1">
        <f>value(KWD!$B2242)</f>
        <v>43870.20144</v>
      </c>
    </row>
    <row r="2243">
      <c r="A2243" s="4">
        <f>value(USD!A2243)</f>
        <v>42607.99861</v>
      </c>
      <c r="B2243" s="1">
        <f>value(USD!B2243)</f>
        <v>13246</v>
      </c>
      <c r="C2243" s="1">
        <f>value(AUD!$B2243)</f>
        <v>10060.2936</v>
      </c>
      <c r="D2243" s="1">
        <f>value(EUR!$B2243)</f>
        <v>14910.21603</v>
      </c>
      <c r="E2243" s="1">
        <f>value(GBP!$B2243)</f>
        <v>17492.6643</v>
      </c>
      <c r="F2243" s="1">
        <f>value(CHF!$B2243)</f>
        <v>13315.0758</v>
      </c>
      <c r="G2243" s="1">
        <f>value(SGD!$B2243)</f>
        <v>9500.4535</v>
      </c>
      <c r="H2243" s="1">
        <f>value(MYR!$B2243)</f>
        <v>3294.272018</v>
      </c>
      <c r="I2243" s="1">
        <f>value(THB!$B2243)</f>
        <v>383.7547274</v>
      </c>
      <c r="J2243" s="1">
        <f>value(VND!$B2243)</f>
        <v>0.5958579344</v>
      </c>
      <c r="K2243" s="1">
        <f>value(CNY!$B2243)</f>
        <v>1985.269754</v>
      </c>
      <c r="L2243" s="1">
        <f>value(HKD!$B2243)</f>
        <v>1695.93462</v>
      </c>
      <c r="M2243" s="1">
        <f>value(TWD!$B2243)</f>
        <v>417.63197</v>
      </c>
      <c r="N2243" s="1">
        <f>value(JPY!$B2243)</f>
        <v>130.7588974</v>
      </c>
      <c r="O2243" s="1">
        <f>value(SAR!$B2243)</f>
        <v>3555.810287</v>
      </c>
      <c r="P2243" s="1">
        <f>value(AED!$B2243)</f>
        <v>3620.81054</v>
      </c>
      <c r="Q2243" s="1">
        <f>value(KWD!$B2243)</f>
        <v>43893.64227</v>
      </c>
    </row>
    <row r="2244">
      <c r="A2244" s="4">
        <f>value(USD!A2244)</f>
        <v>42608.99861</v>
      </c>
      <c r="B2244" s="1">
        <f>value(USD!B2244)</f>
        <v>13294</v>
      </c>
      <c r="C2244" s="1">
        <f>value(AUD!$B2244)</f>
        <v>10065.7625</v>
      </c>
      <c r="D2244" s="1">
        <f>value(EUR!$B2244)</f>
        <v>14903.6063</v>
      </c>
      <c r="E2244" s="1">
        <f>value(GBP!$B2244)</f>
        <v>17473.368</v>
      </c>
      <c r="F2244" s="1">
        <f>value(CHF!$B2244)</f>
        <v>13357.5696</v>
      </c>
      <c r="G2244" s="1">
        <f>value(SGD!$B2244)</f>
        <v>9505.59207</v>
      </c>
      <c r="H2244" s="1">
        <f>value(MYR!$B2244)</f>
        <v>3292.4947</v>
      </c>
      <c r="I2244" s="1">
        <f>value(THB!$B2244)</f>
        <v>382.5294</v>
      </c>
      <c r="J2244" s="1">
        <f>value(VND!$B2244)</f>
        <v>0.594437745</v>
      </c>
      <c r="K2244" s="1">
        <f>value(CNY!$B2244)</f>
        <v>1951.13408</v>
      </c>
      <c r="L2244" s="1">
        <f>value(HKD!$B2244)</f>
        <v>1683.43736</v>
      </c>
      <c r="M2244" s="1">
        <f>value(TWD!$B2244)</f>
        <v>416.82599</v>
      </c>
      <c r="N2244" s="1">
        <f>value(JPY!$B2244)</f>
        <v>130.561783</v>
      </c>
      <c r="O2244" s="1">
        <f>value(SAR!$B2244)</f>
        <v>3556.878481</v>
      </c>
      <c r="P2244" s="1">
        <f>value(AED!$B2244)</f>
        <v>3609.37898</v>
      </c>
      <c r="Q2244" s="1">
        <f>value(KWD!$B2244)</f>
        <v>44418.50548</v>
      </c>
    </row>
    <row r="2245">
      <c r="A2245" s="4">
        <f>value(USD!A2245)</f>
        <v>42609.99861</v>
      </c>
      <c r="B2245" s="1">
        <f>value(USD!B2245)</f>
        <v>13315.57</v>
      </c>
      <c r="C2245" s="1">
        <f>value(AUD!$B2245)</f>
        <v>10099.36877</v>
      </c>
      <c r="D2245" s="1">
        <f>value(EUR!$B2245)</f>
        <v>14827.42656</v>
      </c>
      <c r="E2245" s="1">
        <f>value(GBP!$B2245)</f>
        <v>17364.1536</v>
      </c>
      <c r="F2245" s="1">
        <f>value(CHF!$B2245)</f>
        <v>13255.9965</v>
      </c>
      <c r="G2245" s="1">
        <f>value(SGD!$B2245)</f>
        <v>9526.90801</v>
      </c>
      <c r="H2245" s="1">
        <f>value(MYR!$B2245)</f>
        <v>3277.5552</v>
      </c>
      <c r="I2245" s="1">
        <f>value(THB!$B2245)</f>
        <v>383.26464</v>
      </c>
      <c r="J2245" s="1">
        <f>value(VND!$B2245)</f>
        <v>0.5950796862</v>
      </c>
      <c r="K2245" s="1">
        <f>value(CNY!$B2245)</f>
        <v>1965.55236</v>
      </c>
      <c r="L2245" s="1">
        <f>value(HKD!$B2245)</f>
        <v>1684.21428</v>
      </c>
      <c r="M2245" s="1">
        <f>value(TWD!$B2245)</f>
        <v>417.50852</v>
      </c>
      <c r="N2245" s="1">
        <f>value(JPY!$B2245)</f>
        <v>130.09536</v>
      </c>
      <c r="O2245" s="1">
        <f>value(SAR!$B2245)</f>
        <v>3556.344535</v>
      </c>
      <c r="P2245" s="1">
        <f>value(AED!$B2245)</f>
        <v>3633.87518</v>
      </c>
      <c r="Q2245" s="1">
        <f>value(KWD!$B2245)</f>
        <v>43849.5369</v>
      </c>
    </row>
    <row r="2246">
      <c r="A2246" s="4">
        <f>value(USD!A2246)</f>
        <v>42610.99861</v>
      </c>
      <c r="B2246" s="1">
        <f>value(USD!B2246)</f>
        <v>13310</v>
      </c>
      <c r="C2246" s="1">
        <f>value(AUD!$B2246)</f>
        <v>10099.08081</v>
      </c>
      <c r="D2246" s="1">
        <f>value(EUR!$B2246)</f>
        <v>14810.41217</v>
      </c>
      <c r="E2246" s="1">
        <f>value(GBP!$B2246)</f>
        <v>17388.37681</v>
      </c>
      <c r="F2246" s="1">
        <f>value(CHF!$B2246)</f>
        <v>13266.7388</v>
      </c>
      <c r="G2246" s="1">
        <f>value(SGD!$B2246)</f>
        <v>9545.63886</v>
      </c>
      <c r="H2246" s="1">
        <f>value(MYR!$B2246)</f>
        <v>3264.03159</v>
      </c>
      <c r="I2246" s="1">
        <f>value(THB!$B2246)</f>
        <v>383.61304</v>
      </c>
      <c r="J2246" s="1">
        <f>value(VND!$B2246)</f>
        <v>0.600567712</v>
      </c>
      <c r="K2246" s="1">
        <f>value(CNY!$B2246)</f>
        <v>1940.63601</v>
      </c>
      <c r="L2246" s="1">
        <f>value(HKD!$B2246)</f>
        <v>1686.27171</v>
      </c>
      <c r="M2246" s="1">
        <f>value(TWD!$B2246)</f>
        <v>416.83642</v>
      </c>
      <c r="N2246" s="1">
        <f>value(JPY!$B2246)</f>
        <v>129.1027902</v>
      </c>
      <c r="O2246" s="1">
        <f>value(SAR!$B2246)</f>
        <v>3554.914728</v>
      </c>
      <c r="P2246" s="1">
        <f>value(AED!$B2246)</f>
        <v>3631.96992</v>
      </c>
      <c r="Q2246" s="1">
        <f>value(KWD!$B2246)</f>
        <v>43755.13461</v>
      </c>
    </row>
    <row r="2247">
      <c r="A2247" s="4">
        <f>value(USD!A2247)</f>
        <v>42611.99861</v>
      </c>
      <c r="B2247" s="1">
        <f>value(USD!B2247)</f>
        <v>13248</v>
      </c>
      <c r="C2247" s="1">
        <f>value(AUD!$B2247)</f>
        <v>10046.78349</v>
      </c>
      <c r="D2247" s="1">
        <f>value(EUR!$B2247)</f>
        <v>14816.496</v>
      </c>
      <c r="E2247" s="1">
        <f>value(GBP!$B2247)</f>
        <v>17439.1632</v>
      </c>
      <c r="F2247" s="1">
        <f>value(CHF!$B2247)</f>
        <v>13258.7575</v>
      </c>
      <c r="G2247" s="1">
        <f>value(SGD!$B2247)</f>
        <v>9541.6996</v>
      </c>
      <c r="H2247" s="1">
        <f>value(MYR!$B2247)</f>
        <v>3240.1872</v>
      </c>
      <c r="I2247" s="1">
        <f>value(THB!$B2247)</f>
        <v>383.5264</v>
      </c>
      <c r="J2247" s="1">
        <f>value(VND!$B2247)</f>
        <v>0.5931818067</v>
      </c>
      <c r="K2247" s="1">
        <f>value(CNY!$B2247)</f>
        <v>1968.30432</v>
      </c>
      <c r="L2247" s="1">
        <f>value(HKD!$B2247)</f>
        <v>1686.01576</v>
      </c>
      <c r="M2247" s="1">
        <f>value(TWD!$B2247)</f>
        <v>416.03042</v>
      </c>
      <c r="N2247" s="1">
        <f>value(JPY!$B2247)</f>
        <v>128.527824</v>
      </c>
      <c r="O2247" s="1">
        <f>value(SAR!$B2247)</f>
        <v>3556.344535</v>
      </c>
      <c r="P2247" s="1">
        <f>value(AED!$B2247)</f>
        <v>3633.910563</v>
      </c>
      <c r="Q2247" s="1">
        <f>value(KWD!$B2247)</f>
        <v>43784.75448</v>
      </c>
    </row>
    <row r="2248">
      <c r="A2248" s="4">
        <f>value(USD!A2248)</f>
        <v>42612.99861</v>
      </c>
      <c r="B2248" s="1">
        <f>value(USD!B2248)</f>
        <v>13283</v>
      </c>
      <c r="C2248" s="1">
        <f>value(AUD!$B2248)</f>
        <v>10340.468</v>
      </c>
      <c r="D2248" s="1">
        <f>value(EUR!$B2248)</f>
        <v>14863.1054</v>
      </c>
      <c r="E2248" s="1">
        <f>value(GBP!$B2248)</f>
        <v>17615.9256</v>
      </c>
      <c r="F2248" s="1">
        <f>value(CHF!$B2248)</f>
        <v>13157.3754</v>
      </c>
      <c r="G2248" s="1">
        <f>value(SGD!$B2248)</f>
        <v>9501.09582</v>
      </c>
      <c r="H2248" s="1">
        <f>value(MYR!$B2248)</f>
        <v>3246.04488</v>
      </c>
      <c r="I2248" s="1">
        <f>value(THB!$B2248)</f>
        <v>383.45697</v>
      </c>
      <c r="J2248" s="1">
        <f>value(VND!$B2248)</f>
        <v>0.5977944082</v>
      </c>
      <c r="K2248" s="1">
        <f>value(CNY!$B2248)</f>
        <v>1949.69118</v>
      </c>
      <c r="L2248" s="1">
        <f>value(HKD!$B2248)</f>
        <v>1682.66223</v>
      </c>
      <c r="M2248" s="1">
        <f>value(TWD!$B2248)</f>
        <v>417.2457</v>
      </c>
      <c r="N2248" s="1">
        <f>value(JPY!$B2248)</f>
        <v>128.48264</v>
      </c>
      <c r="O2248" s="1">
        <f>value(SAR!$B2248)</f>
        <v>3562.880571</v>
      </c>
      <c r="P2248" s="1">
        <f>value(AED!$B2248)</f>
        <v>3626.64806</v>
      </c>
      <c r="Q2248" s="1">
        <f>value(KWD!$B2248)</f>
        <v>43903.23398</v>
      </c>
    </row>
    <row r="2249">
      <c r="A2249" s="4">
        <f>value(USD!A2249)</f>
        <v>42613.99861</v>
      </c>
      <c r="B2249" s="1">
        <f>value(USD!B2249)</f>
        <v>13280</v>
      </c>
      <c r="C2249" s="1">
        <f>value(AUD!$B2249)</f>
        <v>10070.99694</v>
      </c>
      <c r="D2249" s="1">
        <f>value(EUR!$B2249)</f>
        <v>14717.703</v>
      </c>
      <c r="E2249" s="1">
        <f>value(GBP!$B2249)</f>
        <v>17540.1135</v>
      </c>
      <c r="F2249" s="1">
        <f>value(CHF!$B2249)</f>
        <v>13224.816</v>
      </c>
      <c r="G2249" s="1">
        <f>value(SGD!$B2249)</f>
        <v>9494.53538</v>
      </c>
      <c r="H2249" s="1">
        <f>value(MYR!$B2249)</f>
        <v>3227.36505</v>
      </c>
      <c r="I2249" s="1">
        <f>value(THB!$B2249)</f>
        <v>380.67575</v>
      </c>
      <c r="J2249" s="1">
        <f>value(VND!$B2249)</f>
        <v>0.6004237843</v>
      </c>
      <c r="K2249" s="1">
        <f>value(CNY!$B2249)</f>
        <v>1939.23856</v>
      </c>
      <c r="L2249" s="1">
        <f>value(HKD!$B2249)</f>
        <v>1681.24866</v>
      </c>
      <c r="M2249" s="1">
        <f>value(TWD!$B2249)</f>
        <v>416.90736</v>
      </c>
      <c r="N2249" s="1">
        <f>value(JPY!$B2249)</f>
        <v>126.9359</v>
      </c>
      <c r="O2249" s="1">
        <f>value(SAR!$B2249)</f>
        <v>3566.38789</v>
      </c>
      <c r="P2249" s="1">
        <f>value(AED!$B2249)</f>
        <v>3626.7985</v>
      </c>
      <c r="Q2249" s="1">
        <f>value(KWD!$B2249)</f>
        <v>43842.60674</v>
      </c>
    </row>
    <row r="2250">
      <c r="A2250" s="4">
        <f>value(USD!A2250)</f>
        <v>42614.99861</v>
      </c>
      <c r="B2250" s="1">
        <f>value(USD!B2250)</f>
        <v>13273</v>
      </c>
      <c r="C2250" s="1">
        <f>value(AUD!$B2250)</f>
        <v>10204.0514</v>
      </c>
      <c r="D2250" s="1">
        <f>value(EUR!$B2250)</f>
        <v>14716.3835</v>
      </c>
      <c r="E2250" s="1">
        <f>value(GBP!$B2250)</f>
        <v>17540.1135</v>
      </c>
      <c r="F2250" s="1">
        <f>value(CHF!$B2250)</f>
        <v>13143.9824</v>
      </c>
      <c r="G2250" s="1">
        <f>value(SGD!$B2250)</f>
        <v>9498.55652</v>
      </c>
      <c r="H2250" s="1">
        <f>value(MYR!$B2250)</f>
        <v>3225.51775</v>
      </c>
      <c r="I2250" s="1">
        <f>value(THB!$B2250)</f>
        <v>380.67575</v>
      </c>
      <c r="J2250" s="1">
        <f>value(VND!$B2250)</f>
        <v>0.5945089266</v>
      </c>
      <c r="K2250" s="1">
        <f>value(CNY!$B2250)</f>
        <v>1940.240067</v>
      </c>
      <c r="L2250" s="1">
        <f>value(HKD!$B2250)</f>
        <v>1665.51798</v>
      </c>
      <c r="M2250" s="1">
        <f>value(TWD!$B2250)</f>
        <v>418.92282</v>
      </c>
      <c r="N2250" s="1">
        <f>value(JPY!$B2250)</f>
        <v>126.9359</v>
      </c>
      <c r="O2250" s="1">
        <f>value(SAR!$B2250)</f>
        <v>3560.189748</v>
      </c>
      <c r="P2250" s="1">
        <f>value(AED!$B2250)</f>
        <v>3618.6331</v>
      </c>
      <c r="Q2250" s="1">
        <f>value(KWD!$B2250)</f>
        <v>43857.79803</v>
      </c>
    </row>
    <row r="2251">
      <c r="A2251" s="4">
        <f>value(USD!A2251)</f>
        <v>42615.99861</v>
      </c>
      <c r="B2251" s="1">
        <f>value(USD!B2251)</f>
        <v>13195</v>
      </c>
      <c r="C2251" s="1">
        <f>value(AUD!$B2251)</f>
        <v>10069.74108</v>
      </c>
      <c r="D2251" s="1">
        <f>value(EUR!$B2251)</f>
        <v>14724.3005</v>
      </c>
      <c r="E2251" s="1">
        <f>value(GBP!$B2251)</f>
        <v>17540.3774</v>
      </c>
      <c r="F2251" s="1">
        <f>value(CHF!$B2251)</f>
        <v>13214.8764</v>
      </c>
      <c r="G2251" s="1">
        <f>value(SGD!$B2251)</f>
        <v>9501.39126</v>
      </c>
      <c r="H2251" s="1">
        <f>value(MYR!$B2251)</f>
        <v>3225.51775</v>
      </c>
      <c r="I2251" s="1">
        <f>value(THB!$B2251)</f>
        <v>381.0716</v>
      </c>
      <c r="J2251" s="1">
        <f>value(VND!$B2251)</f>
        <v>0.5959455779</v>
      </c>
      <c r="K2251" s="1">
        <f>value(CNY!$B2251)</f>
        <v>1954.99416</v>
      </c>
      <c r="L2251" s="1">
        <f>value(HKD!$B2251)</f>
        <v>1666.03374</v>
      </c>
      <c r="M2251" s="1">
        <f>value(TWD!$B2251)</f>
        <v>416.3544</v>
      </c>
      <c r="N2251" s="1">
        <f>value(JPY!$B2251)</f>
        <v>126.9266635</v>
      </c>
      <c r="O2251" s="1">
        <f>value(SAR!$B2251)</f>
        <v>3563.476156</v>
      </c>
      <c r="P2251" s="1">
        <f>value(AED!$B2251)</f>
        <v>3621.21576</v>
      </c>
      <c r="Q2251" s="1">
        <f>value(KWD!$B2251)</f>
        <v>43973.0054</v>
      </c>
    </row>
    <row r="2252">
      <c r="A2252" s="4">
        <f>value(USD!A2252)</f>
        <v>42616.99861</v>
      </c>
      <c r="B2252" s="1">
        <f>value(USD!B2252)</f>
        <v>13195</v>
      </c>
      <c r="C2252" s="1">
        <f>value(AUD!$B2252)</f>
        <v>10184.4253</v>
      </c>
      <c r="D2252" s="1">
        <f>value(EUR!$B2252)</f>
        <v>14635.425</v>
      </c>
      <c r="E2252" s="1">
        <f>value(GBP!$B2252)</f>
        <v>17470.1625</v>
      </c>
      <c r="F2252" s="1">
        <f>value(CHF!$B2252)</f>
        <v>13194.4624</v>
      </c>
      <c r="G2252" s="1">
        <f>value(SGD!$B2252)</f>
        <v>9468.6804</v>
      </c>
      <c r="H2252" s="1">
        <f>value(MYR!$B2252)</f>
        <v>3220.0875</v>
      </c>
      <c r="I2252" s="1">
        <f>value(THB!$B2252)</f>
        <v>377.7375</v>
      </c>
      <c r="J2252" s="1">
        <f>value(VND!$B2252)</f>
        <v>0.5964621531</v>
      </c>
      <c r="K2252" s="1">
        <f>value(CNY!$B2252)</f>
        <v>1946.48356</v>
      </c>
      <c r="L2252" s="1">
        <f>value(HKD!$B2252)</f>
        <v>1676.34676</v>
      </c>
      <c r="M2252" s="1">
        <f>value(TWD!$B2252)</f>
        <v>416.1696</v>
      </c>
      <c r="N2252" s="1">
        <f>value(JPY!$B2252)</f>
        <v>126.7520625</v>
      </c>
      <c r="O2252" s="1">
        <f>value(SAR!$B2252)</f>
        <v>3566.413013</v>
      </c>
      <c r="P2252" s="1">
        <f>value(AED!$B2252)</f>
        <v>3631.0146</v>
      </c>
      <c r="Q2252" s="1">
        <f>value(KWD!$B2252)</f>
        <v>43953.25556</v>
      </c>
    </row>
    <row r="2253">
      <c r="A2253" s="4">
        <f>value(USD!A2253)</f>
        <v>42617.99861</v>
      </c>
      <c r="B2253" s="1">
        <f>value(USD!B2253)</f>
        <v>13195</v>
      </c>
      <c r="C2253" s="1">
        <f>value(AUD!$B2253)</f>
        <v>10054.51012</v>
      </c>
      <c r="D2253" s="1">
        <f>value(EUR!$B2253)</f>
        <v>14691.42522</v>
      </c>
      <c r="E2253" s="1">
        <f>value(GBP!$B2253)</f>
        <v>17522.39962</v>
      </c>
      <c r="F2253" s="1">
        <f>value(CHF!$B2253)</f>
        <v>13186.5474</v>
      </c>
      <c r="G2253" s="1">
        <f>value(SGD!$B2253)</f>
        <v>9444.57423</v>
      </c>
      <c r="H2253" s="1">
        <f>value(MYR!$B2253)</f>
        <v>3221.4086</v>
      </c>
      <c r="I2253" s="1">
        <f>value(THB!$B2253)</f>
        <v>377.3762</v>
      </c>
      <c r="J2253" s="1">
        <f>value(VND!$B2253)</f>
        <v>0.5894960547</v>
      </c>
      <c r="K2253" s="1">
        <f>value(CNY!$B2253)</f>
        <v>1949.11752</v>
      </c>
      <c r="L2253" s="1">
        <f>value(HKD!$B2253)</f>
        <v>1677.5046</v>
      </c>
      <c r="M2253" s="1">
        <f>value(TWD!$B2253)</f>
        <v>418.41588</v>
      </c>
      <c r="N2253" s="1">
        <f>value(JPY!$B2253)</f>
        <v>128.6265232</v>
      </c>
      <c r="O2253" s="1">
        <f>value(SAR!$B2253)</f>
        <v>3560.883073</v>
      </c>
      <c r="P2253" s="1">
        <f>value(AED!$B2253)</f>
        <v>3624.343</v>
      </c>
      <c r="Q2253" s="1">
        <f>value(KWD!$B2253)</f>
        <v>43818.29836</v>
      </c>
    </row>
    <row r="2254">
      <c r="A2254" s="4">
        <f>value(USD!A2254)</f>
        <v>42618.99861</v>
      </c>
      <c r="B2254" s="1">
        <f>value(USD!B2254)</f>
        <v>13125</v>
      </c>
      <c r="C2254" s="1">
        <f>value(AUD!$B2254)</f>
        <v>10016.24136</v>
      </c>
      <c r="D2254" s="1">
        <f>value(EUR!$B2254)</f>
        <v>14688.5888</v>
      </c>
      <c r="E2254" s="1">
        <f>value(GBP!$B2254)</f>
        <v>17433.5502</v>
      </c>
      <c r="F2254" s="1">
        <f>value(CHF!$B2254)</f>
        <v>13216.374</v>
      </c>
      <c r="G2254" s="1">
        <f>value(SGD!$B2254)</f>
        <v>9445.03313</v>
      </c>
      <c r="H2254" s="1">
        <f>value(MYR!$B2254)</f>
        <v>3226.3295</v>
      </c>
      <c r="I2254" s="1">
        <f>value(THB!$B2254)</f>
        <v>377.2002</v>
      </c>
      <c r="J2254" s="1">
        <f>value(VND!$B2254)</f>
        <v>0.5944461777</v>
      </c>
      <c r="K2254" s="1">
        <f>value(CNY!$B2254)</f>
        <v>1966.07543</v>
      </c>
      <c r="L2254" s="1">
        <f>value(HKD!$B2254)</f>
        <v>1677.50704</v>
      </c>
      <c r="M2254" s="1">
        <f>value(TWD!$B2254)</f>
        <v>416.733</v>
      </c>
      <c r="N2254" s="1">
        <f>value(JPY!$B2254)</f>
        <v>128.333023</v>
      </c>
      <c r="O2254" s="1">
        <f>value(SAR!$B2254)</f>
        <v>3557.317419</v>
      </c>
      <c r="P2254" s="1">
        <f>value(AED!$B2254)</f>
        <v>3629.865759</v>
      </c>
      <c r="Q2254" s="1">
        <f>value(KWD!$B2254)</f>
        <v>43770.53265</v>
      </c>
    </row>
    <row r="2255">
      <c r="A2255" s="4">
        <f>value(USD!A2255)</f>
        <v>42619.99861</v>
      </c>
      <c r="B2255" s="1">
        <f>value(USD!B2255)</f>
        <v>13058</v>
      </c>
      <c r="C2255" s="1">
        <f>value(AUD!$B2255)</f>
        <v>9919.98259</v>
      </c>
      <c r="D2255" s="1">
        <f>value(EUR!$B2255)</f>
        <v>14728.79493</v>
      </c>
      <c r="E2255" s="1">
        <f>value(GBP!$B2255)</f>
        <v>17392.2726</v>
      </c>
      <c r="F2255" s="1">
        <f>value(CHF!$B2255)</f>
        <v>13207.612</v>
      </c>
      <c r="G2255" s="1">
        <f>value(SGD!$B2255)</f>
        <v>9395.2631</v>
      </c>
      <c r="H2255" s="1">
        <f>value(MYR!$B2255)</f>
        <v>3204.61707</v>
      </c>
      <c r="I2255" s="1">
        <f>value(THB!$B2255)</f>
        <v>375.66054</v>
      </c>
      <c r="J2255" s="1">
        <f>value(VND!$B2255)</f>
        <v>0.590931289</v>
      </c>
      <c r="K2255" s="1">
        <f>value(CNY!$B2255)</f>
        <v>1959.40216</v>
      </c>
      <c r="L2255" s="1">
        <f>value(HKD!$B2255)</f>
        <v>1671.57672</v>
      </c>
      <c r="M2255" s="1">
        <f>value(TWD!$B2255)</f>
        <v>413.788</v>
      </c>
      <c r="N2255" s="1">
        <f>value(JPY!$B2255)</f>
        <v>127.70367</v>
      </c>
      <c r="O2255" s="1">
        <f>value(SAR!$B2255)</f>
        <v>3556.688628</v>
      </c>
      <c r="P2255" s="1">
        <f>value(AED!$B2255)</f>
        <v>3626.92604</v>
      </c>
      <c r="Q2255" s="1">
        <f>value(KWD!$B2255)</f>
        <v>43796.83113</v>
      </c>
    </row>
    <row r="2256">
      <c r="A2256" s="4">
        <f>value(USD!A2256)</f>
        <v>42620.99861</v>
      </c>
      <c r="B2256" s="1">
        <f>value(USD!B2256)</f>
        <v>13070</v>
      </c>
      <c r="C2256" s="1">
        <f>value(AUD!$B2256)</f>
        <v>9799.48879</v>
      </c>
      <c r="D2256" s="1">
        <f>value(EUR!$B2256)</f>
        <v>14799.22047</v>
      </c>
      <c r="E2256" s="1">
        <f>value(GBP!$B2256)</f>
        <v>17478.36811</v>
      </c>
      <c r="F2256" s="1">
        <f>value(CHF!$B2256)</f>
        <v>13147.596</v>
      </c>
      <c r="G2256" s="1">
        <f>value(SGD!$B2256)</f>
        <v>9486.58392</v>
      </c>
      <c r="H2256" s="1">
        <f>value(MYR!$B2256)</f>
        <v>3209.39012</v>
      </c>
      <c r="I2256" s="1">
        <f>value(THB!$B2256)</f>
        <v>370.2737</v>
      </c>
      <c r="J2256" s="1">
        <f>value(VND!$B2256)</f>
        <v>0.5963750265</v>
      </c>
      <c r="K2256" s="1">
        <f>value(CNY!$B2256)</f>
        <v>1956.04136</v>
      </c>
      <c r="L2256" s="1">
        <f>value(HKD!$B2256)</f>
        <v>1671.06104</v>
      </c>
      <c r="M2256" s="1">
        <f>value(TWD!$B2256)</f>
        <v>416.61832</v>
      </c>
      <c r="N2256" s="1">
        <f>value(JPY!$B2256)</f>
        <v>128.34398</v>
      </c>
      <c r="O2256" s="1">
        <f>value(SAR!$B2256)</f>
        <v>3552.989364</v>
      </c>
      <c r="P2256" s="1">
        <f>value(AED!$B2256)</f>
        <v>3636.05262</v>
      </c>
      <c r="Q2256" s="1">
        <f>value(KWD!$B2256)</f>
        <v>43664.73945</v>
      </c>
    </row>
    <row r="2257">
      <c r="A2257" s="4">
        <f>value(USD!A2257)</f>
        <v>42621.99861</v>
      </c>
      <c r="B2257" s="1">
        <f>value(USD!B2257)</f>
        <v>13071</v>
      </c>
      <c r="C2257" s="1">
        <f>value(AUD!$B2257)</f>
        <v>9812.83132</v>
      </c>
      <c r="D2257" s="1">
        <f>value(EUR!$B2257)</f>
        <v>14785.2243</v>
      </c>
      <c r="E2257" s="1">
        <f>value(GBP!$B2257)</f>
        <v>17471.2923</v>
      </c>
      <c r="F2257" s="1">
        <f>value(CHF!$B2257)</f>
        <v>13112.0976</v>
      </c>
      <c r="G2257" s="1">
        <f>value(SGD!$B2257)</f>
        <v>9403.6237</v>
      </c>
      <c r="H2257" s="1">
        <f>value(MYR!$B2257)</f>
        <v>3206.55951</v>
      </c>
      <c r="I2257" s="1">
        <f>value(THB!$B2257)</f>
        <v>369.9927</v>
      </c>
      <c r="J2257" s="1">
        <f>value(VND!$B2257)</f>
        <v>0.5975697128</v>
      </c>
      <c r="K2257" s="1">
        <f>value(CNY!$B2257)</f>
        <v>1953.04325</v>
      </c>
      <c r="L2257" s="1">
        <f>value(HKD!$B2257)</f>
        <v>1679.95652</v>
      </c>
      <c r="M2257" s="1">
        <f>value(TWD!$B2257)</f>
        <v>417.07092</v>
      </c>
      <c r="N2257" s="1">
        <f>value(JPY!$B2257)</f>
        <v>128.24658</v>
      </c>
      <c r="O2257" s="1">
        <f>value(SAR!$B2257)</f>
        <v>3553.256045</v>
      </c>
      <c r="P2257" s="1">
        <f>value(AED!$B2257)</f>
        <v>3634.55307</v>
      </c>
      <c r="Q2257" s="1">
        <f>value(KWD!$B2257)</f>
        <v>43698.96372</v>
      </c>
    </row>
    <row r="2258">
      <c r="A2258" s="4">
        <f>value(USD!A2258)</f>
        <v>42622.99861</v>
      </c>
      <c r="B2258" s="1">
        <f>value(USD!B2258)</f>
        <v>13177</v>
      </c>
      <c r="C2258" s="1">
        <f>value(AUD!$B2258)</f>
        <v>9869.18901</v>
      </c>
      <c r="D2258" s="1">
        <f>value(EUR!$B2258)</f>
        <v>14808.76992</v>
      </c>
      <c r="E2258" s="1">
        <f>value(GBP!$B2258)</f>
        <v>17486.92368</v>
      </c>
      <c r="F2258" s="1">
        <f>value(CHF!$B2258)</f>
        <v>13097.3355</v>
      </c>
      <c r="G2258" s="1">
        <f>value(SGD!$B2258)</f>
        <v>9434.33388</v>
      </c>
      <c r="H2258" s="1">
        <f>value(MYR!$B2258)</f>
        <v>3208.75128</v>
      </c>
      <c r="I2258" s="1">
        <f>value(THB!$B2258)</f>
        <v>378.81</v>
      </c>
      <c r="J2258" s="1">
        <f>value(VND!$B2258)</f>
        <v>0.5993893359</v>
      </c>
      <c r="K2258" s="1">
        <f>value(CNY!$B2258)</f>
        <v>1953.1172</v>
      </c>
      <c r="L2258" s="1">
        <f>value(HKD!$B2258)</f>
        <v>1677.37446</v>
      </c>
      <c r="M2258" s="1">
        <f>value(TWD!$B2258)</f>
        <v>416.00356</v>
      </c>
      <c r="N2258" s="1">
        <f>value(JPY!$B2258)</f>
        <v>128.5793136</v>
      </c>
      <c r="O2258" s="1">
        <f>value(SAR!$B2258)</f>
        <v>3561.53034</v>
      </c>
      <c r="P2258" s="1">
        <f>value(AED!$B2258)</f>
        <v>3623.39328</v>
      </c>
      <c r="Q2258" s="1">
        <f>value(KWD!$B2258)</f>
        <v>43874.1533</v>
      </c>
    </row>
    <row r="2259">
      <c r="A2259" s="4">
        <f>value(USD!A2259)</f>
        <v>42623.99861</v>
      </c>
      <c r="B2259" s="1">
        <f>value(USD!B2259)</f>
        <v>13167</v>
      </c>
      <c r="C2259" s="1">
        <f>value(AUD!$B2259)</f>
        <v>9892.95944</v>
      </c>
      <c r="D2259" s="1">
        <f>value(EUR!$B2259)</f>
        <v>14806.51348</v>
      </c>
      <c r="E2259" s="1">
        <f>value(GBP!$B2259)</f>
        <v>17567.62812</v>
      </c>
      <c r="F2259" s="1">
        <f>value(CHF!$B2259)</f>
        <v>13103.7426</v>
      </c>
      <c r="G2259" s="1">
        <f>value(SGD!$B2259)</f>
        <v>9398.30997</v>
      </c>
      <c r="H2259" s="1">
        <f>value(MYR!$B2259)</f>
        <v>3216.20724</v>
      </c>
      <c r="I2259" s="1">
        <f>value(THB!$B2259)</f>
        <v>377.77296</v>
      </c>
      <c r="J2259" s="1">
        <f>value(VND!$B2259)</f>
        <v>0.5950140412</v>
      </c>
      <c r="K2259" s="1">
        <f>value(CNY!$B2259)</f>
        <v>1951.08525</v>
      </c>
      <c r="L2259" s="1">
        <f>value(HKD!$B2259)</f>
        <v>1676.21445</v>
      </c>
      <c r="M2259" s="1">
        <f>value(TWD!$B2259)</f>
        <v>416.28418</v>
      </c>
      <c r="N2259" s="1">
        <f>value(JPY!$B2259)</f>
        <v>129.4228032</v>
      </c>
      <c r="O2259" s="1">
        <f>value(SAR!$B2259)</f>
        <v>3575.31893</v>
      </c>
      <c r="P2259" s="1">
        <f>value(AED!$B2259)</f>
        <v>3624.20985</v>
      </c>
      <c r="Q2259" s="1">
        <f>value(KWD!$B2259)</f>
        <v>44199.2411</v>
      </c>
    </row>
    <row r="2260">
      <c r="A2260" s="4">
        <f>value(USD!A2260)</f>
        <v>42624.99861</v>
      </c>
      <c r="B2260" s="1">
        <f>value(USD!B2260)</f>
        <v>13176</v>
      </c>
      <c r="C2260" s="1">
        <f>value(AUD!$B2260)</f>
        <v>9949.754</v>
      </c>
      <c r="D2260" s="1">
        <f>value(EUR!$B2260)</f>
        <v>14853.7538</v>
      </c>
      <c r="E2260" s="1">
        <f>value(GBP!$B2260)</f>
        <v>17468.05684</v>
      </c>
      <c r="F2260" s="1">
        <f>value(CHF!$B2260)</f>
        <v>13121.6668</v>
      </c>
      <c r="G2260" s="1">
        <f>value(SGD!$B2260)</f>
        <v>9403.86668</v>
      </c>
      <c r="H2260" s="1">
        <f>value(MYR!$B2260)</f>
        <v>3204.45441</v>
      </c>
      <c r="I2260" s="1">
        <f>value(THB!$B2260)</f>
        <v>378.6926</v>
      </c>
      <c r="J2260" s="1">
        <f>value(VND!$B2260)</f>
        <v>0.5958680995</v>
      </c>
      <c r="K2260" s="1">
        <f>value(CNY!$B2260)</f>
        <v>1956.97988</v>
      </c>
      <c r="L2260" s="1">
        <f>value(HKD!$B2260)</f>
        <v>1671.44306</v>
      </c>
      <c r="M2260" s="1">
        <f>value(TWD!$B2260)</f>
        <v>415.66308</v>
      </c>
      <c r="N2260" s="1">
        <f>value(JPY!$B2260)</f>
        <v>129.1672791</v>
      </c>
      <c r="O2260" s="1">
        <f>value(SAR!$B2260)</f>
        <v>3575.967864</v>
      </c>
      <c r="P2260" s="1">
        <f>value(AED!$B2260)</f>
        <v>3626.92029</v>
      </c>
      <c r="Q2260" s="1">
        <f>value(KWD!$B2260)</f>
        <v>43896.00332</v>
      </c>
    </row>
    <row r="2261">
      <c r="A2261" s="4">
        <f>value(USD!A2261)</f>
        <v>42625.99861</v>
      </c>
      <c r="B2261" s="1">
        <f>value(USD!B2261)</f>
        <v>13172</v>
      </c>
      <c r="C2261" s="1">
        <f>value(AUD!$B2261)</f>
        <v>10033.12145</v>
      </c>
      <c r="D2261" s="1">
        <f>value(EUR!$B2261)</f>
        <v>14834.99433</v>
      </c>
      <c r="E2261" s="1">
        <f>value(GBP!$B2261)</f>
        <v>17495.35521</v>
      </c>
      <c r="F2261" s="1">
        <f>value(CHF!$B2261)</f>
        <v>13124.385</v>
      </c>
      <c r="G2261" s="1">
        <f>value(SGD!$B2261)</f>
        <v>9407.9112</v>
      </c>
      <c r="H2261" s="1">
        <f>value(MYR!$B2261)</f>
        <v>3192.35391</v>
      </c>
      <c r="I2261" s="1">
        <f>value(THB!$B2261)</f>
        <v>377.92215</v>
      </c>
      <c r="J2261" s="1">
        <f>value(VND!$B2261)</f>
        <v>0.599946063</v>
      </c>
      <c r="K2261" s="1">
        <f>value(CNY!$B2261)</f>
        <v>1971.333</v>
      </c>
      <c r="L2261" s="1">
        <f>value(HKD!$B2261)</f>
        <v>1671.18696</v>
      </c>
      <c r="M2261" s="1">
        <f>value(TWD!$B2261)</f>
        <v>415.87539</v>
      </c>
      <c r="N2261" s="1">
        <f>value(JPY!$B2261)</f>
        <v>128.6016972</v>
      </c>
      <c r="O2261" s="1">
        <f>value(SAR!$B2261)</f>
        <v>3570.799083</v>
      </c>
      <c r="P2261" s="1">
        <f>value(AED!$B2261)</f>
        <v>3616.04415</v>
      </c>
      <c r="Q2261" s="1">
        <f>value(KWD!$B2261)</f>
        <v>43933.33568</v>
      </c>
    </row>
    <row r="2262">
      <c r="A2262" s="4">
        <f>value(USD!A2262)</f>
        <v>42626.99861</v>
      </c>
      <c r="B2262" s="1">
        <f>value(USD!B2262)</f>
        <v>13241</v>
      </c>
      <c r="C2262" s="1">
        <f>value(AUD!$B2262)</f>
        <v>10054.47722</v>
      </c>
      <c r="D2262" s="1">
        <f>value(EUR!$B2262)</f>
        <v>14777.7992</v>
      </c>
      <c r="E2262" s="1">
        <f>value(GBP!$B2262)</f>
        <v>17408.30792</v>
      </c>
      <c r="F2262" s="1">
        <f>value(CHF!$B2262)</f>
        <v>13088.7708</v>
      </c>
      <c r="G2262" s="1">
        <f>value(SGD!$B2262)</f>
        <v>9405.59468</v>
      </c>
      <c r="H2262" s="1">
        <f>value(MYR!$B2262)</f>
        <v>3176.2476</v>
      </c>
      <c r="I2262" s="1">
        <f>value(THB!$B2262)</f>
        <v>376.83848</v>
      </c>
      <c r="J2262" s="1">
        <f>value(VND!$B2262)</f>
        <v>0.5986747765</v>
      </c>
      <c r="K2262" s="1">
        <f>value(CNY!$B2262)</f>
        <v>1962.00252</v>
      </c>
      <c r="L2262" s="1">
        <f>value(HKD!$B2262)</f>
        <v>1665.77362</v>
      </c>
      <c r="M2262" s="1">
        <f>value(TWD!$B2262)</f>
        <v>414.4433</v>
      </c>
      <c r="N2262" s="1">
        <f>value(JPY!$B2262)</f>
        <v>128.8085712</v>
      </c>
      <c r="O2262" s="1">
        <f>value(SAR!$B2262)</f>
        <v>3555.294367</v>
      </c>
      <c r="P2262" s="1">
        <f>value(AED!$B2262)</f>
        <v>3613.05006</v>
      </c>
      <c r="Q2262" s="1">
        <f>value(KWD!$B2262)</f>
        <v>43915.77332</v>
      </c>
    </row>
    <row r="2263">
      <c r="A2263" s="4">
        <f>value(USD!A2263)</f>
        <v>42627.99861</v>
      </c>
      <c r="B2263" s="1">
        <f>value(USD!B2263)</f>
        <v>13191</v>
      </c>
      <c r="C2263" s="1">
        <f>value(AUD!$B2263)</f>
        <v>10062.05753</v>
      </c>
      <c r="D2263" s="1">
        <f>value(EUR!$B2263)</f>
        <v>14683.98465</v>
      </c>
      <c r="E2263" s="1">
        <f>value(GBP!$B2263)</f>
        <v>17111.9</v>
      </c>
      <c r="F2263" s="1">
        <f>value(CHF!$B2263)</f>
        <v>13040.88</v>
      </c>
      <c r="G2263" s="1">
        <f>value(SGD!$B2263)</f>
        <v>9392.8884</v>
      </c>
      <c r="H2263" s="1">
        <f>value(MYR!$B2263)</f>
        <v>3181.36547</v>
      </c>
      <c r="I2263" s="1">
        <f>value(THB!$B2263)</f>
        <v>376.72506</v>
      </c>
      <c r="J2263" s="1">
        <f>value(VND!$B2263)</f>
        <v>0.5972458111</v>
      </c>
      <c r="K2263" s="1">
        <f>value(CNY!$B2263)</f>
        <v>1960.8528</v>
      </c>
      <c r="L2263" s="1">
        <f>value(HKD!$B2263)</f>
        <v>1684.20384</v>
      </c>
      <c r="M2263" s="1">
        <f>value(TWD!$B2263)</f>
        <v>417.75958</v>
      </c>
      <c r="N2263" s="1">
        <f>value(JPY!$B2263)</f>
        <v>128.73414</v>
      </c>
      <c r="O2263" s="1">
        <f>value(SAR!$B2263)</f>
        <v>3561.252576</v>
      </c>
      <c r="P2263" s="1">
        <f>value(AED!$B2263)</f>
        <v>3625.02642</v>
      </c>
      <c r="Q2263" s="1">
        <f>value(KWD!$B2263)</f>
        <v>43886.97144</v>
      </c>
    </row>
    <row r="2264">
      <c r="A2264" s="4">
        <f>value(USD!A2264)</f>
        <v>42628.99861</v>
      </c>
      <c r="B2264" s="1">
        <f>value(USD!B2264)</f>
        <v>13144</v>
      </c>
      <c r="C2264" s="1">
        <f>value(AUD!$B2264)</f>
        <v>10071.71129</v>
      </c>
      <c r="D2264" s="1">
        <f>value(EUR!$B2264)</f>
        <v>14702.35773</v>
      </c>
      <c r="E2264" s="1">
        <f>value(GBP!$B2264)</f>
        <v>17127.799</v>
      </c>
      <c r="F2264" s="1">
        <f>value(CHF!$B2264)</f>
        <v>13108.656</v>
      </c>
      <c r="G2264" s="1">
        <f>value(SGD!$B2264)</f>
        <v>9360.5952</v>
      </c>
      <c r="H2264" s="1">
        <f>value(MYR!$B2264)</f>
        <v>3184.321338</v>
      </c>
      <c r="I2264" s="1">
        <f>value(THB!$B2264)</f>
        <v>377.0750826</v>
      </c>
      <c r="J2264" s="1">
        <f>value(VND!$B2264)</f>
        <v>0.5988152826</v>
      </c>
      <c r="K2264" s="1">
        <f>value(CNY!$B2264)</f>
        <v>1970.1616</v>
      </c>
      <c r="L2264" s="1">
        <f>value(HKD!$B2264)</f>
        <v>1677.88872</v>
      </c>
      <c r="M2264" s="1">
        <f>value(TWD!$B2264)</f>
        <v>421.35645</v>
      </c>
      <c r="N2264" s="1">
        <f>value(JPY!$B2264)</f>
        <v>128.8537494</v>
      </c>
      <c r="O2264" s="1">
        <f>value(SAR!$B2264)</f>
        <v>3541.272077</v>
      </c>
      <c r="P2264" s="1">
        <f>value(AED!$B2264)</f>
        <v>3646.93982</v>
      </c>
      <c r="Q2264" s="1">
        <f>value(KWD!$B2264)</f>
        <v>43888.4207</v>
      </c>
    </row>
    <row r="2265">
      <c r="A2265" s="4">
        <f>value(USD!A2265)</f>
        <v>42629.99861</v>
      </c>
      <c r="B2265" s="1">
        <f>value(USD!B2265)</f>
        <v>13163</v>
      </c>
      <c r="C2265" s="1">
        <f>value(AUD!$B2265)</f>
        <v>10033.7032</v>
      </c>
      <c r="D2265" s="1">
        <f>value(EUR!$B2265)</f>
        <v>14685.69584</v>
      </c>
      <c r="E2265" s="1">
        <f>value(GBP!$B2265)</f>
        <v>17129.0119</v>
      </c>
      <c r="F2265" s="1">
        <f>value(CHF!$B2265)</f>
        <v>13132.6233</v>
      </c>
      <c r="G2265" s="1">
        <f>value(SGD!$B2265)</f>
        <v>9344.74275</v>
      </c>
      <c r="H2265" s="1">
        <f>value(MYR!$B2265)</f>
        <v>3180.97058</v>
      </c>
      <c r="I2265" s="1">
        <f>value(THB!$B2265)</f>
        <v>376.85669</v>
      </c>
      <c r="J2265" s="1">
        <f>value(VND!$B2265)</f>
        <v>0.5956372006</v>
      </c>
      <c r="K2265" s="1">
        <f>value(CNY!$B2265)</f>
        <v>1795.99012</v>
      </c>
      <c r="L2265" s="1">
        <f>value(HKD!$B2265)</f>
        <v>1681.24116</v>
      </c>
      <c r="M2265" s="1">
        <f>value(TWD!$B2265)</f>
        <v>421.09019</v>
      </c>
      <c r="N2265" s="1">
        <f>value(JPY!$B2265)</f>
        <v>128.6301523</v>
      </c>
      <c r="O2265" s="1">
        <f>value(SAR!$B2265)</f>
        <v>3562.046092</v>
      </c>
      <c r="P2265" s="1">
        <f>value(AED!$B2265)</f>
        <v>3625.98196</v>
      </c>
      <c r="Q2265" s="1">
        <f>value(KWD!$B2265)</f>
        <v>43886.50378</v>
      </c>
    </row>
    <row r="2266">
      <c r="A2266" s="4">
        <f>value(USD!A2266)</f>
        <v>42630.99861</v>
      </c>
      <c r="B2266" s="1">
        <f>value(USD!B2266)</f>
        <v>13175.23</v>
      </c>
      <c r="C2266" s="1">
        <f>value(AUD!$B2266)</f>
        <v>10101.1626</v>
      </c>
      <c r="D2266" s="1">
        <f>value(EUR!$B2266)</f>
        <v>14686.24864</v>
      </c>
      <c r="E2266" s="1">
        <f>value(GBP!$B2266)</f>
        <v>17133.256</v>
      </c>
      <c r="F2266" s="1">
        <f>value(CHF!$B2266)</f>
        <v>13221.0623</v>
      </c>
      <c r="G2266" s="1">
        <f>value(SGD!$B2266)</f>
        <v>9338.01192</v>
      </c>
      <c r="H2266" s="1">
        <f>value(MYR!$B2266)</f>
        <v>3175.56491</v>
      </c>
      <c r="I2266" s="1">
        <f>value(THB!$B2266)</f>
        <v>377.22069</v>
      </c>
      <c r="J2266" s="1">
        <f>value(VND!$B2266)</f>
        <v>0.5975740712</v>
      </c>
      <c r="K2266" s="1">
        <f>value(CNY!$B2266)</f>
        <v>1850.67024</v>
      </c>
      <c r="L2266" s="1">
        <f>value(HKD!$B2266)</f>
        <v>1684.20203</v>
      </c>
      <c r="M2266" s="1">
        <f>value(TWD!$B2266)</f>
        <v>421.09019</v>
      </c>
      <c r="N2266" s="1">
        <f>value(JPY!$B2266)</f>
        <v>128.9697962</v>
      </c>
      <c r="O2266" s="1">
        <f>value(SAR!$B2266)</f>
        <v>3560.539298</v>
      </c>
      <c r="P2266" s="1">
        <f>value(AED!$B2266)</f>
        <v>3629.065759</v>
      </c>
      <c r="Q2266" s="1">
        <f>value(KWD!$B2266)</f>
        <v>43908.22594</v>
      </c>
    </row>
    <row r="2267">
      <c r="A2267" s="4">
        <f>value(USD!A2267)</f>
        <v>42631.99861</v>
      </c>
      <c r="B2267" s="1">
        <f>value(USD!B2267)</f>
        <v>13163</v>
      </c>
      <c r="C2267" s="1">
        <f>value(AUD!$B2267)</f>
        <v>10103.81664</v>
      </c>
      <c r="D2267" s="1">
        <f>value(EUR!$B2267)</f>
        <v>14674.85424</v>
      </c>
      <c r="E2267" s="1">
        <f>value(GBP!$B2267)</f>
        <v>17083.16298</v>
      </c>
      <c r="F2267" s="1">
        <f>value(CHF!$B2267)</f>
        <v>13221.0623</v>
      </c>
      <c r="G2267" s="1">
        <f>value(SGD!$B2267)</f>
        <v>9353.982</v>
      </c>
      <c r="H2267" s="1">
        <f>value(MYR!$B2267)</f>
        <v>3178.9728</v>
      </c>
      <c r="I2267" s="1">
        <f>value(THB!$B2267)</f>
        <v>378.2925</v>
      </c>
      <c r="J2267" s="1">
        <f>value(VND!$B2267)</f>
        <v>0.5955954564</v>
      </c>
      <c r="K2267" s="1">
        <f>value(CNY!$B2267)</f>
        <v>1932.464827</v>
      </c>
      <c r="L2267" s="1">
        <f>value(HKD!$B2267)</f>
        <v>1685.62342</v>
      </c>
      <c r="M2267" s="1">
        <f>value(TWD!$B2267)</f>
        <v>420.89397</v>
      </c>
      <c r="N2267" s="1">
        <f>value(JPY!$B2267)</f>
        <v>129.5457732</v>
      </c>
      <c r="O2267" s="1">
        <f>value(SAR!$B2267)</f>
        <v>3568.892256</v>
      </c>
      <c r="P2267" s="1">
        <f>value(AED!$B2267)</f>
        <v>3628.28144</v>
      </c>
      <c r="Q2267" s="1">
        <f>value(KWD!$B2267)</f>
        <v>43885.11983</v>
      </c>
    </row>
    <row r="2268">
      <c r="A2268" s="4">
        <f>value(USD!A2268)</f>
        <v>42632.99861</v>
      </c>
      <c r="B2268" s="1">
        <f>value(USD!B2268)</f>
        <v>13139</v>
      </c>
      <c r="C2268" s="1">
        <f>value(AUD!$B2268)</f>
        <v>10026.17928</v>
      </c>
      <c r="D2268" s="1">
        <f>value(EUR!$B2268)</f>
        <v>14612.68548</v>
      </c>
      <c r="E2268" s="1">
        <f>value(GBP!$B2268)</f>
        <v>17018.88314</v>
      </c>
      <c r="F2268" s="1">
        <f>value(CHF!$B2268)</f>
        <v>13224.9812</v>
      </c>
      <c r="G2268" s="1">
        <f>value(SGD!$B2268)</f>
        <v>9360.504</v>
      </c>
      <c r="H2268" s="1">
        <f>value(MYR!$B2268)</f>
        <v>3181.97344</v>
      </c>
      <c r="I2268" s="1">
        <f>value(THB!$B2268)</f>
        <v>376.59272</v>
      </c>
      <c r="J2268" s="1">
        <f>value(VND!$B2268)</f>
        <v>0.6010542342</v>
      </c>
      <c r="K2268" s="1">
        <f>value(CNY!$B2268)</f>
        <v>1936.854891</v>
      </c>
      <c r="L2268" s="1">
        <f>value(HKD!$B2268)</f>
        <v>1687.16604</v>
      </c>
      <c r="M2268" s="1">
        <f>value(TWD!$B2268)</f>
        <v>423.74352</v>
      </c>
      <c r="N2268" s="1">
        <f>value(JPY!$B2268)</f>
        <v>130.051151</v>
      </c>
      <c r="O2268" s="1">
        <f>value(SAR!$B2268)</f>
        <v>3578.427431</v>
      </c>
      <c r="P2268" s="1">
        <f>value(AED!$B2268)</f>
        <v>3618.90528</v>
      </c>
      <c r="Q2268" s="1">
        <f>value(KWD!$B2268)</f>
        <v>43862.01371</v>
      </c>
    </row>
    <row r="2269">
      <c r="A2269" s="4">
        <f>value(USD!A2269)</f>
        <v>42633.99861</v>
      </c>
      <c r="B2269" s="1">
        <f>value(USD!B2269)</f>
        <v>13158</v>
      </c>
      <c r="C2269" s="1">
        <f>value(AUD!$B2269)</f>
        <v>10031.16708</v>
      </c>
      <c r="D2269" s="1">
        <f>value(EUR!$B2269)</f>
        <v>14641.06518</v>
      </c>
      <c r="E2269" s="1">
        <f>value(GBP!$B2269)</f>
        <v>17089.79832</v>
      </c>
      <c r="F2269" s="1">
        <f>value(CHF!$B2269)</f>
        <v>13153.5404</v>
      </c>
      <c r="G2269" s="1">
        <f>value(SGD!$B2269)</f>
        <v>9329.604</v>
      </c>
      <c r="H2269" s="1">
        <f>value(MYR!$B2269)</f>
        <v>3176.93964</v>
      </c>
      <c r="I2269" s="1">
        <f>value(THB!$B2269)</f>
        <v>377.09994</v>
      </c>
      <c r="J2269" s="1">
        <f>value(VND!$B2269)</f>
        <v>0.5959324423</v>
      </c>
      <c r="K2269" s="1">
        <f>value(CNY!$B2269)</f>
        <v>1934.702851</v>
      </c>
      <c r="L2269" s="1">
        <f>value(HKD!$B2269)</f>
        <v>1681.75186</v>
      </c>
      <c r="M2269" s="1">
        <f>value(TWD!$B2269)</f>
        <v>423.0268</v>
      </c>
      <c r="N2269" s="1">
        <f>value(JPY!$B2269)</f>
        <v>129.5188734</v>
      </c>
      <c r="O2269" s="1">
        <f>value(SAR!$B2269)</f>
        <v>3565.15227</v>
      </c>
      <c r="P2269" s="1">
        <f>value(AED!$B2269)</f>
        <v>3618.90528</v>
      </c>
      <c r="Q2269" s="1">
        <f>value(KWD!$B2269)</f>
        <v>43862.01371</v>
      </c>
    </row>
    <row r="2270">
      <c r="A2270" s="4">
        <f>value(USD!A2270)</f>
        <v>42634.99861</v>
      </c>
      <c r="B2270" s="1">
        <f>value(USD!B2270)</f>
        <v>13058</v>
      </c>
      <c r="C2270" s="1">
        <f>value(AUD!$B2270)</f>
        <v>10032.8148</v>
      </c>
      <c r="D2270" s="1">
        <f>value(EUR!$B2270)</f>
        <v>14683.94574</v>
      </c>
      <c r="E2270" s="1">
        <f>value(GBP!$B2270)</f>
        <v>16968.6732</v>
      </c>
      <c r="F2270" s="1">
        <f>value(CHF!$B2270)</f>
        <v>13367.8614</v>
      </c>
      <c r="G2270" s="1">
        <f>value(SGD!$B2270)</f>
        <v>9342.59024</v>
      </c>
      <c r="H2270" s="1">
        <f>value(MYR!$B2270)</f>
        <v>3161.15446</v>
      </c>
      <c r="I2270" s="1">
        <f>value(THB!$B2270)</f>
        <v>377.12523</v>
      </c>
      <c r="J2270" s="1">
        <f>value(VND!$B2270)</f>
        <v>0.5918412569</v>
      </c>
      <c r="K2270" s="1">
        <f>value(CNY!$B2270)</f>
        <v>1935.591553</v>
      </c>
      <c r="L2270" s="1">
        <f>value(HKD!$B2270)</f>
        <v>1677.8874</v>
      </c>
      <c r="M2270" s="1">
        <f>value(TWD!$B2270)</f>
        <v>423.14614</v>
      </c>
      <c r="N2270" s="1">
        <f>value(JPY!$B2270)</f>
        <v>129.5019</v>
      </c>
      <c r="O2270" s="1">
        <f>value(SAR!$B2270)</f>
        <v>3559.312938</v>
      </c>
      <c r="P2270" s="1">
        <f>value(AED!$B2270)</f>
        <v>3620.53836</v>
      </c>
      <c r="Q2270" s="1">
        <f>value(KWD!$B2270)</f>
        <v>43951.13731</v>
      </c>
    </row>
    <row r="2271">
      <c r="A2271" s="4">
        <f>value(USD!A2271)</f>
        <v>42635.99861</v>
      </c>
      <c r="B2271" s="1">
        <f>value(USD!B2271)</f>
        <v>13062</v>
      </c>
      <c r="C2271" s="1">
        <f>value(AUD!$B2271)</f>
        <v>10151.9792</v>
      </c>
      <c r="D2271" s="1">
        <f>value(EUR!$B2271)</f>
        <v>14674.8238</v>
      </c>
      <c r="E2271" s="1">
        <f>value(GBP!$B2271)</f>
        <v>16959.5504</v>
      </c>
      <c r="F2271" s="1">
        <f>value(CHF!$B2271)</f>
        <v>13406.0696</v>
      </c>
      <c r="G2271" s="1">
        <f>value(SGD!$B2271)</f>
        <v>9362.69312</v>
      </c>
      <c r="H2271" s="1">
        <f>value(MYR!$B2271)</f>
        <v>3172.7228</v>
      </c>
      <c r="I2271" s="1">
        <f>value(THB!$B2271)</f>
        <v>369.71506</v>
      </c>
      <c r="J2271" s="1">
        <f>value(VND!$B2271)</f>
        <v>0.5925695469</v>
      </c>
      <c r="K2271" s="1">
        <f>value(CNY!$B2271)</f>
        <v>1933.919157</v>
      </c>
      <c r="L2271" s="1">
        <f>value(HKD!$B2271)</f>
        <v>1671.70164</v>
      </c>
      <c r="M2271" s="1">
        <f>value(TWD!$B2271)</f>
        <v>424.69203</v>
      </c>
      <c r="N2271" s="1">
        <f>value(JPY!$B2271)</f>
        <v>129.4722</v>
      </c>
      <c r="O2271" s="1">
        <f>value(SAR!$B2271)</f>
        <v>3569.960147</v>
      </c>
      <c r="P2271" s="1">
        <f>value(AED!$B2271)</f>
        <v>3620.67138</v>
      </c>
      <c r="Q2271" s="1">
        <f>value(KWD!$B2271)</f>
        <v>43964.3408</v>
      </c>
    </row>
    <row r="2272">
      <c r="A2272" s="4">
        <f>value(USD!A2272)</f>
        <v>42636.99861</v>
      </c>
      <c r="B2272" s="1">
        <f>value(USD!B2272)</f>
        <v>13081</v>
      </c>
      <c r="C2272" s="1">
        <f>value(AUD!$B2272)</f>
        <v>10038.7074</v>
      </c>
      <c r="D2272" s="1">
        <f>value(EUR!$B2272)</f>
        <v>14668.30875</v>
      </c>
      <c r="E2272" s="1">
        <f>value(GBP!$B2272)</f>
        <v>16939.26969</v>
      </c>
      <c r="F2272" s="1">
        <f>value(CHF!$B2272)</f>
        <v>13409.0748</v>
      </c>
      <c r="G2272" s="1">
        <f>value(SGD!$B2272)</f>
        <v>9357.95676</v>
      </c>
      <c r="H2272" s="1">
        <f>value(MYR!$B2272)</f>
        <v>3166.6578</v>
      </c>
      <c r="I2272" s="1">
        <f>value(THB!$B2272)</f>
        <v>369.53043</v>
      </c>
      <c r="J2272" s="1">
        <f>value(VND!$B2272)</f>
        <v>0.5976222476</v>
      </c>
      <c r="K2272" s="1">
        <f>value(CNY!$B2272)</f>
        <v>1925.212672</v>
      </c>
      <c r="L2272" s="1">
        <f>value(HKD!$B2272)</f>
        <v>1675.95435</v>
      </c>
      <c r="M2272" s="1">
        <f>value(TWD!$B2272)</f>
        <v>424.5581</v>
      </c>
      <c r="N2272" s="1">
        <f>value(JPY!$B2272)</f>
        <v>129.3447876</v>
      </c>
      <c r="O2272" s="1">
        <f>value(SAR!$B2272)</f>
        <v>3570.666577</v>
      </c>
      <c r="P2272" s="1">
        <f>value(AED!$B2272)</f>
        <v>3618.6331</v>
      </c>
      <c r="Q2272" s="1">
        <f>value(KWD!$B2272)</f>
        <v>43881.81895</v>
      </c>
    </row>
    <row r="2273">
      <c r="A2273" s="4">
        <f>value(USD!A2273)</f>
        <v>42637.99861</v>
      </c>
      <c r="B2273" s="1">
        <f>value(USD!B2273)</f>
        <v>13078</v>
      </c>
      <c r="C2273" s="1">
        <f>value(AUD!$B2273)</f>
        <v>9933.57456</v>
      </c>
      <c r="D2273" s="1">
        <f>value(EUR!$B2273)</f>
        <v>14667.31032</v>
      </c>
      <c r="E2273" s="1">
        <f>value(GBP!$B2273)</f>
        <v>16906.75857</v>
      </c>
      <c r="F2273" s="1">
        <f>value(CHF!$B2273)</f>
        <v>13535.2386</v>
      </c>
      <c r="G2273" s="1">
        <f>value(SGD!$B2273)</f>
        <v>9375.05384</v>
      </c>
      <c r="H2273" s="1">
        <f>value(MYR!$B2273)</f>
        <v>3150.61357</v>
      </c>
      <c r="I2273" s="1">
        <f>value(THB!$B2273)</f>
        <v>376.56632</v>
      </c>
      <c r="J2273" s="1">
        <f>value(VND!$B2273)</f>
        <v>0.5927094885</v>
      </c>
      <c r="K2273" s="1">
        <f>value(CNY!$B2273)</f>
        <v>1926.955489</v>
      </c>
      <c r="L2273" s="1">
        <f>value(HKD!$B2273)</f>
        <v>1678.27401</v>
      </c>
      <c r="M2273" s="1">
        <f>value(TWD!$B2273)</f>
        <v>424.83614</v>
      </c>
      <c r="N2273" s="1">
        <f>value(JPY!$B2273)</f>
        <v>129.8866946</v>
      </c>
      <c r="O2273" s="1">
        <f>value(SAR!$B2273)</f>
        <v>3528.579365</v>
      </c>
      <c r="P2273" s="1">
        <f>value(AED!$B2273)</f>
        <v>3618.736321</v>
      </c>
      <c r="Q2273" s="1">
        <f>value(KWD!$B2273)</f>
        <v>43862.01371</v>
      </c>
    </row>
    <row r="2274">
      <c r="A2274" s="4">
        <f>value(USD!A2274)</f>
        <v>42638.99861</v>
      </c>
      <c r="B2274" s="1">
        <f>value(USD!B2274)</f>
        <v>13053</v>
      </c>
      <c r="C2274" s="1">
        <f>value(AUD!$B2274)</f>
        <v>9938.36558</v>
      </c>
      <c r="D2274" s="1">
        <f>value(EUR!$B2274)</f>
        <v>14488.35305</v>
      </c>
      <c r="E2274" s="1">
        <f>value(GBP!$B2274)</f>
        <v>16805.14617</v>
      </c>
      <c r="F2274" s="1">
        <f>value(CHF!$B2274)</f>
        <v>13540.4838</v>
      </c>
      <c r="G2274" s="1">
        <f>value(SGD!$B2274)</f>
        <v>9383.02227</v>
      </c>
      <c r="H2274" s="1">
        <f>value(MYR!$B2274)</f>
        <v>3123.07226</v>
      </c>
      <c r="I2274" s="1">
        <f>value(THB!$B2274)</f>
        <v>373.3013</v>
      </c>
      <c r="J2274" s="1">
        <f>value(VND!$B2274)</f>
        <v>0.5957171486</v>
      </c>
      <c r="K2274" s="1">
        <f>value(CNY!$B2274)</f>
        <v>1943.567243</v>
      </c>
      <c r="L2274" s="1">
        <f>value(HKD!$B2274)</f>
        <v>1681.6294</v>
      </c>
      <c r="M2274" s="1">
        <f>value(TWD!$B2274)</f>
        <v>424.371</v>
      </c>
      <c r="N2274" s="1">
        <f>value(JPY!$B2274)</f>
        <v>128.5680678</v>
      </c>
      <c r="O2274" s="1">
        <f>value(SAR!$B2274)</f>
        <v>3544.969298</v>
      </c>
      <c r="P2274" s="1">
        <f>value(AED!$B2274)</f>
        <v>3617.39224</v>
      </c>
      <c r="Q2274" s="1">
        <f>value(KWD!$B2274)</f>
        <v>43823.59199</v>
      </c>
    </row>
    <row r="2275">
      <c r="A2275" s="4">
        <f>value(USD!A2275)</f>
        <v>42639.99861</v>
      </c>
      <c r="B2275" s="1">
        <f>value(USD!B2275)</f>
        <v>13039</v>
      </c>
      <c r="C2275" s="1">
        <f>value(AUD!$B2275)</f>
        <v>9922.15114</v>
      </c>
      <c r="D2275" s="1">
        <f>value(EUR!$B2275)</f>
        <v>14501.2383</v>
      </c>
      <c r="E2275" s="1">
        <f>value(GBP!$B2275)</f>
        <v>16846.78743</v>
      </c>
      <c r="F2275" s="1">
        <f>value(CHF!$B2275)</f>
        <v>13457.3015</v>
      </c>
      <c r="G2275" s="1">
        <f>value(SGD!$B2275)</f>
        <v>9390.59881</v>
      </c>
      <c r="H2275" s="1">
        <f>value(MYR!$B2275)</f>
        <v>3144.71298</v>
      </c>
      <c r="I2275" s="1">
        <f>value(THB!$B2275)</f>
        <v>373.28769</v>
      </c>
      <c r="J2275" s="1">
        <f>value(VND!$B2275)</f>
        <v>0.596128043</v>
      </c>
      <c r="K2275" s="1">
        <f>value(CNY!$B2275)</f>
        <v>1934.009161</v>
      </c>
      <c r="L2275" s="1">
        <f>value(HKD!$B2275)</f>
        <v>1681.7535</v>
      </c>
      <c r="M2275" s="1">
        <f>value(TWD!$B2275)</f>
        <v>425.20954</v>
      </c>
      <c r="N2275" s="1">
        <f>value(JPY!$B2275)</f>
        <v>127.9812129</v>
      </c>
      <c r="O2275" s="1">
        <f>value(SAR!$B2275)</f>
        <v>3559.611449</v>
      </c>
      <c r="P2275" s="1">
        <f>value(AED!$B2275)</f>
        <v>3624.0767</v>
      </c>
      <c r="Q2275" s="1">
        <f>value(KWD!$B2275)</f>
        <v>43882.96461</v>
      </c>
    </row>
    <row r="2276">
      <c r="A2276" s="4">
        <f>value(USD!A2276)</f>
        <v>42640.99861</v>
      </c>
      <c r="B2276" s="1">
        <f>value(USD!B2276)</f>
        <v>12917</v>
      </c>
      <c r="C2276" s="1">
        <f>value(AUD!$B2276)</f>
        <v>9936.82045</v>
      </c>
      <c r="D2276" s="1">
        <f>value(EUR!$B2276)</f>
        <v>14587.80564</v>
      </c>
      <c r="E2276" s="1">
        <f>value(GBP!$B2276)</f>
        <v>16855.91893</v>
      </c>
      <c r="F2276" s="1">
        <f>value(CHF!$B2276)</f>
        <v>13429.8794</v>
      </c>
      <c r="G2276" s="1">
        <f>value(SGD!$B2276)</f>
        <v>9347.10777</v>
      </c>
      <c r="H2276" s="1">
        <f>value(MYR!$B2276)</f>
        <v>3143.99537</v>
      </c>
      <c r="I2276" s="1">
        <f>value(THB!$B2276)</f>
        <v>374.74646</v>
      </c>
      <c r="J2276" s="1">
        <f>value(VND!$B2276)</f>
        <v>0.5953316017</v>
      </c>
      <c r="K2276" s="1">
        <f>value(CNY!$B2276)</f>
        <v>1927.051103</v>
      </c>
      <c r="L2276" s="1">
        <f>value(HKD!$B2276)</f>
        <v>1677.2468</v>
      </c>
      <c r="M2276" s="1">
        <f>value(TWD!$B2276)</f>
        <v>425.04672</v>
      </c>
      <c r="N2276" s="1">
        <f>value(JPY!$B2276)</f>
        <v>128.4592376</v>
      </c>
      <c r="O2276" s="1">
        <f>value(SAR!$B2276)</f>
        <v>3559.611449</v>
      </c>
      <c r="P2276" s="1">
        <f>value(AED!$B2276)</f>
        <v>3625.16542</v>
      </c>
      <c r="Q2276" s="1">
        <f>value(KWD!$B2276)</f>
        <v>43882.96461</v>
      </c>
    </row>
    <row r="2277">
      <c r="A2277" s="4">
        <f>value(USD!A2277)</f>
        <v>42641.99861</v>
      </c>
      <c r="B2277" s="1">
        <f>value(USD!B2277)</f>
        <v>12921</v>
      </c>
      <c r="C2277" s="1">
        <f>value(AUD!$B2277)</f>
        <v>9946.59185</v>
      </c>
      <c r="D2277" s="1">
        <f>value(EUR!$B2277)</f>
        <v>14627.86614</v>
      </c>
      <c r="E2277" s="1">
        <f>value(GBP!$B2277)</f>
        <v>16885.665</v>
      </c>
      <c r="F2277" s="1">
        <f>value(CHF!$B2277)</f>
        <v>13310.9487</v>
      </c>
      <c r="G2277" s="1">
        <f>value(SGD!$B2277)</f>
        <v>9383.18784</v>
      </c>
      <c r="H2277" s="1">
        <f>value(MYR!$B2277)</f>
        <v>3151.73052</v>
      </c>
      <c r="I2277" s="1">
        <f>value(THB!$B2277)</f>
        <v>375.97446</v>
      </c>
      <c r="J2277" s="1">
        <f>value(VND!$B2277)</f>
        <v>0.5952252867</v>
      </c>
      <c r="K2277" s="1">
        <f>value(CNY!$B2277)</f>
        <v>1927.051103</v>
      </c>
      <c r="L2277" s="1">
        <f>value(HKD!$B2277)</f>
        <v>1672.6064</v>
      </c>
      <c r="M2277" s="1">
        <f>value(TWD!$B2277)</f>
        <v>426.77756</v>
      </c>
      <c r="N2277" s="1">
        <f>value(JPY!$B2277)</f>
        <v>128.44818</v>
      </c>
      <c r="O2277" s="1">
        <f>value(SAR!$B2277)</f>
        <v>3555.235502</v>
      </c>
      <c r="P2277" s="1">
        <f>value(AED!$B2277)</f>
        <v>3618.49386</v>
      </c>
      <c r="Q2277" s="1">
        <f>value(KWD!$B2277)</f>
        <v>43874.47956</v>
      </c>
    </row>
    <row r="2278">
      <c r="A2278" s="4">
        <f>value(USD!A2278)</f>
        <v>42642.99861</v>
      </c>
      <c r="B2278" s="1">
        <f>value(USD!B2278)</f>
        <v>13003</v>
      </c>
      <c r="C2278" s="1">
        <f>value(AUD!$B2278)</f>
        <v>9946.82433</v>
      </c>
      <c r="D2278" s="1">
        <f>value(EUR!$B2278)</f>
        <v>14615.0784</v>
      </c>
      <c r="E2278" s="1">
        <f>value(GBP!$B2278)</f>
        <v>16866.1544</v>
      </c>
      <c r="F2278" s="1">
        <f>value(CHF!$B2278)</f>
        <v>13339.3098</v>
      </c>
      <c r="G2278" s="1">
        <f>value(SGD!$B2278)</f>
        <v>9421.8212</v>
      </c>
      <c r="H2278" s="1">
        <f>value(MYR!$B2278)</f>
        <v>3150.33532</v>
      </c>
      <c r="I2278" s="1">
        <f>value(THB!$B2278)</f>
        <v>375.65644</v>
      </c>
      <c r="J2278" s="1">
        <f>value(VND!$B2278)</f>
        <v>0.5876302357</v>
      </c>
      <c r="K2278" s="1">
        <f>value(CNY!$B2278)</f>
        <v>1923.314558</v>
      </c>
      <c r="L2278" s="1">
        <f>value(HKD!$B2278)</f>
        <v>1678.92384</v>
      </c>
      <c r="M2278" s="1">
        <f>value(TWD!$B2278)</f>
        <v>425.95473</v>
      </c>
      <c r="N2278" s="1">
        <f>value(JPY!$B2278)</f>
        <v>128.42844</v>
      </c>
      <c r="O2278" s="1">
        <f>value(SAR!$B2278)</f>
        <v>3559.566274</v>
      </c>
      <c r="P2278" s="1">
        <f>value(AED!$B2278)</f>
        <v>3616.86072</v>
      </c>
      <c r="Q2278" s="1">
        <f>value(KWD!$B2278)</f>
        <v>43809.67181</v>
      </c>
    </row>
    <row r="2279">
      <c r="A2279" s="4">
        <f>value(USD!A2279)</f>
        <v>42643.99861</v>
      </c>
      <c r="B2279" s="1">
        <f>value(USD!B2279)</f>
        <v>13014</v>
      </c>
      <c r="C2279" s="1">
        <f>value(AUD!$B2279)</f>
        <v>9953.71992</v>
      </c>
      <c r="D2279" s="1">
        <f>value(EUR!$B2279)</f>
        <v>14562.89256</v>
      </c>
      <c r="E2279" s="1">
        <f>value(GBP!$B2279)</f>
        <v>16764.00072</v>
      </c>
      <c r="F2279" s="1">
        <f>value(CHF!$B2279)</f>
        <v>13763.2852</v>
      </c>
      <c r="G2279" s="1">
        <f>value(SGD!$B2279)</f>
        <v>9438.49368</v>
      </c>
      <c r="H2279" s="1">
        <f>value(MYR!$B2279)</f>
        <v>3139.19826</v>
      </c>
      <c r="I2279" s="1">
        <f>value(THB!$B2279)</f>
        <v>374.19876</v>
      </c>
      <c r="J2279" s="1">
        <f>value(VND!$B2279)</f>
        <v>0.5855999941</v>
      </c>
      <c r="K2279" s="1">
        <f>value(CNY!$B2279)</f>
        <v>1922.910969</v>
      </c>
      <c r="L2279" s="1">
        <f>value(HKD!$B2279)</f>
        <v>1683.18435</v>
      </c>
      <c r="M2279" s="1">
        <f>value(TWD!$B2279)</f>
        <v>412.7004126</v>
      </c>
      <c r="N2279" s="1">
        <f>value(JPY!$B2279)</f>
        <v>127.7151</v>
      </c>
      <c r="O2279" s="1">
        <f>value(SAR!$B2279)</f>
        <v>3553.158414</v>
      </c>
      <c r="P2279" s="1">
        <f>value(AED!$B2279)</f>
        <v>3616.31634</v>
      </c>
      <c r="Q2279" s="1">
        <f>value(KWD!$B2279)</f>
        <v>43988.09569</v>
      </c>
    </row>
    <row r="2280">
      <c r="A2280" s="4">
        <f>value(USD!A2280)</f>
        <v>42644.99861</v>
      </c>
      <c r="B2280" s="1">
        <f>value(USD!B2280)</f>
        <v>13012</v>
      </c>
      <c r="C2280" s="1">
        <f>value(AUD!$B2280)</f>
        <v>9951.2352</v>
      </c>
      <c r="D2280" s="1">
        <f>value(EUR!$B2280)</f>
        <v>14530.27238</v>
      </c>
      <c r="E2280" s="1">
        <f>value(GBP!$B2280)</f>
        <v>16661.09556</v>
      </c>
      <c r="F2280" s="1">
        <f>value(CHF!$B2280)</f>
        <v>13514.2886</v>
      </c>
      <c r="G2280" s="1">
        <f>value(SGD!$B2280)</f>
        <v>9477.55188</v>
      </c>
      <c r="H2280" s="1">
        <f>value(MYR!$B2280)</f>
        <v>3153.0065</v>
      </c>
      <c r="I2280" s="1">
        <f>value(THB!$B2280)</f>
        <v>373.69446</v>
      </c>
      <c r="J2280" s="1">
        <f>value(VND!$B2280)</f>
        <v>0.5911471143</v>
      </c>
      <c r="K2280" s="1">
        <f>value(CNY!$B2280)</f>
        <v>1931.134671</v>
      </c>
      <c r="L2280" s="1">
        <f>value(HKD!$B2280)</f>
        <v>1684.08196</v>
      </c>
      <c r="M2280" s="1">
        <f>value(TWD!$B2280)</f>
        <v>422.4342</v>
      </c>
      <c r="N2280" s="1">
        <f>value(JPY!$B2280)</f>
        <v>127.28684</v>
      </c>
      <c r="O2280" s="1">
        <f>value(SAR!$B2280)</f>
        <v>3557.946372</v>
      </c>
      <c r="P2280" s="1">
        <f>value(AED!$B2280)</f>
        <v>3621.21576</v>
      </c>
      <c r="Q2280" s="1">
        <f>value(KWD!$B2280)</f>
        <v>43922.01277</v>
      </c>
    </row>
    <row r="2281">
      <c r="A2281" s="4">
        <f>value(USD!A2281)</f>
        <v>42645.99861</v>
      </c>
      <c r="B2281" s="1">
        <f>value(USD!B2281)</f>
        <v>12966</v>
      </c>
      <c r="C2281" s="1">
        <f>value(AUD!$B2281)</f>
        <v>9941.93292</v>
      </c>
      <c r="D2281" s="1">
        <f>value(EUR!$B2281)</f>
        <v>14604.88418</v>
      </c>
      <c r="E2281" s="1">
        <f>value(GBP!$B2281)</f>
        <v>16587.94176</v>
      </c>
      <c r="F2281" s="1">
        <f>value(CHF!$B2281)</f>
        <v>13686.48292</v>
      </c>
      <c r="G2281" s="1">
        <f>value(SGD!$B2281)</f>
        <v>9472.70007</v>
      </c>
      <c r="H2281" s="1">
        <f>value(MYR!$B2281)</f>
        <v>3139.03759</v>
      </c>
      <c r="I2281" s="1">
        <f>value(THB!$B2281)</f>
        <v>374.64125</v>
      </c>
      <c r="J2281" s="1">
        <f>value(VND!$B2281)</f>
        <v>0.5865780666</v>
      </c>
      <c r="K2281" s="1">
        <f>value(CNY!$B2281)</f>
        <v>1936.064672</v>
      </c>
      <c r="L2281" s="1">
        <f>value(HKD!$B2281)</f>
        <v>1684.34322</v>
      </c>
      <c r="M2281" s="1">
        <f>value(TWD!$B2281)</f>
        <v>424.68192</v>
      </c>
      <c r="N2281" s="1">
        <f>value(JPY!$B2281)</f>
        <v>126.6300456</v>
      </c>
      <c r="O2281" s="1">
        <f>value(SAR!$B2281)</f>
        <v>3555.733531</v>
      </c>
      <c r="P2281" s="1">
        <f>value(AED!$B2281)</f>
        <v>3621.74792</v>
      </c>
      <c r="Q2281" s="1">
        <f>value(KWD!$B2281)</f>
        <v>43837.81964</v>
      </c>
    </row>
    <row r="2282">
      <c r="A2282" s="4">
        <f>value(USD!A2282)</f>
        <v>42646.99861</v>
      </c>
      <c r="B2282" s="1">
        <f>value(USD!B2282)</f>
        <v>12962</v>
      </c>
      <c r="C2282" s="1">
        <f>value(AUD!$B2282)</f>
        <v>9879.21315</v>
      </c>
      <c r="D2282" s="1">
        <f>value(EUR!$B2282)</f>
        <v>14583.35826</v>
      </c>
      <c r="E2282" s="1">
        <f>value(GBP!$B2282)</f>
        <v>16597.53504</v>
      </c>
      <c r="F2282" s="1">
        <f>value(CHF!$B2282)</f>
        <v>13479.4226</v>
      </c>
      <c r="G2282" s="1">
        <f>value(SGD!$B2282)</f>
        <v>9460.8987</v>
      </c>
      <c r="H2282" s="1">
        <f>value(MYR!$B2282)</f>
        <v>3140.53848</v>
      </c>
      <c r="I2282" s="1">
        <f>value(THB!$B2282)</f>
        <v>373.76208</v>
      </c>
      <c r="J2282" s="1">
        <f>value(VND!$B2282)</f>
        <v>0.5930596513</v>
      </c>
      <c r="K2282" s="1">
        <f>value(CNY!$B2282)</f>
        <v>1937.784505</v>
      </c>
      <c r="L2282" s="1">
        <f>value(HKD!$B2282)</f>
        <v>1684.34322</v>
      </c>
      <c r="M2282" s="1">
        <f>value(TWD!$B2282)</f>
        <v>425.7055</v>
      </c>
      <c r="N2282" s="1">
        <f>value(JPY!$B2282)</f>
        <v>125.760789</v>
      </c>
      <c r="O2282" s="1">
        <f>value(SAR!$B2282)</f>
        <v>3548.679872</v>
      </c>
      <c r="P2282" s="1">
        <f>value(AED!$B2282)</f>
        <v>3615.49977</v>
      </c>
      <c r="Q2282" s="1">
        <f>value(KWD!$B2282)</f>
        <v>43811.4292</v>
      </c>
    </row>
    <row r="2283">
      <c r="A2283" s="4">
        <f>value(USD!A2283)</f>
        <v>42647.99861</v>
      </c>
      <c r="B2283" s="1">
        <f>value(USD!B2283)</f>
        <v>13031</v>
      </c>
      <c r="C2283" s="1">
        <f>value(AUD!$B2283)</f>
        <v>9791.92225</v>
      </c>
      <c r="D2283" s="1">
        <f>value(EUR!$B2283)</f>
        <v>14488.8705</v>
      </c>
      <c r="E2283" s="1">
        <f>value(GBP!$B2283)</f>
        <v>16114.88565</v>
      </c>
      <c r="F2283" s="1">
        <f>value(CHF!$B2283)</f>
        <v>13495.3393</v>
      </c>
      <c r="G2283" s="1">
        <f>value(SGD!$B2283)</f>
        <v>9413.74084</v>
      </c>
      <c r="H2283" s="1">
        <f>value(MYR!$B2283)</f>
        <v>3127.7025</v>
      </c>
      <c r="I2283" s="1">
        <f>value(THB!$B2283)</f>
        <v>373.11345</v>
      </c>
      <c r="J2283" s="1">
        <f>value(VND!$B2283)</f>
        <v>0.5913920823</v>
      </c>
      <c r="K2283" s="1">
        <f>value(CNY!$B2283)</f>
        <v>1936.595311</v>
      </c>
      <c r="L2283" s="1">
        <f>value(HKD!$B2283)</f>
        <v>1677.76609</v>
      </c>
      <c r="M2283" s="1">
        <f>value(TWD!$B2283)</f>
        <v>426.7184</v>
      </c>
      <c r="N2283" s="1">
        <f>value(JPY!$B2283)</f>
        <v>125.2992735</v>
      </c>
      <c r="O2283" s="1">
        <f>value(SAR!$B2283)</f>
        <v>3548.679872</v>
      </c>
      <c r="P2283" s="1">
        <f>value(AED!$B2283)</f>
        <v>3608.83462</v>
      </c>
      <c r="Q2283" s="1">
        <f>value(KWD!$B2283)</f>
        <v>43857.61247</v>
      </c>
    </row>
    <row r="2284">
      <c r="A2284" s="4">
        <f>value(USD!A2284)</f>
        <v>42648.99861</v>
      </c>
      <c r="B2284" s="1">
        <f>value(USD!B2284)</f>
        <v>13014</v>
      </c>
      <c r="C2284" s="1">
        <f>value(AUD!$B2284)</f>
        <v>9791.2518</v>
      </c>
      <c r="D2284" s="1">
        <f>value(EUR!$B2284)</f>
        <v>14527.00116</v>
      </c>
      <c r="E2284" s="1">
        <f>value(GBP!$B2284)</f>
        <v>16128.91966</v>
      </c>
      <c r="F2284" s="1">
        <f>value(CHF!$B2284)</f>
        <v>13293.42989</v>
      </c>
      <c r="G2284" s="1">
        <f>value(SGD!$B2284)</f>
        <v>9398.6487</v>
      </c>
      <c r="H2284" s="1">
        <f>value(MYR!$B2284)</f>
        <v>3123.4168</v>
      </c>
      <c r="I2284" s="1">
        <f>value(THB!$B2284)</f>
        <v>371.61915</v>
      </c>
      <c r="J2284" s="1">
        <f>value(VND!$B2284)</f>
        <v>0.5923743129</v>
      </c>
      <c r="K2284" s="1">
        <f>value(CNY!$B2284)</f>
        <v>1934.113698</v>
      </c>
      <c r="L2284" s="1">
        <f>value(HKD!$B2284)</f>
        <v>1681.11972</v>
      </c>
      <c r="M2284" s="1">
        <f>value(TWD!$B2284)</f>
        <v>428.94044</v>
      </c>
      <c r="N2284" s="1">
        <f>value(JPY!$B2284)</f>
        <v>125.94841</v>
      </c>
      <c r="O2284" s="1">
        <f>value(SAR!$B2284)</f>
        <v>3552.568408</v>
      </c>
      <c r="P2284" s="1">
        <f>value(AED!$B2284)</f>
        <v>3623.53234</v>
      </c>
      <c r="Q2284" s="1">
        <f>value(KWD!$B2284)</f>
        <v>43991.39984</v>
      </c>
    </row>
    <row r="2285">
      <c r="A2285" s="4">
        <f>value(USD!A2285)</f>
        <v>42649.99861</v>
      </c>
      <c r="B2285" s="1">
        <f>value(USD!B2285)</f>
        <v>13005</v>
      </c>
      <c r="C2285" s="1">
        <f>value(AUD!$B2285)</f>
        <v>9756.60849</v>
      </c>
      <c r="D2285" s="1">
        <f>value(EUR!$B2285)</f>
        <v>14527.99294</v>
      </c>
      <c r="E2285" s="1">
        <f>value(GBP!$B2285)</f>
        <v>16134.03597</v>
      </c>
      <c r="F2285" s="1">
        <f>value(CHF!$B2285)</f>
        <v>13352.09208</v>
      </c>
      <c r="G2285" s="1">
        <f>value(SGD!$B2285)</f>
        <v>9389.80212</v>
      </c>
      <c r="H2285" s="1">
        <f>value(MYR!$B2285)</f>
        <v>3123.214528</v>
      </c>
      <c r="I2285" s="1">
        <f>value(THB!$B2285)</f>
        <v>371.595084</v>
      </c>
      <c r="J2285" s="1">
        <f>value(VND!$B2285)</f>
        <v>0.5921558066</v>
      </c>
      <c r="K2285" s="1">
        <f>value(CNY!$B2285)</f>
        <v>1935.409538</v>
      </c>
      <c r="L2285" s="1">
        <f>value(HKD!$B2285)</f>
        <v>1682.02078</v>
      </c>
      <c r="M2285" s="1">
        <f>value(TWD!$B2285)</f>
        <v>418.45156</v>
      </c>
      <c r="N2285" s="1">
        <f>value(JPY!$B2285)</f>
        <v>125.9402536</v>
      </c>
      <c r="O2285" s="1">
        <f>value(SAR!$B2285)</f>
        <v>3553.063661</v>
      </c>
      <c r="P2285" s="1">
        <f>value(AED!$B2285)</f>
        <v>3618.08874</v>
      </c>
      <c r="Q2285" s="1">
        <f>value(KWD!$B2285)</f>
        <v>43827.74437</v>
      </c>
    </row>
    <row r="2286">
      <c r="A2286" s="4">
        <f>value(USD!A2286)</f>
        <v>42650.99861</v>
      </c>
      <c r="B2286" s="1">
        <f>value(USD!B2286)</f>
        <v>12971</v>
      </c>
      <c r="C2286" s="1">
        <f>value(AUD!$B2286)</f>
        <v>9693.25</v>
      </c>
      <c r="D2286" s="1">
        <f>value(EUR!$B2286)</f>
        <v>14513.70376</v>
      </c>
      <c r="E2286" s="1">
        <f>value(GBP!$B2286)</f>
        <v>16121.22275</v>
      </c>
      <c r="F2286" s="1">
        <f>value(CHF!$B2286)</f>
        <v>13311.62449</v>
      </c>
      <c r="G2286" s="1">
        <f>value(SGD!$B2286)</f>
        <v>9626.69036</v>
      </c>
      <c r="H2286" s="1">
        <f>value(MYR!$B2286)</f>
        <v>3119.34152</v>
      </c>
      <c r="I2286" s="1">
        <f>value(THB!$B2286)</f>
        <v>370.72653</v>
      </c>
      <c r="J2286" s="1">
        <f>value(VND!$B2286)</f>
        <v>0.5869892002</v>
      </c>
      <c r="K2286" s="1">
        <f>value(CNY!$B2286)</f>
        <v>1935.576757</v>
      </c>
      <c r="L2286" s="1">
        <f>value(HKD!$B2286)</f>
        <v>1684.98792</v>
      </c>
      <c r="M2286" s="1">
        <f>value(TWD!$B2286)</f>
        <v>418.9332286</v>
      </c>
      <c r="N2286" s="1">
        <f>value(JPY!$B2286)</f>
        <v>125.8278779</v>
      </c>
      <c r="O2286" s="1">
        <f>value(SAR!$B2286)</f>
        <v>3553.615194</v>
      </c>
      <c r="P2286" s="1">
        <f>value(AED!$B2286)</f>
        <v>3617.00002</v>
      </c>
      <c r="Q2286" s="1">
        <f>value(KWD!$B2286)</f>
        <v>43855.41196</v>
      </c>
    </row>
    <row r="2287">
      <c r="A2287" s="4">
        <f>value(USD!A2287)</f>
        <v>42651.99861</v>
      </c>
      <c r="B2287" s="1">
        <f>value(USD!B2287)</f>
        <v>12970.16</v>
      </c>
      <c r="C2287" s="1">
        <f>value(AUD!$B2287)</f>
        <v>9753.44333</v>
      </c>
      <c r="D2287" s="1">
        <f>value(EUR!$B2287)</f>
        <v>14395.55694</v>
      </c>
      <c r="E2287" s="1">
        <f>value(GBP!$B2287)</f>
        <v>15948.0988</v>
      </c>
      <c r="F2287" s="1">
        <f>value(CHF!$B2287)</f>
        <v>13222.95576</v>
      </c>
      <c r="G2287" s="1">
        <f>value(SGD!$B2287)</f>
        <v>9448.91488</v>
      </c>
      <c r="H2287" s="1">
        <f>value(MYR!$B2287)</f>
        <v>3127.96274</v>
      </c>
      <c r="I2287" s="1">
        <f>value(THB!$B2287)</f>
        <v>367.48618</v>
      </c>
      <c r="J2287" s="1">
        <f>value(VND!$B2287)</f>
        <v>0.5944287565</v>
      </c>
      <c r="K2287" s="1">
        <f>value(CNY!$B2287)</f>
        <v>1934.317591</v>
      </c>
      <c r="L2287" s="1">
        <f>value(HKD!$B2287)</f>
        <v>1690.39683</v>
      </c>
      <c r="M2287" s="1">
        <f>value(TWD!$B2287)</f>
        <v>431.88444</v>
      </c>
      <c r="N2287" s="1">
        <f>value(JPY!$B2287)</f>
        <v>124.6143956</v>
      </c>
      <c r="O2287" s="1">
        <f>value(SAR!$B2287)</f>
        <v>3551.823443</v>
      </c>
      <c r="P2287" s="1">
        <f>value(AED!$B2287)</f>
        <v>3616.830003</v>
      </c>
      <c r="Q2287" s="1">
        <f>value(KWD!$B2287)</f>
        <v>43900.65655</v>
      </c>
    </row>
    <row r="2288">
      <c r="A2288" s="4">
        <f>value(USD!A2288)</f>
        <v>42652.99861</v>
      </c>
      <c r="B2288" s="1">
        <f>value(USD!B2288)</f>
        <v>12967</v>
      </c>
      <c r="C2288" s="1">
        <f>value(AUD!$B2288)</f>
        <v>9722.04138</v>
      </c>
      <c r="D2288" s="1">
        <f>value(EUR!$B2288)</f>
        <v>14451.50916</v>
      </c>
      <c r="E2288" s="1">
        <f>value(GBP!$B2288)</f>
        <v>16036.13484</v>
      </c>
      <c r="F2288" s="1">
        <f>value(CHF!$B2288)</f>
        <v>13227.53619</v>
      </c>
      <c r="G2288" s="1">
        <f>value(SGD!$B2288)</f>
        <v>9562.294811</v>
      </c>
      <c r="H2288" s="1">
        <f>value(MYR!$B2288)</f>
        <v>3113.05896</v>
      </c>
      <c r="I2288" s="1">
        <f>value(THB!$B2288)</f>
        <v>368.64828</v>
      </c>
      <c r="J2288" s="1">
        <f>value(VND!$B2288)</f>
        <v>0.5924307886</v>
      </c>
      <c r="K2288" s="1">
        <f>value(CNY!$B2288)</f>
        <v>1938.747591</v>
      </c>
      <c r="L2288" s="1">
        <f>value(HKD!$B2288)</f>
        <v>1690.52796</v>
      </c>
      <c r="M2288" s="1">
        <f>value(TWD!$B2288)</f>
        <v>430.56306</v>
      </c>
      <c r="N2288" s="1">
        <f>value(JPY!$B2288)</f>
        <v>126.426366</v>
      </c>
      <c r="O2288" s="1">
        <f>value(SAR!$B2288)</f>
        <v>3550.565956</v>
      </c>
      <c r="P2288" s="1">
        <f>value(AED!$B2288)</f>
        <v>3619.29785</v>
      </c>
      <c r="Q2288" s="1">
        <f>value(KWD!$B2288)</f>
        <v>43774.69503</v>
      </c>
    </row>
    <row r="2289">
      <c r="A2289" s="4">
        <f>value(USD!A2289)</f>
        <v>42653.99861</v>
      </c>
      <c r="B2289" s="1">
        <f>value(USD!B2289)</f>
        <v>12926</v>
      </c>
      <c r="C2289" s="1">
        <f>value(AUD!$B2289)</f>
        <v>9710.44698</v>
      </c>
      <c r="D2289" s="1">
        <f>value(EUR!$B2289)</f>
        <v>14333.919</v>
      </c>
      <c r="E2289" s="1">
        <f>value(GBP!$B2289)</f>
        <v>15865.21378</v>
      </c>
      <c r="F2289" s="1">
        <f>value(CHF!$B2289)</f>
        <v>13327.36125</v>
      </c>
      <c r="G2289" s="1">
        <f>value(SGD!$B2289)</f>
        <v>9432.92742</v>
      </c>
      <c r="H2289" s="1">
        <f>value(MYR!$B2289)</f>
        <v>3099.43333</v>
      </c>
      <c r="I2289" s="1">
        <f>value(THB!$B2289)</f>
        <v>364.79238</v>
      </c>
      <c r="J2289" s="1">
        <f>value(VND!$B2289)</f>
        <v>0.593221081</v>
      </c>
      <c r="K2289" s="1">
        <f>value(CNY!$B2289)</f>
        <v>1938.865113</v>
      </c>
      <c r="L2289" s="1">
        <f>value(HKD!$B2289)</f>
        <v>1690.65465</v>
      </c>
      <c r="M2289" s="1">
        <f>value(TWD!$B2289)</f>
        <v>428.582</v>
      </c>
      <c r="N2289" s="1">
        <f>value(JPY!$B2289)</f>
        <v>124.7884169</v>
      </c>
      <c r="O2289" s="1">
        <f>value(SAR!$B2289)</f>
        <v>3556.819296</v>
      </c>
      <c r="P2289" s="1">
        <f>value(AED!$B2289)</f>
        <v>3623.80452</v>
      </c>
      <c r="Q2289" s="1">
        <f>value(KWD!$B2289)</f>
        <v>43768.10741</v>
      </c>
    </row>
    <row r="2290">
      <c r="A2290" s="4">
        <f>value(USD!A2290)</f>
        <v>42654.99861</v>
      </c>
      <c r="B2290" s="1">
        <f>value(USD!B2290)</f>
        <v>13068</v>
      </c>
      <c r="C2290" s="1">
        <f>value(AUD!$B2290)</f>
        <v>9632.26698</v>
      </c>
      <c r="D2290" s="1">
        <f>value(EUR!$B2290)</f>
        <v>14409.96768</v>
      </c>
      <c r="E2290" s="1">
        <f>value(GBP!$B2290)</f>
        <v>15940.68108</v>
      </c>
      <c r="F2290" s="1">
        <f>value(CHF!$B2290)</f>
        <v>13306.44756</v>
      </c>
      <c r="G2290" s="1">
        <f>value(SGD!$B2290)</f>
        <v>9517.53185</v>
      </c>
      <c r="H2290" s="1">
        <f>value(MYR!$B2290)</f>
        <v>3104.472</v>
      </c>
      <c r="I2290" s="1">
        <f>value(THB!$B2290)</f>
        <v>368.62344</v>
      </c>
      <c r="J2290" s="1">
        <f>value(VND!$B2290)</f>
        <v>0.5973915662</v>
      </c>
      <c r="K2290" s="1">
        <f>value(CNY!$B2290)</f>
        <v>1949.242879</v>
      </c>
      <c r="L2290" s="1">
        <f>value(HKD!$B2290)</f>
        <v>1687.17604</v>
      </c>
      <c r="M2290" s="1">
        <f>value(TWD!$B2290)</f>
        <v>427.12722</v>
      </c>
      <c r="N2290" s="1">
        <f>value(JPY!$B2290)</f>
        <v>125.7519864</v>
      </c>
      <c r="O2290" s="1">
        <f>value(SAR!$B2290)</f>
        <v>3556.569048</v>
      </c>
      <c r="P2290" s="1">
        <f>value(AED!$B2290)</f>
        <v>3615.09476</v>
      </c>
      <c r="Q2290" s="1">
        <f>value(KWD!$B2290)</f>
        <v>43731.87553</v>
      </c>
    </row>
    <row r="2291">
      <c r="A2291" s="4">
        <f>value(USD!A2291)</f>
        <v>42655.99861</v>
      </c>
      <c r="B2291" s="1">
        <f>value(USD!B2291)</f>
        <v>13019</v>
      </c>
      <c r="C2291" s="1">
        <f>value(AUD!$B2291)</f>
        <v>9631.461</v>
      </c>
      <c r="D2291" s="1">
        <f>value(EUR!$B2291)</f>
        <v>14336.693</v>
      </c>
      <c r="E2291" s="1">
        <f>value(GBP!$B2291)</f>
        <v>15924.05374</v>
      </c>
      <c r="F2291" s="1">
        <f>value(CHF!$B2291)</f>
        <v>13285.5912</v>
      </c>
      <c r="G2291" s="1">
        <f>value(SGD!$B2291)</f>
        <v>9410.56031</v>
      </c>
      <c r="H2291" s="1">
        <f>value(MYR!$B2291)</f>
        <v>3102.97267</v>
      </c>
      <c r="I2291" s="1">
        <f>value(THB!$B2291)</f>
        <v>369.46063</v>
      </c>
      <c r="J2291" s="1">
        <f>value(VND!$B2291)</f>
        <v>0.599741042</v>
      </c>
      <c r="K2291" s="1">
        <f>value(CNY!$B2291)</f>
        <v>1946.7726</v>
      </c>
      <c r="L2291" s="1">
        <f>value(HKD!$B2291)</f>
        <v>1681.37613</v>
      </c>
      <c r="M2291" s="1">
        <f>value(TWD!$B2291)</f>
        <v>428.00648</v>
      </c>
      <c r="N2291" s="1">
        <f>value(JPY!$B2291)</f>
        <v>125.4624</v>
      </c>
      <c r="O2291" s="1">
        <f>value(SAR!$B2291)</f>
        <v>3555.579196</v>
      </c>
      <c r="P2291" s="1">
        <f>value(AED!$B2291)</f>
        <v>3616.18348</v>
      </c>
      <c r="Q2291" s="1">
        <f>value(KWD!$B2291)</f>
        <v>43874.23822</v>
      </c>
    </row>
    <row r="2292">
      <c r="A2292" s="4">
        <f>value(USD!A2292)</f>
        <v>42656.99861</v>
      </c>
      <c r="B2292" s="1">
        <f>value(USD!B2292)</f>
        <v>13044</v>
      </c>
      <c r="C2292" s="1">
        <f>value(AUD!$B2292)</f>
        <v>9647.45782</v>
      </c>
      <c r="D2292" s="1">
        <f>value(EUR!$B2292)</f>
        <v>14345.2582</v>
      </c>
      <c r="E2292" s="1">
        <f>value(GBP!$B2292)</f>
        <v>15940.7742</v>
      </c>
      <c r="F2292" s="1">
        <f>value(CHF!$B2292)</f>
        <v>13370.37427</v>
      </c>
      <c r="G2292" s="1">
        <f>value(SGD!$B2292)</f>
        <v>9453.44856</v>
      </c>
      <c r="H2292" s="1">
        <f>value(MYR!$B2292)</f>
        <v>3106.025</v>
      </c>
      <c r="I2292" s="1">
        <f>value(THB!$B2292)</f>
        <v>361.99904</v>
      </c>
      <c r="J2292" s="1">
        <f>value(VND!$B2292)</f>
        <v>0.6036285514</v>
      </c>
      <c r="K2292" s="1">
        <f>value(CNY!$B2292)</f>
        <v>1945.90852</v>
      </c>
      <c r="L2292" s="1">
        <f>value(HKD!$B2292)</f>
        <v>1693.62204</v>
      </c>
      <c r="M2292" s="1">
        <f>value(TWD!$B2292)</f>
        <v>428.81173</v>
      </c>
      <c r="N2292" s="1">
        <f>value(JPY!$B2292)</f>
        <v>125.5488</v>
      </c>
      <c r="O2292" s="1">
        <f>value(SAR!$B2292)</f>
        <v>3559.47135</v>
      </c>
      <c r="P2292" s="1">
        <f>value(AED!$B2292)</f>
        <v>3618.36092</v>
      </c>
      <c r="Q2292" s="1">
        <f>value(KWD!$B2292)</f>
        <v>43890.74968</v>
      </c>
    </row>
    <row r="2293">
      <c r="A2293" s="4">
        <f>value(USD!A2293)</f>
        <v>42657.99861</v>
      </c>
      <c r="B2293" s="1">
        <f>value(USD!B2293)</f>
        <v>13069</v>
      </c>
      <c r="C2293" s="1">
        <f>value(AUD!$B2293)</f>
        <v>9649.3397</v>
      </c>
      <c r="D2293" s="1">
        <f>value(EUR!$B2293)</f>
        <v>14355.50892</v>
      </c>
      <c r="E2293" s="1">
        <f>value(GBP!$B2293)</f>
        <v>15943.04484</v>
      </c>
      <c r="F2293" s="1">
        <f>value(CHF!$B2293)</f>
        <v>13333.6151</v>
      </c>
      <c r="G2293" s="1">
        <f>value(SGD!$B2293)</f>
        <v>9420.28873</v>
      </c>
      <c r="H2293" s="1">
        <f>value(MYR!$B2293)</f>
        <v>3109.35</v>
      </c>
      <c r="I2293" s="1">
        <f>value(THB!$B2293)</f>
        <v>362.25564</v>
      </c>
      <c r="J2293" s="1">
        <f>value(VND!$B2293)</f>
        <v>0.5976113206</v>
      </c>
      <c r="K2293" s="1">
        <f>value(CNY!$B2293)</f>
        <v>1944.98839</v>
      </c>
      <c r="L2293" s="1">
        <f>value(HKD!$B2293)</f>
        <v>1751.62908</v>
      </c>
      <c r="M2293" s="1">
        <f>value(TWD!$B2293)</f>
        <v>417.4665623</v>
      </c>
      <c r="N2293" s="1">
        <f>value(JPY!$B2293)</f>
        <v>125.8049556</v>
      </c>
      <c r="O2293" s="1">
        <f>value(SAR!$B2293)</f>
        <v>3556.878481</v>
      </c>
      <c r="P2293" s="1">
        <f>value(AED!$B2293)</f>
        <v>3617.4051</v>
      </c>
      <c r="Q2293" s="1">
        <f>value(KWD!$B2293)</f>
        <v>43923.77259</v>
      </c>
    </row>
    <row r="2294">
      <c r="A2294" s="4">
        <f>value(USD!A2294)</f>
        <v>42658.99861</v>
      </c>
      <c r="B2294" s="1">
        <f>value(USD!B2294)</f>
        <v>13078</v>
      </c>
      <c r="C2294" s="1">
        <f>value(AUD!$B2294)</f>
        <v>9654.64526</v>
      </c>
      <c r="D2294" s="1">
        <f>value(EUR!$B2294)</f>
        <v>14372.02222</v>
      </c>
      <c r="E2294" s="1">
        <f>value(GBP!$B2294)</f>
        <v>15947.0169</v>
      </c>
      <c r="F2294" s="1">
        <f>value(CHF!$B2294)</f>
        <v>13326.54659</v>
      </c>
      <c r="G2294" s="1">
        <f>value(SGD!$B2294)</f>
        <v>9365.85944</v>
      </c>
      <c r="H2294" s="1">
        <f>value(MYR!$B2294)</f>
        <v>3094.65312</v>
      </c>
      <c r="I2294" s="1">
        <f>value(THB!$B2294)</f>
        <v>370.25687</v>
      </c>
      <c r="J2294" s="1">
        <f>value(VND!$B2294)</f>
        <v>0.6037121263</v>
      </c>
      <c r="K2294" s="1">
        <f>value(CNY!$B2294)</f>
        <v>1931.52089</v>
      </c>
      <c r="L2294" s="1">
        <f>value(HKD!$B2294)</f>
        <v>1721.44546</v>
      </c>
      <c r="M2294" s="1">
        <f>value(TWD!$B2294)</f>
        <v>430.4538</v>
      </c>
      <c r="N2294" s="1">
        <f>value(JPY!$B2294)</f>
        <v>125.6367566</v>
      </c>
      <c r="O2294" s="1">
        <f>value(SAR!$B2294)</f>
        <v>3564.887664</v>
      </c>
      <c r="P2294" s="1">
        <f>value(AED!$B2294)</f>
        <v>3618.834918</v>
      </c>
      <c r="Q2294" s="1">
        <f>value(KWD!$B2294)</f>
        <v>44000.65917</v>
      </c>
    </row>
    <row r="2295">
      <c r="A2295" s="4">
        <f>value(USD!A2295)</f>
        <v>42659.99861</v>
      </c>
      <c r="B2295" s="1">
        <f>value(USD!B2295)</f>
        <v>13092</v>
      </c>
      <c r="C2295" s="1">
        <f>value(AUD!$B2295)</f>
        <v>9690.2717</v>
      </c>
      <c r="D2295" s="1">
        <f>value(EUR!$B2295)</f>
        <v>14288.799</v>
      </c>
      <c r="E2295" s="1">
        <f>value(GBP!$B2295)</f>
        <v>16018.1154</v>
      </c>
      <c r="F2295" s="1">
        <f>value(CHF!$B2295)</f>
        <v>13339.09731</v>
      </c>
      <c r="G2295" s="1">
        <f>value(SGD!$B2295)</f>
        <v>9372.590808</v>
      </c>
      <c r="H2295" s="1">
        <f>value(MYR!$B2295)</f>
        <v>3101.2338</v>
      </c>
      <c r="I2295" s="1">
        <f>value(THB!$B2295)</f>
        <v>371.2002</v>
      </c>
      <c r="J2295" s="1">
        <f>value(VND!$B2295)</f>
        <v>0.603719718</v>
      </c>
      <c r="K2295" s="1">
        <f>value(CNY!$B2295)</f>
        <v>1927.481099</v>
      </c>
      <c r="L2295" s="1">
        <f>value(HKD!$B2295)</f>
        <v>1741.621168</v>
      </c>
      <c r="M2295" s="1">
        <f>value(TWD!$B2295)</f>
        <v>429.26706</v>
      </c>
      <c r="N2295" s="1">
        <f>value(JPY!$B2295)</f>
        <v>125.326614</v>
      </c>
      <c r="O2295" s="1">
        <f>value(SAR!$B2295)</f>
        <v>3561.032806</v>
      </c>
      <c r="P2295" s="1">
        <f>value(AED!$B2295)</f>
        <v>3615.081077</v>
      </c>
      <c r="Q2295" s="1">
        <f>value(KWD!$B2295)</f>
        <v>43915.38788</v>
      </c>
    </row>
    <row r="2296">
      <c r="A2296" s="4">
        <f>value(USD!A2296)</f>
        <v>42660.99861</v>
      </c>
      <c r="B2296" s="1">
        <f>value(USD!B2296)</f>
        <v>13051</v>
      </c>
      <c r="C2296" s="1">
        <f>value(AUD!$B2296)</f>
        <v>9740.76576</v>
      </c>
      <c r="D2296" s="1">
        <f>value(EUR!$B2296)</f>
        <v>14234.69448</v>
      </c>
      <c r="E2296" s="1">
        <f>value(GBP!$B2296)</f>
        <v>15942.19884</v>
      </c>
      <c r="F2296" s="1">
        <f>value(CHF!$B2296)</f>
        <v>13310.4216</v>
      </c>
      <c r="G2296" s="1">
        <f>value(SGD!$B2296)</f>
        <v>9442.0395</v>
      </c>
      <c r="H2296" s="1">
        <f>value(MYR!$B2296)</f>
        <v>3109.64784</v>
      </c>
      <c r="I2296" s="1">
        <f>value(THB!$B2296)</f>
        <v>371.77752</v>
      </c>
      <c r="J2296" s="1">
        <f>value(VND!$B2296)</f>
        <v>0.6007760492</v>
      </c>
      <c r="K2296" s="1">
        <f>value(CNY!$B2296)</f>
        <v>1933.680789</v>
      </c>
      <c r="L2296" s="1">
        <f>value(HKD!$B2296)</f>
        <v>1719.38354</v>
      </c>
      <c r="M2296" s="1">
        <f>value(TWD!$B2296)</f>
        <v>432.66608</v>
      </c>
      <c r="N2296" s="1">
        <f>value(JPY!$B2296)</f>
        <v>125.4366456</v>
      </c>
      <c r="O2296" s="1">
        <f>value(SAR!$B2296)</f>
        <v>3614.763707</v>
      </c>
      <c r="P2296" s="1">
        <f>value(AED!$B2296)</f>
        <v>3616.18348</v>
      </c>
      <c r="Q2296" s="1">
        <f>value(KWD!$B2296)</f>
        <v>43937.06675</v>
      </c>
    </row>
    <row r="2297">
      <c r="A2297" s="4">
        <f>value(USD!A2297)</f>
        <v>42661.99861</v>
      </c>
      <c r="B2297" s="1">
        <f>value(USD!B2297)</f>
        <v>13020</v>
      </c>
      <c r="C2297" s="1">
        <f>value(AUD!$B2297)</f>
        <v>9730.66194</v>
      </c>
      <c r="D2297" s="1">
        <f>value(EUR!$B2297)</f>
        <v>14213.1645</v>
      </c>
      <c r="E2297" s="1">
        <f>value(GBP!$B2297)</f>
        <v>15938.6679</v>
      </c>
      <c r="F2297" s="1">
        <f>value(CHF!$B2297)</f>
        <v>13313.2083</v>
      </c>
      <c r="G2297" s="1">
        <f>value(SGD!$B2297)</f>
        <v>9428.636</v>
      </c>
      <c r="H2297" s="1">
        <f>value(MYR!$B2297)</f>
        <v>3109.88565</v>
      </c>
      <c r="I2297" s="1">
        <f>value(THB!$B2297)</f>
        <v>371.4228</v>
      </c>
      <c r="J2297" s="1">
        <f>value(VND!$B2297)</f>
        <v>0.5991269766</v>
      </c>
      <c r="K2297" s="1">
        <f>value(CNY!$B2297)</f>
        <v>1930.629293</v>
      </c>
      <c r="L2297" s="1">
        <f>value(HKD!$B2297)</f>
        <v>1734.59592</v>
      </c>
      <c r="M2297" s="1">
        <f>value(TWD!$B2297)</f>
        <v>432.63684</v>
      </c>
      <c r="N2297" s="1">
        <f>value(JPY!$B2297)</f>
        <v>124.8909165</v>
      </c>
      <c r="O2297" s="1">
        <f>value(SAR!$B2297)</f>
        <v>3566.704003</v>
      </c>
      <c r="P2297" s="1">
        <f>value(AED!$B2297)</f>
        <v>3617.54438</v>
      </c>
      <c r="Q2297" s="1">
        <f>value(KWD!$B2297)</f>
        <v>43832.89598</v>
      </c>
    </row>
    <row r="2298">
      <c r="A2298" s="4">
        <f>value(USD!A2298)</f>
        <v>42662.99861</v>
      </c>
      <c r="B2298" s="1">
        <f>value(USD!B2298)</f>
        <v>12972</v>
      </c>
      <c r="C2298" s="1">
        <f>value(AUD!$B2298)</f>
        <v>9735.6636</v>
      </c>
      <c r="D2298" s="1">
        <f>value(EUR!$B2298)</f>
        <v>14174.10297</v>
      </c>
      <c r="E2298" s="1">
        <f>value(GBP!$B2298)</f>
        <v>15933.6405</v>
      </c>
      <c r="F2298" s="1">
        <f>value(CHF!$B2298)</f>
        <v>13341.19118</v>
      </c>
      <c r="G2298" s="1">
        <f>value(SGD!$B2298)</f>
        <v>9435.57704</v>
      </c>
      <c r="H2298" s="1">
        <f>value(MYR!$B2298)</f>
        <v>3111.32493</v>
      </c>
      <c r="I2298" s="1">
        <f>value(THB!$B2298)</f>
        <v>370.50435</v>
      </c>
      <c r="J2298" s="1">
        <f>value(VND!$B2298)</f>
        <v>0.6043055979</v>
      </c>
      <c r="K2298" s="1">
        <f>value(CNY!$B2298)</f>
        <v>1928.731394</v>
      </c>
      <c r="L2298" s="1">
        <f>value(HKD!$B2298)</f>
        <v>1715.91257</v>
      </c>
      <c r="M2298" s="1">
        <f>value(TWD!$B2298)</f>
        <v>432.39966</v>
      </c>
      <c r="N2298" s="1">
        <f>value(JPY!$B2298)</f>
        <v>125.41149</v>
      </c>
      <c r="O2298" s="1">
        <f>value(SAR!$B2298)</f>
        <v>3543.18514</v>
      </c>
      <c r="P2298" s="1">
        <f>value(AED!$B2298)</f>
        <v>3620.26618</v>
      </c>
      <c r="Q2298" s="1">
        <f>value(KWD!$B2298)</f>
        <v>43924.80165</v>
      </c>
    </row>
    <row r="2299">
      <c r="A2299" s="4">
        <f>value(USD!A2299)</f>
        <v>42663.99861</v>
      </c>
      <c r="B2299" s="1">
        <f>value(USD!B2299)</f>
        <v>13005</v>
      </c>
      <c r="C2299" s="1">
        <f>value(AUD!$B2299)</f>
        <v>9726.34296</v>
      </c>
      <c r="D2299" s="1">
        <f>value(EUR!$B2299)</f>
        <v>14199.2664</v>
      </c>
      <c r="E2299" s="1">
        <f>value(GBP!$B2299)</f>
        <v>15974.827</v>
      </c>
      <c r="F2299" s="1">
        <f>value(CHF!$B2299)</f>
        <v>13342.6332</v>
      </c>
      <c r="G2299" s="1">
        <f>value(SGD!$B2299)</f>
        <v>9497.686</v>
      </c>
      <c r="H2299" s="1">
        <f>value(MYR!$B2299)</f>
        <v>3116.29802</v>
      </c>
      <c r="I2299" s="1">
        <f>value(THB!$B2299)</f>
        <v>371.1587</v>
      </c>
      <c r="J2299" s="1">
        <f>value(VND!$B2299)</f>
        <v>0.6042711231</v>
      </c>
      <c r="K2299" s="1">
        <f>value(CNY!$B2299)</f>
        <v>1930.032442</v>
      </c>
      <c r="L2299" s="1">
        <f>value(HKD!$B2299)</f>
        <v>1723.00152</v>
      </c>
      <c r="M2299" s="1">
        <f>value(TWD!$B2299)</f>
        <v>433.35162</v>
      </c>
      <c r="N2299" s="1">
        <f>value(JPY!$B2299)</f>
        <v>125.63298</v>
      </c>
      <c r="O2299" s="1">
        <f>value(SAR!$B2299)</f>
        <v>3548.430116</v>
      </c>
      <c r="P2299" s="1">
        <f>value(AED!$B2299)</f>
        <v>3631.15338</v>
      </c>
      <c r="Q2299" s="1">
        <f>value(KWD!$B2299)</f>
        <v>43891.82012</v>
      </c>
    </row>
    <row r="2300">
      <c r="A2300" s="4">
        <f>value(USD!A2300)</f>
        <v>42664.99861</v>
      </c>
      <c r="B2300" s="1">
        <f>value(USD!B2300)</f>
        <v>13023</v>
      </c>
      <c r="C2300" s="1">
        <f>value(AUD!$B2300)</f>
        <v>9715.13592</v>
      </c>
      <c r="D2300" s="1">
        <f>value(EUR!$B2300)</f>
        <v>14198.661</v>
      </c>
      <c r="E2300" s="1">
        <f>value(GBP!$B2300)</f>
        <v>15940.314</v>
      </c>
      <c r="F2300" s="1">
        <f>value(CHF!$B2300)</f>
        <v>13374.7092</v>
      </c>
      <c r="G2300" s="1">
        <f>value(SGD!$B2300)</f>
        <v>9465.24654</v>
      </c>
      <c r="H2300" s="1">
        <f>value(MYR!$B2300)</f>
        <v>3117.2535</v>
      </c>
      <c r="I2300" s="1">
        <f>value(THB!$B2300)</f>
        <v>371.403</v>
      </c>
      <c r="J2300" s="1">
        <f>value(VND!$B2300)</f>
        <v>0.6032596522</v>
      </c>
      <c r="K2300" s="1">
        <f>value(CNY!$B2300)</f>
        <v>1919.356358</v>
      </c>
      <c r="L2300" s="1">
        <f>value(HKD!$B2300)</f>
        <v>1728.54379</v>
      </c>
      <c r="M2300" s="1">
        <f>value(TWD!$B2300)</f>
        <v>418.4244142</v>
      </c>
      <c r="N2300" s="1">
        <f>value(JPY!$B2300)</f>
        <v>125.55405</v>
      </c>
      <c r="O2300" s="1">
        <f>value(SAR!$B2300)</f>
        <v>3544.597732</v>
      </c>
      <c r="P2300" s="1">
        <f>value(AED!$B2300)</f>
        <v>3622.44362</v>
      </c>
      <c r="Q2300" s="1">
        <f>value(KWD!$B2300)</f>
        <v>43905.81187</v>
      </c>
    </row>
    <row r="2301">
      <c r="A2301" s="4">
        <f>value(USD!A2301)</f>
        <v>42665.99861</v>
      </c>
      <c r="B2301" s="1">
        <f>value(USD!B2301)</f>
        <v>13046</v>
      </c>
      <c r="C2301" s="1">
        <f>value(AUD!$B2301)</f>
        <v>9716.19711</v>
      </c>
      <c r="D2301" s="1">
        <f>value(EUR!$B2301)</f>
        <v>14146.6464</v>
      </c>
      <c r="E2301" s="1">
        <f>value(GBP!$B2301)</f>
        <v>15895.32908</v>
      </c>
      <c r="F2301" s="1">
        <f>value(CHF!$B2301)</f>
        <v>13307.0944</v>
      </c>
      <c r="G2301" s="1">
        <f>value(SGD!$B2301)</f>
        <v>9469.80566</v>
      </c>
      <c r="H2301" s="1">
        <f>value(MYR!$B2301)</f>
        <v>3117.80532</v>
      </c>
      <c r="I2301" s="1">
        <f>value(THB!$B2301)</f>
        <v>370.842</v>
      </c>
      <c r="J2301" s="1">
        <f>value(VND!$B2301)</f>
        <v>0.6049885674</v>
      </c>
      <c r="K2301" s="1">
        <f>value(CNY!$B2301)</f>
        <v>1920.33166</v>
      </c>
      <c r="L2301" s="1">
        <f>value(HKD!$B2301)</f>
        <v>1722.35707</v>
      </c>
      <c r="M2301" s="1">
        <f>value(TWD!$B2301)</f>
        <v>431.6055</v>
      </c>
      <c r="N2301" s="1">
        <f>value(JPY!$B2301)</f>
        <v>124.65496</v>
      </c>
      <c r="O2301" s="1">
        <f>value(SAR!$B2301)</f>
        <v>3544.803916</v>
      </c>
      <c r="P2301" s="1">
        <f>value(AED!$B2301)</f>
        <v>3624.231842</v>
      </c>
      <c r="Q2301" s="1">
        <f>value(KWD!$B2301)</f>
        <v>43846.37259</v>
      </c>
    </row>
    <row r="2302">
      <c r="A2302" s="4">
        <f>value(USD!A2302)</f>
        <v>42666.99861</v>
      </c>
      <c r="B2302" s="1">
        <f>value(USD!B2302)</f>
        <v>13050</v>
      </c>
      <c r="C2302" s="1">
        <f>value(AUD!$B2302)</f>
        <v>9721.3484</v>
      </c>
      <c r="D2302" s="1">
        <f>value(EUR!$B2302)</f>
        <v>14124.376</v>
      </c>
      <c r="E2302" s="1">
        <f>value(GBP!$B2302)</f>
        <v>15799.5776</v>
      </c>
      <c r="F2302" s="1">
        <f>value(CHF!$B2302)</f>
        <v>13449.9948</v>
      </c>
      <c r="G2302" s="1">
        <f>value(SGD!$B2302)</f>
        <v>9464.810515</v>
      </c>
      <c r="H2302" s="1">
        <f>value(MYR!$B2302)</f>
        <v>3122.15536</v>
      </c>
      <c r="I2302" s="1">
        <f>value(THB!$B2302)</f>
        <v>371.89216</v>
      </c>
      <c r="J2302" s="1">
        <f>value(VND!$B2302)</f>
        <v>0.6055308994</v>
      </c>
      <c r="K2302" s="1">
        <f>value(CNY!$B2302)</f>
        <v>1908.997738</v>
      </c>
      <c r="L2302" s="1">
        <f>value(HKD!$B2302)</f>
        <v>1723.261522</v>
      </c>
      <c r="M2302" s="1">
        <f>value(TWD!$B2302)</f>
        <v>433.11015</v>
      </c>
      <c r="N2302" s="1">
        <f>value(JPY!$B2302)</f>
        <v>124.5657072</v>
      </c>
      <c r="O2302" s="1">
        <f>value(SAR!$B2302)</f>
        <v>3600.455327</v>
      </c>
      <c r="P2302" s="1">
        <f>value(AED!$B2302)</f>
        <v>3615.63912</v>
      </c>
      <c r="Q2302" s="1">
        <f>value(KWD!$B2302)</f>
        <v>43944.53556</v>
      </c>
    </row>
    <row r="2303">
      <c r="A2303" s="4">
        <f>value(USD!A2303)</f>
        <v>42667.99861</v>
      </c>
      <c r="B2303" s="1">
        <f>value(USD!B2303)</f>
        <v>13012</v>
      </c>
      <c r="C2303" s="1">
        <f>value(AUD!$B2303)</f>
        <v>9772.81625</v>
      </c>
      <c r="D2303" s="1">
        <f>value(EUR!$B2303)</f>
        <v>14207.75136</v>
      </c>
      <c r="E2303" s="1">
        <f>value(GBP!$B2303)</f>
        <v>15933.43136</v>
      </c>
      <c r="F2303" s="1">
        <f>value(CHF!$B2303)</f>
        <v>13338.32028</v>
      </c>
      <c r="G2303" s="1">
        <f>value(SGD!$B2303)</f>
        <v>9454.198</v>
      </c>
      <c r="H2303" s="1">
        <f>value(MYR!$B2303)</f>
        <v>3127.58336</v>
      </c>
      <c r="I2303" s="1">
        <f>value(THB!$B2303)</f>
        <v>371.70496</v>
      </c>
      <c r="J2303" s="1">
        <f>value(VND!$B2303)</f>
        <v>0.6018906543</v>
      </c>
      <c r="K2303" s="1">
        <f>value(CNY!$B2303)</f>
        <v>1922.87045</v>
      </c>
      <c r="L2303" s="1">
        <f>value(HKD!$B2303)</f>
        <v>1737.30831</v>
      </c>
      <c r="M2303" s="1">
        <f>value(TWD!$B2303)</f>
        <v>433.73426</v>
      </c>
      <c r="N2303" s="1">
        <f>value(JPY!$B2303)</f>
        <v>124.535488</v>
      </c>
      <c r="O2303" s="1">
        <f>value(SAR!$B2303)</f>
        <v>3600.726425</v>
      </c>
      <c r="P2303" s="1">
        <f>value(AED!$B2303)</f>
        <v>3624.89324</v>
      </c>
      <c r="Q2303" s="1">
        <f>value(KWD!$B2303)</f>
        <v>43885.11983</v>
      </c>
    </row>
    <row r="2304">
      <c r="A2304" s="4">
        <f>value(USD!A2304)</f>
        <v>42668.99861</v>
      </c>
      <c r="B2304" s="1">
        <f>value(USD!B2304)</f>
        <v>12976</v>
      </c>
      <c r="C2304" s="1">
        <f>value(AUD!$B2304)</f>
        <v>9734.59004</v>
      </c>
      <c r="D2304" s="1">
        <f>value(EUR!$B2304)</f>
        <v>14223.72357</v>
      </c>
      <c r="E2304" s="1">
        <f>value(GBP!$B2304)</f>
        <v>15883.54305</v>
      </c>
      <c r="F2304" s="1">
        <f>value(CHF!$B2304)</f>
        <v>13161.57744</v>
      </c>
      <c r="G2304" s="1">
        <f>value(SGD!$B2304)</f>
        <v>9470.21061</v>
      </c>
      <c r="H2304" s="1">
        <f>value(MYR!$B2304)</f>
        <v>3106.87506</v>
      </c>
      <c r="I2304" s="1">
        <f>value(THB!$B2304)</f>
        <v>371.48838</v>
      </c>
      <c r="J2304" s="1">
        <f>value(VND!$B2304)</f>
        <v>0.5997677645</v>
      </c>
      <c r="K2304" s="1">
        <f>value(CNY!$B2304)</f>
        <v>1932.080277</v>
      </c>
      <c r="L2304" s="1">
        <f>value(HKD!$B2304)</f>
        <v>1729.20916</v>
      </c>
      <c r="M2304" s="1">
        <f>value(TWD!$B2304)</f>
        <v>433.08486</v>
      </c>
      <c r="N2304" s="1">
        <f>value(JPY!$B2304)</f>
        <v>123.87297</v>
      </c>
      <c r="O2304" s="1">
        <f>value(SAR!$B2304)</f>
        <v>3543.767</v>
      </c>
      <c r="P2304" s="1">
        <f>value(AED!$B2304)</f>
        <v>3622.17144</v>
      </c>
      <c r="Q2304" s="1">
        <f>value(KWD!$B2304)</f>
        <v>43895.02245</v>
      </c>
    </row>
    <row r="2305">
      <c r="A2305" s="4">
        <f>value(USD!A2305)</f>
        <v>42669.99861</v>
      </c>
      <c r="B2305" s="1">
        <f>value(USD!B2305)</f>
        <v>13024</v>
      </c>
      <c r="C2305" s="1">
        <f>value(AUD!$B2305)</f>
        <v>9734.3232</v>
      </c>
      <c r="D2305" s="1">
        <f>value(EUR!$B2305)</f>
        <v>14348.79109</v>
      </c>
      <c r="E2305" s="1">
        <f>value(GBP!$B2305)</f>
        <v>15921.1844</v>
      </c>
      <c r="F2305" s="1">
        <f>value(CHF!$B2305)</f>
        <v>13183.13161</v>
      </c>
      <c r="G2305" s="1">
        <f>value(SGD!$B2305)</f>
        <v>9474.3534</v>
      </c>
      <c r="H2305" s="1">
        <f>value(MYR!$B2305)</f>
        <v>3107.81833</v>
      </c>
      <c r="I2305" s="1">
        <f>value(THB!$B2305)</f>
        <v>372.55676</v>
      </c>
      <c r="J2305" s="1">
        <f>value(VND!$B2305)</f>
        <v>0.6020102619</v>
      </c>
      <c r="K2305" s="1">
        <f>value(CNY!$B2305)</f>
        <v>1929.755827</v>
      </c>
      <c r="L2305" s="1">
        <f>value(HKD!$B2305)</f>
        <v>1731.51912</v>
      </c>
      <c r="M2305" s="1">
        <f>value(TWD!$B2305)</f>
        <v>433.329</v>
      </c>
      <c r="N2305" s="1">
        <f>value(JPY!$B2305)</f>
        <v>124.75165</v>
      </c>
      <c r="O2305" s="1">
        <f>value(SAR!$B2305)</f>
        <v>3611.367861</v>
      </c>
      <c r="P2305" s="1">
        <f>value(AED!$B2305)</f>
        <v>3618.90528</v>
      </c>
      <c r="Q2305" s="1">
        <f>value(KWD!$B2305)</f>
        <v>44130.36024</v>
      </c>
    </row>
    <row r="2306">
      <c r="A2306" s="4">
        <f>value(USD!A2306)</f>
        <v>42670.99861</v>
      </c>
      <c r="B2306" s="1">
        <f>value(USD!B2306)</f>
        <v>13053</v>
      </c>
      <c r="C2306" s="1">
        <f>value(AUD!$B2306)</f>
        <v>9758.2459</v>
      </c>
      <c r="D2306" s="1">
        <f>value(EUR!$B2306)</f>
        <v>14351.0118</v>
      </c>
      <c r="E2306" s="1">
        <f>value(GBP!$B2306)</f>
        <v>15925.1033</v>
      </c>
      <c r="F2306" s="1">
        <f>value(CHF!$B2306)</f>
        <v>13096.96274</v>
      </c>
      <c r="G2306" s="1">
        <f>value(SGD!$B2306)</f>
        <v>9461.44836</v>
      </c>
      <c r="H2306" s="1">
        <f>value(MYR!$B2306)</f>
        <v>3106.77329</v>
      </c>
      <c r="I2306" s="1">
        <f>value(THB!$B2306)</f>
        <v>372.55676</v>
      </c>
      <c r="J2306" s="1">
        <f>value(VND!$B2306)</f>
        <v>0.6033981564</v>
      </c>
      <c r="K2306" s="1">
        <f>value(CNY!$B2306)</f>
        <v>1929.755827</v>
      </c>
      <c r="L2306" s="1">
        <f>value(HKD!$B2306)</f>
        <v>1754.21444</v>
      </c>
      <c r="M2306" s="1">
        <f>value(TWD!$B2306)</f>
        <v>434.59626</v>
      </c>
      <c r="N2306" s="1">
        <f>value(JPY!$B2306)</f>
        <v>124.75165</v>
      </c>
      <c r="O2306" s="1">
        <f>value(SAR!$B2306)</f>
        <v>3549.954484</v>
      </c>
      <c r="P2306" s="1">
        <f>value(AED!$B2306)</f>
        <v>3614.13882</v>
      </c>
      <c r="Q2306" s="1">
        <f>value(KWD!$B2306)</f>
        <v>44099.0873</v>
      </c>
    </row>
    <row r="2307">
      <c r="A2307" s="4">
        <f>value(USD!A2307)</f>
        <v>42671.99861</v>
      </c>
      <c r="B2307" s="1">
        <f>value(USD!B2307)</f>
        <v>13063</v>
      </c>
      <c r="C2307" s="1">
        <f>value(AUD!$B2307)</f>
        <v>9794.4441</v>
      </c>
      <c r="D2307" s="1">
        <f>value(EUR!$B2307)</f>
        <v>14347.48479</v>
      </c>
      <c r="E2307" s="1">
        <f>value(GBP!$B2307)</f>
        <v>15951.35993</v>
      </c>
      <c r="F2307" s="1">
        <f>value(CHF!$B2307)</f>
        <v>13114.3984</v>
      </c>
      <c r="G2307" s="1">
        <f>value(SGD!$B2307)</f>
        <v>9483.01218</v>
      </c>
      <c r="H2307" s="1">
        <f>value(MYR!$B2307)</f>
        <v>3106.77329</v>
      </c>
      <c r="I2307" s="1">
        <f>value(THB!$B2307)</f>
        <v>372.81802</v>
      </c>
      <c r="J2307" s="1">
        <f>value(VND!$B2307)</f>
        <v>0.6057480996</v>
      </c>
      <c r="K2307" s="1">
        <f>value(CNY!$B2307)</f>
        <v>1937.164296</v>
      </c>
      <c r="L2307" s="1">
        <f>value(HKD!$B2307)</f>
        <v>1747.89736</v>
      </c>
      <c r="M2307" s="1">
        <f>value(TWD!$B2307)</f>
        <v>434.46303</v>
      </c>
      <c r="N2307" s="1">
        <f>value(JPY!$B2307)</f>
        <v>124.8979556</v>
      </c>
      <c r="O2307" s="1">
        <f>value(SAR!$B2307)</f>
        <v>3562.598345</v>
      </c>
      <c r="P2307" s="1">
        <f>value(AED!$B2307)</f>
        <v>3623.53234</v>
      </c>
      <c r="Q2307" s="1">
        <f>value(KWD!$B2307)</f>
        <v>44137.26739</v>
      </c>
    </row>
    <row r="2308">
      <c r="A2308" s="4">
        <f>value(USD!A2308)</f>
        <v>42672.99861</v>
      </c>
      <c r="B2308" s="1">
        <f>value(USD!B2308)</f>
        <v>13063</v>
      </c>
      <c r="C2308" s="1">
        <f>value(AUD!$B2308)</f>
        <v>9782.176</v>
      </c>
      <c r="D2308" s="1">
        <f>value(EUR!$B2308)</f>
        <v>14275.13087</v>
      </c>
      <c r="E2308" s="1">
        <f>value(GBP!$B2308)</f>
        <v>15920.75485</v>
      </c>
      <c r="F2308" s="1">
        <f>value(CHF!$B2308)</f>
        <v>13066.35039</v>
      </c>
      <c r="G2308" s="1">
        <f>value(SGD!$B2308)</f>
        <v>9477.5898</v>
      </c>
      <c r="H2308" s="1">
        <f>value(MYR!$B2308)</f>
        <v>3095.7927</v>
      </c>
      <c r="I2308" s="1">
        <f>value(THB!$B2308)</f>
        <v>371.13076</v>
      </c>
      <c r="J2308" s="1">
        <f>value(VND!$B2308)</f>
        <v>0.6038495919</v>
      </c>
      <c r="K2308" s="1">
        <f>value(CNY!$B2308)</f>
        <v>1942.553178</v>
      </c>
      <c r="L2308" s="1">
        <f>value(HKD!$B2308)</f>
        <v>1744.1459</v>
      </c>
      <c r="M2308" s="1">
        <f>value(TWD!$B2308)</f>
        <v>434.22916</v>
      </c>
      <c r="N2308" s="1">
        <f>value(JPY!$B2308)</f>
        <v>124.1140901</v>
      </c>
      <c r="O2308" s="1">
        <f>value(SAR!$B2308)</f>
        <v>3555.181694</v>
      </c>
      <c r="P2308" s="1">
        <f>value(AED!$B2308)</f>
        <v>3620.642639</v>
      </c>
      <c r="Q2308" s="1">
        <f>value(KWD!$B2308)</f>
        <v>44203.32631</v>
      </c>
    </row>
    <row r="2309">
      <c r="A2309" s="4">
        <f>value(USD!A2309)</f>
        <v>42673.99861</v>
      </c>
      <c r="B2309" s="1">
        <f>value(USD!B2309)</f>
        <v>13063</v>
      </c>
      <c r="C2309" s="1">
        <f>value(AUD!$B2309)</f>
        <v>9858.58655</v>
      </c>
      <c r="D2309" s="1">
        <f>value(EUR!$B2309)</f>
        <v>14412.72672</v>
      </c>
      <c r="E2309" s="1">
        <f>value(GBP!$B2309)</f>
        <v>15952.6449</v>
      </c>
      <c r="F2309" s="1">
        <f>value(CHF!$B2309)</f>
        <v>13117.10828</v>
      </c>
      <c r="G2309" s="1">
        <f>value(SGD!$B2309)</f>
        <v>9575.28</v>
      </c>
      <c r="H2309" s="1">
        <f>value(MYR!$B2309)</f>
        <v>3105.91236</v>
      </c>
      <c r="I2309" s="1">
        <f>value(THB!$B2309)</f>
        <v>372.10452</v>
      </c>
      <c r="J2309" s="1">
        <f>value(VND!$B2309)</f>
        <v>0.6028008138</v>
      </c>
      <c r="K2309" s="1">
        <f>value(CNY!$B2309)</f>
        <v>1955.250058</v>
      </c>
      <c r="L2309" s="1">
        <f>value(HKD!$B2309)</f>
        <v>1744.383048</v>
      </c>
      <c r="M2309" s="1">
        <f>value(TWD!$B2309)</f>
        <v>435.11818</v>
      </c>
      <c r="N2309" s="1">
        <f>value(JPY!$B2309)</f>
        <v>125.2286862</v>
      </c>
      <c r="O2309" s="1">
        <f>value(SAR!$B2309)</f>
        <v>3548.981279</v>
      </c>
      <c r="P2309" s="1">
        <f>value(AED!$B2309)</f>
        <v>3620.11454</v>
      </c>
      <c r="Q2309" s="1">
        <f>value(KWD!$B2309)</f>
        <v>44295.01282</v>
      </c>
    </row>
    <row r="2310">
      <c r="A2310" s="4">
        <f>value(USD!A2310)</f>
        <v>42674.99861</v>
      </c>
      <c r="B2310" s="1">
        <f>value(USD!B2310)</f>
        <v>13013</v>
      </c>
      <c r="C2310" s="1">
        <f>value(AUD!$B2310)</f>
        <v>9926.13202</v>
      </c>
      <c r="D2310" s="1">
        <f>value(EUR!$B2310)</f>
        <v>14472.84102</v>
      </c>
      <c r="E2310" s="1">
        <f>value(GBP!$B2310)</f>
        <v>16049.45012</v>
      </c>
      <c r="F2310" s="1">
        <f>value(CHF!$B2310)</f>
        <v>13104.45654</v>
      </c>
      <c r="G2310" s="1">
        <f>value(SGD!$B2310)</f>
        <v>9464.72148</v>
      </c>
      <c r="H2310" s="1">
        <f>value(MYR!$B2310)</f>
        <v>3117.21124</v>
      </c>
      <c r="I2310" s="1">
        <f>value(THB!$B2310)</f>
        <v>373.1156</v>
      </c>
      <c r="J2310" s="1">
        <f>value(VND!$B2310)</f>
        <v>0.6049973105</v>
      </c>
      <c r="K2310" s="1">
        <f>value(CNY!$B2310)</f>
        <v>1949.776208</v>
      </c>
      <c r="L2310" s="1">
        <f>value(HKD!$B2310)</f>
        <v>1737.8416</v>
      </c>
      <c r="M2310" s="1">
        <f>value(TWD!$B2310)</f>
        <v>436.68051</v>
      </c>
      <c r="N2310" s="1">
        <f>value(JPY!$B2310)</f>
        <v>126.15482</v>
      </c>
      <c r="O2310" s="1">
        <f>value(SAR!$B2310)</f>
        <v>3495.2259</v>
      </c>
      <c r="P2310" s="1">
        <f>value(AED!$B2310)</f>
        <v>3637.54716</v>
      </c>
      <c r="Q2310" s="1">
        <f>value(KWD!$B2310)</f>
        <v>44353.86356</v>
      </c>
    </row>
    <row r="2311">
      <c r="A2311" s="4">
        <f>value(USD!A2311)</f>
        <v>42675.99861</v>
      </c>
      <c r="B2311" s="1">
        <f>value(USD!B2311)</f>
        <v>13038</v>
      </c>
      <c r="C2311" s="1">
        <f>value(AUD!$B2311)</f>
        <v>9979.82419</v>
      </c>
      <c r="D2311" s="1">
        <f>value(EUR!$B2311)</f>
        <v>14503.25844</v>
      </c>
      <c r="E2311" s="1">
        <f>value(GBP!$B2311)</f>
        <v>16291.8756</v>
      </c>
      <c r="F2311" s="1">
        <f>value(CHF!$B2311)</f>
        <v>13122.7648</v>
      </c>
      <c r="G2311" s="1">
        <f>value(SGD!$B2311)</f>
        <v>9359.98512</v>
      </c>
      <c r="H2311" s="1">
        <f>value(MYR!$B2311)</f>
        <v>3106.00224</v>
      </c>
      <c r="I2311" s="1">
        <f>value(THB!$B2311)</f>
        <v>373.7448</v>
      </c>
      <c r="J2311" s="1">
        <f>value(VND!$B2311)</f>
        <v>0.6045503232</v>
      </c>
      <c r="K2311" s="1">
        <f>value(CNY!$B2311)</f>
        <v>1950.484197</v>
      </c>
      <c r="L2311" s="1">
        <f>value(HKD!$B2311)</f>
        <v>1737.4431</v>
      </c>
      <c r="M2311" s="1">
        <f>value(TWD!$B2311)</f>
        <v>434.97216</v>
      </c>
      <c r="N2311" s="1">
        <f>value(JPY!$B2311)</f>
        <v>126.785736</v>
      </c>
      <c r="O2311" s="1">
        <f>value(SAR!$B2311)</f>
        <v>3503.657321</v>
      </c>
      <c r="P2311" s="1">
        <f>value(AED!$B2311)</f>
        <v>3633.87518</v>
      </c>
      <c r="Q2311" s="1">
        <f>value(KWD!$B2311)</f>
        <v>44304.92592</v>
      </c>
    </row>
    <row r="2312">
      <c r="A2312" s="4">
        <f>value(USD!A2312)</f>
        <v>42676.99861</v>
      </c>
      <c r="B2312" s="1">
        <f>value(USD!B2312)</f>
        <v>13046</v>
      </c>
      <c r="C2312" s="1">
        <f>value(AUD!$B2312)</f>
        <v>9980.7561</v>
      </c>
      <c r="D2312" s="1">
        <f>value(EUR!$B2312)</f>
        <v>14607.61974</v>
      </c>
      <c r="E2312" s="1">
        <f>value(GBP!$B2312)</f>
        <v>16412.2308</v>
      </c>
      <c r="F2312" s="1">
        <f>value(CHF!$B2312)</f>
        <v>13124.8167</v>
      </c>
      <c r="G2312" s="1">
        <f>value(SGD!$B2312)</f>
        <v>9370.10998</v>
      </c>
      <c r="H2312" s="1">
        <f>value(MYR!$B2312)</f>
        <v>3112.76394</v>
      </c>
      <c r="I2312" s="1">
        <f>value(THB!$B2312)</f>
        <v>374.11389</v>
      </c>
      <c r="J2312" s="1">
        <f>value(VND!$B2312)</f>
        <v>0.6082280128</v>
      </c>
      <c r="K2312" s="1">
        <f>value(CNY!$B2312)</f>
        <v>1947.930956</v>
      </c>
      <c r="L2312" s="1">
        <f>value(HKD!$B2312)</f>
        <v>1740.4078</v>
      </c>
      <c r="M2312" s="1">
        <f>value(TWD!$B2312)</f>
        <v>433.95385</v>
      </c>
      <c r="N2312" s="1">
        <f>value(JPY!$B2312)</f>
        <v>127.1961</v>
      </c>
      <c r="O2312" s="1">
        <f>value(SAR!$B2312)</f>
        <v>3551.728726</v>
      </c>
      <c r="P2312" s="1">
        <f>value(AED!$B2312)</f>
        <v>3637.14134</v>
      </c>
      <c r="Q2312" s="1">
        <f>value(KWD!$B2312)</f>
        <v>44219.84104</v>
      </c>
    </row>
    <row r="2313">
      <c r="A2313" s="4">
        <f>value(USD!A2313)</f>
        <v>42677.99861</v>
      </c>
      <c r="B2313" s="1">
        <f>value(USD!B2313)</f>
        <v>13068</v>
      </c>
      <c r="C2313" s="1">
        <f>value(AUD!$B2313)</f>
        <v>9981.28862</v>
      </c>
      <c r="D2313" s="1">
        <f>value(EUR!$B2313)</f>
        <v>14603.9481</v>
      </c>
      <c r="E2313" s="1">
        <f>value(GBP!$B2313)</f>
        <v>16413.5421</v>
      </c>
      <c r="F2313" s="1">
        <f>value(CHF!$B2313)</f>
        <v>13019.53291</v>
      </c>
      <c r="G2313" s="1">
        <f>value(SGD!$B2313)</f>
        <v>9346.1344</v>
      </c>
      <c r="H2313" s="1">
        <f>value(MYR!$B2313)</f>
        <v>3112.76394</v>
      </c>
      <c r="I2313" s="1">
        <f>value(THB!$B2313)</f>
        <v>374.11389</v>
      </c>
      <c r="J2313" s="1">
        <f>value(VND!$B2313)</f>
        <v>0.6013310918</v>
      </c>
      <c r="K2313" s="1">
        <f>value(CNY!$B2313)</f>
        <v>1949.821727</v>
      </c>
      <c r="L2313" s="1">
        <f>value(HKD!$B2313)</f>
        <v>1749.83796</v>
      </c>
      <c r="M2313" s="1">
        <f>value(TWD!$B2313)</f>
        <v>429.17468</v>
      </c>
      <c r="N2313" s="1">
        <f>value(JPY!$B2313)</f>
        <v>127.1961</v>
      </c>
      <c r="O2313" s="1">
        <f>value(SAR!$B2313)</f>
        <v>3540.231617</v>
      </c>
      <c r="P2313" s="1">
        <f>value(AED!$B2313)</f>
        <v>3642.58494</v>
      </c>
      <c r="Q2313" s="1">
        <f>value(KWD!$B2313)</f>
        <v>44092.48119</v>
      </c>
    </row>
    <row r="2314">
      <c r="A2314" s="4">
        <f>value(USD!A2314)</f>
        <v>42678.99861</v>
      </c>
      <c r="B2314" s="1">
        <f>value(USD!B2314)</f>
        <v>13113</v>
      </c>
      <c r="C2314" s="1">
        <f>value(AUD!$B2314)</f>
        <v>9974.23931</v>
      </c>
      <c r="D2314" s="1">
        <f>value(EUR!$B2314)</f>
        <v>14554.7647</v>
      </c>
      <c r="E2314" s="1">
        <f>value(GBP!$B2314)</f>
        <v>16374.99555</v>
      </c>
      <c r="F2314" s="1">
        <f>value(CHF!$B2314)</f>
        <v>13056.3433</v>
      </c>
      <c r="G2314" s="1">
        <f>value(SGD!$B2314)</f>
        <v>9327.48775</v>
      </c>
      <c r="H2314" s="1">
        <f>value(MYR!$B2314)</f>
        <v>3113.2387</v>
      </c>
      <c r="I2314" s="1">
        <f>value(THB!$B2314)</f>
        <v>372.7283</v>
      </c>
      <c r="J2314" s="1">
        <f>value(VND!$B2314)</f>
        <v>0.6065515158</v>
      </c>
      <c r="K2314" s="1">
        <f>value(CNY!$B2314)</f>
        <v>1949.883056</v>
      </c>
      <c r="L2314" s="1">
        <f>value(HKD!$B2314)</f>
        <v>1742.60538</v>
      </c>
      <c r="M2314" s="1">
        <f>value(TWD!$B2314)</f>
        <v>420.3998949</v>
      </c>
      <c r="N2314" s="1">
        <f>value(JPY!$B2314)</f>
        <v>125.830556</v>
      </c>
      <c r="O2314" s="1">
        <f>value(SAR!$B2314)</f>
        <v>3564.258526</v>
      </c>
      <c r="P2314" s="1">
        <f>value(AED!$B2314)</f>
        <v>3649.51125</v>
      </c>
      <c r="Q2314" s="1">
        <f>value(KWD!$B2314)</f>
        <v>44167.89539</v>
      </c>
    </row>
    <row r="2315">
      <c r="A2315" s="4">
        <f>value(USD!A2315)</f>
        <v>42679.99861</v>
      </c>
      <c r="B2315" s="1">
        <f>value(USD!B2315)</f>
        <v>13113</v>
      </c>
      <c r="C2315" s="1">
        <f>value(AUD!$B2315)</f>
        <v>10038.34704</v>
      </c>
      <c r="D2315" s="1">
        <f>value(EUR!$B2315)</f>
        <v>14460.34978</v>
      </c>
      <c r="E2315" s="1">
        <f>value(GBP!$B2315)</f>
        <v>16224.86999</v>
      </c>
      <c r="F2315" s="1">
        <f>value(CHF!$B2315)</f>
        <v>13062.10917</v>
      </c>
      <c r="G2315" s="1">
        <f>value(SGD!$B2315)</f>
        <v>9330.570711</v>
      </c>
      <c r="H2315" s="1">
        <f>value(MYR!$B2315)</f>
        <v>3105.5451</v>
      </c>
      <c r="I2315" s="1">
        <f>value(THB!$B2315)</f>
        <v>373.63385</v>
      </c>
      <c r="J2315" s="1">
        <f>value(VND!$B2315)</f>
        <v>0.6073378034</v>
      </c>
      <c r="K2315" s="1">
        <f>value(CNY!$B2315)</f>
        <v>1948.021524</v>
      </c>
      <c r="L2315" s="1">
        <f>value(HKD!$B2315)</f>
        <v>1735.2632</v>
      </c>
      <c r="M2315" s="1">
        <f>value(TWD!$B2315)</f>
        <v>429.14496</v>
      </c>
      <c r="N2315" s="1">
        <f>value(JPY!$B2315)</f>
        <v>125.2478248</v>
      </c>
      <c r="O2315" s="1">
        <f>value(SAR!$B2315)</f>
        <v>3561.91432</v>
      </c>
      <c r="P2315" s="1">
        <f>value(AED!$B2315)</f>
        <v>3653.420425</v>
      </c>
      <c r="Q2315" s="1">
        <f>value(KWD!$B2315)</f>
        <v>44054.41006</v>
      </c>
    </row>
    <row r="2316">
      <c r="A2316" s="4">
        <f>value(USD!A2316)</f>
        <v>42680.99861</v>
      </c>
      <c r="B2316" s="1">
        <f>value(USD!B2316)</f>
        <v>13115</v>
      </c>
      <c r="C2316" s="1">
        <f>value(AUD!$B2316)</f>
        <v>10034.185</v>
      </c>
      <c r="D2316" s="1">
        <f>value(EUR!$B2316)</f>
        <v>14365.9656</v>
      </c>
      <c r="E2316" s="1">
        <f>value(GBP!$B2316)</f>
        <v>16151.66973</v>
      </c>
      <c r="F2316" s="1">
        <f>value(CHF!$B2316)</f>
        <v>13031.56242</v>
      </c>
      <c r="G2316" s="1">
        <f>value(SGD!$B2316)</f>
        <v>9328.92951</v>
      </c>
      <c r="H2316" s="1">
        <f>value(MYR!$B2316)</f>
        <v>3117.71187</v>
      </c>
      <c r="I2316" s="1">
        <f>value(THB!$B2316)</f>
        <v>372.84219</v>
      </c>
      <c r="J2316" s="1">
        <f>value(VND!$B2316)</f>
        <v>0.6064158137</v>
      </c>
      <c r="K2316" s="1">
        <f>value(CNY!$B2316)</f>
        <v>1937.267207</v>
      </c>
      <c r="L2316" s="1">
        <f>value(HKD!$B2316)</f>
        <v>1758.6052</v>
      </c>
      <c r="M2316" s="1">
        <f>value(TWD!$B2316)</f>
        <v>430.41292</v>
      </c>
      <c r="N2316" s="1">
        <f>value(JPY!$B2316)</f>
        <v>124.1581446</v>
      </c>
      <c r="O2316" s="1">
        <f>value(SAR!$B2316)</f>
        <v>3563.817531</v>
      </c>
      <c r="P2316" s="1">
        <f>value(AED!$B2316)</f>
        <v>3650.05984</v>
      </c>
      <c r="Q2316" s="1">
        <f>value(KWD!$B2316)</f>
        <v>43953.30988</v>
      </c>
    </row>
    <row r="2317">
      <c r="A2317" s="4">
        <f>value(USD!A2317)</f>
        <v>42681.99861</v>
      </c>
      <c r="B2317" s="1">
        <f>value(USD!B2317)</f>
        <v>13087</v>
      </c>
      <c r="C2317" s="1">
        <f>value(AUD!$B2317)</f>
        <v>10119.7881</v>
      </c>
      <c r="D2317" s="1">
        <f>value(EUR!$B2317)</f>
        <v>14342.9766</v>
      </c>
      <c r="E2317" s="1">
        <f>value(GBP!$B2317)</f>
        <v>16311.55605</v>
      </c>
      <c r="F2317" s="1">
        <f>value(CHF!$B2317)</f>
        <v>13013.4221</v>
      </c>
      <c r="G2317" s="1">
        <f>value(SGD!$B2317)</f>
        <v>9323.01492</v>
      </c>
      <c r="H2317" s="1">
        <f>value(MYR!$B2317)</f>
        <v>3087.72048</v>
      </c>
      <c r="I2317" s="1">
        <f>value(THB!$B2317)</f>
        <v>374.66724</v>
      </c>
      <c r="J2317" s="1">
        <f>value(VND!$B2317)</f>
        <v>0.6048016356</v>
      </c>
      <c r="K2317" s="1">
        <f>value(CNY!$B2317)</f>
        <v>1946.237401</v>
      </c>
      <c r="L2317" s="1">
        <f>value(HKD!$B2317)</f>
        <v>1732.5722</v>
      </c>
      <c r="M2317" s="1">
        <f>value(TWD!$B2317)</f>
        <v>431.95304</v>
      </c>
      <c r="N2317" s="1">
        <f>value(JPY!$B2317)</f>
        <v>124.0671417</v>
      </c>
      <c r="O2317" s="1">
        <f>value(SAR!$B2317)</f>
        <v>3553.101827</v>
      </c>
      <c r="P2317" s="1">
        <f>value(AED!$B2317)</f>
        <v>3643.94584</v>
      </c>
      <c r="Q2317" s="1">
        <f>value(KWD!$B2317)</f>
        <v>44075.63199</v>
      </c>
    </row>
    <row r="2318">
      <c r="A2318" s="4">
        <f>value(USD!A2318)</f>
        <v>42682.99861</v>
      </c>
      <c r="B2318" s="1">
        <f>value(USD!B2318)</f>
        <v>13041</v>
      </c>
      <c r="C2318" s="1">
        <f>value(AUD!$B2318)</f>
        <v>10112.51858</v>
      </c>
      <c r="D2318" s="1">
        <f>value(EUR!$B2318)</f>
        <v>14795.15792</v>
      </c>
      <c r="E2318" s="1">
        <f>value(GBP!$B2318)</f>
        <v>17056.47288</v>
      </c>
      <c r="F2318" s="1">
        <f>value(CHF!$B2318)</f>
        <v>13040.51465</v>
      </c>
      <c r="G2318" s="1">
        <f>value(SGD!$B2318)</f>
        <v>9320.7008</v>
      </c>
      <c r="H2318" s="1">
        <f>value(MYR!$B2318)</f>
        <v>3116.81544</v>
      </c>
      <c r="I2318" s="1">
        <f>value(THB!$B2318)</f>
        <v>384.5404</v>
      </c>
      <c r="J2318" s="1">
        <f>value(VND!$B2318)</f>
        <v>0.6057339554</v>
      </c>
      <c r="K2318" s="1">
        <f>value(CNY!$B2318)</f>
        <v>1943.769277</v>
      </c>
      <c r="L2318" s="1">
        <f>value(HKD!$B2318)</f>
        <v>1714.38624</v>
      </c>
      <c r="M2318" s="1">
        <f>value(TWD!$B2318)</f>
        <v>432.98952</v>
      </c>
      <c r="N2318" s="1">
        <f>value(JPY!$B2318)</f>
        <v>127.129328</v>
      </c>
      <c r="O2318" s="1">
        <f>value(SAR!$B2318)</f>
        <v>3556.937657</v>
      </c>
      <c r="P2318" s="1">
        <f>value(AED!$B2318)</f>
        <v>3633.33082</v>
      </c>
      <c r="Q2318" s="1">
        <f>value(KWD!$B2318)</f>
        <v>44072.78159</v>
      </c>
    </row>
    <row r="2319">
      <c r="A2319" s="4">
        <f>value(USD!A2319)</f>
        <v>42683.99861</v>
      </c>
      <c r="B2319" s="1">
        <f>value(USD!B2319)</f>
        <v>13137</v>
      </c>
      <c r="C2319" s="1">
        <f>value(AUD!$B2319)</f>
        <v>10110.3757</v>
      </c>
      <c r="D2319" s="1">
        <f>value(EUR!$B2319)</f>
        <v>14501.84554</v>
      </c>
      <c r="E2319" s="1">
        <f>value(GBP!$B2319)</f>
        <v>16831.08</v>
      </c>
      <c r="F2319" s="1">
        <f>value(CHF!$B2319)</f>
        <v>13089.04844</v>
      </c>
      <c r="G2319" s="1">
        <f>value(SGD!$B2319)</f>
        <v>9327.25434</v>
      </c>
      <c r="H2319" s="1">
        <f>value(MYR!$B2319)</f>
        <v>3021.31244</v>
      </c>
      <c r="I2319" s="1">
        <f>value(THB!$B2319)</f>
        <v>376.82918</v>
      </c>
      <c r="J2319" s="1">
        <f>value(VND!$B2319)</f>
        <v>0.6005256693</v>
      </c>
      <c r="K2319" s="1">
        <f>value(CNY!$B2319)</f>
        <v>1945.512659</v>
      </c>
      <c r="L2319" s="1">
        <f>value(HKD!$B2319)</f>
        <v>1711.53807</v>
      </c>
      <c r="M2319" s="1">
        <f>value(TWD!$B2319)</f>
        <v>431.97869</v>
      </c>
      <c r="N2319" s="1">
        <f>value(JPY!$B2319)</f>
        <v>125.16446</v>
      </c>
      <c r="O2319" s="1">
        <f>value(SAR!$B2319)</f>
        <v>3549.213789</v>
      </c>
      <c r="P2319" s="1">
        <f>value(AED!$B2319)</f>
        <v>3637.14134</v>
      </c>
      <c r="Q2319" s="1">
        <f>value(KWD!$B2319)</f>
        <v>44020.10907</v>
      </c>
    </row>
    <row r="2320">
      <c r="A2320" s="4">
        <f>value(USD!A2320)</f>
        <v>42684.99861</v>
      </c>
      <c r="B2320" s="1">
        <f>value(USD!B2320)</f>
        <v>13588</v>
      </c>
      <c r="C2320" s="1">
        <f>value(AUD!$B2320)</f>
        <v>10150.88914</v>
      </c>
      <c r="D2320" s="1">
        <f>value(EUR!$B2320)</f>
        <v>14672.64483</v>
      </c>
      <c r="E2320" s="1">
        <f>value(GBP!$B2320)</f>
        <v>17027.0226</v>
      </c>
      <c r="F2320" s="1">
        <f>value(CHF!$B2320)</f>
        <v>13109.95071</v>
      </c>
      <c r="G2320" s="1">
        <f>value(SGD!$B2320)</f>
        <v>9292.88423</v>
      </c>
      <c r="H2320" s="1">
        <f>value(MYR!$B2320)</f>
        <v>3056.485691</v>
      </c>
      <c r="I2320" s="1">
        <f>value(THB!$B2320)</f>
        <v>373.9188217</v>
      </c>
      <c r="J2320" s="1">
        <f>value(VND!$B2320)</f>
        <v>0.6038065328</v>
      </c>
      <c r="K2320" s="1">
        <f>value(CNY!$B2320)</f>
        <v>1936.074306</v>
      </c>
      <c r="L2320" s="1">
        <f>value(HKD!$B2320)</f>
        <v>1715.54258</v>
      </c>
      <c r="M2320" s="1">
        <f>value(TWD!$B2320)</f>
        <v>429.97129</v>
      </c>
      <c r="N2320" s="1">
        <f>value(JPY!$B2320)</f>
        <v>126.6215887</v>
      </c>
      <c r="O2320" s="1">
        <f>value(SAR!$B2320)</f>
        <v>3551.995713</v>
      </c>
      <c r="P2320" s="1">
        <f>value(AED!$B2320)</f>
        <v>3631.15338</v>
      </c>
      <c r="Q2320" s="1">
        <f>value(KWD!$B2320)</f>
        <v>43980.69514</v>
      </c>
    </row>
    <row r="2321">
      <c r="A2321" s="4">
        <f>value(USD!A2321)</f>
        <v>42685.99861</v>
      </c>
      <c r="B2321" s="1">
        <f>value(USD!B2321)</f>
        <v>13358</v>
      </c>
      <c r="C2321" s="1">
        <f>value(AUD!$B2321)</f>
        <v>10117.77865</v>
      </c>
      <c r="D2321" s="1">
        <f>value(EUR!$B2321)</f>
        <v>14440.0466</v>
      </c>
      <c r="E2321" s="1">
        <f>value(GBP!$B2321)</f>
        <v>16772.36162</v>
      </c>
      <c r="F2321" s="1">
        <f>value(CHF!$B2321)</f>
        <v>13071.51797</v>
      </c>
      <c r="G2321" s="1">
        <f>value(SGD!$B2321)</f>
        <v>9266.82581</v>
      </c>
      <c r="H2321" s="1">
        <f>value(MYR!$B2321)</f>
        <v>3017.69356</v>
      </c>
      <c r="I2321" s="1">
        <f>value(THB!$B2321)</f>
        <v>368.10578</v>
      </c>
      <c r="J2321" s="1">
        <f>value(VND!$B2321)</f>
        <v>0.6051676906</v>
      </c>
      <c r="K2321" s="1">
        <f>value(CNY!$B2321)</f>
        <v>1938.465558</v>
      </c>
      <c r="L2321" s="1">
        <f>value(HKD!$B2321)</f>
        <v>1719.50325</v>
      </c>
      <c r="M2321" s="1">
        <f>value(TWD!$B2321)</f>
        <v>429.7412</v>
      </c>
      <c r="N2321" s="1">
        <f>value(JPY!$B2321)</f>
        <v>124.7930628</v>
      </c>
      <c r="O2321" s="1">
        <f>value(SAR!$B2321)</f>
        <v>3561.321904</v>
      </c>
      <c r="P2321" s="1">
        <f>value(AED!$B2321)</f>
        <v>3618.6331</v>
      </c>
      <c r="Q2321" s="1">
        <f>value(KWD!$B2321)</f>
        <v>44020.50499</v>
      </c>
    </row>
    <row r="2322">
      <c r="A2322" s="4">
        <f>value(USD!A2322)</f>
        <v>42686.99861</v>
      </c>
      <c r="B2322" s="1">
        <f>value(USD!B2322)</f>
        <v>13513.51</v>
      </c>
      <c r="C2322" s="1">
        <f>value(AUD!$B2322)</f>
        <v>10128.44588</v>
      </c>
      <c r="D2322" s="1">
        <f>value(EUR!$B2322)</f>
        <v>14463.0414</v>
      </c>
      <c r="E2322" s="1">
        <f>value(GBP!$B2322)</f>
        <v>16847.03407</v>
      </c>
      <c r="F2322" s="1">
        <f>value(CHF!$B2322)</f>
        <v>13070.71199</v>
      </c>
      <c r="G2322" s="1">
        <f>value(SGD!$B2322)</f>
        <v>9282.11207</v>
      </c>
      <c r="H2322" s="1">
        <f>value(MYR!$B2322)</f>
        <v>3096.64672</v>
      </c>
      <c r="I2322" s="1">
        <f>value(THB!$B2322)</f>
        <v>379.27462</v>
      </c>
      <c r="J2322" s="1">
        <f>value(VND!$B2322)</f>
        <v>0.6035669511</v>
      </c>
      <c r="K2322" s="1">
        <f>value(CNY!$B2322)</f>
        <v>1939.96265</v>
      </c>
      <c r="L2322" s="1">
        <f>value(HKD!$B2322)</f>
        <v>1720.426611</v>
      </c>
      <c r="M2322" s="1">
        <f>value(TWD!$B2322)</f>
        <v>432.04932</v>
      </c>
      <c r="N2322" s="1">
        <f>value(JPY!$B2322)</f>
        <v>124.36116</v>
      </c>
      <c r="O2322" s="1">
        <f>value(SAR!$B2322)</f>
        <v>3554.458024</v>
      </c>
      <c r="P2322" s="1">
        <f>value(AED!$B2322)</f>
        <v>3629.37036</v>
      </c>
      <c r="Q2322" s="1">
        <f>value(KWD!$B2322)</f>
        <v>44138.49409</v>
      </c>
    </row>
    <row r="2323">
      <c r="A2323" s="4">
        <f>value(USD!A2323)</f>
        <v>42687.99861</v>
      </c>
      <c r="B2323" s="1">
        <f>value(USD!B2323)</f>
        <v>13342</v>
      </c>
      <c r="C2323" s="1">
        <f>value(AUD!$B2323)</f>
        <v>10084.33996</v>
      </c>
      <c r="D2323" s="1">
        <f>value(EUR!$B2323)</f>
        <v>14276.19555</v>
      </c>
      <c r="E2323" s="1">
        <f>value(GBP!$B2323)</f>
        <v>16576.54882</v>
      </c>
      <c r="F2323" s="1">
        <f>value(CHF!$B2323)</f>
        <v>13097.8848</v>
      </c>
      <c r="G2323" s="1">
        <f>value(SGD!$B2323)</f>
        <v>9260.36685</v>
      </c>
      <c r="H2323" s="1">
        <f>value(MYR!$B2323)</f>
        <v>3071.57536</v>
      </c>
      <c r="I2323" s="1">
        <f>value(THB!$B2323)</f>
        <v>375.29347</v>
      </c>
      <c r="J2323" s="1">
        <f>value(VND!$B2323)</f>
        <v>0.6047748824</v>
      </c>
      <c r="K2323" s="1">
        <f>value(CNY!$B2323)</f>
        <v>1941.208</v>
      </c>
      <c r="L2323" s="1">
        <f>value(HKD!$B2323)</f>
        <v>1721.04945</v>
      </c>
      <c r="M2323" s="1">
        <f>value(TWD!$B2323)</f>
        <v>432.2292</v>
      </c>
      <c r="N2323" s="1">
        <f>value(JPY!$B2323)</f>
        <v>122.0602405</v>
      </c>
      <c r="O2323" s="1">
        <f>value(SAR!$B2323)</f>
        <v>3555.270177</v>
      </c>
      <c r="P2323" s="1">
        <f>value(AED!$B2323)</f>
        <v>3625.84299</v>
      </c>
      <c r="Q2323" s="1">
        <f>value(KWD!$B2323)</f>
        <v>44141.80754</v>
      </c>
    </row>
    <row r="2324">
      <c r="A2324" s="4">
        <f>value(USD!A2324)</f>
        <v>42688.99861</v>
      </c>
      <c r="B2324" s="1">
        <f>value(USD!B2324)</f>
        <v>13459</v>
      </c>
      <c r="C2324" s="1">
        <f>value(AUD!$B2324)</f>
        <v>10083.0884</v>
      </c>
      <c r="D2324" s="1">
        <f>value(EUR!$B2324)</f>
        <v>14310.97872</v>
      </c>
      <c r="E2324" s="1">
        <f>value(GBP!$B2324)</f>
        <v>16628.32152</v>
      </c>
      <c r="F2324" s="1">
        <f>value(CHF!$B2324)</f>
        <v>13088.07214</v>
      </c>
      <c r="G2324" s="1">
        <f>value(SGD!$B2324)</f>
        <v>9232.5198</v>
      </c>
      <c r="H2324" s="1">
        <f>value(MYR!$B2324)</f>
        <v>3030.39192</v>
      </c>
      <c r="I2324" s="1">
        <f>value(THB!$B2324)</f>
        <v>376.9776</v>
      </c>
      <c r="J2324" s="1">
        <f>value(VND!$B2324)</f>
        <v>0.6066932461</v>
      </c>
      <c r="K2324" s="1">
        <f>value(CNY!$B2324)</f>
        <v>1939.44072</v>
      </c>
      <c r="L2324" s="1">
        <f>value(HKD!$B2324)</f>
        <v>1711.40142</v>
      </c>
      <c r="M2324" s="1">
        <f>value(TWD!$B2324)</f>
        <v>432.85675</v>
      </c>
      <c r="N2324" s="1">
        <f>value(JPY!$B2324)</f>
        <v>122.8492464</v>
      </c>
      <c r="O2324" s="1">
        <f>value(SAR!$B2324)</f>
        <v>3556.955586</v>
      </c>
      <c r="P2324" s="1">
        <f>value(AED!$B2324)</f>
        <v>3620.67138</v>
      </c>
      <c r="Q2324" s="1">
        <f>value(KWD!$B2324)</f>
        <v>43952.94078</v>
      </c>
    </row>
    <row r="2325">
      <c r="A2325" s="4">
        <f>value(USD!A2325)</f>
        <v>42689.99861</v>
      </c>
      <c r="B2325" s="1">
        <f>value(USD!B2325)</f>
        <v>13313</v>
      </c>
      <c r="C2325" s="1">
        <f>value(AUD!$B2325)</f>
        <v>10079.59291</v>
      </c>
      <c r="D2325" s="1">
        <f>value(EUR!$B2325)</f>
        <v>14243.15255</v>
      </c>
      <c r="E2325" s="1">
        <f>value(GBP!$B2325)</f>
        <v>16639.16181</v>
      </c>
      <c r="F2325" s="1">
        <f>value(CHF!$B2325)</f>
        <v>13066.01413</v>
      </c>
      <c r="G2325" s="1">
        <f>value(SGD!$B2325)</f>
        <v>9290.28462</v>
      </c>
      <c r="H2325" s="1">
        <f>value(MYR!$B2325)</f>
        <v>3050.33195</v>
      </c>
      <c r="I2325" s="1">
        <f>value(THB!$B2325)</f>
        <v>377.11732</v>
      </c>
      <c r="J2325" s="1">
        <f>value(VND!$B2325)</f>
        <v>0.6070574771</v>
      </c>
      <c r="K2325" s="1">
        <f>value(CNY!$B2325)</f>
        <v>1938.16854</v>
      </c>
      <c r="L2325" s="1">
        <f>value(HKD!$B2325)</f>
        <v>1711.9248</v>
      </c>
      <c r="M2325" s="1">
        <f>value(TWD!$B2325)</f>
        <v>432.22882</v>
      </c>
      <c r="N2325" s="1">
        <f>value(JPY!$B2325)</f>
        <v>121.63777</v>
      </c>
      <c r="O2325" s="1">
        <f>value(SAR!$B2325)</f>
        <v>3566.203886</v>
      </c>
      <c r="P2325" s="1">
        <f>value(AED!$B2325)</f>
        <v>3622.44362</v>
      </c>
      <c r="Q2325" s="1">
        <f>value(KWD!$B2325)</f>
        <v>44135.09635</v>
      </c>
    </row>
    <row r="2326">
      <c r="A2326" s="4">
        <f>value(USD!A2326)</f>
        <v>42690.99861</v>
      </c>
      <c r="B2326" s="1">
        <f>value(USD!B2326)</f>
        <v>13368</v>
      </c>
      <c r="C2326" s="1">
        <f>value(AUD!$B2326)</f>
        <v>10092.243</v>
      </c>
      <c r="D2326" s="1">
        <f>value(EUR!$B2326)</f>
        <v>14148.20988</v>
      </c>
      <c r="E2326" s="1">
        <f>value(GBP!$B2326)</f>
        <v>16493.9509</v>
      </c>
      <c r="F2326" s="1">
        <f>value(CHF!$B2326)</f>
        <v>13117.676</v>
      </c>
      <c r="G2326" s="1">
        <f>value(SGD!$B2326)</f>
        <v>9298.17532</v>
      </c>
      <c r="H2326" s="1">
        <f>value(MYR!$B2326)</f>
        <v>3024.0469</v>
      </c>
      <c r="I2326" s="1">
        <f>value(THB!$B2326)</f>
        <v>375.23304</v>
      </c>
      <c r="J2326" s="1">
        <f>value(VND!$B2326)</f>
        <v>0.6066696456</v>
      </c>
      <c r="K2326" s="1">
        <f>value(CNY!$B2326)</f>
        <v>1930.93285</v>
      </c>
      <c r="L2326" s="1">
        <f>value(HKD!$B2326)</f>
        <v>1729.44602</v>
      </c>
      <c r="M2326" s="1">
        <f>value(TWD!$B2326)</f>
        <v>435.4176</v>
      </c>
      <c r="N2326" s="1">
        <f>value(JPY!$B2326)</f>
        <v>120.40063</v>
      </c>
      <c r="O2326" s="1">
        <f>value(SAR!$B2326)</f>
        <v>3564.792457</v>
      </c>
      <c r="P2326" s="1">
        <f>value(AED!$B2326)</f>
        <v>3620.81054</v>
      </c>
      <c r="Q2326" s="1">
        <f>value(KWD!$B2326)</f>
        <v>44174.86964</v>
      </c>
    </row>
    <row r="2327">
      <c r="A2327" s="4">
        <f>value(USD!A2327)</f>
        <v>42691.99861</v>
      </c>
      <c r="B2327" s="1">
        <f>value(USD!B2327)</f>
        <v>13411</v>
      </c>
      <c r="C2327" s="1">
        <f>value(AUD!$B2327)</f>
        <v>10064.99454</v>
      </c>
      <c r="D2327" s="1">
        <f>value(EUR!$B2327)</f>
        <v>14157.69634</v>
      </c>
      <c r="E2327" s="1">
        <f>value(GBP!$B2327)</f>
        <v>16501.33201</v>
      </c>
      <c r="F2327" s="1">
        <f>value(CHF!$B2327)</f>
        <v>13233.57684</v>
      </c>
      <c r="G2327" s="1">
        <f>value(SGD!$B2327)</f>
        <v>9274.02693</v>
      </c>
      <c r="H2327" s="1">
        <f>value(MYR!$B2327)</f>
        <v>3025.400174</v>
      </c>
      <c r="I2327" s="1">
        <f>value(THB!$B2327)</f>
        <v>375.4009584</v>
      </c>
      <c r="J2327" s="1">
        <f>value(VND!$B2327)</f>
        <v>0.609339149</v>
      </c>
      <c r="K2327" s="1">
        <f>value(CNY!$B2327)</f>
        <v>1940.41224</v>
      </c>
      <c r="L2327" s="1">
        <f>value(HKD!$B2327)</f>
        <v>1727.87324</v>
      </c>
      <c r="M2327" s="1">
        <f>value(TWD!$B2327)</f>
        <v>436.7516</v>
      </c>
      <c r="N2327" s="1">
        <f>value(JPY!$B2327)</f>
        <v>120.4545098</v>
      </c>
      <c r="O2327" s="1">
        <f>value(SAR!$B2327)</f>
        <v>3553.752084</v>
      </c>
      <c r="P2327" s="1">
        <f>value(AED!$B2327)</f>
        <v>3625.70978</v>
      </c>
      <c r="Q2327" s="1">
        <f>value(KWD!$B2327)</f>
        <v>44150.37979</v>
      </c>
    </row>
    <row r="2328">
      <c r="A2328" s="4">
        <f>value(USD!A2328)</f>
        <v>42692.99861</v>
      </c>
      <c r="B2328" s="1">
        <f>value(USD!B2328)</f>
        <v>13363</v>
      </c>
      <c r="C2328" s="1">
        <f>value(AUD!$B2328)</f>
        <v>10089.79686</v>
      </c>
      <c r="D2328" s="1">
        <f>value(EUR!$B2328)</f>
        <v>14263.74738</v>
      </c>
      <c r="E2328" s="1">
        <f>value(GBP!$B2328)</f>
        <v>16608.68901</v>
      </c>
      <c r="F2328" s="1">
        <f>value(CHF!$B2328)</f>
        <v>13256.83224</v>
      </c>
      <c r="G2328" s="1">
        <f>value(SGD!$B2328)</f>
        <v>9279.38207</v>
      </c>
      <c r="H2328" s="1">
        <f>value(MYR!$B2328)</f>
        <v>3050.2977</v>
      </c>
      <c r="I2328" s="1">
        <f>value(THB!$B2328)</f>
        <v>378.62511</v>
      </c>
      <c r="J2328" s="1">
        <f>value(VND!$B2328)</f>
        <v>0.601315019</v>
      </c>
      <c r="K2328" s="1">
        <f>value(CNY!$B2328)</f>
        <v>1941.19842</v>
      </c>
      <c r="L2328" s="1">
        <f>value(HKD!$B2328)</f>
        <v>1726.40875</v>
      </c>
      <c r="M2328" s="1">
        <f>value(TWD!$B2328)</f>
        <v>436.4242</v>
      </c>
      <c r="N2328" s="1">
        <f>value(JPY!$B2328)</f>
        <v>121.4350068</v>
      </c>
      <c r="O2328" s="1">
        <f>value(SAR!$B2328)</f>
        <v>3554.647762</v>
      </c>
      <c r="P2328" s="1">
        <f>value(AED!$B2328)</f>
        <v>3627.99558</v>
      </c>
      <c r="Q2328" s="1">
        <f>value(KWD!$B2328)</f>
        <v>44141.92488</v>
      </c>
    </row>
    <row r="2329">
      <c r="A2329" s="4">
        <f>value(USD!A2329)</f>
        <v>42693.99861</v>
      </c>
      <c r="B2329" s="1">
        <f>value(USD!B2329)</f>
        <v>13368.98</v>
      </c>
      <c r="C2329" s="1">
        <f>value(AUD!$B2329)</f>
        <v>10110.172</v>
      </c>
      <c r="D2329" s="1">
        <f>value(EUR!$B2329)</f>
        <v>14266.74676</v>
      </c>
      <c r="E2329" s="1">
        <f>value(GBP!$B2329)</f>
        <v>16754.00216</v>
      </c>
      <c r="F2329" s="1">
        <f>value(CHF!$B2329)</f>
        <v>13268.32254</v>
      </c>
      <c r="G2329" s="1">
        <f>value(SGD!$B2329)</f>
        <v>9280.72537</v>
      </c>
      <c r="H2329" s="1">
        <f>value(MYR!$B2329)</f>
        <v>3035.1356</v>
      </c>
      <c r="I2329" s="1">
        <f>value(THB!$B2329)</f>
        <v>377.14544</v>
      </c>
      <c r="J2329" s="1">
        <f>value(VND!$B2329)</f>
        <v>0.6044368805</v>
      </c>
      <c r="K2329" s="1">
        <f>value(CNY!$B2329)</f>
        <v>1932.8782</v>
      </c>
      <c r="L2329" s="1">
        <f>value(HKD!$B2329)</f>
        <v>1726.67693</v>
      </c>
      <c r="M2329" s="1">
        <f>value(TWD!$B2329)</f>
        <v>436.623</v>
      </c>
      <c r="N2329" s="1">
        <f>value(JPY!$B2329)</f>
        <v>121.1814436</v>
      </c>
      <c r="O2329" s="1">
        <f>value(SAR!$B2329)</f>
        <v>3552.799911</v>
      </c>
      <c r="P2329" s="1">
        <f>value(AED!$B2329)</f>
        <v>3611.13095</v>
      </c>
      <c r="Q2329" s="1">
        <f>value(KWD!$B2329)</f>
        <v>44148.31785</v>
      </c>
    </row>
    <row r="2330">
      <c r="A2330" s="4">
        <f>value(USD!A2330)</f>
        <v>42694.99861</v>
      </c>
      <c r="B2330" s="1">
        <f>value(USD!B2330)</f>
        <v>13479</v>
      </c>
      <c r="C2330" s="1">
        <f>value(AUD!$B2330)</f>
        <v>10127.8152</v>
      </c>
      <c r="D2330" s="1">
        <f>value(EUR!$B2330)</f>
        <v>14280.09648</v>
      </c>
      <c r="E2330" s="1">
        <f>value(GBP!$B2330)</f>
        <v>16684.82744</v>
      </c>
      <c r="F2330" s="1">
        <f>value(CHF!$B2330)</f>
        <v>13250.94816</v>
      </c>
      <c r="G2330" s="1">
        <f>value(SGD!$B2330)</f>
        <v>9284.3894</v>
      </c>
      <c r="H2330" s="1">
        <f>value(MYR!$B2330)</f>
        <v>3037.24384</v>
      </c>
      <c r="I2330" s="1">
        <f>value(THB!$B2330)</f>
        <v>378.37944</v>
      </c>
      <c r="J2330" s="1">
        <f>value(VND!$B2330)</f>
        <v>0.6036285514</v>
      </c>
      <c r="K2330" s="1">
        <f>value(CNY!$B2330)</f>
        <v>1935.17496</v>
      </c>
      <c r="L2330" s="1">
        <f>value(HKD!$B2330)</f>
        <v>1723.06125</v>
      </c>
      <c r="M2330" s="1">
        <f>value(TWD!$B2330)</f>
        <v>436.76856</v>
      </c>
      <c r="N2330" s="1">
        <f>value(JPY!$B2330)</f>
        <v>121.008888</v>
      </c>
      <c r="O2330" s="1">
        <f>value(SAR!$B2330)</f>
        <v>3546.354759</v>
      </c>
      <c r="P2330" s="1">
        <f>value(AED!$B2330)</f>
        <v>3624.34888</v>
      </c>
      <c r="Q2330" s="1">
        <f>value(KWD!$B2330)</f>
        <v>44098.6572</v>
      </c>
    </row>
    <row r="2331">
      <c r="A2331" s="4">
        <f>value(USD!A2331)</f>
        <v>42695.99861</v>
      </c>
      <c r="B2331" s="1">
        <f>value(USD!B2331)</f>
        <v>13412</v>
      </c>
      <c r="C2331" s="1">
        <f>value(AUD!$B2331)</f>
        <v>10215.42878</v>
      </c>
      <c r="D2331" s="1">
        <f>value(EUR!$B2331)</f>
        <v>14344.77154</v>
      </c>
      <c r="E2331" s="1">
        <f>value(GBP!$B2331)</f>
        <v>16913.63707</v>
      </c>
      <c r="F2331" s="1">
        <f>value(CHF!$B2331)</f>
        <v>13179.42492</v>
      </c>
      <c r="G2331" s="1">
        <f>value(SGD!$B2331)</f>
        <v>9283.58288</v>
      </c>
      <c r="H2331" s="1">
        <f>value(MYR!$B2331)</f>
        <v>3090.69398</v>
      </c>
      <c r="I2331" s="1">
        <f>value(THB!$B2331)</f>
        <v>381.13207</v>
      </c>
      <c r="J2331" s="1">
        <f>value(VND!$B2331)</f>
        <v>0.6038747754</v>
      </c>
      <c r="K2331" s="1">
        <f>value(CNY!$B2331)</f>
        <v>1934.20128</v>
      </c>
      <c r="L2331" s="1">
        <f>value(HKD!$B2331)</f>
        <v>1721.5212</v>
      </c>
      <c r="M2331" s="1">
        <f>value(TWD!$B2331)</f>
        <v>436.99233</v>
      </c>
      <c r="N2331" s="1">
        <f>value(JPY!$B2331)</f>
        <v>120.8097495</v>
      </c>
      <c r="O2331" s="1">
        <f>value(SAR!$B2331)</f>
        <v>3543.323861</v>
      </c>
      <c r="P2331" s="1">
        <f>value(AED!$B2331)</f>
        <v>3627.61504</v>
      </c>
      <c r="Q2331" s="1">
        <f>value(KWD!$B2331)</f>
        <v>44098.6572</v>
      </c>
    </row>
    <row r="2332">
      <c r="A2332" s="4">
        <f>value(USD!A2332)</f>
        <v>42696.99861</v>
      </c>
      <c r="B2332" s="1">
        <f>value(USD!B2332)</f>
        <v>13432</v>
      </c>
      <c r="C2332" s="1">
        <f>value(AUD!$B2332)</f>
        <v>10230.75442</v>
      </c>
      <c r="D2332" s="1">
        <f>value(EUR!$B2332)</f>
        <v>14316.02778</v>
      </c>
      <c r="E2332" s="1">
        <f>value(GBP!$B2332)</f>
        <v>16880.79464</v>
      </c>
      <c r="F2332" s="1">
        <f>value(CHF!$B2332)</f>
        <v>13097.38047</v>
      </c>
      <c r="G2332" s="1">
        <f>value(SGD!$B2332)</f>
        <v>9262.78704</v>
      </c>
      <c r="H2332" s="1">
        <f>value(MYR!$B2332)</f>
        <v>3050.14326</v>
      </c>
      <c r="I2332" s="1">
        <f>value(THB!$B2332)</f>
        <v>379.89516</v>
      </c>
      <c r="J2332" s="1">
        <f>value(VND!$B2332)</f>
        <v>0.60239621</v>
      </c>
      <c r="K2332" s="1">
        <f>value(CNY!$B2332)</f>
        <v>1934.51203</v>
      </c>
      <c r="L2332" s="1">
        <f>value(HKD!$B2332)</f>
        <v>1728.08796</v>
      </c>
      <c r="M2332" s="1">
        <f>value(TWD!$B2332)</f>
        <v>436.8304</v>
      </c>
      <c r="N2332" s="1">
        <f>value(JPY!$B2332)</f>
        <v>119.642571</v>
      </c>
      <c r="O2332" s="1">
        <f>value(SAR!$B2332)</f>
        <v>3555.543617</v>
      </c>
      <c r="P2332" s="1">
        <f>value(AED!$B2332)</f>
        <v>3627.88722</v>
      </c>
      <c r="Q2332" s="1">
        <f>value(KWD!$B2332)</f>
        <v>44201.78941</v>
      </c>
    </row>
    <row r="2333">
      <c r="A2333" s="4">
        <f>value(USD!A2333)</f>
        <v>42697.99861</v>
      </c>
      <c r="B2333" s="1">
        <f>value(USD!B2333)</f>
        <v>13607</v>
      </c>
      <c r="C2333" s="1">
        <f>value(AUD!$B2333)</f>
        <v>10242.6641</v>
      </c>
      <c r="D2333" s="1">
        <f>value(EUR!$B2333)</f>
        <v>14311.87401</v>
      </c>
      <c r="E2333" s="1">
        <f>value(GBP!$B2333)</f>
        <v>16879.9225</v>
      </c>
      <c r="F2333" s="1">
        <f>value(CHF!$B2333)</f>
        <v>13080.90652</v>
      </c>
      <c r="G2333" s="1">
        <f>value(SGD!$B2333)</f>
        <v>9298.9268</v>
      </c>
      <c r="H2333" s="1">
        <f>value(MYR!$B2333)</f>
        <v>3043.1219</v>
      </c>
      <c r="I2333" s="1">
        <f>value(THB!$B2333)</f>
        <v>379.40924</v>
      </c>
      <c r="J2333" s="1">
        <f>value(VND!$B2333)</f>
        <v>0.6048769533</v>
      </c>
      <c r="K2333" s="1">
        <f>value(CNY!$B2333)</f>
        <v>1937.332849</v>
      </c>
      <c r="L2333" s="1">
        <f>value(HKD!$B2333)</f>
        <v>1731.61515</v>
      </c>
      <c r="M2333" s="1">
        <f>value(TWD!$B2333)</f>
        <v>436.0104</v>
      </c>
      <c r="N2333" s="1">
        <f>value(JPY!$B2333)</f>
        <v>119.47873</v>
      </c>
      <c r="O2333" s="1">
        <f>value(SAR!$B2333)</f>
        <v>3576.881942</v>
      </c>
      <c r="P2333" s="1">
        <f>value(AED!$B2333)</f>
        <v>3622.98798</v>
      </c>
      <c r="Q2333" s="1">
        <f>value(KWD!$B2333)</f>
        <v>44154.49773</v>
      </c>
    </row>
    <row r="2334">
      <c r="A2334" s="4">
        <f>value(USD!A2334)</f>
        <v>42698.99861</v>
      </c>
      <c r="B2334" s="1">
        <f>value(USD!B2334)</f>
        <v>13558</v>
      </c>
      <c r="C2334" s="1">
        <f>value(AUD!$B2334)</f>
        <v>10237.31514</v>
      </c>
      <c r="D2334" s="1">
        <f>value(EUR!$B2334)</f>
        <v>14339.67845</v>
      </c>
      <c r="E2334" s="1">
        <f>value(GBP!$B2334)</f>
        <v>16880.90802</v>
      </c>
      <c r="F2334" s="1">
        <f>value(CHF!$B2334)</f>
        <v>13187.94104</v>
      </c>
      <c r="G2334" s="1">
        <f>value(SGD!$B2334)</f>
        <v>9309.0458</v>
      </c>
      <c r="H2334" s="1">
        <f>value(MYR!$B2334)</f>
        <v>3037.751537</v>
      </c>
      <c r="I2334" s="1">
        <f>value(THB!$B2334)</f>
        <v>371.9889071</v>
      </c>
      <c r="J2334" s="1">
        <f>value(VND!$B2334)</f>
        <v>0.6064733617</v>
      </c>
      <c r="K2334" s="1">
        <f>value(CNY!$B2334)</f>
        <v>1933.575</v>
      </c>
      <c r="L2334" s="1">
        <f>value(HKD!$B2334)</f>
        <v>1732.36569</v>
      </c>
      <c r="M2334" s="1">
        <f>value(TWD!$B2334)</f>
        <v>437.87142</v>
      </c>
      <c r="N2334" s="1">
        <f>value(JPY!$B2334)</f>
        <v>119.6210236</v>
      </c>
      <c r="O2334" s="1">
        <f>value(SAR!$B2334)</f>
        <v>3556.516522</v>
      </c>
      <c r="P2334" s="1">
        <f>value(AED!$B2334)</f>
        <v>3629.5203</v>
      </c>
      <c r="Q2334" s="1">
        <f>value(KWD!$B2334)</f>
        <v>44197.00559</v>
      </c>
    </row>
    <row r="2335">
      <c r="A2335" s="4">
        <f>value(USD!A2335)</f>
        <v>42699.99861</v>
      </c>
      <c r="B2335" s="1">
        <f>value(USD!B2335)</f>
        <v>13531</v>
      </c>
      <c r="C2335" s="1">
        <f>value(AUD!$B2335)</f>
        <v>10188.26004</v>
      </c>
      <c r="D2335" s="1">
        <f>value(EUR!$B2335)</f>
        <v>14301.4712</v>
      </c>
      <c r="E2335" s="1">
        <f>value(GBP!$B2335)</f>
        <v>16821.018</v>
      </c>
      <c r="F2335" s="1">
        <f>value(CHF!$B2335)</f>
        <v>13103.57846</v>
      </c>
      <c r="G2335" s="1">
        <f>value(SGD!$B2335)</f>
        <v>9332.28648</v>
      </c>
      <c r="H2335" s="1">
        <f>value(MYR!$B2335)</f>
        <v>3031.652</v>
      </c>
      <c r="I2335" s="1">
        <f>value(THB!$B2335)</f>
        <v>371.1044</v>
      </c>
      <c r="J2335" s="1">
        <f>value(VND!$B2335)</f>
        <v>0.602591008</v>
      </c>
      <c r="K2335" s="1">
        <f>value(CNY!$B2335)</f>
        <v>1936.23159</v>
      </c>
      <c r="L2335" s="1">
        <f>value(HKD!$B2335)</f>
        <v>1730.84205</v>
      </c>
      <c r="M2335" s="1">
        <f>value(TWD!$B2335)</f>
        <v>438.7608</v>
      </c>
      <c r="N2335" s="1">
        <f>value(JPY!$B2335)</f>
        <v>119.7024</v>
      </c>
      <c r="O2335" s="1">
        <f>value(SAR!$B2335)</f>
        <v>3559.541243</v>
      </c>
      <c r="P2335" s="1">
        <f>value(AED!$B2335)</f>
        <v>3627.352083</v>
      </c>
      <c r="Q2335" s="1">
        <f>value(KWD!$B2335)</f>
        <v>44203.64327</v>
      </c>
    </row>
    <row r="2336">
      <c r="A2336" s="4">
        <f>value(USD!A2336)</f>
        <v>42700.99861</v>
      </c>
      <c r="B2336" s="1">
        <f>value(USD!B2336)</f>
        <v>13531.79</v>
      </c>
      <c r="C2336" s="1">
        <f>value(AUD!$B2336)</f>
        <v>10143.4179</v>
      </c>
      <c r="D2336" s="1">
        <f>value(EUR!$B2336)</f>
        <v>14313.08052</v>
      </c>
      <c r="E2336" s="1">
        <f>value(GBP!$B2336)</f>
        <v>16723.93446</v>
      </c>
      <c r="F2336" s="1">
        <f>value(CHF!$B2336)</f>
        <v>13108.91526</v>
      </c>
      <c r="G2336" s="1">
        <f>value(SGD!$B2336)</f>
        <v>9336.8826</v>
      </c>
      <c r="H2336" s="1">
        <f>value(MYR!$B2336)</f>
        <v>3019.43079</v>
      </c>
      <c r="I2336" s="1">
        <f>value(THB!$B2336)</f>
        <v>379.02948</v>
      </c>
      <c r="J2336" s="1">
        <f>value(VND!$B2336)</f>
        <v>0.6067062142</v>
      </c>
      <c r="K2336" s="1">
        <f>value(CNY!$B2336)</f>
        <v>1939.5376</v>
      </c>
      <c r="L2336" s="1">
        <f>value(HKD!$B2336)</f>
        <v>1731.11071</v>
      </c>
      <c r="M2336" s="1">
        <f>value(TWD!$B2336)</f>
        <v>439.8294</v>
      </c>
      <c r="N2336" s="1">
        <f>value(JPY!$B2336)</f>
        <v>120.7004013</v>
      </c>
      <c r="O2336" s="1">
        <f>value(SAR!$B2336)</f>
        <v>3554.322768</v>
      </c>
      <c r="P2336" s="1">
        <f>value(AED!$B2336)</f>
        <v>3626.1036</v>
      </c>
      <c r="Q2336" s="1">
        <f>value(KWD!$B2336)</f>
        <v>44145.24108</v>
      </c>
    </row>
    <row r="2337">
      <c r="A2337" s="4">
        <f>value(USD!A2337)</f>
        <v>42701.99861</v>
      </c>
      <c r="B2337" s="1">
        <f>value(USD!B2337)</f>
        <v>13480</v>
      </c>
      <c r="C2337" s="1">
        <f>value(AUD!$B2337)</f>
        <v>10150.62318</v>
      </c>
      <c r="D2337" s="1">
        <f>value(EUR!$B2337)</f>
        <v>14374.09418</v>
      </c>
      <c r="E2337" s="1">
        <f>value(GBP!$B2337)</f>
        <v>16862.37776</v>
      </c>
      <c r="F2337" s="1">
        <f>value(CHF!$B2337)</f>
        <v>13116.42293</v>
      </c>
      <c r="G2337" s="1">
        <f>value(SGD!$B2337)</f>
        <v>9328.14432</v>
      </c>
      <c r="H2337" s="1">
        <f>value(MYR!$B2337)</f>
        <v>3024.04294</v>
      </c>
      <c r="I2337" s="1">
        <f>value(THB!$B2337)</f>
        <v>378.19102</v>
      </c>
      <c r="J2337" s="1">
        <f>value(VND!$B2337)</f>
        <v>0.6017190594</v>
      </c>
      <c r="K2337" s="1">
        <f>value(CNY!$B2337)</f>
        <v>1938.41012</v>
      </c>
      <c r="L2337" s="1">
        <f>value(HKD!$B2337)</f>
        <v>1731.86728</v>
      </c>
      <c r="M2337" s="1">
        <f>value(TWD!$B2337)</f>
        <v>441.19335</v>
      </c>
      <c r="N2337" s="1">
        <f>value(JPY!$B2337)</f>
        <v>120.0138772</v>
      </c>
      <c r="O2337" s="1">
        <f>value(SAR!$B2337)</f>
        <v>3549.575415</v>
      </c>
      <c r="P2337" s="1">
        <f>value(AED!$B2337)</f>
        <v>3624.89324</v>
      </c>
      <c r="Q2337" s="1">
        <f>value(KWD!$B2337)</f>
        <v>44135.29249</v>
      </c>
    </row>
    <row r="2338">
      <c r="A2338" s="4">
        <f>value(USD!A2338)</f>
        <v>42702.99861</v>
      </c>
      <c r="B2338" s="1">
        <f>value(USD!B2338)</f>
        <v>13479</v>
      </c>
      <c r="C2338" s="1">
        <f>value(AUD!$B2338)</f>
        <v>10132.23288</v>
      </c>
      <c r="D2338" s="1">
        <f>value(EUR!$B2338)</f>
        <v>14373.69804</v>
      </c>
      <c r="E2338" s="1">
        <f>value(GBP!$B2338)</f>
        <v>16985.358</v>
      </c>
      <c r="F2338" s="1">
        <f>value(CHF!$B2338)</f>
        <v>13127.07144</v>
      </c>
      <c r="G2338" s="1">
        <f>value(SGD!$B2338)</f>
        <v>9301.71726</v>
      </c>
      <c r="H2338" s="1">
        <f>value(MYR!$B2338)</f>
        <v>3034.56348</v>
      </c>
      <c r="I2338" s="1">
        <f>value(THB!$B2338)</f>
        <v>379.74456</v>
      </c>
      <c r="J2338" s="1">
        <f>value(VND!$B2338)</f>
        <v>0.6012023985</v>
      </c>
      <c r="K2338" s="1">
        <f>value(CNY!$B2338)</f>
        <v>1943.5339</v>
      </c>
      <c r="L2338" s="1">
        <f>value(HKD!$B2338)</f>
        <v>1732.13612</v>
      </c>
      <c r="M2338" s="1">
        <f>value(TWD!$B2338)</f>
        <v>439.13203</v>
      </c>
      <c r="N2338" s="1">
        <f>value(JPY!$B2338)</f>
        <v>118.3152672</v>
      </c>
      <c r="O2338" s="1">
        <f>value(SAR!$B2338)</f>
        <v>3549.480747</v>
      </c>
      <c r="P2338" s="1">
        <f>value(AED!$B2338)</f>
        <v>3624.62106</v>
      </c>
      <c r="Q2338" s="1">
        <f>value(KWD!$B2338)</f>
        <v>44169.83618</v>
      </c>
    </row>
    <row r="2339">
      <c r="A2339" s="4">
        <f>value(USD!A2339)</f>
        <v>42703.99861</v>
      </c>
      <c r="B2339" s="1">
        <f>value(USD!B2339)</f>
        <v>13502</v>
      </c>
      <c r="C2339" s="1">
        <f>value(AUD!$B2339)</f>
        <v>10215.99681</v>
      </c>
      <c r="D2339" s="1">
        <f>value(EUR!$B2339)</f>
        <v>14411.5398</v>
      </c>
      <c r="E2339" s="1">
        <f>value(GBP!$B2339)</f>
        <v>17015.64732</v>
      </c>
      <c r="F2339" s="1">
        <f>value(CHF!$B2339)</f>
        <v>13068.10993</v>
      </c>
      <c r="G2339" s="1">
        <f>value(SGD!$B2339)</f>
        <v>9276.74544</v>
      </c>
      <c r="H2339" s="1">
        <f>value(MYR!$B2339)</f>
        <v>3027.49128</v>
      </c>
      <c r="I2339" s="1">
        <f>value(THB!$B2339)</f>
        <v>378.36882</v>
      </c>
      <c r="J2339" s="1">
        <f>value(VND!$B2339)</f>
        <v>0.6037465818</v>
      </c>
      <c r="K2339" s="1">
        <f>value(CNY!$B2339)</f>
        <v>1942.27956</v>
      </c>
      <c r="L2339" s="1">
        <f>value(HKD!$B2339)</f>
        <v>1730.46094</v>
      </c>
      <c r="M2339" s="1">
        <f>value(TWD!$B2339)</f>
        <v>438.46803</v>
      </c>
      <c r="N2339" s="1">
        <f>value(JPY!$B2339)</f>
        <v>118.6177464</v>
      </c>
      <c r="O2339" s="1">
        <f>value(SAR!$B2339)</f>
        <v>3551.366895</v>
      </c>
      <c r="P2339" s="1">
        <f>value(AED!$B2339)</f>
        <v>3624.8874</v>
      </c>
      <c r="Q2339" s="1">
        <f>value(KWD!$B2339)</f>
        <v>44141.44415</v>
      </c>
    </row>
    <row r="2340">
      <c r="A2340" s="4">
        <f>value(USD!A2340)</f>
        <v>42704.99861</v>
      </c>
      <c r="B2340" s="1">
        <f>value(USD!B2340)</f>
        <v>13572</v>
      </c>
      <c r="C2340" s="1">
        <f>value(AUD!$B2340)</f>
        <v>10233.33077</v>
      </c>
      <c r="D2340" s="1">
        <f>value(EUR!$B2340)</f>
        <v>14356.436</v>
      </c>
      <c r="E2340" s="1">
        <f>value(GBP!$B2340)</f>
        <v>17136.599</v>
      </c>
      <c r="F2340" s="1">
        <f>value(CHF!$B2340)</f>
        <v>13068.20495</v>
      </c>
      <c r="G2340" s="1">
        <f>value(SGD!$B2340)</f>
        <v>9276.59304</v>
      </c>
      <c r="H2340" s="1">
        <f>value(MYR!$B2340)</f>
        <v>3014.6362</v>
      </c>
      <c r="I2340" s="1">
        <f>value(THB!$B2340)</f>
        <v>377.6876</v>
      </c>
      <c r="J2340" s="1">
        <f>value(VND!$B2340)</f>
        <v>0.6079012314</v>
      </c>
      <c r="K2340" s="1">
        <f>value(CNY!$B2340)</f>
        <v>1950.600093</v>
      </c>
      <c r="L2340" s="1">
        <f>value(HKD!$B2340)</f>
        <v>1738.861</v>
      </c>
      <c r="M2340" s="1">
        <f>value(TWD!$B2340)</f>
        <v>438.92695</v>
      </c>
      <c r="N2340" s="1">
        <f>value(JPY!$B2340)</f>
        <v>118.5826</v>
      </c>
      <c r="O2340" s="1">
        <f>value(SAR!$B2340)</f>
        <v>3551.272052</v>
      </c>
      <c r="P2340" s="1">
        <f>value(AED!$B2340)</f>
        <v>3625.16542</v>
      </c>
      <c r="Q2340" s="1">
        <f>value(KWD!$B2340)</f>
        <v>44203.39475</v>
      </c>
    </row>
    <row r="2341">
      <c r="A2341" s="4">
        <f>value(USD!A2341)</f>
        <v>42705.99861</v>
      </c>
      <c r="B2341" s="1">
        <f>value(USD!B2341)</f>
        <v>13518</v>
      </c>
      <c r="C2341" s="1">
        <f>value(AUD!$B2341)</f>
        <v>10226.8782</v>
      </c>
      <c r="D2341" s="1">
        <f>value(EUR!$B2341)</f>
        <v>14376.00123</v>
      </c>
      <c r="E2341" s="1">
        <f>value(GBP!$B2341)</f>
        <v>17162.56272</v>
      </c>
      <c r="F2341" s="1">
        <f>value(CHF!$B2341)</f>
        <v>13118.39326</v>
      </c>
      <c r="G2341" s="1">
        <f>value(SGD!$B2341)</f>
        <v>9322.23448</v>
      </c>
      <c r="H2341" s="1">
        <f>value(MYR!$B2341)</f>
        <v>3018.461607</v>
      </c>
      <c r="I2341" s="1">
        <f>value(THB!$B2341)</f>
        <v>378.1668648</v>
      </c>
      <c r="J2341" s="1">
        <f>value(VND!$B2341)</f>
        <v>0.6043248942</v>
      </c>
      <c r="K2341" s="1">
        <f>value(CNY!$B2341)</f>
        <v>1946.964</v>
      </c>
      <c r="L2341" s="1">
        <f>value(HKD!$B2341)</f>
        <v>1736.17138</v>
      </c>
      <c r="M2341" s="1">
        <f>value(TWD!$B2341)</f>
        <v>439.38825</v>
      </c>
      <c r="N2341" s="1">
        <f>value(JPY!$B2341)</f>
        <v>118.7330748</v>
      </c>
      <c r="O2341" s="1">
        <f>value(SAR!$B2341)</f>
        <v>3547.982406</v>
      </c>
      <c r="P2341" s="1">
        <f>value(AED!$B2341)</f>
        <v>3623.39328</v>
      </c>
      <c r="Q2341" s="1">
        <f>value(KWD!$B2341)</f>
        <v>44209.64377</v>
      </c>
    </row>
    <row r="2342">
      <c r="A2342" s="4">
        <f>value(USD!A2342)</f>
        <v>42706.99861</v>
      </c>
      <c r="B2342" s="1">
        <f>value(USD!B2342)</f>
        <v>13460</v>
      </c>
      <c r="C2342" s="1">
        <f>value(AUD!$B2342)</f>
        <v>10180.90368</v>
      </c>
      <c r="D2342" s="1">
        <f>value(EUR!$B2342)</f>
        <v>14435.3484</v>
      </c>
      <c r="E2342" s="1">
        <f>value(GBP!$B2342)</f>
        <v>17282.2892</v>
      </c>
      <c r="F2342" s="1">
        <f>value(CHF!$B2342)</f>
        <v>13191.31918</v>
      </c>
      <c r="G2342" s="1">
        <f>value(SGD!$B2342)</f>
        <v>9267.75346</v>
      </c>
      <c r="H2342" s="1">
        <f>value(MYR!$B2342)</f>
        <v>3068.5908</v>
      </c>
      <c r="I2342" s="1">
        <f>value(THB!$B2342)</f>
        <v>382.1928</v>
      </c>
      <c r="J2342" s="1">
        <f>value(VND!$B2342)</f>
        <v>0.6045835842</v>
      </c>
      <c r="K2342" s="1">
        <f>value(CNY!$B2342)</f>
        <v>1940.11992</v>
      </c>
      <c r="L2342" s="1">
        <f>value(HKD!$B2342)</f>
        <v>1742.19984</v>
      </c>
      <c r="M2342" s="1">
        <f>value(TWD!$B2342)</f>
        <v>437.96324</v>
      </c>
      <c r="N2342" s="1">
        <f>value(JPY!$B2342)</f>
        <v>120.1002</v>
      </c>
      <c r="O2342" s="1">
        <f>value(SAR!$B2342)</f>
        <v>3546.114344</v>
      </c>
      <c r="P2342" s="1">
        <f>value(AED!$B2342)</f>
        <v>3623.10907</v>
      </c>
      <c r="Q2342" s="1">
        <f>value(KWD!$B2342)</f>
        <v>44298.78999</v>
      </c>
    </row>
    <row r="2343">
      <c r="A2343" s="4">
        <f>value(USD!A2343)</f>
        <v>42707.99861</v>
      </c>
      <c r="B2343" s="1">
        <f>value(USD!B2343)</f>
        <v>13477.08</v>
      </c>
      <c r="C2343" s="1">
        <f>value(AUD!$B2343)</f>
        <v>10215.60848</v>
      </c>
      <c r="D2343" s="1">
        <f>value(EUR!$B2343)</f>
        <v>14448.80568</v>
      </c>
      <c r="E2343" s="1">
        <f>value(GBP!$B2343)</f>
        <v>17097.04128</v>
      </c>
      <c r="F2343" s="1">
        <f>value(CHF!$B2343)</f>
        <v>13195.57934</v>
      </c>
      <c r="G2343" s="1">
        <f>value(SGD!$B2343)</f>
        <v>9269.08766</v>
      </c>
      <c r="H2343" s="1">
        <f>value(MYR!$B2343)</f>
        <v>3018.66612</v>
      </c>
      <c r="I2343" s="1">
        <f>value(THB!$B2343)</f>
        <v>377.14852</v>
      </c>
      <c r="J2343" s="1">
        <f>value(VND!$B2343)</f>
        <v>0.6034613821</v>
      </c>
      <c r="K2343" s="1">
        <f>value(CNY!$B2343)</f>
        <v>1940.38308</v>
      </c>
      <c r="L2343" s="1">
        <f>value(HKD!$B2343)</f>
        <v>1743.1461</v>
      </c>
      <c r="M2343" s="1">
        <f>value(TWD!$B2343)</f>
        <v>437.15628</v>
      </c>
      <c r="N2343" s="1">
        <f>value(JPY!$B2343)</f>
        <v>117.96808</v>
      </c>
      <c r="O2343" s="1">
        <f>value(SAR!$B2343)</f>
        <v>3543.561055</v>
      </c>
      <c r="P2343" s="1">
        <f>value(AED!$B2343)</f>
        <v>3624.0767</v>
      </c>
      <c r="Q2343" s="1">
        <f>value(KWD!$B2343)</f>
        <v>44305.42701</v>
      </c>
    </row>
    <row r="2344">
      <c r="A2344" s="4">
        <f>value(USD!A2344)</f>
        <v>42708.99861</v>
      </c>
      <c r="B2344" s="1">
        <f>value(USD!B2344)</f>
        <v>13640</v>
      </c>
      <c r="C2344" s="1">
        <f>value(AUD!$B2344)</f>
        <v>10280.75096</v>
      </c>
      <c r="D2344" s="1">
        <f>value(EUR!$B2344)</f>
        <v>14250.91872</v>
      </c>
      <c r="E2344" s="1">
        <f>value(GBP!$B2344)</f>
        <v>16844.96832</v>
      </c>
      <c r="F2344" s="1">
        <f>value(CHF!$B2344)</f>
        <v>13180.93504</v>
      </c>
      <c r="G2344" s="1">
        <f>value(SGD!$B2344)</f>
        <v>9274.13864</v>
      </c>
      <c r="H2344" s="1">
        <f>value(MYR!$B2344)</f>
        <v>3007.82112</v>
      </c>
      <c r="I2344" s="1">
        <f>value(THB!$B2344)</f>
        <v>373.21872</v>
      </c>
      <c r="J2344" s="1">
        <f>value(VND!$B2344)</f>
        <v>0.6018081304</v>
      </c>
      <c r="K2344" s="1">
        <f>value(CNY!$B2344)</f>
        <v>1940.0121</v>
      </c>
      <c r="L2344" s="1">
        <f>value(HKD!$B2344)</f>
        <v>1741.42656</v>
      </c>
      <c r="M2344" s="1">
        <f>value(TWD!$B2344)</f>
        <v>438.19347</v>
      </c>
      <c r="N2344" s="1">
        <f>value(JPY!$B2344)</f>
        <v>116.552736</v>
      </c>
      <c r="O2344" s="1">
        <f>value(SAR!$B2344)</f>
        <v>3554.268285</v>
      </c>
      <c r="P2344" s="1">
        <f>value(AED!$B2344)</f>
        <v>3621.62708</v>
      </c>
      <c r="Q2344" s="1">
        <f>value(KWD!$B2344)</f>
        <v>44305.42701</v>
      </c>
    </row>
    <row r="2345">
      <c r="A2345" s="4">
        <f>value(USD!A2345)</f>
        <v>42709.99861</v>
      </c>
      <c r="B2345" s="1">
        <f>value(USD!B2345)</f>
        <v>13436</v>
      </c>
      <c r="C2345" s="1">
        <f>value(AUD!$B2345)</f>
        <v>10253.70654</v>
      </c>
      <c r="D2345" s="1">
        <f>value(EUR!$B2345)</f>
        <v>14283.92768</v>
      </c>
      <c r="E2345" s="1">
        <f>value(GBP!$B2345)</f>
        <v>16763.93851</v>
      </c>
      <c r="F2345" s="1">
        <f>value(CHF!$B2345)</f>
        <v>13199.09073</v>
      </c>
      <c r="G2345" s="1">
        <f>value(SGD!$B2345)</f>
        <v>9275.46438</v>
      </c>
      <c r="H2345" s="1">
        <f>value(MYR!$B2345)</f>
        <v>3003.12463</v>
      </c>
      <c r="I2345" s="1">
        <f>value(THB!$B2345)</f>
        <v>372.81816</v>
      </c>
      <c r="J2345" s="1">
        <f>value(VND!$B2345)</f>
        <v>0.6043852936</v>
      </c>
      <c r="K2345" s="1">
        <f>value(CNY!$B2345)</f>
        <v>1940.51975</v>
      </c>
      <c r="L2345" s="1">
        <f>value(HKD!$B2345)</f>
        <v>1740.78834</v>
      </c>
      <c r="M2345" s="1">
        <f>value(TWD!$B2345)</f>
        <v>436.91016</v>
      </c>
      <c r="N2345" s="1">
        <f>value(JPY!$B2345)</f>
        <v>116.70483</v>
      </c>
      <c r="O2345" s="1">
        <f>value(SAR!$B2345)</f>
        <v>3555.81059</v>
      </c>
      <c r="P2345" s="1">
        <f>value(AED!$B2345)</f>
        <v>3627.07068</v>
      </c>
      <c r="Q2345" s="1">
        <f>value(KWD!$B2345)</f>
        <v>44259.40325</v>
      </c>
    </row>
    <row r="2346">
      <c r="A2346" s="4">
        <f>value(USD!A2346)</f>
        <v>42710.99861</v>
      </c>
      <c r="B2346" s="1">
        <f>value(USD!B2346)</f>
        <v>13296</v>
      </c>
      <c r="C2346" s="1">
        <f>value(AUD!$B2346)</f>
        <v>10225.44432</v>
      </c>
      <c r="D2346" s="1">
        <f>value(EUR!$B2346)</f>
        <v>14130.17364</v>
      </c>
      <c r="E2346" s="1">
        <f>value(GBP!$B2346)</f>
        <v>16740.2786</v>
      </c>
      <c r="F2346" s="1">
        <f>value(CHF!$B2346)</f>
        <v>13254.91536</v>
      </c>
      <c r="G2346" s="1">
        <f>value(SGD!$B2346)</f>
        <v>9245.2196</v>
      </c>
      <c r="H2346" s="1">
        <f>value(MYR!$B2346)</f>
        <v>3006.35764</v>
      </c>
      <c r="I2346" s="1">
        <f>value(THB!$B2346)</f>
        <v>373.36636</v>
      </c>
      <c r="J2346" s="1">
        <f>value(VND!$B2346)</f>
        <v>0.6051797236</v>
      </c>
      <c r="K2346" s="1">
        <f>value(CNY!$B2346)</f>
        <v>1940.49495</v>
      </c>
      <c r="L2346" s="1">
        <f>value(HKD!$B2346)</f>
        <v>1732.8027</v>
      </c>
      <c r="M2346" s="1">
        <f>value(TWD!$B2346)</f>
        <v>435.5211</v>
      </c>
      <c r="N2346" s="1">
        <f>value(JPY!$B2346)</f>
        <v>116.6058004</v>
      </c>
      <c r="O2346" s="1">
        <f>value(SAR!$B2346)</f>
        <v>3545.255618</v>
      </c>
      <c r="P2346" s="1">
        <f>value(AED!$B2346)</f>
        <v>3627.34286</v>
      </c>
      <c r="Q2346" s="1">
        <f>value(KWD!$B2346)</f>
        <v>44299.21084</v>
      </c>
    </row>
    <row r="2347">
      <c r="A2347" s="4">
        <f>value(USD!A2347)</f>
        <v>42711.99861</v>
      </c>
      <c r="B2347" s="1">
        <f>value(USD!B2347)</f>
        <v>13277</v>
      </c>
      <c r="C2347" s="1">
        <f>value(AUD!$B2347)</f>
        <v>10240.31671</v>
      </c>
      <c r="D2347" s="1">
        <f>value(EUR!$B2347)</f>
        <v>14087.11545</v>
      </c>
      <c r="E2347" s="1">
        <f>value(GBP!$B2347)</f>
        <v>16780.40335</v>
      </c>
      <c r="F2347" s="1">
        <f>value(CHF!$B2347)</f>
        <v>13262.9063</v>
      </c>
      <c r="G2347" s="1">
        <f>value(SGD!$B2347)</f>
        <v>9283.2651</v>
      </c>
      <c r="H2347" s="1">
        <f>value(MYR!$B2347)</f>
        <v>3015.1693</v>
      </c>
      <c r="I2347" s="1">
        <f>value(THB!$B2347)</f>
        <v>373.66</v>
      </c>
      <c r="J2347" s="1">
        <f>value(VND!$B2347)</f>
        <v>0.6070579724</v>
      </c>
      <c r="K2347" s="1">
        <f>value(CNY!$B2347)</f>
        <v>1940.49495</v>
      </c>
      <c r="L2347" s="1">
        <f>value(HKD!$B2347)</f>
        <v>1720.95764</v>
      </c>
      <c r="M2347" s="1">
        <f>value(TWD!$B2347)</f>
        <v>422.0292193</v>
      </c>
      <c r="N2347" s="1">
        <f>value(JPY!$B2347)</f>
        <v>115.70115</v>
      </c>
      <c r="O2347" s="1">
        <f>value(SAR!$B2347)</f>
        <v>3547.534433</v>
      </c>
      <c r="P2347" s="1">
        <f>value(AED!$B2347)</f>
        <v>3633.33082</v>
      </c>
      <c r="Q2347" s="1">
        <f>value(KWD!$B2347)</f>
        <v>44271.25665</v>
      </c>
    </row>
    <row r="2348">
      <c r="A2348" s="4">
        <f>value(USD!A2348)</f>
        <v>42712.99861</v>
      </c>
      <c r="B2348" s="1">
        <f>value(USD!B2348)</f>
        <v>13306</v>
      </c>
      <c r="C2348" s="1">
        <f>value(AUD!$B2348)</f>
        <v>10237.047</v>
      </c>
      <c r="D2348" s="1">
        <f>value(EUR!$B2348)</f>
        <v>14100.8627</v>
      </c>
      <c r="E2348" s="1">
        <f>value(GBP!$B2348)</f>
        <v>16790.38108</v>
      </c>
      <c r="F2348" s="1">
        <f>value(CHF!$B2348)</f>
        <v>13290.90922</v>
      </c>
      <c r="G2348" s="1">
        <f>value(SGD!$B2348)</f>
        <v>9297.57024</v>
      </c>
      <c r="H2348" s="1">
        <f>value(MYR!$B2348)</f>
        <v>3016.554312</v>
      </c>
      <c r="I2348" s="1">
        <f>value(THB!$B2348)</f>
        <v>373.83164</v>
      </c>
      <c r="J2348" s="1">
        <f>value(VND!$B2348)</f>
        <v>0.6070579724</v>
      </c>
      <c r="K2348" s="1">
        <f>value(CNY!$B2348)</f>
        <v>1930.38112</v>
      </c>
      <c r="L2348" s="1">
        <f>value(HKD!$B2348)</f>
        <v>1717.35186</v>
      </c>
      <c r="M2348" s="1">
        <f>value(TWD!$B2348)</f>
        <v>436.62845</v>
      </c>
      <c r="N2348" s="1">
        <f>value(JPY!$B2348)</f>
        <v>115.6207858</v>
      </c>
      <c r="O2348" s="1">
        <f>value(SAR!$B2348)</f>
        <v>3546.716433</v>
      </c>
      <c r="P2348" s="1">
        <f>value(AED!$B2348)</f>
        <v>3635.893183</v>
      </c>
      <c r="Q2348" s="1">
        <f>value(KWD!$B2348)</f>
        <v>44366.2902</v>
      </c>
    </row>
    <row r="2349">
      <c r="A2349" s="4">
        <f>value(USD!A2349)</f>
        <v>42713.99861</v>
      </c>
      <c r="B2349" s="1">
        <f>value(USD!B2349)</f>
        <v>13345</v>
      </c>
      <c r="C2349" s="1">
        <f>value(AUD!$B2349)</f>
        <v>10259.97237</v>
      </c>
      <c r="D2349" s="1">
        <f>value(EUR!$B2349)</f>
        <v>14086.2922</v>
      </c>
      <c r="E2349" s="1">
        <f>value(GBP!$B2349)</f>
        <v>16824.34363</v>
      </c>
      <c r="F2349" s="1">
        <f>value(CHF!$B2349)</f>
        <v>13355.63353</v>
      </c>
      <c r="G2349" s="1">
        <f>value(SGD!$B2349)</f>
        <v>9329.21788</v>
      </c>
      <c r="H2349" s="1">
        <f>value(MYR!$B2349)</f>
        <v>3017.88058</v>
      </c>
      <c r="I2349" s="1">
        <f>value(THB!$B2349)</f>
        <v>373.86243</v>
      </c>
      <c r="J2349" s="1">
        <f>value(VND!$B2349)</f>
        <v>0.6048109883</v>
      </c>
      <c r="K2349" s="1">
        <f>value(CNY!$B2349)</f>
        <v>1941.22467</v>
      </c>
      <c r="L2349" s="1">
        <f>value(HKD!$B2349)</f>
        <v>1719.91722</v>
      </c>
      <c r="M2349" s="1">
        <f>value(TWD!$B2349)</f>
        <v>432.90002</v>
      </c>
      <c r="N2349" s="1">
        <f>value(JPY!$B2349)</f>
        <v>115.711691</v>
      </c>
      <c r="O2349" s="1">
        <f>value(SAR!$B2349)</f>
        <v>3547.922427</v>
      </c>
      <c r="P2349" s="1">
        <f>value(AED!$B2349)</f>
        <v>3634.54273</v>
      </c>
      <c r="Q2349" s="1">
        <f>value(KWD!$B2349)</f>
        <v>44316.88818</v>
      </c>
    </row>
    <row r="2350">
      <c r="A2350" s="4">
        <f>value(USD!A2350)</f>
        <v>42714.99861</v>
      </c>
      <c r="B2350" s="1">
        <f>value(USD!B2350)</f>
        <v>13351.13</v>
      </c>
      <c r="C2350" s="1">
        <f>value(AUD!$B2350)</f>
        <v>10253.06648</v>
      </c>
      <c r="D2350" s="1">
        <f>value(EUR!$B2350)</f>
        <v>14127.792</v>
      </c>
      <c r="E2350" s="1">
        <f>value(GBP!$B2350)</f>
        <v>16829.865</v>
      </c>
      <c r="F2350" s="1">
        <f>value(CHF!$B2350)</f>
        <v>13354.69602</v>
      </c>
      <c r="G2350" s="1">
        <f>value(SGD!$B2350)</f>
        <v>9327.35406</v>
      </c>
      <c r="H2350" s="1">
        <f>value(MYR!$B2350)</f>
        <v>3006.1392</v>
      </c>
      <c r="I2350" s="1">
        <f>value(THB!$B2350)</f>
        <v>373.1118</v>
      </c>
      <c r="J2350" s="1">
        <f>value(VND!$B2350)</f>
        <v>0.6038500949</v>
      </c>
      <c r="K2350" s="1">
        <f>value(CNY!$B2350)</f>
        <v>1949.86351</v>
      </c>
      <c r="L2350" s="1">
        <f>value(HKD!$B2350)</f>
        <v>1720.18406</v>
      </c>
      <c r="M2350" s="1">
        <f>value(TWD!$B2350)</f>
        <v>433.55242</v>
      </c>
      <c r="N2350" s="1">
        <f>value(JPY!$B2350)</f>
        <v>115.425654</v>
      </c>
      <c r="O2350" s="1">
        <f>value(SAR!$B2350)</f>
        <v>3548.017152</v>
      </c>
      <c r="P2350" s="1">
        <f>value(AED!$B2350)</f>
        <v>3631.42556</v>
      </c>
      <c r="Q2350" s="1">
        <f>value(KWD!$B2350)</f>
        <v>44306.93529</v>
      </c>
    </row>
    <row r="2351">
      <c r="A2351" s="4">
        <f>value(USD!A2351)</f>
        <v>42715.99861</v>
      </c>
      <c r="B2351" s="1">
        <f>value(USD!B2351)</f>
        <v>13357</v>
      </c>
      <c r="C2351" s="1">
        <f>value(AUD!$B2351)</f>
        <v>10264.79142</v>
      </c>
      <c r="D2351" s="1">
        <f>value(EUR!$B2351)</f>
        <v>14110.7968</v>
      </c>
      <c r="E2351" s="1">
        <f>value(GBP!$B2351)</f>
        <v>16811.6832</v>
      </c>
      <c r="F2351" s="1">
        <f>value(CHF!$B2351)</f>
        <v>13391.38746</v>
      </c>
      <c r="G2351" s="1">
        <f>value(SGD!$B2351)</f>
        <v>9321.49634</v>
      </c>
      <c r="H2351" s="1">
        <f>value(MYR!$B2351)</f>
        <v>2995.7024</v>
      </c>
      <c r="I2351" s="1">
        <f>value(THB!$B2351)</f>
        <v>373.0352</v>
      </c>
      <c r="J2351" s="1">
        <f>value(VND!$B2351)</f>
        <v>0.6096901957</v>
      </c>
      <c r="K2351" s="1">
        <f>value(CNY!$B2351)</f>
        <v>1945.58976</v>
      </c>
      <c r="L2351" s="1">
        <f>value(HKD!$B2351)</f>
        <v>1721.47794</v>
      </c>
      <c r="M2351" s="1">
        <f>value(TWD!$B2351)</f>
        <v>436.68053</v>
      </c>
      <c r="N2351" s="1">
        <f>value(JPY!$B2351)</f>
        <v>115.23056</v>
      </c>
      <c r="O2351" s="1">
        <f>value(SAR!$B2351)</f>
        <v>3546.199569</v>
      </c>
      <c r="P2351" s="1">
        <f>value(AED!$B2351)</f>
        <v>3634.69172</v>
      </c>
      <c r="Q2351" s="1">
        <f>value(KWD!$B2351)</f>
        <v>44306.93529</v>
      </c>
    </row>
    <row r="2352">
      <c r="A2352" s="4">
        <f>value(USD!A2352)</f>
        <v>42716.99861</v>
      </c>
      <c r="B2352" s="1">
        <f>value(USD!B2352)</f>
        <v>13278</v>
      </c>
      <c r="C2352" s="1">
        <f>value(AUD!$B2352)</f>
        <v>10276.37325</v>
      </c>
      <c r="D2352" s="1">
        <f>value(EUR!$B2352)</f>
        <v>14103.6598</v>
      </c>
      <c r="E2352" s="1">
        <f>value(GBP!$B2352)</f>
        <v>16818.65792</v>
      </c>
      <c r="F2352" s="1">
        <f>value(CHF!$B2352)</f>
        <v>13378.3625</v>
      </c>
      <c r="G2352" s="1">
        <f>value(SGD!$B2352)</f>
        <v>9335.08919</v>
      </c>
      <c r="H2352" s="1">
        <f>value(MYR!$B2352)</f>
        <v>3016.23222</v>
      </c>
      <c r="I2352" s="1">
        <f>value(THB!$B2352)</f>
        <v>375.704</v>
      </c>
      <c r="J2352" s="1">
        <f>value(VND!$B2352)</f>
        <v>0.6030432397</v>
      </c>
      <c r="K2352" s="1">
        <f>value(CNY!$B2352)</f>
        <v>1941.22468</v>
      </c>
      <c r="L2352" s="1">
        <f>value(HKD!$B2352)</f>
        <v>1716.44088</v>
      </c>
      <c r="M2352" s="1">
        <f>value(TWD!$B2352)</f>
        <v>437.57696</v>
      </c>
      <c r="N2352" s="1">
        <f>value(JPY!$B2352)</f>
        <v>114.4582236</v>
      </c>
      <c r="O2352" s="1">
        <f>value(SAR!$B2352)</f>
        <v>3539.697685</v>
      </c>
      <c r="P2352" s="1">
        <f>value(AED!$B2352)</f>
        <v>3633.603</v>
      </c>
      <c r="Q2352" s="1">
        <f>value(KWD!$B2352)</f>
        <v>44273.3904</v>
      </c>
    </row>
    <row r="2353">
      <c r="A2353" s="4">
        <f>value(USD!A2353)</f>
        <v>42717.99861</v>
      </c>
      <c r="B2353" s="1">
        <f>value(USD!B2353)</f>
        <v>13280</v>
      </c>
      <c r="C2353" s="1">
        <f>value(AUD!$B2353)</f>
        <v>10216.60932</v>
      </c>
      <c r="D2353" s="1">
        <f>value(EUR!$B2353)</f>
        <v>13969.16582</v>
      </c>
      <c r="E2353" s="1">
        <f>value(GBP!$B2353)</f>
        <v>16658.87598</v>
      </c>
      <c r="F2353" s="1">
        <f>value(CHF!$B2353)</f>
        <v>13325.05566</v>
      </c>
      <c r="G2353" s="1">
        <f>value(SGD!$B2353)</f>
        <v>9373.41408</v>
      </c>
      <c r="H2353" s="1">
        <f>value(MYR!$B2353)</f>
        <v>3002.18646</v>
      </c>
      <c r="I2353" s="1">
        <f>value(THB!$B2353)</f>
        <v>374.83745</v>
      </c>
      <c r="J2353" s="1">
        <f>value(VND!$B2353)</f>
        <v>0.6037467066</v>
      </c>
      <c r="K2353" s="1">
        <f>value(CNY!$B2353)</f>
        <v>1931.4858</v>
      </c>
      <c r="L2353" s="1">
        <f>value(HKD!$B2353)</f>
        <v>1713.87445</v>
      </c>
      <c r="M2353" s="1">
        <f>value(TWD!$B2353)</f>
        <v>436.81209</v>
      </c>
      <c r="N2353" s="1">
        <f>value(JPY!$B2353)</f>
        <v>113.390005</v>
      </c>
      <c r="O2353" s="1">
        <f>value(SAR!$B2353)</f>
        <v>3553.924121</v>
      </c>
      <c r="P2353" s="1">
        <f>value(AED!$B2353)</f>
        <v>3639.59096</v>
      </c>
      <c r="Q2353" s="1">
        <f>value(KWD!$B2353)</f>
        <v>44210.35125</v>
      </c>
    </row>
    <row r="2354">
      <c r="A2354" s="4">
        <f>value(USD!A2354)</f>
        <v>42718.99861</v>
      </c>
      <c r="B2354" s="1">
        <f>value(USD!B2354)</f>
        <v>13418</v>
      </c>
      <c r="C2354" s="1">
        <f>value(AUD!$B2354)</f>
        <v>10221.4056</v>
      </c>
      <c r="D2354" s="1">
        <f>value(EUR!$B2354)</f>
        <v>14010.66183</v>
      </c>
      <c r="E2354" s="1">
        <f>value(GBP!$B2354)</f>
        <v>16754.5455</v>
      </c>
      <c r="F2354" s="1">
        <f>value(CHF!$B2354)</f>
        <v>13326.12016</v>
      </c>
      <c r="G2354" s="1">
        <f>value(SGD!$B2354)</f>
        <v>9350.978</v>
      </c>
      <c r="H2354" s="1">
        <f>value(MYR!$B2354)</f>
        <v>2994.09561</v>
      </c>
      <c r="I2354" s="1">
        <f>value(THB!$B2354)</f>
        <v>373.44065</v>
      </c>
      <c r="J2354" s="1">
        <f>value(VND!$B2354)</f>
        <v>0.6063853499</v>
      </c>
      <c r="K2354" s="1">
        <f>value(CNY!$B2354)</f>
        <v>1933.866183</v>
      </c>
      <c r="L2354" s="1">
        <f>value(HKD!$B2354)</f>
        <v>1707.42695</v>
      </c>
      <c r="M2354" s="1">
        <f>value(TWD!$B2354)</f>
        <v>436.84498</v>
      </c>
      <c r="N2354" s="1">
        <f>value(JPY!$B2354)</f>
        <v>113.70832</v>
      </c>
      <c r="O2354" s="1">
        <f>value(SAR!$B2354)</f>
        <v>3549.343059</v>
      </c>
      <c r="P2354" s="1">
        <f>value(AED!$B2354)</f>
        <v>3635.78044</v>
      </c>
      <c r="Q2354" s="1">
        <f>value(KWD!$B2354)</f>
        <v>44296.61535</v>
      </c>
    </row>
    <row r="2355">
      <c r="A2355" s="4">
        <f>value(USD!A2355)</f>
        <v>42719.99861</v>
      </c>
      <c r="B2355" s="1">
        <f>value(USD!B2355)</f>
        <v>13411</v>
      </c>
      <c r="C2355" s="1">
        <f>value(AUD!$B2355)</f>
        <v>10218.97504</v>
      </c>
      <c r="D2355" s="1">
        <f>value(EUR!$B2355)</f>
        <v>14015.0868</v>
      </c>
      <c r="E2355" s="1">
        <f>value(GBP!$B2355)</f>
        <v>16746.5001</v>
      </c>
      <c r="F2355" s="1">
        <f>value(CHF!$B2355)</f>
        <v>13385.6613</v>
      </c>
      <c r="G2355" s="1">
        <f>value(SGD!$B2355)</f>
        <v>9380.11848</v>
      </c>
      <c r="H2355" s="1">
        <f>value(MYR!$B2355)</f>
        <v>2994.09561</v>
      </c>
      <c r="I2355" s="1">
        <f>value(THB!$B2355)</f>
        <v>366.87024</v>
      </c>
      <c r="J2355" s="1">
        <f>value(VND!$B2355)</f>
        <v>0.6082261645</v>
      </c>
      <c r="K2355" s="1">
        <f>value(CNY!$B2355)</f>
        <v>1925.04444</v>
      </c>
      <c r="L2355" s="1">
        <f>value(HKD!$B2355)</f>
        <v>1709.48652</v>
      </c>
      <c r="M2355" s="1">
        <f>value(TWD!$B2355)</f>
        <v>436.87656</v>
      </c>
      <c r="N2355" s="1">
        <f>value(JPY!$B2355)</f>
        <v>113.70832</v>
      </c>
      <c r="O2355" s="1">
        <f>value(SAR!$B2355)</f>
        <v>3547.0438</v>
      </c>
      <c r="P2355" s="1">
        <f>value(AED!$B2355)</f>
        <v>3636.982508</v>
      </c>
      <c r="Q2355" s="1">
        <f>value(KWD!$B2355)</f>
        <v>44236.89405</v>
      </c>
    </row>
    <row r="2356">
      <c r="A2356" s="4">
        <f>value(USD!A2356)</f>
        <v>42720.99861</v>
      </c>
      <c r="B2356" s="1">
        <f>value(USD!B2356)</f>
        <v>13409</v>
      </c>
      <c r="C2356" s="1">
        <f>value(AUD!$B2356)</f>
        <v>10238.21606</v>
      </c>
      <c r="D2356" s="1">
        <f>value(EUR!$B2356)</f>
        <v>13978.5435</v>
      </c>
      <c r="E2356" s="1">
        <f>value(GBP!$B2356)</f>
        <v>16713.62721</v>
      </c>
      <c r="F2356" s="1">
        <f>value(CHF!$B2356)</f>
        <v>13363.6785</v>
      </c>
      <c r="G2356" s="1">
        <f>value(SGD!$B2356)</f>
        <v>9397.73417</v>
      </c>
      <c r="H2356" s="1">
        <f>value(MYR!$B2356)</f>
        <v>2988.29007</v>
      </c>
      <c r="I2356" s="1">
        <f>value(THB!$B2356)</f>
        <v>365.89122</v>
      </c>
      <c r="J2356" s="1">
        <f>value(VND!$B2356)</f>
        <v>0.6084909865</v>
      </c>
      <c r="K2356" s="1">
        <f>value(CNY!$B2356)</f>
        <v>1934.45658</v>
      </c>
      <c r="L2356" s="1">
        <f>value(HKD!$B2356)</f>
        <v>1716.44509</v>
      </c>
      <c r="M2356" s="1">
        <f>value(TWD!$B2356)</f>
        <v>437.41026</v>
      </c>
      <c r="N2356" s="1">
        <f>value(JPY!$B2356)</f>
        <v>113.568138</v>
      </c>
      <c r="O2356" s="1">
        <f>value(SAR!$B2356)</f>
        <v>3544.908474</v>
      </c>
      <c r="P2356" s="1">
        <f>value(AED!$B2356)</f>
        <v>3635.63165</v>
      </c>
      <c r="Q2356" s="1">
        <f>value(KWD!$B2356)</f>
        <v>44263.43685</v>
      </c>
    </row>
    <row r="2357">
      <c r="A2357" s="4">
        <f>value(USD!A2357)</f>
        <v>42721.99861</v>
      </c>
      <c r="B2357" s="1">
        <f>value(USD!B2357)</f>
        <v>13409</v>
      </c>
      <c r="C2357" s="1">
        <f>value(AUD!$B2357)</f>
        <v>10232.46483</v>
      </c>
      <c r="D2357" s="1">
        <f>value(EUR!$B2357)</f>
        <v>13909.3458</v>
      </c>
      <c r="E2357" s="1">
        <f>value(GBP!$B2357)</f>
        <v>16561.419</v>
      </c>
      <c r="F2357" s="1">
        <f>value(CHF!$B2357)</f>
        <v>13381.01208</v>
      </c>
      <c r="G2357" s="1">
        <f>value(SGD!$B2357)</f>
        <v>9395.32343</v>
      </c>
      <c r="H2357" s="1">
        <f>value(MYR!$B2357)</f>
        <v>2984.0503</v>
      </c>
      <c r="I2357" s="1">
        <f>value(THB!$B2357)</f>
        <v>372.3545</v>
      </c>
      <c r="J2357" s="1">
        <f>value(VND!$B2357)</f>
        <v>0.60625837</v>
      </c>
      <c r="K2357" s="1">
        <f>value(CNY!$B2357)</f>
        <v>1931.98632</v>
      </c>
      <c r="L2357" s="1">
        <f>value(HKD!$B2357)</f>
        <v>1716.71135</v>
      </c>
      <c r="M2357" s="1">
        <f>value(TWD!$B2357)</f>
        <v>437.17248</v>
      </c>
      <c r="N2357" s="1">
        <f>value(JPY!$B2357)</f>
        <v>114.20654</v>
      </c>
      <c r="O2357" s="1">
        <f>value(SAR!$B2357)</f>
        <v>3545.333244</v>
      </c>
      <c r="P2357" s="1">
        <f>value(AED!$B2357)</f>
        <v>3631.96992</v>
      </c>
      <c r="Q2357" s="1">
        <f>value(KWD!$B2357)</f>
        <v>44263.43685</v>
      </c>
    </row>
    <row r="2358">
      <c r="A2358" s="4">
        <f>value(USD!A2358)</f>
        <v>42722.99861</v>
      </c>
      <c r="B2358" s="1">
        <f>value(USD!B2358)</f>
        <v>13383</v>
      </c>
      <c r="C2358" s="1">
        <f>value(AUD!$B2358)</f>
        <v>10253.71872</v>
      </c>
      <c r="D2358" s="1">
        <f>value(EUR!$B2358)</f>
        <v>13943.61374</v>
      </c>
      <c r="E2358" s="1">
        <f>value(GBP!$B2358)</f>
        <v>16591.71125</v>
      </c>
      <c r="F2358" s="1">
        <f>value(CHF!$B2358)</f>
        <v>13357.9824</v>
      </c>
      <c r="G2358" s="1">
        <f>value(SGD!$B2358)</f>
        <v>9435.54498</v>
      </c>
      <c r="H2358" s="1">
        <f>value(MYR!$B2358)</f>
        <v>2994.35931</v>
      </c>
      <c r="I2358" s="1">
        <f>value(THB!$B2358)</f>
        <v>372.83538</v>
      </c>
      <c r="J2358" s="1">
        <f>value(VND!$B2358)</f>
        <v>0.6059941713</v>
      </c>
      <c r="K2358" s="1">
        <f>value(CNY!$B2358)</f>
        <v>1933.94856</v>
      </c>
      <c r="L2358" s="1">
        <f>value(HKD!$B2358)</f>
        <v>1716.44509</v>
      </c>
      <c r="M2358" s="1">
        <f>value(TWD!$B2358)</f>
        <v>438.45098</v>
      </c>
      <c r="N2358" s="1">
        <f>value(JPY!$B2358)</f>
        <v>113.823501</v>
      </c>
      <c r="O2358" s="1">
        <f>value(SAR!$B2358)</f>
        <v>3554.380797</v>
      </c>
      <c r="P2358" s="1">
        <f>value(AED!$B2358)</f>
        <v>3626.7985</v>
      </c>
      <c r="Q2358" s="1">
        <f>value(KWD!$B2358)</f>
        <v>44256.80115</v>
      </c>
    </row>
    <row r="2359">
      <c r="A2359" s="4">
        <f>value(USD!A2359)</f>
        <v>42723.99861</v>
      </c>
      <c r="B2359" s="1">
        <f>value(USD!B2359)</f>
        <v>13370</v>
      </c>
      <c r="C2359" s="1">
        <f>value(AUD!$B2359)</f>
        <v>10123.09354</v>
      </c>
      <c r="D2359" s="1">
        <f>value(EUR!$B2359)</f>
        <v>14011.5014</v>
      </c>
      <c r="E2359" s="1">
        <f>value(GBP!$B2359)</f>
        <v>16599.8528</v>
      </c>
      <c r="F2359" s="1">
        <f>value(CHF!$B2359)</f>
        <v>13411.359</v>
      </c>
      <c r="G2359" s="1">
        <f>value(SGD!$B2359)</f>
        <v>9410.22675</v>
      </c>
      <c r="H2359" s="1">
        <f>value(MYR!$B2359)</f>
        <v>2998.37529</v>
      </c>
      <c r="I2359" s="1">
        <f>value(THB!$B2359)</f>
        <v>373.33542</v>
      </c>
      <c r="J2359" s="1">
        <f>value(VND!$B2359)</f>
        <v>0.6058652318</v>
      </c>
      <c r="K2359" s="1">
        <f>value(CNY!$B2359)</f>
        <v>1939.54813</v>
      </c>
      <c r="L2359" s="1">
        <f>value(HKD!$B2359)</f>
        <v>1720.95308</v>
      </c>
      <c r="M2359" s="1">
        <f>value(TWD!$B2359)</f>
        <v>437.72979</v>
      </c>
      <c r="N2359" s="1">
        <f>value(JPY!$B2359)</f>
        <v>114.258378</v>
      </c>
      <c r="O2359" s="1">
        <f>value(SAR!$B2359)</f>
        <v>3546.121998</v>
      </c>
      <c r="P2359" s="1">
        <f>value(AED!$B2359)</f>
        <v>3633.87518</v>
      </c>
      <c r="Q2359" s="1">
        <f>value(KWD!$B2359)</f>
        <v>44137.35855</v>
      </c>
    </row>
    <row r="2360">
      <c r="A2360" s="4">
        <f>value(USD!A2360)</f>
        <v>42724.99861</v>
      </c>
      <c r="B2360" s="1">
        <f>value(USD!B2360)</f>
        <v>13421</v>
      </c>
      <c r="C2360" s="1">
        <f>value(AUD!$B2360)</f>
        <v>10114.43412</v>
      </c>
      <c r="D2360" s="1">
        <f>value(EUR!$B2360)</f>
        <v>14036.45232</v>
      </c>
      <c r="E2360" s="1">
        <f>value(GBP!$B2360)</f>
        <v>16518.59976</v>
      </c>
      <c r="F2360" s="1">
        <f>value(CHF!$B2360)</f>
        <v>13489.126</v>
      </c>
      <c r="G2360" s="1">
        <f>value(SGD!$B2360)</f>
        <v>9384.49596</v>
      </c>
      <c r="H2360" s="1">
        <f>value(MYR!$B2360)</f>
        <v>2998.72353</v>
      </c>
      <c r="I2360" s="1">
        <f>value(THB!$B2360)</f>
        <v>373.07526</v>
      </c>
      <c r="J2360" s="1">
        <f>value(VND!$B2360)</f>
        <v>0.6060009758</v>
      </c>
      <c r="K2360" s="1">
        <f>value(CNY!$B2360)</f>
        <v>1942.81346</v>
      </c>
      <c r="L2360" s="1">
        <f>value(HKD!$B2360)</f>
        <v>1714.12032</v>
      </c>
      <c r="M2360" s="1">
        <f>value(TWD!$B2360)</f>
        <v>437.70556</v>
      </c>
      <c r="N2360" s="1">
        <f>value(JPY!$B2360)</f>
        <v>114.383745</v>
      </c>
      <c r="O2360" s="1">
        <f>value(SAR!$B2360)</f>
        <v>3547.189946</v>
      </c>
      <c r="P2360" s="1">
        <f>value(AED!$B2360)</f>
        <v>3628.97594</v>
      </c>
      <c r="Q2360" s="1">
        <f>value(KWD!$B2360)</f>
        <v>44229.54756</v>
      </c>
    </row>
    <row r="2361">
      <c r="A2361" s="4">
        <f>value(USD!A2361)</f>
        <v>42725.99861</v>
      </c>
      <c r="B2361" s="1">
        <f>value(USD!B2361)</f>
        <v>13439</v>
      </c>
      <c r="C2361" s="1">
        <f>value(AUD!$B2361)</f>
        <v>10125.3308</v>
      </c>
      <c r="D2361" s="1">
        <f>value(EUR!$B2361)</f>
        <v>14039.23129</v>
      </c>
      <c r="E2361" s="1">
        <f>value(GBP!$B2361)</f>
        <v>16490.88812</v>
      </c>
      <c r="F2361" s="1">
        <f>value(CHF!$B2361)</f>
        <v>13449.2448</v>
      </c>
      <c r="G2361" s="1">
        <f>value(SGD!$B2361)</f>
        <v>9422.13528</v>
      </c>
      <c r="H2361" s="1">
        <f>value(MYR!$B2361)</f>
        <v>3000.79787</v>
      </c>
      <c r="I2361" s="1">
        <f>value(THB!$B2361)</f>
        <v>373.03441</v>
      </c>
      <c r="J2361" s="1">
        <f>value(VND!$B2361)</f>
        <v>0.6061879553</v>
      </c>
      <c r="K2361" s="1">
        <f>value(CNY!$B2361)</f>
        <v>1945.98026</v>
      </c>
      <c r="L2361" s="1">
        <f>value(HKD!$B2361)</f>
        <v>1723.5267</v>
      </c>
      <c r="M2361" s="1">
        <f>value(TWD!$B2361)</f>
        <v>431.54765</v>
      </c>
      <c r="N2361" s="1">
        <f>value(JPY!$B2361)</f>
        <v>114.58349</v>
      </c>
      <c r="O2361" s="1">
        <f>value(SAR!$B2361)</f>
        <v>3549.325842</v>
      </c>
      <c r="P2361" s="1">
        <f>value(AED!$B2361)</f>
        <v>3631.15338</v>
      </c>
      <c r="Q2361" s="1">
        <f>value(KWD!$B2361)</f>
        <v>44306.36187</v>
      </c>
    </row>
    <row r="2362">
      <c r="A2362" s="4">
        <f>value(USD!A2362)</f>
        <v>42726.99861</v>
      </c>
      <c r="B2362" s="1">
        <f>value(USD!B2362)</f>
        <v>13449</v>
      </c>
      <c r="C2362" s="1">
        <f>value(AUD!$B2362)</f>
        <v>10083.71154</v>
      </c>
      <c r="D2362" s="1">
        <f>value(EUR!$B2362)</f>
        <v>14045.5448</v>
      </c>
      <c r="E2362" s="1">
        <f>value(GBP!$B2362)</f>
        <v>16491.6941</v>
      </c>
      <c r="F2362" s="1">
        <f>value(CHF!$B2362)</f>
        <v>13446.095</v>
      </c>
      <c r="G2362" s="1">
        <f>value(SGD!$B2362)</f>
        <v>9383.48378</v>
      </c>
      <c r="H2362" s="1">
        <f>value(MYR!$B2362)</f>
        <v>3000.79787</v>
      </c>
      <c r="I2362" s="1">
        <f>value(THB!$B2362)</f>
        <v>373.30307</v>
      </c>
      <c r="J2362" s="1">
        <f>value(VND!$B2362)</f>
        <v>0.6060795591</v>
      </c>
      <c r="K2362" s="1">
        <f>value(CNY!$B2362)</f>
        <v>1934.2598</v>
      </c>
      <c r="L2362" s="1">
        <f>value(HKD!$B2362)</f>
        <v>1724.4242</v>
      </c>
      <c r="M2362" s="1">
        <f>value(TWD!$B2362)</f>
        <v>433.35448</v>
      </c>
      <c r="N2362" s="1">
        <f>value(JPY!$B2362)</f>
        <v>114.58349</v>
      </c>
      <c r="O2362" s="1">
        <f>value(SAR!$B2362)</f>
        <v>3544.188895</v>
      </c>
      <c r="P2362" s="1">
        <f>value(AED!$B2362)</f>
        <v>3633.070881</v>
      </c>
      <c r="Q2362" s="1">
        <f>value(KWD!$B2362)</f>
        <v>44263.16533</v>
      </c>
    </row>
    <row r="2363">
      <c r="A2363" s="4">
        <f>value(USD!A2363)</f>
        <v>42727.99861</v>
      </c>
      <c r="B2363" s="1">
        <f>value(USD!B2363)</f>
        <v>13433</v>
      </c>
      <c r="C2363" s="1">
        <f>value(AUD!$B2363)</f>
        <v>10124.5767</v>
      </c>
      <c r="D2363" s="1">
        <f>value(EUR!$B2363)</f>
        <v>14048.77188</v>
      </c>
      <c r="E2363" s="1">
        <f>value(GBP!$B2363)</f>
        <v>16517.93286</v>
      </c>
      <c r="F2363" s="1">
        <f>value(CHF!$B2363)</f>
        <v>13417.885</v>
      </c>
      <c r="G2363" s="1">
        <f>value(SGD!$B2363)</f>
        <v>9329.33022</v>
      </c>
      <c r="H2363" s="1">
        <f>value(MYR!$B2363)</f>
        <v>3002.80838</v>
      </c>
      <c r="I2363" s="1">
        <f>value(THB!$B2363)</f>
        <v>373.55318</v>
      </c>
      <c r="J2363" s="1">
        <f>value(VND!$B2363)</f>
        <v>0.6042160845</v>
      </c>
      <c r="K2363" s="1">
        <f>value(CNY!$B2363)</f>
        <v>1936.4618</v>
      </c>
      <c r="L2363" s="1">
        <f>value(HKD!$B2363)</f>
        <v>1726.08984</v>
      </c>
      <c r="M2363" s="1">
        <f>value(TWD!$B2363)</f>
        <v>441.12748</v>
      </c>
      <c r="N2363" s="1">
        <f>value(JPY!$B2363)</f>
        <v>114.539282</v>
      </c>
      <c r="O2363" s="1">
        <f>value(SAR!$B2363)</f>
        <v>3543.655533</v>
      </c>
      <c r="P2363" s="1">
        <f>value(AED!$B2363)</f>
        <v>3631.27597</v>
      </c>
      <c r="Q2363" s="1">
        <f>value(KWD!$B2363)</f>
        <v>44257.4402</v>
      </c>
    </row>
    <row r="2364">
      <c r="A2364" s="4">
        <f>value(USD!A2364)</f>
        <v>42728.99861</v>
      </c>
      <c r="B2364" s="1">
        <f>value(USD!B2364)</f>
        <v>13433</v>
      </c>
      <c r="C2364" s="1">
        <f>value(AUD!$B2364)</f>
        <v>10127.75848</v>
      </c>
      <c r="D2364" s="1">
        <f>value(EUR!$B2364)</f>
        <v>14050.9226</v>
      </c>
      <c r="E2364" s="1">
        <f>value(GBP!$B2364)</f>
        <v>16500.055</v>
      </c>
      <c r="F2364" s="1">
        <f>value(CHF!$B2364)</f>
        <v>13438.6633</v>
      </c>
      <c r="G2364" s="1">
        <f>value(SGD!$B2364)</f>
        <v>9334.622905</v>
      </c>
      <c r="H2364" s="1">
        <f>value(MYR!$B2364)</f>
        <v>3002.80838</v>
      </c>
      <c r="I2364" s="1">
        <f>value(THB!$B2364)</f>
        <v>366.02566</v>
      </c>
      <c r="J2364" s="1">
        <f>value(VND!$B2364)</f>
        <v>0.6031866793</v>
      </c>
      <c r="K2364" s="1">
        <f>value(CNY!$B2364)</f>
        <v>1911.31037</v>
      </c>
      <c r="L2364" s="1">
        <f>value(HKD!$B2364)</f>
        <v>1726.3577</v>
      </c>
      <c r="M2364" s="1">
        <f>value(TWD!$B2364)</f>
        <v>439.99998</v>
      </c>
      <c r="N2364" s="1">
        <f>value(JPY!$B2364)</f>
        <v>114.673702</v>
      </c>
      <c r="O2364" s="1">
        <f>value(SAR!$B2364)</f>
        <v>3540.910975</v>
      </c>
      <c r="P2364" s="1">
        <f>value(AED!$B2364)</f>
        <v>3620.81054</v>
      </c>
      <c r="Q2364" s="1">
        <f>value(KWD!$B2364)</f>
        <v>44264.07898</v>
      </c>
    </row>
    <row r="2365">
      <c r="A2365" s="4">
        <f>value(USD!A2365)</f>
        <v>42729.99861</v>
      </c>
      <c r="B2365" s="1">
        <f>value(USD!B2365)</f>
        <v>13442</v>
      </c>
      <c r="C2365" s="1">
        <f>value(AUD!$B2365)</f>
        <v>10061.69256</v>
      </c>
      <c r="D2365" s="1">
        <f>value(EUR!$B2365)</f>
        <v>14047.27116</v>
      </c>
      <c r="E2365" s="1">
        <f>value(GBP!$B2365)</f>
        <v>16484.0975</v>
      </c>
      <c r="F2365" s="1">
        <f>value(CHF!$B2365)</f>
        <v>13438.035</v>
      </c>
      <c r="G2365" s="1">
        <f>value(SGD!$B2365)</f>
        <v>9328.59978</v>
      </c>
      <c r="H2365" s="1">
        <f>value(MYR!$B2365)</f>
        <v>2996.81564</v>
      </c>
      <c r="I2365" s="1">
        <f>value(THB!$B2365)</f>
        <v>372.65475</v>
      </c>
      <c r="J2365" s="1">
        <f>value(VND!$B2365)</f>
        <v>0.6069428871</v>
      </c>
      <c r="K2365" s="1">
        <f>value(CNY!$B2365)</f>
        <v>1925.63651</v>
      </c>
      <c r="L2365" s="1">
        <f>value(HKD!$B2365)</f>
        <v>1728.0334</v>
      </c>
      <c r="M2365" s="1">
        <f>value(TWD!$B2365)</f>
        <v>442.45214</v>
      </c>
      <c r="N2365" s="1">
        <f>value(JPY!$B2365)</f>
        <v>114.267361</v>
      </c>
      <c r="O2365" s="1">
        <f>value(SAR!$B2365)</f>
        <v>3547.000487</v>
      </c>
      <c r="P2365" s="1">
        <f>value(AED!$B2365)</f>
        <v>3629.10927</v>
      </c>
      <c r="Q2365" s="1">
        <f>value(KWD!$B2365)</f>
        <v>44250.80142</v>
      </c>
    </row>
    <row r="2366">
      <c r="A2366" s="4">
        <f>value(USD!A2366)</f>
        <v>42730.99861</v>
      </c>
      <c r="B2366" s="1">
        <f>value(USD!B2366)</f>
        <v>13442</v>
      </c>
      <c r="C2366" s="1">
        <f>value(AUD!$B2366)</f>
        <v>10062.03419</v>
      </c>
      <c r="D2366" s="1">
        <f>value(EUR!$B2366)</f>
        <v>14050.5095</v>
      </c>
      <c r="E2366" s="1">
        <f>value(GBP!$B2366)</f>
        <v>16489.5015</v>
      </c>
      <c r="F2366" s="1">
        <f>value(CHF!$B2366)</f>
        <v>13440.6036</v>
      </c>
      <c r="G2366" s="1">
        <f>value(SGD!$B2366)</f>
        <v>9391.15242</v>
      </c>
      <c r="H2366" s="1">
        <f>value(MYR!$B2366)</f>
        <v>3008.1351</v>
      </c>
      <c r="I2366" s="1">
        <f>value(THB!$B2366)</f>
        <v>374.7522</v>
      </c>
      <c r="J2366" s="1">
        <f>value(VND!$B2366)</f>
        <v>0.6029306554</v>
      </c>
      <c r="K2366" s="1">
        <f>value(CNY!$B2366)</f>
        <v>1932.299</v>
      </c>
      <c r="L2366" s="1">
        <f>value(HKD!$B2366)</f>
        <v>1720.30395</v>
      </c>
      <c r="M2366" s="1">
        <f>value(TWD!$B2366)</f>
        <v>441.55296</v>
      </c>
      <c r="N2366" s="1">
        <f>value(JPY!$B2366)</f>
        <v>115.19111</v>
      </c>
      <c r="O2366" s="1">
        <f>value(SAR!$B2366)</f>
        <v>3548.619513</v>
      </c>
      <c r="P2366" s="1">
        <f>value(AED!$B2366)</f>
        <v>3629.24812</v>
      </c>
      <c r="Q2366" s="1">
        <f>value(KWD!$B2366)</f>
        <v>44369.49528</v>
      </c>
    </row>
    <row r="2367">
      <c r="A2367" s="4">
        <f>value(USD!A2367)</f>
        <v>42731.99861</v>
      </c>
      <c r="B2367" s="1">
        <f>value(USD!B2367)</f>
        <v>13429</v>
      </c>
      <c r="C2367" s="1">
        <f>value(AUD!$B2367)</f>
        <v>10065.67996</v>
      </c>
      <c r="D2367" s="1">
        <f>value(EUR!$B2367)</f>
        <v>14235.71656</v>
      </c>
      <c r="E2367" s="1">
        <f>value(GBP!$B2367)</f>
        <v>16543.11566</v>
      </c>
      <c r="F2367" s="1">
        <f>value(CHF!$B2367)</f>
        <v>13337.951</v>
      </c>
      <c r="G2367" s="1">
        <f>value(SGD!$B2367)</f>
        <v>9465.6085</v>
      </c>
      <c r="H2367" s="1">
        <f>value(MYR!$B2367)</f>
        <v>3000.76344</v>
      </c>
      <c r="I2367" s="1">
        <f>value(THB!$B2367)</f>
        <v>375.16276</v>
      </c>
      <c r="J2367" s="1">
        <f>value(VND!$B2367)</f>
        <v>0.6018410816</v>
      </c>
      <c r="K2367" s="1">
        <f>value(CNY!$B2367)</f>
        <v>1930.6982</v>
      </c>
      <c r="L2367" s="1">
        <f>value(HKD!$B2367)</f>
        <v>1719.7838</v>
      </c>
      <c r="M2367" s="1">
        <f>value(TWD!$B2367)</f>
        <v>427.1026487</v>
      </c>
      <c r="N2367" s="1">
        <f>value(JPY!$B2367)</f>
        <v>115.780668</v>
      </c>
      <c r="O2367" s="1">
        <f>value(SAR!$B2367)</f>
        <v>3551.573963</v>
      </c>
      <c r="P2367" s="1">
        <f>value(AED!$B2367)</f>
        <v>3625.84299</v>
      </c>
      <c r="Q2367" s="1">
        <f>value(KWD!$B2367)</f>
        <v>44303.03906</v>
      </c>
    </row>
    <row r="2368">
      <c r="A2368" s="4">
        <f>value(USD!A2368)</f>
        <v>42732.99861</v>
      </c>
      <c r="B2368" s="1">
        <f>value(USD!B2368)</f>
        <v>13490</v>
      </c>
      <c r="C2368" s="1">
        <f>value(AUD!$B2368)</f>
        <v>10064.61898</v>
      </c>
      <c r="D2368" s="1">
        <f>value(EUR!$B2368)</f>
        <v>14220.936</v>
      </c>
      <c r="E2368" s="1">
        <f>value(GBP!$B2368)</f>
        <v>16677.1566</v>
      </c>
      <c r="F2368" s="1">
        <f>value(CHF!$B2368)</f>
        <v>13361.859</v>
      </c>
      <c r="G2368" s="1">
        <f>value(SGD!$B2368)</f>
        <v>9452.2</v>
      </c>
      <c r="H2368" s="1">
        <f>value(MYR!$B2368)</f>
        <v>3011.67522</v>
      </c>
      <c r="I2368" s="1">
        <f>value(THB!$B2368)</f>
        <v>377.28738</v>
      </c>
      <c r="J2368" s="1">
        <f>value(VND!$B2368)</f>
        <v>0.5998211388</v>
      </c>
      <c r="K2368" s="1">
        <f>value(CNY!$B2368)</f>
        <v>1930.3173</v>
      </c>
      <c r="L2368" s="1">
        <f>value(HKD!$B2368)</f>
        <v>1716.4324</v>
      </c>
      <c r="M2368" s="1">
        <f>value(TWD!$B2368)</f>
        <v>440.82498</v>
      </c>
      <c r="N2368" s="1">
        <f>value(JPY!$B2368)</f>
        <v>115.5789</v>
      </c>
      <c r="O2368" s="1">
        <f>value(SAR!$B2368)</f>
        <v>3561.58887</v>
      </c>
      <c r="P2368" s="1">
        <f>value(AED!$B2368)</f>
        <v>3628.97594</v>
      </c>
      <c r="Q2368" s="1">
        <f>value(KWD!$B2368)</f>
        <v>44322.97592</v>
      </c>
    </row>
    <row r="2369">
      <c r="A2369" s="4">
        <f>value(USD!A2369)</f>
        <v>42733.99861</v>
      </c>
      <c r="B2369" s="1">
        <f>value(USD!B2369)</f>
        <v>13466</v>
      </c>
      <c r="C2369" s="1">
        <f>value(AUD!$B2369)</f>
        <v>10117.12148</v>
      </c>
      <c r="D2369" s="1">
        <f>value(EUR!$B2369)</f>
        <v>14216.8806</v>
      </c>
      <c r="E2369" s="1">
        <f>value(GBP!$B2369)</f>
        <v>16678.5084</v>
      </c>
      <c r="F2369" s="1">
        <f>value(CHF!$B2369)</f>
        <v>13266.20768</v>
      </c>
      <c r="G2369" s="1">
        <f>value(SGD!$B2369)</f>
        <v>9451.77066</v>
      </c>
      <c r="H2369" s="1">
        <f>value(MYR!$B2369)</f>
        <v>3011.67522</v>
      </c>
      <c r="I2369" s="1">
        <f>value(THB!$B2369)</f>
        <v>377.01702</v>
      </c>
      <c r="J2369" s="1">
        <f>value(VND!$B2369)</f>
        <v>0.59819795</v>
      </c>
      <c r="K2369" s="1">
        <f>value(CNY!$B2369)</f>
        <v>1930.34028</v>
      </c>
      <c r="L2369" s="1">
        <f>value(HKD!$B2369)</f>
        <v>1725.45043</v>
      </c>
      <c r="M2369" s="1">
        <f>value(TWD!$B2369)</f>
        <v>440.92425</v>
      </c>
      <c r="N2369" s="1">
        <f>value(JPY!$B2369)</f>
        <v>115.5789</v>
      </c>
      <c r="O2369" s="1">
        <f>value(SAR!$B2369)</f>
        <v>3552.856315</v>
      </c>
      <c r="P2369" s="1">
        <f>value(AED!$B2369)</f>
        <v>3631.535885</v>
      </c>
      <c r="Q2369" s="1">
        <f>value(KWD!$B2369)</f>
        <v>44156.83537</v>
      </c>
    </row>
    <row r="2370">
      <c r="A2370" s="4">
        <f>value(USD!A2370)</f>
        <v>42734.99861</v>
      </c>
      <c r="B2370" s="1">
        <f>value(USD!B2370)</f>
        <v>13518</v>
      </c>
      <c r="C2370" s="1">
        <f>value(AUD!$B2370)</f>
        <v>10129.2672</v>
      </c>
      <c r="D2370" s="1">
        <f>value(EUR!$B2370)</f>
        <v>14222.59608</v>
      </c>
      <c r="E2370" s="1">
        <f>value(GBP!$B2370)</f>
        <v>16675.42944</v>
      </c>
      <c r="F2370" s="1">
        <f>value(CHF!$B2370)</f>
        <v>13279.31811</v>
      </c>
      <c r="G2370" s="1">
        <f>value(SGD!$B2370)</f>
        <v>9461.37356</v>
      </c>
      <c r="H2370" s="1">
        <f>value(MYR!$B2370)</f>
        <v>3010.33848</v>
      </c>
      <c r="I2370" s="1">
        <f>value(THB!$B2370)</f>
        <v>377.39016</v>
      </c>
      <c r="J2370" s="1">
        <f>value(VND!$B2370)</f>
        <v>0.5991521616</v>
      </c>
      <c r="K2370" s="1">
        <f>value(CNY!$B2370)</f>
        <v>1932.85392</v>
      </c>
      <c r="L2370" s="1">
        <f>value(HKD!$B2370)</f>
        <v>1721.18302</v>
      </c>
      <c r="M2370" s="1">
        <f>value(TWD!$B2370)</f>
        <v>442.1917</v>
      </c>
      <c r="N2370" s="1">
        <f>value(JPY!$B2370)</f>
        <v>115.66272</v>
      </c>
      <c r="O2370" s="1">
        <f>value(SAR!$B2370)</f>
        <v>3550.723904</v>
      </c>
      <c r="P2370" s="1">
        <f>value(AED!$B2370)</f>
        <v>3629.09813</v>
      </c>
      <c r="Q2370" s="1">
        <f>value(KWD!$B2370)</f>
        <v>43941.65499</v>
      </c>
    </row>
    <row r="2371">
      <c r="A2371" s="4">
        <f>value(USD!A2371)</f>
        <v>42735.99861</v>
      </c>
      <c r="B2371" s="1">
        <f>value(USD!B2371)</f>
        <v>13518</v>
      </c>
      <c r="C2371" s="1">
        <f>value(AUD!$B2371)</f>
        <v>10184.49152</v>
      </c>
      <c r="D2371" s="1">
        <f>value(EUR!$B2371)</f>
        <v>14123.35926</v>
      </c>
      <c r="E2371" s="1">
        <f>value(GBP!$B2371)</f>
        <v>16582.6668</v>
      </c>
      <c r="F2371" s="1">
        <f>value(CHF!$B2371)</f>
        <v>13297.59667</v>
      </c>
      <c r="G2371" s="1">
        <f>value(SGD!$B2371)</f>
        <v>9469.730965</v>
      </c>
      <c r="H2371" s="1">
        <f>value(MYR!$B2371)</f>
        <v>3009.00174</v>
      </c>
      <c r="I2371" s="1">
        <f>value(THB!$B2371)</f>
        <v>376.8174</v>
      </c>
      <c r="J2371" s="1">
        <f>value(VND!$B2371)</f>
        <v>0.6006798361</v>
      </c>
      <c r="K2371" s="1">
        <f>value(CNY!$B2371)</f>
        <v>1936.14656</v>
      </c>
      <c r="L2371" s="1">
        <f>value(HKD!$B2371)</f>
        <v>1722.726762</v>
      </c>
      <c r="M2371" s="1">
        <f>value(TWD!$B2371)</f>
        <v>442.358</v>
      </c>
      <c r="N2371" s="1">
        <f>value(JPY!$B2371)</f>
        <v>114.909048</v>
      </c>
      <c r="O2371" s="1">
        <f>value(SAR!$B2371)</f>
        <v>3542.305462</v>
      </c>
      <c r="P2371" s="1">
        <f>value(AED!$B2371)</f>
        <v>3634.41954</v>
      </c>
      <c r="Q2371" s="1">
        <f>value(KWD!$B2371)</f>
        <v>43934.99565</v>
      </c>
    </row>
    <row r="2372">
      <c r="A2372" s="4">
        <f>value(USD!A2372)</f>
        <v>42736.99861</v>
      </c>
      <c r="B2372" s="1">
        <f>value(USD!B2372)</f>
        <v>13512</v>
      </c>
      <c r="C2372" s="1">
        <f>value(AUD!$B2372)</f>
        <v>10187.13119</v>
      </c>
      <c r="D2372" s="1">
        <f>value(EUR!$B2372)</f>
        <v>14003.97639</v>
      </c>
      <c r="E2372" s="1">
        <f>value(GBP!$B2372)</f>
        <v>16459.6092</v>
      </c>
      <c r="F2372" s="1">
        <f>value(CHF!$B2372)</f>
        <v>13271.65875</v>
      </c>
      <c r="G2372" s="1">
        <f>value(SGD!$B2372)</f>
        <v>9472.11408</v>
      </c>
      <c r="H2372" s="1">
        <f>value(MYR!$B2372)</f>
        <v>2990.66421</v>
      </c>
      <c r="I2372" s="1">
        <f>value(THB!$B2372)</f>
        <v>374.38755</v>
      </c>
      <c r="J2372" s="1">
        <f>value(VND!$B2372)</f>
        <v>0.5978560563</v>
      </c>
      <c r="K2372" s="1">
        <f>value(CNY!$B2372)</f>
        <v>1934.03996</v>
      </c>
      <c r="L2372" s="1">
        <f>value(HKD!$B2372)</f>
        <v>1717.32162</v>
      </c>
      <c r="M2372" s="1">
        <f>value(TWD!$B2372)</f>
        <v>442.4878</v>
      </c>
      <c r="N2372" s="1">
        <f>value(JPY!$B2372)</f>
        <v>114.225171</v>
      </c>
      <c r="O2372" s="1">
        <f>value(SAR!$B2372)</f>
        <v>3554.784358</v>
      </c>
      <c r="P2372" s="1">
        <f>value(AED!$B2372)</f>
        <v>3628.97594</v>
      </c>
      <c r="Q2372" s="1">
        <f>value(KWD!$B2372)</f>
        <v>43941.65499</v>
      </c>
    </row>
    <row r="2373">
      <c r="A2373" s="4">
        <f>value(USD!A2373)</f>
        <v>42737.99861</v>
      </c>
      <c r="B2373" s="1">
        <f>value(USD!B2373)</f>
        <v>13506</v>
      </c>
      <c r="C2373" s="1">
        <f>value(AUD!$B2373)</f>
        <v>10277.6696</v>
      </c>
      <c r="D2373" s="1">
        <f>value(EUR!$B2373)</f>
        <v>14012.7304</v>
      </c>
      <c r="E2373" s="1">
        <f>value(GBP!$B2373)</f>
        <v>16448.87388</v>
      </c>
      <c r="F2373" s="1">
        <f>value(CHF!$B2373)</f>
        <v>13247.0589</v>
      </c>
      <c r="G2373" s="1">
        <f>value(SGD!$B2373)</f>
        <v>9449.20008</v>
      </c>
      <c r="H2373" s="1">
        <f>value(MYR!$B2373)</f>
        <v>2966.19256</v>
      </c>
      <c r="I2373" s="1">
        <f>value(THB!$B2373)</f>
        <v>372.80964</v>
      </c>
      <c r="J2373" s="1">
        <f>value(VND!$B2373)</f>
        <v>0.6032339388</v>
      </c>
      <c r="K2373" s="1">
        <f>value(CNY!$B2373)</f>
        <v>1930.94118</v>
      </c>
      <c r="L2373" s="1">
        <f>value(HKD!$B2373)</f>
        <v>1719.00144</v>
      </c>
      <c r="M2373" s="1">
        <f>value(TWD!$B2373)</f>
        <v>440.9928</v>
      </c>
      <c r="N2373" s="1">
        <f>value(JPY!$B2373)</f>
        <v>113.938528</v>
      </c>
      <c r="O2373" s="1">
        <f>value(SAR!$B2373)</f>
        <v>3551.546416</v>
      </c>
      <c r="P2373" s="1">
        <f>value(AED!$B2373)</f>
        <v>3630.60902</v>
      </c>
      <c r="Q2373" s="1">
        <f>value(KWD!$B2373)</f>
        <v>43781.35773</v>
      </c>
    </row>
    <row r="2374">
      <c r="A2374" s="4">
        <f>value(USD!A2374)</f>
        <v>42738.99861</v>
      </c>
      <c r="B2374" s="1">
        <f>value(USD!B2374)</f>
        <v>13443</v>
      </c>
      <c r="C2374" s="1">
        <f>value(AUD!$B2374)</f>
        <v>10257.126</v>
      </c>
      <c r="D2374" s="1">
        <f>value(EUR!$B2374)</f>
        <v>14123.4676</v>
      </c>
      <c r="E2374" s="1">
        <f>value(GBP!$B2374)</f>
        <v>16545.12818</v>
      </c>
      <c r="F2374" s="1">
        <f>value(CHF!$B2374)</f>
        <v>13236.14523</v>
      </c>
      <c r="G2374" s="1">
        <f>value(SGD!$B2374)</f>
        <v>9380.4887</v>
      </c>
      <c r="H2374" s="1">
        <f>value(MYR!$B2374)</f>
        <v>2975.59779</v>
      </c>
      <c r="I2374" s="1">
        <f>value(THB!$B2374)</f>
        <v>373.46476</v>
      </c>
      <c r="J2374" s="1">
        <f>value(VND!$B2374)</f>
        <v>0.5990285984</v>
      </c>
      <c r="K2374" s="1">
        <f>value(CNY!$B2374)</f>
        <v>1932.00462</v>
      </c>
      <c r="L2374" s="1">
        <f>value(HKD!$B2374)</f>
        <v>1720.1705</v>
      </c>
      <c r="M2374" s="1">
        <f>value(TWD!$B2374)</f>
        <v>441.55736</v>
      </c>
      <c r="N2374" s="1">
        <f>value(JPY!$B2374)</f>
        <v>115.515687</v>
      </c>
      <c r="O2374" s="1">
        <f>value(SAR!$B2374)</f>
        <v>3549.196479</v>
      </c>
      <c r="P2374" s="1">
        <f>value(AED!$B2374)</f>
        <v>3617.00002</v>
      </c>
      <c r="Q2374" s="1">
        <f>value(KWD!$B2374)</f>
        <v>43887.68768</v>
      </c>
    </row>
    <row r="2375">
      <c r="A2375" s="4">
        <f>value(USD!A2375)</f>
        <v>42739.99861</v>
      </c>
      <c r="B2375" s="1">
        <f>value(USD!B2375)</f>
        <v>13348</v>
      </c>
      <c r="C2375" s="1">
        <f>value(AUD!$B2375)</f>
        <v>10270.765</v>
      </c>
      <c r="D2375" s="1">
        <f>value(EUR!$B2375)</f>
        <v>14049.92652</v>
      </c>
      <c r="E2375" s="1">
        <f>value(GBP!$B2375)</f>
        <v>16391.9812</v>
      </c>
      <c r="F2375" s="1">
        <f>value(CHF!$B2375)</f>
        <v>13251.4174</v>
      </c>
      <c r="G2375" s="1">
        <f>value(SGD!$B2375)</f>
        <v>9389.61576</v>
      </c>
      <c r="H2375" s="1">
        <f>value(MYR!$B2375)</f>
        <v>2981.13648</v>
      </c>
      <c r="I2375" s="1">
        <f>value(THB!$B2375)</f>
        <v>373.04232</v>
      </c>
      <c r="J2375" s="1">
        <f>value(VND!$B2375)</f>
        <v>0.5979042955</v>
      </c>
      <c r="K2375" s="1">
        <f>value(CNY!$B2375)</f>
        <v>1943.1216</v>
      </c>
      <c r="L2375" s="1">
        <f>value(HKD!$B2375)</f>
        <v>1721.5696</v>
      </c>
      <c r="M2375" s="1">
        <f>value(TWD!$B2375)</f>
        <v>441.38136</v>
      </c>
      <c r="N2375" s="1">
        <f>value(JPY!$B2375)</f>
        <v>114.0741</v>
      </c>
      <c r="O2375" s="1">
        <f>value(SAR!$B2375)</f>
        <v>3544.864705</v>
      </c>
      <c r="P2375" s="1">
        <f>value(AED!$B2375)</f>
        <v>3591.95946</v>
      </c>
      <c r="Q2375" s="1">
        <f>value(KWD!$B2375)</f>
        <v>44015.28243</v>
      </c>
    </row>
    <row r="2376">
      <c r="A2376" s="4">
        <f>value(USD!A2376)</f>
        <v>42740.99861</v>
      </c>
      <c r="B2376" s="1">
        <f>value(USD!B2376)</f>
        <v>13319</v>
      </c>
      <c r="C2376" s="1">
        <f>value(AUD!$B2376)</f>
        <v>10302.70296</v>
      </c>
      <c r="D2376" s="1">
        <f>value(EUR!$B2376)</f>
        <v>14049.126</v>
      </c>
      <c r="E2376" s="1">
        <f>value(GBP!$B2376)</f>
        <v>16393.3154</v>
      </c>
      <c r="F2376" s="1">
        <f>value(CHF!$B2376)</f>
        <v>13356.9667</v>
      </c>
      <c r="G2376" s="1">
        <f>value(SGD!$B2376)</f>
        <v>9344.38736</v>
      </c>
      <c r="H2376" s="1">
        <f>value(MYR!$B2376)</f>
        <v>2981.13648</v>
      </c>
      <c r="I2376" s="1">
        <f>value(THB!$B2376)</f>
        <v>373.04232</v>
      </c>
      <c r="J2376" s="1">
        <f>value(VND!$B2376)</f>
        <v>0.5949027396</v>
      </c>
      <c r="K2376" s="1">
        <f>value(CNY!$B2376)</f>
        <v>1936.44708</v>
      </c>
      <c r="L2376" s="1">
        <f>value(HKD!$B2376)</f>
        <v>1719.76556</v>
      </c>
      <c r="M2376" s="1">
        <f>value(TWD!$B2376)</f>
        <v>441.04959</v>
      </c>
      <c r="N2376" s="1">
        <f>value(JPY!$B2376)</f>
        <v>114.0741</v>
      </c>
      <c r="O2376" s="1">
        <f>value(SAR!$B2376)</f>
        <v>3554.019043</v>
      </c>
      <c r="P2376" s="1">
        <f>value(AED!$B2376)</f>
        <v>3593.409524</v>
      </c>
      <c r="Q2376" s="1">
        <f>value(KWD!$B2376)</f>
        <v>44081.76073</v>
      </c>
    </row>
    <row r="2377">
      <c r="A2377" s="4">
        <f>value(USD!A2377)</f>
        <v>42741.99861</v>
      </c>
      <c r="B2377" s="1">
        <f>value(USD!B2377)</f>
        <v>13342</v>
      </c>
      <c r="C2377" s="1">
        <f>value(AUD!$B2377)</f>
        <v>10211.62764</v>
      </c>
      <c r="D2377" s="1">
        <f>value(EUR!$B2377)</f>
        <v>14057.00088</v>
      </c>
      <c r="E2377" s="1">
        <f>value(GBP!$B2377)</f>
        <v>16361.6505</v>
      </c>
      <c r="F2377" s="1">
        <f>value(CHF!$B2377)</f>
        <v>13305.58866</v>
      </c>
      <c r="G2377" s="1">
        <f>value(SGD!$B2377)</f>
        <v>9360.63656</v>
      </c>
      <c r="H2377" s="1">
        <f>value(MYR!$B2377)</f>
        <v>2983.14744</v>
      </c>
      <c r="I2377" s="1">
        <f>value(THB!$B2377)</f>
        <v>373.42747</v>
      </c>
      <c r="J2377" s="1">
        <f>value(VND!$B2377)</f>
        <v>0.5967083683</v>
      </c>
      <c r="K2377" s="1">
        <f>value(CNY!$B2377)</f>
        <v>1934.59624</v>
      </c>
      <c r="L2377" s="1">
        <f>value(HKD!$B2377)</f>
        <v>1716.55702</v>
      </c>
      <c r="M2377" s="1">
        <f>value(TWD!$B2377)</f>
        <v>440.49408</v>
      </c>
      <c r="N2377" s="1">
        <f>value(JPY!$B2377)</f>
        <v>113.937434</v>
      </c>
      <c r="O2377" s="1">
        <f>value(SAR!$B2377)</f>
        <v>3549.213789</v>
      </c>
      <c r="P2377" s="1">
        <f>value(AED!$B2377)</f>
        <v>3592.61931</v>
      </c>
      <c r="Q2377" s="1">
        <f>value(KWD!$B2377)</f>
        <v>44035.90312</v>
      </c>
    </row>
    <row r="2378">
      <c r="A2378" s="4">
        <f>value(USD!A2378)</f>
        <v>42742.99861</v>
      </c>
      <c r="B2378" s="1">
        <f>value(USD!B2378)</f>
        <v>13342</v>
      </c>
      <c r="C2378" s="1">
        <f>value(AUD!$B2378)</f>
        <v>10218.87706</v>
      </c>
      <c r="D2378" s="1">
        <f>value(EUR!$B2378)</f>
        <v>14096.06436</v>
      </c>
      <c r="E2378" s="1">
        <f>value(GBP!$B2378)</f>
        <v>16204.06998</v>
      </c>
      <c r="F2378" s="1">
        <f>value(CHF!$B2378)</f>
        <v>13320.4224</v>
      </c>
      <c r="G2378" s="1">
        <f>value(SGD!$B2378)</f>
        <v>9373.864323</v>
      </c>
      <c r="H2378" s="1">
        <f>value(MYR!$B2378)</f>
        <v>2972.21736</v>
      </c>
      <c r="I2378" s="1">
        <f>value(THB!$B2378)</f>
        <v>373.59084</v>
      </c>
      <c r="J2378" s="1">
        <f>value(VND!$B2378)</f>
        <v>0.5947199335</v>
      </c>
      <c r="K2378" s="1">
        <f>value(CNY!$B2378)</f>
        <v>1931.06348</v>
      </c>
      <c r="L2378" s="1">
        <f>value(HKD!$B2378)</f>
        <v>1718.532903</v>
      </c>
      <c r="M2378" s="1">
        <f>value(TWD!$B2378)</f>
        <v>440.85965</v>
      </c>
      <c r="N2378" s="1">
        <f>value(JPY!$B2378)</f>
        <v>114.76668</v>
      </c>
      <c r="O2378" s="1">
        <f>value(SAR!$B2378)</f>
        <v>3546.511572</v>
      </c>
      <c r="P2378" s="1">
        <f>value(AED!$B2378)</f>
        <v>3586.24368</v>
      </c>
      <c r="Q2378" s="1">
        <f>value(KWD!$B2378)</f>
        <v>44055.84993</v>
      </c>
    </row>
    <row r="2379">
      <c r="A2379" s="4">
        <f>value(USD!A2379)</f>
        <v>42743.99861</v>
      </c>
      <c r="B2379" s="1">
        <f>value(USD!B2379)</f>
        <v>13351</v>
      </c>
      <c r="C2379" s="1">
        <f>value(AUD!$B2379)</f>
        <v>10165.49622</v>
      </c>
      <c r="D2379" s="1">
        <f>value(EUR!$B2379)</f>
        <v>14025.19484</v>
      </c>
      <c r="E2379" s="1">
        <f>value(GBP!$B2379)</f>
        <v>16177.27356</v>
      </c>
      <c r="F2379" s="1">
        <f>value(CHF!$B2379)</f>
        <v>13321.2975</v>
      </c>
      <c r="G2379" s="1">
        <f>value(SGD!$B2379)</f>
        <v>9367.8375</v>
      </c>
      <c r="H2379" s="1">
        <f>value(MYR!$B2379)</f>
        <v>2968.67776</v>
      </c>
      <c r="I2379" s="1">
        <f>value(THB!$B2379)</f>
        <v>373.4771</v>
      </c>
      <c r="J2379" s="1">
        <f>value(VND!$B2379)</f>
        <v>0.5956667285</v>
      </c>
      <c r="K2379" s="1">
        <f>value(CNY!$B2379)</f>
        <v>1930.08387</v>
      </c>
      <c r="L2379" s="1">
        <f>value(HKD!$B2379)</f>
        <v>1719.00144</v>
      </c>
      <c r="M2379" s="1">
        <f>value(TWD!$B2379)</f>
        <v>441.65745</v>
      </c>
      <c r="N2379" s="1">
        <f>value(JPY!$B2379)</f>
        <v>114.661457</v>
      </c>
      <c r="O2379" s="1">
        <f>value(SAR!$B2379)</f>
        <v>3567.72908</v>
      </c>
      <c r="P2379" s="1">
        <f>value(AED!$B2379)</f>
        <v>3595.61384</v>
      </c>
      <c r="Q2379" s="1">
        <f>value(KWD!$B2379)</f>
        <v>44100.24474</v>
      </c>
    </row>
    <row r="2380">
      <c r="A2380" s="4">
        <f>value(USD!A2380)</f>
        <v>42744.99861</v>
      </c>
      <c r="B2380" s="1">
        <f>value(USD!B2380)</f>
        <v>13314</v>
      </c>
      <c r="C2380" s="1">
        <f>value(AUD!$B2380)</f>
        <v>10132.45632</v>
      </c>
      <c r="D2380" s="1">
        <f>value(EUR!$B2380)</f>
        <v>14028.30986</v>
      </c>
      <c r="E2380" s="1">
        <f>value(GBP!$B2380)</f>
        <v>16168.84992</v>
      </c>
      <c r="F2380" s="1">
        <f>value(CHF!$B2380)</f>
        <v>13302.68796</v>
      </c>
      <c r="G2380" s="1">
        <f>value(SGD!$B2380)</f>
        <v>9359.4075</v>
      </c>
      <c r="H2380" s="1">
        <f>value(MYR!$B2380)</f>
        <v>2959.49591</v>
      </c>
      <c r="I2380" s="1">
        <f>value(THB!$B2380)</f>
        <v>373.66102</v>
      </c>
      <c r="J2380" s="1">
        <f>value(VND!$B2380)</f>
        <v>0.5924360388</v>
      </c>
      <c r="K2380" s="1">
        <f>value(CNY!$B2380)</f>
        <v>1932.74389</v>
      </c>
      <c r="L2380" s="1">
        <f>value(HKD!$B2380)</f>
        <v>1717.45488</v>
      </c>
      <c r="M2380" s="1">
        <f>value(TWD!$B2380)</f>
        <v>441.8591</v>
      </c>
      <c r="N2380" s="1">
        <f>value(JPY!$B2380)</f>
        <v>114.984844</v>
      </c>
      <c r="O2380" s="1">
        <f>value(SAR!$B2380)</f>
        <v>3564.353719</v>
      </c>
      <c r="P2380" s="1">
        <f>value(AED!$B2380)</f>
        <v>3604.20756</v>
      </c>
      <c r="Q2380" s="1">
        <f>value(KWD!$B2380)</f>
        <v>44060.35908</v>
      </c>
    </row>
    <row r="2381">
      <c r="A2381" s="4">
        <f>value(USD!A2381)</f>
        <v>42745.99861</v>
      </c>
      <c r="B2381" s="1">
        <f>value(USD!B2381)</f>
        <v>13291</v>
      </c>
      <c r="C2381" s="1">
        <f>value(AUD!$B2381)</f>
        <v>10130.5953</v>
      </c>
      <c r="D2381" s="1">
        <f>value(EUR!$B2381)</f>
        <v>14072.17378</v>
      </c>
      <c r="E2381" s="1">
        <f>value(GBP!$B2381)</f>
        <v>16127.0312</v>
      </c>
      <c r="F2381" s="1">
        <f>value(CHF!$B2381)</f>
        <v>13234.83924</v>
      </c>
      <c r="G2381" s="1">
        <f>value(SGD!$B2381)</f>
        <v>9379.84894</v>
      </c>
      <c r="H2381" s="1">
        <f>value(MYR!$B2381)</f>
        <v>2991.13738</v>
      </c>
      <c r="I2381" s="1">
        <f>value(THB!$B2381)</f>
        <v>374.80366</v>
      </c>
      <c r="J2381" s="1">
        <f>value(VND!$B2381)</f>
        <v>0.5932516116</v>
      </c>
      <c r="K2381" s="1">
        <f>value(CNY!$B2381)</f>
        <v>1937.70885</v>
      </c>
      <c r="L2381" s="1">
        <f>value(HKD!$B2381)</f>
        <v>1715.3928</v>
      </c>
      <c r="M2381" s="1">
        <f>value(TWD!$B2381)</f>
        <v>440.56406</v>
      </c>
      <c r="N2381" s="1">
        <f>value(JPY!$B2381)</f>
        <v>115.596502</v>
      </c>
      <c r="O2381" s="1">
        <f>value(SAR!$B2381)</f>
        <v>3567.65267</v>
      </c>
      <c r="P2381" s="1">
        <f>value(AED!$B2381)</f>
        <v>3609.65116</v>
      </c>
      <c r="Q2381" s="1">
        <f>value(KWD!$B2381)</f>
        <v>44116.86376</v>
      </c>
    </row>
    <row r="2382">
      <c r="A2382" s="4">
        <f>value(USD!A2382)</f>
        <v>42746.99861</v>
      </c>
      <c r="B2382" s="1">
        <f>value(USD!B2382)</f>
        <v>13241</v>
      </c>
      <c r="C2382" s="1">
        <f>value(AUD!$B2382)</f>
        <v>10166.3568</v>
      </c>
      <c r="D2382" s="1">
        <f>value(EUR!$B2382)</f>
        <v>14164.89887</v>
      </c>
      <c r="E2382" s="1">
        <f>value(GBP!$B2382)</f>
        <v>16211.2401</v>
      </c>
      <c r="F2382" s="1">
        <f>value(CHF!$B2382)</f>
        <v>13191.41538</v>
      </c>
      <c r="G2382" s="1">
        <f>value(SGD!$B2382)</f>
        <v>9387.91316</v>
      </c>
      <c r="H2382" s="1">
        <f>value(MYR!$B2382)</f>
        <v>2981.57948</v>
      </c>
      <c r="I2382" s="1">
        <f>value(THB!$B2382)</f>
        <v>375.69286</v>
      </c>
      <c r="J2382" s="1">
        <f>value(VND!$B2382)</f>
        <v>0.588401319</v>
      </c>
      <c r="K2382" s="1">
        <f>value(CNY!$B2382)</f>
        <v>1934.28216</v>
      </c>
      <c r="L2382" s="1">
        <f>value(HKD!$B2382)</f>
        <v>1714.22874</v>
      </c>
      <c r="M2382" s="1">
        <f>value(TWD!$B2382)</f>
        <v>441.75806</v>
      </c>
      <c r="N2382" s="1">
        <f>value(JPY!$B2382)</f>
        <v>116.22249</v>
      </c>
      <c r="O2382" s="1">
        <f>value(SAR!$B2382)</f>
        <v>3572.896848</v>
      </c>
      <c r="P2382" s="1">
        <f>value(AED!$B2382)</f>
        <v>3605.29628</v>
      </c>
      <c r="Q2382" s="1">
        <f>value(KWD!$B2382)</f>
        <v>44116.86376</v>
      </c>
    </row>
    <row r="2383">
      <c r="A2383" s="4">
        <f>value(USD!A2383)</f>
        <v>42747.99861</v>
      </c>
      <c r="B2383" s="1">
        <f>value(USD!B2383)</f>
        <v>13258</v>
      </c>
      <c r="C2383" s="1">
        <f>value(AUD!$B2383)</f>
        <v>10152.14088</v>
      </c>
      <c r="D2383" s="1">
        <f>value(EUR!$B2383)</f>
        <v>14169.0259</v>
      </c>
      <c r="E2383" s="1">
        <f>value(GBP!$B2383)</f>
        <v>16208.5775</v>
      </c>
      <c r="F2383" s="1">
        <f>value(CHF!$B2383)</f>
        <v>13242.6515</v>
      </c>
      <c r="G2383" s="1">
        <f>value(SGD!$B2383)</f>
        <v>9402.22822</v>
      </c>
      <c r="H2383" s="1">
        <f>value(MYR!$B2383)</f>
        <v>2981.57948</v>
      </c>
      <c r="I2383" s="1">
        <f>value(THB!$B2383)</f>
        <v>375.82599</v>
      </c>
      <c r="J2383" s="1">
        <f>value(VND!$B2383)</f>
        <v>0.5881237345</v>
      </c>
      <c r="K2383" s="1">
        <f>value(CNY!$B2383)</f>
        <v>1935.93972</v>
      </c>
      <c r="L2383" s="1">
        <f>value(HKD!$B2383)</f>
        <v>1712.69032</v>
      </c>
      <c r="M2383" s="1">
        <f>value(TWD!$B2383)</f>
        <v>443.23892</v>
      </c>
      <c r="N2383" s="1">
        <f>value(JPY!$B2383)</f>
        <v>116.22249</v>
      </c>
      <c r="O2383" s="1">
        <f>value(SAR!$B2383)</f>
        <v>3578.770249</v>
      </c>
      <c r="P2383" s="1">
        <f>value(AED!$B2383)</f>
        <v>3607.59196</v>
      </c>
      <c r="Q2383" s="1">
        <f>value(KWD!$B2383)</f>
        <v>44163.08199</v>
      </c>
    </row>
    <row r="2384">
      <c r="A2384" s="4">
        <f>value(USD!A2384)</f>
        <v>42748.99861</v>
      </c>
      <c r="B2384" s="1">
        <f>value(USD!B2384)</f>
        <v>13313</v>
      </c>
      <c r="C2384" s="1">
        <f>value(AUD!$B2384)</f>
        <v>10183.78062</v>
      </c>
      <c r="D2384" s="1">
        <f>value(EUR!$B2384)</f>
        <v>14149.0564</v>
      </c>
      <c r="E2384" s="1">
        <f>value(GBP!$B2384)</f>
        <v>16025.39062</v>
      </c>
      <c r="F2384" s="1">
        <f>value(CHF!$B2384)</f>
        <v>13219.34706</v>
      </c>
      <c r="G2384" s="1">
        <f>value(SGD!$B2384)</f>
        <v>9403.55676</v>
      </c>
      <c r="H2384" s="1">
        <f>value(MYR!$B2384)</f>
        <v>2981.57948</v>
      </c>
      <c r="I2384" s="1">
        <f>value(THB!$B2384)</f>
        <v>375.16034</v>
      </c>
      <c r="J2384" s="1">
        <f>value(VND!$B2384)</f>
        <v>0.586447917</v>
      </c>
      <c r="K2384" s="1">
        <f>value(CNY!$B2384)</f>
        <v>1932.50115</v>
      </c>
      <c r="L2384" s="1">
        <f>value(HKD!$B2384)</f>
        <v>1715.91257</v>
      </c>
      <c r="M2384" s="1">
        <f>value(TWD!$B2384)</f>
        <v>441.09142</v>
      </c>
      <c r="N2384" s="1">
        <f>value(JPY!$B2384)</f>
        <v>116.528689</v>
      </c>
      <c r="O2384" s="1">
        <f>value(SAR!$B2384)</f>
        <v>3639.985266</v>
      </c>
      <c r="P2384" s="1">
        <f>value(AED!$B2384)</f>
        <v>3611.28424</v>
      </c>
      <c r="Q2384" s="1">
        <f>value(KWD!$B2384)</f>
        <v>44216.25048</v>
      </c>
    </row>
    <row r="2385">
      <c r="A2385" s="4">
        <f>value(USD!A2385)</f>
        <v>42749.99861</v>
      </c>
      <c r="B2385" s="1">
        <f>value(USD!B2385)</f>
        <v>13313</v>
      </c>
      <c r="C2385" s="1">
        <f>value(AUD!$B2385)</f>
        <v>10203.26797</v>
      </c>
      <c r="D2385" s="1">
        <f>value(EUR!$B2385)</f>
        <v>14153.01027</v>
      </c>
      <c r="E2385" s="1">
        <f>value(GBP!$B2385)</f>
        <v>16070.8611</v>
      </c>
      <c r="F2385" s="1">
        <f>value(CHF!$B2385)</f>
        <v>13218.94737</v>
      </c>
      <c r="G2385" s="1">
        <f>value(SGD!$B2385)</f>
        <v>9406.805664</v>
      </c>
      <c r="H2385" s="1">
        <f>value(MYR!$B2385)</f>
        <v>2986.03781</v>
      </c>
      <c r="I2385" s="1">
        <f>value(THB!$B2385)</f>
        <v>376.70878</v>
      </c>
      <c r="J2385" s="1">
        <f>value(VND!$B2385)</f>
        <v>0.5864170244</v>
      </c>
      <c r="K2385" s="1">
        <f>value(CNY!$B2385)</f>
        <v>1935.78441</v>
      </c>
      <c r="L2385" s="1">
        <f>value(HKD!$B2385)</f>
        <v>1718.39957</v>
      </c>
      <c r="M2385" s="1">
        <f>value(TWD!$B2385)</f>
        <v>432.6665585</v>
      </c>
      <c r="N2385" s="1">
        <f>value(JPY!$B2385)</f>
        <v>116.910542</v>
      </c>
      <c r="O2385" s="1">
        <f>value(SAR!$B2385)</f>
        <v>3575.657239</v>
      </c>
      <c r="P2385" s="1">
        <f>value(AED!$B2385)</f>
        <v>3608.01808</v>
      </c>
      <c r="Q2385" s="1">
        <f>value(KWD!$B2385)</f>
        <v>44269.75879</v>
      </c>
    </row>
    <row r="2386">
      <c r="A2386" s="4">
        <f>value(USD!A2386)</f>
        <v>42750.99861</v>
      </c>
      <c r="B2386" s="1">
        <f>value(USD!B2386)</f>
        <v>13313</v>
      </c>
      <c r="C2386" s="1">
        <f>value(AUD!$B2386)</f>
        <v>10175.0649</v>
      </c>
      <c r="D2386" s="1">
        <f>value(EUR!$B2386)</f>
        <v>14221.53456</v>
      </c>
      <c r="E2386" s="1">
        <f>value(GBP!$B2386)</f>
        <v>16469.88816</v>
      </c>
      <c r="F2386" s="1">
        <f>value(CHF!$B2386)</f>
        <v>13205.28316</v>
      </c>
      <c r="G2386" s="1">
        <f>value(SGD!$B2386)</f>
        <v>9410.415</v>
      </c>
      <c r="H2386" s="1">
        <f>value(MYR!$B2386)</f>
        <v>2977.77216</v>
      </c>
      <c r="I2386" s="1">
        <f>value(THB!$B2386)</f>
        <v>376.80864</v>
      </c>
      <c r="J2386" s="1">
        <f>value(VND!$B2386)</f>
        <v>0.5865672898</v>
      </c>
      <c r="K2386" s="1">
        <f>value(CNY!$B2386)</f>
        <v>1932.37485</v>
      </c>
      <c r="L2386" s="1">
        <f>value(HKD!$B2386)</f>
        <v>1718.74815</v>
      </c>
      <c r="M2386" s="1">
        <f>value(TWD!$B2386)</f>
        <v>443.95568</v>
      </c>
      <c r="N2386" s="1">
        <f>value(JPY!$B2386)</f>
        <v>117.775968</v>
      </c>
      <c r="O2386" s="1">
        <f>value(SAR!$B2386)</f>
        <v>3574.804317</v>
      </c>
      <c r="P2386" s="1">
        <f>value(AED!$B2386)</f>
        <v>3612.64514</v>
      </c>
      <c r="Q2386" s="1">
        <f>value(KWD!$B2386)</f>
        <v>44382.12875</v>
      </c>
    </row>
    <row r="2387">
      <c r="A2387" s="4">
        <f>value(USD!A2387)</f>
        <v>42751.99861</v>
      </c>
      <c r="B2387" s="1">
        <f>value(USD!B2387)</f>
        <v>13349</v>
      </c>
      <c r="C2387" s="1">
        <f>value(AUD!$B2387)</f>
        <v>10159.52707</v>
      </c>
      <c r="D2387" s="1">
        <f>value(EUR!$B2387)</f>
        <v>14208.0316</v>
      </c>
      <c r="E2387" s="1">
        <f>value(GBP!$B2387)</f>
        <v>16388.946</v>
      </c>
      <c r="F2387" s="1">
        <f>value(CHF!$B2387)</f>
        <v>13213.34662</v>
      </c>
      <c r="G2387" s="1">
        <f>value(SGD!$B2387)</f>
        <v>9405.6309</v>
      </c>
      <c r="H2387" s="1">
        <f>value(MYR!$B2387)</f>
        <v>2989.3983</v>
      </c>
      <c r="I2387" s="1">
        <f>value(THB!$B2387)</f>
        <v>377.034</v>
      </c>
      <c r="J2387" s="1">
        <f>value(VND!$B2387)</f>
        <v>0.5897379244</v>
      </c>
      <c r="K2387" s="1">
        <f>value(CNY!$B2387)</f>
        <v>1934.578737</v>
      </c>
      <c r="L2387" s="1">
        <f>value(HKD!$B2387)</f>
        <v>1716.93501</v>
      </c>
      <c r="M2387" s="1">
        <f>value(TWD!$B2387)</f>
        <v>442.22496</v>
      </c>
      <c r="N2387" s="1">
        <f>value(JPY!$B2387)</f>
        <v>116.4527</v>
      </c>
      <c r="O2387" s="1">
        <f>value(SAR!$B2387)</f>
        <v>3563.62955</v>
      </c>
      <c r="P2387" s="1">
        <f>value(AED!$B2387)</f>
        <v>3612.64514</v>
      </c>
      <c r="Q2387" s="1">
        <f>value(KWD!$B2387)</f>
        <v>44648.67256</v>
      </c>
    </row>
    <row r="2388">
      <c r="A2388" s="4">
        <f>value(USD!A2388)</f>
        <v>42752.99861</v>
      </c>
      <c r="B2388" s="1">
        <f>value(USD!B2388)</f>
        <v>13296</v>
      </c>
      <c r="C2388" s="1">
        <f>value(AUD!$B2388)</f>
        <v>10171.00455</v>
      </c>
      <c r="D2388" s="1">
        <f>value(EUR!$B2388)</f>
        <v>14259.34264</v>
      </c>
      <c r="E2388" s="1">
        <f>value(GBP!$B2388)</f>
        <v>16502.03056</v>
      </c>
      <c r="F2388" s="1">
        <f>value(CHF!$B2388)</f>
        <v>13298.73601</v>
      </c>
      <c r="G2388" s="1">
        <f>value(SGD!$B2388)</f>
        <v>9404.16558</v>
      </c>
      <c r="H2388" s="1">
        <f>value(MYR!$B2388)</f>
        <v>3004.56502</v>
      </c>
      <c r="I2388" s="1">
        <f>value(THB!$B2388)</f>
        <v>377.52716</v>
      </c>
      <c r="J2388" s="1">
        <f>value(VND!$B2388)</f>
        <v>0.5918566113</v>
      </c>
      <c r="K2388" s="1">
        <f>value(CNY!$B2388)</f>
        <v>1936.14294</v>
      </c>
      <c r="L2388" s="1">
        <f>value(HKD!$B2388)</f>
        <v>1716.54406</v>
      </c>
      <c r="M2388" s="1">
        <f>value(TWD!$B2388)</f>
        <v>440.7624</v>
      </c>
      <c r="N2388" s="1">
        <f>value(JPY!$B2388)</f>
        <v>116.348466</v>
      </c>
      <c r="O2388" s="1">
        <f>value(SAR!$B2388)</f>
        <v>3567.747949</v>
      </c>
      <c r="P2388" s="1">
        <f>value(AED!$B2388)</f>
        <v>3617.2722</v>
      </c>
      <c r="Q2388" s="1">
        <f>value(KWD!$B2388)</f>
        <v>44897.95794</v>
      </c>
    </row>
    <row r="2389">
      <c r="A2389" s="4">
        <f>value(USD!A2389)</f>
        <v>42753.99861</v>
      </c>
      <c r="B2389" s="1">
        <f>value(USD!B2389)</f>
        <v>13370</v>
      </c>
      <c r="C2389" s="1">
        <f>value(AUD!$B2389)</f>
        <v>10121.4916</v>
      </c>
      <c r="D2389" s="1">
        <f>value(EUR!$B2389)</f>
        <v>14319.25988</v>
      </c>
      <c r="E2389" s="1">
        <f>value(GBP!$B2389)</f>
        <v>16558.97127</v>
      </c>
      <c r="F2389" s="1">
        <f>value(CHF!$B2389)</f>
        <v>13254.33024</v>
      </c>
      <c r="G2389" s="1">
        <f>value(SGD!$B2389)</f>
        <v>9426.76488</v>
      </c>
      <c r="H2389" s="1">
        <f>value(MYR!$B2389)</f>
        <v>3009.94282</v>
      </c>
      <c r="I2389" s="1">
        <f>value(THB!$B2389)</f>
        <v>377.81653</v>
      </c>
      <c r="J2389" s="1">
        <f>value(VND!$B2389)</f>
        <v>0.5905532603</v>
      </c>
      <c r="K2389" s="1">
        <f>value(CNY!$B2389)</f>
        <v>1922.30435</v>
      </c>
      <c r="L2389" s="1">
        <f>value(HKD!$B2389)</f>
        <v>1715.89976</v>
      </c>
      <c r="M2389" s="1">
        <f>value(TWD!$B2389)</f>
        <v>440.69526</v>
      </c>
      <c r="N2389" s="1">
        <f>value(JPY!$B2389)</f>
        <v>116.92089</v>
      </c>
      <c r="O2389" s="1">
        <f>value(SAR!$B2389)</f>
        <v>3561.39876</v>
      </c>
      <c r="P2389" s="1">
        <f>value(AED!$B2389)</f>
        <v>3622.29238</v>
      </c>
      <c r="Q2389" s="1">
        <f>value(KWD!$B2389)</f>
        <v>44647.88334</v>
      </c>
    </row>
    <row r="2390">
      <c r="A2390" s="4">
        <f>value(USD!A2390)</f>
        <v>42754.99861</v>
      </c>
      <c r="B2390" s="1">
        <f>value(USD!B2390)</f>
        <v>13378</v>
      </c>
      <c r="C2390" s="1">
        <f>value(AUD!$B2390)</f>
        <v>10089.79092</v>
      </c>
      <c r="D2390" s="1">
        <f>value(EUR!$B2390)</f>
        <v>14331.8493</v>
      </c>
      <c r="E2390" s="1">
        <f>value(GBP!$B2390)</f>
        <v>16559.1052</v>
      </c>
      <c r="F2390" s="1">
        <f>value(CHF!$B2390)</f>
        <v>13195.27283</v>
      </c>
      <c r="G2390" s="1">
        <f>value(SGD!$B2390)</f>
        <v>9463.81475</v>
      </c>
      <c r="H2390" s="1">
        <f>value(MYR!$B2390)</f>
        <v>3009.94282</v>
      </c>
      <c r="I2390" s="1">
        <f>value(THB!$B2390)</f>
        <v>378.08439</v>
      </c>
      <c r="J2390" s="1">
        <f>value(VND!$B2390)</f>
        <v>0.5903469892</v>
      </c>
      <c r="K2390" s="1">
        <f>value(CNY!$B2390)</f>
        <v>1928.39119</v>
      </c>
      <c r="L2390" s="1">
        <f>value(HKD!$B2390)</f>
        <v>1716.54406</v>
      </c>
      <c r="M2390" s="1">
        <f>value(TWD!$B2390)</f>
        <v>442.02546</v>
      </c>
      <c r="N2390" s="1">
        <f>value(JPY!$B2390)</f>
        <v>116.92089</v>
      </c>
      <c r="O2390" s="1">
        <f>value(SAR!$B2390)</f>
        <v>3549.024202</v>
      </c>
      <c r="P2390" s="1">
        <f>value(AED!$B2390)</f>
        <v>3625.83137</v>
      </c>
      <c r="Q2390" s="1">
        <f>value(KWD!$B2390)</f>
        <v>44664.46873</v>
      </c>
    </row>
    <row r="2391">
      <c r="A2391" s="4">
        <f>value(USD!A2391)</f>
        <v>42755.99861</v>
      </c>
      <c r="B2391" s="1">
        <f>value(USD!B2391)</f>
        <v>13393</v>
      </c>
      <c r="C2391" s="1">
        <f>value(AUD!$B2391)</f>
        <v>10081.64733</v>
      </c>
      <c r="D2391" s="1">
        <f>value(EUR!$B2391)</f>
        <v>14361.44562</v>
      </c>
      <c r="E2391" s="1">
        <f>value(GBP!$B2391)</f>
        <v>16604.0013</v>
      </c>
      <c r="F2391" s="1">
        <f>value(CHF!$B2391)</f>
        <v>13214.7984</v>
      </c>
      <c r="G2391" s="1">
        <f>value(SGD!$B2391)</f>
        <v>9478.64835</v>
      </c>
      <c r="H2391" s="1">
        <f>value(MYR!$B2391)</f>
        <v>3012.86444</v>
      </c>
      <c r="I2391" s="1">
        <f>value(THB!$B2391)</f>
        <v>379.12168</v>
      </c>
      <c r="J2391" s="1">
        <f>value(VND!$B2391)</f>
        <v>0.5914234504</v>
      </c>
      <c r="K2391" s="1">
        <f>value(CNY!$B2391)</f>
        <v>1926.35993</v>
      </c>
      <c r="L2391" s="1">
        <f>value(HKD!$B2391)</f>
        <v>1718.33454</v>
      </c>
      <c r="M2391" s="1">
        <f>value(TWD!$B2391)</f>
        <v>441.26105</v>
      </c>
      <c r="N2391" s="1">
        <f>value(JPY!$B2391)</f>
        <v>117.758304</v>
      </c>
      <c r="O2391" s="1">
        <f>value(SAR!$B2391)</f>
        <v>3555.199911</v>
      </c>
      <c r="P2391" s="1">
        <f>value(AED!$B2391)</f>
        <v>3640.675</v>
      </c>
      <c r="Q2391" s="1">
        <f>value(KWD!$B2391)</f>
        <v>44868.51184</v>
      </c>
    </row>
    <row r="2392">
      <c r="A2392" s="4">
        <f>value(USD!A2392)</f>
        <v>42756.99861</v>
      </c>
      <c r="B2392" s="1">
        <f>value(USD!B2392)</f>
        <v>13393</v>
      </c>
      <c r="C2392" s="1">
        <f>value(AUD!$B2392)</f>
        <v>10069.63083</v>
      </c>
      <c r="D2392" s="1">
        <f>value(EUR!$B2392)</f>
        <v>14357.6186</v>
      </c>
      <c r="E2392" s="1">
        <f>value(GBP!$B2392)</f>
        <v>16701.2675</v>
      </c>
      <c r="F2392" s="1">
        <f>value(CHF!$B2392)</f>
        <v>13223.86336</v>
      </c>
      <c r="G2392" s="1">
        <f>value(SGD!$B2392)</f>
        <v>9479.18127</v>
      </c>
      <c r="H2392" s="1">
        <f>value(MYR!$B2392)</f>
        <v>3005.294</v>
      </c>
      <c r="I2392" s="1">
        <f>value(THB!$B2392)</f>
        <v>378.33075</v>
      </c>
      <c r="J2392" s="1">
        <f>value(VND!$B2392)</f>
        <v>0.5982050214</v>
      </c>
      <c r="K2392" s="1">
        <f>value(CNY!$B2392)</f>
        <v>1927.40968</v>
      </c>
      <c r="L2392" s="1">
        <f>value(HKD!$B2392)</f>
        <v>1719.892566</v>
      </c>
      <c r="M2392" s="1">
        <f>value(TWD!$B2392)</f>
        <v>441.02872</v>
      </c>
      <c r="N2392" s="1">
        <f>value(JPY!$B2392)</f>
        <v>118.303425</v>
      </c>
      <c r="O2392" s="1">
        <f>value(SAR!$B2392)</f>
        <v>3556.249556</v>
      </c>
      <c r="P2392" s="1">
        <f>value(AED!$B2392)</f>
        <v>3656.19394</v>
      </c>
      <c r="Q2392" s="1">
        <f>value(KWD!$B2392)</f>
        <v>44886.5807</v>
      </c>
    </row>
    <row r="2393">
      <c r="A2393" s="4">
        <f>value(USD!A2393)</f>
        <v>42757.99861</v>
      </c>
      <c r="B2393" s="1">
        <f>value(USD!B2393)</f>
        <v>13406</v>
      </c>
      <c r="C2393" s="1">
        <f>value(AUD!$B2393)</f>
        <v>10001.91675</v>
      </c>
      <c r="D2393" s="1">
        <f>value(EUR!$B2393)</f>
        <v>14313.03076</v>
      </c>
      <c r="E2393" s="1">
        <f>value(GBP!$B2393)</f>
        <v>16719.66072</v>
      </c>
      <c r="F2393" s="1">
        <f>value(CHF!$B2393)</f>
        <v>13172.04156</v>
      </c>
      <c r="G2393" s="1">
        <f>value(SGD!$B2393)</f>
        <v>9478.0274</v>
      </c>
      <c r="H2393" s="1">
        <f>value(MYR!$B2393)</f>
        <v>3006.35286</v>
      </c>
      <c r="I2393" s="1">
        <f>value(THB!$B2393)</f>
        <v>378.37912</v>
      </c>
      <c r="J2393" s="1">
        <f>value(VND!$B2393)</f>
        <v>0.5972966302</v>
      </c>
      <c r="K2393" s="1">
        <f>value(CNY!$B2393)</f>
        <v>1928.00277</v>
      </c>
      <c r="L2393" s="1">
        <f>value(HKD!$B2393)</f>
        <v>1719.8805</v>
      </c>
      <c r="M2393" s="1">
        <f>value(TWD!$B2393)</f>
        <v>441.02872</v>
      </c>
      <c r="N2393" s="1">
        <f>value(JPY!$B2393)</f>
        <v>117.156102</v>
      </c>
      <c r="O2393" s="1">
        <f>value(SAR!$B2393)</f>
        <v>3551.177209</v>
      </c>
      <c r="P2393" s="1">
        <f>value(AED!$B2393)</f>
        <v>3676.60744</v>
      </c>
      <c r="Q2393" s="1">
        <f>value(KWD!$B2393)</f>
        <v>44667.71883</v>
      </c>
    </row>
    <row r="2394">
      <c r="A2394" s="4">
        <f>value(USD!A2394)</f>
        <v>42758.99861</v>
      </c>
      <c r="B2394" s="1">
        <f>value(USD!B2394)</f>
        <v>13345</v>
      </c>
      <c r="C2394" s="1">
        <f>value(AUD!$B2394)</f>
        <v>10009.34216</v>
      </c>
      <c r="D2394" s="1">
        <f>value(EUR!$B2394)</f>
        <v>14316.29792</v>
      </c>
      <c r="E2394" s="1">
        <f>value(GBP!$B2394)</f>
        <v>16821.83648</v>
      </c>
      <c r="F2394" s="1">
        <f>value(CHF!$B2394)</f>
        <v>13181.36232</v>
      </c>
      <c r="G2394" s="1">
        <f>value(SGD!$B2394)</f>
        <v>9491.49884</v>
      </c>
      <c r="H2394" s="1">
        <f>value(MYR!$B2394)</f>
        <v>3010.0818</v>
      </c>
      <c r="I2394" s="1">
        <f>value(THB!$B2394)</f>
        <v>378.1744</v>
      </c>
      <c r="J2394" s="1">
        <f>value(VND!$B2394)</f>
        <v>0.6018504141</v>
      </c>
      <c r="K2394" s="1">
        <f>value(CNY!$B2394)</f>
        <v>1927.8823</v>
      </c>
      <c r="L2394" s="1">
        <f>value(HKD!$B2394)</f>
        <v>1719.76095</v>
      </c>
      <c r="M2394" s="1">
        <f>value(TWD!$B2394)</f>
        <v>442.058</v>
      </c>
      <c r="N2394" s="1">
        <f>value(JPY!$B2394)</f>
        <v>117.5137</v>
      </c>
      <c r="O2394" s="1">
        <f>value(SAR!$B2394)</f>
        <v>3553.235755</v>
      </c>
      <c r="P2394" s="1">
        <f>value(AED!$B2394)</f>
        <v>3663.9466</v>
      </c>
      <c r="Q2394" s="1">
        <f>value(KWD!$B2394)</f>
        <v>44604.71313</v>
      </c>
    </row>
    <row r="2395">
      <c r="A2395" s="4">
        <f>value(USD!A2395)</f>
        <v>42759.99861</v>
      </c>
      <c r="B2395" s="1">
        <f>value(USD!B2395)</f>
        <v>13342</v>
      </c>
      <c r="C2395" s="1">
        <f>value(AUD!$B2395)</f>
        <v>10038.17499</v>
      </c>
      <c r="D2395" s="1">
        <f>value(EUR!$B2395)</f>
        <v>14300.12727</v>
      </c>
      <c r="E2395" s="1">
        <f>value(GBP!$B2395)</f>
        <v>16860.12328</v>
      </c>
      <c r="F2395" s="1">
        <f>value(CHF!$B2395)</f>
        <v>13161.2984</v>
      </c>
      <c r="G2395" s="1">
        <f>value(SGD!$B2395)</f>
        <v>9517.38543</v>
      </c>
      <c r="H2395" s="1">
        <f>value(MYR!$B2395)</f>
        <v>3020.24107</v>
      </c>
      <c r="I2395" s="1">
        <f>value(THB!$B2395)</f>
        <v>378.98597</v>
      </c>
      <c r="J2395" s="1">
        <f>value(VND!$B2395)</f>
        <v>0.6000882523</v>
      </c>
      <c r="K2395" s="1">
        <f>value(CNY!$B2395)</f>
        <v>1927.67796</v>
      </c>
      <c r="L2395" s="1">
        <f>value(HKD!$B2395)</f>
        <v>1721.04472</v>
      </c>
      <c r="M2395" s="1">
        <f>value(TWD!$B2395)</f>
        <v>442.32399</v>
      </c>
      <c r="N2395" s="1">
        <f>value(JPY!$B2395)</f>
        <v>116.935445</v>
      </c>
      <c r="O2395" s="1">
        <f>value(SAR!$B2395)</f>
        <v>3551.444174</v>
      </c>
      <c r="P2395" s="1">
        <f>value(AED!$B2395)</f>
        <v>3665.57695</v>
      </c>
      <c r="Q2395" s="1">
        <f>value(KWD!$B2395)</f>
        <v>44751.58238</v>
      </c>
    </row>
    <row r="2396">
      <c r="A2396" s="4">
        <f>value(USD!A2396)</f>
        <v>42760.99861</v>
      </c>
      <c r="B2396" s="1">
        <f>value(USD!B2396)</f>
        <v>13316</v>
      </c>
      <c r="C2396" s="1">
        <f>value(AUD!$B2396)</f>
        <v>9957.2313</v>
      </c>
      <c r="D2396" s="1">
        <f>value(EUR!$B2396)</f>
        <v>14287.18148</v>
      </c>
      <c r="E2396" s="1">
        <f>value(GBP!$B2396)</f>
        <v>16758.62719</v>
      </c>
      <c r="F2396" s="1">
        <f>value(CHF!$B2396)</f>
        <v>13177.63968</v>
      </c>
      <c r="G2396" s="1">
        <f>value(SGD!$B2396)</f>
        <v>9478.32192</v>
      </c>
      <c r="H2396" s="1">
        <f>value(MYR!$B2396)</f>
        <v>3011.60279</v>
      </c>
      <c r="I2396" s="1">
        <f>value(THB!$B2396)</f>
        <v>378.27024</v>
      </c>
      <c r="J2396" s="1">
        <f>value(VND!$B2396)</f>
        <v>0.6002452757</v>
      </c>
      <c r="K2396" s="1">
        <f>value(CNY!$B2396)</f>
        <v>1932.89124</v>
      </c>
      <c r="L2396" s="1">
        <f>value(HKD!$B2396)</f>
        <v>1718.46792</v>
      </c>
      <c r="M2396" s="1">
        <f>value(TWD!$B2396)</f>
        <v>441.49374</v>
      </c>
      <c r="N2396" s="1">
        <f>value(JPY!$B2396)</f>
        <v>116.07233</v>
      </c>
      <c r="O2396" s="1">
        <f>value(SAR!$B2396)</f>
        <v>3556.249556</v>
      </c>
      <c r="P2396" s="1">
        <f>value(AED!$B2396)</f>
        <v>3682.86758</v>
      </c>
      <c r="Q2396" s="1">
        <f>value(KWD!$B2396)</f>
        <v>44735.01017</v>
      </c>
    </row>
    <row r="2397">
      <c r="A2397" s="4">
        <f>value(USD!A2397)</f>
        <v>42761.99861</v>
      </c>
      <c r="B2397" s="1">
        <f>value(USD!B2397)</f>
        <v>13387</v>
      </c>
      <c r="C2397" s="1">
        <f>value(AUD!$B2397)</f>
        <v>9972.2373</v>
      </c>
      <c r="D2397" s="1">
        <f>value(EUR!$B2397)</f>
        <v>14303.25779</v>
      </c>
      <c r="E2397" s="1">
        <f>value(GBP!$B2397)</f>
        <v>16779.40679</v>
      </c>
      <c r="F2397" s="1">
        <f>value(CHF!$B2397)</f>
        <v>13238.94728</v>
      </c>
      <c r="G2397" s="1">
        <f>value(SGD!$B2397)</f>
        <v>9467.01416</v>
      </c>
      <c r="H2397" s="1">
        <f>value(MYR!$B2397)</f>
        <v>3014.30392</v>
      </c>
      <c r="I2397" s="1">
        <f>value(THB!$B2397)</f>
        <v>371.3902644</v>
      </c>
      <c r="J2397" s="1">
        <f>value(VND!$B2397)</f>
        <v>0.601774039</v>
      </c>
      <c r="K2397" s="1">
        <f>value(CNY!$B2397)</f>
        <v>1931.9088</v>
      </c>
      <c r="L2397" s="1">
        <f>value(HKD!$B2397)</f>
        <v>1717.0595</v>
      </c>
      <c r="M2397" s="1">
        <f>value(TWD!$B2397)</f>
        <v>441.1616</v>
      </c>
      <c r="N2397" s="1">
        <f>value(JPY!$B2397)</f>
        <v>116.1764362</v>
      </c>
      <c r="O2397" s="1">
        <f>value(SAR!$B2397)</f>
        <v>3556.516522</v>
      </c>
      <c r="P2397" s="1">
        <f>value(AED!$B2397)</f>
        <v>3684.22848</v>
      </c>
      <c r="Q2397" s="1">
        <f>value(KWD!$B2397)</f>
        <v>44735.01017</v>
      </c>
    </row>
    <row r="2398">
      <c r="A2398" s="4">
        <f>value(USD!A2398)</f>
        <v>42762.99861</v>
      </c>
      <c r="B2398" s="1">
        <f>value(USD!B2398)</f>
        <v>13357</v>
      </c>
      <c r="C2398" s="1">
        <f>value(AUD!$B2398)</f>
        <v>10008.46814</v>
      </c>
      <c r="D2398" s="1">
        <f>value(EUR!$B2398)</f>
        <v>14276.8101</v>
      </c>
      <c r="E2398" s="1">
        <f>value(GBP!$B2398)</f>
        <v>16778.23356</v>
      </c>
      <c r="F2398" s="1">
        <f>value(CHF!$B2398)</f>
        <v>13200.8261</v>
      </c>
      <c r="G2398" s="1">
        <f>value(SGD!$B2398)</f>
        <v>9445.83776</v>
      </c>
      <c r="H2398" s="1">
        <f>value(MYR!$B2398)</f>
        <v>3002.61432</v>
      </c>
      <c r="I2398" s="1">
        <f>value(THB!$B2398)</f>
        <v>376.99254</v>
      </c>
      <c r="J2398" s="1">
        <f>value(VND!$B2398)</f>
        <v>0.6014639703</v>
      </c>
      <c r="K2398" s="1">
        <f>value(CNY!$B2398)</f>
        <v>1937.27017</v>
      </c>
      <c r="L2398" s="1">
        <f>value(HKD!$B2398)</f>
        <v>1716.53532</v>
      </c>
      <c r="M2398" s="1">
        <f>value(TWD!$B2398)</f>
        <v>441.22806</v>
      </c>
      <c r="N2398" s="1">
        <f>value(JPY!$B2398)</f>
        <v>116.042808</v>
      </c>
      <c r="O2398" s="1">
        <f>value(SAR!$B2398)</f>
        <v>3537.710634</v>
      </c>
      <c r="P2398" s="1">
        <f>value(AED!$B2398)</f>
        <v>3666.3993</v>
      </c>
      <c r="Q2398" s="1">
        <f>value(KWD!$B2398)</f>
        <v>44800.36239</v>
      </c>
    </row>
    <row r="2399">
      <c r="A2399" s="4">
        <f>value(USD!A2399)</f>
        <v>42763.99861</v>
      </c>
      <c r="B2399" s="1">
        <f>value(USD!B2399)</f>
        <v>13368.98</v>
      </c>
      <c r="C2399" s="1">
        <f>value(AUD!$B2399)</f>
        <v>10042.36468</v>
      </c>
      <c r="D2399" s="1">
        <f>value(EUR!$B2399)</f>
        <v>14282.3304</v>
      </c>
      <c r="E2399" s="1">
        <f>value(GBP!$B2399)</f>
        <v>16671.96648</v>
      </c>
      <c r="F2399" s="1">
        <f>value(CHF!$B2399)</f>
        <v>13215.07574</v>
      </c>
      <c r="G2399" s="1">
        <f>value(SGD!$B2399)</f>
        <v>9452.93097</v>
      </c>
      <c r="H2399" s="1">
        <f>value(MYR!$B2399)</f>
        <v>3006.65196</v>
      </c>
      <c r="I2399" s="1">
        <f>value(THB!$B2399)</f>
        <v>378.7992</v>
      </c>
      <c r="J2399" s="1">
        <f>value(VND!$B2399)</f>
        <v>0.6006570089</v>
      </c>
      <c r="K2399" s="1">
        <f>value(CNY!$B2399)</f>
        <v>1934.82693</v>
      </c>
      <c r="L2399" s="1">
        <f>value(HKD!$B2399)</f>
        <v>1716.66855</v>
      </c>
      <c r="M2399" s="1">
        <f>value(TWD!$B2399)</f>
        <v>441.6928</v>
      </c>
      <c r="N2399" s="1">
        <f>value(JPY!$B2399)</f>
        <v>117.321048</v>
      </c>
      <c r="O2399" s="1">
        <f>value(SAR!$B2399)</f>
        <v>3555.104614</v>
      </c>
      <c r="P2399" s="1">
        <f>value(AED!$B2399)</f>
        <v>3661.22769</v>
      </c>
      <c r="Q2399" s="1">
        <f>value(KWD!$B2399)</f>
        <v>44795.90409</v>
      </c>
    </row>
    <row r="2400">
      <c r="A2400" s="4">
        <f>value(USD!A2400)</f>
        <v>42764.99861</v>
      </c>
      <c r="B2400" s="1">
        <f>value(USD!B2400)</f>
        <v>13326</v>
      </c>
      <c r="C2400" s="1">
        <f>value(AUD!$B2400)</f>
        <v>10065.27147</v>
      </c>
      <c r="D2400" s="1">
        <f>value(EUR!$B2400)</f>
        <v>14414.2014</v>
      </c>
      <c r="E2400" s="1">
        <f>value(GBP!$B2400)</f>
        <v>16797.3515</v>
      </c>
      <c r="F2400" s="1">
        <f>value(CHF!$B2400)</f>
        <v>13268.76816</v>
      </c>
      <c r="G2400" s="1">
        <f>value(SGD!$B2400)</f>
        <v>9421.4049</v>
      </c>
      <c r="H2400" s="1">
        <f>value(MYR!$B2400)</f>
        <v>3010.8989</v>
      </c>
      <c r="I2400" s="1">
        <f>value(THB!$B2400)</f>
        <v>379.93215</v>
      </c>
      <c r="J2400" s="1">
        <f>value(VND!$B2400)</f>
        <v>0.5975703851</v>
      </c>
      <c r="K2400" s="1">
        <f>value(CNY!$B2400)</f>
        <v>1930.663</v>
      </c>
      <c r="L2400" s="1">
        <f>value(HKD!$B2400)</f>
        <v>1716.66416</v>
      </c>
      <c r="M2400" s="1">
        <f>value(TWD!$B2400)</f>
        <v>441.6928</v>
      </c>
      <c r="N2400" s="1">
        <f>value(JPY!$B2400)</f>
        <v>118.330115</v>
      </c>
      <c r="O2400" s="1">
        <f>value(SAR!$B2400)</f>
        <v>3558.308373</v>
      </c>
      <c r="P2400" s="1">
        <f>value(AED!$B2400)</f>
        <v>3675.10938</v>
      </c>
      <c r="Q2400" s="1">
        <f>value(KWD!$B2400)</f>
        <v>44758.80563</v>
      </c>
    </row>
    <row r="2401">
      <c r="A2401" s="4">
        <f>value(USD!A2401)</f>
        <v>42765.99861</v>
      </c>
      <c r="B2401" s="1">
        <f>value(USD!B2401)</f>
        <v>13338</v>
      </c>
      <c r="C2401" s="1">
        <f>value(AUD!$B2401)</f>
        <v>10059.7868</v>
      </c>
      <c r="D2401" s="1">
        <f>value(EUR!$B2401)</f>
        <v>14383.376</v>
      </c>
      <c r="E2401" s="1">
        <f>value(GBP!$B2401)</f>
        <v>16909.084</v>
      </c>
      <c r="F2401" s="1">
        <f>value(CHF!$B2401)</f>
        <v>13263.0628</v>
      </c>
      <c r="G2401" s="1">
        <f>value(SGD!$B2401)</f>
        <v>9445.60232</v>
      </c>
      <c r="H2401" s="1">
        <f>value(MYR!$B2401)</f>
        <v>3014.016</v>
      </c>
      <c r="I2401" s="1">
        <f>value(THB!$B2401)</f>
        <v>380.2256</v>
      </c>
      <c r="J2401" s="1">
        <f>value(VND!$B2401)</f>
        <v>0.5977285233</v>
      </c>
      <c r="K2401" s="1">
        <f>value(CNY!$B2401)</f>
        <v>1929.056</v>
      </c>
      <c r="L2401" s="1">
        <f>value(HKD!$B2401)</f>
        <v>1718.46337</v>
      </c>
      <c r="M2401" s="1">
        <f>value(TWD!$B2401)</f>
        <v>441.26126</v>
      </c>
      <c r="N2401" s="1">
        <f>value(JPY!$B2401)</f>
        <v>117.86192</v>
      </c>
      <c r="O2401" s="1">
        <f>value(SAR!$B2401)</f>
        <v>3558.290379</v>
      </c>
      <c r="P2401" s="1">
        <f>value(AED!$B2401)</f>
        <v>3673.74843</v>
      </c>
      <c r="Q2401" s="1">
        <f>value(KWD!$B2401)</f>
        <v>44738.32461</v>
      </c>
    </row>
    <row r="2402">
      <c r="A2402" s="4">
        <f>value(USD!A2402)</f>
        <v>42766.99861</v>
      </c>
      <c r="B2402" s="1">
        <f>value(USD!B2402)</f>
        <v>13345</v>
      </c>
      <c r="C2402" s="1">
        <f>value(AUD!$B2402)</f>
        <v>10072.21035</v>
      </c>
      <c r="D2402" s="1">
        <f>value(EUR!$B2402)</f>
        <v>14361.23022</v>
      </c>
      <c r="E2402" s="1">
        <f>value(GBP!$B2402)</f>
        <v>16707.45702</v>
      </c>
      <c r="F2402" s="1">
        <f>value(CHF!$B2402)</f>
        <v>13215.81047</v>
      </c>
      <c r="G2402" s="1">
        <f>value(SGD!$B2402)</f>
        <v>9453.35696</v>
      </c>
      <c r="H2402" s="1">
        <f>value(MYR!$B2402)</f>
        <v>3014.72794</v>
      </c>
      <c r="I2402" s="1">
        <f>value(THB!$B2402)</f>
        <v>380.49446</v>
      </c>
      <c r="J2402" s="1">
        <f>value(VND!$B2402)</f>
        <v>0.5933286541</v>
      </c>
      <c r="K2402" s="1">
        <f>value(CNY!$B2402)</f>
        <v>1906.52348</v>
      </c>
      <c r="L2402" s="1">
        <f>value(HKD!$B2402)</f>
        <v>1725.02862</v>
      </c>
      <c r="M2402" s="1">
        <f>value(TWD!$B2402)</f>
        <v>440.46398</v>
      </c>
      <c r="N2402" s="1">
        <f>value(JPY!$B2402)</f>
        <v>118.285598</v>
      </c>
      <c r="O2402" s="1">
        <f>value(SAR!$B2402)</f>
        <v>3553.674807</v>
      </c>
      <c r="P2402" s="1">
        <f>value(AED!$B2402)</f>
        <v>3674.28831</v>
      </c>
      <c r="Q2402" s="1">
        <f>value(KWD!$B2402)</f>
        <v>44566.112</v>
      </c>
    </row>
    <row r="2403">
      <c r="A2403" s="4">
        <f>value(USD!A2403)</f>
        <v>42767.99861</v>
      </c>
      <c r="B2403" s="1">
        <f>value(USD!B2403)</f>
        <v>13360</v>
      </c>
      <c r="C2403" s="1">
        <f>value(AUD!$B2403)</f>
        <v>10080.0889</v>
      </c>
      <c r="D2403" s="1">
        <f>value(EUR!$B2403)</f>
        <v>14363.99572</v>
      </c>
      <c r="E2403" s="1">
        <f>value(GBP!$B2403)</f>
        <v>16622.72852</v>
      </c>
      <c r="F2403" s="1">
        <f>value(CHF!$B2403)</f>
        <v>13333.4754</v>
      </c>
      <c r="G2403" s="1">
        <f>value(SGD!$B2403)</f>
        <v>9428.04936</v>
      </c>
      <c r="H2403" s="1">
        <f>value(MYR!$B2403)</f>
        <v>3006.00578</v>
      </c>
      <c r="I2403" s="1">
        <f>value(THB!$B2403)</f>
        <v>379.82936</v>
      </c>
      <c r="J2403" s="1">
        <f>value(VND!$B2403)</f>
        <v>0.6004765554</v>
      </c>
      <c r="K2403" s="1">
        <f>value(CNY!$B2403)</f>
        <v>1932.9259</v>
      </c>
      <c r="L2403" s="1">
        <f>value(HKD!$B2403)</f>
        <v>1724.8896</v>
      </c>
      <c r="M2403" s="1">
        <f>value(TWD!$B2403)</f>
        <v>440.92656</v>
      </c>
      <c r="N2403" s="1">
        <f>value(JPY!$B2403)</f>
        <v>118.26384</v>
      </c>
      <c r="O2403" s="1">
        <f>value(SAR!$B2403)</f>
        <v>3559.51195</v>
      </c>
      <c r="P2403" s="1">
        <f>value(AED!$B2403)</f>
        <v>3677.1518</v>
      </c>
      <c r="Q2403" s="1">
        <f>value(KWD!$B2403)</f>
        <v>44771.8528</v>
      </c>
    </row>
    <row r="2404">
      <c r="A2404" s="4">
        <f>value(USD!A2404)</f>
        <v>42768.99861</v>
      </c>
      <c r="B2404" s="1">
        <f>value(USD!B2404)</f>
        <v>13346</v>
      </c>
      <c r="C2404" s="1">
        <f>value(AUD!$B2404)</f>
        <v>10049.91456</v>
      </c>
      <c r="D2404" s="1">
        <f>value(EUR!$B2404)</f>
        <v>14383.30307</v>
      </c>
      <c r="E2404" s="1">
        <f>value(GBP!$B2404)</f>
        <v>16647.99583</v>
      </c>
      <c r="F2404" s="1">
        <f>value(CHF!$B2404)</f>
        <v>13356.008</v>
      </c>
      <c r="G2404" s="1">
        <f>value(SGD!$B2404)</f>
        <v>9428.07229</v>
      </c>
      <c r="H2404" s="1">
        <f>value(MYR!$B2404)</f>
        <v>3009.465914</v>
      </c>
      <c r="I2404" s="1">
        <f>value(THB!$B2404)</f>
        <v>374.1332398</v>
      </c>
      <c r="J2404" s="1">
        <f>value(VND!$B2404)</f>
        <v>0.6001075614</v>
      </c>
      <c r="K2404" s="1">
        <f>value(CNY!$B2404)</f>
        <v>1923.90588</v>
      </c>
      <c r="L2404" s="1">
        <f>value(HKD!$B2404)</f>
        <v>1722.70986</v>
      </c>
      <c r="M2404" s="1">
        <f>value(TWD!$B2404)</f>
        <v>441.3276</v>
      </c>
      <c r="N2404" s="1">
        <f>value(JPY!$B2404)</f>
        <v>118.2666371</v>
      </c>
      <c r="O2404" s="1">
        <f>value(SAR!$B2404)</f>
        <v>3555.507999</v>
      </c>
      <c r="P2404" s="1">
        <f>value(AED!$B2404)</f>
        <v>3677.1518</v>
      </c>
      <c r="Q2404" s="1">
        <f>value(KWD!$B2404)</f>
        <v>44771.8528</v>
      </c>
    </row>
    <row r="2405">
      <c r="A2405" s="4">
        <f>value(USD!A2405)</f>
        <v>42769.99861</v>
      </c>
      <c r="B2405" s="1">
        <f>value(USD!B2405)</f>
        <v>13318</v>
      </c>
      <c r="C2405" s="1">
        <f>value(AUD!$B2405)</f>
        <v>10001.77937</v>
      </c>
      <c r="D2405" s="1">
        <f>value(EUR!$B2405)</f>
        <v>14381.16498</v>
      </c>
      <c r="E2405" s="1">
        <f>value(GBP!$B2405)</f>
        <v>16647.1578</v>
      </c>
      <c r="F2405" s="1">
        <f>value(CHF!$B2405)</f>
        <v>13354.674</v>
      </c>
      <c r="G2405" s="1">
        <f>value(SGD!$B2405)</f>
        <v>9452.96086</v>
      </c>
      <c r="H2405" s="1">
        <f>value(MYR!$B2405)</f>
        <v>3010.51998</v>
      </c>
      <c r="I2405" s="1">
        <f>value(THB!$B2405)</f>
        <v>380.39976</v>
      </c>
      <c r="J2405" s="1">
        <f>value(VND!$B2405)</f>
        <v>0.6027962314</v>
      </c>
      <c r="K2405" s="1">
        <f>value(CNY!$B2405)</f>
        <v>1935.36096</v>
      </c>
      <c r="L2405" s="1">
        <f>value(HKD!$B2405)</f>
        <v>1715.1008</v>
      </c>
      <c r="M2405" s="1">
        <f>value(TWD!$B2405)</f>
        <v>441.46058</v>
      </c>
      <c r="N2405" s="1">
        <f>value(JPY!$B2405)</f>
        <v>118.388088</v>
      </c>
      <c r="O2405" s="1">
        <f>value(SAR!$B2405)</f>
        <v>3552.189321</v>
      </c>
      <c r="P2405" s="1">
        <f>value(AED!$B2405)</f>
        <v>3677.0167</v>
      </c>
      <c r="Q2405" s="1">
        <f>value(KWD!$B2405)</f>
        <v>44683.16828</v>
      </c>
    </row>
    <row r="2406">
      <c r="A2406" s="4">
        <f>value(USD!A2406)</f>
        <v>42770.99861</v>
      </c>
      <c r="B2406" s="1">
        <f>value(USD!B2406)</f>
        <v>13333.33</v>
      </c>
      <c r="C2406" s="1">
        <f>value(AUD!$B2406)</f>
        <v>10012.12011</v>
      </c>
      <c r="D2406" s="1">
        <f>value(EUR!$B2406)</f>
        <v>14315.72202</v>
      </c>
      <c r="E2406" s="1">
        <f>value(GBP!$B2406)</f>
        <v>16613.92398</v>
      </c>
      <c r="F2406" s="1">
        <f>value(CHF!$B2406)</f>
        <v>13359.326</v>
      </c>
      <c r="G2406" s="1">
        <f>value(SGD!$B2406)</f>
        <v>9447.49994</v>
      </c>
      <c r="H2406" s="1">
        <f>value(MYR!$B2406)</f>
        <v>3006.47886</v>
      </c>
      <c r="I2406" s="1">
        <f>value(THB!$B2406)</f>
        <v>380.4573</v>
      </c>
      <c r="J2406" s="1">
        <f>value(VND!$B2406)</f>
        <v>0.6012640051</v>
      </c>
      <c r="K2406" s="1">
        <f>value(CNY!$B2406)</f>
        <v>1928.208</v>
      </c>
      <c r="L2406" s="1">
        <f>value(HKD!$B2406)</f>
        <v>1717.332904</v>
      </c>
      <c r="M2406" s="1">
        <f>value(TWD!$B2406)</f>
        <v>440.9292</v>
      </c>
      <c r="N2406" s="1">
        <f>value(JPY!$B2406)</f>
        <v>119.13444</v>
      </c>
      <c r="O2406" s="1">
        <f>value(SAR!$B2406)</f>
        <v>3555.353835</v>
      </c>
      <c r="P2406" s="1">
        <f>value(AED!$B2406)</f>
        <v>3674.02062</v>
      </c>
      <c r="Q2406" s="1">
        <f>value(KWD!$B2406)</f>
        <v>44735.79005</v>
      </c>
    </row>
    <row r="2407">
      <c r="A2407" s="4">
        <f>value(USD!A2407)</f>
        <v>42771.99861</v>
      </c>
      <c r="B2407" s="1">
        <f>value(USD!B2407)</f>
        <v>13338</v>
      </c>
      <c r="C2407" s="1">
        <f>value(AUD!$B2407)</f>
        <v>10023.23136</v>
      </c>
      <c r="D2407" s="1">
        <f>value(EUR!$B2407)</f>
        <v>14211.6194</v>
      </c>
      <c r="E2407" s="1">
        <f>value(GBP!$B2407)</f>
        <v>16630.1795</v>
      </c>
      <c r="F2407" s="1">
        <f>value(CHF!$B2407)</f>
        <v>13343.9988</v>
      </c>
      <c r="G2407" s="1">
        <f>value(SGD!$B2407)</f>
        <v>9445.9808</v>
      </c>
      <c r="H2407" s="1">
        <f>value(MYR!$B2407)</f>
        <v>2998.0775</v>
      </c>
      <c r="I2407" s="1">
        <f>value(THB!$B2407)</f>
        <v>379.7343</v>
      </c>
      <c r="J2407" s="1">
        <f>value(VND!$B2407)</f>
        <v>0.6084592371</v>
      </c>
      <c r="K2407" s="1">
        <f>value(CNY!$B2407)</f>
        <v>1929.238285</v>
      </c>
      <c r="L2407" s="1">
        <f>value(HKD!$B2407)</f>
        <v>1710.2064</v>
      </c>
      <c r="M2407" s="1">
        <f>value(TWD!$B2407)</f>
        <v>440.19745</v>
      </c>
      <c r="N2407" s="1">
        <f>value(JPY!$B2407)</f>
        <v>118.40576</v>
      </c>
      <c r="O2407" s="1">
        <f>value(SAR!$B2407)</f>
        <v>3555.086877</v>
      </c>
      <c r="P2407" s="1">
        <f>value(AED!$B2407)</f>
        <v>3655.3774</v>
      </c>
      <c r="Q2407" s="1">
        <f>value(KWD!$B2407)</f>
        <v>44778.09791</v>
      </c>
    </row>
    <row r="2408">
      <c r="A2408" s="4">
        <f>value(USD!A2408)</f>
        <v>42772.99861</v>
      </c>
      <c r="B2408" s="1">
        <f>value(USD!B2408)</f>
        <v>13326</v>
      </c>
      <c r="C2408" s="1">
        <f>value(AUD!$B2408)</f>
        <v>9902.00695</v>
      </c>
      <c r="D2408" s="1">
        <f>value(EUR!$B2408)</f>
        <v>14221.70028</v>
      </c>
      <c r="E2408" s="1">
        <f>value(GBP!$B2408)</f>
        <v>16662.48426</v>
      </c>
      <c r="F2408" s="1">
        <f>value(CHF!$B2408)</f>
        <v>13394.502</v>
      </c>
      <c r="G2408" s="1">
        <f>value(SGD!$B2408)</f>
        <v>9457.4909</v>
      </c>
      <c r="H2408" s="1">
        <f>value(MYR!$B2408)</f>
        <v>2994.2802</v>
      </c>
      <c r="I2408" s="1">
        <f>value(THB!$B2408)</f>
        <v>379.90512</v>
      </c>
      <c r="J2408" s="1">
        <f>value(VND!$B2408)</f>
        <v>0.6088692741</v>
      </c>
      <c r="K2408" s="1">
        <f>value(CNY!$B2408)</f>
        <v>1926.89408</v>
      </c>
      <c r="L2408" s="1">
        <f>value(HKD!$B2408)</f>
        <v>1718.31618</v>
      </c>
      <c r="M2408" s="1">
        <f>value(TWD!$B2408)</f>
        <v>441.09282</v>
      </c>
      <c r="N2408" s="1">
        <f>value(JPY!$B2408)</f>
        <v>118.773558</v>
      </c>
      <c r="O2408" s="1">
        <f>value(SAR!$B2408)</f>
        <v>3555.086877</v>
      </c>
      <c r="P2408" s="1">
        <f>value(AED!$B2408)</f>
        <v>3674.191765</v>
      </c>
      <c r="Q2408" s="1">
        <f>value(KWD!$B2408)</f>
        <v>44711.80909</v>
      </c>
    </row>
    <row r="2409">
      <c r="A2409" s="4">
        <f>value(USD!A2409)</f>
        <v>42773.99861</v>
      </c>
      <c r="B2409" s="1">
        <f>value(USD!B2409)</f>
        <v>13310</v>
      </c>
      <c r="C2409" s="1">
        <f>value(AUD!$B2409)</f>
        <v>9916.4944</v>
      </c>
      <c r="D2409" s="1">
        <f>value(EUR!$B2409)</f>
        <v>14161.0216</v>
      </c>
      <c r="E2409" s="1">
        <f>value(GBP!$B2409)</f>
        <v>16605.88072</v>
      </c>
      <c r="F2409" s="1">
        <f>value(CHF!$B2409)</f>
        <v>13428.2852</v>
      </c>
      <c r="G2409" s="1">
        <f>value(SGD!$B2409)</f>
        <v>9428.74346</v>
      </c>
      <c r="H2409" s="1">
        <f>value(MYR!$B2409)</f>
        <v>2991.39456</v>
      </c>
      <c r="I2409" s="1">
        <f>value(THB!$B2409)</f>
        <v>378.708</v>
      </c>
      <c r="J2409" s="1">
        <f>value(VND!$B2409)</f>
        <v>0.6010611336</v>
      </c>
      <c r="K2409" s="1">
        <f>value(CNY!$B2409)</f>
        <v>1932.658</v>
      </c>
      <c r="L2409" s="1">
        <f>value(HKD!$B2409)</f>
        <v>1717.54344</v>
      </c>
      <c r="M2409" s="1">
        <f>value(TWD!$B2409)</f>
        <v>439.23574</v>
      </c>
      <c r="N2409" s="1">
        <f>value(JPY!$B2409)</f>
        <v>117.107144</v>
      </c>
      <c r="O2409" s="1">
        <f>value(SAR!$B2409)</f>
        <v>3555.715625</v>
      </c>
      <c r="P2409" s="1">
        <f>value(AED!$B2409)</f>
        <v>3672.92716</v>
      </c>
      <c r="Q2409" s="1">
        <f>value(KWD!$B2409)</f>
        <v>44769.79018</v>
      </c>
    </row>
    <row r="2410">
      <c r="A2410" s="4">
        <f>value(USD!A2410)</f>
        <v>42774.99861</v>
      </c>
      <c r="B2410" s="1">
        <f>value(USD!B2410)</f>
        <v>13302</v>
      </c>
      <c r="C2410" s="1">
        <f>value(AUD!$B2410)</f>
        <v>10025.1408</v>
      </c>
      <c r="D2410" s="1">
        <f>value(EUR!$B2410)</f>
        <v>14165.83078</v>
      </c>
      <c r="E2410" s="1">
        <f>value(GBP!$B2410)</f>
        <v>16627.937</v>
      </c>
      <c r="F2410" s="1">
        <f>value(CHF!$B2410)</f>
        <v>13405.8988</v>
      </c>
      <c r="G2410" s="1">
        <f>value(SGD!$B2410)</f>
        <v>9477.55333</v>
      </c>
      <c r="H2410" s="1">
        <f>value(MYR!$B2410)</f>
        <v>2997.55508</v>
      </c>
      <c r="I2410" s="1">
        <f>value(THB!$B2410)</f>
        <v>379.4205</v>
      </c>
      <c r="J2410" s="1">
        <f>value(VND!$B2410)</f>
        <v>0.6030128524</v>
      </c>
      <c r="K2410" s="1">
        <f>value(CNY!$B2410)</f>
        <v>1928.3068</v>
      </c>
      <c r="L2410" s="1">
        <f>value(HKD!$B2410)</f>
        <v>1721.26368</v>
      </c>
      <c r="M2410" s="1">
        <f>value(TWD!$B2410)</f>
        <v>439.50088</v>
      </c>
      <c r="N2410" s="1">
        <f>value(JPY!$B2410)</f>
        <v>117.55379</v>
      </c>
      <c r="O2410" s="1">
        <f>value(SAR!$B2410)</f>
        <v>3554.511134</v>
      </c>
      <c r="P2410" s="1">
        <f>value(AED!$B2410)</f>
        <v>3667.89768</v>
      </c>
      <c r="Q2410" s="1">
        <f>value(KWD!$B2410)</f>
        <v>44769.79018</v>
      </c>
    </row>
    <row r="2411">
      <c r="A2411" s="4">
        <f>value(USD!A2411)</f>
        <v>42775.99861</v>
      </c>
      <c r="B2411" s="1">
        <f>value(USD!B2411)</f>
        <v>13288</v>
      </c>
      <c r="C2411" s="1">
        <f>value(AUD!$B2411)</f>
        <v>9918.69756</v>
      </c>
      <c r="D2411" s="1">
        <f>value(EUR!$B2411)</f>
        <v>14189.51645</v>
      </c>
      <c r="E2411" s="1">
        <f>value(GBP!$B2411)</f>
        <v>16653.32917</v>
      </c>
      <c r="F2411" s="1">
        <f>value(CHF!$B2411)</f>
        <v>13405.9905</v>
      </c>
      <c r="G2411" s="1">
        <f>value(SGD!$B2411)</f>
        <v>9513.421</v>
      </c>
      <c r="H2411" s="1">
        <f>value(MYR!$B2411)</f>
        <v>3002.132582</v>
      </c>
      <c r="I2411" s="1">
        <f>value(THB!$B2411)</f>
        <v>379.999905</v>
      </c>
      <c r="J2411" s="1">
        <f>value(VND!$B2411)</f>
        <v>0.6054897222</v>
      </c>
      <c r="K2411" s="1">
        <f>value(CNY!$B2411)</f>
        <v>1928.68088</v>
      </c>
      <c r="L2411" s="1">
        <f>value(HKD!$B2411)</f>
        <v>1726.03834</v>
      </c>
      <c r="M2411" s="1">
        <f>value(TWD!$B2411)</f>
        <v>439.3667</v>
      </c>
      <c r="N2411" s="1">
        <f>value(JPY!$B2411)</f>
        <v>117.7333039</v>
      </c>
      <c r="O2411" s="1">
        <f>value(SAR!$B2411)</f>
        <v>3549.161204</v>
      </c>
      <c r="P2411" s="1">
        <f>value(AED!$B2411)</f>
        <v>3673.0691</v>
      </c>
      <c r="Q2411" s="1">
        <f>value(KWD!$B2411)</f>
        <v>44769.79018</v>
      </c>
    </row>
    <row r="2412">
      <c r="A2412" s="4">
        <f>value(USD!A2412)</f>
        <v>42776.99861</v>
      </c>
      <c r="B2412" s="1">
        <f>value(USD!B2412)</f>
        <v>13313</v>
      </c>
      <c r="C2412" s="1">
        <f>value(AUD!$B2412)</f>
        <v>9968.52415</v>
      </c>
      <c r="D2412" s="1">
        <f>value(EUR!$B2412)</f>
        <v>14157.7695</v>
      </c>
      <c r="E2412" s="1">
        <f>value(GBP!$B2412)</f>
        <v>16645.5471</v>
      </c>
      <c r="F2412" s="1">
        <f>value(CHF!$B2412)</f>
        <v>13413.9663</v>
      </c>
      <c r="G2412" s="1">
        <f>value(SGD!$B2412)</f>
        <v>9508.2184</v>
      </c>
      <c r="H2412" s="1">
        <f>value(MYR!$B2412)</f>
        <v>3002.5086</v>
      </c>
      <c r="I2412" s="1">
        <f>value(THB!$B2412)</f>
        <v>379.91415</v>
      </c>
      <c r="J2412" s="1">
        <f>value(VND!$B2412)</f>
        <v>0.6047309805</v>
      </c>
      <c r="K2412" s="1">
        <f>value(CNY!$B2412)</f>
        <v>1934.1666</v>
      </c>
      <c r="L2412" s="1">
        <f>value(HKD!$B2412)</f>
        <v>1719.08422</v>
      </c>
      <c r="M2412" s="1">
        <f>value(TWD!$B2412)</f>
        <v>437.5068</v>
      </c>
      <c r="N2412" s="1">
        <f>value(JPY!$B2412)</f>
        <v>117.02796</v>
      </c>
      <c r="O2412" s="1">
        <f>value(SAR!$B2412)</f>
        <v>3554.458024</v>
      </c>
      <c r="P2412" s="1">
        <f>value(AED!$B2412)</f>
        <v>3677.1518</v>
      </c>
      <c r="Q2412" s="1">
        <f>value(KWD!$B2412)</f>
        <v>44862.43425</v>
      </c>
    </row>
    <row r="2413">
      <c r="A2413" s="4">
        <f>value(USD!A2413)</f>
        <v>42777.99861</v>
      </c>
      <c r="B2413" s="1">
        <f>value(USD!B2413)</f>
        <v>13333.33</v>
      </c>
      <c r="C2413" s="1">
        <f>value(AUD!$B2413)</f>
        <v>9991.05312</v>
      </c>
      <c r="D2413" s="1">
        <f>value(EUR!$B2413)</f>
        <v>14119.31571</v>
      </c>
      <c r="E2413" s="1">
        <f>value(GBP!$B2413)</f>
        <v>16682.12799</v>
      </c>
      <c r="F2413" s="1">
        <f>value(CHF!$B2413)</f>
        <v>13478.508</v>
      </c>
      <c r="G2413" s="1">
        <f>value(SGD!$B2413)</f>
        <v>9509.622</v>
      </c>
      <c r="H2413" s="1">
        <f>value(MYR!$B2413)</f>
        <v>2990.74704</v>
      </c>
      <c r="I2413" s="1">
        <f>value(THB!$B2413)</f>
        <v>379.7055</v>
      </c>
      <c r="J2413" s="1">
        <f>value(VND!$B2413)</f>
        <v>0.6053708887</v>
      </c>
      <c r="K2413" s="1">
        <f>value(CNY!$B2413)</f>
        <v>1939.59605</v>
      </c>
      <c r="L2413" s="1">
        <f>value(HKD!$B2413)</f>
        <v>1718.43096</v>
      </c>
      <c r="M2413" s="1">
        <f>value(TWD!$B2413)</f>
        <v>437.44096</v>
      </c>
      <c r="N2413" s="1">
        <f>value(JPY!$B2413)</f>
        <v>117.122493</v>
      </c>
      <c r="O2413" s="1">
        <f>value(SAR!$B2413)</f>
        <v>3552.434815</v>
      </c>
      <c r="P2413" s="1">
        <f>value(AED!$B2413)</f>
        <v>3671.7082</v>
      </c>
      <c r="Q2413" s="1">
        <f>value(KWD!$B2413)</f>
        <v>44829.28875</v>
      </c>
    </row>
    <row r="2414">
      <c r="A2414" s="4">
        <f>value(USD!A2414)</f>
        <v>42778.99861</v>
      </c>
      <c r="B2414" s="1">
        <f>value(USD!B2414)</f>
        <v>13335</v>
      </c>
      <c r="C2414" s="1">
        <f>value(AUD!$B2414)</f>
        <v>9995.991031</v>
      </c>
      <c r="D2414" s="1">
        <f>value(EUR!$B2414)</f>
        <v>14090.9538</v>
      </c>
      <c r="E2414" s="1">
        <f>value(GBP!$B2414)</f>
        <v>16609.68848</v>
      </c>
      <c r="F2414" s="1">
        <f>value(CHF!$B2414)</f>
        <v>13498.3044</v>
      </c>
      <c r="G2414" s="1">
        <f>value(SGD!$B2414)</f>
        <v>9542.11236</v>
      </c>
      <c r="H2414" s="1">
        <f>value(MYR!$B2414)</f>
        <v>2991.76339</v>
      </c>
      <c r="I2414" s="1">
        <f>value(THB!$B2414)</f>
        <v>379.38208</v>
      </c>
      <c r="J2414" s="1">
        <f>value(VND!$B2414)</f>
        <v>0.6044884428</v>
      </c>
      <c r="K2414" s="1">
        <f>value(CNY!$B2414)</f>
        <v>1936.266182</v>
      </c>
      <c r="L2414" s="1">
        <f>value(HKD!$B2414)</f>
        <v>1722.04616</v>
      </c>
      <c r="M2414" s="1">
        <f>value(TWD!$B2414)</f>
        <v>437.47715</v>
      </c>
      <c r="N2414" s="1">
        <f>value(JPY!$B2414)</f>
        <v>116.5254475</v>
      </c>
      <c r="O2414" s="1">
        <f>value(SAR!$B2414)</f>
        <v>3557.489504</v>
      </c>
      <c r="P2414" s="1">
        <f>value(AED!$B2414)</f>
        <v>3678.92004</v>
      </c>
      <c r="Q2414" s="1">
        <f>value(KWD!$B2414)</f>
        <v>44985.0726</v>
      </c>
    </row>
    <row r="2415">
      <c r="A2415" s="4">
        <f>value(USD!A2415)</f>
        <v>42779.99861</v>
      </c>
      <c r="B2415" s="1">
        <f>value(USD!B2415)</f>
        <v>13323</v>
      </c>
      <c r="C2415" s="1">
        <f>value(AUD!$B2415)</f>
        <v>9968.58616</v>
      </c>
      <c r="D2415" s="1">
        <f>value(EUR!$B2415)</f>
        <v>14123.74856</v>
      </c>
      <c r="E2415" s="1">
        <f>value(GBP!$B2415)</f>
        <v>16603.45408</v>
      </c>
      <c r="F2415" s="1">
        <f>value(CHF!$B2415)</f>
        <v>13413.47565</v>
      </c>
      <c r="G2415" s="1">
        <f>value(SGD!$B2415)</f>
        <v>9502.04508</v>
      </c>
      <c r="H2415" s="1">
        <f>value(MYR!$B2415)</f>
        <v>2991.30624</v>
      </c>
      <c r="I2415" s="1">
        <f>value(THB!$B2415)</f>
        <v>380.1718</v>
      </c>
      <c r="J2415" s="1">
        <f>value(VND!$B2415)</f>
        <v>0.6053233524</v>
      </c>
      <c r="K2415" s="1">
        <f>value(CNY!$B2415)</f>
        <v>1929.58168</v>
      </c>
      <c r="L2415" s="1">
        <f>value(HKD!$B2415)</f>
        <v>1723.8286</v>
      </c>
      <c r="M2415" s="1">
        <f>value(TWD!$B2415)</f>
        <v>437.24226</v>
      </c>
      <c r="N2415" s="1">
        <f>value(JPY!$B2415)</f>
        <v>116.661476</v>
      </c>
      <c r="O2415" s="1">
        <f>value(SAR!$B2415)</f>
        <v>3557.946372</v>
      </c>
      <c r="P2415" s="1">
        <f>value(AED!$B2415)</f>
        <v>3680.928112</v>
      </c>
      <c r="Q2415" s="1">
        <f>value(KWD!$B2415)</f>
        <v>45220.40565</v>
      </c>
    </row>
    <row r="2416">
      <c r="A2416" s="4">
        <f>value(USD!A2416)</f>
        <v>42780.99861</v>
      </c>
      <c r="B2416" s="1">
        <f>value(USD!B2416)</f>
        <v>13321</v>
      </c>
      <c r="C2416" s="1">
        <f>value(AUD!$B2416)</f>
        <v>10033.725</v>
      </c>
      <c r="D2416" s="1">
        <f>value(EUR!$B2416)</f>
        <v>14215.63836</v>
      </c>
      <c r="E2416" s="1">
        <f>value(GBP!$B2416)</f>
        <v>16634.86517</v>
      </c>
      <c r="F2416" s="1">
        <f>value(CHF!$B2416)</f>
        <v>13345.5696</v>
      </c>
      <c r="G2416" s="1">
        <f>value(SGD!$B2416)</f>
        <v>9522.00823</v>
      </c>
      <c r="H2416" s="1">
        <f>value(MYR!$B2416)</f>
        <v>2989.76524</v>
      </c>
      <c r="I2416" s="1">
        <f>value(THB!$B2416)</f>
        <v>380.44776</v>
      </c>
      <c r="J2416" s="1">
        <f>value(VND!$B2416)</f>
        <v>0.6045744435</v>
      </c>
      <c r="K2416" s="1">
        <f>value(CNY!$B2416)</f>
        <v>1933.98243</v>
      </c>
      <c r="L2416" s="1">
        <f>value(HKD!$B2416)</f>
        <v>1701.82092</v>
      </c>
      <c r="M2416" s="1">
        <f>value(TWD!$B2416)</f>
        <v>435.81189</v>
      </c>
      <c r="N2416" s="1">
        <f>value(JPY!$B2416)</f>
        <v>117.544504</v>
      </c>
      <c r="O2416" s="1">
        <f>value(SAR!$B2416)</f>
        <v>3563.724595</v>
      </c>
      <c r="P2416" s="1">
        <f>value(AED!$B2416)</f>
        <v>3679.46068</v>
      </c>
      <c r="Q2416" s="1">
        <f>value(KWD!$B2416)</f>
        <v>44980.96387</v>
      </c>
    </row>
    <row r="2417">
      <c r="A2417" s="4">
        <f>value(USD!A2417)</f>
        <v>42781.99861</v>
      </c>
      <c r="B2417" s="1">
        <f>value(USD!B2417)</f>
        <v>13316</v>
      </c>
      <c r="C2417" s="1">
        <f>value(AUD!$B2417)</f>
        <v>10027.75375</v>
      </c>
      <c r="D2417" s="1">
        <f>value(EUR!$B2417)</f>
        <v>14158.68714</v>
      </c>
      <c r="E2417" s="1">
        <f>value(GBP!$B2417)</f>
        <v>16548.99012</v>
      </c>
      <c r="F2417" s="1">
        <f>value(CHF!$B2417)</f>
        <v>13291.95153</v>
      </c>
      <c r="G2417" s="1">
        <f>value(SGD!$B2417)</f>
        <v>9514.91192</v>
      </c>
      <c r="H2417" s="1">
        <f>value(MYR!$B2417)</f>
        <v>2993.31396</v>
      </c>
      <c r="I2417" s="1">
        <f>value(THB!$B2417)</f>
        <v>381.06666</v>
      </c>
      <c r="J2417" s="1">
        <f>value(VND!$B2417)</f>
        <v>0.6067113964</v>
      </c>
      <c r="K2417" s="1">
        <f>value(CNY!$B2417)</f>
        <v>1934.18205</v>
      </c>
      <c r="L2417" s="1">
        <f>value(HKD!$B2417)</f>
        <v>1710.98323</v>
      </c>
      <c r="M2417" s="1">
        <f>value(TWD!$B2417)</f>
        <v>436.53882</v>
      </c>
      <c r="N2417" s="1">
        <f>value(JPY!$B2417)</f>
        <v>118.17468</v>
      </c>
      <c r="O2417" s="1">
        <f>value(SAR!$B2417)</f>
        <v>3564.258526</v>
      </c>
      <c r="P2417" s="1">
        <f>value(AED!$B2417)</f>
        <v>3683.9563</v>
      </c>
      <c r="Q2417" s="1">
        <f>value(KWD!$B2417)</f>
        <v>44971.03503</v>
      </c>
    </row>
    <row r="2418">
      <c r="A2418" s="4">
        <f>value(USD!A2418)</f>
        <v>42782.99861</v>
      </c>
      <c r="B2418" s="1">
        <f>value(USD!B2418)</f>
        <v>13321</v>
      </c>
      <c r="C2418" s="1">
        <f>value(AUD!$B2418)</f>
        <v>9881.41296</v>
      </c>
      <c r="D2418" s="1">
        <f>value(EUR!$B2418)</f>
        <v>14176.02956</v>
      </c>
      <c r="E2418" s="1">
        <f>value(GBP!$B2418)</f>
        <v>16570.08744</v>
      </c>
      <c r="F2418" s="1">
        <f>value(CHF!$B2418)</f>
        <v>13280.77058</v>
      </c>
      <c r="G2418" s="1">
        <f>value(SGD!$B2418)</f>
        <v>9498.51315</v>
      </c>
      <c r="H2418" s="1">
        <f>value(MYR!$B2418)</f>
        <v>2996.260594</v>
      </c>
      <c r="I2418" s="1">
        <f>value(THB!$B2418)</f>
        <v>381.4417841</v>
      </c>
      <c r="J2418" s="1">
        <f>value(VND!$B2418)</f>
        <v>0.605940588</v>
      </c>
      <c r="K2418" s="1">
        <f>value(CNY!$B2418)</f>
        <v>1928.11008</v>
      </c>
      <c r="L2418" s="1">
        <f>value(HKD!$B2418)</f>
        <v>1718.5922</v>
      </c>
      <c r="M2418" s="1">
        <f>value(TWD!$B2418)</f>
        <v>437.98503</v>
      </c>
      <c r="N2418" s="1">
        <f>value(JPY!$B2418)</f>
        <v>118.2910118</v>
      </c>
      <c r="O2418" s="1">
        <f>value(SAR!$B2418)</f>
        <v>3560.361503</v>
      </c>
      <c r="P2418" s="1">
        <f>value(AED!$B2418)</f>
        <v>3681.2345</v>
      </c>
      <c r="Q2418" s="1">
        <f>value(KWD!$B2418)</f>
        <v>44991.7017</v>
      </c>
    </row>
    <row r="2419">
      <c r="A2419" s="4">
        <f>value(USD!A2419)</f>
        <v>42783.99861</v>
      </c>
      <c r="B2419" s="1">
        <f>value(USD!B2419)</f>
        <v>13338</v>
      </c>
      <c r="C2419" s="1">
        <f>value(AUD!$B2419)</f>
        <v>9886.8076</v>
      </c>
      <c r="D2419" s="1">
        <f>value(EUR!$B2419)</f>
        <v>14185.5765</v>
      </c>
      <c r="E2419" s="1">
        <f>value(GBP!$B2419)</f>
        <v>16597.521</v>
      </c>
      <c r="F2419" s="1">
        <f>value(CHF!$B2419)</f>
        <v>13301.52915</v>
      </c>
      <c r="G2419" s="1">
        <f>value(SGD!$B2419)</f>
        <v>9500.37417</v>
      </c>
      <c r="H2419" s="1">
        <f>value(MYR!$B2419)</f>
        <v>2996.007</v>
      </c>
      <c r="I2419" s="1">
        <f>value(THB!$B2419)</f>
        <v>381.009</v>
      </c>
      <c r="J2419" s="1">
        <f>value(VND!$B2419)</f>
        <v>0.6053204802</v>
      </c>
      <c r="K2419" s="1">
        <f>value(CNY!$B2419)</f>
        <v>1929.47665</v>
      </c>
      <c r="L2419" s="1">
        <f>value(HKD!$B2419)</f>
        <v>1718.3254</v>
      </c>
      <c r="M2419" s="1">
        <f>value(TWD!$B2419)</f>
        <v>437.8661</v>
      </c>
      <c r="N2419" s="1">
        <f>value(JPY!$B2419)</f>
        <v>118.18755</v>
      </c>
      <c r="O2419" s="1">
        <f>value(SAR!$B2419)</f>
        <v>3561.38046</v>
      </c>
      <c r="P2419" s="1">
        <f>value(AED!$B2419)</f>
        <v>3694.02696</v>
      </c>
      <c r="Q2419" s="1">
        <f>value(KWD!$B2419)</f>
        <v>44925.4107</v>
      </c>
    </row>
    <row r="2420">
      <c r="A2420" s="4">
        <f>value(USD!A2420)</f>
        <v>42784.99861</v>
      </c>
      <c r="B2420" s="1">
        <f>value(USD!B2420)</f>
        <v>13351.13</v>
      </c>
      <c r="C2420" s="1">
        <f>value(AUD!$B2420)</f>
        <v>9874.00455</v>
      </c>
      <c r="D2420" s="1">
        <f>value(EUR!$B2420)</f>
        <v>14159.03148</v>
      </c>
      <c r="E2420" s="1">
        <f>value(GBP!$B2420)</f>
        <v>16645.44411</v>
      </c>
      <c r="F2420" s="1">
        <f>value(CHF!$B2420)</f>
        <v>13292.29752</v>
      </c>
      <c r="G2420" s="1">
        <f>value(SGD!$B2420)</f>
        <v>9542.8476</v>
      </c>
      <c r="H2420" s="1">
        <f>value(MYR!$B2420)</f>
        <v>2992.26393</v>
      </c>
      <c r="I2420" s="1">
        <f>value(THB!$B2420)</f>
        <v>380.92338</v>
      </c>
      <c r="J2420" s="1">
        <f>value(VND!$B2420)</f>
        <v>0.6045539544</v>
      </c>
      <c r="K2420" s="1">
        <f>value(CNY!$B2420)</f>
        <v>1929.96978</v>
      </c>
      <c r="L2420" s="1">
        <f>value(HKD!$B2420)</f>
        <v>1717.1706</v>
      </c>
      <c r="M2420" s="1">
        <f>value(TWD!$B2420)</f>
        <v>427.429797</v>
      </c>
      <c r="N2420" s="1">
        <f>value(JPY!$B2420)</f>
        <v>117.800622</v>
      </c>
      <c r="O2420" s="1">
        <f>value(SAR!$B2420)</f>
        <v>3565.154637</v>
      </c>
      <c r="P2420" s="1">
        <f>value(AED!$B2420)</f>
        <v>3713.35174</v>
      </c>
      <c r="Q2420" s="1">
        <f>value(KWD!$B2420)</f>
        <v>44922.09615</v>
      </c>
    </row>
    <row r="2421">
      <c r="A2421" s="4">
        <f>value(USD!A2421)</f>
        <v>42785.99861</v>
      </c>
      <c r="B2421" s="1">
        <f>value(USD!B2421)</f>
        <v>13350</v>
      </c>
      <c r="C2421" s="1">
        <f>value(AUD!$B2421)</f>
        <v>9886.797528</v>
      </c>
      <c r="D2421" s="1">
        <f>value(EUR!$B2421)</f>
        <v>14081.06854</v>
      </c>
      <c r="E2421" s="1">
        <f>value(GBP!$B2421)</f>
        <v>16679.06596</v>
      </c>
      <c r="F2421" s="1">
        <f>value(CHF!$B2421)</f>
        <v>13308.93564</v>
      </c>
      <c r="G2421" s="1">
        <f>value(SGD!$B2421)</f>
        <v>9544.36452</v>
      </c>
      <c r="H2421" s="1">
        <f>value(MYR!$B2421)</f>
        <v>2995.13076</v>
      </c>
      <c r="I2421" s="1">
        <f>value(THB!$B2421)</f>
        <v>381.10374</v>
      </c>
      <c r="J2421" s="1">
        <f>value(VND!$B2421)</f>
        <v>0.6037876883</v>
      </c>
      <c r="K2421" s="1">
        <f>value(CNY!$B2421)</f>
        <v>1926.72355</v>
      </c>
      <c r="L2421" s="1">
        <f>value(HKD!$B2421)</f>
        <v>1716.76164</v>
      </c>
      <c r="M2421" s="1">
        <f>value(TWD!$B2421)</f>
        <v>438.77052</v>
      </c>
      <c r="N2421" s="1">
        <f>value(JPY!$B2421)</f>
        <v>117.48361</v>
      </c>
      <c r="O2421" s="1">
        <f>value(SAR!$B2421)</f>
        <v>3563.801323</v>
      </c>
      <c r="P2421" s="1">
        <f>value(AED!$B2421)</f>
        <v>3699.4702</v>
      </c>
      <c r="Q2421" s="1">
        <f>value(KWD!$B2421)</f>
        <v>44825.06831</v>
      </c>
    </row>
    <row r="2422">
      <c r="A2422" s="4">
        <f>value(USD!A2422)</f>
        <v>42786.99861</v>
      </c>
      <c r="B2422" s="1">
        <f>value(USD!B2422)</f>
        <v>13347</v>
      </c>
      <c r="C2422" s="1">
        <f>value(AUD!$B2422)</f>
        <v>9843.7712</v>
      </c>
      <c r="D2422" s="1">
        <f>value(EUR!$B2422)</f>
        <v>14071.59</v>
      </c>
      <c r="E2422" s="1">
        <f>value(GBP!$B2422)</f>
        <v>16609.54464</v>
      </c>
      <c r="F2422" s="1">
        <f>value(CHF!$B2422)</f>
        <v>13271.0403</v>
      </c>
      <c r="G2422" s="1">
        <f>value(SGD!$B2422)</f>
        <v>9522.5895</v>
      </c>
      <c r="H2422" s="1">
        <f>value(MYR!$B2422)</f>
        <v>2993.0472</v>
      </c>
      <c r="I2422" s="1">
        <f>value(THB!$B2422)</f>
        <v>380.66652</v>
      </c>
      <c r="J2422" s="1">
        <f>value(VND!$B2422)</f>
        <v>0.6051462491</v>
      </c>
      <c r="K2422" s="1">
        <f>value(CNY!$B2422)</f>
        <v>1926.85384</v>
      </c>
      <c r="L2422" s="1">
        <f>value(HKD!$B2422)</f>
        <v>1713.67116</v>
      </c>
      <c r="M2422" s="1">
        <f>value(TWD!$B2422)</f>
        <v>438.96128</v>
      </c>
      <c r="N2422" s="1">
        <f>value(JPY!$B2422)</f>
        <v>117.561132</v>
      </c>
      <c r="O2422" s="1">
        <f>value(SAR!$B2422)</f>
        <v>3569.674254</v>
      </c>
      <c r="P2422" s="1">
        <f>value(AED!$B2422)</f>
        <v>3699.06124</v>
      </c>
      <c r="Q2422" s="1">
        <f>value(KWD!$B2422)</f>
        <v>44606.20968</v>
      </c>
    </row>
    <row r="2423">
      <c r="A2423" s="4">
        <f>value(USD!A2423)</f>
        <v>42787.99861</v>
      </c>
      <c r="B2423" s="1">
        <f>value(USD!B2423)</f>
        <v>13358</v>
      </c>
      <c r="C2423" s="1">
        <f>value(AUD!$B2423)</f>
        <v>9807.77703</v>
      </c>
      <c r="D2423" s="1">
        <f>value(EUR!$B2423)</f>
        <v>14102.78025</v>
      </c>
      <c r="E2423" s="1">
        <f>value(GBP!$B2423)</f>
        <v>16728.60475</v>
      </c>
      <c r="F2423" s="1">
        <f>value(CHF!$B2423)</f>
        <v>13280.8938</v>
      </c>
      <c r="G2423" s="1">
        <f>value(SGD!$B2423)</f>
        <v>9538.251</v>
      </c>
      <c r="H2423" s="1">
        <f>value(MYR!$B2423)</f>
        <v>2996.12625</v>
      </c>
      <c r="I2423" s="1">
        <f>value(THB!$B2423)</f>
        <v>380.8285</v>
      </c>
      <c r="J2423" s="1">
        <f>value(VND!$B2423)</f>
        <v>0.6042806063</v>
      </c>
      <c r="K2423" s="1">
        <f>value(CNY!$B2423)</f>
        <v>1934.97222</v>
      </c>
      <c r="L2423" s="1">
        <f>value(HKD!$B2423)</f>
        <v>1716.11779</v>
      </c>
      <c r="M2423" s="1">
        <f>value(TWD!$B2423)</f>
        <v>437.56704</v>
      </c>
      <c r="N2423" s="1">
        <f>value(JPY!$B2423)</f>
        <v>118.24605</v>
      </c>
      <c r="O2423" s="1">
        <f>value(SAR!$B2423)</f>
        <v>3565.36588</v>
      </c>
      <c r="P2423" s="1">
        <f>value(AED!$B2423)</f>
        <v>3694.57132</v>
      </c>
      <c r="Q2423" s="1">
        <f>value(KWD!$B2423)</f>
        <v>44606.20968</v>
      </c>
    </row>
    <row r="2424">
      <c r="A2424" s="4">
        <f>value(USD!A2424)</f>
        <v>42788.99861</v>
      </c>
      <c r="B2424" s="1">
        <f>value(USD!B2424)</f>
        <v>13338</v>
      </c>
      <c r="C2424" s="1">
        <f>value(AUD!$B2424)</f>
        <v>9823.8021</v>
      </c>
      <c r="D2424" s="1">
        <f>value(EUR!$B2424)</f>
        <v>14069.22123</v>
      </c>
      <c r="E2424" s="1">
        <f>value(GBP!$B2424)</f>
        <v>16608.4518</v>
      </c>
      <c r="F2424" s="1">
        <f>value(CHF!$B2424)</f>
        <v>13209.9177</v>
      </c>
      <c r="G2424" s="1">
        <f>value(SGD!$B2424)</f>
        <v>9517.69533</v>
      </c>
      <c r="H2424" s="1">
        <f>value(MYR!$B2424)</f>
        <v>2999.0073</v>
      </c>
      <c r="I2424" s="1">
        <f>value(THB!$B2424)</f>
        <v>381.30426</v>
      </c>
      <c r="J2424" s="1">
        <f>value(VND!$B2424)</f>
        <v>0.6062967396</v>
      </c>
      <c r="K2424" s="1">
        <f>value(CNY!$B2424)</f>
        <v>1944.86485</v>
      </c>
      <c r="L2424" s="1">
        <f>value(HKD!$B2424)</f>
        <v>1714.42614</v>
      </c>
      <c r="M2424" s="1">
        <f>value(TWD!$B2424)</f>
        <v>436.7736</v>
      </c>
      <c r="N2424" s="1">
        <f>value(JPY!$B2424)</f>
        <v>118.70793</v>
      </c>
      <c r="O2424" s="1">
        <f>value(SAR!$B2424)</f>
        <v>3564.565154</v>
      </c>
      <c r="P2424" s="1">
        <f>value(AED!$B2424)</f>
        <v>3689.3988</v>
      </c>
      <c r="Q2424" s="1">
        <f>value(KWD!$B2424)</f>
        <v>44606.20968</v>
      </c>
    </row>
    <row r="2425">
      <c r="A2425" s="4">
        <f>value(USD!A2425)</f>
        <v>42789.99861</v>
      </c>
      <c r="B2425" s="1">
        <f>value(USD!B2425)</f>
        <v>13325</v>
      </c>
      <c r="C2425" s="1">
        <f>value(AUD!$B2425)</f>
        <v>9817.6</v>
      </c>
      <c r="D2425" s="1">
        <f>value(EUR!$B2425)</f>
        <v>14070.4203</v>
      </c>
      <c r="E2425" s="1">
        <f>value(GBP!$B2425)</f>
        <v>16609.7841</v>
      </c>
      <c r="F2425" s="1">
        <f>value(CHF!$B2425)</f>
        <v>13229.36769</v>
      </c>
      <c r="G2425" s="1">
        <f>value(SGD!$B2425)</f>
        <v>9527.97846</v>
      </c>
      <c r="H2425" s="1">
        <f>value(MYR!$B2425)</f>
        <v>2999.0073</v>
      </c>
      <c r="I2425" s="1">
        <f>value(THB!$B2425)</f>
        <v>372.11139</v>
      </c>
      <c r="J2425" s="1">
        <f>value(VND!$B2425)</f>
        <v>0.6043668406</v>
      </c>
      <c r="K2425" s="1">
        <f>value(CNY!$B2425)</f>
        <v>1934.22118</v>
      </c>
      <c r="L2425" s="1">
        <f>value(HKD!$B2425)</f>
        <v>1711.47375</v>
      </c>
      <c r="M2425" s="1">
        <f>value(TWD!$B2425)</f>
        <v>436.97898</v>
      </c>
      <c r="N2425" s="1">
        <f>value(JPY!$B2425)</f>
        <v>118.70793</v>
      </c>
      <c r="O2425" s="1">
        <f>value(SAR!$B2425)</f>
        <v>3561.523152</v>
      </c>
      <c r="P2425" s="1">
        <f>value(AED!$B2425)</f>
        <v>3688.99107</v>
      </c>
      <c r="Q2425" s="1">
        <f>value(KWD!$B2425)</f>
        <v>44690.07765</v>
      </c>
    </row>
    <row r="2426">
      <c r="A2426" s="4">
        <f>value(USD!A2426)</f>
        <v>42790.99861</v>
      </c>
      <c r="B2426" s="1">
        <f>value(USD!B2426)</f>
        <v>13323</v>
      </c>
      <c r="C2426" s="1">
        <f>value(AUD!$B2426)</f>
        <v>9835.2579</v>
      </c>
      <c r="D2426" s="1">
        <f>value(EUR!$B2426)</f>
        <v>14059.75128</v>
      </c>
      <c r="E2426" s="1">
        <f>value(GBP!$B2426)</f>
        <v>16518.16252</v>
      </c>
      <c r="F2426" s="1">
        <f>value(CHF!$B2426)</f>
        <v>13246.62515</v>
      </c>
      <c r="G2426" s="1">
        <f>value(SGD!$B2426)</f>
        <v>9540.6591</v>
      </c>
      <c r="H2426" s="1">
        <f>value(MYR!$B2426)</f>
        <v>2998.83268</v>
      </c>
      <c r="I2426" s="1">
        <f>value(THB!$B2426)</f>
        <v>381.59936</v>
      </c>
      <c r="J2426" s="1">
        <f>value(VND!$B2426)</f>
        <v>0.6028203455</v>
      </c>
      <c r="K2426" s="1">
        <f>value(CNY!$B2426)</f>
        <v>1945.332847</v>
      </c>
      <c r="L2426" s="1">
        <f>value(HKD!$B2426)</f>
        <v>1711.60668</v>
      </c>
      <c r="M2426" s="1">
        <f>value(TWD!$B2426)</f>
        <v>437.19892</v>
      </c>
      <c r="N2426" s="1">
        <f>value(JPY!$B2426)</f>
        <v>118.730164</v>
      </c>
      <c r="O2426" s="1">
        <f>value(SAR!$B2426)</f>
        <v>3561.91432</v>
      </c>
      <c r="P2426" s="1">
        <f>value(AED!$B2426)</f>
        <v>3686.26917</v>
      </c>
      <c r="Q2426" s="1">
        <f>value(KWD!$B2426)</f>
        <v>44792.8287</v>
      </c>
    </row>
    <row r="2427">
      <c r="A2427" s="4">
        <f>value(USD!A2427)</f>
        <v>42791.99861</v>
      </c>
      <c r="B2427" s="1">
        <f>value(USD!B2427)</f>
        <v>13323</v>
      </c>
      <c r="C2427" s="1">
        <f>value(AUD!$B2427)</f>
        <v>9848.49483</v>
      </c>
      <c r="D2427" s="1">
        <f>value(EUR!$B2427)</f>
        <v>14117.59743</v>
      </c>
      <c r="E2427" s="1">
        <f>value(GBP!$B2427)</f>
        <v>16589.7143</v>
      </c>
      <c r="F2427" s="1">
        <f>value(CHF!$B2427)</f>
        <v>13162.44322</v>
      </c>
      <c r="G2427" s="1">
        <f>value(SGD!$B2427)</f>
        <v>9536.9192</v>
      </c>
      <c r="H2427" s="1">
        <f>value(MYR!$B2427)</f>
        <v>3002.6089</v>
      </c>
      <c r="I2427" s="1">
        <f>value(THB!$B2427)</f>
        <v>382.69591</v>
      </c>
      <c r="J2427" s="1">
        <f>value(VND!$B2427)</f>
        <v>0.6048904807</v>
      </c>
      <c r="K2427" s="1">
        <f>value(CNY!$B2427)</f>
        <v>1944.15536</v>
      </c>
      <c r="L2427" s="1">
        <f>value(HKD!$B2427)</f>
        <v>1714.8168</v>
      </c>
      <c r="M2427" s="1">
        <f>value(TWD!$B2427)</f>
        <v>436.6078</v>
      </c>
      <c r="N2427" s="1">
        <f>value(JPY!$B2427)</f>
        <v>118.276913</v>
      </c>
      <c r="O2427" s="1">
        <f>value(SAR!$B2427)</f>
        <v>3557.317419</v>
      </c>
      <c r="P2427" s="1">
        <f>value(AED!$B2427)</f>
        <v>3669.256</v>
      </c>
      <c r="Q2427" s="1">
        <f>value(KWD!$B2427)</f>
        <v>44756.36865</v>
      </c>
    </row>
    <row r="2428">
      <c r="A2428" s="4">
        <f>value(USD!A2428)</f>
        <v>42792.99861</v>
      </c>
      <c r="B2428" s="1">
        <f>value(USD!B2428)</f>
        <v>13324</v>
      </c>
      <c r="C2428" s="1">
        <f>value(AUD!$B2428)</f>
        <v>9856.27435</v>
      </c>
      <c r="D2428" s="1">
        <f>value(EUR!$B2428)</f>
        <v>14152.01053</v>
      </c>
      <c r="E2428" s="1">
        <f>value(GBP!$B2428)</f>
        <v>16573.90679</v>
      </c>
      <c r="F2428" s="1">
        <f>value(CHF!$B2428)</f>
        <v>13197.29845</v>
      </c>
      <c r="G2428" s="1">
        <f>value(SGD!$B2428)</f>
        <v>9531.7134</v>
      </c>
      <c r="H2428" s="1">
        <f>value(MYR!$B2428)</f>
        <v>3014.3141</v>
      </c>
      <c r="I2428" s="1">
        <f>value(THB!$B2428)</f>
        <v>382.9826</v>
      </c>
      <c r="J2428" s="1">
        <f>value(VND!$B2428)</f>
        <v>0.6050505019</v>
      </c>
      <c r="K2428" s="1">
        <f>value(CNY!$B2428)</f>
        <v>1930.97808</v>
      </c>
      <c r="L2428" s="1">
        <f>value(HKD!$B2428)</f>
        <v>1713.27192</v>
      </c>
      <c r="M2428" s="1">
        <f>value(TWD!$B2428)</f>
        <v>436.70632</v>
      </c>
      <c r="N2428" s="1">
        <f>value(JPY!$B2428)</f>
        <v>118.403222</v>
      </c>
      <c r="O2428" s="1">
        <f>value(SAR!$B2428)</f>
        <v>3564.068274</v>
      </c>
      <c r="P2428" s="1">
        <f>value(AED!$B2428)</f>
        <v>3671.22381</v>
      </c>
      <c r="Q2428" s="1">
        <f>value(KWD!$B2428)</f>
        <v>44835.91785</v>
      </c>
    </row>
    <row r="2429">
      <c r="A2429" s="4">
        <f>value(USD!A2429)</f>
        <v>42793.99861</v>
      </c>
      <c r="B2429" s="1">
        <f>value(USD!B2429)</f>
        <v>13339</v>
      </c>
      <c r="C2429" s="1">
        <f>value(AUD!$B2429)</f>
        <v>9849.04252</v>
      </c>
      <c r="D2429" s="1">
        <f>value(EUR!$B2429)</f>
        <v>14108.07024</v>
      </c>
      <c r="E2429" s="1">
        <f>value(GBP!$B2429)</f>
        <v>16433.72496</v>
      </c>
      <c r="F2429" s="1">
        <f>value(CHF!$B2429)</f>
        <v>13247.25952</v>
      </c>
      <c r="G2429" s="1">
        <f>value(SGD!$B2429)</f>
        <v>9512.622</v>
      </c>
      <c r="H2429" s="1">
        <f>value(MYR!$B2429)</f>
        <v>3008.78064</v>
      </c>
      <c r="I2429" s="1">
        <f>value(THB!$B2429)</f>
        <v>382.3416</v>
      </c>
      <c r="J2429" s="1">
        <f>value(VND!$B2429)</f>
        <v>0.613538181</v>
      </c>
      <c r="K2429" s="1">
        <f>value(CNY!$B2429)</f>
        <v>1929.11664</v>
      </c>
      <c r="L2429" s="1">
        <f>value(HKD!$B2429)</f>
        <v>1713.00139</v>
      </c>
      <c r="M2429" s="1">
        <f>value(TWD!$B2429)</f>
        <v>439.27468</v>
      </c>
      <c r="N2429" s="1">
        <f>value(JPY!$B2429)</f>
        <v>117.31392</v>
      </c>
      <c r="O2429" s="1">
        <f>value(SAR!$B2429)</f>
        <v>3559.263149</v>
      </c>
      <c r="P2429" s="1">
        <f>value(AED!$B2429)</f>
        <v>3669.6604</v>
      </c>
      <c r="Q2429" s="1">
        <f>value(KWD!$B2429)</f>
        <v>44836.60051</v>
      </c>
    </row>
    <row r="2430">
      <c r="A2430" s="4">
        <f>value(USD!A2430)</f>
        <v>42794.99861</v>
      </c>
      <c r="B2430" s="1">
        <f>value(USD!B2430)</f>
        <v>13391</v>
      </c>
      <c r="C2430" s="1">
        <f>value(AUD!$B2430)</f>
        <v>9895.80672</v>
      </c>
      <c r="D2430" s="1">
        <f>value(EUR!$B2430)</f>
        <v>14049.6738</v>
      </c>
      <c r="E2430" s="1">
        <f>value(GBP!$B2430)</f>
        <v>16412.95036</v>
      </c>
      <c r="F2430" s="1">
        <f>value(CHF!$B2430)</f>
        <v>13201.91992</v>
      </c>
      <c r="G2430" s="1">
        <f>value(SGD!$B2430)</f>
        <v>9522.15783</v>
      </c>
      <c r="H2430" s="1">
        <f>value(MYR!$B2430)</f>
        <v>3005.44802</v>
      </c>
      <c r="I2430" s="1">
        <f>value(THB!$B2430)</f>
        <v>381.53169</v>
      </c>
      <c r="J2430" s="1">
        <f>value(VND!$B2430)</f>
        <v>0.6028035305</v>
      </c>
      <c r="K2430" s="1">
        <f>value(CNY!$B2430)</f>
        <v>1930.25322</v>
      </c>
      <c r="L2430" s="1">
        <f>value(HKD!$B2430)</f>
        <v>1712.22913</v>
      </c>
      <c r="M2430" s="1">
        <f>value(TWD!$B2430)</f>
        <v>437.11174</v>
      </c>
      <c r="N2430" s="1">
        <f>value(JPY!$B2430)</f>
        <v>116.933512</v>
      </c>
      <c r="O2430" s="1">
        <f>value(SAR!$B2430)</f>
        <v>3560.92342</v>
      </c>
      <c r="P2430" s="1">
        <f>value(AED!$B2430)</f>
        <v>3669.80294</v>
      </c>
      <c r="Q2430" s="1">
        <f>value(KWD!$B2430)</f>
        <v>44863.51837</v>
      </c>
    </row>
    <row r="2431">
      <c r="A2431" s="4">
        <f>value(USD!A2431)</f>
        <v>42795.99861</v>
      </c>
      <c r="B2431" s="1">
        <f>value(USD!B2431)</f>
        <v>13392</v>
      </c>
      <c r="C2431" s="1">
        <f>value(AUD!$B2431)</f>
        <v>9939.3782</v>
      </c>
      <c r="D2431" s="1">
        <f>value(EUR!$B2431)</f>
        <v>14143.45624</v>
      </c>
      <c r="E2431" s="1">
        <f>value(GBP!$B2431)</f>
        <v>16369.09248</v>
      </c>
      <c r="F2431" s="1">
        <f>value(CHF!$B2431)</f>
        <v>13205.96235</v>
      </c>
      <c r="G2431" s="1">
        <f>value(SGD!$B2431)</f>
        <v>9491.45295</v>
      </c>
      <c r="H2431" s="1">
        <f>value(MYR!$B2431)</f>
        <v>2987.71092</v>
      </c>
      <c r="I2431" s="1">
        <f>value(THB!$B2431)</f>
        <v>379.90548</v>
      </c>
      <c r="J2431" s="1">
        <f>value(VND!$B2431)</f>
        <v>0.603147418</v>
      </c>
      <c r="K2431" s="1">
        <f>value(CNY!$B2431)</f>
        <v>1936.50516</v>
      </c>
      <c r="L2431" s="1">
        <f>value(HKD!$B2431)</f>
        <v>1711.18233</v>
      </c>
      <c r="M2431" s="1">
        <f>value(TWD!$B2431)</f>
        <v>437.90551</v>
      </c>
      <c r="N2431" s="1">
        <f>value(JPY!$B2431)</f>
        <v>116.78132</v>
      </c>
      <c r="O2431" s="1">
        <f>value(SAR!$B2431)</f>
        <v>3560.92342</v>
      </c>
      <c r="P2431" s="1">
        <f>value(AED!$B2431)</f>
        <v>3678.24052</v>
      </c>
      <c r="Q2431" s="1">
        <f>value(KWD!$B2431)</f>
        <v>44704.70872</v>
      </c>
    </row>
    <row r="2432">
      <c r="A2432" s="4">
        <f>value(USD!A2432)</f>
        <v>42796.99861</v>
      </c>
      <c r="B2432" s="1">
        <f>value(USD!B2432)</f>
        <v>13373</v>
      </c>
      <c r="C2432" s="1">
        <f>value(AUD!$B2432)</f>
        <v>9931.95066</v>
      </c>
      <c r="D2432" s="1">
        <f>value(EUR!$B2432)</f>
        <v>14166.44979</v>
      </c>
      <c r="E2432" s="1">
        <f>value(GBP!$B2432)</f>
        <v>16391.9959</v>
      </c>
      <c r="F2432" s="1">
        <f>value(CHF!$B2432)</f>
        <v>13204.3003</v>
      </c>
      <c r="G2432" s="1">
        <f>value(SGD!$B2432)</f>
        <v>9500.530596</v>
      </c>
      <c r="H2432" s="1">
        <f>value(MYR!$B2432)</f>
        <v>2991.599252</v>
      </c>
      <c r="I2432" s="1">
        <f>value(THB!$B2432)</f>
        <v>380.3999049</v>
      </c>
      <c r="J2432" s="1">
        <f>value(VND!$B2432)</f>
        <v>0.6037570164</v>
      </c>
      <c r="K2432" s="1">
        <f>value(CNY!$B2432)</f>
        <v>1939.7405</v>
      </c>
      <c r="L2432" s="1">
        <f>value(HKD!$B2432)</f>
        <v>1714.01307</v>
      </c>
      <c r="M2432" s="1">
        <f>value(TWD!$B2432)</f>
        <v>437.22261</v>
      </c>
      <c r="N2432" s="1">
        <f>value(JPY!$B2432)</f>
        <v>116.9333041</v>
      </c>
      <c r="O2432" s="1">
        <f>value(SAR!$B2432)</f>
        <v>3557.256258</v>
      </c>
      <c r="P2432" s="1">
        <f>value(AED!$B2432)</f>
        <v>3675.24654</v>
      </c>
      <c r="Q2432" s="1">
        <f>value(KWD!$B2432)</f>
        <v>44919.12804</v>
      </c>
    </row>
    <row r="2433">
      <c r="A2433" s="4">
        <f>value(USD!A2433)</f>
        <v>42797.99861</v>
      </c>
      <c r="B2433" s="1">
        <f>value(USD!B2433)</f>
        <v>13316</v>
      </c>
      <c r="C2433" s="1">
        <f>value(AUD!$B2433)</f>
        <v>9941.330848</v>
      </c>
      <c r="D2433" s="1">
        <f>value(EUR!$B2433)</f>
        <v>14100.70488</v>
      </c>
      <c r="E2433" s="1">
        <f>value(GBP!$B2433)</f>
        <v>16330.6122</v>
      </c>
      <c r="F2433" s="1">
        <f>value(CHF!$B2433)</f>
        <v>13218.43908</v>
      </c>
      <c r="G2433" s="1">
        <f>value(SGD!$B2433)</f>
        <v>9511.41252</v>
      </c>
      <c r="H2433" s="1">
        <f>value(MYR!$B2433)</f>
        <v>2980.51266</v>
      </c>
      <c r="I2433" s="1">
        <f>value(THB!$B2433)</f>
        <v>378.95412</v>
      </c>
      <c r="J2433" s="1">
        <f>value(VND!$B2433)</f>
        <v>0.6039626066</v>
      </c>
      <c r="K2433" s="1">
        <f>value(CNY!$B2433)</f>
        <v>1938.85208</v>
      </c>
      <c r="L2433" s="1">
        <f>value(HKD!$B2433)</f>
        <v>1715.81445</v>
      </c>
      <c r="M2433" s="1">
        <f>value(TWD!$B2433)</f>
        <v>437.94135</v>
      </c>
      <c r="N2433" s="1">
        <f>value(JPY!$B2433)</f>
        <v>116.594118</v>
      </c>
      <c r="O2433" s="1">
        <f>value(SAR!$B2433)</f>
        <v>3551.633875</v>
      </c>
      <c r="P2433" s="1">
        <f>value(AED!$B2433)</f>
        <v>3681.77886</v>
      </c>
      <c r="Q2433" s="1">
        <f>value(KWD!$B2433)</f>
        <v>44898.55965</v>
      </c>
    </row>
    <row r="2434">
      <c r="A2434" s="4">
        <f>value(USD!A2434)</f>
        <v>42798.99861</v>
      </c>
      <c r="B2434" s="1">
        <f>value(USD!B2434)</f>
        <v>13333.33</v>
      </c>
      <c r="C2434" s="1">
        <f>value(AUD!$B2434)</f>
        <v>9931.09264</v>
      </c>
      <c r="D2434" s="1">
        <f>value(EUR!$B2434)</f>
        <v>14113.8347</v>
      </c>
      <c r="E2434" s="1">
        <f>value(GBP!$B2434)</f>
        <v>16327.9396</v>
      </c>
      <c r="F2434" s="1">
        <f>value(CHF!$B2434)</f>
        <v>13221.23635</v>
      </c>
      <c r="G2434" s="1">
        <f>value(SGD!$B2434)</f>
        <v>9446.2978</v>
      </c>
      <c r="H2434" s="1">
        <f>value(MYR!$B2434)</f>
        <v>2995.14558</v>
      </c>
      <c r="I2434" s="1">
        <f>value(THB!$B2434)</f>
        <v>380.38042</v>
      </c>
      <c r="J2434" s="1">
        <f>value(VND!$B2434)</f>
        <v>0.6035414474</v>
      </c>
      <c r="K2434" s="1">
        <f>value(CNY!$B2434)</f>
        <v>1937.52328</v>
      </c>
      <c r="L2434" s="1">
        <f>value(HKD!$B2434)</f>
        <v>1713.36972</v>
      </c>
      <c r="M2434" s="1">
        <f>value(TWD!$B2434)</f>
        <v>426.7111299</v>
      </c>
      <c r="N2434" s="1">
        <f>value(JPY!$B2434)</f>
        <v>117.089392</v>
      </c>
      <c r="O2434" s="1">
        <f>value(SAR!$B2434)</f>
        <v>3559.263149</v>
      </c>
      <c r="P2434" s="1">
        <f>value(AED!$B2434)</f>
        <v>3685.86156</v>
      </c>
      <c r="Q2434" s="1">
        <f>value(KWD!$B2434)</f>
        <v>44862.43425</v>
      </c>
    </row>
    <row r="2435">
      <c r="A2435" s="4">
        <f>value(USD!A2435)</f>
        <v>42799.99861</v>
      </c>
      <c r="B2435" s="1">
        <f>value(USD!B2435)</f>
        <v>13278</v>
      </c>
      <c r="C2435" s="1">
        <f>value(AUD!$B2435)</f>
        <v>9931.84608</v>
      </c>
      <c r="D2435" s="1">
        <f>value(EUR!$B2435)</f>
        <v>14094.95176</v>
      </c>
      <c r="E2435" s="1">
        <f>value(GBP!$B2435)</f>
        <v>16273.9208</v>
      </c>
      <c r="F2435" s="1">
        <f>value(CHF!$B2435)</f>
        <v>13342.536</v>
      </c>
      <c r="G2435" s="1">
        <f>value(SGD!$B2435)</f>
        <v>9471.83115</v>
      </c>
      <c r="H2435" s="1">
        <f>value(MYR!$B2435)</f>
        <v>2997.13264</v>
      </c>
      <c r="I2435" s="1">
        <f>value(THB!$B2435)</f>
        <v>379.67592</v>
      </c>
      <c r="J2435" s="1">
        <f>value(VND!$B2435)</f>
        <v>0.6127008099</v>
      </c>
      <c r="K2435" s="1">
        <f>value(CNY!$B2435)</f>
        <v>1941.8596</v>
      </c>
      <c r="L2435" s="1">
        <f>value(HKD!$B2435)</f>
        <v>1715.42844</v>
      </c>
      <c r="M2435" s="1">
        <f>value(TWD!$B2435)</f>
        <v>437.90528</v>
      </c>
      <c r="N2435" s="1">
        <f>value(JPY!$B2435)</f>
        <v>117.010064</v>
      </c>
      <c r="O2435" s="1">
        <f>value(SAR!$B2435)</f>
        <v>3559.625172</v>
      </c>
      <c r="P2435" s="1">
        <f>value(AED!$B2435)</f>
        <v>3688.074383</v>
      </c>
      <c r="Q2435" s="1">
        <f>value(KWD!$B2435)</f>
        <v>44792.8287</v>
      </c>
    </row>
    <row r="2436">
      <c r="A2436" s="4">
        <f>value(USD!A2436)</f>
        <v>42800.99861</v>
      </c>
      <c r="B2436" s="1">
        <f>value(USD!B2436)</f>
        <v>13342</v>
      </c>
      <c r="C2436" s="1">
        <f>value(AUD!$B2436)</f>
        <v>9933.97344</v>
      </c>
      <c r="D2436" s="1">
        <f>value(EUR!$B2436)</f>
        <v>14096.556</v>
      </c>
      <c r="E2436" s="1">
        <f>value(GBP!$B2436)</f>
        <v>16272.8664</v>
      </c>
      <c r="F2436" s="1">
        <f>value(CHF!$B2436)</f>
        <v>13369.686</v>
      </c>
      <c r="G2436" s="1">
        <f>value(SGD!$B2436)</f>
        <v>9516.9536</v>
      </c>
      <c r="H2436" s="1">
        <f>value(MYR!$B2436)</f>
        <v>2999.37816</v>
      </c>
      <c r="I2436" s="1">
        <f>value(THB!$B2436)</f>
        <v>378.71544</v>
      </c>
      <c r="J2436" s="1">
        <f>value(VND!$B2436)</f>
        <v>0.6108864683</v>
      </c>
      <c r="K2436" s="1">
        <f>value(CNY!$B2436)</f>
        <v>1942.30977</v>
      </c>
      <c r="L2436" s="1">
        <f>value(HKD!$B2436)</f>
        <v>1714.80333</v>
      </c>
      <c r="M2436" s="1">
        <f>value(TWD!$B2436)</f>
        <v>437.51984</v>
      </c>
      <c r="N2436" s="1">
        <f>value(JPY!$B2436)</f>
        <v>116.809584</v>
      </c>
      <c r="O2436" s="1">
        <f>value(SAR!$B2436)</f>
        <v>3555.964753</v>
      </c>
      <c r="P2436" s="1">
        <f>value(AED!$B2436)</f>
        <v>3677.83128</v>
      </c>
      <c r="Q2436" s="1">
        <f>value(KWD!$B2436)</f>
        <v>44802.64549</v>
      </c>
    </row>
    <row r="2437">
      <c r="A2437" s="4">
        <f>value(USD!A2437)</f>
        <v>42801.99861</v>
      </c>
      <c r="B2437" s="1">
        <f>value(USD!B2437)</f>
        <v>13336</v>
      </c>
      <c r="C2437" s="1">
        <f>value(AUD!$B2437)</f>
        <v>9972.64242</v>
      </c>
      <c r="D2437" s="1">
        <f>value(EUR!$B2437)</f>
        <v>14177.29131</v>
      </c>
      <c r="E2437" s="1">
        <f>value(GBP!$B2437)</f>
        <v>16291.3465</v>
      </c>
      <c r="F2437" s="1">
        <f>value(CHF!$B2437)</f>
        <v>13328.9853</v>
      </c>
      <c r="G2437" s="1">
        <f>value(SGD!$B2437)</f>
        <v>9494.3314</v>
      </c>
      <c r="H2437" s="1">
        <f>value(MYR!$B2437)</f>
        <v>3001.73588</v>
      </c>
      <c r="I2437" s="1">
        <f>value(THB!$B2437)</f>
        <v>378.36669</v>
      </c>
      <c r="J2437" s="1">
        <f>value(VND!$B2437)</f>
        <v>0.6033369836</v>
      </c>
      <c r="K2437" s="1">
        <f>value(CNY!$B2437)</f>
        <v>1951.42626</v>
      </c>
      <c r="L2437" s="1">
        <f>value(HKD!$B2437)</f>
        <v>1718.5311</v>
      </c>
      <c r="M2437" s="1">
        <f>value(TWD!$B2437)</f>
        <v>436.24532</v>
      </c>
      <c r="N2437" s="1">
        <f>value(JPY!$B2437)</f>
        <v>116.3809296</v>
      </c>
      <c r="O2437" s="1">
        <f>value(SAR!$B2437)</f>
        <v>3558.978089</v>
      </c>
      <c r="P2437" s="1">
        <f>value(AED!$B2437)</f>
        <v>3688.85554</v>
      </c>
      <c r="Q2437" s="1">
        <f>value(KWD!$B2437)</f>
        <v>44820.92077</v>
      </c>
    </row>
    <row r="2438">
      <c r="A2438" s="4">
        <f>value(USD!A2438)</f>
        <v>42802.99861</v>
      </c>
      <c r="B2438" s="1">
        <f>value(USD!B2438)</f>
        <v>13368</v>
      </c>
      <c r="C2438" s="1">
        <f>value(AUD!$B2438)</f>
        <v>9917.04006</v>
      </c>
      <c r="D2438" s="1">
        <f>value(EUR!$B2438)</f>
        <v>14247.52119</v>
      </c>
      <c r="E2438" s="1">
        <f>value(GBP!$B2438)</f>
        <v>16245.733</v>
      </c>
      <c r="F2438" s="1">
        <f>value(CHF!$B2438)</f>
        <v>13338.522</v>
      </c>
      <c r="G2438" s="1">
        <f>value(SGD!$B2438)</f>
        <v>9496.18062</v>
      </c>
      <c r="H2438" s="1">
        <f>value(MYR!$B2438)</f>
        <v>2996.04956</v>
      </c>
      <c r="I2438" s="1">
        <f>value(THB!$B2438)</f>
        <v>377.37623</v>
      </c>
      <c r="J2438" s="1">
        <f>value(VND!$B2438)</f>
        <v>0.6036302871</v>
      </c>
      <c r="K2438" s="1">
        <f>value(CNY!$B2438)</f>
        <v>1951.20992</v>
      </c>
      <c r="L2438" s="1">
        <f>value(HKD!$B2438)</f>
        <v>1716.34785</v>
      </c>
      <c r="M2438" s="1">
        <f>value(TWD!$B2438)</f>
        <v>438.17277</v>
      </c>
      <c r="N2438" s="1">
        <f>value(JPY!$B2438)</f>
        <v>116.26979</v>
      </c>
      <c r="O2438" s="1">
        <f>value(SAR!$B2438)</f>
        <v>3559.51195</v>
      </c>
      <c r="P2438" s="1">
        <f>value(AED!$B2438)</f>
        <v>3687.08445</v>
      </c>
      <c r="Q2438" s="1">
        <f>value(KWD!$B2438)</f>
        <v>44802.64549</v>
      </c>
    </row>
    <row r="2439">
      <c r="A2439" s="4">
        <f>value(USD!A2439)</f>
        <v>42803.99861</v>
      </c>
      <c r="B2439" s="1">
        <f>value(USD!B2439)</f>
        <v>13403</v>
      </c>
      <c r="C2439" s="1">
        <f>value(AUD!$B2439)</f>
        <v>9899.1911</v>
      </c>
      <c r="D2439" s="1">
        <f>value(EUR!$B2439)</f>
        <v>14265.67286</v>
      </c>
      <c r="E2439" s="1">
        <f>value(GBP!$B2439)</f>
        <v>16240.7474</v>
      </c>
      <c r="F2439" s="1">
        <f>value(CHF!$B2439)</f>
        <v>13196.735</v>
      </c>
      <c r="G2439" s="1">
        <f>value(SGD!$B2439)</f>
        <v>9497.9582</v>
      </c>
      <c r="H2439" s="1">
        <f>value(MYR!$B2439)</f>
        <v>2995.37624</v>
      </c>
      <c r="I2439" s="1">
        <f>value(THB!$B2439)</f>
        <v>377.29142</v>
      </c>
      <c r="J2439" s="1">
        <f>value(VND!$B2439)</f>
        <v>0.6040916576</v>
      </c>
      <c r="K2439" s="1">
        <f>value(CNY!$B2439)</f>
        <v>1950.11908</v>
      </c>
      <c r="L2439" s="1">
        <f>value(HKD!$B2439)</f>
        <v>1718.290431</v>
      </c>
      <c r="M2439" s="1">
        <f>value(TWD!$B2439)</f>
        <v>438.9189</v>
      </c>
      <c r="N2439" s="1">
        <f>value(JPY!$B2439)</f>
        <v>116.270352</v>
      </c>
      <c r="O2439" s="1">
        <f>value(SAR!$B2439)</f>
        <v>3554.933244</v>
      </c>
      <c r="P2439" s="1">
        <f>value(AED!$B2439)</f>
        <v>3683.9563</v>
      </c>
      <c r="Q2439" s="1">
        <f>value(KWD!$B2439)</f>
        <v>44862.00572</v>
      </c>
    </row>
    <row r="2440">
      <c r="A2440" s="4">
        <f>value(USD!A2440)</f>
        <v>42804.99861</v>
      </c>
      <c r="B2440" s="1">
        <f>value(USD!B2440)</f>
        <v>13349</v>
      </c>
      <c r="C2440" s="1">
        <f>value(AUD!$B2440)</f>
        <v>9894.2448</v>
      </c>
      <c r="D2440" s="1">
        <f>value(EUR!$B2440)</f>
        <v>14241.71488</v>
      </c>
      <c r="E2440" s="1">
        <f>value(GBP!$B2440)</f>
        <v>16321.46204</v>
      </c>
      <c r="F2440" s="1">
        <f>value(CHF!$B2440)</f>
        <v>13176.496</v>
      </c>
      <c r="G2440" s="1">
        <f>value(SGD!$B2440)</f>
        <v>9519.07254</v>
      </c>
      <c r="H2440" s="1">
        <f>value(MYR!$B2440)</f>
        <v>3004.95584</v>
      </c>
      <c r="I2440" s="1">
        <f>value(THB!$B2440)</f>
        <v>378.29388</v>
      </c>
      <c r="J2440" s="1">
        <f>value(VND!$B2440)</f>
        <v>0.604502023</v>
      </c>
      <c r="K2440" s="1">
        <f>value(CNY!$B2440)</f>
        <v>1952.76112</v>
      </c>
      <c r="L2440" s="1">
        <f>value(HKD!$B2440)</f>
        <v>1721.1051</v>
      </c>
      <c r="M2440" s="1">
        <f>value(TWD!$B2440)</f>
        <v>437.1396</v>
      </c>
      <c r="N2440" s="1">
        <f>value(JPY!$B2440)</f>
        <v>116.389888</v>
      </c>
      <c r="O2440" s="1">
        <f>value(SAR!$B2440)</f>
        <v>3564.697384</v>
      </c>
      <c r="P2440" s="1">
        <f>value(AED!$B2440)</f>
        <v>3678.24052</v>
      </c>
      <c r="Q2440" s="1">
        <f>value(KWD!$B2440)</f>
        <v>44809.40145</v>
      </c>
    </row>
    <row r="2441">
      <c r="A2441" s="4">
        <f>value(USD!A2441)</f>
        <v>42806.99861</v>
      </c>
      <c r="B2441" s="1">
        <f>value(USD!B2441)</f>
        <v>13346</v>
      </c>
      <c r="C2441" s="1">
        <f>value(AUD!$B2441)</f>
        <v>9891.45432</v>
      </c>
      <c r="D2441" s="1">
        <f>value(EUR!$B2441)</f>
        <v>14209.468</v>
      </c>
      <c r="E2441" s="1">
        <f>value(GBP!$B2441)</f>
        <v>16277.2857</v>
      </c>
      <c r="F2441" s="1">
        <f>value(CHF!$B2441)</f>
        <v>13389.4695</v>
      </c>
      <c r="G2441" s="1">
        <f>value(SGD!$B2441)</f>
        <v>9492.49315</v>
      </c>
      <c r="H2441" s="1">
        <f>value(MYR!$B2441)</f>
        <v>3007.2601</v>
      </c>
      <c r="I2441" s="1">
        <f>value(THB!$B2441)</f>
        <v>379.2048</v>
      </c>
      <c r="J2441" s="1">
        <f>value(VND!$B2441)</f>
        <v>0.6153570977</v>
      </c>
      <c r="K2441" s="1">
        <f>value(CNY!$B2441)</f>
        <v>1952.62808</v>
      </c>
      <c r="L2441" s="1">
        <f>value(HKD!$B2441)</f>
        <v>1707.84499</v>
      </c>
      <c r="M2441" s="1">
        <f>value(TWD!$B2441)</f>
        <v>438.88944</v>
      </c>
      <c r="N2441" s="1">
        <f>value(JPY!$B2441)</f>
        <v>116.74741</v>
      </c>
      <c r="O2441" s="1">
        <f>value(SAR!$B2441)</f>
        <v>3559.073154</v>
      </c>
      <c r="P2441" s="1">
        <f>value(AED!$B2441)</f>
        <v>3676.60744</v>
      </c>
      <c r="Q2441" s="1">
        <f>value(KWD!$B2441)</f>
        <v>44686.9813</v>
      </c>
    </row>
    <row r="2442">
      <c r="A2442" s="4">
        <f>value(USD!A2442)</f>
        <v>42807.99861</v>
      </c>
      <c r="B2442" s="1">
        <f>value(USD!B2442)</f>
        <v>13372</v>
      </c>
      <c r="C2442" s="1">
        <f>value(AUD!$B2442)</f>
        <v>9904.62905</v>
      </c>
      <c r="D2442" s="1">
        <f>value(EUR!$B2442)</f>
        <v>14190.69639</v>
      </c>
      <c r="E2442" s="1">
        <f>value(GBP!$B2442)</f>
        <v>16230.74034</v>
      </c>
      <c r="F2442" s="1">
        <f>value(CHF!$B2442)</f>
        <v>13348.5226</v>
      </c>
      <c r="G2442" s="1">
        <f>value(SGD!$B2442)</f>
        <v>9526.98288</v>
      </c>
      <c r="H2442" s="1">
        <f>value(MYR!$B2442)</f>
        <v>2972.76764</v>
      </c>
      <c r="I2442" s="1">
        <f>value(THB!$B2442)</f>
        <v>376.94884</v>
      </c>
      <c r="J2442" s="1">
        <f>value(VND!$B2442)</f>
        <v>0.6038492704</v>
      </c>
      <c r="K2442" s="1">
        <f>value(CNY!$B2442)</f>
        <v>1952.20251</v>
      </c>
      <c r="L2442" s="1">
        <f>value(HKD!$B2442)</f>
        <v>1710.15297</v>
      </c>
      <c r="M2442" s="1">
        <f>value(TWD!$B2442)</f>
        <v>437.86127</v>
      </c>
      <c r="N2442" s="1">
        <f>value(JPY!$B2442)</f>
        <v>116.507855</v>
      </c>
      <c r="O2442" s="1">
        <f>value(SAR!$B2442)</f>
        <v>3560.864857</v>
      </c>
      <c r="P2442" s="1">
        <f>value(AED!$B2442)</f>
        <v>3678.107151</v>
      </c>
      <c r="Q2442" s="1">
        <f>value(KWD!$B2442)</f>
        <v>44709.96495</v>
      </c>
    </row>
    <row r="2443">
      <c r="A2443" s="4">
        <f>value(USD!A2443)</f>
        <v>42808.99861</v>
      </c>
      <c r="B2443" s="1">
        <f>value(USD!B2443)</f>
        <v>13390</v>
      </c>
      <c r="C2443" s="1">
        <f>value(AUD!$B2443)</f>
        <v>9934.77529</v>
      </c>
      <c r="D2443" s="1">
        <f>value(EUR!$B2443)</f>
        <v>14309.11175</v>
      </c>
      <c r="E2443" s="1">
        <f>value(GBP!$B2443)</f>
        <v>16403.57519</v>
      </c>
      <c r="F2443" s="1">
        <f>value(CHF!$B2443)</f>
        <v>13424.4305</v>
      </c>
      <c r="G2443" s="1">
        <f>value(SGD!$B2443)</f>
        <v>9543.71418</v>
      </c>
      <c r="H2443" s="1">
        <f>value(MYR!$B2443)</f>
        <v>2990.26896</v>
      </c>
      <c r="I2443" s="1">
        <f>value(THB!$B2443)</f>
        <v>380.02663</v>
      </c>
      <c r="J2443" s="1">
        <f>value(VND!$B2443)</f>
        <v>0.6044033202</v>
      </c>
      <c r="K2443" s="1">
        <f>value(CNY!$B2443)</f>
        <v>1950.92926</v>
      </c>
      <c r="L2443" s="1">
        <f>value(HKD!$B2443)</f>
        <v>1708.35159</v>
      </c>
      <c r="M2443" s="1">
        <f>value(TWD!$B2443)</f>
        <v>437.90184</v>
      </c>
      <c r="N2443" s="1">
        <f>value(JPY!$B2443)</f>
        <v>117.169343</v>
      </c>
      <c r="O2443" s="1">
        <f>value(SAR!$B2443)</f>
        <v>3547.896156</v>
      </c>
      <c r="P2443" s="1">
        <f>value(AED!$B2443)</f>
        <v>3677.28284</v>
      </c>
      <c r="Q2443" s="1">
        <f>value(KWD!$B2443)</f>
        <v>44776.9019</v>
      </c>
    </row>
    <row r="2444">
      <c r="A2444" s="4">
        <f>value(USD!A2444)</f>
        <v>42809.99861</v>
      </c>
      <c r="B2444" s="1">
        <f>value(USD!B2444)</f>
        <v>13217</v>
      </c>
      <c r="C2444" s="1">
        <f>value(AUD!$B2444)</f>
        <v>9871.32676</v>
      </c>
      <c r="D2444" s="1">
        <f>value(EUR!$B2444)</f>
        <v>14324.6254</v>
      </c>
      <c r="E2444" s="1">
        <f>value(GBP!$B2444)</f>
        <v>16534.1296</v>
      </c>
      <c r="F2444" s="1">
        <f>value(CHF!$B2444)</f>
        <v>13408.0512</v>
      </c>
      <c r="G2444" s="1">
        <f>value(SGD!$B2444)</f>
        <v>9521.92134</v>
      </c>
      <c r="H2444" s="1">
        <f>value(MYR!$B2444)</f>
        <v>3004.5682</v>
      </c>
      <c r="I2444" s="1">
        <f>value(THB!$B2444)</f>
        <v>382.4578</v>
      </c>
      <c r="J2444" s="1">
        <f>value(VND!$B2444)</f>
        <v>0.6050497652</v>
      </c>
      <c r="K2444" s="1">
        <f>value(CNY!$B2444)</f>
        <v>1958.3423</v>
      </c>
      <c r="L2444" s="1">
        <f>value(HKD!$B2444)</f>
        <v>1707.55912</v>
      </c>
      <c r="M2444" s="1">
        <f>value(TWD!$B2444)</f>
        <v>437.73301</v>
      </c>
      <c r="N2444" s="1">
        <f>value(JPY!$B2444)</f>
        <v>118.3258</v>
      </c>
      <c r="O2444" s="1">
        <f>value(SAR!$B2444)</f>
        <v>3522.581643</v>
      </c>
      <c r="P2444" s="1">
        <f>value(AED!$B2444)</f>
        <v>3681.36975</v>
      </c>
      <c r="Q2444" s="1">
        <f>value(KWD!$B2444)</f>
        <v>44776.9019</v>
      </c>
    </row>
    <row r="2445">
      <c r="A2445" s="4">
        <f>value(USD!A2445)</f>
        <v>42810.99861</v>
      </c>
      <c r="B2445" s="1">
        <f>value(USD!B2445)</f>
        <v>13283</v>
      </c>
      <c r="C2445" s="1">
        <f>value(AUD!$B2445)</f>
        <v>9804.28504</v>
      </c>
      <c r="D2445" s="1">
        <f>value(EUR!$B2445)</f>
        <v>14331.162</v>
      </c>
      <c r="E2445" s="1">
        <f>value(GBP!$B2445)</f>
        <v>16538.932</v>
      </c>
      <c r="F2445" s="1">
        <f>value(CHF!$B2445)</f>
        <v>13416.55053</v>
      </c>
      <c r="G2445" s="1">
        <f>value(SGD!$B2445)</f>
        <v>9515.47696</v>
      </c>
      <c r="H2445" s="1">
        <f>value(MYR!$B2445)</f>
        <v>3004.5682</v>
      </c>
      <c r="I2445" s="1">
        <f>value(THB!$B2445)</f>
        <v>382.7246</v>
      </c>
      <c r="J2445" s="1">
        <f>value(VND!$B2445)</f>
        <v>0.6051908535</v>
      </c>
      <c r="K2445" s="1">
        <f>value(CNY!$B2445)</f>
        <v>1954.73565</v>
      </c>
      <c r="L2445" s="1">
        <f>value(HKD!$B2445)</f>
        <v>1708.46784</v>
      </c>
      <c r="M2445" s="1">
        <f>value(TWD!$B2445)</f>
        <v>436.87052</v>
      </c>
      <c r="N2445" s="1">
        <f>value(JPY!$B2445)</f>
        <v>118.3258</v>
      </c>
      <c r="O2445" s="1">
        <f>value(SAR!$B2445)</f>
        <v>3522.047797</v>
      </c>
      <c r="P2445" s="1">
        <f>value(AED!$B2445)</f>
        <v>3679.8718</v>
      </c>
      <c r="Q2445" s="1">
        <f>value(KWD!$B2445)</f>
        <v>44776.9019</v>
      </c>
    </row>
    <row r="2446">
      <c r="A2446" s="4">
        <f>value(USD!A2446)</f>
        <v>42811.99861</v>
      </c>
      <c r="B2446" s="1">
        <f>value(USD!B2446)</f>
        <v>13340</v>
      </c>
      <c r="C2446" s="1">
        <f>value(AUD!$B2446)</f>
        <v>9886.1126</v>
      </c>
      <c r="D2446" s="1">
        <f>value(EUR!$B2446)</f>
        <v>14318.9527</v>
      </c>
      <c r="E2446" s="1">
        <f>value(GBP!$B2446)</f>
        <v>16506.6723</v>
      </c>
      <c r="F2446" s="1">
        <f>value(CHF!$B2446)</f>
        <v>13397.9354</v>
      </c>
      <c r="G2446" s="1">
        <f>value(SGD!$B2446)</f>
        <v>9407.5553</v>
      </c>
      <c r="H2446" s="1">
        <f>value(MYR!$B2446)</f>
        <v>3002.3159</v>
      </c>
      <c r="I2446" s="1">
        <f>value(THB!$B2446)</f>
        <v>382.4377</v>
      </c>
      <c r="J2446" s="1">
        <f>value(VND!$B2446)</f>
        <v>0.6052984398</v>
      </c>
      <c r="K2446" s="1">
        <f>value(CNY!$B2446)</f>
        <v>1957.60259</v>
      </c>
      <c r="L2446" s="1">
        <f>value(HKD!$B2446)</f>
        <v>1708.7293</v>
      </c>
      <c r="M2446" s="1">
        <f>value(TWD!$B2446)</f>
        <v>437.46164</v>
      </c>
      <c r="N2446" s="1">
        <f>value(JPY!$B2446)</f>
        <v>118.30375</v>
      </c>
      <c r="O2446" s="1">
        <f>value(SAR!$B2446)</f>
        <v>3519.387573</v>
      </c>
      <c r="P2446" s="1">
        <f>value(AED!$B2446)</f>
        <v>3672.11529</v>
      </c>
      <c r="Q2446" s="1">
        <f>value(KWD!$B2446)</f>
        <v>44864.68064</v>
      </c>
    </row>
    <row r="2447">
      <c r="A2447" s="4">
        <f>value(USD!A2447)</f>
        <v>42812.99861</v>
      </c>
      <c r="B2447" s="1">
        <f>value(USD!B2447)</f>
        <v>13340</v>
      </c>
      <c r="C2447" s="1">
        <f>value(AUD!$B2447)</f>
        <v>9896.8456</v>
      </c>
      <c r="D2447" s="1">
        <f>value(EUR!$B2447)</f>
        <v>14311.902</v>
      </c>
      <c r="E2447" s="1">
        <f>value(GBP!$B2447)</f>
        <v>16489.6842</v>
      </c>
      <c r="F2447" s="1">
        <f>value(CHF!$B2447)</f>
        <v>13380.965</v>
      </c>
      <c r="G2447" s="1">
        <f>value(SGD!$B2447)</f>
        <v>9420.4072</v>
      </c>
      <c r="H2447" s="1">
        <f>value(MYR!$B2447)</f>
        <v>3009.43236</v>
      </c>
      <c r="I2447" s="1">
        <f>value(THB!$B2447)</f>
        <v>384.22824</v>
      </c>
      <c r="J2447" s="1">
        <f>value(VND!$B2447)</f>
        <v>0.6050357214</v>
      </c>
      <c r="K2447" s="1">
        <f>value(CNY!$B2447)</f>
        <v>1956.55692</v>
      </c>
      <c r="L2447" s="1">
        <f>value(HKD!$B2447)</f>
        <v>1708.97394</v>
      </c>
      <c r="M2447" s="1">
        <f>value(TWD!$B2447)</f>
        <v>437.36126</v>
      </c>
      <c r="N2447" s="1">
        <f>value(JPY!$B2447)</f>
        <v>118.401492</v>
      </c>
      <c r="O2447" s="1">
        <f>value(SAR!$B2447)</f>
        <v>3517.257833</v>
      </c>
      <c r="P2447" s="1">
        <f>value(AED!$B2447)</f>
        <v>3671.43602</v>
      </c>
      <c r="Q2447" s="1">
        <f>value(KWD!$B2447)</f>
        <v>44805.8385</v>
      </c>
    </row>
    <row r="2448">
      <c r="A2448" s="4">
        <f>value(USD!A2448)</f>
        <v>42813.99861</v>
      </c>
      <c r="B2448" s="1">
        <f>value(USD!B2448)</f>
        <v>13330</v>
      </c>
      <c r="C2448" s="1">
        <f>value(AUD!$B2448)</f>
        <v>9882.2112</v>
      </c>
      <c r="D2448" s="1">
        <f>value(EUR!$B2448)</f>
        <v>14388.47652</v>
      </c>
      <c r="E2448" s="1">
        <f>value(GBP!$B2448)</f>
        <v>16607.0532</v>
      </c>
      <c r="F2448" s="1">
        <f>value(CHF!$B2448)</f>
        <v>13413.3255</v>
      </c>
      <c r="G2448" s="1">
        <f>value(SGD!$B2448)</f>
        <v>9541.57675</v>
      </c>
      <c r="H2448" s="1">
        <f>value(MYR!$B2448)</f>
        <v>3005.47872</v>
      </c>
      <c r="I2448" s="1">
        <f>value(THB!$B2448)</f>
        <v>382.87116</v>
      </c>
      <c r="J2448" s="1">
        <f>value(VND!$B2448)</f>
        <v>0.60552354</v>
      </c>
      <c r="K2448" s="1">
        <f>value(CNY!$B2448)</f>
        <v>1959.1512</v>
      </c>
      <c r="L2448" s="1">
        <f>value(HKD!$B2448)</f>
        <v>1708.34335</v>
      </c>
      <c r="M2448" s="1">
        <f>value(TWD!$B2448)</f>
        <v>435.48995</v>
      </c>
      <c r="N2448" s="1">
        <f>value(JPY!$B2448)</f>
        <v>119.292912</v>
      </c>
      <c r="O2448" s="1">
        <f>value(SAR!$B2448)</f>
        <v>3525.80005</v>
      </c>
      <c r="P2448" s="1">
        <f>value(AED!$B2448)</f>
        <v>3674.29058</v>
      </c>
      <c r="Q2448" s="1">
        <f>value(KWD!$B2448)</f>
        <v>44844.40729</v>
      </c>
    </row>
    <row r="2449">
      <c r="A2449" s="4">
        <f>value(USD!A2449)</f>
        <v>42814.99861</v>
      </c>
      <c r="B2449" s="1">
        <f>value(USD!B2449)</f>
        <v>13332</v>
      </c>
      <c r="C2449" s="1">
        <f>value(AUD!$B2449)</f>
        <v>9944.45078</v>
      </c>
      <c r="D2449" s="1">
        <f>value(EUR!$B2449)</f>
        <v>14380.89916</v>
      </c>
      <c r="E2449" s="1">
        <f>value(GBP!$B2449)</f>
        <v>16623.69999</v>
      </c>
      <c r="F2449" s="1">
        <f>value(CHF!$B2449)</f>
        <v>13381.1632</v>
      </c>
      <c r="G2449" s="1">
        <f>value(SGD!$B2449)</f>
        <v>9501.37389</v>
      </c>
      <c r="H2449" s="1">
        <f>value(MYR!$B2449)</f>
        <v>3008.70352</v>
      </c>
      <c r="I2449" s="1">
        <f>value(THB!$B2449)</f>
        <v>385.1503</v>
      </c>
      <c r="J2449" s="1">
        <f>value(VND!$B2449)</f>
        <v>0.6067534182</v>
      </c>
      <c r="K2449" s="1">
        <f>value(CNY!$B2449)</f>
        <v>1958.4894</v>
      </c>
      <c r="L2449" s="1">
        <f>value(HKD!$B2449)</f>
        <v>1710.26448</v>
      </c>
      <c r="M2449" s="1">
        <f>value(TWD!$B2449)</f>
        <v>438.49588</v>
      </c>
      <c r="N2449" s="1">
        <f>value(JPY!$B2449)</f>
        <v>119.6484733</v>
      </c>
      <c r="O2449" s="1">
        <f>value(SAR!$B2449)</f>
        <v>3534.970571</v>
      </c>
      <c r="P2449" s="1">
        <f>value(AED!$B2449)</f>
        <v>3676.326348</v>
      </c>
      <c r="Q2449" s="1">
        <f>value(KWD!$B2449)</f>
        <v>44889.7691</v>
      </c>
    </row>
    <row r="2450">
      <c r="A2450" s="4">
        <f>value(USD!A2450)</f>
        <v>42815.99861</v>
      </c>
      <c r="B2450" s="1">
        <f>value(USD!B2450)</f>
        <v>13308</v>
      </c>
      <c r="C2450" s="1">
        <f>value(AUD!$B2450)</f>
        <v>9956.31569</v>
      </c>
      <c r="D2450" s="1">
        <f>value(EUR!$B2450)</f>
        <v>14361.59848</v>
      </c>
      <c r="E2450" s="1">
        <f>value(GBP!$B2450)</f>
        <v>16669.34152</v>
      </c>
      <c r="F2450" s="1">
        <f>value(CHF!$B2450)</f>
        <v>13526.76</v>
      </c>
      <c r="G2450" s="1">
        <f>value(SGD!$B2450)</f>
        <v>9552.10646</v>
      </c>
      <c r="H2450" s="1">
        <f>value(MYR!$B2450)</f>
        <v>3005.33988</v>
      </c>
      <c r="I2450" s="1">
        <f>value(THB!$B2450)</f>
        <v>384.75702</v>
      </c>
      <c r="J2450" s="1">
        <f>value(VND!$B2450)</f>
        <v>0.6088314193</v>
      </c>
      <c r="K2450" s="1">
        <f>value(CNY!$B2450)</f>
        <v>1953.51656</v>
      </c>
      <c r="L2450" s="1">
        <f>value(HKD!$B2450)</f>
        <v>1716.17666</v>
      </c>
      <c r="M2450" s="1">
        <f>value(TWD!$B2450)</f>
        <v>438.75776</v>
      </c>
      <c r="N2450" s="1">
        <f>value(JPY!$B2450)</f>
        <v>119.941908</v>
      </c>
      <c r="O2450" s="1">
        <f>value(SAR!$B2450)</f>
        <v>3540.215041</v>
      </c>
      <c r="P2450" s="1">
        <f>value(AED!$B2450)</f>
        <v>3673.75066</v>
      </c>
      <c r="Q2450" s="1">
        <f>value(KWD!$B2450)</f>
        <v>44914.4897</v>
      </c>
    </row>
    <row r="2451">
      <c r="A2451" s="4">
        <f>value(USD!A2451)</f>
        <v>42816.99861</v>
      </c>
      <c r="B2451" s="1">
        <f>value(USD!B2451)</f>
        <v>13327</v>
      </c>
      <c r="C2451" s="1">
        <f>value(AUD!$B2451)</f>
        <v>10035.3394</v>
      </c>
      <c r="D2451" s="1">
        <f>value(EUR!$B2451)</f>
        <v>14352.58503</v>
      </c>
      <c r="E2451" s="1">
        <f>value(GBP!$B2451)</f>
        <v>16581.55527</v>
      </c>
      <c r="F2451" s="1">
        <f>value(CHF!$B2451)</f>
        <v>13480.106</v>
      </c>
      <c r="G2451" s="1">
        <f>value(SGD!$B2451)</f>
        <v>9550.70112</v>
      </c>
      <c r="H2451" s="1">
        <f>value(MYR!$B2451)</f>
        <v>3002.09112</v>
      </c>
      <c r="I2451" s="1">
        <f>value(THB!$B2451)</f>
        <v>384.43356</v>
      </c>
      <c r="J2451" s="1">
        <f>value(VND!$B2451)</f>
        <v>0.6175499342</v>
      </c>
      <c r="K2451" s="1">
        <f>value(CNY!$B2451)</f>
        <v>1956.23064</v>
      </c>
      <c r="L2451" s="1">
        <f>value(HKD!$B2451)</f>
        <v>1712.69937</v>
      </c>
      <c r="M2451" s="1">
        <f>value(TWD!$B2451)</f>
        <v>440.25687</v>
      </c>
      <c r="N2451" s="1">
        <f>value(JPY!$B2451)</f>
        <v>119.37114</v>
      </c>
      <c r="O2451" s="1">
        <f>value(SAR!$B2451)</f>
        <v>3532.360757</v>
      </c>
      <c r="P2451" s="1">
        <f>value(AED!$B2451)</f>
        <v>3677.55909</v>
      </c>
      <c r="Q2451" s="1">
        <f>value(KWD!$B2451)</f>
        <v>44933.716</v>
      </c>
    </row>
    <row r="2452">
      <c r="A2452" s="4">
        <f>value(USD!A2452)</f>
        <v>42817.99861</v>
      </c>
      <c r="B2452" s="1">
        <f>value(USD!B2452)</f>
        <v>13318</v>
      </c>
      <c r="C2452" s="1">
        <f>value(AUD!$B2452)</f>
        <v>10004.04594</v>
      </c>
      <c r="D2452" s="1">
        <f>value(EUR!$B2452)</f>
        <v>14361.7572</v>
      </c>
      <c r="E2452" s="1">
        <f>value(GBP!$B2452)</f>
        <v>16581.6882</v>
      </c>
      <c r="F2452" s="1">
        <f>value(CHF!$B2452)</f>
        <v>13467.99663</v>
      </c>
      <c r="G2452" s="1">
        <f>value(SGD!$B2452)</f>
        <v>9552.867026</v>
      </c>
      <c r="H2452" s="1">
        <f>value(MYR!$B2452)</f>
        <v>3002.09112</v>
      </c>
      <c r="I2452" s="1">
        <f>value(THB!$B2452)</f>
        <v>384.69942</v>
      </c>
      <c r="J2452" s="1">
        <f>value(VND!$B2452)</f>
        <v>0.6140481987</v>
      </c>
      <c r="K2452" s="1">
        <f>value(CNY!$B2452)</f>
        <v>1952.48978</v>
      </c>
      <c r="L2452" s="1">
        <f>value(HKD!$B2452)</f>
        <v>1709.3512</v>
      </c>
      <c r="M2452" s="1">
        <f>value(TWD!$B2452)</f>
        <v>439.79544</v>
      </c>
      <c r="N2452" s="1">
        <f>value(JPY!$B2452)</f>
        <v>119.37114</v>
      </c>
      <c r="O2452" s="1">
        <f>value(SAR!$B2452)</f>
        <v>3533.9608</v>
      </c>
      <c r="P2452" s="1">
        <f>value(AED!$B2452)</f>
        <v>3674.7</v>
      </c>
      <c r="Q2452" s="1">
        <f>value(KWD!$B2452)</f>
        <v>45027.39024</v>
      </c>
    </row>
    <row r="2453">
      <c r="A2453" s="4">
        <f>value(USD!A2453)</f>
        <v>42818.99861</v>
      </c>
      <c r="B2453" s="1">
        <f>value(USD!B2453)</f>
        <v>13293</v>
      </c>
      <c r="C2453" s="1">
        <f>value(AUD!$B2453)</f>
        <v>10003.02897</v>
      </c>
      <c r="D2453" s="1">
        <f>value(EUR!$B2453)</f>
        <v>14447.6712</v>
      </c>
      <c r="E2453" s="1">
        <f>value(GBP!$B2453)</f>
        <v>16667.8488</v>
      </c>
      <c r="F2453" s="1">
        <f>value(CHF!$B2453)</f>
        <v>13345.3184</v>
      </c>
      <c r="G2453" s="1">
        <f>value(SGD!$B2453)</f>
        <v>9535.62116</v>
      </c>
      <c r="H2453" s="1">
        <f>value(MYR!$B2453)</f>
        <v>3009.5208</v>
      </c>
      <c r="I2453" s="1">
        <f>value(THB!$B2453)</f>
        <v>385.2144</v>
      </c>
      <c r="J2453" s="1">
        <f>value(VND!$B2453)</f>
        <v>0.6101873726</v>
      </c>
      <c r="K2453" s="1">
        <f>value(CNY!$B2453)</f>
        <v>1951.6365</v>
      </c>
      <c r="L2453" s="1">
        <f>value(HKD!$B2453)</f>
        <v>1685.17195</v>
      </c>
      <c r="M2453" s="1">
        <f>value(TWD!$B2453)</f>
        <v>440.055</v>
      </c>
      <c r="N2453" s="1">
        <f>value(JPY!$B2453)</f>
        <v>120.46608</v>
      </c>
      <c r="O2453" s="1">
        <f>value(SAR!$B2453)</f>
        <v>3541.911307</v>
      </c>
      <c r="P2453" s="1">
        <f>value(AED!$B2453)</f>
        <v>3676.464</v>
      </c>
      <c r="Q2453" s="1">
        <f>value(KWD!$B2453)</f>
        <v>44726.5377</v>
      </c>
    </row>
    <row r="2454">
      <c r="A2454" s="4">
        <f>value(USD!A2454)</f>
        <v>42819.99861</v>
      </c>
      <c r="B2454" s="1">
        <f>value(USD!B2454)</f>
        <v>13293</v>
      </c>
      <c r="C2454" s="1">
        <f>value(AUD!$B2454)</f>
        <v>9992.6244</v>
      </c>
      <c r="D2454" s="1">
        <f>value(EUR!$B2454)</f>
        <v>14452.75416</v>
      </c>
      <c r="E2454" s="1">
        <f>value(GBP!$B2454)</f>
        <v>16710.8556</v>
      </c>
      <c r="F2454" s="1">
        <f>value(CHF!$B2454)</f>
        <v>13268.1588</v>
      </c>
      <c r="G2454" s="1">
        <f>value(SGD!$B2454)</f>
        <v>9543.23175</v>
      </c>
      <c r="H2454" s="1">
        <f>value(MYR!$B2454)</f>
        <v>3014.66124</v>
      </c>
      <c r="I2454" s="1">
        <f>value(THB!$B2454)</f>
        <v>386.5974</v>
      </c>
      <c r="J2454" s="1">
        <f>value(VND!$B2454)</f>
        <v>0.6122547607</v>
      </c>
      <c r="K2454" s="1">
        <f>value(CNY!$B2454)</f>
        <v>1951.3428</v>
      </c>
      <c r="L2454" s="1">
        <f>value(HKD!$B2454)</f>
        <v>1687.0902</v>
      </c>
      <c r="M2454" s="1">
        <f>value(TWD!$B2454)</f>
        <v>439.4268</v>
      </c>
      <c r="N2454" s="1">
        <f>value(JPY!$B2454)</f>
        <v>120.1047</v>
      </c>
      <c r="O2454" s="1">
        <f>value(SAR!$B2454)</f>
        <v>3538.896788</v>
      </c>
      <c r="P2454" s="1">
        <f>value(AED!$B2454)</f>
        <v>3685.8602</v>
      </c>
      <c r="Q2454" s="1">
        <f>value(KWD!$B2454)</f>
        <v>44810.31065</v>
      </c>
    </row>
    <row r="2455">
      <c r="A2455" s="4">
        <f>value(USD!A2455)</f>
        <v>42820.99861</v>
      </c>
      <c r="B2455" s="1">
        <f>value(USD!B2455)</f>
        <v>13320</v>
      </c>
      <c r="C2455" s="1">
        <f>value(AUD!$B2455)</f>
        <v>10005.817</v>
      </c>
      <c r="D2455" s="1">
        <f>value(EUR!$B2455)</f>
        <v>14395.94603</v>
      </c>
      <c r="E2455" s="1">
        <f>value(GBP!$B2455)</f>
        <v>16530.44345</v>
      </c>
      <c r="F2455" s="1">
        <f>value(CHF!$B2455)</f>
        <v>13231.35417</v>
      </c>
      <c r="G2455" s="1">
        <f>value(SGD!$B2455)</f>
        <v>9543.01805</v>
      </c>
      <c r="H2455" s="1">
        <f>value(MYR!$B2455)</f>
        <v>3014.4885</v>
      </c>
      <c r="I2455" s="1">
        <f>value(THB!$B2455)</f>
        <v>386.09409</v>
      </c>
      <c r="J2455" s="1">
        <f>value(VND!$B2455)</f>
        <v>0.6105489932</v>
      </c>
      <c r="K2455" s="1">
        <f>value(CNY!$B2455)</f>
        <v>1951.18792</v>
      </c>
      <c r="L2455" s="1">
        <f>value(HKD!$B2455)</f>
        <v>1709.56853</v>
      </c>
      <c r="M2455" s="1">
        <f>value(TWD!$B2455)</f>
        <v>439.9596</v>
      </c>
      <c r="N2455" s="1">
        <f>value(JPY!$B2455)</f>
        <v>119.621292</v>
      </c>
      <c r="O2455" s="1">
        <f>value(SAR!$B2455)</f>
        <v>3543.151428</v>
      </c>
      <c r="P2455" s="1">
        <f>value(AED!$B2455)</f>
        <v>3681.50668</v>
      </c>
      <c r="Q2455" s="1">
        <f>value(KWD!$B2455)</f>
        <v>44872.50482</v>
      </c>
    </row>
    <row r="2456">
      <c r="A2456" s="4">
        <f>value(USD!A2456)</f>
        <v>42821.99861</v>
      </c>
      <c r="B2456" s="1">
        <f>value(USD!B2456)</f>
        <v>13308</v>
      </c>
      <c r="C2456" s="1">
        <f>value(AUD!$B2456)</f>
        <v>10048.47522</v>
      </c>
      <c r="D2456" s="1">
        <f>value(EUR!$B2456)</f>
        <v>14310.70225</v>
      </c>
      <c r="E2456" s="1">
        <f>value(GBP!$B2456)</f>
        <v>16547.33564</v>
      </c>
      <c r="F2456" s="1">
        <f>value(CHF!$B2456)</f>
        <v>13206.30272</v>
      </c>
      <c r="G2456" s="1">
        <f>value(SGD!$B2456)</f>
        <v>9521.6728</v>
      </c>
      <c r="H2456" s="1">
        <f>value(MYR!$B2456)</f>
        <v>3008.07436</v>
      </c>
      <c r="I2456" s="1">
        <f>value(THB!$B2456)</f>
        <v>386.45215</v>
      </c>
      <c r="J2456" s="1">
        <f>value(VND!$B2456)</f>
        <v>0.6088391209</v>
      </c>
      <c r="K2456" s="1">
        <f>value(CNY!$B2456)</f>
        <v>1948.12618</v>
      </c>
      <c r="L2456" s="1">
        <f>value(HKD!$B2456)</f>
        <v>1704.43633</v>
      </c>
      <c r="M2456" s="1">
        <f>value(TWD!$B2456)</f>
        <v>440.55944</v>
      </c>
      <c r="N2456" s="1">
        <f>value(JPY!$B2456)</f>
        <v>119.727</v>
      </c>
      <c r="O2456" s="1">
        <f>value(SAR!$B2456)</f>
        <v>3543.151428</v>
      </c>
      <c r="P2456" s="1">
        <f>value(AED!$B2456)</f>
        <v>3683.082602</v>
      </c>
      <c r="Q2456" s="1">
        <f>value(KWD!$B2456)</f>
        <v>44932.53196</v>
      </c>
    </row>
    <row r="2457">
      <c r="A2457" s="4">
        <f>value(USD!A2457)</f>
        <v>42822.99861</v>
      </c>
      <c r="B2457" s="1">
        <f>value(USD!B2457)</f>
        <v>13309</v>
      </c>
      <c r="C2457" s="1">
        <f>value(AUD!$B2457)</f>
        <v>10006.6588</v>
      </c>
      <c r="D2457" s="1">
        <f>value(EUR!$B2457)</f>
        <v>14211.57738</v>
      </c>
      <c r="E2457" s="1">
        <f>value(GBP!$B2457)</f>
        <v>16593.1623</v>
      </c>
      <c r="F2457" s="1">
        <f>value(CHF!$B2457)</f>
        <v>13300.8861</v>
      </c>
      <c r="G2457" s="1">
        <f>value(SGD!$B2457)</f>
        <v>9522.4922</v>
      </c>
      <c r="H2457" s="1">
        <f>value(MYR!$B2457)</f>
        <v>3006.10596</v>
      </c>
      <c r="I2457" s="1">
        <f>value(THB!$B2457)</f>
        <v>385.53801</v>
      </c>
      <c r="J2457" s="1">
        <f>value(VND!$B2457)</f>
        <v>0.6116109712</v>
      </c>
      <c r="K2457" s="1">
        <f>value(CNY!$B2457)</f>
        <v>1946.73277</v>
      </c>
      <c r="L2457" s="1">
        <f>value(HKD!$B2457)</f>
        <v>1715.73701</v>
      </c>
      <c r="M2457" s="1">
        <f>value(TWD!$B2457)</f>
        <v>439.99368</v>
      </c>
      <c r="N2457" s="1">
        <f>value(JPY!$B2457)</f>
        <v>118.946256</v>
      </c>
      <c r="O2457" s="1">
        <f>value(SAR!$B2457)</f>
        <v>3546.742701</v>
      </c>
      <c r="P2457" s="1">
        <f>value(AED!$B2457)</f>
        <v>3691.4388</v>
      </c>
      <c r="Q2457" s="1">
        <f>value(KWD!$B2457)</f>
        <v>44917.0533</v>
      </c>
    </row>
    <row r="2458">
      <c r="A2458" s="4">
        <f>value(USD!A2458)</f>
        <v>42823.99861</v>
      </c>
      <c r="B2458" s="1">
        <f>value(USD!B2458)</f>
        <v>13303</v>
      </c>
      <c r="C2458" s="1">
        <f>value(AUD!$B2458)</f>
        <v>10081.68252</v>
      </c>
      <c r="D2458" s="1">
        <f>value(EUR!$B2458)</f>
        <v>14191.66056</v>
      </c>
      <c r="E2458" s="1">
        <f>value(GBP!$B2458)</f>
        <v>16708.5303</v>
      </c>
      <c r="F2458" s="1">
        <f>value(CHF!$B2458)</f>
        <v>13306.87917</v>
      </c>
      <c r="G2458" s="1">
        <f>value(SGD!$B2458)</f>
        <v>9478.01645</v>
      </c>
      <c r="H2458" s="1">
        <f>value(MYR!$B2458)</f>
        <v>3008.41464</v>
      </c>
      <c r="I2458" s="1">
        <f>value(THB!$B2458)</f>
        <v>387.50789</v>
      </c>
      <c r="J2458" s="1">
        <f>value(VND!$B2458)</f>
        <v>0.6216013095</v>
      </c>
      <c r="K2458" s="1">
        <f>value(CNY!$B2458)</f>
        <v>1947.79844</v>
      </c>
      <c r="L2458" s="1">
        <f>value(HKD!$B2458)</f>
        <v>1715.23776</v>
      </c>
      <c r="M2458" s="1">
        <f>value(TWD!$B2458)</f>
        <v>439.99368</v>
      </c>
      <c r="N2458" s="1">
        <f>value(JPY!$B2458)</f>
        <v>119.62258</v>
      </c>
      <c r="O2458" s="1">
        <f>value(SAR!$B2458)</f>
        <v>3548.645133</v>
      </c>
      <c r="P2458" s="1">
        <f>value(AED!$B2458)</f>
        <v>3672.79692</v>
      </c>
      <c r="Q2458" s="1">
        <f>value(KWD!$B2458)</f>
        <v>44917.0533</v>
      </c>
    </row>
    <row r="2459">
      <c r="A2459" s="4">
        <f>value(USD!A2459)</f>
        <v>42824.99861</v>
      </c>
      <c r="B2459" s="1">
        <f>value(USD!B2459)</f>
        <v>13299</v>
      </c>
      <c r="C2459" s="1">
        <f>value(AUD!$B2459)</f>
        <v>10083.10018</v>
      </c>
      <c r="D2459" s="1">
        <f>value(EUR!$B2459)</f>
        <v>14459.36118</v>
      </c>
      <c r="E2459" s="1">
        <f>value(GBP!$B2459)</f>
        <v>17032.60386</v>
      </c>
      <c r="F2459" s="1">
        <f>value(CHF!$B2459)</f>
        <v>13339.4685</v>
      </c>
      <c r="G2459" s="1">
        <f>value(SGD!$B2459)</f>
        <v>9479.730963</v>
      </c>
      <c r="H2459" s="1">
        <f>value(MYR!$B2459)</f>
        <v>3064.314556</v>
      </c>
      <c r="I2459" s="1">
        <f>value(THB!$B2459)</f>
        <v>394.7082468</v>
      </c>
      <c r="J2459" s="1">
        <f>value(VND!$B2459)</f>
        <v>0.6161357016</v>
      </c>
      <c r="K2459" s="1">
        <f>value(CNY!$B2459)</f>
        <v>1951.7883</v>
      </c>
      <c r="L2459" s="1">
        <f>value(HKD!$B2459)</f>
        <v>1716.287761</v>
      </c>
      <c r="M2459" s="1">
        <f>value(TWD!$B2459)</f>
        <v>440.59252</v>
      </c>
      <c r="N2459" s="1">
        <f>value(JPY!$B2459)</f>
        <v>121.8453096</v>
      </c>
      <c r="O2459" s="1">
        <f>value(SAR!$B2459)</f>
        <v>3555.620794</v>
      </c>
      <c r="P2459" s="1">
        <f>value(AED!$B2459)</f>
        <v>3678.10347</v>
      </c>
      <c r="Q2459" s="1">
        <f>value(KWD!$B2459)</f>
        <v>44814.19995</v>
      </c>
    </row>
    <row r="2460">
      <c r="A2460" s="4">
        <f>value(USD!A2460)</f>
        <v>42825.99861</v>
      </c>
      <c r="B2460" s="1">
        <f>value(USD!B2460)</f>
        <v>13321</v>
      </c>
      <c r="C2460" s="1">
        <f>value(AUD!$B2460)</f>
        <v>10123.1259</v>
      </c>
      <c r="D2460" s="1">
        <f>value(EUR!$B2460)</f>
        <v>14225.778</v>
      </c>
      <c r="E2460" s="1">
        <f>value(GBP!$B2460)</f>
        <v>16720.08975</v>
      </c>
      <c r="F2460" s="1">
        <f>value(CHF!$B2460)</f>
        <v>13483.7292</v>
      </c>
      <c r="G2460" s="1">
        <f>value(SGD!$B2460)</f>
        <v>9477.62768</v>
      </c>
      <c r="H2460" s="1">
        <f>value(MYR!$B2460)</f>
        <v>3011.5764</v>
      </c>
      <c r="I2460" s="1">
        <f>value(THB!$B2460)</f>
        <v>387.7818</v>
      </c>
      <c r="J2460" s="1">
        <f>value(VND!$B2460)</f>
        <v>0.6129578703</v>
      </c>
      <c r="K2460" s="1">
        <f>value(CNY!$B2460)</f>
        <v>1946.44125</v>
      </c>
      <c r="L2460" s="1">
        <f>value(HKD!$B2460)</f>
        <v>1712.67632</v>
      </c>
      <c r="M2460" s="1">
        <f>value(TWD!$B2460)</f>
        <v>440.6272</v>
      </c>
      <c r="N2460" s="1">
        <f>value(JPY!$B2460)</f>
        <v>119.8323105</v>
      </c>
      <c r="O2460" s="1">
        <f>value(SAR!$B2460)</f>
        <v>3570.761066</v>
      </c>
      <c r="P2460" s="1">
        <f>value(AED!$B2460)</f>
        <v>3683.81946</v>
      </c>
      <c r="Q2460" s="1">
        <f>value(KWD!$B2460)</f>
        <v>44918.7816</v>
      </c>
    </row>
    <row r="2461">
      <c r="A2461" s="4">
        <f>value(USD!A2461)</f>
        <v>42826.99861</v>
      </c>
      <c r="B2461" s="1">
        <f>value(USD!B2461)</f>
        <v>13568.52</v>
      </c>
      <c r="C2461" s="1">
        <f>value(AUD!$B2461)</f>
        <v>10122.7984</v>
      </c>
      <c r="D2461" s="1">
        <f>value(EUR!$B2461)</f>
        <v>14206.8404</v>
      </c>
      <c r="E2461" s="1">
        <f>value(GBP!$B2461)</f>
        <v>16631.81716</v>
      </c>
      <c r="F2461" s="1">
        <f>value(CHF!$B2461)</f>
        <v>13599.0098</v>
      </c>
      <c r="G2461" s="1">
        <f>value(SGD!$B2461)</f>
        <v>9472.46613</v>
      </c>
      <c r="H2461" s="1">
        <f>value(MYR!$B2461)</f>
        <v>3005.55436</v>
      </c>
      <c r="I2461" s="1">
        <f>value(THB!$B2461)</f>
        <v>387.36244</v>
      </c>
      <c r="J2461" s="1">
        <f>value(VND!$B2461)</f>
        <v>0.6127213101</v>
      </c>
      <c r="K2461" s="1">
        <f>value(CNY!$B2461)</f>
        <v>1951.130472</v>
      </c>
      <c r="L2461" s="1">
        <f>value(HKD!$B2461)</f>
        <v>1712.92875</v>
      </c>
      <c r="M2461" s="1">
        <f>value(TWD!$B2461)</f>
        <v>440.26172</v>
      </c>
      <c r="N2461" s="1">
        <f>value(JPY!$B2461)</f>
        <v>120.256796</v>
      </c>
      <c r="O2461" s="1">
        <f>value(SAR!$B2461)</f>
        <v>3585.95829</v>
      </c>
      <c r="P2461" s="1">
        <f>value(AED!$B2461)</f>
        <v>3688.99107</v>
      </c>
      <c r="Q2461" s="1">
        <f>value(KWD!$B2461)</f>
        <v>44916.95766</v>
      </c>
    </row>
    <row r="2462">
      <c r="A2462" s="4">
        <f>value(USD!A2462)</f>
        <v>42827.99861</v>
      </c>
      <c r="B2462" s="1">
        <f>value(USD!B2462)</f>
        <v>13335</v>
      </c>
      <c r="C2462" s="1">
        <f>value(AUD!$B2462)</f>
        <v>10118.66724</v>
      </c>
      <c r="D2462" s="1">
        <f>value(EUR!$B2462)</f>
        <v>14238.30936</v>
      </c>
      <c r="E2462" s="1">
        <f>value(GBP!$B2462)</f>
        <v>16582.3416</v>
      </c>
      <c r="F2462" s="1">
        <f>value(CHF!$B2462)</f>
        <v>13676.3593</v>
      </c>
      <c r="G2462" s="1">
        <f>value(SGD!$B2462)</f>
        <v>9453.38988</v>
      </c>
      <c r="H2462" s="1">
        <f>value(MYR!$B2462)</f>
        <v>3006.76596</v>
      </c>
      <c r="I2462" s="1">
        <f>value(THB!$B2462)</f>
        <v>386.76132</v>
      </c>
      <c r="J2462" s="1">
        <f>value(VND!$B2462)</f>
        <v>0.6213227138</v>
      </c>
      <c r="K2462" s="1">
        <f>value(CNY!$B2462)</f>
        <v>1943.58204</v>
      </c>
      <c r="L2462" s="1">
        <f>value(HKD!$B2462)</f>
        <v>1708.4075</v>
      </c>
      <c r="M2462" s="1">
        <f>value(TWD!$B2462)</f>
        <v>440.1939</v>
      </c>
      <c r="N2462" s="1">
        <f>value(JPY!$B2462)</f>
        <v>120.2506404</v>
      </c>
      <c r="O2462" s="1">
        <f>value(SAR!$B2462)</f>
        <v>3605.883334</v>
      </c>
      <c r="P2462" s="1">
        <f>value(AED!$B2462)</f>
        <v>3684.77284</v>
      </c>
      <c r="Q2462" s="1">
        <f>value(KWD!$B2462)</f>
        <v>44879.007</v>
      </c>
    </row>
    <row r="2463">
      <c r="A2463" s="4">
        <f>value(USD!A2463)</f>
        <v>42828.99861</v>
      </c>
      <c r="B2463" s="1">
        <f>value(USD!B2463)</f>
        <v>13316</v>
      </c>
      <c r="C2463" s="1">
        <f>value(AUD!$B2463)</f>
        <v>10085.80118</v>
      </c>
      <c r="D2463" s="1">
        <f>value(EUR!$B2463)</f>
        <v>14218.03914</v>
      </c>
      <c r="E2463" s="1">
        <f>value(GBP!$B2463)</f>
        <v>16636.16364</v>
      </c>
      <c r="F2463" s="1">
        <f>value(CHF!$B2463)</f>
        <v>13691.0194</v>
      </c>
      <c r="G2463" s="1">
        <f>value(SGD!$B2463)</f>
        <v>9454.31552</v>
      </c>
      <c r="H2463" s="1">
        <f>value(MYR!$B2463)</f>
        <v>3004.07004</v>
      </c>
      <c r="I2463" s="1">
        <f>value(THB!$B2463)</f>
        <v>385.56762</v>
      </c>
      <c r="J2463" s="1">
        <f>value(VND!$B2463)</f>
        <v>0.6276420217</v>
      </c>
      <c r="K2463" s="1">
        <f>value(CNY!$B2463)</f>
        <v>1946.95842</v>
      </c>
      <c r="L2463" s="1">
        <f>value(HKD!$B2463)</f>
        <v>1709.69704</v>
      </c>
      <c r="M2463" s="1">
        <f>value(TWD!$B2463)</f>
        <v>440.4286</v>
      </c>
      <c r="N2463" s="1">
        <f>value(JPY!$B2463)</f>
        <v>120.666411</v>
      </c>
      <c r="O2463" s="1">
        <f>value(SAR!$B2463)</f>
        <v>3570.575791</v>
      </c>
      <c r="P2463" s="1">
        <f>value(AED!$B2463)</f>
        <v>3684.77284</v>
      </c>
      <c r="Q2463" s="1">
        <f>value(KWD!$B2463)</f>
        <v>44941.79748</v>
      </c>
    </row>
    <row r="2464">
      <c r="A2464" s="4">
        <f>value(USD!A2464)</f>
        <v>42829.99861</v>
      </c>
      <c r="B2464" s="1">
        <f>value(USD!B2464)</f>
        <v>13332</v>
      </c>
      <c r="C2464" s="1">
        <f>value(AUD!$B2464)</f>
        <v>10068.59705</v>
      </c>
      <c r="D2464" s="1">
        <f>value(EUR!$B2464)</f>
        <v>14212.79967</v>
      </c>
      <c r="E2464" s="1">
        <f>value(GBP!$B2464)</f>
        <v>16647.71922</v>
      </c>
      <c r="F2464" s="1">
        <f>value(CHF!$B2464)</f>
        <v>13705.3299</v>
      </c>
      <c r="G2464" s="1">
        <f>value(SGD!$B2464)</f>
        <v>9483.2093</v>
      </c>
      <c r="H2464" s="1">
        <f>value(MYR!$B2464)</f>
        <v>3008.16384</v>
      </c>
      <c r="I2464" s="1">
        <f>value(THB!$B2464)</f>
        <v>386.03523</v>
      </c>
      <c r="J2464" s="1">
        <f>value(VND!$B2464)</f>
        <v>0.6273380849</v>
      </c>
      <c r="K2464" s="1">
        <f>value(CNY!$B2464)</f>
        <v>1953.34824</v>
      </c>
      <c r="L2464" s="1">
        <f>value(HKD!$B2464)</f>
        <v>1713.9232</v>
      </c>
      <c r="M2464" s="1">
        <f>value(TWD!$B2464)</f>
        <v>440.82408</v>
      </c>
      <c r="N2464" s="1">
        <f>value(JPY!$B2464)</f>
        <v>120.363942</v>
      </c>
      <c r="O2464" s="1">
        <f>value(SAR!$B2464)</f>
        <v>3590.858049</v>
      </c>
      <c r="P2464" s="1">
        <f>value(AED!$B2464)</f>
        <v>3676.06512</v>
      </c>
      <c r="Q2464" s="1">
        <f>value(KWD!$B2464)</f>
        <v>45013.59027</v>
      </c>
    </row>
    <row r="2465">
      <c r="A2465" s="4">
        <f>value(USD!A2465)</f>
        <v>42830.99861</v>
      </c>
      <c r="B2465" s="1">
        <f>value(USD!B2465)</f>
        <v>13323</v>
      </c>
      <c r="C2465" s="1">
        <f>value(AUD!$B2465)</f>
        <v>10042.38801</v>
      </c>
      <c r="D2465" s="1">
        <f>value(EUR!$B2465)</f>
        <v>14121.2316</v>
      </c>
      <c r="E2465" s="1">
        <f>value(GBP!$B2465)</f>
        <v>16499.26215</v>
      </c>
      <c r="F2465" s="1">
        <f>value(CHF!$B2465)</f>
        <v>13695.8528</v>
      </c>
      <c r="G2465" s="1">
        <f>value(SGD!$B2465)</f>
        <v>9487.17507</v>
      </c>
      <c r="H2465" s="1">
        <f>value(MYR!$B2465)</f>
        <v>3004.1088</v>
      </c>
      <c r="I2465" s="1">
        <f>value(THB!$B2465)</f>
        <v>384.8481</v>
      </c>
      <c r="J2465" s="1">
        <f>value(VND!$B2465)</f>
        <v>0.6188110039</v>
      </c>
      <c r="K2465" s="1">
        <f>value(CNY!$B2465)</f>
        <v>1954.91088</v>
      </c>
      <c r="L2465" s="1">
        <f>value(HKD!$B2465)</f>
        <v>1710.31175</v>
      </c>
      <c r="M2465" s="1">
        <f>value(TWD!$B2465)</f>
        <v>439.52446</v>
      </c>
      <c r="N2465" s="1">
        <f>value(JPY!$B2465)</f>
        <v>120.015</v>
      </c>
      <c r="O2465" s="1">
        <f>value(SAR!$B2465)</f>
        <v>3612.312345</v>
      </c>
      <c r="P2465" s="1">
        <f>value(AED!$B2465)</f>
        <v>3688.58336</v>
      </c>
      <c r="Q2465" s="1">
        <f>value(KWD!$B2465)</f>
        <v>45013.59027</v>
      </c>
    </row>
    <row r="2466">
      <c r="A2466" s="4">
        <f>value(USD!A2466)</f>
        <v>42831.99861</v>
      </c>
      <c r="B2466" s="1">
        <f>value(USD!B2466)</f>
        <v>13353</v>
      </c>
      <c r="C2466" s="1">
        <f>value(AUD!$B2466)</f>
        <v>10059.78105</v>
      </c>
      <c r="D2466" s="1">
        <f>value(EUR!$B2466)</f>
        <v>14140.88939</v>
      </c>
      <c r="E2466" s="1">
        <f>value(GBP!$B2466)</f>
        <v>16518.01803</v>
      </c>
      <c r="F2466" s="1">
        <f>value(CHF!$B2466)</f>
        <v>13661.64</v>
      </c>
      <c r="G2466" s="1">
        <f>value(SGD!$B2466)</f>
        <v>9505.4175</v>
      </c>
      <c r="H2466" s="1">
        <f>value(MYR!$B2466)</f>
        <v>3007.742566</v>
      </c>
      <c r="I2466" s="1">
        <f>value(THB!$B2466)</f>
        <v>376.1013321</v>
      </c>
      <c r="J2466" s="1">
        <f>value(VND!$B2466)</f>
        <v>0.62663638</v>
      </c>
      <c r="K2466" s="1">
        <f>value(CNY!$B2466)</f>
        <v>1956.38052</v>
      </c>
      <c r="L2466" s="1">
        <f>value(HKD!$B2466)</f>
        <v>1712.799571</v>
      </c>
      <c r="M2466" s="1">
        <f>value(TWD!$B2466)</f>
        <v>439.71606</v>
      </c>
      <c r="N2466" s="1">
        <f>value(JPY!$B2466)</f>
        <v>120.16017</v>
      </c>
      <c r="O2466" s="1">
        <f>value(SAR!$B2466)</f>
        <v>3613.840197</v>
      </c>
      <c r="P2466" s="1">
        <f>value(AED!$B2466)</f>
        <v>3688.71771</v>
      </c>
      <c r="Q2466" s="1">
        <f>value(KWD!$B2466)</f>
        <v>45011.589</v>
      </c>
    </row>
    <row r="2467">
      <c r="A2467" s="4">
        <f>value(USD!A2467)</f>
        <v>42832.99861</v>
      </c>
      <c r="B2467" s="1">
        <f>value(USD!B2467)</f>
        <v>13335</v>
      </c>
      <c r="C2467" s="1">
        <f>value(AUD!$B2467)</f>
        <v>10072.38429</v>
      </c>
      <c r="D2467" s="1">
        <f>value(EUR!$B2467)</f>
        <v>14150.50622</v>
      </c>
      <c r="E2467" s="1">
        <f>value(GBP!$B2467)</f>
        <v>16547.88393</v>
      </c>
      <c r="F2467" s="1">
        <f>value(CHF!$B2467)</f>
        <v>13616.4336</v>
      </c>
      <c r="G2467" s="1">
        <f>value(SGD!$B2467)</f>
        <v>9515.33416</v>
      </c>
      <c r="H2467" s="1">
        <f>value(MYR!$B2467)</f>
        <v>3013.60555</v>
      </c>
      <c r="I2467" s="1">
        <f>value(THB!$B2467)</f>
        <v>385.81105</v>
      </c>
      <c r="J2467" s="1">
        <f>value(VND!$B2467)</f>
        <v>0.6131515273</v>
      </c>
      <c r="K2467" s="1">
        <f>value(CNY!$B2467)</f>
        <v>1964.06689</v>
      </c>
      <c r="L2467" s="1">
        <f>value(HKD!$B2467)</f>
        <v>1711.4678</v>
      </c>
      <c r="M2467" s="1">
        <f>value(TWD!$B2467)</f>
        <v>439.78194</v>
      </c>
      <c r="N2467" s="1">
        <f>value(JPY!$B2467)</f>
        <v>120.196524</v>
      </c>
      <c r="O2467" s="1">
        <f>value(SAR!$B2467)</f>
        <v>3595.835492</v>
      </c>
      <c r="P2467" s="1">
        <f>value(AED!$B2467)</f>
        <v>3685.3172</v>
      </c>
      <c r="Q2467" s="1">
        <f>value(KWD!$B2467)</f>
        <v>44995.01625</v>
      </c>
    </row>
    <row r="2468">
      <c r="A2468" s="4">
        <f>value(USD!A2468)</f>
        <v>42833.99861</v>
      </c>
      <c r="B2468" s="1">
        <f>value(USD!B2468)</f>
        <v>13351.13</v>
      </c>
      <c r="C2468" s="1">
        <f>value(AUD!$B2468)</f>
        <v>10075.89181</v>
      </c>
      <c r="D2468" s="1">
        <f>value(EUR!$B2468)</f>
        <v>14063.14599</v>
      </c>
      <c r="E2468" s="1">
        <f>value(GBP!$B2468)</f>
        <v>16487.22685</v>
      </c>
      <c r="F2468" s="1">
        <f>value(CHF!$B2468)</f>
        <v>13677.1164</v>
      </c>
      <c r="G2468" s="1">
        <f>value(SGD!$B2468)</f>
        <v>9570.9807</v>
      </c>
      <c r="H2468" s="1">
        <f>value(MYR!$B2468)</f>
        <v>2990.61985</v>
      </c>
      <c r="I2468" s="1">
        <f>value(THB!$B2468)</f>
        <v>383.13377</v>
      </c>
      <c r="J2468" s="1">
        <f>value(VND!$B2468)</f>
        <v>0.6225109319</v>
      </c>
      <c r="K2468" s="1">
        <f>value(CNY!$B2468)</f>
        <v>1961.927196</v>
      </c>
      <c r="L2468" s="1">
        <f>value(HKD!$B2468)</f>
        <v>1716.09714</v>
      </c>
      <c r="M2468" s="1">
        <f>value(TWD!$B2468)</f>
        <v>439.78194</v>
      </c>
      <c r="N2468" s="1">
        <f>value(JPY!$B2468)</f>
        <v>119.83713</v>
      </c>
      <c r="O2468" s="1">
        <f>value(SAR!$B2468)</f>
        <v>3591.33858</v>
      </c>
      <c r="P2468" s="1">
        <f>value(AED!$B2468)</f>
        <v>3689.12772</v>
      </c>
      <c r="Q2468" s="1">
        <f>value(KWD!$B2468)</f>
        <v>45000.33139</v>
      </c>
    </row>
    <row r="2469">
      <c r="A2469" s="4">
        <f>value(USD!A2469)</f>
        <v>42834.99861</v>
      </c>
      <c r="B2469" s="1">
        <f>value(USD!B2469)</f>
        <v>13373</v>
      </c>
      <c r="C2469" s="1">
        <f>value(AUD!$B2469)</f>
        <v>10052.0028</v>
      </c>
      <c r="D2469" s="1">
        <f>value(EUR!$B2469)</f>
        <v>14102.14973</v>
      </c>
      <c r="E2469" s="1">
        <f>value(GBP!$B2469)</f>
        <v>16601.7881</v>
      </c>
      <c r="F2469" s="1">
        <f>value(CHF!$B2469)</f>
        <v>13667.805</v>
      </c>
      <c r="G2469" s="1">
        <f>value(SGD!$B2469)</f>
        <v>9619.67806</v>
      </c>
      <c r="H2469" s="1">
        <f>value(MYR!$B2469)</f>
        <v>2996.19013</v>
      </c>
      <c r="I2469" s="1">
        <f>value(THB!$B2469)</f>
        <v>384.77445</v>
      </c>
      <c r="J2469" s="1">
        <f>value(VND!$B2469)</f>
        <v>0.6142307223</v>
      </c>
      <c r="K2469" s="1">
        <f>value(CNY!$B2469)</f>
        <v>1961.72096</v>
      </c>
      <c r="L2469" s="1">
        <f>value(HKD!$B2469)</f>
        <v>1714.92579</v>
      </c>
      <c r="M2469" s="1">
        <f>value(TWD!$B2469)</f>
        <v>440.15258</v>
      </c>
      <c r="N2469" s="1">
        <f>value(JPY!$B2469)</f>
        <v>121.253793</v>
      </c>
      <c r="O2469" s="1">
        <f>value(SAR!$B2469)</f>
        <v>3602.646846</v>
      </c>
      <c r="P2469" s="1">
        <f>value(AED!$B2469)</f>
        <v>3693.07392</v>
      </c>
      <c r="Q2469" s="1">
        <f>value(KWD!$B2469)</f>
        <v>44951.9271</v>
      </c>
    </row>
    <row r="2470">
      <c r="A2470" s="4">
        <f>value(USD!A2470)</f>
        <v>42835.99861</v>
      </c>
      <c r="B2470" s="1">
        <f>value(USD!B2470)</f>
        <v>13271</v>
      </c>
      <c r="C2470" s="1">
        <f>value(AUD!$B2470)</f>
        <v>10100.23802</v>
      </c>
      <c r="D2470" s="1">
        <f>value(EUR!$B2470)</f>
        <v>14166.16069</v>
      </c>
      <c r="E2470" s="1">
        <f>value(GBP!$B2470)</f>
        <v>16660.90899</v>
      </c>
      <c r="F2470" s="1">
        <f>value(CHF!$B2470)</f>
        <v>13645.988</v>
      </c>
      <c r="G2470" s="1">
        <f>value(SGD!$B2470)</f>
        <v>9608.62572</v>
      </c>
      <c r="H2470" s="1">
        <f>value(MYR!$B2470)</f>
        <v>2997.01721</v>
      </c>
      <c r="I2470" s="1">
        <f>value(THB!$B2470)</f>
        <v>386.09516</v>
      </c>
      <c r="J2470" s="1">
        <f>value(VND!$B2470)</f>
        <v>0.6170966003</v>
      </c>
      <c r="K2470" s="1">
        <f>value(CNY!$B2470)</f>
        <v>1965.04256</v>
      </c>
      <c r="L2470" s="1">
        <f>value(HKD!$B2470)</f>
        <v>1708.99456</v>
      </c>
      <c r="M2470" s="1">
        <f>value(TWD!$B2470)</f>
        <v>440.54846</v>
      </c>
      <c r="N2470" s="1">
        <f>value(JPY!$B2470)</f>
        <v>121.896137</v>
      </c>
      <c r="O2470" s="1">
        <f>value(SAR!$B2470)</f>
        <v>3602.370085</v>
      </c>
      <c r="P2470" s="1">
        <f>value(AED!$B2470)</f>
        <v>3693.75232</v>
      </c>
      <c r="Q2470" s="1">
        <f>value(KWD!$B2470)</f>
        <v>44927.52819</v>
      </c>
    </row>
    <row r="2471">
      <c r="A2471" s="4">
        <f>value(USD!A2471)</f>
        <v>42836.99861</v>
      </c>
      <c r="B2471" s="1">
        <f>value(USD!B2471)</f>
        <v>13291</v>
      </c>
      <c r="C2471" s="1">
        <f>value(AUD!$B2471)</f>
        <v>10095.4488</v>
      </c>
      <c r="D2471" s="1">
        <f>value(EUR!$B2471)</f>
        <v>14093.00504</v>
      </c>
      <c r="E2471" s="1">
        <f>value(GBP!$B2471)</f>
        <v>16598.9828</v>
      </c>
      <c r="F2471" s="1">
        <f>value(CHF!$B2471)</f>
        <v>13642.7896</v>
      </c>
      <c r="G2471" s="1">
        <f>value(SGD!$B2471)</f>
        <v>9622.797594</v>
      </c>
      <c r="H2471" s="1">
        <f>value(MYR!$B2471)</f>
        <v>3007.014</v>
      </c>
      <c r="I2471" s="1">
        <f>value(THB!$B2471)</f>
        <v>386.19884</v>
      </c>
      <c r="J2471" s="1">
        <f>value(VND!$B2471)</f>
        <v>0.622284759</v>
      </c>
      <c r="K2471" s="1">
        <f>value(CNY!$B2471)</f>
        <v>1963.39806</v>
      </c>
      <c r="L2471" s="1">
        <f>value(HKD!$B2471)</f>
        <v>1708.3145</v>
      </c>
      <c r="M2471" s="1">
        <f>value(TWD!$B2471)</f>
        <v>439.482</v>
      </c>
      <c r="N2471" s="1">
        <f>value(JPY!$B2471)</f>
        <v>121.647988</v>
      </c>
      <c r="O2471" s="1">
        <f>value(SAR!$B2471)</f>
        <v>3599.295873</v>
      </c>
      <c r="P2471" s="1">
        <f>value(AED!$B2471)</f>
        <v>3696.3402</v>
      </c>
      <c r="Q2471" s="1">
        <f>value(KWD!$B2471)</f>
        <v>44927.52819</v>
      </c>
    </row>
    <row r="2472">
      <c r="A2472" s="4">
        <f>value(USD!A2472)</f>
        <v>42837.99861</v>
      </c>
      <c r="B2472" s="1">
        <f>value(USD!B2472)</f>
        <v>13277</v>
      </c>
      <c r="C2472" s="1">
        <f>value(AUD!$B2472)</f>
        <v>10152.02784</v>
      </c>
      <c r="D2472" s="1">
        <f>value(EUR!$B2472)</f>
        <v>14091.53943</v>
      </c>
      <c r="E2472" s="1">
        <f>value(GBP!$B2472)</f>
        <v>16623.8277</v>
      </c>
      <c r="F2472" s="1">
        <f>value(CHF!$B2472)</f>
        <v>13628.1728</v>
      </c>
      <c r="G2472" s="1">
        <f>value(SGD!$B2472)</f>
        <v>9612.42016</v>
      </c>
      <c r="H2472" s="1">
        <f>value(MYR!$B2472)</f>
        <v>3013.32609</v>
      </c>
      <c r="I2472" s="1">
        <f>value(THB!$B2472)</f>
        <v>377.04759</v>
      </c>
      <c r="J2472" s="1">
        <f>value(VND!$B2472)</f>
        <v>0.6224054417</v>
      </c>
      <c r="K2472" s="1">
        <f>value(CNY!$B2472)</f>
        <v>1964.49463</v>
      </c>
      <c r="L2472" s="1">
        <f>value(HKD!$B2472)</f>
        <v>1709.3409</v>
      </c>
      <c r="M2472" s="1">
        <f>value(TWD!$B2472)</f>
        <v>441.00856</v>
      </c>
      <c r="N2472" s="1">
        <f>value(JPY!$B2472)</f>
        <v>122.1852</v>
      </c>
      <c r="O2472" s="1">
        <f>value(SAR!$B2472)</f>
        <v>3606.898719</v>
      </c>
      <c r="P2472" s="1">
        <f>value(AED!$B2472)</f>
        <v>3694.97925</v>
      </c>
      <c r="Q2472" s="1">
        <f>value(KWD!$B2472)</f>
        <v>44940.79386</v>
      </c>
    </row>
    <row r="2473">
      <c r="A2473" s="4">
        <f>value(USD!A2473)</f>
        <v>42838.99861</v>
      </c>
      <c r="B2473" s="1">
        <f>value(USD!B2473)</f>
        <v>13276</v>
      </c>
      <c r="C2473" s="1">
        <f>value(AUD!$B2473)</f>
        <v>10203.4791</v>
      </c>
      <c r="D2473" s="1">
        <f>value(EUR!$B2473)</f>
        <v>14094.8584</v>
      </c>
      <c r="E2473" s="1">
        <f>value(GBP!$B2473)</f>
        <v>16630.3922</v>
      </c>
      <c r="F2473" s="1">
        <f>value(CHF!$B2473)</f>
        <v>13595.9465</v>
      </c>
      <c r="G2473" s="1">
        <f>value(SGD!$B2473)</f>
        <v>9586.81488</v>
      </c>
      <c r="H2473" s="1">
        <f>value(MYR!$B2473)</f>
        <v>3011.82632</v>
      </c>
      <c r="I2473" s="1">
        <f>value(THB!$B2473)</f>
        <v>377.07598</v>
      </c>
      <c r="J2473" s="1">
        <f>value(VND!$B2473)</f>
        <v>0.6212610583</v>
      </c>
      <c r="K2473" s="1">
        <f>value(CNY!$B2473)</f>
        <v>1967.70249</v>
      </c>
      <c r="L2473" s="1">
        <f>value(HKD!$B2473)</f>
        <v>1706.0597</v>
      </c>
      <c r="M2473" s="1">
        <f>value(TWD!$B2473)</f>
        <v>440.41326</v>
      </c>
      <c r="N2473" s="1">
        <f>value(JPY!$B2473)</f>
        <v>122.1944</v>
      </c>
      <c r="O2473" s="1">
        <f>value(SAR!$B2473)</f>
        <v>3606.995045</v>
      </c>
      <c r="P2473" s="1">
        <f>value(AED!$B2473)</f>
        <v>3694.70633</v>
      </c>
      <c r="Q2473" s="1">
        <f>value(KWD!$B2473)</f>
        <v>44877.7819</v>
      </c>
    </row>
    <row r="2474">
      <c r="A2474" s="4">
        <f>value(USD!A2474)</f>
        <v>42839.99861</v>
      </c>
      <c r="B2474" s="1">
        <f>value(USD!B2474)</f>
        <v>13281</v>
      </c>
      <c r="C2474" s="1">
        <f>value(AUD!$B2474)</f>
        <v>10233.30371</v>
      </c>
      <c r="D2474" s="1">
        <f>value(EUR!$B2474)</f>
        <v>14097.10839</v>
      </c>
      <c r="E2474" s="1">
        <f>value(GBP!$B2474)</f>
        <v>16652.99571</v>
      </c>
      <c r="F2474" s="1">
        <f>value(CHF!$B2474)</f>
        <v>13645.3155</v>
      </c>
      <c r="G2474" s="1">
        <f>value(SGD!$B2474)</f>
        <v>9558.36144</v>
      </c>
      <c r="H2474" s="1">
        <f>value(MYR!$B2474)</f>
        <v>3012.96012</v>
      </c>
      <c r="I2474" s="1">
        <f>value(THB!$B2474)</f>
        <v>386.78457</v>
      </c>
      <c r="J2474" s="1">
        <f>value(VND!$B2474)</f>
        <v>0.6301943964</v>
      </c>
      <c r="K2474" s="1">
        <f>value(CNY!$B2474)</f>
        <v>1969.4626</v>
      </c>
      <c r="L2474" s="1">
        <f>value(HKD!$B2474)</f>
        <v>1704.51434</v>
      </c>
      <c r="M2474" s="1">
        <f>value(TWD!$B2474)</f>
        <v>440.1808</v>
      </c>
      <c r="N2474" s="1">
        <f>value(JPY!$B2474)</f>
        <v>122.63901</v>
      </c>
      <c r="O2474" s="1">
        <f>value(SAR!$B2474)</f>
        <v>3606.417222</v>
      </c>
      <c r="P2474" s="1">
        <f>value(AED!$B2474)</f>
        <v>3691.98326</v>
      </c>
      <c r="Q2474" s="1">
        <f>value(KWD!$B2474)</f>
        <v>44918.7816</v>
      </c>
    </row>
    <row r="2475">
      <c r="A2475" s="4">
        <f>value(USD!A2475)</f>
        <v>42840.99861</v>
      </c>
      <c r="B2475" s="1">
        <f>value(USD!B2475)</f>
        <v>13282</v>
      </c>
      <c r="C2475" s="1">
        <f>value(AUD!$B2475)</f>
        <v>10221.196</v>
      </c>
      <c r="D2475" s="1">
        <f>value(EUR!$B2475)</f>
        <v>14134.03481</v>
      </c>
      <c r="E2475" s="1">
        <f>value(GBP!$B2475)</f>
        <v>16673.51077</v>
      </c>
      <c r="F2475" s="1">
        <f>value(CHF!$B2475)</f>
        <v>13728.7138</v>
      </c>
      <c r="G2475" s="1">
        <f>value(SGD!$B2475)</f>
        <v>9610.42896</v>
      </c>
      <c r="H2475" s="1">
        <f>value(MYR!$B2475)</f>
        <v>3012.87231</v>
      </c>
      <c r="I2475" s="1">
        <f>value(THB!$B2475)</f>
        <v>387.08285</v>
      </c>
      <c r="J2475" s="1">
        <f>value(VND!$B2475)</f>
        <v>0.6254260734</v>
      </c>
      <c r="K2475" s="1">
        <f>value(CNY!$B2475)</f>
        <v>1972.213473</v>
      </c>
      <c r="L2475" s="1">
        <f>value(HKD!$B2475)</f>
        <v>1710.43074</v>
      </c>
      <c r="M2475" s="1">
        <f>value(TWD!$B2475)</f>
        <v>440.1808</v>
      </c>
      <c r="N2475" s="1">
        <f>value(JPY!$B2475)</f>
        <v>121.63564</v>
      </c>
      <c r="O2475" s="1">
        <f>value(SAR!$B2475)</f>
        <v>3603.406372</v>
      </c>
      <c r="P2475" s="1">
        <f>value(AED!$B2475)</f>
        <v>3687.62887</v>
      </c>
      <c r="Q2475" s="1">
        <f>value(KWD!$B2475)</f>
        <v>44949.10856</v>
      </c>
    </row>
    <row r="2476">
      <c r="A2476" s="4">
        <f>value(USD!A2476)</f>
        <v>42841.99861</v>
      </c>
      <c r="B2476" s="1">
        <f>value(USD!B2476)</f>
        <v>13287</v>
      </c>
      <c r="C2476" s="1">
        <f>value(AUD!$B2476)</f>
        <v>10222.8375</v>
      </c>
      <c r="D2476" s="1">
        <f>value(EUR!$B2476)</f>
        <v>14263.68288</v>
      </c>
      <c r="E2476" s="1">
        <f>value(GBP!$B2476)</f>
        <v>17076.58464</v>
      </c>
      <c r="F2476" s="1">
        <f>value(CHF!$B2476)</f>
        <v>13677.3384</v>
      </c>
      <c r="G2476" s="1">
        <f>value(SGD!$B2476)</f>
        <v>9593.93448</v>
      </c>
      <c r="H2476" s="1">
        <f>value(MYR!$B2476)</f>
        <v>3012.2088</v>
      </c>
      <c r="I2476" s="1">
        <f>value(THB!$B2476)</f>
        <v>387.04656</v>
      </c>
      <c r="J2476" s="1">
        <f>value(VND!$B2476)</f>
        <v>0.6246365592</v>
      </c>
      <c r="K2476" s="1">
        <f>value(CNY!$B2476)</f>
        <v>1970.57376</v>
      </c>
      <c r="L2476" s="1">
        <f>value(HKD!$B2476)</f>
        <v>1721.50352</v>
      </c>
      <c r="M2476" s="1">
        <f>value(TWD!$B2476)</f>
        <v>439.81824</v>
      </c>
      <c r="N2476" s="1">
        <f>value(JPY!$B2476)</f>
        <v>122.469456</v>
      </c>
      <c r="O2476" s="1">
        <f>value(SAR!$B2476)</f>
        <v>3584.487682</v>
      </c>
      <c r="P2476" s="1">
        <f>value(AED!$B2476)</f>
        <v>3689.672028</v>
      </c>
      <c r="Q2476" s="1">
        <f>value(KWD!$B2476)</f>
        <v>44949.10856</v>
      </c>
    </row>
    <row r="2477">
      <c r="A2477" s="4">
        <f>value(USD!A2477)</f>
        <v>42842.99861</v>
      </c>
      <c r="B2477" s="1">
        <f>value(USD!B2477)</f>
        <v>13279</v>
      </c>
      <c r="C2477" s="1">
        <f>value(AUD!$B2477)</f>
        <v>10244.04056</v>
      </c>
      <c r="D2477" s="1">
        <f>value(EUR!$B2477)</f>
        <v>14295.95706</v>
      </c>
      <c r="E2477" s="1">
        <f>value(GBP!$B2477)</f>
        <v>17053.55487</v>
      </c>
      <c r="F2477" s="1">
        <f>value(CHF!$B2477)</f>
        <v>13802.8254</v>
      </c>
      <c r="G2477" s="1">
        <f>value(SGD!$B2477)</f>
        <v>9622.52215</v>
      </c>
      <c r="H2477" s="1">
        <f>value(MYR!$B2477)</f>
        <v>3029.79501</v>
      </c>
      <c r="I2477" s="1">
        <f>value(THB!$B2477)</f>
        <v>387.88101</v>
      </c>
      <c r="J2477" s="1">
        <f>value(VND!$B2477)</f>
        <v>0.6231144628</v>
      </c>
      <c r="K2477" s="1">
        <f>value(CNY!$B2477)</f>
        <v>1967.63436</v>
      </c>
      <c r="L2477" s="1">
        <f>value(HKD!$B2477)</f>
        <v>1711.47734</v>
      </c>
      <c r="M2477" s="1">
        <f>value(TWD!$B2477)</f>
        <v>439.59175</v>
      </c>
      <c r="N2477" s="1">
        <f>value(JPY!$B2477)</f>
        <v>122.555455</v>
      </c>
      <c r="O2477" s="1">
        <f>value(SAR!$B2477)</f>
        <v>3601.035577</v>
      </c>
      <c r="P2477" s="1">
        <f>value(AED!$B2477)</f>
        <v>3688.98873</v>
      </c>
      <c r="Q2477" s="1">
        <f>value(KWD!$B2477)</f>
        <v>44846.028</v>
      </c>
    </row>
    <row r="2478">
      <c r="A2478" s="4">
        <f>value(USD!A2478)</f>
        <v>42843.99861</v>
      </c>
      <c r="B2478" s="1">
        <f>value(USD!B2478)</f>
        <v>13296</v>
      </c>
      <c r="C2478" s="1">
        <f>value(AUD!$B2478)</f>
        <v>10162.11365</v>
      </c>
      <c r="D2478" s="1">
        <f>value(EUR!$B2478)</f>
        <v>14267.96697</v>
      </c>
      <c r="E2478" s="1">
        <f>value(GBP!$B2478)</f>
        <v>17046.55902</v>
      </c>
      <c r="F2478" s="1">
        <f>value(CHF!$B2478)</f>
        <v>13818.8648</v>
      </c>
      <c r="G2478" s="1">
        <f>value(SGD!$B2478)</f>
        <v>9614.39952</v>
      </c>
      <c r="H2478" s="1">
        <f>value(MYR!$B2478)</f>
        <v>3025.88874</v>
      </c>
      <c r="I2478" s="1">
        <f>value(THB!$B2478)</f>
        <v>386.72568</v>
      </c>
      <c r="J2478" s="1">
        <f>value(VND!$B2478)</f>
        <v>0.621026249</v>
      </c>
      <c r="K2478" s="1">
        <f>value(CNY!$B2478)</f>
        <v>1962.16951</v>
      </c>
      <c r="L2478" s="1">
        <f>value(HKD!$B2478)</f>
        <v>1712.799571</v>
      </c>
      <c r="M2478" s="1">
        <f>value(TWD!$B2478)</f>
        <v>440.583</v>
      </c>
      <c r="N2478" s="1">
        <f>value(JPY!$B2478)</f>
        <v>121.71738</v>
      </c>
      <c r="O2478" s="1">
        <f>value(SAR!$B2478)</f>
        <v>3597.866576</v>
      </c>
      <c r="P2478" s="1">
        <f>value(AED!$B2478)</f>
        <v>3683.54572</v>
      </c>
      <c r="Q2478" s="1">
        <f>value(KWD!$B2478)</f>
        <v>44769.62365</v>
      </c>
    </row>
    <row r="2479">
      <c r="A2479" s="4">
        <f>value(USD!A2479)</f>
        <v>42844.99861</v>
      </c>
      <c r="B2479" s="1">
        <f>value(USD!B2479)</f>
        <v>13343</v>
      </c>
      <c r="C2479" s="1">
        <f>value(AUD!$B2479)</f>
        <v>10155.07822</v>
      </c>
      <c r="D2479" s="1">
        <f>value(EUR!$B2479)</f>
        <v>14253.80912</v>
      </c>
      <c r="E2479" s="1">
        <f>value(GBP!$B2479)</f>
        <v>17029.7104</v>
      </c>
      <c r="F2479" s="1">
        <f>value(CHF!$B2479)</f>
        <v>13814.8736</v>
      </c>
      <c r="G2479" s="1">
        <f>value(SGD!$B2479)</f>
        <v>9608.68568</v>
      </c>
      <c r="H2479" s="1">
        <f>value(MYR!$B2479)</f>
        <v>3019.54364</v>
      </c>
      <c r="I2479" s="1">
        <f>value(THB!$B2479)</f>
        <v>386.53136</v>
      </c>
      <c r="J2479" s="1">
        <f>value(VND!$B2479)</f>
        <v>0.620328837</v>
      </c>
      <c r="K2479" s="1">
        <f>value(CNY!$B2479)</f>
        <v>1968.50353</v>
      </c>
      <c r="L2479" s="1">
        <f>value(HKD!$B2479)</f>
        <v>1712.24816</v>
      </c>
      <c r="M2479" s="1">
        <f>value(TWD!$B2479)</f>
        <v>440.38899</v>
      </c>
      <c r="N2479" s="1">
        <f>value(JPY!$B2479)</f>
        <v>121.75472</v>
      </c>
      <c r="O2479" s="1">
        <f>value(SAR!$B2479)</f>
        <v>3597.245168</v>
      </c>
      <c r="P2479" s="1">
        <f>value(AED!$B2479)</f>
        <v>3689.12544</v>
      </c>
      <c r="Q2479" s="1">
        <f>value(KWD!$B2479)</f>
        <v>44985.54897</v>
      </c>
    </row>
    <row r="2480">
      <c r="A2480" s="4">
        <f>value(USD!A2480)</f>
        <v>42845.99861</v>
      </c>
      <c r="B2480" s="1">
        <f>value(USD!B2480)</f>
        <v>13317</v>
      </c>
      <c r="C2480" s="1">
        <f>value(AUD!$B2480)</f>
        <v>10143.51102</v>
      </c>
      <c r="D2480" s="1">
        <f>value(EUR!$B2480)</f>
        <v>14265.95493</v>
      </c>
      <c r="E2480" s="1">
        <f>value(GBP!$B2480)</f>
        <v>17039.81083</v>
      </c>
      <c r="F2480" s="1">
        <f>value(CHF!$B2480)</f>
        <v>13762.78196</v>
      </c>
      <c r="G2480" s="1">
        <f>value(SGD!$B2480)</f>
        <v>9597.452</v>
      </c>
      <c r="H2480" s="1">
        <f>value(MYR!$B2480)</f>
        <v>3020.877127</v>
      </c>
      <c r="I2480" s="1">
        <f>value(THB!$B2480)</f>
        <v>386.7020596</v>
      </c>
      <c r="J2480" s="1">
        <f>value(VND!$B2480)</f>
        <v>0.6150266571</v>
      </c>
      <c r="K2480" s="1">
        <f>value(CNY!$B2480)</f>
        <v>1966.86363</v>
      </c>
      <c r="L2480" s="1">
        <f>value(HKD!$B2480)</f>
        <v>1707.60528</v>
      </c>
      <c r="M2480" s="1">
        <f>value(TWD!$B2480)</f>
        <v>441.05346</v>
      </c>
      <c r="N2480" s="1">
        <f>value(JPY!$B2480)</f>
        <v>121.8084892</v>
      </c>
      <c r="O2480" s="1">
        <f>value(SAR!$B2480)</f>
        <v>3602.413058</v>
      </c>
      <c r="P2480" s="1">
        <f>value(AED!$B2480)</f>
        <v>3690.21644</v>
      </c>
      <c r="Q2480" s="1">
        <f>value(KWD!$B2480)</f>
        <v>45012.1244</v>
      </c>
    </row>
    <row r="2481">
      <c r="A2481" s="4">
        <f>value(USD!A2481)</f>
        <v>42846.99861</v>
      </c>
      <c r="B2481" s="1">
        <f>value(USD!B2481)</f>
        <v>13292</v>
      </c>
      <c r="C2481" s="1">
        <f>value(AUD!$B2481)</f>
        <v>10190.61505</v>
      </c>
      <c r="D2481" s="1">
        <f>value(EUR!$B2481)</f>
        <v>14249.0665</v>
      </c>
      <c r="E2481" s="1">
        <f>value(GBP!$B2481)</f>
        <v>16806.6383</v>
      </c>
      <c r="F2481" s="1">
        <f>value(CHF!$B2481)</f>
        <v>13774.7751</v>
      </c>
      <c r="G2481" s="1">
        <f>value(SGD!$B2481)</f>
        <v>9605.52961</v>
      </c>
      <c r="H2481" s="1">
        <f>value(MYR!$B2481)</f>
        <v>2977.456</v>
      </c>
      <c r="I2481" s="1">
        <f>value(THB!$B2481)</f>
        <v>381.6176</v>
      </c>
      <c r="J2481" s="1">
        <f>value(VND!$B2481)</f>
        <v>0.6152395503</v>
      </c>
      <c r="K2481" s="1">
        <f>value(CNY!$B2481)</f>
        <v>1961.67725</v>
      </c>
      <c r="L2481" s="1">
        <f>value(HKD!$B2481)</f>
        <v>1707.07344</v>
      </c>
      <c r="M2481" s="1">
        <f>value(TWD!$B2481)</f>
        <v>442.52097</v>
      </c>
      <c r="N2481" s="1">
        <f>value(JPY!$B2481)</f>
        <v>119.07203</v>
      </c>
      <c r="O2481" s="1">
        <f>value(SAR!$B2481)</f>
        <v>3606.321031</v>
      </c>
      <c r="P2481" s="1">
        <f>value(AED!$B2481)</f>
        <v>3690.21644</v>
      </c>
      <c r="Q2481" s="1">
        <f>value(KWD!$B2481)</f>
        <v>44858.07228</v>
      </c>
    </row>
    <row r="2482">
      <c r="A2482" s="4">
        <f>value(USD!A2482)</f>
        <v>42847.99861</v>
      </c>
      <c r="B2482" s="1">
        <f>value(USD!B2482)</f>
        <v>13297.87</v>
      </c>
      <c r="C2482" s="1">
        <f>value(AUD!$B2482)</f>
        <v>10204.02016</v>
      </c>
      <c r="D2482" s="1">
        <f>value(EUR!$B2482)</f>
        <v>14259.226</v>
      </c>
      <c r="E2482" s="1">
        <f>value(GBP!$B2482)</f>
        <v>16766.82868</v>
      </c>
      <c r="F2482" s="1">
        <f>value(CHF!$B2482)</f>
        <v>13797.5932</v>
      </c>
      <c r="G2482" s="1">
        <f>value(SGD!$B2482)</f>
        <v>9606.11146</v>
      </c>
      <c r="H2482" s="1">
        <f>value(MYR!$B2482)</f>
        <v>2980.72288</v>
      </c>
      <c r="I2482" s="1">
        <f>value(THB!$B2482)</f>
        <v>381.9084</v>
      </c>
      <c r="J2482" s="1">
        <f>value(VND!$B2482)</f>
        <v>0.6124890381</v>
      </c>
      <c r="K2482" s="1">
        <f>value(CNY!$B2482)</f>
        <v>1977.53556</v>
      </c>
      <c r="L2482" s="1">
        <f>value(HKD!$B2482)</f>
        <v>1707.71076</v>
      </c>
      <c r="M2482" s="1">
        <f>value(TWD!$B2482)</f>
        <v>442.58802</v>
      </c>
      <c r="N2482" s="1">
        <f>value(JPY!$B2482)</f>
        <v>119.664632</v>
      </c>
      <c r="O2482" s="1">
        <f>value(SAR!$B2482)</f>
        <v>3601.366753</v>
      </c>
      <c r="P2482" s="1">
        <f>value(AED!$B2482)</f>
        <v>3674.7</v>
      </c>
      <c r="Q2482" s="1">
        <f>value(KWD!$B2482)</f>
        <v>44699.63206</v>
      </c>
    </row>
    <row r="2483">
      <c r="A2483" s="4">
        <f>value(USD!A2483)</f>
        <v>42848.99861</v>
      </c>
      <c r="B2483" s="1">
        <f>value(USD!B2483)</f>
        <v>13105</v>
      </c>
      <c r="C2483" s="1">
        <f>value(AUD!$B2483)</f>
        <v>10195.84544</v>
      </c>
      <c r="D2483" s="1">
        <f>value(EUR!$B2483)</f>
        <v>14537.5184</v>
      </c>
      <c r="E2483" s="1">
        <f>value(GBP!$B2483)</f>
        <v>17069.0793</v>
      </c>
      <c r="F2483" s="1">
        <f>value(CHF!$B2483)</f>
        <v>13710.4002</v>
      </c>
      <c r="G2483" s="1">
        <f>value(SGD!$B2483)</f>
        <v>9583.83712</v>
      </c>
      <c r="H2483" s="1">
        <f>value(MYR!$B2483)</f>
        <v>3041.33186</v>
      </c>
      <c r="I2483" s="1">
        <f>value(THB!$B2483)</f>
        <v>386.31912</v>
      </c>
      <c r="J2483" s="1">
        <f>value(VND!$B2483)</f>
        <v>0.6095472232</v>
      </c>
      <c r="K2483" s="1">
        <f>value(CNY!$B2483)</f>
        <v>1967.64491</v>
      </c>
      <c r="L2483" s="1">
        <f>value(HKD!$B2483)</f>
        <v>1707.17868</v>
      </c>
      <c r="M2483" s="1">
        <f>value(TWD!$B2483)</f>
        <v>440.86142</v>
      </c>
      <c r="N2483" s="1">
        <f>value(JPY!$B2483)</f>
        <v>119.766909</v>
      </c>
      <c r="O2483" s="1">
        <f>value(SAR!$B2483)</f>
        <v>3609.560658</v>
      </c>
      <c r="P2483" s="1">
        <f>value(AED!$B2483)</f>
        <v>3668.4394</v>
      </c>
      <c r="Q2483" s="1">
        <f>value(KWD!$B2483)</f>
        <v>44560.6994</v>
      </c>
    </row>
    <row r="2484">
      <c r="A2484" s="4">
        <f>value(USD!A2484)</f>
        <v>42849.99861</v>
      </c>
      <c r="B2484" s="1">
        <f>value(USD!B2484)</f>
        <v>13124</v>
      </c>
      <c r="C2484" s="1">
        <f>value(AUD!$B2484)</f>
        <v>10181.97564</v>
      </c>
      <c r="D2484" s="1">
        <f>value(EUR!$B2484)</f>
        <v>14465.49663</v>
      </c>
      <c r="E2484" s="1">
        <f>value(GBP!$B2484)</f>
        <v>17034.55016</v>
      </c>
      <c r="F2484" s="1">
        <f>value(CHF!$B2484)</f>
        <v>13708.9324</v>
      </c>
      <c r="G2484" s="1">
        <f>value(SGD!$B2484)</f>
        <v>9622.78408</v>
      </c>
      <c r="H2484" s="1">
        <f>value(MYR!$B2484)</f>
        <v>3048.57129</v>
      </c>
      <c r="I2484" s="1">
        <f>value(THB!$B2484)</f>
        <v>384.70161</v>
      </c>
      <c r="J2484" s="1">
        <f>value(VND!$B2484)</f>
        <v>0.6072401291</v>
      </c>
      <c r="K2484" s="1">
        <f>value(CNY!$B2484)</f>
        <v>1971.62244</v>
      </c>
      <c r="L2484" s="1">
        <f>value(HKD!$B2484)</f>
        <v>1705.7485</v>
      </c>
      <c r="M2484" s="1">
        <f>value(TWD!$B2484)</f>
        <v>441.3223</v>
      </c>
      <c r="N2484" s="1">
        <f>value(JPY!$B2484)</f>
        <v>119.2495425</v>
      </c>
      <c r="O2484" s="1">
        <f>value(SAR!$B2484)</f>
        <v>3609.560658</v>
      </c>
      <c r="P2484" s="1">
        <f>value(AED!$B2484)</f>
        <v>3686.53866</v>
      </c>
      <c r="Q2484" s="1">
        <f>value(KWD!$B2484)</f>
        <v>44575.54885</v>
      </c>
    </row>
    <row r="2485">
      <c r="A2485" s="4">
        <f>value(USD!A2485)</f>
        <v>42850.99861</v>
      </c>
      <c r="B2485" s="1">
        <f>value(USD!B2485)</f>
        <v>13303</v>
      </c>
      <c r="C2485" s="1">
        <f>value(AUD!$B2485)</f>
        <v>10196.36667</v>
      </c>
      <c r="D2485" s="1">
        <f>value(EUR!$B2485)</f>
        <v>14503.99236</v>
      </c>
      <c r="E2485" s="1">
        <f>value(GBP!$B2485)</f>
        <v>17213.04377</v>
      </c>
      <c r="F2485" s="1">
        <f>value(CHF!$B2485)</f>
        <v>13698.0234</v>
      </c>
      <c r="G2485" s="1">
        <f>value(SGD!$B2485)</f>
        <v>9622.38408</v>
      </c>
      <c r="H2485" s="1">
        <f>value(MYR!$B2485)</f>
        <v>3069.26139</v>
      </c>
      <c r="I2485" s="1">
        <f>value(THB!$B2485)</f>
        <v>385.8439</v>
      </c>
      <c r="J2485" s="1">
        <f>value(VND!$B2485)</f>
        <v>0.61382194</v>
      </c>
      <c r="K2485" s="1">
        <f>value(CNY!$B2485)</f>
        <v>1970.92981</v>
      </c>
      <c r="L2485" s="1">
        <f>value(HKD!$B2485)</f>
        <v>1704.98328</v>
      </c>
      <c r="M2485" s="1">
        <f>value(TWD!$B2485)</f>
        <v>442.0221</v>
      </c>
      <c r="N2485" s="1">
        <f>value(JPY!$B2485)</f>
        <v>119.998788</v>
      </c>
      <c r="O2485" s="1">
        <f>value(SAR!$B2485)</f>
        <v>3604.362675</v>
      </c>
      <c r="P2485" s="1">
        <f>value(AED!$B2485)</f>
        <v>3688.31</v>
      </c>
      <c r="Q2485" s="1">
        <f>value(KWD!$B2485)</f>
        <v>44628.72973</v>
      </c>
    </row>
    <row r="2486">
      <c r="A2486" s="4">
        <f>value(USD!A2486)</f>
        <v>42851.99861</v>
      </c>
      <c r="B2486" s="1">
        <f>value(USD!B2486)</f>
        <v>13261</v>
      </c>
      <c r="C2486" s="1">
        <f>value(AUD!$B2486)</f>
        <v>10260.77955</v>
      </c>
      <c r="D2486" s="1">
        <f>value(EUR!$B2486)</f>
        <v>14537.48736</v>
      </c>
      <c r="E2486" s="1">
        <f>value(GBP!$B2486)</f>
        <v>17277.8112</v>
      </c>
      <c r="F2486" s="1">
        <f>value(CHF!$B2486)</f>
        <v>13716.4515</v>
      </c>
      <c r="G2486" s="1">
        <f>value(SGD!$B2486)</f>
        <v>9627.70568</v>
      </c>
      <c r="H2486" s="1">
        <f>value(MYR!$B2486)</f>
        <v>3071.52192</v>
      </c>
      <c r="I2486" s="1">
        <f>value(THB!$B2486)</f>
        <v>385.50816</v>
      </c>
      <c r="J2486" s="1">
        <f>value(VND!$B2486)</f>
        <v>0.6151251506</v>
      </c>
      <c r="K2486" s="1">
        <f>value(CNY!$B2486)</f>
        <v>1967.91279</v>
      </c>
      <c r="L2486" s="1">
        <f>value(HKD!$B2486)</f>
        <v>1705.11616</v>
      </c>
      <c r="M2486" s="1">
        <f>value(TWD!$B2486)</f>
        <v>440.9251</v>
      </c>
      <c r="N2486" s="1">
        <f>value(JPY!$B2486)</f>
        <v>119.69568</v>
      </c>
      <c r="O2486" s="1">
        <f>value(SAR!$B2486)</f>
        <v>3613.187334</v>
      </c>
      <c r="P2486" s="1">
        <f>value(AED!$B2486)</f>
        <v>3673.20632</v>
      </c>
      <c r="Q2486" s="1">
        <f>value(KWD!$B2486)</f>
        <v>44615.38329</v>
      </c>
    </row>
    <row r="2487">
      <c r="A2487" s="4">
        <f>value(USD!A2487)</f>
        <v>42852.99861</v>
      </c>
      <c r="B2487" s="1">
        <f>value(USD!B2487)</f>
        <v>13351</v>
      </c>
      <c r="C2487" s="1">
        <f>value(AUD!$B2487)</f>
        <v>10325.40036</v>
      </c>
      <c r="D2487" s="1">
        <f>value(EUR!$B2487)</f>
        <v>14549.56748</v>
      </c>
      <c r="E2487" s="1">
        <f>value(GBP!$B2487)</f>
        <v>17287.04312</v>
      </c>
      <c r="F2487" s="1">
        <f>value(CHF!$B2487)</f>
        <v>13737.3852</v>
      </c>
      <c r="G2487" s="1">
        <f>value(SGD!$B2487)</f>
        <v>9612.11012</v>
      </c>
      <c r="H2487" s="1">
        <f>value(MYR!$B2487)</f>
        <v>3073.163103</v>
      </c>
      <c r="I2487" s="1">
        <f>value(THB!$B2487)</f>
        <v>376.6353773</v>
      </c>
      <c r="J2487" s="1">
        <f>value(VND!$B2487)</f>
        <v>0.6084801039</v>
      </c>
      <c r="K2487" s="1">
        <f>value(CNY!$B2487)</f>
        <v>1978.83455</v>
      </c>
      <c r="L2487" s="1">
        <f>value(HKD!$B2487)</f>
        <v>1708.18135</v>
      </c>
      <c r="M2487" s="1">
        <f>value(TWD!$B2487)</f>
        <v>442.12228</v>
      </c>
      <c r="N2487" s="1">
        <f>value(JPY!$B2487)</f>
        <v>119.6261248</v>
      </c>
      <c r="O2487" s="1">
        <f>value(SAR!$B2487)</f>
        <v>3610.421387</v>
      </c>
      <c r="P2487" s="1">
        <f>value(AED!$B2487)</f>
        <v>3666.663</v>
      </c>
      <c r="Q2487" s="1">
        <f>value(KWD!$B2487)</f>
        <v>44619.41567</v>
      </c>
    </row>
    <row r="2488">
      <c r="A2488" s="4">
        <f>value(USD!A2488)</f>
        <v>42853.99861</v>
      </c>
      <c r="B2488" s="1">
        <f>value(USD!B2488)</f>
        <v>13344</v>
      </c>
      <c r="C2488" s="1">
        <f>value(AUD!$B2488)</f>
        <v>10412.644</v>
      </c>
      <c r="D2488" s="1">
        <f>value(EUR!$B2488)</f>
        <v>14529.37286</v>
      </c>
      <c r="E2488" s="1">
        <f>value(GBP!$B2488)</f>
        <v>17226.0121</v>
      </c>
      <c r="F2488" s="1">
        <f>value(CHF!$B2488)</f>
        <v>13707.024</v>
      </c>
      <c r="G2488" s="1">
        <f>value(SGD!$B2488)</f>
        <v>9608.26694</v>
      </c>
      <c r="H2488" s="1">
        <f>value(MYR!$B2488)</f>
        <v>3066.45796</v>
      </c>
      <c r="I2488" s="1">
        <f>value(THB!$B2488)</f>
        <v>384.07326</v>
      </c>
      <c r="J2488" s="1">
        <f>value(VND!$B2488)</f>
        <v>0.606933488</v>
      </c>
      <c r="K2488" s="1">
        <f>value(CNY!$B2488)</f>
        <v>1979.11632</v>
      </c>
      <c r="L2488" s="1">
        <f>value(HKD!$B2488)</f>
        <v>1708.96089</v>
      </c>
      <c r="M2488" s="1">
        <f>value(TWD!$B2488)</f>
        <v>442.32195</v>
      </c>
      <c r="N2488" s="1">
        <f>value(JPY!$B2488)</f>
        <v>119.6835158</v>
      </c>
      <c r="O2488" s="1">
        <f>value(SAR!$B2488)</f>
        <v>3623.644875</v>
      </c>
      <c r="P2488" s="1">
        <f>value(AED!$B2488)</f>
        <v>3651.2947</v>
      </c>
      <c r="Q2488" s="1">
        <f>value(KWD!$B2488)</f>
        <v>44635.19538</v>
      </c>
    </row>
    <row r="2489">
      <c r="A2489" s="4">
        <f>value(USD!A2489)</f>
        <v>42854.99861</v>
      </c>
      <c r="B2489" s="1">
        <f>value(USD!B2489)</f>
        <v>13351.13</v>
      </c>
      <c r="C2489" s="1">
        <f>value(AUD!$B2489)</f>
        <v>10431.75672</v>
      </c>
      <c r="D2489" s="1">
        <f>value(EUR!$B2489)</f>
        <v>14535.1765</v>
      </c>
      <c r="E2489" s="1">
        <f>value(GBP!$B2489)</f>
        <v>17182.5875</v>
      </c>
      <c r="F2489" s="1">
        <f>value(CHF!$B2489)</f>
        <v>13677.937</v>
      </c>
      <c r="G2489" s="1">
        <f>value(SGD!$B2489)</f>
        <v>9627.9616</v>
      </c>
      <c r="H2489" s="1">
        <f>value(MYR!$B2489)</f>
        <v>3066.74875</v>
      </c>
      <c r="I2489" s="1">
        <f>value(THB!$B2489)</f>
        <v>384.826</v>
      </c>
      <c r="J2489" s="1">
        <f>value(VND!$B2489)</f>
        <v>0.6089076265</v>
      </c>
      <c r="K2489" s="1">
        <f>value(CNY!$B2489)</f>
        <v>1973.43405</v>
      </c>
      <c r="L2489" s="1">
        <f>value(HKD!$B2489)</f>
        <v>1706.01902</v>
      </c>
      <c r="M2489" s="1">
        <f>value(TWD!$B2489)</f>
        <v>442.05596</v>
      </c>
      <c r="N2489" s="1">
        <f>value(JPY!$B2489)</f>
        <v>119.138825</v>
      </c>
      <c r="O2489" s="1">
        <f>value(SAR!$B2489)</f>
        <v>3642.698735</v>
      </c>
      <c r="P2489" s="1">
        <f>value(AED!$B2489)</f>
        <v>3650.20598</v>
      </c>
      <c r="Q2489" s="1">
        <f>value(KWD!$B2489)</f>
        <v>44461.03674</v>
      </c>
    </row>
    <row r="2490">
      <c r="A2490" s="4">
        <f>value(USD!A2490)</f>
        <v>42855.99861</v>
      </c>
      <c r="B2490" s="1">
        <f>value(USD!B2490)</f>
        <v>13322</v>
      </c>
      <c r="C2490" s="1">
        <f>value(AUD!$B2490)</f>
        <v>10377.19221</v>
      </c>
      <c r="D2490" s="1">
        <f>value(EUR!$B2490)</f>
        <v>14536.753</v>
      </c>
      <c r="E2490" s="1">
        <f>value(GBP!$B2490)</f>
        <v>17204.2618</v>
      </c>
      <c r="F2490" s="1">
        <f>value(CHF!$B2490)</f>
        <v>13630.3382</v>
      </c>
      <c r="G2490" s="1">
        <f>value(SGD!$B2490)</f>
        <v>9608.97798</v>
      </c>
      <c r="H2490" s="1">
        <f>value(MYR!$B2490)</f>
        <v>3070.0814</v>
      </c>
      <c r="I2490" s="1">
        <f>value(THB!$B2490)</f>
        <v>385.555</v>
      </c>
      <c r="J2490" s="1">
        <f>value(VND!$B2490)</f>
        <v>0.6122242683</v>
      </c>
      <c r="K2490" s="1">
        <f>value(CNY!$B2490)</f>
        <v>1972.23276</v>
      </c>
      <c r="L2490" s="1">
        <f>value(HKD!$B2490)</f>
        <v>1705.24904</v>
      </c>
      <c r="M2490" s="1">
        <f>value(TWD!$B2490)</f>
        <v>443.58666</v>
      </c>
      <c r="N2490" s="1">
        <f>value(JPY!$B2490)</f>
        <v>118.711055</v>
      </c>
      <c r="O2490" s="1">
        <f>value(SAR!$B2490)</f>
        <v>3628.136613</v>
      </c>
      <c r="P2490" s="1">
        <f>value(AED!$B2490)</f>
        <v>3655.23221</v>
      </c>
      <c r="Q2490" s="1">
        <f>value(KWD!$B2490)</f>
        <v>44299.57608</v>
      </c>
    </row>
    <row r="2491">
      <c r="A2491" s="4">
        <f>value(USD!A2491)</f>
        <v>42856.99861</v>
      </c>
      <c r="B2491" s="1">
        <f>value(USD!B2491)</f>
        <v>13325</v>
      </c>
      <c r="C2491" s="1">
        <f>value(AUD!$B2491)</f>
        <v>10531.72548</v>
      </c>
      <c r="D2491" s="1">
        <f>value(EUR!$B2491)</f>
        <v>14485.66128</v>
      </c>
      <c r="E2491" s="1">
        <f>value(GBP!$B2491)</f>
        <v>17123.97752</v>
      </c>
      <c r="F2491" s="1">
        <f>value(CHF!$B2491)</f>
        <v>13644.843</v>
      </c>
      <c r="G2491" s="1">
        <f>value(SGD!$B2491)</f>
        <v>9595.9869</v>
      </c>
      <c r="H2491" s="1">
        <f>value(MYR!$B2491)</f>
        <v>3077.8804</v>
      </c>
      <c r="I2491" s="1">
        <f>value(THB!$B2491)</f>
        <v>384.75168</v>
      </c>
      <c r="J2491" s="1">
        <f>value(VND!$B2491)</f>
        <v>0.6235804257</v>
      </c>
      <c r="K2491" s="1">
        <f>value(CNY!$B2491)</f>
        <v>1974.14336</v>
      </c>
      <c r="L2491" s="1">
        <f>value(HKD!$B2491)</f>
        <v>1705.52382</v>
      </c>
      <c r="M2491" s="1">
        <f>value(TWD!$B2491)</f>
        <v>443.32225</v>
      </c>
      <c r="N2491" s="1">
        <f>value(JPY!$B2491)</f>
        <v>117.93996</v>
      </c>
      <c r="O2491" s="1">
        <f>value(SAR!$B2491)</f>
        <v>3623.659797</v>
      </c>
      <c r="P2491" s="1">
        <f>value(AED!$B2491)</f>
        <v>3654.56086</v>
      </c>
      <c r="Q2491" s="1">
        <f>value(KWD!$B2491)</f>
        <v>44216.43123</v>
      </c>
    </row>
    <row r="2492">
      <c r="A2492" s="4">
        <f>value(USD!A2492)</f>
        <v>42857.99861</v>
      </c>
      <c r="B2492" s="1">
        <f>value(USD!B2492)</f>
        <v>13295</v>
      </c>
      <c r="C2492" s="1">
        <f>value(AUD!$B2492)</f>
        <v>10593.29855</v>
      </c>
      <c r="D2492" s="1">
        <f>value(EUR!$B2492)</f>
        <v>14648.1204</v>
      </c>
      <c r="E2492" s="1">
        <f>value(GBP!$B2492)</f>
        <v>17241.4164</v>
      </c>
      <c r="F2492" s="1">
        <f>value(CHF!$B2492)</f>
        <v>13644.1184</v>
      </c>
      <c r="G2492" s="1">
        <f>value(SGD!$B2492)</f>
        <v>9589.14762</v>
      </c>
      <c r="H2492" s="1">
        <f>value(MYR!$B2492)</f>
        <v>3079.8058</v>
      </c>
      <c r="I2492" s="1">
        <f>value(THB!$B2492)</f>
        <v>385.1258</v>
      </c>
      <c r="J2492" s="1">
        <f>value(VND!$B2492)</f>
        <v>0.6111806042</v>
      </c>
      <c r="K2492" s="1">
        <f>value(CNY!$B2492)</f>
        <v>1973.09187</v>
      </c>
      <c r="L2492" s="1">
        <f>value(HKD!$B2492)</f>
        <v>1707.96752</v>
      </c>
      <c r="M2492" s="1">
        <f>value(TWD!$B2492)</f>
        <v>443.12158</v>
      </c>
      <c r="N2492" s="1">
        <f>value(JPY!$B2492)</f>
        <v>118.49922</v>
      </c>
      <c r="O2492" s="1">
        <f>value(SAR!$B2492)</f>
        <v>3623.598439</v>
      </c>
      <c r="P2492" s="1">
        <f>value(AED!$B2492)</f>
        <v>3655.3774</v>
      </c>
      <c r="Q2492" s="1">
        <f>value(KWD!$B2492)</f>
        <v>44216.43123</v>
      </c>
    </row>
    <row r="2493">
      <c r="A2493" s="4">
        <f>value(USD!A2493)</f>
        <v>42858.99861</v>
      </c>
      <c r="B2493" s="1">
        <f>value(USD!B2493)</f>
        <v>13304</v>
      </c>
      <c r="C2493" s="1">
        <f>value(AUD!$B2493)</f>
        <v>10572.42622</v>
      </c>
      <c r="D2493" s="1">
        <f>value(EUR!$B2493)</f>
        <v>14645.4348</v>
      </c>
      <c r="E2493" s="1">
        <f>value(GBP!$B2493)</f>
        <v>17281.5385</v>
      </c>
      <c r="F2493" s="1">
        <f>value(CHF!$B2493)</f>
        <v>13644.7729</v>
      </c>
      <c r="G2493" s="1">
        <f>value(SGD!$B2493)</f>
        <v>9599.2559</v>
      </c>
      <c r="H2493" s="1">
        <f>value(MYR!$B2493)</f>
        <v>3067.90915</v>
      </c>
      <c r="I2493" s="1">
        <f>value(THB!$B2493)</f>
        <v>384.0046</v>
      </c>
      <c r="J2493" s="1">
        <f>value(VND!$B2493)</f>
        <v>0.6112342773</v>
      </c>
      <c r="K2493" s="1">
        <f>value(CNY!$B2493)</f>
        <v>1974.55374</v>
      </c>
      <c r="L2493" s="1">
        <f>value(HKD!$B2493)</f>
        <v>1707.83448</v>
      </c>
      <c r="M2493" s="1">
        <f>value(TWD!$B2493)</f>
        <v>441.99214</v>
      </c>
      <c r="N2493" s="1">
        <f>value(JPY!$B2493)</f>
        <v>118.10405</v>
      </c>
      <c r="O2493" s="1">
        <f>value(SAR!$B2493)</f>
        <v>3618.356051</v>
      </c>
      <c r="P2493" s="1">
        <f>value(AED!$B2493)</f>
        <v>3658.37138</v>
      </c>
      <c r="Q2493" s="1">
        <f>value(KWD!$B2493)</f>
        <v>44323.39887</v>
      </c>
    </row>
    <row r="2494">
      <c r="A2494" s="4">
        <f>value(USD!A2494)</f>
        <v>42859.99861</v>
      </c>
      <c r="B2494" s="1">
        <f>value(USD!B2494)</f>
        <v>13340</v>
      </c>
      <c r="C2494" s="1">
        <f>value(AUD!$B2494)</f>
        <v>10541.17372</v>
      </c>
      <c r="D2494" s="1">
        <f>value(EUR!$B2494)</f>
        <v>14666.343</v>
      </c>
      <c r="E2494" s="1">
        <f>value(GBP!$B2494)</f>
        <v>17311.95567</v>
      </c>
      <c r="F2494" s="1">
        <f>value(CHF!$B2494)</f>
        <v>13610.1784</v>
      </c>
      <c r="G2494" s="1">
        <f>value(SGD!$B2494)</f>
        <v>9615.63708</v>
      </c>
      <c r="H2494" s="1">
        <f>value(MYR!$B2494)</f>
        <v>3072.132565</v>
      </c>
      <c r="I2494" s="1">
        <f>value(THB!$B2494)</f>
        <v>384.5332372</v>
      </c>
      <c r="J2494" s="1">
        <f>value(VND!$B2494)</f>
        <v>0.611261107</v>
      </c>
      <c r="K2494" s="1">
        <f>value(CNY!$B2494)</f>
        <v>1978.78065</v>
      </c>
      <c r="L2494" s="1">
        <f>value(HKD!$B2494)</f>
        <v>1704.47456</v>
      </c>
      <c r="M2494" s="1">
        <f>value(TWD!$B2494)</f>
        <v>439.85601</v>
      </c>
      <c r="N2494" s="1">
        <f>value(JPY!$B2494)</f>
        <v>118.2666371</v>
      </c>
      <c r="O2494" s="1">
        <f>value(SAR!$B2494)</f>
        <v>3617.799329</v>
      </c>
      <c r="P2494" s="1">
        <f>value(AED!$B2494)</f>
        <v>3645.30674</v>
      </c>
      <c r="Q2494" s="1">
        <f>value(KWD!$B2494)</f>
        <v>44341.49986</v>
      </c>
    </row>
    <row r="2495">
      <c r="A2495" s="4">
        <f>value(USD!A2495)</f>
        <v>42860.99861</v>
      </c>
      <c r="B2495" s="1">
        <f>value(USD!B2495)</f>
        <v>13315</v>
      </c>
      <c r="C2495" s="1">
        <f>value(AUD!$B2495)</f>
        <v>10543.0308</v>
      </c>
      <c r="D2495" s="1">
        <f>value(EUR!$B2495)</f>
        <v>14619.32967</v>
      </c>
      <c r="E2495" s="1">
        <f>value(GBP!$B2495)</f>
        <v>17286.12901</v>
      </c>
      <c r="F2495" s="1">
        <f>value(CHF!$B2495)</f>
        <v>13635.2369</v>
      </c>
      <c r="G2495" s="1">
        <f>value(SGD!$B2495)</f>
        <v>9609.12854</v>
      </c>
      <c r="H2495" s="1">
        <f>value(MYR!$B2495)</f>
        <v>3072.132565</v>
      </c>
      <c r="I2495" s="1">
        <f>value(THB!$B2495)</f>
        <v>383.4665708</v>
      </c>
      <c r="J2495" s="1">
        <f>value(VND!$B2495)</f>
        <v>0.619957844</v>
      </c>
      <c r="K2495" s="1">
        <f>value(CNY!$B2495)</f>
        <v>1976.8212</v>
      </c>
      <c r="L2495" s="1">
        <f>value(HKD!$B2495)</f>
        <v>1701.26229</v>
      </c>
      <c r="M2495" s="1">
        <f>value(TWD!$B2495)</f>
        <v>439.52545</v>
      </c>
      <c r="N2495" s="1">
        <f>value(JPY!$B2495)</f>
        <v>118.3159704</v>
      </c>
      <c r="O2495" s="1">
        <f>value(SAR!$B2495)</f>
        <v>3615.322945</v>
      </c>
      <c r="P2495" s="1">
        <f>value(AED!$B2495)</f>
        <v>3625.4376</v>
      </c>
      <c r="Q2495" s="1">
        <f>value(KWD!$B2495)</f>
        <v>44441.47318</v>
      </c>
    </row>
    <row r="2496">
      <c r="A2496" s="4">
        <f>value(USD!A2496)</f>
        <v>42861.99861</v>
      </c>
      <c r="B2496" s="1">
        <f>value(USD!B2496)</f>
        <v>13333.33</v>
      </c>
      <c r="C2496" s="1">
        <f>value(AUD!$B2496)</f>
        <v>10511.84925</v>
      </c>
      <c r="D2496" s="1">
        <f>value(EUR!$B2496)</f>
        <v>14556.73648</v>
      </c>
      <c r="E2496" s="1">
        <f>value(GBP!$B2496)</f>
        <v>17242.05544</v>
      </c>
      <c r="F2496" s="1">
        <f>value(CHF!$B2496)</f>
        <v>13673.428</v>
      </c>
      <c r="G2496" s="1">
        <f>value(SGD!$B2496)</f>
        <v>9658.922</v>
      </c>
      <c r="H2496" s="1">
        <f>value(MYR!$B2496)</f>
        <v>3069.98284</v>
      </c>
      <c r="I2496" s="1">
        <f>value(THB!$B2496)</f>
        <v>384.26416</v>
      </c>
      <c r="J2496" s="1">
        <f>value(VND!$B2496)</f>
        <v>0.6176111627</v>
      </c>
      <c r="K2496" s="1">
        <f>value(CNY!$B2496)</f>
        <v>1976.4216</v>
      </c>
      <c r="L2496" s="1">
        <f>value(HKD!$B2496)</f>
        <v>1708.0579</v>
      </c>
      <c r="M2496" s="1">
        <f>value(TWD!$B2496)</f>
        <v>439.59207</v>
      </c>
      <c r="N2496" s="1">
        <f>value(JPY!$B2496)</f>
        <v>117.65092</v>
      </c>
      <c r="O2496" s="1">
        <f>value(SAR!$B2496)</f>
        <v>3598.024714</v>
      </c>
      <c r="P2496" s="1">
        <f>value(AED!$B2496)</f>
        <v>3618.6331</v>
      </c>
      <c r="Q2496" s="1">
        <f>value(KWD!$B2496)</f>
        <v>44422.9677</v>
      </c>
    </row>
    <row r="2497">
      <c r="A2497" s="4">
        <f>value(USD!A2497)</f>
        <v>42862.99861</v>
      </c>
      <c r="B2497" s="1">
        <f>value(USD!B2497)</f>
        <v>13333.33</v>
      </c>
      <c r="C2497" s="1">
        <f>value(AUD!$B2497)</f>
        <v>10551.5984</v>
      </c>
      <c r="D2497" s="1">
        <f>value(EUR!$B2497)</f>
        <v>14542.6074</v>
      </c>
      <c r="E2497" s="1">
        <f>value(GBP!$B2497)</f>
        <v>17296.96602</v>
      </c>
      <c r="F2497" s="1">
        <f>value(CHF!$B2497)</f>
        <v>13726.5549</v>
      </c>
      <c r="G2497" s="1">
        <f>value(SGD!$B2497)</f>
        <v>9607.17498</v>
      </c>
      <c r="H2497" s="1">
        <f>value(MYR!$B2497)</f>
        <v>3071.76846</v>
      </c>
      <c r="I2497" s="1">
        <f>value(THB!$B2497)</f>
        <v>384.20484</v>
      </c>
      <c r="J2497" s="1">
        <f>value(VND!$B2497)</f>
        <v>0.6106311051</v>
      </c>
      <c r="K2497" s="1">
        <f>value(CNY!$B2497)</f>
        <v>1979.85388</v>
      </c>
      <c r="L2497" s="1">
        <f>value(HKD!$B2497)</f>
        <v>1704.69432</v>
      </c>
      <c r="M2497" s="1">
        <f>value(TWD!$B2497)</f>
        <v>438.62904</v>
      </c>
      <c r="N2497" s="1">
        <f>value(JPY!$B2497)</f>
        <v>117.4817178</v>
      </c>
      <c r="O2497" s="1">
        <f>value(SAR!$B2497)</f>
        <v>3598.024714</v>
      </c>
      <c r="P2497" s="1">
        <f>value(AED!$B2497)</f>
        <v>3619.29785</v>
      </c>
      <c r="Q2497" s="1">
        <f>value(KWD!$B2497)</f>
        <v>44401.0911</v>
      </c>
    </row>
    <row r="2498">
      <c r="A2498" s="4">
        <f>value(USD!A2498)</f>
        <v>42863.99861</v>
      </c>
      <c r="B2498" s="1">
        <f>value(USD!B2498)</f>
        <v>13324</v>
      </c>
      <c r="C2498" s="1">
        <f>value(AUD!$B2498)</f>
        <v>10572.70256</v>
      </c>
      <c r="D2498" s="1">
        <f>value(EUR!$B2498)</f>
        <v>14510.7051</v>
      </c>
      <c r="E2498" s="1">
        <f>value(GBP!$B2498)</f>
        <v>17264.0937</v>
      </c>
      <c r="F2498" s="1">
        <f>value(CHF!$B2498)</f>
        <v>13728.2335</v>
      </c>
      <c r="G2498" s="1">
        <f>value(SGD!$B2498)</f>
        <v>9603.7527</v>
      </c>
      <c r="H2498" s="1">
        <f>value(MYR!$B2498)</f>
        <v>3073.19295</v>
      </c>
      <c r="I2498" s="1">
        <f>value(THB!$B2498)</f>
        <v>383.76522</v>
      </c>
      <c r="J2498" s="1">
        <f>value(VND!$B2498)</f>
        <v>0.610162805</v>
      </c>
      <c r="K2498" s="1">
        <f>value(CNY!$B2498)</f>
        <v>1983.16764</v>
      </c>
      <c r="L2498" s="1">
        <f>value(HKD!$B2498)</f>
        <v>1704.18136</v>
      </c>
      <c r="M2498" s="1">
        <f>value(TWD!$B2498)</f>
        <v>439.69432</v>
      </c>
      <c r="N2498" s="1">
        <f>value(JPY!$B2498)</f>
        <v>116.771985</v>
      </c>
      <c r="O2498" s="1">
        <f>value(SAR!$B2498)</f>
        <v>3596.968691</v>
      </c>
      <c r="P2498" s="1">
        <f>value(AED!$B2498)</f>
        <v>3621.3549</v>
      </c>
      <c r="Q2498" s="1">
        <f>value(KWD!$B2498)</f>
        <v>44462.21555</v>
      </c>
    </row>
    <row r="2499">
      <c r="A2499" s="4">
        <f>value(USD!A2499)</f>
        <v>42864.99861</v>
      </c>
      <c r="B2499" s="1">
        <f>value(USD!B2499)</f>
        <v>13359</v>
      </c>
      <c r="C2499" s="1">
        <f>value(AUD!$B2499)</f>
        <v>10662.26697</v>
      </c>
      <c r="D2499" s="1">
        <f>value(EUR!$B2499)</f>
        <v>14462.1568</v>
      </c>
      <c r="E2499" s="1">
        <f>value(GBP!$B2499)</f>
        <v>17157.96992</v>
      </c>
      <c r="F2499" s="1">
        <f>value(CHF!$B2499)</f>
        <v>13735.01045</v>
      </c>
      <c r="G2499" s="1">
        <f>value(SGD!$B2499)</f>
        <v>9604.5664</v>
      </c>
      <c r="H2499" s="1">
        <f>value(MYR!$B2499)</f>
        <v>3059.49696</v>
      </c>
      <c r="I2499" s="1">
        <f>value(THB!$B2499)</f>
        <v>383.11936</v>
      </c>
      <c r="J2499" s="1">
        <f>value(VND!$B2499)</f>
        <v>0.6097886662</v>
      </c>
      <c r="K2499" s="1">
        <f>value(CNY!$B2499)</f>
        <v>1980.77058</v>
      </c>
      <c r="L2499" s="1">
        <f>value(HKD!$B2499)</f>
        <v>1703.28825</v>
      </c>
      <c r="M2499" s="1">
        <f>value(TWD!$B2499)</f>
        <v>440.42892</v>
      </c>
      <c r="N2499" s="1">
        <f>value(JPY!$B2499)</f>
        <v>116.94592</v>
      </c>
      <c r="O2499" s="1">
        <f>value(SAR!$B2499)</f>
        <v>3599.305861</v>
      </c>
      <c r="P2499" s="1">
        <f>value(AED!$B2499)</f>
        <v>3621.62708</v>
      </c>
      <c r="Q2499" s="1">
        <f>value(KWD!$B2499)</f>
        <v>44434.43777</v>
      </c>
    </row>
    <row r="2500">
      <c r="A2500" s="4">
        <f>value(USD!A2500)</f>
        <v>42865.99861</v>
      </c>
      <c r="B2500" s="1">
        <f>value(USD!B2500)</f>
        <v>13353</v>
      </c>
      <c r="C2500" s="1">
        <f>value(AUD!$B2500)</f>
        <v>10612.8603</v>
      </c>
      <c r="D2500" s="1">
        <f>value(EUR!$B2500)</f>
        <v>14553.16185</v>
      </c>
      <c r="E2500" s="1">
        <f>value(GBP!$B2500)</f>
        <v>17157.4427</v>
      </c>
      <c r="F2500" s="1">
        <f>value(CHF!$B2500)</f>
        <v>13703.24304</v>
      </c>
      <c r="G2500" s="1">
        <f>value(SGD!$B2500)</f>
        <v>9593.16358</v>
      </c>
      <c r="H2500" s="1">
        <f>value(MYR!$B2500)</f>
        <v>3061.6511</v>
      </c>
      <c r="I2500" s="1">
        <f>value(THB!$B2500)</f>
        <v>383.87145</v>
      </c>
      <c r="J2500" s="1">
        <f>value(VND!$B2500)</f>
        <v>0.6167585942</v>
      </c>
      <c r="K2500" s="1">
        <f>value(CNY!$B2500)</f>
        <v>1982.53315</v>
      </c>
      <c r="L2500" s="1">
        <f>value(HKD!$B2500)</f>
        <v>1704.9508</v>
      </c>
      <c r="M2500" s="1">
        <f>value(TWD!$B2500)</f>
        <v>440.2984</v>
      </c>
      <c r="N2500" s="1">
        <f>value(JPY!$B2500)</f>
        <v>117.4383</v>
      </c>
      <c r="O2500" s="1">
        <f>value(SAR!$B2500)</f>
        <v>3607.677709</v>
      </c>
      <c r="P2500" s="1">
        <f>value(AED!$B2500)</f>
        <v>3629.92584</v>
      </c>
      <c r="Q2500" s="1">
        <f>value(KWD!$B2500)</f>
        <v>44464.42977</v>
      </c>
    </row>
    <row r="2501">
      <c r="A2501" s="4">
        <f>value(USD!A2501)</f>
        <v>42866.99861</v>
      </c>
      <c r="B2501" s="1">
        <f>value(USD!B2501)</f>
        <v>13312</v>
      </c>
      <c r="C2501" s="1">
        <f>value(AUD!$B2501)</f>
        <v>10647.06405</v>
      </c>
      <c r="D2501" s="1">
        <f>value(EUR!$B2501)</f>
        <v>14577.67635</v>
      </c>
      <c r="E2501" s="1">
        <f>value(GBP!$B2501)</f>
        <v>17183.00903</v>
      </c>
      <c r="F2501" s="1">
        <f>value(CHF!$B2501)</f>
        <v>13694.8994</v>
      </c>
      <c r="G2501" s="1">
        <f>value(SGD!$B2501)</f>
        <v>9574.82162</v>
      </c>
      <c r="H2501" s="1">
        <f>value(MYR!$B2501)</f>
        <v>3065.8659</v>
      </c>
      <c r="I2501" s="1">
        <f>value(THB!$B2501)</f>
        <v>384.3999039</v>
      </c>
      <c r="J2501" s="1">
        <f>value(VND!$B2501)</f>
        <v>0.616803851</v>
      </c>
      <c r="K2501" s="1">
        <f>value(CNY!$B2501)</f>
        <v>1966.04928</v>
      </c>
      <c r="L2501" s="1">
        <f>value(HKD!$B2501)</f>
        <v>1706.98794</v>
      </c>
      <c r="M2501" s="1">
        <f>value(TWD!$B2501)</f>
        <v>428.64056</v>
      </c>
      <c r="N2501" s="1">
        <f>value(JPY!$B2501)</f>
        <v>117.5999706</v>
      </c>
      <c r="O2501" s="1">
        <f>value(SAR!$B2501)</f>
        <v>3604.741165</v>
      </c>
      <c r="P2501" s="1">
        <f>value(AED!$B2501)</f>
        <v>3629.24812</v>
      </c>
      <c r="Q2501" s="1">
        <f>value(KWD!$B2501)</f>
        <v>44460.73036</v>
      </c>
    </row>
    <row r="2502">
      <c r="A2502" s="4">
        <f>value(USD!A2502)</f>
        <v>42867.99861</v>
      </c>
      <c r="B2502" s="1">
        <f>value(USD!B2502)</f>
        <v>13315</v>
      </c>
      <c r="C2502" s="1">
        <f>value(AUD!$B2502)</f>
        <v>10636.02</v>
      </c>
      <c r="D2502" s="1">
        <f>value(EUR!$B2502)</f>
        <v>14557.37595</v>
      </c>
      <c r="E2502" s="1">
        <f>value(GBP!$B2502)</f>
        <v>17165.08674</v>
      </c>
      <c r="F2502" s="1">
        <f>value(CHF!$B2502)</f>
        <v>13852.82952</v>
      </c>
      <c r="G2502" s="1">
        <f>value(SGD!$B2502)</f>
        <v>9566.8618</v>
      </c>
      <c r="H2502" s="1">
        <f>value(MYR!$B2502)</f>
        <v>3068.15367</v>
      </c>
      <c r="I2502" s="1">
        <f>value(THB!$B2502)</f>
        <v>384.36855</v>
      </c>
      <c r="J2502" s="1">
        <f>value(VND!$B2502)</f>
        <v>0.6187622989</v>
      </c>
      <c r="K2502" s="1">
        <f>value(CNY!$B2502)</f>
        <v>1966.80402</v>
      </c>
      <c r="L2502" s="1">
        <f>value(HKD!$B2502)</f>
        <v>1703.28368</v>
      </c>
      <c r="M2502" s="1">
        <f>value(TWD!$B2502)</f>
        <v>440.49648</v>
      </c>
      <c r="N2502" s="1">
        <f>value(JPY!$B2502)</f>
        <v>117.602121</v>
      </c>
      <c r="O2502" s="1">
        <f>value(SAR!$B2502)</f>
        <v>3610.955275</v>
      </c>
      <c r="P2502" s="1">
        <f>value(AED!$B2502)</f>
        <v>3624.0767</v>
      </c>
      <c r="Q2502" s="1">
        <f>value(KWD!$B2502)</f>
        <v>44400.6656</v>
      </c>
    </row>
    <row r="2503">
      <c r="A2503" s="4">
        <f>value(USD!A2503)</f>
        <v>42868.99861</v>
      </c>
      <c r="B2503" s="1">
        <f>value(USD!B2503)</f>
        <v>13333.33</v>
      </c>
      <c r="C2503" s="1">
        <f>value(AUD!$B2503)</f>
        <v>10634.688</v>
      </c>
      <c r="D2503" s="1">
        <f>value(EUR!$B2503)</f>
        <v>14585.46865</v>
      </c>
      <c r="E2503" s="1">
        <f>value(GBP!$B2503)</f>
        <v>17138.04855</v>
      </c>
      <c r="F2503" s="1">
        <f>value(CHF!$B2503)</f>
        <v>13857.0912</v>
      </c>
      <c r="G2503" s="1">
        <f>value(SGD!$B2503)</f>
        <v>9575.25689</v>
      </c>
      <c r="H2503" s="1">
        <f>value(MYR!$B2503)</f>
        <v>3070.9606</v>
      </c>
      <c r="I2503" s="1">
        <f>value(THB!$B2503)</f>
        <v>384.60075</v>
      </c>
      <c r="J2503" s="1">
        <f>value(VND!$B2503)</f>
        <v>0.6199423189</v>
      </c>
      <c r="K2503" s="1">
        <f>value(CNY!$B2503)</f>
        <v>1980.87255</v>
      </c>
      <c r="L2503" s="1">
        <f>value(HKD!$B2503)</f>
        <v>1703.53092</v>
      </c>
      <c r="M2503" s="1">
        <f>value(TWD!$B2503)</f>
        <v>440.4976</v>
      </c>
      <c r="N2503" s="1">
        <f>value(JPY!$B2503)</f>
        <v>116.8801015</v>
      </c>
      <c r="O2503" s="1">
        <f>value(SAR!$B2503)</f>
        <v>3615.055994</v>
      </c>
      <c r="P2503" s="1">
        <f>value(AED!$B2503)</f>
        <v>3629.065759</v>
      </c>
      <c r="Q2503" s="1">
        <f>value(KWD!$B2503)</f>
        <v>44478.25281</v>
      </c>
    </row>
    <row r="2504">
      <c r="A2504" s="4">
        <f>value(USD!A2504)</f>
        <v>42869.99861</v>
      </c>
      <c r="B2504" s="1">
        <f>value(USD!B2504)</f>
        <v>13323</v>
      </c>
      <c r="C2504" s="1">
        <f>value(AUD!$B2504)</f>
        <v>10651.86958</v>
      </c>
      <c r="D2504" s="1">
        <f>value(EUR!$B2504)</f>
        <v>14725.24642</v>
      </c>
      <c r="E2504" s="1">
        <f>value(GBP!$B2504)</f>
        <v>17144.56566</v>
      </c>
      <c r="F2504" s="1">
        <f>value(CHF!$B2504)</f>
        <v>13895.427</v>
      </c>
      <c r="G2504" s="1">
        <f>value(SGD!$B2504)</f>
        <v>9597.11517</v>
      </c>
      <c r="H2504" s="1">
        <f>value(MYR!$B2504)</f>
        <v>3072.66552</v>
      </c>
      <c r="I2504" s="1">
        <f>value(THB!$B2504)</f>
        <v>385.07874</v>
      </c>
      <c r="J2504" s="1">
        <f>value(VND!$B2504)</f>
        <v>0.6215750045</v>
      </c>
      <c r="K2504" s="1">
        <f>value(CNY!$B2504)</f>
        <v>1982.99318</v>
      </c>
      <c r="L2504" s="1">
        <f>value(HKD!$B2504)</f>
        <v>1704.02492</v>
      </c>
      <c r="M2504" s="1">
        <f>value(TWD!$B2504)</f>
        <v>439.70152</v>
      </c>
      <c r="N2504" s="1">
        <f>value(JPY!$B2504)</f>
        <v>117.793476</v>
      </c>
      <c r="O2504" s="1">
        <f>value(SAR!$B2504)</f>
        <v>3617.226309</v>
      </c>
      <c r="P2504" s="1">
        <f>value(AED!$B2504)</f>
        <v>3627.62465</v>
      </c>
      <c r="Q2504" s="1">
        <f>value(KWD!$B2504)</f>
        <v>44381.04767</v>
      </c>
    </row>
    <row r="2505">
      <c r="A2505" s="4">
        <f>value(USD!A2505)</f>
        <v>42870.99861</v>
      </c>
      <c r="B2505" s="1">
        <f>value(USD!B2505)</f>
        <v>13285</v>
      </c>
      <c r="C2505" s="1">
        <f>value(AUD!$B2505)</f>
        <v>10594.20618</v>
      </c>
      <c r="D2505" s="1">
        <f>value(EUR!$B2505)</f>
        <v>14857.02808</v>
      </c>
      <c r="E2505" s="1">
        <f>value(GBP!$B2505)</f>
        <v>17271.18194</v>
      </c>
      <c r="F2505" s="1">
        <f>value(CHF!$B2505)</f>
        <v>13889.4529</v>
      </c>
      <c r="G2505" s="1">
        <f>value(SGD!$B2505)</f>
        <v>9592.46175</v>
      </c>
      <c r="H2505" s="1">
        <f>value(MYR!$B2505)</f>
        <v>3078.98842</v>
      </c>
      <c r="I2505" s="1">
        <f>value(THB!$B2505)</f>
        <v>386.08882</v>
      </c>
      <c r="J2505" s="1">
        <f>value(VND!$B2505)</f>
        <v>0.626473401</v>
      </c>
      <c r="K2505" s="1">
        <f>value(CNY!$B2505)</f>
        <v>1997.03436</v>
      </c>
      <c r="L2505" s="1">
        <f>value(HKD!$B2505)</f>
        <v>1703.5122</v>
      </c>
      <c r="M2505" s="1">
        <f>value(TWD!$B2505)</f>
        <v>440.6636</v>
      </c>
      <c r="N2505" s="1">
        <f>value(JPY!$B2505)</f>
        <v>119.808728</v>
      </c>
      <c r="O2505" s="1">
        <f>value(SAR!$B2505)</f>
        <v>3606.662359</v>
      </c>
      <c r="P2505" s="1">
        <f>value(AED!$B2505)</f>
        <v>3631.42556</v>
      </c>
      <c r="Q2505" s="1">
        <f>value(KWD!$B2505)</f>
        <v>44364.36432</v>
      </c>
    </row>
    <row r="2506">
      <c r="A2506" s="4">
        <f>value(USD!A2506)</f>
        <v>42871.99861</v>
      </c>
      <c r="B2506" s="1">
        <f>value(USD!B2506)</f>
        <v>13274</v>
      </c>
      <c r="C2506" s="1">
        <f>value(AUD!$B2506)</f>
        <v>10591.0101</v>
      </c>
      <c r="D2506" s="1">
        <f>value(EUR!$B2506)</f>
        <v>14887.22693</v>
      </c>
      <c r="E2506" s="1">
        <f>value(GBP!$B2506)</f>
        <v>17358.67248</v>
      </c>
      <c r="F2506" s="1">
        <f>value(CHF!$B2506)</f>
        <v>13866.685</v>
      </c>
      <c r="G2506" s="1">
        <f>value(SGD!$B2506)</f>
        <v>9593.335562</v>
      </c>
      <c r="H2506" s="1">
        <f>value(MYR!$B2506)</f>
        <v>3094.09708</v>
      </c>
      <c r="I2506" s="1">
        <f>value(THB!$B2506)</f>
        <v>387.90105</v>
      </c>
      <c r="J2506" s="1">
        <f>value(VND!$B2506)</f>
        <v>0.6226361459</v>
      </c>
      <c r="K2506" s="1">
        <f>value(CNY!$B2506)</f>
        <v>2004.91388</v>
      </c>
      <c r="L2506" s="1">
        <f>value(HKD!$B2506)</f>
        <v>1703.38872</v>
      </c>
      <c r="M2506" s="1">
        <f>value(TWD!$B2506)</f>
        <v>439.20357</v>
      </c>
      <c r="N2506" s="1">
        <f>value(JPY!$B2506)</f>
        <v>120.215828</v>
      </c>
      <c r="O2506" s="1">
        <f>value(SAR!$B2506)</f>
        <v>3618.089092</v>
      </c>
      <c r="P2506" s="1">
        <f>value(AED!$B2506)</f>
        <v>3629.79248</v>
      </c>
      <c r="Q2506" s="1">
        <f>value(KWD!$B2506)</f>
        <v>44705.67752</v>
      </c>
    </row>
    <row r="2507">
      <c r="A2507" s="4">
        <f>value(USD!A2507)</f>
        <v>42872.99861</v>
      </c>
      <c r="B2507" s="1">
        <f>value(USD!B2507)</f>
        <v>13318</v>
      </c>
      <c r="C2507" s="1">
        <f>value(AUD!$B2507)</f>
        <v>10598.46106</v>
      </c>
      <c r="D2507" s="1">
        <f>value(EUR!$B2507)</f>
        <v>14930.09862</v>
      </c>
      <c r="E2507" s="1">
        <f>value(GBP!$B2507)</f>
        <v>17367.2253</v>
      </c>
      <c r="F2507" s="1">
        <f>value(CHF!$B2507)</f>
        <v>13865.8246</v>
      </c>
      <c r="G2507" s="1">
        <f>value(SGD!$B2507)</f>
        <v>9574.31016</v>
      </c>
      <c r="H2507" s="1">
        <f>value(MYR!$B2507)</f>
        <v>3080.17962</v>
      </c>
      <c r="I2507" s="1">
        <f>value(THB!$B2507)</f>
        <v>387.80342</v>
      </c>
      <c r="J2507" s="1">
        <f>value(VND!$B2507)</f>
        <v>0.6259735122</v>
      </c>
      <c r="K2507" s="1">
        <f>value(CNY!$B2507)</f>
        <v>2002.48349</v>
      </c>
      <c r="L2507" s="1">
        <f>value(HKD!$B2507)</f>
        <v>1702.1114</v>
      </c>
      <c r="M2507" s="1">
        <f>value(TWD!$B2507)</f>
        <v>440.1648</v>
      </c>
      <c r="N2507" s="1">
        <f>value(JPY!$B2507)</f>
        <v>119.76478</v>
      </c>
      <c r="O2507" s="1">
        <f>value(SAR!$B2507)</f>
        <v>3615.760272</v>
      </c>
      <c r="P2507" s="1">
        <f>value(AED!$B2507)</f>
        <v>3619.44964</v>
      </c>
      <c r="Q2507" s="1">
        <f>value(KWD!$B2507)</f>
        <v>44886.2795</v>
      </c>
    </row>
    <row r="2508">
      <c r="A2508" s="4">
        <f>value(USD!A2508)</f>
        <v>42873.99861</v>
      </c>
      <c r="B2508" s="1">
        <f>value(USD!B2508)</f>
        <v>13399</v>
      </c>
      <c r="C2508" s="1">
        <f>value(AUD!$B2508)</f>
        <v>10553.88672</v>
      </c>
      <c r="D2508" s="1">
        <f>value(EUR!$B2508)</f>
        <v>14943.64959</v>
      </c>
      <c r="E2508" s="1">
        <f>value(GBP!$B2508)</f>
        <v>17378.66232</v>
      </c>
      <c r="F2508" s="1">
        <f>value(CHF!$B2508)</f>
        <v>13874.5048</v>
      </c>
      <c r="G2508" s="1">
        <f>value(SGD!$B2508)</f>
        <v>9589.6259</v>
      </c>
      <c r="H2508" s="1">
        <f>value(MYR!$B2508)</f>
        <v>3082.799229</v>
      </c>
      <c r="I2508" s="1">
        <f>value(THB!$B2508)</f>
        <v>381.333238</v>
      </c>
      <c r="J2508" s="1">
        <f>value(VND!$B2508)</f>
        <v>0.623745153</v>
      </c>
      <c r="K2508" s="1">
        <f>value(CNY!$B2508)</f>
        <v>2002.91702</v>
      </c>
      <c r="L2508" s="1">
        <f>value(HKD!$B2508)</f>
        <v>1703.53092</v>
      </c>
      <c r="M2508" s="1">
        <f>value(TWD!$B2508)</f>
        <v>440.69472</v>
      </c>
      <c r="N2508" s="1">
        <f>value(JPY!$B2508)</f>
        <v>119.8666367</v>
      </c>
      <c r="O2508" s="1">
        <f>value(SAR!$B2508)</f>
        <v>3613.090829</v>
      </c>
      <c r="P2508" s="1">
        <f>value(AED!$B2508)</f>
        <v>3619.9878</v>
      </c>
      <c r="Q2508" s="1">
        <f>value(KWD!$B2508)</f>
        <v>44759.18922</v>
      </c>
    </row>
    <row r="2509">
      <c r="A2509" s="4">
        <f>value(USD!A2509)</f>
        <v>42874.99861</v>
      </c>
      <c r="B2509" s="1">
        <f>value(USD!B2509)</f>
        <v>13322</v>
      </c>
      <c r="C2509" s="1">
        <f>value(AUD!$B2509)</f>
        <v>10552.97228</v>
      </c>
      <c r="D2509" s="1">
        <f>value(EUR!$B2509)</f>
        <v>14932.95776</v>
      </c>
      <c r="E2509" s="1">
        <f>value(GBP!$B2509)</f>
        <v>17340.79424</v>
      </c>
      <c r="F2509" s="1">
        <f>value(CHF!$B2509)</f>
        <v>13844.987</v>
      </c>
      <c r="G2509" s="1">
        <f>value(SGD!$B2509)</f>
        <v>9592.00716</v>
      </c>
      <c r="H2509" s="1">
        <f>value(MYR!$B2509)</f>
        <v>3081.56688</v>
      </c>
      <c r="I2509" s="1">
        <f>value(THB!$B2509)</f>
        <v>388.24464</v>
      </c>
      <c r="J2509" s="1">
        <f>value(VND!$B2509)</f>
        <v>0.62597808</v>
      </c>
      <c r="K2509" s="1">
        <f>value(CNY!$B2509)</f>
        <v>2003.9851</v>
      </c>
      <c r="L2509" s="1">
        <f>value(HKD!$B2509)</f>
        <v>1704.03911</v>
      </c>
      <c r="M2509" s="1">
        <f>value(TWD!$B2509)</f>
        <v>440.59252</v>
      </c>
      <c r="N2509" s="1">
        <f>value(JPY!$B2509)</f>
        <v>119.725424</v>
      </c>
      <c r="O2509" s="1">
        <f>value(SAR!$B2509)</f>
        <v>3607.003631</v>
      </c>
      <c r="P2509" s="1">
        <f>value(AED!$B2509)</f>
        <v>3621.19725</v>
      </c>
      <c r="Q2509" s="1">
        <f>value(KWD!$B2509)</f>
        <v>44739.29157</v>
      </c>
    </row>
    <row r="2510">
      <c r="A2510" s="4">
        <f>value(USD!A2510)</f>
        <v>42875.99861</v>
      </c>
      <c r="B2510" s="1">
        <f>value(USD!B2510)</f>
        <v>13333.33</v>
      </c>
      <c r="C2510" s="1">
        <f>value(AUD!$B2510)</f>
        <v>10540.28715</v>
      </c>
      <c r="D2510" s="1">
        <f>value(EUR!$B2510)</f>
        <v>14942.31072</v>
      </c>
      <c r="E2510" s="1">
        <f>value(GBP!$B2510)</f>
        <v>17276.8224</v>
      </c>
      <c r="F2510" s="1">
        <f>value(CHF!$B2510)</f>
        <v>13854.7584</v>
      </c>
      <c r="G2510" s="1">
        <f>value(SGD!$B2510)</f>
        <v>9618.9912</v>
      </c>
      <c r="H2510" s="1">
        <f>value(MYR!$B2510)</f>
        <v>3087.06528</v>
      </c>
      <c r="I2510" s="1">
        <f>value(THB!$B2510)</f>
        <v>387.44544</v>
      </c>
      <c r="J2510" s="1">
        <f>value(VND!$B2510)</f>
        <v>0.62498859</v>
      </c>
      <c r="K2510" s="1">
        <f>value(CNY!$B2510)</f>
        <v>2000.36606</v>
      </c>
      <c r="L2510" s="1">
        <f>value(HKD!$B2510)</f>
        <v>1705.1882</v>
      </c>
      <c r="M2510" s="1">
        <f>value(TWD!$B2510)</f>
        <v>442.445</v>
      </c>
      <c r="N2510" s="1">
        <f>value(JPY!$B2510)</f>
        <v>119.850144</v>
      </c>
      <c r="O2510" s="1">
        <f>value(SAR!$B2510)</f>
        <v>3604.921024</v>
      </c>
      <c r="P2510" s="1">
        <f>value(AED!$B2510)</f>
        <v>3619.57008</v>
      </c>
      <c r="Q2510" s="1">
        <f>value(KWD!$B2510)</f>
        <v>44792.91434</v>
      </c>
    </row>
    <row r="2511">
      <c r="A2511" s="4">
        <f>value(USD!A2511)</f>
        <v>42876.99861</v>
      </c>
      <c r="B2511" s="1">
        <f>value(USD!B2511)</f>
        <v>13328</v>
      </c>
      <c r="C2511" s="1">
        <f>value(AUD!$B2511)</f>
        <v>10503.7564</v>
      </c>
      <c r="D2511" s="1">
        <f>value(EUR!$B2511)</f>
        <v>14863.46544</v>
      </c>
      <c r="E2511" s="1">
        <f>value(GBP!$B2511)</f>
        <v>17226.03168</v>
      </c>
      <c r="F2511" s="1">
        <f>value(CHF!$B2511)</f>
        <v>13937.0562</v>
      </c>
      <c r="G2511" s="1">
        <f>value(SGD!$B2511)</f>
        <v>9625.8861</v>
      </c>
      <c r="H2511" s="1">
        <f>value(MYR!$B2511)</f>
        <v>3094.90992</v>
      </c>
      <c r="I2511" s="1">
        <f>value(THB!$B2511)</f>
        <v>385.84992</v>
      </c>
      <c r="J2511" s="1">
        <f>value(VND!$B2511)</f>
        <v>0.6233478136</v>
      </c>
      <c r="K2511" s="1">
        <f>value(CNY!$B2511)</f>
        <v>1997.22424</v>
      </c>
      <c r="L2511" s="1">
        <f>value(HKD!$B2511)</f>
        <v>1710.58302</v>
      </c>
      <c r="M2511" s="1">
        <f>value(TWD!$B2511)</f>
        <v>443.15467</v>
      </c>
      <c r="N2511" s="1">
        <f>value(JPY!$B2511)</f>
        <v>118.719984</v>
      </c>
      <c r="O2511" s="1">
        <f>value(SAR!$B2511)</f>
        <v>3603.890954</v>
      </c>
      <c r="P2511" s="1">
        <f>value(AED!$B2511)</f>
        <v>3638.36373</v>
      </c>
      <c r="Q2511" s="1">
        <f>value(KWD!$B2511)</f>
        <v>44792.91434</v>
      </c>
    </row>
    <row r="2512">
      <c r="A2512" s="4">
        <f>value(USD!A2512)</f>
        <v>42877.99861</v>
      </c>
      <c r="B2512" s="1">
        <f>value(USD!B2512)</f>
        <v>13296</v>
      </c>
      <c r="C2512" s="1">
        <f>value(AUD!$B2512)</f>
        <v>10515.41334</v>
      </c>
      <c r="D2512" s="1">
        <f>value(EUR!$B2512)</f>
        <v>14938.27902</v>
      </c>
      <c r="E2512" s="1">
        <f>value(GBP!$B2512)</f>
        <v>17263.46862</v>
      </c>
      <c r="F2512" s="1">
        <f>value(CHF!$B2512)</f>
        <v>13903.666</v>
      </c>
      <c r="G2512" s="1">
        <f>value(SGD!$B2512)</f>
        <v>9668.29999</v>
      </c>
      <c r="H2512" s="1">
        <f>value(MYR!$B2512)</f>
        <v>3092.715</v>
      </c>
      <c r="I2512" s="1">
        <f>value(THB!$B2512)</f>
        <v>387.48726</v>
      </c>
      <c r="J2512" s="1">
        <f>value(VND!$B2512)</f>
        <v>0.6343131669</v>
      </c>
      <c r="K2512" s="1">
        <f>value(CNY!$B2512)</f>
        <v>1995.1575</v>
      </c>
      <c r="L2512" s="1">
        <f>value(HKD!$B2512)</f>
        <v>1706.08071</v>
      </c>
      <c r="M2512" s="1">
        <f>value(TWD!$B2512)</f>
        <v>444.14304</v>
      </c>
      <c r="N2512" s="1">
        <f>value(JPY!$B2512)</f>
        <v>119.239128</v>
      </c>
      <c r="O2512" s="1">
        <f>value(SAR!$B2512)</f>
        <v>3604.440139</v>
      </c>
      <c r="P2512" s="1">
        <f>value(AED!$B2512)</f>
        <v>3653.1962</v>
      </c>
      <c r="Q2512" s="1">
        <f>value(KWD!$B2512)</f>
        <v>44792.91434</v>
      </c>
    </row>
    <row r="2513">
      <c r="A2513" s="4">
        <f>value(USD!A2513)</f>
        <v>42878.99861</v>
      </c>
      <c r="B2513" s="1">
        <f>value(USD!B2513)</f>
        <v>13296</v>
      </c>
      <c r="C2513" s="1">
        <f>value(AUD!$B2513)</f>
        <v>10483.0182</v>
      </c>
      <c r="D2513" s="1">
        <f>value(EUR!$B2513)</f>
        <v>14911.94106</v>
      </c>
      <c r="E2513" s="1">
        <f>value(GBP!$B2513)</f>
        <v>17200.1511</v>
      </c>
      <c r="F2513" s="1">
        <f>value(CHF!$B2513)</f>
        <v>13920.79625</v>
      </c>
      <c r="G2513" s="1">
        <f>value(SGD!$B2513)</f>
        <v>9654.2972</v>
      </c>
      <c r="H2513" s="1">
        <f>value(MYR!$B2513)</f>
        <v>3107.21418</v>
      </c>
      <c r="I2513" s="1">
        <f>value(THB!$B2513)</f>
        <v>389.21652</v>
      </c>
      <c r="J2513" s="1">
        <f>value(VND!$B2513)</f>
        <v>0.6220821542</v>
      </c>
      <c r="K2513" s="1">
        <f>value(CNY!$B2513)</f>
        <v>2002.18956</v>
      </c>
      <c r="L2513" s="1">
        <f>value(HKD!$B2513)</f>
        <v>1706.922918</v>
      </c>
      <c r="M2513" s="1">
        <f>value(TWD!$B2513)</f>
        <v>443.7762</v>
      </c>
      <c r="N2513" s="1">
        <f>value(JPY!$B2513)</f>
        <v>119.026296</v>
      </c>
      <c r="O2513" s="1">
        <f>value(SAR!$B2513)</f>
        <v>3610.51782</v>
      </c>
      <c r="P2513" s="1">
        <f>value(AED!$B2513)</f>
        <v>3642.58494</v>
      </c>
      <c r="Q2513" s="1">
        <f>value(KWD!$B2513)</f>
        <v>45334.21118</v>
      </c>
    </row>
    <row r="2514">
      <c r="A2514" s="4">
        <f>value(USD!A2514)</f>
        <v>42879.99861</v>
      </c>
      <c r="B2514" s="1">
        <f>value(USD!B2514)</f>
        <v>13302</v>
      </c>
      <c r="C2514" s="1">
        <f>value(AUD!$B2514)</f>
        <v>10534.89731</v>
      </c>
      <c r="D2514" s="1">
        <f>value(EUR!$B2514)</f>
        <v>14865.00655</v>
      </c>
      <c r="E2514" s="1">
        <f>value(GBP!$B2514)</f>
        <v>17024.5134</v>
      </c>
      <c r="F2514" s="1">
        <f>value(CHF!$B2514)</f>
        <v>13913.4816</v>
      </c>
      <c r="G2514" s="1">
        <f>value(SGD!$B2514)</f>
        <v>9660.997</v>
      </c>
      <c r="H2514" s="1">
        <f>value(MYR!$B2514)</f>
        <v>3113.55605</v>
      </c>
      <c r="I2514" s="1">
        <f>value(THB!$B2514)</f>
        <v>390.20825</v>
      </c>
      <c r="J2514" s="1">
        <f>value(VND!$B2514)</f>
        <v>0.6248777281</v>
      </c>
      <c r="K2514" s="1">
        <f>value(CNY!$B2514)</f>
        <v>2003.0321</v>
      </c>
      <c r="L2514" s="1">
        <f>value(HKD!$B2514)</f>
        <v>1703.14164</v>
      </c>
      <c r="M2514" s="1">
        <f>value(TWD!$B2514)</f>
        <v>443.8064</v>
      </c>
      <c r="N2514" s="1">
        <f>value(JPY!$B2514)</f>
        <v>119.3891</v>
      </c>
      <c r="O2514" s="1">
        <f>value(SAR!$B2514)</f>
        <v>3609.012502</v>
      </c>
      <c r="P2514" s="1">
        <f>value(AED!$B2514)</f>
        <v>3643.40148</v>
      </c>
      <c r="Q2514" s="1">
        <f>value(KWD!$B2514)</f>
        <v>45267.36628</v>
      </c>
    </row>
    <row r="2515">
      <c r="A2515" s="4">
        <f>value(USD!A2515)</f>
        <v>42880.99861</v>
      </c>
      <c r="B2515" s="1">
        <f>value(USD!B2515)</f>
        <v>13302</v>
      </c>
      <c r="C2515" s="1">
        <f>value(AUD!$B2515)</f>
        <v>10537.9443</v>
      </c>
      <c r="D2515" s="1">
        <f>value(EUR!$B2515)</f>
        <v>14858.6416</v>
      </c>
      <c r="E2515" s="1">
        <f>value(GBP!$B2515)</f>
        <v>17015.284</v>
      </c>
      <c r="F2515" s="1">
        <f>value(CHF!$B2515)</f>
        <v>13857.9188</v>
      </c>
      <c r="G2515" s="1">
        <f>value(SGD!$B2515)</f>
        <v>9670.1904</v>
      </c>
      <c r="H2515" s="1">
        <f>value(MYR!$B2515)</f>
        <v>3111.25232</v>
      </c>
      <c r="I2515" s="1">
        <f>value(THB!$B2515)</f>
        <v>390.13568</v>
      </c>
      <c r="J2515" s="1">
        <f>value(VND!$B2515)</f>
        <v>0.62488591</v>
      </c>
      <c r="K2515" s="1">
        <f>value(CNY!$B2515)</f>
        <v>2002.9829</v>
      </c>
      <c r="L2515" s="1">
        <f>value(HKD!$B2515)</f>
        <v>1707.50078</v>
      </c>
      <c r="M2515" s="1">
        <f>value(TWD!$B2515)</f>
        <v>444.08742</v>
      </c>
      <c r="N2515" s="1">
        <f>value(JPY!$B2515)</f>
        <v>119.32624</v>
      </c>
      <c r="O2515" s="1">
        <f>value(SAR!$B2515)</f>
        <v>3597.503989</v>
      </c>
      <c r="P2515" s="1">
        <f>value(AED!$B2515)</f>
        <v>3650.20598</v>
      </c>
      <c r="Q2515" s="1">
        <f>value(KWD!$B2515)</f>
        <v>45556.54759</v>
      </c>
    </row>
    <row r="2516">
      <c r="A2516" s="4">
        <f>value(USD!A2516)</f>
        <v>42881.99861</v>
      </c>
      <c r="B2516" s="1">
        <f>value(USD!B2516)</f>
        <v>13295</v>
      </c>
      <c r="C2516" s="1">
        <f>value(AUD!$B2516)</f>
        <v>10551.69583</v>
      </c>
      <c r="D2516" s="1">
        <f>value(EUR!$B2516)</f>
        <v>14849.20712</v>
      </c>
      <c r="E2516" s="1">
        <f>value(GBP!$B2516)</f>
        <v>17025.78152</v>
      </c>
      <c r="F2516" s="1">
        <f>value(CHF!$B2516)</f>
        <v>13856.262</v>
      </c>
      <c r="G2516" s="1">
        <f>value(SGD!$B2516)</f>
        <v>9662.1187</v>
      </c>
      <c r="H2516" s="1">
        <f>value(MYR!$B2516)</f>
        <v>3111.25232</v>
      </c>
      <c r="I2516" s="1">
        <f>value(THB!$B2516)</f>
        <v>390.13568</v>
      </c>
      <c r="J2516" s="1">
        <f>value(VND!$B2516)</f>
        <v>0.6250814745</v>
      </c>
      <c r="K2516" s="1">
        <f>value(CNY!$B2516)</f>
        <v>2002.31515</v>
      </c>
      <c r="L2516" s="1">
        <f>value(HKD!$B2516)</f>
        <v>1705.95252</v>
      </c>
      <c r="M2516" s="1">
        <f>value(TWD!$B2516)</f>
        <v>444.38688</v>
      </c>
      <c r="N2516" s="1">
        <f>value(JPY!$B2516)</f>
        <v>119.432544</v>
      </c>
      <c r="O2516" s="1">
        <f>value(SAR!$B2516)</f>
        <v>3601.29214</v>
      </c>
      <c r="P2516" s="1">
        <f>value(AED!$B2516)</f>
        <v>3652.233052</v>
      </c>
      <c r="Q2516" s="1">
        <f>value(KWD!$B2516)</f>
        <v>45412.94144</v>
      </c>
    </row>
    <row r="2517">
      <c r="A2517" s="4">
        <f>value(USD!A2517)</f>
        <v>42882.99861</v>
      </c>
      <c r="B2517" s="1">
        <f>value(USD!B2517)</f>
        <v>13288</v>
      </c>
      <c r="C2517" s="1">
        <f>value(AUD!$B2517)</f>
        <v>10478.40654</v>
      </c>
      <c r="D2517" s="1">
        <f>value(EUR!$B2517)</f>
        <v>14817.59775</v>
      </c>
      <c r="E2517" s="1">
        <f>value(GBP!$B2517)</f>
        <v>17060.64265</v>
      </c>
      <c r="F2517" s="1">
        <f>value(CHF!$B2517)</f>
        <v>13845.4043</v>
      </c>
      <c r="G2517" s="1">
        <f>value(SGD!$B2517)</f>
        <v>9673.34207</v>
      </c>
      <c r="H2517" s="1">
        <f>value(MYR!$B2517)</f>
        <v>3112.11495</v>
      </c>
      <c r="I2517" s="1">
        <f>value(THB!$B2517)</f>
        <v>389.99635</v>
      </c>
      <c r="J2517" s="1">
        <f>value(VND!$B2517)</f>
        <v>0.6246284153</v>
      </c>
      <c r="K2517" s="1">
        <f>value(CNY!$B2517)</f>
        <v>2001.46656</v>
      </c>
      <c r="L2517" s="1">
        <f>value(HKD!$B2517)</f>
        <v>1703.48352</v>
      </c>
      <c r="M2517" s="1">
        <f>value(TWD!$B2517)</f>
        <v>442.2201</v>
      </c>
      <c r="N2517" s="1">
        <f>value(JPY!$B2517)</f>
        <v>119.72848</v>
      </c>
      <c r="O2517" s="1">
        <f>value(SAR!$B2517)</f>
        <v>3603.598719</v>
      </c>
      <c r="P2517" s="1">
        <f>value(AED!$B2517)</f>
        <v>3651.01064</v>
      </c>
      <c r="Q2517" s="1">
        <f>value(KWD!$B2517)</f>
        <v>45474.58547</v>
      </c>
    </row>
    <row r="2518">
      <c r="A2518" s="4">
        <f>value(USD!A2518)</f>
        <v>42883.99861</v>
      </c>
      <c r="B2518" s="1">
        <f>value(USD!B2518)</f>
        <v>13288</v>
      </c>
      <c r="C2518" s="1">
        <f>value(AUD!$B2518)</f>
        <v>10450.03916</v>
      </c>
      <c r="D2518" s="1">
        <f>value(EUR!$B2518)</f>
        <v>14878.78809</v>
      </c>
      <c r="E2518" s="1">
        <f>value(GBP!$B2518)</f>
        <v>17059.64115</v>
      </c>
      <c r="F2518" s="1">
        <f>value(CHF!$B2518)</f>
        <v>13794.594</v>
      </c>
      <c r="G2518" s="1">
        <f>value(SGD!$B2518)</f>
        <v>9679.65624</v>
      </c>
      <c r="H2518" s="1">
        <f>value(MYR!$B2518)</f>
        <v>3107.58908</v>
      </c>
      <c r="I2518" s="1">
        <f>value(THB!$B2518)</f>
        <v>390.2467</v>
      </c>
      <c r="J2518" s="1">
        <f>value(VND!$B2518)</f>
        <v>0.6242504034</v>
      </c>
      <c r="K2518" s="1">
        <f>value(CNY!$B2518)</f>
        <v>1999.816</v>
      </c>
      <c r="L2518" s="1">
        <f>value(HKD!$B2518)</f>
        <v>1701.04458</v>
      </c>
      <c r="M2518" s="1">
        <f>value(TWD!$B2518)</f>
        <v>443.07594</v>
      </c>
      <c r="N2518" s="1">
        <f>value(JPY!$B2518)</f>
        <v>120.150699</v>
      </c>
      <c r="O2518" s="1">
        <f>value(SAR!$B2518)</f>
        <v>3603.598719</v>
      </c>
      <c r="P2518" s="1">
        <f>value(AED!$B2518)</f>
        <v>3691.84952</v>
      </c>
      <c r="Q2518" s="1">
        <f>value(KWD!$B2518)</f>
        <v>45474.58547</v>
      </c>
    </row>
    <row r="2519">
      <c r="A2519" s="4">
        <f>value(USD!A2519)</f>
        <v>42884.99861</v>
      </c>
      <c r="B2519" s="1">
        <f>value(USD!B2519)</f>
        <v>13315</v>
      </c>
      <c r="C2519" s="1">
        <f>value(AUD!$B2519)</f>
        <v>10588.8195</v>
      </c>
      <c r="D2519" s="1">
        <f>value(EUR!$B2519)</f>
        <v>14939.7972</v>
      </c>
      <c r="E2519" s="1">
        <f>value(GBP!$B2519)</f>
        <v>17114.6956</v>
      </c>
      <c r="F2519" s="1">
        <f>value(CHF!$B2519)</f>
        <v>13798.8805</v>
      </c>
      <c r="G2519" s="1">
        <f>value(SGD!$B2519)</f>
        <v>9696.6408</v>
      </c>
      <c r="H2519" s="1">
        <f>value(MYR!$B2519)</f>
        <v>3096.43848</v>
      </c>
      <c r="I2519" s="1">
        <f>value(THB!$B2519)</f>
        <v>390.44478</v>
      </c>
      <c r="J2519" s="1">
        <f>value(VND!$B2519)</f>
        <v>0.6249021995</v>
      </c>
      <c r="K2519" s="1">
        <f>value(CNY!$B2519)</f>
        <v>2004.78616</v>
      </c>
      <c r="L2519" s="1">
        <f>value(HKD!$B2519)</f>
        <v>1704.99591</v>
      </c>
      <c r="M2519" s="1">
        <f>value(TWD!$B2519)</f>
        <v>444.35082</v>
      </c>
      <c r="N2519" s="1">
        <f>value(JPY!$B2519)</f>
        <v>119.951762</v>
      </c>
      <c r="O2519" s="1">
        <f>value(SAR!$B2519)</f>
        <v>3601.771765</v>
      </c>
      <c r="P2519" s="1">
        <f>value(AED!$B2519)</f>
        <v>3686.40592</v>
      </c>
      <c r="Q2519" s="1">
        <f>value(KWD!$B2519)</f>
        <v>45487.95445</v>
      </c>
    </row>
    <row r="2520">
      <c r="A2520" s="4">
        <f>value(USD!A2520)</f>
        <v>42885.99861</v>
      </c>
      <c r="B2520" s="1">
        <f>value(USD!B2520)</f>
        <v>13319</v>
      </c>
      <c r="C2520" s="1">
        <f>value(AUD!$B2520)</f>
        <v>10530.04884</v>
      </c>
      <c r="D2520" s="1">
        <f>value(EUR!$B2520)</f>
        <v>14900.36592</v>
      </c>
      <c r="E2520" s="1">
        <f>value(GBP!$B2520)</f>
        <v>17122.78392</v>
      </c>
      <c r="F2520" s="1">
        <f>value(CHF!$B2520)</f>
        <v>13837.2828</v>
      </c>
      <c r="G2520" s="1">
        <f>value(SGD!$B2520)</f>
        <v>9708.315788</v>
      </c>
      <c r="H2520" s="1">
        <f>value(MYR!$B2520)</f>
        <v>3097.03416</v>
      </c>
      <c r="I2520" s="1">
        <f>value(THB!$B2520)</f>
        <v>388.93976</v>
      </c>
      <c r="J2520" s="1">
        <f>value(VND!$B2520)</f>
        <v>0.6274276291</v>
      </c>
      <c r="K2520" s="1">
        <f>value(CNY!$B2520)</f>
        <v>2001.14997</v>
      </c>
      <c r="L2520" s="1">
        <f>value(HKD!$B2520)</f>
        <v>1702.8236</v>
      </c>
      <c r="M2520" s="1">
        <f>value(TWD!$B2520)</f>
        <v>432.84879</v>
      </c>
      <c r="N2520" s="1">
        <f>value(JPY!$B2520)</f>
        <v>119.206648</v>
      </c>
      <c r="O2520" s="1">
        <f>value(SAR!$B2520)</f>
        <v>3606.7805</v>
      </c>
      <c r="P2520" s="1">
        <f>value(AED!$B2520)</f>
        <v>3712.80738</v>
      </c>
      <c r="Q2520" s="1">
        <f>value(KWD!$B2520)</f>
        <v>45563.22695</v>
      </c>
    </row>
    <row r="2521">
      <c r="A2521" s="4">
        <f>value(USD!A2521)</f>
        <v>42886.99861</v>
      </c>
      <c r="B2521" s="1">
        <f>value(USD!B2521)</f>
        <v>13294</v>
      </c>
      <c r="C2521" s="1">
        <f>value(AUD!$B2521)</f>
        <v>10586.61574</v>
      </c>
      <c r="D2521" s="1">
        <f>value(EUR!$B2521)</f>
        <v>14988.6009</v>
      </c>
      <c r="E2521" s="1">
        <f>value(GBP!$B2521)</f>
        <v>17123.12966</v>
      </c>
      <c r="F2521" s="1">
        <f>value(CHF!$B2521)</f>
        <v>13831.1943</v>
      </c>
      <c r="G2521" s="1">
        <f>value(SGD!$B2521)</f>
        <v>9700.55392</v>
      </c>
      <c r="H2521" s="1">
        <f>value(MYR!$B2521)</f>
        <v>3102.41386</v>
      </c>
      <c r="I2521" s="1">
        <f>value(THB!$B2521)</f>
        <v>389.9441</v>
      </c>
      <c r="J2521" s="1">
        <f>value(VND!$B2521)</f>
        <v>0.6285788692</v>
      </c>
      <c r="K2521" s="1">
        <f>value(CNY!$B2521)</f>
        <v>2021.69514</v>
      </c>
      <c r="L2521" s="1">
        <f>value(HKD!$B2521)</f>
        <v>1703.20784</v>
      </c>
      <c r="M2521" s="1">
        <f>value(TWD!$B2521)</f>
        <v>444.18627</v>
      </c>
      <c r="N2521" s="1">
        <f>value(JPY!$B2521)</f>
        <v>120.2383</v>
      </c>
      <c r="O2521" s="1">
        <f>value(SAR!$B2521)</f>
        <v>3603.94029</v>
      </c>
      <c r="P2521" s="1">
        <f>value(AED!$B2521)</f>
        <v>3701.10364</v>
      </c>
      <c r="Q2521" s="1">
        <f>value(KWD!$B2521)</f>
        <v>45515.20688</v>
      </c>
    </row>
    <row r="2522">
      <c r="A2522" s="4">
        <f>value(USD!A2522)</f>
        <v>42887.99861</v>
      </c>
      <c r="B2522" s="1">
        <f>value(USD!B2522)</f>
        <v>13288</v>
      </c>
      <c r="C2522" s="1">
        <f>value(AUD!$B2522)</f>
        <v>10587.844</v>
      </c>
      <c r="D2522" s="1">
        <f>value(EUR!$B2522)</f>
        <v>15010.9032</v>
      </c>
      <c r="E2522" s="1">
        <f>value(GBP!$B2522)</f>
        <v>17148.856</v>
      </c>
      <c r="F2522" s="1">
        <f>value(CHF!$B2522)</f>
        <v>13925.59776</v>
      </c>
      <c r="G2522" s="1">
        <f>value(SGD!$B2522)</f>
        <v>9665.60048</v>
      </c>
      <c r="H2522" s="1">
        <f>value(MYR!$B2522)</f>
        <v>3106.61704</v>
      </c>
      <c r="I2522" s="1">
        <f>value(THB!$B2522)</f>
        <v>390.4724</v>
      </c>
      <c r="J2522" s="1">
        <f>value(VND!$B2522)</f>
        <v>0.6294630418</v>
      </c>
      <c r="K2522" s="1">
        <f>value(CNY!$B2522)</f>
        <v>2021.96196</v>
      </c>
      <c r="L2522" s="1">
        <f>value(HKD!$B2522)</f>
        <v>1710.85928</v>
      </c>
      <c r="M2522" s="1">
        <f>value(TWD!$B2522)</f>
        <v>444.7492</v>
      </c>
      <c r="N2522" s="1">
        <f>value(JPY!$B2522)</f>
        <v>120.53424</v>
      </c>
      <c r="O2522" s="1">
        <f>value(SAR!$B2522)</f>
        <v>3605.200556</v>
      </c>
      <c r="P2522" s="1">
        <f>value(AED!$B2522)</f>
        <v>3703.28108</v>
      </c>
      <c r="Q2522" s="1">
        <f>value(KWD!$B2522)</f>
        <v>45493.09371</v>
      </c>
    </row>
    <row r="2523">
      <c r="A2523" s="4">
        <f>value(USD!A2523)</f>
        <v>42888.99861</v>
      </c>
      <c r="B2523" s="1">
        <f>value(USD!B2523)</f>
        <v>13286</v>
      </c>
      <c r="C2523" s="1">
        <f>value(AUD!$B2523)</f>
        <v>10586.2414</v>
      </c>
      <c r="D2523" s="1">
        <f>value(EUR!$B2523)</f>
        <v>15006.64592</v>
      </c>
      <c r="E2523" s="1">
        <f>value(GBP!$B2523)</f>
        <v>17121.18368</v>
      </c>
      <c r="F2523" s="1">
        <f>value(CHF!$B2523)</f>
        <v>13935.8539</v>
      </c>
      <c r="G2523" s="1">
        <f>value(SGD!$B2523)</f>
        <v>9663.47459</v>
      </c>
      <c r="H2523" s="1">
        <f>value(MYR!$B2523)</f>
        <v>3106.61704</v>
      </c>
      <c r="I2523" s="1">
        <f>value(THB!$B2523)</f>
        <v>390.4724</v>
      </c>
      <c r="J2523" s="1">
        <f>value(VND!$B2523)</f>
        <v>0.6427364192</v>
      </c>
      <c r="K2523" s="1">
        <f>value(CNY!$B2523)</f>
        <v>2026.1941</v>
      </c>
      <c r="L2523" s="1">
        <f>value(HKD!$B2523)</f>
        <v>1709.72906</v>
      </c>
      <c r="M2523" s="1">
        <f>value(TWD!$B2523)</f>
        <v>444.6141</v>
      </c>
      <c r="N2523" s="1">
        <f>value(JPY!$B2523)</f>
        <v>120.374592</v>
      </c>
      <c r="O2523" s="1">
        <f>value(SAR!$B2523)</f>
        <v>3614.692495</v>
      </c>
      <c r="P2523" s="1">
        <f>value(AED!$B2523)</f>
        <v>3705.337626</v>
      </c>
      <c r="Q2523" s="1">
        <f>value(KWD!$B2523)</f>
        <v>45324.40651</v>
      </c>
    </row>
    <row r="2524">
      <c r="A2524" s="4">
        <f>value(USD!A2524)</f>
        <v>42889.99861</v>
      </c>
      <c r="B2524" s="1">
        <f>value(USD!B2524)</f>
        <v>13304</v>
      </c>
      <c r="C2524" s="1">
        <f>value(AUD!$B2524)</f>
        <v>10591.53312</v>
      </c>
      <c r="D2524" s="1">
        <f>value(EUR!$B2524)</f>
        <v>14948.6882</v>
      </c>
      <c r="E2524" s="1">
        <f>value(GBP!$B2524)</f>
        <v>17143.43829</v>
      </c>
      <c r="F2524" s="1">
        <f>value(CHF!$B2524)</f>
        <v>13981.453</v>
      </c>
      <c r="G2524" s="1">
        <f>value(SGD!$B2524)</f>
        <v>9700.60259</v>
      </c>
      <c r="H2524" s="1">
        <f>value(MYR!$B2524)</f>
        <v>3113.66803</v>
      </c>
      <c r="I2524" s="1">
        <f>value(THB!$B2524)</f>
        <v>390.38737</v>
      </c>
      <c r="J2524" s="1">
        <f>value(VND!$B2524)</f>
        <v>0.6416559828</v>
      </c>
      <c r="K2524" s="1">
        <f>value(CNY!$B2524)</f>
        <v>2013.27602</v>
      </c>
      <c r="L2524" s="1">
        <f>value(HKD!$B2524)</f>
        <v>1711.53304</v>
      </c>
      <c r="M2524" s="1">
        <f>value(TWD!$B2524)</f>
        <v>446.7757</v>
      </c>
      <c r="N2524" s="1">
        <f>value(JPY!$B2524)</f>
        <v>120.304131</v>
      </c>
      <c r="O2524" s="1">
        <f>value(SAR!$B2524)</f>
        <v>3612.617138</v>
      </c>
      <c r="P2524" s="1">
        <f>value(AED!$B2524)</f>
        <v>3705.0503</v>
      </c>
      <c r="Q2524" s="1">
        <f>value(KWD!$B2524)</f>
        <v>45430.7626</v>
      </c>
    </row>
    <row r="2525">
      <c r="A2525" s="4">
        <f>value(USD!A2525)</f>
        <v>42890.99861</v>
      </c>
      <c r="B2525" s="1">
        <f>value(USD!B2525)</f>
        <v>13304</v>
      </c>
      <c r="C2525" s="1">
        <f>value(AUD!$B2525)</f>
        <v>10544.0725</v>
      </c>
      <c r="D2525" s="1">
        <f>value(EUR!$B2525)</f>
        <v>14943.55595</v>
      </c>
      <c r="E2525" s="1">
        <f>value(GBP!$B2525)</f>
        <v>17110.20914</v>
      </c>
      <c r="F2525" s="1">
        <f>value(CHF!$B2525)</f>
        <v>14084.2933</v>
      </c>
      <c r="G2525" s="1">
        <f>value(SGD!$B2525)</f>
        <v>9709.5798</v>
      </c>
      <c r="H2525" s="1">
        <f>value(MYR!$B2525)</f>
        <v>3101.54528</v>
      </c>
      <c r="I2525" s="1">
        <f>value(THB!$B2525)</f>
        <v>390.47755</v>
      </c>
      <c r="J2525" s="1">
        <f>value(VND!$B2525)</f>
        <v>0.6328742721</v>
      </c>
      <c r="K2525" s="1">
        <f>value(CNY!$B2525)</f>
        <v>2021.14947</v>
      </c>
      <c r="L2525" s="1">
        <f>value(HKD!$B2525)</f>
        <v>1713.42549</v>
      </c>
      <c r="M2525" s="1">
        <f>value(TWD!$B2525)</f>
        <v>446.64882</v>
      </c>
      <c r="N2525" s="1">
        <f>value(JPY!$B2525)</f>
        <v>121.041411</v>
      </c>
      <c r="O2525" s="1">
        <f>value(SAR!$B2525)</f>
        <v>3614.163571</v>
      </c>
      <c r="P2525" s="1">
        <f>value(AED!$B2525)</f>
        <v>3713.35174</v>
      </c>
      <c r="Q2525" s="1">
        <f>value(KWD!$B2525)</f>
        <v>45430.7626</v>
      </c>
    </row>
    <row r="2526">
      <c r="A2526" s="4">
        <f>value(USD!A2526)</f>
        <v>42891.99861</v>
      </c>
      <c r="B2526" s="1">
        <f>value(USD!B2526)</f>
        <v>13283</v>
      </c>
      <c r="C2526" s="1">
        <f>value(AUD!$B2526)</f>
        <v>10561.44206</v>
      </c>
      <c r="D2526" s="1">
        <f>value(EUR!$B2526)</f>
        <v>14983.11585</v>
      </c>
      <c r="E2526" s="1">
        <f>value(GBP!$B2526)</f>
        <v>17255.24556</v>
      </c>
      <c r="F2526" s="1">
        <f>value(CHF!$B2526)</f>
        <v>14084.0184</v>
      </c>
      <c r="G2526" s="1">
        <f>value(SGD!$B2526)</f>
        <v>9688.0665</v>
      </c>
      <c r="H2526" s="1">
        <f>value(MYR!$B2526)</f>
        <v>3122.16476</v>
      </c>
      <c r="I2526" s="1">
        <f>value(THB!$B2526)</f>
        <v>391.13594</v>
      </c>
      <c r="J2526" s="1">
        <f>value(VND!$B2526)</f>
        <v>0.626434352</v>
      </c>
      <c r="K2526" s="1">
        <f>value(CNY!$B2526)</f>
        <v>2021.4344</v>
      </c>
      <c r="L2526" s="1">
        <f>value(HKD!$B2526)</f>
        <v>1715.70595</v>
      </c>
      <c r="M2526" s="1">
        <f>value(TWD!$B2526)</f>
        <v>444.9359</v>
      </c>
      <c r="N2526" s="1">
        <f>value(JPY!$B2526)</f>
        <v>121.121674</v>
      </c>
      <c r="O2526" s="1">
        <f>value(SAR!$B2526)</f>
        <v>3618.219139</v>
      </c>
      <c r="P2526" s="1">
        <f>value(AED!$B2526)</f>
        <v>3712.5352</v>
      </c>
      <c r="Q2526" s="1">
        <f>value(KWD!$B2526)</f>
        <v>45430.7626</v>
      </c>
    </row>
    <row r="2527">
      <c r="A2527" s="4">
        <f>value(USD!A2527)</f>
        <v>42892.99861</v>
      </c>
      <c r="B2527" s="1">
        <f>value(USD!B2527)</f>
        <v>13259</v>
      </c>
      <c r="C2527" s="1">
        <f>value(AUD!$B2527)</f>
        <v>10532.80334</v>
      </c>
      <c r="D2527" s="1">
        <f>value(EUR!$B2527)</f>
        <v>14865.96069</v>
      </c>
      <c r="E2527" s="1">
        <f>value(GBP!$B2527)</f>
        <v>16908.43014</v>
      </c>
      <c r="F2527" s="1">
        <f>value(CHF!$B2527)</f>
        <v>14039.676</v>
      </c>
      <c r="G2527" s="1">
        <f>value(SGD!$B2527)</f>
        <v>9723.56088</v>
      </c>
      <c r="H2527" s="1">
        <f>value(MYR!$B2527)</f>
        <v>3116.80971</v>
      </c>
      <c r="I2527" s="1">
        <f>value(THB!$B2527)</f>
        <v>389.88369</v>
      </c>
      <c r="J2527" s="1">
        <f>value(VND!$B2527)</f>
        <v>0.6239620374</v>
      </c>
      <c r="K2527" s="1">
        <f>value(CNY!$B2527)</f>
        <v>2021.32854</v>
      </c>
      <c r="L2527" s="1">
        <f>value(HKD!$B2527)</f>
        <v>1717.985451</v>
      </c>
      <c r="M2527" s="1">
        <f>value(TWD!$B2527)</f>
        <v>447.12488</v>
      </c>
      <c r="N2527" s="1">
        <f>value(JPY!$B2527)</f>
        <v>120.979593</v>
      </c>
      <c r="O2527" s="1">
        <f>value(SAR!$B2527)</f>
        <v>3602.146114</v>
      </c>
      <c r="P2527" s="1">
        <f>value(AED!$B2527)</f>
        <v>3707.63596</v>
      </c>
      <c r="Q2527" s="1">
        <f>value(KWD!$B2527)</f>
        <v>45306.84736</v>
      </c>
    </row>
    <row r="2528">
      <c r="A2528" s="4">
        <f>value(USD!A2528)</f>
        <v>42893.99861</v>
      </c>
      <c r="B2528" s="1">
        <f>value(USD!B2528)</f>
        <v>13313</v>
      </c>
      <c r="C2528" s="1">
        <f>value(AUD!$B2528)</f>
        <v>10579.27959</v>
      </c>
      <c r="D2528" s="1">
        <f>value(EUR!$B2528)</f>
        <v>14878.23151</v>
      </c>
      <c r="E2528" s="1">
        <f>value(GBP!$B2528)</f>
        <v>16932.44513</v>
      </c>
      <c r="F2528" s="1">
        <f>value(CHF!$B2528)</f>
        <v>14055.038</v>
      </c>
      <c r="G2528" s="1">
        <f>value(SGD!$B2528)</f>
        <v>9719.93407</v>
      </c>
      <c r="H2528" s="1">
        <f>value(MYR!$B2528)</f>
        <v>3114.01137</v>
      </c>
      <c r="I2528" s="1">
        <f>value(THB!$B2528)</f>
        <v>389.76637</v>
      </c>
      <c r="J2528" s="1">
        <f>value(VND!$B2528)</f>
        <v>0.6275653343</v>
      </c>
      <c r="K2528" s="1">
        <f>value(CNY!$B2528)</f>
        <v>2031.54921</v>
      </c>
      <c r="L2528" s="1">
        <f>value(HKD!$B2528)</f>
        <v>1716.224</v>
      </c>
      <c r="M2528" s="1">
        <f>value(TWD!$B2528)</f>
        <v>447.12488</v>
      </c>
      <c r="N2528" s="1">
        <f>value(JPY!$B2528)</f>
        <v>120.39834</v>
      </c>
      <c r="O2528" s="1">
        <f>value(SAR!$B2528)</f>
        <v>3607.218055</v>
      </c>
      <c r="P2528" s="1">
        <f>value(AED!$B2528)</f>
        <v>3688.58336</v>
      </c>
      <c r="Q2528" s="1">
        <f>value(KWD!$B2528)</f>
        <v>45488.87683</v>
      </c>
    </row>
    <row r="2529">
      <c r="A2529" s="4">
        <f>value(USD!A2529)</f>
        <v>42894.99861</v>
      </c>
      <c r="B2529" s="1">
        <f>value(USD!B2529)</f>
        <v>13293</v>
      </c>
      <c r="C2529" s="1">
        <f>value(AUD!$B2529)</f>
        <v>10580.7471</v>
      </c>
      <c r="D2529" s="1">
        <f>value(EUR!$B2529)</f>
        <v>14864.0952</v>
      </c>
      <c r="E2529" s="1">
        <f>value(GBP!$B2529)</f>
        <v>16923.9783</v>
      </c>
      <c r="F2529" s="1">
        <f>value(CHF!$B2529)</f>
        <v>13987.33616</v>
      </c>
      <c r="G2529" s="1">
        <f>value(SGD!$B2529)</f>
        <v>9733.33944</v>
      </c>
      <c r="H2529" s="1">
        <f>value(MYR!$B2529)</f>
        <v>3112.13673</v>
      </c>
      <c r="I2529" s="1">
        <f>value(THB!$B2529)</f>
        <v>389.53173</v>
      </c>
      <c r="J2529" s="1">
        <f>value(VND!$B2529)</f>
        <v>0.6196443504</v>
      </c>
      <c r="K2529" s="1">
        <f>value(CNY!$B2529)</f>
        <v>2032.5207</v>
      </c>
      <c r="L2529" s="1">
        <f>value(HKD!$B2529)</f>
        <v>1713.39624</v>
      </c>
      <c r="M2529" s="1">
        <f>value(TWD!$B2529)</f>
        <v>446.59464</v>
      </c>
      <c r="N2529" s="1">
        <f>value(JPY!$B2529)</f>
        <v>120.32586</v>
      </c>
      <c r="O2529" s="1">
        <f>value(SAR!$B2529)</f>
        <v>3612.823885</v>
      </c>
      <c r="P2529" s="1">
        <f>value(AED!$B2529)</f>
        <v>3689.532</v>
      </c>
      <c r="Q2529" s="1">
        <f>value(KWD!$B2529)</f>
        <v>45502.24804</v>
      </c>
    </row>
    <row r="2530">
      <c r="A2530" s="4">
        <f>value(USD!A2530)</f>
        <v>42895.99861</v>
      </c>
      <c r="B2530" s="1">
        <f>value(USD!B2530)</f>
        <v>13289</v>
      </c>
      <c r="C2530" s="1">
        <f>value(AUD!$B2530)</f>
        <v>10590.76583</v>
      </c>
      <c r="D2530" s="1">
        <f>value(EUR!$B2530)</f>
        <v>14890.26705</v>
      </c>
      <c r="E2530" s="1">
        <f>value(GBP!$B2530)</f>
        <v>16935.171</v>
      </c>
      <c r="F2530" s="1">
        <f>value(CHF!$B2530)</f>
        <v>14010.1119</v>
      </c>
      <c r="G2530" s="1">
        <f>value(SGD!$B2530)</f>
        <v>9723.82158</v>
      </c>
      <c r="H2530" s="1">
        <f>value(MYR!$B2530)</f>
        <v>3115.41735</v>
      </c>
      <c r="I2530" s="1">
        <f>value(THB!$B2530)</f>
        <v>390.20825</v>
      </c>
      <c r="J2530" s="1">
        <f>value(VND!$B2530)</f>
        <v>0.620217449</v>
      </c>
      <c r="K2530" s="1">
        <f>value(CNY!$B2530)</f>
        <v>2035.91032</v>
      </c>
      <c r="L2530" s="1">
        <f>value(HKD!$B2530)</f>
        <v>1708.53851</v>
      </c>
      <c r="M2530" s="1">
        <f>value(TWD!$B2530)</f>
        <v>446.6845</v>
      </c>
      <c r="N2530" s="1">
        <f>value(JPY!$B2530)</f>
        <v>120.519175</v>
      </c>
      <c r="O2530" s="1">
        <f>value(SAR!$B2530)</f>
        <v>3618.378855</v>
      </c>
      <c r="P2530" s="1">
        <f>value(AED!$B2530)</f>
        <v>3689.727419</v>
      </c>
      <c r="Q2530" s="1">
        <f>value(KWD!$B2530)</f>
        <v>45716.1875</v>
      </c>
    </row>
    <row r="2531">
      <c r="A2531" s="4">
        <f>value(USD!A2531)</f>
        <v>42896.99861</v>
      </c>
      <c r="B2531" s="1">
        <f>value(USD!B2531)</f>
        <v>13281</v>
      </c>
      <c r="C2531" s="1">
        <f>value(AUD!$B2531)</f>
        <v>10541.2972</v>
      </c>
      <c r="D2531" s="1">
        <f>value(EUR!$B2531)</f>
        <v>14905.82184</v>
      </c>
      <c r="E2531" s="1">
        <f>value(GBP!$B2531)</f>
        <v>16867.10718</v>
      </c>
      <c r="F2531" s="1">
        <f>value(CHF!$B2531)</f>
        <v>13808.8314</v>
      </c>
      <c r="G2531" s="1">
        <f>value(SGD!$B2531)</f>
        <v>9730.08026</v>
      </c>
      <c r="H2531" s="1">
        <f>value(MYR!$B2531)</f>
        <v>3119.86962</v>
      </c>
      <c r="I2531" s="1">
        <f>value(THB!$B2531)</f>
        <v>390.89904</v>
      </c>
      <c r="J2531" s="1">
        <f>value(VND!$B2531)</f>
        <v>0.6198038417</v>
      </c>
      <c r="K2531" s="1">
        <f>value(CNY!$B2531)</f>
        <v>2044.74489</v>
      </c>
      <c r="L2531" s="1">
        <f>value(HKD!$B2531)</f>
        <v>1710.86489</v>
      </c>
      <c r="M2531" s="1">
        <f>value(TWD!$B2531)</f>
        <v>447.3161</v>
      </c>
      <c r="N2531" s="1">
        <f>value(JPY!$B2531)</f>
        <v>121.09083</v>
      </c>
      <c r="O2531" s="1">
        <f>value(SAR!$B2531)</f>
        <v>3616.884779</v>
      </c>
      <c r="P2531" s="1">
        <f>value(AED!$B2531)</f>
        <v>3689.26096</v>
      </c>
      <c r="Q2531" s="1">
        <f>value(KWD!$B2531)</f>
        <v>45506.66211</v>
      </c>
    </row>
    <row r="2532">
      <c r="A2532" s="4">
        <f>value(USD!A2532)</f>
        <v>42897.99861</v>
      </c>
      <c r="B2532" s="1">
        <f>value(USD!B2532)</f>
        <v>13295</v>
      </c>
      <c r="C2532" s="1">
        <f>value(AUD!$B2532)</f>
        <v>10607.60147</v>
      </c>
      <c r="D2532" s="1">
        <f>value(EUR!$B2532)</f>
        <v>14886.86406</v>
      </c>
      <c r="E2532" s="1">
        <f>value(GBP!$B2532)</f>
        <v>16932.82334</v>
      </c>
      <c r="F2532" s="1">
        <f>value(CHF!$B2532)</f>
        <v>13760.3865</v>
      </c>
      <c r="G2532" s="1">
        <f>value(SGD!$B2532)</f>
        <v>9778.01363</v>
      </c>
      <c r="H2532" s="1">
        <f>value(MYR!$B2532)</f>
        <v>3113.03516</v>
      </c>
      <c r="I2532" s="1">
        <f>value(THB!$B2532)</f>
        <v>391.55336</v>
      </c>
      <c r="J2532" s="1">
        <f>value(VND!$B2532)</f>
        <v>0.6230086134</v>
      </c>
      <c r="K2532" s="1">
        <f>value(CNY!$B2532)</f>
        <v>2039.01569</v>
      </c>
      <c r="L2532" s="1">
        <f>value(HKD!$B2532)</f>
        <v>1708.44846</v>
      </c>
      <c r="M2532" s="1">
        <f>value(TWD!$B2532)</f>
        <v>446.1143</v>
      </c>
      <c r="N2532" s="1">
        <f>value(JPY!$B2532)</f>
        <v>120.673611</v>
      </c>
      <c r="O2532" s="1">
        <f>value(SAR!$B2532)</f>
        <v>3610.325753</v>
      </c>
      <c r="P2532" s="1">
        <f>value(AED!$B2532)</f>
        <v>3689.12772</v>
      </c>
      <c r="Q2532" s="1">
        <f>value(KWD!$B2532)</f>
        <v>45597.85747</v>
      </c>
    </row>
    <row r="2533">
      <c r="A2533" s="4">
        <f>value(USD!A2533)</f>
        <v>42898.99861</v>
      </c>
      <c r="B2533" s="1">
        <f>value(USD!B2533)</f>
        <v>13314</v>
      </c>
      <c r="C2533" s="1">
        <f>value(AUD!$B2533)</f>
        <v>10539.1936</v>
      </c>
      <c r="D2533" s="1">
        <f>value(EUR!$B2533)</f>
        <v>14896.39606</v>
      </c>
      <c r="E2533" s="1">
        <f>value(GBP!$B2533)</f>
        <v>16944.56582</v>
      </c>
      <c r="F2533" s="1">
        <f>value(CHF!$B2533)</f>
        <v>13747.572</v>
      </c>
      <c r="G2533" s="1">
        <f>value(SGD!$B2533)</f>
        <v>9774.75106</v>
      </c>
      <c r="H2533" s="1">
        <f>value(MYR!$B2533)</f>
        <v>3118.35706</v>
      </c>
      <c r="I2533" s="1">
        <f>value(THB!$B2533)</f>
        <v>392.06986</v>
      </c>
      <c r="J2533" s="1">
        <f>value(VND!$B2533)</f>
        <v>0.6246262894</v>
      </c>
      <c r="K2533" s="1">
        <f>value(CNY!$B2533)</f>
        <v>2045.00209</v>
      </c>
      <c r="L2533" s="1">
        <f>value(HKD!$B2533)</f>
        <v>1703.3554</v>
      </c>
      <c r="M2533" s="1">
        <f>value(TWD!$B2533)</f>
        <v>446.83896</v>
      </c>
      <c r="N2533" s="1">
        <f>value(JPY!$B2533)</f>
        <v>121.36761</v>
      </c>
      <c r="O2533" s="1">
        <f>value(SAR!$B2533)</f>
        <v>3604.077132</v>
      </c>
      <c r="P2533" s="1">
        <f>value(AED!$B2533)</f>
        <v>3703.82544</v>
      </c>
      <c r="Q2533" s="1">
        <f>value(KWD!$B2533)</f>
        <v>45628.58559</v>
      </c>
    </row>
    <row r="2534">
      <c r="A2534" s="4">
        <f>value(USD!A2534)</f>
        <v>42899.99861</v>
      </c>
      <c r="B2534" s="1">
        <f>value(USD!B2534)</f>
        <v>13282</v>
      </c>
      <c r="C2534" s="1">
        <f>value(AUD!$B2534)</f>
        <v>10575.80832</v>
      </c>
      <c r="D2534" s="1">
        <f>value(EUR!$B2534)</f>
        <v>14817.35946</v>
      </c>
      <c r="E2534" s="1">
        <f>value(GBP!$B2534)</f>
        <v>16957.95934</v>
      </c>
      <c r="F2534" s="1">
        <f>value(CHF!$B2534)</f>
        <v>13741.3116</v>
      </c>
      <c r="G2534" s="1">
        <f>value(SGD!$B2534)</f>
        <v>9738.8977</v>
      </c>
      <c r="H2534" s="1">
        <f>value(MYR!$B2534)</f>
        <v>3113.32186</v>
      </c>
      <c r="I2534" s="1">
        <f>value(THB!$B2534)</f>
        <v>391.24242</v>
      </c>
      <c r="J2534" s="1">
        <f>value(VND!$B2534)</f>
        <v>0.6219586563</v>
      </c>
      <c r="K2534" s="1">
        <f>value(CNY!$B2534)</f>
        <v>2049.1638</v>
      </c>
      <c r="L2534" s="1">
        <f>value(HKD!$B2534)</f>
        <v>1708.09584</v>
      </c>
      <c r="M2534" s="1">
        <f>value(TWD!$B2534)</f>
        <v>446.83896</v>
      </c>
      <c r="N2534" s="1">
        <f>value(JPY!$B2534)</f>
        <v>119.792234</v>
      </c>
      <c r="O2534" s="1">
        <f>value(SAR!$B2534)</f>
        <v>3617.628882</v>
      </c>
      <c r="P2534" s="1">
        <f>value(AED!$B2534)</f>
        <v>3705.05028</v>
      </c>
      <c r="Q2534" s="1">
        <f>value(KWD!$B2534)</f>
        <v>45632.6174</v>
      </c>
    </row>
    <row r="2535">
      <c r="A2535" s="4">
        <f>value(USD!A2535)</f>
        <v>42900.99861</v>
      </c>
      <c r="B2535" s="1">
        <f>value(USD!B2535)</f>
        <v>13286</v>
      </c>
      <c r="C2535" s="1">
        <f>value(AUD!$B2535)</f>
        <v>10623.46774</v>
      </c>
      <c r="D2535" s="1">
        <f>value(EUR!$B2535)</f>
        <v>14877.0918</v>
      </c>
      <c r="E2535" s="1">
        <f>value(GBP!$B2535)</f>
        <v>16978.5066</v>
      </c>
      <c r="F2535" s="1">
        <f>value(CHF!$B2535)</f>
        <v>13765.4848</v>
      </c>
      <c r="G2535" s="1">
        <f>value(SGD!$B2535)</f>
        <v>9775.2756</v>
      </c>
      <c r="H2535" s="1">
        <f>value(MYR!$B2535)</f>
        <v>3105.873</v>
      </c>
      <c r="I2535" s="1">
        <f>value(THB!$B2535)</f>
        <v>391.2576</v>
      </c>
      <c r="J2535" s="1">
        <f>value(VND!$B2535)</f>
        <v>0.6249135155</v>
      </c>
      <c r="K2535" s="1">
        <f>value(CNY!$B2535)</f>
        <v>2022.96813</v>
      </c>
      <c r="L2535" s="1">
        <f>value(HKD!$B2535)</f>
        <v>1706.95294</v>
      </c>
      <c r="M2535" s="1">
        <f>value(TWD!$B2535)</f>
        <v>446.83896</v>
      </c>
      <c r="N2535" s="1">
        <f>value(JPY!$B2535)</f>
        <v>119.8758</v>
      </c>
      <c r="O2535" s="1">
        <f>value(SAR!$B2535)</f>
        <v>3617.555175</v>
      </c>
      <c r="P2535" s="1">
        <f>value(AED!$B2535)</f>
        <v>3722.33368</v>
      </c>
      <c r="Q2535" s="1">
        <f>value(KWD!$B2535)</f>
        <v>45776.35797</v>
      </c>
    </row>
    <row r="2536">
      <c r="A2536" s="4">
        <f>value(USD!A2536)</f>
        <v>42901.99861</v>
      </c>
      <c r="B2536" s="1">
        <f>value(USD!B2536)</f>
        <v>13294</v>
      </c>
      <c r="C2536" s="1">
        <f>value(AUD!$B2536)</f>
        <v>10634.6625</v>
      </c>
      <c r="D2536" s="1">
        <f>value(EUR!$B2536)</f>
        <v>14861.2992</v>
      </c>
      <c r="E2536" s="1">
        <f>value(GBP!$B2536)</f>
        <v>16982.064</v>
      </c>
      <c r="F2536" s="1">
        <f>value(CHF!$B2536)</f>
        <v>13791.0852</v>
      </c>
      <c r="G2536" s="1">
        <f>value(SGD!$B2536)</f>
        <v>9774.88848</v>
      </c>
      <c r="H2536" s="1">
        <f>value(MYR!$B2536)</f>
        <v>3105.4056</v>
      </c>
      <c r="I2536" s="1">
        <f>value(THB!$B2536)</f>
        <v>390.93296</v>
      </c>
      <c r="J2536" s="1">
        <f>value(VND!$B2536)</f>
        <v>0.6198212021</v>
      </c>
      <c r="K2536" s="1">
        <f>value(CNY!$B2536)</f>
        <v>2023.18935</v>
      </c>
      <c r="L2536" s="1">
        <f>value(HKD!$B2536)</f>
        <v>1704.11922</v>
      </c>
      <c r="M2536" s="1">
        <f>value(TWD!$B2536)</f>
        <v>447.06105</v>
      </c>
      <c r="N2536" s="1">
        <f>value(JPY!$B2536)</f>
        <v>119.85776</v>
      </c>
      <c r="O2536" s="1">
        <f>value(SAR!$B2536)</f>
        <v>3614.522091</v>
      </c>
      <c r="P2536" s="1">
        <f>value(AED!$B2536)</f>
        <v>3715.80136</v>
      </c>
      <c r="Q2536" s="1">
        <f>value(KWD!$B2536)</f>
        <v>45983.61182</v>
      </c>
    </row>
    <row r="2537">
      <c r="A2537" s="4">
        <f>value(USD!A2537)</f>
        <v>42902.99861</v>
      </c>
      <c r="B2537" s="1">
        <f>value(USD!B2537)</f>
        <v>13290</v>
      </c>
      <c r="C2537" s="1">
        <f>value(AUD!$B2537)</f>
        <v>10616.54178</v>
      </c>
      <c r="D2537" s="1">
        <f>value(EUR!$B2537)</f>
        <v>14876.8785</v>
      </c>
      <c r="E2537" s="1">
        <f>value(GBP!$B2537)</f>
        <v>16962.6952</v>
      </c>
      <c r="F2537" s="1">
        <f>value(CHF!$B2537)</f>
        <v>13717.70853</v>
      </c>
      <c r="G2537" s="1">
        <f>value(SGD!$B2537)</f>
        <v>9828.00486</v>
      </c>
      <c r="H2537" s="1">
        <f>value(MYR!$B2537)</f>
        <v>3102.8349</v>
      </c>
      <c r="I2537" s="1">
        <f>value(THB!$B2537)</f>
        <v>391.00765</v>
      </c>
      <c r="J2537" s="1">
        <f>value(VND!$B2537)</f>
        <v>0.6192954435</v>
      </c>
      <c r="K2537" s="1">
        <f>value(CNY!$B2537)</f>
        <v>2020.59267</v>
      </c>
      <c r="L2537" s="1">
        <f>value(HKD!$B2537)</f>
        <v>1704.35054</v>
      </c>
      <c r="M2537" s="1">
        <f>value(TWD!$B2537)</f>
        <v>446.5955</v>
      </c>
      <c r="N2537" s="1">
        <f>value(JPY!$B2537)</f>
        <v>119.639047</v>
      </c>
      <c r="O2537" s="1">
        <f>value(SAR!$B2537)</f>
        <v>3614.592647</v>
      </c>
      <c r="P2537" s="1">
        <f>value(AED!$B2537)</f>
        <v>3715.80136</v>
      </c>
      <c r="Q2537" s="1">
        <f>value(KWD!$B2537)</f>
        <v>45933.46976</v>
      </c>
    </row>
    <row r="2538">
      <c r="A2538" s="4">
        <f>value(USD!A2538)</f>
        <v>42903.99861</v>
      </c>
      <c r="B2538" s="1">
        <f>value(USD!B2538)</f>
        <v>13288</v>
      </c>
      <c r="C2538" s="1">
        <f>value(AUD!$B2538)</f>
        <v>10608.69144</v>
      </c>
      <c r="D2538" s="1">
        <f>value(EUR!$B2538)</f>
        <v>14805.78554</v>
      </c>
      <c r="E2538" s="1">
        <f>value(GBP!$B2538)</f>
        <v>16913.34372</v>
      </c>
      <c r="F2538" s="1">
        <f>value(CHF!$B2538)</f>
        <v>13761.1908</v>
      </c>
      <c r="G2538" s="1">
        <f>value(SGD!$B2538)</f>
        <v>9799.82442</v>
      </c>
      <c r="H2538" s="1">
        <f>value(MYR!$B2538)</f>
        <v>3104.14104</v>
      </c>
      <c r="I2538" s="1">
        <f>value(THB!$B2538)</f>
        <v>390.6084</v>
      </c>
      <c r="J2538" s="1">
        <f>value(VND!$B2538)</f>
        <v>0.6226524598</v>
      </c>
      <c r="K2538" s="1">
        <f>value(CNY!$B2538)</f>
        <v>2017.2456</v>
      </c>
      <c r="L2538" s="1">
        <f>value(HKD!$B2538)</f>
        <v>1703.05006</v>
      </c>
      <c r="M2538" s="1">
        <f>value(TWD!$B2538)</f>
        <v>448.28316</v>
      </c>
      <c r="N2538" s="1">
        <f>value(JPY!$B2538)</f>
        <v>118.949558</v>
      </c>
      <c r="O2538" s="1">
        <f>value(SAR!$B2538)</f>
        <v>3620.54699</v>
      </c>
      <c r="P2538" s="1">
        <f>value(AED!$B2538)</f>
        <v>3718.988476</v>
      </c>
      <c r="Q2538" s="1">
        <f>value(KWD!$B2538)</f>
        <v>45851.93944</v>
      </c>
    </row>
    <row r="2539">
      <c r="A2539" s="4">
        <f>value(USD!A2539)</f>
        <v>42904.99861</v>
      </c>
      <c r="B2539" s="1">
        <f>value(USD!B2539)</f>
        <v>13277</v>
      </c>
      <c r="C2539" s="1">
        <f>value(AUD!$B2539)</f>
        <v>10674.66646</v>
      </c>
      <c r="D2539" s="1">
        <f>value(EUR!$B2539)</f>
        <v>14801.38924</v>
      </c>
      <c r="E2539" s="1">
        <f>value(GBP!$B2539)</f>
        <v>16788.52665</v>
      </c>
      <c r="F2539" s="1">
        <f>value(CHF!$B2539)</f>
        <v>13682.0736</v>
      </c>
      <c r="G2539" s="1">
        <f>value(SGD!$B2539)</f>
        <v>9827.895</v>
      </c>
      <c r="H2539" s="1">
        <f>value(MYR!$B2539)</f>
        <v>3100.65739</v>
      </c>
      <c r="I2539" s="1">
        <f>value(THB!$B2539)</f>
        <v>390.62249</v>
      </c>
      <c r="J2539" s="1">
        <f>value(VND!$B2539)</f>
        <v>0.6229240142</v>
      </c>
      <c r="K2539" s="1">
        <f>value(CNY!$B2539)</f>
        <v>2020.69192</v>
      </c>
      <c r="L2539" s="1">
        <f>value(HKD!$B2539)</f>
        <v>1705.48763</v>
      </c>
      <c r="M2539" s="1">
        <f>value(TWD!$B2539)</f>
        <v>451.17401</v>
      </c>
      <c r="N2539" s="1">
        <f>value(JPY!$B2539)</f>
        <v>119.339889</v>
      </c>
      <c r="O2539" s="1">
        <f>value(SAR!$B2539)</f>
        <v>3618.133242</v>
      </c>
      <c r="P2539" s="1">
        <f>value(AED!$B2539)</f>
        <v>3715.52918</v>
      </c>
      <c r="Q2539" s="1">
        <f>value(KWD!$B2539)</f>
        <v>45851.93944</v>
      </c>
    </row>
    <row r="2540">
      <c r="A2540" s="4">
        <f>value(USD!A2540)</f>
        <v>42905.99861</v>
      </c>
      <c r="B2540" s="1">
        <f>value(USD!B2540)</f>
        <v>13286</v>
      </c>
      <c r="C2540" s="1">
        <f>value(AUD!$B2540)</f>
        <v>10680.5373</v>
      </c>
      <c r="D2540" s="1">
        <f>value(EUR!$B2540)</f>
        <v>14852.56165</v>
      </c>
      <c r="E2540" s="1">
        <f>value(GBP!$B2540)</f>
        <v>16858.48546</v>
      </c>
      <c r="F2540" s="1">
        <f>value(CHF!$B2540)</f>
        <v>13678.9902</v>
      </c>
      <c r="G2540" s="1">
        <f>value(SGD!$B2540)</f>
        <v>9812.178</v>
      </c>
      <c r="H2540" s="1">
        <f>value(MYR!$B2540)</f>
        <v>3100.86213</v>
      </c>
      <c r="I2540" s="1">
        <f>value(THB!$B2540)</f>
        <v>391.18241</v>
      </c>
      <c r="J2540" s="1">
        <f>value(VND!$B2540)</f>
        <v>0.6268900276</v>
      </c>
      <c r="K2540" s="1">
        <f>value(CNY!$B2540)</f>
        <v>2023.90728</v>
      </c>
      <c r="L2540" s="1">
        <f>value(HKD!$B2540)</f>
        <v>1705.74888</v>
      </c>
      <c r="M2540" s="1">
        <f>value(TWD!$B2540)</f>
        <v>450.54165</v>
      </c>
      <c r="N2540" s="1">
        <f>value(JPY!$B2540)</f>
        <v>119.469582</v>
      </c>
      <c r="O2540" s="1">
        <f>value(SAR!$B2540)</f>
        <v>3625.490488</v>
      </c>
      <c r="P2540" s="1">
        <f>value(AED!$B2540)</f>
        <v>3727.23292</v>
      </c>
      <c r="Q2540" s="1">
        <f>value(KWD!$B2540)</f>
        <v>45851.93944</v>
      </c>
    </row>
    <row r="2541">
      <c r="A2541" s="4">
        <f>value(USD!A2541)</f>
        <v>42906.99861</v>
      </c>
      <c r="B2541" s="1">
        <f>value(USD!B2541)</f>
        <v>13291</v>
      </c>
      <c r="C2541" s="1">
        <f>value(AUD!$B2541)</f>
        <v>10707.47886</v>
      </c>
      <c r="D2541" s="1">
        <f>value(EUR!$B2541)</f>
        <v>14873.8809</v>
      </c>
      <c r="E2541" s="1">
        <f>value(GBP!$B2541)</f>
        <v>16912.51911</v>
      </c>
      <c r="F2541" s="1">
        <f>value(CHF!$B2541)</f>
        <v>13675.70335</v>
      </c>
      <c r="G2541" s="1">
        <f>value(SGD!$B2541)</f>
        <v>9815.1084</v>
      </c>
      <c r="H2541" s="1">
        <f>value(MYR!$B2541)</f>
        <v>3110.18733</v>
      </c>
      <c r="I2541" s="1">
        <f>value(THB!$B2541)</f>
        <v>392.49222</v>
      </c>
      <c r="J2541" s="1">
        <f>value(VND!$B2541)</f>
        <v>0.6289518832</v>
      </c>
      <c r="K2541" s="1">
        <f>value(CNY!$B2541)</f>
        <v>2023.1181</v>
      </c>
      <c r="L2541" s="1">
        <f>value(HKD!$B2541)</f>
        <v>1698.31795</v>
      </c>
      <c r="M2541" s="1">
        <f>value(TWD!$B2541)</f>
        <v>450.4422</v>
      </c>
      <c r="N2541" s="1">
        <f>value(JPY!$B2541)</f>
        <v>119.8608804</v>
      </c>
      <c r="O2541" s="1">
        <f>value(SAR!$B2541)</f>
        <v>3623.768601</v>
      </c>
      <c r="P2541" s="1">
        <f>value(AED!$B2541)</f>
        <v>3744.10808</v>
      </c>
      <c r="Q2541" s="1">
        <f>value(KWD!$B2541)</f>
        <v>45897.08907</v>
      </c>
    </row>
    <row r="2542">
      <c r="A2542" s="4">
        <f>value(USD!A2542)</f>
        <v>42907.99861</v>
      </c>
      <c r="B2542" s="1">
        <f>value(USD!B2542)</f>
        <v>13301</v>
      </c>
      <c r="C2542" s="1">
        <f>value(AUD!$B2542)</f>
        <v>10628.20395</v>
      </c>
      <c r="D2542" s="1">
        <f>value(EUR!$B2542)</f>
        <v>14897.29606</v>
      </c>
      <c r="E2542" s="1">
        <f>value(GBP!$B2542)</f>
        <v>16927.58401</v>
      </c>
      <c r="F2542" s="1">
        <f>value(CHF!$B2542)</f>
        <v>13671.915</v>
      </c>
      <c r="G2542" s="1">
        <f>value(SGD!$B2542)</f>
        <v>9817.89642</v>
      </c>
      <c r="H2542" s="1">
        <f>value(MYR!$B2542)</f>
        <v>3101.52936</v>
      </c>
      <c r="I2542" s="1">
        <f>value(THB!$B2542)</f>
        <v>391.95005</v>
      </c>
      <c r="J2542" s="1">
        <f>value(VND!$B2542)</f>
        <v>0.62531628</v>
      </c>
      <c r="K2542" s="1">
        <f>value(CNY!$B2542)</f>
        <v>2020.6773</v>
      </c>
      <c r="L2542" s="1">
        <f>value(HKD!$B2542)</f>
        <v>1705.51328</v>
      </c>
      <c r="M2542" s="1">
        <f>value(TWD!$B2542)</f>
        <v>449.2994</v>
      </c>
      <c r="N2542" s="1">
        <f>value(JPY!$B2542)</f>
        <v>119.64791</v>
      </c>
      <c r="O2542" s="1">
        <f>value(SAR!$B2542)</f>
        <v>3623.234712</v>
      </c>
      <c r="P2542" s="1">
        <f>value(AED!$B2542)</f>
        <v>3740.02538</v>
      </c>
      <c r="Q2542" s="1">
        <f>value(KWD!$B2542)</f>
        <v>45978.27143</v>
      </c>
    </row>
    <row r="2543">
      <c r="A2543" s="4">
        <f>value(USD!A2543)</f>
        <v>42908.99861</v>
      </c>
      <c r="B2543" s="1">
        <f>value(USD!B2543)</f>
        <v>13341</v>
      </c>
      <c r="C2543" s="1">
        <f>value(AUD!$B2543)</f>
        <v>10631.2115</v>
      </c>
      <c r="D2543" s="1">
        <f>value(EUR!$B2543)</f>
        <v>14905.54226</v>
      </c>
      <c r="E2543" s="1">
        <f>value(GBP!$B2543)</f>
        <v>16933.41036</v>
      </c>
      <c r="F2543" s="1">
        <f>value(CHF!$B2543)</f>
        <v>13827.0576</v>
      </c>
      <c r="G2543" s="1">
        <f>value(SGD!$B2543)</f>
        <v>9795.71886</v>
      </c>
      <c r="H2543" s="1">
        <f>value(MYR!$B2543)</f>
        <v>3103.060432</v>
      </c>
      <c r="I2543" s="1">
        <f>value(THB!$B2543)</f>
        <v>392.1435365</v>
      </c>
      <c r="J2543" s="1">
        <f>value(VND!$B2543)</f>
        <v>0.6271415055</v>
      </c>
      <c r="K2543" s="1">
        <f>value(CNY!$B2543)</f>
        <v>2022.65276</v>
      </c>
      <c r="L2543" s="1">
        <f>value(HKD!$B2543)</f>
        <v>1706.6504</v>
      </c>
      <c r="M2543" s="1">
        <f>value(TWD!$B2543)</f>
        <v>449.3151</v>
      </c>
      <c r="N2543" s="1">
        <f>value(JPY!$B2543)</f>
        <v>119.5738186</v>
      </c>
      <c r="O2543" s="1">
        <f>value(SAR!$B2543)</f>
        <v>3619.621988</v>
      </c>
      <c r="P2543" s="1">
        <f>value(AED!$B2543)</f>
        <v>3742.74718</v>
      </c>
      <c r="Q2543" s="1">
        <f>value(KWD!$B2543)</f>
        <v>45925.3438</v>
      </c>
    </row>
    <row r="2544">
      <c r="A2544" s="4">
        <f>value(USD!A2544)</f>
        <v>42909.99861</v>
      </c>
      <c r="B2544" s="1">
        <f>value(USD!B2544)</f>
        <v>13309</v>
      </c>
      <c r="C2544" s="1">
        <f>value(AUD!$B2544)</f>
        <v>10622.39727</v>
      </c>
      <c r="D2544" s="1">
        <f>value(EUR!$B2544)</f>
        <v>14875.55604</v>
      </c>
      <c r="E2544" s="1">
        <f>value(GBP!$B2544)</f>
        <v>16927.00416</v>
      </c>
      <c r="F2544" s="1">
        <f>value(CHF!$B2544)</f>
        <v>13854.7492</v>
      </c>
      <c r="G2544" s="1">
        <f>value(SGD!$B2544)</f>
        <v>9784.79892</v>
      </c>
      <c r="H2544" s="1">
        <f>value(MYR!$B2544)</f>
        <v>3095.8362</v>
      </c>
      <c r="I2544" s="1">
        <f>value(THB!$B2544)</f>
        <v>391.34664</v>
      </c>
      <c r="J2544" s="1">
        <f>value(VND!$B2544)</f>
        <v>0.626768121</v>
      </c>
      <c r="K2544" s="1">
        <f>value(CNY!$B2544)</f>
        <v>2018.0628</v>
      </c>
      <c r="L2544" s="1">
        <f>value(HKD!$B2544)</f>
        <v>1706.64516</v>
      </c>
      <c r="M2544" s="1">
        <f>value(TWD!$B2544)</f>
        <v>449.41748</v>
      </c>
      <c r="N2544" s="1">
        <f>value(JPY!$B2544)</f>
        <v>119.370024</v>
      </c>
      <c r="O2544" s="1">
        <f>value(SAR!$B2544)</f>
        <v>3617.452971</v>
      </c>
      <c r="P2544" s="1">
        <f>value(AED!$B2544)</f>
        <v>3744.825643</v>
      </c>
      <c r="Q2544" s="1">
        <f>value(KWD!$B2544)</f>
        <v>45999.33262</v>
      </c>
    </row>
    <row r="2545">
      <c r="A2545" s="4">
        <f>value(USD!A2545)</f>
        <v>42910.99861</v>
      </c>
      <c r="B2545" s="1">
        <f>value(USD!B2545)</f>
        <v>13315.57</v>
      </c>
      <c r="C2545" s="1">
        <f>value(AUD!$B2545)</f>
        <v>10571.1048</v>
      </c>
      <c r="D2545" s="1">
        <f>value(EUR!$B2545)</f>
        <v>14892.1876</v>
      </c>
      <c r="E2545" s="1">
        <f>value(GBP!$B2545)</f>
        <v>16944.4914</v>
      </c>
      <c r="F2545" s="1">
        <f>value(CHF!$B2545)</f>
        <v>13874.9506</v>
      </c>
      <c r="G2545" s="1">
        <f>value(SGD!$B2545)</f>
        <v>9806.7797</v>
      </c>
      <c r="H2545" s="1">
        <f>value(MYR!$B2545)</f>
        <v>3104.02626</v>
      </c>
      <c r="I2545" s="1">
        <f>value(THB!$B2545)</f>
        <v>391.81556</v>
      </c>
      <c r="J2545" s="1">
        <f>value(VND!$B2545)</f>
        <v>0.6266460072</v>
      </c>
      <c r="K2545" s="1">
        <f>value(CNY!$B2545)</f>
        <v>2013.18872</v>
      </c>
      <c r="L2545" s="1">
        <f>value(HKD!$B2545)</f>
        <v>1704.34044</v>
      </c>
      <c r="M2545" s="1">
        <f>value(TWD!$B2545)</f>
        <v>448.67959</v>
      </c>
      <c r="N2545" s="1">
        <f>value(JPY!$B2545)</f>
        <v>119.036284</v>
      </c>
      <c r="O2545" s="1">
        <f>value(SAR!$B2545)</f>
        <v>3617.452971</v>
      </c>
      <c r="P2545" s="1">
        <f>value(AED!$B2545)</f>
        <v>3743.43473</v>
      </c>
      <c r="Q2545" s="1">
        <f>value(KWD!$B2545)</f>
        <v>45869.41224</v>
      </c>
    </row>
    <row r="2546">
      <c r="A2546" s="4">
        <f>value(USD!A2546)</f>
        <v>42911.99861</v>
      </c>
      <c r="B2546" s="1">
        <f>value(USD!B2546)</f>
        <v>13284</v>
      </c>
      <c r="C2546" s="1">
        <f>value(AUD!$B2546)</f>
        <v>10587.5328</v>
      </c>
      <c r="D2546" s="1">
        <f>value(EUR!$B2546)</f>
        <v>15086.74728</v>
      </c>
      <c r="E2546" s="1">
        <f>value(GBP!$B2546)</f>
        <v>17050.07652</v>
      </c>
      <c r="F2546" s="1">
        <f>value(CHF!$B2546)</f>
        <v>13874.3592</v>
      </c>
      <c r="G2546" s="1">
        <f>value(SGD!$B2546)</f>
        <v>9782.3232</v>
      </c>
      <c r="H2546" s="1">
        <f>value(MYR!$B2546)</f>
        <v>3101.4294</v>
      </c>
      <c r="I2546" s="1">
        <f>value(THB!$B2546)</f>
        <v>391.65444</v>
      </c>
      <c r="J2546" s="1">
        <f>value(VND!$B2546)</f>
        <v>0.6270982054</v>
      </c>
      <c r="K2546" s="1">
        <f>value(CNY!$B2546)</f>
        <v>2018.29238</v>
      </c>
      <c r="L2546" s="1">
        <f>value(HKD!$B2546)</f>
        <v>1707.01335</v>
      </c>
      <c r="M2546" s="1">
        <f>value(TWD!$B2546)</f>
        <v>446.5924</v>
      </c>
      <c r="N2546" s="1">
        <f>value(JPY!$B2546)</f>
        <v>118.587588</v>
      </c>
      <c r="O2546" s="1">
        <f>value(SAR!$B2546)</f>
        <v>3613.599909</v>
      </c>
      <c r="P2546" s="1">
        <f>value(AED!$B2546)</f>
        <v>3738.93666</v>
      </c>
      <c r="Q2546" s="1">
        <f>value(KWD!$B2546)</f>
        <v>45876.07446</v>
      </c>
    </row>
    <row r="2547">
      <c r="A2547" s="4">
        <f>value(USD!A2547)</f>
        <v>42912.99861</v>
      </c>
      <c r="B2547" s="1">
        <f>value(USD!B2547)</f>
        <v>13318</v>
      </c>
      <c r="C2547" s="1">
        <f>value(AUD!$B2547)</f>
        <v>10565.92422</v>
      </c>
      <c r="D2547" s="1">
        <f>value(EUR!$B2547)</f>
        <v>15133.37424</v>
      </c>
      <c r="E2547" s="1">
        <f>value(GBP!$B2547)</f>
        <v>17205.42288</v>
      </c>
      <c r="F2547" s="1">
        <f>value(CHF!$B2547)</f>
        <v>13865.0135</v>
      </c>
      <c r="G2547" s="1">
        <f>value(SGD!$B2547)</f>
        <v>9778.92084</v>
      </c>
      <c r="H2547" s="1">
        <f>value(MYR!$B2547)</f>
        <v>3093.18144</v>
      </c>
      <c r="I2547" s="1">
        <f>value(THB!$B2547)</f>
        <v>391.43424</v>
      </c>
      <c r="J2547" s="1">
        <f>value(VND!$B2547)</f>
        <v>0.6270223621</v>
      </c>
      <c r="K2547" s="1">
        <f>value(CNY!$B2547)</f>
        <v>2013.64683</v>
      </c>
      <c r="L2547" s="1">
        <f>value(HKD!$B2547)</f>
        <v>1705.3596</v>
      </c>
      <c r="M2547" s="1">
        <f>value(TWD!$B2547)</f>
        <v>446.5924</v>
      </c>
      <c r="N2547" s="1">
        <f>value(JPY!$B2547)</f>
        <v>118.307808</v>
      </c>
      <c r="O2547" s="1">
        <f>value(SAR!$B2547)</f>
        <v>3676.774171</v>
      </c>
      <c r="P2547" s="1">
        <f>value(AED!$B2547)</f>
        <v>3744.92462</v>
      </c>
      <c r="Q2547" s="1">
        <f>value(KWD!$B2547)</f>
        <v>45888.23431</v>
      </c>
    </row>
    <row r="2548">
      <c r="A2548" s="4">
        <f>value(USD!A2548)</f>
        <v>42913.99861</v>
      </c>
      <c r="B2548" s="1">
        <f>value(USD!B2548)</f>
        <v>13308</v>
      </c>
      <c r="C2548" s="1">
        <f>value(AUD!$B2548)</f>
        <v>10611.19144</v>
      </c>
      <c r="D2548" s="1">
        <f>value(EUR!$B2548)</f>
        <v>15189.23532</v>
      </c>
      <c r="E2548" s="1">
        <f>value(GBP!$B2548)</f>
        <v>17274.94356</v>
      </c>
      <c r="F2548" s="1">
        <f>value(CHF!$B2548)</f>
        <v>13718.2444</v>
      </c>
      <c r="G2548" s="1">
        <f>value(SGD!$B2548)</f>
        <v>9772.4111</v>
      </c>
      <c r="H2548" s="1">
        <f>value(MYR!$B2548)</f>
        <v>3090.05616</v>
      </c>
      <c r="I2548" s="1">
        <f>value(THB!$B2548)</f>
        <v>390.24042</v>
      </c>
      <c r="J2548" s="1">
        <f>value(VND!$B2548)</f>
        <v>0.6307910671</v>
      </c>
      <c r="K2548" s="1">
        <f>value(CNY!$B2548)</f>
        <v>2014.8969</v>
      </c>
      <c r="L2548" s="1">
        <f>value(HKD!$B2548)</f>
        <v>1705.626</v>
      </c>
      <c r="M2548" s="1">
        <f>value(TWD!$B2548)</f>
        <v>446.5924</v>
      </c>
      <c r="N2548" s="1">
        <f>value(JPY!$B2548)</f>
        <v>118.519428</v>
      </c>
      <c r="O2548" s="1">
        <f>value(SAR!$B2548)</f>
        <v>3617.532392</v>
      </c>
      <c r="P2548" s="1">
        <f>value(AED!$B2548)</f>
        <v>3741.1141</v>
      </c>
      <c r="Q2548" s="1">
        <f>value(KWD!$B2548)</f>
        <v>45845.8458</v>
      </c>
    </row>
    <row r="2549">
      <c r="A2549" s="4">
        <f>value(USD!A2549)</f>
        <v>42914.99861</v>
      </c>
      <c r="B2549" s="1">
        <f>value(USD!B2549)</f>
        <v>13296</v>
      </c>
      <c r="C2549" s="1">
        <f>value(AUD!$B2549)</f>
        <v>10598.1246</v>
      </c>
      <c r="D2549" s="1">
        <f>value(EUR!$B2549)</f>
        <v>15208.10555</v>
      </c>
      <c r="E2549" s="1">
        <f>value(GBP!$B2549)</f>
        <v>17341.91319</v>
      </c>
      <c r="F2549" s="1">
        <f>value(CHF!$B2549)</f>
        <v>13730.5828</v>
      </c>
      <c r="G2549" s="1">
        <f>value(SGD!$B2549)</f>
        <v>9754.36248</v>
      </c>
      <c r="H2549" s="1">
        <f>value(MYR!$B2549)</f>
        <v>3098.86701</v>
      </c>
      <c r="I2549" s="1">
        <f>value(THB!$B2549)</f>
        <v>392.06785</v>
      </c>
      <c r="J2549" s="1">
        <f>value(VND!$B2549)</f>
        <v>0.6371434515</v>
      </c>
      <c r="K2549" s="1">
        <f>value(CNY!$B2549)</f>
        <v>2014.12922</v>
      </c>
      <c r="L2549" s="1">
        <f>value(HKD!$B2549)</f>
        <v>1704.97036</v>
      </c>
      <c r="M2549" s="1">
        <f>value(TWD!$B2549)</f>
        <v>446.42213</v>
      </c>
      <c r="N2549" s="1">
        <f>value(JPY!$B2549)</f>
        <v>118.4857</v>
      </c>
      <c r="O2549" s="1">
        <f>value(SAR!$B2549)</f>
        <v>3619.520418</v>
      </c>
      <c r="P2549" s="1">
        <f>value(AED!$B2549)</f>
        <v>3752.41134</v>
      </c>
      <c r="Q2549" s="1">
        <f>value(KWD!$B2549)</f>
        <v>45820.2537</v>
      </c>
    </row>
    <row r="2550">
      <c r="A2550" s="4">
        <f>value(USD!A2550)</f>
        <v>42915.99861</v>
      </c>
      <c r="B2550" s="1">
        <f>value(USD!B2550)</f>
        <v>13278</v>
      </c>
      <c r="C2550" s="1">
        <f>value(AUD!$B2550)</f>
        <v>10596.9618</v>
      </c>
      <c r="D2550" s="1">
        <f>value(EUR!$B2550)</f>
        <v>15194.80232</v>
      </c>
      <c r="E2550" s="1">
        <f>value(GBP!$B2550)</f>
        <v>17322.01561</v>
      </c>
      <c r="F2550" s="1">
        <f>value(CHF!$B2550)</f>
        <v>13831.935</v>
      </c>
      <c r="G2550" s="1">
        <f>value(SGD!$B2550)</f>
        <v>9771.2895</v>
      </c>
      <c r="H2550" s="1">
        <f>value(MYR!$B2550)</f>
        <v>3094.67715</v>
      </c>
      <c r="I2550" s="1">
        <f>value(THB!$B2550)</f>
        <v>391.6707</v>
      </c>
      <c r="J2550" s="1">
        <f>value(VND!$B2550)</f>
        <v>0.62560728</v>
      </c>
      <c r="K2550" s="1">
        <f>value(CNY!$B2550)</f>
        <v>2011.70176</v>
      </c>
      <c r="L2550" s="1">
        <f>value(HKD!$B2550)</f>
        <v>1704.30966</v>
      </c>
      <c r="M2550" s="1">
        <f>value(TWD!$B2550)</f>
        <v>447.44854</v>
      </c>
      <c r="N2550" s="1">
        <f>value(JPY!$B2550)</f>
        <v>118.3255</v>
      </c>
      <c r="O2550" s="1">
        <f>value(SAR!$B2550)</f>
        <v>3619.713755</v>
      </c>
      <c r="P2550" s="1">
        <f>value(AED!$B2550)</f>
        <v>3748.8825</v>
      </c>
      <c r="Q2550" s="1">
        <f>value(KWD!$B2550)</f>
        <v>45951.89885</v>
      </c>
    </row>
    <row r="2551">
      <c r="A2551" s="4">
        <f>value(USD!A2551)</f>
        <v>42916.99861</v>
      </c>
      <c r="B2551" s="1">
        <f>value(USD!B2551)</f>
        <v>13313</v>
      </c>
      <c r="C2551" s="1">
        <f>value(AUD!$B2551)</f>
        <v>10574.99404</v>
      </c>
      <c r="D2551" s="1">
        <f>value(EUR!$B2551)</f>
        <v>15189.6405</v>
      </c>
      <c r="E2551" s="1">
        <f>value(GBP!$B2551)</f>
        <v>17307.74594</v>
      </c>
      <c r="F2551" s="1">
        <f>value(CHF!$B2551)</f>
        <v>13896.1824</v>
      </c>
      <c r="G2551" s="1">
        <f>value(SGD!$B2551)</f>
        <v>9770.82332</v>
      </c>
      <c r="H2551" s="1">
        <f>value(MYR!$B2551)</f>
        <v>3095.37546</v>
      </c>
      <c r="I2551" s="1">
        <f>value(THB!$B2551)</f>
        <v>391.75908</v>
      </c>
      <c r="J2551" s="1">
        <f>value(VND!$B2551)</f>
        <v>0.6299249823</v>
      </c>
      <c r="K2551" s="1">
        <f>value(CNY!$B2551)</f>
        <v>2014.0075</v>
      </c>
      <c r="L2551" s="1">
        <f>value(HKD!$B2551)</f>
        <v>1703.51064</v>
      </c>
      <c r="M2551" s="1">
        <f>value(TWD!$B2551)</f>
        <v>447.08433</v>
      </c>
      <c r="N2551" s="1">
        <f>value(JPY!$B2551)</f>
        <v>118.431988</v>
      </c>
      <c r="O2551" s="1">
        <f>value(SAR!$B2551)</f>
        <v>3605.769135</v>
      </c>
      <c r="P2551" s="1">
        <f>value(AED!$B2551)</f>
        <v>3749.15156</v>
      </c>
      <c r="Q2551" s="1">
        <f>value(KWD!$B2551)</f>
        <v>45902.07376</v>
      </c>
    </row>
    <row r="2552">
      <c r="A2552" s="4">
        <f>value(USD!A2552)</f>
        <v>42917.99861</v>
      </c>
      <c r="B2552" s="1">
        <f>value(USD!B2552)</f>
        <v>13295</v>
      </c>
      <c r="C2552" s="1">
        <f>value(AUD!$B2552)</f>
        <v>10607.4512</v>
      </c>
      <c r="D2552" s="1">
        <f>value(EUR!$B2552)</f>
        <v>15195.80348</v>
      </c>
      <c r="E2552" s="1">
        <f>value(GBP!$B2552)</f>
        <v>17299.698</v>
      </c>
      <c r="F2552" s="1">
        <f>value(CHF!$B2552)</f>
        <v>13838.888</v>
      </c>
      <c r="G2552" s="1">
        <f>value(SGD!$B2552)</f>
        <v>9809.11218</v>
      </c>
      <c r="H2552" s="1">
        <f>value(MYR!$B2552)</f>
        <v>3107.53092</v>
      </c>
      <c r="I2552" s="1">
        <f>value(THB!$B2552)</f>
        <v>393.03524</v>
      </c>
      <c r="J2552" s="1">
        <f>value(VND!$B2552)</f>
        <v>0.6282988015</v>
      </c>
      <c r="K2552" s="1">
        <f>value(CNY!$B2552)</f>
        <v>2022.47248</v>
      </c>
      <c r="L2552" s="1">
        <f>value(HKD!$B2552)</f>
        <v>1703.63329</v>
      </c>
      <c r="M2552" s="1">
        <f>value(TWD!$B2552)</f>
        <v>448.14951</v>
      </c>
      <c r="N2552" s="1">
        <f>value(JPY!$B2552)</f>
        <v>117.830388</v>
      </c>
      <c r="O2552" s="1">
        <f>value(SAR!$B2552)</f>
        <v>3599.625972</v>
      </c>
      <c r="P2552" s="1">
        <f>value(AED!$B2552)</f>
        <v>3743.8359</v>
      </c>
      <c r="Q2552" s="1">
        <f>value(KWD!$B2552)</f>
        <v>45915.43292</v>
      </c>
    </row>
    <row r="2553">
      <c r="A2553" s="4">
        <f>value(USD!A2553)</f>
        <v>42918.99861</v>
      </c>
      <c r="B2553" s="1">
        <f>value(USD!B2553)</f>
        <v>13298</v>
      </c>
      <c r="C2553" s="1">
        <f>value(AUD!$B2553)</f>
        <v>10640.16772</v>
      </c>
      <c r="D2553" s="1">
        <f>value(EUR!$B2553)</f>
        <v>15166.736</v>
      </c>
      <c r="E2553" s="1">
        <f>value(GBP!$B2553)</f>
        <v>17270.05254</v>
      </c>
      <c r="F2553" s="1">
        <f>value(CHF!$B2553)</f>
        <v>13838.451</v>
      </c>
      <c r="G2553" s="1">
        <f>value(SGD!$B2553)</f>
        <v>9808.31215</v>
      </c>
      <c r="H2553" s="1">
        <f>value(MYR!$B2553)</f>
        <v>3104.90856</v>
      </c>
      <c r="I2553" s="1">
        <f>value(THB!$B2553)</f>
        <v>392.38589</v>
      </c>
      <c r="J2553" s="1">
        <f>value(VND!$B2553)</f>
        <v>0.6339607927</v>
      </c>
      <c r="K2553" s="1">
        <f>value(CNY!$B2553)</f>
        <v>2026.60524</v>
      </c>
      <c r="L2553" s="1">
        <f>value(HKD!$B2553)</f>
        <v>1702.20544</v>
      </c>
      <c r="M2553" s="1">
        <f>value(TWD!$B2553)</f>
        <v>448.78188</v>
      </c>
      <c r="N2553" s="1">
        <f>value(JPY!$B2553)</f>
        <v>118.169701</v>
      </c>
      <c r="O2553" s="1">
        <f>value(SAR!$B2553)</f>
        <v>3611.199909</v>
      </c>
      <c r="P2553" s="1">
        <f>value(AED!$B2553)</f>
        <v>3739.7532</v>
      </c>
      <c r="Q2553" s="1">
        <f>value(KWD!$B2553)</f>
        <v>45993.77667</v>
      </c>
    </row>
    <row r="2554">
      <c r="A2554" s="4">
        <f>value(USD!A2554)</f>
        <v>42919.99861</v>
      </c>
      <c r="B2554" s="1">
        <f>value(USD!B2554)</f>
        <v>13364</v>
      </c>
      <c r="C2554" s="1">
        <f>value(AUD!$B2554)</f>
        <v>10525.22354</v>
      </c>
      <c r="D2554" s="1">
        <f>value(EUR!$B2554)</f>
        <v>15161.92706</v>
      </c>
      <c r="E2554" s="1">
        <f>value(GBP!$B2554)</f>
        <v>17279.42804</v>
      </c>
      <c r="F2554" s="1">
        <f>value(CHF!$B2554)</f>
        <v>13826.4315</v>
      </c>
      <c r="G2554" s="1">
        <f>value(SGD!$B2554)</f>
        <v>9813.38553</v>
      </c>
      <c r="H2554" s="1">
        <f>value(MYR!$B2554)</f>
        <v>3107.69928</v>
      </c>
      <c r="I2554" s="1">
        <f>value(THB!$B2554)</f>
        <v>392.60494</v>
      </c>
      <c r="J2554" s="1">
        <f>value(VND!$B2554)</f>
        <v>0.6325443429</v>
      </c>
      <c r="K2554" s="1">
        <f>value(CNY!$B2554)</f>
        <v>2022.7688</v>
      </c>
      <c r="L2554" s="1">
        <f>value(HKD!$B2554)</f>
        <v>1702.08801</v>
      </c>
      <c r="M2554" s="1">
        <f>value(TWD!$B2554)</f>
        <v>437.3981964</v>
      </c>
      <c r="N2554" s="1">
        <f>value(JPY!$B2554)</f>
        <v>118.0460694</v>
      </c>
      <c r="O2554" s="1">
        <f>value(SAR!$B2554)</f>
        <v>3622.219739</v>
      </c>
      <c r="P2554" s="1">
        <f>value(AED!$B2554)</f>
        <v>3735.6705</v>
      </c>
      <c r="Q2554" s="1">
        <f>value(KWD!$B2554)</f>
        <v>45874.21645</v>
      </c>
    </row>
    <row r="2555">
      <c r="A2555" s="4">
        <f>value(USD!A2555)</f>
        <v>42920.99861</v>
      </c>
      <c r="B2555" s="1">
        <f>value(USD!B2555)</f>
        <v>13351</v>
      </c>
      <c r="C2555" s="1">
        <f>value(AUD!$B2555)</f>
        <v>10570.4673</v>
      </c>
      <c r="D2555" s="1">
        <f>value(EUR!$B2555)</f>
        <v>15289.27452</v>
      </c>
      <c r="E2555" s="1">
        <f>value(GBP!$B2555)</f>
        <v>17357.751</v>
      </c>
      <c r="F2555" s="1">
        <f>value(CHF!$B2555)</f>
        <v>13864.416</v>
      </c>
      <c r="G2555" s="1">
        <f>value(SGD!$B2555)</f>
        <v>9784.22228</v>
      </c>
      <c r="H2555" s="1">
        <f>value(MYR!$B2555)</f>
        <v>3111.94899</v>
      </c>
      <c r="I2555" s="1">
        <f>value(THB!$B2555)</f>
        <v>392.65722</v>
      </c>
      <c r="J2555" s="1">
        <f>value(VND!$B2555)</f>
        <v>0.6373597992</v>
      </c>
      <c r="K2555" s="1">
        <f>value(CNY!$B2555)</f>
        <v>2022.03905</v>
      </c>
      <c r="L2555" s="1">
        <f>value(HKD!$B2555)</f>
        <v>1702.32275</v>
      </c>
      <c r="M2555" s="1">
        <f>value(TWD!$B2555)</f>
        <v>448.32816</v>
      </c>
      <c r="N2555" s="1">
        <f>value(JPY!$B2555)</f>
        <v>118.252188</v>
      </c>
      <c r="O2555" s="1">
        <f>value(SAR!$B2555)</f>
        <v>3603.064773</v>
      </c>
      <c r="P2555" s="1">
        <f>value(AED!$B2555)</f>
        <v>3744.65244</v>
      </c>
      <c r="Q2555" s="1">
        <f>value(KWD!$B2555)</f>
        <v>45770.28699</v>
      </c>
    </row>
    <row r="2556">
      <c r="A2556" s="4">
        <f>value(USD!A2556)</f>
        <v>42921.99861</v>
      </c>
      <c r="B2556" s="1">
        <f>value(USD!B2556)</f>
        <v>13363</v>
      </c>
      <c r="C2556" s="1">
        <f>value(AUD!$B2556)</f>
        <v>10592.9066</v>
      </c>
      <c r="D2556" s="1">
        <f>value(EUR!$B2556)</f>
        <v>15282.10215</v>
      </c>
      <c r="E2556" s="1">
        <f>value(GBP!$B2556)</f>
        <v>17267.2486</v>
      </c>
      <c r="F2556" s="1">
        <f>value(CHF!$B2556)</f>
        <v>13755.3975</v>
      </c>
      <c r="G2556" s="1">
        <f>value(SGD!$B2556)</f>
        <v>9771.1218</v>
      </c>
      <c r="H2556" s="1">
        <f>value(MYR!$B2556)</f>
        <v>3116.3944</v>
      </c>
      <c r="I2556" s="1">
        <f>value(THB!$B2556)</f>
        <v>392.63245</v>
      </c>
      <c r="J2556" s="1">
        <f>value(VND!$B2556)</f>
        <v>0.6410504103</v>
      </c>
      <c r="K2556" s="1">
        <f>value(CNY!$B2556)</f>
        <v>2033.84461</v>
      </c>
      <c r="L2556" s="1">
        <f>value(HKD!$B2556)</f>
        <v>1700.63986</v>
      </c>
      <c r="M2556" s="1">
        <f>value(TWD!$B2556)</f>
        <v>449.01089</v>
      </c>
      <c r="N2556" s="1">
        <f>value(JPY!$B2556)</f>
        <v>117.6959</v>
      </c>
      <c r="O2556" s="1">
        <f>value(SAR!$B2556)</f>
        <v>3595.205563</v>
      </c>
      <c r="P2556" s="1">
        <f>value(AED!$B2556)</f>
        <v>3740.84192</v>
      </c>
      <c r="Q2556" s="1">
        <f>value(KWD!$B2556)</f>
        <v>45976.92621</v>
      </c>
    </row>
    <row r="2557">
      <c r="A2557" s="4">
        <f>value(USD!A2557)</f>
        <v>42922.99861</v>
      </c>
      <c r="B2557" s="1">
        <f>value(USD!B2557)</f>
        <v>13383</v>
      </c>
      <c r="C2557" s="1">
        <f>value(AUD!$B2557)</f>
        <v>10570.62435</v>
      </c>
      <c r="D2557" s="1">
        <f>value(EUR!$B2557)</f>
        <v>15305.53359</v>
      </c>
      <c r="E2557" s="1">
        <f>value(GBP!$B2557)</f>
        <v>17304.68665</v>
      </c>
      <c r="F2557" s="1">
        <f>value(CHF!$B2557)</f>
        <v>13834.3062</v>
      </c>
      <c r="G2557" s="1">
        <f>value(SGD!$B2557)</f>
        <v>9794.2275</v>
      </c>
      <c r="H2557" s="1">
        <f>value(MYR!$B2557)</f>
        <v>3120.534868</v>
      </c>
      <c r="I2557" s="1">
        <f>value(THB!$B2557)</f>
        <v>385.6373313</v>
      </c>
      <c r="J2557" s="1">
        <f>value(VND!$B2557)</f>
        <v>0.6434941258</v>
      </c>
      <c r="K2557" s="1">
        <f>value(CNY!$B2557)</f>
        <v>2035.00224</v>
      </c>
      <c r="L2557" s="1">
        <f>value(HKD!$B2557)</f>
        <v>1705.0617</v>
      </c>
      <c r="M2557" s="1">
        <f>value(TWD!$B2557)</f>
        <v>448.8813</v>
      </c>
      <c r="N2557" s="1">
        <f>value(JPY!$B2557)</f>
        <v>117.8522718</v>
      </c>
      <c r="O2557" s="1">
        <f>value(SAR!$B2557)</f>
        <v>3580.962001</v>
      </c>
      <c r="P2557" s="1">
        <f>value(AED!$B2557)</f>
        <v>3742.61804</v>
      </c>
      <c r="Q2557" s="1">
        <f>value(KWD!$B2557)</f>
        <v>46015.3591</v>
      </c>
    </row>
    <row r="2558">
      <c r="A2558" s="4">
        <f>value(USD!A2558)</f>
        <v>42923.99861</v>
      </c>
      <c r="B2558" s="1">
        <f>value(USD!B2558)</f>
        <v>13405</v>
      </c>
      <c r="C2558" s="1">
        <f>value(AUD!$B2558)</f>
        <v>10535.35375</v>
      </c>
      <c r="D2558" s="1">
        <f>value(EUR!$B2558)</f>
        <v>15289.67872</v>
      </c>
      <c r="E2558" s="1">
        <f>value(GBP!$B2558)</f>
        <v>17284.2528</v>
      </c>
      <c r="F2558" s="1">
        <f>value(CHF!$B2558)</f>
        <v>13812.988</v>
      </c>
      <c r="G2558" s="1">
        <f>value(SGD!$B2558)</f>
        <v>9781.35056</v>
      </c>
      <c r="H2558" s="1">
        <f>value(MYR!$B2558)</f>
        <v>3117.09184</v>
      </c>
      <c r="I2558" s="1">
        <f>value(THB!$B2558)</f>
        <v>392.98848</v>
      </c>
      <c r="J2558" s="1">
        <f>value(VND!$B2558)</f>
        <v>0.6397474163</v>
      </c>
      <c r="K2558" s="1">
        <f>value(CNY!$B2558)</f>
        <v>2024.2716</v>
      </c>
      <c r="L2558" s="1">
        <f>value(HKD!$B2558)</f>
        <v>1704.5233</v>
      </c>
      <c r="M2558" s="1">
        <f>value(TWD!$B2558)</f>
        <v>449.6327</v>
      </c>
      <c r="N2558" s="1">
        <f>value(JPY!$B2558)</f>
        <v>117.601568</v>
      </c>
      <c r="O2558" s="1">
        <f>value(SAR!$B2558)</f>
        <v>3579.894252</v>
      </c>
      <c r="P2558" s="1">
        <f>value(AED!$B2558)</f>
        <v>3748.19078</v>
      </c>
      <c r="Q2558" s="1">
        <f>value(KWD!$B2558)</f>
        <v>46053.8107</v>
      </c>
    </row>
    <row r="2559">
      <c r="A2559" s="4">
        <f>value(USD!A2559)</f>
        <v>42924.99861</v>
      </c>
      <c r="B2559" s="1">
        <f>value(USD!B2559)</f>
        <v>13422.81</v>
      </c>
      <c r="C2559" s="1">
        <f>value(AUD!$B2559)</f>
        <v>10544.77067</v>
      </c>
      <c r="D2559" s="1">
        <f>value(EUR!$B2559)</f>
        <v>15256.9648</v>
      </c>
      <c r="E2559" s="1">
        <f>value(GBP!$B2559)</f>
        <v>17243.47624</v>
      </c>
      <c r="F2559" s="1">
        <f>value(CHF!$B2559)</f>
        <v>13941.345</v>
      </c>
      <c r="G2559" s="1">
        <f>value(SGD!$B2559)</f>
        <v>9795.28782</v>
      </c>
      <c r="H2559" s="1">
        <f>value(MYR!$B2559)</f>
        <v>3113.51328</v>
      </c>
      <c r="I2559" s="1">
        <f>value(THB!$B2559)</f>
        <v>392.13452</v>
      </c>
      <c r="J2559" s="1">
        <f>value(VND!$B2559)</f>
        <v>0.642916935</v>
      </c>
      <c r="K2559" s="1">
        <f>value(CNY!$B2559)</f>
        <v>2021.41628</v>
      </c>
      <c r="L2559" s="1">
        <f>value(HKD!$B2559)</f>
        <v>1706.93663</v>
      </c>
      <c r="M2559" s="1">
        <f>value(TWD!$B2559)</f>
        <v>448.12424</v>
      </c>
      <c r="N2559" s="1">
        <f>value(JPY!$B2559)</f>
        <v>117.3498364</v>
      </c>
      <c r="O2559" s="1">
        <f>value(SAR!$B2559)</f>
        <v>3580.533243</v>
      </c>
      <c r="P2559" s="1">
        <f>value(AED!$B2559)</f>
        <v>3740.56974</v>
      </c>
      <c r="Q2559" s="1">
        <f>value(KWD!$B2559)</f>
        <v>46003.66864</v>
      </c>
    </row>
    <row r="2560">
      <c r="A2560" s="4">
        <f>value(USD!A2560)</f>
        <v>42925.99861</v>
      </c>
      <c r="B2560" s="1">
        <f>value(USD!B2560)</f>
        <v>13408</v>
      </c>
      <c r="C2560" s="1">
        <f>value(AUD!$B2560)</f>
        <v>10597.83648</v>
      </c>
      <c r="D2560" s="1">
        <f>value(EUR!$B2560)</f>
        <v>15315.70817</v>
      </c>
      <c r="E2560" s="1">
        <f>value(GBP!$B2560)</f>
        <v>17165.21212</v>
      </c>
      <c r="F2560" s="1">
        <f>value(CHF!$B2560)</f>
        <v>13965.3588</v>
      </c>
      <c r="G2560" s="1">
        <f>value(SGD!$B2560)</f>
        <v>9793.2215</v>
      </c>
      <c r="H2560" s="1">
        <f>value(MYR!$B2560)</f>
        <v>3104.44344</v>
      </c>
      <c r="I2560" s="1">
        <f>value(THB!$B2560)</f>
        <v>391.92664</v>
      </c>
      <c r="J2560" s="1">
        <f>value(VND!$B2560)</f>
        <v>0.6379929033</v>
      </c>
      <c r="K2560" s="1">
        <f>value(CNY!$B2560)</f>
        <v>2028.81052</v>
      </c>
      <c r="L2560" s="1">
        <f>value(HKD!$B2560)</f>
        <v>1707.32588</v>
      </c>
      <c r="M2560" s="1">
        <f>value(TWD!$B2560)</f>
        <v>448.73576</v>
      </c>
      <c r="N2560" s="1">
        <f>value(JPY!$B2560)</f>
        <v>117.33771</v>
      </c>
      <c r="O2560" s="1">
        <f>value(SAR!$B2560)</f>
        <v>3584.643651</v>
      </c>
      <c r="P2560" s="1">
        <f>value(AED!$B2560)</f>
        <v>3730.2269</v>
      </c>
      <c r="Q2560" s="1">
        <f>value(KWD!$B2560)</f>
        <v>45873.45841</v>
      </c>
    </row>
    <row r="2561">
      <c r="A2561" s="4">
        <f>value(USD!A2561)</f>
        <v>42926.99861</v>
      </c>
      <c r="B2561" s="1">
        <f>value(USD!B2561)</f>
        <v>13388</v>
      </c>
      <c r="C2561" s="1">
        <f>value(AUD!$B2561)</f>
        <v>10559.9084</v>
      </c>
      <c r="D2561" s="1">
        <f>value(EUR!$B2561)</f>
        <v>15258.14066</v>
      </c>
      <c r="E2561" s="1">
        <f>value(GBP!$B2561)</f>
        <v>17227.98049</v>
      </c>
      <c r="F2561" s="1">
        <f>value(CHF!$B2561)</f>
        <v>13959.2635</v>
      </c>
      <c r="G2561" s="1">
        <f>value(SGD!$B2561)</f>
        <v>9793.35505</v>
      </c>
      <c r="H2561" s="1">
        <f>value(MYR!$B2561)</f>
        <v>3111.30729</v>
      </c>
      <c r="I2561" s="1">
        <f>value(THB!$B2561)</f>
        <v>393.27309</v>
      </c>
      <c r="J2561" s="1">
        <f>value(VND!$B2561)</f>
        <v>0.6381724861</v>
      </c>
      <c r="K2561" s="1">
        <f>value(CNY!$B2561)</f>
        <v>2027.92425</v>
      </c>
      <c r="L2561" s="1">
        <f>value(HKD!$B2561)</f>
        <v>1707.45939</v>
      </c>
      <c r="M2561" s="1">
        <f>value(TWD!$B2561)</f>
        <v>437.0269134</v>
      </c>
      <c r="N2561" s="1">
        <f>value(JPY!$B2561)</f>
        <v>117.8870497</v>
      </c>
      <c r="O2561" s="1">
        <f>value(SAR!$B2561)</f>
        <v>3584.966058</v>
      </c>
      <c r="P2561" s="1">
        <f>value(AED!$B2561)</f>
        <v>3743.56372</v>
      </c>
      <c r="Q2561" s="1">
        <f>value(KWD!$B2561)</f>
        <v>45945.48828</v>
      </c>
    </row>
    <row r="2562">
      <c r="A2562" s="4">
        <f>value(USD!A2562)</f>
        <v>42927.99861</v>
      </c>
      <c r="B2562" s="1">
        <f>value(USD!B2562)</f>
        <v>13349</v>
      </c>
      <c r="C2562" s="1">
        <f>value(AUD!$B2562)</f>
        <v>10563.8311</v>
      </c>
      <c r="D2562" s="1">
        <f>value(EUR!$B2562)</f>
        <v>15213.27594</v>
      </c>
      <c r="E2562" s="1">
        <f>value(GBP!$B2562)</f>
        <v>17271.2586</v>
      </c>
      <c r="F2562" s="1">
        <f>value(CHF!$B2562)</f>
        <v>13964.1591</v>
      </c>
      <c r="G2562" s="1">
        <f>value(SGD!$B2562)</f>
        <v>9804.37056</v>
      </c>
      <c r="H2562" s="1">
        <f>value(MYR!$B2562)</f>
        <v>3106.18503</v>
      </c>
      <c r="I2562" s="1">
        <f>value(THB!$B2562)</f>
        <v>393.02586</v>
      </c>
      <c r="J2562" s="1">
        <f>value(VND!$B2562)</f>
        <v>0.636986242</v>
      </c>
      <c r="K2562" s="1">
        <f>value(CNY!$B2562)</f>
        <v>2029.54389</v>
      </c>
      <c r="L2562" s="1">
        <f>value(HKD!$B2562)</f>
        <v>1705.64128</v>
      </c>
      <c r="M2562" s="1">
        <f>value(TWD!$B2562)</f>
        <v>448.73576</v>
      </c>
      <c r="N2562" s="1">
        <f>value(JPY!$B2562)</f>
        <v>117.587574</v>
      </c>
      <c r="O2562" s="1">
        <f>value(SAR!$B2562)</f>
        <v>3587.710833</v>
      </c>
      <c r="P2562" s="1">
        <f>value(AED!$B2562)</f>
        <v>3749.82386</v>
      </c>
      <c r="Q2562" s="1">
        <f>value(KWD!$B2562)</f>
        <v>46029.77696</v>
      </c>
    </row>
    <row r="2563">
      <c r="A2563" s="4">
        <f>value(USD!A2563)</f>
        <v>42928.99861</v>
      </c>
      <c r="B2563" s="1">
        <f>value(USD!B2563)</f>
        <v>13363</v>
      </c>
      <c r="C2563" s="1">
        <f>value(AUD!$B2563)</f>
        <v>10590.17246</v>
      </c>
      <c r="D2563" s="1">
        <f>value(EUR!$B2563)</f>
        <v>15248.3014</v>
      </c>
      <c r="E2563" s="1">
        <f>value(GBP!$B2563)</f>
        <v>17409.8025</v>
      </c>
      <c r="F2563" s="1">
        <f>value(CHF!$B2563)</f>
        <v>13948.9846</v>
      </c>
      <c r="G2563" s="1">
        <f>value(SGD!$B2563)</f>
        <v>9779.484</v>
      </c>
      <c r="H2563" s="1">
        <f>value(MYR!$B2563)</f>
        <v>3095.47485</v>
      </c>
      <c r="I2563" s="1">
        <f>value(THB!$B2563)</f>
        <v>393.532</v>
      </c>
      <c r="J2563" s="1">
        <f>value(VND!$B2563)</f>
        <v>0.6341967101</v>
      </c>
      <c r="K2563" s="1">
        <f>value(CNY!$B2563)</f>
        <v>2039.0643</v>
      </c>
      <c r="L2563" s="1">
        <f>value(HKD!$B2563)</f>
        <v>1706.77474</v>
      </c>
      <c r="M2563" s="1">
        <f>value(TWD!$B2563)</f>
        <v>449.16525</v>
      </c>
      <c r="N2563" s="1">
        <f>value(JPY!$B2563)</f>
        <v>118.0596</v>
      </c>
      <c r="O2563" s="1">
        <f>value(SAR!$B2563)</f>
        <v>3574.993891</v>
      </c>
      <c r="P2563" s="1">
        <f>value(AED!$B2563)</f>
        <v>3749.82386</v>
      </c>
      <c r="Q2563" s="1">
        <f>value(KWD!$B2563)</f>
        <v>45963.91165</v>
      </c>
    </row>
    <row r="2564">
      <c r="A2564" s="4">
        <f>value(USD!A2564)</f>
        <v>42929.99861</v>
      </c>
      <c r="B2564" s="1">
        <f>value(USD!B2564)</f>
        <v>13341</v>
      </c>
      <c r="C2564" s="1">
        <f>value(AUD!$B2564)</f>
        <v>10606.26816</v>
      </c>
      <c r="D2564" s="1">
        <f>value(EUR!$B2564)</f>
        <v>15252.81646</v>
      </c>
      <c r="E2564" s="1">
        <f>value(GBP!$B2564)</f>
        <v>17417.44374</v>
      </c>
      <c r="F2564" s="1">
        <f>value(CHF!$B2564)</f>
        <v>13834.025</v>
      </c>
      <c r="G2564" s="1">
        <f>value(SGD!$B2564)</f>
        <v>9815.6552</v>
      </c>
      <c r="H2564" s="1">
        <f>value(MYR!$B2564)</f>
        <v>3096.143072</v>
      </c>
      <c r="I2564" s="1">
        <f>value(THB!$B2564)</f>
        <v>393.616952</v>
      </c>
      <c r="J2564" s="1">
        <f>value(VND!$B2564)</f>
        <v>0.6376031171</v>
      </c>
      <c r="K2564" s="1">
        <f>value(CNY!$B2564)</f>
        <v>2055.6816</v>
      </c>
      <c r="L2564" s="1">
        <f>value(HKD!$B2564)</f>
        <v>1706.664</v>
      </c>
      <c r="M2564" s="1">
        <f>value(TWD!$B2564)</f>
        <v>450.1827</v>
      </c>
      <c r="N2564" s="1">
        <f>value(JPY!$B2564)</f>
        <v>118.0850856</v>
      </c>
      <c r="O2564" s="1">
        <f>value(SAR!$B2564)</f>
        <v>3560.259776</v>
      </c>
      <c r="P2564" s="1">
        <f>value(AED!$B2564)</f>
        <v>3746.56688</v>
      </c>
      <c r="Q2564" s="1">
        <f>value(KWD!$B2564)</f>
        <v>46001.32829</v>
      </c>
    </row>
    <row r="2565">
      <c r="A2565" s="4">
        <f>value(USD!A2565)</f>
        <v>42930.99861</v>
      </c>
      <c r="B2565" s="1">
        <f>value(USD!B2565)</f>
        <v>13295</v>
      </c>
      <c r="C2565" s="1">
        <f>value(AUD!$B2565)</f>
        <v>10588.2282</v>
      </c>
      <c r="D2565" s="1">
        <f>value(EUR!$B2565)</f>
        <v>15298.20336</v>
      </c>
      <c r="E2565" s="1">
        <f>value(GBP!$B2565)</f>
        <v>17477.31876</v>
      </c>
      <c r="F2565" s="1">
        <f>value(CHF!$B2565)</f>
        <v>13879.1499</v>
      </c>
      <c r="G2565" s="1">
        <f>value(SGD!$B2565)</f>
        <v>9791.22188</v>
      </c>
      <c r="H2565" s="1">
        <f>value(MYR!$B2565)</f>
        <v>3104.08956</v>
      </c>
      <c r="I2565" s="1">
        <f>value(THB!$B2565)</f>
        <v>394.49388</v>
      </c>
      <c r="J2565" s="1">
        <f>value(VND!$B2565)</f>
        <v>0.6409863828</v>
      </c>
      <c r="K2565" s="1">
        <f>value(CNY!$B2565)</f>
        <v>2050.1425</v>
      </c>
      <c r="L2565" s="1">
        <f>value(HKD!$B2565)</f>
        <v>1709.20904</v>
      </c>
      <c r="M2565" s="1">
        <f>value(TWD!$B2565)</f>
        <v>449.38521</v>
      </c>
      <c r="N2565" s="1">
        <f>value(JPY!$B2565)</f>
        <v>118.574808</v>
      </c>
      <c r="O2565" s="1">
        <f>value(SAR!$B2565)</f>
        <v>3553.577607</v>
      </c>
      <c r="P2565" s="1">
        <f>value(AED!$B2565)</f>
        <v>3733.76524</v>
      </c>
      <c r="Q2565" s="1">
        <f>value(KWD!$B2565)</f>
        <v>46041.51582</v>
      </c>
    </row>
    <row r="2566">
      <c r="A2566" s="4">
        <f>value(USD!A2566)</f>
        <v>42931.99861</v>
      </c>
      <c r="B2566" s="1">
        <f>value(USD!B2566)</f>
        <v>13297.87</v>
      </c>
      <c r="C2566" s="1">
        <f>value(AUD!$B2566)</f>
        <v>10478.19449</v>
      </c>
      <c r="D2566" s="1">
        <f>value(EUR!$B2566)</f>
        <v>15283.71614</v>
      </c>
      <c r="E2566" s="1">
        <f>value(GBP!$B2566)</f>
        <v>17385.50352</v>
      </c>
      <c r="F2566" s="1">
        <f>value(CHF!$B2566)</f>
        <v>13816.9879</v>
      </c>
      <c r="G2566" s="1">
        <f>value(SGD!$B2566)</f>
        <v>9835.91907</v>
      </c>
      <c r="H2566" s="1">
        <f>value(MYR!$B2566)</f>
        <v>3104.85868</v>
      </c>
      <c r="I2566" s="1">
        <f>value(THB!$B2566)</f>
        <v>395.90012</v>
      </c>
      <c r="J2566" s="1">
        <f>value(VND!$B2566)</f>
        <v>0.6395371286</v>
      </c>
      <c r="K2566" s="1">
        <f>value(CNY!$B2566)</f>
        <v>2048.72644</v>
      </c>
      <c r="L2566" s="1">
        <f>value(HKD!$B2566)</f>
        <v>1706.88524</v>
      </c>
      <c r="M2566" s="1">
        <f>value(TWD!$B2566)</f>
        <v>449.58837</v>
      </c>
      <c r="N2566" s="1">
        <f>value(JPY!$B2566)</f>
        <v>118.29048</v>
      </c>
      <c r="O2566" s="1">
        <f>value(SAR!$B2566)</f>
        <v>3545.333244</v>
      </c>
      <c r="P2566" s="1">
        <f>value(AED!$B2566)</f>
        <v>3739.7532</v>
      </c>
      <c r="Q2566" s="1">
        <f>value(KWD!$B2566)</f>
        <v>46000.66407</v>
      </c>
    </row>
    <row r="2567">
      <c r="A2567" s="4">
        <f>value(USD!A2567)</f>
        <v>42932.99861</v>
      </c>
      <c r="B2567" s="1">
        <f>value(USD!B2567)</f>
        <v>13332</v>
      </c>
      <c r="C2567" s="1">
        <f>value(AUD!$B2567)</f>
        <v>10489.7038</v>
      </c>
      <c r="D2567" s="1">
        <f>value(EUR!$B2567)</f>
        <v>15363.01188</v>
      </c>
      <c r="E2567" s="1">
        <f>value(GBP!$B2567)</f>
        <v>17342.4825</v>
      </c>
      <c r="F2567" s="1">
        <f>value(CHF!$B2567)</f>
        <v>13820.394</v>
      </c>
      <c r="G2567" s="1">
        <f>value(SGD!$B2567)</f>
        <v>9836.3193</v>
      </c>
      <c r="H2567" s="1">
        <f>value(MYR!$B2567)</f>
        <v>3101.3613</v>
      </c>
      <c r="I2567" s="1">
        <f>value(THB!$B2567)</f>
        <v>395.7345</v>
      </c>
      <c r="J2567" s="1">
        <f>value(VND!$B2567)</f>
        <v>0.6393812347</v>
      </c>
      <c r="K2567" s="1">
        <f>value(CNY!$B2567)</f>
        <v>2041.0914</v>
      </c>
      <c r="L2567" s="1">
        <f>value(HKD!$B2567)</f>
        <v>1706.90255</v>
      </c>
      <c r="M2567" s="1">
        <f>value(TWD!$B2567)</f>
        <v>449.75336</v>
      </c>
      <c r="N2567" s="1">
        <f>value(JPY!$B2567)</f>
        <v>118.746954</v>
      </c>
      <c r="O2567" s="1">
        <f>value(SAR!$B2567)</f>
        <v>3551.314452</v>
      </c>
      <c r="P2567" s="1">
        <f>value(AED!$B2567)</f>
        <v>3744.24564</v>
      </c>
      <c r="Q2567" s="1">
        <f>value(KWD!$B2567)</f>
        <v>46026.10432</v>
      </c>
    </row>
    <row r="2568">
      <c r="A2568" s="4">
        <f>value(USD!A2568)</f>
        <v>42933.99861</v>
      </c>
      <c r="B2568" s="1">
        <f>value(USD!B2568)</f>
        <v>13321</v>
      </c>
      <c r="C2568" s="1">
        <f>value(AUD!$B2568)</f>
        <v>10485.8193</v>
      </c>
      <c r="D2568" s="1">
        <f>value(EUR!$B2568)</f>
        <v>15342.34902</v>
      </c>
      <c r="E2568" s="1">
        <f>value(GBP!$B2568)</f>
        <v>17340.42919</v>
      </c>
      <c r="F2568" s="1">
        <f>value(CHF!$B2568)</f>
        <v>13871.70536</v>
      </c>
      <c r="G2568" s="1">
        <f>value(SGD!$B2568)</f>
        <v>9837.5125</v>
      </c>
      <c r="H2568" s="1">
        <f>value(MYR!$B2568)</f>
        <v>3102.99335</v>
      </c>
      <c r="I2568" s="1">
        <f>value(THB!$B2568)</f>
        <v>395.80966</v>
      </c>
      <c r="J2568" s="1">
        <f>value(VND!$B2568)</f>
        <v>0.6369082093</v>
      </c>
      <c r="K2568" s="1">
        <f>value(CNY!$B2568)</f>
        <v>2050.64908</v>
      </c>
      <c r="L2568" s="1">
        <f>value(HKD!$B2568)</f>
        <v>1706.90255</v>
      </c>
      <c r="M2568" s="1">
        <f>value(TWD!$B2568)</f>
        <v>449.88834</v>
      </c>
      <c r="N2568" s="1">
        <f>value(JPY!$B2568)</f>
        <v>118.915915</v>
      </c>
      <c r="O2568" s="1">
        <f>value(SAR!$B2568)</f>
        <v>3551.67624</v>
      </c>
      <c r="P2568" s="1">
        <f>value(AED!$B2568)</f>
        <v>3744.38026</v>
      </c>
      <c r="Q2568" s="1">
        <f>value(KWD!$B2568)</f>
        <v>45893.57964</v>
      </c>
    </row>
    <row r="2569">
      <c r="A2569" s="4">
        <f>value(USD!A2569)</f>
        <v>42934.99861</v>
      </c>
      <c r="B2569" s="1">
        <f>value(USD!B2569)</f>
        <v>13302</v>
      </c>
      <c r="C2569" s="1">
        <f>value(AUD!$B2569)</f>
        <v>10498.91139</v>
      </c>
      <c r="D2569" s="1">
        <f>value(EUR!$B2569)</f>
        <v>15469.12749</v>
      </c>
      <c r="E2569" s="1">
        <f>value(GBP!$B2569)</f>
        <v>17246.40829</v>
      </c>
      <c r="F2569" s="1">
        <f>value(CHF!$B2569)</f>
        <v>13923.84075</v>
      </c>
      <c r="G2569" s="1">
        <f>value(SGD!$B2569)</f>
        <v>9814.02219</v>
      </c>
      <c r="H2569" s="1">
        <f>value(MYR!$B2569)</f>
        <v>3098.00264</v>
      </c>
      <c r="I2569" s="1">
        <f>value(THB!$B2569)</f>
        <v>396.56243</v>
      </c>
      <c r="J2569" s="1">
        <f>value(VND!$B2569)</f>
        <v>0.6375946933</v>
      </c>
      <c r="K2569" s="1">
        <f>value(CNY!$B2569)</f>
        <v>2049.03004</v>
      </c>
      <c r="L2569" s="1">
        <f>value(HKD!$B2569)</f>
        <v>1705.3632</v>
      </c>
      <c r="M2569" s="1">
        <f>value(TWD!$B2569)</f>
        <v>449.88834</v>
      </c>
      <c r="N2569" s="1">
        <f>value(JPY!$B2569)</f>
        <v>118.849002</v>
      </c>
      <c r="O2569" s="1">
        <f>value(SAR!$B2569)</f>
        <v>3559.873965</v>
      </c>
      <c r="P2569" s="1">
        <f>value(AED!$B2569)</f>
        <v>3739.626</v>
      </c>
      <c r="Q2569" s="1">
        <f>value(KWD!$B2569)</f>
        <v>45923.91217</v>
      </c>
    </row>
    <row r="2570">
      <c r="A2570" s="4">
        <f>value(USD!A2570)</f>
        <v>42935.99861</v>
      </c>
      <c r="B2570" s="1">
        <f>value(USD!B2570)</f>
        <v>13309</v>
      </c>
      <c r="C2570" s="1">
        <f>value(AUD!$B2570)</f>
        <v>10480.9229</v>
      </c>
      <c r="D2570" s="1">
        <f>value(EUR!$B2570)</f>
        <v>15535.74946</v>
      </c>
      <c r="E2570" s="1">
        <f>value(GBP!$B2570)</f>
        <v>17309.17419</v>
      </c>
      <c r="F2570" s="1">
        <f>value(CHF!$B2570)</f>
        <v>13976.9839</v>
      </c>
      <c r="G2570" s="1">
        <f>value(SGD!$B2570)</f>
        <v>9838.15404</v>
      </c>
      <c r="H2570" s="1">
        <f>value(MYR!$B2570)</f>
        <v>3106.99004</v>
      </c>
      <c r="I2570" s="1">
        <f>value(THB!$B2570)</f>
        <v>397.89827</v>
      </c>
      <c r="J2570" s="1">
        <f>value(VND!$B2570)</f>
        <v>0.6445913414</v>
      </c>
      <c r="K2570" s="1">
        <f>value(CNY!$B2570)</f>
        <v>2044.983</v>
      </c>
      <c r="L2570" s="1">
        <f>value(HKD!$B2570)</f>
        <v>1702.402</v>
      </c>
      <c r="M2570" s="1">
        <f>value(TWD!$B2570)</f>
        <v>450.18652</v>
      </c>
      <c r="N2570" s="1">
        <f>value(JPY!$B2570)</f>
        <v>119.889</v>
      </c>
      <c r="O2570" s="1">
        <f>value(SAR!$B2570)</f>
        <v>3558.770062</v>
      </c>
      <c r="P2570" s="1">
        <f>value(AED!$B2570)</f>
        <v>3743.193118</v>
      </c>
      <c r="Q2570" s="1">
        <f>value(KWD!$B2570)</f>
        <v>45927.89408</v>
      </c>
    </row>
    <row r="2571">
      <c r="A2571" s="4">
        <f>value(USD!A2571)</f>
        <v>42936.99861</v>
      </c>
      <c r="B2571" s="1">
        <f>value(USD!B2571)</f>
        <v>13303</v>
      </c>
      <c r="C2571" s="1">
        <f>value(AUD!$B2571)</f>
        <v>10518.6158</v>
      </c>
      <c r="D2571" s="1">
        <f>value(EUR!$B2571)</f>
        <v>15533.452</v>
      </c>
      <c r="E2571" s="1">
        <f>value(GBP!$B2571)</f>
        <v>17314.56343</v>
      </c>
      <c r="F2571" s="1">
        <f>value(CHF!$B2571)</f>
        <v>13955.2618</v>
      </c>
      <c r="G2571" s="1">
        <f>value(SGD!$B2571)</f>
        <v>9815.29074</v>
      </c>
      <c r="H2571" s="1">
        <f>value(MYR!$B2571)</f>
        <v>3107.22328</v>
      </c>
      <c r="I2571" s="1">
        <f>value(THB!$B2571)</f>
        <v>397.92814</v>
      </c>
      <c r="J2571" s="1">
        <f>value(VND!$B2571)</f>
        <v>0.6454372899</v>
      </c>
      <c r="K2571" s="1">
        <f>value(CNY!$B2571)</f>
        <v>2037.61005</v>
      </c>
      <c r="L2571" s="1">
        <f>value(HKD!$B2571)</f>
        <v>1705.99078</v>
      </c>
      <c r="M2571" s="1">
        <f>value(TWD!$B2571)</f>
        <v>449.82</v>
      </c>
      <c r="N2571" s="1">
        <f>value(JPY!$B2571)</f>
        <v>119.898</v>
      </c>
      <c r="O2571" s="1">
        <f>value(SAR!$B2571)</f>
        <v>3555.122309</v>
      </c>
      <c r="P2571" s="1">
        <f>value(AED!$B2571)</f>
        <v>3748.20032</v>
      </c>
      <c r="Q2571" s="1">
        <f>value(KWD!$B2571)</f>
        <v>46014.70496</v>
      </c>
    </row>
    <row r="2572">
      <c r="A2572" s="4">
        <f>value(USD!A2572)</f>
        <v>42937.99861</v>
      </c>
      <c r="B2572" s="1">
        <f>value(USD!B2572)</f>
        <v>13321</v>
      </c>
      <c r="C2572" s="1">
        <f>value(AUD!$B2572)</f>
        <v>10540.3669</v>
      </c>
      <c r="D2572" s="1">
        <f>value(EUR!$B2572)</f>
        <v>15494.71385</v>
      </c>
      <c r="E2572" s="1">
        <f>value(GBP!$B2572)</f>
        <v>17249.0101</v>
      </c>
      <c r="F2572" s="1">
        <f>value(CHF!$B2572)</f>
        <v>13991.9881</v>
      </c>
      <c r="G2572" s="1">
        <f>value(SGD!$B2572)</f>
        <v>9817.97663</v>
      </c>
      <c r="H2572" s="1">
        <f>value(MYR!$B2572)</f>
        <v>3093.9286</v>
      </c>
      <c r="I2572" s="1">
        <f>value(THB!$B2572)</f>
        <v>396.49085</v>
      </c>
      <c r="J2572" s="1">
        <f>value(VND!$B2572)</f>
        <v>0.6444091611</v>
      </c>
      <c r="K2572" s="1">
        <f>value(CNY!$B2572)</f>
        <v>2037.9835</v>
      </c>
      <c r="L2572" s="1">
        <f>value(HKD!$B2572)</f>
        <v>1703.9574</v>
      </c>
      <c r="M2572" s="1">
        <f>value(TWD!$B2572)</f>
        <v>450.08832</v>
      </c>
      <c r="N2572" s="1">
        <f>value(JPY!$B2572)</f>
        <v>119.51765</v>
      </c>
      <c r="O2572" s="1">
        <f>value(SAR!$B2572)</f>
        <v>3555.839111</v>
      </c>
      <c r="P2572" s="1">
        <f>value(AED!$B2572)</f>
        <v>3742.893</v>
      </c>
      <c r="Q2572" s="1">
        <f>value(KWD!$B2572)</f>
        <v>46014.70496</v>
      </c>
    </row>
    <row r="2573">
      <c r="A2573" s="4">
        <f>value(USD!A2573)</f>
        <v>42938.99861</v>
      </c>
      <c r="B2573" s="1">
        <f>value(USD!B2573)</f>
        <v>13322</v>
      </c>
      <c r="C2573" s="1">
        <f>value(AUD!$B2573)</f>
        <v>10564.61464</v>
      </c>
      <c r="D2573" s="1">
        <f>value(EUR!$B2573)</f>
        <v>15497.42712</v>
      </c>
      <c r="E2573" s="1">
        <f>value(GBP!$B2573)</f>
        <v>17347.419</v>
      </c>
      <c r="F2573" s="1">
        <f>value(CHF!$B2573)</f>
        <v>13972.9836</v>
      </c>
      <c r="G2573" s="1">
        <f>value(SGD!$B2573)</f>
        <v>9813.35466</v>
      </c>
      <c r="H2573" s="1">
        <f>value(MYR!$B2573)</f>
        <v>3111.15024</v>
      </c>
      <c r="I2573" s="1">
        <f>value(THB!$B2573)</f>
        <v>398.41472</v>
      </c>
      <c r="J2573" s="1">
        <f>value(VND!$B2573)</f>
        <v>0.6427606259</v>
      </c>
      <c r="K2573" s="1">
        <f>value(CNY!$B2573)</f>
        <v>2039.4182</v>
      </c>
      <c r="L2573" s="1">
        <f>value(HKD!$B2573)</f>
        <v>1706.04708</v>
      </c>
      <c r="M2573" s="1">
        <f>value(TWD!$B2573)</f>
        <v>451.18612</v>
      </c>
      <c r="N2573" s="1">
        <f>value(JPY!$B2573)</f>
        <v>119.670892</v>
      </c>
      <c r="O2573" s="1">
        <f>value(SAR!$B2573)</f>
        <v>3553.333244</v>
      </c>
      <c r="P2573" s="1">
        <f>value(AED!$B2573)</f>
        <v>3740.02538</v>
      </c>
      <c r="Q2573" s="1">
        <f>value(KWD!$B2573)</f>
        <v>46014.70496</v>
      </c>
    </row>
    <row r="2574">
      <c r="A2574" s="4">
        <f>value(USD!A2574)</f>
        <v>42939.99861</v>
      </c>
      <c r="B2574" s="1">
        <f>value(USD!B2574)</f>
        <v>13265</v>
      </c>
      <c r="C2574" s="1">
        <f>value(AUD!$B2574)</f>
        <v>10594.927</v>
      </c>
      <c r="D2574" s="1">
        <f>value(EUR!$B2574)</f>
        <v>15518.98992</v>
      </c>
      <c r="E2574" s="1">
        <f>value(GBP!$B2574)</f>
        <v>17360.65296</v>
      </c>
      <c r="F2574" s="1">
        <f>value(CHF!$B2574)</f>
        <v>13968.227</v>
      </c>
      <c r="G2574" s="1">
        <f>value(SGD!$B2574)</f>
        <v>9831.8955</v>
      </c>
      <c r="H2574" s="1">
        <f>value(MYR!$B2574)</f>
        <v>3110.7552</v>
      </c>
      <c r="I2574" s="1">
        <f>value(THB!$B2574)</f>
        <v>397.97408</v>
      </c>
      <c r="J2574" s="1">
        <f>value(VND!$B2574)</f>
        <v>0.6399485201</v>
      </c>
      <c r="K2574" s="1">
        <f>value(CNY!$B2574)</f>
        <v>2041.99728</v>
      </c>
      <c r="L2574" s="1">
        <f>value(HKD!$B2574)</f>
        <v>1706.3139</v>
      </c>
      <c r="M2574" s="1">
        <f>value(TWD!$B2574)</f>
        <v>450.4158</v>
      </c>
      <c r="N2574" s="1">
        <f>value(JPY!$B2574)</f>
        <v>118.9830544</v>
      </c>
      <c r="O2574" s="1">
        <f>value(SAR!$B2574)</f>
        <v>3561.190336</v>
      </c>
      <c r="P2574" s="1">
        <f>value(AED!$B2574)</f>
        <v>3742.74718</v>
      </c>
      <c r="Q2574" s="1">
        <f>value(KWD!$B2574)</f>
        <v>45954.59634</v>
      </c>
    </row>
    <row r="2575">
      <c r="A2575" s="4">
        <f>value(USD!A2575)</f>
        <v>42940.99861</v>
      </c>
      <c r="B2575" s="1">
        <f>value(USD!B2575)</f>
        <v>13316</v>
      </c>
      <c r="C2575" s="1">
        <f>value(AUD!$B2575)</f>
        <v>10641.1404</v>
      </c>
      <c r="D2575" s="1">
        <f>value(EUR!$B2575)</f>
        <v>15631.85133</v>
      </c>
      <c r="E2575" s="1">
        <f>value(GBP!$B2575)</f>
        <v>17478.45099</v>
      </c>
      <c r="F2575" s="1">
        <f>value(CHF!$B2575)</f>
        <v>13926.7941</v>
      </c>
      <c r="G2575" s="1">
        <f>value(SGD!$B2575)</f>
        <v>9819.88122</v>
      </c>
      <c r="H2575" s="1">
        <f>value(MYR!$B2575)</f>
        <v>3109.12254</v>
      </c>
      <c r="I2575" s="1">
        <f>value(THB!$B2575)</f>
        <v>399.47013</v>
      </c>
      <c r="J2575" s="1">
        <f>value(VND!$B2575)</f>
        <v>0.6392615598</v>
      </c>
      <c r="K2575" s="1">
        <f>value(CNY!$B2575)</f>
        <v>2040.51052</v>
      </c>
      <c r="L2575" s="1">
        <f>value(HKD!$B2575)</f>
        <v>1705.52454</v>
      </c>
      <c r="M2575" s="1">
        <f>value(TWD!$B2575)</f>
        <v>438.7006318</v>
      </c>
      <c r="N2575" s="1">
        <f>value(JPY!$B2575)</f>
        <v>119.894355</v>
      </c>
      <c r="O2575" s="1">
        <f>value(SAR!$B2575)</f>
        <v>3560.539298</v>
      </c>
      <c r="P2575" s="1">
        <f>value(AED!$B2575)</f>
        <v>3745.1968</v>
      </c>
      <c r="Q2575" s="1">
        <f>value(KWD!$B2575)</f>
        <v>45891.12455</v>
      </c>
    </row>
    <row r="2576">
      <c r="A2576" s="4">
        <f>value(USD!A2576)</f>
        <v>42941.99861</v>
      </c>
      <c r="B2576" s="1">
        <f>value(USD!B2576)</f>
        <v>13328</v>
      </c>
      <c r="C2576" s="1">
        <f>value(AUD!$B2576)</f>
        <v>10637.63248</v>
      </c>
      <c r="D2576" s="1">
        <f>value(EUR!$B2576)</f>
        <v>15557.76369</v>
      </c>
      <c r="E2576" s="1">
        <f>value(GBP!$B2576)</f>
        <v>17404.66494</v>
      </c>
      <c r="F2576" s="1">
        <f>value(CHF!$B2576)</f>
        <v>13776.8256</v>
      </c>
      <c r="G2576" s="1">
        <f>value(SGD!$B2576)</f>
        <v>9838.22334</v>
      </c>
      <c r="H2576" s="1">
        <f>value(MYR!$B2576)</f>
        <v>3109.98204</v>
      </c>
      <c r="I2576" s="1">
        <f>value(THB!$B2576)</f>
        <v>399.19689</v>
      </c>
      <c r="J2576" s="1">
        <f>value(VND!$B2576)</f>
        <v>0.6461753064</v>
      </c>
      <c r="K2576" s="1">
        <f>value(CNY!$B2576)</f>
        <v>2035.5096</v>
      </c>
      <c r="L2576" s="1">
        <f>value(HKD!$B2576)</f>
        <v>1700.38946</v>
      </c>
      <c r="M2576" s="1">
        <f>value(TWD!$B2576)</f>
        <v>451.6836</v>
      </c>
      <c r="N2576" s="1">
        <f>value(JPY!$B2576)</f>
        <v>119.785689</v>
      </c>
      <c r="O2576" s="1">
        <f>value(SAR!$B2576)</f>
        <v>3549.730353</v>
      </c>
      <c r="P2576" s="1">
        <f>value(AED!$B2576)</f>
        <v>3746.01334</v>
      </c>
      <c r="Q2576" s="1">
        <f>value(KWD!$B2576)</f>
        <v>45944.54324</v>
      </c>
    </row>
    <row r="2577">
      <c r="A2577" s="4">
        <f>value(USD!A2577)</f>
        <v>42942.99861</v>
      </c>
      <c r="B2577" s="1">
        <f>value(USD!B2577)</f>
        <v>13329</v>
      </c>
      <c r="C2577" s="1">
        <f>value(AUD!$B2577)</f>
        <v>10569.9006</v>
      </c>
      <c r="D2577" s="1">
        <f>value(EUR!$B2577)</f>
        <v>15664.49115</v>
      </c>
      <c r="E2577" s="1">
        <f>value(GBP!$B2577)</f>
        <v>17512.8555</v>
      </c>
      <c r="F2577" s="1">
        <f>value(CHF!$B2577)</f>
        <v>13754.8112</v>
      </c>
      <c r="G2577" s="1">
        <f>value(SGD!$B2577)</f>
        <v>9853.62032</v>
      </c>
      <c r="H2577" s="1">
        <f>value(MYR!$B2577)</f>
        <v>3112.78905</v>
      </c>
      <c r="I2577" s="1">
        <f>value(THB!$B2577)</f>
        <v>399.2499</v>
      </c>
      <c r="J2577" s="1">
        <f>value(VND!$B2577)</f>
        <v>0.6456155364</v>
      </c>
      <c r="K2577" s="1">
        <f>value(CNY!$B2577)</f>
        <v>2038.6417</v>
      </c>
      <c r="L2577" s="1">
        <f>value(HKD!$B2577)</f>
        <v>1703.82407</v>
      </c>
      <c r="M2577" s="1">
        <f>value(TWD!$B2577)</f>
        <v>449.3502</v>
      </c>
      <c r="N2577" s="1">
        <f>value(JPY!$B2577)</f>
        <v>120.41505</v>
      </c>
      <c r="O2577" s="1">
        <f>value(SAR!$B2577)</f>
        <v>3549.99729</v>
      </c>
      <c r="P2577" s="1">
        <f>value(AED!$B2577)</f>
        <v>3748.093617</v>
      </c>
      <c r="Q2577" s="1">
        <f>value(KWD!$B2577)</f>
        <v>45989.64095</v>
      </c>
    </row>
    <row r="2578">
      <c r="A2578" s="4">
        <f>value(USD!A2578)</f>
        <v>42943.99861</v>
      </c>
      <c r="B2578" s="1">
        <f>value(USD!B2578)</f>
        <v>13311</v>
      </c>
      <c r="C2578" s="1">
        <f>value(AUD!$B2578)</f>
        <v>10592.2255</v>
      </c>
      <c r="D2578" s="1">
        <f>value(EUR!$B2578)</f>
        <v>15654.996</v>
      </c>
      <c r="E2578" s="1">
        <f>value(GBP!$B2578)</f>
        <v>17494.488</v>
      </c>
      <c r="F2578" s="1">
        <f>value(CHF!$B2578)</f>
        <v>13738.575</v>
      </c>
      <c r="G2578" s="1">
        <f>value(SGD!$B2578)</f>
        <v>9878.8634</v>
      </c>
      <c r="H2578" s="1">
        <f>value(MYR!$B2578)</f>
        <v>3109.2876</v>
      </c>
      <c r="I2578" s="1">
        <f>value(THB!$B2578)</f>
        <v>398.934</v>
      </c>
      <c r="J2578" s="1">
        <f>value(VND!$B2578)</f>
        <v>0.6495419864</v>
      </c>
      <c r="K2578" s="1">
        <f>value(CNY!$B2578)</f>
        <v>2037.81175</v>
      </c>
      <c r="L2578" s="1">
        <f>value(HKD!$B2578)</f>
        <v>1703.95186</v>
      </c>
      <c r="M2578" s="1">
        <f>value(TWD!$B2578)</f>
        <v>450.38829</v>
      </c>
      <c r="N2578" s="1">
        <f>value(JPY!$B2578)</f>
        <v>120.4128</v>
      </c>
      <c r="O2578" s="1">
        <f>value(SAR!$B2578)</f>
        <v>3546.933244</v>
      </c>
      <c r="P2578" s="1">
        <f>value(AED!$B2578)</f>
        <v>3746.70149</v>
      </c>
      <c r="Q2578" s="1">
        <f>value(KWD!$B2578)</f>
        <v>45999.39258</v>
      </c>
    </row>
    <row r="2579">
      <c r="A2579" s="4">
        <f>value(USD!A2579)</f>
        <v>42944.99861</v>
      </c>
      <c r="B2579" s="1">
        <f>value(USD!B2579)</f>
        <v>13335</v>
      </c>
      <c r="C2579" s="1">
        <f>value(AUD!$B2579)</f>
        <v>10594.4069</v>
      </c>
      <c r="D2579" s="1">
        <f>value(EUR!$B2579)</f>
        <v>15646.4712</v>
      </c>
      <c r="E2579" s="1">
        <f>value(GBP!$B2579)</f>
        <v>17506.8756</v>
      </c>
      <c r="F2579" s="1">
        <f>value(CHF!$B2579)</f>
        <v>13792.48</v>
      </c>
      <c r="G2579" s="1">
        <f>value(SGD!$B2579)</f>
        <v>9920.10561</v>
      </c>
      <c r="H2579" s="1">
        <f>value(MYR!$B2579)</f>
        <v>3109.2876</v>
      </c>
      <c r="I2579" s="1">
        <f>value(THB!$B2579)</f>
        <v>399.3336</v>
      </c>
      <c r="J2579" s="1">
        <f>value(VND!$B2579)</f>
        <v>0.6609999286</v>
      </c>
      <c r="K2579" s="1">
        <f>value(CNY!$B2579)</f>
        <v>2044.35036</v>
      </c>
      <c r="L2579" s="1">
        <f>value(HKD!$B2579)</f>
        <v>1702.29059</v>
      </c>
      <c r="M2579" s="1">
        <f>value(TWD!$B2579)</f>
        <v>450.81754</v>
      </c>
      <c r="N2579" s="1">
        <f>value(JPY!$B2579)</f>
        <v>120.546</v>
      </c>
      <c r="O2579" s="1">
        <f>value(SAR!$B2579)</f>
        <v>3545.599911</v>
      </c>
      <c r="P2579" s="1">
        <f>value(AED!$B2579)</f>
        <v>3747.37424</v>
      </c>
      <c r="Q2579" s="1">
        <f>value(KWD!$B2579)</f>
        <v>45879.124</v>
      </c>
    </row>
    <row r="2580">
      <c r="A2580" s="4">
        <f>value(USD!A2580)</f>
        <v>42945.99861</v>
      </c>
      <c r="B2580" s="1">
        <f>value(USD!B2580)</f>
        <v>13320</v>
      </c>
      <c r="C2580" s="1">
        <f>value(AUD!$B2580)</f>
        <v>10622.5656</v>
      </c>
      <c r="D2580" s="1">
        <f>value(EUR!$B2580)</f>
        <v>15746.40412</v>
      </c>
      <c r="E2580" s="1">
        <f>value(GBP!$B2580)</f>
        <v>17572.30192</v>
      </c>
      <c r="F2580" s="1">
        <f>value(CHF!$B2580)</f>
        <v>13797.0336</v>
      </c>
      <c r="G2580" s="1">
        <f>value(SGD!$B2580)</f>
        <v>9834.80031</v>
      </c>
      <c r="H2580" s="1">
        <f>value(MYR!$B2580)</f>
        <v>3109.48664</v>
      </c>
      <c r="I2580" s="1">
        <f>value(THB!$B2580)</f>
        <v>399.80636</v>
      </c>
      <c r="J2580" s="1">
        <f>value(VND!$B2580)</f>
        <v>0.6484879569</v>
      </c>
      <c r="K2580" s="1">
        <f>value(CNY!$B2580)</f>
        <v>2053.95365</v>
      </c>
      <c r="L2580" s="1">
        <f>value(HKD!$B2580)</f>
        <v>1703.69074</v>
      </c>
      <c r="M2580" s="1">
        <f>value(TWD!$B2580)</f>
        <v>451.17937</v>
      </c>
      <c r="N2580" s="1">
        <f>value(JPY!$B2580)</f>
        <v>120.66108</v>
      </c>
      <c r="O2580" s="1">
        <f>value(SAR!$B2580)</f>
        <v>3568.72059</v>
      </c>
      <c r="P2580" s="1">
        <f>value(AED!$B2580)</f>
        <v>3740.324778</v>
      </c>
      <c r="Q2580" s="1">
        <f>value(KWD!$B2580)</f>
        <v>45986.30038</v>
      </c>
    </row>
    <row r="2581">
      <c r="A2581" s="4">
        <f>value(USD!A2581)</f>
        <v>42946.99861</v>
      </c>
      <c r="B2581" s="1">
        <f>value(USD!B2581)</f>
        <v>13320</v>
      </c>
      <c r="C2581" s="1">
        <f>value(AUD!$B2581)</f>
        <v>10565.4572</v>
      </c>
      <c r="D2581" s="1">
        <f>value(EUR!$B2581)</f>
        <v>15728.04285</v>
      </c>
      <c r="E2581" s="1">
        <f>value(GBP!$B2581)</f>
        <v>17587.09605</v>
      </c>
      <c r="F2581" s="1">
        <f>value(CHF!$B2581)</f>
        <v>13792.41656</v>
      </c>
      <c r="G2581" s="1">
        <f>value(SGD!$B2581)</f>
        <v>9830.14305</v>
      </c>
      <c r="H2581" s="1">
        <f>value(MYR!$B2581)</f>
        <v>3104.85855</v>
      </c>
      <c r="I2581" s="1">
        <f>value(THB!$B2581)</f>
        <v>400.04268</v>
      </c>
      <c r="J2581" s="1">
        <f>value(VND!$B2581)</f>
        <v>0.6633476429</v>
      </c>
      <c r="K2581" s="1">
        <f>value(CNY!$B2581)</f>
        <v>2043.27094</v>
      </c>
      <c r="L2581" s="1">
        <f>value(HKD!$B2581)</f>
        <v>1704.34635</v>
      </c>
      <c r="M2581" s="1">
        <f>value(TWD!$B2581)</f>
        <v>451.08616</v>
      </c>
      <c r="N2581" s="1">
        <f>value(JPY!$B2581)</f>
        <v>120.5761131</v>
      </c>
      <c r="O2581" s="1">
        <f>value(SAR!$B2581)</f>
        <v>3582.850565</v>
      </c>
      <c r="P2581" s="1">
        <f>value(AED!$B2581)</f>
        <v>3743.42763</v>
      </c>
      <c r="Q2581" s="1">
        <f>value(KWD!$B2581)</f>
        <v>45956.23524</v>
      </c>
    </row>
    <row r="2582">
      <c r="A2582" s="4">
        <f>value(USD!A2582)</f>
        <v>42947.99861</v>
      </c>
      <c r="B2582" s="1">
        <f>value(USD!B2582)</f>
        <v>13318</v>
      </c>
      <c r="C2582" s="1">
        <f>value(AUD!$B2582)</f>
        <v>10560.0508</v>
      </c>
      <c r="D2582" s="1">
        <f>value(EUR!$B2582)</f>
        <v>15780.51183</v>
      </c>
      <c r="E2582" s="1">
        <f>value(GBP!$B2582)</f>
        <v>17614.79541</v>
      </c>
      <c r="F2582" s="1">
        <f>value(CHF!$B2582)</f>
        <v>13796.0664</v>
      </c>
      <c r="G2582" s="1">
        <f>value(SGD!$B2582)</f>
        <v>9822.79104</v>
      </c>
      <c r="H2582" s="1">
        <f>value(MYR!$B2582)</f>
        <v>3104.1927</v>
      </c>
      <c r="I2582" s="1">
        <f>value(THB!$B2582)</f>
        <v>399.90951</v>
      </c>
      <c r="J2582" s="1">
        <f>value(VND!$B2582)</f>
        <v>0.6622756407</v>
      </c>
      <c r="K2582" s="1">
        <f>value(CNY!$B2582)</f>
        <v>2040.2382</v>
      </c>
      <c r="L2582" s="1">
        <f>value(HKD!$B2582)</f>
        <v>1703.56849</v>
      </c>
      <c r="M2582" s="1">
        <f>value(TWD!$B2582)</f>
        <v>450.8154</v>
      </c>
      <c r="N2582" s="1">
        <f>value(JPY!$B2582)</f>
        <v>120.199242</v>
      </c>
      <c r="O2582" s="1">
        <f>value(SAR!$B2582)</f>
        <v>3572.70614</v>
      </c>
      <c r="P2582" s="1">
        <f>value(AED!$B2582)</f>
        <v>3747.10206</v>
      </c>
      <c r="Q2582" s="1">
        <f>value(KWD!$B2582)</f>
        <v>45996.32209</v>
      </c>
    </row>
    <row r="2583">
      <c r="A2583" s="4">
        <f>value(USD!A2583)</f>
        <v>42948.99861</v>
      </c>
      <c r="B2583" s="1">
        <f>value(USD!B2583)</f>
        <v>13317</v>
      </c>
      <c r="C2583" s="1">
        <f>value(AUD!$B2583)</f>
        <v>10550.99508</v>
      </c>
      <c r="D2583" s="1">
        <f>value(EUR!$B2583)</f>
        <v>15825.6358</v>
      </c>
      <c r="E2583" s="1">
        <f>value(GBP!$B2583)</f>
        <v>17503.8298</v>
      </c>
      <c r="F2583" s="1">
        <f>value(CHF!$B2583)</f>
        <v>13770.3328</v>
      </c>
      <c r="G2583" s="1">
        <f>value(SGD!$B2583)</f>
        <v>9784.23408</v>
      </c>
      <c r="H2583" s="1">
        <f>value(MYR!$B2583)</f>
        <v>3110.11969</v>
      </c>
      <c r="I2583" s="1">
        <f>value(THB!$B2583)</f>
        <v>400.50233</v>
      </c>
      <c r="J2583" s="1">
        <f>value(VND!$B2583)</f>
        <v>0.6604481576</v>
      </c>
      <c r="K2583" s="1">
        <f>value(CNY!$B2583)</f>
        <v>2043.15848</v>
      </c>
      <c r="L2583" s="1">
        <f>value(HKD!$B2583)</f>
        <v>1706.37987</v>
      </c>
      <c r="M2583" s="1">
        <f>value(TWD!$B2583)</f>
        <v>449.7831</v>
      </c>
      <c r="N2583" s="1">
        <f>value(JPY!$B2583)</f>
        <v>121.136305</v>
      </c>
      <c r="O2583" s="1">
        <f>value(SAR!$B2583)</f>
        <v>3573.507016</v>
      </c>
      <c r="P2583" s="1">
        <f>value(AED!$B2583)</f>
        <v>3748.61025</v>
      </c>
      <c r="Q2583" s="1">
        <f>value(KWD!$B2583)</f>
        <v>46099.8798</v>
      </c>
    </row>
    <row r="2584">
      <c r="A2584" s="4">
        <f>value(USD!A2584)</f>
        <v>42949.99861</v>
      </c>
      <c r="B2584" s="1">
        <f>value(USD!B2584)</f>
        <v>13317</v>
      </c>
      <c r="C2584" s="1">
        <f>value(AUD!$B2584)</f>
        <v>10573.542</v>
      </c>
      <c r="D2584" s="1">
        <f>value(EUR!$B2584)</f>
        <v>15671.68512</v>
      </c>
      <c r="E2584" s="1">
        <f>value(GBP!$B2584)</f>
        <v>17352.05888</v>
      </c>
      <c r="F2584" s="1">
        <f>value(CHF!$B2584)</f>
        <v>13663.2262</v>
      </c>
      <c r="G2584" s="1">
        <f>value(SGD!$B2584)</f>
        <v>9800.336</v>
      </c>
      <c r="H2584" s="1">
        <f>value(MYR!$B2584)</f>
        <v>3108.88448</v>
      </c>
      <c r="I2584" s="1">
        <f>value(THB!$B2584)</f>
        <v>399.75936</v>
      </c>
      <c r="J2584" s="1">
        <f>value(VND!$B2584)</f>
        <v>0.652745312</v>
      </c>
      <c r="K2584" s="1">
        <f>value(CNY!$B2584)</f>
        <v>2042.04564</v>
      </c>
      <c r="L2584" s="1">
        <f>value(HKD!$B2584)</f>
        <v>1703.55741</v>
      </c>
      <c r="M2584" s="1">
        <f>value(TWD!$B2584)</f>
        <v>451.14608</v>
      </c>
      <c r="N2584" s="1">
        <f>value(JPY!$B2584)</f>
        <v>120.20736</v>
      </c>
      <c r="O2584" s="1">
        <f>value(SAR!$B2584)</f>
        <v>3576.266577</v>
      </c>
      <c r="P2584" s="1">
        <f>value(AED!$B2584)</f>
        <v>3738.53459</v>
      </c>
      <c r="Q2584" s="1">
        <f>value(KWD!$B2584)</f>
        <v>46201.84308</v>
      </c>
    </row>
    <row r="2585">
      <c r="A2585" s="4">
        <f>value(USD!A2585)</f>
        <v>42950.99861</v>
      </c>
      <c r="B2585" s="1">
        <f>value(USD!B2585)</f>
        <v>13319</v>
      </c>
      <c r="C2585" s="1">
        <f>value(AUD!$B2585)</f>
        <v>10514.876</v>
      </c>
      <c r="D2585" s="1">
        <f>value(EUR!$B2585)</f>
        <v>15698.63607</v>
      </c>
      <c r="E2585" s="1">
        <f>value(GBP!$B2585)</f>
        <v>17384.40898</v>
      </c>
      <c r="F2585" s="1">
        <f>value(CHF!$B2585)</f>
        <v>13679.1538</v>
      </c>
      <c r="G2585" s="1">
        <f>value(SGD!$B2585)</f>
        <v>9807.42246</v>
      </c>
      <c r="H2585" s="1">
        <f>value(MYR!$B2585)</f>
        <v>3113.865888</v>
      </c>
      <c r="I2585" s="1">
        <f>value(THB!$B2585)</f>
        <v>400.3998999</v>
      </c>
      <c r="J2585" s="1">
        <f>value(VND!$B2585)</f>
        <v>0.6517412895</v>
      </c>
      <c r="K2585" s="1">
        <f>value(CNY!$B2585)</f>
        <v>2053.2795</v>
      </c>
      <c r="L2585" s="1">
        <f>value(HKD!$B2585)</f>
        <v>1704.45742</v>
      </c>
      <c r="M2585" s="1">
        <f>value(TWD!$B2585)</f>
        <v>451.2483</v>
      </c>
      <c r="N2585" s="1">
        <f>value(JPY!$B2585)</f>
        <v>120.3999699</v>
      </c>
      <c r="O2585" s="1">
        <f>value(SAR!$B2585)</f>
        <v>3576.266577</v>
      </c>
      <c r="P2585" s="1">
        <f>value(AED!$B2585)</f>
        <v>3746.82988</v>
      </c>
      <c r="Q2585" s="1">
        <f>value(KWD!$B2585)</f>
        <v>46226.57439</v>
      </c>
    </row>
    <row r="2586">
      <c r="A2586" s="4">
        <f>value(USD!A2586)</f>
        <v>42951.99861</v>
      </c>
      <c r="B2586" s="1">
        <f>value(USD!B2586)</f>
        <v>13312</v>
      </c>
      <c r="C2586" s="1">
        <f>value(AUD!$B2586)</f>
        <v>10460.07612</v>
      </c>
      <c r="D2586" s="1">
        <f>value(EUR!$B2586)</f>
        <v>15675.20711</v>
      </c>
      <c r="E2586" s="1">
        <f>value(GBP!$B2586)</f>
        <v>17362.52213</v>
      </c>
      <c r="F2586" s="1">
        <f>value(CHF!$B2586)</f>
        <v>13705.977</v>
      </c>
      <c r="G2586" s="1">
        <f>value(SGD!$B2586)</f>
        <v>9845.57618</v>
      </c>
      <c r="H2586" s="1">
        <f>value(MYR!$B2586)</f>
        <v>3108.18386</v>
      </c>
      <c r="I2586" s="1">
        <f>value(THB!$B2586)</f>
        <v>399.53618</v>
      </c>
      <c r="J2586" s="1">
        <f>value(VND!$B2586)</f>
        <v>0.656308172</v>
      </c>
      <c r="K2586" s="1">
        <f>value(CNY!$B2586)</f>
        <v>2049.0559</v>
      </c>
      <c r="L2586" s="1">
        <f>value(HKD!$B2586)</f>
        <v>1700.85911</v>
      </c>
      <c r="M2586" s="1">
        <f>value(TWD!$B2586)</f>
        <v>451.0174</v>
      </c>
      <c r="N2586" s="1">
        <f>value(JPY!$B2586)</f>
        <v>120.100416</v>
      </c>
      <c r="O2586" s="1">
        <f>value(SAR!$B2586)</f>
        <v>3576.552768</v>
      </c>
      <c r="P2586" s="1">
        <f>value(AED!$B2586)</f>
        <v>3744.38026</v>
      </c>
      <c r="Q2586" s="1">
        <f>value(KWD!$B2586)</f>
        <v>46388.74644</v>
      </c>
    </row>
    <row r="2587">
      <c r="A2587" s="4">
        <f>value(USD!A2587)</f>
        <v>42952.99861</v>
      </c>
      <c r="B2587" s="1">
        <f>value(USD!B2587)</f>
        <v>13333.33</v>
      </c>
      <c r="C2587" s="1">
        <f>value(AUD!$B2587)</f>
        <v>10449.1737</v>
      </c>
      <c r="D2587" s="1">
        <f>value(EUR!$B2587)</f>
        <v>15711.9663</v>
      </c>
      <c r="E2587" s="1">
        <f>value(GBP!$B2587)</f>
        <v>17356.9014</v>
      </c>
      <c r="F2587" s="1">
        <f>value(CHF!$B2587)</f>
        <v>13705.18</v>
      </c>
      <c r="G2587" s="1">
        <f>value(SGD!$B2587)</f>
        <v>9842.4403</v>
      </c>
      <c r="H2587" s="1">
        <f>value(MYR!$B2587)</f>
        <v>3107.721</v>
      </c>
      <c r="I2587" s="1">
        <f>value(THB!$B2587)</f>
        <v>399.84945</v>
      </c>
      <c r="J2587" s="1">
        <f>value(VND!$B2587)</f>
        <v>0.6513588188</v>
      </c>
      <c r="K2587" s="1">
        <f>value(CNY!$B2587)</f>
        <v>2029.9532</v>
      </c>
      <c r="L2587" s="1">
        <f>value(HKD!$B2587)</f>
        <v>1688.68812</v>
      </c>
      <c r="M2587" s="1">
        <f>value(TWD!$B2587)</f>
        <v>451.75482</v>
      </c>
      <c r="N2587" s="1">
        <f>value(JPY!$B2587)</f>
        <v>120.194505</v>
      </c>
      <c r="O2587" s="1">
        <f>value(SAR!$B2587)</f>
        <v>3621.025636</v>
      </c>
      <c r="P2587" s="1">
        <f>value(AED!$B2587)</f>
        <v>3747.64642</v>
      </c>
      <c r="Q2587" s="1">
        <f>value(KWD!$B2587)</f>
        <v>46637.71173</v>
      </c>
    </row>
    <row r="2588">
      <c r="A2588" s="4">
        <f>value(USD!A2588)</f>
        <v>42953.99861</v>
      </c>
      <c r="B2588" s="1">
        <f>value(USD!B2588)</f>
        <v>13309</v>
      </c>
      <c r="C2588" s="1">
        <f>value(AUD!$B2588)</f>
        <v>10435.1698</v>
      </c>
      <c r="D2588" s="1">
        <f>value(EUR!$B2588)</f>
        <v>15639.73934</v>
      </c>
      <c r="E2588" s="1">
        <f>value(GBP!$B2588)</f>
        <v>17277.57488</v>
      </c>
      <c r="F2588" s="1">
        <f>value(CHF!$B2588)</f>
        <v>13781.1693</v>
      </c>
      <c r="G2588" s="1">
        <f>value(SGD!$B2588)</f>
        <v>9840.40512</v>
      </c>
      <c r="H2588" s="1">
        <f>value(MYR!$B2588)</f>
        <v>3103.09226</v>
      </c>
      <c r="I2588" s="1">
        <f>value(THB!$B2588)</f>
        <v>399.71224</v>
      </c>
      <c r="J2588" s="1">
        <f>value(VND!$B2588)</f>
        <v>0.652164389</v>
      </c>
      <c r="K2588" s="1">
        <f>value(CNY!$B2588)</f>
        <v>2033.3232</v>
      </c>
      <c r="L2588" s="1">
        <f>value(HKD!$B2588)</f>
        <v>1688.82805</v>
      </c>
      <c r="M2588" s="1">
        <f>value(TWD!$B2588)</f>
        <v>452.08576</v>
      </c>
      <c r="N2588" s="1">
        <f>value(JPY!$B2588)</f>
        <v>120.81848</v>
      </c>
      <c r="O2588" s="1">
        <f>value(SAR!$B2588)</f>
        <v>3615.300326</v>
      </c>
      <c r="P2588" s="1">
        <f>value(AED!$B2588)</f>
        <v>3756.084</v>
      </c>
      <c r="Q2588" s="1">
        <f>value(KWD!$B2588)</f>
        <v>46340.40091</v>
      </c>
    </row>
    <row r="2589">
      <c r="A2589" s="4">
        <f>value(USD!A2589)</f>
        <v>42954.99861</v>
      </c>
      <c r="B2589" s="1">
        <f>value(USD!B2589)</f>
        <v>13315</v>
      </c>
      <c r="C2589" s="1">
        <f>value(AUD!$B2589)</f>
        <v>10414.79436</v>
      </c>
      <c r="D2589" s="1">
        <f>value(EUR!$B2589)</f>
        <v>15672.7086</v>
      </c>
      <c r="E2589" s="1">
        <f>value(GBP!$B2589)</f>
        <v>17335.7934</v>
      </c>
      <c r="F2589" s="1">
        <f>value(CHF!$B2589)</f>
        <v>13796.3125</v>
      </c>
      <c r="G2589" s="1">
        <f>value(SGD!$B2589)</f>
        <v>9846.1828</v>
      </c>
      <c r="H2589" s="1">
        <f>value(MYR!$B2589)</f>
        <v>3105.22452</v>
      </c>
      <c r="I2589" s="1">
        <f>value(THB!$B2589)</f>
        <v>400.57956</v>
      </c>
      <c r="J2589" s="1">
        <f>value(VND!$B2589)</f>
        <v>0.6519481599</v>
      </c>
      <c r="K2589" s="1">
        <f>value(CNY!$B2589)</f>
        <v>2034.132</v>
      </c>
      <c r="L2589" s="1">
        <f>value(HKD!$B2589)</f>
        <v>1689.216</v>
      </c>
      <c r="M2589" s="1">
        <f>value(TWD!$B2589)</f>
        <v>452.35712</v>
      </c>
      <c r="N2589" s="1">
        <f>value(JPY!$B2589)</f>
        <v>121.06671</v>
      </c>
      <c r="O2589" s="1">
        <f>value(SAR!$B2589)</f>
        <v>3641.289799</v>
      </c>
      <c r="P2589" s="1">
        <f>value(AED!$B2589)</f>
        <v>3767.78774</v>
      </c>
      <c r="Q2589" s="1">
        <f>value(KWD!$B2589)</f>
        <v>46359.56789</v>
      </c>
    </row>
    <row r="2590">
      <c r="A2590" s="4">
        <f>value(USD!A2590)</f>
        <v>42955.99861</v>
      </c>
      <c r="B2590" s="1">
        <f>value(USD!B2590)</f>
        <v>13306</v>
      </c>
      <c r="C2590" s="1">
        <f>value(AUD!$B2590)</f>
        <v>10448.31502</v>
      </c>
      <c r="D2590" s="1">
        <f>value(EUR!$B2590)</f>
        <v>15684.67957</v>
      </c>
      <c r="E2590" s="1">
        <f>value(GBP!$B2590)</f>
        <v>17292.18231</v>
      </c>
      <c r="F2590" s="1">
        <f>value(CHF!$B2590)</f>
        <v>13819.8704</v>
      </c>
      <c r="G2590" s="1">
        <f>value(SGD!$B2590)</f>
        <v>9841.9172</v>
      </c>
      <c r="H2590" s="1">
        <f>value(MYR!$B2590)</f>
        <v>3103.59176</v>
      </c>
      <c r="I2590" s="1">
        <f>value(THB!$B2590)</f>
        <v>400.74289</v>
      </c>
      <c r="J2590" s="1">
        <f>value(VND!$B2590)</f>
        <v>0.6548391111</v>
      </c>
      <c r="K2590" s="1">
        <f>value(CNY!$B2590)</f>
        <v>2032.15776</v>
      </c>
      <c r="L2590" s="1">
        <f>value(HKD!$B2590)</f>
        <v>1686.26448</v>
      </c>
      <c r="M2590" s="1">
        <f>value(TWD!$B2590)</f>
        <v>452.3498</v>
      </c>
      <c r="N2590" s="1">
        <f>value(JPY!$B2590)</f>
        <v>122.1379569</v>
      </c>
      <c r="O2590" s="1">
        <f>value(SAR!$B2590)</f>
        <v>3629.714547</v>
      </c>
      <c r="P2590" s="1">
        <f>value(AED!$B2590)</f>
        <v>3769.804593</v>
      </c>
      <c r="Q2590" s="1">
        <f>value(KWD!$B2590)</f>
        <v>46224.8006</v>
      </c>
    </row>
    <row r="2591">
      <c r="A2591" s="4">
        <f>value(USD!A2591)</f>
        <v>42956.99861</v>
      </c>
      <c r="B2591" s="1">
        <f>value(USD!B2591)</f>
        <v>13326</v>
      </c>
      <c r="C2591" s="1">
        <f>value(AUD!$B2591)</f>
        <v>10380.3309</v>
      </c>
      <c r="D2591" s="1">
        <f>value(EUR!$B2591)</f>
        <v>15779.8529</v>
      </c>
      <c r="E2591" s="1">
        <f>value(GBP!$B2591)</f>
        <v>17365.18014</v>
      </c>
      <c r="F2591" s="1">
        <f>value(CHF!$B2591)</f>
        <v>13914.5908</v>
      </c>
      <c r="G2591" s="1">
        <f>value(SGD!$B2591)</f>
        <v>9825.20552</v>
      </c>
      <c r="H2591" s="1">
        <f>value(MYR!$B2591)</f>
        <v>3106.17881</v>
      </c>
      <c r="I2591" s="1">
        <f>value(THB!$B2591)</f>
        <v>401.67141</v>
      </c>
      <c r="J2591" s="1">
        <f>value(VND!$B2591)</f>
        <v>0.6575227826</v>
      </c>
      <c r="K2591" s="1">
        <f>value(CNY!$B2591)</f>
        <v>2034.93812</v>
      </c>
      <c r="L2591" s="1">
        <f>value(HKD!$B2591)</f>
        <v>1690.35984</v>
      </c>
      <c r="M2591" s="1">
        <f>value(TWD!$B2591)</f>
        <v>452.72625</v>
      </c>
      <c r="N2591" s="1">
        <f>value(JPY!$B2591)</f>
        <v>122.27684</v>
      </c>
      <c r="O2591" s="1">
        <f>value(SAR!$B2591)</f>
        <v>3633.304741</v>
      </c>
      <c r="P2591" s="1">
        <f>value(AED!$B2591)</f>
        <v>3783.72477</v>
      </c>
      <c r="Q2591" s="1">
        <f>value(KWD!$B2591)</f>
        <v>45981.05861</v>
      </c>
    </row>
    <row r="2592">
      <c r="A2592" s="4">
        <f>value(USD!A2592)</f>
        <v>42957.99861</v>
      </c>
      <c r="B2592" s="1">
        <f>value(USD!B2592)</f>
        <v>13327</v>
      </c>
      <c r="C2592" s="1">
        <f>value(AUD!$B2592)</f>
        <v>10403.82492</v>
      </c>
      <c r="D2592" s="1">
        <f>value(EUR!$B2592)</f>
        <v>15778.2118</v>
      </c>
      <c r="E2592" s="1">
        <f>value(GBP!$B2592)</f>
        <v>17370.9861</v>
      </c>
      <c r="F2592" s="1">
        <f>value(CHF!$B2592)</f>
        <v>13809.96</v>
      </c>
      <c r="G2592" s="1">
        <f>value(SGD!$B2592)</f>
        <v>9833.16932</v>
      </c>
      <c r="H2592" s="1">
        <f>value(MYR!$B2592)</f>
        <v>3106.64419</v>
      </c>
      <c r="I2592" s="1">
        <f>value(THB!$B2592)</f>
        <v>401.59808</v>
      </c>
      <c r="J2592" s="1">
        <f>value(VND!$B2592)</f>
        <v>0.6508077391</v>
      </c>
      <c r="K2592" s="1">
        <f>value(CNY!$B2592)</f>
        <v>2037.33264</v>
      </c>
      <c r="L2592" s="1">
        <f>value(HKD!$B2592)</f>
        <v>1695.10842</v>
      </c>
      <c r="M2592" s="1">
        <f>value(TWD!$B2592)</f>
        <v>452.25236</v>
      </c>
      <c r="N2592" s="1">
        <f>value(JPY!$B2592)</f>
        <v>122.29516</v>
      </c>
      <c r="O2592" s="1">
        <f>value(SAR!$B2592)</f>
        <v>3633.304741</v>
      </c>
      <c r="P2592" s="1">
        <f>value(AED!$B2592)</f>
        <v>3799.90498</v>
      </c>
      <c r="Q2592" s="1">
        <f>value(KWD!$B2592)</f>
        <v>46087.38857</v>
      </c>
    </row>
    <row r="2593">
      <c r="A2593" s="4">
        <f>value(USD!A2593)</f>
        <v>42958.99861</v>
      </c>
      <c r="B2593" s="1">
        <f>value(USD!B2593)</f>
        <v>13349</v>
      </c>
      <c r="C2593" s="1">
        <f>value(AUD!$B2593)</f>
        <v>10445.98676</v>
      </c>
      <c r="D2593" s="1">
        <f>value(EUR!$B2593)</f>
        <v>15787.29048</v>
      </c>
      <c r="E2593" s="1">
        <f>value(GBP!$B2593)</f>
        <v>17362.9755</v>
      </c>
      <c r="F2593" s="1">
        <f>value(CHF!$B2593)</f>
        <v>13827.88839</v>
      </c>
      <c r="G2593" s="1">
        <f>value(SGD!$B2593)</f>
        <v>9874.2042</v>
      </c>
      <c r="H2593" s="1">
        <f>value(MYR!$B2593)</f>
        <v>3106.64419</v>
      </c>
      <c r="I2593" s="1">
        <f>value(THB!$B2593)</f>
        <v>401.8651</v>
      </c>
      <c r="J2593" s="1">
        <f>value(VND!$B2593)</f>
        <v>0.6547579664</v>
      </c>
      <c r="K2593" s="1">
        <f>value(CNY!$B2593)</f>
        <v>2037.70728</v>
      </c>
      <c r="L2593" s="1">
        <f>value(HKD!$B2593)</f>
        <v>1697.27076</v>
      </c>
      <c r="M2593" s="1">
        <f>value(TWD!$B2593)</f>
        <v>452.15708</v>
      </c>
      <c r="N2593" s="1">
        <f>value(JPY!$B2593)</f>
        <v>122.215054</v>
      </c>
      <c r="O2593" s="1">
        <f>value(SAR!$B2593)</f>
        <v>3629.526776</v>
      </c>
      <c r="P2593" s="1">
        <f>value(AED!$B2593)</f>
        <v>3775.68096</v>
      </c>
      <c r="Q2593" s="1">
        <f>value(KWD!$B2593)</f>
        <v>46267.25434</v>
      </c>
    </row>
    <row r="2594">
      <c r="A2594" s="4">
        <f>value(USD!A2594)</f>
        <v>42959.99861</v>
      </c>
      <c r="B2594" s="1">
        <f>value(USD!B2594)</f>
        <v>13351</v>
      </c>
      <c r="C2594" s="1">
        <f>value(AUD!$B2594)</f>
        <v>10310.852</v>
      </c>
      <c r="D2594" s="1">
        <f>value(EUR!$B2594)</f>
        <v>15708.33712</v>
      </c>
      <c r="E2594" s="1">
        <f>value(GBP!$B2594)</f>
        <v>17293.9004</v>
      </c>
      <c r="F2594" s="1">
        <f>value(CHF!$B2594)</f>
        <v>13891.8405</v>
      </c>
      <c r="G2594" s="1">
        <f>value(SGD!$B2594)</f>
        <v>9873.7173</v>
      </c>
      <c r="H2594" s="1">
        <f>value(MYR!$B2594)</f>
        <v>3105.61734</v>
      </c>
      <c r="I2594" s="1">
        <f>value(THB!$B2594)</f>
        <v>401.06052</v>
      </c>
      <c r="J2594" s="1">
        <f>value(VND!$B2594)</f>
        <v>0.6512535591</v>
      </c>
      <c r="K2594" s="1">
        <f>value(CNY!$B2594)</f>
        <v>2038.88352</v>
      </c>
      <c r="L2594" s="1">
        <f>value(HKD!$B2594)</f>
        <v>1693.89848</v>
      </c>
      <c r="M2594" s="1">
        <f>value(TWD!$B2594)</f>
        <v>452.06339</v>
      </c>
      <c r="N2594" s="1">
        <f>value(JPY!$B2594)</f>
        <v>121.332148</v>
      </c>
      <c r="O2594" s="1">
        <f>value(SAR!$B2594)</f>
        <v>3641.823673</v>
      </c>
      <c r="P2594" s="1">
        <f>value(AED!$B2594)</f>
        <v>3788.33423</v>
      </c>
      <c r="Q2594" s="1">
        <f>value(KWD!$B2594)</f>
        <v>46429.6813</v>
      </c>
    </row>
    <row r="2595">
      <c r="A2595" s="4">
        <f>value(USD!A2595)</f>
        <v>42960.99861</v>
      </c>
      <c r="B2595" s="1">
        <f>value(USD!B2595)</f>
        <v>13351</v>
      </c>
      <c r="C2595" s="1">
        <f>value(AUD!$B2595)</f>
        <v>10309.504</v>
      </c>
      <c r="D2595" s="1">
        <f>value(EUR!$B2595)</f>
        <v>15678.66432</v>
      </c>
      <c r="E2595" s="1">
        <f>value(GBP!$B2595)</f>
        <v>17181.2564</v>
      </c>
      <c r="F2595" s="1">
        <f>value(CHF!$B2595)</f>
        <v>13884.1591</v>
      </c>
      <c r="G2595" s="1">
        <f>value(SGD!$B2595)</f>
        <v>9857.3919</v>
      </c>
      <c r="H2595" s="1">
        <f>value(MYR!$B2595)</f>
        <v>3106.67456</v>
      </c>
      <c r="I2595" s="1">
        <f>value(THB!$B2595)</f>
        <v>401.2877</v>
      </c>
      <c r="J2595" s="1">
        <f>value(VND!$B2595)</f>
        <v>0.6547363707</v>
      </c>
      <c r="K2595" s="1">
        <f>value(CNY!$B2595)</f>
        <v>2039.972071</v>
      </c>
      <c r="L2595" s="1">
        <f>value(HKD!$B2595)</f>
        <v>1694.9308</v>
      </c>
      <c r="M2595" s="1">
        <f>value(TWD!$B2595)</f>
        <v>452.87621</v>
      </c>
      <c r="N2595" s="1">
        <f>value(JPY!$B2595)</f>
        <v>120.733514</v>
      </c>
      <c r="O2595" s="1">
        <f>value(SAR!$B2595)</f>
        <v>3641.022862</v>
      </c>
      <c r="P2595" s="1">
        <f>value(AED!$B2595)</f>
        <v>3777.44743</v>
      </c>
      <c r="Q2595" s="1">
        <f>value(KWD!$B2595)</f>
        <v>46539.36049</v>
      </c>
    </row>
    <row r="2596">
      <c r="A2596" s="4">
        <f>value(USD!A2596)</f>
        <v>42961.99861</v>
      </c>
      <c r="B2596" s="1">
        <f>value(USD!B2596)</f>
        <v>13342</v>
      </c>
      <c r="C2596" s="1">
        <f>value(AUD!$B2596)</f>
        <v>10313.2784</v>
      </c>
      <c r="D2596" s="1">
        <f>value(EUR!$B2596)</f>
        <v>15717.489</v>
      </c>
      <c r="E2596" s="1">
        <f>value(GBP!$B2596)</f>
        <v>17209.3515</v>
      </c>
      <c r="F2596" s="1">
        <f>value(CHF!$B2596)</f>
        <v>13906.61568</v>
      </c>
      <c r="G2596" s="1">
        <f>value(SGD!$B2596)</f>
        <v>9862.85875</v>
      </c>
      <c r="H2596" s="1">
        <f>value(MYR!$B2596)</f>
        <v>3106.4115</v>
      </c>
      <c r="I2596" s="1">
        <f>value(THB!$B2596)</f>
        <v>401.4345</v>
      </c>
      <c r="J2596" s="1">
        <f>value(VND!$B2596)</f>
        <v>0.6542581375</v>
      </c>
      <c r="K2596" s="1">
        <f>value(CNY!$B2596)</f>
        <v>2034.9072</v>
      </c>
      <c r="L2596" s="1">
        <f>value(HKD!$B2596)</f>
        <v>1697.24256</v>
      </c>
      <c r="M2596" s="1">
        <f>value(TWD!$B2596)</f>
        <v>453.00993</v>
      </c>
      <c r="N2596" s="1">
        <f>value(JPY!$B2596)</f>
        <v>121.3515</v>
      </c>
      <c r="O2596" s="1">
        <f>value(SAR!$B2596)</f>
        <v>3635.635653</v>
      </c>
      <c r="P2596" s="1">
        <f>value(AED!$B2596)</f>
        <v>3767.3955</v>
      </c>
      <c r="Q2596" s="1">
        <f>value(KWD!$B2596)</f>
        <v>46297.76995</v>
      </c>
    </row>
    <row r="2597">
      <c r="A2597" s="4">
        <f>value(USD!A2597)</f>
        <v>42962.99861</v>
      </c>
      <c r="B2597" s="1">
        <f>value(USD!B2597)</f>
        <v>13354</v>
      </c>
      <c r="C2597" s="1">
        <f>value(AUD!$B2597)</f>
        <v>10363.0338</v>
      </c>
      <c r="D2597" s="1">
        <f>value(EUR!$B2597)</f>
        <v>15662.6236</v>
      </c>
      <c r="E2597" s="1">
        <f>value(GBP!$B2597)</f>
        <v>17203.078</v>
      </c>
      <c r="F2597" s="1">
        <f>value(CHF!$B2597)</f>
        <v>13808.6358</v>
      </c>
      <c r="G2597" s="1">
        <f>value(SGD!$B2597)</f>
        <v>9881.3148</v>
      </c>
      <c r="H2597" s="1">
        <f>value(MYR!$B2597)</f>
        <v>3111.26324</v>
      </c>
      <c r="I2597" s="1">
        <f>value(THB!$B2597)</f>
        <v>401.96232</v>
      </c>
      <c r="J2597" s="1">
        <f>value(VND!$B2597)</f>
        <v>0.6513699962</v>
      </c>
      <c r="K2597" s="1">
        <f>value(CNY!$B2597)</f>
        <v>2041.21733</v>
      </c>
      <c r="L2597" s="1">
        <f>value(HKD!$B2597)</f>
        <v>1698.35872</v>
      </c>
      <c r="M2597" s="1">
        <f>value(TWD!$B2597)</f>
        <v>452.10412</v>
      </c>
      <c r="N2597" s="1">
        <f>value(JPY!$B2597)</f>
        <v>122.273568</v>
      </c>
      <c r="O2597" s="1">
        <f>value(SAR!$B2597)</f>
        <v>3617.918624</v>
      </c>
      <c r="P2597" s="1">
        <f>value(AED!$B2597)</f>
        <v>3775.8301</v>
      </c>
      <c r="Q2597" s="1">
        <f>value(KWD!$B2597)</f>
        <v>46369.16319</v>
      </c>
    </row>
    <row r="2598">
      <c r="A2598" s="4">
        <f>value(USD!A2598)</f>
        <v>42963.99861</v>
      </c>
      <c r="B2598" s="1">
        <f>value(USD!B2598)</f>
        <v>13350</v>
      </c>
      <c r="C2598" s="1">
        <f>value(AUD!$B2598)</f>
        <v>10343.21018</v>
      </c>
      <c r="D2598" s="1">
        <f>value(EUR!$B2598)</f>
        <v>15707.27146</v>
      </c>
      <c r="E2598" s="1">
        <f>value(GBP!$B2598)</f>
        <v>17194.95192</v>
      </c>
      <c r="F2598" s="1">
        <f>value(CHF!$B2598)</f>
        <v>13742.8867</v>
      </c>
      <c r="G2598" s="1">
        <f>value(SGD!$B2598)</f>
        <v>9942.5634</v>
      </c>
      <c r="H2598" s="1">
        <f>value(MYR!$B2598)</f>
        <v>3112.28042</v>
      </c>
      <c r="I2598" s="1">
        <f>value(THB!$B2598)</f>
        <v>401.80864</v>
      </c>
      <c r="J2598" s="1">
        <f>value(VND!$B2598)</f>
        <v>0.6642327463</v>
      </c>
      <c r="K2598" s="1">
        <f>value(CNY!$B2598)</f>
        <v>2040.9606</v>
      </c>
      <c r="L2598" s="1">
        <f>value(HKD!$B2598)</f>
        <v>1701.20041</v>
      </c>
      <c r="M2598" s="1">
        <f>value(TWD!$B2598)</f>
        <v>452.23024</v>
      </c>
      <c r="N2598" s="1">
        <f>value(JPY!$B2598)</f>
        <v>122.35928</v>
      </c>
      <c r="O2598" s="1">
        <f>value(SAR!$B2598)</f>
        <v>3613.770221</v>
      </c>
      <c r="P2598" s="1">
        <f>value(AED!$B2598)</f>
        <v>3784.26923</v>
      </c>
      <c r="Q2598" s="1">
        <f>value(KWD!$B2598)</f>
        <v>46284.82485</v>
      </c>
    </row>
    <row r="2599">
      <c r="A2599" s="4">
        <f>value(USD!A2599)</f>
        <v>42964.99861</v>
      </c>
      <c r="B2599" s="1">
        <f>value(USD!B2599)</f>
        <v>13372</v>
      </c>
      <c r="C2599" s="1">
        <f>value(AUD!$B2599)</f>
        <v>10367.6034</v>
      </c>
      <c r="D2599" s="1">
        <f>value(EUR!$B2599)</f>
        <v>15705.48</v>
      </c>
      <c r="E2599" s="1">
        <f>value(GBP!$B2599)</f>
        <v>17190.556</v>
      </c>
      <c r="F2599" s="1">
        <f>value(CHF!$B2599)</f>
        <v>13799.044</v>
      </c>
      <c r="G2599" s="1">
        <f>value(SGD!$B2599)</f>
        <v>9903.0604</v>
      </c>
      <c r="H2599" s="1">
        <f>value(MYR!$B2599)</f>
        <v>3111.58145</v>
      </c>
      <c r="I2599" s="1">
        <f>value(THB!$B2599)</f>
        <v>401.85195</v>
      </c>
      <c r="J2599" s="1">
        <f>value(VND!$B2599)</f>
        <v>0.6562621885</v>
      </c>
      <c r="K2599" s="1">
        <f>value(CNY!$B2599)</f>
        <v>2043.785</v>
      </c>
      <c r="L2599" s="1">
        <f>value(HKD!$B2599)</f>
        <v>1700.53676</v>
      </c>
      <c r="M2599" s="1">
        <f>value(TWD!$B2599)</f>
        <v>452.8372</v>
      </c>
      <c r="N2599" s="1">
        <f>value(JPY!$B2599)</f>
        <v>122.3318</v>
      </c>
      <c r="O2599" s="1">
        <f>value(SAR!$B2599)</f>
        <v>3613.770221</v>
      </c>
      <c r="P2599" s="1">
        <f>value(AED!$B2599)</f>
        <v>3806.681175</v>
      </c>
      <c r="Q2599" s="1">
        <f>value(KWD!$B2599)</f>
        <v>46302.87011</v>
      </c>
    </row>
    <row r="2600">
      <c r="A2600" s="4">
        <f>value(USD!A2600)</f>
        <v>42965.99861</v>
      </c>
      <c r="B2600" s="1">
        <f>value(USD!B2600)</f>
        <v>13358</v>
      </c>
      <c r="C2600" s="1">
        <f>value(AUD!$B2600)</f>
        <v>10391.30613</v>
      </c>
      <c r="D2600" s="1">
        <f>value(EUR!$B2600)</f>
        <v>15699.20315</v>
      </c>
      <c r="E2600" s="1">
        <f>value(GBP!$B2600)</f>
        <v>17191.0902</v>
      </c>
      <c r="F2600" s="1">
        <f>value(CHF!$B2600)</f>
        <v>13797.9831</v>
      </c>
      <c r="G2600" s="1">
        <f>value(SGD!$B2600)</f>
        <v>9906.7391</v>
      </c>
      <c r="H2600" s="1">
        <f>value(MYR!$B2600)</f>
        <v>3111.58145</v>
      </c>
      <c r="I2600" s="1">
        <f>value(THB!$B2600)</f>
        <v>401.7184</v>
      </c>
      <c r="J2600" s="1">
        <f>value(VND!$B2600)</f>
        <v>0.6552166314</v>
      </c>
      <c r="K2600" s="1">
        <f>value(CNY!$B2600)</f>
        <v>2038.5869</v>
      </c>
      <c r="L2600" s="1">
        <f>value(HKD!$B2600)</f>
        <v>1701.2529</v>
      </c>
      <c r="M2600" s="1">
        <f>value(TWD!$B2600)</f>
        <v>454.32858</v>
      </c>
      <c r="N2600" s="1">
        <f>value(JPY!$B2600)</f>
        <v>122.131475</v>
      </c>
      <c r="O2600" s="1">
        <f>value(SAR!$B2600)</f>
        <v>3613.962931</v>
      </c>
      <c r="P2600" s="1">
        <f>value(AED!$B2600)</f>
        <v>3811.005991</v>
      </c>
      <c r="Q2600" s="1">
        <f>value(KWD!$B2600)</f>
        <v>47425.71164</v>
      </c>
    </row>
    <row r="2601">
      <c r="A2601" s="4">
        <f>value(USD!A2601)</f>
        <v>42966.99861</v>
      </c>
      <c r="B2601" s="1">
        <f>value(USD!B2601)</f>
        <v>13355</v>
      </c>
      <c r="C2601" s="1">
        <f>value(AUD!$B2601)</f>
        <v>10373.172</v>
      </c>
      <c r="D2601" s="1">
        <f>value(EUR!$B2601)</f>
        <v>15760.99872</v>
      </c>
      <c r="E2601" s="1">
        <f>value(GBP!$B2601)</f>
        <v>17208.55584</v>
      </c>
      <c r="F2601" s="1">
        <f>value(CHF!$B2601)</f>
        <v>13799.73771</v>
      </c>
      <c r="G2601" s="1">
        <f>value(SGD!$B2601)</f>
        <v>9934.05427</v>
      </c>
      <c r="H2601" s="1">
        <f>value(MYR!$B2601)</f>
        <v>3110.88672</v>
      </c>
      <c r="I2601" s="1">
        <f>value(THB!$B2601)</f>
        <v>401.25408</v>
      </c>
      <c r="J2601" s="1">
        <f>value(VND!$B2601)</f>
        <v>0.6518782815</v>
      </c>
      <c r="K2601" s="1">
        <f>value(CNY!$B2601)</f>
        <v>2037.54672</v>
      </c>
      <c r="L2601" s="1">
        <f>value(HKD!$B2601)</f>
        <v>1703.70024</v>
      </c>
      <c r="M2601" s="1">
        <f>value(TWD!$B2601)</f>
        <v>451.845</v>
      </c>
      <c r="N2601" s="1">
        <f>value(JPY!$B2601)</f>
        <v>122.49792</v>
      </c>
      <c r="O2601" s="1">
        <f>value(SAR!$B2601)</f>
        <v>3618.162771</v>
      </c>
      <c r="P2601" s="1">
        <f>value(AED!$B2601)</f>
        <v>3791.73958</v>
      </c>
      <c r="Q2601" s="1">
        <f>value(KWD!$B2601)</f>
        <v>47376.4394</v>
      </c>
    </row>
    <row r="2602">
      <c r="A2602" s="4">
        <f>value(USD!A2602)</f>
        <v>42967.99861</v>
      </c>
      <c r="B2602" s="1">
        <f>value(USD!B2602)</f>
        <v>13355</v>
      </c>
      <c r="C2602" s="1">
        <f>value(AUD!$B2602)</f>
        <v>10379.39958</v>
      </c>
      <c r="D2602" s="1">
        <f>value(EUR!$B2602)</f>
        <v>15673.26475</v>
      </c>
      <c r="E2602" s="1">
        <f>value(GBP!$B2602)</f>
        <v>17087.84675</v>
      </c>
      <c r="F2602" s="1">
        <f>value(CHF!$B2602)</f>
        <v>13784.253</v>
      </c>
      <c r="G2602" s="1">
        <f>value(SGD!$B2602)</f>
        <v>9935.424</v>
      </c>
      <c r="H2602" s="1">
        <f>value(MYR!$B2602)</f>
        <v>3110.72125</v>
      </c>
      <c r="I2602" s="1">
        <f>value(THB!$B2602)</f>
        <v>400.68275</v>
      </c>
      <c r="J2602" s="1">
        <f>value(VND!$B2602)</f>
        <v>0.6464922402</v>
      </c>
      <c r="K2602" s="1">
        <f>value(CNY!$B2602)</f>
        <v>2038.918388</v>
      </c>
      <c r="L2602" s="1">
        <f>value(HKD!$B2602)</f>
        <v>1704.56562</v>
      </c>
      <c r="M2602" s="1">
        <f>value(TWD!$B2602)</f>
        <v>454.04013</v>
      </c>
      <c r="N2602" s="1">
        <f>value(JPY!$B2602)</f>
        <v>121.4174</v>
      </c>
      <c r="O2602" s="1">
        <f>value(SAR!$B2602)</f>
        <v>3632.383848</v>
      </c>
      <c r="P2602" s="1">
        <f>value(AED!$B2602)</f>
        <v>3792.251925</v>
      </c>
      <c r="Q2602" s="1">
        <f>value(KWD!$B2602)</f>
        <v>46741.72444</v>
      </c>
    </row>
    <row r="2603">
      <c r="A2603" s="4">
        <f>value(USD!A2603)</f>
        <v>42968.99861</v>
      </c>
      <c r="B2603" s="1">
        <f>value(USD!B2603)</f>
        <v>13344</v>
      </c>
      <c r="C2603" s="1">
        <f>value(AUD!$B2603)</f>
        <v>10331.68056</v>
      </c>
      <c r="D2603" s="1">
        <f>value(EUR!$B2603)</f>
        <v>15775.5416</v>
      </c>
      <c r="E2603" s="1">
        <f>value(GBP!$B2603)</f>
        <v>17093.15179</v>
      </c>
      <c r="F2603" s="1">
        <f>value(CHF!$B2603)</f>
        <v>13860.5845</v>
      </c>
      <c r="G2603" s="1">
        <f>value(SGD!$B2603)</f>
        <v>9888.4617</v>
      </c>
      <c r="H2603" s="1">
        <f>value(MYR!$B2603)</f>
        <v>3117.59201</v>
      </c>
      <c r="I2603" s="1">
        <f>value(THB!$B2603)</f>
        <v>400.26298</v>
      </c>
      <c r="J2603" s="1">
        <f>value(VND!$B2603)</f>
        <v>0.6412665595</v>
      </c>
      <c r="K2603" s="1">
        <f>value(CNY!$B2603)</f>
        <v>2027.28064</v>
      </c>
      <c r="L2603" s="1">
        <f>value(HKD!$B2603)</f>
        <v>1711.86625</v>
      </c>
      <c r="M2603" s="1">
        <f>value(TWD!$B2603)</f>
        <v>456.22998</v>
      </c>
      <c r="N2603" s="1">
        <f>value(JPY!$B2603)</f>
        <v>122.548829</v>
      </c>
      <c r="O2603" s="1">
        <f>value(SAR!$B2603)</f>
        <v>3633.645539</v>
      </c>
      <c r="P2603" s="1">
        <f>value(AED!$B2603)</f>
        <v>3790.666726</v>
      </c>
      <c r="Q2603" s="1">
        <f>value(KWD!$B2603)</f>
        <v>46730.86009</v>
      </c>
    </row>
    <row r="2604">
      <c r="A2604" s="4">
        <f>value(USD!A2604)</f>
        <v>42969.99861</v>
      </c>
      <c r="B2604" s="1">
        <f>value(USD!B2604)</f>
        <v>13325</v>
      </c>
      <c r="C2604" s="1">
        <f>value(AUD!$B2604)</f>
        <v>10319.79632</v>
      </c>
      <c r="D2604" s="1">
        <f>value(EUR!$B2604)</f>
        <v>15730.54006</v>
      </c>
      <c r="E2604" s="1">
        <f>value(GBP!$B2604)</f>
        <v>17069.57325</v>
      </c>
      <c r="F2604" s="1">
        <f>value(CHF!$B2604)</f>
        <v>13882.876</v>
      </c>
      <c r="G2604" s="1">
        <f>value(SGD!$B2604)</f>
        <v>9858.77594</v>
      </c>
      <c r="H2604" s="1">
        <f>value(MYR!$B2604)</f>
        <v>3118.32204</v>
      </c>
      <c r="I2604" s="1">
        <f>value(THB!$B2604)</f>
        <v>399.85667</v>
      </c>
      <c r="J2604" s="1">
        <f>value(VND!$B2604)</f>
        <v>0.6404120032</v>
      </c>
      <c r="K2604" s="1">
        <f>value(CNY!$B2604)</f>
        <v>2038.488</v>
      </c>
      <c r="L2604" s="1">
        <f>value(HKD!$B2604)</f>
        <v>1719.82699</v>
      </c>
      <c r="M2604" s="1">
        <f>value(TWD!$B2604)</f>
        <v>454.6025</v>
      </c>
      <c r="N2604" s="1">
        <f>value(JPY!$B2604)</f>
        <v>121.703624</v>
      </c>
      <c r="O2604" s="1">
        <f>value(SAR!$B2604)</f>
        <v>3651.119876</v>
      </c>
      <c r="P2604" s="1">
        <f>value(AED!$B2604)</f>
        <v>3792.98059</v>
      </c>
      <c r="Q2604" s="1">
        <f>value(KWD!$B2604)</f>
        <v>46235.48106</v>
      </c>
    </row>
    <row r="2605">
      <c r="A2605" s="4">
        <f>value(USD!A2605)</f>
        <v>42970.99861</v>
      </c>
      <c r="B2605" s="1">
        <f>value(USD!B2605)</f>
        <v>13351</v>
      </c>
      <c r="C2605" s="1">
        <f>value(AUD!$B2605)</f>
        <v>10332.126</v>
      </c>
      <c r="D2605" s="1">
        <f>value(EUR!$B2605)</f>
        <v>15904.60656</v>
      </c>
      <c r="E2605" s="1">
        <f>value(GBP!$B2605)</f>
        <v>17179.07229</v>
      </c>
      <c r="F2605" s="1">
        <f>value(CHF!$B2605)</f>
        <v>13842.199</v>
      </c>
      <c r="G2605" s="1">
        <f>value(SGD!$B2605)</f>
        <v>9892.2403</v>
      </c>
      <c r="H2605" s="1">
        <f>value(MYR!$B2605)</f>
        <v>3120.72672</v>
      </c>
      <c r="I2605" s="1">
        <f>value(THB!$B2605)</f>
        <v>400.76364</v>
      </c>
      <c r="J2605" s="1">
        <f>value(VND!$B2605)</f>
        <v>0.6367266283</v>
      </c>
      <c r="K2605" s="1">
        <f>value(CNY!$B2605)</f>
        <v>2038.93558</v>
      </c>
      <c r="L2605" s="1">
        <f>value(HKD!$B2605)</f>
        <v>1729.29416</v>
      </c>
      <c r="M2605" s="1">
        <f>value(TWD!$B2605)</f>
        <v>455.62496</v>
      </c>
      <c r="N2605" s="1">
        <f>value(JPY!$B2605)</f>
        <v>121.93674</v>
      </c>
      <c r="O2605" s="1">
        <f>value(SAR!$B2605)</f>
        <v>3645.101747</v>
      </c>
      <c r="P2605" s="1">
        <f>value(AED!$B2605)</f>
        <v>3883.457645</v>
      </c>
      <c r="Q2605" s="1">
        <f>value(KWD!$B2605)</f>
        <v>46245.4313</v>
      </c>
    </row>
    <row r="2606">
      <c r="A2606" s="4">
        <f>value(USD!A2606)</f>
        <v>42971.99861</v>
      </c>
      <c r="B2606" s="1">
        <f>value(USD!B2606)</f>
        <v>13333</v>
      </c>
      <c r="C2606" s="1">
        <f>value(AUD!$B2606)</f>
        <v>10274.9599</v>
      </c>
      <c r="D2606" s="1">
        <f>value(EUR!$B2606)</f>
        <v>15907.8084</v>
      </c>
      <c r="E2606" s="1">
        <f>value(GBP!$B2606)</f>
        <v>17191.2126</v>
      </c>
      <c r="F2606" s="1">
        <f>value(CHF!$B2606)</f>
        <v>13777.837</v>
      </c>
      <c r="G2606" s="1">
        <f>value(SGD!$B2606)</f>
        <v>9888.57705</v>
      </c>
      <c r="H2606" s="1">
        <f>value(MYR!$B2606)</f>
        <v>3120.72672</v>
      </c>
      <c r="I2606" s="1">
        <f>value(THB!$B2606)</f>
        <v>400.89705</v>
      </c>
      <c r="J2606" s="1">
        <f>value(VND!$B2606)</f>
        <v>0.6266967031</v>
      </c>
      <c r="K2606" s="1">
        <f>value(CNY!$B2606)</f>
        <v>2040.51375</v>
      </c>
      <c r="L2606" s="1">
        <f>value(HKD!$B2606)</f>
        <v>1723.2838</v>
      </c>
      <c r="M2606" s="1">
        <f>value(TWD!$B2606)</f>
        <v>455.08372</v>
      </c>
      <c r="N2606" s="1">
        <f>value(JPY!$B2606)</f>
        <v>121.93674</v>
      </c>
      <c r="O2606" s="1">
        <f>value(SAR!$B2606)</f>
        <v>3640.824576</v>
      </c>
      <c r="P2606" s="1">
        <f>value(AED!$B2606)</f>
        <v>3882.260097</v>
      </c>
      <c r="Q2606" s="1">
        <f>value(KWD!$B2606)</f>
        <v>46323.79096</v>
      </c>
    </row>
    <row r="2607">
      <c r="A2607" s="4">
        <f>value(USD!A2607)</f>
        <v>42972.99861</v>
      </c>
      <c r="B2607" s="1">
        <f>value(USD!B2607)</f>
        <v>13341</v>
      </c>
      <c r="C2607" s="1">
        <f>value(AUD!$B2607)</f>
        <v>10252.3961</v>
      </c>
      <c r="D2607" s="1">
        <f>value(EUR!$B2607)</f>
        <v>15941.83907</v>
      </c>
      <c r="E2607" s="1">
        <f>value(GBP!$B2607)</f>
        <v>17212.37882</v>
      </c>
      <c r="F2607" s="1">
        <f>value(CHF!$B2607)</f>
        <v>13842.792</v>
      </c>
      <c r="G2607" s="1">
        <f>value(SGD!$B2607)</f>
        <v>9889.2519</v>
      </c>
      <c r="H2607" s="1">
        <f>value(MYR!$B2607)</f>
        <v>3120.25888</v>
      </c>
      <c r="I2607" s="1">
        <f>value(THB!$B2607)</f>
        <v>401.10373</v>
      </c>
      <c r="J2607" s="1">
        <f>value(VND!$B2607)</f>
        <v>0.632052615</v>
      </c>
      <c r="K2607" s="1">
        <f>value(CNY!$B2607)</f>
        <v>2048.84421</v>
      </c>
      <c r="L2607" s="1">
        <f>value(HKD!$B2607)</f>
        <v>1723.92395</v>
      </c>
      <c r="M2607" s="1">
        <f>value(TWD!$B2607)</f>
        <v>453.1587</v>
      </c>
      <c r="N2607" s="1">
        <f>value(JPY!$B2607)</f>
        <v>121.958477</v>
      </c>
      <c r="O2607" s="1">
        <f>value(SAR!$B2607)</f>
        <v>3643.083706</v>
      </c>
      <c r="P2607" s="1">
        <f>value(AED!$B2607)</f>
        <v>3830.24841</v>
      </c>
      <c r="Q2607" s="1">
        <f>value(KWD!$B2607)</f>
        <v>46380.99484</v>
      </c>
    </row>
    <row r="2608">
      <c r="A2608" s="4">
        <f>value(USD!A2608)</f>
        <v>42973.99861</v>
      </c>
      <c r="B2608" s="1">
        <f>value(USD!B2608)</f>
        <v>13341</v>
      </c>
      <c r="C2608" s="1">
        <f>value(AUD!$B2608)</f>
        <v>10217.4512</v>
      </c>
      <c r="D2608" s="1">
        <f>value(EUR!$B2608)</f>
        <v>15914.51193</v>
      </c>
      <c r="E2608" s="1">
        <f>value(GBP!$B2608)</f>
        <v>17194.1275</v>
      </c>
      <c r="F2608" s="1">
        <f>value(CHF!$B2608)</f>
        <v>13841.4428</v>
      </c>
      <c r="G2608" s="1">
        <f>value(SGD!$B2608)</f>
        <v>9909.585</v>
      </c>
      <c r="H2608" s="1">
        <f>value(MYR!$B2608)</f>
        <v>3115.03048</v>
      </c>
      <c r="I2608" s="1">
        <f>value(THB!$B2608)</f>
        <v>400.4203</v>
      </c>
      <c r="J2608" s="1">
        <f>value(VND!$B2608)</f>
        <v>0.6310404069</v>
      </c>
      <c r="K2608" s="1">
        <f>value(CNY!$B2608)</f>
        <v>2044.40708</v>
      </c>
      <c r="L2608" s="1">
        <f>value(HKD!$B2608)</f>
        <v>1732.37393</v>
      </c>
      <c r="M2608" s="1">
        <f>value(TWD!$B2608)</f>
        <v>454.23057</v>
      </c>
      <c r="N2608" s="1">
        <f>value(JPY!$B2608)</f>
        <v>122.307782</v>
      </c>
      <c r="O2608" s="1">
        <f>value(SAR!$B2608)</f>
        <v>3644.153697</v>
      </c>
      <c r="P2608" s="1">
        <f>value(AED!$B2608)</f>
        <v>3830.24841</v>
      </c>
      <c r="Q2608" s="1">
        <f>value(KWD!$B2608)</f>
        <v>46564.88253</v>
      </c>
    </row>
    <row r="2609">
      <c r="A2609" s="4">
        <f>value(USD!A2609)</f>
        <v>42974.99861</v>
      </c>
      <c r="B2609" s="1">
        <f>value(USD!B2609)</f>
        <v>13339</v>
      </c>
      <c r="C2609" s="1">
        <f>value(AUD!$B2609)</f>
        <v>10221.61896</v>
      </c>
      <c r="D2609" s="1">
        <f>value(EUR!$B2609)</f>
        <v>15959.06768</v>
      </c>
      <c r="E2609" s="1">
        <f>value(GBP!$B2609)</f>
        <v>17229.03593</v>
      </c>
      <c r="F2609" s="1">
        <f>value(CHF!$B2609)</f>
        <v>13816.9428</v>
      </c>
      <c r="G2609" s="1">
        <f>value(SGD!$B2609)</f>
        <v>9962.4091</v>
      </c>
      <c r="H2609" s="1">
        <f>value(MYR!$B2609)</f>
        <v>3122.45527</v>
      </c>
      <c r="I2609" s="1">
        <f>value(THB!$B2609)</f>
        <v>401.45663</v>
      </c>
      <c r="J2609" s="1">
        <f>value(VND!$B2609)</f>
        <v>0.6364241916</v>
      </c>
      <c r="K2609" s="1">
        <f>value(CNY!$B2609)</f>
        <v>2063.97918</v>
      </c>
      <c r="L2609" s="1">
        <f>value(HKD!$B2609)</f>
        <v>1732.87872</v>
      </c>
      <c r="M2609" s="1">
        <f>value(TWD!$B2609)</f>
        <v>455.1753</v>
      </c>
      <c r="N2609" s="1">
        <f>value(JPY!$B2609)</f>
        <v>121.423631</v>
      </c>
      <c r="O2609" s="1">
        <f>value(SAR!$B2609)</f>
        <v>3655.144691</v>
      </c>
      <c r="P2609" s="1">
        <f>value(AED!$B2609)</f>
        <v>3794.0498</v>
      </c>
      <c r="Q2609" s="1">
        <f>value(KWD!$B2609)</f>
        <v>46937.12701</v>
      </c>
    </row>
    <row r="2610">
      <c r="A2610" s="4">
        <f>value(USD!A2610)</f>
        <v>42975.99861</v>
      </c>
      <c r="B2610" s="1">
        <f>value(USD!B2610)</f>
        <v>13303</v>
      </c>
      <c r="C2610" s="1">
        <f>value(AUD!$B2610)</f>
        <v>10198.54</v>
      </c>
      <c r="D2610" s="1">
        <f>value(EUR!$B2610)</f>
        <v>15852.7926</v>
      </c>
      <c r="E2610" s="1">
        <f>value(GBP!$B2610)</f>
        <v>17226.72796</v>
      </c>
      <c r="F2610" s="1">
        <f>value(CHF!$B2610)</f>
        <v>13797.288</v>
      </c>
      <c r="G2610" s="1">
        <f>value(SGD!$B2610)</f>
        <v>9981.188</v>
      </c>
      <c r="H2610" s="1">
        <f>value(MYR!$B2610)</f>
        <v>3119.75598</v>
      </c>
      <c r="I2610" s="1">
        <f>value(THB!$B2610)</f>
        <v>401.3534</v>
      </c>
      <c r="J2610" s="1">
        <f>value(VND!$B2610)</f>
        <v>0.6354939794</v>
      </c>
      <c r="K2610" s="1">
        <f>value(CNY!$B2610)</f>
        <v>2063.1693</v>
      </c>
      <c r="L2610" s="1">
        <f>value(HKD!$B2610)</f>
        <v>1725.3723</v>
      </c>
      <c r="M2610" s="1">
        <f>value(TWD!$B2610)</f>
        <v>454.63822</v>
      </c>
      <c r="N2610" s="1">
        <f>value(JPY!$B2610)</f>
        <v>120.6727</v>
      </c>
      <c r="O2610" s="1">
        <f>value(SAR!$B2610)</f>
        <v>3671.889492</v>
      </c>
      <c r="P2610" s="1">
        <f>value(AED!$B2610)</f>
        <v>3796.906449</v>
      </c>
      <c r="Q2610" s="1">
        <f>value(KWD!$B2610)</f>
        <v>46942.05008</v>
      </c>
    </row>
    <row r="2611">
      <c r="A2611" s="4">
        <f>value(USD!A2611)</f>
        <v>42976.99861</v>
      </c>
      <c r="B2611" s="1">
        <f>value(USD!B2611)</f>
        <v>13333</v>
      </c>
      <c r="C2611" s="1">
        <f>value(AUD!$B2611)</f>
        <v>10212.7275</v>
      </c>
      <c r="D2611" s="1">
        <f>value(EUR!$B2611)</f>
        <v>15865.04458</v>
      </c>
      <c r="E2611" s="1">
        <f>value(GBP!$B2611)</f>
        <v>17234.84301</v>
      </c>
      <c r="F2611" s="1">
        <f>value(CHF!$B2611)</f>
        <v>13766.69</v>
      </c>
      <c r="G2611" s="1">
        <f>value(SGD!$B2611)</f>
        <v>9982.98582</v>
      </c>
      <c r="H2611" s="1">
        <f>value(MYR!$B2611)</f>
        <v>3117.51363</v>
      </c>
      <c r="I2611" s="1">
        <f>value(THB!$B2611)</f>
        <v>401.22852</v>
      </c>
      <c r="J2611" s="1">
        <f>value(VND!$B2611)</f>
        <v>0.6363483933</v>
      </c>
      <c r="K2611" s="1">
        <f>value(CNY!$B2611)</f>
        <v>2048.2676</v>
      </c>
      <c r="L2611" s="1">
        <f>value(HKD!$B2611)</f>
        <v>1722.40055</v>
      </c>
      <c r="M2611" s="1">
        <f>value(TWD!$B2611)</f>
        <v>454.4712</v>
      </c>
      <c r="N2611" s="1">
        <f>value(JPY!$B2611)</f>
        <v>120.928038</v>
      </c>
      <c r="O2611" s="1">
        <f>value(SAR!$B2611)</f>
        <v>3667.885542</v>
      </c>
      <c r="P2611" s="1">
        <f>value(AED!$B2611)</f>
        <v>3795.70289</v>
      </c>
      <c r="Q2611" s="1">
        <f>value(KWD!$B2611)</f>
        <v>46972.41264</v>
      </c>
    </row>
    <row r="2612">
      <c r="A2612" s="4">
        <f>value(USD!A2612)</f>
        <v>42977.99861</v>
      </c>
      <c r="B2612" s="1">
        <f>value(USD!B2612)</f>
        <v>13334</v>
      </c>
      <c r="C2612" s="1">
        <f>value(AUD!$B2612)</f>
        <v>10253.07998</v>
      </c>
      <c r="D2612" s="1">
        <f>value(EUR!$B2612)</f>
        <v>15814.2713</v>
      </c>
      <c r="E2612" s="1">
        <f>value(GBP!$B2612)</f>
        <v>17264.9017</v>
      </c>
      <c r="F2612" s="1">
        <f>value(CHF!$B2612)</f>
        <v>13813.76</v>
      </c>
      <c r="G2612" s="1">
        <f>value(SGD!$B2612)</f>
        <v>9951.0928</v>
      </c>
      <c r="H2612" s="1">
        <f>value(MYR!$B2612)</f>
        <v>3120.32199</v>
      </c>
      <c r="I2612" s="1">
        <f>value(THB!$B2612)</f>
        <v>401.72329</v>
      </c>
      <c r="J2612" s="1">
        <f>value(VND!$B2612)</f>
        <v>0.62568531</v>
      </c>
      <c r="K2612" s="1">
        <f>value(CNY!$B2612)</f>
        <v>2042.145</v>
      </c>
      <c r="L2612" s="1">
        <f>value(HKD!$B2612)</f>
        <v>1729.47118</v>
      </c>
      <c r="M2612" s="1">
        <f>value(TWD!$B2612)</f>
        <v>454.17139</v>
      </c>
      <c r="N2612" s="1">
        <f>value(JPY!$B2612)</f>
        <v>120.93031</v>
      </c>
      <c r="O2612" s="1">
        <f>value(SAR!$B2612)</f>
        <v>3670.750794</v>
      </c>
      <c r="P2612" s="1">
        <f>value(AED!$B2612)</f>
        <v>3800.44934</v>
      </c>
      <c r="Q2612" s="1">
        <f>value(KWD!$B2612)</f>
        <v>46875.82088</v>
      </c>
    </row>
    <row r="2613">
      <c r="A2613" s="4">
        <f>value(USD!A2613)</f>
        <v>42978.99861</v>
      </c>
      <c r="B2613" s="1">
        <f>value(USD!B2613)</f>
        <v>13321</v>
      </c>
      <c r="C2613" s="1">
        <f>value(AUD!$B2613)</f>
        <v>10270.29357</v>
      </c>
      <c r="D2613" s="1">
        <f>value(EUR!$B2613)</f>
        <v>15816.6435</v>
      </c>
      <c r="E2613" s="1">
        <f>value(GBP!$B2613)</f>
        <v>17267.4915</v>
      </c>
      <c r="F2613" s="1">
        <f>value(CHF!$B2613)</f>
        <v>13732.256</v>
      </c>
      <c r="G2613" s="1">
        <f>value(SGD!$B2613)</f>
        <v>9995.5482</v>
      </c>
      <c r="H2613" s="1">
        <f>value(MYR!$B2613)</f>
        <v>3120.79005</v>
      </c>
      <c r="I2613" s="1">
        <f>value(THB!$B2613)</f>
        <v>401.78355</v>
      </c>
      <c r="J2613" s="1">
        <f>value(VND!$B2613)</f>
        <v>0.6275781936</v>
      </c>
      <c r="K2613" s="1">
        <f>value(CNY!$B2613)</f>
        <v>2043.02016</v>
      </c>
      <c r="L2613" s="1">
        <f>value(HKD!$B2613)</f>
        <v>1728.83073</v>
      </c>
      <c r="M2613" s="1">
        <f>value(TWD!$B2613)</f>
        <v>452.14768</v>
      </c>
      <c r="N2613" s="1">
        <f>value(JPY!$B2613)</f>
        <v>120.94845</v>
      </c>
      <c r="O2613" s="1">
        <f>value(SAR!$B2613)</f>
        <v>3670.750794</v>
      </c>
      <c r="P2613" s="1">
        <f>value(AED!$B2613)</f>
        <v>3818.6854</v>
      </c>
      <c r="Q2613" s="1">
        <f>value(KWD!$B2613)</f>
        <v>46972.00022</v>
      </c>
    </row>
    <row r="2614">
      <c r="A2614" s="4">
        <f>value(USD!A2614)</f>
        <v>42979.99861</v>
      </c>
      <c r="B2614" s="1">
        <f>value(USD!B2614)</f>
        <v>13333</v>
      </c>
      <c r="C2614" s="1">
        <f>value(AUD!$B2614)</f>
        <v>10285.09272</v>
      </c>
      <c r="D2614" s="1">
        <f>value(EUR!$B2614)</f>
        <v>15840.02751</v>
      </c>
      <c r="E2614" s="1">
        <f>value(GBP!$B2614)</f>
        <v>17281.24192</v>
      </c>
      <c r="F2614" s="1">
        <f>value(CHF!$B2614)</f>
        <v>13733.6076</v>
      </c>
      <c r="G2614" s="1">
        <f>value(SGD!$B2614)</f>
        <v>9993.11964</v>
      </c>
      <c r="H2614" s="1">
        <f>value(MYR!$B2614)</f>
        <v>3119.85393</v>
      </c>
      <c r="I2614" s="1">
        <f>value(THB!$B2614)</f>
        <v>401.92965</v>
      </c>
      <c r="J2614" s="1">
        <f>value(VND!$B2614)</f>
        <v>0.6413775234</v>
      </c>
      <c r="K2614" s="1">
        <f>value(CNY!$B2614)</f>
        <v>2047.67002</v>
      </c>
      <c r="L2614" s="1">
        <f>value(HKD!$B2614)</f>
        <v>1729.23564</v>
      </c>
      <c r="M2614" s="1">
        <f>value(TWD!$B2614)</f>
        <v>450.0828</v>
      </c>
      <c r="N2614" s="1">
        <f>value(JPY!$B2614)</f>
        <v>121.405417</v>
      </c>
      <c r="O2614" s="1">
        <f>value(SAR!$B2614)</f>
        <v>3666.933241</v>
      </c>
      <c r="P2614" s="1">
        <f>value(AED!$B2614)</f>
        <v>3850.987764</v>
      </c>
      <c r="Q2614" s="1">
        <f>value(KWD!$B2614)</f>
        <v>47171.99178</v>
      </c>
    </row>
    <row r="2615">
      <c r="A2615" s="4">
        <f>value(USD!A2615)</f>
        <v>42980.99861</v>
      </c>
      <c r="B2615" s="1">
        <f>value(USD!B2615)</f>
        <v>13335</v>
      </c>
      <c r="C2615" s="1">
        <f>value(AUD!$B2615)</f>
        <v>10278.86198</v>
      </c>
      <c r="D2615" s="1">
        <f>value(EUR!$B2615)</f>
        <v>15880.85643</v>
      </c>
      <c r="E2615" s="1">
        <f>value(GBP!$B2615)</f>
        <v>17255.68131</v>
      </c>
      <c r="F2615" s="1">
        <f>value(CHF!$B2615)</f>
        <v>13701.1692</v>
      </c>
      <c r="G2615" s="1">
        <f>value(SGD!$B2615)</f>
        <v>9961.59396</v>
      </c>
      <c r="H2615" s="1">
        <f>value(MYR!$B2615)</f>
        <v>3125.00259</v>
      </c>
      <c r="I2615" s="1">
        <f>value(THB!$B2615)</f>
        <v>402.45942</v>
      </c>
      <c r="J2615" s="1">
        <f>value(VND!$B2615)</f>
        <v>0.629506147</v>
      </c>
      <c r="K2615" s="1">
        <f>value(CNY!$B2615)</f>
        <v>2044.59016</v>
      </c>
      <c r="L2615" s="1">
        <f>value(HKD!$B2615)</f>
        <v>1730.7661</v>
      </c>
      <c r="M2615" s="1">
        <f>value(TWD!$B2615)</f>
        <v>448.97215</v>
      </c>
      <c r="N2615" s="1">
        <f>value(JPY!$B2615)</f>
        <v>121.565712</v>
      </c>
      <c r="O2615" s="1">
        <f>value(SAR!$B2615)</f>
        <v>3666.720014</v>
      </c>
      <c r="P2615" s="1">
        <f>value(AED!$B2615)</f>
        <v>3852.158095</v>
      </c>
      <c r="Q2615" s="1">
        <f>value(KWD!$B2615)</f>
        <v>47108.29963</v>
      </c>
    </row>
    <row r="2616">
      <c r="A2616" s="4">
        <f>value(USD!A2616)</f>
        <v>42981.99861</v>
      </c>
      <c r="B2616" s="1">
        <f>value(USD!B2616)</f>
        <v>13331</v>
      </c>
      <c r="C2616" s="1">
        <f>value(AUD!$B2616)</f>
        <v>10276.0274</v>
      </c>
      <c r="D2616" s="1">
        <f>value(EUR!$B2616)</f>
        <v>15896.9359</v>
      </c>
      <c r="E2616" s="1">
        <f>value(GBP!$B2616)</f>
        <v>17388.49861</v>
      </c>
      <c r="F2616" s="1">
        <f>value(CHF!$B2616)</f>
        <v>13743.439</v>
      </c>
      <c r="G2616" s="1">
        <f>value(SGD!$B2616)</f>
        <v>9959.44495</v>
      </c>
      <c r="H2616" s="1">
        <f>value(MYR!$B2616)</f>
        <v>3130.18841</v>
      </c>
      <c r="I2616" s="1">
        <f>value(THB!$B2616)</f>
        <v>402.12328</v>
      </c>
      <c r="J2616" s="1">
        <f>value(VND!$B2616)</f>
        <v>0.6293150763</v>
      </c>
      <c r="K2616" s="1">
        <f>value(CNY!$B2616)</f>
        <v>2046.277283</v>
      </c>
      <c r="L2616" s="1">
        <f>value(HKD!$B2616)</f>
        <v>1731.0363</v>
      </c>
      <c r="M2616" s="1">
        <f>value(TWD!$B2616)</f>
        <v>448.97215</v>
      </c>
      <c r="N2616" s="1">
        <f>value(JPY!$B2616)</f>
        <v>122.743598</v>
      </c>
      <c r="O2616" s="1">
        <f>value(SAR!$B2616)</f>
        <v>3672.592318</v>
      </c>
      <c r="P2616" s="1">
        <f>value(AED!$B2616)</f>
        <v>3847.41614</v>
      </c>
      <c r="Q2616" s="1">
        <f>value(KWD!$B2616)</f>
        <v>47002.80953</v>
      </c>
    </row>
    <row r="2617">
      <c r="A2617" s="4">
        <f>value(USD!A2617)</f>
        <v>42982.99861</v>
      </c>
      <c r="B2617" s="1">
        <f>value(USD!B2617)</f>
        <v>13353</v>
      </c>
      <c r="C2617" s="1">
        <f>value(AUD!$B2617)</f>
        <v>10272.78788</v>
      </c>
      <c r="D2617" s="1">
        <f>value(EUR!$B2617)</f>
        <v>15909.82547</v>
      </c>
      <c r="E2617" s="1">
        <f>value(GBP!$B2617)</f>
        <v>17402.99313</v>
      </c>
      <c r="F2617" s="1">
        <f>value(CHF!$B2617)</f>
        <v>13644.02</v>
      </c>
      <c r="G2617" s="1">
        <f>value(SGD!$B2617)</f>
        <v>9954.3031</v>
      </c>
      <c r="H2617" s="1">
        <f>value(MYR!$B2617)</f>
        <v>3145.20281</v>
      </c>
      <c r="I2617" s="1">
        <f>value(THB!$B2617)</f>
        <v>402.30424</v>
      </c>
      <c r="J2617" s="1">
        <f>value(VND!$B2617)</f>
        <v>0.6274122901</v>
      </c>
      <c r="K2617" s="1">
        <f>value(CNY!$B2617)</f>
        <v>2043.492</v>
      </c>
      <c r="L2617" s="1">
        <f>value(HKD!$B2617)</f>
        <v>1730.7661</v>
      </c>
      <c r="M2617" s="1">
        <f>value(TWD!$B2617)</f>
        <v>450.2412</v>
      </c>
      <c r="N2617" s="1">
        <f>value(JPY!$B2617)</f>
        <v>122.18524</v>
      </c>
      <c r="O2617" s="1">
        <f>value(SAR!$B2617)</f>
        <v>3668.757396</v>
      </c>
      <c r="P2617" s="1">
        <f>value(AED!$B2617)</f>
        <v>3846.85078</v>
      </c>
      <c r="Q2617" s="1">
        <f>value(KWD!$B2617)</f>
        <v>46853.53107</v>
      </c>
    </row>
    <row r="2618">
      <c r="A2618" s="4">
        <f>value(USD!A2618)</f>
        <v>42983.99861</v>
      </c>
      <c r="B2618" s="1">
        <f>value(USD!B2618)</f>
        <v>13333</v>
      </c>
      <c r="C2618" s="1">
        <f>value(AUD!$B2618)</f>
        <v>10276.06127</v>
      </c>
      <c r="D2618" s="1">
        <f>value(EUR!$B2618)</f>
        <v>15984.27498</v>
      </c>
      <c r="E2618" s="1">
        <f>value(GBP!$B2618)</f>
        <v>17413.10826</v>
      </c>
      <c r="F2618" s="1">
        <f>value(CHF!$B2618)</f>
        <v>13723.05636</v>
      </c>
      <c r="G2618" s="1">
        <f>value(SGD!$B2618)</f>
        <v>9937.4085</v>
      </c>
      <c r="H2618" s="1">
        <f>value(MYR!$B2618)</f>
        <v>3155.07438</v>
      </c>
      <c r="I2618" s="1">
        <f>value(THB!$B2618)</f>
        <v>401.72647</v>
      </c>
      <c r="J2618" s="1">
        <f>value(VND!$B2618)</f>
        <v>0.6261257304</v>
      </c>
      <c r="K2618" s="1">
        <f>value(CNY!$B2618)</f>
        <v>2038.2687</v>
      </c>
      <c r="L2618" s="1">
        <f>value(HKD!$B2618)</f>
        <v>1728.68886</v>
      </c>
      <c r="M2618" s="1">
        <f>value(TWD!$B2618)</f>
        <v>450.27504</v>
      </c>
      <c r="N2618" s="1">
        <f>value(JPY!$B2618)</f>
        <v>122.697337</v>
      </c>
      <c r="O2618" s="1">
        <f>value(SAR!$B2618)</f>
        <v>3679.602786</v>
      </c>
      <c r="P2618" s="1">
        <f>value(AED!$B2618)</f>
        <v>3855.59349</v>
      </c>
      <c r="Q2618" s="1">
        <f>value(KWD!$B2618)</f>
        <v>46690.92126</v>
      </c>
    </row>
    <row r="2619">
      <c r="A2619" s="4">
        <f>value(USD!A2619)</f>
        <v>42984.99861</v>
      </c>
      <c r="B2619" s="1">
        <f>value(USD!B2619)</f>
        <v>13339</v>
      </c>
      <c r="C2619" s="1">
        <f>value(AUD!$B2619)</f>
        <v>10266.48</v>
      </c>
      <c r="D2619" s="1">
        <f>value(EUR!$B2619)</f>
        <v>15879.9501</v>
      </c>
      <c r="E2619" s="1">
        <f>value(GBP!$B2619)</f>
        <v>17416.0809</v>
      </c>
      <c r="F2619" s="1">
        <f>value(CHF!$B2619)</f>
        <v>13667.5574</v>
      </c>
      <c r="G2619" s="1">
        <f>value(SGD!$B2619)</f>
        <v>9925.88008</v>
      </c>
      <c r="H2619" s="1">
        <f>value(MYR!$B2619)</f>
        <v>3144.05328</v>
      </c>
      <c r="I2619" s="1">
        <f>value(THB!$B2619)</f>
        <v>398.15349</v>
      </c>
      <c r="J2619" s="1">
        <f>value(VND!$B2619)</f>
        <v>0.6229985948</v>
      </c>
      <c r="K2619" s="1">
        <f>value(CNY!$B2619)</f>
        <v>2041.8143</v>
      </c>
      <c r="L2619" s="1">
        <f>value(HKD!$B2619)</f>
        <v>1719.9801</v>
      </c>
      <c r="M2619" s="1">
        <f>value(TWD!$B2619)</f>
        <v>451.15688</v>
      </c>
      <c r="N2619" s="1">
        <f>value(JPY!$B2619)</f>
        <v>122.33619</v>
      </c>
      <c r="O2619" s="1">
        <f>value(SAR!$B2619)</f>
        <v>3676.019095</v>
      </c>
      <c r="P2619" s="1">
        <f>value(AED!$B2619)</f>
        <v>3870.3996</v>
      </c>
      <c r="Q2619" s="1">
        <f>value(KWD!$B2619)</f>
        <v>46479.14103</v>
      </c>
    </row>
    <row r="2620">
      <c r="A2620" s="4">
        <f>value(USD!A2620)</f>
        <v>42985.99861</v>
      </c>
      <c r="B2620" s="1">
        <f>value(USD!B2620)</f>
        <v>13289</v>
      </c>
      <c r="C2620" s="1">
        <f>value(AUD!$B2620)</f>
        <v>10216.58624</v>
      </c>
      <c r="D2620" s="1">
        <f>value(EUR!$B2620)</f>
        <v>15881.502</v>
      </c>
      <c r="E2620" s="1">
        <f>value(GBP!$B2620)</f>
        <v>17414.761</v>
      </c>
      <c r="F2620" s="1">
        <f>value(CHF!$B2620)</f>
        <v>13614.1047</v>
      </c>
      <c r="G2620" s="1">
        <f>value(SGD!$B2620)</f>
        <v>9924.39332</v>
      </c>
      <c r="H2620" s="1">
        <f>value(MYR!$B2620)</f>
        <v>3139.75025</v>
      </c>
      <c r="I2620" s="1">
        <f>value(THB!$B2620)</f>
        <v>398.2251</v>
      </c>
      <c r="J2620" s="1">
        <f>value(VND!$B2620)</f>
        <v>0.631887276</v>
      </c>
      <c r="K2620" s="1">
        <f>value(CNY!$B2620)</f>
        <v>2045.79944</v>
      </c>
      <c r="L2620" s="1">
        <f>value(HKD!$B2620)</f>
        <v>1728.19028</v>
      </c>
      <c r="M2620" s="1">
        <f>value(TWD!$B2620)</f>
        <v>450.82254</v>
      </c>
      <c r="N2620" s="1">
        <f>value(JPY!$B2620)</f>
        <v>122.31765</v>
      </c>
      <c r="O2620" s="1">
        <f>value(SAR!$B2620)</f>
        <v>3672.533241</v>
      </c>
      <c r="P2620" s="1">
        <f>value(AED!$B2620)</f>
        <v>3865.031736</v>
      </c>
      <c r="Q2620" s="1">
        <f>value(KWD!$B2620)</f>
        <v>46585.03114</v>
      </c>
    </row>
    <row r="2621">
      <c r="A2621" s="4">
        <f>value(USD!A2621)</f>
        <v>42986.99861</v>
      </c>
      <c r="B2621" s="1">
        <f>value(USD!B2621)</f>
        <v>13197</v>
      </c>
      <c r="C2621" s="1">
        <f>value(AUD!$B2621)</f>
        <v>10238.21469</v>
      </c>
      <c r="D2621" s="1">
        <f>value(EUR!$B2621)</f>
        <v>15858.57096</v>
      </c>
      <c r="E2621" s="1">
        <f>value(GBP!$B2621)</f>
        <v>17414.49726</v>
      </c>
      <c r="F2621" s="1">
        <f>value(CHF!$B2621)</f>
        <v>13612.18664</v>
      </c>
      <c r="G2621" s="1">
        <f>value(SGD!$B2621)</f>
        <v>9914.25632</v>
      </c>
      <c r="H2621" s="1">
        <f>value(MYR!$B2621)</f>
        <v>3140.22615</v>
      </c>
      <c r="I2621" s="1">
        <f>value(THB!$B2621)</f>
        <v>398.28546</v>
      </c>
      <c r="J2621" s="1">
        <f>value(VND!$B2621)</f>
        <v>0.6233115816</v>
      </c>
      <c r="K2621" s="1">
        <f>value(CNY!$B2621)</f>
        <v>2047.45171</v>
      </c>
      <c r="L2621" s="1">
        <f>value(HKD!$B2621)</f>
        <v>1728.19028</v>
      </c>
      <c r="M2621" s="1">
        <f>value(TWD!$B2621)</f>
        <v>452.4437</v>
      </c>
      <c r="N2621" s="1">
        <f>value(JPY!$B2621)</f>
        <v>121.900689</v>
      </c>
      <c r="O2621" s="1">
        <f>value(SAR!$B2621)</f>
        <v>3671.132609</v>
      </c>
      <c r="P2621" s="1">
        <f>value(AED!$B2621)</f>
        <v>3856.51842</v>
      </c>
      <c r="Q2621" s="1">
        <f>value(KWD!$B2621)</f>
        <v>46429.15401</v>
      </c>
    </row>
    <row r="2622">
      <c r="A2622" s="4">
        <f>value(USD!A2622)</f>
        <v>42987.99861</v>
      </c>
      <c r="B2622" s="1">
        <f>value(USD!B2622)</f>
        <v>13195</v>
      </c>
      <c r="C2622" s="1">
        <f>value(AUD!$B2622)</f>
        <v>10290.5808</v>
      </c>
      <c r="D2622" s="1">
        <f>value(EUR!$B2622)</f>
        <v>15755.8608</v>
      </c>
      <c r="E2622" s="1">
        <f>value(GBP!$B2622)</f>
        <v>17350.68384</v>
      </c>
      <c r="F2622" s="1">
        <f>value(CHF!$B2622)</f>
        <v>13644.5848</v>
      </c>
      <c r="G2622" s="1">
        <f>value(SGD!$B2622)</f>
        <v>9942.811</v>
      </c>
      <c r="H2622" s="1">
        <f>value(MYR!$B2622)</f>
        <v>3137.2056</v>
      </c>
      <c r="I2622" s="1">
        <f>value(THB!$B2622)</f>
        <v>397.65168</v>
      </c>
      <c r="J2622" s="1">
        <f>value(VND!$B2622)</f>
        <v>0.6252225148</v>
      </c>
      <c r="K2622" s="1">
        <f>value(CNY!$B2622)</f>
        <v>2045.99794</v>
      </c>
      <c r="L2622" s="1">
        <f>value(HKD!$B2622)</f>
        <v>1725.87132</v>
      </c>
      <c r="M2622" s="1">
        <f>value(TWD!$B2622)</f>
        <v>440.1332233</v>
      </c>
      <c r="N2622" s="1">
        <f>value(JPY!$B2622)</f>
        <v>120.42864</v>
      </c>
      <c r="O2622" s="1">
        <f>value(SAR!$B2622)</f>
        <v>3667.324988</v>
      </c>
      <c r="P2622" s="1">
        <f>value(AED!$B2622)</f>
        <v>3844.12908</v>
      </c>
      <c r="Q2622" s="1">
        <f>value(KWD!$B2622)</f>
        <v>46464.39872</v>
      </c>
    </row>
    <row r="2623">
      <c r="A2623" s="4">
        <f>value(USD!A2623)</f>
        <v>42988.99861</v>
      </c>
      <c r="B2623" s="1">
        <f>value(USD!B2623)</f>
        <v>13197</v>
      </c>
      <c r="C2623" s="1">
        <f>value(AUD!$B2623)</f>
        <v>10294.98583</v>
      </c>
      <c r="D2623" s="1">
        <f>value(EUR!$B2623)</f>
        <v>15811.2968</v>
      </c>
      <c r="E2623" s="1">
        <f>value(GBP!$B2623)</f>
        <v>17551.18664</v>
      </c>
      <c r="F2623" s="1">
        <f>value(CHF!$B2623)</f>
        <v>13582.4634</v>
      </c>
      <c r="G2623" s="1">
        <f>value(SGD!$B2623)</f>
        <v>9919.235</v>
      </c>
      <c r="H2623" s="1">
        <f>value(MYR!$B2623)</f>
        <v>3137.69248</v>
      </c>
      <c r="I2623" s="1">
        <f>value(THB!$B2623)</f>
        <v>398.61744</v>
      </c>
      <c r="J2623" s="1">
        <f>value(VND!$B2623)</f>
        <v>0.6205656406</v>
      </c>
      <c r="K2623" s="1">
        <f>value(CNY!$B2623)</f>
        <v>2040.31198</v>
      </c>
      <c r="L2623" s="1">
        <f>value(HKD!$B2623)</f>
        <v>1728.30465</v>
      </c>
      <c r="M2623" s="1">
        <f>value(TWD!$B2623)</f>
        <v>453.3165</v>
      </c>
      <c r="N2623" s="1">
        <f>value(JPY!$B2623)</f>
        <v>119.79656</v>
      </c>
      <c r="O2623" s="1">
        <f>value(SAR!$B2623)</f>
        <v>3663.516939</v>
      </c>
      <c r="P2623" s="1">
        <f>value(AED!$B2623)</f>
        <v>3841.4475</v>
      </c>
      <c r="Q2623" s="1">
        <f>value(KWD!$B2623)</f>
        <v>46296.78583</v>
      </c>
    </row>
    <row r="2624">
      <c r="A2624" s="4">
        <f>value(USD!A2624)</f>
        <v>42989.99861</v>
      </c>
      <c r="B2624" s="1">
        <f>value(USD!B2624)</f>
        <v>13176</v>
      </c>
      <c r="C2624" s="1">
        <f>value(AUD!$B2624)</f>
        <v>10286.616</v>
      </c>
      <c r="D2624" s="1">
        <f>value(EUR!$B2624)</f>
        <v>15739.97088</v>
      </c>
      <c r="E2624" s="1">
        <f>value(GBP!$B2624)</f>
        <v>17485.92858</v>
      </c>
      <c r="F2624" s="1">
        <f>value(CHF!$B2624)</f>
        <v>13509.90146</v>
      </c>
      <c r="G2624" s="1">
        <f>value(SGD!$B2624)</f>
        <v>9982.206</v>
      </c>
      <c r="H2624" s="1">
        <f>value(MYR!$B2624)</f>
        <v>3153.97956</v>
      </c>
      <c r="I2624" s="1">
        <f>value(THB!$B2624)</f>
        <v>399.64356</v>
      </c>
      <c r="J2624" s="1">
        <f>value(VND!$B2624)</f>
        <v>0.6163357255</v>
      </c>
      <c r="K2624" s="1">
        <f>value(CNY!$B2624)</f>
        <v>2040.50249</v>
      </c>
      <c r="L2624" s="1">
        <f>value(HKD!$B2624)</f>
        <v>1730.2257</v>
      </c>
      <c r="M2624" s="1">
        <f>value(TWD!$B2624)</f>
        <v>455.49588</v>
      </c>
      <c r="N2624" s="1">
        <f>value(JPY!$B2624)</f>
        <v>119.787132</v>
      </c>
      <c r="O2624" s="1">
        <f>value(SAR!$B2624)</f>
        <v>3672.619404</v>
      </c>
      <c r="P2624" s="1">
        <f>value(AED!$B2624)</f>
        <v>3824.226043</v>
      </c>
      <c r="Q2624" s="1">
        <f>value(KWD!$B2624)</f>
        <v>45980.05392</v>
      </c>
    </row>
    <row r="2625">
      <c r="A2625" s="4">
        <f>value(USD!A2625)</f>
        <v>42990.99861</v>
      </c>
      <c r="B2625" s="1">
        <f>value(USD!B2625)</f>
        <v>13208</v>
      </c>
      <c r="C2625" s="1">
        <f>value(AUD!$B2625)</f>
        <v>10260.02796</v>
      </c>
      <c r="D2625" s="1">
        <f>value(EUR!$B2625)</f>
        <v>15809.6302</v>
      </c>
      <c r="E2625" s="1">
        <f>value(GBP!$B2625)</f>
        <v>17768.29498</v>
      </c>
      <c r="F2625" s="1">
        <f>value(CHF!$B2625)</f>
        <v>13543</v>
      </c>
      <c r="G2625" s="1">
        <f>value(SGD!$B2625)</f>
        <v>9969.34939</v>
      </c>
      <c r="H2625" s="1">
        <f>value(MYR!$B2625)</f>
        <v>3150.91858</v>
      </c>
      <c r="I2625" s="1">
        <f>value(THB!$B2625)</f>
        <v>400.91026</v>
      </c>
      <c r="J2625" s="1">
        <f>value(VND!$B2625)</f>
        <v>0.6148670644</v>
      </c>
      <c r="K2625" s="1">
        <f>value(CNY!$B2625)</f>
        <v>2047.43616</v>
      </c>
      <c r="L2625" s="1">
        <f>value(HKD!$B2625)</f>
        <v>1729.2831</v>
      </c>
      <c r="M2625" s="1">
        <f>value(TWD!$B2625)</f>
        <v>455.15768</v>
      </c>
      <c r="N2625" s="1">
        <f>value(JPY!$B2625)</f>
        <v>120.604628</v>
      </c>
      <c r="O2625" s="1">
        <f>value(SAR!$B2625)</f>
        <v>3671.724718</v>
      </c>
      <c r="P2625" s="1">
        <f>value(AED!$B2625)</f>
        <v>3832.45394</v>
      </c>
      <c r="Q2625" s="1">
        <f>value(KWD!$B2625)</f>
        <v>45789.43866</v>
      </c>
    </row>
    <row r="2626">
      <c r="A2626" s="4">
        <f>value(USD!A2626)</f>
        <v>42991.99861</v>
      </c>
      <c r="B2626" s="1">
        <f>value(USD!B2626)</f>
        <v>13242</v>
      </c>
      <c r="C2626" s="1">
        <f>value(AUD!$B2626)</f>
        <v>10275.15007</v>
      </c>
      <c r="D2626" s="1">
        <f>value(EUR!$B2626)</f>
        <v>15822.61192</v>
      </c>
      <c r="E2626" s="1">
        <f>value(GBP!$B2626)</f>
        <v>18003.9632</v>
      </c>
      <c r="F2626" s="1">
        <f>value(CHF!$B2626)</f>
        <v>13467.5984</v>
      </c>
      <c r="G2626" s="1">
        <f>value(SGD!$B2626)</f>
        <v>9950.92247</v>
      </c>
      <c r="H2626" s="1">
        <f>value(MYR!$B2626)</f>
        <v>3159.43592</v>
      </c>
      <c r="I2626" s="1">
        <f>value(THB!$B2626)</f>
        <v>399.89674</v>
      </c>
      <c r="J2626" s="1">
        <f>value(VND!$B2626)</f>
        <v>0.6237262053</v>
      </c>
      <c r="K2626" s="1">
        <f>value(CNY!$B2626)</f>
        <v>2046.47202</v>
      </c>
      <c r="L2626" s="1">
        <f>value(HKD!$B2626)</f>
        <v>1732.0754</v>
      </c>
      <c r="M2626" s="1">
        <f>value(TWD!$B2626)</f>
        <v>456.65332</v>
      </c>
      <c r="N2626" s="1">
        <f>value(JPY!$B2626)</f>
        <v>119.47892</v>
      </c>
      <c r="O2626" s="1">
        <f>value(SAR!$B2626)</f>
        <v>3666.524372</v>
      </c>
      <c r="P2626" s="1">
        <f>value(AED!$B2626)</f>
        <v>3813.1017</v>
      </c>
      <c r="Q2626" s="1">
        <f>value(KWD!$B2626)</f>
        <v>45818.56057</v>
      </c>
    </row>
    <row r="2627">
      <c r="A2627" s="4">
        <f>value(USD!A2627)</f>
        <v>42992.99861</v>
      </c>
      <c r="B2627" s="1">
        <f>value(USD!B2627)</f>
        <v>13262</v>
      </c>
      <c r="C2627" s="1">
        <f>value(AUD!$B2627)</f>
        <v>10240.09508</v>
      </c>
      <c r="D2627" s="1">
        <f>value(EUR!$B2627)</f>
        <v>15846.14253</v>
      </c>
      <c r="E2627" s="1">
        <f>value(GBP!$B2627)</f>
        <v>18030.5972</v>
      </c>
      <c r="F2627" s="1">
        <f>value(CHF!$B2627)</f>
        <v>13457.2188</v>
      </c>
      <c r="G2627" s="1">
        <f>value(SGD!$B2627)</f>
        <v>9943.6984</v>
      </c>
      <c r="H2627" s="1">
        <f>value(MYR!$B2627)</f>
        <v>3163.392966</v>
      </c>
      <c r="I2627" s="1">
        <f>value(THB!$B2627)</f>
        <v>400.3975921</v>
      </c>
      <c r="J2627" s="1">
        <f>value(VND!$B2627)</f>
        <v>0.6162673206</v>
      </c>
      <c r="K2627" s="1">
        <f>value(CNY!$B2627)</f>
        <v>2045.3524</v>
      </c>
      <c r="L2627" s="1">
        <f>value(HKD!$B2627)</f>
        <v>1731.80508</v>
      </c>
      <c r="M2627" s="1">
        <f>value(TWD!$B2627)</f>
        <v>457.4856</v>
      </c>
      <c r="N2627" s="1">
        <f>value(JPY!$B2627)</f>
        <v>119.6285618</v>
      </c>
      <c r="O2627" s="1">
        <f>value(SAR!$B2627)</f>
        <v>3676.286054</v>
      </c>
      <c r="P2627" s="1">
        <f>value(AED!$B2627)</f>
        <v>3818.27293</v>
      </c>
      <c r="Q2627" s="1">
        <f>value(KWD!$B2627)</f>
        <v>46173.72277</v>
      </c>
    </row>
    <row r="2628">
      <c r="A2628" s="4">
        <f>value(USD!A2628)</f>
        <v>42993.99861</v>
      </c>
      <c r="B2628" s="1">
        <f>value(USD!B2628)</f>
        <v>13246</v>
      </c>
      <c r="C2628" s="1">
        <f>value(AUD!$B2628)</f>
        <v>10178.57406</v>
      </c>
      <c r="D2628" s="1">
        <f>value(EUR!$B2628)</f>
        <v>15817.5872</v>
      </c>
      <c r="E2628" s="1">
        <f>value(GBP!$B2628)</f>
        <v>17985.6144</v>
      </c>
      <c r="F2628" s="1">
        <f>value(CHF!$B2628)</f>
        <v>13473.6644</v>
      </c>
      <c r="G2628" s="1">
        <f>value(SGD!$B2628)</f>
        <v>9977.16148</v>
      </c>
      <c r="H2628" s="1">
        <f>value(MYR!$B2628)</f>
        <v>3160.86704</v>
      </c>
      <c r="I2628" s="1">
        <f>value(THB!$B2628)</f>
        <v>400.2104</v>
      </c>
      <c r="J2628" s="1">
        <f>value(VND!$B2628)</f>
        <v>0.6212447492</v>
      </c>
      <c r="K2628" s="1">
        <f>value(CNY!$B2628)</f>
        <v>2050.58466</v>
      </c>
      <c r="L2628" s="1">
        <f>value(HKD!$B2628)</f>
        <v>1732.34572</v>
      </c>
      <c r="M2628" s="1">
        <f>value(TWD!$B2628)</f>
        <v>457.02236</v>
      </c>
      <c r="N2628" s="1">
        <f>value(JPY!$B2628)</f>
        <v>119.1659596</v>
      </c>
      <c r="O2628" s="1">
        <f>value(SAR!$B2628)</f>
        <v>3668.811215</v>
      </c>
      <c r="P2628" s="1">
        <f>value(AED!$B2628)</f>
        <v>3804.12009</v>
      </c>
      <c r="Q2628" s="1">
        <f>value(KWD!$B2628)</f>
        <v>45932.05386</v>
      </c>
    </row>
    <row r="2629">
      <c r="A2629" s="4">
        <f>value(USD!A2629)</f>
        <v>42994.99861</v>
      </c>
      <c r="B2629" s="1">
        <f>value(USD!B2629)</f>
        <v>13262.59</v>
      </c>
      <c r="C2629" s="1">
        <f>value(AUD!$B2629)</f>
        <v>10158.9152</v>
      </c>
      <c r="D2629" s="1">
        <f>value(EUR!$B2629)</f>
        <v>15866.27244</v>
      </c>
      <c r="E2629" s="1">
        <f>value(GBP!$B2629)</f>
        <v>17931.702</v>
      </c>
      <c r="F2629" s="1">
        <f>value(CHF!$B2629)</f>
        <v>13511.3143</v>
      </c>
      <c r="G2629" s="1">
        <f>value(SGD!$B2629)</f>
        <v>9948.636</v>
      </c>
      <c r="H2629" s="1">
        <f>value(MYR!$B2629)</f>
        <v>3165.0814</v>
      </c>
      <c r="I2629" s="1">
        <f>value(THB!$B2629)</f>
        <v>400.82628</v>
      </c>
      <c r="J2629" s="1">
        <f>value(VND!$B2629)</f>
        <v>0.6201804756</v>
      </c>
      <c r="K2629" s="1">
        <f>value(CNY!$B2629)</f>
        <v>2052.16</v>
      </c>
      <c r="L2629" s="1">
        <f>value(HKD!$B2629)</f>
        <v>1735.05165</v>
      </c>
      <c r="M2629" s="1">
        <f>value(TWD!$B2629)</f>
        <v>458.35443</v>
      </c>
      <c r="N2629" s="1">
        <f>value(JPY!$B2629)</f>
        <v>118.960888</v>
      </c>
      <c r="O2629" s="1">
        <f>value(SAR!$B2629)</f>
        <v>3658.373777</v>
      </c>
      <c r="P2629" s="1">
        <f>value(AED!$B2629)</f>
        <v>3777.7196</v>
      </c>
      <c r="Q2629" s="1">
        <f>value(KWD!$B2629)</f>
        <v>45965.19387</v>
      </c>
    </row>
    <row r="2630">
      <c r="A2630" s="4">
        <f>value(USD!A2630)</f>
        <v>42995.99861</v>
      </c>
      <c r="B2630" s="1">
        <f>value(USD!B2630)</f>
        <v>13252</v>
      </c>
      <c r="C2630" s="1">
        <f>value(AUD!$B2630)</f>
        <v>10158.9152</v>
      </c>
      <c r="D2630" s="1">
        <f>value(EUR!$B2630)</f>
        <v>15896.5952</v>
      </c>
      <c r="E2630" s="1">
        <f>value(GBP!$B2630)</f>
        <v>17913.89328</v>
      </c>
      <c r="F2630" s="1">
        <f>value(CHF!$B2630)</f>
        <v>13528.8654</v>
      </c>
      <c r="G2630" s="1">
        <f>value(SGD!$B2630)</f>
        <v>9959.69311</v>
      </c>
      <c r="H2630" s="1">
        <f>value(MYR!$B2630)</f>
        <v>3159.96528</v>
      </c>
      <c r="I2630" s="1">
        <f>value(THB!$B2630)</f>
        <v>400.72888</v>
      </c>
      <c r="J2630" s="1">
        <f>value(VND!$B2630)</f>
        <v>0.6235862156</v>
      </c>
      <c r="K2630" s="1">
        <f>value(CNY!$B2630)</f>
        <v>2050.8032</v>
      </c>
      <c r="L2630" s="1">
        <f>value(HKD!$B2630)</f>
        <v>1732.95825</v>
      </c>
      <c r="M2630" s="1">
        <f>value(TWD!$B2630)</f>
        <v>458.86399</v>
      </c>
      <c r="N2630" s="1">
        <f>value(JPY!$B2630)</f>
        <v>118.7883416</v>
      </c>
      <c r="O2630" s="1">
        <f>value(SAR!$B2630)</f>
        <v>3671.551627</v>
      </c>
      <c r="P2630" s="1">
        <f>value(AED!$B2630)</f>
        <v>3762.21018</v>
      </c>
      <c r="Q2630" s="1">
        <f>value(KWD!$B2630)</f>
        <v>45809.16266</v>
      </c>
    </row>
    <row r="2631">
      <c r="A2631" s="4">
        <f>value(USD!A2631)</f>
        <v>42996.99861</v>
      </c>
      <c r="B2631" s="1">
        <f>value(USD!B2631)</f>
        <v>13268</v>
      </c>
      <c r="C2631" s="1">
        <f>value(AUD!$B2631)</f>
        <v>10139.29969</v>
      </c>
      <c r="D2631" s="1">
        <f>value(EUR!$B2631)</f>
        <v>15756.77649</v>
      </c>
      <c r="E2631" s="1">
        <f>value(GBP!$B2631)</f>
        <v>17901.69329</v>
      </c>
      <c r="F2631" s="1">
        <f>value(CHF!$B2631)</f>
        <v>13499.89431</v>
      </c>
      <c r="G2631" s="1">
        <f>value(SGD!$B2631)</f>
        <v>9963.5851</v>
      </c>
      <c r="H2631" s="1">
        <f>value(MYR!$B2631)</f>
        <v>3166.27415</v>
      </c>
      <c r="I2631" s="1">
        <f>value(THB!$B2631)</f>
        <v>400.57914</v>
      </c>
      <c r="J2631" s="1">
        <f>value(VND!$B2631)</f>
        <v>0.624667585</v>
      </c>
      <c r="K2631" s="1">
        <f>value(CNY!$B2631)</f>
        <v>2052.7528</v>
      </c>
      <c r="L2631" s="1">
        <f>value(HKD!$B2631)</f>
        <v>1739.11608</v>
      </c>
      <c r="M2631" s="1">
        <f>value(TWD!$B2631)</f>
        <v>459.17073</v>
      </c>
      <c r="N2631" s="1">
        <f>value(JPY!$B2631)</f>
        <v>117.904059</v>
      </c>
      <c r="O2631" s="1">
        <f>value(SAR!$B2631)</f>
        <v>3677.789575</v>
      </c>
      <c r="P2631" s="1">
        <f>value(AED!$B2631)</f>
        <v>3764.451312</v>
      </c>
      <c r="Q2631" s="1">
        <f>value(KWD!$B2631)</f>
        <v>45972.46673</v>
      </c>
    </row>
    <row r="2632">
      <c r="A2632" s="4">
        <f>value(USD!A2632)</f>
        <v>42997.99861</v>
      </c>
      <c r="B2632" s="1">
        <f>value(USD!B2632)</f>
        <v>13256</v>
      </c>
      <c r="C2632" s="1">
        <f>value(AUD!$B2632)</f>
        <v>10202.89424</v>
      </c>
      <c r="D2632" s="1">
        <f>value(EUR!$B2632)</f>
        <v>15854.73123</v>
      </c>
      <c r="E2632" s="1">
        <f>value(GBP!$B2632)</f>
        <v>18022.34486</v>
      </c>
      <c r="F2632" s="1">
        <f>value(CHF!$B2632)</f>
        <v>13606.8093</v>
      </c>
      <c r="G2632" s="1">
        <f>value(SGD!$B2632)</f>
        <v>9871.8084</v>
      </c>
      <c r="H2632" s="1">
        <f>value(MYR!$B2632)</f>
        <v>3159.50492</v>
      </c>
      <c r="I2632" s="1">
        <f>value(THB!$B2632)</f>
        <v>400.71187</v>
      </c>
      <c r="J2632" s="1">
        <f>value(VND!$B2632)</f>
        <v>0.6240017455</v>
      </c>
      <c r="K2632" s="1">
        <f>value(CNY!$B2632)</f>
        <v>2054.84775</v>
      </c>
      <c r="L2632" s="1">
        <f>value(HKD!$B2632)</f>
        <v>1748.75974</v>
      </c>
      <c r="M2632" s="1">
        <f>value(TWD!$B2632)</f>
        <v>458.20278</v>
      </c>
      <c r="N2632" s="1">
        <f>value(JPY!$B2632)</f>
        <v>118.0274979</v>
      </c>
      <c r="O2632" s="1">
        <f>value(SAR!$B2632)</f>
        <v>3679.164657</v>
      </c>
      <c r="P2632" s="1">
        <f>value(AED!$B2632)</f>
        <v>3794.718066</v>
      </c>
      <c r="Q2632" s="1">
        <f>value(KWD!$B2632)</f>
        <v>46151.04221</v>
      </c>
    </row>
    <row r="2633">
      <c r="A2633" s="4">
        <f>value(USD!A2633)</f>
        <v>42998.99861</v>
      </c>
      <c r="B2633" s="1">
        <f>value(USD!B2633)</f>
        <v>13273</v>
      </c>
      <c r="C2633" s="1">
        <f>value(AUD!$B2633)</f>
        <v>10238.86458</v>
      </c>
      <c r="D2633" s="1">
        <f>value(EUR!$B2633)</f>
        <v>15878.0946</v>
      </c>
      <c r="E2633" s="1">
        <f>value(GBP!$B2633)</f>
        <v>17930.868</v>
      </c>
      <c r="F2633" s="1">
        <f>value(CHF!$B2633)</f>
        <v>13596.168</v>
      </c>
      <c r="G2633" s="1">
        <f>value(SGD!$B2633)</f>
        <v>9871.1344</v>
      </c>
      <c r="H2633" s="1">
        <f>value(MYR!$B2633)</f>
        <v>3164.349</v>
      </c>
      <c r="I2633" s="1">
        <f>value(THB!$B2633)</f>
        <v>401.6238</v>
      </c>
      <c r="J2633" s="1">
        <f>value(VND!$B2633)</f>
        <v>0.62197848</v>
      </c>
      <c r="K2633" s="1">
        <f>value(CNY!$B2633)</f>
        <v>2062.41735</v>
      </c>
      <c r="L2633" s="1">
        <f>value(HKD!$B2633)</f>
        <v>1741.41483</v>
      </c>
      <c r="M2633" s="1">
        <f>value(TWD!$B2633)</f>
        <v>456.51044</v>
      </c>
      <c r="N2633" s="1">
        <f>value(JPY!$B2633)</f>
        <v>118.6797</v>
      </c>
      <c r="O2633" s="1">
        <f>value(SAR!$B2633)</f>
        <v>3670.258103</v>
      </c>
      <c r="P2633" s="1">
        <f>value(AED!$B2633)</f>
        <v>3772.2762</v>
      </c>
      <c r="Q2633" s="1">
        <f>value(KWD!$B2633)</f>
        <v>46238.76804</v>
      </c>
    </row>
    <row r="2634">
      <c r="A2634" s="4">
        <f>value(USD!A2634)</f>
        <v>42999.99861</v>
      </c>
      <c r="B2634" s="1">
        <f>value(USD!B2634)</f>
        <v>13273</v>
      </c>
      <c r="C2634" s="1">
        <f>value(AUD!$B2634)</f>
        <v>10334.1342</v>
      </c>
      <c r="D2634" s="1">
        <f>value(EUR!$B2634)</f>
        <v>15888.0956</v>
      </c>
      <c r="E2634" s="1">
        <f>value(GBP!$B2634)</f>
        <v>17949.46492</v>
      </c>
      <c r="F2634" s="1">
        <f>value(CHF!$B2634)</f>
        <v>13604.33052</v>
      </c>
      <c r="G2634" s="1">
        <f>value(SGD!$B2634)</f>
        <v>9876.796</v>
      </c>
      <c r="H2634" s="1">
        <f>value(MYR!$B2634)</f>
        <v>3166.222847</v>
      </c>
      <c r="I2634" s="1">
        <f>value(THB!$B2634)</f>
        <v>401.8616314</v>
      </c>
      <c r="J2634" s="1">
        <f>value(VND!$B2634)</f>
        <v>0.6251557685</v>
      </c>
      <c r="K2634" s="1">
        <f>value(CNY!$B2634)</f>
        <v>2057.89788</v>
      </c>
      <c r="L2634" s="1">
        <f>value(HKD!$B2634)</f>
        <v>1741.3022</v>
      </c>
      <c r="M2634" s="1">
        <f>value(TWD!$B2634)</f>
        <v>456.51044</v>
      </c>
      <c r="N2634" s="1">
        <f>value(JPY!$B2634)</f>
        <v>118.7499791</v>
      </c>
      <c r="O2634" s="1">
        <f>value(SAR!$B2634)</f>
        <v>3662.039442</v>
      </c>
      <c r="P2634" s="1">
        <f>value(AED!$B2634)</f>
        <v>3774.9979</v>
      </c>
      <c r="Q2634" s="1">
        <f>value(KWD!$B2634)</f>
        <v>45970.22712</v>
      </c>
    </row>
    <row r="2635">
      <c r="A2635" s="4">
        <f>value(USD!A2635)</f>
        <v>43000.99861</v>
      </c>
      <c r="B2635" s="1">
        <f>value(USD!B2635)</f>
        <v>13290</v>
      </c>
      <c r="C2635" s="1">
        <f>value(AUD!$B2635)</f>
        <v>10388.19222</v>
      </c>
      <c r="D2635" s="1">
        <f>value(EUR!$B2635)</f>
        <v>15869.66702</v>
      </c>
      <c r="E2635" s="1">
        <f>value(GBP!$B2635)</f>
        <v>17971.34972</v>
      </c>
      <c r="F2635" s="1">
        <f>value(CHF!$B2635)</f>
        <v>13553.8872</v>
      </c>
      <c r="G2635" s="1">
        <f>value(SGD!$B2635)</f>
        <v>9894.36472</v>
      </c>
      <c r="H2635" s="1">
        <f>value(MYR!$B2635)</f>
        <v>3168.1586</v>
      </c>
      <c r="I2635" s="1">
        <f>value(THB!$B2635)</f>
        <v>401.8412</v>
      </c>
      <c r="J2635" s="1">
        <f>value(VND!$B2635)</f>
        <v>0.6290244805</v>
      </c>
      <c r="K2635" s="1">
        <f>value(CNY!$B2635)</f>
        <v>2059.68588</v>
      </c>
      <c r="L2635" s="1">
        <f>value(HKD!$B2635)</f>
        <v>1740.32254</v>
      </c>
      <c r="M2635" s="1">
        <f>value(TWD!$B2635)</f>
        <v>456.51044</v>
      </c>
      <c r="N2635" s="1">
        <f>value(JPY!$B2635)</f>
        <v>118.316952</v>
      </c>
      <c r="O2635" s="1">
        <f>value(SAR!$B2635)</f>
        <v>3668.010339</v>
      </c>
      <c r="P2635" s="1">
        <f>value(AED!$B2635)</f>
        <v>3761.93374</v>
      </c>
      <c r="Q2635" s="1">
        <f>value(KWD!$B2635)</f>
        <v>46186.75397</v>
      </c>
    </row>
    <row r="2636">
      <c r="A2636" s="4">
        <f>value(USD!A2636)</f>
        <v>43001.99861</v>
      </c>
      <c r="B2636" s="1">
        <f>value(USD!B2636)</f>
        <v>13297.87</v>
      </c>
      <c r="C2636" s="1">
        <f>value(AUD!$B2636)</f>
        <v>10370.0224</v>
      </c>
      <c r="D2636" s="1">
        <f>value(EUR!$B2636)</f>
        <v>15789.54131</v>
      </c>
      <c r="E2636" s="1">
        <f>value(GBP!$B2636)</f>
        <v>17948.6844</v>
      </c>
      <c r="F2636" s="1">
        <f>value(CHF!$B2636)</f>
        <v>13599.0802</v>
      </c>
      <c r="G2636" s="1">
        <f>value(SGD!$B2636)</f>
        <v>9912.519</v>
      </c>
      <c r="H2636" s="1">
        <f>value(MYR!$B2636)</f>
        <v>3167.39139</v>
      </c>
      <c r="I2636" s="1">
        <f>value(THB!$B2636)</f>
        <v>402.10061</v>
      </c>
      <c r="J2636" s="1">
        <f>value(VND!$B2636)</f>
        <v>0.6266003656</v>
      </c>
      <c r="K2636" s="1">
        <f>value(CNY!$B2636)</f>
        <v>2060.22776</v>
      </c>
      <c r="L2636" s="1">
        <f>value(HKD!$B2636)</f>
        <v>1737.35172</v>
      </c>
      <c r="M2636" s="1">
        <f>value(TWD!$B2636)</f>
        <v>462.93932</v>
      </c>
      <c r="N2636" s="1">
        <f>value(JPY!$B2636)</f>
        <v>119.151774</v>
      </c>
      <c r="O2636" s="1">
        <f>value(SAR!$B2636)</f>
        <v>3672.085515</v>
      </c>
      <c r="P2636" s="1">
        <f>value(AED!$B2636)</f>
        <v>3773.09271</v>
      </c>
      <c r="Q2636" s="1">
        <f>value(KWD!$B2636)</f>
        <v>46163.78102</v>
      </c>
    </row>
    <row r="2637">
      <c r="A2637" s="4">
        <f>value(USD!A2637)</f>
        <v>43002.99861</v>
      </c>
      <c r="B2637" s="1">
        <f>value(USD!B2637)</f>
        <v>13306</v>
      </c>
      <c r="C2637" s="1">
        <f>value(AUD!$B2637)</f>
        <v>10375.4496</v>
      </c>
      <c r="D2637" s="1">
        <f>value(EUR!$B2637)</f>
        <v>15762.9725</v>
      </c>
      <c r="E2637" s="1">
        <f>value(GBP!$B2637)</f>
        <v>17980.0125</v>
      </c>
      <c r="F2637" s="1">
        <f>value(CHF!$B2637)</f>
        <v>13684.5135</v>
      </c>
      <c r="G2637" s="1">
        <f>value(SGD!$B2637)</f>
        <v>9909.71667</v>
      </c>
      <c r="H2637" s="1">
        <f>value(MYR!$B2637)</f>
        <v>3177.76625</v>
      </c>
      <c r="I2637" s="1">
        <f>value(THB!$B2637)</f>
        <v>402.5875</v>
      </c>
      <c r="J2637" s="1">
        <f>value(VND!$B2637)</f>
        <v>0.6256718977</v>
      </c>
      <c r="K2637" s="1">
        <f>value(CNY!$B2637)</f>
        <v>2059.48098</v>
      </c>
      <c r="L2637" s="1">
        <f>value(HKD!$B2637)</f>
        <v>1737.22354</v>
      </c>
      <c r="M2637" s="1">
        <f>value(TWD!$B2637)</f>
        <v>461.03776</v>
      </c>
      <c r="N2637" s="1">
        <f>value(JPY!$B2637)</f>
        <v>118.984</v>
      </c>
      <c r="O2637" s="1">
        <f>value(SAR!$B2637)</f>
        <v>3672.352459</v>
      </c>
      <c r="P2637" s="1">
        <f>value(AED!$B2637)</f>
        <v>3793.25925</v>
      </c>
      <c r="Q2637" s="1">
        <f>value(KWD!$B2637)</f>
        <v>46153.07424</v>
      </c>
    </row>
    <row r="2638">
      <c r="A2638" s="4">
        <f>value(USD!A2638)</f>
        <v>43003.99861</v>
      </c>
      <c r="B2638" s="1">
        <f>value(USD!B2638)</f>
        <v>13319</v>
      </c>
      <c r="C2638" s="1">
        <f>value(AUD!$B2638)</f>
        <v>10406.354</v>
      </c>
      <c r="D2638" s="1">
        <f>value(EUR!$B2638)</f>
        <v>15782.02871</v>
      </c>
      <c r="E2638" s="1">
        <f>value(GBP!$B2638)</f>
        <v>17996.86175</v>
      </c>
      <c r="F2638" s="1">
        <f>value(CHF!$B2638)</f>
        <v>13687.9455</v>
      </c>
      <c r="G2638" s="1">
        <f>value(SGD!$B2638)</f>
        <v>9953.70768</v>
      </c>
      <c r="H2638" s="1">
        <f>value(MYR!$B2638)</f>
        <v>3180.12842</v>
      </c>
      <c r="I2638" s="1">
        <f>value(THB!$B2638)</f>
        <v>403.12433</v>
      </c>
      <c r="J2638" s="1">
        <f>value(VND!$B2638)</f>
        <v>0.6268008337</v>
      </c>
      <c r="K2638" s="1">
        <f>value(CNY!$B2638)</f>
        <v>2058.35252</v>
      </c>
      <c r="L2638" s="1">
        <f>value(HKD!$B2638)</f>
        <v>1735.67088</v>
      </c>
      <c r="M2638" s="1">
        <f>value(TWD!$B2638)</f>
        <v>466.11297</v>
      </c>
      <c r="N2638" s="1">
        <f>value(JPY!$B2638)</f>
        <v>118.989514</v>
      </c>
      <c r="O2638" s="1">
        <f>value(SAR!$B2638)</f>
        <v>3663.81262</v>
      </c>
      <c r="P2638" s="1">
        <f>value(AED!$B2638)</f>
        <v>3795.95499</v>
      </c>
      <c r="Q2638" s="1">
        <f>value(KWD!$B2638)</f>
        <v>46821.60578</v>
      </c>
    </row>
    <row r="2639">
      <c r="A2639" s="4">
        <f>value(USD!A2639)</f>
        <v>43004.99861</v>
      </c>
      <c r="B2639" s="1">
        <f>value(USD!B2639)</f>
        <v>13375</v>
      </c>
      <c r="C2639" s="1">
        <f>value(AUD!$B2639)</f>
        <v>10386.2325</v>
      </c>
      <c r="D2639" s="1">
        <f>value(EUR!$B2639)</f>
        <v>15913.50464</v>
      </c>
      <c r="E2639" s="1">
        <f>value(GBP!$B2639)</f>
        <v>18140.02828</v>
      </c>
      <c r="F2639" s="1">
        <f>value(CHF!$B2639)</f>
        <v>13600.4896</v>
      </c>
      <c r="G2639" s="1">
        <f>value(SGD!$B2639)</f>
        <v>9950.79702</v>
      </c>
      <c r="H2639" s="1">
        <f>value(MYR!$B2639)</f>
        <v>3193.42628</v>
      </c>
      <c r="I2639" s="1">
        <f>value(THB!$B2639)</f>
        <v>404.42952</v>
      </c>
      <c r="J2639" s="1">
        <f>value(VND!$B2639)</f>
        <v>0.62782591</v>
      </c>
      <c r="K2639" s="1">
        <f>value(CNY!$B2639)</f>
        <v>2070.7456</v>
      </c>
      <c r="L2639" s="1">
        <f>value(HKD!$B2639)</f>
        <v>1727.462</v>
      </c>
      <c r="M2639" s="1">
        <f>value(TWD!$B2639)</f>
        <v>462.46798</v>
      </c>
      <c r="N2639" s="1">
        <f>value(JPY!$B2639)</f>
        <v>120.072612</v>
      </c>
      <c r="O2639" s="1">
        <f>value(SAR!$B2639)</f>
        <v>3667.013388</v>
      </c>
      <c r="P2639" s="1">
        <f>value(AED!$B2639)</f>
        <v>3774.87984</v>
      </c>
      <c r="Q2639" s="1">
        <f>value(KWD!$B2639)</f>
        <v>46527.11208</v>
      </c>
    </row>
    <row r="2640">
      <c r="A2640" s="4">
        <f>value(USD!A2640)</f>
        <v>43005.99861</v>
      </c>
      <c r="B2640" s="1">
        <f>value(USD!B2640)</f>
        <v>13433</v>
      </c>
      <c r="C2640" s="1">
        <f>value(AUD!$B2640)</f>
        <v>10411.71257</v>
      </c>
      <c r="D2640" s="1">
        <f>value(EUR!$B2640)</f>
        <v>15803.7898</v>
      </c>
      <c r="E2640" s="1">
        <f>value(GBP!$B2640)</f>
        <v>18031.016</v>
      </c>
      <c r="F2640" s="1">
        <f>value(CHF!$B2640)</f>
        <v>13657.9388</v>
      </c>
      <c r="G2640" s="1">
        <f>value(SGD!$B2640)</f>
        <v>9956.771025</v>
      </c>
      <c r="H2640" s="1">
        <f>value(MYR!$B2640)</f>
        <v>3185.8474</v>
      </c>
      <c r="I2640" s="1">
        <f>value(THB!$B2640)</f>
        <v>401.108</v>
      </c>
      <c r="J2640" s="1">
        <f>value(VND!$B2640)</f>
        <v>0.627607135</v>
      </c>
      <c r="K2640" s="1">
        <f>value(CNY!$B2640)</f>
        <v>2068.00174</v>
      </c>
      <c r="L2640" s="1">
        <f>value(HKD!$B2640)</f>
        <v>1727.5968</v>
      </c>
      <c r="M2640" s="1">
        <f>value(TWD!$B2640)</f>
        <v>463.82854</v>
      </c>
      <c r="N2640" s="1">
        <f>value(JPY!$B2640)</f>
        <v>119.121</v>
      </c>
      <c r="O2640" s="1">
        <f>value(SAR!$B2640)</f>
        <v>3673.425761</v>
      </c>
      <c r="P2640" s="1">
        <f>value(AED!$B2640)</f>
        <v>3789.42291</v>
      </c>
      <c r="Q2640" s="1">
        <f>value(KWD!$B2640)</f>
        <v>46041.66239</v>
      </c>
    </row>
    <row r="2641">
      <c r="A2641" s="4">
        <f>value(USD!A2641)</f>
        <v>43006.99861</v>
      </c>
      <c r="B2641" s="1">
        <f>value(USD!B2641)</f>
        <v>13508</v>
      </c>
      <c r="C2641" s="1">
        <f>value(AUD!$B2641)</f>
        <v>10448.1648</v>
      </c>
      <c r="D2641" s="1">
        <f>value(EUR!$B2641)</f>
        <v>15824.28868</v>
      </c>
      <c r="E2641" s="1">
        <f>value(GBP!$B2641)</f>
        <v>18054.89367</v>
      </c>
      <c r="F2641" s="1">
        <f>value(CHF!$B2641)</f>
        <v>13663.50996</v>
      </c>
      <c r="G2641" s="1">
        <f>value(SGD!$B2641)</f>
        <v>9927.2664</v>
      </c>
      <c r="H2641" s="1">
        <f>value(MYR!$B2641)</f>
        <v>3189.890065</v>
      </c>
      <c r="I2641" s="1">
        <f>value(THB!$B2641)</f>
        <v>401.616984</v>
      </c>
      <c r="J2641" s="1">
        <f>value(VND!$B2641)</f>
        <v>0.6265547143</v>
      </c>
      <c r="K2641" s="1">
        <f>value(CNY!$B2641)</f>
        <v>2075.32306</v>
      </c>
      <c r="L2641" s="1">
        <f>value(HKD!$B2641)</f>
        <v>1727.7316</v>
      </c>
      <c r="M2641" s="1">
        <f>value(TWD!$B2641)</f>
        <v>463.82854</v>
      </c>
      <c r="N2641" s="1">
        <f>value(JPY!$B2641)</f>
        <v>119.272158</v>
      </c>
      <c r="O2641" s="1">
        <f>value(SAR!$B2641)</f>
        <v>3665.449003</v>
      </c>
      <c r="P2641" s="1">
        <f>value(AED!$B2641)</f>
        <v>3789.42291</v>
      </c>
      <c r="Q2641" s="1">
        <f>value(KWD!$B2641)</f>
        <v>46079.75572</v>
      </c>
    </row>
    <row r="2642">
      <c r="A2642" s="4">
        <f>value(USD!A2642)</f>
        <v>43007.99861</v>
      </c>
      <c r="B2642" s="1">
        <f>value(USD!B2642)</f>
        <v>13460</v>
      </c>
      <c r="C2642" s="1">
        <f>value(AUD!$B2642)</f>
        <v>10451.5105</v>
      </c>
      <c r="D2642" s="1">
        <f>value(EUR!$B2642)</f>
        <v>15896.779</v>
      </c>
      <c r="E2642" s="1">
        <f>value(GBP!$B2642)</f>
        <v>18037.714</v>
      </c>
      <c r="F2642" s="1">
        <f>value(CHF!$B2642)</f>
        <v>13645.7816</v>
      </c>
      <c r="G2642" s="1">
        <f>value(SGD!$B2642)</f>
        <v>9948.85071</v>
      </c>
      <c r="H2642" s="1">
        <f>value(MYR!$B2642)</f>
        <v>3187.03085</v>
      </c>
      <c r="I2642" s="1">
        <f>value(THB!$B2642)</f>
        <v>404.2193</v>
      </c>
      <c r="J2642" s="1">
        <f>value(VND!$B2642)</f>
        <v>0.6222756582</v>
      </c>
      <c r="K2642" s="1">
        <f>value(CNY!$B2642)</f>
        <v>2075.355</v>
      </c>
      <c r="L2642" s="1">
        <f>value(HKD!$B2642)</f>
        <v>1728.25094</v>
      </c>
      <c r="M2642" s="1">
        <f>value(TWD!$B2642)</f>
        <v>463.9649</v>
      </c>
      <c r="N2642" s="1">
        <f>value(JPY!$B2642)</f>
        <v>119.501875</v>
      </c>
      <c r="O2642" s="1">
        <f>value(SAR!$B2642)</f>
        <v>3668.179324</v>
      </c>
      <c r="P2642" s="1">
        <f>value(AED!$B2642)</f>
        <v>3789.42291</v>
      </c>
      <c r="Q2642" s="1">
        <f>value(KWD!$B2642)</f>
        <v>46075.17505</v>
      </c>
    </row>
    <row r="2643">
      <c r="A2643" s="4">
        <f>value(USD!A2643)</f>
        <v>43008.99861</v>
      </c>
      <c r="B2643" s="1">
        <f>value(USD!B2643)</f>
        <v>13477.08</v>
      </c>
      <c r="C2643" s="1">
        <f>value(AUD!$B2643)</f>
        <v>10451.5105</v>
      </c>
      <c r="D2643" s="1">
        <f>value(EUR!$B2643)</f>
        <v>15876.32823</v>
      </c>
      <c r="E2643" s="1">
        <f>value(GBP!$B2643)</f>
        <v>17961.18471</v>
      </c>
      <c r="F2643" s="1">
        <f>value(CHF!$B2643)</f>
        <v>13614.265</v>
      </c>
      <c r="G2643" s="1">
        <f>value(SGD!$B2643)</f>
        <v>9964.5147</v>
      </c>
      <c r="H2643" s="1">
        <f>value(MYR!$B2643)</f>
        <v>3194.26317</v>
      </c>
      <c r="I2643" s="1">
        <f>value(THB!$B2643)</f>
        <v>404.5769</v>
      </c>
      <c r="J2643" s="1">
        <f>value(VND!$B2643)</f>
        <v>0.6225916563</v>
      </c>
      <c r="K2643" s="1">
        <f>value(CNY!$B2643)</f>
        <v>2064.27209</v>
      </c>
      <c r="L2643" s="1">
        <f>value(HKD!$B2643)</f>
        <v>1731.68396</v>
      </c>
      <c r="M2643" s="1">
        <f>value(TWD!$B2643)</f>
        <v>464.13486</v>
      </c>
      <c r="N2643" s="1">
        <f>value(JPY!$B2643)</f>
        <v>119.952315</v>
      </c>
      <c r="O2643" s="1">
        <f>value(SAR!$B2643)</f>
        <v>3670.554842</v>
      </c>
      <c r="P2643" s="1">
        <f>value(AED!$B2643)</f>
        <v>3843.421438</v>
      </c>
      <c r="Q2643" s="1">
        <f>value(KWD!$B2643)</f>
        <v>46064.51003</v>
      </c>
    </row>
    <row r="2644">
      <c r="A2644" s="4">
        <f>value(USD!A2644)</f>
        <v>43009.99861</v>
      </c>
      <c r="B2644" s="1">
        <f>value(USD!B2644)</f>
        <v>13465</v>
      </c>
      <c r="C2644" s="1">
        <f>value(AUD!$B2644)</f>
        <v>10449.1761</v>
      </c>
      <c r="D2644" s="1">
        <f>value(EUR!$B2644)</f>
        <v>15900.87456</v>
      </c>
      <c r="E2644" s="1">
        <f>value(GBP!$B2644)</f>
        <v>17923.0176</v>
      </c>
      <c r="F2644" s="1">
        <f>value(CHF!$B2644)</f>
        <v>13640.671</v>
      </c>
      <c r="G2644" s="1">
        <f>value(SGD!$B2644)</f>
        <v>9974.61825</v>
      </c>
      <c r="H2644" s="1">
        <f>value(MYR!$B2644)</f>
        <v>3193.1424</v>
      </c>
      <c r="I2644" s="1">
        <f>value(THB!$B2644)</f>
        <v>405.53856</v>
      </c>
      <c r="J2644" s="1">
        <f>value(VND!$B2644)</f>
        <v>0.6246824919</v>
      </c>
      <c r="K2644" s="1">
        <f>value(CNY!$B2644)</f>
        <v>2075.44692</v>
      </c>
      <c r="L2644" s="1">
        <f>value(HKD!$B2644)</f>
        <v>1731.75975</v>
      </c>
      <c r="M2644" s="1">
        <f>value(TWD!$B2644)</f>
        <v>464.442</v>
      </c>
      <c r="N2644" s="1">
        <f>value(JPY!$B2644)</f>
        <v>119.92896</v>
      </c>
      <c r="O2644" s="1">
        <f>value(SAR!$B2644)</f>
        <v>3672.761132</v>
      </c>
      <c r="P2644" s="1">
        <f>value(AED!$B2644)</f>
        <v>3830.50305</v>
      </c>
      <c r="Q2644" s="1">
        <f>value(KWD!$B2644)</f>
        <v>46625.84203</v>
      </c>
    </row>
    <row r="2645">
      <c r="A2645" s="4">
        <f>value(USD!A2645)</f>
        <v>43010.99861</v>
      </c>
      <c r="B2645" s="1">
        <f>value(USD!B2645)</f>
        <v>13531</v>
      </c>
      <c r="C2645" s="1">
        <f>value(AUD!$B2645)</f>
        <v>10451.30488</v>
      </c>
      <c r="D2645" s="1">
        <f>value(EUR!$B2645)</f>
        <v>15836.0055</v>
      </c>
      <c r="E2645" s="1">
        <f>value(GBP!$B2645)</f>
        <v>17824.851</v>
      </c>
      <c r="F2645" s="1">
        <f>value(CHF!$B2645)</f>
        <v>13733.838</v>
      </c>
      <c r="G2645" s="1">
        <f>value(SGD!$B2645)</f>
        <v>9962.38566</v>
      </c>
      <c r="H2645" s="1">
        <f>value(MYR!$B2645)</f>
        <v>3184.0386</v>
      </c>
      <c r="I2645" s="1">
        <f>value(THB!$B2645)</f>
        <v>403.6959</v>
      </c>
      <c r="J2645" s="1">
        <f>value(VND!$B2645)</f>
        <v>0.6257607907</v>
      </c>
      <c r="K2645" s="1">
        <f>value(CNY!$B2645)</f>
        <v>2077.8925</v>
      </c>
      <c r="L2645" s="1">
        <f>value(HKD!$B2645)</f>
        <v>1734.43194</v>
      </c>
      <c r="M2645" s="1">
        <f>value(TWD!$B2645)</f>
        <v>467.09838</v>
      </c>
      <c r="N2645" s="1">
        <f>value(JPY!$B2645)</f>
        <v>119.3442</v>
      </c>
      <c r="O2645" s="1">
        <f>value(SAR!$B2645)</f>
        <v>3673.954125</v>
      </c>
      <c r="P2645" s="1">
        <f>value(AED!$B2645)</f>
        <v>3790.25829</v>
      </c>
      <c r="Q2645" s="1">
        <f>value(KWD!$B2645)</f>
        <v>46602.04794</v>
      </c>
    </row>
    <row r="2646">
      <c r="A2646" s="4">
        <f>value(USD!A2646)</f>
        <v>43011.99861</v>
      </c>
      <c r="B2646" s="1">
        <f>value(USD!B2646)</f>
        <v>13536</v>
      </c>
      <c r="C2646" s="1">
        <f>value(AUD!$B2646)</f>
        <v>10471.6304</v>
      </c>
      <c r="D2646" s="1">
        <f>value(EUR!$B2646)</f>
        <v>15752.86963</v>
      </c>
      <c r="E2646" s="1">
        <f>value(GBP!$B2646)</f>
        <v>17635.74061</v>
      </c>
      <c r="F2646" s="1">
        <f>value(CHF!$B2646)</f>
        <v>13737.1976</v>
      </c>
      <c r="G2646" s="1">
        <f>value(SGD!$B2646)</f>
        <v>9962.42016</v>
      </c>
      <c r="H2646" s="1">
        <f>value(MYR!$B2646)</f>
        <v>3178.33679</v>
      </c>
      <c r="I2646" s="1">
        <f>value(THB!$B2646)</f>
        <v>402.72294</v>
      </c>
      <c r="J2646" s="1">
        <f>value(VND!$B2646)</f>
        <v>0.6230486075</v>
      </c>
      <c r="K2646" s="1">
        <f>value(CNY!$B2646)</f>
        <v>2077.84416</v>
      </c>
      <c r="L2646" s="1">
        <f>value(HKD!$B2646)</f>
        <v>1735.67814</v>
      </c>
      <c r="M2646" s="1">
        <f>value(TWD!$B2646)</f>
        <v>467.81504</v>
      </c>
      <c r="N2646" s="1">
        <f>value(JPY!$B2646)</f>
        <v>119.31037</v>
      </c>
      <c r="O2646" s="1">
        <f>value(SAR!$B2646)</f>
        <v>3673.954125</v>
      </c>
      <c r="P2646" s="1">
        <f>value(AED!$B2646)</f>
        <v>3789.42291</v>
      </c>
      <c r="Q2646" s="1">
        <f>value(KWD!$B2646)</f>
        <v>46553.08995</v>
      </c>
    </row>
    <row r="2647">
      <c r="A2647" s="4">
        <f>value(USD!A2647)</f>
        <v>43012.99861</v>
      </c>
      <c r="B2647" s="1">
        <f>value(USD!B2647)</f>
        <v>13470</v>
      </c>
      <c r="C2647" s="1">
        <f>value(AUD!$B2647)</f>
        <v>10539.9892</v>
      </c>
      <c r="D2647" s="1">
        <f>value(EUR!$B2647)</f>
        <v>15833.93042</v>
      </c>
      <c r="E2647" s="1">
        <f>value(GBP!$B2647)</f>
        <v>17642.98238</v>
      </c>
      <c r="F2647" s="1">
        <f>value(CHF!$B2647)</f>
        <v>13773.3592</v>
      </c>
      <c r="G2647" s="1">
        <f>value(SGD!$B2647)</f>
        <v>9966.483895</v>
      </c>
      <c r="H2647" s="1">
        <f>value(MYR!$B2647)</f>
        <v>3184.4467</v>
      </c>
      <c r="I2647" s="1">
        <f>value(THB!$B2647)</f>
        <v>403.57478</v>
      </c>
      <c r="J2647" s="1">
        <f>value(VND!$B2647)</f>
        <v>0.622444575</v>
      </c>
      <c r="K2647" s="1">
        <f>value(CNY!$B2647)</f>
        <v>2070.57032</v>
      </c>
      <c r="L2647" s="1">
        <f>value(HKD!$B2647)</f>
        <v>1736.720162</v>
      </c>
      <c r="M2647" s="1">
        <f>value(TWD!$B2647)</f>
        <v>465.78224</v>
      </c>
      <c r="N2647" s="1">
        <f>value(JPY!$B2647)</f>
        <v>119.8686078</v>
      </c>
      <c r="O2647" s="1">
        <f>value(SAR!$B2647)</f>
        <v>3670.328951</v>
      </c>
      <c r="P2647" s="1">
        <f>value(AED!$B2647)</f>
        <v>3789.42291</v>
      </c>
      <c r="Q2647" s="1">
        <f>value(KWD!$B2647)</f>
        <v>46855.43128</v>
      </c>
    </row>
    <row r="2648">
      <c r="A2648" s="4">
        <f>value(USD!A2648)</f>
        <v>43013.99861</v>
      </c>
      <c r="B2648" s="1">
        <f>value(USD!B2648)</f>
        <v>13451</v>
      </c>
      <c r="C2648" s="1">
        <f>value(AUD!$B2648)</f>
        <v>10566.56288</v>
      </c>
      <c r="D2648" s="1">
        <f>value(EUR!$B2648)</f>
        <v>15834.6804</v>
      </c>
      <c r="E2648" s="1">
        <f>value(GBP!$B2648)</f>
        <v>17632.4808</v>
      </c>
      <c r="F2648" s="1">
        <f>value(CHF!$B2648)</f>
        <v>13774.709</v>
      </c>
      <c r="G2648" s="1">
        <f>value(SGD!$B2648)</f>
        <v>9944.72468</v>
      </c>
      <c r="H2648" s="1">
        <f>value(MYR!$B2648)</f>
        <v>3183.26745</v>
      </c>
      <c r="I2648" s="1">
        <f>value(THB!$B2648)</f>
        <v>403.5603</v>
      </c>
      <c r="J2648" s="1">
        <f>value(VND!$B2648)</f>
        <v>0.6341788746</v>
      </c>
      <c r="K2648" s="1">
        <f>value(CNY!$B2648)</f>
        <v>2065.6417</v>
      </c>
      <c r="L2648" s="1">
        <f>value(HKD!$B2648)</f>
        <v>1731.69792</v>
      </c>
      <c r="M2648" s="1">
        <f>value(TWD!$B2648)</f>
        <v>465.78224</v>
      </c>
      <c r="N2648" s="1">
        <f>value(JPY!$B2648)</f>
        <v>119.85336</v>
      </c>
      <c r="O2648" s="1">
        <f>value(SAR!$B2648)</f>
        <v>3674.994624</v>
      </c>
      <c r="P2648" s="1">
        <f>value(AED!$B2648)</f>
        <v>3789.42291</v>
      </c>
      <c r="Q2648" s="1">
        <f>value(KWD!$B2648)</f>
        <v>46984.79635</v>
      </c>
    </row>
    <row r="2649">
      <c r="A2649" s="4">
        <f>value(USD!A2649)</f>
        <v>43014.99861</v>
      </c>
      <c r="B2649" s="1">
        <f>value(USD!B2649)</f>
        <v>13502</v>
      </c>
      <c r="C2649" s="1">
        <f>value(AUD!$B2649)</f>
        <v>10530</v>
      </c>
      <c r="D2649" s="1">
        <f>value(EUR!$B2649)</f>
        <v>15848.04243</v>
      </c>
      <c r="E2649" s="1">
        <f>value(GBP!$B2649)</f>
        <v>17657.04534</v>
      </c>
      <c r="F2649" s="1">
        <f>value(CHF!$B2649)</f>
        <v>13765.2604</v>
      </c>
      <c r="G2649" s="1">
        <f>value(SGD!$B2649)</f>
        <v>9965.761</v>
      </c>
      <c r="H2649" s="1">
        <f>value(MYR!$B2649)</f>
        <v>3183.26745</v>
      </c>
      <c r="I2649" s="1">
        <f>value(THB!$B2649)</f>
        <v>403.29036</v>
      </c>
      <c r="J2649" s="1">
        <f>value(VND!$B2649)</f>
        <v>0.6328650938</v>
      </c>
      <c r="K2649" s="1">
        <f>value(CNY!$B2649)</f>
        <v>2066.23277</v>
      </c>
      <c r="L2649" s="1">
        <f>value(HKD!$B2649)</f>
        <v>1737.22354</v>
      </c>
      <c r="M2649" s="1">
        <f>value(TWD!$B2649)</f>
        <v>465.78224</v>
      </c>
      <c r="N2649" s="1">
        <f>value(JPY!$B2649)</f>
        <v>119.893851</v>
      </c>
      <c r="O2649" s="1">
        <f>value(SAR!$B2649)</f>
        <v>3668.277146</v>
      </c>
      <c r="P2649" s="1">
        <f>value(AED!$B2649)</f>
        <v>3834.33096</v>
      </c>
      <c r="Q2649" s="1">
        <f>value(KWD!$B2649)</f>
        <v>47131.07431</v>
      </c>
    </row>
    <row r="2650">
      <c r="A2650" s="4">
        <f>value(USD!A2650)</f>
        <v>43015.99861</v>
      </c>
      <c r="B2650" s="1">
        <f>value(USD!B2650)</f>
        <v>13497</v>
      </c>
      <c r="C2650" s="1">
        <f>value(AUD!$B2650)</f>
        <v>10512.06</v>
      </c>
      <c r="D2650" s="1">
        <f>value(EUR!$B2650)</f>
        <v>15862.091</v>
      </c>
      <c r="E2650" s="1">
        <f>value(GBP!$B2650)</f>
        <v>17754.0314</v>
      </c>
      <c r="F2650" s="1">
        <f>value(CHF!$B2650)</f>
        <v>13763.6557</v>
      </c>
      <c r="G2650" s="1">
        <f>value(SGD!$B2650)</f>
        <v>9983.91669</v>
      </c>
      <c r="H2650" s="1">
        <f>value(MYR!$B2650)</f>
        <v>3190.5216</v>
      </c>
      <c r="I2650" s="1">
        <f>value(THB!$B2650)</f>
        <v>404.7596</v>
      </c>
      <c r="J2650" s="1">
        <f>value(VND!$B2650)</f>
        <v>0.6285505304</v>
      </c>
      <c r="K2650" s="1">
        <f>value(CNY!$B2650)</f>
        <v>2065.87822</v>
      </c>
      <c r="L2650" s="1">
        <f>value(HKD!$B2650)</f>
        <v>1735.6563</v>
      </c>
      <c r="M2650" s="1">
        <f>value(TWD!$B2650)</f>
        <v>466.52868</v>
      </c>
      <c r="N2650" s="1">
        <f>value(JPY!$B2650)</f>
        <v>119.88774</v>
      </c>
      <c r="O2650" s="1">
        <f>value(SAR!$B2650)</f>
        <v>3671.222167</v>
      </c>
      <c r="P2650" s="1">
        <f>value(AED!$B2650)</f>
        <v>3834.276526</v>
      </c>
      <c r="Q2650" s="1">
        <f>value(KWD!$B2650)</f>
        <v>47524.4161</v>
      </c>
    </row>
    <row r="2651">
      <c r="A2651" s="4">
        <f>value(USD!A2651)</f>
        <v>43016.99861</v>
      </c>
      <c r="B2651" s="1">
        <f>value(USD!B2651)</f>
        <v>13497</v>
      </c>
      <c r="C2651" s="1">
        <f>value(AUD!$B2651)</f>
        <v>10560.0516</v>
      </c>
      <c r="D2651" s="1">
        <f>value(EUR!$B2651)</f>
        <v>15958.012</v>
      </c>
      <c r="E2651" s="1">
        <f>value(GBP!$B2651)</f>
        <v>17844.008</v>
      </c>
      <c r="F2651" s="1">
        <f>value(CHF!$B2651)</f>
        <v>13713.3</v>
      </c>
      <c r="G2651" s="1">
        <f>value(SGD!$B2651)</f>
        <v>10010.322</v>
      </c>
      <c r="H2651" s="1">
        <f>value(MYR!$B2651)</f>
        <v>3199.8435</v>
      </c>
      <c r="I2651" s="1">
        <f>value(THB!$B2651)</f>
        <v>406.3808</v>
      </c>
      <c r="J2651" s="1">
        <f>value(VND!$B2651)</f>
        <v>0.6279935217</v>
      </c>
      <c r="K2651" s="1">
        <f>value(CNY!$B2651)</f>
        <v>2066.01249</v>
      </c>
      <c r="L2651" s="1">
        <f>value(HKD!$B2651)</f>
        <v>1733.8335</v>
      </c>
      <c r="M2651" s="1">
        <f>value(TWD!$B2651)</f>
        <v>463.62456</v>
      </c>
      <c r="N2651" s="1">
        <f>value(JPY!$B2651)</f>
        <v>120.236298</v>
      </c>
      <c r="O2651" s="1">
        <f>value(SAR!$B2651)</f>
        <v>3675.120061</v>
      </c>
      <c r="P2651" s="1">
        <f>value(AED!$B2651)</f>
        <v>3831.09279</v>
      </c>
      <c r="Q2651" s="1">
        <f>value(KWD!$B2651)</f>
        <v>47308.57215</v>
      </c>
    </row>
    <row r="2652">
      <c r="A2652" s="4">
        <f>value(USD!A2652)</f>
        <v>43017.99861</v>
      </c>
      <c r="B2652" s="1">
        <f>value(USD!B2652)</f>
        <v>13510</v>
      </c>
      <c r="C2652" s="1">
        <f>value(AUD!$B2652)</f>
        <v>10566.832</v>
      </c>
      <c r="D2652" s="1">
        <f>value(EUR!$B2652)</f>
        <v>16028.6693</v>
      </c>
      <c r="E2652" s="1">
        <f>value(GBP!$B2652)</f>
        <v>17884.9433</v>
      </c>
      <c r="F2652" s="1">
        <f>value(CHF!$B2652)</f>
        <v>13709.2608</v>
      </c>
      <c r="G2652" s="1">
        <f>value(SGD!$B2652)</f>
        <v>10022.327</v>
      </c>
      <c r="H2652" s="1">
        <f>value(MYR!$B2652)</f>
        <v>3201.4647</v>
      </c>
      <c r="I2652" s="1">
        <f>value(THB!$B2652)</f>
        <v>407.1914</v>
      </c>
      <c r="J2652" s="1">
        <f>value(VND!$B2652)</f>
        <v>0.6277485468</v>
      </c>
      <c r="K2652" s="1">
        <f>value(CNY!$B2652)</f>
        <v>2056.5359</v>
      </c>
      <c r="L2652" s="1">
        <f>value(HKD!$B2652)</f>
        <v>1730.33256</v>
      </c>
      <c r="M2652" s="1">
        <f>value(TWD!$B2652)</f>
        <v>465.39428</v>
      </c>
      <c r="N2652" s="1">
        <f>value(JPY!$B2652)</f>
        <v>120.13092</v>
      </c>
      <c r="O2652" s="1">
        <f>value(SAR!$B2652)</f>
        <v>3675.653964</v>
      </c>
      <c r="P2652" s="1">
        <f>value(AED!$B2652)</f>
        <v>3850.66116</v>
      </c>
      <c r="Q2652" s="1">
        <f>value(KWD!$B2652)</f>
        <v>47308.57215</v>
      </c>
    </row>
    <row r="2653">
      <c r="A2653" s="4">
        <f>value(USD!A2653)</f>
        <v>43018.99861</v>
      </c>
      <c r="B2653" s="1">
        <f>value(USD!B2653)</f>
        <v>13510</v>
      </c>
      <c r="C2653" s="1">
        <f>value(AUD!$B2653)</f>
        <v>10570.33712</v>
      </c>
      <c r="D2653" s="1">
        <f>value(EUR!$B2653)</f>
        <v>15969.61878</v>
      </c>
      <c r="E2653" s="1">
        <f>value(GBP!$B2653)</f>
        <v>17901.31756</v>
      </c>
      <c r="F2653" s="1">
        <f>value(CHF!$B2653)</f>
        <v>13760.3642</v>
      </c>
      <c r="G2653" s="1">
        <f>value(SGD!$B2653)</f>
        <v>10032.11854</v>
      </c>
      <c r="H2653" s="1">
        <f>value(MYR!$B2653)</f>
        <v>3195.11158</v>
      </c>
      <c r="I2653" s="1">
        <f>value(THB!$B2653)</f>
        <v>407.6396</v>
      </c>
      <c r="J2653" s="1">
        <f>value(VND!$B2653)</f>
        <v>0.626664715</v>
      </c>
      <c r="K2653" s="1">
        <f>value(CNY!$B2653)</f>
        <v>2065.20965</v>
      </c>
      <c r="L2653" s="1">
        <f>value(HKD!$B2653)</f>
        <v>1729.29416</v>
      </c>
      <c r="M2653" s="1">
        <f>value(TWD!$B2653)</f>
        <v>466.62512</v>
      </c>
      <c r="N2653" s="1">
        <f>value(JPY!$B2653)</f>
        <v>120.226686</v>
      </c>
      <c r="O2653" s="1">
        <f>value(SAR!$B2653)</f>
        <v>3662.328525</v>
      </c>
      <c r="P2653" s="1">
        <f>value(AED!$B2653)</f>
        <v>3861.54796</v>
      </c>
      <c r="Q2653" s="1">
        <f>value(KWD!$B2653)</f>
        <v>47454.41235</v>
      </c>
    </row>
    <row r="2654">
      <c r="A2654" s="4">
        <f>value(USD!A2654)</f>
        <v>43019.99861</v>
      </c>
      <c r="B2654" s="1">
        <f>value(USD!B2654)</f>
        <v>13510</v>
      </c>
      <c r="C2654" s="1">
        <f>value(AUD!$B2654)</f>
        <v>10539.92212</v>
      </c>
      <c r="D2654" s="1">
        <f>value(EUR!$B2654)</f>
        <v>15871.3054</v>
      </c>
      <c r="E2654" s="1">
        <f>value(GBP!$B2654)</f>
        <v>17841.755</v>
      </c>
      <c r="F2654" s="1">
        <f>value(CHF!$B2654)</f>
        <v>13854.6818</v>
      </c>
      <c r="G2654" s="1">
        <f>value(SGD!$B2654)</f>
        <v>10029.014</v>
      </c>
      <c r="H2654" s="1">
        <f>value(MYR!$B2654)</f>
        <v>3179.4182</v>
      </c>
      <c r="I2654" s="1">
        <f>value(THB!$B2654)</f>
        <v>405.7203</v>
      </c>
      <c r="J2654" s="1">
        <f>value(VND!$B2654)</f>
        <v>0.62650952</v>
      </c>
      <c r="K2654" s="1">
        <f>value(CNY!$B2654)</f>
        <v>2063.19165</v>
      </c>
      <c r="L2654" s="1">
        <f>value(HKD!$B2654)</f>
        <v>1729.99955</v>
      </c>
      <c r="M2654" s="1">
        <f>value(TWD!$B2654)</f>
        <v>466.35232</v>
      </c>
      <c r="N2654" s="1">
        <f>value(JPY!$B2654)</f>
        <v>120.0642</v>
      </c>
      <c r="O2654" s="1">
        <f>value(SAR!$B2654)</f>
        <v>3674.656944</v>
      </c>
      <c r="P2654" s="1">
        <f>value(AED!$B2654)</f>
        <v>3874.33995</v>
      </c>
      <c r="Q2654" s="1">
        <f>value(KWD!$B2654)</f>
        <v>47514.48068</v>
      </c>
    </row>
    <row r="2655">
      <c r="A2655" s="4">
        <f>value(USD!A2655)</f>
        <v>43020.99861</v>
      </c>
      <c r="B2655" s="1">
        <f>value(USD!B2655)</f>
        <v>13498</v>
      </c>
      <c r="C2655" s="1">
        <f>value(AUD!$B2655)</f>
        <v>10548.2145</v>
      </c>
      <c r="D2655" s="1">
        <f>value(EUR!$B2655)</f>
        <v>15947.544</v>
      </c>
      <c r="E2655" s="1">
        <f>value(GBP!$B2655)</f>
        <v>17925.4712</v>
      </c>
      <c r="F2655" s="1">
        <f>value(CHF!$B2655)</f>
        <v>13860.61249</v>
      </c>
      <c r="G2655" s="1">
        <f>value(SGD!$B2655)</f>
        <v>10016.8658</v>
      </c>
      <c r="H2655" s="1">
        <f>value(MYR!$B2655)</f>
        <v>3198.68336</v>
      </c>
      <c r="I2655" s="1">
        <f>value(THB!$B2655)</f>
        <v>407.72824</v>
      </c>
      <c r="J2655" s="1">
        <f>value(VND!$B2655)</f>
        <v>0.6243523183</v>
      </c>
      <c r="K2655" s="1">
        <f>value(CNY!$B2655)</f>
        <v>2063.934</v>
      </c>
      <c r="L2655" s="1">
        <f>value(HKD!$B2655)</f>
        <v>1729.024</v>
      </c>
      <c r="M2655" s="1">
        <f>value(TWD!$B2655)</f>
        <v>453.51944</v>
      </c>
      <c r="N2655" s="1">
        <f>value(JPY!$B2655)</f>
        <v>120.61848</v>
      </c>
      <c r="O2655" s="1">
        <f>value(SAR!$B2655)</f>
        <v>3672.156422</v>
      </c>
      <c r="P2655" s="1">
        <f>value(AED!$B2655)</f>
        <v>3905.6395</v>
      </c>
      <c r="Q2655" s="1">
        <f>value(KWD!$B2655)</f>
        <v>47495.02429</v>
      </c>
    </row>
    <row r="2656">
      <c r="A2656" s="4">
        <f>value(USD!A2656)</f>
        <v>43021.99861</v>
      </c>
      <c r="B2656" s="1">
        <f>value(USD!B2656)</f>
        <v>13430</v>
      </c>
      <c r="C2656" s="1">
        <f>value(AUD!$B2656)</f>
        <v>10542.3871</v>
      </c>
      <c r="D2656" s="1">
        <f>value(EUR!$B2656)</f>
        <v>15938.63928</v>
      </c>
      <c r="E2656" s="1">
        <f>value(GBP!$B2656)</f>
        <v>17925.4712</v>
      </c>
      <c r="F2656" s="1">
        <f>value(CHF!$B2656)</f>
        <v>13805.436</v>
      </c>
      <c r="G2656" s="1">
        <f>value(SGD!$B2656)</f>
        <v>10030.5664</v>
      </c>
      <c r="H2656" s="1">
        <f>value(MYR!$B2656)</f>
        <v>3198.68336</v>
      </c>
      <c r="I2656" s="1">
        <f>value(THB!$B2656)</f>
        <v>407.99808</v>
      </c>
      <c r="J2656" s="1">
        <f>value(VND!$B2656)</f>
        <v>0.623437087</v>
      </c>
      <c r="K2656" s="1">
        <f>value(CNY!$B2656)</f>
        <v>2059.26255</v>
      </c>
      <c r="L2656" s="1">
        <f>value(HKD!$B2656)</f>
        <v>1731.4705</v>
      </c>
      <c r="M2656" s="1">
        <f>value(TWD!$B2656)</f>
        <v>453.825064</v>
      </c>
      <c r="N2656" s="1">
        <f>value(JPY!$B2656)</f>
        <v>120.564512</v>
      </c>
      <c r="O2656" s="1">
        <f>value(SAR!$B2656)</f>
        <v>3675.457756</v>
      </c>
      <c r="P2656" s="1">
        <f>value(AED!$B2656)</f>
        <v>3885.82425</v>
      </c>
      <c r="Q2656" s="1">
        <f>value(KWD!$B2656)</f>
        <v>47661.5952</v>
      </c>
    </row>
    <row r="2657">
      <c r="A2657" s="4">
        <f>value(USD!A2657)</f>
        <v>43022.99861</v>
      </c>
      <c r="B2657" s="1">
        <f>value(USD!B2657)</f>
        <v>13492</v>
      </c>
      <c r="C2657" s="1">
        <f>value(AUD!$B2657)</f>
        <v>10550.80233</v>
      </c>
      <c r="D2657" s="1">
        <f>value(EUR!$B2657)</f>
        <v>15894.942</v>
      </c>
      <c r="E2657" s="1">
        <f>value(GBP!$B2657)</f>
        <v>17858.3952</v>
      </c>
      <c r="F2657" s="1">
        <f>value(CHF!$B2657)</f>
        <v>13701.8076</v>
      </c>
      <c r="G2657" s="1">
        <f>value(SGD!$B2657)</f>
        <v>10029.555</v>
      </c>
      <c r="H2657" s="1">
        <f>value(MYR!$B2657)</f>
        <v>3194.08152</v>
      </c>
      <c r="I2657" s="1">
        <f>value(THB!$B2657)</f>
        <v>407.10996</v>
      </c>
      <c r="J2657" s="1">
        <f>value(VND!$B2657)</f>
        <v>0.6212684228</v>
      </c>
      <c r="K2657" s="1">
        <f>value(CNY!$B2657)</f>
        <v>2058.8637</v>
      </c>
      <c r="L2657" s="1">
        <f>value(HKD!$B2657)</f>
        <v>1730.56719</v>
      </c>
      <c r="M2657" s="1">
        <f>value(TWD!$B2657)</f>
        <v>467.00071</v>
      </c>
      <c r="N2657" s="1">
        <f>value(JPY!$B2657)</f>
        <v>120.084636</v>
      </c>
      <c r="O2657" s="1">
        <f>value(SAR!$B2657)</f>
        <v>3683.831064</v>
      </c>
      <c r="P2657" s="1">
        <f>value(AED!$B2657)</f>
        <v>3886.030066</v>
      </c>
      <c r="Q2657" s="1">
        <f>value(KWD!$B2657)</f>
        <v>47594.57569</v>
      </c>
    </row>
    <row r="2658">
      <c r="A2658" s="4">
        <f>value(USD!A2658)</f>
        <v>43023.99861</v>
      </c>
      <c r="B2658" s="1">
        <f>value(USD!B2658)</f>
        <v>13492</v>
      </c>
      <c r="C2658" s="1">
        <f>value(AUD!$B2658)</f>
        <v>10532.1388</v>
      </c>
      <c r="D2658" s="1">
        <f>value(EUR!$B2658)</f>
        <v>15884.01985</v>
      </c>
      <c r="E2658" s="1">
        <f>value(GBP!$B2658)</f>
        <v>17802.604</v>
      </c>
      <c r="F2658" s="1">
        <f>value(CHF!$B2658)</f>
        <v>13680.5612</v>
      </c>
      <c r="G2658" s="1">
        <f>value(SGD!$B2658)</f>
        <v>10022.6688</v>
      </c>
      <c r="H2658" s="1">
        <f>value(MYR!$B2658)</f>
        <v>3193.7267</v>
      </c>
      <c r="I2658" s="1">
        <f>value(THB!$B2658)</f>
        <v>407.68395</v>
      </c>
      <c r="J2658" s="1">
        <f>value(VND!$B2658)</f>
        <v>0.619789592</v>
      </c>
      <c r="K2658" s="1">
        <f>value(CNY!$B2658)</f>
        <v>2067.19785</v>
      </c>
      <c r="L2658" s="1">
        <f>value(HKD!$B2658)</f>
        <v>1727.25273</v>
      </c>
      <c r="M2658" s="1">
        <f>value(TWD!$B2658)</f>
        <v>467.37622</v>
      </c>
      <c r="N2658" s="1">
        <f>value(JPY!$B2658)</f>
        <v>120.2471975</v>
      </c>
      <c r="O2658" s="1">
        <f>value(SAR!$B2658)</f>
        <v>3695.211105</v>
      </c>
      <c r="P2658" s="1">
        <f>value(AED!$B2658)</f>
        <v>3897.51691</v>
      </c>
      <c r="Q2658" s="1">
        <f>value(KWD!$B2658)</f>
        <v>47473.50594</v>
      </c>
    </row>
    <row r="2659">
      <c r="A2659" s="4">
        <f>value(USD!A2659)</f>
        <v>43024.99861</v>
      </c>
      <c r="B2659" s="1">
        <f>value(USD!B2659)</f>
        <v>13476</v>
      </c>
      <c r="C2659" s="1">
        <f>value(AUD!$B2659)</f>
        <v>10489.0986</v>
      </c>
      <c r="D2659" s="1">
        <f>value(EUR!$B2659)</f>
        <v>15934.3695</v>
      </c>
      <c r="E2659" s="1">
        <f>value(GBP!$B2659)</f>
        <v>17848.7365</v>
      </c>
      <c r="F2659" s="1">
        <f>value(CHF!$B2659)</f>
        <v>13677.4604</v>
      </c>
      <c r="G2659" s="1">
        <f>value(SGD!$B2659)</f>
        <v>10036.72461</v>
      </c>
      <c r="H2659" s="1">
        <f>value(MYR!$B2659)</f>
        <v>3197.2766</v>
      </c>
      <c r="I2659" s="1">
        <f>value(THB!$B2659)</f>
        <v>407.5967</v>
      </c>
      <c r="J2659" s="1">
        <f>value(VND!$B2659)</f>
        <v>0.6133267138</v>
      </c>
      <c r="K2659" s="1">
        <f>value(CNY!$B2659)</f>
        <v>2064.95814</v>
      </c>
      <c r="L2659" s="1">
        <f>value(HKD!$B2659)</f>
        <v>1726.99667</v>
      </c>
      <c r="M2659" s="1">
        <f>value(TWD!$B2659)</f>
        <v>468.52936</v>
      </c>
      <c r="N2659" s="1">
        <f>value(JPY!$B2659)</f>
        <v>119.52297</v>
      </c>
      <c r="O2659" s="1">
        <f>value(SAR!$B2659)</f>
        <v>3703.912376</v>
      </c>
      <c r="P2659" s="1">
        <f>value(AED!$B2659)</f>
        <v>3904.82299</v>
      </c>
      <c r="Q2659" s="1">
        <f>value(KWD!$B2659)</f>
        <v>47473.50594</v>
      </c>
    </row>
    <row r="2660">
      <c r="A2660" s="4">
        <f>value(USD!A2660)</f>
        <v>43025.99861</v>
      </c>
      <c r="B2660" s="1">
        <f>value(USD!B2660)</f>
        <v>13495</v>
      </c>
      <c r="C2660" s="1">
        <f>value(AUD!$B2660)</f>
        <v>10544.4645</v>
      </c>
      <c r="D2660" s="1">
        <f>value(EUR!$B2660)</f>
        <v>15982.1426</v>
      </c>
      <c r="E2660" s="1">
        <f>value(GBP!$B2660)</f>
        <v>17738.2708</v>
      </c>
      <c r="F2660" s="1">
        <f>value(CHF!$B2660)</f>
        <v>13623.4756</v>
      </c>
      <c r="G2660" s="1">
        <f>value(SGD!$B2660)</f>
        <v>10039.40298</v>
      </c>
      <c r="H2660" s="1">
        <f>value(MYR!$B2660)</f>
        <v>3192.5434</v>
      </c>
      <c r="I2660" s="1">
        <f>value(THB!$B2660)</f>
        <v>407.2631</v>
      </c>
      <c r="J2660" s="1">
        <f>value(VND!$B2660)</f>
        <v>0.612464865</v>
      </c>
      <c r="K2660" s="1">
        <f>value(CNY!$B2660)</f>
        <v>2072.94784</v>
      </c>
      <c r="L2660" s="1">
        <f>value(HKD!$B2660)</f>
        <v>1728.68886</v>
      </c>
      <c r="M2660" s="1">
        <f>value(TWD!$B2660)</f>
        <v>468.70551</v>
      </c>
      <c r="N2660" s="1">
        <f>value(JPY!$B2660)</f>
        <v>119.69677</v>
      </c>
      <c r="O2660" s="1">
        <f>value(SAR!$B2660)</f>
        <v>3706.597551</v>
      </c>
      <c r="P2660" s="1">
        <f>value(AED!$B2660)</f>
        <v>3906.45601</v>
      </c>
      <c r="Q2660" s="1">
        <f>value(KWD!$B2660)</f>
        <v>47374.1682</v>
      </c>
    </row>
    <row r="2661">
      <c r="A2661" s="4">
        <f>value(USD!A2661)</f>
        <v>43026.99861</v>
      </c>
      <c r="B2661" s="1">
        <f>value(USD!B2661)</f>
        <v>13510</v>
      </c>
      <c r="C2661" s="1">
        <f>value(AUD!$B2661)</f>
        <v>10560.78229</v>
      </c>
      <c r="D2661" s="1">
        <f>value(EUR!$B2661)</f>
        <v>15925.9028</v>
      </c>
      <c r="E2661" s="1">
        <f>value(GBP!$B2661)</f>
        <v>17827.604</v>
      </c>
      <c r="F2661" s="1">
        <f>value(CHF!$B2661)</f>
        <v>13642.2426</v>
      </c>
      <c r="G2661" s="1">
        <f>value(SGD!$B2661)</f>
        <v>10043.70049</v>
      </c>
      <c r="H2661" s="1">
        <f>value(MYR!$B2661)</f>
        <v>3197.2098</v>
      </c>
      <c r="I2661" s="1">
        <f>value(THB!$B2661)</f>
        <v>406.96676</v>
      </c>
      <c r="J2661" s="1">
        <f>value(VND!$B2661)</f>
        <v>0.615387825</v>
      </c>
      <c r="K2661" s="1">
        <f>value(CNY!$B2661)</f>
        <v>2076.37048</v>
      </c>
      <c r="L2661" s="1">
        <f>value(HKD!$B2661)</f>
        <v>1728.55388</v>
      </c>
      <c r="M2661" s="1">
        <f>value(TWD!$B2661)</f>
        <v>469.32163</v>
      </c>
      <c r="N2661" s="1">
        <f>value(JPY!$B2661)</f>
        <v>119.07596</v>
      </c>
      <c r="O2661" s="1">
        <f>value(SAR!$B2661)</f>
        <v>3726.809093</v>
      </c>
      <c r="P2661" s="1">
        <f>value(AED!$B2661)</f>
        <v>3919.248</v>
      </c>
      <c r="Q2661" s="1">
        <f>value(KWD!$B2661)</f>
        <v>47374.86249</v>
      </c>
    </row>
    <row r="2662">
      <c r="A2662" s="4">
        <f>value(USD!A2662)</f>
        <v>43027.99861</v>
      </c>
      <c r="B2662" s="1">
        <f>value(USD!B2662)</f>
        <v>13490</v>
      </c>
      <c r="C2662" s="1">
        <f>value(AUD!$B2662)</f>
        <v>10537.452</v>
      </c>
      <c r="D2662" s="1">
        <f>value(EUR!$B2662)</f>
        <v>15921.848</v>
      </c>
      <c r="E2662" s="1">
        <f>value(GBP!$B2662)</f>
        <v>17834.362</v>
      </c>
      <c r="F2662" s="1">
        <f>value(CHF!$B2662)</f>
        <v>13640.8888</v>
      </c>
      <c r="G2662" s="1">
        <f>value(SGD!$B2662)</f>
        <v>10047.96</v>
      </c>
      <c r="H2662" s="1">
        <f>value(MYR!$B2662)</f>
        <v>3197.2098</v>
      </c>
      <c r="I2662" s="1">
        <f>value(THB!$B2662)</f>
        <v>406.8316</v>
      </c>
      <c r="J2662" s="1">
        <f>value(VND!$B2662)</f>
        <v>0.6071828836</v>
      </c>
      <c r="K2662" s="1">
        <f>value(CNY!$B2662)</f>
        <v>2078.60465</v>
      </c>
      <c r="L2662" s="1">
        <f>value(HKD!$B2662)</f>
        <v>1728.68886</v>
      </c>
      <c r="M2662" s="1">
        <f>value(TWD!$B2662)</f>
        <v>469.32163</v>
      </c>
      <c r="N2662" s="1">
        <f>value(JPY!$B2662)</f>
        <v>119.07596</v>
      </c>
      <c r="O2662" s="1">
        <f>value(SAR!$B2662)</f>
        <v>3703.446542</v>
      </c>
      <c r="P2662" s="1">
        <f>value(AED!$B2662)</f>
        <v>3913.477996</v>
      </c>
      <c r="Q2662" s="1">
        <f>value(KWD!$B2662)</f>
        <v>47591.45625</v>
      </c>
    </row>
    <row r="2663">
      <c r="A2663" s="4">
        <f>value(USD!A2663)</f>
        <v>43028.99861</v>
      </c>
      <c r="B2663" s="1">
        <f>value(USD!B2663)</f>
        <v>13516</v>
      </c>
      <c r="C2663" s="1">
        <f>value(AUD!$B2663)</f>
        <v>10516.345</v>
      </c>
      <c r="D2663" s="1">
        <f>value(EUR!$B2663)</f>
        <v>15885.3548</v>
      </c>
      <c r="E2663" s="1">
        <f>value(GBP!$B2663)</f>
        <v>17826.65788</v>
      </c>
      <c r="F2663" s="1">
        <f>value(CHF!$B2663)</f>
        <v>13600.87365</v>
      </c>
      <c r="G2663" s="1">
        <f>value(SGD!$B2663)</f>
        <v>10013.8974</v>
      </c>
      <c r="H2663" s="1">
        <f>value(MYR!$B2663)</f>
        <v>3197.2098</v>
      </c>
      <c r="I2663" s="1">
        <f>value(THB!$B2663)</f>
        <v>406.8316</v>
      </c>
      <c r="J2663" s="1">
        <f>value(VND!$B2663)</f>
        <v>0.6095541865</v>
      </c>
      <c r="K2663" s="1">
        <f>value(CNY!$B2663)</f>
        <v>2068.799482</v>
      </c>
      <c r="L2663" s="1">
        <f>value(HKD!$B2663)</f>
        <v>1731.97509</v>
      </c>
      <c r="M2663" s="1">
        <f>value(TWD!$B2663)</f>
        <v>469.32163</v>
      </c>
      <c r="N2663" s="1">
        <f>value(JPY!$B2663)</f>
        <v>118.4961236</v>
      </c>
      <c r="O2663" s="1">
        <f>value(SAR!$B2663)</f>
        <v>3715.597433</v>
      </c>
      <c r="P2663" s="1">
        <f>value(AED!$B2663)</f>
        <v>3902.67477</v>
      </c>
      <c r="Q2663" s="1">
        <f>value(KWD!$B2663)</f>
        <v>47593.50923</v>
      </c>
    </row>
    <row r="2664">
      <c r="A2664" s="4">
        <f>value(USD!A2664)</f>
        <v>43029.99861</v>
      </c>
      <c r="B2664" s="1">
        <f>value(USD!B2664)</f>
        <v>13516</v>
      </c>
      <c r="C2664" s="1">
        <f>value(AUD!$B2664)</f>
        <v>10513.686</v>
      </c>
      <c r="D2664" s="1">
        <f>value(EUR!$B2664)</f>
        <v>15910.1218</v>
      </c>
      <c r="E2664" s="1">
        <f>value(GBP!$B2664)</f>
        <v>17872.9675</v>
      </c>
      <c r="F2664" s="1">
        <f>value(CHF!$B2664)</f>
        <v>13668.5472</v>
      </c>
      <c r="G2664" s="1">
        <f>value(SGD!$B2664)</f>
        <v>10027.45678</v>
      </c>
      <c r="H2664" s="1">
        <f>value(MYR!$B2664)</f>
        <v>3191.41765</v>
      </c>
      <c r="I2664" s="1">
        <f>value(THB!$B2664)</f>
        <v>407.80955</v>
      </c>
      <c r="J2664" s="1">
        <f>value(VND!$B2664)</f>
        <v>0.6092092697</v>
      </c>
      <c r="K2664" s="1">
        <f>value(CNY!$B2664)</f>
        <v>2086.82825</v>
      </c>
      <c r="L2664" s="1">
        <f>value(HKD!$B2664)</f>
        <v>1729.89</v>
      </c>
      <c r="M2664" s="1">
        <f>value(TWD!$B2664)</f>
        <v>468.84381</v>
      </c>
      <c r="N2664" s="1">
        <f>value(JPY!$B2664)</f>
        <v>119.3787</v>
      </c>
      <c r="O2664" s="1">
        <f>value(SAR!$B2664)</f>
        <v>3705.018619</v>
      </c>
      <c r="P2664" s="1">
        <f>value(AED!$B2664)</f>
        <v>3902.10129</v>
      </c>
      <c r="Q2664" s="1">
        <f>value(KWD!$B2664)</f>
        <v>48126.456</v>
      </c>
    </row>
    <row r="2665">
      <c r="A2665" s="4">
        <f>value(USD!A2665)</f>
        <v>43030.99861</v>
      </c>
      <c r="B2665" s="1">
        <f>value(USD!B2665)</f>
        <v>13516</v>
      </c>
      <c r="C2665" s="1">
        <f>value(AUD!$B2665)</f>
        <v>10592.6427</v>
      </c>
      <c r="D2665" s="1">
        <f>value(EUR!$B2665)</f>
        <v>15903.10075</v>
      </c>
      <c r="E2665" s="1">
        <f>value(GBP!$B2665)</f>
        <v>17755.3495</v>
      </c>
      <c r="F2665" s="1">
        <f>value(CHF!$B2665)</f>
        <v>13666.1835</v>
      </c>
      <c r="G2665" s="1">
        <f>value(SGD!$B2665)</f>
        <v>10029.64138</v>
      </c>
      <c r="H2665" s="1">
        <f>value(MYR!$B2665)</f>
        <v>3192.84675</v>
      </c>
      <c r="I2665" s="1">
        <f>value(THB!$B2665)</f>
        <v>407.373</v>
      </c>
      <c r="J2665" s="1">
        <f>value(VND!$B2665)</f>
        <v>0.6056738727</v>
      </c>
      <c r="K2665" s="1">
        <f>value(CNY!$B2665)</f>
        <v>2082.81962</v>
      </c>
      <c r="L2665" s="1">
        <f>value(HKD!$B2665)</f>
        <v>1729.32224</v>
      </c>
      <c r="M2665" s="1">
        <f>value(TWD!$B2665)</f>
        <v>470.69539</v>
      </c>
      <c r="N2665" s="1">
        <f>value(JPY!$B2665)</f>
        <v>118.66835</v>
      </c>
      <c r="O2665" s="1">
        <f>value(SAR!$B2665)</f>
        <v>3693.974946</v>
      </c>
      <c r="P2665" s="1">
        <f>value(AED!$B2665)</f>
        <v>3894.79461</v>
      </c>
      <c r="Q2665" s="1">
        <f>value(KWD!$B2665)</f>
        <v>47487.93258</v>
      </c>
    </row>
    <row r="2666">
      <c r="A2666" s="4">
        <f>value(USD!A2666)</f>
        <v>43031.99861</v>
      </c>
      <c r="B2666" s="1">
        <f>value(USD!B2666)</f>
        <v>13535</v>
      </c>
      <c r="C2666" s="1">
        <f>value(AUD!$B2666)</f>
        <v>10605.5473</v>
      </c>
      <c r="D2666" s="1">
        <f>value(EUR!$B2666)</f>
        <v>16039.3896</v>
      </c>
      <c r="E2666" s="1">
        <f>value(GBP!$B2666)</f>
        <v>18013.57272</v>
      </c>
      <c r="F2666" s="1">
        <f>value(CHF!$B2666)</f>
        <v>13737.684</v>
      </c>
      <c r="G2666" s="1">
        <f>value(SGD!$B2666)</f>
        <v>10026.5094</v>
      </c>
      <c r="H2666" s="1">
        <f>value(MYR!$B2666)</f>
        <v>3203.53488</v>
      </c>
      <c r="I2666" s="1">
        <f>value(THB!$B2666)</f>
        <v>409.1958</v>
      </c>
      <c r="J2666" s="1">
        <f>value(VND!$B2666)</f>
        <v>0.6070750971</v>
      </c>
      <c r="K2666" s="1">
        <f>value(CNY!$B2666)</f>
        <v>2082.54976</v>
      </c>
      <c r="L2666" s="1">
        <f>value(HKD!$B2666)</f>
        <v>1733.78964</v>
      </c>
      <c r="M2666" s="1">
        <f>value(TWD!$B2666)</f>
        <v>469.2543</v>
      </c>
      <c r="N2666" s="1">
        <f>value(JPY!$B2666)</f>
        <v>119.487888</v>
      </c>
      <c r="O2666" s="1">
        <f>value(SAR!$B2666)</f>
        <v>3698.863805</v>
      </c>
      <c r="P2666" s="1">
        <f>value(AED!$B2666)</f>
        <v>3895.02487</v>
      </c>
      <c r="Q2666" s="1">
        <f>value(KWD!$B2666)</f>
        <v>47488.9238</v>
      </c>
    </row>
    <row r="2667">
      <c r="A2667" s="4">
        <f>value(USD!A2667)</f>
        <v>43032.99861</v>
      </c>
      <c r="B2667" s="1">
        <f>value(USD!B2667)</f>
        <v>13525</v>
      </c>
      <c r="C2667" s="1">
        <f>value(AUD!$B2667)</f>
        <v>10631.05912</v>
      </c>
      <c r="D2667" s="1">
        <f>value(EUR!$B2667)</f>
        <v>15875.67695</v>
      </c>
      <c r="E2667" s="1">
        <f>value(GBP!$B2667)</f>
        <v>17909.1661</v>
      </c>
      <c r="F2667" s="1">
        <f>value(CHF!$B2667)</f>
        <v>13700.3832</v>
      </c>
      <c r="G2667" s="1">
        <f>value(SGD!$B2667)</f>
        <v>10007.42498</v>
      </c>
      <c r="H2667" s="1">
        <f>value(MYR!$B2667)</f>
        <v>3220.29372</v>
      </c>
      <c r="I2667" s="1">
        <f>value(THB!$B2667)</f>
        <v>410.10858</v>
      </c>
      <c r="J2667" s="1">
        <f>value(VND!$B2667)</f>
        <v>0.6022706675</v>
      </c>
      <c r="K2667" s="1">
        <f>value(CNY!$B2667)</f>
        <v>2087.38706</v>
      </c>
      <c r="L2667" s="1">
        <f>value(HKD!$B2667)</f>
        <v>1731.05748</v>
      </c>
      <c r="M2667" s="1">
        <f>value(TWD!$B2667)</f>
        <v>469.55116</v>
      </c>
      <c r="N2667" s="1">
        <f>value(JPY!$B2667)</f>
        <v>119.499037</v>
      </c>
      <c r="O2667" s="1">
        <f>value(SAR!$B2667)</f>
        <v>3707.130912</v>
      </c>
      <c r="P2667" s="1">
        <f>value(AED!$B2667)</f>
        <v>3912.5875</v>
      </c>
      <c r="Q2667" s="1">
        <f>value(KWD!$B2667)</f>
        <v>47488.9238</v>
      </c>
    </row>
    <row r="2668">
      <c r="A2668" s="4">
        <f>value(USD!A2668)</f>
        <v>43033.99861</v>
      </c>
      <c r="B2668" s="1">
        <f>value(USD!B2668)</f>
        <v>13572</v>
      </c>
      <c r="C2668" s="1">
        <f>value(AUD!$B2668)</f>
        <v>10672.93362</v>
      </c>
      <c r="D2668" s="1">
        <f>value(EUR!$B2668)</f>
        <v>15773.98642</v>
      </c>
      <c r="E2668" s="1">
        <f>value(GBP!$B2668)</f>
        <v>17840.9057</v>
      </c>
      <c r="F2668" s="1">
        <f>value(CHF!$B2668)</f>
        <v>13690.112</v>
      </c>
      <c r="G2668" s="1">
        <f>value(SGD!$B2668)</f>
        <v>10007.42498</v>
      </c>
      <c r="H2668" s="1">
        <f>value(MYR!$B2668)</f>
        <v>3203.12688</v>
      </c>
      <c r="I2668" s="1">
        <f>value(THB!$B2668)</f>
        <v>408.68137</v>
      </c>
      <c r="J2668" s="1">
        <f>value(VND!$B2668)</f>
        <v>0.601814205</v>
      </c>
      <c r="K2668" s="1">
        <f>value(CNY!$B2668)</f>
        <v>2102.97087</v>
      </c>
      <c r="L2668" s="1">
        <f>value(HKD!$B2668)</f>
        <v>1731.798484</v>
      </c>
      <c r="M2668" s="1">
        <f>value(TWD!$B2668)</f>
        <v>470.5209</v>
      </c>
      <c r="N2668" s="1">
        <f>value(JPY!$B2668)</f>
        <v>119.6008</v>
      </c>
      <c r="O2668" s="1">
        <f>value(SAR!$B2668)</f>
        <v>3728.712654</v>
      </c>
      <c r="P2668" s="1">
        <f>value(AED!$B2668)</f>
        <v>3913.26026</v>
      </c>
      <c r="Q2668" s="1">
        <f>value(KWD!$B2668)</f>
        <v>47489.25441</v>
      </c>
    </row>
    <row r="2669">
      <c r="A2669" s="4">
        <f>value(USD!A2669)</f>
        <v>43034.99861</v>
      </c>
      <c r="B2669" s="1">
        <f>value(USD!B2669)</f>
        <v>13643</v>
      </c>
      <c r="C2669" s="1">
        <f>value(AUD!$B2669)</f>
        <v>10636.022</v>
      </c>
      <c r="D2669" s="1">
        <f>value(EUR!$B2669)</f>
        <v>15796.21515</v>
      </c>
      <c r="E2669" s="1">
        <f>value(GBP!$B2669)</f>
        <v>17864.03795</v>
      </c>
      <c r="F2669" s="1">
        <f>value(CHF!$B2669)</f>
        <v>13686.0416</v>
      </c>
      <c r="G2669" s="1">
        <f>value(SGD!$B2669)</f>
        <v>9981.53793</v>
      </c>
      <c r="H2669" s="1">
        <f>value(MYR!$B2669)</f>
        <v>3206.530099</v>
      </c>
      <c r="I2669" s="1">
        <f>value(THB!$B2669)</f>
        <v>409.1155808</v>
      </c>
      <c r="J2669" s="1">
        <f>value(VND!$B2669)</f>
        <v>0.6086487799</v>
      </c>
      <c r="K2669" s="1">
        <f>value(CNY!$B2669)</f>
        <v>2105.5483</v>
      </c>
      <c r="L2669" s="1">
        <f>value(HKD!$B2669)</f>
        <v>1735.8156</v>
      </c>
      <c r="M2669" s="1">
        <f>value(TWD!$B2669)</f>
        <v>470.45152</v>
      </c>
      <c r="N2669" s="1">
        <f>value(JPY!$B2669)</f>
        <v>119.727872</v>
      </c>
      <c r="O2669" s="1">
        <f>value(SAR!$B2669)</f>
        <v>3737.734195</v>
      </c>
      <c r="P2669" s="1">
        <f>value(AED!$B2669)</f>
        <v>3915.16545</v>
      </c>
      <c r="Q2669" s="1">
        <f>value(KWD!$B2669)</f>
        <v>47566.57766</v>
      </c>
    </row>
    <row r="2670">
      <c r="A2670" s="4">
        <f>value(USD!A2670)</f>
        <v>43035.99861</v>
      </c>
      <c r="B2670" s="1">
        <f>value(USD!B2670)</f>
        <v>13591</v>
      </c>
      <c r="C2670" s="1">
        <f>value(AUD!$B2670)</f>
        <v>10650.664</v>
      </c>
      <c r="D2670" s="1">
        <f>value(EUR!$B2670)</f>
        <v>15767.37932</v>
      </c>
      <c r="E2670" s="1">
        <f>value(GBP!$B2670)</f>
        <v>17844.84864</v>
      </c>
      <c r="F2670" s="1">
        <f>value(CHF!$B2670)</f>
        <v>13775.552</v>
      </c>
      <c r="G2670" s="1">
        <f>value(SGD!$B2670)</f>
        <v>10026.4472</v>
      </c>
      <c r="H2670" s="1">
        <f>value(MYR!$B2670)</f>
        <v>3204.7298</v>
      </c>
      <c r="I2670" s="1">
        <f>value(THB!$B2670)</f>
        <v>408.86292</v>
      </c>
      <c r="J2670" s="1">
        <f>value(VND!$B2670)</f>
        <v>0.6083900923</v>
      </c>
      <c r="K2670" s="1">
        <f>value(CNY!$B2670)</f>
        <v>2104.7568</v>
      </c>
      <c r="L2670" s="1">
        <f>value(HKD!$B2670)</f>
        <v>1726.15248</v>
      </c>
      <c r="M2670" s="1">
        <f>value(TWD!$B2670)</f>
        <v>469.73325</v>
      </c>
      <c r="N2670" s="1">
        <f>value(JPY!$B2670)</f>
        <v>119.43852</v>
      </c>
      <c r="O2670" s="1">
        <f>value(SAR!$B2670)</f>
        <v>3718.900092</v>
      </c>
      <c r="P2670" s="1">
        <f>value(AED!$B2670)</f>
        <v>3911.817759</v>
      </c>
      <c r="Q2670" s="1">
        <f>value(KWD!$B2670)</f>
        <v>47738.84118</v>
      </c>
    </row>
    <row r="2671">
      <c r="A2671" s="4">
        <f>value(USD!A2671)</f>
        <v>43036.99861</v>
      </c>
      <c r="B2671" s="1">
        <f>value(USD!B2671)</f>
        <v>13605.44</v>
      </c>
      <c r="C2671" s="1">
        <f>value(AUD!$B2671)</f>
        <v>10661.8655</v>
      </c>
      <c r="D2671" s="1">
        <f>value(EUR!$B2671)</f>
        <v>15816.4248</v>
      </c>
      <c r="E2671" s="1">
        <f>value(GBP!$B2671)</f>
        <v>17933.15436</v>
      </c>
      <c r="F2671" s="1">
        <f>value(CHF!$B2671)</f>
        <v>13763.6925</v>
      </c>
      <c r="G2671" s="1">
        <f>value(SGD!$B2671)</f>
        <v>10018.2543</v>
      </c>
      <c r="H2671" s="1">
        <f>value(MYR!$B2671)</f>
        <v>3203.73548</v>
      </c>
      <c r="I2671" s="1">
        <f>value(THB!$B2671)</f>
        <v>408.5774</v>
      </c>
      <c r="J2671" s="1">
        <f>value(VND!$B2671)</f>
        <v>0.6096404157</v>
      </c>
      <c r="K2671" s="1">
        <f>value(CNY!$B2671)</f>
        <v>2109.3126</v>
      </c>
      <c r="L2671" s="1">
        <f>value(HKD!$B2671)</f>
        <v>1729.25861</v>
      </c>
      <c r="M2671" s="1">
        <f>value(TWD!$B2671)</f>
        <v>469.4958</v>
      </c>
      <c r="N2671" s="1">
        <f>value(JPY!$B2671)</f>
        <v>120.1122538</v>
      </c>
      <c r="O2671" s="1">
        <f>value(SAR!$B2671)</f>
        <v>3718.247782</v>
      </c>
      <c r="P2671" s="1">
        <f>value(AED!$B2671)</f>
        <v>3914.002467</v>
      </c>
      <c r="Q2671" s="1">
        <f>value(KWD!$B2671)</f>
        <v>47820.18338</v>
      </c>
    </row>
    <row r="2672">
      <c r="A2672" s="4">
        <f>value(USD!A2672)</f>
        <v>43037.99861</v>
      </c>
      <c r="B2672" s="1">
        <f>value(USD!B2672)</f>
        <v>13588</v>
      </c>
      <c r="C2672" s="1">
        <f>value(AUD!$B2672)</f>
        <v>10683.6065</v>
      </c>
      <c r="D2672" s="1">
        <f>value(EUR!$B2672)</f>
        <v>15792.03648</v>
      </c>
      <c r="E2672" s="1">
        <f>value(GBP!$B2672)</f>
        <v>18014.48586</v>
      </c>
      <c r="F2672" s="1">
        <f>value(CHF!$B2672)</f>
        <v>13759.62875</v>
      </c>
      <c r="G2672" s="1">
        <f>value(SGD!$B2672)</f>
        <v>10047.4924</v>
      </c>
      <c r="H2672" s="1">
        <f>value(MYR!$B2672)</f>
        <v>3201.18372</v>
      </c>
      <c r="I2672" s="1">
        <f>value(THB!$B2672)</f>
        <v>407.9754</v>
      </c>
      <c r="J2672" s="1">
        <f>value(VND!$B2672)</f>
        <v>0.6110631974</v>
      </c>
      <c r="K2672" s="1">
        <f>value(CNY!$B2672)</f>
        <v>2123.47062</v>
      </c>
      <c r="L2672" s="1">
        <f>value(HKD!$B2672)</f>
        <v>1732.48734</v>
      </c>
      <c r="M2672" s="1">
        <f>value(TWD!$B2672)</f>
        <v>469.944</v>
      </c>
      <c r="N2672" s="1">
        <f>value(JPY!$B2672)</f>
        <v>119.220984</v>
      </c>
      <c r="O2672" s="1">
        <f>value(SAR!$B2672)</f>
        <v>3714.216623</v>
      </c>
      <c r="P2672" s="1">
        <f>value(AED!$B2672)</f>
        <v>3912.76179</v>
      </c>
      <c r="Q2672" s="1">
        <f>value(KWD!$B2672)</f>
        <v>47914.98202</v>
      </c>
    </row>
    <row r="2673">
      <c r="A2673" s="4">
        <f>value(USD!A2673)</f>
        <v>43038.99861</v>
      </c>
      <c r="B2673" s="1">
        <f>value(USD!B2673)</f>
        <v>13574</v>
      </c>
      <c r="C2673" s="1">
        <f>value(AUD!$B2673)</f>
        <v>10673.60096</v>
      </c>
      <c r="D2673" s="1">
        <f>value(EUR!$B2673)</f>
        <v>15759.4284</v>
      </c>
      <c r="E2673" s="1">
        <f>value(GBP!$B2673)</f>
        <v>17963.41726</v>
      </c>
      <c r="F2673" s="1">
        <f>value(CHF!$B2673)</f>
        <v>13715.2506</v>
      </c>
      <c r="G2673" s="1">
        <f>value(SGD!$B2673)</f>
        <v>10065.33594</v>
      </c>
      <c r="H2673" s="1">
        <f>value(MYR!$B2673)</f>
        <v>3200.94754</v>
      </c>
      <c r="I2673" s="1">
        <f>value(THB!$B2673)</f>
        <v>408.75848</v>
      </c>
      <c r="J2673" s="1">
        <f>value(VND!$B2673)</f>
        <v>0.6135638441</v>
      </c>
      <c r="K2673" s="1">
        <f>value(CNY!$B2673)</f>
        <v>2127.76317</v>
      </c>
      <c r="L2673" s="1">
        <f>value(HKD!$B2673)</f>
        <v>1735.86824</v>
      </c>
      <c r="M2673" s="1">
        <f>value(TWD!$B2673)</f>
        <v>471.8994</v>
      </c>
      <c r="N2673" s="1">
        <f>value(JPY!$B2673)</f>
        <v>118.697174</v>
      </c>
      <c r="O2673" s="1">
        <f>value(SAR!$B2673)</f>
        <v>3715.565637</v>
      </c>
      <c r="P2673" s="1">
        <f>value(AED!$B2673)</f>
        <v>3909.858135</v>
      </c>
      <c r="Q2673" s="1">
        <f>value(KWD!$B2673)</f>
        <v>47956.89403</v>
      </c>
    </row>
    <row r="2674">
      <c r="A2674" s="4">
        <f>value(USD!A2674)</f>
        <v>43039.99861</v>
      </c>
      <c r="B2674" s="1">
        <f>value(USD!B2674)</f>
        <v>13554</v>
      </c>
      <c r="C2674" s="1">
        <f>value(AUD!$B2674)</f>
        <v>10698.241</v>
      </c>
      <c r="D2674" s="1">
        <f>value(EUR!$B2674)</f>
        <v>15789.37741</v>
      </c>
      <c r="E2674" s="1">
        <f>value(GBP!$B2674)</f>
        <v>17676.45903</v>
      </c>
      <c r="F2674" s="1">
        <f>value(CHF!$B2674)</f>
        <v>13698.7264</v>
      </c>
      <c r="G2674" s="1">
        <f>value(SGD!$B2674)</f>
        <v>10057.82272</v>
      </c>
      <c r="H2674" s="1">
        <f>value(MYR!$B2674)</f>
        <v>3196.41886</v>
      </c>
      <c r="I2674" s="1">
        <f>value(THB!$B2674)</f>
        <v>409.13403</v>
      </c>
      <c r="J2674" s="1">
        <f>value(VND!$B2674)</f>
        <v>0.6118355327</v>
      </c>
      <c r="K2674" s="1">
        <f>value(CNY!$B2674)</f>
        <v>2124.89364</v>
      </c>
      <c r="L2674" s="1">
        <f>value(HKD!$B2674)</f>
        <v>1734.2178</v>
      </c>
      <c r="M2674" s="1">
        <f>value(TWD!$B2674)</f>
        <v>471.55664</v>
      </c>
      <c r="N2674" s="1">
        <f>value(JPY!$B2674)</f>
        <v>118.745024</v>
      </c>
      <c r="O2674" s="1">
        <f>value(SAR!$B2674)</f>
        <v>3809.097927</v>
      </c>
      <c r="P2674" s="1">
        <f>value(AED!$B2674)</f>
        <v>3912.98809</v>
      </c>
      <c r="Q2674" s="1">
        <f>value(KWD!$B2674)</f>
        <v>47876.27875</v>
      </c>
    </row>
    <row r="2675">
      <c r="A2675" s="4">
        <f>value(USD!A2675)</f>
        <v>43040.99861</v>
      </c>
      <c r="B2675" s="1">
        <f>value(USD!B2675)</f>
        <v>13553</v>
      </c>
      <c r="C2675" s="1">
        <f>value(AUD!$B2675)</f>
        <v>10676.96916</v>
      </c>
      <c r="D2675" s="1">
        <f>value(EUR!$B2675)</f>
        <v>15645.2924</v>
      </c>
      <c r="E2675" s="1">
        <f>value(GBP!$B2675)</f>
        <v>17625.1</v>
      </c>
      <c r="F2675" s="1">
        <f>value(CHF!$B2675)</f>
        <v>13697.3717</v>
      </c>
      <c r="G2675" s="1">
        <f>value(SGD!$B2675)</f>
        <v>10051.1744</v>
      </c>
      <c r="H2675" s="1">
        <f>value(MYR!$B2675)</f>
        <v>3180.3364</v>
      </c>
      <c r="I2675" s="1">
        <f>value(THB!$B2675)</f>
        <v>406.2872</v>
      </c>
      <c r="J2675" s="1">
        <f>value(VND!$B2675)</f>
        <v>0.60915645</v>
      </c>
      <c r="K2675" s="1">
        <f>value(CNY!$B2675)</f>
        <v>2128.3257</v>
      </c>
      <c r="L2675" s="1">
        <f>value(HKD!$B2675)</f>
        <v>1734.48856</v>
      </c>
      <c r="M2675" s="1">
        <f>value(TWD!$B2675)</f>
        <v>471.69388</v>
      </c>
      <c r="N2675" s="1">
        <f>value(JPY!$B2675)</f>
        <v>118.2196</v>
      </c>
      <c r="O2675" s="1">
        <f>value(SAR!$B2675)</f>
        <v>3808.228276</v>
      </c>
      <c r="P2675" s="1">
        <f>value(AED!$B2675)</f>
        <v>3930.40697</v>
      </c>
      <c r="Q2675" s="1">
        <f>value(KWD!$B2675)</f>
        <v>48150.65699</v>
      </c>
    </row>
    <row r="2676">
      <c r="A2676" s="4">
        <f>value(USD!A2676)</f>
        <v>43041.99861</v>
      </c>
      <c r="B2676" s="1">
        <f>value(USD!B2676)</f>
        <v>13543</v>
      </c>
      <c r="C2676" s="1">
        <f>value(AUD!$B2676)</f>
        <v>10779.79545</v>
      </c>
      <c r="D2676" s="1">
        <f>value(EUR!$B2676)</f>
        <v>15661.064</v>
      </c>
      <c r="E2676" s="1">
        <f>value(GBP!$B2676)</f>
        <v>17629.144</v>
      </c>
      <c r="F2676" s="1">
        <f>value(CHF!$B2676)</f>
        <v>13700.061</v>
      </c>
      <c r="G2676" s="1">
        <f>value(SGD!$B2676)</f>
        <v>10069.57</v>
      </c>
      <c r="H2676" s="1">
        <f>value(MYR!$B2676)</f>
        <v>3180.3364</v>
      </c>
      <c r="I2676" s="1">
        <f>value(THB!$B2676)</f>
        <v>406.8264</v>
      </c>
      <c r="J2676" s="1">
        <f>value(VND!$B2676)</f>
        <v>0.6168405535</v>
      </c>
      <c r="K2676" s="1">
        <f>value(CNY!$B2676)</f>
        <v>2128.3257</v>
      </c>
      <c r="L2676" s="1">
        <f>value(HKD!$B2676)</f>
        <v>1729.97656</v>
      </c>
      <c r="M2676" s="1">
        <f>value(TWD!$B2676)</f>
        <v>471.79446</v>
      </c>
      <c r="N2676" s="1">
        <f>value(JPY!$B2676)</f>
        <v>118.2196</v>
      </c>
      <c r="O2676" s="1">
        <f>value(SAR!$B2676)</f>
        <v>3756.807192</v>
      </c>
      <c r="P2676" s="1">
        <f>value(AED!$B2676)</f>
        <v>3937.75556</v>
      </c>
      <c r="Q2676" s="1">
        <f>value(KWD!$B2676)</f>
        <v>48069.0678</v>
      </c>
    </row>
    <row r="2677">
      <c r="A2677" s="4">
        <f>value(USD!A2677)</f>
        <v>43042.99861</v>
      </c>
      <c r="B2677" s="1">
        <f>value(USD!B2677)</f>
        <v>13480</v>
      </c>
      <c r="C2677" s="1">
        <f>value(AUD!$B2677)</f>
        <v>10787.0448</v>
      </c>
      <c r="D2677" s="1">
        <f>value(EUR!$B2677)</f>
        <v>15655.8068</v>
      </c>
      <c r="E2677" s="1">
        <f>value(GBP!$B2677)</f>
        <v>17630.2224</v>
      </c>
      <c r="F2677" s="1">
        <f>value(CHF!$B2677)</f>
        <v>13680.31072</v>
      </c>
      <c r="G2677" s="1">
        <f>value(SGD!$B2677)</f>
        <v>10075.365</v>
      </c>
      <c r="H2677" s="1">
        <f>value(MYR!$B2677)</f>
        <v>3180.3364</v>
      </c>
      <c r="I2677" s="1">
        <f>value(THB!$B2677)</f>
        <v>406.2872</v>
      </c>
      <c r="J2677" s="1">
        <f>value(VND!$B2677)</f>
        <v>0.6125722083</v>
      </c>
      <c r="K2677" s="1">
        <f>value(CNY!$B2677)</f>
        <v>2125.77761</v>
      </c>
      <c r="L2677" s="1">
        <f>value(HKD!$B2677)</f>
        <v>1735.87568</v>
      </c>
      <c r="M2677" s="1">
        <f>value(TWD!$B2677)</f>
        <v>471.11004</v>
      </c>
      <c r="N2677" s="1">
        <f>value(JPY!$B2677)</f>
        <v>118.03088</v>
      </c>
      <c r="O2677" s="1">
        <f>value(SAR!$B2677)</f>
        <v>3756.406112</v>
      </c>
      <c r="P2677" s="1">
        <f>value(AED!$B2677)</f>
        <v>3943.459575</v>
      </c>
      <c r="Q2677" s="1">
        <f>value(KWD!$B2677)</f>
        <v>47889.42015</v>
      </c>
    </row>
    <row r="2678">
      <c r="A2678" s="4">
        <f>value(USD!A2678)</f>
        <v>43043.99861</v>
      </c>
      <c r="B2678" s="1">
        <f>value(USD!B2678)</f>
        <v>13480</v>
      </c>
      <c r="C2678" s="1">
        <f>value(AUD!$B2678)</f>
        <v>10820.85384</v>
      </c>
      <c r="D2678" s="1">
        <f>value(EUR!$B2678)</f>
        <v>15656.4596</v>
      </c>
      <c r="E2678" s="1">
        <f>value(GBP!$B2678)</f>
        <v>17757.111</v>
      </c>
      <c r="F2678" s="1">
        <f>value(CHF!$B2678)</f>
        <v>13667.192</v>
      </c>
      <c r="G2678" s="1">
        <f>value(SGD!$B2678)</f>
        <v>10098.17627</v>
      </c>
      <c r="H2678" s="1">
        <f>value(MYR!$B2678)</f>
        <v>3185.89807</v>
      </c>
      <c r="I2678" s="1">
        <f>value(THB!$B2678)</f>
        <v>407.1866</v>
      </c>
      <c r="J2678" s="1">
        <f>value(VND!$B2678)</f>
        <v>0.6092480728</v>
      </c>
      <c r="K2678" s="1">
        <f>value(CNY!$B2678)</f>
        <v>2155.45524</v>
      </c>
      <c r="L2678" s="1">
        <f>value(HKD!$B2678)</f>
        <v>1735.74759</v>
      </c>
      <c r="M2678" s="1">
        <f>value(TWD!$B2678)</f>
        <v>470.9038</v>
      </c>
      <c r="N2678" s="1">
        <f>value(JPY!$B2678)</f>
        <v>118.4939972</v>
      </c>
      <c r="O2678" s="1">
        <f>value(SAR!$B2678)</f>
        <v>3717.33324</v>
      </c>
      <c r="P2678" s="1">
        <f>value(AED!$B2678)</f>
        <v>3945.749192</v>
      </c>
      <c r="Q2678" s="1">
        <f>value(KWD!$B2678)</f>
        <v>48013.34615</v>
      </c>
    </row>
    <row r="2679">
      <c r="A2679" s="4">
        <f>value(USD!A2679)</f>
        <v>43044.99861</v>
      </c>
      <c r="B2679" s="1">
        <f>value(USD!B2679)</f>
        <v>13480</v>
      </c>
      <c r="C2679" s="1">
        <f>value(AUD!$B2679)</f>
        <v>10866.9837</v>
      </c>
      <c r="D2679" s="1">
        <f>value(EUR!$B2679)</f>
        <v>15677.05084</v>
      </c>
      <c r="E2679" s="1">
        <f>value(GBP!$B2679)</f>
        <v>17800.10024</v>
      </c>
      <c r="F2679" s="1">
        <f>value(CHF!$B2679)</f>
        <v>13750.5236</v>
      </c>
      <c r="G2679" s="1">
        <f>value(SGD!$B2679)</f>
        <v>10082.53328</v>
      </c>
      <c r="H2679" s="1">
        <f>value(MYR!$B2679)</f>
        <v>3193.62848</v>
      </c>
      <c r="I2679" s="1">
        <f>value(THB!$B2679)</f>
        <v>407.71738</v>
      </c>
      <c r="J2679" s="1">
        <f>value(VND!$B2679)</f>
        <v>0.611753031</v>
      </c>
      <c r="K2679" s="1">
        <f>value(CNY!$B2679)</f>
        <v>2155.39216</v>
      </c>
      <c r="L2679" s="1">
        <f>value(HKD!$B2679)</f>
        <v>1734.7448</v>
      </c>
      <c r="M2679" s="1">
        <f>value(TWD!$B2679)</f>
        <v>470.93696</v>
      </c>
      <c r="N2679" s="1">
        <f>value(JPY!$B2679)</f>
        <v>118.7799516</v>
      </c>
      <c r="O2679" s="1">
        <f>value(SAR!$B2679)</f>
        <v>3718.13324</v>
      </c>
      <c r="P2679" s="1">
        <f>value(AED!$B2679)</f>
        <v>3939.98479</v>
      </c>
      <c r="Q2679" s="1">
        <f>value(KWD!$B2679)</f>
        <v>47557.3138</v>
      </c>
    </row>
    <row r="2680">
      <c r="A2680" s="4">
        <f>value(USD!A2680)</f>
        <v>43045.99861</v>
      </c>
      <c r="B2680" s="1">
        <f>value(USD!B2680)</f>
        <v>13483</v>
      </c>
      <c r="C2680" s="1">
        <f>value(AUD!$B2680)</f>
        <v>10782.6831</v>
      </c>
      <c r="D2680" s="1">
        <f>value(EUR!$B2680)</f>
        <v>15653.89287</v>
      </c>
      <c r="E2680" s="1">
        <f>value(GBP!$B2680)</f>
        <v>17705.26863</v>
      </c>
      <c r="F2680" s="1">
        <f>value(CHF!$B2680)</f>
        <v>13848.1412</v>
      </c>
      <c r="G2680" s="1">
        <f>value(SGD!$B2680)</f>
        <v>10075.85219</v>
      </c>
      <c r="H2680" s="1">
        <f>value(MYR!$B2680)</f>
        <v>3191.97417</v>
      </c>
      <c r="I2680" s="1">
        <f>value(THB!$B2680)</f>
        <v>407.52054</v>
      </c>
      <c r="J2680" s="1">
        <f>value(VND!$B2680)</f>
        <v>0.6064283781</v>
      </c>
      <c r="K2680" s="1">
        <f>value(CNY!$B2680)</f>
        <v>2176.28514</v>
      </c>
      <c r="L2680" s="1">
        <f>value(HKD!$B2680)</f>
        <v>1735.5897</v>
      </c>
      <c r="M2680" s="1">
        <f>value(TWD!$B2680)</f>
        <v>471.72448</v>
      </c>
      <c r="N2680" s="1">
        <f>value(JPY!$B2680)</f>
        <v>118.475322</v>
      </c>
      <c r="O2680" s="1">
        <f>value(SAR!$B2680)</f>
        <v>3718.232375</v>
      </c>
      <c r="P2680" s="1">
        <f>value(AED!$B2680)</f>
        <v>3965.710525</v>
      </c>
      <c r="Q2680" s="1">
        <f>value(KWD!$B2680)</f>
        <v>47679.0673</v>
      </c>
    </row>
    <row r="2681">
      <c r="A2681" s="4">
        <f>value(USD!A2681)</f>
        <v>43046.99861</v>
      </c>
      <c r="B2681" s="1">
        <f>value(USD!B2681)</f>
        <v>13514</v>
      </c>
      <c r="C2681" s="1">
        <f>value(AUD!$B2681)</f>
        <v>10758.19434</v>
      </c>
      <c r="D2681" s="1">
        <f>value(EUR!$B2681)</f>
        <v>15753.95001</v>
      </c>
      <c r="E2681" s="1">
        <f>value(GBP!$B2681)</f>
        <v>17778.80664</v>
      </c>
      <c r="F2681" s="1">
        <f>value(CHF!$B2681)</f>
        <v>13859.1</v>
      </c>
      <c r="G2681" s="1">
        <f>value(SGD!$B2681)</f>
        <v>10075.85219</v>
      </c>
      <c r="H2681" s="1">
        <f>value(MYR!$B2681)</f>
        <v>3213.87993</v>
      </c>
      <c r="I2681" s="1">
        <f>value(THB!$B2681)</f>
        <v>408.65067</v>
      </c>
      <c r="J2681" s="1">
        <f>value(VND!$B2681)</f>
        <v>0.6187285444</v>
      </c>
      <c r="K2681" s="1">
        <f>value(CNY!$B2681)</f>
        <v>2148.89194</v>
      </c>
      <c r="L2681" s="1">
        <f>value(HKD!$B2681)</f>
        <v>1736.83968</v>
      </c>
      <c r="M2681" s="1">
        <f>value(TWD!$B2681)</f>
        <v>471.72448</v>
      </c>
      <c r="N2681" s="1">
        <f>value(JPY!$B2681)</f>
        <v>119.30814</v>
      </c>
      <c r="O2681" s="1">
        <f>value(SAR!$B2681)</f>
        <v>3727.542094</v>
      </c>
      <c r="P2681" s="1">
        <f>value(AED!$B2681)</f>
        <v>3958.249961</v>
      </c>
      <c r="Q2681" s="1">
        <f>value(KWD!$B2681)</f>
        <v>47627.3795</v>
      </c>
    </row>
    <row r="2682">
      <c r="A2682" s="4">
        <f>value(USD!A2682)</f>
        <v>43047.99861</v>
      </c>
      <c r="B2682" s="1">
        <f>value(USD!B2682)</f>
        <v>13503</v>
      </c>
      <c r="C2682" s="1">
        <f>value(AUD!$B2682)</f>
        <v>10630.8997</v>
      </c>
      <c r="D2682" s="1">
        <f>value(EUR!$B2682)</f>
        <v>15793.76376</v>
      </c>
      <c r="E2682" s="1">
        <f>value(GBP!$B2682)</f>
        <v>17859.1896</v>
      </c>
      <c r="F2682" s="1">
        <f>value(CHF!$B2682)</f>
        <v>13835.4882</v>
      </c>
      <c r="G2682" s="1">
        <f>value(SGD!$B2682)</f>
        <v>10081.944</v>
      </c>
      <c r="H2682" s="1">
        <f>value(MYR!$B2682)</f>
        <v>3229.22532</v>
      </c>
      <c r="I2682" s="1">
        <f>value(THB!$B2682)</f>
        <v>408.56214</v>
      </c>
      <c r="J2682" s="1">
        <f>value(VND!$B2682)</f>
        <v>0.61092279</v>
      </c>
      <c r="K2682" s="1">
        <f>value(CNY!$B2682)</f>
        <v>2164.0343</v>
      </c>
      <c r="L2682" s="1">
        <f>value(HKD!$B2682)</f>
        <v>1736.83968</v>
      </c>
      <c r="M2682" s="1">
        <f>value(TWD!$B2682)</f>
        <v>471.21088</v>
      </c>
      <c r="N2682" s="1">
        <f>value(JPY!$B2682)</f>
        <v>119.30502</v>
      </c>
      <c r="O2682" s="1">
        <f>value(SAR!$B2682)</f>
        <v>3746.128272</v>
      </c>
      <c r="P2682" s="1">
        <f>value(AED!$B2682)</f>
        <v>3936.93905</v>
      </c>
      <c r="Q2682" s="1">
        <f>value(KWD!$B2682)</f>
        <v>47655.76329</v>
      </c>
    </row>
    <row r="2683">
      <c r="A2683" s="4">
        <f>value(USD!A2683)</f>
        <v>43048.99861</v>
      </c>
      <c r="B2683" s="1">
        <f>value(USD!B2683)</f>
        <v>13527</v>
      </c>
      <c r="C2683" s="1">
        <f>value(AUD!$B2683)</f>
        <v>10630.8997</v>
      </c>
      <c r="D2683" s="1">
        <f>value(EUR!$B2683)</f>
        <v>15808.71986</v>
      </c>
      <c r="E2683" s="1">
        <f>value(GBP!$B2683)</f>
        <v>17869.91144</v>
      </c>
      <c r="F2683" s="1">
        <f>value(CHF!$B2683)</f>
        <v>13894.092</v>
      </c>
      <c r="G2683" s="1">
        <f>value(SGD!$B2683)</f>
        <v>10067.808</v>
      </c>
      <c r="H2683" s="1">
        <f>value(MYR!$B2683)</f>
        <v>3231.163999</v>
      </c>
      <c r="I2683" s="1">
        <f>value(THB!$B2683)</f>
        <v>401.7613545</v>
      </c>
      <c r="J2683" s="1">
        <f>value(VND!$B2683)</f>
        <v>0.6063205916</v>
      </c>
      <c r="K2683" s="1">
        <f>value(CNY!$B2683)</f>
        <v>2164.17036</v>
      </c>
      <c r="L2683" s="1">
        <f>value(HKD!$B2683)</f>
        <v>1737.561</v>
      </c>
      <c r="M2683" s="1">
        <f>value(TWD!$B2683)</f>
        <v>471.35048</v>
      </c>
      <c r="N2683" s="1">
        <f>value(JPY!$B2683)</f>
        <v>119.3766453</v>
      </c>
      <c r="O2683" s="1">
        <f>value(SAR!$B2683)</f>
        <v>3777.350516</v>
      </c>
      <c r="P2683" s="1">
        <f>value(AED!$B2683)</f>
        <v>3953.26925</v>
      </c>
      <c r="Q2683" s="1">
        <f>value(KWD!$B2683)</f>
        <v>47945.05727</v>
      </c>
    </row>
    <row r="2684">
      <c r="A2684" s="4">
        <f>value(USD!A2684)</f>
        <v>43049.99861</v>
      </c>
      <c r="B2684" s="1">
        <f>value(USD!B2684)</f>
        <v>13542</v>
      </c>
      <c r="C2684" s="1">
        <f>value(AUD!$B2684)</f>
        <v>10600.72495</v>
      </c>
      <c r="D2684" s="1">
        <f>value(EUR!$B2684)</f>
        <v>15755.39736</v>
      </c>
      <c r="E2684" s="1">
        <f>value(GBP!$B2684)</f>
        <v>17726.25768</v>
      </c>
      <c r="F2684" s="1">
        <f>value(CHF!$B2684)</f>
        <v>13898.235</v>
      </c>
      <c r="G2684" s="1">
        <f>value(SGD!$B2684)</f>
        <v>10086.21152</v>
      </c>
      <c r="H2684" s="1">
        <f>value(MYR!$B2684)</f>
        <v>3223.2876</v>
      </c>
      <c r="I2684" s="1">
        <f>value(THB!$B2684)</f>
        <v>407.79216</v>
      </c>
      <c r="J2684" s="1">
        <f>value(VND!$B2684)</f>
        <v>0.6067948522</v>
      </c>
      <c r="K2684" s="1">
        <f>value(CNY!$B2684)</f>
        <v>2164.3983</v>
      </c>
      <c r="L2684" s="1">
        <f>value(HKD!$B2684)</f>
        <v>1736.10675</v>
      </c>
      <c r="M2684" s="1">
        <f>value(TWD!$B2684)</f>
        <v>470.4576</v>
      </c>
      <c r="N2684" s="1">
        <f>value(JPY!$B2684)</f>
        <v>118.824528</v>
      </c>
      <c r="O2684" s="1">
        <f>value(SAR!$B2684)</f>
        <v>3778.095094</v>
      </c>
      <c r="P2684" s="1">
        <f>value(AED!$B2684)</f>
        <v>3912.800982</v>
      </c>
      <c r="Q2684" s="1">
        <f>value(KWD!$B2684)</f>
        <v>48038.24151</v>
      </c>
    </row>
    <row r="2685">
      <c r="A2685" s="4">
        <f>value(USD!A2685)</f>
        <v>43050.99861</v>
      </c>
      <c r="B2685" s="1">
        <f>value(USD!B2685)</f>
        <v>13550.13</v>
      </c>
      <c r="C2685" s="1">
        <f>value(AUD!$B2685)</f>
        <v>10680.70052</v>
      </c>
      <c r="D2685" s="1">
        <f>value(EUR!$B2685)</f>
        <v>15808.89685</v>
      </c>
      <c r="E2685" s="1">
        <f>value(GBP!$B2685)</f>
        <v>17781.536</v>
      </c>
      <c r="F2685" s="1">
        <f>value(CHF!$B2685)</f>
        <v>13890.48808</v>
      </c>
      <c r="G2685" s="1">
        <f>value(SGD!$B2685)</f>
        <v>10111.82756</v>
      </c>
      <c r="H2685" s="1">
        <f>value(MYR!$B2685)</f>
        <v>3231.57732</v>
      </c>
      <c r="I2685" s="1">
        <f>value(THB!$B2685)</f>
        <v>409.70719</v>
      </c>
      <c r="J2685" s="1">
        <f>value(VND!$B2685)</f>
        <v>0.6050271537</v>
      </c>
      <c r="K2685" s="1">
        <f>value(CNY!$B2685)</f>
        <v>2156.13972</v>
      </c>
      <c r="L2685" s="1">
        <f>value(HKD!$B2685)</f>
        <v>1735.17232</v>
      </c>
      <c r="M2685" s="1">
        <f>value(TWD!$B2685)</f>
        <v>471.69324</v>
      </c>
      <c r="N2685" s="1">
        <f>value(JPY!$B2685)</f>
        <v>119.279953</v>
      </c>
      <c r="O2685" s="1">
        <f>value(SAR!$B2685)</f>
        <v>3773.091228</v>
      </c>
      <c r="P2685" s="1">
        <f>value(AED!$B2685)</f>
        <v>3923.10653</v>
      </c>
      <c r="Q2685" s="1">
        <f>value(KWD!$B2685)</f>
        <v>47862.42942</v>
      </c>
    </row>
    <row r="2686">
      <c r="A2686" s="4">
        <f>value(USD!A2686)</f>
        <v>43051.99861</v>
      </c>
      <c r="B2686" s="1">
        <f>value(USD!B2686)</f>
        <v>13512</v>
      </c>
      <c r="C2686" s="1">
        <f>value(AUD!$B2686)</f>
        <v>10691.09184</v>
      </c>
      <c r="D2686" s="1">
        <f>value(EUR!$B2686)</f>
        <v>15971.4513</v>
      </c>
      <c r="E2686" s="1">
        <f>value(GBP!$B2686)</f>
        <v>17818.9893</v>
      </c>
      <c r="F2686" s="1">
        <f>value(CHF!$B2686)</f>
        <v>13780.4576</v>
      </c>
      <c r="G2686" s="1">
        <f>value(SGD!$B2686)</f>
        <v>10127.01252</v>
      </c>
      <c r="H2686" s="1">
        <f>value(MYR!$B2686)</f>
        <v>3229.80525</v>
      </c>
      <c r="I2686" s="1">
        <f>value(THB!$B2686)</f>
        <v>409.6008</v>
      </c>
      <c r="J2686" s="1">
        <f>value(VND!$B2686)</f>
        <v>0.6019049222</v>
      </c>
      <c r="K2686" s="1">
        <f>value(CNY!$B2686)</f>
        <v>2151.028</v>
      </c>
      <c r="L2686" s="1">
        <f>value(HKD!$B2686)</f>
        <v>1734.44418</v>
      </c>
      <c r="M2686" s="1">
        <f>value(TWD!$B2686)</f>
        <v>472.27781</v>
      </c>
      <c r="N2686" s="1">
        <f>value(JPY!$B2686)</f>
        <v>119.420847</v>
      </c>
      <c r="O2686" s="1">
        <f>value(SAR!$B2686)</f>
        <v>3769.267557</v>
      </c>
      <c r="P2686" s="1">
        <f>value(AED!$B2686)</f>
        <v>3920.06451</v>
      </c>
      <c r="Q2686" s="1">
        <f>value(KWD!$B2686)</f>
        <v>47903.4347</v>
      </c>
    </row>
    <row r="2687">
      <c r="A2687" s="4">
        <f>value(USD!A2687)</f>
        <v>43052.99861</v>
      </c>
      <c r="B2687" s="1">
        <f>value(USD!B2687)</f>
        <v>13553</v>
      </c>
      <c r="C2687" s="1">
        <f>value(AUD!$B2687)</f>
        <v>10661.12355</v>
      </c>
      <c r="D2687" s="1">
        <f>value(EUR!$B2687)</f>
        <v>15947.34305</v>
      </c>
      <c r="E2687" s="1">
        <f>value(GBP!$B2687)</f>
        <v>17830.1969</v>
      </c>
      <c r="F2687" s="1">
        <f>value(CHF!$B2687)</f>
        <v>13763.79</v>
      </c>
      <c r="G2687" s="1">
        <f>value(SGD!$B2687)</f>
        <v>10089.63</v>
      </c>
      <c r="H2687" s="1">
        <f>value(MYR!$B2687)</f>
        <v>3237.97805</v>
      </c>
      <c r="I2687" s="1">
        <f>value(THB!$B2687)</f>
        <v>409.8398</v>
      </c>
      <c r="J2687" s="1">
        <f>value(VND!$B2687)</f>
        <v>0.6003533987</v>
      </c>
      <c r="K2687" s="1">
        <f>value(CNY!$B2687)</f>
        <v>2146.55476</v>
      </c>
      <c r="L2687" s="1">
        <f>value(HKD!$B2687)</f>
        <v>1732.6613</v>
      </c>
      <c r="M2687" s="1">
        <f>value(TWD!$B2687)</f>
        <v>473.61728</v>
      </c>
      <c r="N2687" s="1">
        <f>value(JPY!$B2687)</f>
        <v>119.97424</v>
      </c>
      <c r="O2687" s="1">
        <f>value(SAR!$B2687)</f>
        <v>3776.900604</v>
      </c>
      <c r="P2687" s="1">
        <f>value(AED!$B2687)</f>
        <v>3921.751964</v>
      </c>
      <c r="Q2687" s="1">
        <f>value(KWD!$B2687)</f>
        <v>48126.33932</v>
      </c>
    </row>
    <row r="2688">
      <c r="A2688" s="4">
        <f>value(USD!A2688)</f>
        <v>43053.99861</v>
      </c>
      <c r="B2688" s="1">
        <f>value(USD!B2688)</f>
        <v>13545</v>
      </c>
      <c r="C2688" s="1">
        <f>value(AUD!$B2688)</f>
        <v>10588.0827</v>
      </c>
      <c r="D2688" s="1">
        <f>value(EUR!$B2688)</f>
        <v>15912.735</v>
      </c>
      <c r="E2688" s="1">
        <f>value(GBP!$B2688)</f>
        <v>17837.26374</v>
      </c>
      <c r="F2688" s="1">
        <f>value(CHF!$B2688)</f>
        <v>13739.5695</v>
      </c>
      <c r="G2688" s="1">
        <f>value(SGD!$B2688)</f>
        <v>10072.44026</v>
      </c>
      <c r="H2688" s="1">
        <f>value(MYR!$B2688)</f>
        <v>3237.54898</v>
      </c>
      <c r="I2688" s="1">
        <f>value(THB!$B2688)</f>
        <v>410.42018</v>
      </c>
      <c r="J2688" s="1">
        <f>value(VND!$B2688)</f>
        <v>0.60019367</v>
      </c>
      <c r="K2688" s="1">
        <f>value(CNY!$B2688)</f>
        <v>2134.57552</v>
      </c>
      <c r="L2688" s="1">
        <f>value(HKD!$B2688)</f>
        <v>1733.33865</v>
      </c>
      <c r="M2688" s="1">
        <f>value(TWD!$B2688)</f>
        <v>474.03104</v>
      </c>
      <c r="N2688" s="1">
        <f>value(JPY!$B2688)</f>
        <v>119.5502496</v>
      </c>
      <c r="O2688" s="1">
        <f>value(SAR!$B2688)</f>
        <v>3796.353073</v>
      </c>
      <c r="P2688" s="1">
        <f>value(AED!$B2688)</f>
        <v>3943.47113</v>
      </c>
      <c r="Q2688" s="1">
        <f>value(KWD!$B2688)</f>
        <v>47687.0641</v>
      </c>
    </row>
    <row r="2689">
      <c r="A2689" s="4">
        <f>value(USD!A2689)</f>
        <v>43054.99861</v>
      </c>
      <c r="B2689" s="1">
        <f>value(USD!B2689)</f>
        <v>13535</v>
      </c>
      <c r="C2689" s="1">
        <f>value(AUD!$B2689)</f>
        <v>10629.0072</v>
      </c>
      <c r="D2689" s="1">
        <f>value(EUR!$B2689)</f>
        <v>15925.12152</v>
      </c>
      <c r="E2689" s="1">
        <f>value(GBP!$B2689)</f>
        <v>17845.4188</v>
      </c>
      <c r="F2689" s="1">
        <f>value(CHF!$B2689)</f>
        <v>13768.31434</v>
      </c>
      <c r="G2689" s="1">
        <f>value(SGD!$B2689)</f>
        <v>10118.85324</v>
      </c>
      <c r="H2689" s="1">
        <f>value(MYR!$B2689)</f>
        <v>3248.674</v>
      </c>
      <c r="I2689" s="1">
        <f>value(THB!$B2689)</f>
        <v>410.77828</v>
      </c>
      <c r="J2689" s="1">
        <f>value(VND!$B2689)</f>
        <v>0.60010306</v>
      </c>
      <c r="K2689" s="1">
        <f>value(CNY!$B2689)</f>
        <v>2134.98208</v>
      </c>
      <c r="L2689" s="1">
        <f>value(HKD!$B2689)</f>
        <v>1733.44392</v>
      </c>
      <c r="M2689" s="1">
        <f>value(TWD!$B2689)</f>
        <v>474.72064</v>
      </c>
      <c r="N2689" s="1">
        <f>value(JPY!$B2689)</f>
        <v>120.49136</v>
      </c>
      <c r="O2689" s="1">
        <f>value(SAR!$B2689)</f>
        <v>3790.721221</v>
      </c>
      <c r="P2689" s="1">
        <f>value(AED!$B2689)</f>
        <v>3952.18057</v>
      </c>
      <c r="Q2689" s="1">
        <f>value(KWD!$B2689)</f>
        <v>47598.26181</v>
      </c>
    </row>
    <row r="2690">
      <c r="A2690" s="4">
        <f>value(USD!A2690)</f>
        <v>43055.99861</v>
      </c>
      <c r="B2690" s="1">
        <f>value(USD!B2690)</f>
        <v>13514</v>
      </c>
      <c r="C2690" s="1">
        <f>value(AUD!$B2690)</f>
        <v>10619.483</v>
      </c>
      <c r="D2690" s="1">
        <f>value(EUR!$B2690)</f>
        <v>15937.23909</v>
      </c>
      <c r="E2690" s="1">
        <f>value(GBP!$B2690)</f>
        <v>17852.69806</v>
      </c>
      <c r="F2690" s="1">
        <f>value(CHF!$B2690)</f>
        <v>13735.821</v>
      </c>
      <c r="G2690" s="1">
        <f>value(SGD!$B2690)</f>
        <v>10127.812</v>
      </c>
      <c r="H2690" s="1">
        <f>value(MYR!$B2690)</f>
        <v>3249.999155</v>
      </c>
      <c r="I2690" s="1">
        <f>value(THB!$B2690)</f>
        <v>410.9458391</v>
      </c>
      <c r="J2690" s="1">
        <f>value(VND!$B2690)</f>
        <v>0.6015385903</v>
      </c>
      <c r="K2690" s="1">
        <f>value(CNY!$B2690)</f>
        <v>2134.98208</v>
      </c>
      <c r="L2690" s="1">
        <f>value(HKD!$B2690)</f>
        <v>1730.20152</v>
      </c>
      <c r="M2690" s="1">
        <f>value(TWD!$B2690)</f>
        <v>471.69388</v>
      </c>
      <c r="N2690" s="1">
        <f>value(JPY!$B2690)</f>
        <v>120.5405092</v>
      </c>
      <c r="O2690" s="1">
        <f>value(SAR!$B2690)</f>
        <v>3783.343469</v>
      </c>
      <c r="P2690" s="1">
        <f>value(AED!$B2690)</f>
        <v>3939.858656</v>
      </c>
      <c r="Q2690" s="1">
        <f>value(KWD!$B2690)</f>
        <v>47852.3916</v>
      </c>
    </row>
    <row r="2691">
      <c r="A2691" s="4">
        <f>value(USD!A2691)</f>
        <v>43056.99861</v>
      </c>
      <c r="B2691" s="1">
        <f>value(USD!B2691)</f>
        <v>13508</v>
      </c>
      <c r="C2691" s="1">
        <f>value(AUD!$B2691)</f>
        <v>10642.2034</v>
      </c>
      <c r="D2691" s="1">
        <f>value(EUR!$B2691)</f>
        <v>15846.50496</v>
      </c>
      <c r="E2691" s="1">
        <f>value(GBP!$B2691)</f>
        <v>17832.72128</v>
      </c>
      <c r="F2691" s="1">
        <f>value(CHF!$B2691)</f>
        <v>13648.909</v>
      </c>
      <c r="G2691" s="1">
        <f>value(SGD!$B2691)</f>
        <v>10153.0408</v>
      </c>
      <c r="H2691" s="1">
        <f>value(MYR!$B2691)</f>
        <v>3248.674</v>
      </c>
      <c r="I2691" s="1">
        <f>value(THB!$B2691)</f>
        <v>411.18352</v>
      </c>
      <c r="J2691" s="1">
        <f>value(VND!$B2691)</f>
        <v>0.6012369051</v>
      </c>
      <c r="K2691" s="1">
        <f>value(CNY!$B2691)</f>
        <v>2137.1504</v>
      </c>
      <c r="L2691" s="1">
        <f>value(HKD!$B2691)</f>
        <v>1734.92704</v>
      </c>
      <c r="M2691" s="1">
        <f>value(TWD!$B2691)</f>
        <v>471.3163</v>
      </c>
      <c r="N2691" s="1">
        <f>value(JPY!$B2691)</f>
        <v>120.531884</v>
      </c>
      <c r="O2691" s="1">
        <f>value(SAR!$B2691)</f>
        <v>3770.522418</v>
      </c>
      <c r="P2691" s="1">
        <f>value(AED!$B2691)</f>
        <v>3943.52378</v>
      </c>
      <c r="Q2691" s="1">
        <f>value(KWD!$B2691)</f>
        <v>47892.81861</v>
      </c>
    </row>
    <row r="2692">
      <c r="A2692" s="4">
        <f>value(USD!A2692)</f>
        <v>43057.99861</v>
      </c>
      <c r="B2692" s="1">
        <f>value(USD!B2692)</f>
        <v>13513.51</v>
      </c>
      <c r="C2692" s="1">
        <f>value(AUD!$B2692)</f>
        <v>10721.35155</v>
      </c>
      <c r="D2692" s="1">
        <f>value(EUR!$B2692)</f>
        <v>15874.2925</v>
      </c>
      <c r="E2692" s="1">
        <f>value(GBP!$B2692)</f>
        <v>17908.723</v>
      </c>
      <c r="F2692" s="1">
        <f>value(CHF!$B2692)</f>
        <v>13745.84188</v>
      </c>
      <c r="G2692" s="1">
        <f>value(SGD!$B2692)</f>
        <v>10118.64308</v>
      </c>
      <c r="H2692" s="1">
        <f>value(MYR!$B2692)</f>
        <v>3264.52925</v>
      </c>
      <c r="I2692" s="1">
        <f>value(THB!$B2692)</f>
        <v>411.83625</v>
      </c>
      <c r="J2692" s="1">
        <f>value(VND!$B2692)</f>
        <v>0.5997069306</v>
      </c>
      <c r="K2692" s="1">
        <f>value(CNY!$B2692)</f>
        <v>2134.755</v>
      </c>
      <c r="L2692" s="1">
        <f>value(HKD!$B2692)</f>
        <v>1735.55958</v>
      </c>
      <c r="M2692" s="1">
        <f>value(TWD!$B2692)</f>
        <v>470.69673</v>
      </c>
      <c r="N2692" s="1">
        <f>value(JPY!$B2692)</f>
        <v>120.102</v>
      </c>
      <c r="O2692" s="1">
        <f>value(SAR!$B2692)</f>
        <v>3762.56625</v>
      </c>
      <c r="P2692" s="1">
        <f>value(AED!$B2692)</f>
        <v>3958.249961</v>
      </c>
      <c r="Q2692" s="1">
        <f>value(KWD!$B2692)</f>
        <v>47876.27875</v>
      </c>
    </row>
    <row r="2693">
      <c r="A2693" s="4">
        <f>value(USD!A2693)</f>
        <v>43058.99861</v>
      </c>
      <c r="B2693" s="1">
        <f>value(USD!B2693)</f>
        <v>13508</v>
      </c>
      <c r="C2693" s="1">
        <f>value(AUD!$B2693)</f>
        <v>10721.8584</v>
      </c>
      <c r="D2693" s="1">
        <f>value(EUR!$B2693)</f>
        <v>15866.30397</v>
      </c>
      <c r="E2693" s="1">
        <f>value(GBP!$B2693)</f>
        <v>17904.83398</v>
      </c>
      <c r="F2693" s="1">
        <f>value(CHF!$B2693)</f>
        <v>13726.4857</v>
      </c>
      <c r="G2693" s="1">
        <f>value(SGD!$B2693)</f>
        <v>10103.23895</v>
      </c>
      <c r="H2693" s="1">
        <f>value(MYR!$B2693)</f>
        <v>3264.43293</v>
      </c>
      <c r="I2693" s="1">
        <f>value(THB!$B2693)</f>
        <v>412.59988</v>
      </c>
      <c r="J2693" s="1">
        <f>value(VND!$B2693)</f>
        <v>0.6019049222</v>
      </c>
      <c r="K2693" s="1">
        <f>value(CNY!$B2693)</f>
        <v>2144.34864</v>
      </c>
      <c r="L2693" s="1">
        <f>value(HKD!$B2693)</f>
        <v>1734.33936</v>
      </c>
      <c r="M2693" s="1">
        <f>value(TWD!$B2693)</f>
        <v>470.1792</v>
      </c>
      <c r="N2693" s="1">
        <f>value(JPY!$B2693)</f>
        <v>120.305581</v>
      </c>
      <c r="O2693" s="1">
        <f>value(SAR!$B2693)</f>
        <v>3745.500039</v>
      </c>
      <c r="P2693" s="1">
        <f>value(AED!$B2693)</f>
        <v>3925.23574</v>
      </c>
      <c r="Q2693" s="1">
        <f>value(KWD!$B2693)</f>
        <v>48212.7384</v>
      </c>
    </row>
    <row r="2694">
      <c r="A2694" s="4">
        <f>value(USD!A2694)</f>
        <v>43059.99861</v>
      </c>
      <c r="B2694" s="1">
        <f>value(USD!B2694)</f>
        <v>13525</v>
      </c>
      <c r="C2694" s="1">
        <f>value(AUD!$B2694)</f>
        <v>10799.24916</v>
      </c>
      <c r="D2694" s="1">
        <f>value(EUR!$B2694)</f>
        <v>15938.40231</v>
      </c>
      <c r="E2694" s="1">
        <f>value(GBP!$B2694)</f>
        <v>17963.2665</v>
      </c>
      <c r="F2694" s="1">
        <f>value(CHF!$B2694)</f>
        <v>13774.212</v>
      </c>
      <c r="G2694" s="1">
        <f>value(SGD!$B2694)</f>
        <v>10103.98151</v>
      </c>
      <c r="H2694" s="1">
        <f>value(MYR!$B2694)</f>
        <v>3279.25737</v>
      </c>
      <c r="I2694" s="1">
        <f>value(THB!$B2694)</f>
        <v>412.28496</v>
      </c>
      <c r="J2694" s="1">
        <f>value(VND!$B2694)</f>
        <v>0.6046933547</v>
      </c>
      <c r="K2694" s="1">
        <f>value(CNY!$B2694)</f>
        <v>2144.5706</v>
      </c>
      <c r="L2694" s="1">
        <f>value(HKD!$B2694)</f>
        <v>1727.73</v>
      </c>
      <c r="M2694" s="1">
        <f>value(TWD!$B2694)</f>
        <v>469.04304</v>
      </c>
      <c r="N2694" s="1">
        <f>value(JPY!$B2694)</f>
        <v>121.176162</v>
      </c>
      <c r="O2694" s="1">
        <f>value(SAR!$B2694)</f>
        <v>3754.233334</v>
      </c>
      <c r="P2694" s="1">
        <f>value(AED!$B2694)</f>
        <v>3918.70366</v>
      </c>
      <c r="Q2694" s="1">
        <f>value(KWD!$B2694)</f>
        <v>48347.35688</v>
      </c>
    </row>
    <row r="2695">
      <c r="A2695" s="4">
        <f>value(USD!A2695)</f>
        <v>43060.99861</v>
      </c>
      <c r="B2695" s="1">
        <f>value(USD!B2695)</f>
        <v>13519</v>
      </c>
      <c r="C2695" s="1">
        <f>value(AUD!$B2695)</f>
        <v>10764.21808</v>
      </c>
      <c r="D2695" s="1">
        <f>value(EUR!$B2695)</f>
        <v>15981.7672</v>
      </c>
      <c r="E2695" s="1">
        <f>value(GBP!$B2695)</f>
        <v>17945.7656</v>
      </c>
      <c r="F2695" s="1">
        <f>value(CHF!$B2695)</f>
        <v>13739.053</v>
      </c>
      <c r="G2695" s="1">
        <f>value(SGD!$B2695)</f>
        <v>10117.37877</v>
      </c>
      <c r="H2695" s="1">
        <f>value(MYR!$B2695)</f>
        <v>3281.46903</v>
      </c>
      <c r="I2695" s="1">
        <f>value(THB!$B2695)</f>
        <v>412.89829</v>
      </c>
      <c r="J2695" s="1">
        <f>value(VND!$B2695)</f>
        <v>0.6137652036</v>
      </c>
      <c r="K2695" s="1">
        <f>value(CNY!$B2695)</f>
        <v>2152.46564</v>
      </c>
      <c r="L2695" s="1">
        <f>value(HKD!$B2695)</f>
        <v>1724.92123</v>
      </c>
      <c r="M2695" s="1">
        <f>value(TWD!$B2695)</f>
        <v>469.04304</v>
      </c>
      <c r="N2695" s="1">
        <f>value(JPY!$B2695)</f>
        <v>121.225643</v>
      </c>
      <c r="O2695" s="1">
        <f>value(SAR!$B2695)</f>
        <v>3739.789611</v>
      </c>
      <c r="P2695" s="1">
        <f>value(AED!$B2695)</f>
        <v>3938.84424</v>
      </c>
      <c r="Q2695" s="1">
        <f>value(KWD!$B2695)</f>
        <v>48062.72759</v>
      </c>
    </row>
    <row r="2696">
      <c r="A2696" s="4">
        <f>value(USD!A2696)</f>
        <v>43061.99861</v>
      </c>
      <c r="B2696" s="1">
        <f>value(USD!B2696)</f>
        <v>13491</v>
      </c>
      <c r="C2696" s="1">
        <f>value(AUD!$B2696)</f>
        <v>10722.3424</v>
      </c>
      <c r="D2696" s="1">
        <f>value(EUR!$B2696)</f>
        <v>16102.84404</v>
      </c>
      <c r="E2696" s="1">
        <f>value(GBP!$B2696)</f>
        <v>18000.9328</v>
      </c>
      <c r="F2696" s="1">
        <f>value(CHF!$B2696)</f>
        <v>13729.4806</v>
      </c>
      <c r="G2696" s="1">
        <f>value(SGD!$B2696)</f>
        <v>10075.75507</v>
      </c>
      <c r="H2696" s="1">
        <f>value(MYR!$B2696)</f>
        <v>3279.20412</v>
      </c>
      <c r="I2696" s="1">
        <f>value(THB!$B2696)</f>
        <v>412.76884</v>
      </c>
      <c r="J2696" s="1">
        <f>value(VND!$B2696)</f>
        <v>0.6010536</v>
      </c>
      <c r="K2696" s="1">
        <f>value(CNY!$B2696)</f>
        <v>2154.42212</v>
      </c>
      <c r="L2696" s="1">
        <f>value(HKD!$B2696)</f>
        <v>1732.96974</v>
      </c>
      <c r="M2696" s="1">
        <f>value(TWD!$B2696)</f>
        <v>469.04304</v>
      </c>
      <c r="N2696" s="1">
        <f>value(JPY!$B2696)</f>
        <v>120.94208</v>
      </c>
      <c r="O2696" s="1">
        <f>value(SAR!$B2696)</f>
        <v>3745.461297</v>
      </c>
      <c r="P2696" s="1">
        <f>value(AED!$B2696)</f>
        <v>3940.47726</v>
      </c>
      <c r="Q2696" s="1">
        <f>value(KWD!$B2696)</f>
        <v>48204.05165</v>
      </c>
    </row>
    <row r="2697">
      <c r="A2697" s="4">
        <f>value(USD!A2697)</f>
        <v>43062.99861</v>
      </c>
      <c r="B2697" s="1">
        <f>value(USD!B2697)</f>
        <v>13489</v>
      </c>
      <c r="C2697" s="1">
        <f>value(AUD!$B2697)</f>
        <v>10722.3424</v>
      </c>
      <c r="D2697" s="1">
        <f>value(EUR!$B2697)</f>
        <v>16103.114</v>
      </c>
      <c r="E2697" s="1">
        <f>value(GBP!$B2697)</f>
        <v>18002.2826</v>
      </c>
      <c r="F2697" s="1">
        <f>value(CHF!$B2697)</f>
        <v>13810.59</v>
      </c>
      <c r="G2697" s="1">
        <f>value(SGD!$B2697)</f>
        <v>10044.1627</v>
      </c>
      <c r="H2697" s="1">
        <f>value(MYR!$B2697)</f>
        <v>3279.20412</v>
      </c>
      <c r="I2697" s="1">
        <f>value(THB!$B2697)</f>
        <v>412.76884</v>
      </c>
      <c r="J2697" s="1">
        <f>value(VND!$B2697)</f>
        <v>0.6047924798</v>
      </c>
      <c r="K2697" s="1">
        <f>value(CNY!$B2697)</f>
        <v>2154.01256</v>
      </c>
      <c r="L2697" s="1">
        <f>value(HKD!$B2697)</f>
        <v>1733.9935</v>
      </c>
      <c r="M2697" s="1">
        <f>value(TWD!$B2697)</f>
        <v>470.31488</v>
      </c>
      <c r="N2697" s="1">
        <f>value(JPY!$B2697)</f>
        <v>120.94208</v>
      </c>
      <c r="O2697" s="1">
        <f>value(SAR!$B2697)</f>
        <v>3731.279513</v>
      </c>
      <c r="P2697" s="1">
        <f>value(AED!$B2697)</f>
        <v>3939.98479</v>
      </c>
      <c r="Q2697" s="1">
        <f>value(KWD!$B2697)</f>
        <v>48109.03273</v>
      </c>
    </row>
    <row r="2698">
      <c r="A2698" s="4">
        <f>value(USD!A2698)</f>
        <v>43063.99861</v>
      </c>
      <c r="B2698" s="1">
        <f>value(USD!B2698)</f>
        <v>13498</v>
      </c>
      <c r="C2698" s="1">
        <f>value(AUD!$B2698)</f>
        <v>10721.25824</v>
      </c>
      <c r="D2698" s="1">
        <f>value(EUR!$B2698)</f>
        <v>16096.63496</v>
      </c>
      <c r="E2698" s="1">
        <f>value(GBP!$B2698)</f>
        <v>17983.3854</v>
      </c>
      <c r="F2698" s="1">
        <f>value(CHF!$B2698)</f>
        <v>13871.505</v>
      </c>
      <c r="G2698" s="1">
        <f>value(SGD!$B2698)</f>
        <v>10073.49186</v>
      </c>
      <c r="H2698" s="1">
        <f>value(MYR!$B2698)</f>
        <v>3279.20412</v>
      </c>
      <c r="I2698" s="1">
        <f>value(THB!$B2698)</f>
        <v>412.76884</v>
      </c>
      <c r="J2698" s="1">
        <f>value(VND!$B2698)</f>
        <v>0.603917593</v>
      </c>
      <c r="K2698" s="1">
        <f>value(CNY!$B2698)</f>
        <v>2148.2237</v>
      </c>
      <c r="L2698" s="1">
        <f>value(HKD!$B2698)</f>
        <v>1726.54328</v>
      </c>
      <c r="M2698" s="1">
        <f>value(TWD!$B2698)</f>
        <v>470.804346</v>
      </c>
      <c r="N2698" s="1">
        <f>value(JPY!$B2698)</f>
        <v>120.8583924</v>
      </c>
      <c r="O2698" s="1">
        <f>value(SAR!$B2698)</f>
        <v>3705.384535</v>
      </c>
      <c r="P2698" s="1">
        <f>value(AED!$B2698)</f>
        <v>3972.04898</v>
      </c>
      <c r="Q2698" s="1">
        <f>value(KWD!$B2698)</f>
        <v>48089.23206</v>
      </c>
    </row>
    <row r="2699">
      <c r="A2699" s="4">
        <f>value(USD!A2699)</f>
        <v>43064.99861</v>
      </c>
      <c r="B2699" s="1">
        <f>value(USD!B2699)</f>
        <v>13498</v>
      </c>
      <c r="C2699" s="1">
        <f>value(AUD!$B2699)</f>
        <v>10719.31644</v>
      </c>
      <c r="D2699" s="1">
        <f>value(EUR!$B2699)</f>
        <v>16084.16995</v>
      </c>
      <c r="E2699" s="1">
        <f>value(GBP!$B2699)</f>
        <v>17995.3009</v>
      </c>
      <c r="F2699" s="1">
        <f>value(CHF!$B2699)</f>
        <v>13816.7628</v>
      </c>
      <c r="G2699" s="1">
        <f>value(SGD!$B2699)</f>
        <v>10073.00923</v>
      </c>
      <c r="H2699" s="1">
        <f>value(MYR!$B2699)</f>
        <v>3286.01031</v>
      </c>
      <c r="I2699" s="1">
        <f>value(THB!$B2699)</f>
        <v>414.11215</v>
      </c>
      <c r="J2699" s="1">
        <f>value(VND!$B2699)</f>
        <v>0.6098780291</v>
      </c>
      <c r="K2699" s="1">
        <f>value(CNY!$B2699)</f>
        <v>2161.90887</v>
      </c>
      <c r="L2699" s="1">
        <f>value(HKD!$B2699)</f>
        <v>1722.82656</v>
      </c>
      <c r="M2699" s="1">
        <f>value(TWD!$B2699)</f>
        <v>470.782305</v>
      </c>
      <c r="N2699" s="1">
        <f>value(JPY!$B2699)</f>
        <v>121.5206362</v>
      </c>
      <c r="O2699" s="1">
        <f>value(SAR!$B2699)</f>
        <v>3689.999352</v>
      </c>
      <c r="P2699" s="1">
        <f>value(AED!$B2699)</f>
        <v>3985.11314</v>
      </c>
      <c r="Q2699" s="1">
        <f>value(KWD!$B2699)</f>
        <v>48083.19976</v>
      </c>
    </row>
    <row r="2700">
      <c r="A2700" s="4">
        <f>value(USD!A2700)</f>
        <v>43065.99861</v>
      </c>
      <c r="B2700" s="1">
        <f>value(USD!B2700)</f>
        <v>13498</v>
      </c>
      <c r="C2700" s="1">
        <f>value(AUD!$B2700)</f>
        <v>10723.64832</v>
      </c>
      <c r="D2700" s="1">
        <f>value(EUR!$B2700)</f>
        <v>15993.855</v>
      </c>
      <c r="E2700" s="1">
        <f>value(GBP!$B2700)</f>
        <v>18038.7</v>
      </c>
      <c r="F2700" s="1">
        <f>value(CHF!$B2700)</f>
        <v>13900.695</v>
      </c>
      <c r="G2700" s="1">
        <f>value(SGD!$B2700)</f>
        <v>10045.944</v>
      </c>
      <c r="H2700" s="1">
        <f>value(MYR!$B2700)</f>
        <v>3289.41</v>
      </c>
      <c r="I2700" s="1">
        <f>value(THB!$B2700)</f>
        <v>414.18</v>
      </c>
      <c r="J2700" s="1">
        <f>value(VND!$B2700)</f>
        <v>0.6069473736</v>
      </c>
      <c r="K2700" s="1">
        <f>value(CNY!$B2700)</f>
        <v>2166.66468</v>
      </c>
      <c r="L2700" s="1">
        <f>value(HKD!$B2700)</f>
        <v>1715.91265</v>
      </c>
      <c r="M2700" s="1">
        <f>value(TWD!$B2700)</f>
        <v>469.59237</v>
      </c>
      <c r="N2700" s="1">
        <f>value(JPY!$B2700)</f>
        <v>120.8925</v>
      </c>
      <c r="O2700" s="1">
        <f>value(SAR!$B2700)</f>
        <v>3694.934896</v>
      </c>
      <c r="P2700" s="1">
        <f>value(AED!$B2700)</f>
        <v>3961.652086</v>
      </c>
      <c r="Q2700" s="1">
        <f>value(KWD!$B2700)</f>
        <v>48120.74696</v>
      </c>
    </row>
    <row r="2701">
      <c r="A2701" s="4">
        <f>value(USD!A2701)</f>
        <v>43066.99861</v>
      </c>
      <c r="B2701" s="1">
        <f>value(USD!B2701)</f>
        <v>13511</v>
      </c>
      <c r="C2701" s="1">
        <f>value(AUD!$B2701)</f>
        <v>10614.22924</v>
      </c>
      <c r="D2701" s="1">
        <f>value(EUR!$B2701)</f>
        <v>16004.9408</v>
      </c>
      <c r="E2701" s="1">
        <f>value(GBP!$B2701)</f>
        <v>18116.56128</v>
      </c>
      <c r="F2701" s="1">
        <f>value(CHF!$B2701)</f>
        <v>13827.6275</v>
      </c>
      <c r="G2701" s="1">
        <f>value(SGD!$B2701)</f>
        <v>10027.089</v>
      </c>
      <c r="H2701" s="1">
        <f>value(MYR!$B2701)</f>
        <v>3299.0272</v>
      </c>
      <c r="I2701" s="1">
        <f>value(THB!$B2701)</f>
        <v>414.30272</v>
      </c>
      <c r="J2701" s="1">
        <f>value(VND!$B2701)</f>
        <v>0.6078610485</v>
      </c>
      <c r="K2701" s="1">
        <f>value(CNY!$B2701)</f>
        <v>2172.34752</v>
      </c>
      <c r="L2701" s="1">
        <f>value(HKD!$B2701)</f>
        <v>1714.99868</v>
      </c>
      <c r="M2701" s="1">
        <f>value(TWD!$B2701)</f>
        <v>469.24752</v>
      </c>
      <c r="N2701" s="1">
        <f>value(JPY!$B2701)</f>
        <v>120.536704</v>
      </c>
      <c r="O2701" s="1">
        <f>value(SAR!$B2701)</f>
        <v>3716.998105</v>
      </c>
      <c r="P2701" s="1">
        <f>value(AED!$B2701)</f>
        <v>3973.300962</v>
      </c>
      <c r="Q2701" s="1">
        <f>value(KWD!$B2701)</f>
        <v>48183.0466</v>
      </c>
    </row>
    <row r="2702">
      <c r="A2702" s="4">
        <f>value(USD!A2702)</f>
        <v>43067.99861</v>
      </c>
      <c r="B2702" s="1">
        <f>value(USD!B2702)</f>
        <v>13500</v>
      </c>
      <c r="C2702" s="1">
        <f>value(AUD!$B2702)</f>
        <v>10717.8812</v>
      </c>
      <c r="D2702" s="1">
        <f>value(EUR!$B2702)</f>
        <v>16110.67557</v>
      </c>
      <c r="E2702" s="1">
        <f>value(GBP!$B2702)</f>
        <v>18319.6189</v>
      </c>
      <c r="F2702" s="1">
        <f>value(CHF!$B2702)</f>
        <v>13846.6632</v>
      </c>
      <c r="G2702" s="1">
        <f>value(SGD!$B2702)</f>
        <v>10030.8116</v>
      </c>
      <c r="H2702" s="1">
        <f>value(MYR!$B2702)</f>
        <v>3309.14958</v>
      </c>
      <c r="I2702" s="1">
        <f>value(THB!$B2702)</f>
        <v>414.76083</v>
      </c>
      <c r="J2702" s="1">
        <f>value(VND!$B2702)</f>
        <v>0.6109846715</v>
      </c>
      <c r="K2702" s="1">
        <f>value(CNY!$B2702)</f>
        <v>2160.90966</v>
      </c>
      <c r="L2702" s="1">
        <f>value(HKD!$B2702)</f>
        <v>1716.910955</v>
      </c>
      <c r="M2702" s="1">
        <f>value(TWD!$B2702)</f>
        <v>468.02064</v>
      </c>
      <c r="N2702" s="1">
        <f>value(JPY!$B2702)</f>
        <v>120.2887653</v>
      </c>
      <c r="O2702" s="1">
        <f>value(SAR!$B2702)</f>
        <v>3699.650215</v>
      </c>
      <c r="P2702" s="1">
        <f>value(AED!$B2702)</f>
        <v>3967.69426</v>
      </c>
      <c r="Q2702" s="1">
        <f>value(KWD!$B2702)</f>
        <v>48461.60186</v>
      </c>
    </row>
    <row r="2703">
      <c r="A2703" s="4">
        <f>value(USD!A2703)</f>
        <v>43068.99861</v>
      </c>
      <c r="B2703" s="1">
        <f>value(USD!B2703)</f>
        <v>13504</v>
      </c>
      <c r="C2703" s="1">
        <f>value(AUD!$B2703)</f>
        <v>10708.6288</v>
      </c>
      <c r="D2703" s="1">
        <f>value(EUR!$B2703)</f>
        <v>16089.44752</v>
      </c>
      <c r="E2703" s="1">
        <f>value(GBP!$B2703)</f>
        <v>18220.8746</v>
      </c>
      <c r="F2703" s="1">
        <f>value(CHF!$B2703)</f>
        <v>13855.335</v>
      </c>
      <c r="G2703" s="1">
        <f>value(SGD!$B2703)</f>
        <v>10058.44695</v>
      </c>
      <c r="H2703" s="1">
        <f>value(MYR!$B2703)</f>
        <v>3305.0781</v>
      </c>
      <c r="I2703" s="1">
        <f>value(THB!$B2703)</f>
        <v>414.70716</v>
      </c>
      <c r="J2703" s="1">
        <f>value(VND!$B2703)</f>
        <v>0.6109422425</v>
      </c>
      <c r="K2703" s="1">
        <f>value(CNY!$B2703)</f>
        <v>2165.7825</v>
      </c>
      <c r="L2703" s="1">
        <f>value(HKD!$B2703)</f>
        <v>1717.04476</v>
      </c>
      <c r="M2703" s="1">
        <f>value(TWD!$B2703)</f>
        <v>468.59464</v>
      </c>
      <c r="N2703" s="1">
        <f>value(JPY!$B2703)</f>
        <v>120.65192</v>
      </c>
      <c r="O2703" s="1">
        <f>value(SAR!$B2703)</f>
        <v>3703.01149</v>
      </c>
      <c r="P2703" s="1">
        <f>value(AED!$B2703)</f>
        <v>3967.08128</v>
      </c>
      <c r="Q2703" s="1">
        <f>value(KWD!$B2703)</f>
        <v>48168.8364</v>
      </c>
    </row>
    <row r="2704">
      <c r="A2704" s="4">
        <f>value(USD!A2704)</f>
        <v>43069.99861</v>
      </c>
      <c r="B2704" s="1">
        <f>value(USD!B2704)</f>
        <v>13541</v>
      </c>
      <c r="C2704" s="1">
        <f>value(AUD!$B2704)</f>
        <v>10704.5332</v>
      </c>
      <c r="D2704" s="1">
        <f>value(EUR!$B2704)</f>
        <v>16101.97759</v>
      </c>
      <c r="E2704" s="1">
        <f>value(GBP!$B2704)</f>
        <v>18228.6743</v>
      </c>
      <c r="F2704" s="1">
        <f>value(CHF!$B2704)</f>
        <v>13865.0064</v>
      </c>
      <c r="G2704" s="1">
        <f>value(SGD!$B2704)</f>
        <v>10074.23872</v>
      </c>
      <c r="H2704" s="1">
        <f>value(MYR!$B2704)</f>
        <v>3306.492886</v>
      </c>
      <c r="I2704" s="1">
        <f>value(THB!$B2704)</f>
        <v>414.8846814</v>
      </c>
      <c r="J2704" s="1">
        <f>value(VND!$B2704)</f>
        <v>0.6116665909</v>
      </c>
      <c r="K2704" s="1">
        <f>value(CNY!$B2704)</f>
        <v>2165.92001</v>
      </c>
      <c r="L2704" s="1">
        <f>value(HKD!$B2704)</f>
        <v>1716.50768</v>
      </c>
      <c r="M2704" s="1">
        <f>value(TWD!$B2704)</f>
        <v>468.28828</v>
      </c>
      <c r="N2704" s="1">
        <f>value(JPY!$B2704)</f>
        <v>120.7035668</v>
      </c>
      <c r="O2704" s="1">
        <f>value(SAR!$B2704)</f>
        <v>3689.802389</v>
      </c>
      <c r="P2704" s="1">
        <f>value(AED!$B2704)</f>
        <v>3963.33954</v>
      </c>
      <c r="Q2704" s="1">
        <f>value(KWD!$B2704)</f>
        <v>48122.56153</v>
      </c>
    </row>
    <row r="2705">
      <c r="A2705" s="4">
        <f>value(USD!A2705)</f>
        <v>43070.99861</v>
      </c>
      <c r="B2705" s="1">
        <f>value(USD!B2705)</f>
        <v>13526</v>
      </c>
      <c r="C2705" s="1">
        <f>value(AUD!$B2705)</f>
        <v>10706.69227</v>
      </c>
      <c r="D2705" s="1">
        <f>value(EUR!$B2705)</f>
        <v>16080.5328</v>
      </c>
      <c r="E2705" s="1">
        <f>value(GBP!$B2705)</f>
        <v>18294.474</v>
      </c>
      <c r="F2705" s="1">
        <f>value(CHF!$B2705)</f>
        <v>13938.7872</v>
      </c>
      <c r="G2705" s="1">
        <f>value(SGD!$B2705)</f>
        <v>10058.81136</v>
      </c>
      <c r="H2705" s="1">
        <f>value(MYR!$B2705)</f>
        <v>3314.6064</v>
      </c>
      <c r="I2705" s="1">
        <f>value(THB!$B2705)</f>
        <v>415.2072</v>
      </c>
      <c r="J2705" s="1">
        <f>value(VND!$B2705)</f>
        <v>0.6075291949</v>
      </c>
      <c r="K2705" s="1">
        <f>value(CNY!$B2705)</f>
        <v>2164.95744</v>
      </c>
      <c r="L2705" s="1">
        <f>value(HKD!$B2705)</f>
        <v>1716.8912</v>
      </c>
      <c r="M2705" s="1">
        <f>value(TWD!$B2705)</f>
        <v>469.79828</v>
      </c>
      <c r="N2705" s="1">
        <f>value(JPY!$B2705)</f>
        <v>120.11448</v>
      </c>
      <c r="O2705" s="1">
        <f>value(SAR!$B2705)</f>
        <v>3701.14263</v>
      </c>
      <c r="P2705" s="1">
        <f>value(AED!$B2705)</f>
        <v>3965.5169</v>
      </c>
      <c r="Q2705" s="1">
        <f>value(KWD!$B2705)</f>
        <v>48119.96783</v>
      </c>
    </row>
    <row r="2706">
      <c r="A2706" s="4">
        <f>value(USD!A2706)</f>
        <v>43071.99861</v>
      </c>
      <c r="B2706" s="1">
        <f>value(USD!B2706)</f>
        <v>13531.79</v>
      </c>
      <c r="C2706" s="1">
        <f>value(AUD!$B2706)</f>
        <v>10715.35245</v>
      </c>
      <c r="D2706" s="1">
        <f>value(EUR!$B2706)</f>
        <v>16013.86956</v>
      </c>
      <c r="E2706" s="1">
        <f>value(GBP!$B2706)</f>
        <v>18180.06138</v>
      </c>
      <c r="F2706" s="1">
        <f>value(CHF!$B2706)</f>
        <v>14049.337</v>
      </c>
      <c r="G2706" s="1">
        <f>value(SGD!$B2706)</f>
        <v>10095.1714</v>
      </c>
      <c r="H2706" s="1">
        <f>value(MYR!$B2706)</f>
        <v>3319.25412</v>
      </c>
      <c r="I2706" s="1">
        <f>value(THB!$B2706)</f>
        <v>413.72604</v>
      </c>
      <c r="J2706" s="1">
        <f>value(VND!$B2706)</f>
        <v>0.6047924798</v>
      </c>
      <c r="K2706" s="1">
        <f>value(CNY!$B2706)</f>
        <v>2163.30276</v>
      </c>
      <c r="L2706" s="1">
        <f>value(HKD!$B2706)</f>
        <v>1718.16303</v>
      </c>
      <c r="M2706" s="1">
        <f>value(TWD!$B2706)</f>
        <v>469.2</v>
      </c>
      <c r="N2706" s="1">
        <f>value(JPY!$B2706)</f>
        <v>119.907684</v>
      </c>
      <c r="O2706" s="1">
        <f>value(SAR!$B2706)</f>
        <v>3719.533337</v>
      </c>
      <c r="P2706" s="1">
        <f>value(AED!$B2706)</f>
        <v>3966.06124</v>
      </c>
      <c r="Q2706" s="1">
        <f>value(KWD!$B2706)</f>
        <v>48495.77394</v>
      </c>
    </row>
    <row r="2707">
      <c r="A2707" s="4">
        <f>value(USD!A2707)</f>
        <v>43072.99861</v>
      </c>
      <c r="B2707" s="1">
        <f>value(USD!B2707)</f>
        <v>13560</v>
      </c>
      <c r="C2707" s="1">
        <f>value(AUD!$B2707)</f>
        <v>10671.59726</v>
      </c>
      <c r="D2707" s="1">
        <f>value(EUR!$B2707)</f>
        <v>15986.96004</v>
      </c>
      <c r="E2707" s="1">
        <f>value(GBP!$B2707)</f>
        <v>18125.79768</v>
      </c>
      <c r="F2707" s="1">
        <f>value(CHF!$B2707)</f>
        <v>14120.8782</v>
      </c>
      <c r="G2707" s="1">
        <f>value(SGD!$B2707)</f>
        <v>10075.7268</v>
      </c>
      <c r="H2707" s="1">
        <f>value(MYR!$B2707)</f>
        <v>3323.52235</v>
      </c>
      <c r="I2707" s="1">
        <f>value(THB!$B2707)</f>
        <v>414.17345</v>
      </c>
      <c r="J2707" s="1">
        <f>value(VND!$B2707)</f>
        <v>0.608541995</v>
      </c>
      <c r="K2707" s="1">
        <f>value(CNY!$B2707)</f>
        <v>2179.83837</v>
      </c>
      <c r="L2707" s="1">
        <f>value(HKD!$B2707)</f>
        <v>1711.89326</v>
      </c>
      <c r="M2707" s="1">
        <f>value(TWD!$B2707)</f>
        <v>469.55456</v>
      </c>
      <c r="N2707" s="1">
        <f>value(JPY!$B2707)</f>
        <v>120.103544</v>
      </c>
      <c r="O2707" s="1">
        <f>value(SAR!$B2707)</f>
        <v>3719.596699</v>
      </c>
      <c r="P2707" s="1">
        <f>value(AED!$B2707)</f>
        <v>3991.10088</v>
      </c>
      <c r="Q2707" s="1">
        <f>value(KWD!$B2707)</f>
        <v>48379.93745</v>
      </c>
    </row>
    <row r="2708">
      <c r="A2708" s="4">
        <f>value(USD!A2708)</f>
        <v>43073.99861</v>
      </c>
      <c r="B2708" s="1">
        <f>value(USD!B2708)</f>
        <v>13494</v>
      </c>
      <c r="C2708" s="1">
        <f>value(AUD!$B2708)</f>
        <v>10677.4072</v>
      </c>
      <c r="D2708" s="1">
        <f>value(EUR!$B2708)</f>
        <v>15975.39826</v>
      </c>
      <c r="E2708" s="1">
        <f>value(GBP!$B2708)</f>
        <v>18120.94328</v>
      </c>
      <c r="F2708" s="1">
        <f>value(CHF!$B2708)</f>
        <v>14192.167</v>
      </c>
      <c r="G2708" s="1">
        <f>value(SGD!$B2708)</f>
        <v>10089.59747</v>
      </c>
      <c r="H2708" s="1">
        <f>value(MYR!$B2708)</f>
        <v>3318.80748</v>
      </c>
      <c r="I2708" s="1">
        <f>value(THB!$B2708)</f>
        <v>414.8171</v>
      </c>
      <c r="J2708" s="1">
        <f>value(VND!$B2708)</f>
        <v>0.6040037887</v>
      </c>
      <c r="K2708" s="1">
        <f>value(CNY!$B2708)</f>
        <v>2172.67215</v>
      </c>
      <c r="L2708" s="1">
        <f>value(HKD!$B2708)</f>
        <v>1702.5624</v>
      </c>
      <c r="M2708" s="1">
        <f>value(TWD!$B2708)</f>
        <v>458.5870751</v>
      </c>
      <c r="N2708" s="1">
        <f>value(JPY!$B2708)</f>
        <v>120.493202</v>
      </c>
      <c r="O2708" s="1">
        <f>value(SAR!$B2708)</f>
        <v>3697.994395</v>
      </c>
      <c r="P2708" s="1">
        <f>value(AED!$B2708)</f>
        <v>3966.33341</v>
      </c>
      <c r="Q2708" s="1">
        <f>value(KWD!$B2708)</f>
        <v>48812.03256</v>
      </c>
    </row>
    <row r="2709">
      <c r="A2709" s="4">
        <f>value(USD!A2709)</f>
        <v>43074.99861</v>
      </c>
      <c r="B2709" s="1">
        <f>value(USD!B2709)</f>
        <v>13513</v>
      </c>
      <c r="C2709" s="1">
        <f>value(AUD!$B2709)</f>
        <v>10665.90161</v>
      </c>
      <c r="D2709" s="1">
        <f>value(EUR!$B2709)</f>
        <v>15954.5916</v>
      </c>
      <c r="E2709" s="1">
        <f>value(GBP!$B2709)</f>
        <v>18270.93483</v>
      </c>
      <c r="F2709" s="1">
        <f>value(CHF!$B2709)</f>
        <v>14282.6399</v>
      </c>
      <c r="G2709" s="1">
        <f>value(SGD!$B2709)</f>
        <v>10092.355</v>
      </c>
      <c r="H2709" s="1">
        <f>value(MYR!$B2709)</f>
        <v>3324.27984</v>
      </c>
      <c r="I2709" s="1">
        <f>value(THB!$B2709)</f>
        <v>415.12839</v>
      </c>
      <c r="J2709" s="1">
        <f>value(VND!$B2709)</f>
        <v>0.613360167</v>
      </c>
      <c r="K2709" s="1">
        <f>value(CNY!$B2709)</f>
        <v>2173.3629</v>
      </c>
      <c r="L2709" s="1">
        <f>value(HKD!$B2709)</f>
        <v>1699.49985</v>
      </c>
      <c r="M2709" s="1">
        <f>value(TWD!$B2709)</f>
        <v>471.1761</v>
      </c>
      <c r="N2709" s="1">
        <f>value(JPY!$B2709)</f>
        <v>119.80852</v>
      </c>
      <c r="O2709" s="1">
        <f>value(SAR!$B2709)</f>
        <v>3716.764481</v>
      </c>
      <c r="P2709" s="1">
        <f>value(AED!$B2709)</f>
        <v>3963.39657</v>
      </c>
      <c r="Q2709" s="1">
        <f>value(KWD!$B2709)</f>
        <v>48713.11247</v>
      </c>
    </row>
    <row r="2710">
      <c r="A2710" s="4">
        <f>value(USD!A2710)</f>
        <v>43075.99861</v>
      </c>
      <c r="B2710" s="1">
        <f>value(USD!B2710)</f>
        <v>13534</v>
      </c>
      <c r="C2710" s="1">
        <f>value(AUD!$B2710)</f>
        <v>10680.4017</v>
      </c>
      <c r="D2710" s="1">
        <f>value(EUR!$B2710)</f>
        <v>15936.9336</v>
      </c>
      <c r="E2710" s="1">
        <f>value(GBP!$B2710)</f>
        <v>18126.0282</v>
      </c>
      <c r="F2710" s="1">
        <f>value(CHF!$B2710)</f>
        <v>14238.6864</v>
      </c>
      <c r="G2710" s="1">
        <f>value(SGD!$B2710)</f>
        <v>10107.63236</v>
      </c>
      <c r="H2710" s="1">
        <f>value(MYR!$B2710)</f>
        <v>3315.18544</v>
      </c>
      <c r="I2710" s="1">
        <f>value(THB!$B2710)</f>
        <v>414.9397</v>
      </c>
      <c r="J2710" s="1">
        <f>value(VND!$B2710)</f>
        <v>0.6148830429</v>
      </c>
      <c r="K2710" s="1">
        <f>value(CNY!$B2710)</f>
        <v>2174.8338</v>
      </c>
      <c r="L2710" s="1">
        <f>value(HKD!$B2710)</f>
        <v>1699.49985</v>
      </c>
      <c r="M2710" s="1">
        <f>value(TWD!$B2710)</f>
        <v>471.18375</v>
      </c>
      <c r="N2710" s="1">
        <f>value(JPY!$B2710)</f>
        <v>119.26978</v>
      </c>
      <c r="O2710" s="1">
        <f>value(SAR!$B2710)</f>
        <v>3716.863752</v>
      </c>
      <c r="P2710" s="1">
        <f>value(AED!$B2710)</f>
        <v>3960.34567</v>
      </c>
      <c r="Q2710" s="1">
        <f>value(KWD!$B2710)</f>
        <v>48706.49609</v>
      </c>
    </row>
    <row r="2711">
      <c r="A2711" s="4">
        <f>value(USD!A2711)</f>
        <v>43076.99861</v>
      </c>
      <c r="B2711" s="1">
        <f>value(USD!B2711)</f>
        <v>13553</v>
      </c>
      <c r="C2711" s="1">
        <f>value(AUD!$B2711)</f>
        <v>10680.4017</v>
      </c>
      <c r="D2711" s="1">
        <f>value(EUR!$B2711)</f>
        <v>15926.1032</v>
      </c>
      <c r="E2711" s="1">
        <f>value(GBP!$B2711)</f>
        <v>18120.613</v>
      </c>
      <c r="F2711" s="1">
        <f>value(CHF!$B2711)</f>
        <v>14257.2422</v>
      </c>
      <c r="G2711" s="1">
        <f>value(SGD!$B2711)</f>
        <v>10127.62512</v>
      </c>
      <c r="H2711" s="1">
        <f>value(MYR!$B2711)</f>
        <v>3315.18544</v>
      </c>
      <c r="I2711" s="1">
        <f>value(THB!$B2711)</f>
        <v>406.95228</v>
      </c>
      <c r="J2711" s="1">
        <f>value(VND!$B2711)</f>
        <v>0.6038443266</v>
      </c>
      <c r="K2711" s="1">
        <f>value(CNY!$B2711)</f>
        <v>2175.83828</v>
      </c>
      <c r="L2711" s="1">
        <f>value(HKD!$B2711)</f>
        <v>1700.51205</v>
      </c>
      <c r="M2711" s="1">
        <f>value(TWD!$B2711)</f>
        <v>468.04128</v>
      </c>
      <c r="N2711" s="1">
        <f>value(JPY!$B2711)</f>
        <v>119.26978</v>
      </c>
      <c r="O2711" s="1">
        <f>value(SAR!$B2711)</f>
        <v>3716.863752</v>
      </c>
      <c r="P2711" s="1">
        <f>value(AED!$B2711)</f>
        <v>3988.10701</v>
      </c>
      <c r="Q2711" s="1">
        <f>value(KWD!$B2711)</f>
        <v>48706.49609</v>
      </c>
    </row>
    <row r="2712">
      <c r="A2712" s="4">
        <f>value(USD!A2712)</f>
        <v>43077.99861</v>
      </c>
      <c r="B2712" s="1">
        <f>value(USD!B2712)</f>
        <v>13538</v>
      </c>
      <c r="C2712" s="1">
        <f>value(AUD!$B2712)</f>
        <v>10662.5254</v>
      </c>
      <c r="D2712" s="1">
        <f>value(EUR!$B2712)</f>
        <v>15893.6869</v>
      </c>
      <c r="E2712" s="1">
        <f>value(GBP!$B2712)</f>
        <v>18084.5223</v>
      </c>
      <c r="F2712" s="1">
        <f>value(CHF!$B2712)</f>
        <v>14357.7858</v>
      </c>
      <c r="G2712" s="1">
        <f>value(SGD!$B2712)</f>
        <v>10156.48048</v>
      </c>
      <c r="H2712" s="1">
        <f>value(MYR!$B2712)</f>
        <v>3307.59416</v>
      </c>
      <c r="I2712" s="1">
        <f>value(THB!$B2712)</f>
        <v>413.71941</v>
      </c>
      <c r="J2712" s="1">
        <f>value(VND!$B2712)</f>
        <v>0.601646335</v>
      </c>
      <c r="K2712" s="1">
        <f>value(CNY!$B2712)</f>
        <v>2172.87735</v>
      </c>
      <c r="L2712" s="1">
        <f>value(HKD!$B2712)</f>
        <v>1700.63986</v>
      </c>
      <c r="M2712" s="1">
        <f>value(TWD!$B2712)</f>
        <v>468.51354</v>
      </c>
      <c r="N2712" s="1">
        <f>value(JPY!$B2712)</f>
        <v>118.929135</v>
      </c>
      <c r="O2712" s="1">
        <f>value(SAR!$B2712)</f>
        <v>3770.331472</v>
      </c>
      <c r="P2712" s="1">
        <f>value(AED!$B2712)</f>
        <v>3978.58106</v>
      </c>
      <c r="Q2712" s="1">
        <f>value(KWD!$B2712)</f>
        <v>49080.06691</v>
      </c>
    </row>
    <row r="2713">
      <c r="A2713" s="4">
        <f>value(USD!A2713)</f>
        <v>43078.99861</v>
      </c>
      <c r="B2713" s="1">
        <f>value(USD!B2713)</f>
        <v>13538</v>
      </c>
      <c r="C2713" s="1">
        <f>value(AUD!$B2713)</f>
        <v>10664.0331</v>
      </c>
      <c r="D2713" s="1">
        <f>value(EUR!$B2713)</f>
        <v>15958.29312</v>
      </c>
      <c r="E2713" s="1">
        <f>value(GBP!$B2713)</f>
        <v>18085.95712</v>
      </c>
      <c r="F2713" s="1">
        <f>value(CHF!$B2713)</f>
        <v>14365.3122</v>
      </c>
      <c r="G2713" s="1">
        <f>value(SGD!$B2713)</f>
        <v>10137.96069</v>
      </c>
      <c r="H2713" s="1">
        <f>value(MYR!$B2713)</f>
        <v>3322.00176</v>
      </c>
      <c r="I2713" s="1">
        <f>value(THB!$B2713)</f>
        <v>415.63984</v>
      </c>
      <c r="J2713" s="1">
        <f>value(VND!$B2713)</f>
        <v>0.6041469034</v>
      </c>
      <c r="K2713" s="1">
        <f>value(CNY!$B2713)</f>
        <v>2173.5306</v>
      </c>
      <c r="L2713" s="1">
        <f>value(HKD!$B2713)</f>
        <v>1705.80776</v>
      </c>
      <c r="M2713" s="1">
        <f>value(TWD!$B2713)</f>
        <v>467.86109</v>
      </c>
      <c r="N2713" s="1">
        <f>value(JPY!$B2713)</f>
        <v>119.32536</v>
      </c>
      <c r="O2713" s="1">
        <f>value(SAR!$B2713)</f>
        <v>3755.652136</v>
      </c>
      <c r="P2713" s="1">
        <f>value(AED!$B2713)</f>
        <v>4014.77967</v>
      </c>
      <c r="Q2713" s="1">
        <f>value(KWD!$B2713)</f>
        <v>49371.68854</v>
      </c>
    </row>
    <row r="2714">
      <c r="A2714" s="4">
        <f>value(USD!A2714)</f>
        <v>43079.99861</v>
      </c>
      <c r="B2714" s="1">
        <f>value(USD!B2714)</f>
        <v>13507</v>
      </c>
      <c r="C2714" s="1">
        <f>value(AUD!$B2714)</f>
        <v>10712.06945</v>
      </c>
      <c r="D2714" s="1">
        <f>value(EUR!$B2714)</f>
        <v>15910.2291</v>
      </c>
      <c r="E2714" s="1">
        <f>value(GBP!$B2714)</f>
        <v>18047.35731</v>
      </c>
      <c r="F2714" s="1">
        <f>value(CHF!$B2714)</f>
        <v>14453.5335</v>
      </c>
      <c r="G2714" s="1">
        <f>value(SGD!$B2714)</f>
        <v>10169.01353</v>
      </c>
      <c r="H2714" s="1">
        <f>value(MYR!$B2714)</f>
        <v>3319.72398</v>
      </c>
      <c r="I2714" s="1">
        <f>value(THB!$B2714)</f>
        <v>415.33815</v>
      </c>
      <c r="J2714" s="1">
        <f>value(VND!$B2714)</f>
        <v>0.6118630858</v>
      </c>
      <c r="K2714" s="1">
        <f>value(CNY!$B2714)</f>
        <v>2173.07925</v>
      </c>
      <c r="L2714" s="1">
        <f>value(HKD!$B2714)</f>
        <v>1705.55194</v>
      </c>
      <c r="M2714" s="1">
        <f>value(TWD!$B2714)</f>
        <v>468.00116</v>
      </c>
      <c r="N2714" s="1">
        <f>value(JPY!$B2714)</f>
        <v>119.330106</v>
      </c>
      <c r="O2714" s="1">
        <f>value(SAR!$B2714)</f>
        <v>3712.997892</v>
      </c>
      <c r="P2714" s="1">
        <f>value(AED!$B2714)</f>
        <v>4008.29225</v>
      </c>
      <c r="Q2714" s="1">
        <f>value(KWD!$B2714)</f>
        <v>49536.70175</v>
      </c>
    </row>
    <row r="2715">
      <c r="A2715" s="4">
        <f>value(USD!A2715)</f>
        <v>43080.99861</v>
      </c>
      <c r="B2715" s="1">
        <f>value(USD!B2715)</f>
        <v>13552</v>
      </c>
      <c r="C2715" s="1">
        <f>value(AUD!$B2715)</f>
        <v>10754.088</v>
      </c>
      <c r="D2715" s="1">
        <f>value(EUR!$B2715)</f>
        <v>16023.236</v>
      </c>
      <c r="E2715" s="1">
        <f>value(GBP!$B2715)</f>
        <v>18154.2966</v>
      </c>
      <c r="F2715" s="1">
        <f>value(CHF!$B2715)</f>
        <v>14400.7318</v>
      </c>
      <c r="G2715" s="1">
        <f>value(SGD!$B2715)</f>
        <v>10174.0992</v>
      </c>
      <c r="H2715" s="1">
        <f>value(MYR!$B2715)</f>
        <v>3310.3946</v>
      </c>
      <c r="I2715" s="1">
        <f>value(THB!$B2715)</f>
        <v>416.4904</v>
      </c>
      <c r="J2715" s="1">
        <f>value(VND!$B2715)</f>
        <v>0.6109793889</v>
      </c>
      <c r="K2715" s="1">
        <f>value(CNY!$B2715)</f>
        <v>2176.24044</v>
      </c>
      <c r="L2715" s="1">
        <f>value(HKD!$B2715)</f>
        <v>1703.2548</v>
      </c>
      <c r="M2715" s="1">
        <f>value(TWD!$B2715)</f>
        <v>469.0834</v>
      </c>
      <c r="N2715" s="1">
        <f>value(JPY!$B2715)</f>
        <v>120.01856</v>
      </c>
      <c r="O2715" s="1">
        <f>value(SAR!$B2715)</f>
        <v>3716.566078</v>
      </c>
      <c r="P2715" s="1">
        <f>value(AED!$B2715)</f>
        <v>4008.76725</v>
      </c>
      <c r="Q2715" s="1">
        <f>value(KWD!$B2715)</f>
        <v>49249.33405</v>
      </c>
    </row>
    <row r="2716">
      <c r="A2716" s="4">
        <f>value(USD!A2716)</f>
        <v>43081.99861</v>
      </c>
      <c r="B2716" s="1">
        <f>value(USD!B2716)</f>
        <v>13551</v>
      </c>
      <c r="C2716" s="1">
        <f>value(AUD!$B2716)</f>
        <v>10739.294</v>
      </c>
      <c r="D2716" s="1">
        <f>value(EUR!$B2716)</f>
        <v>15958.75068</v>
      </c>
      <c r="E2716" s="1">
        <f>value(GBP!$B2716)</f>
        <v>18205.19064</v>
      </c>
      <c r="F2716" s="1">
        <f>value(CHF!$B2716)</f>
        <v>14400.7318</v>
      </c>
      <c r="G2716" s="1">
        <f>value(SGD!$B2716)</f>
        <v>10201.6944</v>
      </c>
      <c r="H2716" s="1">
        <f>value(MYR!$B2716)</f>
        <v>3316.39272</v>
      </c>
      <c r="I2716" s="1">
        <f>value(THB!$B2716)</f>
        <v>416.64996</v>
      </c>
      <c r="J2716" s="1">
        <f>value(VND!$B2716)</f>
        <v>0.60810243</v>
      </c>
      <c r="K2716" s="1">
        <f>value(CNY!$B2716)</f>
        <v>2170.72736</v>
      </c>
      <c r="L2716" s="1">
        <f>value(HKD!$B2716)</f>
        <v>1705.599573</v>
      </c>
      <c r="M2716" s="1">
        <f>value(TWD!$B2716)</f>
        <v>468.74172</v>
      </c>
      <c r="N2716" s="1">
        <f>value(JPY!$B2716)</f>
        <v>120.576384</v>
      </c>
      <c r="O2716" s="1">
        <f>value(SAR!$B2716)</f>
        <v>3716.66521</v>
      </c>
      <c r="P2716" s="1">
        <f>value(AED!$B2716)</f>
        <v>4008.04229</v>
      </c>
      <c r="Q2716" s="1">
        <f>value(KWD!$B2716)</f>
        <v>49600.85994</v>
      </c>
    </row>
    <row r="2717">
      <c r="A2717" s="4">
        <f>value(USD!A2717)</f>
        <v>43082.99861</v>
      </c>
      <c r="B2717" s="1">
        <f>value(USD!B2717)</f>
        <v>13540</v>
      </c>
      <c r="C2717" s="1">
        <f>value(AUD!$B2717)</f>
        <v>10810.827</v>
      </c>
      <c r="D2717" s="1">
        <f>value(EUR!$B2717)</f>
        <v>15938.87232</v>
      </c>
      <c r="E2717" s="1">
        <f>value(GBP!$B2717)</f>
        <v>18072.576</v>
      </c>
      <c r="F2717" s="1">
        <f>value(CHF!$B2717)</f>
        <v>14401.40235</v>
      </c>
      <c r="G2717" s="1">
        <f>value(SGD!$B2717)</f>
        <v>10229.62041</v>
      </c>
      <c r="H2717" s="1">
        <f>value(MYR!$B2717)</f>
        <v>3324.70272</v>
      </c>
      <c r="I2717" s="1">
        <f>value(THB!$B2717)</f>
        <v>416.80896</v>
      </c>
      <c r="J2717" s="1">
        <f>value(VND!$B2717)</f>
        <v>0.6079965675</v>
      </c>
      <c r="K2717" s="1">
        <f>value(CNY!$B2717)</f>
        <v>2168.747</v>
      </c>
      <c r="L2717" s="1">
        <f>value(HKD!$B2717)</f>
        <v>1704.66725</v>
      </c>
      <c r="M2717" s="1">
        <f>value(TWD!$B2717)</f>
        <v>470.784041</v>
      </c>
      <c r="N2717" s="1">
        <f>value(JPY!$B2717)</f>
        <v>120.48384</v>
      </c>
      <c r="O2717" s="1">
        <f>value(SAR!$B2717)</f>
        <v>3716.962884</v>
      </c>
      <c r="P2717" s="1">
        <f>value(AED!$B2717)</f>
        <v>4036.82544</v>
      </c>
      <c r="Q2717" s="1">
        <f>value(KWD!$B2717)</f>
        <v>49065.91461</v>
      </c>
    </row>
    <row r="2718">
      <c r="A2718" s="4">
        <f>value(USD!A2718)</f>
        <v>43083.99861</v>
      </c>
      <c r="B2718" s="1">
        <f>value(USD!B2718)</f>
        <v>13554</v>
      </c>
      <c r="C2718" s="1">
        <f>value(AUD!$B2718)</f>
        <v>10827.68412</v>
      </c>
      <c r="D2718" s="1">
        <f>value(EUR!$B2718)</f>
        <v>15966.22874</v>
      </c>
      <c r="E2718" s="1">
        <f>value(GBP!$B2718)</f>
        <v>18101.93424</v>
      </c>
      <c r="F2718" s="1">
        <f>value(CHF!$B2718)</f>
        <v>14562.58168</v>
      </c>
      <c r="G2718" s="1">
        <f>value(SGD!$B2718)</f>
        <v>10204.5375</v>
      </c>
      <c r="H2718" s="1">
        <f>value(MYR!$B2718)</f>
        <v>3329.346228</v>
      </c>
      <c r="I2718" s="1">
        <f>value(THB!$B2718)</f>
        <v>417.391104</v>
      </c>
      <c r="J2718" s="1">
        <f>value(VND!$B2718)</f>
        <v>0.6129567</v>
      </c>
      <c r="K2718" s="1">
        <f>value(CNY!$B2718)</f>
        <v>2174.4409</v>
      </c>
      <c r="L2718" s="1">
        <f>value(HKD!$B2718)</f>
        <v>1706.4418</v>
      </c>
      <c r="M2718" s="1">
        <f>value(TWD!$B2718)</f>
        <v>469.777165</v>
      </c>
      <c r="N2718" s="1">
        <f>value(JPY!$B2718)</f>
        <v>120.652116</v>
      </c>
      <c r="O2718" s="1">
        <f>value(SAR!$B2718)</f>
        <v>3760.711016</v>
      </c>
      <c r="P2718" s="1">
        <f>value(AED!$B2718)</f>
        <v>4063.4981</v>
      </c>
      <c r="Q2718" s="1">
        <f>value(KWD!$B2718)</f>
        <v>49065.91461</v>
      </c>
    </row>
    <row r="2719">
      <c r="A2719" s="4">
        <f>value(USD!A2719)</f>
        <v>43084.99861</v>
      </c>
      <c r="B2719" s="1">
        <f>value(USD!B2719)</f>
        <v>13568</v>
      </c>
      <c r="C2719" s="1">
        <f>value(AUD!$B2719)</f>
        <v>10828.34865</v>
      </c>
      <c r="D2719" s="1">
        <f>value(EUR!$B2719)</f>
        <v>15932.76672</v>
      </c>
      <c r="E2719" s="1">
        <f>value(GBP!$B2719)</f>
        <v>18066.60608</v>
      </c>
      <c r="F2719" s="1">
        <f>value(CHF!$B2719)</f>
        <v>14464.992</v>
      </c>
      <c r="G2719" s="1">
        <f>value(SGD!$B2719)</f>
        <v>10229.5812</v>
      </c>
      <c r="H2719" s="1">
        <f>value(MYR!$B2719)</f>
        <v>3323.88864</v>
      </c>
      <c r="I2719" s="1">
        <f>value(THB!$B2719)</f>
        <v>416.94464</v>
      </c>
      <c r="J2719" s="1">
        <f>value(VND!$B2719)</f>
        <v>0.6087779677</v>
      </c>
      <c r="K2719" s="1">
        <f>value(CNY!$B2719)</f>
        <v>2169.74484</v>
      </c>
      <c r="L2719" s="1">
        <f>value(HKD!$B2719)</f>
        <v>1705.54104</v>
      </c>
      <c r="M2719" s="1">
        <f>value(TWD!$B2719)</f>
        <v>469.05677</v>
      </c>
      <c r="N2719" s="1">
        <f>value(JPY!$B2719)</f>
        <v>120.3522304</v>
      </c>
      <c r="O2719" s="1">
        <f>value(SAR!$B2719)</f>
        <v>3756.746572</v>
      </c>
      <c r="P2719" s="1">
        <f>value(AED!$B2719)</f>
        <v>4077.079383</v>
      </c>
      <c r="Q2719" s="1">
        <f>value(KWD!$B2719)</f>
        <v>49088.95047</v>
      </c>
    </row>
    <row r="2720">
      <c r="A2720" s="4">
        <f>value(USD!A2720)</f>
        <v>43085.99861</v>
      </c>
      <c r="B2720" s="1">
        <f>value(USD!B2720)</f>
        <v>13586.95</v>
      </c>
      <c r="C2720" s="1">
        <f>value(AUD!$B2720)</f>
        <v>10795.9302</v>
      </c>
      <c r="D2720" s="1">
        <f>value(EUR!$B2720)</f>
        <v>16001.314</v>
      </c>
      <c r="E2720" s="1">
        <f>value(GBP!$B2720)</f>
        <v>18167.324</v>
      </c>
      <c r="F2720" s="1">
        <f>value(CHF!$B2720)</f>
        <v>14467.6446</v>
      </c>
      <c r="G2720" s="1">
        <f>value(SGD!$B2720)</f>
        <v>10161.5147</v>
      </c>
      <c r="H2720" s="1">
        <f>value(MYR!$B2720)</f>
        <v>3325.1988</v>
      </c>
      <c r="I2720" s="1">
        <f>value(THB!$B2720)</f>
        <v>415.8196</v>
      </c>
      <c r="J2720" s="1">
        <f>value(VND!$B2720)</f>
        <v>0.6135709305</v>
      </c>
      <c r="K2720" s="1">
        <f>value(CNY!$B2720)</f>
        <v>2167.8569</v>
      </c>
      <c r="L2720" s="1">
        <f>value(HKD!$B2720)</f>
        <v>1700.94718</v>
      </c>
      <c r="M2720" s="1">
        <f>value(TWD!$B2720)</f>
        <v>469.278117</v>
      </c>
      <c r="N2720" s="1">
        <f>value(JPY!$B2720)</f>
        <v>120.61756</v>
      </c>
      <c r="O2720" s="1">
        <f>value(SAR!$B2720)</f>
        <v>3752.899965</v>
      </c>
      <c r="P2720" s="1">
        <f>value(AED!$B2720)</f>
        <v>4053.42781</v>
      </c>
      <c r="Q2720" s="1">
        <f>value(KWD!$B2720)</f>
        <v>49056.03304</v>
      </c>
    </row>
    <row r="2721">
      <c r="A2721" s="4">
        <f>value(USD!A2721)</f>
        <v>43086.99861</v>
      </c>
      <c r="B2721" s="1">
        <f>value(USD!B2721)</f>
        <v>13568</v>
      </c>
      <c r="C2721" s="1">
        <f>value(AUD!$B2721)</f>
        <v>10814.06475</v>
      </c>
      <c r="D2721" s="1">
        <f>value(EUR!$B2721)</f>
        <v>16068.7275</v>
      </c>
      <c r="E2721" s="1">
        <f>value(GBP!$B2721)</f>
        <v>18170.409</v>
      </c>
      <c r="F2721" s="1">
        <f>value(CHF!$B2721)</f>
        <v>14539.38954</v>
      </c>
      <c r="G2721" s="1">
        <f>value(SGD!$B2721)</f>
        <v>10159.90538</v>
      </c>
      <c r="H2721" s="1">
        <f>value(MYR!$B2721)</f>
        <v>3324.38175</v>
      </c>
      <c r="I2721" s="1">
        <f>value(THB!$B2721)</f>
        <v>414.71625</v>
      </c>
      <c r="J2721" s="1">
        <f>value(VND!$B2721)</f>
        <v>0.6080749985</v>
      </c>
      <c r="K2721" s="1">
        <f>value(CNY!$B2721)</f>
        <v>2170.51874</v>
      </c>
      <c r="L2721" s="1">
        <f>value(HKD!$B2721)</f>
        <v>1701.07509</v>
      </c>
      <c r="M2721" s="1">
        <f>value(TWD!$B2721)</f>
        <v>456.2671932</v>
      </c>
      <c r="N2721" s="1">
        <f>value(JPY!$B2721)</f>
        <v>120.125175</v>
      </c>
      <c r="O2721" s="1">
        <f>value(SAR!$B2721)</f>
        <v>3777.131032</v>
      </c>
      <c r="P2721" s="1">
        <f>value(AED!$B2721)</f>
        <v>4076.0589</v>
      </c>
      <c r="Q2721" s="1">
        <f>value(KWD!$B2721)</f>
        <v>48953.61519</v>
      </c>
    </row>
    <row r="2722">
      <c r="A2722" s="4">
        <f>value(USD!A2722)</f>
        <v>43087.99861</v>
      </c>
      <c r="B2722" s="1">
        <f>value(USD!B2722)</f>
        <v>13580</v>
      </c>
      <c r="C2722" s="1">
        <f>value(AUD!$B2722)</f>
        <v>10715.55588</v>
      </c>
      <c r="D2722" s="1">
        <f>value(EUR!$B2722)</f>
        <v>16121.46648</v>
      </c>
      <c r="E2722" s="1">
        <f>value(GBP!$B2722)</f>
        <v>18147.91538</v>
      </c>
      <c r="F2722" s="1">
        <f>value(CHF!$B2722)</f>
        <v>14457.7356</v>
      </c>
      <c r="G2722" s="1">
        <f>value(SGD!$B2722)</f>
        <v>10149.04247</v>
      </c>
      <c r="H2722" s="1">
        <f>value(MYR!$B2722)</f>
        <v>3329.59263</v>
      </c>
      <c r="I2722" s="1">
        <f>value(THB!$B2722)</f>
        <v>414.51942</v>
      </c>
      <c r="J2722" s="1">
        <f>value(VND!$B2722)</f>
        <v>0.618299325</v>
      </c>
      <c r="K2722" s="1">
        <f>value(CNY!$B2722)</f>
        <v>2181.58795</v>
      </c>
      <c r="L2722" s="1">
        <f>value(HKD!$B2722)</f>
        <v>1701.46392</v>
      </c>
      <c r="M2722" s="1">
        <f>value(TWD!$B2722)</f>
        <v>469.12411</v>
      </c>
      <c r="N2722" s="1">
        <f>value(JPY!$B2722)</f>
        <v>119.836017</v>
      </c>
      <c r="O2722" s="1">
        <f>value(SAR!$B2722)</f>
        <v>3788.113283</v>
      </c>
      <c r="P2722" s="1">
        <f>value(AED!$B2722)</f>
        <v>4033.162617</v>
      </c>
      <c r="Q2722" s="1">
        <f>value(KWD!$B2722)</f>
        <v>48743.38172</v>
      </c>
    </row>
    <row r="2723">
      <c r="A2723" s="4">
        <f>value(USD!A2723)</f>
        <v>43088.99861</v>
      </c>
      <c r="B2723" s="1">
        <f>value(USD!B2723)</f>
        <v>13575</v>
      </c>
      <c r="C2723" s="1">
        <f>value(AUD!$B2723)</f>
        <v>10602.1216</v>
      </c>
      <c r="D2723" s="1">
        <f>value(EUR!$B2723)</f>
        <v>16079.92092</v>
      </c>
      <c r="E2723" s="1">
        <f>value(GBP!$B2723)</f>
        <v>18144.46418</v>
      </c>
      <c r="F2723" s="1">
        <f>value(CHF!$B2723)</f>
        <v>14476.784</v>
      </c>
      <c r="G2723" s="1">
        <f>value(SGD!$B2723)</f>
        <v>10255.60476</v>
      </c>
      <c r="H2723" s="1">
        <f>value(MYR!$B2723)</f>
        <v>3323.63934</v>
      </c>
      <c r="I2723" s="1">
        <f>value(THB!$B2723)</f>
        <v>414.3191</v>
      </c>
      <c r="J2723" s="1">
        <f>value(VND!$B2723)</f>
        <v>0.618299325</v>
      </c>
      <c r="K2723" s="1">
        <f>value(CNY!$B2723)</f>
        <v>2178.69478</v>
      </c>
      <c r="L2723" s="1">
        <f>value(HKD!$B2723)</f>
        <v>1700.69136</v>
      </c>
      <c r="M2723" s="1">
        <f>value(TWD!$B2723)</f>
        <v>478.137435</v>
      </c>
      <c r="N2723" s="1">
        <f>value(JPY!$B2723)</f>
        <v>119.643964</v>
      </c>
      <c r="O2723" s="1">
        <f>value(SAR!$B2723)</f>
        <v>3799.951825</v>
      </c>
      <c r="P2723" s="1">
        <f>value(AED!$B2723)</f>
        <v>4032.54299</v>
      </c>
      <c r="Q2723" s="1">
        <f>value(KWD!$B2723)</f>
        <v>48966.1483</v>
      </c>
    </row>
    <row r="2724">
      <c r="A2724" s="4">
        <f>value(USD!A2724)</f>
        <v>43089.99861</v>
      </c>
      <c r="B2724" s="1">
        <f>value(USD!B2724)</f>
        <v>13573</v>
      </c>
      <c r="C2724" s="1">
        <f>value(AUD!$B2724)</f>
        <v>10606.99444</v>
      </c>
      <c r="D2724" s="1">
        <f>value(EUR!$B2724)</f>
        <v>16067.14841</v>
      </c>
      <c r="E2724" s="1">
        <f>value(GBP!$B2724)</f>
        <v>18100.1467</v>
      </c>
      <c r="F2724" s="1">
        <f>value(CHF!$B2724)</f>
        <v>14481.04</v>
      </c>
      <c r="G2724" s="1">
        <f>value(SGD!$B2724)</f>
        <v>10264.45584</v>
      </c>
      <c r="H2724" s="1">
        <f>value(MYR!$B2724)</f>
        <v>3319.55688</v>
      </c>
      <c r="I2724" s="1">
        <f>value(THB!$B2724)</f>
        <v>413.45444</v>
      </c>
      <c r="J2724" s="1">
        <f>value(VND!$B2724)</f>
        <v>0.617970195</v>
      </c>
      <c r="K2724" s="1">
        <f>value(CNY!$B2724)</f>
        <v>2177.1484</v>
      </c>
      <c r="L2724" s="1">
        <f>value(HKD!$B2724)</f>
        <v>1709.77297</v>
      </c>
      <c r="M2724" s="1">
        <f>value(TWD!$B2724)</f>
        <v>478.132632</v>
      </c>
      <c r="N2724" s="1">
        <f>value(JPY!$B2724)</f>
        <v>119.62001</v>
      </c>
      <c r="O2724" s="1">
        <f>value(SAR!$B2724)</f>
        <v>3830.650418</v>
      </c>
      <c r="P2724" s="1">
        <f>value(AED!$B2724)</f>
        <v>4040.227565</v>
      </c>
      <c r="Q2724" s="1">
        <f>value(KWD!$B2724)</f>
        <v>48985.9981</v>
      </c>
    </row>
    <row r="2725">
      <c r="A2725" s="4">
        <f>value(USD!A2725)</f>
        <v>43090.99861</v>
      </c>
      <c r="B2725" s="1">
        <f>value(USD!B2725)</f>
        <v>13562</v>
      </c>
      <c r="C2725" s="1">
        <f>value(AUD!$B2725)</f>
        <v>10614.82451</v>
      </c>
      <c r="D2725" s="1">
        <f>value(EUR!$B2725)</f>
        <v>16064.0326</v>
      </c>
      <c r="E2725" s="1">
        <f>value(GBP!$B2725)</f>
        <v>18096.0826</v>
      </c>
      <c r="F2725" s="1">
        <f>value(CHF!$B2725)</f>
        <v>14531.1593</v>
      </c>
      <c r="G2725" s="1">
        <f>value(SGD!$B2725)</f>
        <v>10292.1345</v>
      </c>
      <c r="H2725" s="1">
        <f>value(MYR!$B2725)</f>
        <v>3319.55688</v>
      </c>
      <c r="I2725" s="1">
        <f>value(THB!$B2725)</f>
        <v>413.31897</v>
      </c>
      <c r="J2725" s="1">
        <f>value(VND!$B2725)</f>
        <v>0.61697075</v>
      </c>
      <c r="K2725" s="1">
        <f>value(CNY!$B2725)</f>
        <v>2186.78638</v>
      </c>
      <c r="L2725" s="1">
        <f>value(HKD!$B2725)</f>
        <v>1716.00906</v>
      </c>
      <c r="M2725" s="1">
        <f>value(TWD!$B2725)</f>
        <v>470.46039</v>
      </c>
      <c r="N2725" s="1">
        <f>value(JPY!$B2725)</f>
        <v>119.62001</v>
      </c>
      <c r="O2725" s="1">
        <f>value(SAR!$B2725)</f>
        <v>3810.095708</v>
      </c>
      <c r="P2725" s="1">
        <f>value(AED!$B2725)</f>
        <v>4038.18629</v>
      </c>
      <c r="Q2725" s="1">
        <f>value(KWD!$B2725)</f>
        <v>49286.18197</v>
      </c>
    </row>
    <row r="2726">
      <c r="A2726" s="4">
        <f>value(USD!A2726)</f>
        <v>43091.99861</v>
      </c>
      <c r="B2726" s="1">
        <f>value(USD!B2726)</f>
        <v>13547</v>
      </c>
      <c r="C2726" s="1">
        <f>value(AUD!$B2726)</f>
        <v>10566.30555</v>
      </c>
      <c r="D2726" s="1">
        <f>value(EUR!$B2726)</f>
        <v>16053.8697</v>
      </c>
      <c r="E2726" s="1">
        <f>value(GBP!$B2726)</f>
        <v>18108.2013</v>
      </c>
      <c r="F2726" s="1">
        <f>value(CHF!$B2726)</f>
        <v>14581.16</v>
      </c>
      <c r="G2726" s="1">
        <f>value(SGD!$B2726)</f>
        <v>10212.098</v>
      </c>
      <c r="H2726" s="1">
        <f>value(MYR!$B2726)</f>
        <v>3320.53704</v>
      </c>
      <c r="I2726" s="1">
        <f>value(THB!$B2726)</f>
        <v>413.57652</v>
      </c>
      <c r="J2726" s="1">
        <f>value(VND!$B2726)</f>
        <v>0.6168257325</v>
      </c>
      <c r="K2726" s="1">
        <f>value(CNY!$B2726)</f>
        <v>2186.8584</v>
      </c>
      <c r="L2726" s="1">
        <f>value(HKD!$B2726)</f>
        <v>1711.01655</v>
      </c>
      <c r="M2726" s="1">
        <f>value(TWD!$B2726)</f>
        <v>473.27499</v>
      </c>
      <c r="N2726" s="1">
        <f>value(JPY!$B2726)</f>
        <v>119.560473</v>
      </c>
      <c r="O2726" s="1">
        <f>value(SAR!$B2726)</f>
        <v>3810.095708</v>
      </c>
      <c r="P2726" s="1">
        <f>value(AED!$B2726)</f>
        <v>4030.02119</v>
      </c>
      <c r="Q2726" s="1">
        <f>value(KWD!$B2726)</f>
        <v>49158.47885</v>
      </c>
    </row>
    <row r="2727">
      <c r="A2727" s="4">
        <f>value(USD!A2727)</f>
        <v>43092.99861</v>
      </c>
      <c r="B2727" s="1">
        <f>value(USD!B2727)</f>
        <v>13547</v>
      </c>
      <c r="C2727" s="1">
        <f>value(AUD!$B2727)</f>
        <v>10654.267</v>
      </c>
      <c r="D2727" s="1">
        <f>value(EUR!$B2727)</f>
        <v>16065.1904</v>
      </c>
      <c r="E2727" s="1">
        <f>value(GBP!$B2727)</f>
        <v>18097.42616</v>
      </c>
      <c r="F2727" s="1">
        <f>value(CHF!$B2727)</f>
        <v>14683.1538</v>
      </c>
      <c r="G2727" s="1">
        <f>value(SGD!$B2727)</f>
        <v>10245.59012</v>
      </c>
      <c r="H2727" s="1">
        <f>value(MYR!$B2727)</f>
        <v>3311.55104</v>
      </c>
      <c r="I2727" s="1">
        <f>value(THB!$B2727)</f>
        <v>413.4026</v>
      </c>
      <c r="J2727" s="1">
        <f>value(VND!$B2727)</f>
        <v>0.616576095</v>
      </c>
      <c r="K2727" s="1">
        <f>value(CNY!$B2727)</f>
        <v>2184.59036</v>
      </c>
      <c r="L2727" s="1">
        <f>value(HKD!$B2727)</f>
        <v>1711.66782</v>
      </c>
      <c r="M2727" s="1">
        <f>value(TWD!$B2727)</f>
        <v>468.1052</v>
      </c>
      <c r="N2727" s="1">
        <f>value(JPY!$B2727)</f>
        <v>119.392836</v>
      </c>
      <c r="O2727" s="1">
        <f>value(SAR!$B2727)</f>
        <v>3817.968365</v>
      </c>
      <c r="P2727" s="1">
        <f>value(AED!$B2727)</f>
        <v>4011.7858</v>
      </c>
      <c r="Q2727" s="1">
        <f>value(KWD!$B2727)</f>
        <v>49222.62336</v>
      </c>
    </row>
    <row r="2728">
      <c r="A2728" s="4">
        <f>value(USD!A2728)</f>
        <v>43093.99861</v>
      </c>
      <c r="B2728" s="1">
        <f>value(USD!B2728)</f>
        <v>13551</v>
      </c>
      <c r="C2728" s="1">
        <f>value(AUD!$B2728)</f>
        <v>10580.81466</v>
      </c>
      <c r="D2728" s="1">
        <f>value(EUR!$B2728)</f>
        <v>16069.14848</v>
      </c>
      <c r="E2728" s="1">
        <f>value(GBP!$B2728)</f>
        <v>18123.0896</v>
      </c>
      <c r="F2728" s="1">
        <f>value(CHF!$B2728)</f>
        <v>14691.7232</v>
      </c>
      <c r="G2728" s="1">
        <f>value(SGD!$B2728)</f>
        <v>10231.57594</v>
      </c>
      <c r="H2728" s="1">
        <f>value(MYR!$B2728)</f>
        <v>3315.4968</v>
      </c>
      <c r="I2728" s="1">
        <f>value(THB!$B2728)</f>
        <v>412.92944</v>
      </c>
      <c r="J2728" s="1">
        <f>value(VND!$B2728)</f>
        <v>0.616664601</v>
      </c>
      <c r="K2728" s="1">
        <f>value(CNY!$B2728)</f>
        <v>2187.08786</v>
      </c>
      <c r="L2728" s="1">
        <f>value(HKD!$B2728)</f>
        <v>1714.59635</v>
      </c>
      <c r="M2728" s="1">
        <f>value(TWD!$B2728)</f>
        <v>468.20594</v>
      </c>
      <c r="N2728" s="1">
        <f>value(JPY!$B2728)</f>
        <v>119.677712</v>
      </c>
      <c r="O2728" s="1">
        <f>value(SAR!$B2728)</f>
        <v>3829.951879</v>
      </c>
      <c r="P2728" s="1">
        <f>value(AED!$B2728)</f>
        <v>4028.53618</v>
      </c>
      <c r="Q2728" s="1">
        <f>value(KWD!$B2728)</f>
        <v>49099.57099</v>
      </c>
    </row>
    <row r="2729">
      <c r="A2729" s="4">
        <f>value(USD!A2729)</f>
        <v>43094.99861</v>
      </c>
      <c r="B2729" s="1">
        <f>value(USD!B2729)</f>
        <v>13532</v>
      </c>
      <c r="C2729" s="1">
        <f>value(AUD!$B2729)</f>
        <v>10601.4015</v>
      </c>
      <c r="D2729" s="1">
        <f>value(EUR!$B2729)</f>
        <v>16134.15558</v>
      </c>
      <c r="E2729" s="1">
        <f>value(GBP!$B2729)</f>
        <v>18170.97392</v>
      </c>
      <c r="F2729" s="1">
        <f>value(CHF!$B2729)</f>
        <v>14604.9904</v>
      </c>
      <c r="G2729" s="1">
        <f>value(SGD!$B2729)</f>
        <v>10249.691</v>
      </c>
      <c r="H2729" s="1">
        <f>value(MYR!$B2729)</f>
        <v>3318.59166</v>
      </c>
      <c r="I2729" s="1">
        <f>value(THB!$B2729)</f>
        <v>413.38342</v>
      </c>
      <c r="J2729" s="1">
        <f>value(VND!$B2729)</f>
        <v>0.616620566</v>
      </c>
      <c r="K2729" s="1">
        <f>value(CNY!$B2729)</f>
        <v>2184.84816</v>
      </c>
      <c r="L2729" s="1">
        <f>value(HKD!$B2729)</f>
        <v>1714.59635</v>
      </c>
      <c r="M2729" s="1">
        <f>value(TWD!$B2729)</f>
        <v>469.46081</v>
      </c>
      <c r="N2729" s="1">
        <f>value(JPY!$B2729)</f>
        <v>119.730698</v>
      </c>
      <c r="O2729" s="1">
        <f>value(SAR!$B2729)</f>
        <v>3831.962791</v>
      </c>
      <c r="P2729" s="1">
        <f>value(AED!$B2729)</f>
        <v>4030.90961</v>
      </c>
      <c r="Q2729" s="1">
        <f>value(KWD!$B2729)</f>
        <v>49188.73759</v>
      </c>
    </row>
    <row r="2730">
      <c r="A2730" s="4">
        <f>value(USD!A2730)</f>
        <v>43095.99861</v>
      </c>
      <c r="B2730" s="1">
        <f>value(USD!B2730)</f>
        <v>13552</v>
      </c>
      <c r="C2730" s="1">
        <f>value(AUD!$B2730)</f>
        <v>10601.4015</v>
      </c>
      <c r="D2730" s="1">
        <f>value(EUR!$B2730)</f>
        <v>16185.5404</v>
      </c>
      <c r="E2730" s="1">
        <f>value(GBP!$B2730)</f>
        <v>18220.73178</v>
      </c>
      <c r="F2730" s="1">
        <f>value(CHF!$B2730)</f>
        <v>14606.3456</v>
      </c>
      <c r="G2730" s="1">
        <f>value(SGD!$B2730)</f>
        <v>10312.06155</v>
      </c>
      <c r="H2730" s="1">
        <f>value(MYR!$B2730)</f>
        <v>3333.09872</v>
      </c>
      <c r="I2730" s="1">
        <f>value(THB!$B2730)</f>
        <v>414.46806</v>
      </c>
      <c r="J2730" s="1">
        <f>value(VND!$B2730)</f>
        <v>0.61601557</v>
      </c>
      <c r="K2730" s="1">
        <f>value(CNY!$B2730)</f>
        <v>2186.89436</v>
      </c>
      <c r="L2730" s="1">
        <f>value(HKD!$B2730)</f>
        <v>1714.73046</v>
      </c>
      <c r="M2730" s="1">
        <f>value(TWD!$B2730)</f>
        <v>468.59828</v>
      </c>
      <c r="N2730" s="1">
        <f>value(JPY!$B2730)</f>
        <v>120.083206</v>
      </c>
      <c r="O2730" s="1">
        <f>value(SAR!$B2730)</f>
        <v>3843.997632</v>
      </c>
      <c r="P2730" s="1">
        <f>value(AED!$B2730)</f>
        <v>4057.265407</v>
      </c>
      <c r="Q2730" s="1">
        <f>value(KWD!$B2730)</f>
        <v>48986.33527</v>
      </c>
    </row>
    <row r="2731">
      <c r="A2731" s="4">
        <f>value(USD!A2731)</f>
        <v>43096.99861</v>
      </c>
      <c r="B2731" s="1">
        <f>value(USD!B2731)</f>
        <v>13558</v>
      </c>
      <c r="C2731" s="1">
        <f>value(AUD!$B2731)</f>
        <v>10607.61198</v>
      </c>
      <c r="D2731" s="1">
        <f>value(EUR!$B2731)</f>
        <v>16202.7</v>
      </c>
      <c r="E2731" s="1">
        <f>value(GBP!$B2731)</f>
        <v>18241.2</v>
      </c>
      <c r="F2731" s="1">
        <f>value(CHF!$B2731)</f>
        <v>14611.7664</v>
      </c>
      <c r="G2731" s="1">
        <f>value(SGD!$B2731)</f>
        <v>10309.112</v>
      </c>
      <c r="H2731" s="1">
        <f>value(MYR!$B2731)</f>
        <v>3321.945</v>
      </c>
      <c r="I2731" s="1">
        <f>value(THB!$B2731)</f>
        <v>414.585</v>
      </c>
      <c r="J2731" s="1">
        <f>value(VND!$B2731)</f>
        <v>0.6148266915</v>
      </c>
      <c r="K2731" s="1">
        <f>value(CNY!$B2731)</f>
        <v>2191.1772</v>
      </c>
      <c r="L2731" s="1">
        <f>value(HKD!$B2731)</f>
        <v>1734.56432</v>
      </c>
      <c r="M2731" s="1">
        <f>value(TWD!$B2731)</f>
        <v>469.0229</v>
      </c>
      <c r="N2731" s="1">
        <f>value(JPY!$B2731)</f>
        <v>119.745</v>
      </c>
      <c r="O2731" s="1">
        <f>value(SAR!$B2731)</f>
        <v>3838.133515</v>
      </c>
      <c r="P2731" s="1">
        <f>value(AED!$B2731)</f>
        <v>4046.35139</v>
      </c>
      <c r="Q2731" s="1">
        <f>value(KWD!$B2731)</f>
        <v>48986.33527</v>
      </c>
    </row>
    <row r="2732">
      <c r="A2732" s="4">
        <f>value(USD!A2732)</f>
        <v>43097.99861</v>
      </c>
      <c r="B2732" s="1">
        <f>value(USD!B2732)</f>
        <v>13558</v>
      </c>
      <c r="C2732" s="1">
        <f>value(AUD!$B2732)</f>
        <v>10634.1936</v>
      </c>
      <c r="D2732" s="1">
        <f>value(EUR!$B2732)</f>
        <v>16168.3569</v>
      </c>
      <c r="E2732" s="1">
        <f>value(GBP!$B2732)</f>
        <v>18212.8178</v>
      </c>
      <c r="F2732" s="1">
        <f>value(CHF!$B2732)</f>
        <v>14581.3932</v>
      </c>
      <c r="G2732" s="1">
        <f>value(SGD!$B2732)</f>
        <v>10368.3853</v>
      </c>
      <c r="H2732" s="1">
        <f>value(MYR!$B2732)</f>
        <v>3316.28539</v>
      </c>
      <c r="I2732" s="1">
        <f>value(THB!$B2732)</f>
        <v>405.92724</v>
      </c>
      <c r="J2732" s="1">
        <f>value(VND!$B2732)</f>
        <v>0.61345045</v>
      </c>
      <c r="K2732" s="1">
        <f>value(CNY!$B2732)</f>
        <v>2188.95656</v>
      </c>
      <c r="L2732" s="1">
        <f>value(HKD!$B2732)</f>
        <v>1732.2776</v>
      </c>
      <c r="M2732" s="1">
        <f>value(TWD!$B2732)</f>
        <v>474.139692</v>
      </c>
      <c r="N2732" s="1">
        <f>value(JPY!$B2732)</f>
        <v>119.54099</v>
      </c>
      <c r="O2732" s="1">
        <f>value(SAR!$B2732)</f>
        <v>3827.793335</v>
      </c>
      <c r="P2732" s="1">
        <f>value(AED!$B2732)</f>
        <v>4049.8896</v>
      </c>
      <c r="Q2732" s="1">
        <f>value(KWD!$B2732)</f>
        <v>49184.17365</v>
      </c>
    </row>
    <row r="2733">
      <c r="A2733" s="4">
        <f>value(USD!A2733)</f>
        <v>43098.99861</v>
      </c>
      <c r="B2733" s="1">
        <f>value(USD!B2733)</f>
        <v>13500</v>
      </c>
      <c r="C2733" s="1">
        <f>value(AUD!$B2733)</f>
        <v>10562.4876</v>
      </c>
      <c r="D2733" s="1">
        <f>value(EUR!$B2733)</f>
        <v>16253.1084</v>
      </c>
      <c r="E2733" s="1">
        <f>value(GBP!$B2733)</f>
        <v>18300.6588</v>
      </c>
      <c r="F2733" s="1">
        <f>value(CHF!$B2733)</f>
        <v>14530.6224</v>
      </c>
      <c r="G2733" s="1">
        <f>value(SGD!$B2733)</f>
        <v>10352.10176</v>
      </c>
      <c r="H2733" s="1">
        <f>value(MYR!$B2733)</f>
        <v>3332.27994</v>
      </c>
      <c r="I2733" s="1">
        <f>value(THB!$B2733)</f>
        <v>408.02046</v>
      </c>
      <c r="J2733" s="1">
        <f>value(VND!$B2733)</f>
        <v>0.61327031</v>
      </c>
      <c r="K2733" s="1">
        <f>value(CNY!$B2733)</f>
        <v>2184.819</v>
      </c>
      <c r="L2733" s="1">
        <f>value(HKD!$B2733)</f>
        <v>1744.6839</v>
      </c>
      <c r="M2733" s="1">
        <f>value(TWD!$B2733)</f>
        <v>473.00997</v>
      </c>
      <c r="N2733" s="1">
        <f>value(JPY!$B2733)</f>
        <v>120.11754</v>
      </c>
      <c r="O2733" s="1">
        <f>value(SAR!$B2733)</f>
        <v>3823.403776</v>
      </c>
      <c r="P2733" s="1">
        <f>value(AED!$B2733)</f>
        <v>4036.82544</v>
      </c>
      <c r="Q2733" s="1">
        <f>value(KWD!$B2733)</f>
        <v>49715.3667</v>
      </c>
    </row>
    <row r="2734">
      <c r="A2734" s="4">
        <f>value(USD!A2734)</f>
        <v>43099.99861</v>
      </c>
      <c r="B2734" s="1">
        <f>value(USD!B2734)</f>
        <v>13477</v>
      </c>
      <c r="C2734" s="1">
        <f>value(AUD!$B2734)</f>
        <v>10534.3448</v>
      </c>
      <c r="D2734" s="1">
        <f>value(EUR!$B2734)</f>
        <v>16274.7695</v>
      </c>
      <c r="E2734" s="1">
        <f>value(GBP!$B2734)</f>
        <v>18306.05</v>
      </c>
      <c r="F2734" s="1">
        <f>value(CHF!$B2734)</f>
        <v>14496.78</v>
      </c>
      <c r="G2734" s="1">
        <f>value(SGD!$B2734)</f>
        <v>10325.2688</v>
      </c>
      <c r="H2734" s="1">
        <f>value(MYR!$B2734)</f>
        <v>3334.2485</v>
      </c>
      <c r="I2734" s="1">
        <f>value(THB!$B2734)</f>
        <v>415.714</v>
      </c>
      <c r="J2734" s="1">
        <f>value(VND!$B2734)</f>
        <v>0.609756444</v>
      </c>
      <c r="K2734" s="1">
        <f>value(CNY!$B2734)</f>
        <v>2180.35856</v>
      </c>
      <c r="L2734" s="1">
        <f>value(HKD!$B2734)</f>
        <v>1738.77626</v>
      </c>
      <c r="M2734" s="1">
        <f>value(TWD!$B2734)</f>
        <v>471.93426</v>
      </c>
      <c r="N2734" s="1">
        <f>value(JPY!$B2734)</f>
        <v>120.12075</v>
      </c>
      <c r="O2734" s="1">
        <f>value(SAR!$B2734)</f>
        <v>3815.301627</v>
      </c>
      <c r="P2734" s="1">
        <f>value(AED!$B2734)</f>
        <v>4043.2339</v>
      </c>
      <c r="Q2734" s="1">
        <f>value(KWD!$B2734)</f>
        <v>49571.59378</v>
      </c>
    </row>
    <row r="2735">
      <c r="A2735" s="4">
        <f>value(USD!A2735)</f>
        <v>43100.99861</v>
      </c>
      <c r="B2735" s="1">
        <f>value(USD!B2735)</f>
        <v>13542</v>
      </c>
      <c r="C2735" s="1">
        <f>value(AUD!$B2735)</f>
        <v>10568.1274</v>
      </c>
      <c r="D2735" s="1">
        <f>value(EUR!$B2735)</f>
        <v>16280.08984</v>
      </c>
      <c r="E2735" s="1">
        <f>value(GBP!$B2735)</f>
        <v>18346.4624</v>
      </c>
      <c r="F2735" s="1">
        <f>value(CHF!$B2735)</f>
        <v>14655.2016</v>
      </c>
      <c r="G2735" s="1">
        <f>value(SGD!$B2735)</f>
        <v>10325.2688</v>
      </c>
      <c r="H2735" s="1">
        <f>value(MYR!$B2735)</f>
        <v>3355.51048</v>
      </c>
      <c r="I2735" s="1">
        <f>value(THB!$B2735)</f>
        <v>416.08168</v>
      </c>
      <c r="J2735" s="1">
        <f>value(VND!$B2735)</f>
        <v>0.60861388</v>
      </c>
      <c r="K2735" s="1">
        <f>value(CNY!$B2735)</f>
        <v>2182.8864</v>
      </c>
      <c r="L2735" s="1">
        <f>value(HKD!$B2735)</f>
        <v>1740.47952</v>
      </c>
      <c r="M2735" s="1">
        <f>value(TWD!$B2735)</f>
        <v>471.79292</v>
      </c>
      <c r="N2735" s="1">
        <f>value(JPY!$B2735)</f>
        <v>120.24936</v>
      </c>
      <c r="O2735" s="1">
        <f>value(SAR!$B2735)</f>
        <v>3820.239591</v>
      </c>
      <c r="P2735" s="1">
        <f>value(AED!$B2735)</f>
        <v>4031.53016</v>
      </c>
      <c r="Q2735" s="1">
        <f>value(KWD!$B2735)</f>
        <v>49352.59882</v>
      </c>
    </row>
    <row r="2736">
      <c r="A2736" s="4">
        <f>value(USD!A2736)</f>
        <v>43101.99861</v>
      </c>
      <c r="B2736" s="1">
        <f>value(USD!B2736)</f>
        <v>13550</v>
      </c>
      <c r="C2736" s="1">
        <f>value(AUD!$B2736)</f>
        <v>10541.0064</v>
      </c>
      <c r="D2736" s="1">
        <f>value(EUR!$B2736)</f>
        <v>16174.79864</v>
      </c>
      <c r="E2736" s="1">
        <f>value(GBP!$B2736)</f>
        <v>18195.9414</v>
      </c>
      <c r="F2736" s="1">
        <f>value(CHF!$B2736)</f>
        <v>14572.1448</v>
      </c>
      <c r="G2736" s="1">
        <f>value(SGD!$B2736)</f>
        <v>10328.25024</v>
      </c>
      <c r="H2736" s="1">
        <f>value(MYR!$B2736)</f>
        <v>3347.87544</v>
      </c>
      <c r="I2736" s="1">
        <f>value(THB!$B2736)</f>
        <v>416.29588</v>
      </c>
      <c r="J2736" s="1">
        <f>value(VND!$B2736)</f>
        <v>0.6179838475</v>
      </c>
      <c r="K2736" s="1">
        <f>value(CNY!$B2736)</f>
        <v>2183.77521</v>
      </c>
      <c r="L2736" s="1">
        <f>value(HKD!$B2736)</f>
        <v>1740.47952</v>
      </c>
      <c r="M2736" s="1">
        <f>value(TWD!$B2736)</f>
        <v>472.76094</v>
      </c>
      <c r="N2736" s="1">
        <f>value(JPY!$B2736)</f>
        <v>119.582372</v>
      </c>
      <c r="O2736" s="1">
        <f>value(SAR!$B2736)</f>
        <v>3837.426518</v>
      </c>
      <c r="P2736" s="1">
        <f>value(AED!$B2736)</f>
        <v>4032.41888</v>
      </c>
      <c r="Q2736" s="1">
        <f>value(KWD!$B2736)</f>
        <v>49182.48895</v>
      </c>
    </row>
    <row r="2737">
      <c r="A2737" s="4">
        <f>value(USD!A2737)</f>
        <v>43102.99861</v>
      </c>
      <c r="B2737" s="1">
        <f>value(USD!B2737)</f>
        <v>13496</v>
      </c>
      <c r="C2737" s="1">
        <f>value(AUD!$B2737)</f>
        <v>10550.2152</v>
      </c>
      <c r="D2737" s="1">
        <f>value(EUR!$B2737)</f>
        <v>16189.35615</v>
      </c>
      <c r="E2737" s="1">
        <f>value(GBP!$B2737)</f>
        <v>18177.325</v>
      </c>
      <c r="F2737" s="1">
        <f>value(CHF!$B2737)</f>
        <v>14573.51</v>
      </c>
      <c r="G2737" s="1">
        <f>value(SGD!$B2737)</f>
        <v>10310.39226</v>
      </c>
      <c r="H2737" s="1">
        <f>value(MYR!$B2737)</f>
        <v>3348.6523</v>
      </c>
      <c r="I2737" s="1">
        <f>value(THB!$B2737)</f>
        <v>415.99915</v>
      </c>
      <c r="J2737" s="1">
        <f>value(VND!$B2737)</f>
        <v>0.6179838475</v>
      </c>
      <c r="K2737" s="1">
        <f>value(CNY!$B2737)</f>
        <v>2185.97729</v>
      </c>
      <c r="L2737" s="1">
        <f>value(HKD!$B2737)</f>
        <v>1740.719</v>
      </c>
      <c r="M2737" s="1">
        <f>value(TWD!$B2737)</f>
        <v>474.8058</v>
      </c>
      <c r="N2737" s="1">
        <f>value(JPY!$B2737)</f>
        <v>118.91056</v>
      </c>
      <c r="O2737" s="1">
        <f>value(SAR!$B2737)</f>
        <v>3838.022486</v>
      </c>
      <c r="P2737" s="1">
        <f>value(AED!$B2737)</f>
        <v>4044.71837</v>
      </c>
      <c r="Q2737" s="1">
        <f>value(KWD!$B2737)</f>
        <v>49222.12561</v>
      </c>
    </row>
    <row r="2738">
      <c r="A2738" s="4">
        <f>value(USD!A2738)</f>
        <v>43103.99861</v>
      </c>
      <c r="B2738" s="1">
        <f>value(USD!B2738)</f>
        <v>13468</v>
      </c>
      <c r="C2738" s="1">
        <f>value(AUD!$B2738)</f>
        <v>10576.85296</v>
      </c>
      <c r="D2738" s="1">
        <f>value(EUR!$B2738)</f>
        <v>16131.01902</v>
      </c>
      <c r="E2738" s="1">
        <f>value(GBP!$B2738)</f>
        <v>18196.0448</v>
      </c>
      <c r="F2738" s="1">
        <f>value(CHF!$B2738)</f>
        <v>14576.36378</v>
      </c>
      <c r="G2738" s="1">
        <f>value(SGD!$B2738)</f>
        <v>10312.27848</v>
      </c>
      <c r="H2738" s="1">
        <f>value(MYR!$B2738)</f>
        <v>3352.75</v>
      </c>
      <c r="I2738" s="1">
        <f>value(THB!$B2738)</f>
        <v>416.41155</v>
      </c>
      <c r="J2738" s="1">
        <f>value(VND!$B2738)</f>
        <v>0.6105327475</v>
      </c>
      <c r="K2738" s="1">
        <f>value(CNY!$B2738)</f>
        <v>2181.16024</v>
      </c>
      <c r="L2738" s="1">
        <f>value(HKD!$B2738)</f>
        <v>1744.66684</v>
      </c>
      <c r="M2738" s="1">
        <f>value(TWD!$B2738)</f>
        <v>475.584792</v>
      </c>
      <c r="N2738" s="1">
        <f>value(JPY!$B2738)</f>
        <v>118.55324</v>
      </c>
      <c r="O2738" s="1">
        <f>value(SAR!$B2738)</f>
        <v>3840.506149</v>
      </c>
      <c r="P2738" s="1">
        <f>value(AED!$B2738)</f>
        <v>4088.401655</v>
      </c>
      <c r="Q2738" s="1">
        <f>value(KWD!$B2738)</f>
        <v>49797.53571</v>
      </c>
    </row>
    <row r="2739">
      <c r="A2739" s="4">
        <f>value(USD!A2739)</f>
        <v>43104.99861</v>
      </c>
      <c r="B2739" s="1">
        <f>value(USD!B2739)</f>
        <v>13415</v>
      </c>
      <c r="C2739" s="1">
        <f>value(AUD!$B2739)</f>
        <v>10520.24456</v>
      </c>
      <c r="D2739" s="1">
        <f>value(EUR!$B2739)</f>
        <v>16150.64713</v>
      </c>
      <c r="E2739" s="1">
        <f>value(GBP!$B2739)</f>
        <v>18215.97464</v>
      </c>
      <c r="F2739" s="1">
        <f>value(CHF!$B2739)</f>
        <v>14542.4103</v>
      </c>
      <c r="G2739" s="1">
        <f>value(SGD!$B2739)</f>
        <v>10278.4212</v>
      </c>
      <c r="H2739" s="1">
        <f>value(MYR!$B2739)</f>
        <v>3355.7025</v>
      </c>
      <c r="I2739" s="1">
        <f>value(THB!$B2739)</f>
        <v>416.7782505</v>
      </c>
      <c r="J2739" s="1">
        <f>value(VND!$B2739)</f>
        <v>0.61168266</v>
      </c>
      <c r="K2739" s="1">
        <f>value(CNY!$B2739)</f>
        <v>2183.19176</v>
      </c>
      <c r="L2739" s="1">
        <f>value(HKD!$B2739)</f>
        <v>1743.874</v>
      </c>
      <c r="M2739" s="1">
        <f>value(TWD!$B2739)</f>
        <v>473.2446</v>
      </c>
      <c r="N2739" s="1">
        <f>value(JPY!$B2739)</f>
        <v>118.6576404</v>
      </c>
      <c r="O2739" s="1">
        <f>value(SAR!$B2739)</f>
        <v>3832.719904</v>
      </c>
      <c r="P2739" s="1">
        <f>value(AED!$B2739)</f>
        <v>4078.46745</v>
      </c>
      <c r="Q2739" s="1">
        <f>value(KWD!$B2739)</f>
        <v>49746.92207</v>
      </c>
    </row>
    <row r="2740">
      <c r="A2740" s="4">
        <f>value(USD!A2740)</f>
        <v>43105.99861</v>
      </c>
      <c r="B2740" s="1">
        <f>value(USD!B2740)</f>
        <v>13411</v>
      </c>
      <c r="C2740" s="1">
        <f>value(AUD!$B2740)</f>
        <v>10554.87433</v>
      </c>
      <c r="D2740" s="1">
        <f>value(EUR!$B2740)</f>
        <v>16161.81136</v>
      </c>
      <c r="E2740" s="1">
        <f>value(GBP!$B2740)</f>
        <v>18226.88396</v>
      </c>
      <c r="F2740" s="1">
        <f>value(CHF!$B2740)</f>
        <v>14573.1548</v>
      </c>
      <c r="G2740" s="1">
        <f>value(SGD!$B2740)</f>
        <v>10364.49336</v>
      </c>
      <c r="H2740" s="1">
        <f>value(MYR!$B2740)</f>
        <v>3356.75</v>
      </c>
      <c r="I2740" s="1">
        <f>value(THB!$B2740)</f>
        <v>417.31116</v>
      </c>
      <c r="J2740" s="1">
        <f>value(VND!$B2740)</f>
        <v>0.60911162</v>
      </c>
      <c r="K2740" s="1">
        <f>value(CNY!$B2740)</f>
        <v>2187.330057</v>
      </c>
      <c r="L2740" s="1">
        <f>value(HKD!$B2740)</f>
        <v>1741.43648</v>
      </c>
      <c r="M2740" s="1">
        <f>value(TWD!$B2740)</f>
        <v>471.7416</v>
      </c>
      <c r="N2740" s="1">
        <f>value(JPY!$B2740)</f>
        <v>118.627545</v>
      </c>
      <c r="O2740" s="1">
        <f>value(SAR!$B2740)</f>
        <v>3832.799904</v>
      </c>
      <c r="P2740" s="1">
        <f>value(AED!$B2740)</f>
        <v>4060.598984</v>
      </c>
      <c r="Q2740" s="1">
        <f>value(KWD!$B2740)</f>
        <v>49916.57662</v>
      </c>
    </row>
    <row r="2741">
      <c r="A2741" s="4">
        <f>value(USD!A2741)</f>
        <v>43106.99861</v>
      </c>
      <c r="B2741" s="1">
        <f>value(USD!B2741)</f>
        <v>13422.81</v>
      </c>
      <c r="C2741" s="1">
        <f>value(AUD!$B2741)</f>
        <v>10614.80943</v>
      </c>
      <c r="D2741" s="1">
        <f>value(EUR!$B2741)</f>
        <v>16071.85046</v>
      </c>
      <c r="E2741" s="1">
        <f>value(GBP!$B2741)</f>
        <v>18219.63338</v>
      </c>
      <c r="F2741" s="1">
        <f>value(CHF!$B2741)</f>
        <v>14560.726</v>
      </c>
      <c r="G2741" s="1">
        <f>value(SGD!$B2741)</f>
        <v>10340.0248</v>
      </c>
      <c r="H2741" s="1">
        <f>value(MYR!$B2741)</f>
        <v>3357.15281</v>
      </c>
      <c r="I2741" s="1">
        <f>value(THB!$B2741)</f>
        <v>416.63981</v>
      </c>
      <c r="J2741" s="1">
        <f>value(VND!$B2741)</f>
        <v>0.61712175</v>
      </c>
      <c r="K2741" s="1">
        <f>value(CNY!$B2741)</f>
        <v>2193.545715</v>
      </c>
      <c r="L2741" s="1">
        <f>value(HKD!$B2741)</f>
        <v>1732.89424</v>
      </c>
      <c r="M2741" s="1">
        <f>value(TWD!$B2741)</f>
        <v>470.7096</v>
      </c>
      <c r="N2741" s="1">
        <f>value(JPY!$B2741)</f>
        <v>118.640972</v>
      </c>
      <c r="O2741" s="1">
        <f>value(SAR!$B2741)</f>
        <v>3832.902096</v>
      </c>
      <c r="P2741" s="1">
        <f>value(AED!$B2741)</f>
        <v>4053.8025</v>
      </c>
      <c r="Q2741" s="1">
        <f>value(KWD!$B2741)</f>
        <v>50973.88932</v>
      </c>
    </row>
    <row r="2742">
      <c r="A2742" s="4">
        <f>value(USD!A2742)</f>
        <v>43107.99861</v>
      </c>
      <c r="B2742" s="1">
        <f>value(USD!B2742)</f>
        <v>13427</v>
      </c>
      <c r="C2742" s="1">
        <f>value(AUD!$B2742)</f>
        <v>10548.416</v>
      </c>
      <c r="D2742" s="1">
        <f>value(EUR!$B2742)</f>
        <v>16020.1098</v>
      </c>
      <c r="E2742" s="1">
        <f>value(GBP!$B2742)</f>
        <v>18172.9388</v>
      </c>
      <c r="F2742" s="1">
        <f>value(CHF!$B2742)</f>
        <v>14592.11754</v>
      </c>
      <c r="G2742" s="1">
        <f>value(SGD!$B2742)</f>
        <v>10340.0248</v>
      </c>
      <c r="H2742" s="1">
        <f>value(MYR!$B2742)</f>
        <v>3347.8304</v>
      </c>
      <c r="I2742" s="1">
        <f>value(THB!$B2742)</f>
        <v>416.0614</v>
      </c>
      <c r="J2742" s="1">
        <f>value(VND!$B2742)</f>
        <v>0.614143524</v>
      </c>
      <c r="K2742" s="1">
        <f>value(CNY!$B2742)</f>
        <v>2187.98931</v>
      </c>
      <c r="L2742" s="1">
        <f>value(HKD!$B2742)</f>
        <v>1732.48768</v>
      </c>
      <c r="M2742" s="1">
        <f>value(TWD!$B2742)</f>
        <v>468.57456</v>
      </c>
      <c r="N2742" s="1">
        <f>value(JPY!$B2742)</f>
        <v>119.07038</v>
      </c>
      <c r="O2742" s="1">
        <f>value(SAR!$B2742)</f>
        <v>3834.583345</v>
      </c>
      <c r="P2742" s="1">
        <f>value(AED!$B2742)</f>
        <v>4056.77146</v>
      </c>
      <c r="Q2742" s="1">
        <f>value(KWD!$B2742)</f>
        <v>49825.19973</v>
      </c>
    </row>
    <row r="2743">
      <c r="A2743" s="4">
        <f>value(USD!A2743)</f>
        <v>43108.99861</v>
      </c>
      <c r="B2743" s="1">
        <f>value(USD!B2743)</f>
        <v>13427</v>
      </c>
      <c r="C2743" s="1">
        <f>value(AUD!$B2743)</f>
        <v>10564.4788</v>
      </c>
      <c r="D2743" s="1">
        <f>value(EUR!$B2743)</f>
        <v>16069.52196</v>
      </c>
      <c r="E2743" s="1">
        <f>value(GBP!$B2743)</f>
        <v>18161.4792</v>
      </c>
      <c r="F2743" s="1">
        <f>value(CHF!$B2743)</f>
        <v>14659.9411</v>
      </c>
      <c r="G2743" s="1">
        <f>value(SGD!$B2743)</f>
        <v>10343.71419</v>
      </c>
      <c r="H2743" s="1">
        <f>value(MYR!$B2743)</f>
        <v>3356.08329</v>
      </c>
      <c r="I2743" s="1">
        <f>value(THB!$B2743)</f>
        <v>418.41833</v>
      </c>
      <c r="J2743" s="1">
        <f>value(VND!$B2743)</f>
        <v>0.617062056</v>
      </c>
      <c r="K2743" s="1">
        <f>value(CNY!$B2743)</f>
        <v>2194.22784</v>
      </c>
      <c r="L2743" s="1">
        <f>value(HKD!$B2743)</f>
        <v>1732.35216</v>
      </c>
      <c r="M2743" s="1">
        <f>value(TWD!$B2743)</f>
        <v>469.64208</v>
      </c>
      <c r="N2743" s="1">
        <f>value(JPY!$B2743)</f>
        <v>120.579211</v>
      </c>
      <c r="O2743" s="1">
        <f>value(SAR!$B2743)</f>
        <v>3837.755549</v>
      </c>
      <c r="P2743" s="1">
        <f>value(AED!$B2743)</f>
        <v>4097.056661</v>
      </c>
      <c r="Q2743" s="1">
        <f>value(KWD!$B2743)</f>
        <v>50122.22157</v>
      </c>
    </row>
    <row r="2744">
      <c r="A2744" s="4">
        <f>value(USD!A2744)</f>
        <v>43109.99861</v>
      </c>
      <c r="B2744" s="1">
        <f>value(USD!B2744)</f>
        <v>13430</v>
      </c>
      <c r="C2744" s="1">
        <f>value(AUD!$B2744)</f>
        <v>10564.4788</v>
      </c>
      <c r="D2744" s="1">
        <f>value(EUR!$B2744)</f>
        <v>16127.18095</v>
      </c>
      <c r="E2744" s="1">
        <f>value(GBP!$B2744)</f>
        <v>18134.52379</v>
      </c>
      <c r="F2744" s="1">
        <f>value(CHF!$B2744)</f>
        <v>14659.9411</v>
      </c>
      <c r="G2744" s="1">
        <f>value(SGD!$B2744)</f>
        <v>10369.16309</v>
      </c>
      <c r="H2744" s="1">
        <f>value(MYR!$B2744)</f>
        <v>3364.18767</v>
      </c>
      <c r="I2744" s="1">
        <f>value(THB!$B2744)</f>
        <v>418.39732</v>
      </c>
      <c r="J2744" s="1">
        <f>value(VND!$B2744)</f>
        <v>0.61391488</v>
      </c>
      <c r="K2744" s="1">
        <f>value(CNY!$B2744)</f>
        <v>2188.35355</v>
      </c>
      <c r="L2744" s="1">
        <f>value(HKD!$B2744)</f>
        <v>1732.48768</v>
      </c>
      <c r="M2744" s="1">
        <f>value(TWD!$B2744)</f>
        <v>468.2142</v>
      </c>
      <c r="N2744" s="1">
        <f>value(JPY!$B2744)</f>
        <v>120.309319</v>
      </c>
      <c r="O2744" s="1">
        <f>value(SAR!$B2744)</f>
        <v>3855.148276</v>
      </c>
      <c r="P2744" s="1">
        <f>value(AED!$B2744)</f>
        <v>4092.89246</v>
      </c>
      <c r="Q2744" s="1">
        <f>value(KWD!$B2744)</f>
        <v>50041.22161</v>
      </c>
    </row>
    <row r="2745">
      <c r="A2745" s="4">
        <f>value(USD!A2745)</f>
        <v>43110.99861</v>
      </c>
      <c r="B2745" s="1">
        <f>value(USD!B2745)</f>
        <v>13441</v>
      </c>
      <c r="C2745" s="1">
        <f>value(AUD!$B2745)</f>
        <v>10567.2314</v>
      </c>
      <c r="D2745" s="1">
        <f>value(EUR!$B2745)</f>
        <v>16251.5988</v>
      </c>
      <c r="E2745" s="1">
        <f>value(GBP!$B2745)</f>
        <v>18285.696</v>
      </c>
      <c r="F2745" s="1">
        <f>value(CHF!$B2745)</f>
        <v>14670.66688</v>
      </c>
      <c r="G2745" s="1">
        <f>value(SGD!$B2745)</f>
        <v>10336.2312</v>
      </c>
      <c r="H2745" s="1">
        <f>value(MYR!$B2745)</f>
        <v>3352.644</v>
      </c>
      <c r="I2745" s="1">
        <f>value(THB!$B2745)</f>
        <v>417.4488</v>
      </c>
      <c r="J2745" s="1">
        <f>value(VND!$B2745)</f>
        <v>0.61348056</v>
      </c>
      <c r="K2745" s="1">
        <f>value(CNY!$B2745)</f>
        <v>2193.06146</v>
      </c>
      <c r="L2745" s="1">
        <f>value(HKD!$B2745)</f>
        <v>1732.74336</v>
      </c>
      <c r="M2745" s="1">
        <f>value(TWD!$B2745)</f>
        <v>466.18367</v>
      </c>
      <c r="N2745" s="1">
        <f>value(JPY!$B2745)</f>
        <v>119.88</v>
      </c>
      <c r="O2745" s="1">
        <f>value(SAR!$B2745)</f>
        <v>3861.943674</v>
      </c>
      <c r="P2745" s="1">
        <f>value(AED!$B2745)</f>
        <v>4120.436064</v>
      </c>
      <c r="Q2745" s="1">
        <f>value(KWD!$B2745)</f>
        <v>50944.4474</v>
      </c>
    </row>
    <row r="2746">
      <c r="A2746" s="4">
        <f>value(USD!A2746)</f>
        <v>43111.99861</v>
      </c>
      <c r="B2746" s="1">
        <f>value(USD!B2746)</f>
        <v>13393</v>
      </c>
      <c r="C2746" s="1">
        <f>value(AUD!$B2746)</f>
        <v>10599.9832</v>
      </c>
      <c r="D2746" s="1">
        <f>value(EUR!$B2746)</f>
        <v>16213.2525</v>
      </c>
      <c r="E2746" s="1">
        <f>value(GBP!$B2746)</f>
        <v>18256.694</v>
      </c>
      <c r="F2746" s="1">
        <f>value(CHF!$B2746)</f>
        <v>14612.0469</v>
      </c>
      <c r="G2746" s="1">
        <f>value(SGD!$B2746)</f>
        <v>10378.902</v>
      </c>
      <c r="H2746" s="1">
        <f>value(MYR!$B2746)</f>
        <v>3340.5017</v>
      </c>
      <c r="I2746" s="1">
        <f>value(THB!$B2746)</f>
        <v>410.15075</v>
      </c>
      <c r="J2746" s="1">
        <f>value(VND!$B2746)</f>
        <v>0.612784567</v>
      </c>
      <c r="K2746" s="1">
        <f>value(CNY!$B2746)</f>
        <v>2189.97683</v>
      </c>
      <c r="L2746" s="1">
        <f>value(HKD!$B2746)</f>
        <v>1739.1024</v>
      </c>
      <c r="M2746" s="1">
        <f>value(TWD!$B2746)</f>
        <v>467.11134</v>
      </c>
      <c r="N2746" s="1">
        <f>value(JPY!$B2746)</f>
        <v>119.78795</v>
      </c>
      <c r="O2746" s="1">
        <f>value(SAR!$B2746)</f>
        <v>3866.917495</v>
      </c>
      <c r="P2746" s="1">
        <f>value(AED!$B2746)</f>
        <v>4193.840313</v>
      </c>
      <c r="Q2746" s="1">
        <f>value(KWD!$B2746)</f>
        <v>50199.5018</v>
      </c>
    </row>
    <row r="2747">
      <c r="A2747" s="4">
        <f>value(USD!A2747)</f>
        <v>43112.99861</v>
      </c>
      <c r="B2747" s="1">
        <f>value(USD!B2747)</f>
        <v>13320</v>
      </c>
      <c r="C2747" s="1">
        <f>value(AUD!$B2747)</f>
        <v>10668.67933</v>
      </c>
      <c r="D2747" s="1">
        <f>value(EUR!$B2747)</f>
        <v>16209.264</v>
      </c>
      <c r="E2747" s="1">
        <f>value(GBP!$B2747)</f>
        <v>18256.1622</v>
      </c>
      <c r="F2747" s="1">
        <f>value(CHF!$B2747)</f>
        <v>14662.9663</v>
      </c>
      <c r="G2747" s="1">
        <f>value(SGD!$B2747)</f>
        <v>10390.25715</v>
      </c>
      <c r="H2747" s="1">
        <f>value(MYR!$B2747)</f>
        <v>3340.5017</v>
      </c>
      <c r="I2747" s="1">
        <f>value(THB!$B2747)</f>
        <v>416.3994</v>
      </c>
      <c r="J2747" s="1">
        <f>value(VND!$B2747)</f>
        <v>0.61335126</v>
      </c>
      <c r="K2747" s="1">
        <f>value(CNY!$B2747)</f>
        <v>2194.50322</v>
      </c>
      <c r="L2747" s="1">
        <f>value(HKD!$B2747)</f>
        <v>1739.47748</v>
      </c>
      <c r="M2747" s="1">
        <f>value(TWD!$B2747)</f>
        <v>462.6204</v>
      </c>
      <c r="N2747" s="1">
        <f>value(JPY!$B2747)</f>
        <v>119.62841</v>
      </c>
      <c r="O2747" s="1">
        <f>value(SAR!$B2747)</f>
        <v>3873.402242</v>
      </c>
      <c r="P2747" s="1">
        <f>value(AED!$B2747)</f>
        <v>4112.8658</v>
      </c>
      <c r="Q2747" s="1">
        <f>value(KWD!$B2747)</f>
        <v>50231.38093</v>
      </c>
    </row>
    <row r="2748">
      <c r="A2748" s="4">
        <f>value(USD!A2748)</f>
        <v>43113.99861</v>
      </c>
      <c r="B2748" s="1">
        <f>value(USD!B2748)</f>
        <v>13295</v>
      </c>
      <c r="C2748" s="1">
        <f>value(AUD!$B2748)</f>
        <v>10674.09135</v>
      </c>
      <c r="D2748" s="1">
        <f>value(EUR!$B2748)</f>
        <v>16321.37655</v>
      </c>
      <c r="E2748" s="1">
        <f>value(GBP!$B2748)</f>
        <v>18354.7797</v>
      </c>
      <c r="F2748" s="1">
        <f>value(CHF!$B2748)</f>
        <v>14565.5765</v>
      </c>
      <c r="G2748" s="1">
        <f>value(SGD!$B2748)</f>
        <v>10415.83246</v>
      </c>
      <c r="H2748" s="1">
        <f>value(MYR!$B2748)</f>
        <v>3369.6243</v>
      </c>
      <c r="I2748" s="1">
        <f>value(THB!$B2748)</f>
        <v>416.7126</v>
      </c>
      <c r="J2748" s="1">
        <f>value(VND!$B2748)</f>
        <v>0.6132375</v>
      </c>
      <c r="K2748" s="1">
        <f>value(CNY!$B2748)</f>
        <v>2197.926</v>
      </c>
      <c r="L2748" s="1">
        <f>value(HKD!$B2748)</f>
        <v>1747.7928</v>
      </c>
      <c r="M2748" s="1">
        <f>value(TWD!$B2748)</f>
        <v>463.31344</v>
      </c>
      <c r="N2748" s="1">
        <f>value(JPY!$B2748)</f>
        <v>120.2971575</v>
      </c>
      <c r="O2748" s="1">
        <f>value(SAR!$B2748)</f>
        <v>3859.569473</v>
      </c>
      <c r="P2748" s="1">
        <f>value(AED!$B2748)</f>
        <v>4136.319905</v>
      </c>
      <c r="Q2748" s="1">
        <f>value(KWD!$B2748)</f>
        <v>50609.32522</v>
      </c>
    </row>
    <row r="2749">
      <c r="A2749" s="4">
        <f>value(USD!A2749)</f>
        <v>43114.99861</v>
      </c>
      <c r="B2749" s="1">
        <f>value(USD!B2749)</f>
        <v>13295</v>
      </c>
      <c r="C2749" s="1">
        <f>value(AUD!$B2749)</f>
        <v>10679.33724</v>
      </c>
      <c r="D2749" s="1">
        <f>value(EUR!$B2749)</f>
        <v>16327.1273</v>
      </c>
      <c r="E2749" s="1">
        <f>value(GBP!$B2749)</f>
        <v>18358.2882</v>
      </c>
      <c r="F2749" s="1">
        <f>value(CHF!$B2749)</f>
        <v>14484.9502</v>
      </c>
      <c r="G2749" s="1">
        <f>value(SGD!$B2749)</f>
        <v>10415.83246</v>
      </c>
      <c r="H2749" s="1">
        <f>value(MYR!$B2749)</f>
        <v>3356.70462</v>
      </c>
      <c r="I2749" s="1">
        <f>value(THB!$B2749)</f>
        <v>416.74392</v>
      </c>
      <c r="J2749" s="1">
        <f>value(VND!$B2749)</f>
        <v>0.610146089</v>
      </c>
      <c r="K2749" s="1">
        <f>value(CNY!$B2749)</f>
        <v>2198.82212</v>
      </c>
      <c r="L2749" s="1">
        <f>value(HKD!$B2749)</f>
        <v>1744.86212</v>
      </c>
      <c r="M2749" s="1">
        <f>value(TWD!$B2749)</f>
        <v>449.1006875</v>
      </c>
      <c r="N2749" s="1">
        <f>value(JPY!$B2749)</f>
        <v>120.499136</v>
      </c>
      <c r="O2749" s="1">
        <f>value(SAR!$B2749)</f>
        <v>3888.607078</v>
      </c>
      <c r="P2749" s="1">
        <f>value(AED!$B2749)</f>
        <v>4130.54579</v>
      </c>
      <c r="Q2749" s="1">
        <f>value(KWD!$B2749)</f>
        <v>50094.02572</v>
      </c>
    </row>
    <row r="2750">
      <c r="A2750" s="4">
        <f>value(USD!A2750)</f>
        <v>43115.99861</v>
      </c>
      <c r="B2750" s="1">
        <f>value(USD!B2750)</f>
        <v>13305</v>
      </c>
      <c r="C2750" s="1">
        <f>value(AUD!$B2750)</f>
        <v>10688.8747</v>
      </c>
      <c r="D2750" s="1">
        <f>value(EUR!$B2750)</f>
        <v>16247.51552</v>
      </c>
      <c r="E2750" s="1">
        <f>value(GBP!$B2750)</f>
        <v>18438.88704</v>
      </c>
      <c r="F2750" s="1">
        <f>value(CHF!$B2750)</f>
        <v>14473.647</v>
      </c>
      <c r="G2750" s="1">
        <f>value(SGD!$B2750)</f>
        <v>10418.17013</v>
      </c>
      <c r="H2750" s="1">
        <f>value(MYR!$B2750)</f>
        <v>3366.0064</v>
      </c>
      <c r="I2750" s="1">
        <f>value(THB!$B2750)</f>
        <v>416.88336</v>
      </c>
      <c r="J2750" s="1">
        <f>value(VND!$B2750)</f>
        <v>0.608852093</v>
      </c>
      <c r="K2750" s="1">
        <f>value(CNY!$B2750)</f>
        <v>2202.076685</v>
      </c>
      <c r="L2750" s="1">
        <f>value(HKD!$B2750)</f>
        <v>1744.7256</v>
      </c>
      <c r="M2750" s="1">
        <f>value(TWD!$B2750)</f>
        <v>467.20176</v>
      </c>
      <c r="N2750" s="1">
        <f>value(JPY!$B2750)</f>
        <v>119.717272</v>
      </c>
      <c r="O2750" s="1">
        <f>value(SAR!$B2750)</f>
        <v>3882.250747</v>
      </c>
      <c r="P2750" s="1">
        <f>value(AED!$B2750)</f>
        <v>4191.418</v>
      </c>
      <c r="Q2750" s="1">
        <f>value(KWD!$B2750)</f>
        <v>50141.86471</v>
      </c>
    </row>
    <row r="2751">
      <c r="A2751" s="4">
        <f>value(USD!A2751)</f>
        <v>43116.99861</v>
      </c>
      <c r="B2751" s="1">
        <f>value(USD!B2751)</f>
        <v>13306</v>
      </c>
      <c r="C2751" s="1">
        <f>value(AUD!$B2751)</f>
        <v>10674.52357</v>
      </c>
      <c r="D2751" s="1">
        <f>value(EUR!$B2751)</f>
        <v>16314.41568</v>
      </c>
      <c r="E2751" s="1">
        <f>value(GBP!$B2751)</f>
        <v>18522.52608</v>
      </c>
      <c r="F2751" s="1">
        <f>value(CHF!$B2751)</f>
        <v>14503.9274</v>
      </c>
      <c r="G2751" s="1">
        <f>value(SGD!$B2751)</f>
        <v>10418.82765</v>
      </c>
      <c r="H2751" s="1">
        <f>value(MYR!$B2751)</f>
        <v>3370.30184</v>
      </c>
      <c r="I2751" s="1">
        <f>value(THB!$B2751)</f>
        <v>417.75422</v>
      </c>
      <c r="J2751" s="1">
        <f>value(VND!$B2751)</f>
        <v>0.608852093</v>
      </c>
      <c r="K2751" s="1">
        <f>value(CNY!$B2751)</f>
        <v>2204.52039</v>
      </c>
      <c r="L2751" s="1">
        <f>value(HKD!$B2751)</f>
        <v>1746.037972</v>
      </c>
      <c r="M2751" s="1">
        <f>value(TWD!$B2751)</f>
        <v>467.082</v>
      </c>
      <c r="N2751" s="1">
        <f>value(JPY!$B2751)</f>
        <v>120.059336</v>
      </c>
      <c r="O2751" s="1">
        <f>value(SAR!$B2751)</f>
        <v>3862.070669</v>
      </c>
      <c r="P2751" s="1">
        <f>value(AED!$B2751)</f>
        <v>4143.24391</v>
      </c>
      <c r="Q2751" s="1">
        <f>value(KWD!$B2751)</f>
        <v>50210.8293</v>
      </c>
    </row>
    <row r="2752">
      <c r="A2752" s="4">
        <f>value(USD!A2752)</f>
        <v>43117.99861</v>
      </c>
      <c r="B2752" s="1">
        <f>value(USD!B2752)</f>
        <v>13336</v>
      </c>
      <c r="C2752" s="1">
        <f>value(AUD!$B2752)</f>
        <v>10699.21052</v>
      </c>
      <c r="D2752" s="1">
        <f>value(EUR!$B2752)</f>
        <v>16273.8593</v>
      </c>
      <c r="E2752" s="1">
        <f>value(GBP!$B2752)</f>
        <v>18451.927</v>
      </c>
      <c r="F2752" s="1">
        <f>value(CHF!$B2752)</f>
        <v>14481.80888</v>
      </c>
      <c r="G2752" s="1">
        <f>value(SGD!$B2752)</f>
        <v>10435.37596</v>
      </c>
      <c r="H2752" s="1">
        <f>value(MYR!$B2752)</f>
        <v>3378.5481</v>
      </c>
      <c r="I2752" s="1">
        <f>value(THB!$B2752)</f>
        <v>417.8247</v>
      </c>
      <c r="J2752" s="1">
        <f>value(VND!$B2752)</f>
        <v>0.608097555</v>
      </c>
      <c r="K2752" s="1">
        <f>value(CNY!$B2752)</f>
        <v>2209.88669</v>
      </c>
      <c r="L2752" s="1">
        <f>value(HKD!$B2752)</f>
        <v>1744.87082</v>
      </c>
      <c r="M2752" s="1">
        <f>value(TWD!$B2752)</f>
        <v>464.9224</v>
      </c>
      <c r="N2752" s="1">
        <f>value(JPY!$B2752)</f>
        <v>120.23445</v>
      </c>
      <c r="O2752" s="1">
        <f>value(SAR!$B2752)</f>
        <v>3876.951704</v>
      </c>
      <c r="P2752" s="1">
        <f>value(AED!$B2752)</f>
        <v>4135.89532</v>
      </c>
      <c r="Q2752" s="1">
        <f>value(KWD!$B2752)</f>
        <v>50208.18555</v>
      </c>
    </row>
    <row r="2753">
      <c r="A2753" s="4">
        <f>value(USD!A2753)</f>
        <v>43118.99861</v>
      </c>
      <c r="B2753" s="1">
        <f>value(USD!B2753)</f>
        <v>13334</v>
      </c>
      <c r="C2753" s="1">
        <f>value(AUD!$B2753)</f>
        <v>10683.6862</v>
      </c>
      <c r="D2753" s="1">
        <f>value(EUR!$B2753)</f>
        <v>16301.50259</v>
      </c>
      <c r="E2753" s="1">
        <f>value(GBP!$B2753)</f>
        <v>18477.32871</v>
      </c>
      <c r="F2753" s="1">
        <f>value(CHF!$B2753)</f>
        <v>14521.1535</v>
      </c>
      <c r="G2753" s="1">
        <f>value(SGD!$B2753)</f>
        <v>10455.68405</v>
      </c>
      <c r="H2753" s="1">
        <f>value(MYR!$B2753)</f>
        <v>3383.199154</v>
      </c>
      <c r="I2753" s="1">
        <f>value(THB!$B2753)</f>
        <v>418.3998954</v>
      </c>
      <c r="J2753" s="1">
        <f>value(VND!$B2753)</f>
        <v>0.61285667</v>
      </c>
      <c r="K2753" s="1">
        <f>value(CNY!$B2753)</f>
        <v>2199.4056</v>
      </c>
      <c r="L2753" s="1">
        <f>value(HKD!$B2753)</f>
        <v>1749.4085</v>
      </c>
      <c r="M2753" s="1">
        <f>value(TWD!$B2753)</f>
        <v>465.24852</v>
      </c>
      <c r="N2753" s="1">
        <f>value(JPY!$B2753)</f>
        <v>120.3999699</v>
      </c>
      <c r="O2753" s="1">
        <f>value(SAR!$B2753)</f>
        <v>3836.496116</v>
      </c>
      <c r="P2753" s="1">
        <f>value(AED!$B2753)</f>
        <v>4163.983264</v>
      </c>
      <c r="Q2753" s="1">
        <f>value(KWD!$B2753)</f>
        <v>50460.49397</v>
      </c>
    </row>
    <row r="2754">
      <c r="A2754" s="4">
        <f>value(USD!A2754)</f>
        <v>43119.99861</v>
      </c>
      <c r="B2754" s="1">
        <f>value(USD!B2754)</f>
        <v>13315</v>
      </c>
      <c r="C2754" s="1">
        <f>value(AUD!$B2754)</f>
        <v>10723.57258</v>
      </c>
      <c r="D2754" s="1">
        <f>value(EUR!$B2754)</f>
        <v>16329.521</v>
      </c>
      <c r="E2754" s="1">
        <f>value(GBP!$B2754)</f>
        <v>18507.0925</v>
      </c>
      <c r="F2754" s="1">
        <f>value(CHF!$B2754)</f>
        <v>14557.53</v>
      </c>
      <c r="G2754" s="1">
        <f>value(SGD!$B2754)</f>
        <v>10463.574</v>
      </c>
      <c r="H2754" s="1">
        <f>value(MYR!$B2754)</f>
        <v>3381.0855</v>
      </c>
      <c r="I2754" s="1">
        <f>value(THB!$B2754)</f>
        <v>418.1385</v>
      </c>
      <c r="J2754" s="1">
        <f>value(VND!$B2754)</f>
        <v>0.6091602245</v>
      </c>
      <c r="K2754" s="1">
        <f>value(CNY!$B2754)</f>
        <v>2200.31552</v>
      </c>
      <c r="L2754" s="1">
        <f>value(HKD!$B2754)</f>
        <v>1757.60412</v>
      </c>
      <c r="M2754" s="1">
        <f>value(TWD!$B2754)</f>
        <v>465.38091</v>
      </c>
      <c r="N2754" s="1">
        <f>value(JPY!$B2754)</f>
        <v>120.32475</v>
      </c>
      <c r="O2754" s="1">
        <f>value(SAR!$B2754)</f>
        <v>3843.035699</v>
      </c>
      <c r="P2754" s="1">
        <f>value(AED!$B2754)</f>
        <v>4132.64503</v>
      </c>
      <c r="Q2754" s="1">
        <f>value(KWD!$B2754)</f>
        <v>50625.86614</v>
      </c>
    </row>
    <row r="2755">
      <c r="A2755" s="4">
        <f>value(USD!A2755)</f>
        <v>43120.99861</v>
      </c>
      <c r="B2755" s="1">
        <f>value(USD!B2755)</f>
        <v>13333.33</v>
      </c>
      <c r="C2755" s="1">
        <f>value(AUD!$B2755)</f>
        <v>10657.602</v>
      </c>
      <c r="D2755" s="1">
        <f>value(EUR!$B2755)</f>
        <v>16349.2868</v>
      </c>
      <c r="E2755" s="1">
        <f>value(GBP!$B2755)</f>
        <v>18653.4502</v>
      </c>
      <c r="F2755" s="1">
        <f>value(CHF!$B2755)</f>
        <v>14530.6575</v>
      </c>
      <c r="G2755" s="1">
        <f>value(SGD!$B2755)</f>
        <v>10453.2201</v>
      </c>
      <c r="H2755" s="1">
        <f>value(MYR!$B2755)</f>
        <v>3388.46774</v>
      </c>
      <c r="I2755" s="1">
        <f>value(THB!$B2755)</f>
        <v>418.80538</v>
      </c>
      <c r="J2755" s="1">
        <f>value(VND!$B2755)</f>
        <v>0.6115355025</v>
      </c>
      <c r="K2755" s="1">
        <f>value(CNY!$B2755)</f>
        <v>2190.24499</v>
      </c>
      <c r="L2755" s="1">
        <f>value(HKD!$B2755)</f>
        <v>1755.41275</v>
      </c>
      <c r="M2755" s="1">
        <f>value(TWD!$B2755)</f>
        <v>466.47684</v>
      </c>
      <c r="N2755" s="1">
        <f>value(JPY!$B2755)</f>
        <v>120.2127542</v>
      </c>
      <c r="O2755" s="1">
        <f>value(SAR!$B2755)</f>
        <v>3844.593222</v>
      </c>
      <c r="P2755" s="1">
        <f>value(AED!$B2755)</f>
        <v>4137.35154</v>
      </c>
      <c r="Q2755" s="1">
        <f>value(KWD!$B2755)</f>
        <v>50170.29957</v>
      </c>
    </row>
    <row r="2756">
      <c r="A2756" s="4">
        <f>value(USD!A2756)</f>
        <v>43121.99861</v>
      </c>
      <c r="B2756" s="1">
        <f>value(USD!B2756)</f>
        <v>13325</v>
      </c>
      <c r="C2756" s="1">
        <f>value(AUD!$B2756)</f>
        <v>10618.9653</v>
      </c>
      <c r="D2756" s="1">
        <f>value(EUR!$B2756)</f>
        <v>16415.9492</v>
      </c>
      <c r="E2756" s="1">
        <f>value(GBP!$B2756)</f>
        <v>18687.7368</v>
      </c>
      <c r="F2756" s="1">
        <f>value(CHF!$B2756)</f>
        <v>14458.2822</v>
      </c>
      <c r="G2756" s="1">
        <f>value(SGD!$B2756)</f>
        <v>10462.5884</v>
      </c>
      <c r="H2756" s="1">
        <f>value(MYR!$B2756)</f>
        <v>3393.87864</v>
      </c>
      <c r="I2756" s="1">
        <f>value(THB!$B2756)</f>
        <v>419.68392</v>
      </c>
      <c r="J2756" s="1">
        <f>value(VND!$B2756)</f>
        <v>0.6086947125</v>
      </c>
      <c r="K2756" s="1">
        <f>value(CNY!$B2756)</f>
        <v>2185.43534</v>
      </c>
      <c r="L2756" s="1">
        <f>value(HKD!$B2756)</f>
        <v>1756.0027</v>
      </c>
      <c r="M2756" s="1">
        <f>value(TWD!$B2756)</f>
        <v>454.95114</v>
      </c>
      <c r="N2756" s="1">
        <f>value(JPY!$B2756)</f>
        <v>121.077544</v>
      </c>
      <c r="O2756" s="1">
        <f>value(SAR!$B2756)</f>
        <v>3846.145594</v>
      </c>
      <c r="P2756" s="1">
        <f>value(AED!$B2756)</f>
        <v>4135.296546</v>
      </c>
      <c r="Q2756" s="1">
        <f>value(KWD!$B2756)</f>
        <v>50201.71491</v>
      </c>
    </row>
    <row r="2757">
      <c r="A2757" s="4">
        <f>value(USD!A2757)</f>
        <v>43122.99861</v>
      </c>
      <c r="B2757" s="1">
        <f>value(USD!B2757)</f>
        <v>13342</v>
      </c>
      <c r="C2757" s="1">
        <f>value(AUD!$B2757)</f>
        <v>10626.03455</v>
      </c>
      <c r="D2757" s="1">
        <f>value(EUR!$B2757)</f>
        <v>16476.222</v>
      </c>
      <c r="E2757" s="1">
        <f>value(GBP!$B2757)</f>
        <v>18905.7666</v>
      </c>
      <c r="F2757" s="1">
        <f>value(CHF!$B2757)</f>
        <v>14416.0816</v>
      </c>
      <c r="G2757" s="1">
        <f>value(SGD!$B2757)</f>
        <v>10481.5851</v>
      </c>
      <c r="H2757" s="1">
        <f>value(MYR!$B2757)</f>
        <v>3396.70814</v>
      </c>
      <c r="I2757" s="1">
        <f>value(THB!$B2757)</f>
        <v>421.14766</v>
      </c>
      <c r="J2757" s="1">
        <f>value(VND!$B2757)</f>
        <v>0.6088999275</v>
      </c>
      <c r="K2757" s="1">
        <f>value(CNY!$B2757)</f>
        <v>2188.2699</v>
      </c>
      <c r="L2757" s="1">
        <f>value(HKD!$B2757)</f>
        <v>1756.0027</v>
      </c>
      <c r="M2757" s="1">
        <f>value(TWD!$B2757)</f>
        <v>464.23368</v>
      </c>
      <c r="N2757" s="1">
        <f>value(JPY!$B2757)</f>
        <v>121.6208484</v>
      </c>
      <c r="O2757" s="1">
        <f>value(SAR!$B2757)</f>
        <v>3867.652511</v>
      </c>
      <c r="P2757" s="1">
        <f>value(AED!$B2757)</f>
        <v>4135.07881</v>
      </c>
      <c r="Q2757" s="1">
        <f>value(KWD!$B2757)</f>
        <v>50395.1706</v>
      </c>
    </row>
    <row r="2758">
      <c r="A2758" s="4">
        <f>value(USD!A2758)</f>
        <v>43123.99861</v>
      </c>
      <c r="B2758" s="1">
        <f>value(USD!B2758)</f>
        <v>13336</v>
      </c>
      <c r="C2758" s="1">
        <f>value(AUD!$B2758)</f>
        <v>10644.82713</v>
      </c>
      <c r="D2758" s="1">
        <f>value(EUR!$B2758)</f>
        <v>16479.72183</v>
      </c>
      <c r="E2758" s="1">
        <f>value(GBP!$B2758)</f>
        <v>18816.7551</v>
      </c>
      <c r="F2758" s="1">
        <f>value(CHF!$B2758)</f>
        <v>14455.97489</v>
      </c>
      <c r="G2758" s="1">
        <f>value(SGD!$B2758)</f>
        <v>10471.8036</v>
      </c>
      <c r="H2758" s="1">
        <f>value(MYR!$B2758)</f>
        <v>3420.5028</v>
      </c>
      <c r="I2758" s="1">
        <f>value(THB!$B2758)</f>
        <v>422.37624</v>
      </c>
      <c r="J2758" s="1">
        <f>value(VND!$B2758)</f>
        <v>0.6079508805</v>
      </c>
      <c r="K2758" s="1">
        <f>value(CNY!$B2758)</f>
        <v>2194.82889</v>
      </c>
      <c r="L2758" s="1">
        <f>value(HKD!$B2758)</f>
        <v>1755.86519</v>
      </c>
      <c r="M2758" s="1">
        <f>value(TWD!$B2758)</f>
        <v>466.55973</v>
      </c>
      <c r="N2758" s="1">
        <f>value(JPY!$B2758)</f>
        <v>121.193787</v>
      </c>
      <c r="O2758" s="1">
        <f>value(SAR!$B2758)</f>
        <v>3875.987576</v>
      </c>
      <c r="P2758" s="1">
        <f>value(AED!$B2758)</f>
        <v>4154.637174</v>
      </c>
      <c r="Q2758" s="1">
        <f>value(KWD!$B2758)</f>
        <v>50125.44467</v>
      </c>
    </row>
    <row r="2759">
      <c r="A2759" s="4">
        <f>value(USD!A2759)</f>
        <v>43124.99861</v>
      </c>
      <c r="B2759" s="1">
        <f>value(USD!B2759)</f>
        <v>13298</v>
      </c>
      <c r="C2759" s="1">
        <f>value(AUD!$B2759)</f>
        <v>10608.9639</v>
      </c>
      <c r="D2759" s="1">
        <f>value(EUR!$B2759)</f>
        <v>16526.4925</v>
      </c>
      <c r="E2759" s="1">
        <f>value(GBP!$B2759)</f>
        <v>18846.1869</v>
      </c>
      <c r="F2759" s="1">
        <f>value(CHF!$B2759)</f>
        <v>14425.7764</v>
      </c>
      <c r="G2759" s="1">
        <f>value(SGD!$B2759)</f>
        <v>10484.5275</v>
      </c>
      <c r="H2759" s="1">
        <f>value(MYR!$B2759)</f>
        <v>3430.72693</v>
      </c>
      <c r="I2759" s="1">
        <f>value(THB!$B2759)</f>
        <v>424.3019</v>
      </c>
      <c r="J2759" s="1">
        <f>value(VND!$B2759)</f>
        <v>0.6070912075</v>
      </c>
      <c r="K2759" s="1">
        <f>value(CNY!$B2759)</f>
        <v>2203.61048</v>
      </c>
      <c r="L2759" s="1">
        <f>value(HKD!$B2759)</f>
        <v>1753.80279</v>
      </c>
      <c r="M2759" s="1">
        <f>value(TWD!$B2759)</f>
        <v>466.69896</v>
      </c>
      <c r="N2759" s="1">
        <f>value(JPY!$B2759)</f>
        <v>122.3692</v>
      </c>
      <c r="O2759" s="1">
        <f>value(SAR!$B2759)</f>
        <v>3863.438482</v>
      </c>
      <c r="P2759" s="1">
        <f>value(AED!$B2759)</f>
        <v>4172.264415</v>
      </c>
      <c r="Q2759" s="1">
        <f>value(KWD!$B2759)</f>
        <v>50394.38893</v>
      </c>
    </row>
    <row r="2760">
      <c r="A2760" s="4">
        <f>value(USD!A2760)</f>
        <v>43125.99861</v>
      </c>
      <c r="B2760" s="1">
        <f>value(USD!B2760)</f>
        <v>13299</v>
      </c>
      <c r="C2760" s="1">
        <f>value(AUD!$B2760)</f>
        <v>10551.18192</v>
      </c>
      <c r="D2760" s="1">
        <f>value(EUR!$B2760)</f>
        <v>16551.14698</v>
      </c>
      <c r="E2760" s="1">
        <f>value(GBP!$B2760)</f>
        <v>18870.73259</v>
      </c>
      <c r="F2760" s="1">
        <f>value(CHF!$B2760)</f>
        <v>14478.8294</v>
      </c>
      <c r="G2760" s="1">
        <f>value(SGD!$B2760)</f>
        <v>10465.84818</v>
      </c>
      <c r="H2760" s="1">
        <f>value(MYR!$B2760)</f>
        <v>3434.48497</v>
      </c>
      <c r="I2760" s="1">
        <f>value(THB!$B2760)</f>
        <v>424.766683</v>
      </c>
      <c r="J2760" s="1">
        <f>value(VND!$B2760)</f>
        <v>0.6099552592</v>
      </c>
      <c r="K2760" s="1">
        <f>value(CNY!$B2760)</f>
        <v>2200.881514</v>
      </c>
      <c r="L2760" s="1">
        <f>value(HKD!$B2760)</f>
        <v>1756.19876</v>
      </c>
      <c r="M2760" s="1">
        <f>value(TWD!$B2760)</f>
        <v>466.69896</v>
      </c>
      <c r="N2760" s="1">
        <f>value(JPY!$B2760)</f>
        <v>122.503244</v>
      </c>
      <c r="O2760" s="1">
        <f>value(SAR!$B2760)</f>
        <v>3863.036232</v>
      </c>
      <c r="P2760" s="1">
        <f>value(AED!$B2760)</f>
        <v>4129.227155</v>
      </c>
      <c r="Q2760" s="1">
        <f>value(KWD!$B2760)</f>
        <v>50329.20973</v>
      </c>
    </row>
    <row r="2761">
      <c r="A2761" s="4">
        <f>value(USD!A2761)</f>
        <v>43126.99861</v>
      </c>
      <c r="B2761" s="1">
        <f>value(USD!B2761)</f>
        <v>13301</v>
      </c>
      <c r="C2761" s="1">
        <f>value(AUD!$B2761)</f>
        <v>10537.65733</v>
      </c>
      <c r="D2761" s="1">
        <f>value(EUR!$B2761)</f>
        <v>16523.47104</v>
      </c>
      <c r="E2761" s="1">
        <f>value(GBP!$B2761)</f>
        <v>18810.91488</v>
      </c>
      <c r="F2761" s="1">
        <f>value(CHF!$B2761)</f>
        <v>14373.8037</v>
      </c>
      <c r="G2761" s="1">
        <f>value(SGD!$B2761)</f>
        <v>10428.9472</v>
      </c>
      <c r="H2761" s="1">
        <f>value(MYR!$B2761)</f>
        <v>3429.43728</v>
      </c>
      <c r="I2761" s="1">
        <f>value(THB!$B2761)</f>
        <v>424.1424</v>
      </c>
      <c r="J2761" s="1">
        <f>value(VND!$B2761)</f>
        <v>0.606429675</v>
      </c>
      <c r="K2761" s="1">
        <f>value(CNY!$B2761)</f>
        <v>2192.32147</v>
      </c>
      <c r="L2761" s="1">
        <f>value(HKD!$B2761)</f>
        <v>1754.4118</v>
      </c>
      <c r="M2761" s="1">
        <f>value(TWD!$B2761)</f>
        <v>472.078402</v>
      </c>
      <c r="N2761" s="1">
        <f>value(JPY!$B2761)</f>
        <v>122.349792</v>
      </c>
      <c r="O2761" s="1">
        <f>value(SAR!$B2761)</f>
        <v>3882.354441</v>
      </c>
      <c r="P2761" s="1">
        <f>value(AED!$B2761)</f>
        <v>4132.72363</v>
      </c>
      <c r="Q2761" s="1">
        <f>value(KWD!$B2761)</f>
        <v>50097.61141</v>
      </c>
    </row>
    <row r="2762">
      <c r="A2762" s="4">
        <f>value(USD!A2762)</f>
        <v>43127.99861</v>
      </c>
      <c r="B2762" s="1">
        <f>value(USD!B2762)</f>
        <v>13315.57</v>
      </c>
      <c r="C2762" s="1">
        <f>value(AUD!$B2762)</f>
        <v>10486.83361</v>
      </c>
      <c r="D2762" s="1">
        <f>value(EUR!$B2762)</f>
        <v>16548.47967</v>
      </c>
      <c r="E2762" s="1">
        <f>value(GBP!$B2762)</f>
        <v>18812.7158</v>
      </c>
      <c r="F2762" s="1">
        <f>value(CHF!$B2762)</f>
        <v>14445.07</v>
      </c>
      <c r="G2762" s="1">
        <f>value(SGD!$B2762)</f>
        <v>10427.03312</v>
      </c>
      <c r="H2762" s="1">
        <f>value(MYR!$B2762)</f>
        <v>3441.60149</v>
      </c>
      <c r="I2762" s="1">
        <f>value(THB!$B2762)</f>
        <v>424.66959</v>
      </c>
      <c r="J2762" s="1">
        <f>value(VND!$B2762)</f>
        <v>0.6065775675</v>
      </c>
      <c r="K2762" s="1">
        <f>value(CNY!$B2762)</f>
        <v>2191.357476</v>
      </c>
      <c r="L2762" s="1">
        <f>value(HKD!$B2762)</f>
        <v>1758.4043</v>
      </c>
      <c r="M2762" s="1">
        <f>value(TWD!$B2762)</f>
        <v>466.41387</v>
      </c>
      <c r="N2762" s="1">
        <f>value(JPY!$B2762)</f>
        <v>122.70906</v>
      </c>
      <c r="O2762" s="1">
        <f>value(SAR!$B2762)</f>
        <v>3849.562208</v>
      </c>
      <c r="P2762" s="1">
        <f>value(AED!$B2762)</f>
        <v>4154.593399</v>
      </c>
      <c r="Q2762" s="1">
        <f>value(KWD!$B2762)</f>
        <v>50161.59135</v>
      </c>
    </row>
    <row r="2763">
      <c r="A2763" s="4">
        <f>value(USD!A2763)</f>
        <v>43128.99861</v>
      </c>
      <c r="B2763" s="1">
        <f>value(USD!B2763)</f>
        <v>13296</v>
      </c>
      <c r="C2763" s="1">
        <f>value(AUD!$B2763)</f>
        <v>10489.204</v>
      </c>
      <c r="D2763" s="1">
        <f>value(EUR!$B2763)</f>
        <v>16653.85048</v>
      </c>
      <c r="E2763" s="1">
        <f>value(GBP!$B2763)</f>
        <v>18997.02287</v>
      </c>
      <c r="F2763" s="1">
        <f>value(CHF!$B2763)</f>
        <v>14529.7256</v>
      </c>
      <c r="G2763" s="1">
        <f>value(SGD!$B2763)</f>
        <v>10457.97282</v>
      </c>
      <c r="H2763" s="1">
        <f>value(MYR!$B2763)</f>
        <v>3438.19178</v>
      </c>
      <c r="I2763" s="1">
        <f>value(THB!$B2763)</f>
        <v>427.05622</v>
      </c>
      <c r="J2763" s="1">
        <f>value(VND!$B2763)</f>
        <v>0.604340505</v>
      </c>
      <c r="K2763" s="1">
        <f>value(CNY!$B2763)</f>
        <v>2188.021247</v>
      </c>
      <c r="L2763" s="1">
        <f>value(HKD!$B2763)</f>
        <v>1757.052</v>
      </c>
      <c r="M2763" s="1">
        <f>value(TWD!$B2763)</f>
        <v>461.54745</v>
      </c>
      <c r="N2763" s="1">
        <f>value(JPY!$B2763)</f>
        <v>123.4154897</v>
      </c>
      <c r="O2763" s="1">
        <f>value(SAR!$B2763)</f>
        <v>3843.669058</v>
      </c>
      <c r="P2763" s="1">
        <f>value(AED!$B2763)</f>
        <v>4132.35711</v>
      </c>
      <c r="Q2763" s="1">
        <f>value(KWD!$B2763)</f>
        <v>50161.59135</v>
      </c>
    </row>
    <row r="2764">
      <c r="A2764" s="4">
        <f>value(USD!A2764)</f>
        <v>43129.99861</v>
      </c>
      <c r="B2764" s="1">
        <f>value(USD!B2764)</f>
        <v>13367</v>
      </c>
      <c r="C2764" s="1">
        <f>value(AUD!$B2764)</f>
        <v>10502.364</v>
      </c>
      <c r="D2764" s="1">
        <f>value(EUR!$B2764)</f>
        <v>16618.20642</v>
      </c>
      <c r="E2764" s="1">
        <f>value(GBP!$B2764)</f>
        <v>19002.78936</v>
      </c>
      <c r="F2764" s="1">
        <f>value(CHF!$B2764)</f>
        <v>14496.1594</v>
      </c>
      <c r="G2764" s="1">
        <f>value(SGD!$B2764)</f>
        <v>10416.91914</v>
      </c>
      <c r="H2764" s="1">
        <f>value(MYR!$B2764)</f>
        <v>3428.45694</v>
      </c>
      <c r="I2764" s="1">
        <f>value(THB!$B2764)</f>
        <v>427.18536</v>
      </c>
      <c r="J2764" s="1">
        <f>value(VND!$B2764)</f>
        <v>0.6047364645</v>
      </c>
      <c r="K2764" s="1">
        <f>value(CNY!$B2764)</f>
        <v>2190.96425</v>
      </c>
      <c r="L2764" s="1">
        <f>value(HKD!$B2764)</f>
        <v>1757.16948</v>
      </c>
      <c r="M2764" s="1">
        <f>value(TWD!$B2764)</f>
        <v>461.12976</v>
      </c>
      <c r="N2764" s="1">
        <f>value(JPY!$B2764)</f>
        <v>122.521365</v>
      </c>
      <c r="O2764" s="1">
        <f>value(SAR!$B2764)</f>
        <v>3863.21762</v>
      </c>
      <c r="P2764" s="1">
        <f>value(AED!$B2764)</f>
        <v>4155.899815</v>
      </c>
      <c r="Q2764" s="1">
        <f>value(KWD!$B2764)</f>
        <v>50457.80458</v>
      </c>
    </row>
    <row r="2765">
      <c r="A2765" s="4">
        <f>value(USD!A2765)</f>
        <v>43130.99861</v>
      </c>
      <c r="B2765" s="1">
        <f>value(USD!B2765)</f>
        <v>13421</v>
      </c>
      <c r="C2765" s="1">
        <f>value(AUD!$B2765)</f>
        <v>10470.37221</v>
      </c>
      <c r="D2765" s="1">
        <f>value(EUR!$B2765)</f>
        <v>16744.81512</v>
      </c>
      <c r="E2765" s="1">
        <f>value(GBP!$B2765)</f>
        <v>19096.19988</v>
      </c>
      <c r="F2765" s="1">
        <f>value(CHF!$B2765)</f>
        <v>14496.1594</v>
      </c>
      <c r="G2765" s="1">
        <f>value(SGD!$B2765)</f>
        <v>10441.15425</v>
      </c>
      <c r="H2765" s="1">
        <f>value(MYR!$B2765)</f>
        <v>3429.22548</v>
      </c>
      <c r="I2765" s="1">
        <f>value(THB!$B2765)</f>
        <v>427.54884</v>
      </c>
      <c r="J2765" s="1">
        <f>value(VND!$B2765)</f>
        <v>0.6047364645</v>
      </c>
      <c r="K2765" s="1">
        <f>value(CNY!$B2765)</f>
        <v>2240.72524</v>
      </c>
      <c r="L2765" s="1">
        <f>value(HKD!$B2765)</f>
        <v>1754.45025</v>
      </c>
      <c r="M2765" s="1">
        <f>value(TWD!$B2765)</f>
        <v>460.99053</v>
      </c>
      <c r="N2765" s="1">
        <f>value(JPY!$B2765)</f>
        <v>122.321268</v>
      </c>
      <c r="O2765" s="1">
        <f>value(SAR!$B2765)</f>
        <v>3864.922513</v>
      </c>
      <c r="P2765" s="1">
        <f>value(AED!$B2765)</f>
        <v>4152.579341</v>
      </c>
      <c r="Q2765" s="1">
        <f>value(KWD!$B2765)</f>
        <v>50351.42442</v>
      </c>
    </row>
    <row r="2766">
      <c r="A2766" s="4">
        <f>value(USD!A2766)</f>
        <v>43131.99861</v>
      </c>
      <c r="B2766" s="1">
        <f>value(USD!B2766)</f>
        <v>13383</v>
      </c>
      <c r="C2766" s="1">
        <f>value(AUD!$B2766)</f>
        <v>10461.8365</v>
      </c>
      <c r="D2766" s="1">
        <f>value(EUR!$B2766)</f>
        <v>16711.4471</v>
      </c>
      <c r="E2766" s="1">
        <f>value(GBP!$B2766)</f>
        <v>18939.0142</v>
      </c>
      <c r="F2766" s="1">
        <f>value(CHF!$B2766)</f>
        <v>14527.1672</v>
      </c>
      <c r="G2766" s="1">
        <f>value(SGD!$B2766)</f>
        <v>10447.95102</v>
      </c>
      <c r="H2766" s="1">
        <f>value(MYR!$B2766)</f>
        <v>3447.56577</v>
      </c>
      <c r="I2766" s="1">
        <f>value(THB!$B2766)</f>
        <v>426.06747</v>
      </c>
      <c r="J2766" s="1">
        <f>value(VND!$B2766)</f>
        <v>0.6047969025</v>
      </c>
      <c r="K2766" s="1">
        <f>value(CNY!$B2766)</f>
        <v>2238.750495</v>
      </c>
      <c r="L2766" s="1">
        <f>value(HKD!$B2766)</f>
        <v>1752.537</v>
      </c>
      <c r="M2766" s="1">
        <f>value(TWD!$B2766)</f>
        <v>461.12976</v>
      </c>
      <c r="N2766" s="1">
        <f>value(JPY!$B2766)</f>
        <v>121.77188</v>
      </c>
      <c r="O2766" s="1">
        <f>value(SAR!$B2766)</f>
        <v>3859.569473</v>
      </c>
      <c r="P2766" s="1">
        <f>value(AED!$B2766)</f>
        <v>4135.488944</v>
      </c>
      <c r="Q2766" s="1">
        <f>value(KWD!$B2766)</f>
        <v>50087.33805</v>
      </c>
    </row>
    <row r="2767">
      <c r="A2767" s="4">
        <f>value(USD!A2767)</f>
        <v>43132.99861</v>
      </c>
      <c r="B2767" s="1">
        <f>value(USD!B2767)</f>
        <v>13386</v>
      </c>
      <c r="C2767" s="1">
        <f>value(AUD!$B2767)</f>
        <v>10482.96191</v>
      </c>
      <c r="D2767" s="1">
        <f>value(EUR!$B2767)</f>
        <v>16711.4471</v>
      </c>
      <c r="E2767" s="1">
        <f>value(GBP!$B2767)</f>
        <v>18939.0142</v>
      </c>
      <c r="F2767" s="1">
        <f>value(CHF!$B2767)</f>
        <v>14516.3876</v>
      </c>
      <c r="G2767" s="1">
        <f>value(SGD!$B2767)</f>
        <v>10471.8977</v>
      </c>
      <c r="H2767" s="1">
        <f>value(MYR!$B2767)</f>
        <v>3447.56577</v>
      </c>
      <c r="I2767" s="1">
        <f>value(THB!$B2767)</f>
        <v>426.06747</v>
      </c>
      <c r="J2767" s="1">
        <f>value(VND!$B2767)</f>
        <v>0.606759874</v>
      </c>
      <c r="K2767" s="1">
        <f>value(CNY!$B2767)</f>
        <v>2211.71268</v>
      </c>
      <c r="L2767" s="1">
        <f>value(HKD!$B2767)</f>
        <v>1750.4865</v>
      </c>
      <c r="M2767" s="1">
        <f>value(TWD!$B2767)</f>
        <v>464.1996</v>
      </c>
      <c r="N2767" s="1">
        <f>value(JPY!$B2767)</f>
        <v>121.77188</v>
      </c>
      <c r="O2767" s="1">
        <f>value(SAR!$B2767)</f>
        <v>3895.784822</v>
      </c>
      <c r="P2767" s="1">
        <f>value(AED!$B2767)</f>
        <v>4141.254534</v>
      </c>
      <c r="Q2767" s="1">
        <f>value(KWD!$B2767)</f>
        <v>49657.92138</v>
      </c>
    </row>
    <row r="2768">
      <c r="A2768" s="4">
        <f>value(USD!A2768)</f>
        <v>43133.99861</v>
      </c>
      <c r="B2768" s="1">
        <f>value(USD!B2768)</f>
        <v>13411</v>
      </c>
      <c r="C2768" s="1">
        <f>value(AUD!$B2768)</f>
        <v>10486.00301</v>
      </c>
      <c r="D2768" s="1">
        <f>value(EUR!$B2768)</f>
        <v>16691.73293</v>
      </c>
      <c r="E2768" s="1">
        <f>value(GBP!$B2768)</f>
        <v>18923.05511</v>
      </c>
      <c r="F2768" s="1">
        <f>value(CHF!$B2768)</f>
        <v>14513.562</v>
      </c>
      <c r="G2768" s="1">
        <f>value(SGD!$B2768)</f>
        <v>10468.86676</v>
      </c>
      <c r="H2768" s="1">
        <f>value(MYR!$B2768)</f>
        <v>3443.54247</v>
      </c>
      <c r="I2768" s="1">
        <f>value(THB!$B2768)</f>
        <v>426.06747</v>
      </c>
      <c r="J2768" s="1">
        <f>value(VND!$B2768)</f>
        <v>0.604530096</v>
      </c>
      <c r="K2768" s="1">
        <f>value(CNY!$B2768)</f>
        <v>2216.21604</v>
      </c>
      <c r="L2768" s="1">
        <f>value(HKD!$B2768)</f>
        <v>1754.42016</v>
      </c>
      <c r="M2768" s="1">
        <f>value(TWD!$B2768)</f>
        <v>464.756522</v>
      </c>
      <c r="N2768" s="1">
        <f>value(JPY!$B2768)</f>
        <v>121.838935</v>
      </c>
      <c r="O2768" s="1">
        <f>value(SAR!$B2768)</f>
        <v>3908.598147</v>
      </c>
      <c r="P2768" s="1">
        <f>value(AED!$B2768)</f>
        <v>4139.7057</v>
      </c>
      <c r="Q2768" s="1">
        <f>value(KWD!$B2768)</f>
        <v>49302.32536</v>
      </c>
    </row>
    <row r="2769">
      <c r="A2769" s="4">
        <f>value(USD!A2769)</f>
        <v>43134.99861</v>
      </c>
      <c r="B2769" s="1">
        <f>value(USD!B2769)</f>
        <v>13411</v>
      </c>
      <c r="C2769" s="1">
        <f>value(AUD!$B2769)</f>
        <v>10497.12048</v>
      </c>
      <c r="D2769" s="1">
        <f>value(EUR!$B2769)</f>
        <v>16774.5988</v>
      </c>
      <c r="E2769" s="1">
        <f>value(GBP!$B2769)</f>
        <v>18911.33572</v>
      </c>
      <c r="F2769" s="1">
        <f>value(CHF!$B2769)</f>
        <v>14379.1468</v>
      </c>
      <c r="G2769" s="1">
        <f>value(SGD!$B2769)</f>
        <v>10461.8724</v>
      </c>
      <c r="H2769" s="1">
        <f>value(MYR!$B2769)</f>
        <v>3475.775</v>
      </c>
      <c r="I2769" s="1">
        <f>value(THB!$B2769)</f>
        <v>428.48676</v>
      </c>
      <c r="J2769" s="1">
        <f>value(VND!$B2769)</f>
        <v>0.6070183455</v>
      </c>
      <c r="K2769" s="1">
        <f>value(CNY!$B2769)</f>
        <v>2204.0534</v>
      </c>
      <c r="L2769" s="1">
        <f>value(HKD!$B2769)</f>
        <v>1752.08512</v>
      </c>
      <c r="M2769" s="1">
        <f>value(TWD!$B2769)</f>
        <v>463.98681</v>
      </c>
      <c r="N2769" s="1">
        <f>value(JPY!$B2769)</f>
        <v>124.300496</v>
      </c>
      <c r="O2769" s="1">
        <f>value(SAR!$B2769)</f>
        <v>3886.832653</v>
      </c>
      <c r="P2769" s="1">
        <f>value(AED!$B2769)</f>
        <v>4163.602226</v>
      </c>
      <c r="Q2769" s="1">
        <f>value(KWD!$B2769)</f>
        <v>49302.32536</v>
      </c>
    </row>
    <row r="2770">
      <c r="A2770" s="4">
        <f>value(USD!A2770)</f>
        <v>43135.99861</v>
      </c>
      <c r="B2770" s="1">
        <f>value(USD!B2770)</f>
        <v>13411</v>
      </c>
      <c r="C2770" s="1">
        <f>value(AUD!$B2770)</f>
        <v>10502.78053</v>
      </c>
      <c r="D2770" s="1">
        <f>value(EUR!$B2770)</f>
        <v>16768.1492</v>
      </c>
      <c r="E2770" s="1">
        <f>value(GBP!$B2770)</f>
        <v>18902.27728</v>
      </c>
      <c r="F2770" s="1">
        <f>value(CHF!$B2770)</f>
        <v>14382.9435</v>
      </c>
      <c r="G2770" s="1">
        <f>value(SGD!$B2770)</f>
        <v>10484.53022</v>
      </c>
      <c r="H2770" s="1">
        <f>value(MYR!$B2770)</f>
        <v>3457.24144</v>
      </c>
      <c r="I2770" s="1">
        <f>value(THB!$B2770)</f>
        <v>429.61568</v>
      </c>
      <c r="J2770" s="1">
        <f>value(VND!$B2770)</f>
        <v>0.616653593</v>
      </c>
      <c r="K2770" s="1">
        <f>value(CNY!$B2770)</f>
        <v>2204.52773</v>
      </c>
      <c r="L2770" s="1">
        <f>value(HKD!$B2770)</f>
        <v>1752.73252</v>
      </c>
      <c r="M2770" s="1">
        <f>value(TWD!$B2770)</f>
        <v>465.89364</v>
      </c>
      <c r="N2770" s="1">
        <f>value(JPY!$B2770)</f>
        <v>123.5307608</v>
      </c>
      <c r="O2770" s="1">
        <f>value(SAR!$B2770)</f>
        <v>3897.116854</v>
      </c>
      <c r="P2770" s="1">
        <f>value(AED!$B2770)</f>
        <v>4157.032358</v>
      </c>
      <c r="Q2770" s="1">
        <f>value(KWD!$B2770)</f>
        <v>49184.51823</v>
      </c>
    </row>
    <row r="2771">
      <c r="A2771" s="4">
        <f>value(USD!A2771)</f>
        <v>43136.99861</v>
      </c>
      <c r="B2771" s="1">
        <f>value(USD!B2771)</f>
        <v>13564</v>
      </c>
      <c r="C2771" s="1">
        <f>value(AUD!$B2771)</f>
        <v>10482.63188</v>
      </c>
      <c r="D2771" s="1">
        <f>value(EUR!$B2771)</f>
        <v>16733.4147</v>
      </c>
      <c r="E2771" s="1">
        <f>value(GBP!$B2771)</f>
        <v>18929.6157</v>
      </c>
      <c r="F2771" s="1">
        <f>value(CHF!$B2771)</f>
        <v>14404.9432</v>
      </c>
      <c r="G2771" s="1">
        <f>value(SGD!$B2771)</f>
        <v>10485.4062</v>
      </c>
      <c r="H2771" s="1">
        <f>value(MYR!$B2771)</f>
        <v>3487.45806</v>
      </c>
      <c r="I2771" s="1">
        <f>value(THB!$B2771)</f>
        <v>430.64637</v>
      </c>
      <c r="J2771" s="1">
        <f>value(VND!$B2771)</f>
        <v>0.6107217317</v>
      </c>
      <c r="K2771" s="1">
        <f>value(CNY!$B2771)</f>
        <v>2196.99851</v>
      </c>
      <c r="L2771" s="1">
        <f>value(HKD!$B2771)</f>
        <v>1755.8025</v>
      </c>
      <c r="M2771" s="1">
        <f>value(TWD!$B2771)</f>
        <v>466.0758</v>
      </c>
      <c r="N2771" s="1">
        <f>value(JPY!$B2771)</f>
        <v>124.883355</v>
      </c>
      <c r="O2771" s="1">
        <f>value(SAR!$B2771)</f>
        <v>3892.552833</v>
      </c>
      <c r="P2771" s="1">
        <f>value(AED!$B2771)</f>
        <v>4135.89532</v>
      </c>
      <c r="Q2771" s="1">
        <f>value(KWD!$B2771)</f>
        <v>48897.09042</v>
      </c>
    </row>
    <row r="2772">
      <c r="A2772" s="4">
        <f>value(USD!A2772)</f>
        <v>43137.99861</v>
      </c>
      <c r="B2772" s="1">
        <f>value(USD!B2772)</f>
        <v>13544</v>
      </c>
      <c r="C2772" s="1">
        <f>value(AUD!$B2772)</f>
        <v>10724.2046</v>
      </c>
      <c r="D2772" s="1">
        <f>value(EUR!$B2772)</f>
        <v>16671.01202</v>
      </c>
      <c r="E2772" s="1">
        <f>value(GBP!$B2772)</f>
        <v>18946.7733</v>
      </c>
      <c r="F2772" s="1">
        <f>value(CHF!$B2772)</f>
        <v>14420.2772</v>
      </c>
      <c r="G2772" s="1">
        <f>value(SGD!$B2772)</f>
        <v>10474.36864</v>
      </c>
      <c r="H2772" s="1">
        <f>value(MYR!$B2772)</f>
        <v>3461.3709</v>
      </c>
      <c r="I2772" s="1">
        <f>value(THB!$B2772)</f>
        <v>426.2973</v>
      </c>
      <c r="J2772" s="1">
        <f>value(VND!$B2772)</f>
        <v>0.6107217317</v>
      </c>
      <c r="K2772" s="1">
        <f>value(CNY!$B2772)</f>
        <v>2202.38399</v>
      </c>
      <c r="L2772" s="1">
        <f>value(HKD!$B2772)</f>
        <v>1751.68278</v>
      </c>
      <c r="M2772" s="1">
        <f>value(TWD!$B2772)</f>
        <v>466.3386</v>
      </c>
      <c r="N2772" s="1">
        <f>value(JPY!$B2772)</f>
        <v>125.264776</v>
      </c>
      <c r="O2772" s="1">
        <f>value(SAR!$B2772)</f>
        <v>3885.970176</v>
      </c>
      <c r="P2772" s="1">
        <f>value(AED!$B2772)</f>
        <v>4101.248079</v>
      </c>
      <c r="Q2772" s="1">
        <f>value(KWD!$B2772)</f>
        <v>48135.1135</v>
      </c>
    </row>
    <row r="2773">
      <c r="A2773" s="4">
        <f>value(USD!A2773)</f>
        <v>43138.99861</v>
      </c>
      <c r="B2773" s="1">
        <f>value(USD!B2773)</f>
        <v>13641</v>
      </c>
      <c r="C2773" s="1">
        <f>value(AUD!$B2773)</f>
        <v>10624.3296</v>
      </c>
      <c r="D2773" s="1">
        <f>value(EUR!$B2773)</f>
        <v>16659.1864</v>
      </c>
      <c r="E2773" s="1">
        <f>value(GBP!$B2773)</f>
        <v>18815.7374</v>
      </c>
      <c r="F2773" s="1">
        <f>value(CHF!$B2773)</f>
        <v>14420.6032</v>
      </c>
      <c r="G2773" s="1">
        <f>value(SGD!$B2773)</f>
        <v>10486.27325</v>
      </c>
      <c r="H2773" s="1">
        <f>value(MYR!$B2773)</f>
        <v>3436.46742</v>
      </c>
      <c r="I2773" s="1">
        <f>value(THB!$B2773)</f>
        <v>429.40536</v>
      </c>
      <c r="J2773" s="1">
        <f>value(VND!$B2773)</f>
        <v>0.609353484</v>
      </c>
      <c r="K2773" s="1">
        <f>value(CNY!$B2773)</f>
        <v>2198.3607</v>
      </c>
      <c r="L2773" s="1">
        <f>value(HKD!$B2773)</f>
        <v>1746.97635</v>
      </c>
      <c r="M2773" s="1">
        <f>value(TWD!$B2773)</f>
        <v>468.958</v>
      </c>
      <c r="N2773" s="1">
        <f>value(JPY!$B2773)</f>
        <v>125.03914</v>
      </c>
      <c r="O2773" s="1">
        <f>value(SAR!$B2773)</f>
        <v>3887.035096</v>
      </c>
      <c r="P2773" s="1">
        <f>value(AED!$B2773)</f>
        <v>4068.00228</v>
      </c>
      <c r="Q2773" s="1">
        <f>value(KWD!$B2773)</f>
        <v>48540.80448</v>
      </c>
    </row>
    <row r="2774">
      <c r="A2774" s="4">
        <f>value(USD!A2774)</f>
        <v>43139.99861</v>
      </c>
      <c r="B2774" s="1">
        <f>value(USD!B2774)</f>
        <v>13598</v>
      </c>
      <c r="C2774" s="1">
        <f>value(AUD!$B2774)</f>
        <v>10495.22121</v>
      </c>
      <c r="D2774" s="1">
        <f>value(EUR!$B2774)</f>
        <v>16659.1864</v>
      </c>
      <c r="E2774" s="1">
        <f>value(GBP!$B2774)</f>
        <v>18815.7374</v>
      </c>
      <c r="F2774" s="1">
        <f>value(CHF!$B2774)</f>
        <v>14392.7812</v>
      </c>
      <c r="G2774" s="1">
        <f>value(SGD!$B2774)</f>
        <v>10478.23288</v>
      </c>
      <c r="H2774" s="1">
        <f>value(MYR!$B2774)</f>
        <v>3436.46742</v>
      </c>
      <c r="I2774" s="1">
        <f>value(THB!$B2774)</f>
        <v>429.40536</v>
      </c>
      <c r="J2774" s="1">
        <f>value(VND!$B2774)</f>
        <v>0.611600147</v>
      </c>
      <c r="K2774" s="1">
        <f>value(CNY!$B2774)</f>
        <v>2220.71694</v>
      </c>
      <c r="L2774" s="1">
        <f>value(HKD!$B2774)</f>
        <v>1752.39714</v>
      </c>
      <c r="M2774" s="1">
        <f>value(TWD!$B2774)</f>
        <v>468.01167</v>
      </c>
      <c r="N2774" s="1">
        <f>value(JPY!$B2774)</f>
        <v>125.03914</v>
      </c>
      <c r="O2774" s="1">
        <f>value(SAR!$B2774)</f>
        <v>3889.066798</v>
      </c>
      <c r="P2774" s="1">
        <f>value(AED!$B2774)</f>
        <v>4068.74958</v>
      </c>
      <c r="Q2774" s="1">
        <f>value(KWD!$B2774)</f>
        <v>48354.4693</v>
      </c>
    </row>
    <row r="2775">
      <c r="A2775" s="4">
        <f>value(USD!A2775)</f>
        <v>43140.99861</v>
      </c>
      <c r="B2775" s="1">
        <f>value(USD!B2775)</f>
        <v>13606</v>
      </c>
      <c r="C2775" s="1">
        <f>value(AUD!$B2775)</f>
        <v>10591.48053</v>
      </c>
      <c r="D2775" s="1">
        <f>value(EUR!$B2775)</f>
        <v>16675.2442</v>
      </c>
      <c r="E2775" s="1">
        <f>value(GBP!$B2775)</f>
        <v>18813.103</v>
      </c>
      <c r="F2775" s="1">
        <f>value(CHF!$B2775)</f>
        <v>14334.6112</v>
      </c>
      <c r="G2775" s="1">
        <f>value(SGD!$B2775)</f>
        <v>10487.38684</v>
      </c>
      <c r="H2775" s="1">
        <f>value(MYR!$B2775)</f>
        <v>3437.4777</v>
      </c>
      <c r="I2775" s="1">
        <f>value(THB!$B2775)</f>
        <v>429.1233</v>
      </c>
      <c r="J2775" s="1">
        <f>value(VND!$B2775)</f>
        <v>0.61219425</v>
      </c>
      <c r="K2775" s="1">
        <f>value(CNY!$B2775)</f>
        <v>2222.66564</v>
      </c>
      <c r="L2775" s="1">
        <f>value(HKD!$B2775)</f>
        <v>1755.1898</v>
      </c>
      <c r="M2775" s="1">
        <f>value(TWD!$B2775)</f>
        <v>468.01167</v>
      </c>
      <c r="N2775" s="1">
        <f>value(JPY!$B2775)</f>
        <v>125.0759</v>
      </c>
      <c r="O2775" s="1">
        <f>value(SAR!$B2775)</f>
        <v>3890.431394</v>
      </c>
      <c r="P2775" s="1">
        <f>value(AED!$B2775)</f>
        <v>4061.211872</v>
      </c>
      <c r="Q2775" s="1">
        <f>value(KWD!$B2775)</f>
        <v>48354.4693</v>
      </c>
    </row>
    <row r="2776">
      <c r="A2776" s="4">
        <f>value(USD!A2776)</f>
        <v>43141.99861</v>
      </c>
      <c r="B2776" s="1">
        <f>value(USD!B2776)</f>
        <v>13606</v>
      </c>
      <c r="C2776" s="1">
        <f>value(AUD!$B2776)</f>
        <v>10512.154</v>
      </c>
      <c r="D2776" s="1">
        <f>value(EUR!$B2776)</f>
        <v>16782.2543</v>
      </c>
      <c r="E2776" s="1">
        <f>value(GBP!$B2776)</f>
        <v>18895.555</v>
      </c>
      <c r="F2776" s="1">
        <f>value(CHF!$B2776)</f>
        <v>14320.42891</v>
      </c>
      <c r="G2776" s="1">
        <f>value(SGD!$B2776)</f>
        <v>10496.7232</v>
      </c>
      <c r="H2776" s="1">
        <f>value(MYR!$B2776)</f>
        <v>3461.36553</v>
      </c>
      <c r="I2776" s="1">
        <f>value(THB!$B2776)</f>
        <v>431.66452</v>
      </c>
      <c r="J2776" s="1">
        <f>value(VND!$B2776)</f>
        <v>0.6112052378</v>
      </c>
      <c r="K2776" s="1">
        <f>value(CNY!$B2776)</f>
        <v>2215.92852</v>
      </c>
      <c r="L2776" s="1">
        <f>value(HKD!$B2776)</f>
        <v>1755.74088</v>
      </c>
      <c r="M2776" s="1">
        <f>value(TWD!$B2776)</f>
        <v>469.45443</v>
      </c>
      <c r="N2776" s="1">
        <f>value(JPY!$B2776)</f>
        <v>125.501957</v>
      </c>
      <c r="O2776" s="1">
        <f>value(SAR!$B2776)</f>
        <v>3914.052997</v>
      </c>
      <c r="P2776" s="1">
        <f>value(AED!$B2776)</f>
        <v>4036.2811</v>
      </c>
      <c r="Q2776" s="1">
        <f>value(KWD!$B2776)</f>
        <v>48354.4693</v>
      </c>
    </row>
    <row r="2777">
      <c r="A2777" s="4">
        <f>value(USD!A2777)</f>
        <v>43142.99861</v>
      </c>
      <c r="B2777" s="1">
        <f>value(USD!B2777)</f>
        <v>13610</v>
      </c>
      <c r="C2777" s="1">
        <f>value(AUD!$B2777)</f>
        <v>10514.4163</v>
      </c>
      <c r="D2777" s="1">
        <f>value(EUR!$B2777)</f>
        <v>16849.7648</v>
      </c>
      <c r="E2777" s="1">
        <f>value(GBP!$B2777)</f>
        <v>18937.776</v>
      </c>
      <c r="F2777" s="1">
        <f>value(CHF!$B2777)</f>
        <v>14299.392</v>
      </c>
      <c r="G2777" s="1">
        <f>value(SGD!$B2777)</f>
        <v>10466.62736</v>
      </c>
      <c r="H2777" s="1">
        <f>value(MYR!$B2777)</f>
        <v>3460.6044</v>
      </c>
      <c r="I2777" s="1">
        <f>value(THB!$B2777)</f>
        <v>432.6608</v>
      </c>
      <c r="J2777" s="1">
        <f>value(VND!$B2777)</f>
        <v>0.611097</v>
      </c>
      <c r="K2777" s="1">
        <f>value(CNY!$B2777)</f>
        <v>2214.51512</v>
      </c>
      <c r="L2777" s="1">
        <f>value(HKD!$B2777)</f>
        <v>1753.9669</v>
      </c>
      <c r="M2777" s="1">
        <f>value(TWD!$B2777)</f>
        <v>469.43384</v>
      </c>
      <c r="N2777" s="1">
        <f>value(JPY!$B2777)</f>
        <v>126.52464</v>
      </c>
      <c r="O2777" s="1">
        <f>value(SAR!$B2777)</f>
        <v>3889.971327</v>
      </c>
      <c r="P2777" s="1">
        <f>value(AED!$B2777)</f>
        <v>3973.382613</v>
      </c>
      <c r="Q2777" s="1">
        <f>value(KWD!$B2777)</f>
        <v>48739.37697</v>
      </c>
    </row>
    <row r="2778">
      <c r="A2778" s="4">
        <f>value(USD!A2778)</f>
        <v>43143.99861</v>
      </c>
      <c r="B2778" s="1">
        <f>value(USD!B2778)</f>
        <v>13643</v>
      </c>
      <c r="C2778" s="1">
        <f>value(AUD!$B2778)</f>
        <v>10527.66215</v>
      </c>
      <c r="D2778" s="1">
        <f>value(EUR!$B2778)</f>
        <v>16982.00252</v>
      </c>
      <c r="E2778" s="1">
        <f>value(GBP!$B2778)</f>
        <v>19089.46214</v>
      </c>
      <c r="F2778" s="1">
        <f>value(CHF!$B2778)</f>
        <v>14356.1853</v>
      </c>
      <c r="G2778" s="1">
        <f>value(SGD!$B2778)</f>
        <v>10478.06214</v>
      </c>
      <c r="H2778" s="1">
        <f>value(MYR!$B2778)</f>
        <v>3487.9131</v>
      </c>
      <c r="I2778" s="1">
        <f>value(THB!$B2778)</f>
        <v>434.95046</v>
      </c>
      <c r="J2778" s="1">
        <f>value(VND!$B2778)</f>
        <v>0.614137086</v>
      </c>
      <c r="K2778" s="1">
        <f>value(CNY!$B2778)</f>
        <v>2218.49232</v>
      </c>
      <c r="L2778" s="1">
        <f>value(HKD!$B2778)</f>
        <v>1748.22192</v>
      </c>
      <c r="M2778" s="1">
        <f>value(TWD!$B2778)</f>
        <v>469.91722</v>
      </c>
      <c r="N2778" s="1">
        <f>value(JPY!$B2778)</f>
        <v>127.77436</v>
      </c>
      <c r="O2778" s="1">
        <f>value(SAR!$B2778)</f>
        <v>3882.089359</v>
      </c>
      <c r="P2778" s="1">
        <f>value(AED!$B2778)</f>
        <v>4006.3424</v>
      </c>
      <c r="Q2778" s="1">
        <f>value(KWD!$B2778)</f>
        <v>48681.47263</v>
      </c>
    </row>
    <row r="2779">
      <c r="A2779" s="4">
        <f>value(USD!A2779)</f>
        <v>43144.99861</v>
      </c>
      <c r="B2779" s="1">
        <f>value(USD!B2779)</f>
        <v>13640</v>
      </c>
      <c r="C2779" s="1">
        <f>value(AUD!$B2779)</f>
        <v>10507.43676</v>
      </c>
      <c r="D2779" s="1">
        <f>value(EUR!$B2779)</f>
        <v>16943.93008</v>
      </c>
      <c r="E2779" s="1">
        <f>value(GBP!$B2779)</f>
        <v>19111.97904</v>
      </c>
      <c r="F2779" s="1">
        <f>value(CHF!$B2779)</f>
        <v>14358.9379</v>
      </c>
      <c r="G2779" s="1">
        <f>value(SGD!$B2779)</f>
        <v>10479.08706</v>
      </c>
      <c r="H2779" s="1">
        <f>value(MYR!$B2779)</f>
        <v>3478.66288</v>
      </c>
      <c r="I2779" s="1">
        <f>value(THB!$B2779)</f>
        <v>433.25744</v>
      </c>
      <c r="J2779" s="1">
        <f>value(VND!$B2779)</f>
        <v>0.614137086</v>
      </c>
      <c r="K2779" s="1">
        <f>value(CNY!$B2779)</f>
        <v>2227.9896</v>
      </c>
      <c r="L2779" s="1">
        <f>value(HKD!$B2779)</f>
        <v>1751.0256</v>
      </c>
      <c r="M2779" s="1">
        <f>value(TWD!$B2779)</f>
        <v>471.6</v>
      </c>
      <c r="N2779" s="1">
        <f>value(JPY!$B2779)</f>
        <v>127.686944</v>
      </c>
      <c r="O2779" s="1">
        <f>value(SAR!$B2779)</f>
        <v>3883.891514</v>
      </c>
      <c r="P2779" s="1">
        <f>value(AED!$B2779)</f>
        <v>3996.0855</v>
      </c>
      <c r="Q2779" s="1">
        <f>value(KWD!$B2779)</f>
        <v>48743.99319</v>
      </c>
    </row>
    <row r="2780">
      <c r="A2780" s="4">
        <f>value(USD!A2780)</f>
        <v>43145.99861</v>
      </c>
      <c r="B2780" s="1">
        <f>value(USD!B2780)</f>
        <v>13622</v>
      </c>
      <c r="C2780" s="1">
        <f>value(AUD!$B2780)</f>
        <v>10477.3234</v>
      </c>
      <c r="D2780" s="1">
        <f>value(EUR!$B2780)</f>
        <v>16812.6112</v>
      </c>
      <c r="E2780" s="1">
        <f>value(GBP!$B2780)</f>
        <v>19009.3904</v>
      </c>
      <c r="F2780" s="1">
        <f>value(CHF!$B2780)</f>
        <v>14343.7986</v>
      </c>
      <c r="G2780" s="1">
        <f>value(SGD!$B2780)</f>
        <v>10452.096</v>
      </c>
      <c r="H2780" s="1">
        <f>value(MYR!$B2780)</f>
        <v>3477.98528</v>
      </c>
      <c r="I2780" s="1">
        <f>value(THB!$B2780)</f>
        <v>432.85088</v>
      </c>
      <c r="J2780" s="1">
        <f>value(VND!$B2780)</f>
        <v>0.6139919805</v>
      </c>
      <c r="K2780" s="1">
        <f>value(CNY!$B2780)</f>
        <v>2230.94568</v>
      </c>
      <c r="L2780" s="1">
        <f>value(HKD!$B2780)</f>
        <v>1753.06464</v>
      </c>
      <c r="M2780" s="1">
        <f>value(TWD!$B2780)</f>
        <v>470.9057</v>
      </c>
      <c r="N2780" s="1">
        <f>value(JPY!$B2780)</f>
        <v>127.52432</v>
      </c>
      <c r="O2780" s="1">
        <f>value(SAR!$B2780)</f>
        <v>3911.63901</v>
      </c>
      <c r="P2780" s="1">
        <f>value(AED!$B2780)</f>
        <v>3996.297156</v>
      </c>
      <c r="Q2780" s="1">
        <f>value(KWD!$B2780)</f>
        <v>47925.61273</v>
      </c>
    </row>
    <row r="2781">
      <c r="A2781" s="4">
        <f>value(USD!A2781)</f>
        <v>43146.99861</v>
      </c>
      <c r="B2781" s="1">
        <f>value(USD!B2781)</f>
        <v>13552</v>
      </c>
      <c r="C2781" s="1">
        <f>value(AUD!$B2781)</f>
        <v>10633.1238</v>
      </c>
      <c r="D2781" s="1">
        <f>value(EUR!$B2781)</f>
        <v>16812.6112</v>
      </c>
      <c r="E2781" s="1">
        <f>value(GBP!$B2781)</f>
        <v>19009.3904</v>
      </c>
      <c r="F2781" s="1">
        <f>value(CHF!$B2781)</f>
        <v>14397.1976</v>
      </c>
      <c r="G2781" s="1">
        <f>value(SGD!$B2781)</f>
        <v>10459.05422</v>
      </c>
      <c r="H2781" s="1">
        <f>value(MYR!$B2781)</f>
        <v>3477.98528</v>
      </c>
      <c r="I2781" s="1">
        <f>value(THB!$B2781)</f>
        <v>432.57984</v>
      </c>
      <c r="J2781" s="1">
        <f>value(VND!$B2781)</f>
        <v>0.6143202865</v>
      </c>
      <c r="K2781" s="1">
        <f>value(CNY!$B2781)</f>
        <v>2217.87357</v>
      </c>
      <c r="L2781" s="1">
        <f>value(HKD!$B2781)</f>
        <v>1752.77937</v>
      </c>
      <c r="M2781" s="1">
        <f>value(TWD!$B2781)</f>
        <v>470.68371</v>
      </c>
      <c r="N2781" s="1">
        <f>value(JPY!$B2781)</f>
        <v>127.52432</v>
      </c>
      <c r="O2781" s="1">
        <f>value(SAR!$B2781)</f>
        <v>3902.399937</v>
      </c>
      <c r="P2781" s="1">
        <f>value(AED!$B2781)</f>
        <v>3995.3516</v>
      </c>
      <c r="Q2781" s="1">
        <f>value(KWD!$B2781)</f>
        <v>48091.79675</v>
      </c>
    </row>
    <row r="2782">
      <c r="A2782" s="4">
        <f>value(USD!A2782)</f>
        <v>43147.99861</v>
      </c>
      <c r="B2782" s="1">
        <f>value(USD!B2782)</f>
        <v>13552</v>
      </c>
      <c r="C2782" s="1">
        <f>value(AUD!$B2782)</f>
        <v>10623.05096</v>
      </c>
      <c r="D2782" s="1">
        <f>value(EUR!$B2782)</f>
        <v>16819.3872</v>
      </c>
      <c r="E2782" s="1">
        <f>value(GBP!$B2782)</f>
        <v>19013.18496</v>
      </c>
      <c r="F2782" s="1">
        <f>value(CHF!$B2782)</f>
        <v>14367.36555</v>
      </c>
      <c r="G2782" s="1">
        <f>value(SGD!$B2782)</f>
        <v>10459.05422</v>
      </c>
      <c r="H2782" s="1">
        <f>value(MYR!$B2782)</f>
        <v>3477.98528</v>
      </c>
      <c r="I2782" s="1">
        <f>value(THB!$B2782)</f>
        <v>432.85088</v>
      </c>
      <c r="J2782" s="1">
        <f>value(VND!$B2782)</f>
        <v>0.615865775</v>
      </c>
      <c r="K2782" s="1">
        <f>value(CNY!$B2782)</f>
        <v>2214.6432</v>
      </c>
      <c r="L2782" s="1">
        <f>value(HKD!$B2782)</f>
        <v>1749.69168</v>
      </c>
      <c r="M2782" s="1">
        <f>value(TWD!$B2782)</f>
        <v>470.712384</v>
      </c>
      <c r="N2782" s="1">
        <f>value(JPY!$B2782)</f>
        <v>127.497216</v>
      </c>
      <c r="O2782" s="1">
        <f>value(SAR!$B2782)</f>
        <v>3937.484872</v>
      </c>
      <c r="P2782" s="1">
        <f>value(AED!$B2782)</f>
        <v>4030.29336</v>
      </c>
      <c r="Q2782" s="1">
        <f>value(KWD!$B2782)</f>
        <v>48091.79675</v>
      </c>
    </row>
    <row r="2783">
      <c r="A2783" s="4">
        <f>value(USD!A2783)</f>
        <v>43148.99861</v>
      </c>
      <c r="B2783" s="1">
        <f>value(USD!B2783)</f>
        <v>13552</v>
      </c>
      <c r="C2783" s="1">
        <f>value(AUD!$B2783)</f>
        <v>10614.634</v>
      </c>
      <c r="D2783" s="1">
        <f>value(EUR!$B2783)</f>
        <v>16803.84258</v>
      </c>
      <c r="E2783" s="1">
        <f>value(GBP!$B2783)</f>
        <v>18964.0791</v>
      </c>
      <c r="F2783" s="1">
        <f>value(CHF!$B2783)</f>
        <v>14361.4047</v>
      </c>
      <c r="G2783" s="1">
        <f>value(SGD!$B2783)</f>
        <v>10453.96191</v>
      </c>
      <c r="H2783" s="1">
        <f>value(MYR!$B2783)</f>
        <v>3479.44734</v>
      </c>
      <c r="I2783" s="1">
        <f>value(THB!$B2783)</f>
        <v>431.28828</v>
      </c>
      <c r="J2783" s="1">
        <f>value(VND!$B2783)</f>
        <v>0.61156869</v>
      </c>
      <c r="K2783" s="1">
        <f>value(CNY!$B2783)</f>
        <v>2208.4972</v>
      </c>
      <c r="L2783" s="1">
        <f>value(HKD!$B2783)</f>
        <v>1751.22024</v>
      </c>
      <c r="M2783" s="1">
        <f>value(TWD!$B2783)</f>
        <v>469.727424</v>
      </c>
      <c r="N2783" s="1">
        <f>value(JPY!$B2783)</f>
        <v>126.987426</v>
      </c>
      <c r="O2783" s="1">
        <f>value(SAR!$B2783)</f>
        <v>3931.804121</v>
      </c>
      <c r="P2783" s="1">
        <f>value(AED!$B2783)</f>
        <v>4026.564631</v>
      </c>
      <c r="Q2783" s="1">
        <f>value(KWD!$B2783)</f>
        <v>48091.79675</v>
      </c>
    </row>
    <row r="2784">
      <c r="A2784" s="4">
        <f>value(USD!A2784)</f>
        <v>43149.99861</v>
      </c>
      <c r="B2784" s="1">
        <f>value(USD!B2784)</f>
        <v>13552</v>
      </c>
      <c r="C2784" s="1">
        <f>value(AUD!$B2784)</f>
        <v>10614.634</v>
      </c>
      <c r="D2784" s="1">
        <f>value(EUR!$B2784)</f>
        <v>16785.05976</v>
      </c>
      <c r="E2784" s="1">
        <f>value(GBP!$B2784)</f>
        <v>19050.24744</v>
      </c>
      <c r="F2784" s="1">
        <f>value(CHF!$B2784)</f>
        <v>14305.2897</v>
      </c>
      <c r="G2784" s="1">
        <f>value(SGD!$B2784)</f>
        <v>10498.1</v>
      </c>
      <c r="H2784" s="1">
        <f>value(MYR!$B2784)</f>
        <v>3482.9676</v>
      </c>
      <c r="I2784" s="1">
        <f>value(THB!$B2784)</f>
        <v>431.64576</v>
      </c>
      <c r="J2784" s="1">
        <f>value(VND!$B2784)</f>
        <v>0.614890325</v>
      </c>
      <c r="K2784" s="1">
        <f>value(CNY!$B2784)</f>
        <v>2199.04176</v>
      </c>
      <c r="L2784" s="1">
        <f>value(HKD!$B2784)</f>
        <v>1754.0432</v>
      </c>
      <c r="M2784" s="1">
        <f>value(TWD!$B2784)</f>
        <v>471.704871</v>
      </c>
      <c r="N2784" s="1">
        <f>value(JPY!$B2784)</f>
        <v>126.69048</v>
      </c>
      <c r="O2784" s="1">
        <f>value(SAR!$B2784)</f>
        <v>3931.270089</v>
      </c>
      <c r="P2784" s="1">
        <f>value(AED!$B2784)</f>
        <v>4031.883994</v>
      </c>
      <c r="Q2784" s="1">
        <f>value(KWD!$B2784)</f>
        <v>48287.02042</v>
      </c>
    </row>
    <row r="2785">
      <c r="A2785" s="4">
        <f>value(USD!A2785)</f>
        <v>43150.99861</v>
      </c>
      <c r="B2785" s="1">
        <f>value(USD!B2785)</f>
        <v>13554</v>
      </c>
      <c r="C2785" s="1">
        <f>value(AUD!$B2785)</f>
        <v>10655.81631</v>
      </c>
      <c r="D2785" s="1">
        <f>value(EUR!$B2785)</f>
        <v>16717.16944</v>
      </c>
      <c r="E2785" s="1">
        <f>value(GBP!$B2785)</f>
        <v>18932.79468</v>
      </c>
      <c r="F2785" s="1">
        <f>value(CHF!$B2785)</f>
        <v>14317.0062</v>
      </c>
      <c r="G2785" s="1">
        <f>value(SGD!$B2785)</f>
        <v>10494.97919</v>
      </c>
      <c r="H2785" s="1">
        <f>value(MYR!$B2785)</f>
        <v>3485.3526</v>
      </c>
      <c r="I2785" s="1">
        <f>value(THB!$B2785)</f>
        <v>431.22816</v>
      </c>
      <c r="J2785" s="1">
        <f>value(VND!$B2785)</f>
        <v>0.6135404567</v>
      </c>
      <c r="K2785" s="1">
        <f>value(CNY!$B2785)</f>
        <v>2210.10522</v>
      </c>
      <c r="L2785" s="1">
        <f>value(HKD!$B2785)</f>
        <v>1751.63268</v>
      </c>
      <c r="M2785" s="1">
        <f>value(TWD!$B2785)</f>
        <v>471.313125</v>
      </c>
      <c r="N2785" s="1">
        <f>value(JPY!$B2785)</f>
        <v>126.52354</v>
      </c>
      <c r="O2785" s="1">
        <f>value(SAR!$B2785)</f>
        <v>3925.923874</v>
      </c>
      <c r="P2785" s="1">
        <f>value(AED!$B2785)</f>
        <v>3963.393974</v>
      </c>
      <c r="Q2785" s="1">
        <f>value(KWD!$B2785)</f>
        <v>48317.28475</v>
      </c>
    </row>
    <row r="2786">
      <c r="A2786" s="4">
        <f>value(USD!A2786)</f>
        <v>43151.99861</v>
      </c>
      <c r="B2786" s="1">
        <f>value(USD!B2786)</f>
        <v>13608</v>
      </c>
      <c r="C2786" s="1">
        <f>value(AUD!$B2786)</f>
        <v>10782.4572</v>
      </c>
      <c r="D2786" s="1">
        <f>value(EUR!$B2786)</f>
        <v>16856.90084</v>
      </c>
      <c r="E2786" s="1">
        <f>value(GBP!$B2786)</f>
        <v>19079.3876</v>
      </c>
      <c r="F2786" s="1">
        <f>value(CHF!$B2786)</f>
        <v>14282.85325</v>
      </c>
      <c r="G2786" s="1">
        <f>value(SGD!$B2786)</f>
        <v>10504.51069</v>
      </c>
      <c r="H2786" s="1">
        <f>value(MYR!$B2786)</f>
        <v>3488.7476</v>
      </c>
      <c r="I2786" s="1">
        <f>value(THB!$B2786)</f>
        <v>434.48652</v>
      </c>
      <c r="J2786" s="1">
        <f>value(VND!$B2786)</f>
        <v>0.6135404567</v>
      </c>
      <c r="K2786" s="1">
        <f>value(CNY!$B2786)</f>
        <v>2189.3427</v>
      </c>
      <c r="L2786" s="1">
        <f>value(HKD!$B2786)</f>
        <v>1750.6034</v>
      </c>
      <c r="M2786" s="1">
        <f>value(TWD!$B2786)</f>
        <v>468.7228</v>
      </c>
      <c r="N2786" s="1">
        <f>value(JPY!$B2786)</f>
        <v>128.021036</v>
      </c>
      <c r="O2786" s="1">
        <f>value(SAR!$B2786)</f>
        <v>3959.000601</v>
      </c>
      <c r="P2786" s="1">
        <f>value(AED!$B2786)</f>
        <v>3976.0652</v>
      </c>
      <c r="Q2786" s="1">
        <f>value(KWD!$B2786)</f>
        <v>48188.39641</v>
      </c>
    </row>
    <row r="2787">
      <c r="A2787" s="4">
        <f>value(USD!A2787)</f>
        <v>43152.99861</v>
      </c>
      <c r="B2787" s="1">
        <f>value(USD!B2787)</f>
        <v>13612</v>
      </c>
      <c r="C2787" s="1">
        <f>value(AUD!$B2787)</f>
        <v>10761.79226</v>
      </c>
      <c r="D2787" s="1">
        <f>value(EUR!$B2787)</f>
        <v>16782.4036</v>
      </c>
      <c r="E2787" s="1">
        <f>value(GBP!$B2787)</f>
        <v>19067.7484</v>
      </c>
      <c r="F2787" s="1">
        <f>value(CHF!$B2787)</f>
        <v>14257.6006</v>
      </c>
      <c r="G2787" s="1">
        <f>value(SGD!$B2787)</f>
        <v>10492.38138</v>
      </c>
      <c r="H2787" s="1">
        <f>value(MYR!$B2787)</f>
        <v>3481.80608</v>
      </c>
      <c r="I2787" s="1">
        <f>value(THB!$B2787)</f>
        <v>434.40664</v>
      </c>
      <c r="J2787" s="1">
        <f>value(VND!$B2787)</f>
        <v>0.6138190875</v>
      </c>
      <c r="K2787" s="1">
        <f>value(CNY!$B2787)</f>
        <v>2185.43762</v>
      </c>
      <c r="L2787" s="1">
        <f>value(HKD!$B2787)</f>
        <v>1751.46487</v>
      </c>
      <c r="M2787" s="1">
        <f>value(TWD!$B2787)</f>
        <v>471.497145</v>
      </c>
      <c r="N2787" s="1">
        <f>value(JPY!$B2787)</f>
        <v>127.78272</v>
      </c>
      <c r="O2787" s="1">
        <f>value(SAR!$B2787)</f>
        <v>3985.052595</v>
      </c>
      <c r="P2787" s="1">
        <f>value(AED!$B2787)</f>
        <v>3975.04285</v>
      </c>
      <c r="Q2787" s="1">
        <f>value(KWD!$B2787)</f>
        <v>48094.3418</v>
      </c>
    </row>
    <row r="2788">
      <c r="A2788" s="4">
        <f>value(USD!A2788)</f>
        <v>43153.99861</v>
      </c>
      <c r="B2788" s="1">
        <f>value(USD!B2788)</f>
        <v>13676</v>
      </c>
      <c r="C2788" s="1">
        <f>value(AUD!$B2788)</f>
        <v>10720.97385</v>
      </c>
      <c r="D2788" s="1">
        <f>value(EUR!$B2788)</f>
        <v>16782.4036</v>
      </c>
      <c r="E2788" s="1">
        <f>value(GBP!$B2788)</f>
        <v>19066.3832</v>
      </c>
      <c r="F2788" s="1">
        <f>value(CHF!$B2788)</f>
        <v>14345.5486</v>
      </c>
      <c r="G2788" s="1">
        <f>value(SGD!$B2788)</f>
        <v>10491.42724</v>
      </c>
      <c r="H2788" s="1">
        <f>value(MYR!$B2788)</f>
        <v>3481.80608</v>
      </c>
      <c r="I2788" s="1">
        <f>value(THB!$B2788)</f>
        <v>424.98676</v>
      </c>
      <c r="J2788" s="1">
        <f>value(VND!$B2788)</f>
        <v>0.621689202</v>
      </c>
      <c r="K2788" s="1">
        <f>value(CNY!$B2788)</f>
        <v>2177.19729</v>
      </c>
      <c r="L2788" s="1">
        <f>value(HKD!$B2788)</f>
        <v>1753.024</v>
      </c>
      <c r="M2788" s="1">
        <f>value(TWD!$B2788)</f>
        <v>469.7573268</v>
      </c>
      <c r="N2788" s="1">
        <f>value(JPY!$B2788)</f>
        <v>127.6462</v>
      </c>
      <c r="O2788" s="1">
        <f>value(SAR!$B2788)</f>
        <v>3998.265035</v>
      </c>
      <c r="P2788" s="1">
        <f>value(AED!$B2788)</f>
        <v>3975.91915</v>
      </c>
      <c r="Q2788" s="1">
        <f>value(KWD!$B2788)</f>
        <v>47787.04727</v>
      </c>
    </row>
    <row r="2789">
      <c r="A2789" s="4">
        <f>value(USD!A2789)</f>
        <v>43154.99861</v>
      </c>
      <c r="B2789" s="1">
        <f>value(USD!B2789)</f>
        <v>13652</v>
      </c>
      <c r="C2789" s="1">
        <f>value(AUD!$B2789)</f>
        <v>10693.84536</v>
      </c>
      <c r="D2789" s="1">
        <f>value(EUR!$B2789)</f>
        <v>16784.83338</v>
      </c>
      <c r="E2789" s="1">
        <f>value(GBP!$B2789)</f>
        <v>19080.32481</v>
      </c>
      <c r="F2789" s="1">
        <f>value(CHF!$B2789)</f>
        <v>14230.2408</v>
      </c>
      <c r="G2789" s="1">
        <f>value(SGD!$B2789)</f>
        <v>10463.1727</v>
      </c>
      <c r="H2789" s="1">
        <f>value(MYR!$B2789)</f>
        <v>3484.152448</v>
      </c>
      <c r="I2789" s="1">
        <f>value(THB!$B2789)</f>
        <v>434.289548</v>
      </c>
      <c r="J2789" s="1">
        <f>value(VND!$B2789)</f>
        <v>0.615980625</v>
      </c>
      <c r="K2789" s="1">
        <f>value(CNY!$B2789)</f>
        <v>2164.7248</v>
      </c>
      <c r="L2789" s="1">
        <f>value(HKD!$B2789)</f>
        <v>1753.4062</v>
      </c>
      <c r="M2789" s="1">
        <f>value(TWD!$B2789)</f>
        <v>469.767132</v>
      </c>
      <c r="N2789" s="1">
        <f>value(JPY!$B2789)</f>
        <v>127.595608</v>
      </c>
      <c r="O2789" s="1">
        <f>value(SAR!$B2789)</f>
        <v>3976.238135</v>
      </c>
      <c r="P2789" s="1">
        <f>value(AED!$B2789)</f>
        <v>3988.171886</v>
      </c>
      <c r="Q2789" s="1">
        <f>value(KWD!$B2789)</f>
        <v>47905.30981</v>
      </c>
    </row>
    <row r="2790">
      <c r="A2790" s="4">
        <f>value(USD!A2790)</f>
        <v>43155.99861</v>
      </c>
      <c r="B2790" s="1">
        <f>value(USD!B2790)</f>
        <v>13652</v>
      </c>
      <c r="C2790" s="1">
        <f>value(AUD!$B2790)</f>
        <v>10657.283</v>
      </c>
      <c r="D2790" s="1">
        <f>value(EUR!$B2790)</f>
        <v>16811.2065</v>
      </c>
      <c r="E2790" s="1">
        <f>value(GBP!$B2790)</f>
        <v>19063.89452</v>
      </c>
      <c r="F2790" s="1">
        <f>value(CHF!$B2790)</f>
        <v>14214.56484</v>
      </c>
      <c r="G2790" s="1">
        <f>value(SGD!$B2790)</f>
        <v>10507.5878</v>
      </c>
      <c r="H2790" s="1">
        <f>value(MYR!$B2790)</f>
        <v>3495.74808</v>
      </c>
      <c r="I2790" s="1">
        <f>value(THB!$B2790)</f>
        <v>435.87643</v>
      </c>
      <c r="J2790" s="1">
        <f>value(VND!$B2790)</f>
        <v>0.6241928315</v>
      </c>
      <c r="K2790" s="1">
        <f>value(CNY!$B2790)</f>
        <v>2153.630284</v>
      </c>
      <c r="L2790" s="1">
        <f>value(HKD!$B2790)</f>
        <v>1753.4062</v>
      </c>
      <c r="M2790" s="1">
        <f>value(TWD!$B2790)</f>
        <v>469.767132</v>
      </c>
      <c r="N2790" s="1">
        <f>value(JPY!$B2790)</f>
        <v>127.486689</v>
      </c>
      <c r="O2790" s="1">
        <f>value(SAR!$B2790)</f>
        <v>3996.823729</v>
      </c>
      <c r="P2790" s="1">
        <f>value(AED!$B2790)</f>
        <v>3991.182531</v>
      </c>
      <c r="Q2790" s="1">
        <f>value(KWD!$B2790)</f>
        <v>47859.43614</v>
      </c>
    </row>
    <row r="2791">
      <c r="A2791" s="4">
        <f>value(USD!A2791)</f>
        <v>43156.99861</v>
      </c>
      <c r="B2791" s="1">
        <f>value(USD!B2791)</f>
        <v>13661.2</v>
      </c>
      <c r="C2791" s="1">
        <f>value(AUD!$B2791)</f>
        <v>10608.9438</v>
      </c>
      <c r="D2791" s="1">
        <f>value(EUR!$B2791)</f>
        <v>16747.21424</v>
      </c>
      <c r="E2791" s="1">
        <f>value(GBP!$B2791)</f>
        <v>19041.507</v>
      </c>
      <c r="F2791" s="1">
        <f>value(CHF!$B2791)</f>
        <v>14201.58</v>
      </c>
      <c r="G2791" s="1">
        <f>value(SGD!$B2791)</f>
        <v>10487.09867</v>
      </c>
      <c r="H2791" s="1">
        <f>value(MYR!$B2791)</f>
        <v>3487.99874</v>
      </c>
      <c r="I2791" s="1">
        <f>value(THB!$B2791)</f>
        <v>434.7845</v>
      </c>
      <c r="J2791" s="1">
        <f>value(VND!$B2791)</f>
        <v>0.6235062712</v>
      </c>
      <c r="K2791" s="1">
        <f>value(CNY!$B2791)</f>
        <v>2155.738625</v>
      </c>
      <c r="L2791" s="1">
        <f>value(HKD!$B2791)</f>
        <v>1753.54383</v>
      </c>
      <c r="M2791" s="1">
        <f>value(TWD!$B2791)</f>
        <v>470.5419525</v>
      </c>
      <c r="N2791" s="1">
        <f>value(JPY!$B2791)</f>
        <v>127.42267</v>
      </c>
      <c r="O2791" s="1">
        <f>value(SAR!$B2791)</f>
        <v>3953.71798</v>
      </c>
      <c r="P2791" s="1">
        <f>value(AED!$B2791)</f>
        <v>3981.8471</v>
      </c>
      <c r="Q2791" s="1">
        <f>value(KWD!$B2791)</f>
        <v>47840.93132</v>
      </c>
    </row>
    <row r="2792">
      <c r="A2792" s="4">
        <f>value(USD!A2792)</f>
        <v>43157.99861</v>
      </c>
      <c r="B2792" s="1">
        <f>value(USD!B2792)</f>
        <v>13651</v>
      </c>
      <c r="C2792" s="1">
        <f>value(AUD!$B2792)</f>
        <v>10637.47758</v>
      </c>
      <c r="D2792" s="1">
        <f>value(EUR!$B2792)</f>
        <v>16768.564</v>
      </c>
      <c r="E2792" s="1">
        <f>value(GBP!$B2792)</f>
        <v>18917.2512</v>
      </c>
      <c r="F2792" s="1">
        <f>value(CHF!$B2792)</f>
        <v>14204.3023</v>
      </c>
      <c r="G2792" s="1">
        <f>value(SGD!$B2792)</f>
        <v>10511.94305</v>
      </c>
      <c r="H2792" s="1">
        <f>value(MYR!$B2792)</f>
        <v>3509.1556</v>
      </c>
      <c r="I2792" s="1">
        <f>value(THB!$B2792)</f>
        <v>436.753</v>
      </c>
      <c r="J2792" s="1">
        <f>value(VND!$B2792)</f>
        <v>0.620440345</v>
      </c>
      <c r="K2792" s="1">
        <f>value(CNY!$B2792)</f>
        <v>2167.21962</v>
      </c>
      <c r="L2792" s="1">
        <f>value(HKD!$B2792)</f>
        <v>1754.0432</v>
      </c>
      <c r="M2792" s="1">
        <f>value(TWD!$B2792)</f>
        <v>471.148667</v>
      </c>
      <c r="N2792" s="1">
        <f>value(JPY!$B2792)</f>
        <v>128.948744</v>
      </c>
      <c r="O2792" s="1">
        <f>value(SAR!$B2792)</f>
        <v>3949.501312</v>
      </c>
      <c r="P2792" s="1">
        <f>value(AED!$B2792)</f>
        <v>3973.682</v>
      </c>
      <c r="Q2792" s="1">
        <f>value(KWD!$B2792)</f>
        <v>47982.02128</v>
      </c>
    </row>
    <row r="2793">
      <c r="A2793" s="4">
        <f>value(USD!A2793)</f>
        <v>43158.99861</v>
      </c>
      <c r="B2793" s="1">
        <f>value(USD!B2793)</f>
        <v>13694</v>
      </c>
      <c r="C2793" s="1">
        <f>value(AUD!$B2793)</f>
        <v>10569.144</v>
      </c>
      <c r="D2793" s="1">
        <f>value(EUR!$B2793)</f>
        <v>16859.38254</v>
      </c>
      <c r="E2793" s="1">
        <f>value(GBP!$B2793)</f>
        <v>18926.8534</v>
      </c>
      <c r="F2793" s="1">
        <f>value(CHF!$B2793)</f>
        <v>14203.59545</v>
      </c>
      <c r="G2793" s="1">
        <f>value(SGD!$B2793)</f>
        <v>10519.05</v>
      </c>
      <c r="H2793" s="1">
        <f>value(MYR!$B2793)</f>
        <v>3496.39745</v>
      </c>
      <c r="I2793" s="1">
        <f>value(THB!$B2793)</f>
        <v>436.55157</v>
      </c>
      <c r="J2793" s="1">
        <f>value(VND!$B2793)</f>
        <v>0.620440345</v>
      </c>
      <c r="K2793" s="1">
        <f>value(CNY!$B2793)</f>
        <v>2162.853</v>
      </c>
      <c r="L2793" s="1">
        <f>value(HKD!$B2793)</f>
        <v>1750.606119</v>
      </c>
      <c r="M2793" s="1">
        <f>value(TWD!$B2793)</f>
        <v>472.07629</v>
      </c>
      <c r="N2793" s="1">
        <f>value(JPY!$B2793)</f>
        <v>129.412738</v>
      </c>
      <c r="O2793" s="1">
        <f>value(SAR!$B2793)</f>
        <v>3961.702683</v>
      </c>
      <c r="P2793" s="1">
        <f>value(AED!$B2793)</f>
        <v>3956.60925</v>
      </c>
      <c r="Q2793" s="1">
        <f>value(KWD!$B2793)</f>
        <v>47596.44161</v>
      </c>
    </row>
    <row r="2794">
      <c r="A2794" s="4">
        <f>value(USD!A2794)</f>
        <v>43159.99861</v>
      </c>
      <c r="B2794" s="1">
        <f>value(USD!B2794)</f>
        <v>13756</v>
      </c>
      <c r="C2794" s="1">
        <f>value(AUD!$B2794)</f>
        <v>10495.79635</v>
      </c>
      <c r="D2794" s="1">
        <f>value(EUR!$B2794)</f>
        <v>16937.1067</v>
      </c>
      <c r="E2794" s="1">
        <f>value(GBP!$B2794)</f>
        <v>18984.6306</v>
      </c>
      <c r="F2794" s="1">
        <f>value(CHF!$B2794)</f>
        <v>14239.5255</v>
      </c>
      <c r="G2794" s="1">
        <f>value(SGD!$B2794)</f>
        <v>10512.65106</v>
      </c>
      <c r="H2794" s="1">
        <f>value(MYR!$B2794)</f>
        <v>3496.46677</v>
      </c>
      <c r="I2794" s="1">
        <f>value(THB!$B2794)</f>
        <v>436.86927</v>
      </c>
      <c r="J2794" s="1">
        <f>value(VND!$B2794)</f>
        <v>0.617715825</v>
      </c>
      <c r="K2794" s="1">
        <f>value(CNY!$B2794)</f>
        <v>2164.9683</v>
      </c>
      <c r="L2794" s="1">
        <f>value(HKD!$B2794)</f>
        <v>1751.92083</v>
      </c>
      <c r="M2794" s="1">
        <f>value(TWD!$B2794)</f>
        <v>471.266164</v>
      </c>
      <c r="N2794" s="1">
        <f>value(JPY!$B2794)</f>
        <v>130.08446</v>
      </c>
      <c r="O2794" s="1">
        <f>value(SAR!$B2794)</f>
        <v>3960.123788</v>
      </c>
      <c r="P2794" s="1">
        <f>value(AED!$B2794)</f>
        <v>3959.237938</v>
      </c>
      <c r="Q2794" s="1">
        <f>value(KWD!$B2794)</f>
        <v>47256.31993</v>
      </c>
    </row>
    <row r="2795">
      <c r="A2795" s="4">
        <f>value(USD!A2795)</f>
        <v>43160.99861</v>
      </c>
      <c r="B2795" s="1">
        <f>value(USD!B2795)</f>
        <v>13741</v>
      </c>
      <c r="C2795" s="1">
        <f>value(AUD!$B2795)</f>
        <v>10581.56739</v>
      </c>
      <c r="D2795" s="1">
        <f>value(EUR!$B2795)</f>
        <v>16937.1067</v>
      </c>
      <c r="E2795" s="1">
        <f>value(GBP!$B2795)</f>
        <v>18984.6306</v>
      </c>
      <c r="F2795" s="1">
        <f>value(CHF!$B2795)</f>
        <v>14270.9342</v>
      </c>
      <c r="G2795" s="1">
        <f>value(SGD!$B2795)</f>
        <v>10516.61631</v>
      </c>
      <c r="H2795" s="1">
        <f>value(MYR!$B2795)</f>
        <v>3496.46677</v>
      </c>
      <c r="I2795" s="1">
        <f>value(THB!$B2795)</f>
        <v>436.86927</v>
      </c>
      <c r="J2795" s="1">
        <f>value(VND!$B2795)</f>
        <v>0.6184788575</v>
      </c>
      <c r="K2795" s="1">
        <f>value(CNY!$B2795)</f>
        <v>2163.69588</v>
      </c>
      <c r="L2795" s="1">
        <f>value(HKD!$B2795)</f>
        <v>1753.64046</v>
      </c>
      <c r="M2795" s="1">
        <f>value(TWD!$B2795)</f>
        <v>473.3455113</v>
      </c>
      <c r="N2795" s="1">
        <f>value(JPY!$B2795)</f>
        <v>130.08446</v>
      </c>
      <c r="O2795" s="1">
        <f>value(SAR!$B2795)</f>
        <v>3952.749527</v>
      </c>
      <c r="P2795" s="1">
        <f>value(AED!$B2795)</f>
        <v>3956.31859</v>
      </c>
      <c r="Q2795" s="1">
        <f>value(KWD!$B2795)</f>
        <v>47150.33217</v>
      </c>
    </row>
    <row r="2796">
      <c r="A2796" s="4">
        <f>value(USD!A2796)</f>
        <v>43161.99861</v>
      </c>
      <c r="B2796" s="1">
        <f>value(USD!B2796)</f>
        <v>13751</v>
      </c>
      <c r="C2796" s="1">
        <f>value(AUD!$B2796)</f>
        <v>10495.2232</v>
      </c>
      <c r="D2796" s="1">
        <f>value(EUR!$B2796)</f>
        <v>16933.94397</v>
      </c>
      <c r="E2796" s="1">
        <f>value(GBP!$B2796)</f>
        <v>18962.629</v>
      </c>
      <c r="F2796" s="1">
        <f>value(CHF!$B2796)</f>
        <v>14170.248</v>
      </c>
      <c r="G2796" s="1">
        <f>value(SGD!$B2796)</f>
        <v>10547.11716</v>
      </c>
      <c r="H2796" s="1">
        <f>value(MYR!$B2796)</f>
        <v>3496.46677</v>
      </c>
      <c r="I2796" s="1">
        <f>value(THB!$B2796)</f>
        <v>437.2818</v>
      </c>
      <c r="J2796" s="1">
        <f>value(VND!$B2796)</f>
        <v>0.619237216</v>
      </c>
      <c r="K2796" s="1">
        <f>value(CNY!$B2796)</f>
        <v>2168.31183</v>
      </c>
      <c r="L2796" s="1">
        <f>value(HKD!$B2796)</f>
        <v>1754.03291</v>
      </c>
      <c r="M2796" s="1">
        <f>value(TWD!$B2796)</f>
        <v>462.7705477</v>
      </c>
      <c r="N2796" s="1">
        <f>value(JPY!$B2796)</f>
        <v>130.235721</v>
      </c>
      <c r="O2796" s="1">
        <f>value(SAR!$B2796)</f>
        <v>3934.863783</v>
      </c>
      <c r="P2796" s="1">
        <f>value(AED!$B2796)</f>
        <v>3953.786373</v>
      </c>
      <c r="Q2796" s="1">
        <f>value(KWD!$B2796)</f>
        <v>47387.1292</v>
      </c>
    </row>
    <row r="2797">
      <c r="A2797" s="4">
        <f>value(USD!A2797)</f>
        <v>43162.99861</v>
      </c>
      <c r="B2797" s="1">
        <f>value(USD!B2797)</f>
        <v>13751</v>
      </c>
      <c r="C2797" s="1">
        <f>value(AUD!$B2797)</f>
        <v>10459.1074</v>
      </c>
      <c r="D2797" s="1">
        <f>value(EUR!$B2797)</f>
        <v>16944.86424</v>
      </c>
      <c r="E2797" s="1">
        <f>value(GBP!$B2797)</f>
        <v>19021.6239</v>
      </c>
      <c r="F2797" s="1">
        <f>value(CHF!$B2797)</f>
        <v>14165.3663</v>
      </c>
      <c r="G2797" s="1">
        <f>value(SGD!$B2797)</f>
        <v>10531.89918</v>
      </c>
      <c r="H2797" s="1">
        <f>value(MYR!$B2797)</f>
        <v>3514.61145</v>
      </c>
      <c r="I2797" s="1">
        <f>value(THB!$B2797)</f>
        <v>437.38608</v>
      </c>
      <c r="J2797" s="1">
        <f>value(VND!$B2797)</f>
        <v>0.62076945</v>
      </c>
      <c r="K2797" s="1">
        <f>value(CNY!$B2797)</f>
        <v>2176.61326</v>
      </c>
      <c r="L2797" s="1">
        <f>value(HKD!$B2797)</f>
        <v>1749.44687</v>
      </c>
      <c r="M2797" s="1">
        <f>value(TWD!$B2797)</f>
        <v>472.963167</v>
      </c>
      <c r="N2797" s="1">
        <f>value(JPY!$B2797)</f>
        <v>129.237696</v>
      </c>
      <c r="O2797" s="1">
        <f>value(SAR!$B2797)</f>
        <v>3949.250183</v>
      </c>
      <c r="P2797" s="1">
        <f>value(AED!$B2797)</f>
        <v>3967.15959</v>
      </c>
      <c r="Q2797" s="1">
        <f>value(KWD!$B2797)</f>
        <v>47069.66577</v>
      </c>
    </row>
    <row r="2798">
      <c r="A2798" s="4">
        <f>value(USD!A2798)</f>
        <v>43163.99861</v>
      </c>
      <c r="B2798" s="1">
        <f>value(USD!B2798)</f>
        <v>13751</v>
      </c>
      <c r="C2798" s="1">
        <f>value(AUD!$B2798)</f>
        <v>10464.72375</v>
      </c>
      <c r="D2798" s="1">
        <f>value(EUR!$B2798)</f>
        <v>17083.03681</v>
      </c>
      <c r="E2798" s="1">
        <f>value(GBP!$B2798)</f>
        <v>19123.08374</v>
      </c>
      <c r="F2798" s="1">
        <f>value(CHF!$B2798)</f>
        <v>14030.2811</v>
      </c>
      <c r="G2798" s="1">
        <f>value(SGD!$B2798)</f>
        <v>10489.17408</v>
      </c>
      <c r="H2798" s="1">
        <f>value(MYR!$B2798)</f>
        <v>3530.83458</v>
      </c>
      <c r="I2798" s="1">
        <f>value(THB!$B2798)</f>
        <v>438.77451</v>
      </c>
      <c r="J2798" s="1">
        <f>value(VND!$B2798)</f>
        <v>0.62115822</v>
      </c>
      <c r="K2798" s="1">
        <f>value(CNY!$B2798)</f>
        <v>2170.43214</v>
      </c>
      <c r="L2798" s="1">
        <f>value(HKD!$B2798)</f>
        <v>1753.65074</v>
      </c>
      <c r="M2798" s="1">
        <f>value(TWD!$B2798)</f>
        <v>476.0659</v>
      </c>
      <c r="N2798" s="1">
        <f>value(JPY!$B2798)</f>
        <v>130.339007</v>
      </c>
      <c r="O2798" s="1">
        <f>value(SAR!$B2798)</f>
        <v>3948.217401</v>
      </c>
      <c r="P2798" s="1">
        <f>value(AED!$B2798)</f>
        <v>3935.523766</v>
      </c>
      <c r="Q2798" s="1">
        <f>value(KWD!$B2798)</f>
        <v>47206.58335</v>
      </c>
    </row>
    <row r="2799">
      <c r="A2799" s="4">
        <f>value(USD!A2799)</f>
        <v>43164.99861</v>
      </c>
      <c r="B2799" s="1">
        <f>value(USD!B2799)</f>
        <v>13737</v>
      </c>
      <c r="C2799" s="1">
        <f>value(AUD!$B2799)</f>
        <v>10548.2784</v>
      </c>
      <c r="D2799" s="1">
        <f>value(EUR!$B2799)</f>
        <v>17058.9195</v>
      </c>
      <c r="E2799" s="1">
        <f>value(GBP!$B2799)</f>
        <v>19108.299</v>
      </c>
      <c r="F2799" s="1">
        <f>value(CHF!$B2799)</f>
        <v>14020.6616</v>
      </c>
      <c r="G2799" s="1">
        <f>value(SGD!$B2799)</f>
        <v>10479.6151</v>
      </c>
      <c r="H2799" s="1">
        <f>value(MYR!$B2799)</f>
        <v>3518.03275</v>
      </c>
      <c r="I2799" s="1">
        <f>value(THB!$B2799)</f>
        <v>438.7404</v>
      </c>
      <c r="J2799" s="1">
        <f>value(VND!$B2799)</f>
        <v>0.61671059</v>
      </c>
      <c r="K2799" s="1">
        <f>value(CNY!$B2799)</f>
        <v>2175.29808</v>
      </c>
      <c r="L2799" s="1">
        <f>value(HKD!$B2799)</f>
        <v>1752.50423</v>
      </c>
      <c r="M2799" s="1">
        <f>value(TWD!$B2799)</f>
        <v>474.8823749</v>
      </c>
      <c r="N2799" s="1">
        <f>value(JPY!$B2799)</f>
        <v>129.409175</v>
      </c>
      <c r="O2799" s="1">
        <f>value(SAR!$B2799)</f>
        <v>3979.471364</v>
      </c>
      <c r="P2799" s="1">
        <f>value(AED!$B2799)</f>
        <v>3907.27252</v>
      </c>
      <c r="Q2799" s="1">
        <f>value(KWD!$B2799)</f>
        <v>47573.66264</v>
      </c>
    </row>
    <row r="2800">
      <c r="A2800" s="4">
        <f>value(USD!A2800)</f>
        <v>43165.99861</v>
      </c>
      <c r="B2800" s="1">
        <f>value(USD!B2800)</f>
        <v>13759</v>
      </c>
      <c r="C2800" s="1">
        <f>value(AUD!$B2800)</f>
        <v>10602.9</v>
      </c>
      <c r="D2800" s="1">
        <f>value(EUR!$B2800)</f>
        <v>16963.673</v>
      </c>
      <c r="E2800" s="1">
        <f>value(GBP!$B2800)</f>
        <v>19030.1944</v>
      </c>
      <c r="F2800" s="1">
        <f>value(CHF!$B2800)</f>
        <v>14044.31574</v>
      </c>
      <c r="G2800" s="1">
        <f>value(SGD!$B2800)</f>
        <v>10447.97241</v>
      </c>
      <c r="H2800" s="1">
        <f>value(MYR!$B2800)</f>
        <v>3525.35592</v>
      </c>
      <c r="I2800" s="1">
        <f>value(THB!$B2800)</f>
        <v>439.22196</v>
      </c>
      <c r="J2800" s="1">
        <f>value(VND!$B2800)</f>
        <v>0.61671059</v>
      </c>
      <c r="K2800" s="1">
        <f>value(CNY!$B2800)</f>
        <v>2174.7726</v>
      </c>
      <c r="L2800" s="1">
        <f>value(HKD!$B2800)</f>
        <v>1754.1706</v>
      </c>
      <c r="M2800" s="1">
        <f>value(TWD!$B2800)</f>
        <v>475.37776</v>
      </c>
      <c r="N2800" s="1">
        <f>value(JPY!$B2800)</f>
        <v>129.533256</v>
      </c>
      <c r="O2800" s="1">
        <f>value(SAR!$B2800)</f>
        <v>3968.342902</v>
      </c>
      <c r="P2800" s="1">
        <f>value(AED!$B2800)</f>
        <v>3898.183305</v>
      </c>
      <c r="Q2800" s="1">
        <f>value(KWD!$B2800)</f>
        <v>47534.9051</v>
      </c>
    </row>
    <row r="2801">
      <c r="A2801" s="4">
        <f>value(USD!A2801)</f>
        <v>43166.99861</v>
      </c>
      <c r="B2801" s="1">
        <f>value(USD!B2801)</f>
        <v>13745</v>
      </c>
      <c r="C2801" s="1">
        <f>value(AUD!$B2801)</f>
        <v>10574.6267</v>
      </c>
      <c r="D2801" s="1">
        <f>value(EUR!$B2801)</f>
        <v>16945.362</v>
      </c>
      <c r="E2801" s="1">
        <f>value(GBP!$B2801)</f>
        <v>19074.204</v>
      </c>
      <c r="F2801" s="1">
        <f>value(CHF!$B2801)</f>
        <v>14033.666</v>
      </c>
      <c r="G2801" s="1">
        <f>value(SGD!$B2801)</f>
        <v>10450.87274</v>
      </c>
      <c r="H2801" s="1">
        <f>value(MYR!$B2801)</f>
        <v>3517.2711</v>
      </c>
      <c r="I2801" s="1">
        <f>value(THB!$B2801)</f>
        <v>439.4007</v>
      </c>
      <c r="J2801" s="1">
        <f>value(VND!$B2801)</f>
        <v>0.616840801</v>
      </c>
      <c r="K2801" s="1">
        <f>value(CNY!$B2801)</f>
        <v>2174.35491</v>
      </c>
      <c r="L2801" s="1">
        <f>value(HKD!$B2801)</f>
        <v>1758.258</v>
      </c>
      <c r="M2801" s="1">
        <f>value(TWD!$B2801)</f>
        <v>474.53175</v>
      </c>
      <c r="N2801" s="1">
        <f>value(JPY!$B2801)</f>
        <v>128.8872</v>
      </c>
      <c r="O2801" s="1">
        <f>value(SAR!$B2801)</f>
        <v>3972.02494</v>
      </c>
      <c r="P2801" s="1">
        <f>value(AED!$B2801)</f>
        <v>3917.184951</v>
      </c>
      <c r="Q2801" s="1">
        <f>value(KWD!$B2801)</f>
        <v>47844.55392</v>
      </c>
    </row>
    <row r="2802">
      <c r="A2802" s="4">
        <f>value(USD!A2802)</f>
        <v>43167.99861</v>
      </c>
      <c r="B2802" s="1">
        <f>value(USD!B2802)</f>
        <v>13786</v>
      </c>
      <c r="C2802" s="1">
        <f>value(AUD!$B2802)</f>
        <v>10590.4164</v>
      </c>
      <c r="D2802" s="1">
        <f>value(EUR!$B2802)</f>
        <v>16977.99575</v>
      </c>
      <c r="E2802" s="1">
        <f>value(GBP!$B2802)</f>
        <v>19109.04349</v>
      </c>
      <c r="F2802" s="1">
        <f>value(CHF!$B2802)</f>
        <v>14028.8892</v>
      </c>
      <c r="G2802" s="1">
        <f>value(SGD!$B2802)</f>
        <v>10474.2079</v>
      </c>
      <c r="H2802" s="1">
        <f>value(MYR!$B2802)</f>
        <v>3523.171533</v>
      </c>
      <c r="I2802" s="1">
        <f>value(THB!$B2802)</f>
        <v>440.137821</v>
      </c>
      <c r="J2802" s="1">
        <f>value(VND!$B2802)</f>
        <v>0.6182764875</v>
      </c>
      <c r="K2802" s="1">
        <f>value(CNY!$B2802)</f>
        <v>2176.02567</v>
      </c>
      <c r="L2802" s="1">
        <f>value(HKD!$B2802)</f>
        <v>1764.56721</v>
      </c>
      <c r="M2802" s="1">
        <f>value(TWD!$B2802)</f>
        <v>470.1657078</v>
      </c>
      <c r="N2802" s="1">
        <f>value(JPY!$B2802)</f>
        <v>129.103416</v>
      </c>
      <c r="O2802" s="1">
        <f>value(SAR!$B2802)</f>
        <v>3959.106204</v>
      </c>
      <c r="P2802" s="1">
        <f>value(AED!$B2802)</f>
        <v>3891.80008</v>
      </c>
      <c r="Q2802" s="1">
        <f>value(KWD!$B2802)</f>
        <v>47831.24005</v>
      </c>
    </row>
    <row r="2803">
      <c r="A2803" s="4">
        <f>value(USD!A2803)</f>
        <v>43168.99861</v>
      </c>
      <c r="B2803" s="1">
        <f>value(USD!B2803)</f>
        <v>13770</v>
      </c>
      <c r="C2803" s="1">
        <f>value(AUD!$B2803)</f>
        <v>10555.01094</v>
      </c>
      <c r="D2803" s="1">
        <f>value(EUR!$B2803)</f>
        <v>16949.2004</v>
      </c>
      <c r="E2803" s="1">
        <f>value(GBP!$B2803)</f>
        <v>19079.7288</v>
      </c>
      <c r="F2803" s="1">
        <f>value(CHF!$B2803)</f>
        <v>14027.04336</v>
      </c>
      <c r="G2803" s="1">
        <f>value(SGD!$B2803)</f>
        <v>10482.7441</v>
      </c>
      <c r="H2803" s="1">
        <f>value(MYR!$B2803)</f>
        <v>3517.78196</v>
      </c>
      <c r="I2803" s="1">
        <f>value(THB!$B2803)</f>
        <v>439.87768</v>
      </c>
      <c r="J2803" s="1">
        <f>value(VND!$B2803)</f>
        <v>0.6175861025</v>
      </c>
      <c r="K2803" s="1">
        <f>value(CNY!$B2803)</f>
        <v>2206.609964</v>
      </c>
      <c r="L2803" s="1">
        <f>value(HKD!$B2803)</f>
        <v>1765.511762</v>
      </c>
      <c r="M2803" s="1">
        <f>value(TWD!$B2803)</f>
        <v>471.182056</v>
      </c>
      <c r="N2803" s="1">
        <f>value(JPY!$B2803)</f>
        <v>128.809516</v>
      </c>
      <c r="O2803" s="1">
        <f>value(SAR!$B2803)</f>
        <v>3965.563195</v>
      </c>
      <c r="P2803" s="1">
        <f>value(AED!$B2803)</f>
        <v>3902.64563</v>
      </c>
      <c r="Q2803" s="1">
        <f>value(KWD!$B2803)</f>
        <v>47575.64799</v>
      </c>
    </row>
    <row r="2804">
      <c r="A2804" s="4">
        <f>value(USD!A2804)</f>
        <v>43169.99861</v>
      </c>
      <c r="B2804" s="1">
        <f>value(USD!B2804)</f>
        <v>13793.1</v>
      </c>
      <c r="C2804" s="1">
        <f>value(AUD!$B2804)</f>
        <v>10591.8666</v>
      </c>
      <c r="D2804" s="1">
        <f>value(EUR!$B2804)</f>
        <v>16972.43205</v>
      </c>
      <c r="E2804" s="1">
        <f>value(GBP!$B2804)</f>
        <v>19128.66585</v>
      </c>
      <c r="F2804" s="1">
        <f>value(CHF!$B2804)</f>
        <v>14010.70138</v>
      </c>
      <c r="G2804" s="1">
        <f>value(SGD!$B2804)</f>
        <v>10480.71261</v>
      </c>
      <c r="H2804" s="1">
        <f>value(MYR!$B2804)</f>
        <v>3520.59225</v>
      </c>
      <c r="I2804" s="1">
        <f>value(THB!$B2804)</f>
        <v>439.6098</v>
      </c>
      <c r="J2804" s="1">
        <f>value(VND!$B2804)</f>
        <v>0.614232</v>
      </c>
      <c r="K2804" s="1">
        <f>value(CNY!$B2804)</f>
        <v>2186.165524</v>
      </c>
      <c r="L2804" s="1">
        <f>value(HKD!$B2804)</f>
        <v>1771.70553</v>
      </c>
      <c r="M2804" s="1">
        <f>value(TWD!$B2804)</f>
        <v>470.661234</v>
      </c>
      <c r="N2804" s="1">
        <f>value(JPY!$B2804)</f>
        <v>129.420795</v>
      </c>
      <c r="O2804" s="1">
        <f>value(SAR!$B2804)</f>
        <v>3959.898291</v>
      </c>
      <c r="P2804" s="1">
        <f>value(AED!$B2804)</f>
        <v>3932.475462</v>
      </c>
      <c r="Q2804" s="1">
        <f>value(KWD!$B2804)</f>
        <v>47926.2038</v>
      </c>
    </row>
    <row r="2805">
      <c r="A2805" s="4">
        <f>value(USD!A2805)</f>
        <v>43170.99861</v>
      </c>
      <c r="B2805" s="1">
        <f>value(USD!B2805)</f>
        <v>13772</v>
      </c>
      <c r="C2805" s="1">
        <f>value(AUD!$B2805)</f>
        <v>10601.1147</v>
      </c>
      <c r="D2805" s="1">
        <f>value(EUR!$B2805)</f>
        <v>17026.4706</v>
      </c>
      <c r="E2805" s="1">
        <f>value(GBP!$B2805)</f>
        <v>19192.032</v>
      </c>
      <c r="F2805" s="1">
        <f>value(CHF!$B2805)</f>
        <v>13965.8275</v>
      </c>
      <c r="G2805" s="1">
        <f>value(SGD!$B2805)</f>
        <v>10474.9806</v>
      </c>
      <c r="H2805" s="1">
        <f>value(MYR!$B2805)</f>
        <v>3519.9132</v>
      </c>
      <c r="I2805" s="1">
        <f>value(THB!$B2805)</f>
        <v>439.9548</v>
      </c>
      <c r="J2805" s="1">
        <f>value(VND!$B2805)</f>
        <v>0.615099132</v>
      </c>
      <c r="K2805" s="1">
        <f>value(CNY!$B2805)</f>
        <v>2159.4573</v>
      </c>
      <c r="L2805" s="1">
        <f>value(HKD!$B2805)</f>
        <v>1780.0275</v>
      </c>
      <c r="M2805" s="1">
        <f>value(TWD!$B2805)</f>
        <v>470.8782468</v>
      </c>
      <c r="N2805" s="1">
        <f>value(JPY!$B2805)</f>
        <v>128.97738</v>
      </c>
      <c r="O2805" s="1">
        <f>value(SAR!$B2805)</f>
        <v>3949.761254</v>
      </c>
      <c r="P2805" s="1">
        <f>value(AED!$B2805)</f>
        <v>3927.992888</v>
      </c>
      <c r="Q2805" s="1">
        <f>value(KWD!$B2805)</f>
        <v>48220.71869</v>
      </c>
    </row>
    <row r="2806">
      <c r="A2806" s="4">
        <f>value(USD!A2806)</f>
        <v>43171.99861</v>
      </c>
      <c r="B2806" s="1">
        <f>value(USD!B2806)</f>
        <v>13755</v>
      </c>
      <c r="C2806" s="1">
        <f>value(AUD!$B2806)</f>
        <v>10539.82392</v>
      </c>
      <c r="D2806" s="1">
        <f>value(EUR!$B2806)</f>
        <v>16984.6875</v>
      </c>
      <c r="E2806" s="1">
        <f>value(GBP!$B2806)</f>
        <v>19173.825</v>
      </c>
      <c r="F2806" s="1">
        <f>value(CHF!$B2806)</f>
        <v>13939.05051</v>
      </c>
      <c r="G2806" s="1">
        <f>value(SGD!$B2806)</f>
        <v>10462.59893</v>
      </c>
      <c r="H2806" s="1">
        <f>value(MYR!$B2806)</f>
        <v>3511.1295</v>
      </c>
      <c r="I2806" s="1">
        <f>value(THB!$B2806)</f>
        <v>440.5725</v>
      </c>
      <c r="J2806" s="1">
        <f>value(VND!$B2806)</f>
        <v>0.6131765165</v>
      </c>
      <c r="K2806" s="1">
        <f>value(CNY!$B2806)</f>
        <v>2161.96344</v>
      </c>
      <c r="L2806" s="1">
        <f>value(HKD!$B2806)</f>
        <v>1767.57024</v>
      </c>
      <c r="M2806" s="1">
        <f>value(TWD!$B2806)</f>
        <v>473.080339</v>
      </c>
      <c r="N2806" s="1">
        <f>value(JPY!$B2806)</f>
        <v>129.275775</v>
      </c>
      <c r="O2806" s="1">
        <f>value(SAR!$B2806)</f>
        <v>3966.953134</v>
      </c>
      <c r="P2806" s="1">
        <f>value(AED!$B2806)</f>
        <v>3954.23104</v>
      </c>
      <c r="Q2806" s="1">
        <f>value(KWD!$B2806)</f>
        <v>48030.96413</v>
      </c>
    </row>
    <row r="2807">
      <c r="A2807" s="4">
        <f>value(USD!A2807)</f>
        <v>43172.99861</v>
      </c>
      <c r="B2807" s="1">
        <f>value(USD!B2807)</f>
        <v>13740</v>
      </c>
      <c r="C2807" s="1">
        <f>value(AUD!$B2807)</f>
        <v>10586.90997</v>
      </c>
      <c r="D2807" s="1">
        <f>value(EUR!$B2807)</f>
        <v>16929.219</v>
      </c>
      <c r="E2807" s="1">
        <f>value(GBP!$B2807)</f>
        <v>19173.1488</v>
      </c>
      <c r="F2807" s="1">
        <f>value(CHF!$B2807)</f>
        <v>13947.06859</v>
      </c>
      <c r="G2807" s="1">
        <f>value(SGD!$B2807)</f>
        <v>10441.82115</v>
      </c>
      <c r="H2807" s="1">
        <f>value(MYR!$B2807)</f>
        <v>3525.4875</v>
      </c>
      <c r="I2807" s="1">
        <f>value(THB!$B2807)</f>
        <v>440.39358</v>
      </c>
      <c r="J2807" s="1">
        <f>value(VND!$B2807)</f>
        <v>0.6131765165</v>
      </c>
      <c r="K2807" s="1">
        <f>value(CNY!$B2807)</f>
        <v>2146.23045</v>
      </c>
      <c r="L2807" s="1">
        <f>value(HKD!$B2807)</f>
        <v>1773.69817</v>
      </c>
      <c r="M2807" s="1">
        <f>value(TWD!$B2807)</f>
        <v>473.021575</v>
      </c>
      <c r="N2807" s="1">
        <f>value(JPY!$B2807)</f>
        <v>129.380232</v>
      </c>
      <c r="O2807" s="1">
        <f>value(SAR!$B2807)</f>
        <v>4010.010605</v>
      </c>
      <c r="P2807" s="1">
        <f>value(AED!$B2807)</f>
        <v>3958.705575</v>
      </c>
      <c r="Q2807" s="1">
        <f>value(KWD!$B2807)</f>
        <v>47932.7925</v>
      </c>
    </row>
    <row r="2808">
      <c r="A2808" s="4">
        <f>value(USD!A2808)</f>
        <v>43173.99861</v>
      </c>
      <c r="B2808" s="1">
        <f>value(USD!B2808)</f>
        <v>13725</v>
      </c>
      <c r="C2808" s="1">
        <f>value(AUD!$B2808)</f>
        <v>10542.4956</v>
      </c>
      <c r="D2808" s="1">
        <f>value(EUR!$B2808)</f>
        <v>16898.248</v>
      </c>
      <c r="E2808" s="1">
        <f>value(GBP!$B2808)</f>
        <v>19161.8848</v>
      </c>
      <c r="F2808" s="1">
        <f>value(CHF!$B2808)</f>
        <v>13923.52556</v>
      </c>
      <c r="G2808" s="1">
        <f>value(SGD!$B2808)</f>
        <v>10438.15661</v>
      </c>
      <c r="H2808" s="1">
        <f>value(MYR!$B2808)</f>
        <v>3513.79104</v>
      </c>
      <c r="I2808" s="1">
        <f>value(THB!$B2808)</f>
        <v>440.08288</v>
      </c>
      <c r="J2808" s="1">
        <f>value(VND!$B2808)</f>
        <v>0.611355425</v>
      </c>
      <c r="K2808" s="1">
        <f>value(CNY!$B2808)</f>
        <v>2150.96427</v>
      </c>
      <c r="L2808" s="1">
        <f>value(HKD!$B2808)</f>
        <v>1768.73976</v>
      </c>
      <c r="M2808" s="1">
        <f>value(TWD!$B2808)</f>
        <v>472.9538272</v>
      </c>
      <c r="N2808" s="1">
        <f>value(JPY!$B2808)</f>
        <v>129.60592</v>
      </c>
      <c r="O2808" s="1">
        <f>value(SAR!$B2808)</f>
        <v>4001.335009</v>
      </c>
      <c r="P2808" s="1">
        <f>value(AED!$B2808)</f>
        <v>3937.26249</v>
      </c>
      <c r="Q2808" s="1">
        <f>value(KWD!$B2808)</f>
        <v>47882.64992</v>
      </c>
    </row>
    <row r="2809">
      <c r="A2809" s="4">
        <f>value(USD!A2809)</f>
        <v>43174.99861</v>
      </c>
      <c r="B2809" s="1">
        <f>value(USD!B2809)</f>
        <v>13758</v>
      </c>
      <c r="C2809" s="1">
        <f>value(AUD!$B2809)</f>
        <v>10536.9264</v>
      </c>
      <c r="D2809" s="1">
        <f>value(EUR!$B2809)</f>
        <v>16916.08347</v>
      </c>
      <c r="E2809" s="1">
        <f>value(GBP!$B2809)</f>
        <v>19180.2912</v>
      </c>
      <c r="F2809" s="1">
        <f>value(CHF!$B2809)</f>
        <v>14239.67763</v>
      </c>
      <c r="G2809" s="1">
        <f>value(SGD!$B2809)</f>
        <v>10444.03747</v>
      </c>
      <c r="H2809" s="1">
        <f>value(MYR!$B2809)</f>
        <v>3516.641649</v>
      </c>
      <c r="I2809" s="1">
        <f>value(THB!$B2809)</f>
        <v>440.439903</v>
      </c>
      <c r="J2809" s="1">
        <f>value(VND!$B2809)</f>
        <v>0.61222032</v>
      </c>
      <c r="K2809" s="1">
        <f>value(CNY!$B2809)</f>
        <v>2169.552</v>
      </c>
      <c r="L2809" s="1">
        <f>value(HKD!$B2809)</f>
        <v>1763.09958</v>
      </c>
      <c r="M2809" s="1">
        <f>value(TWD!$B2809)</f>
        <v>473.359022</v>
      </c>
      <c r="N2809" s="1">
        <f>value(JPY!$B2809)</f>
        <v>129.7110645</v>
      </c>
      <c r="O2809" s="1">
        <f>value(SAR!$B2809)</f>
        <v>3982.169509</v>
      </c>
      <c r="P2809" s="1">
        <f>value(AED!$B2809)</f>
        <v>3959.52916</v>
      </c>
      <c r="Q2809" s="1">
        <f>value(KWD!$B2809)</f>
        <v>47892.5057</v>
      </c>
    </row>
    <row r="2810">
      <c r="A2810" s="4">
        <f>value(USD!A2810)</f>
        <v>43175.99861</v>
      </c>
      <c r="B2810" s="1">
        <f>value(USD!B2810)</f>
        <v>13744</v>
      </c>
      <c r="C2810" s="1">
        <f>value(AUD!$B2810)</f>
        <v>10542.33117</v>
      </c>
      <c r="D2810" s="1">
        <f>value(EUR!$B2810)</f>
        <v>16882.81896</v>
      </c>
      <c r="E2810" s="1">
        <f>value(GBP!$B2810)</f>
        <v>19167.73656</v>
      </c>
      <c r="F2810" s="1">
        <f>value(CHF!$B2810)</f>
        <v>14244.2729</v>
      </c>
      <c r="G2810" s="1">
        <f>value(SGD!$B2810)</f>
        <v>10686.53576</v>
      </c>
      <c r="H2810" s="1">
        <f>value(MYR!$B2810)</f>
        <v>3514.26376</v>
      </c>
      <c r="I2810" s="1">
        <f>value(THB!$B2810)</f>
        <v>439.936</v>
      </c>
      <c r="J2810" s="1">
        <f>value(VND!$B2810)</f>
        <v>0.609735695</v>
      </c>
      <c r="K2810" s="1">
        <f>value(CNY!$B2810)</f>
        <v>2165.576616</v>
      </c>
      <c r="L2810" s="1">
        <f>value(HKD!$B2810)</f>
        <v>1767.1767</v>
      </c>
      <c r="M2810" s="1">
        <f>value(TWD!$B2810)</f>
        <v>475.2459574</v>
      </c>
      <c r="N2810" s="1">
        <f>value(JPY!$B2810)</f>
        <v>129.739876</v>
      </c>
      <c r="O2810" s="1">
        <f>value(SAR!$B2810)</f>
        <v>3976.074019</v>
      </c>
      <c r="P2810" s="1">
        <f>value(AED!$B2810)</f>
        <v>3983.861158</v>
      </c>
      <c r="Q2810" s="1">
        <f>value(KWD!$B2810)</f>
        <v>48046.03068</v>
      </c>
    </row>
    <row r="2811">
      <c r="A2811" s="4">
        <f>value(USD!A2811)</f>
        <v>43176.99861</v>
      </c>
      <c r="B2811" s="1">
        <f>value(USD!B2811)</f>
        <v>13755.15</v>
      </c>
      <c r="C2811" s="1">
        <f>value(AUD!$B2811)</f>
        <v>10473.55912</v>
      </c>
      <c r="D2811" s="1">
        <f>value(EUR!$B2811)</f>
        <v>16988.59415</v>
      </c>
      <c r="E2811" s="1">
        <f>value(GBP!$B2811)</f>
        <v>19312.86353</v>
      </c>
      <c r="F2811" s="1">
        <f>value(CHF!$B2811)</f>
        <v>13992.36171</v>
      </c>
      <c r="G2811" s="1">
        <f>value(SGD!$B2811)</f>
        <v>10641.0186</v>
      </c>
      <c r="H2811" s="1">
        <f>value(MYR!$B2811)</f>
        <v>3512.9821</v>
      </c>
      <c r="I2811" s="1">
        <f>value(THB!$B2811)</f>
        <v>441.22284</v>
      </c>
      <c r="J2811" s="1">
        <f>value(VND!$B2811)</f>
        <v>0.6085977567</v>
      </c>
      <c r="K2811" s="1">
        <f>value(CNY!$B2811)</f>
        <v>2163.30156</v>
      </c>
      <c r="L2811" s="1">
        <f>value(HKD!$B2811)</f>
        <v>1771.12641</v>
      </c>
      <c r="M2811" s="1">
        <f>value(TWD!$B2811)</f>
        <v>472.89738</v>
      </c>
      <c r="N2811" s="1">
        <f>value(JPY!$B2811)</f>
        <v>129.901843</v>
      </c>
      <c r="O2811" s="1">
        <f>value(SAR!$B2811)</f>
        <v>3974.078473</v>
      </c>
      <c r="P2811" s="1">
        <f>value(AED!$B2811)</f>
        <v>3968.184166</v>
      </c>
      <c r="Q2811" s="1">
        <f>value(KWD!$B2811)</f>
        <v>47735.1315</v>
      </c>
    </row>
    <row r="2812">
      <c r="A2812" s="4">
        <f>value(USD!A2812)</f>
        <v>43177.99861</v>
      </c>
      <c r="B2812" s="1">
        <f>value(USD!B2812)</f>
        <v>13748</v>
      </c>
      <c r="C2812" s="1">
        <f>value(AUD!$B2812)</f>
        <v>10357.59816</v>
      </c>
      <c r="D2812" s="1">
        <f>value(EUR!$B2812)</f>
        <v>16831.73925</v>
      </c>
      <c r="E2812" s="1">
        <f>value(GBP!$B2812)</f>
        <v>19244.18547</v>
      </c>
      <c r="F2812" s="1">
        <f>value(CHF!$B2812)</f>
        <v>14025.29253</v>
      </c>
      <c r="G2812" s="1">
        <f>value(SGD!$B2812)</f>
        <v>10436.5368</v>
      </c>
      <c r="H2812" s="1">
        <f>value(MYR!$B2812)</f>
        <v>3505.8393</v>
      </c>
      <c r="I2812" s="1">
        <f>value(THB!$B2812)</f>
        <v>440.46315</v>
      </c>
      <c r="J2812" s="1">
        <f>value(VND!$B2812)</f>
        <v>0.6118541187</v>
      </c>
      <c r="K2812" s="1">
        <f>value(CNY!$B2812)</f>
        <v>2163.2292</v>
      </c>
      <c r="L2812" s="1">
        <f>value(HKD!$B2812)</f>
        <v>1781.34502</v>
      </c>
      <c r="M2812" s="1">
        <f>value(TWD!$B2812)</f>
        <v>470.483446</v>
      </c>
      <c r="N2812" s="1">
        <f>value(JPY!$B2812)</f>
        <v>129.04677</v>
      </c>
      <c r="O2812" s="1">
        <f>value(SAR!$B2812)</f>
        <v>4018.39233</v>
      </c>
      <c r="P2812" s="1">
        <f>value(AED!$B2812)</f>
        <v>3960.0735</v>
      </c>
      <c r="Q2812" s="1">
        <f>value(KWD!$B2812)</f>
        <v>47745.01455</v>
      </c>
    </row>
    <row r="2813">
      <c r="A2813" s="4">
        <f>value(USD!A2813)</f>
        <v>43178.99861</v>
      </c>
      <c r="B2813" s="1">
        <f>value(USD!B2813)</f>
        <v>13771</v>
      </c>
      <c r="C2813" s="1">
        <f>value(AUD!$B2813)</f>
        <v>10307.1969</v>
      </c>
      <c r="D2813" s="1">
        <f>value(EUR!$B2813)</f>
        <v>16921.5635</v>
      </c>
      <c r="E2813" s="1">
        <f>value(GBP!$B2813)</f>
        <v>19383.2556</v>
      </c>
      <c r="F2813" s="1">
        <f>value(CHF!$B2813)</f>
        <v>13926.6176</v>
      </c>
      <c r="G2813" s="1">
        <f>value(SGD!$B2813)</f>
        <v>10513.51611</v>
      </c>
      <c r="H2813" s="1">
        <f>value(MYR!$B2813)</f>
        <v>3491.7599</v>
      </c>
      <c r="I2813" s="1">
        <f>value(THB!$B2813)</f>
        <v>439.79345</v>
      </c>
      <c r="J2813" s="1">
        <f>value(VND!$B2813)</f>
        <v>0.612278433</v>
      </c>
      <c r="K2813" s="1">
        <f>value(CNY!$B2813)</f>
        <v>2156.576</v>
      </c>
      <c r="L2813" s="1">
        <f>value(HKD!$B2813)</f>
        <v>1783.752997</v>
      </c>
      <c r="M2813" s="1">
        <f>value(TWD!$B2813)</f>
        <v>472.597632</v>
      </c>
      <c r="N2813" s="1">
        <f>value(JPY!$B2813)</f>
        <v>129.34779</v>
      </c>
      <c r="O2813" s="1">
        <f>value(SAR!$B2813)</f>
        <v>4014.415303</v>
      </c>
      <c r="P2813" s="1">
        <f>value(AED!$B2813)</f>
        <v>3968.04375</v>
      </c>
      <c r="Q2813" s="1">
        <f>value(KWD!$B2813)</f>
        <v>47893.76482</v>
      </c>
    </row>
    <row r="2814">
      <c r="A2814" s="4">
        <f>value(USD!A2814)</f>
        <v>43179.99861</v>
      </c>
      <c r="B2814" s="1">
        <f>value(USD!B2814)</f>
        <v>13743</v>
      </c>
      <c r="C2814" s="1">
        <f>value(AUD!$B2814)</f>
        <v>10285.75548</v>
      </c>
      <c r="D2814" s="1">
        <f>value(EUR!$B2814)</f>
        <v>16949.87944</v>
      </c>
      <c r="E2814" s="1">
        <f>value(GBP!$B2814)</f>
        <v>19410.88266</v>
      </c>
      <c r="F2814" s="1">
        <f>value(CHF!$B2814)</f>
        <v>13929.61472</v>
      </c>
      <c r="G2814" s="1">
        <f>value(SGD!$B2814)</f>
        <v>10429.908</v>
      </c>
      <c r="H2814" s="1">
        <f>value(MYR!$B2814)</f>
        <v>3511.94636</v>
      </c>
      <c r="I2814" s="1">
        <f>value(THB!$B2814)</f>
        <v>439.4403</v>
      </c>
      <c r="J2814" s="1">
        <f>value(VND!$B2814)</f>
        <v>0.612278433</v>
      </c>
      <c r="K2814" s="1">
        <f>value(CNY!$B2814)</f>
        <v>2155.7484</v>
      </c>
      <c r="L2814" s="1">
        <f>value(HKD!$B2814)</f>
        <v>1774.8094</v>
      </c>
      <c r="M2814" s="1">
        <f>value(TWD!$B2814)</f>
        <v>470.839038</v>
      </c>
      <c r="N2814" s="1">
        <f>value(JPY!$B2814)</f>
        <v>131.0151024</v>
      </c>
      <c r="O2814" s="1">
        <f>value(SAR!$B2814)</f>
        <v>4041.646519</v>
      </c>
      <c r="P2814" s="1">
        <f>value(AED!$B2814)</f>
        <v>3968.56894</v>
      </c>
      <c r="Q2814" s="1">
        <f>value(KWD!$B2814)</f>
        <v>47831.65634</v>
      </c>
    </row>
    <row r="2815">
      <c r="A2815" s="4">
        <f>value(USD!A2815)</f>
        <v>43180.99861</v>
      </c>
      <c r="B2815" s="1">
        <f>value(USD!B2815)</f>
        <v>13705</v>
      </c>
      <c r="C2815" s="1">
        <f>value(AUD!$B2815)</f>
        <v>10263.47868</v>
      </c>
      <c r="D2815" s="1">
        <f>value(EUR!$B2815)</f>
        <v>17022.8612</v>
      </c>
      <c r="E2815" s="1">
        <f>value(GBP!$B2815)</f>
        <v>19475.1672</v>
      </c>
      <c r="F2815" s="1">
        <f>value(CHF!$B2815)</f>
        <v>13942.44228</v>
      </c>
      <c r="G2815" s="1">
        <f>value(SGD!$B2815)</f>
        <v>10430.20058</v>
      </c>
      <c r="H2815" s="1">
        <f>value(MYR!$B2815)</f>
        <v>3514.5127</v>
      </c>
      <c r="I2815" s="1">
        <f>value(THB!$B2815)</f>
        <v>441.82839</v>
      </c>
      <c r="J2815" s="1">
        <f>value(VND!$B2815)</f>
        <v>0.6134253</v>
      </c>
      <c r="K2815" s="1">
        <f>value(CNY!$B2815)</f>
        <v>2164.9845</v>
      </c>
      <c r="L2815" s="1">
        <f>value(HKD!$B2815)</f>
        <v>1774.314234</v>
      </c>
      <c r="M2815" s="1">
        <f>value(TWD!$B2815)</f>
        <v>470.502757</v>
      </c>
      <c r="N2815" s="1">
        <f>value(JPY!$B2815)</f>
        <v>131.57035</v>
      </c>
      <c r="O2815" s="1">
        <f>value(SAR!$B2815)</f>
        <v>4113.757023</v>
      </c>
      <c r="P2815" s="1">
        <f>value(AED!$B2815)</f>
        <v>3970.606479</v>
      </c>
      <c r="Q2815" s="1">
        <f>value(KWD!$B2815)</f>
        <v>47831.65634</v>
      </c>
    </row>
    <row r="2816">
      <c r="A2816" s="4">
        <f>value(USD!A2816)</f>
        <v>43181.99861</v>
      </c>
      <c r="B2816" s="1">
        <f>value(USD!B2816)</f>
        <v>13754</v>
      </c>
      <c r="C2816" s="1">
        <f>value(AUD!$B2816)</f>
        <v>10393.84464</v>
      </c>
      <c r="D2816" s="1">
        <f>value(EUR!$B2816)</f>
        <v>17022.8612</v>
      </c>
      <c r="E2816" s="1">
        <f>value(GBP!$B2816)</f>
        <v>19475.1672</v>
      </c>
      <c r="F2816" s="1">
        <f>value(CHF!$B2816)</f>
        <v>13957.97332</v>
      </c>
      <c r="G2816" s="1">
        <f>value(SGD!$B2816)</f>
        <v>10444.7013</v>
      </c>
      <c r="H2816" s="1">
        <f>value(MYR!$B2816)</f>
        <v>3514.5127</v>
      </c>
      <c r="I2816" s="1">
        <f>value(THB!$B2816)</f>
        <v>432.87334</v>
      </c>
      <c r="J2816" s="1">
        <f>value(VND!$B2816)</f>
        <v>0.6132476415</v>
      </c>
      <c r="K2816" s="1">
        <f>value(CNY!$B2816)</f>
        <v>2158.93398</v>
      </c>
      <c r="L2816" s="1">
        <f>value(HKD!$B2816)</f>
        <v>1774.093866</v>
      </c>
      <c r="M2816" s="1">
        <f>value(TWD!$B2816)</f>
        <v>472.641284</v>
      </c>
      <c r="N2816" s="1">
        <f>value(JPY!$B2816)</f>
        <v>131.57035</v>
      </c>
      <c r="O2816" s="1">
        <f>value(SAR!$B2816)</f>
        <v>4028.236908</v>
      </c>
      <c r="P2816" s="1">
        <f>value(AED!$B2816)</f>
        <v>3943.7433</v>
      </c>
      <c r="Q2816" s="1">
        <f>value(KWD!$B2816)</f>
        <v>47831.65634</v>
      </c>
    </row>
    <row r="2817">
      <c r="A2817" s="4">
        <f>value(USD!A2817)</f>
        <v>43182.99861</v>
      </c>
      <c r="B2817" s="1">
        <f>value(USD!B2817)</f>
        <v>13777</v>
      </c>
      <c r="C2817" s="1">
        <f>value(AUD!$B2817)</f>
        <v>10481.3232</v>
      </c>
      <c r="D2817" s="1">
        <f>value(EUR!$B2817)</f>
        <v>17001.16194</v>
      </c>
      <c r="E2817" s="1">
        <f>value(GBP!$B2817)</f>
        <v>19468.13806</v>
      </c>
      <c r="F2817" s="1">
        <f>value(CHF!$B2817)</f>
        <v>14010.0774</v>
      </c>
      <c r="G2817" s="1">
        <f>value(SGD!$B2817)</f>
        <v>10451.3055</v>
      </c>
      <c r="H2817" s="1">
        <f>value(MYR!$B2817)</f>
        <v>3516.05338</v>
      </c>
      <c r="I2817" s="1">
        <f>value(THB!$B2817)</f>
        <v>441.0721</v>
      </c>
      <c r="J2817" s="1">
        <f>value(VND!$B2817)</f>
        <v>0.61353432</v>
      </c>
      <c r="K2817" s="1">
        <f>value(CNY!$B2817)</f>
        <v>2158.93398</v>
      </c>
      <c r="L2817" s="1">
        <f>value(HKD!$B2817)</f>
        <v>1775.0642</v>
      </c>
      <c r="M2817" s="1">
        <f>value(TWD!$B2817)</f>
        <v>474.76685</v>
      </c>
      <c r="N2817" s="1">
        <f>value(JPY!$B2817)</f>
        <v>131.206908</v>
      </c>
      <c r="O2817" s="1">
        <f>value(SAR!$B2817)</f>
        <v>4052.466456</v>
      </c>
      <c r="P2817" s="1">
        <f>value(AED!$B2817)</f>
        <v>3944.55981</v>
      </c>
      <c r="Q2817" s="1">
        <f>value(KWD!$B2817)</f>
        <v>47941.98838</v>
      </c>
    </row>
    <row r="2818">
      <c r="A2818" s="4">
        <f>value(USD!A2818)</f>
        <v>43183.99861</v>
      </c>
      <c r="B2818" s="1">
        <f>value(USD!B2818)</f>
        <v>13777</v>
      </c>
      <c r="C2818" s="1">
        <f>value(AUD!$B2818)</f>
        <v>10467.07521</v>
      </c>
      <c r="D2818" s="1">
        <f>value(EUR!$B2818)</f>
        <v>17088.23824</v>
      </c>
      <c r="E2818" s="1">
        <f>value(GBP!$B2818)</f>
        <v>19530.72814</v>
      </c>
      <c r="F2818" s="1">
        <f>value(CHF!$B2818)</f>
        <v>14140.286</v>
      </c>
      <c r="G2818" s="1">
        <f>value(SGD!$B2818)</f>
        <v>10428.0781</v>
      </c>
      <c r="H2818" s="1">
        <f>value(MYR!$B2818)</f>
        <v>3522.0965</v>
      </c>
      <c r="I2818" s="1">
        <f>value(THB!$B2818)</f>
        <v>440.62216</v>
      </c>
      <c r="J2818" s="1">
        <f>value(VND!$B2818)</f>
        <v>0.6103351645</v>
      </c>
      <c r="K2818" s="1">
        <f>value(CNY!$B2818)</f>
        <v>2160.86481</v>
      </c>
      <c r="L2818" s="1">
        <f>value(HKD!$B2818)</f>
        <v>1817.378845</v>
      </c>
      <c r="M2818" s="1">
        <f>value(TWD!$B2818)</f>
        <v>471.7389222</v>
      </c>
      <c r="N2818" s="1">
        <f>value(JPY!$B2818)</f>
        <v>130.005486</v>
      </c>
      <c r="O2818" s="1">
        <f>value(SAR!$B2818)</f>
        <v>4045.809592</v>
      </c>
      <c r="P2818" s="1">
        <f>value(AED!$B2818)</f>
        <v>3955.936516</v>
      </c>
      <c r="Q2818" s="1">
        <f>value(KWD!$B2818)</f>
        <v>48579.90739</v>
      </c>
    </row>
    <row r="2819">
      <c r="A2819" s="4">
        <f>value(USD!A2819)</f>
        <v>43184.99861</v>
      </c>
      <c r="B2819" s="1">
        <f>value(USD!B2819)</f>
        <v>13762</v>
      </c>
      <c r="C2819" s="1">
        <f>value(AUD!$B2819)</f>
        <v>10482.53616</v>
      </c>
      <c r="D2819" s="1">
        <f>value(EUR!$B2819)</f>
        <v>17047.218</v>
      </c>
      <c r="E2819" s="1">
        <f>value(GBP!$B2819)</f>
        <v>19475.763</v>
      </c>
      <c r="F2819" s="1">
        <f>value(CHF!$B2819)</f>
        <v>14125.75914</v>
      </c>
      <c r="G2819" s="1">
        <f>value(SGD!$B2819)</f>
        <v>10558.13304</v>
      </c>
      <c r="H2819" s="1">
        <f>value(MYR!$B2819)</f>
        <v>3541.7598</v>
      </c>
      <c r="I2819" s="1">
        <f>value(THB!$B2819)</f>
        <v>439.9548</v>
      </c>
      <c r="J2819" s="1">
        <f>value(VND!$B2819)</f>
        <v>0.61211934</v>
      </c>
      <c r="K2819" s="1">
        <f>value(CNY!$B2819)</f>
        <v>2151.76306</v>
      </c>
      <c r="L2819" s="1">
        <f>value(HKD!$B2819)</f>
        <v>1816.818417</v>
      </c>
      <c r="M2819" s="1">
        <f>value(TWD!$B2819)</f>
        <v>474.381507</v>
      </c>
      <c r="N2819" s="1">
        <f>value(JPY!$B2819)</f>
        <v>130.20024</v>
      </c>
      <c r="O2819" s="1">
        <f>value(SAR!$B2819)</f>
        <v>4111.380966</v>
      </c>
      <c r="P2819" s="1">
        <f>value(AED!$B2819)</f>
        <v>3959.67464</v>
      </c>
      <c r="Q2819" s="1">
        <f>value(KWD!$B2819)</f>
        <v>48096.7891</v>
      </c>
    </row>
    <row r="2820">
      <c r="A2820" s="4">
        <f>value(USD!A2820)</f>
        <v>43185.99861</v>
      </c>
      <c r="B2820" s="1">
        <f>value(USD!B2820)</f>
        <v>13718</v>
      </c>
      <c r="C2820" s="1">
        <f>value(AUD!$B2820)</f>
        <v>10486.63456</v>
      </c>
      <c r="D2820" s="1">
        <f>value(EUR!$B2820)</f>
        <v>16933.49844</v>
      </c>
      <c r="E2820" s="1">
        <f>value(GBP!$B2820)</f>
        <v>19367.20996</v>
      </c>
      <c r="F2820" s="1">
        <f>value(CHF!$B2820)</f>
        <v>14177.8154</v>
      </c>
      <c r="G2820" s="1">
        <f>value(SGD!$B2820)</f>
        <v>10543.36675</v>
      </c>
      <c r="H2820" s="1">
        <f>value(MYR!$B2820)</f>
        <v>3564.1796</v>
      </c>
      <c r="I2820" s="1">
        <f>value(THB!$B2820)</f>
        <v>439.64176</v>
      </c>
      <c r="J2820" s="1">
        <f>value(VND!$B2820)</f>
        <v>0.6139198312</v>
      </c>
      <c r="K2820" s="1">
        <f>value(CNY!$B2820)</f>
        <v>2160.84415</v>
      </c>
      <c r="L2820" s="1">
        <f>value(HKD!$B2820)</f>
        <v>1792.75947</v>
      </c>
      <c r="M2820" s="1">
        <f>value(TWD!$B2820)</f>
        <v>474.455588</v>
      </c>
      <c r="N2820" s="1">
        <f>value(JPY!$B2820)</f>
        <v>128.75616</v>
      </c>
      <c r="O2820" s="1">
        <f>value(SAR!$B2820)</f>
        <v>4063.584386</v>
      </c>
      <c r="P2820" s="1">
        <f>value(AED!$B2820)</f>
        <v>3961.87357</v>
      </c>
      <c r="Q2820" s="1">
        <f>value(KWD!$B2820)</f>
        <v>48008.95448</v>
      </c>
    </row>
    <row r="2821">
      <c r="A2821" s="4">
        <f>value(USD!A2821)</f>
        <v>43186.99861</v>
      </c>
      <c r="B2821" s="1">
        <f>value(USD!B2821)</f>
        <v>13740</v>
      </c>
      <c r="C2821" s="1">
        <f>value(AUD!$B2821)</f>
        <v>10451.337</v>
      </c>
      <c r="D2821" s="1">
        <f>value(EUR!$B2821)</f>
        <v>16923.58626</v>
      </c>
      <c r="E2821" s="1">
        <f>value(GBP!$B2821)</f>
        <v>19294.1925</v>
      </c>
      <c r="F2821" s="1">
        <f>value(CHF!$B2821)</f>
        <v>14179.2288</v>
      </c>
      <c r="G2821" s="1">
        <f>value(SGD!$B2821)</f>
        <v>10524.1764</v>
      </c>
      <c r="H2821" s="1">
        <f>value(MYR!$B2821)</f>
        <v>3554.8088</v>
      </c>
      <c r="I2821" s="1">
        <f>value(THB!$B2821)</f>
        <v>439.81129</v>
      </c>
      <c r="J2821" s="1">
        <f>value(VND!$B2821)</f>
        <v>0.6139198312</v>
      </c>
      <c r="K2821" s="1">
        <f>value(CNY!$B2821)</f>
        <v>2171.088</v>
      </c>
      <c r="L2821" s="1">
        <f>value(HKD!$B2821)</f>
        <v>1792.75947</v>
      </c>
      <c r="M2821" s="1">
        <f>value(TWD!$B2821)</f>
        <v>474.886908</v>
      </c>
      <c r="N2821" s="1">
        <f>value(JPY!$B2821)</f>
        <v>129.164473</v>
      </c>
      <c r="O2821" s="1">
        <f>value(SAR!$B2821)</f>
        <v>4056.485278</v>
      </c>
      <c r="P2821" s="1">
        <f>value(AED!$B2821)</f>
        <v>3960.54752</v>
      </c>
      <c r="Q2821" s="1">
        <f>value(KWD!$B2821)</f>
        <v>48116.31552</v>
      </c>
    </row>
    <row r="2822">
      <c r="A2822" s="4">
        <f>value(USD!A2822)</f>
        <v>43187.99861</v>
      </c>
      <c r="B2822" s="1">
        <f>value(USD!B2822)</f>
        <v>13756</v>
      </c>
      <c r="C2822" s="1">
        <f>value(AUD!$B2822)</f>
        <v>10541.3665</v>
      </c>
      <c r="D2822" s="1">
        <f>value(EUR!$B2822)</f>
        <v>16935.1144</v>
      </c>
      <c r="E2822" s="1">
        <f>value(GBP!$B2822)</f>
        <v>19251.004</v>
      </c>
      <c r="F2822" s="1">
        <f>value(CHF!$B2822)</f>
        <v>14187.0771</v>
      </c>
      <c r="G2822" s="1">
        <f>value(SGD!$B2822)</f>
        <v>10521.06692</v>
      </c>
      <c r="H2822" s="1">
        <f>value(MYR!$B2822)</f>
        <v>3553.91528</v>
      </c>
      <c r="I2822" s="1">
        <f>value(THB!$B2822)</f>
        <v>440.37616</v>
      </c>
      <c r="J2822" s="1">
        <f>value(VND!$B2822)</f>
        <v>0.6114411375</v>
      </c>
      <c r="K2822" s="1">
        <f>value(CNY!$B2822)</f>
        <v>2166.16622</v>
      </c>
      <c r="L2822" s="1">
        <f>value(HKD!$B2822)</f>
        <v>1775.6772</v>
      </c>
      <c r="M2822" s="1">
        <f>value(TWD!$B2822)</f>
        <v>473.77467</v>
      </c>
      <c r="N2822" s="1">
        <f>value(JPY!$B2822)</f>
        <v>129.25576</v>
      </c>
      <c r="O2822" s="1">
        <f>value(SAR!$B2822)</f>
        <v>4084.252095</v>
      </c>
      <c r="P2822" s="1">
        <f>value(AED!$B2822)</f>
        <v>3960.25656</v>
      </c>
      <c r="Q2822" s="1">
        <f>value(KWD!$B2822)</f>
        <v>48093.18267</v>
      </c>
    </row>
    <row r="2823">
      <c r="A2823" s="4">
        <f>value(USD!A2823)</f>
        <v>43188.99861</v>
      </c>
      <c r="B2823" s="1">
        <f>value(USD!B2823)</f>
        <v>13757</v>
      </c>
      <c r="C2823" s="1">
        <f>value(AUD!$B2823)</f>
        <v>10563.4473</v>
      </c>
      <c r="D2823" s="1">
        <f>value(EUR!$B2823)</f>
        <v>16949.9092</v>
      </c>
      <c r="E2823" s="1">
        <f>value(GBP!$B2823)</f>
        <v>19267.822</v>
      </c>
      <c r="F2823" s="1">
        <f>value(CHF!$B2823)</f>
        <v>14261.238</v>
      </c>
      <c r="G2823" s="1">
        <f>value(SGD!$B2823)</f>
        <v>10541.80416</v>
      </c>
      <c r="H2823" s="1">
        <f>value(MYR!$B2823)</f>
        <v>3557.02004</v>
      </c>
      <c r="I2823" s="1">
        <f>value(THB!$B2823)</f>
        <v>440.76088</v>
      </c>
      <c r="J2823" s="1">
        <f>value(VND!$B2823)</f>
        <v>0.617804691</v>
      </c>
      <c r="K2823" s="1">
        <f>value(CNY!$B2823)</f>
        <v>2158.29198</v>
      </c>
      <c r="L2823" s="1">
        <f>value(HKD!$B2823)</f>
        <v>1776.05934</v>
      </c>
      <c r="M2823" s="1">
        <f>value(TWD!$B2823)</f>
        <v>475.20055</v>
      </c>
      <c r="N2823" s="1">
        <f>value(JPY!$B2823)</f>
        <v>129.36868</v>
      </c>
      <c r="O2823" s="1">
        <f>value(SAR!$B2823)</f>
        <v>4048.069594</v>
      </c>
      <c r="P2823" s="1">
        <f>value(AED!$B2823)</f>
        <v>4004.2091</v>
      </c>
      <c r="Q2823" s="1">
        <f>value(KWD!$B2823)</f>
        <v>47740.09488</v>
      </c>
    </row>
    <row r="2824">
      <c r="A2824" s="4">
        <f>value(USD!A2824)</f>
        <v>43189.99861</v>
      </c>
      <c r="B2824" s="1">
        <f>value(USD!B2824)</f>
        <v>13736</v>
      </c>
      <c r="C2824" s="1">
        <f>value(AUD!$B2824)</f>
        <v>10563.4473</v>
      </c>
      <c r="D2824" s="1">
        <f>value(EUR!$B2824)</f>
        <v>16953.2268</v>
      </c>
      <c r="E2824" s="1">
        <f>value(GBP!$B2824)</f>
        <v>19326.27928</v>
      </c>
      <c r="F2824" s="1">
        <f>value(CHF!$B2824)</f>
        <v>14314.4064</v>
      </c>
      <c r="G2824" s="1">
        <f>value(SGD!$B2824)</f>
        <v>10609.2576</v>
      </c>
      <c r="H2824" s="1">
        <f>value(MYR!$B2824)</f>
        <v>3561.36856</v>
      </c>
      <c r="I2824" s="1">
        <f>value(THB!$B2824)</f>
        <v>441.40208</v>
      </c>
      <c r="J2824" s="1">
        <f>value(VND!$B2824)</f>
        <v>0.6124479175</v>
      </c>
      <c r="K2824" s="1">
        <f>value(CNY!$B2824)</f>
        <v>2159.43894</v>
      </c>
      <c r="L2824" s="1">
        <f>value(HKD!$B2824)</f>
        <v>1776.19877</v>
      </c>
      <c r="M2824" s="1">
        <f>value(TWD!$B2824)</f>
        <v>474.697472</v>
      </c>
      <c r="N2824" s="1">
        <f>value(JPY!$B2824)</f>
        <v>129.48804</v>
      </c>
      <c r="O2824" s="1">
        <f>value(SAR!$B2824)</f>
        <v>4052.043494</v>
      </c>
      <c r="P2824" s="1">
        <f>value(AED!$B2824)</f>
        <v>3977.40915</v>
      </c>
      <c r="Q2824" s="1">
        <f>value(KWD!$B2824)</f>
        <v>47817.45588</v>
      </c>
    </row>
    <row r="2825">
      <c r="A2825" s="4">
        <f>value(USD!A2825)</f>
        <v>43190.99861</v>
      </c>
      <c r="B2825" s="1">
        <f>value(USD!B2825)</f>
        <v>13748</v>
      </c>
      <c r="C2825" s="1">
        <f>value(AUD!$B2825)</f>
        <v>10591.7166</v>
      </c>
      <c r="D2825" s="1">
        <f>value(EUR!$B2825)</f>
        <v>16899.0416</v>
      </c>
      <c r="E2825" s="1">
        <f>value(GBP!$B2825)</f>
        <v>19309.7534</v>
      </c>
      <c r="F2825" s="1">
        <f>value(CHF!$B2825)</f>
        <v>14249.7633</v>
      </c>
      <c r="G2825" s="1">
        <f>value(SGD!$B2825)</f>
        <v>10606.57752</v>
      </c>
      <c r="H2825" s="1">
        <f>value(MYR!$B2825)</f>
        <v>3557.56996</v>
      </c>
      <c r="I2825" s="1">
        <f>value(THB!$B2825)</f>
        <v>440.07348</v>
      </c>
      <c r="J2825" s="1">
        <f>value(VND!$B2825)</f>
        <v>0.6145700977</v>
      </c>
      <c r="K2825" s="1">
        <f>value(CNY!$B2825)</f>
        <v>2154.49113</v>
      </c>
      <c r="L2825" s="1">
        <f>value(HKD!$B2825)</f>
        <v>1778.74657</v>
      </c>
      <c r="M2825" s="1">
        <f>value(TWD!$B2825)</f>
        <v>475.436208</v>
      </c>
      <c r="N2825" s="1">
        <f>value(JPY!$B2825)</f>
        <v>129.904852</v>
      </c>
      <c r="O2825" s="1">
        <f>value(SAR!$B2825)</f>
        <v>4053.625616</v>
      </c>
      <c r="P2825" s="1">
        <f>value(AED!$B2825)</f>
        <v>3963.230672</v>
      </c>
      <c r="Q2825" s="1">
        <f>value(KWD!$B2825)</f>
        <v>47556.7652</v>
      </c>
    </row>
    <row r="2826">
      <c r="A2826" s="4">
        <f>value(USD!A2826)</f>
        <v>43191.99861</v>
      </c>
      <c r="B2826" s="1">
        <f>value(USD!B2826)</f>
        <v>13768</v>
      </c>
      <c r="C2826" s="1">
        <f>value(AUD!$B2826)</f>
        <v>10523.5245</v>
      </c>
      <c r="D2826" s="1">
        <f>value(EUR!$B2826)</f>
        <v>16870.78757</v>
      </c>
      <c r="E2826" s="1">
        <f>value(GBP!$B2826)</f>
        <v>19330.01434</v>
      </c>
      <c r="F2826" s="1">
        <f>value(CHF!$B2826)</f>
        <v>14244.054</v>
      </c>
      <c r="G2826" s="1">
        <f>value(SGD!$B2826)</f>
        <v>10550.2374</v>
      </c>
      <c r="H2826" s="1">
        <f>value(MYR!$B2826)</f>
        <v>3544.49095</v>
      </c>
      <c r="I2826" s="1">
        <f>value(THB!$B2826)</f>
        <v>440.26164</v>
      </c>
      <c r="J2826" s="1">
        <f>value(VND!$B2826)</f>
        <v>0.6067709925</v>
      </c>
      <c r="K2826" s="1">
        <f>value(CNY!$B2826)</f>
        <v>2162.96454</v>
      </c>
      <c r="L2826" s="1">
        <f>value(HKD!$B2826)</f>
        <v>1787.2817</v>
      </c>
      <c r="M2826" s="1">
        <f>value(TWD!$B2826)</f>
        <v>474.64261</v>
      </c>
      <c r="N2826" s="1">
        <f>value(JPY!$B2826)</f>
        <v>129.082954</v>
      </c>
      <c r="O2826" s="1">
        <f>value(SAR!$B2826)</f>
        <v>4054.926771</v>
      </c>
      <c r="P2826" s="1">
        <f>value(AED!$B2826)</f>
        <v>3964.2512</v>
      </c>
      <c r="Q2826" s="1">
        <f>value(KWD!$B2826)</f>
        <v>47467.05328</v>
      </c>
    </row>
    <row r="2827">
      <c r="A2827" s="4">
        <f>value(USD!A2827)</f>
        <v>43192.99861</v>
      </c>
      <c r="B2827" s="1">
        <f>value(USD!B2827)</f>
        <v>13748</v>
      </c>
      <c r="C2827" s="1">
        <f>value(AUD!$B2827)</f>
        <v>10589.6434</v>
      </c>
      <c r="D2827" s="1">
        <f>value(EUR!$B2827)</f>
        <v>16894.4786</v>
      </c>
      <c r="E2827" s="1">
        <f>value(GBP!$B2827)</f>
        <v>19370.75868</v>
      </c>
      <c r="F2827" s="1">
        <f>value(CHF!$B2827)</f>
        <v>14222.88</v>
      </c>
      <c r="G2827" s="1">
        <f>value(SGD!$B2827)</f>
        <v>10538.76384</v>
      </c>
      <c r="H2827" s="1">
        <f>value(MYR!$B2827)</f>
        <v>3545.69535</v>
      </c>
      <c r="I2827" s="1">
        <f>value(THB!$B2827)</f>
        <v>440.30702</v>
      </c>
      <c r="J2827" s="1">
        <f>value(VND!$B2827)</f>
        <v>0.61130175</v>
      </c>
      <c r="K2827" s="1">
        <f>value(CNY!$B2827)</f>
        <v>2167.31875</v>
      </c>
      <c r="L2827" s="1">
        <f>value(HKD!$B2827)</f>
        <v>1802.466588</v>
      </c>
      <c r="M2827" s="1">
        <f>value(TWD!$B2827)</f>
        <v>474.390456</v>
      </c>
      <c r="N2827" s="1">
        <f>value(JPY!$B2827)</f>
        <v>128.750613</v>
      </c>
      <c r="O2827" s="1">
        <f>value(SAR!$B2827)</f>
        <v>4073.304099</v>
      </c>
      <c r="P2827" s="1">
        <f>value(AED!$B2827)</f>
        <v>3962.05425</v>
      </c>
      <c r="Q2827" s="1">
        <f>value(KWD!$B2827)</f>
        <v>46948.84441</v>
      </c>
    </row>
    <row r="2828">
      <c r="A2828" s="4">
        <f>value(USD!A2828)</f>
        <v>43193.99861</v>
      </c>
      <c r="B2828" s="1">
        <f>value(USD!B2828)</f>
        <v>13741</v>
      </c>
      <c r="C2828" s="1">
        <f>value(AUD!$B2828)</f>
        <v>10627.776</v>
      </c>
      <c r="D2828" s="1">
        <f>value(EUR!$B2828)</f>
        <v>16857.2384</v>
      </c>
      <c r="E2828" s="1">
        <f>value(GBP!$B2828)</f>
        <v>19274.0448</v>
      </c>
      <c r="F2828" s="1">
        <f>value(CHF!$B2828)</f>
        <v>14158.368</v>
      </c>
      <c r="G2828" s="1">
        <f>value(SGD!$B2828)</f>
        <v>10514.2076</v>
      </c>
      <c r="H2828" s="1">
        <f>value(MYR!$B2828)</f>
        <v>3556.4096</v>
      </c>
      <c r="I2828" s="1">
        <f>value(THB!$B2828)</f>
        <v>439.9072</v>
      </c>
      <c r="J2828" s="1">
        <f>value(VND!$B2828)</f>
        <v>0.61130175</v>
      </c>
      <c r="K2828" s="1">
        <f>value(CNY!$B2828)</f>
        <v>2151.09258</v>
      </c>
      <c r="L2828" s="1">
        <f>value(HKD!$B2828)</f>
        <v>1802.731295</v>
      </c>
      <c r="M2828" s="1">
        <f>value(TWD!$B2828)</f>
        <v>473.984274</v>
      </c>
      <c r="N2828" s="1">
        <f>value(JPY!$B2828)</f>
        <v>128.5184</v>
      </c>
      <c r="O2828" s="1">
        <f>value(SAR!$B2828)</f>
        <v>4091.855395</v>
      </c>
      <c r="P2828" s="1">
        <f>value(AED!$B2828)</f>
        <v>3936.8796</v>
      </c>
      <c r="Q2828" s="1">
        <f>value(KWD!$B2828)</f>
        <v>46927.39227</v>
      </c>
    </row>
    <row r="2829">
      <c r="A2829" s="4">
        <f>value(USD!A2829)</f>
        <v>43194.99861</v>
      </c>
      <c r="B2829" s="1">
        <f>value(USD!B2829)</f>
        <v>13751</v>
      </c>
      <c r="C2829" s="1">
        <f>value(AUD!$B2829)</f>
        <v>10620.75683</v>
      </c>
      <c r="D2829" s="1">
        <f>value(EUR!$B2829)</f>
        <v>16924.3611</v>
      </c>
      <c r="E2829" s="1">
        <f>value(GBP!$B2829)</f>
        <v>19386.5618</v>
      </c>
      <c r="F2829" s="1">
        <f>value(CHF!$B2829)</f>
        <v>14182.1772</v>
      </c>
      <c r="G2829" s="1">
        <f>value(SGD!$B2829)</f>
        <v>10466.51736</v>
      </c>
      <c r="H2829" s="1">
        <f>value(MYR!$B2829)</f>
        <v>3554.01949</v>
      </c>
      <c r="I2829" s="1">
        <f>value(THB!$B2829)</f>
        <v>440.27837</v>
      </c>
      <c r="J2829" s="1">
        <f>value(VND!$B2829)</f>
        <v>0.6119985025</v>
      </c>
      <c r="K2829" s="1">
        <f>value(CNY!$B2829)</f>
        <v>2157.75</v>
      </c>
      <c r="L2829" s="1">
        <f>value(HKD!$B2829)</f>
        <v>1800.38892</v>
      </c>
      <c r="M2829" s="1">
        <f>value(TWD!$B2829)</f>
        <v>478.552327</v>
      </c>
      <c r="N2829" s="1">
        <f>value(JPY!$B2829)</f>
        <v>128.68405</v>
      </c>
      <c r="O2829" s="1">
        <f>value(SAR!$B2829)</f>
        <v>4048.972499</v>
      </c>
      <c r="P2829" s="1">
        <f>value(AED!$B2829)</f>
        <v>3936.1566</v>
      </c>
      <c r="Q2829" s="1">
        <f>value(KWD!$B2829)</f>
        <v>47085.80811</v>
      </c>
    </row>
    <row r="2830">
      <c r="A2830" s="4">
        <f>value(USD!A2830)</f>
        <v>43195.99861</v>
      </c>
      <c r="B2830" s="1">
        <f>value(USD!B2830)</f>
        <v>13760</v>
      </c>
      <c r="C2830" s="1">
        <f>value(AUD!$B2830)</f>
        <v>10650.9573</v>
      </c>
      <c r="D2830" s="1">
        <f>value(EUR!$B2830)</f>
        <v>16924.3611</v>
      </c>
      <c r="E2830" s="1">
        <f>value(GBP!$B2830)</f>
        <v>19386.5618</v>
      </c>
      <c r="F2830" s="1">
        <f>value(CHF!$B2830)</f>
        <v>14101.4853</v>
      </c>
      <c r="G2830" s="1">
        <f>value(SGD!$B2830)</f>
        <v>10495.00822</v>
      </c>
      <c r="H2830" s="1">
        <f>value(MYR!$B2830)</f>
        <v>3554.01949</v>
      </c>
      <c r="I2830" s="1">
        <f>value(THB!$B2830)</f>
        <v>440.27837</v>
      </c>
      <c r="J2830" s="1">
        <f>value(VND!$B2830)</f>
        <v>0.609614978</v>
      </c>
      <c r="K2830" s="1">
        <f>value(CNY!$B2830)</f>
        <v>2148.862377</v>
      </c>
      <c r="L2830" s="1">
        <f>value(HKD!$B2830)</f>
        <v>1800.38892</v>
      </c>
      <c r="M2830" s="1">
        <f>value(TWD!$B2830)</f>
        <v>477.05843</v>
      </c>
      <c r="N2830" s="1">
        <f>value(JPY!$B2830)</f>
        <v>128.68405</v>
      </c>
      <c r="O2830" s="1">
        <f>value(SAR!$B2830)</f>
        <v>4046.863689</v>
      </c>
      <c r="P2830" s="1">
        <f>value(AED!$B2830)</f>
        <v>3921.888049</v>
      </c>
      <c r="Q2830" s="1">
        <f>value(KWD!$B2830)</f>
        <v>46544.59666</v>
      </c>
    </row>
    <row r="2831">
      <c r="A2831" s="4">
        <f>value(USD!A2831)</f>
        <v>43196.99861</v>
      </c>
      <c r="B2831" s="1">
        <f>value(USD!B2831)</f>
        <v>13763</v>
      </c>
      <c r="C2831" s="1">
        <f>value(AUD!$B2831)</f>
        <v>10646.6562</v>
      </c>
      <c r="D2831" s="1">
        <f>value(EUR!$B2831)</f>
        <v>16888.30204</v>
      </c>
      <c r="E2831" s="1">
        <f>value(GBP!$B2831)</f>
        <v>19392.47989</v>
      </c>
      <c r="F2831" s="1">
        <f>value(CHF!$B2831)</f>
        <v>14158.0668</v>
      </c>
      <c r="G2831" s="1">
        <f>value(SGD!$B2831)</f>
        <v>10431.2856</v>
      </c>
      <c r="H2831" s="1">
        <f>value(MYR!$B2831)</f>
        <v>3555.39579</v>
      </c>
      <c r="I2831" s="1">
        <f>value(THB!$B2831)</f>
        <v>439.86548</v>
      </c>
      <c r="J2831" s="1">
        <f>value(VND!$B2831)</f>
        <v>0.6055740625</v>
      </c>
      <c r="K2831" s="1">
        <f>value(CNY!$B2831)</f>
        <v>2150.91945</v>
      </c>
      <c r="L2831" s="1">
        <f>value(HKD!$B2831)</f>
        <v>1804.22457</v>
      </c>
      <c r="M2831" s="1">
        <f>value(TWD!$B2831)</f>
        <v>480.29256</v>
      </c>
      <c r="N2831" s="1">
        <f>value(JPY!$B2831)</f>
        <v>128.6482662</v>
      </c>
      <c r="O2831" s="1">
        <f>value(SAR!$B2831)</f>
        <v>4073.519524</v>
      </c>
      <c r="P2831" s="1">
        <f>value(AED!$B2831)</f>
        <v>3912.552618</v>
      </c>
      <c r="Q2831" s="1">
        <f>value(KWD!$B2831)</f>
        <v>46726.37276</v>
      </c>
    </row>
    <row r="2832">
      <c r="A2832" s="4">
        <f>value(USD!A2832)</f>
        <v>43197.99861</v>
      </c>
      <c r="B2832" s="1">
        <f>value(USD!B2832)</f>
        <v>13763</v>
      </c>
      <c r="C2832" s="1">
        <f>value(AUD!$B2832)</f>
        <v>10638.11292</v>
      </c>
      <c r="D2832" s="1">
        <f>value(EUR!$B2832)</f>
        <v>16964.51656</v>
      </c>
      <c r="E2832" s="1">
        <f>value(GBP!$B2832)</f>
        <v>19459.6912</v>
      </c>
      <c r="F2832" s="1">
        <f>value(CHF!$B2832)</f>
        <v>14136.3378</v>
      </c>
      <c r="G2832" s="1">
        <f>value(SGD!$B2832)</f>
        <v>10418.49656</v>
      </c>
      <c r="H2832" s="1">
        <f>value(MYR!$B2832)</f>
        <v>3553.93384</v>
      </c>
      <c r="I2832" s="1">
        <f>value(THB!$B2832)</f>
        <v>440.43832</v>
      </c>
      <c r="J2832" s="1">
        <f>value(VND!$B2832)</f>
        <v>0.6106632472</v>
      </c>
      <c r="K2832" s="1">
        <f>value(CNY!$B2832)</f>
        <v>2146.60755</v>
      </c>
      <c r="L2832" s="1">
        <f>value(HKD!$B2832)</f>
        <v>1811.9124</v>
      </c>
      <c r="M2832" s="1">
        <f>value(TWD!$B2832)</f>
        <v>479.65215</v>
      </c>
      <c r="N2832" s="1">
        <f>value(JPY!$B2832)</f>
        <v>128.951088</v>
      </c>
      <c r="O2832" s="1">
        <f>value(SAR!$B2832)</f>
        <v>4051.392851</v>
      </c>
      <c r="P2832" s="1">
        <f>value(AED!$B2832)</f>
        <v>3872.892375</v>
      </c>
      <c r="Q2832" s="1">
        <f>value(KWD!$B2832)</f>
        <v>46736.99559</v>
      </c>
    </row>
    <row r="2833">
      <c r="A2833" s="4">
        <f>value(USD!A2833)</f>
        <v>43198.99861</v>
      </c>
      <c r="B2833" s="1">
        <f>value(USD!B2833)</f>
        <v>13763</v>
      </c>
      <c r="C2833" s="1">
        <f>value(AUD!$B2833)</f>
        <v>10690.74633</v>
      </c>
      <c r="D2833" s="1">
        <f>value(EUR!$B2833)</f>
        <v>16988.5337</v>
      </c>
      <c r="E2833" s="1">
        <f>value(GBP!$B2833)</f>
        <v>19489.04622</v>
      </c>
      <c r="F2833" s="1">
        <f>value(CHF!$B2833)</f>
        <v>14089.588</v>
      </c>
      <c r="G2833" s="1">
        <f>value(SGD!$B2833)</f>
        <v>10436.76567</v>
      </c>
      <c r="H2833" s="1">
        <f>value(MYR!$B2833)</f>
        <v>3553.70706</v>
      </c>
      <c r="I2833" s="1">
        <f>value(THB!$B2833)</f>
        <v>440.159463</v>
      </c>
      <c r="J2833" s="1">
        <f>value(VND!$B2833)</f>
        <v>0.6082606875</v>
      </c>
      <c r="K2833" s="1">
        <f>value(CNY!$B2833)</f>
        <v>2147.06763</v>
      </c>
      <c r="L2833" s="1">
        <f>value(HKD!$B2833)</f>
        <v>1809.039912</v>
      </c>
      <c r="M2833" s="1">
        <f>value(TWD!$B2833)</f>
        <v>479.587002</v>
      </c>
      <c r="N2833" s="1">
        <f>value(JPY!$B2833)</f>
        <v>128.2687614</v>
      </c>
      <c r="O2833" s="1">
        <f>value(SAR!$B2833)</f>
        <v>4075.126755</v>
      </c>
      <c r="P2833" s="1">
        <f>value(AED!$B2833)</f>
        <v>3871.327787</v>
      </c>
      <c r="Q2833" s="1">
        <f>value(KWD!$B2833)</f>
        <v>46485.75916</v>
      </c>
    </row>
    <row r="2834">
      <c r="A2834" s="4">
        <f>value(USD!A2834)</f>
        <v>43199.99861</v>
      </c>
      <c r="B2834" s="1">
        <f>value(USD!B2834)</f>
        <v>13768</v>
      </c>
      <c r="C2834" s="1">
        <f>value(AUD!$B2834)</f>
        <v>10655.18125</v>
      </c>
      <c r="D2834" s="1">
        <f>value(EUR!$B2834)</f>
        <v>17014.86745</v>
      </c>
      <c r="E2834" s="1">
        <f>value(GBP!$B2834)</f>
        <v>19512.09045</v>
      </c>
      <c r="F2834" s="1">
        <f>value(CHF!$B2834)</f>
        <v>13990.6284</v>
      </c>
      <c r="G2834" s="1">
        <f>value(SGD!$B2834)</f>
        <v>10367.5272</v>
      </c>
      <c r="H2834" s="1">
        <f>value(MYR!$B2834)</f>
        <v>3547.440255</v>
      </c>
      <c r="I2834" s="1">
        <f>value(THB!$B2834)</f>
        <v>441.76242</v>
      </c>
      <c r="J2834" s="1">
        <f>value(VND!$B2834)</f>
        <v>0.6066070488</v>
      </c>
      <c r="K2834" s="1">
        <f>value(CNY!$B2834)</f>
        <v>2143.32316</v>
      </c>
      <c r="L2834" s="1">
        <f>value(HKD!$B2834)</f>
        <v>1805.41398</v>
      </c>
      <c r="M2834" s="1">
        <f>value(TWD!$B2834)</f>
        <v>479.587002</v>
      </c>
      <c r="N2834" s="1">
        <f>value(JPY!$B2834)</f>
        <v>128.7245079</v>
      </c>
      <c r="O2834" s="1">
        <f>value(SAR!$B2834)</f>
        <v>4071.762033</v>
      </c>
      <c r="P2834" s="1">
        <f>value(AED!$B2834)</f>
        <v>3883.90541</v>
      </c>
      <c r="Q2834" s="1">
        <f>value(KWD!$B2834)</f>
        <v>46639.61457</v>
      </c>
    </row>
    <row r="2835">
      <c r="A2835" s="4">
        <f>value(USD!A2835)</f>
        <v>43200.99861</v>
      </c>
      <c r="B2835" s="1">
        <f>value(USD!B2835)</f>
        <v>13742.1</v>
      </c>
      <c r="C2835" s="1">
        <f>value(AUD!$B2835)</f>
        <v>10589.82834</v>
      </c>
      <c r="D2835" s="1">
        <f>value(EUR!$B2835)</f>
        <v>16973.74731</v>
      </c>
      <c r="E2835" s="1">
        <f>value(GBP!$B2835)</f>
        <v>19598.83887</v>
      </c>
      <c r="F2835" s="1">
        <f>value(CHF!$B2835)</f>
        <v>14009.67312</v>
      </c>
      <c r="G2835" s="1">
        <f>value(SGD!$B2835)</f>
        <v>10323.37536</v>
      </c>
      <c r="H2835" s="1">
        <f>value(MYR!$B2835)</f>
        <v>3549.27027</v>
      </c>
      <c r="I2835" s="1">
        <f>value(THB!$B2835)</f>
        <v>440.81934</v>
      </c>
      <c r="J2835" s="1">
        <f>value(VND!$B2835)</f>
        <v>0.6066070488</v>
      </c>
      <c r="K2835" s="1">
        <f>value(CNY!$B2835)</f>
        <v>2149.39844</v>
      </c>
      <c r="L2835" s="1">
        <f>value(HKD!$B2835)</f>
        <v>1799.68008</v>
      </c>
      <c r="M2835" s="1">
        <f>value(TWD!$B2835)</f>
        <v>482.18832</v>
      </c>
      <c r="N2835" s="1">
        <f>value(JPY!$B2835)</f>
        <v>128.363508</v>
      </c>
      <c r="O2835" s="1">
        <f>value(SAR!$B2835)</f>
        <v>4054.394533</v>
      </c>
      <c r="P2835" s="1">
        <f>value(AED!$B2835)</f>
        <v>3832.97011</v>
      </c>
      <c r="Q2835" s="1">
        <f>value(KWD!$B2835)</f>
        <v>46498.83949</v>
      </c>
    </row>
    <row r="2836">
      <c r="A2836" s="4">
        <f>value(USD!A2836)</f>
        <v>43201.99861</v>
      </c>
      <c r="B2836" s="1">
        <f>value(USD!B2836)</f>
        <v>13753.5</v>
      </c>
      <c r="C2836" s="1">
        <f>value(AUD!$B2836)</f>
        <v>10653.09945</v>
      </c>
      <c r="D2836" s="1">
        <f>value(EUR!$B2836)</f>
        <v>16999.2074</v>
      </c>
      <c r="E2836" s="1">
        <f>value(GBP!$B2836)</f>
        <v>19608.4329</v>
      </c>
      <c r="F2836" s="1">
        <f>value(CHF!$B2836)</f>
        <v>14096.8932</v>
      </c>
      <c r="G2836" s="1">
        <f>value(SGD!$B2836)</f>
        <v>10329.59243</v>
      </c>
      <c r="H2836" s="1">
        <f>value(MYR!$B2836)</f>
        <v>3546.48133</v>
      </c>
      <c r="I2836" s="1">
        <f>value(THB!$B2836)</f>
        <v>441.84721</v>
      </c>
      <c r="J2836" s="1">
        <f>value(VND!$B2836)</f>
        <v>0.60524352</v>
      </c>
      <c r="K2836" s="1">
        <f>value(CNY!$B2836)</f>
        <v>2136.2002</v>
      </c>
      <c r="L2836" s="1">
        <f>value(HKD!$B2836)</f>
        <v>1798.3195</v>
      </c>
      <c r="M2836" s="1">
        <f>value(TWD!$B2836)</f>
        <v>485.62811</v>
      </c>
      <c r="N2836" s="1">
        <f>value(JPY!$B2836)</f>
        <v>128.32708</v>
      </c>
      <c r="O2836" s="1">
        <f>value(SAR!$B2836)</f>
        <v>4059.572423</v>
      </c>
      <c r="P2836" s="1">
        <f>value(AED!$B2836)</f>
        <v>3847.93946</v>
      </c>
      <c r="Q2836" s="1">
        <f>value(KWD!$B2836)</f>
        <v>46498.83949</v>
      </c>
    </row>
    <row r="2837">
      <c r="A2837" s="4">
        <f>value(USD!A2837)</f>
        <v>43202.99861</v>
      </c>
      <c r="B2837" s="1">
        <f>value(USD!B2837)</f>
        <v>13767</v>
      </c>
      <c r="C2837" s="1">
        <f>value(AUD!$B2837)</f>
        <v>10667.41794</v>
      </c>
      <c r="D2837" s="1">
        <f>value(EUR!$B2837)</f>
        <v>16962.94868</v>
      </c>
      <c r="E2837" s="1">
        <f>value(GBP!$B2837)</f>
        <v>19564.52764</v>
      </c>
      <c r="F2837" s="1">
        <f>value(CHF!$B2837)</f>
        <v>14023.548</v>
      </c>
      <c r="G2837" s="1">
        <f>value(SGD!$B2837)</f>
        <v>10413.0798</v>
      </c>
      <c r="H2837" s="1">
        <f>value(MYR!$B2837)</f>
        <v>3538.048488</v>
      </c>
      <c r="I2837" s="1">
        <f>value(THB!$B2837)</f>
        <v>440.7965834</v>
      </c>
      <c r="J2837" s="1">
        <f>value(VND!$B2837)</f>
        <v>0.6059960775</v>
      </c>
      <c r="K2837" s="1">
        <f>value(CNY!$B2837)</f>
        <v>2139.39019</v>
      </c>
      <c r="L2837" s="1">
        <f>value(HKD!$B2837)</f>
        <v>1790.1627</v>
      </c>
      <c r="M2837" s="1">
        <f>value(TWD!$B2837)</f>
        <v>487.0265088</v>
      </c>
      <c r="N2837" s="1">
        <f>value(JPY!$B2837)</f>
        <v>128.0219432</v>
      </c>
      <c r="O2837" s="1">
        <f>value(SAR!$B2837)</f>
        <v>4055.35104</v>
      </c>
      <c r="P2837" s="1">
        <f>value(AED!$B2837)</f>
        <v>3845.7621</v>
      </c>
      <c r="Q2837" s="1">
        <f>value(KWD!$B2837)</f>
        <v>46675.47472</v>
      </c>
    </row>
    <row r="2838">
      <c r="A2838" s="4">
        <f>value(USD!A2838)</f>
        <v>43203.99861</v>
      </c>
      <c r="B2838" s="1">
        <f>value(USD!B2838)</f>
        <v>13769</v>
      </c>
      <c r="C2838" s="1">
        <f>value(AUD!$B2838)</f>
        <v>10667.6406</v>
      </c>
      <c r="D2838" s="1">
        <f>value(EUR!$B2838)</f>
        <v>16934.71162</v>
      </c>
      <c r="E2838" s="1">
        <f>value(GBP!$B2838)</f>
        <v>19561.2852</v>
      </c>
      <c r="F2838" s="1">
        <f>value(CHF!$B2838)</f>
        <v>14089.146</v>
      </c>
      <c r="G2838" s="1">
        <f>value(SGD!$B2838)</f>
        <v>10370.052</v>
      </c>
      <c r="H2838" s="1">
        <f>value(MYR!$B2838)</f>
        <v>3538.58211</v>
      </c>
      <c r="I2838" s="1">
        <f>value(THB!$B2838)</f>
        <v>440.14265</v>
      </c>
      <c r="J2838" s="1">
        <f>value(VND!$B2838)</f>
        <v>0.610656393</v>
      </c>
      <c r="K2838" s="1">
        <f>value(CNY!$B2838)</f>
        <v>2140.826627</v>
      </c>
      <c r="L2838" s="1">
        <f>value(HKD!$B2838)</f>
        <v>1794.52266</v>
      </c>
      <c r="M2838" s="1">
        <f>value(TWD!$B2838)</f>
        <v>483.769319</v>
      </c>
      <c r="N2838" s="1">
        <f>value(JPY!$B2838)</f>
        <v>127.7292597</v>
      </c>
      <c r="O2838" s="1">
        <f>value(SAR!$B2838)</f>
        <v>4083.115298</v>
      </c>
      <c r="P2838" s="1">
        <f>value(AED!$B2838)</f>
        <v>3823.44416</v>
      </c>
      <c r="Q2838" s="1">
        <f>value(KWD!$B2838)</f>
        <v>46651.00833</v>
      </c>
    </row>
    <row r="2839">
      <c r="A2839" s="4">
        <f>value(USD!A2839)</f>
        <v>43204.99861</v>
      </c>
      <c r="B2839" s="1">
        <f>value(USD!B2839)</f>
        <v>13736.26</v>
      </c>
      <c r="C2839" s="1">
        <f>value(AUD!$B2839)</f>
        <v>10660.4541</v>
      </c>
      <c r="D2839" s="1">
        <f>value(EUR!$B2839)</f>
        <v>17048.36504</v>
      </c>
      <c r="E2839" s="1">
        <f>value(GBP!$B2839)</f>
        <v>19741.8206</v>
      </c>
      <c r="F2839" s="1">
        <f>value(CHF!$B2839)</f>
        <v>14014.1258</v>
      </c>
      <c r="G2839" s="1">
        <f>value(SGD!$B2839)</f>
        <v>10394.178</v>
      </c>
      <c r="H2839" s="1">
        <f>value(MYR!$B2839)</f>
        <v>3540.6152</v>
      </c>
      <c r="I2839" s="1">
        <f>value(THB!$B2839)</f>
        <v>441.06264</v>
      </c>
      <c r="J2839" s="1">
        <f>value(VND!$B2839)</f>
        <v>0.6095993062</v>
      </c>
      <c r="K2839" s="1">
        <f>value(CNY!$B2839)</f>
        <v>2141.28035</v>
      </c>
      <c r="L2839" s="1">
        <f>value(HKD!$B2839)</f>
        <v>1785.8547</v>
      </c>
      <c r="M2839" s="1">
        <f>value(TWD!$B2839)</f>
        <v>485.6380095</v>
      </c>
      <c r="N2839" s="1">
        <f>value(JPY!$B2839)</f>
        <v>128.560674</v>
      </c>
      <c r="O2839" s="1">
        <f>value(SAR!$B2839)</f>
        <v>4076.957938</v>
      </c>
      <c r="P2839" s="1">
        <f>value(AED!$B2839)</f>
        <v>3832.852905</v>
      </c>
      <c r="Q2839" s="1">
        <f>value(KWD!$B2839)</f>
        <v>46751.52034</v>
      </c>
    </row>
    <row r="2840">
      <c r="A2840" s="4">
        <f>value(USD!A2840)</f>
        <v>43205.99861</v>
      </c>
      <c r="B2840" s="1">
        <f>value(USD!B2840)</f>
        <v>13733</v>
      </c>
      <c r="C2840" s="1">
        <f>value(AUD!$B2840)</f>
        <v>10650.5817</v>
      </c>
      <c r="D2840" s="1">
        <f>value(EUR!$B2840)</f>
        <v>17021.12339</v>
      </c>
      <c r="E2840" s="1">
        <f>value(GBP!$B2840)</f>
        <v>19666.73206</v>
      </c>
      <c r="F2840" s="1">
        <f>value(CHF!$B2840)</f>
        <v>14130.5559</v>
      </c>
      <c r="G2840" s="1">
        <f>value(SGD!$B2840)</f>
        <v>10371.47592</v>
      </c>
      <c r="H2840" s="1">
        <f>value(MYR!$B2840)</f>
        <v>3533.76059</v>
      </c>
      <c r="I2840" s="1">
        <f>value(THB!$B2840)</f>
        <v>440.63671</v>
      </c>
      <c r="J2840" s="1">
        <f>value(VND!$B2840)</f>
        <v>0.609715623</v>
      </c>
      <c r="K2840" s="1">
        <f>value(CNY!$B2840)</f>
        <v>2144.62735</v>
      </c>
      <c r="L2840" s="1">
        <f>value(HKD!$B2840)</f>
        <v>1787.99605</v>
      </c>
      <c r="M2840" s="1">
        <f>value(TWD!$B2840)</f>
        <v>480.400403</v>
      </c>
      <c r="N2840" s="1">
        <f>value(JPY!$B2840)</f>
        <v>128.49038</v>
      </c>
      <c r="O2840" s="1">
        <f>value(SAR!$B2840)</f>
        <v>4055.402715</v>
      </c>
      <c r="P2840" s="1">
        <f>value(AED!$B2840)</f>
        <v>3822.360133</v>
      </c>
      <c r="Q2840" s="1">
        <f>value(KWD!$B2840)</f>
        <v>46860.62926</v>
      </c>
    </row>
    <row r="2841">
      <c r="A2841" s="4">
        <f>value(USD!A2841)</f>
        <v>43206.99861</v>
      </c>
      <c r="B2841" s="1">
        <f>value(USD!B2841)</f>
        <v>13766</v>
      </c>
      <c r="C2841" s="1">
        <f>value(AUD!$B2841)</f>
        <v>10605.48159</v>
      </c>
      <c r="D2841" s="1">
        <f>value(EUR!$B2841)</f>
        <v>17043.2682</v>
      </c>
      <c r="E2841" s="1">
        <f>value(GBP!$B2841)</f>
        <v>19554.7338</v>
      </c>
      <c r="F2841" s="1">
        <f>value(CHF!$B2841)</f>
        <v>14146.1749</v>
      </c>
      <c r="G2841" s="1">
        <f>value(SGD!$B2841)</f>
        <v>10390.3185</v>
      </c>
      <c r="H2841" s="1">
        <f>value(MYR!$B2841)</f>
        <v>3541.3868</v>
      </c>
      <c r="I2841" s="1">
        <f>value(THB!$B2841)</f>
        <v>441.15876</v>
      </c>
      <c r="J2841" s="1">
        <f>value(VND!$B2841)</f>
        <v>0.6045479825</v>
      </c>
      <c r="K2841" s="1">
        <f>value(CNY!$B2841)</f>
        <v>2141.210059</v>
      </c>
      <c r="L2841" s="1">
        <f>value(HKD!$B2841)</f>
        <v>1781.22888</v>
      </c>
      <c r="M2841" s="1">
        <f>value(TWD!$B2841)</f>
        <v>480.400403</v>
      </c>
      <c r="N2841" s="1">
        <f>value(JPY!$B2841)</f>
        <v>128.244466</v>
      </c>
      <c r="O2841" s="1">
        <f>value(SAR!$B2841)</f>
        <v>4022.181253</v>
      </c>
      <c r="P2841" s="1">
        <f>value(AED!$B2841)</f>
        <v>3821.56474</v>
      </c>
      <c r="Q2841" s="1">
        <f>value(KWD!$B2841)</f>
        <v>46920.53201</v>
      </c>
    </row>
    <row r="2842">
      <c r="A2842" s="4">
        <f>value(USD!A2842)</f>
        <v>43207.99861</v>
      </c>
      <c r="B2842" s="1">
        <f>value(USD!B2842)</f>
        <v>13757</v>
      </c>
      <c r="C2842" s="1">
        <f>value(AUD!$B2842)</f>
        <v>10684.02944</v>
      </c>
      <c r="D2842" s="1">
        <f>value(EUR!$B2842)</f>
        <v>17034.72</v>
      </c>
      <c r="E2842" s="1">
        <f>value(GBP!$B2842)</f>
        <v>19436.61</v>
      </c>
      <c r="F2842" s="1">
        <f>value(CHF!$B2842)</f>
        <v>14172.9414</v>
      </c>
      <c r="G2842" s="1">
        <f>value(SGD!$B2842)</f>
        <v>10429.68648</v>
      </c>
      <c r="H2842" s="1">
        <f>value(MYR!$B2842)</f>
        <v>3545.22</v>
      </c>
      <c r="I2842" s="1">
        <f>value(THB!$B2842)</f>
        <v>441.6</v>
      </c>
      <c r="J2842" s="1">
        <f>value(VND!$B2842)</f>
        <v>0.6045479825</v>
      </c>
      <c r="K2842" s="1">
        <f>value(CNY!$B2842)</f>
        <v>2136.91445</v>
      </c>
      <c r="L2842" s="1">
        <f>value(HKD!$B2842)</f>
        <v>1769.006</v>
      </c>
      <c r="M2842" s="1">
        <f>value(TWD!$B2842)</f>
        <v>481.7782475</v>
      </c>
      <c r="N2842" s="1">
        <f>value(JPY!$B2842)</f>
        <v>128.43246</v>
      </c>
      <c r="O2842" s="1">
        <f>value(SAR!$B2842)</f>
        <v>3991.454099</v>
      </c>
      <c r="P2842" s="1">
        <f>value(AED!$B2842)</f>
        <v>3842.22389</v>
      </c>
      <c r="Q2842" s="1">
        <f>value(KWD!$B2842)</f>
        <v>46712.81692</v>
      </c>
    </row>
    <row r="2843">
      <c r="A2843" s="4">
        <f>value(USD!A2843)</f>
        <v>43208.99861</v>
      </c>
      <c r="B2843" s="1">
        <f>value(USD!B2843)</f>
        <v>13769</v>
      </c>
      <c r="C2843" s="1">
        <f>value(AUD!$B2843)</f>
        <v>10651.63096</v>
      </c>
      <c r="D2843" s="1">
        <f>value(EUR!$B2843)</f>
        <v>17042.1173</v>
      </c>
      <c r="E2843" s="1">
        <f>value(GBP!$B2843)</f>
        <v>19384.3529</v>
      </c>
      <c r="F2843" s="1">
        <f>value(CHF!$B2843)</f>
        <v>14077.4565</v>
      </c>
      <c r="G2843" s="1">
        <f>value(SGD!$B2843)</f>
        <v>10442.53731</v>
      </c>
      <c r="H2843" s="1">
        <f>value(MYR!$B2843)</f>
        <v>3548.51462</v>
      </c>
      <c r="I2843" s="1">
        <f>value(THB!$B2843)</f>
        <v>442.14542</v>
      </c>
      <c r="J2843" s="1">
        <f>value(VND!$B2843)</f>
        <v>0.604329696</v>
      </c>
      <c r="K2843" s="1">
        <f>value(CNY!$B2843)</f>
        <v>2138.08</v>
      </c>
      <c r="L2843" s="1">
        <f>value(HKD!$B2843)</f>
        <v>1761.6139</v>
      </c>
      <c r="M2843" s="1">
        <f>value(TWD!$B2843)</f>
        <v>482.157989</v>
      </c>
      <c r="N2843" s="1">
        <f>value(JPY!$B2843)</f>
        <v>128.60147</v>
      </c>
      <c r="O2843" s="1">
        <f>value(SAR!$B2843)</f>
        <v>3984.856037</v>
      </c>
      <c r="P2843" s="1">
        <f>value(AED!$B2843)</f>
        <v>3840.59087</v>
      </c>
      <c r="Q2843" s="1">
        <f>value(KWD!$B2843)</f>
        <v>47263.04573</v>
      </c>
    </row>
    <row r="2844">
      <c r="A2844" s="4">
        <f>value(USD!A2844)</f>
        <v>43209.99861</v>
      </c>
      <c r="B2844" s="1">
        <f>value(USD!B2844)</f>
        <v>13800</v>
      </c>
      <c r="C2844" s="1">
        <f>value(AUD!$B2844)</f>
        <v>10734.61117</v>
      </c>
      <c r="D2844" s="1">
        <f>value(EUR!$B2844)</f>
        <v>17055.46412</v>
      </c>
      <c r="E2844" s="1">
        <f>value(GBP!$B2844)</f>
        <v>19394.72912</v>
      </c>
      <c r="F2844" s="1">
        <f>value(CHF!$B2844)</f>
        <v>14113.7451</v>
      </c>
      <c r="G2844" s="1">
        <f>value(SGD!$B2844)</f>
        <v>10387.0206</v>
      </c>
      <c r="H2844" s="1">
        <f>value(MYR!$B2844)</f>
        <v>3550.414099</v>
      </c>
      <c r="I2844" s="1">
        <f>value(THB!$B2844)</f>
        <v>433.517833</v>
      </c>
      <c r="J2844" s="1">
        <f>value(VND!$B2844)</f>
        <v>0.610681303</v>
      </c>
      <c r="K2844" s="1">
        <f>value(CNY!$B2844)</f>
        <v>2110.13256</v>
      </c>
      <c r="L2844" s="1">
        <f>value(HKD!$B2844)</f>
        <v>1762.931125</v>
      </c>
      <c r="M2844" s="1">
        <f>value(TWD!$B2844)</f>
        <v>481.553254</v>
      </c>
      <c r="N2844" s="1">
        <f>value(JPY!$B2844)</f>
        <v>128.6703089</v>
      </c>
      <c r="O2844" s="1">
        <f>value(SAR!$B2844)</f>
        <v>3982.598019</v>
      </c>
      <c r="P2844" s="1">
        <f>value(AED!$B2844)</f>
        <v>3848.4838</v>
      </c>
      <c r="Q2844" s="1">
        <f>value(KWD!$B2844)</f>
        <v>46976.35084</v>
      </c>
    </row>
    <row r="2845">
      <c r="A2845" s="4">
        <f>value(USD!A2845)</f>
        <v>43210.99861</v>
      </c>
      <c r="B2845" s="1">
        <f>value(USD!B2845)</f>
        <v>13843</v>
      </c>
      <c r="C2845" s="1">
        <f>value(AUD!$B2845)</f>
        <v>10757.04854</v>
      </c>
      <c r="D2845" s="1">
        <f>value(EUR!$B2845)</f>
        <v>17056.8528</v>
      </c>
      <c r="E2845" s="1">
        <f>value(GBP!$B2845)</f>
        <v>19459.15596</v>
      </c>
      <c r="F2845" s="1">
        <f>value(CHF!$B2845)</f>
        <v>14103.999</v>
      </c>
      <c r="G2845" s="1">
        <f>value(SGD!$B2845)</f>
        <v>10417.46706</v>
      </c>
      <c r="H2845" s="1">
        <f>value(MYR!$B2845)</f>
        <v>3566.62239</v>
      </c>
      <c r="I2845" s="1">
        <f>value(THB!$B2845)</f>
        <v>443.23911</v>
      </c>
      <c r="J2845" s="1">
        <f>value(VND!$B2845)</f>
        <v>0.6133168</v>
      </c>
      <c r="K2845" s="1">
        <f>value(CNY!$B2845)</f>
        <v>2115.82302</v>
      </c>
      <c r="L2845" s="1">
        <f>value(HKD!$B2845)</f>
        <v>1776.53748</v>
      </c>
      <c r="M2845" s="1">
        <f>value(TWD!$B2845)</f>
        <v>479.7133</v>
      </c>
      <c r="N2845" s="1">
        <f>value(JPY!$B2845)</f>
        <v>128.8367805</v>
      </c>
      <c r="O2845" s="1">
        <f>value(SAR!$B2845)</f>
        <v>3958.255427</v>
      </c>
      <c r="P2845" s="1">
        <f>value(AED!$B2845)</f>
        <v>3857.46541</v>
      </c>
      <c r="Q2845" s="1">
        <f>value(KWD!$B2845)</f>
        <v>46644.3204</v>
      </c>
    </row>
    <row r="2846">
      <c r="A2846" s="4">
        <f>value(USD!A2846)</f>
        <v>43211.99861</v>
      </c>
      <c r="B2846" s="1">
        <f>value(USD!B2846)</f>
        <v>13850.41</v>
      </c>
      <c r="C2846" s="1">
        <f>value(AUD!$B2846)</f>
        <v>10756.76779</v>
      </c>
      <c r="D2846" s="1">
        <f>value(EUR!$B2846)</f>
        <v>17044.00763</v>
      </c>
      <c r="E2846" s="1">
        <f>value(GBP!$B2846)</f>
        <v>19458.00414</v>
      </c>
      <c r="F2846" s="1">
        <f>value(CHF!$B2846)</f>
        <v>14138.8065</v>
      </c>
      <c r="G2846" s="1">
        <f>value(SGD!$B2846)</f>
        <v>10409.67018</v>
      </c>
      <c r="H2846" s="1">
        <f>value(MYR!$B2846)</f>
        <v>3578.34391</v>
      </c>
      <c r="I2846" s="1">
        <f>value(THB!$B2846)</f>
        <v>442.14487</v>
      </c>
      <c r="J2846" s="1">
        <f>value(VND!$B2846)</f>
        <v>0.6126437095</v>
      </c>
      <c r="K2846" s="1">
        <f>value(CNY!$B2846)</f>
        <v>2112.9201</v>
      </c>
      <c r="L2846" s="1">
        <f>value(HKD!$B2846)</f>
        <v>1766.457</v>
      </c>
      <c r="M2846" s="1">
        <f>value(TWD!$B2846)</f>
        <v>480.751281</v>
      </c>
      <c r="N2846" s="1">
        <f>value(JPY!$B2846)</f>
        <v>128.329512</v>
      </c>
      <c r="O2846" s="1">
        <f>value(SAR!$B2846)</f>
        <v>3896.572836</v>
      </c>
      <c r="P2846" s="1">
        <f>value(AED!$B2846)</f>
        <v>3874.38975</v>
      </c>
      <c r="Q2846" s="1">
        <f>value(KWD!$B2846)</f>
        <v>46839.19438</v>
      </c>
    </row>
    <row r="2847">
      <c r="A2847" s="4">
        <f>value(USD!A2847)</f>
        <v>43212.99861</v>
      </c>
      <c r="B2847" s="1">
        <f>value(USD!B2847)</f>
        <v>13899</v>
      </c>
      <c r="C2847" s="1">
        <f>value(AUD!$B2847)</f>
        <v>10750.52365</v>
      </c>
      <c r="D2847" s="1">
        <f>value(EUR!$B2847)</f>
        <v>16976.5536</v>
      </c>
      <c r="E2847" s="1">
        <f>value(GBP!$B2847)</f>
        <v>19413.03168</v>
      </c>
      <c r="F2847" s="1">
        <f>value(CHF!$B2847)</f>
        <v>14162.35206</v>
      </c>
      <c r="G2847" s="1">
        <f>value(SGD!$B2847)</f>
        <v>10426.09932</v>
      </c>
      <c r="H2847" s="1">
        <f>value(MYR!$B2847)</f>
        <v>3549.70608</v>
      </c>
      <c r="I2847" s="1">
        <f>value(THB!$B2847)</f>
        <v>440.85216</v>
      </c>
      <c r="J2847" s="1">
        <f>value(VND!$B2847)</f>
        <v>0.607920776</v>
      </c>
      <c r="K2847" s="1">
        <f>value(CNY!$B2847)</f>
        <v>2115.126468</v>
      </c>
      <c r="L2847" s="1">
        <f>value(HKD!$B2847)</f>
        <v>1767.4541</v>
      </c>
      <c r="M2847" s="1">
        <f>value(TWD!$B2847)</f>
        <v>480.946167</v>
      </c>
      <c r="N2847" s="1">
        <f>value(JPY!$B2847)</f>
        <v>127.455936</v>
      </c>
      <c r="O2847" s="1">
        <f>value(SAR!$B2847)</f>
        <v>3930.049376</v>
      </c>
      <c r="P2847" s="1">
        <f>value(AED!$B2847)</f>
        <v>3856.95464</v>
      </c>
      <c r="Q2847" s="1">
        <f>value(KWD!$B2847)</f>
        <v>46390.17102</v>
      </c>
    </row>
    <row r="2848">
      <c r="A2848" s="4">
        <f>value(USD!A2848)</f>
        <v>43213.99861</v>
      </c>
      <c r="B2848" s="1">
        <f>value(USD!B2848)</f>
        <v>13961</v>
      </c>
      <c r="C2848" s="1">
        <f>value(AUD!$B2848)</f>
        <v>10799.12741</v>
      </c>
      <c r="D2848" s="1">
        <f>value(EUR!$B2848)</f>
        <v>16942.2068</v>
      </c>
      <c r="E2848" s="1">
        <f>value(GBP!$B2848)</f>
        <v>19398.9103</v>
      </c>
      <c r="F2848" s="1">
        <f>value(CHF!$B2848)</f>
        <v>14114.82336</v>
      </c>
      <c r="G2848" s="1">
        <f>value(SGD!$B2848)</f>
        <v>10492.90627</v>
      </c>
      <c r="H2848" s="1">
        <f>value(MYR!$B2848)</f>
        <v>3555.74774</v>
      </c>
      <c r="I2848" s="1">
        <f>value(THB!$B2848)</f>
        <v>441.37149</v>
      </c>
      <c r="J2848" s="1">
        <f>value(VND!$B2848)</f>
        <v>0.6042044196</v>
      </c>
      <c r="K2848" s="1">
        <f>value(CNY!$B2848)</f>
        <v>2123.36295</v>
      </c>
      <c r="L2848" s="1">
        <f>value(HKD!$B2848)</f>
        <v>1761.33746</v>
      </c>
      <c r="M2848" s="1">
        <f>value(TWD!$B2848)</f>
        <v>483.5416027</v>
      </c>
      <c r="N2848" s="1">
        <f>value(JPY!$B2848)</f>
        <v>127.2488899</v>
      </c>
      <c r="O2848" s="1">
        <f>value(SAR!$B2848)</f>
        <v>3917.267135</v>
      </c>
      <c r="P2848" s="1">
        <f>value(AED!$B2848)</f>
        <v>3893.93619</v>
      </c>
      <c r="Q2848" s="1">
        <f>value(KWD!$B2848)</f>
        <v>46447.43531</v>
      </c>
    </row>
    <row r="2849">
      <c r="A2849" s="4">
        <f>value(USD!A2849)</f>
        <v>43214.99861</v>
      </c>
      <c r="B2849" s="1">
        <f>value(USD!B2849)</f>
        <v>13872</v>
      </c>
      <c r="C2849" s="1">
        <f>value(AUD!$B2849)</f>
        <v>10789.00955</v>
      </c>
      <c r="D2849" s="1">
        <f>value(EUR!$B2849)</f>
        <v>16805.94231</v>
      </c>
      <c r="E2849" s="1">
        <f>value(GBP!$B2849)</f>
        <v>19317.34736</v>
      </c>
      <c r="F2849" s="1">
        <f>value(CHF!$B2849)</f>
        <v>13939.70207</v>
      </c>
      <c r="G2849" s="1">
        <f>value(SGD!$B2849)</f>
        <v>10411.2299</v>
      </c>
      <c r="H2849" s="1">
        <f>value(MYR!$B2849)</f>
        <v>3539.70016</v>
      </c>
      <c r="I2849" s="1">
        <f>value(THB!$B2849)</f>
        <v>438.99277</v>
      </c>
      <c r="J2849" s="1">
        <f>value(VND!$B2849)</f>
        <v>0.6042044196</v>
      </c>
      <c r="K2849" s="1">
        <f>value(CNY!$B2849)</f>
        <v>2121.80852</v>
      </c>
      <c r="L2849" s="1">
        <f>value(HKD!$B2849)</f>
        <v>1766.70072</v>
      </c>
      <c r="M2849" s="1">
        <f>value(TWD!$B2849)</f>
        <v>483.489707</v>
      </c>
      <c r="N2849" s="1">
        <f>value(JPY!$B2849)</f>
        <v>126.965092</v>
      </c>
      <c r="O2849" s="1">
        <f>value(SAR!$B2849)</f>
        <v>3917.267135</v>
      </c>
      <c r="P2849" s="1">
        <f>value(AED!$B2849)</f>
        <v>3866.99136</v>
      </c>
      <c r="Q2849" s="1">
        <f>value(KWD!$B2849)</f>
        <v>46488.11819</v>
      </c>
    </row>
    <row r="2850">
      <c r="A2850" s="4">
        <f>value(USD!A2850)</f>
        <v>43215.99861</v>
      </c>
      <c r="B2850" s="1">
        <f>value(USD!B2850)</f>
        <v>13919</v>
      </c>
      <c r="C2850" s="1">
        <f>value(AUD!$B2850)</f>
        <v>10713.64</v>
      </c>
      <c r="D2850" s="1">
        <f>value(EUR!$B2850)</f>
        <v>16807.6348</v>
      </c>
      <c r="E2850" s="1">
        <f>value(GBP!$B2850)</f>
        <v>19067.3802</v>
      </c>
      <c r="F2850" s="1">
        <f>value(CHF!$B2850)</f>
        <v>13953.49137</v>
      </c>
      <c r="G2850" s="1">
        <f>value(SGD!$B2850)</f>
        <v>10292.71698</v>
      </c>
      <c r="H2850" s="1">
        <f>value(MYR!$B2850)</f>
        <v>3528.69</v>
      </c>
      <c r="I2850" s="1">
        <f>value(THB!$B2850)</f>
        <v>439.3565</v>
      </c>
      <c r="J2850" s="1">
        <f>value(VND!$B2850)</f>
        <v>0.604598148</v>
      </c>
      <c r="K2850" s="1">
        <f>value(CNY!$B2850)</f>
        <v>2119.803456</v>
      </c>
      <c r="L2850" s="1">
        <f>value(HKD!$B2850)</f>
        <v>1775.34286</v>
      </c>
      <c r="M2850" s="1">
        <f>value(TWD!$B2850)</f>
        <v>484.68624</v>
      </c>
      <c r="N2850" s="1">
        <f>value(JPY!$B2850)</f>
        <v>126.89446</v>
      </c>
      <c r="O2850" s="1">
        <f>value(SAR!$B2850)</f>
        <v>3913.089776</v>
      </c>
      <c r="P2850" s="1">
        <f>value(AED!$B2850)</f>
        <v>3846.007053</v>
      </c>
      <c r="Q2850" s="1">
        <f>value(KWD!$B2850)</f>
        <v>46432.45399</v>
      </c>
    </row>
    <row r="2851">
      <c r="A2851" s="4">
        <f>value(USD!A2851)</f>
        <v>43216.99861</v>
      </c>
      <c r="B2851" s="1">
        <f>value(USD!B2851)</f>
        <v>13879</v>
      </c>
      <c r="C2851" s="1">
        <f>value(AUD!$B2851)</f>
        <v>10632.59574</v>
      </c>
      <c r="D2851" s="1">
        <f>value(EUR!$B2851)</f>
        <v>16826.91851</v>
      </c>
      <c r="E2851" s="1">
        <f>value(GBP!$B2851)</f>
        <v>19087.15306</v>
      </c>
      <c r="F2851" s="1">
        <f>value(CHF!$B2851)</f>
        <v>14000.9688</v>
      </c>
      <c r="G2851" s="1">
        <f>value(SGD!$B2851)</f>
        <v>10301.6277</v>
      </c>
      <c r="H2851" s="1">
        <f>value(MYR!$B2851)</f>
        <v>3531.85455</v>
      </c>
      <c r="I2851" s="1">
        <f>value(THB!$B2851)</f>
        <v>439.7505175</v>
      </c>
      <c r="J2851" s="1">
        <f>value(VND!$B2851)</f>
        <v>0.602161875</v>
      </c>
      <c r="K2851" s="1">
        <f>value(CNY!$B2851)</f>
        <v>2119.59152</v>
      </c>
      <c r="L2851" s="1">
        <f>value(HKD!$B2851)</f>
        <v>1777.40568</v>
      </c>
      <c r="M2851" s="1">
        <f>value(TWD!$B2851)</f>
        <v>482.48496</v>
      </c>
      <c r="N2851" s="1">
        <f>value(JPY!$B2851)</f>
        <v>127.0082597</v>
      </c>
      <c r="O2851" s="1">
        <f>value(SAR!$B2851)</f>
        <v>3953.12206</v>
      </c>
      <c r="P2851" s="1">
        <f>value(AED!$B2851)</f>
        <v>3861.82013</v>
      </c>
      <c r="Q2851" s="1">
        <f>value(KWD!$B2851)</f>
        <v>46502.5508</v>
      </c>
    </row>
    <row r="2852">
      <c r="A2852" s="4">
        <f>value(USD!A2852)</f>
        <v>43217.99861</v>
      </c>
      <c r="B2852" s="1">
        <f>value(USD!B2852)</f>
        <v>13838</v>
      </c>
      <c r="C2852" s="1">
        <f>value(AUD!$B2852)</f>
        <v>10663.85178</v>
      </c>
      <c r="D2852" s="1">
        <f>value(EUR!$B2852)</f>
        <v>16811.827</v>
      </c>
      <c r="E2852" s="1">
        <f>value(GBP!$B2852)</f>
        <v>19097.603</v>
      </c>
      <c r="F2852" s="1">
        <f>value(CHF!$B2852)</f>
        <v>14002.3611</v>
      </c>
      <c r="G2852" s="1">
        <f>value(SGD!$B2852)</f>
        <v>10265.4279</v>
      </c>
      <c r="H2852" s="1">
        <f>value(MYR!$B2852)</f>
        <v>3536.85</v>
      </c>
      <c r="I2852" s="1">
        <f>value(THB!$B2852)</f>
        <v>439.8177</v>
      </c>
      <c r="J2852" s="1">
        <f>value(VND!$B2852)</f>
        <v>0.6035113687</v>
      </c>
      <c r="K2852" s="1">
        <f>value(CNY!$B2852)</f>
        <v>2121.431171</v>
      </c>
      <c r="L2852" s="1">
        <f>value(HKD!$B2852)</f>
        <v>1767.2217</v>
      </c>
      <c r="M2852" s="1">
        <f>value(TWD!$B2852)</f>
        <v>484.80778</v>
      </c>
      <c r="N2852" s="1">
        <f>value(JPY!$B2852)</f>
        <v>127.1879</v>
      </c>
      <c r="O2852" s="1">
        <f>value(SAR!$B2852)</f>
        <v>3949.570063</v>
      </c>
      <c r="P2852" s="1">
        <f>value(AED!$B2852)</f>
        <v>3829.19172</v>
      </c>
      <c r="Q2852" s="1">
        <f>value(KWD!$B2852)</f>
        <v>46367.08081</v>
      </c>
    </row>
    <row r="2853">
      <c r="A2853" s="4">
        <f>value(USD!A2853)</f>
        <v>43218.99861</v>
      </c>
      <c r="B2853" s="1">
        <f>value(USD!B2853)</f>
        <v>13850.41</v>
      </c>
      <c r="C2853" s="1">
        <f>value(AUD!$B2853)</f>
        <v>10667.87001</v>
      </c>
      <c r="D2853" s="1">
        <f>value(EUR!$B2853)</f>
        <v>16791.0179</v>
      </c>
      <c r="E2853" s="1">
        <f>value(GBP!$B2853)</f>
        <v>19141.677</v>
      </c>
      <c r="F2853" s="1">
        <f>value(CHF!$B2853)</f>
        <v>13975.9074</v>
      </c>
      <c r="G2853" s="1">
        <f>value(SGD!$B2853)</f>
        <v>10247.328</v>
      </c>
      <c r="H2853" s="1">
        <f>value(MYR!$B2853)</f>
        <v>3542.11381</v>
      </c>
      <c r="I2853" s="1">
        <f>value(THB!$B2853)</f>
        <v>440.52269</v>
      </c>
      <c r="J2853" s="1">
        <f>value(VND!$B2853)</f>
        <v>0.605166861</v>
      </c>
      <c r="K2853" s="1">
        <f>value(CNY!$B2853)</f>
        <v>2110.08282</v>
      </c>
      <c r="L2853" s="1">
        <f>value(HKD!$B2853)</f>
        <v>1774.34712</v>
      </c>
      <c r="M2853" s="1">
        <f>value(TWD!$B2853)</f>
        <v>483.16744</v>
      </c>
      <c r="N2853" s="1">
        <f>value(JPY!$B2853)</f>
        <v>127.152447</v>
      </c>
      <c r="O2853" s="1">
        <f>value(SAR!$B2853)</f>
        <v>3953.059462</v>
      </c>
      <c r="P2853" s="1">
        <f>value(AED!$B2853)</f>
        <v>3828.256125</v>
      </c>
      <c r="Q2853" s="1">
        <f>value(KWD!$B2853)</f>
        <v>46150.28388</v>
      </c>
    </row>
    <row r="2854">
      <c r="A2854" s="4">
        <f>value(USD!A2854)</f>
        <v>43219.99861</v>
      </c>
      <c r="B2854" s="1">
        <f>value(USD!B2854)</f>
        <v>13870</v>
      </c>
      <c r="C2854" s="1">
        <f>value(AUD!$B2854)</f>
        <v>10690.04138</v>
      </c>
      <c r="D2854" s="1">
        <f>value(EUR!$B2854)</f>
        <v>16766.45557</v>
      </c>
      <c r="E2854" s="1">
        <f>value(GBP!$B2854)</f>
        <v>19027.81295</v>
      </c>
      <c r="F2854" s="1">
        <f>value(CHF!$B2854)</f>
        <v>14202.1128</v>
      </c>
      <c r="G2854" s="1">
        <f>value(SGD!$B2854)</f>
        <v>10370.31768</v>
      </c>
      <c r="H2854" s="1">
        <f>value(MYR!$B2854)</f>
        <v>3563.249332</v>
      </c>
      <c r="I2854" s="1">
        <f>value(THB!$B2854)</f>
        <v>441.141565</v>
      </c>
      <c r="J2854" s="1">
        <f>value(VND!$B2854)</f>
        <v>0.604606071</v>
      </c>
      <c r="K2854" s="1">
        <f>value(CNY!$B2854)</f>
        <v>2106.13944</v>
      </c>
      <c r="L2854" s="1">
        <f>value(HKD!$B2854)</f>
        <v>1774.20789</v>
      </c>
      <c r="M2854" s="1">
        <f>value(TWD!$B2854)</f>
        <v>483.345184</v>
      </c>
      <c r="N2854" s="1">
        <f>value(JPY!$B2854)</f>
        <v>127.23893</v>
      </c>
      <c r="O2854" s="1">
        <f>value(SAR!$B2854)</f>
        <v>3886.051217</v>
      </c>
      <c r="P2854" s="1">
        <f>value(AED!$B2854)</f>
        <v>3832.45394</v>
      </c>
      <c r="Q2854" s="1">
        <f>value(KWD!$B2854)</f>
        <v>45958.42713</v>
      </c>
    </row>
    <row r="2855">
      <c r="A2855" s="4">
        <f>value(USD!A2855)</f>
        <v>43220.99861</v>
      </c>
      <c r="B2855" s="1">
        <f>value(USD!B2855)</f>
        <v>13901</v>
      </c>
      <c r="C2855" s="1">
        <f>value(AUD!$B2855)</f>
        <v>10729.24939</v>
      </c>
      <c r="D2855" s="1">
        <f>value(EUR!$B2855)</f>
        <v>16733.16856</v>
      </c>
      <c r="E2855" s="1">
        <f>value(GBP!$B2855)</f>
        <v>19003.92156</v>
      </c>
      <c r="F2855" s="1">
        <f>value(CHF!$B2855)</f>
        <v>14256.8536</v>
      </c>
      <c r="G2855" s="1">
        <f>value(SGD!$B2855)</f>
        <v>10367.77553</v>
      </c>
      <c r="H2855" s="1">
        <f>value(MYR!$B2855)</f>
        <v>3557.004269</v>
      </c>
      <c r="I2855" s="1">
        <f>value(THB!$B2855)</f>
        <v>440.792404</v>
      </c>
      <c r="J2855" s="1">
        <f>value(VND!$B2855)</f>
        <v>0.5986644</v>
      </c>
      <c r="K2855" s="1">
        <f>value(CNY!$B2855)</f>
        <v>2122.3188</v>
      </c>
      <c r="L2855" s="1">
        <f>value(HKD!$B2855)</f>
        <v>1773.92943</v>
      </c>
      <c r="M2855" s="1">
        <f>value(TWD!$B2855)</f>
        <v>484.111936</v>
      </c>
      <c r="N2855" s="1">
        <f>value(JPY!$B2855)</f>
        <v>127.4769392</v>
      </c>
      <c r="O2855" s="1">
        <f>value(SAR!$B2855)</f>
        <v>3893.524458</v>
      </c>
      <c r="P2855" s="1">
        <f>value(AED!$B2855)</f>
        <v>3827.52671</v>
      </c>
      <c r="Q2855" s="1">
        <f>value(KWD!$B2855)</f>
        <v>45968.32485</v>
      </c>
    </row>
    <row r="2856">
      <c r="A2856" s="4">
        <f>value(USD!A2856)</f>
        <v>43221.99861</v>
      </c>
      <c r="B2856" s="1">
        <f>value(USD!B2856)</f>
        <v>13982.3</v>
      </c>
      <c r="C2856" s="1">
        <f>value(AUD!$B2856)</f>
        <v>10684.5518</v>
      </c>
      <c r="D2856" s="1">
        <f>value(EUR!$B2856)</f>
        <v>16701.31866</v>
      </c>
      <c r="E2856" s="1">
        <f>value(GBP!$B2856)</f>
        <v>18905.7601</v>
      </c>
      <c r="F2856" s="1">
        <f>value(CHF!$B2856)</f>
        <v>14233.0584</v>
      </c>
      <c r="G2856" s="1">
        <f>value(SGD!$B2856)</f>
        <v>10349.2842</v>
      </c>
      <c r="H2856" s="1">
        <f>value(MYR!$B2856)</f>
        <v>3529.55816</v>
      </c>
      <c r="I2856" s="1">
        <f>value(THB!$B2856)</f>
        <v>440.35891</v>
      </c>
      <c r="J2856" s="1">
        <f>value(VND!$B2856)</f>
        <v>0.5986644</v>
      </c>
      <c r="K2856" s="1">
        <f>value(CNY!$B2856)</f>
        <v>2115.38058</v>
      </c>
      <c r="L2856" s="1">
        <f>value(HKD!$B2856)</f>
        <v>1798.925146</v>
      </c>
      <c r="M2856" s="1">
        <f>value(TWD!$B2856)</f>
        <v>490.5571255</v>
      </c>
      <c r="N2856" s="1">
        <f>value(JPY!$B2856)</f>
        <v>127.663684</v>
      </c>
      <c r="O2856" s="1">
        <f>value(SAR!$B2856)</f>
        <v>3892.901847</v>
      </c>
      <c r="P2856" s="1">
        <f>value(AED!$B2856)</f>
        <v>3830.52058</v>
      </c>
      <c r="Q2856" s="1">
        <f>value(KWD!$B2856)</f>
        <v>46114.57506</v>
      </c>
    </row>
    <row r="2857">
      <c r="A2857" s="4">
        <f>value(USD!A2857)</f>
        <v>43222.99861</v>
      </c>
      <c r="B2857" s="1">
        <f>value(USD!B2857)</f>
        <v>14002.3</v>
      </c>
      <c r="C2857" s="1">
        <f>value(AUD!$B2857)</f>
        <v>10709.01664</v>
      </c>
      <c r="D2857" s="1">
        <f>value(EUR!$B2857)</f>
        <v>16681.72968</v>
      </c>
      <c r="E2857" s="1">
        <f>value(GBP!$B2857)</f>
        <v>18843.55704</v>
      </c>
      <c r="F2857" s="1">
        <f>value(CHF!$B2857)</f>
        <v>14243.2833</v>
      </c>
      <c r="G2857" s="1">
        <f>value(SGD!$B2857)</f>
        <v>10387.32012</v>
      </c>
      <c r="H2857" s="1">
        <f>value(MYR!$B2857)</f>
        <v>3532.609773</v>
      </c>
      <c r="I2857" s="1">
        <f>value(THB!$B2857)</f>
        <v>438.912243</v>
      </c>
      <c r="J2857" s="1">
        <f>value(VND!$B2857)</f>
        <v>0.599017782</v>
      </c>
      <c r="K2857" s="1">
        <f>value(CNY!$B2857)</f>
        <v>2110.74232</v>
      </c>
      <c r="L2857" s="1">
        <f>value(HKD!$B2857)</f>
        <v>1792.49252</v>
      </c>
      <c r="M2857" s="1">
        <f>value(TWD!$B2857)</f>
        <v>489.365145</v>
      </c>
      <c r="N2857" s="1">
        <f>value(JPY!$B2857)</f>
        <v>127.592388</v>
      </c>
      <c r="O2857" s="1">
        <f>value(SAR!$B2857)</f>
        <v>3892.798005</v>
      </c>
      <c r="P2857" s="1">
        <f>value(AED!$B2857)</f>
        <v>3819.36161</v>
      </c>
      <c r="Q2857" s="1">
        <f>value(KWD!$B2857)</f>
        <v>46094.48877</v>
      </c>
    </row>
    <row r="2858">
      <c r="A2858" s="4">
        <f>value(USD!A2858)</f>
        <v>43223.99861</v>
      </c>
      <c r="B2858" s="1">
        <f>value(USD!B2858)</f>
        <v>13931</v>
      </c>
      <c r="C2858" s="1">
        <f>value(AUD!$B2858)</f>
        <v>10710.9484</v>
      </c>
      <c r="D2858" s="1">
        <f>value(EUR!$B2858)</f>
        <v>16683.91966</v>
      </c>
      <c r="E2858" s="1">
        <f>value(GBP!$B2858)</f>
        <v>18849.57323</v>
      </c>
      <c r="F2858" s="1">
        <f>value(CHF!$B2858)</f>
        <v>14331.924</v>
      </c>
      <c r="G2858" s="1">
        <f>value(SGD!$B2858)</f>
        <v>10410.16124</v>
      </c>
      <c r="H2858" s="1">
        <f>value(MYR!$B2858)</f>
        <v>3532.171027</v>
      </c>
      <c r="I2858" s="1">
        <f>value(THB!$B2858)</f>
        <v>429.9440859</v>
      </c>
      <c r="J2858" s="1">
        <f>value(VND!$B2858)</f>
        <v>0.600754908</v>
      </c>
      <c r="K2858" s="1">
        <f>value(CNY!$B2858)</f>
        <v>2118.17316</v>
      </c>
      <c r="L2858" s="1">
        <f>value(HKD!$B2858)</f>
        <v>1773.65097</v>
      </c>
      <c r="M2858" s="1">
        <f>value(TWD!$B2858)</f>
        <v>488.3221616</v>
      </c>
      <c r="N2858" s="1">
        <f>value(JPY!$B2858)</f>
        <v>127.5765412</v>
      </c>
      <c r="O2858" s="1">
        <f>value(SAR!$B2858)</f>
        <v>3905.616083</v>
      </c>
      <c r="P2858" s="1">
        <f>value(AED!$B2858)</f>
        <v>3801.12622</v>
      </c>
      <c r="Q2858" s="1">
        <f>value(KWD!$B2858)</f>
        <v>45940.76212</v>
      </c>
    </row>
    <row r="2859">
      <c r="A2859" s="4">
        <f>value(USD!A2859)</f>
        <v>43224.99861</v>
      </c>
      <c r="B2859" s="1">
        <f>value(USD!B2859)</f>
        <v>13929.3</v>
      </c>
      <c r="C2859" s="1">
        <f>value(AUD!$B2859)</f>
        <v>10740.22705</v>
      </c>
      <c r="D2859" s="1">
        <f>value(EUR!$B2859)</f>
        <v>16655.92619</v>
      </c>
      <c r="E2859" s="1">
        <f>value(GBP!$B2859)</f>
        <v>18852.88163</v>
      </c>
      <c r="F2859" s="1">
        <f>value(CHF!$B2859)</f>
        <v>14315.692</v>
      </c>
      <c r="G2859" s="1">
        <f>value(SGD!$B2859)</f>
        <v>10414.326</v>
      </c>
      <c r="H2859" s="1">
        <f>value(MYR!$B2859)</f>
        <v>3533.54813</v>
      </c>
      <c r="I2859" s="1">
        <f>value(THB!$B2859)</f>
        <v>438.47151</v>
      </c>
      <c r="J2859" s="1">
        <f>value(VND!$B2859)</f>
        <v>0.603676011</v>
      </c>
      <c r="K2859" s="1">
        <f>value(CNY!$B2859)</f>
        <v>2126.16482</v>
      </c>
      <c r="L2859" s="1">
        <f>value(HKD!$B2859)</f>
        <v>1773.7902</v>
      </c>
      <c r="M2859" s="1">
        <f>value(TWD!$B2859)</f>
        <v>488.80892</v>
      </c>
      <c r="N2859" s="1">
        <f>value(JPY!$B2859)</f>
        <v>127.62628</v>
      </c>
      <c r="O2859" s="1">
        <f>value(SAR!$B2859)</f>
        <v>3913.193091</v>
      </c>
      <c r="P2859" s="1">
        <f>value(AED!$B2859)</f>
        <v>3792.3032</v>
      </c>
      <c r="Q2859" s="1">
        <f>value(KWD!$B2859)</f>
        <v>46118.27381</v>
      </c>
    </row>
    <row r="2860">
      <c r="A2860" s="4">
        <f>value(USD!A2860)</f>
        <v>43225.99861</v>
      </c>
      <c r="B2860" s="1">
        <f>value(USD!B2860)</f>
        <v>13927.57</v>
      </c>
      <c r="C2860" s="1">
        <f>value(AUD!$B2860)</f>
        <v>10705.30638</v>
      </c>
      <c r="D2860" s="1">
        <f>value(EUR!$B2860)</f>
        <v>17026.60105</v>
      </c>
      <c r="E2860" s="1">
        <f>value(GBP!$B2860)</f>
        <v>19359.5008</v>
      </c>
      <c r="F2860" s="1">
        <f>value(CHF!$B2860)</f>
        <v>14277.705</v>
      </c>
      <c r="G2860" s="1">
        <f>value(SGD!$B2860)</f>
        <v>10485.1145</v>
      </c>
      <c r="H2860" s="1">
        <f>value(MYR!$B2860)</f>
        <v>3615.495215</v>
      </c>
      <c r="I2860" s="1">
        <f>value(THB!$B2860)</f>
        <v>447.888215</v>
      </c>
      <c r="J2860" s="1">
        <f>value(VND!$B2860)</f>
        <v>0.6037964922</v>
      </c>
      <c r="K2860" s="1">
        <f>value(CNY!$B2860)</f>
        <v>2098.509686</v>
      </c>
      <c r="L2860" s="1">
        <f>value(HKD!$B2860)</f>
        <v>1773.65097</v>
      </c>
      <c r="M2860" s="1">
        <f>value(TWD!$B2860)</f>
        <v>488.964424</v>
      </c>
      <c r="N2860" s="1">
        <f>value(JPY!$B2860)</f>
        <v>130.9420245</v>
      </c>
      <c r="O2860" s="1">
        <f>value(SAR!$B2860)</f>
        <v>3904.665218</v>
      </c>
      <c r="P2860" s="1">
        <f>value(AED!$B2860)</f>
        <v>3792.98059</v>
      </c>
      <c r="Q2860" s="1">
        <f>value(KWD!$B2860)</f>
        <v>46229.64118</v>
      </c>
    </row>
    <row r="2861">
      <c r="A2861" s="4">
        <f>value(USD!A2861)</f>
        <v>43226.99861</v>
      </c>
      <c r="B2861" s="1">
        <f>value(USD!B2861)</f>
        <v>13933</v>
      </c>
      <c r="C2861" s="1">
        <f>value(AUD!$B2861)</f>
        <v>10690.515</v>
      </c>
      <c r="D2861" s="1">
        <f>value(EUR!$B2861)</f>
        <v>16928.63388</v>
      </c>
      <c r="E2861" s="1">
        <f>value(GBP!$B2861)</f>
        <v>19330.70832</v>
      </c>
      <c r="F2861" s="1">
        <f>value(CHF!$B2861)</f>
        <v>14383.005</v>
      </c>
      <c r="G2861" s="1">
        <f>value(SGD!$B2861)</f>
        <v>10470.6728</v>
      </c>
      <c r="H2861" s="1">
        <f>value(MYR!$B2861)</f>
        <v>3571.873281</v>
      </c>
      <c r="I2861" s="1">
        <f>value(THB!$B2861)</f>
        <v>445.895766</v>
      </c>
      <c r="J2861" s="1">
        <f>value(VND!$B2861)</f>
        <v>0.606124904</v>
      </c>
      <c r="K2861" s="1">
        <f>value(CNY!$B2861)</f>
        <v>2120.592636</v>
      </c>
      <c r="L2861" s="1">
        <f>value(HKD!$B2861)</f>
        <v>1774.48635</v>
      </c>
      <c r="M2861" s="1">
        <f>value(TWD!$B2861)</f>
        <v>492.7246156</v>
      </c>
      <c r="N2861" s="1">
        <f>value(JPY!$B2861)</f>
        <v>130.801797</v>
      </c>
      <c r="O2861" s="1">
        <f>value(SAR!$B2861)</f>
        <v>3894.995154</v>
      </c>
      <c r="P2861" s="1">
        <f>value(AED!$B2861)</f>
        <v>3798.812775</v>
      </c>
      <c r="Q2861" s="1">
        <f>value(KWD!$B2861)</f>
        <v>46279.24176</v>
      </c>
    </row>
    <row r="2862">
      <c r="A2862" s="4">
        <f>value(USD!A2862)</f>
        <v>43227.99861</v>
      </c>
      <c r="B2862" s="1">
        <f>value(USD!B2862)</f>
        <v>14268.5</v>
      </c>
      <c r="C2862" s="1">
        <f>value(AUD!$B2862)</f>
        <v>10668.46896</v>
      </c>
      <c r="D2862" s="1">
        <f>value(EUR!$B2862)</f>
        <v>16671.57945</v>
      </c>
      <c r="E2862" s="1">
        <f>value(GBP!$B2862)</f>
        <v>19059.76755</v>
      </c>
      <c r="F2862" s="1">
        <f>value(CHF!$B2862)</f>
        <v>14425.7211</v>
      </c>
      <c r="G2862" s="1">
        <f>value(SGD!$B2862)</f>
        <v>10468.67458</v>
      </c>
      <c r="H2862" s="1">
        <f>value(MYR!$B2862)</f>
        <v>3476.17173</v>
      </c>
      <c r="I2862" s="1">
        <f>value(THB!$B2862)</f>
        <v>437.38884</v>
      </c>
      <c r="J2862" s="1">
        <f>value(VND!$B2862)</f>
        <v>0.6041862078</v>
      </c>
      <c r="K2862" s="1">
        <f>value(CNY!$B2862)</f>
        <v>2120.80744</v>
      </c>
      <c r="L2862" s="1">
        <f>value(HKD!$B2862)</f>
        <v>1795.5156</v>
      </c>
      <c r="M2862" s="1">
        <f>value(TWD!$B2862)</f>
        <v>490.283914</v>
      </c>
      <c r="N2862" s="1">
        <f>value(JPY!$B2862)</f>
        <v>128.0994825</v>
      </c>
      <c r="O2862" s="1">
        <f>value(SAR!$B2862)</f>
        <v>3875.466569</v>
      </c>
      <c r="P2862" s="1">
        <f>value(AED!$B2862)</f>
        <v>3798.023625</v>
      </c>
      <c r="Q2862" s="1">
        <f>value(KWD!$B2862)</f>
        <v>46034.09815</v>
      </c>
    </row>
    <row r="2863">
      <c r="A2863" s="4">
        <f>value(USD!A2863)</f>
        <v>43228.99861</v>
      </c>
      <c r="B2863" s="1">
        <f>value(USD!B2863)</f>
        <v>14264.1</v>
      </c>
      <c r="C2863" s="1">
        <f>value(AUD!$B2863)</f>
        <v>10570.3878</v>
      </c>
      <c r="D2863" s="1">
        <f>value(EUR!$B2863)</f>
        <v>16763.7576</v>
      </c>
      <c r="E2863" s="1">
        <f>value(GBP!$B2863)</f>
        <v>19026.696</v>
      </c>
      <c r="F2863" s="1">
        <f>value(CHF!$B2863)</f>
        <v>14425.7211</v>
      </c>
      <c r="G2863" s="1">
        <f>value(SGD!$B2863)</f>
        <v>10503.66705</v>
      </c>
      <c r="H2863" s="1">
        <f>value(MYR!$B2863)</f>
        <v>3560.04681</v>
      </c>
      <c r="I2863" s="1">
        <f>value(THB!$B2863)</f>
        <v>440.20344</v>
      </c>
      <c r="J2863" s="1">
        <f>value(VND!$B2863)</f>
        <v>0.6041862078</v>
      </c>
      <c r="K2863" s="1">
        <f>value(CNY!$B2863)</f>
        <v>2118.18592</v>
      </c>
      <c r="L2863" s="1">
        <f>value(HKD!$B2863)</f>
        <v>1795.067476</v>
      </c>
      <c r="M2863" s="1">
        <f>value(TWD!$B2863)</f>
        <v>492.1602528</v>
      </c>
      <c r="N2863" s="1">
        <f>value(JPY!$B2863)</f>
        <v>128.5723353</v>
      </c>
      <c r="O2863" s="1">
        <f>value(SAR!$B2863)</f>
        <v>3881.769135</v>
      </c>
      <c r="P2863" s="1">
        <f>value(AED!$B2863)</f>
        <v>3787.24555</v>
      </c>
      <c r="Q2863" s="1">
        <f>value(KWD!$B2863)</f>
        <v>46367.08081</v>
      </c>
    </row>
    <row r="2864">
      <c r="A2864" s="4">
        <f>value(USD!A2864)</f>
        <v>43229.99861</v>
      </c>
      <c r="B2864" s="1">
        <f>value(USD!B2864)</f>
        <v>14073</v>
      </c>
      <c r="C2864" s="1">
        <f>value(AUD!$B2864)</f>
        <v>10542.1332</v>
      </c>
      <c r="D2864" s="1">
        <f>value(EUR!$B2864)</f>
        <v>16670.846</v>
      </c>
      <c r="E2864" s="1">
        <f>value(GBP!$B2864)</f>
        <v>18881.73</v>
      </c>
      <c r="F2864" s="1">
        <f>value(CHF!$B2864)</f>
        <v>14454.4432</v>
      </c>
      <c r="G2864" s="1">
        <f>value(SGD!$B2864)</f>
        <v>10476.89675</v>
      </c>
      <c r="H2864" s="1">
        <f>value(MYR!$B2864)</f>
        <v>3525.9836</v>
      </c>
      <c r="I2864" s="1">
        <f>value(THB!$B2864)</f>
        <v>437.019</v>
      </c>
      <c r="J2864" s="1">
        <f>value(VND!$B2864)</f>
        <v>0.603460368</v>
      </c>
      <c r="K2864" s="1">
        <f>value(CNY!$B2864)</f>
        <v>2124.30456</v>
      </c>
      <c r="L2864" s="1">
        <f>value(HKD!$B2864)</f>
        <v>1793.46312</v>
      </c>
      <c r="M2864" s="1">
        <f>value(TWD!$B2864)</f>
        <v>499.6489914</v>
      </c>
      <c r="N2864" s="1">
        <f>value(JPY!$B2864)</f>
        <v>127.4116</v>
      </c>
      <c r="O2864" s="1">
        <f>value(SAR!$B2864)</f>
        <v>3873.710547</v>
      </c>
      <c r="P2864" s="1">
        <f>value(AED!$B2864)</f>
        <v>3801.12622</v>
      </c>
      <c r="Q2864" s="1">
        <f>value(KWD!$B2864)</f>
        <v>46300.00665</v>
      </c>
    </row>
    <row r="2865">
      <c r="A2865" s="4">
        <f>value(USD!A2865)</f>
        <v>43230.99861</v>
      </c>
      <c r="B2865" s="1">
        <f>value(USD!B2865)</f>
        <v>14073</v>
      </c>
      <c r="C2865" s="1">
        <f>value(AUD!$B2865)</f>
        <v>10604.58416</v>
      </c>
      <c r="D2865" s="1">
        <f>value(EUR!$B2865)</f>
        <v>16674.4337</v>
      </c>
      <c r="E2865" s="1">
        <f>value(GBP!$B2865)</f>
        <v>18885.7935</v>
      </c>
      <c r="F2865" s="1">
        <f>value(CHF!$B2865)</f>
        <v>14440.2555</v>
      </c>
      <c r="G2865" s="1">
        <f>value(SGD!$B2865)</f>
        <v>10508.83601</v>
      </c>
      <c r="H2865" s="1">
        <f>value(MYR!$B2865)</f>
        <v>3527.16071</v>
      </c>
      <c r="I2865" s="1">
        <f>value(THB!$B2865)</f>
        <v>437.11305</v>
      </c>
      <c r="J2865" s="1">
        <f>value(VND!$B2865)</f>
        <v>0.60735969</v>
      </c>
      <c r="K2865" s="1">
        <f>value(CNY!$B2865)</f>
        <v>2127.8028</v>
      </c>
      <c r="L2865" s="1">
        <f>value(HKD!$B2865)</f>
        <v>1802.87964</v>
      </c>
      <c r="M2865" s="1">
        <f>value(TWD!$B2865)</f>
        <v>488.2895075</v>
      </c>
      <c r="N2865" s="1">
        <f>value(JPY!$B2865)</f>
        <v>127.43902</v>
      </c>
      <c r="O2865" s="1">
        <f>value(SAR!$B2865)</f>
        <v>3876.010512</v>
      </c>
      <c r="P2865" s="1">
        <f>value(AED!$B2865)</f>
        <v>3818.735619</v>
      </c>
      <c r="Q2865" s="1">
        <f>value(KWD!$B2865)</f>
        <v>46656.76681</v>
      </c>
    </row>
    <row r="2866">
      <c r="A2866" s="4">
        <f>value(USD!A2866)</f>
        <v>43231.99861</v>
      </c>
      <c r="B2866" s="1">
        <f>value(USD!B2866)</f>
        <v>13940</v>
      </c>
      <c r="C2866" s="1">
        <f>value(AUD!$B2866)</f>
        <v>10593.77984</v>
      </c>
      <c r="D2866" s="1">
        <f>value(EUR!$B2866)</f>
        <v>16664.11588</v>
      </c>
      <c r="E2866" s="1">
        <f>value(GBP!$B2866)</f>
        <v>18892.62557</v>
      </c>
      <c r="F2866" s="1">
        <f>value(CHF!$B2866)</f>
        <v>14466.3887</v>
      </c>
      <c r="G2866" s="1">
        <f>value(SGD!$B2866)</f>
        <v>10549.44</v>
      </c>
      <c r="H2866" s="1">
        <f>value(MYR!$B2866)</f>
        <v>3528.13672</v>
      </c>
      <c r="I2866" s="1">
        <f>value(THB!$B2866)</f>
        <v>436.69476</v>
      </c>
      <c r="J2866" s="1">
        <f>value(VND!$B2866)</f>
        <v>0.6071518304</v>
      </c>
      <c r="K2866" s="1">
        <f>value(CNY!$B2866)</f>
        <v>2129.6978</v>
      </c>
      <c r="L2866" s="1">
        <f>value(HKD!$B2866)</f>
        <v>1807.5512</v>
      </c>
      <c r="M2866" s="1">
        <f>value(TWD!$B2866)</f>
        <v>479.6045984</v>
      </c>
      <c r="N2866" s="1">
        <f>value(JPY!$B2866)</f>
        <v>127.494792</v>
      </c>
      <c r="O2866" s="1">
        <f>value(SAR!$B2866)</f>
        <v>3889.185329</v>
      </c>
      <c r="P2866" s="1">
        <f>value(AED!$B2866)</f>
        <v>3819.179256</v>
      </c>
      <c r="Q2866" s="1">
        <f>value(KWD!$B2866)</f>
        <v>46432.56639</v>
      </c>
    </row>
    <row r="2867">
      <c r="A2867" s="4">
        <f>value(USD!A2867)</f>
        <v>43232.99861</v>
      </c>
      <c r="B2867" s="1">
        <f>value(USD!B2867)</f>
        <v>13943</v>
      </c>
      <c r="C2867" s="1">
        <f>value(AUD!$B2867)</f>
        <v>10525.44453</v>
      </c>
      <c r="D2867" s="1">
        <f>value(EUR!$B2867)</f>
        <v>16658.55715</v>
      </c>
      <c r="E2867" s="1">
        <f>value(GBP!$B2867)</f>
        <v>18935.64319</v>
      </c>
      <c r="F2867" s="1">
        <f>value(CHF!$B2867)</f>
        <v>14509.44</v>
      </c>
      <c r="G2867" s="1">
        <f>value(SGD!$B2867)</f>
        <v>10530.88933</v>
      </c>
      <c r="H2867" s="1">
        <f>value(MYR!$B2867)</f>
        <v>3532.22011</v>
      </c>
      <c r="I2867" s="1">
        <f>value(THB!$B2867)</f>
        <v>437.60042</v>
      </c>
      <c r="J2867" s="1">
        <f>value(VND!$B2867)</f>
        <v>0.60631553</v>
      </c>
      <c r="K2867" s="1">
        <f>value(CNY!$B2867)</f>
        <v>2131.85232</v>
      </c>
      <c r="L2867" s="1">
        <f>value(HKD!$B2867)</f>
        <v>1813.68135</v>
      </c>
      <c r="M2867" s="1">
        <f>value(TWD!$B2867)</f>
        <v>490.54309</v>
      </c>
      <c r="N2867" s="1">
        <f>value(JPY!$B2867)</f>
        <v>127.20293</v>
      </c>
      <c r="O2867" s="1">
        <f>value(SAR!$B2867)</f>
        <v>3858.82783</v>
      </c>
      <c r="P2867" s="1">
        <f>value(AED!$B2867)</f>
        <v>3799.92592</v>
      </c>
      <c r="Q2867" s="1">
        <f>value(KWD!$B2867)</f>
        <v>46441.22373</v>
      </c>
    </row>
    <row r="2868">
      <c r="A2868" s="4">
        <f>value(USD!A2868)</f>
        <v>43233.99861</v>
      </c>
      <c r="B2868" s="1">
        <f>value(USD!B2868)</f>
        <v>13943</v>
      </c>
      <c r="C2868" s="1">
        <f>value(AUD!$B2868)</f>
        <v>10594.20402</v>
      </c>
      <c r="D2868" s="1">
        <f>value(EUR!$B2868)</f>
        <v>16584.1615</v>
      </c>
      <c r="E2868" s="1">
        <f>value(GBP!$B2868)</f>
        <v>18939.3776</v>
      </c>
      <c r="F2868" s="1">
        <f>value(CHF!$B2868)</f>
        <v>14476.57584</v>
      </c>
      <c r="G2868" s="1">
        <f>value(SGD!$B2868)</f>
        <v>10559.05713</v>
      </c>
      <c r="H2868" s="1">
        <f>value(MYR!$B2868)</f>
        <v>3544.2586</v>
      </c>
      <c r="I2868" s="1">
        <f>value(THB!$B2868)</f>
        <v>436.7539</v>
      </c>
      <c r="J2868" s="1">
        <f>value(VND!$B2868)</f>
        <v>0.620693076</v>
      </c>
      <c r="K2868" s="1">
        <f>value(CNY!$B2868)</f>
        <v>2141.50235</v>
      </c>
      <c r="L2868" s="1">
        <f>value(HKD!$B2868)</f>
        <v>1828.3335</v>
      </c>
      <c r="M2868" s="1">
        <f>value(TWD!$B2868)</f>
        <v>497.0504</v>
      </c>
      <c r="N2868" s="1">
        <f>value(JPY!$B2868)</f>
        <v>127.18195</v>
      </c>
      <c r="O2868" s="1">
        <f>value(SAR!$B2868)</f>
        <v>3830.820503</v>
      </c>
      <c r="P2868" s="1">
        <f>value(AED!$B2868)</f>
        <v>3819.36161</v>
      </c>
      <c r="Q2868" s="1">
        <f>value(KWD!$B2868)</f>
        <v>46545.93232</v>
      </c>
    </row>
    <row r="2869">
      <c r="A2869" s="4">
        <f>value(USD!A2869)</f>
        <v>43234.99861</v>
      </c>
      <c r="B2869" s="1">
        <f>value(USD!B2869)</f>
        <v>13963</v>
      </c>
      <c r="C2869" s="1">
        <f>value(AUD!$B2869)</f>
        <v>10666.7226</v>
      </c>
      <c r="D2869" s="1">
        <f>value(EUR!$B2869)</f>
        <v>16716.71383</v>
      </c>
      <c r="E2869" s="1">
        <f>value(GBP!$B2869)</f>
        <v>19166.36482</v>
      </c>
      <c r="F2869" s="1">
        <f>value(CHF!$B2869)</f>
        <v>14477.5026</v>
      </c>
      <c r="G2869" s="1">
        <f>value(SGD!$B2869)</f>
        <v>10560.49083</v>
      </c>
      <c r="H2869" s="1">
        <f>value(MYR!$B2869)</f>
        <v>3564.041988</v>
      </c>
      <c r="I2869" s="1">
        <f>value(THB!$B2869)</f>
        <v>442.303992</v>
      </c>
      <c r="J2869" s="1">
        <f>value(VND!$B2869)</f>
        <v>0.614925454</v>
      </c>
      <c r="K2869" s="1">
        <f>value(CNY!$B2869)</f>
        <v>2144.39511</v>
      </c>
      <c r="L2869" s="1">
        <f>value(HKD!$B2869)</f>
        <v>1818.52293</v>
      </c>
      <c r="M2869" s="1">
        <f>value(TWD!$B2869)</f>
        <v>491.520224</v>
      </c>
      <c r="N2869" s="1">
        <f>value(JPY!$B2869)</f>
        <v>128.1776028</v>
      </c>
      <c r="O2869" s="1">
        <f>value(SAR!$B2869)</f>
        <v>3821.245559</v>
      </c>
      <c r="P2869" s="1">
        <f>value(AED!$B2869)</f>
        <v>3813.976686</v>
      </c>
      <c r="Q2869" s="1">
        <f>value(KWD!$B2869)</f>
        <v>46545.93232</v>
      </c>
    </row>
    <row r="2870">
      <c r="A2870" s="4">
        <f>value(USD!A2870)</f>
        <v>43235.99861</v>
      </c>
      <c r="B2870" s="1">
        <f>value(USD!B2870)</f>
        <v>14030</v>
      </c>
      <c r="C2870" s="1">
        <f>value(AUD!$B2870)</f>
        <v>10648.489</v>
      </c>
      <c r="D2870" s="1">
        <f>value(EUR!$B2870)</f>
        <v>16688.39185</v>
      </c>
      <c r="E2870" s="1">
        <f>value(GBP!$B2870)</f>
        <v>19122.65231</v>
      </c>
      <c r="F2870" s="1">
        <f>value(CHF!$B2870)</f>
        <v>14491.8396</v>
      </c>
      <c r="G2870" s="1">
        <f>value(SGD!$B2870)</f>
        <v>10537.67778</v>
      </c>
      <c r="H2870" s="1">
        <f>value(MYR!$B2870)</f>
        <v>3561.0206</v>
      </c>
      <c r="I2870" s="1">
        <f>value(THB!$B2870)</f>
        <v>441.02306</v>
      </c>
      <c r="J2870" s="1">
        <f>value(VND!$B2870)</f>
        <v>0.614925454</v>
      </c>
      <c r="K2870" s="1">
        <f>value(CNY!$B2870)</f>
        <v>2135.35925</v>
      </c>
      <c r="L2870" s="1">
        <f>value(HKD!$B2870)</f>
        <v>1818.52293</v>
      </c>
      <c r="M2870" s="1">
        <f>value(TWD!$B2870)</f>
        <v>488.62738</v>
      </c>
      <c r="N2870" s="1">
        <f>value(JPY!$B2870)</f>
        <v>127.66457</v>
      </c>
      <c r="O2870" s="1">
        <f>value(SAR!$B2870)</f>
        <v>3836.546237</v>
      </c>
      <c r="P2870" s="1">
        <f>value(AED!$B2870)</f>
        <v>3851.47767</v>
      </c>
      <c r="Q2870" s="1">
        <f>value(KWD!$B2870)</f>
        <v>46778.16776</v>
      </c>
    </row>
    <row r="2871">
      <c r="A2871" s="4">
        <f>value(USD!A2871)</f>
        <v>43236.99861</v>
      </c>
      <c r="B2871" s="1">
        <f>value(USD!B2871)</f>
        <v>14149.2</v>
      </c>
      <c r="C2871" s="1">
        <f>value(AUD!$B2871)</f>
        <v>10682.39196</v>
      </c>
      <c r="D2871" s="1">
        <f>value(EUR!$B2871)</f>
        <v>16662.5726</v>
      </c>
      <c r="E2871" s="1">
        <f>value(GBP!$B2871)</f>
        <v>19038.498</v>
      </c>
      <c r="F2871" s="1">
        <f>value(CHF!$B2871)</f>
        <v>14460.0849</v>
      </c>
      <c r="G2871" s="1">
        <f>value(SGD!$B2871)</f>
        <v>10556.22293</v>
      </c>
      <c r="H2871" s="1">
        <f>value(MYR!$B2871)</f>
        <v>3556.1144</v>
      </c>
      <c r="I2871" s="1">
        <f>value(THB!$B2871)</f>
        <v>439.42606</v>
      </c>
      <c r="J2871" s="1">
        <f>value(VND!$B2871)</f>
        <v>0.61149123</v>
      </c>
      <c r="K2871" s="1">
        <f>value(CNY!$B2871)</f>
        <v>2153.11182</v>
      </c>
      <c r="L2871" s="1">
        <f>value(HKD!$B2871)</f>
        <v>1824.41531</v>
      </c>
      <c r="M2871" s="1">
        <f>value(TWD!$B2871)</f>
        <v>493.9499712</v>
      </c>
      <c r="N2871" s="1">
        <f>value(JPY!$B2871)</f>
        <v>127.48868</v>
      </c>
      <c r="O2871" s="1">
        <f>value(SAR!$B2871)</f>
        <v>3810.539185</v>
      </c>
      <c r="P2871" s="1">
        <f>value(AED!$B2871)</f>
        <v>3833.11094</v>
      </c>
      <c r="Q2871" s="1">
        <f>value(KWD!$B2871)</f>
        <v>46477.07677</v>
      </c>
    </row>
    <row r="2872">
      <c r="A2872" s="4">
        <f>value(USD!A2872)</f>
        <v>43237.99861</v>
      </c>
      <c r="B2872" s="1">
        <f>value(USD!B2872)</f>
        <v>14153.5</v>
      </c>
      <c r="C2872" s="1">
        <f>value(AUD!$B2872)</f>
        <v>10722.063</v>
      </c>
      <c r="D2872" s="1">
        <f>value(EUR!$B2872)</f>
        <v>16662.5726</v>
      </c>
      <c r="E2872" s="1">
        <f>value(GBP!$B2872)</f>
        <v>19038.498</v>
      </c>
      <c r="F2872" s="1">
        <f>value(CHF!$B2872)</f>
        <v>14434.0746</v>
      </c>
      <c r="G2872" s="1">
        <f>value(SGD!$B2872)</f>
        <v>10571.80625</v>
      </c>
      <c r="H2872" s="1">
        <f>value(MYR!$B2872)</f>
        <v>3556.1144</v>
      </c>
      <c r="I2872" s="1">
        <f>value(THB!$B2872)</f>
        <v>430.09762</v>
      </c>
      <c r="J2872" s="1">
        <f>value(VND!$B2872)</f>
        <v>0.61687087</v>
      </c>
      <c r="K2872" s="1">
        <f>value(CNY!$B2872)</f>
        <v>2143.43734</v>
      </c>
      <c r="L2872" s="1">
        <f>value(HKD!$B2872)</f>
        <v>1828.81209</v>
      </c>
      <c r="M2872" s="1">
        <f>value(TWD!$B2872)</f>
        <v>491.0192065</v>
      </c>
      <c r="N2872" s="1">
        <f>value(JPY!$B2872)</f>
        <v>127.63002</v>
      </c>
      <c r="O2872" s="1">
        <f>value(SAR!$B2872)</f>
        <v>3826.488333</v>
      </c>
      <c r="P2872" s="1">
        <f>value(AED!$B2872)</f>
        <v>3839.727408</v>
      </c>
      <c r="Q2872" s="1">
        <f>value(KWD!$B2872)</f>
        <v>46267.71314</v>
      </c>
    </row>
    <row r="2873">
      <c r="A2873" s="4">
        <f>value(USD!A2873)</f>
        <v>43238.99861</v>
      </c>
      <c r="B2873" s="1">
        <f>value(USD!B2873)</f>
        <v>14134</v>
      </c>
      <c r="C2873" s="1">
        <f>value(AUD!$B2873)</f>
        <v>10684.62756</v>
      </c>
      <c r="D2873" s="1">
        <f>value(EUR!$B2873)</f>
        <v>16662.7695</v>
      </c>
      <c r="E2873" s="1">
        <f>value(GBP!$B2873)</f>
        <v>19087.4751</v>
      </c>
      <c r="F2873" s="1">
        <f>value(CHF!$B2873)</f>
        <v>14478.5</v>
      </c>
      <c r="G2873" s="1">
        <f>value(SGD!$B2873)</f>
        <v>10537.92376</v>
      </c>
      <c r="H2873" s="1">
        <f>value(MYR!$B2873)</f>
        <v>3562.98591</v>
      </c>
      <c r="I2873" s="1">
        <f>value(THB!$B2873)</f>
        <v>440.18604</v>
      </c>
      <c r="J2873" s="1">
        <f>value(VND!$B2873)</f>
        <v>0.6136731675</v>
      </c>
      <c r="K2873" s="1">
        <f>value(CNY!$B2873)</f>
        <v>2154.82608</v>
      </c>
      <c r="L2873" s="1">
        <f>value(HKD!$B2873)</f>
        <v>1829.57691</v>
      </c>
      <c r="M2873" s="1">
        <f>value(TWD!$B2873)</f>
        <v>491.488122</v>
      </c>
      <c r="N2873" s="1">
        <f>value(JPY!$B2873)</f>
        <v>127.707771</v>
      </c>
      <c r="O2873" s="1">
        <f>value(SAR!$B2873)</f>
        <v>3855.736057</v>
      </c>
      <c r="P2873" s="1">
        <f>value(AED!$B2873)</f>
        <v>3848.834588</v>
      </c>
      <c r="Q2873" s="1">
        <f>value(KWD!$B2873)</f>
        <v>46579.1266</v>
      </c>
    </row>
    <row r="2874">
      <c r="A2874" s="4">
        <f>value(USD!A2874)</f>
        <v>43239.99861</v>
      </c>
      <c r="B2874" s="1">
        <f>value(USD!B2874)</f>
        <v>14134</v>
      </c>
      <c r="C2874" s="1">
        <f>value(AUD!$B2874)</f>
        <v>10620.25536</v>
      </c>
      <c r="D2874" s="1">
        <f>value(EUR!$B2874)</f>
        <v>16764.9534</v>
      </c>
      <c r="E2874" s="1">
        <f>value(GBP!$B2874)</f>
        <v>19099.3086</v>
      </c>
      <c r="F2874" s="1">
        <f>value(CHF!$B2874)</f>
        <v>14436.9498</v>
      </c>
      <c r="G2874" s="1">
        <f>value(SGD!$B2874)</f>
        <v>10543.9173</v>
      </c>
      <c r="H2874" s="1">
        <f>value(MYR!$B2874)</f>
        <v>3570.642</v>
      </c>
      <c r="I2874" s="1">
        <f>value(THB!$B2874)</f>
        <v>442.0998</v>
      </c>
      <c r="J2874" s="1">
        <f>value(VND!$B2874)</f>
        <v>0.6163314525</v>
      </c>
      <c r="K2874" s="1">
        <f>value(CNY!$B2874)</f>
        <v>2154.562</v>
      </c>
      <c r="L2874" s="1">
        <f>value(HKD!$B2874)</f>
        <v>1836</v>
      </c>
      <c r="M2874" s="1">
        <f>value(TWD!$B2874)</f>
        <v>492.431058</v>
      </c>
      <c r="N2874" s="1">
        <f>value(JPY!$B2874)</f>
        <v>128.1222</v>
      </c>
      <c r="O2874" s="1">
        <f>value(SAR!$B2874)</f>
        <v>3851.096705</v>
      </c>
      <c r="P2874" s="1">
        <f>value(AED!$B2874)</f>
        <v>3848.24328</v>
      </c>
      <c r="Q2874" s="1">
        <f>value(KWD!$B2874)</f>
        <v>46298.96292</v>
      </c>
    </row>
    <row r="2875">
      <c r="A2875" s="4">
        <f>value(USD!A2875)</f>
        <v>43240.99861</v>
      </c>
      <c r="B2875" s="1">
        <f>value(USD!B2875)</f>
        <v>14163</v>
      </c>
      <c r="C2875" s="1">
        <f>value(AUD!$B2875)</f>
        <v>10673.2652</v>
      </c>
      <c r="D2875" s="1">
        <f>value(EUR!$B2875)</f>
        <v>16739.61902</v>
      </c>
      <c r="E2875" s="1">
        <f>value(GBP!$B2875)</f>
        <v>19084.45512</v>
      </c>
      <c r="F2875" s="1">
        <f>value(CHF!$B2875)</f>
        <v>14342.9958</v>
      </c>
      <c r="G2875" s="1">
        <f>value(SGD!$B2875)</f>
        <v>10518.66049</v>
      </c>
      <c r="H2875" s="1">
        <f>value(MYR!$B2875)</f>
        <v>3577.465536</v>
      </c>
      <c r="I2875" s="1">
        <f>value(THB!$B2875)</f>
        <v>443.206968</v>
      </c>
      <c r="J2875" s="1">
        <f>value(VND!$B2875)</f>
        <v>0.6125912887</v>
      </c>
      <c r="K2875" s="1">
        <f>value(CNY!$B2875)</f>
        <v>2157.95011</v>
      </c>
      <c r="L2875" s="1">
        <f>value(HKD!$B2875)</f>
        <v>1832.290484</v>
      </c>
      <c r="M2875" s="1">
        <f>value(TWD!$B2875)</f>
        <v>492.511481</v>
      </c>
      <c r="N2875" s="1">
        <f>value(JPY!$B2875)</f>
        <v>128.2048224</v>
      </c>
      <c r="O2875" s="1">
        <f>value(SAR!$B2875)</f>
        <v>3876.924646</v>
      </c>
      <c r="P2875" s="1">
        <f>value(AED!$B2875)</f>
        <v>3862.772725</v>
      </c>
      <c r="Q2875" s="1">
        <f>value(KWD!$B2875)</f>
        <v>46235.19689</v>
      </c>
    </row>
    <row r="2876">
      <c r="A2876" s="4">
        <f>value(USD!A2876)</f>
        <v>43241.99861</v>
      </c>
      <c r="B2876" s="1">
        <f>value(USD!B2876)</f>
        <v>14220</v>
      </c>
      <c r="C2876" s="1">
        <f>value(AUD!$B2876)</f>
        <v>10691.25606</v>
      </c>
      <c r="D2876" s="1">
        <f>value(EUR!$B2876)</f>
        <v>16591.33224</v>
      </c>
      <c r="E2876" s="1">
        <f>value(GBP!$B2876)</f>
        <v>18942.96117</v>
      </c>
      <c r="F2876" s="1">
        <f>value(CHF!$B2876)</f>
        <v>14352.43449</v>
      </c>
      <c r="G2876" s="1">
        <f>value(SGD!$B2876)</f>
        <v>10518.88005</v>
      </c>
      <c r="H2876" s="1">
        <f>value(MYR!$B2876)</f>
        <v>3559.11111</v>
      </c>
      <c r="I2876" s="1">
        <f>value(THB!$B2876)</f>
        <v>441.36435</v>
      </c>
      <c r="J2876" s="1">
        <f>value(VND!$B2876)</f>
        <v>0.617442375</v>
      </c>
      <c r="K2876" s="1">
        <f>value(CNY!$B2876)</f>
        <v>2153.82767</v>
      </c>
      <c r="L2876" s="1">
        <f>value(HKD!$B2876)</f>
        <v>1826.5338</v>
      </c>
      <c r="M2876" s="1">
        <f>value(TWD!$B2876)</f>
        <v>495.0823062</v>
      </c>
      <c r="N2876" s="1">
        <f>value(JPY!$B2876)</f>
        <v>128.9449845</v>
      </c>
      <c r="O2876" s="1">
        <f>value(SAR!$B2876)</f>
        <v>3881.245957</v>
      </c>
      <c r="P2876" s="1">
        <f>value(AED!$B2876)</f>
        <v>3836.644405</v>
      </c>
      <c r="Q2876" s="1">
        <f>value(KWD!$B2876)</f>
        <v>46349.99154</v>
      </c>
    </row>
    <row r="2877">
      <c r="A2877" s="4">
        <f>value(USD!A2877)</f>
        <v>43242.99861</v>
      </c>
      <c r="B2877" s="1">
        <f>value(USD!B2877)</f>
        <v>14200.8</v>
      </c>
      <c r="C2877" s="1">
        <f>value(AUD!$B2877)</f>
        <v>10692.0748</v>
      </c>
      <c r="D2877" s="1">
        <f>value(EUR!$B2877)</f>
        <v>16556.29404</v>
      </c>
      <c r="E2877" s="1">
        <f>value(GBP!$B2877)</f>
        <v>18901.30176</v>
      </c>
      <c r="F2877" s="1">
        <f>value(CHF!$B2877)</f>
        <v>14358.91446</v>
      </c>
      <c r="G2877" s="1">
        <f>value(SGD!$B2877)</f>
        <v>10522.4733</v>
      </c>
      <c r="H2877" s="1">
        <f>value(MYR!$B2877)</f>
        <v>3546.96012</v>
      </c>
      <c r="I2877" s="1">
        <f>value(THB!$B2877)</f>
        <v>440.95128</v>
      </c>
      <c r="J2877" s="1">
        <f>value(VND!$B2877)</f>
        <v>0.617442375</v>
      </c>
      <c r="K2877" s="1">
        <f>value(CNY!$B2877)</f>
        <v>2173.77792</v>
      </c>
      <c r="L2877" s="1">
        <f>value(HKD!$B2877)</f>
        <v>1826.5338</v>
      </c>
      <c r="M2877" s="1">
        <f>value(TWD!$B2877)</f>
        <v>494.834637</v>
      </c>
      <c r="N2877" s="1">
        <f>value(JPY!$B2877)</f>
        <v>129.1936404</v>
      </c>
      <c r="O2877" s="1">
        <f>value(SAR!$B2877)</f>
        <v>3855.257858</v>
      </c>
      <c r="P2877" s="1">
        <f>value(AED!$B2877)</f>
        <v>3819.36161</v>
      </c>
      <c r="Q2877" s="1">
        <f>value(KWD!$B2877)</f>
        <v>46219.55685</v>
      </c>
    </row>
    <row r="2878">
      <c r="A2878" s="4">
        <f>value(USD!A2878)</f>
        <v>43243.99861</v>
      </c>
      <c r="B2878" s="1">
        <f>value(USD!B2878)</f>
        <v>14169</v>
      </c>
      <c r="C2878" s="1">
        <f>value(AUD!$B2878)</f>
        <v>10755.74159</v>
      </c>
      <c r="D2878" s="1">
        <f>value(EUR!$B2878)</f>
        <v>16445.205</v>
      </c>
      <c r="E2878" s="1">
        <f>value(GBP!$B2878)</f>
        <v>18776.177</v>
      </c>
      <c r="F2878" s="1">
        <f>value(CHF!$B2878)</f>
        <v>14337.0675</v>
      </c>
      <c r="G2878" s="1">
        <f>value(SGD!$B2878)</f>
        <v>10545.8572</v>
      </c>
      <c r="H2878" s="1">
        <f>value(MYR!$B2878)</f>
        <v>3542.1744</v>
      </c>
      <c r="I2878" s="1">
        <f>value(THB!$B2878)</f>
        <v>441.9252</v>
      </c>
      <c r="J2878" s="1">
        <f>value(VND!$B2878)</f>
        <v>0.61171671</v>
      </c>
      <c r="K2878" s="1">
        <f>value(CNY!$B2878)</f>
        <v>2181.4223</v>
      </c>
      <c r="L2878" s="1">
        <f>value(HKD!$B2878)</f>
        <v>1822.85487</v>
      </c>
      <c r="M2878" s="1">
        <f>value(TWD!$B2878)</f>
        <v>490.615967</v>
      </c>
      <c r="N2878" s="1">
        <f>value(JPY!$B2878)</f>
        <v>128.9654</v>
      </c>
      <c r="O2878" s="1">
        <f>value(SAR!$B2878)</f>
        <v>3882.054658</v>
      </c>
      <c r="P2878" s="1">
        <f>value(AED!$B2878)</f>
        <v>3843.0404</v>
      </c>
      <c r="Q2878" s="1">
        <f>value(KWD!$B2878)</f>
        <v>46051.3178</v>
      </c>
    </row>
    <row r="2879">
      <c r="A2879" s="4">
        <f>value(USD!A2879)</f>
        <v>43244.99861</v>
      </c>
      <c r="B2879" s="1">
        <f>value(USD!B2879)</f>
        <v>14124</v>
      </c>
      <c r="C2879" s="1">
        <f>value(AUD!$B2879)</f>
        <v>10687.51216</v>
      </c>
      <c r="D2879" s="1">
        <f>value(EUR!$B2879)</f>
        <v>16370.613</v>
      </c>
      <c r="E2879" s="1">
        <f>value(GBP!$B2879)</f>
        <v>18691.0122</v>
      </c>
      <c r="F2879" s="1">
        <f>value(CHF!$B2879)</f>
        <v>14409.17112</v>
      </c>
      <c r="G2879" s="1">
        <f>value(SGD!$B2879)</f>
        <v>10525.97678</v>
      </c>
      <c r="H2879" s="1">
        <f>value(MYR!$B2879)</f>
        <v>3526.10784</v>
      </c>
      <c r="I2879" s="1">
        <f>value(THB!$B2879)</f>
        <v>439.92072</v>
      </c>
      <c r="J2879" s="1">
        <f>value(VND!$B2879)</f>
        <v>0.615342624</v>
      </c>
      <c r="K2879" s="1">
        <f>value(CNY!$B2879)</f>
        <v>2192.907561</v>
      </c>
      <c r="L2879" s="1">
        <f>value(HKD!$B2879)</f>
        <v>1823.36451</v>
      </c>
      <c r="M2879" s="1">
        <f>value(TWD!$B2879)</f>
        <v>491.059807</v>
      </c>
      <c r="N2879" s="1">
        <f>value(JPY!$B2879)</f>
        <v>128.38044</v>
      </c>
      <c r="O2879" s="1">
        <f>value(SAR!$B2879)</f>
        <v>3902.057998</v>
      </c>
      <c r="P2879" s="1">
        <f>value(AED!$B2879)</f>
        <v>3814.521046</v>
      </c>
      <c r="Q2879" s="1">
        <f>value(KWD!$B2879)</f>
        <v>46232.75207</v>
      </c>
    </row>
    <row r="2880">
      <c r="A2880" s="4">
        <f>value(USD!A2880)</f>
        <v>43245.99861</v>
      </c>
      <c r="B2880" s="1">
        <f>value(USD!B2880)</f>
        <v>14110</v>
      </c>
      <c r="C2880" s="1">
        <f>value(AUD!$B2880)</f>
        <v>10711.14363</v>
      </c>
      <c r="D2880" s="1">
        <f>value(EUR!$B2880)</f>
        <v>16454.64796</v>
      </c>
      <c r="E2880" s="1">
        <f>value(GBP!$B2880)</f>
        <v>18735.0024</v>
      </c>
      <c r="F2880" s="1">
        <f>value(CHF!$B2880)</f>
        <v>14368.23003</v>
      </c>
      <c r="G2880" s="1">
        <f>value(SGD!$B2880)</f>
        <v>10575.57753</v>
      </c>
      <c r="H2880" s="1">
        <f>value(MYR!$B2880)</f>
        <v>3534.14112</v>
      </c>
      <c r="I2880" s="1">
        <f>value(THB!$B2880)</f>
        <v>441.20452</v>
      </c>
      <c r="J2880" s="1">
        <f>value(VND!$B2880)</f>
        <v>0.611399376</v>
      </c>
      <c r="K2880" s="1">
        <f>value(CNY!$B2880)</f>
        <v>2178.25018</v>
      </c>
      <c r="L2880" s="1">
        <f>value(HKD!$B2880)</f>
        <v>1831.51875</v>
      </c>
      <c r="M2880" s="1">
        <f>value(TWD!$B2880)</f>
        <v>494.4083683</v>
      </c>
      <c r="N2880" s="1">
        <f>value(JPY!$B2880)</f>
        <v>128.18019</v>
      </c>
      <c r="O2880" s="1">
        <f>value(SAR!$B2880)</f>
        <v>3890.540315</v>
      </c>
      <c r="P2880" s="1">
        <f>value(AED!$B2880)</f>
        <v>3814.929316</v>
      </c>
      <c r="Q2880" s="1">
        <f>value(KWD!$B2880)</f>
        <v>46875.81274</v>
      </c>
    </row>
    <row r="2881">
      <c r="A2881" s="4">
        <f>value(USD!A2881)</f>
        <v>43246.99861</v>
      </c>
      <c r="B2881" s="1">
        <f>value(USD!B2881)</f>
        <v>14046</v>
      </c>
      <c r="C2881" s="1">
        <f>value(AUD!$B2881)</f>
        <v>10590.22</v>
      </c>
      <c r="D2881" s="1">
        <f>value(EUR!$B2881)</f>
        <v>16288.026</v>
      </c>
      <c r="E2881" s="1">
        <f>value(GBP!$B2881)</f>
        <v>18651.513</v>
      </c>
      <c r="F2881" s="1">
        <f>value(CHF!$B2881)</f>
        <v>14456.8851</v>
      </c>
      <c r="G2881" s="1">
        <f>value(SGD!$B2881)</f>
        <v>10566.7038</v>
      </c>
      <c r="H2881" s="1">
        <f>value(MYR!$B2881)</f>
        <v>3515.6694</v>
      </c>
      <c r="I2881" s="1">
        <f>value(THB!$B2881)</f>
        <v>437.8125</v>
      </c>
      <c r="J2881" s="1">
        <f>value(VND!$B2881)</f>
        <v>0.6120150575</v>
      </c>
      <c r="K2881" s="1">
        <f>value(CNY!$B2881)</f>
        <v>2188.37343</v>
      </c>
      <c r="L2881" s="1">
        <f>value(HKD!$B2881)</f>
        <v>1831.90098</v>
      </c>
      <c r="M2881" s="1">
        <f>value(TWD!$B2881)</f>
        <v>490.274253</v>
      </c>
      <c r="N2881" s="1">
        <f>value(JPY!$B2881)</f>
        <v>128.066811</v>
      </c>
      <c r="O2881" s="1">
        <f>value(SAR!$B2881)</f>
        <v>3883.002732</v>
      </c>
      <c r="P2881" s="1">
        <f>value(AED!$B2881)</f>
        <v>3825.10373</v>
      </c>
      <c r="Q2881" s="1">
        <f>value(KWD!$B2881)</f>
        <v>46738.66116</v>
      </c>
    </row>
    <row r="2882">
      <c r="A2882" s="4">
        <f>value(USD!A2882)</f>
        <v>43247.99861</v>
      </c>
      <c r="B2882" s="1">
        <f>value(USD!B2882)</f>
        <v>14078</v>
      </c>
      <c r="C2882" s="1">
        <f>value(AUD!$B2882)</f>
        <v>10588.7816</v>
      </c>
      <c r="D2882" s="1">
        <f>value(EUR!$B2882)</f>
        <v>16184.41556</v>
      </c>
      <c r="E2882" s="1">
        <f>value(GBP!$B2882)</f>
        <v>18592.6337</v>
      </c>
      <c r="F2882" s="1">
        <f>value(CHF!$B2882)</f>
        <v>14483.9148</v>
      </c>
      <c r="G2882" s="1">
        <f>value(SGD!$B2882)</f>
        <v>10627.13469</v>
      </c>
      <c r="H2882" s="1">
        <f>value(MYR!$B2882)</f>
        <v>3519.59552</v>
      </c>
      <c r="I2882" s="1">
        <f>value(THB!$B2882)</f>
        <v>436.72277</v>
      </c>
      <c r="J2882" s="1">
        <f>value(VND!$B2882)</f>
        <v>0.616238751</v>
      </c>
      <c r="K2882" s="1">
        <f>value(CNY!$B2882)</f>
        <v>2167.73442</v>
      </c>
      <c r="L2882" s="1">
        <f>value(HKD!$B2882)</f>
        <v>1832.79285</v>
      </c>
      <c r="M2882" s="1">
        <f>value(TWD!$B2882)</f>
        <v>493.601857</v>
      </c>
      <c r="N2882" s="1">
        <f>value(JPY!$B2882)</f>
        <v>129.4091076</v>
      </c>
      <c r="O2882" s="1">
        <f>value(SAR!$B2882)</f>
        <v>3885.734061</v>
      </c>
      <c r="P2882" s="1">
        <f>value(AED!$B2882)</f>
        <v>3814.49475</v>
      </c>
      <c r="Q2882" s="1">
        <f>value(KWD!$B2882)</f>
        <v>46522.66777</v>
      </c>
    </row>
    <row r="2883">
      <c r="A2883" s="4">
        <f>value(USD!A2883)</f>
        <v>43248.99861</v>
      </c>
      <c r="B2883" s="1">
        <f>value(USD!B2883)</f>
        <v>14010</v>
      </c>
      <c r="C2883" s="1">
        <f>value(AUD!$B2883)</f>
        <v>10584.3647</v>
      </c>
      <c r="D2883" s="1">
        <f>value(EUR!$B2883)</f>
        <v>16301.3751</v>
      </c>
      <c r="E2883" s="1">
        <f>value(GBP!$B2883)</f>
        <v>18565.22979</v>
      </c>
      <c r="F2883" s="1">
        <f>value(CHF!$B2883)</f>
        <v>14593.33525</v>
      </c>
      <c r="G2883" s="1">
        <f>value(SGD!$B2883)</f>
        <v>10635.56057</v>
      </c>
      <c r="H2883" s="1">
        <f>value(MYR!$B2883)</f>
        <v>3503.05551</v>
      </c>
      <c r="I2883" s="1">
        <f>value(THB!$B2883)</f>
        <v>436.22217</v>
      </c>
      <c r="J2883" s="1">
        <f>value(VND!$B2883)</f>
        <v>0.6138383919</v>
      </c>
      <c r="K2883" s="1">
        <f>value(CNY!$B2883)</f>
        <v>2165.51247</v>
      </c>
      <c r="L2883" s="1">
        <f>value(HKD!$B2883)</f>
        <v>1830.938253</v>
      </c>
      <c r="M2883" s="1">
        <f>value(TWD!$B2883)</f>
        <v>493.5889123</v>
      </c>
      <c r="N2883" s="1">
        <f>value(JPY!$B2883)</f>
        <v>128.532492</v>
      </c>
      <c r="O2883" s="1">
        <f>value(SAR!$B2883)</f>
        <v>3886.637372</v>
      </c>
      <c r="P2883" s="1">
        <f>value(AED!$B2883)</f>
        <v>3799.4932</v>
      </c>
      <c r="Q2883" s="1">
        <f>value(KWD!$B2883)</f>
        <v>46469.13481</v>
      </c>
    </row>
    <row r="2884">
      <c r="A2884" s="4">
        <f>value(USD!A2884)</f>
        <v>43249.99861</v>
      </c>
      <c r="B2884" s="1">
        <f>value(USD!B2884)</f>
        <v>14029</v>
      </c>
      <c r="C2884" s="1">
        <f>value(AUD!$B2884)</f>
        <v>10690.164</v>
      </c>
      <c r="D2884" s="1">
        <f>value(EUR!$B2884)</f>
        <v>16229.4676</v>
      </c>
      <c r="E2884" s="1">
        <f>value(GBP!$B2884)</f>
        <v>18444.1604</v>
      </c>
      <c r="F2884" s="1">
        <f>value(CHF!$B2884)</f>
        <v>14614.79869</v>
      </c>
      <c r="G2884" s="1">
        <f>value(SGD!$B2884)</f>
        <v>10627.81336</v>
      </c>
      <c r="H2884" s="1">
        <f>value(MYR!$B2884)</f>
        <v>3485.6844</v>
      </c>
      <c r="I2884" s="1">
        <f>value(THB!$B2884)</f>
        <v>432.5008</v>
      </c>
      <c r="J2884" s="1">
        <f>value(VND!$B2884)</f>
        <v>0.6138383919</v>
      </c>
      <c r="K2884" s="1">
        <f>value(CNY!$B2884)</f>
        <v>2164.92188</v>
      </c>
      <c r="L2884" s="1">
        <f>value(HKD!$B2884)</f>
        <v>1830.97647</v>
      </c>
      <c r="M2884" s="1">
        <f>value(TWD!$B2884)</f>
        <v>490.3677586</v>
      </c>
      <c r="N2884" s="1">
        <f>value(JPY!$B2884)</f>
        <v>127.61272</v>
      </c>
      <c r="O2884" s="1">
        <f>value(SAR!$B2884)</f>
        <v>3894.370017</v>
      </c>
      <c r="P2884" s="1">
        <f>value(AED!$B2884)</f>
        <v>3814.46255</v>
      </c>
      <c r="Q2884" s="1">
        <f>value(KWD!$B2884)</f>
        <v>46819.52812</v>
      </c>
    </row>
    <row r="2885">
      <c r="A2885" s="4">
        <f>value(USD!A2885)</f>
        <v>43250.99861</v>
      </c>
      <c r="B2885" s="1">
        <f>value(USD!B2885)</f>
        <v>13977</v>
      </c>
      <c r="C2885" s="1">
        <f>value(AUD!$B2885)</f>
        <v>10724.0697</v>
      </c>
      <c r="D2885" s="1">
        <f>value(EUR!$B2885)</f>
        <v>16127.5096</v>
      </c>
      <c r="E2885" s="1">
        <f>value(GBP!$B2885)</f>
        <v>18452.45293</v>
      </c>
      <c r="F2885" s="1">
        <f>value(CHF!$B2885)</f>
        <v>14601.8097</v>
      </c>
      <c r="G2885" s="1">
        <f>value(SGD!$B2885)</f>
        <v>10669.237</v>
      </c>
      <c r="H2885" s="1">
        <f>value(MYR!$B2885)</f>
        <v>3472.36284</v>
      </c>
      <c r="I2885" s="1">
        <f>value(THB!$B2885)</f>
        <v>431.66106</v>
      </c>
      <c r="J2885" s="1">
        <f>value(VND!$B2885)</f>
        <v>0.61424025</v>
      </c>
      <c r="K2885" s="1">
        <f>value(CNY!$B2885)</f>
        <v>2157.89328</v>
      </c>
      <c r="L2885" s="1">
        <f>value(HKD!$B2885)</f>
        <v>1831.26393</v>
      </c>
      <c r="M2885" s="1">
        <f>value(TWD!$B2885)</f>
        <v>490.75065</v>
      </c>
      <c r="N2885" s="1">
        <f>value(JPY!$B2885)</f>
        <v>126.19486</v>
      </c>
      <c r="O2885" s="1">
        <f>value(SAR!$B2885)</f>
        <v>3863.38176</v>
      </c>
      <c r="P2885" s="1">
        <f>value(AED!$B2885)</f>
        <v>3863.18098</v>
      </c>
      <c r="Q2885" s="1">
        <f>value(KWD!$B2885)</f>
        <v>46645.44702</v>
      </c>
    </row>
    <row r="2886">
      <c r="A2886" s="4">
        <f>value(USD!A2886)</f>
        <v>43251.99861</v>
      </c>
      <c r="B2886" s="1">
        <f>value(USD!B2886)</f>
        <v>13880</v>
      </c>
      <c r="C2886" s="1">
        <f>value(AUD!$B2886)</f>
        <v>10778.63724</v>
      </c>
      <c r="D2886" s="1">
        <f>value(EUR!$B2886)</f>
        <v>16142.53486</v>
      </c>
      <c r="E2886" s="1">
        <f>value(GBP!$B2886)</f>
        <v>18457.80312</v>
      </c>
      <c r="F2886" s="1">
        <f>value(CHF!$B2886)</f>
        <v>14665.10225</v>
      </c>
      <c r="G2886" s="1">
        <f>value(SGD!$B2886)</f>
        <v>10660.67519</v>
      </c>
      <c r="H2886" s="1">
        <f>value(MYR!$B2886)</f>
        <v>3474.686625</v>
      </c>
      <c r="I2886" s="1">
        <f>value(THB!$B2886)</f>
        <v>431.9499375</v>
      </c>
      <c r="J2886" s="1">
        <f>value(VND!$B2886)</f>
        <v>0.6143353733</v>
      </c>
      <c r="K2886" s="1">
        <f>value(CNY!$B2886)</f>
        <v>2158.12025</v>
      </c>
      <c r="L2886" s="1">
        <f>value(HKD!$B2886)</f>
        <v>1830.308355</v>
      </c>
      <c r="M2886" s="1">
        <f>value(TWD!$B2886)</f>
        <v>490.75065</v>
      </c>
      <c r="N2886" s="1">
        <f>value(JPY!$B2886)</f>
        <v>126.2793125</v>
      </c>
      <c r="O2886" s="1">
        <f>value(SAR!$B2886)</f>
        <v>3867.171827</v>
      </c>
      <c r="P2886" s="1">
        <f>value(AED!$B2886)</f>
        <v>3858.735375</v>
      </c>
      <c r="Q2886" s="1">
        <f>value(KWD!$B2886)</f>
        <v>46854.22305</v>
      </c>
    </row>
    <row r="2887">
      <c r="A2887" s="4">
        <f>value(USD!A2887)</f>
        <v>43252.99861</v>
      </c>
      <c r="B2887" s="1">
        <f>value(USD!B2887)</f>
        <v>13822</v>
      </c>
      <c r="C2887" s="1">
        <f>value(AUD!$B2887)</f>
        <v>10708.067</v>
      </c>
      <c r="D2887" s="1">
        <f>value(EUR!$B2887)</f>
        <v>16261.4646</v>
      </c>
      <c r="E2887" s="1">
        <f>value(GBP!$B2887)</f>
        <v>18612.1083</v>
      </c>
      <c r="F2887" s="1">
        <f>value(CHF!$B2887)</f>
        <v>14636.37712</v>
      </c>
      <c r="G2887" s="1">
        <f>value(SGD!$B2887)</f>
        <v>10652.45995</v>
      </c>
      <c r="H2887" s="1">
        <f>value(MYR!$B2887)</f>
        <v>3501.08622</v>
      </c>
      <c r="I2887" s="1">
        <f>value(THB!$B2887)</f>
        <v>435.00498</v>
      </c>
      <c r="J2887" s="1">
        <f>value(VND!$B2887)</f>
        <v>0.6185802616</v>
      </c>
      <c r="K2887" s="1">
        <f>value(CNY!$B2887)</f>
        <v>2153.8088</v>
      </c>
      <c r="L2887" s="1">
        <f>value(HKD!$B2887)</f>
        <v>1831.6298</v>
      </c>
      <c r="M2887" s="1">
        <f>value(TWD!$B2887)</f>
        <v>494.6390652</v>
      </c>
      <c r="N2887" s="1">
        <f>value(JPY!$B2887)</f>
        <v>127.128498</v>
      </c>
      <c r="O2887" s="1">
        <f>value(SAR!$B2887)</f>
        <v>3877.704553</v>
      </c>
      <c r="P2887" s="1">
        <f>value(AED!$B2887)</f>
        <v>3841.106437</v>
      </c>
      <c r="Q2887" s="1">
        <f>value(KWD!$B2887)</f>
        <v>46856.45488</v>
      </c>
    </row>
    <row r="2888">
      <c r="A2888" s="4">
        <f>value(USD!A2888)</f>
        <v>43253.99861</v>
      </c>
      <c r="B2888" s="1">
        <f>value(USD!B2888)</f>
        <v>13831.25</v>
      </c>
      <c r="C2888" s="1">
        <f>value(AUD!$B2888)</f>
        <v>10642.37715</v>
      </c>
      <c r="D2888" s="1">
        <f>value(EUR!$B2888)</f>
        <v>16216.2</v>
      </c>
      <c r="E2888" s="1">
        <f>value(GBP!$B2888)</f>
        <v>18455.1444</v>
      </c>
      <c r="F2888" s="1">
        <f>value(CHF!$B2888)</f>
        <v>14592.292</v>
      </c>
      <c r="G2888" s="1">
        <f>value(SGD!$B2888)</f>
        <v>10649.73</v>
      </c>
      <c r="H2888" s="1">
        <f>value(MYR!$B2888)</f>
        <v>3486.7602</v>
      </c>
      <c r="I2888" s="1">
        <f>value(THB!$B2888)</f>
        <v>432.9864</v>
      </c>
      <c r="J2888" s="1">
        <f>value(VND!$B2888)</f>
        <v>0.6153983437</v>
      </c>
      <c r="K2888" s="1">
        <f>value(CNY!$B2888)</f>
        <v>2156.5057</v>
      </c>
      <c r="L2888" s="1">
        <f>value(HKD!$B2888)</f>
        <v>1839.7834</v>
      </c>
      <c r="M2888" s="1">
        <f>value(TWD!$B2888)</f>
        <v>494.4666125</v>
      </c>
      <c r="N2888" s="1">
        <f>value(JPY!$B2888)</f>
        <v>126.01512</v>
      </c>
      <c r="O2888" s="1">
        <f>value(SAR!$B2888)</f>
        <v>3877.915461</v>
      </c>
      <c r="P2888" s="1">
        <f>value(AED!$B2888)</f>
        <v>3842.928586</v>
      </c>
      <c r="Q2888" s="1">
        <f>value(KWD!$B2888)</f>
        <v>47049.1335</v>
      </c>
    </row>
    <row r="2889">
      <c r="A2889" s="4">
        <f>value(USD!A2889)</f>
        <v>43254.99861</v>
      </c>
      <c r="B2889" s="1">
        <f>value(USD!B2889)</f>
        <v>13938</v>
      </c>
      <c r="C2889" s="1">
        <f>value(AUD!$B2889)</f>
        <v>10527.5991</v>
      </c>
      <c r="D2889" s="1">
        <f>value(EUR!$B2889)</f>
        <v>16261.188</v>
      </c>
      <c r="E2889" s="1">
        <f>value(GBP!$B2889)</f>
        <v>18594.122</v>
      </c>
      <c r="F2889" s="1">
        <f>value(CHF!$B2889)</f>
        <v>14610.6975</v>
      </c>
      <c r="G2889" s="1">
        <f>value(SGD!$B2889)</f>
        <v>10550.6628</v>
      </c>
      <c r="H2889" s="1">
        <f>value(MYR!$B2889)</f>
        <v>3488.4437</v>
      </c>
      <c r="I2889" s="1">
        <f>value(THB!$B2889)</f>
        <v>434.2697</v>
      </c>
      <c r="J2889" s="1">
        <f>value(VND!$B2889)</f>
        <v>0.614453775</v>
      </c>
      <c r="K2889" s="1">
        <f>value(CNY!$B2889)</f>
        <v>2156.34341</v>
      </c>
      <c r="L2889" s="1">
        <f>value(HKD!$B2889)</f>
        <v>1843.07852</v>
      </c>
      <c r="M2889" s="1">
        <f>value(TWD!$B2889)</f>
        <v>490.815604</v>
      </c>
      <c r="N2889" s="1">
        <f>value(JPY!$B2889)</f>
        <v>126.20313</v>
      </c>
      <c r="O2889" s="1">
        <f>value(SAR!$B2889)</f>
        <v>3877.915461</v>
      </c>
      <c r="P2889" s="1">
        <f>value(AED!$B2889)</f>
        <v>3869.241983</v>
      </c>
      <c r="Q2889" s="1">
        <f>value(KWD!$B2889)</f>
        <v>47059.98048</v>
      </c>
    </row>
    <row r="2890">
      <c r="A2890" s="4">
        <f>value(USD!A2890)</f>
        <v>43255.99861</v>
      </c>
      <c r="B2890" s="1">
        <f>value(USD!B2890)</f>
        <v>13860</v>
      </c>
      <c r="C2890" s="1">
        <f>value(AUD!$B2890)</f>
        <v>10538.11633</v>
      </c>
      <c r="D2890" s="1">
        <f>value(EUR!$B2890)</f>
        <v>16285.21862</v>
      </c>
      <c r="E2890" s="1">
        <f>value(GBP!$B2890)</f>
        <v>18549.8151</v>
      </c>
      <c r="F2890" s="1">
        <f>value(CHF!$B2890)</f>
        <v>14460.4452</v>
      </c>
      <c r="G2890" s="1">
        <f>value(SGD!$B2890)</f>
        <v>10583.15018</v>
      </c>
      <c r="H2890" s="1">
        <f>value(MYR!$B2890)</f>
        <v>3477.20054</v>
      </c>
      <c r="I2890" s="1">
        <f>value(THB!$B2890)</f>
        <v>433.04326</v>
      </c>
      <c r="J2890" s="1">
        <f>value(VND!$B2890)</f>
        <v>0.626212752</v>
      </c>
      <c r="K2890" s="1">
        <f>value(CNY!$B2890)</f>
        <v>2174.051464</v>
      </c>
      <c r="L2890" s="1">
        <f>value(HKD!$B2890)</f>
        <v>1845.205933</v>
      </c>
      <c r="M2890" s="1">
        <f>value(TWD!$B2890)</f>
        <v>491.6314062</v>
      </c>
      <c r="N2890" s="1">
        <f>value(JPY!$B2890)</f>
        <v>125.476116</v>
      </c>
      <c r="O2890" s="1">
        <f>value(SAR!$B2890)</f>
        <v>3876.572099</v>
      </c>
      <c r="P2890" s="1">
        <f>value(AED!$B2890)</f>
        <v>3853.491852</v>
      </c>
      <c r="Q2890" s="1">
        <f>value(KWD!$B2890)</f>
        <v>47074.176</v>
      </c>
    </row>
    <row r="2891">
      <c r="A2891" s="4">
        <f>value(USD!A2891)</f>
        <v>43256.99861</v>
      </c>
      <c r="B2891" s="1">
        <f>value(USD!B2891)</f>
        <v>13870</v>
      </c>
      <c r="C2891" s="1">
        <f>value(AUD!$B2891)</f>
        <v>10552.95505</v>
      </c>
      <c r="D2891" s="1">
        <f>value(EUR!$B2891)</f>
        <v>16347.2496</v>
      </c>
      <c r="E2891" s="1">
        <f>value(GBP!$B2891)</f>
        <v>18597.2145</v>
      </c>
      <c r="F2891" s="1">
        <f>value(CHF!$B2891)</f>
        <v>14460.3312</v>
      </c>
      <c r="G2891" s="1">
        <f>value(SGD!$B2891)</f>
        <v>10579.0035</v>
      </c>
      <c r="H2891" s="1">
        <f>value(MYR!$B2891)</f>
        <v>3478.78122</v>
      </c>
      <c r="I2891" s="1">
        <f>value(THB!$B2891)</f>
        <v>432.66423</v>
      </c>
      <c r="J2891" s="1">
        <f>value(VND!$B2891)</f>
        <v>0.626212752</v>
      </c>
      <c r="K2891" s="1">
        <f>value(CNY!$B2891)</f>
        <v>2166.71658</v>
      </c>
      <c r="L2891" s="1">
        <f>value(HKD!$B2891)</f>
        <v>1846.67499</v>
      </c>
      <c r="M2891" s="1">
        <f>value(TWD!$B2891)</f>
        <v>488.121414</v>
      </c>
      <c r="N2891" s="1">
        <f>value(JPY!$B2891)</f>
        <v>126.333519</v>
      </c>
      <c r="O2891" s="1">
        <f>value(SAR!$B2891)</f>
        <v>3883.401803</v>
      </c>
      <c r="P2891" s="1">
        <f>value(AED!$B2891)</f>
        <v>3870.875436</v>
      </c>
      <c r="Q2891" s="1">
        <f>value(KWD!$B2891)</f>
        <v>47014.30006</v>
      </c>
    </row>
    <row r="2892">
      <c r="A2892" s="4">
        <f>value(USD!A2892)</f>
        <v>43257.99861</v>
      </c>
      <c r="B2892" s="1">
        <f>value(USD!B2892)</f>
        <v>13822</v>
      </c>
      <c r="C2892" s="1">
        <f>value(AUD!$B2892)</f>
        <v>10549.107</v>
      </c>
      <c r="D2892" s="1">
        <f>value(EUR!$B2892)</f>
        <v>16413.074</v>
      </c>
      <c r="E2892" s="1">
        <f>value(GBP!$B2892)</f>
        <v>18661.8602</v>
      </c>
      <c r="F2892" s="1">
        <f>value(CHF!$B2892)</f>
        <v>14496.0249</v>
      </c>
      <c r="G2892" s="1">
        <f>value(SGD!$B2892)</f>
        <v>10576.3528</v>
      </c>
      <c r="H2892" s="1">
        <f>value(MYR!$B2892)</f>
        <v>3491.05248</v>
      </c>
      <c r="I2892" s="1">
        <f>value(THB!$B2892)</f>
        <v>434.84893</v>
      </c>
      <c r="J2892" s="1">
        <f>value(VND!$B2892)</f>
        <v>0.6176898735</v>
      </c>
      <c r="K2892" s="1">
        <f>value(CNY!$B2892)</f>
        <v>2172.7776</v>
      </c>
      <c r="L2892" s="1">
        <f>value(HKD!$B2892)</f>
        <v>1843.8602</v>
      </c>
      <c r="M2892" s="1">
        <f>value(TWD!$B2892)</f>
        <v>488.076576</v>
      </c>
      <c r="N2892" s="1">
        <f>value(JPY!$B2892)</f>
        <v>127.20829</v>
      </c>
      <c r="O2892" s="1">
        <f>value(SAR!$B2892)</f>
        <v>3921.725422</v>
      </c>
      <c r="P2892" s="1">
        <f>value(AED!$B2892)</f>
        <v>3877.394963</v>
      </c>
      <c r="Q2892" s="1">
        <f>value(KWD!$B2892)</f>
        <v>46928.997</v>
      </c>
    </row>
    <row r="2893">
      <c r="A2893" s="4">
        <f>value(USD!A2893)</f>
        <v>43258.99861</v>
      </c>
      <c r="B2893" s="1">
        <f>value(USD!B2893)</f>
        <v>13863</v>
      </c>
      <c r="C2893" s="1">
        <f>value(AUD!$B2893)</f>
        <v>10616.47093</v>
      </c>
      <c r="D2893" s="1">
        <f>value(EUR!$B2893)</f>
        <v>16433.7501</v>
      </c>
      <c r="E2893" s="1">
        <f>value(GBP!$B2893)</f>
        <v>18702.927</v>
      </c>
      <c r="F2893" s="1">
        <f>value(CHF!$B2893)</f>
        <v>14571.5151</v>
      </c>
      <c r="G2893" s="1">
        <f>value(SGD!$B2893)</f>
        <v>10635.79534</v>
      </c>
      <c r="H2893" s="1">
        <f>value(MYR!$B2893)</f>
        <v>3494.56032</v>
      </c>
      <c r="I2893" s="1">
        <f>value(THB!$B2893)</f>
        <v>427.61502</v>
      </c>
      <c r="J2893" s="1">
        <f>value(VND!$B2893)</f>
        <v>0.6137115319</v>
      </c>
      <c r="K2893" s="1">
        <f>value(CNY!$B2893)</f>
        <v>2166.06528</v>
      </c>
      <c r="L2893" s="1">
        <f>value(HKD!$B2893)</f>
        <v>1856.045175</v>
      </c>
      <c r="M2893" s="1">
        <f>value(TWD!$B2893)</f>
        <v>485.6533152</v>
      </c>
      <c r="N2893" s="1">
        <f>value(JPY!$B2893)</f>
        <v>127.33611</v>
      </c>
      <c r="O2893" s="1">
        <f>value(SAR!$B2893)</f>
        <v>3895.008919</v>
      </c>
      <c r="P2893" s="1">
        <f>value(AED!$B2893)</f>
        <v>3895.96905</v>
      </c>
      <c r="Q2893" s="1">
        <f>value(KWD!$B2893)</f>
        <v>46925.43075</v>
      </c>
    </row>
    <row r="2894">
      <c r="A2894" s="4">
        <f>value(USD!A2894)</f>
        <v>43259.99861</v>
      </c>
      <c r="B2894" s="1">
        <f>value(USD!B2894)</f>
        <v>13933</v>
      </c>
      <c r="C2894" s="1">
        <f>value(AUD!$B2894)</f>
        <v>10594.5224</v>
      </c>
      <c r="D2894" s="1">
        <f>value(EUR!$B2894)</f>
        <v>16338.72378</v>
      </c>
      <c r="E2894" s="1">
        <f>value(GBP!$B2894)</f>
        <v>18597.0792</v>
      </c>
      <c r="F2894" s="1">
        <f>value(CHF!$B2894)</f>
        <v>14550.41016</v>
      </c>
      <c r="G2894" s="1">
        <f>value(SGD!$B2894)</f>
        <v>10606.28361</v>
      </c>
      <c r="H2894" s="1">
        <f>value(MYR!$B2894)</f>
        <v>3474.26496</v>
      </c>
      <c r="I2894" s="1">
        <f>value(THB!$B2894)</f>
        <v>432.34188</v>
      </c>
      <c r="J2894" s="1">
        <f>value(VND!$B2894)</f>
        <v>0.6177230073</v>
      </c>
      <c r="K2894" s="1">
        <f>value(CNY!$B2894)</f>
        <v>2168.08725</v>
      </c>
      <c r="L2894" s="1">
        <f>value(HKD!$B2894)</f>
        <v>1853.398152</v>
      </c>
      <c r="M2894" s="1">
        <f>value(TWD!$B2894)</f>
        <v>483.26521</v>
      </c>
      <c r="N2894" s="1">
        <f>value(JPY!$B2894)</f>
        <v>126.679776</v>
      </c>
      <c r="O2894" s="1">
        <f>value(SAR!$B2894)</f>
        <v>3885.683744</v>
      </c>
      <c r="P2894" s="1">
        <f>value(AED!$B2894)</f>
        <v>3895.997813</v>
      </c>
      <c r="Q2894" s="1">
        <f>value(KWD!$B2894)</f>
        <v>47022.2571</v>
      </c>
    </row>
    <row r="2895">
      <c r="A2895" s="4">
        <f>value(USD!A2895)</f>
        <v>43260.99861</v>
      </c>
      <c r="B2895" s="1">
        <f>value(USD!B2895)</f>
        <v>13947</v>
      </c>
      <c r="C2895" s="1">
        <f>value(AUD!$B2895)</f>
        <v>10581.2349</v>
      </c>
      <c r="D2895" s="1">
        <f>value(EUR!$B2895)</f>
        <v>16392.24405</v>
      </c>
      <c r="E2895" s="1">
        <f>value(GBP!$B2895)</f>
        <v>18617.97483</v>
      </c>
      <c r="F2895" s="1">
        <f>value(CHF!$B2895)</f>
        <v>14609.2587</v>
      </c>
      <c r="G2895" s="1">
        <f>value(SGD!$B2895)</f>
        <v>10590.18838</v>
      </c>
      <c r="H2895" s="1">
        <f>value(MYR!$B2895)</f>
        <v>3492.30609</v>
      </c>
      <c r="I2895" s="1">
        <f>value(THB!$B2895)</f>
        <v>434.53683</v>
      </c>
      <c r="J2895" s="1">
        <f>value(VND!$B2895)</f>
        <v>0.616559971</v>
      </c>
      <c r="K2895" s="1">
        <f>value(CNY!$B2895)</f>
        <v>2164.62568</v>
      </c>
      <c r="L2895" s="1">
        <f>value(HKD!$B2895)</f>
        <v>1843.7089</v>
      </c>
      <c r="M2895" s="1">
        <f>value(TWD!$B2895)</f>
        <v>477.1066509</v>
      </c>
      <c r="N2895" s="1">
        <f>value(JPY!$B2895)</f>
        <v>126.100611</v>
      </c>
      <c r="O2895" s="1">
        <f>value(SAR!$B2895)</f>
        <v>3885.464128</v>
      </c>
      <c r="P2895" s="1">
        <f>value(AED!$B2895)</f>
        <v>3895.96905</v>
      </c>
      <c r="Q2895" s="1">
        <f>value(KWD!$B2895)</f>
        <v>46977.11525</v>
      </c>
    </row>
    <row r="2896">
      <c r="A2896" s="4">
        <f>value(USD!A2896)</f>
        <v>43261.99861</v>
      </c>
      <c r="B2896" s="1">
        <f>value(USD!B2896)</f>
        <v>13866</v>
      </c>
      <c r="C2896" s="1">
        <f>value(AUD!$B2896)</f>
        <v>10579.74957</v>
      </c>
      <c r="D2896" s="1">
        <f>value(EUR!$B2896)</f>
        <v>16355.62656</v>
      </c>
      <c r="E2896" s="1">
        <f>value(GBP!$B2896)</f>
        <v>18617.8356</v>
      </c>
      <c r="F2896" s="1">
        <f>value(CHF!$B2896)</f>
        <v>14584.8924</v>
      </c>
      <c r="G2896" s="1">
        <f>value(SGD!$B2896)</f>
        <v>10596.21928</v>
      </c>
      <c r="H2896" s="1">
        <f>value(MYR!$B2896)</f>
        <v>3487.7115</v>
      </c>
      <c r="I2896" s="1">
        <f>value(THB!$B2896)</f>
        <v>433.70145</v>
      </c>
      <c r="J2896" s="1">
        <f>value(VND!$B2896)</f>
        <v>0.613038447</v>
      </c>
      <c r="K2896" s="1">
        <f>value(CNY!$B2896)</f>
        <v>2164.32944</v>
      </c>
      <c r="L2896" s="1">
        <f>value(HKD!$B2896)</f>
        <v>1850.7755</v>
      </c>
      <c r="M2896" s="1">
        <f>value(TWD!$B2896)</f>
        <v>480.35776</v>
      </c>
      <c r="N2896" s="1">
        <f>value(JPY!$B2896)</f>
        <v>126.044919</v>
      </c>
      <c r="O2896" s="1">
        <f>value(SAR!$B2896)</f>
        <v>3879.248262</v>
      </c>
      <c r="P2896" s="1">
        <f>value(AED!$B2896)</f>
        <v>3890.340752</v>
      </c>
      <c r="Q2896" s="1">
        <f>value(KWD!$B2896)</f>
        <v>46931.02375</v>
      </c>
    </row>
    <row r="2897">
      <c r="A2897" s="4">
        <f>value(USD!A2897)</f>
        <v>43262.99861</v>
      </c>
      <c r="B2897" s="1">
        <f>value(USD!B2897)</f>
        <v>13923</v>
      </c>
      <c r="C2897" s="1">
        <f>value(AUD!$B2897)</f>
        <v>10651.57016</v>
      </c>
      <c r="D2897" s="1">
        <f>value(EUR!$B2897)</f>
        <v>16434.7092</v>
      </c>
      <c r="E2897" s="1">
        <f>value(GBP!$B2897)</f>
        <v>18630.3663</v>
      </c>
      <c r="F2897" s="1">
        <f>value(CHF!$B2897)</f>
        <v>14541.62592</v>
      </c>
      <c r="G2897" s="1">
        <f>value(SGD!$B2897)</f>
        <v>10624.02608</v>
      </c>
      <c r="H2897" s="1">
        <f>value(MYR!$B2897)</f>
        <v>3490.63533</v>
      </c>
      <c r="I2897" s="1">
        <f>value(THB!$B2897)</f>
        <v>433.42299</v>
      </c>
      <c r="J2897" s="1">
        <f>value(VND!$B2897)</f>
        <v>0.610353114</v>
      </c>
      <c r="K2897" s="1">
        <f>value(CNY!$B2897)</f>
        <v>2167.17963</v>
      </c>
      <c r="L2897" s="1">
        <f>value(HKD!$B2897)</f>
        <v>1831.416822</v>
      </c>
      <c r="M2897" s="1">
        <f>value(TWD!$B2897)</f>
        <v>476.491914</v>
      </c>
      <c r="N2897" s="1">
        <f>value(JPY!$B2897)</f>
        <v>126.267687</v>
      </c>
      <c r="O2897" s="1">
        <f>value(SAR!$B2897)</f>
        <v>3858.778248</v>
      </c>
      <c r="P2897" s="1">
        <f>value(AED!$B2897)</f>
        <v>3883.574925</v>
      </c>
      <c r="Q2897" s="1">
        <f>value(KWD!$B2897)</f>
        <v>46910.76965</v>
      </c>
    </row>
    <row r="2898">
      <c r="A2898" s="4">
        <f>value(USD!A2898)</f>
        <v>43263.99861</v>
      </c>
      <c r="B2898" s="1">
        <f>value(USD!B2898)</f>
        <v>13923</v>
      </c>
      <c r="C2898" s="1">
        <f>value(AUD!$B2898)</f>
        <v>10741.85351</v>
      </c>
      <c r="D2898" s="1">
        <f>value(EUR!$B2898)</f>
        <v>16332.67002</v>
      </c>
      <c r="E2898" s="1">
        <f>value(GBP!$B2898)</f>
        <v>18719.32784</v>
      </c>
      <c r="F2898" s="1">
        <f>value(CHF!$B2898)</f>
        <v>14595.67089</v>
      </c>
      <c r="G2898" s="1">
        <f>value(SGD!$B2898)</f>
        <v>10572.7682</v>
      </c>
      <c r="H2898" s="1">
        <f>value(MYR!$B2898)</f>
        <v>3540.94105</v>
      </c>
      <c r="I2898" s="1">
        <f>value(THB!$B2898)</f>
        <v>438.187042</v>
      </c>
      <c r="J2898" s="1">
        <f>value(VND!$B2898)</f>
        <v>0.610353114</v>
      </c>
      <c r="K2898" s="1">
        <f>value(CNY!$B2898)</f>
        <v>2187.1304</v>
      </c>
      <c r="L2898" s="1">
        <f>value(HKD!$B2898)</f>
        <v>1836.10551</v>
      </c>
      <c r="M2898" s="1">
        <f>value(TWD!$B2898)</f>
        <v>476.491914</v>
      </c>
      <c r="N2898" s="1">
        <f>value(JPY!$B2898)</f>
        <v>127.6009704</v>
      </c>
      <c r="O2898" s="1">
        <f>value(SAR!$B2898)</f>
        <v>3882.713018</v>
      </c>
      <c r="P2898" s="1">
        <f>value(AED!$B2898)</f>
        <v>3883.574925</v>
      </c>
      <c r="Q2898" s="1">
        <f>value(KWD!$B2898)</f>
        <v>46909.5329</v>
      </c>
    </row>
    <row r="2899">
      <c r="A2899" s="4">
        <f>value(USD!A2899)</f>
        <v>43264.99861</v>
      </c>
      <c r="B2899" s="1">
        <f>value(USD!B2899)</f>
        <v>13923</v>
      </c>
      <c r="C2899" s="1">
        <f>value(AUD!$B2899)</f>
        <v>10800.7968</v>
      </c>
      <c r="D2899" s="1">
        <f>value(EUR!$B2899)</f>
        <v>16349.1076</v>
      </c>
      <c r="E2899" s="1">
        <f>value(GBP!$B2899)</f>
        <v>18681.88044</v>
      </c>
      <c r="F2899" s="1">
        <f>value(CHF!$B2899)</f>
        <v>14562.7758</v>
      </c>
      <c r="G2899" s="1">
        <f>value(SGD!$B2899)</f>
        <v>10556.46962</v>
      </c>
      <c r="H2899" s="1">
        <f>value(MYR!$B2899)</f>
        <v>3518.012792</v>
      </c>
      <c r="I2899" s="1">
        <f>value(THB!$B2899)</f>
        <v>430.817276</v>
      </c>
      <c r="J2899" s="1">
        <f>value(VND!$B2899)</f>
        <v>0.6093237675</v>
      </c>
      <c r="K2899" s="1">
        <f>value(CNY!$B2899)</f>
        <v>2178.96885</v>
      </c>
      <c r="L2899" s="1">
        <f>value(HKD!$B2899)</f>
        <v>1835.08623</v>
      </c>
      <c r="M2899" s="1">
        <f>value(TWD!$B2899)</f>
        <v>476.491914</v>
      </c>
      <c r="N2899" s="1">
        <f>value(JPY!$B2899)</f>
        <v>127.190992</v>
      </c>
      <c r="O2899" s="1">
        <f>value(SAR!$B2899)</f>
        <v>3845.97112</v>
      </c>
      <c r="P2899" s="1">
        <f>value(AED!$B2899)</f>
        <v>3891.42972</v>
      </c>
      <c r="Q2899" s="1">
        <f>value(KWD!$B2899)</f>
        <v>46880.735</v>
      </c>
    </row>
    <row r="2900">
      <c r="A2900" s="4">
        <f>value(USD!A2900)</f>
        <v>43265.99861</v>
      </c>
      <c r="B2900" s="1">
        <f>value(USD!B2900)</f>
        <v>14121.4</v>
      </c>
      <c r="C2900" s="1">
        <f>value(AUD!$B2900)</f>
        <v>10805.55696</v>
      </c>
      <c r="D2900" s="1">
        <f>value(EUR!$B2900)</f>
        <v>16165.55649</v>
      </c>
      <c r="E2900" s="1">
        <f>value(GBP!$B2900)</f>
        <v>18470.13132</v>
      </c>
      <c r="F2900" s="1">
        <f>value(CHF!$B2900)</f>
        <v>14594.20155</v>
      </c>
      <c r="G2900" s="1">
        <f>value(SGD!$B2900)</f>
        <v>10578.88728</v>
      </c>
      <c r="H2900" s="1">
        <f>value(MYR!$B2900)</f>
        <v>3477.606328</v>
      </c>
      <c r="I2900" s="1">
        <f>value(THB!$B2900)</f>
        <v>425.869084</v>
      </c>
      <c r="J2900" s="1">
        <f>value(VND!$B2900)</f>
        <v>0.6158096892</v>
      </c>
      <c r="K2900" s="1">
        <f>value(CNY!$B2900)</f>
        <v>2167.254076</v>
      </c>
      <c r="L2900" s="1">
        <f>value(HKD!$B2900)</f>
        <v>1835.73208</v>
      </c>
      <c r="M2900" s="1">
        <f>value(TWD!$B2900)</f>
        <v>478.935144</v>
      </c>
      <c r="N2900" s="1">
        <f>value(JPY!$B2900)</f>
        <v>125.730128</v>
      </c>
      <c r="O2900" s="1">
        <f>value(SAR!$B2900)</f>
        <v>3837.738148</v>
      </c>
      <c r="P2900" s="1">
        <f>value(AED!$B2900)</f>
        <v>3884.835275</v>
      </c>
      <c r="Q2900" s="1">
        <f>value(KWD!$B2900)</f>
        <v>46316.0094</v>
      </c>
    </row>
    <row r="2901">
      <c r="A2901" s="4">
        <f>value(USD!A2901)</f>
        <v>43266.99861</v>
      </c>
      <c r="B2901" s="1">
        <f>value(USD!B2901)</f>
        <v>14069.8</v>
      </c>
      <c r="C2901" s="1">
        <f>value(AUD!$B2901)</f>
        <v>10842.6645</v>
      </c>
      <c r="D2901" s="1">
        <f>value(EUR!$B2901)</f>
        <v>16141.07313</v>
      </c>
      <c r="E2901" s="1">
        <f>value(GBP!$B2901)</f>
        <v>18478.6056</v>
      </c>
      <c r="F2901" s="1">
        <f>value(CHF!$B2901)</f>
        <v>14486.899</v>
      </c>
      <c r="G2901" s="1">
        <f>value(SGD!$B2901)</f>
        <v>10540.12878</v>
      </c>
      <c r="H2901" s="1">
        <f>value(MYR!$B2901)</f>
        <v>3481.30692</v>
      </c>
      <c r="I2901" s="1">
        <f>value(THB!$B2901)</f>
        <v>426.0438</v>
      </c>
      <c r="J2901" s="1">
        <f>value(VND!$B2901)</f>
        <v>0.6170124661</v>
      </c>
      <c r="K2901" s="1">
        <f>value(CNY!$B2901)</f>
        <v>2168.025543</v>
      </c>
      <c r="L2901" s="1">
        <f>value(HKD!$B2901)</f>
        <v>1846.04349</v>
      </c>
      <c r="M2901" s="1">
        <f>value(TWD!$B2901)</f>
        <v>480.4005096</v>
      </c>
      <c r="N2901" s="1">
        <f>value(JPY!$B2901)</f>
        <v>125.822151</v>
      </c>
      <c r="O2901" s="1">
        <f>value(SAR!$B2901)</f>
        <v>3792.960855</v>
      </c>
      <c r="P2901" s="1">
        <f>value(AED!$B2901)</f>
        <v>3880.995025</v>
      </c>
      <c r="Q2901" s="1">
        <f>value(KWD!$B2901)</f>
        <v>46616.045</v>
      </c>
    </row>
    <row r="2902">
      <c r="A2902" s="4">
        <f>value(USD!A2902)</f>
        <v>43267.99861</v>
      </c>
      <c r="B2902" s="1">
        <f>value(USD!B2902)</f>
        <v>13908.2</v>
      </c>
      <c r="C2902" s="1">
        <f>value(AUD!$B2902)</f>
        <v>10800.9104</v>
      </c>
      <c r="D2902" s="1">
        <f>value(EUR!$B2902)</f>
        <v>16192.03131</v>
      </c>
      <c r="E2902" s="1">
        <f>value(GBP!$B2902)</f>
        <v>18458.55648</v>
      </c>
      <c r="F2902" s="1">
        <f>value(CHF!$B2902)</f>
        <v>14496.05038</v>
      </c>
      <c r="G2902" s="1">
        <f>value(SGD!$B2902)</f>
        <v>10534.8967</v>
      </c>
      <c r="H2902" s="1">
        <f>value(MYR!$B2902)</f>
        <v>3480.88923</v>
      </c>
      <c r="I2902" s="1">
        <f>value(THB!$B2902)</f>
        <v>425.90457</v>
      </c>
      <c r="J2902" s="1">
        <f>value(VND!$B2902)</f>
        <v>0.612917305</v>
      </c>
      <c r="K2902" s="1">
        <f>value(CNY!$B2902)</f>
        <v>2169.804368</v>
      </c>
      <c r="L2902" s="1">
        <f>value(HKD!$B2902)</f>
        <v>1849.9754</v>
      </c>
      <c r="M2902" s="1">
        <f>value(TWD!$B2902)</f>
        <v>481.0471042</v>
      </c>
      <c r="N2902" s="1">
        <f>value(JPY!$B2902)</f>
        <v>126.379071</v>
      </c>
      <c r="O2902" s="1">
        <f>value(SAR!$B2902)</f>
        <v>3791.227753</v>
      </c>
      <c r="P2902" s="1">
        <f>value(AED!$B2902)</f>
        <v>3882.102011</v>
      </c>
      <c r="Q2902" s="1">
        <f>value(KWD!$B2902)</f>
        <v>47118.88975</v>
      </c>
    </row>
    <row r="2903">
      <c r="A2903" s="4">
        <f>value(USD!A2903)</f>
        <v>43268.99861</v>
      </c>
      <c r="B2903" s="1">
        <f>value(USD!B2903)</f>
        <v>13923</v>
      </c>
      <c r="C2903" s="1">
        <f>value(AUD!$B2903)</f>
        <v>10778.24804</v>
      </c>
      <c r="D2903" s="1">
        <f>value(EUR!$B2903)</f>
        <v>16133.9724</v>
      </c>
      <c r="E2903" s="1">
        <f>value(GBP!$B2903)</f>
        <v>18339.79329</v>
      </c>
      <c r="F2903" s="1">
        <f>value(CHF!$B2903)</f>
        <v>14557.3848</v>
      </c>
      <c r="G2903" s="1">
        <f>value(SGD!$B2903)</f>
        <v>10602.24912</v>
      </c>
      <c r="H2903" s="1">
        <f>value(MYR!$B2903)</f>
        <v>3476.71233</v>
      </c>
      <c r="I2903" s="1">
        <f>value(THB!$B2903)</f>
        <v>425.20842</v>
      </c>
      <c r="J2903" s="1">
        <f>value(VND!$B2903)</f>
        <v>0.6099494838</v>
      </c>
      <c r="K2903" s="1">
        <f>value(CNY!$B2903)</f>
        <v>2191.834391</v>
      </c>
      <c r="L2903" s="1">
        <f>value(HKD!$B2903)</f>
        <v>1843.93664</v>
      </c>
      <c r="M2903" s="1">
        <f>value(TWD!$B2903)</f>
        <v>472.5288278</v>
      </c>
      <c r="N2903" s="1">
        <f>value(JPY!$B2903)</f>
        <v>126.448686</v>
      </c>
      <c r="O2903" s="1">
        <f>value(SAR!$B2903)</f>
        <v>3803.924608</v>
      </c>
      <c r="P2903" s="1">
        <f>value(AED!$B2903)</f>
        <v>3881.629002</v>
      </c>
      <c r="Q2903" s="1">
        <f>value(KWD!$B2903)</f>
        <v>47283.426</v>
      </c>
    </row>
    <row r="2904">
      <c r="A2904" s="4">
        <f>value(USD!A2904)</f>
        <v>43269.99861</v>
      </c>
      <c r="B2904" s="1">
        <f>value(USD!B2904)</f>
        <v>13923</v>
      </c>
      <c r="C2904" s="1">
        <f>value(AUD!$B2904)</f>
        <v>10772.7389</v>
      </c>
      <c r="D2904" s="1">
        <f>value(EUR!$B2904)</f>
        <v>16120.60632</v>
      </c>
      <c r="E2904" s="1">
        <f>value(GBP!$B2904)</f>
        <v>18337.9833</v>
      </c>
      <c r="F2904" s="1">
        <f>value(CHF!$B2904)</f>
        <v>14548.9422</v>
      </c>
      <c r="G2904" s="1">
        <f>value(SGD!$B2904)</f>
        <v>10623.94236</v>
      </c>
      <c r="H2904" s="1">
        <f>value(MYR!$B2904)</f>
        <v>3474.20619</v>
      </c>
      <c r="I2904" s="1">
        <f>value(THB!$B2904)</f>
        <v>423.95535</v>
      </c>
      <c r="J2904" s="1">
        <f>value(VND!$B2904)</f>
        <v>0.6121390658</v>
      </c>
      <c r="K2904" s="1">
        <f>value(CNY!$B2904)</f>
        <v>2189.606636</v>
      </c>
      <c r="L2904" s="1">
        <f>value(HKD!$B2904)</f>
        <v>1845.5164</v>
      </c>
      <c r="M2904" s="1">
        <f>value(TWD!$B2904)</f>
        <v>473.69857</v>
      </c>
      <c r="N2904" s="1">
        <f>value(JPY!$B2904)</f>
        <v>126.14238</v>
      </c>
      <c r="O2904" s="1">
        <f>value(SAR!$B2904)</f>
        <v>3758.673976</v>
      </c>
      <c r="P2904" s="1">
        <f>value(AED!$B2904)</f>
        <v>3874.006221</v>
      </c>
      <c r="Q2904" s="1">
        <f>value(KWD!$B2904)</f>
        <v>46685.99855</v>
      </c>
    </row>
    <row r="2905">
      <c r="A2905" s="4">
        <f>value(USD!A2905)</f>
        <v>43270.99861</v>
      </c>
      <c r="B2905" s="1">
        <f>value(USD!B2905)</f>
        <v>13923</v>
      </c>
      <c r="C2905" s="1">
        <f>value(AUD!$B2905)</f>
        <v>10888.33427</v>
      </c>
      <c r="D2905" s="1">
        <f>value(EUR!$B2905)</f>
        <v>16349.124</v>
      </c>
      <c r="E2905" s="1">
        <f>value(GBP!$B2905)</f>
        <v>18661.6692</v>
      </c>
      <c r="F2905" s="1">
        <f>value(CHF!$B2905)</f>
        <v>14561.50015</v>
      </c>
      <c r="G2905" s="1">
        <f>value(SGD!$B2905)</f>
        <v>10543.05705</v>
      </c>
      <c r="H2905" s="1">
        <f>value(MYR!$B2905)</f>
        <v>3506.64408</v>
      </c>
      <c r="I2905" s="1">
        <f>value(THB!$B2905)</f>
        <v>428.2752</v>
      </c>
      <c r="J2905" s="1">
        <f>value(VND!$B2905)</f>
        <v>0.6121390658</v>
      </c>
      <c r="K2905" s="1">
        <f>value(CNY!$B2905)</f>
        <v>2204.373948</v>
      </c>
      <c r="L2905" s="1">
        <f>value(HKD!$B2905)</f>
        <v>1852.81642</v>
      </c>
      <c r="M2905" s="1">
        <f>value(TWD!$B2905)</f>
        <v>463.12455</v>
      </c>
      <c r="N2905" s="1">
        <f>value(JPY!$B2905)</f>
        <v>128.102184</v>
      </c>
      <c r="O2905" s="1">
        <f>value(SAR!$B2905)</f>
        <v>3773.554635</v>
      </c>
      <c r="P2905" s="1">
        <f>value(AED!$B2905)</f>
        <v>3828.269535</v>
      </c>
      <c r="Q2905" s="1">
        <f>value(KWD!$B2905)</f>
        <v>46738.698</v>
      </c>
    </row>
    <row r="2906">
      <c r="A2906" s="4">
        <f>value(USD!A2906)</f>
        <v>43271.99861</v>
      </c>
      <c r="B2906" s="1">
        <f>value(USD!B2906)</f>
        <v>13923</v>
      </c>
      <c r="C2906" s="1">
        <f>value(AUD!$B2906)</f>
        <v>10874.9142</v>
      </c>
      <c r="D2906" s="1">
        <f>value(EUR!$B2906)</f>
        <v>16434.82748</v>
      </c>
      <c r="E2906" s="1">
        <f>value(GBP!$B2906)</f>
        <v>18690.28426</v>
      </c>
      <c r="F2906" s="1">
        <f>value(CHF!$B2906)</f>
        <v>14548.2596</v>
      </c>
      <c r="G2906" s="1">
        <f>value(SGD!$B2906)</f>
        <v>10607.9267</v>
      </c>
      <c r="H2906" s="1">
        <f>value(MYR!$B2906)</f>
        <v>3518.005416</v>
      </c>
      <c r="I2906" s="1">
        <f>value(THB!$B2906)</f>
        <v>427.846486</v>
      </c>
      <c r="J2906" s="1">
        <f>value(VND!$B2906)</f>
        <v>0.6072337425</v>
      </c>
      <c r="K2906" s="1">
        <f>value(CNY!$B2906)</f>
        <v>2243.611497</v>
      </c>
      <c r="L2906" s="1">
        <f>value(HKD!$B2906)</f>
        <v>1837.21858</v>
      </c>
      <c r="M2906" s="1">
        <f>value(TWD!$B2906)</f>
        <v>474.19514</v>
      </c>
      <c r="N2906" s="1">
        <f>value(JPY!$B2906)</f>
        <v>128.058102</v>
      </c>
      <c r="O2906" s="1">
        <f>value(SAR!$B2906)</f>
        <v>3770.513632</v>
      </c>
      <c r="P2906" s="1">
        <f>value(AED!$B2906)</f>
        <v>3849.5443</v>
      </c>
      <c r="Q2906" s="1">
        <f>value(KWD!$B2906)</f>
        <v>46686.6075</v>
      </c>
    </row>
    <row r="2907">
      <c r="A2907" s="4">
        <f>value(USD!A2907)</f>
        <v>43272.99861</v>
      </c>
      <c r="B2907" s="1">
        <f>value(USD!B2907)</f>
        <v>14088</v>
      </c>
      <c r="C2907" s="1">
        <f>value(AUD!$B2907)</f>
        <v>10748.24946</v>
      </c>
      <c r="D2907" s="1">
        <f>value(EUR!$B2907)</f>
        <v>16412.10082</v>
      </c>
      <c r="E2907" s="1">
        <f>value(GBP!$B2907)</f>
        <v>18662.3387</v>
      </c>
      <c r="F2907" s="1">
        <f>value(CHF!$B2907)</f>
        <v>14687.4016</v>
      </c>
      <c r="G2907" s="1">
        <f>value(SGD!$B2907)</f>
        <v>10626.92466</v>
      </c>
      <c r="H2907" s="1">
        <f>value(MYR!$B2907)</f>
        <v>3512.234386</v>
      </c>
      <c r="I2907" s="1">
        <f>value(THB!$B2907)</f>
        <v>427.1446353</v>
      </c>
      <c r="J2907" s="1">
        <f>value(VND!$B2907)</f>
        <v>0.6061462155</v>
      </c>
      <c r="K2907" s="1">
        <f>value(CNY!$B2907)</f>
        <v>2199.726177</v>
      </c>
      <c r="L2907" s="1">
        <f>value(HKD!$B2907)</f>
        <v>1834.3052</v>
      </c>
      <c r="M2907" s="1">
        <f>value(TWD!$B2907)</f>
        <v>473.5899167</v>
      </c>
      <c r="N2907" s="1">
        <f>value(JPY!$B2907)</f>
        <v>127.8480321</v>
      </c>
      <c r="O2907" s="1">
        <f>value(SAR!$B2907)</f>
        <v>3748.332313</v>
      </c>
      <c r="P2907" s="1">
        <f>value(AED!$B2907)</f>
        <v>3895.288412</v>
      </c>
      <c r="Q2907" s="1">
        <f>value(KWD!$B2907)</f>
        <v>47212.2175</v>
      </c>
    </row>
    <row r="2908">
      <c r="A2908" s="4">
        <f>value(USD!A2908)</f>
        <v>43273.99861</v>
      </c>
      <c r="B2908" s="1">
        <f>value(USD!B2908)</f>
        <v>14087.8</v>
      </c>
      <c r="C2908" s="1">
        <f>value(AUD!$B2908)</f>
        <v>10755.047</v>
      </c>
      <c r="D2908" s="1">
        <f>value(EUR!$B2908)</f>
        <v>16410.10311</v>
      </c>
      <c r="E2908" s="1">
        <f>value(GBP!$B2908)</f>
        <v>18662.2053</v>
      </c>
      <c r="F2908" s="1">
        <f>value(CHF!$B2908)</f>
        <v>14725.4594</v>
      </c>
      <c r="G2908" s="1">
        <f>value(SGD!$B2908)</f>
        <v>10628.52536</v>
      </c>
      <c r="H2908" s="1">
        <f>value(MYR!$B2908)</f>
        <v>3518.25</v>
      </c>
      <c r="I2908" s="1">
        <f>value(THB!$B2908)</f>
        <v>427.25628</v>
      </c>
      <c r="J2908" s="1">
        <f>value(VND!$B2908)</f>
        <v>0.6084909688</v>
      </c>
      <c r="K2908" s="1">
        <f>value(CNY!$B2908)</f>
        <v>2215.743001</v>
      </c>
      <c r="L2908" s="1">
        <f>value(HKD!$B2908)</f>
        <v>1843.58808</v>
      </c>
      <c r="M2908" s="1">
        <f>value(TWD!$B2908)</f>
        <v>473.4809184</v>
      </c>
      <c r="N2908" s="1">
        <f>value(JPY!$B2908)</f>
        <v>127.9840839</v>
      </c>
      <c r="O2908" s="1">
        <f>value(SAR!$B2908)</f>
        <v>3756.703308</v>
      </c>
      <c r="P2908" s="1">
        <f>value(AED!$B2908)</f>
        <v>3895.288412</v>
      </c>
      <c r="Q2908" s="1">
        <f>value(KWD!$B2908)</f>
        <v>46848.3469</v>
      </c>
    </row>
    <row r="2909">
      <c r="A2909" s="4">
        <f>value(USD!A2909)</f>
        <v>43274.99861</v>
      </c>
      <c r="B2909" s="1">
        <f>value(USD!B2909)</f>
        <v>14064.69</v>
      </c>
      <c r="C2909" s="1">
        <f>value(AUD!$B2909)</f>
        <v>10764.16166</v>
      </c>
      <c r="D2909" s="1">
        <f>value(EUR!$B2909)</f>
        <v>16553.58444</v>
      </c>
      <c r="E2909" s="1">
        <f>value(GBP!$B2909)</f>
        <v>18785.007</v>
      </c>
      <c r="F2909" s="1">
        <f>value(CHF!$B2909)</f>
        <v>14648.95712</v>
      </c>
      <c r="G2909" s="1">
        <f>value(SGD!$B2909)</f>
        <v>10635.3567</v>
      </c>
      <c r="H2909" s="1">
        <f>value(MYR!$B2909)</f>
        <v>3521.01276</v>
      </c>
      <c r="I2909" s="1">
        <f>value(THB!$B2909)</f>
        <v>429.53328</v>
      </c>
      <c r="J2909" s="1">
        <f>value(VND!$B2909)</f>
        <v>0.6087595426</v>
      </c>
      <c r="K2909" s="1">
        <f>value(CNY!$B2909)</f>
        <v>2212.162252</v>
      </c>
      <c r="L2909" s="1">
        <f>value(HKD!$B2909)</f>
        <v>1844.20764</v>
      </c>
      <c r="M2909" s="1">
        <f>value(TWD!$B2909)</f>
        <v>473.80718</v>
      </c>
      <c r="N2909" s="1">
        <f>value(JPY!$B2909)</f>
        <v>129.015612</v>
      </c>
      <c r="O2909" s="1">
        <f>value(SAR!$B2909)</f>
        <v>3745.364229</v>
      </c>
      <c r="P2909" s="1">
        <f>value(AED!$B2909)</f>
        <v>3856.531028</v>
      </c>
      <c r="Q2909" s="1">
        <f>value(KWD!$B2909)</f>
        <v>47062.5753</v>
      </c>
    </row>
    <row r="2910">
      <c r="A2910" s="4">
        <f>value(USD!A2910)</f>
        <v>43275.99861</v>
      </c>
      <c r="B2910" s="1">
        <f>value(USD!B2910)</f>
        <v>14073</v>
      </c>
      <c r="C2910" s="1">
        <f>value(AUD!$B2910)</f>
        <v>10877.51458</v>
      </c>
      <c r="D2910" s="1">
        <f>value(EUR!$B2910)</f>
        <v>16528.59436</v>
      </c>
      <c r="E2910" s="1">
        <f>value(GBP!$B2910)</f>
        <v>18756.39412</v>
      </c>
      <c r="F2910" s="1">
        <f>value(CHF!$B2910)</f>
        <v>14636.55636</v>
      </c>
      <c r="G2910" s="1">
        <f>value(SGD!$B2910)</f>
        <v>10666.9884</v>
      </c>
      <c r="H2910" s="1">
        <f>value(MYR!$B2910)</f>
        <v>3525.0086</v>
      </c>
      <c r="I2910" s="1">
        <f>value(THB!$B2910)</f>
        <v>429.61264</v>
      </c>
      <c r="J2910" s="1">
        <f>value(VND!$B2910)</f>
        <v>0.60474573</v>
      </c>
      <c r="K2910" s="1">
        <f>value(CNY!$B2910)</f>
        <v>2222.28622</v>
      </c>
      <c r="L2910" s="1">
        <f>value(HKD!$B2910)</f>
        <v>1843.71547</v>
      </c>
      <c r="M2910" s="1">
        <f>value(TWD!$B2910)</f>
        <v>473.624</v>
      </c>
      <c r="N2910" s="1">
        <f>value(JPY!$B2910)</f>
        <v>128.841228</v>
      </c>
      <c r="O2910" s="1">
        <f>value(SAR!$B2910)</f>
        <v>3742.269131</v>
      </c>
      <c r="P2910" s="1">
        <f>value(AED!$B2910)</f>
        <v>3860.4341</v>
      </c>
      <c r="Q2910" s="1">
        <f>value(KWD!$B2910)</f>
        <v>46822.544</v>
      </c>
    </row>
    <row r="2911">
      <c r="A2911" s="4">
        <f>value(USD!A2911)</f>
        <v>43276.99861</v>
      </c>
      <c r="B2911" s="1">
        <f>value(USD!B2911)</f>
        <v>14148</v>
      </c>
      <c r="C2911" s="1">
        <f>value(AUD!$B2911)</f>
        <v>10807.8106</v>
      </c>
      <c r="D2911" s="1">
        <f>value(EUR!$B2911)</f>
        <v>16460.2152</v>
      </c>
      <c r="E2911" s="1">
        <f>value(GBP!$B2911)</f>
        <v>18675.32355</v>
      </c>
      <c r="F2911" s="1">
        <f>value(CHF!$B2911)</f>
        <v>14647.9744</v>
      </c>
      <c r="G2911" s="1">
        <f>value(SGD!$B2911)</f>
        <v>10650.52908</v>
      </c>
      <c r="H2911" s="1">
        <f>value(MYR!$B2911)</f>
        <v>3530.13765</v>
      </c>
      <c r="I2911" s="1">
        <f>value(THB!$B2911)</f>
        <v>430.89345</v>
      </c>
      <c r="J2911" s="1">
        <f>value(VND!$B2911)</f>
        <v>0.6054036975</v>
      </c>
      <c r="K2911" s="1">
        <f>value(CNY!$B2911)</f>
        <v>2199.283403</v>
      </c>
      <c r="L2911" s="1">
        <f>value(HKD!$B2911)</f>
        <v>1859.12966</v>
      </c>
      <c r="M2911" s="1">
        <f>value(TWD!$B2911)</f>
        <v>469.459499</v>
      </c>
      <c r="N2911" s="1">
        <f>value(JPY!$B2911)</f>
        <v>129.11145</v>
      </c>
      <c r="O2911" s="1">
        <f>value(SAR!$B2911)</f>
        <v>3768.15072</v>
      </c>
      <c r="P2911" s="1">
        <f>value(AED!$B2911)</f>
        <v>3857.881831</v>
      </c>
      <c r="Q2911" s="1">
        <f>value(KWD!$B2911)</f>
        <v>46822.544</v>
      </c>
    </row>
    <row r="2912">
      <c r="A2912" s="4">
        <f>value(USD!A2912)</f>
        <v>43277.99861</v>
      </c>
      <c r="B2912" s="1">
        <f>value(USD!B2912)</f>
        <v>14188</v>
      </c>
      <c r="C2912" s="1">
        <f>value(AUD!$B2912)</f>
        <v>10742.17075</v>
      </c>
      <c r="D2912" s="1">
        <f>value(EUR!$B2912)</f>
        <v>16591.6135</v>
      </c>
      <c r="E2912" s="1">
        <f>value(GBP!$B2912)</f>
        <v>18761.0465</v>
      </c>
      <c r="F2912" s="1">
        <f>value(CHF!$B2912)</f>
        <v>14647.39967</v>
      </c>
      <c r="G2912" s="1">
        <f>value(SGD!$B2912)</f>
        <v>10669.5264</v>
      </c>
      <c r="H2912" s="1">
        <f>value(MYR!$B2912)</f>
        <v>3547.1765</v>
      </c>
      <c r="I2912" s="1">
        <f>value(THB!$B2912)</f>
        <v>432.509</v>
      </c>
      <c r="J2912" s="1">
        <f>value(VND!$B2912)</f>
        <v>0.6054036975</v>
      </c>
      <c r="K2912" s="1">
        <f>value(CNY!$B2912)</f>
        <v>2194.907048</v>
      </c>
      <c r="L2912" s="1">
        <f>value(HKD!$B2912)</f>
        <v>1865.09796</v>
      </c>
      <c r="M2912" s="1">
        <f>value(TWD!$B2912)</f>
        <v>457.1663691</v>
      </c>
      <c r="N2912" s="1">
        <f>value(JPY!$B2912)</f>
        <v>129.8388</v>
      </c>
      <c r="O2912" s="1">
        <f>value(SAR!$B2912)</f>
        <v>3765.644526</v>
      </c>
      <c r="P2912" s="1">
        <f>value(AED!$B2912)</f>
        <v>3906.7875</v>
      </c>
      <c r="Q2912" s="1">
        <f>value(KWD!$B2912)</f>
        <v>46816.6298</v>
      </c>
    </row>
    <row r="2913">
      <c r="A2913" s="4">
        <f>value(USD!A2913)</f>
        <v>43278.99861</v>
      </c>
      <c r="B2913" s="1">
        <f>value(USD!B2913)</f>
        <v>14235</v>
      </c>
      <c r="C2913" s="1">
        <f>value(AUD!$B2913)</f>
        <v>10909.80937</v>
      </c>
      <c r="D2913" s="1">
        <f>value(EUR!$B2913)</f>
        <v>16702.2646</v>
      </c>
      <c r="E2913" s="1">
        <f>value(GBP!$B2913)</f>
        <v>18851.7784</v>
      </c>
      <c r="F2913" s="1">
        <f>value(CHF!$B2913)</f>
        <v>14639.0312</v>
      </c>
      <c r="G2913" s="1">
        <f>value(SGD!$B2913)</f>
        <v>10672.24509</v>
      </c>
      <c r="H2913" s="1">
        <f>value(MYR!$B2913)</f>
        <v>3538.13397</v>
      </c>
      <c r="I2913" s="1">
        <f>value(THB!$B2913)</f>
        <v>432.4719</v>
      </c>
      <c r="J2913" s="1">
        <f>value(VND!$B2913)</f>
        <v>0.6014516025</v>
      </c>
      <c r="K2913" s="1">
        <f>value(CNY!$B2913)</f>
        <v>2220.944627</v>
      </c>
      <c r="L2913" s="1">
        <f>value(HKD!$B2913)</f>
        <v>1854.263362</v>
      </c>
      <c r="M2913" s="1">
        <f>value(TWD!$B2913)</f>
        <v>469.793758</v>
      </c>
      <c r="N2913" s="1">
        <f>value(JPY!$B2913)</f>
        <v>128.88519</v>
      </c>
      <c r="O2913" s="1">
        <f>value(SAR!$B2913)</f>
        <v>3773.886957</v>
      </c>
      <c r="P2913" s="1">
        <f>value(AED!$B2913)</f>
        <v>3877.31329</v>
      </c>
      <c r="Q2913" s="1">
        <f>value(KWD!$B2913)</f>
        <v>46685.682</v>
      </c>
    </row>
    <row r="2914">
      <c r="A2914" s="4">
        <f>value(USD!A2914)</f>
        <v>43279.99861</v>
      </c>
      <c r="B2914" s="1">
        <f>value(USD!B2914)</f>
        <v>14350</v>
      </c>
      <c r="C2914" s="1">
        <f>value(AUD!$B2914)</f>
        <v>10655.31975</v>
      </c>
      <c r="D2914" s="1">
        <f>value(EUR!$B2914)</f>
        <v>16702.2646</v>
      </c>
      <c r="E2914" s="1">
        <f>value(GBP!$B2914)</f>
        <v>18851.7784</v>
      </c>
      <c r="F2914" s="1">
        <f>value(CHF!$B2914)</f>
        <v>14698.8828</v>
      </c>
      <c r="G2914" s="1">
        <f>value(SGD!$B2914)</f>
        <v>10668.25284</v>
      </c>
      <c r="H2914" s="1">
        <f>value(MYR!$B2914)</f>
        <v>3538.13397</v>
      </c>
      <c r="I2914" s="1">
        <f>value(THB!$B2914)</f>
        <v>432.4719</v>
      </c>
      <c r="J2914" s="1">
        <f>value(VND!$B2914)</f>
        <v>0.6086586163</v>
      </c>
      <c r="K2914" s="1">
        <f>value(CNY!$B2914)</f>
        <v>2193.766892</v>
      </c>
      <c r="L2914" s="1">
        <f>value(HKD!$B2914)</f>
        <v>1859.715654</v>
      </c>
      <c r="M2914" s="1">
        <f>value(TWD!$B2914)</f>
        <v>470.3955489</v>
      </c>
      <c r="N2914" s="1">
        <f>value(JPY!$B2914)</f>
        <v>128.88519</v>
      </c>
      <c r="O2914" s="1">
        <f>value(SAR!$B2914)</f>
        <v>3783.199315</v>
      </c>
      <c r="P2914" s="1">
        <f>value(AED!$B2914)</f>
        <v>3896.642685</v>
      </c>
      <c r="Q2914" s="1">
        <f>value(KWD!$B2914)</f>
        <v>46719.81</v>
      </c>
    </row>
    <row r="2915">
      <c r="A2915" s="4">
        <f>value(USD!A2915)</f>
        <v>43280.99861</v>
      </c>
      <c r="B2915" s="1">
        <f>value(USD!B2915)</f>
        <v>14273</v>
      </c>
      <c r="C2915" s="1">
        <f>value(AUD!$B2915)</f>
        <v>10718.83906</v>
      </c>
      <c r="D2915" s="1">
        <f>value(EUR!$B2915)</f>
        <v>16717.9609</v>
      </c>
      <c r="E2915" s="1">
        <f>value(GBP!$B2915)</f>
        <v>18907.88922</v>
      </c>
      <c r="F2915" s="1">
        <f>value(CHF!$B2915)</f>
        <v>14797.292</v>
      </c>
      <c r="G2915" s="1">
        <f>value(SGD!$B2915)</f>
        <v>10681.74359</v>
      </c>
      <c r="H2915" s="1">
        <f>value(MYR!$B2915)</f>
        <v>3549.04113</v>
      </c>
      <c r="I2915" s="1">
        <f>value(THB!$B2915)</f>
        <v>433.08925</v>
      </c>
      <c r="J2915" s="1">
        <f>value(VND!$B2915)</f>
        <v>0.6113549312</v>
      </c>
      <c r="K2915" s="1">
        <f>value(CNY!$B2915)</f>
        <v>2195.861904</v>
      </c>
      <c r="L2915" s="1">
        <f>value(HKD!$B2915)</f>
        <v>1856.5083</v>
      </c>
      <c r="M2915" s="1">
        <f>value(TWD!$B2915)</f>
        <v>471.2987925</v>
      </c>
      <c r="N2915" s="1">
        <f>value(JPY!$B2915)</f>
        <v>129.28251</v>
      </c>
      <c r="O2915" s="1">
        <f>value(SAR!$B2915)</f>
        <v>3797.262283</v>
      </c>
      <c r="P2915" s="1">
        <f>value(AED!$B2915)</f>
        <v>3876.7688</v>
      </c>
      <c r="Q2915" s="1">
        <f>value(KWD!$B2915)</f>
        <v>46489.2088</v>
      </c>
    </row>
    <row r="2916">
      <c r="A2916" s="4">
        <f>value(USD!A2916)</f>
        <v>43281.99861</v>
      </c>
      <c r="B2916" s="1">
        <f>value(USD!B2916)</f>
        <v>14273</v>
      </c>
      <c r="C2916" s="1">
        <f>value(AUD!$B2916)</f>
        <v>10700.30306</v>
      </c>
      <c r="D2916" s="1">
        <f>value(EUR!$B2916)</f>
        <v>16699.908</v>
      </c>
      <c r="E2916" s="1">
        <f>value(GBP!$B2916)</f>
        <v>18854.8274</v>
      </c>
      <c r="F2916" s="1">
        <f>value(CHF!$B2916)</f>
        <v>14816.8096</v>
      </c>
      <c r="G2916" s="1">
        <f>value(SGD!$B2916)</f>
        <v>10738.01146</v>
      </c>
      <c r="H2916" s="1">
        <f>value(MYR!$B2916)</f>
        <v>3548.58698</v>
      </c>
      <c r="I2916" s="1">
        <f>value(THB!$B2916)</f>
        <v>432.41858</v>
      </c>
      <c r="J2916" s="1">
        <f>value(VND!$B2916)</f>
        <v>0.608176395</v>
      </c>
      <c r="K2916" s="1">
        <f>value(CNY!$B2916)</f>
        <v>2196.937483</v>
      </c>
      <c r="L2916" s="1">
        <f>value(HKD!$B2916)</f>
        <v>1856.32708</v>
      </c>
      <c r="M2916" s="1">
        <f>value(TWD!$B2916)</f>
        <v>470.2037764</v>
      </c>
      <c r="N2916" s="1">
        <f>value(JPY!$B2916)</f>
        <v>129.366899</v>
      </c>
      <c r="O2916" s="1">
        <f>value(SAR!$B2916)</f>
        <v>3777.629566</v>
      </c>
      <c r="P2916" s="1">
        <f>value(AED!$B2916)</f>
        <v>3877.196</v>
      </c>
      <c r="Q2916" s="1">
        <f>value(KWD!$B2916)</f>
        <v>46346.111</v>
      </c>
    </row>
    <row r="2917">
      <c r="A2917" s="4">
        <f>value(USD!A2917)</f>
        <v>43282.99861</v>
      </c>
      <c r="B2917" s="1">
        <f>value(USD!B2917)</f>
        <v>14317</v>
      </c>
      <c r="C2917" s="1">
        <f>value(AUD!$B2917)</f>
        <v>10892.42</v>
      </c>
      <c r="D2917" s="1">
        <f>value(EUR!$B2917)</f>
        <v>16733.30152</v>
      </c>
      <c r="E2917" s="1">
        <f>value(GBP!$B2917)</f>
        <v>18933.0423</v>
      </c>
      <c r="F2917" s="1">
        <f>value(CHF!$B2917)</f>
        <v>14867.8296</v>
      </c>
      <c r="G2917" s="1">
        <f>value(SGD!$B2917)</f>
        <v>10711.48568</v>
      </c>
      <c r="H2917" s="1">
        <f>value(MYR!$B2917)</f>
        <v>3548.77925</v>
      </c>
      <c r="I2917" s="1">
        <f>value(THB!$B2917)</f>
        <v>432.88648</v>
      </c>
      <c r="J2917" s="1">
        <f>value(VND!$B2917)</f>
        <v>0.609164268</v>
      </c>
      <c r="K2917" s="1">
        <f>value(CNY!$B2917)</f>
        <v>2197.66745</v>
      </c>
      <c r="L2917" s="1">
        <f>value(HKD!$B2917)</f>
        <v>1855.05318</v>
      </c>
      <c r="M2917" s="1">
        <f>value(TWD!$B2917)</f>
        <v>468.048668</v>
      </c>
      <c r="N2917" s="1">
        <f>value(JPY!$B2917)</f>
        <v>129.9778974</v>
      </c>
      <c r="O2917" s="1">
        <f>value(SAR!$B2917)</f>
        <v>3819.069948</v>
      </c>
      <c r="P2917" s="1">
        <f>value(AED!$B2917)</f>
        <v>3878.40227</v>
      </c>
      <c r="Q2917" s="1">
        <f>value(KWD!$B2917)</f>
        <v>46346.111</v>
      </c>
    </row>
    <row r="2918">
      <c r="A2918" s="4">
        <f>value(USD!A2918)</f>
        <v>43283.99861</v>
      </c>
      <c r="B2918" s="1">
        <f>value(USD!B2918)</f>
        <v>14347</v>
      </c>
      <c r="C2918" s="1">
        <f>value(AUD!$B2918)</f>
        <v>10830.09889</v>
      </c>
      <c r="D2918" s="1">
        <f>value(EUR!$B2918)</f>
        <v>16792.56</v>
      </c>
      <c r="E2918" s="1">
        <f>value(GBP!$B2918)</f>
        <v>19048.32</v>
      </c>
      <c r="F2918" s="1">
        <f>value(CHF!$B2918)</f>
        <v>14825.1129</v>
      </c>
      <c r="G2918" s="1">
        <f>value(SGD!$B2918)</f>
        <v>10782.83349</v>
      </c>
      <c r="H2918" s="1">
        <f>value(MYR!$B2918)</f>
        <v>3546.864</v>
      </c>
      <c r="I2918" s="1">
        <f>value(THB!$B2918)</f>
        <v>434.448</v>
      </c>
      <c r="J2918" s="1">
        <f>value(VND!$B2918)</f>
        <v>0.6064432682</v>
      </c>
      <c r="K2918" s="1">
        <f>value(CNY!$B2918)</f>
        <v>2203.249062</v>
      </c>
      <c r="L2918" s="1">
        <f>value(HKD!$B2918)</f>
        <v>1856.0723</v>
      </c>
      <c r="M2918" s="1">
        <f>value(TWD!$B2918)</f>
        <v>464.012841</v>
      </c>
      <c r="N2918" s="1">
        <f>value(JPY!$B2918)</f>
        <v>130.2768</v>
      </c>
      <c r="O2918" s="1">
        <f>value(SAR!$B2918)</f>
        <v>3792.74433</v>
      </c>
      <c r="P2918" s="1">
        <f>value(AED!$B2918)</f>
        <v>3871.3239</v>
      </c>
      <c r="Q2918" s="1">
        <f>value(KWD!$B2918)</f>
        <v>46349.30929</v>
      </c>
    </row>
    <row r="2919">
      <c r="A2919" s="4">
        <f>value(USD!A2919)</f>
        <v>43284.99861</v>
      </c>
      <c r="B2919" s="1">
        <f>value(USD!B2919)</f>
        <v>14353</v>
      </c>
      <c r="C2919" s="1">
        <f>value(AUD!$B2919)</f>
        <v>10733.84656</v>
      </c>
      <c r="D2919" s="1">
        <f>value(EUR!$B2919)</f>
        <v>16811.98053</v>
      </c>
      <c r="E2919" s="1">
        <f>value(GBP!$B2919)</f>
        <v>19010.78663</v>
      </c>
      <c r="F2919" s="1">
        <f>value(CHF!$B2919)</f>
        <v>14838.84148</v>
      </c>
      <c r="G2919" s="1">
        <f>value(SGD!$B2919)</f>
        <v>10727.7515</v>
      </c>
      <c r="H2919" s="1">
        <f>value(MYR!$B2919)</f>
        <v>3553.576632</v>
      </c>
      <c r="I2919" s="1">
        <f>value(THB!$B2919)</f>
        <v>432.658092</v>
      </c>
      <c r="J2919" s="1">
        <f>value(VND!$B2919)</f>
        <v>0.6064432682</v>
      </c>
      <c r="K2919" s="1">
        <f>value(CNY!$B2919)</f>
        <v>2209.14342</v>
      </c>
      <c r="L2919" s="1">
        <f>value(HKD!$B2919)</f>
        <v>1856.32708</v>
      </c>
      <c r="M2919" s="1">
        <f>value(TWD!$B2919)</f>
        <v>451.6629244</v>
      </c>
      <c r="N2919" s="1">
        <f>value(JPY!$B2919)</f>
        <v>129.9987308</v>
      </c>
      <c r="O2919" s="1">
        <f>value(SAR!$B2919)</f>
        <v>3771.357606</v>
      </c>
      <c r="P2919" s="1">
        <f>value(AED!$B2919)</f>
        <v>3871.283799</v>
      </c>
      <c r="Q2919" s="1">
        <f>value(KWD!$B2919)</f>
        <v>46603.5152</v>
      </c>
    </row>
    <row r="2920">
      <c r="A2920" s="4">
        <f>value(USD!A2920)</f>
        <v>43285.99861</v>
      </c>
      <c r="B2920" s="1">
        <f>value(USD!B2920)</f>
        <v>14400</v>
      </c>
      <c r="C2920" s="1">
        <f>value(AUD!$B2920)</f>
        <v>10899.15008</v>
      </c>
      <c r="D2920" s="1">
        <f>value(EUR!$B2920)</f>
        <v>16850.2761</v>
      </c>
      <c r="E2920" s="1">
        <f>value(GBP!$B2920)</f>
        <v>19049.5719</v>
      </c>
      <c r="F2920" s="1">
        <f>value(CHF!$B2920)</f>
        <v>14819.6061</v>
      </c>
      <c r="G2920" s="1">
        <f>value(SGD!$B2920)</f>
        <v>10726.29442</v>
      </c>
      <c r="H2920" s="1">
        <f>value(MYR!$B2920)</f>
        <v>3546.54369</v>
      </c>
      <c r="I2920" s="1">
        <f>value(THB!$B2920)</f>
        <v>432.40392</v>
      </c>
      <c r="J2920" s="1">
        <f>value(VND!$B2920)</f>
        <v>0.6044985225</v>
      </c>
      <c r="K2920" s="1">
        <f>value(CNY!$B2920)</f>
        <v>2189.095735</v>
      </c>
      <c r="L2920" s="1">
        <f>value(HKD!$B2920)</f>
        <v>1868.04696</v>
      </c>
      <c r="M2920" s="1">
        <f>value(TWD!$B2920)</f>
        <v>463.218992</v>
      </c>
      <c r="N2920" s="1">
        <f>value(JPY!$B2920)</f>
        <v>129.74985</v>
      </c>
      <c r="O2920" s="1">
        <f>value(SAR!$B2920)</f>
        <v>3787.571363</v>
      </c>
      <c r="P2920" s="1">
        <f>value(AED!$B2920)</f>
        <v>3854.58629</v>
      </c>
      <c r="Q2920" s="1">
        <f>value(KWD!$B2920)</f>
        <v>46459.755</v>
      </c>
    </row>
    <row r="2921">
      <c r="A2921" s="4">
        <f>value(USD!A2921)</f>
        <v>43286.99861</v>
      </c>
      <c r="B2921" s="1">
        <f>value(USD!B2921)</f>
        <v>14378.8</v>
      </c>
      <c r="C2921" s="1">
        <f>value(AUD!$B2921)</f>
        <v>10798.5052</v>
      </c>
      <c r="D2921" s="1">
        <f>value(EUR!$B2921)</f>
        <v>16850.2761</v>
      </c>
      <c r="E2921" s="1">
        <f>value(GBP!$B2921)</f>
        <v>19045.2708</v>
      </c>
      <c r="F2921" s="1">
        <f>value(CHF!$B2921)</f>
        <v>14855.1159</v>
      </c>
      <c r="G2921" s="1">
        <f>value(SGD!$B2921)</f>
        <v>10725.7055</v>
      </c>
      <c r="H2921" s="1">
        <f>value(MYR!$B2921)</f>
        <v>3546.54369</v>
      </c>
      <c r="I2921" s="1">
        <f>value(THB!$B2921)</f>
        <v>432.432594</v>
      </c>
      <c r="J2921" s="1">
        <f>value(VND!$B2921)</f>
        <v>0.60773958</v>
      </c>
      <c r="K2921" s="1">
        <f>value(CNY!$B2921)</f>
        <v>2190.46649</v>
      </c>
      <c r="L2921" s="1">
        <f>value(HKD!$B2921)</f>
        <v>1856.30874</v>
      </c>
      <c r="M2921" s="1">
        <f>value(TWD!$B2921)</f>
        <v>464.135</v>
      </c>
      <c r="N2921" s="1">
        <f>value(JPY!$B2921)</f>
        <v>129.7699218</v>
      </c>
      <c r="O2921" s="1">
        <f>value(SAR!$B2921)</f>
        <v>3754.40419</v>
      </c>
      <c r="P2921" s="1">
        <f>value(AED!$B2921)</f>
        <v>3843.347462</v>
      </c>
      <c r="Q2921" s="1">
        <f>value(KWD!$B2921)</f>
        <v>46613.8478</v>
      </c>
    </row>
    <row r="2922">
      <c r="A2922" s="4">
        <f>value(USD!A2922)</f>
        <v>43287.99861</v>
      </c>
      <c r="B2922" s="1">
        <f>value(USD!B2922)</f>
        <v>14337</v>
      </c>
      <c r="C2922" s="1">
        <f>value(AUD!$B2922)</f>
        <v>10800.76266</v>
      </c>
      <c r="D2922" s="1">
        <f>value(EUR!$B2922)</f>
        <v>16812.87105</v>
      </c>
      <c r="E2922" s="1">
        <f>value(GBP!$B2922)</f>
        <v>19020.58422</v>
      </c>
      <c r="F2922" s="1">
        <f>value(CHF!$B2922)</f>
        <v>15001.7414</v>
      </c>
      <c r="G2922" s="1">
        <f>value(SGD!$B2922)</f>
        <v>10810.45152</v>
      </c>
      <c r="H2922" s="1">
        <f>value(MYR!$B2922)</f>
        <v>3541.26864</v>
      </c>
      <c r="I2922" s="1">
        <f>value(THB!$B2922)</f>
        <v>431.527734</v>
      </c>
      <c r="J2922" s="1">
        <f>value(VND!$B2922)</f>
        <v>0.6127456104</v>
      </c>
      <c r="K2922" s="1">
        <f>value(CNY!$B2922)</f>
        <v>2196.895624</v>
      </c>
      <c r="L2922" s="1">
        <f>value(HKD!$B2922)</f>
        <v>1854.67101</v>
      </c>
      <c r="M2922" s="1">
        <f>value(TWD!$B2922)</f>
        <v>465.81</v>
      </c>
      <c r="N2922" s="1">
        <f>value(JPY!$B2922)</f>
        <v>129.5527464</v>
      </c>
      <c r="O2922" s="1">
        <f>value(SAR!$B2922)</f>
        <v>3835.850326</v>
      </c>
      <c r="P2922" s="1">
        <f>value(AED!$B2922)</f>
        <v>3843.35325</v>
      </c>
      <c r="Q2922" s="1">
        <f>value(KWD!$B2922)</f>
        <v>46500.98025</v>
      </c>
    </row>
    <row r="2923">
      <c r="A2923" s="4">
        <f>value(USD!A2923)</f>
        <v>43288.99861</v>
      </c>
      <c r="B2923" s="1">
        <f>value(USD!B2923)</f>
        <v>14337</v>
      </c>
      <c r="C2923" s="1">
        <f>value(AUD!$B2923)</f>
        <v>10840.32048</v>
      </c>
      <c r="D2923" s="1">
        <f>value(EUR!$B2923)</f>
        <v>16824.0116</v>
      </c>
      <c r="E2923" s="1">
        <f>value(GBP!$B2923)</f>
        <v>18968.08562</v>
      </c>
      <c r="F2923" s="1">
        <f>value(CHF!$B2923)</f>
        <v>15060.1945</v>
      </c>
      <c r="G2923" s="1">
        <f>value(SGD!$B2923)</f>
        <v>10852.4677</v>
      </c>
      <c r="H2923" s="1">
        <f>value(MYR!$B2923)</f>
        <v>3551.13154</v>
      </c>
      <c r="I2923" s="1">
        <f>value(THB!$B2923)</f>
        <v>432.278066</v>
      </c>
      <c r="J2923" s="1">
        <f>value(VND!$B2923)</f>
        <v>0.60767175</v>
      </c>
      <c r="K2923" s="1">
        <f>value(CNY!$B2923)</f>
        <v>2187.8703</v>
      </c>
      <c r="L2923" s="1">
        <f>value(HKD!$B2923)</f>
        <v>1853.65189</v>
      </c>
      <c r="M2923" s="1">
        <f>value(TWD!$B2923)</f>
        <v>462.185</v>
      </c>
      <c r="N2923" s="1">
        <f>value(JPY!$B2923)</f>
        <v>128.956421</v>
      </c>
      <c r="O2923" s="1">
        <f>value(SAR!$B2923)</f>
        <v>3753.832955</v>
      </c>
      <c r="P2923" s="1">
        <f>value(AED!$B2923)</f>
        <v>3843.682536</v>
      </c>
      <c r="Q2923" s="1">
        <f>value(KWD!$B2923)</f>
        <v>46405.17975</v>
      </c>
    </row>
    <row r="2924">
      <c r="A2924" s="4">
        <f>value(USD!A2924)</f>
        <v>43289.99861</v>
      </c>
      <c r="B2924" s="1">
        <f>value(USD!B2924)</f>
        <v>14307</v>
      </c>
      <c r="C2924" s="1">
        <f>value(AUD!$B2924)</f>
        <v>10842.78831</v>
      </c>
      <c r="D2924" s="1">
        <f>value(EUR!$B2924)</f>
        <v>16855.55</v>
      </c>
      <c r="E2924" s="1">
        <f>value(GBP!$B2924)</f>
        <v>19055.93125</v>
      </c>
      <c r="F2924" s="1">
        <f>value(CHF!$B2924)</f>
        <v>15225.83469</v>
      </c>
      <c r="G2924" s="1">
        <f>value(SGD!$B2924)</f>
        <v>10890.83669</v>
      </c>
      <c r="H2924" s="1">
        <f>value(MYR!$B2924)</f>
        <v>3567.0125</v>
      </c>
      <c r="I2924" s="1">
        <f>value(THB!$B2924)</f>
        <v>432.4575</v>
      </c>
      <c r="J2924" s="1">
        <f>value(VND!$B2924)</f>
        <v>0.6135862292</v>
      </c>
      <c r="K2924" s="1">
        <f>value(CNY!$B2924)</f>
        <v>2198.655305</v>
      </c>
      <c r="L2924" s="1">
        <f>value(HKD!$B2924)</f>
        <v>1866.35261</v>
      </c>
      <c r="M2924" s="1">
        <f>value(TWD!$B2924)</f>
        <v>472.425</v>
      </c>
      <c r="N2924" s="1">
        <f>value(JPY!$B2924)</f>
        <v>129.6898125</v>
      </c>
      <c r="O2924" s="1">
        <f>value(SAR!$B2924)</f>
        <v>3754.638884</v>
      </c>
      <c r="P2924" s="1">
        <f>value(AED!$B2924)</f>
        <v>3865.294471</v>
      </c>
      <c r="Q2924" s="1">
        <f>value(KWD!$B2924)</f>
        <v>46418.81875</v>
      </c>
    </row>
    <row r="2925">
      <c r="A2925" s="4">
        <f>value(USD!A2925)</f>
        <v>43290.99861</v>
      </c>
      <c r="B2925" s="1">
        <f>value(USD!B2925)</f>
        <v>14311</v>
      </c>
      <c r="C2925" s="1">
        <f>value(AUD!$B2925)</f>
        <v>10853.37522</v>
      </c>
      <c r="D2925" s="1">
        <f>value(EUR!$B2925)</f>
        <v>16786.02744</v>
      </c>
      <c r="E2925" s="1">
        <f>value(GBP!$B2925)</f>
        <v>18987.5868</v>
      </c>
      <c r="F2925" s="1">
        <f>value(CHF!$B2925)</f>
        <v>15207.98</v>
      </c>
      <c r="G2925" s="1">
        <f>value(SGD!$B2925)</f>
        <v>10831.08318</v>
      </c>
      <c r="H2925" s="1">
        <f>value(MYR!$B2925)</f>
        <v>3557.97988</v>
      </c>
      <c r="I2925" s="1">
        <f>value(THB!$B2925)</f>
        <v>431.12433</v>
      </c>
      <c r="J2925" s="1">
        <f>value(VND!$B2925)</f>
        <v>0.611973315</v>
      </c>
      <c r="K2925" s="1">
        <f>value(CNY!$B2925)</f>
        <v>2195.220324</v>
      </c>
      <c r="L2925" s="1">
        <f>value(HKD!$B2925)</f>
        <v>1862.47938</v>
      </c>
      <c r="M2925" s="1">
        <f>value(TWD!$B2925)</f>
        <v>468.88</v>
      </c>
      <c r="N2925" s="1">
        <f>value(JPY!$B2925)</f>
        <v>128.381162</v>
      </c>
      <c r="O2925" s="1">
        <f>value(SAR!$B2925)</f>
        <v>3757.174491</v>
      </c>
      <c r="P2925" s="1">
        <f>value(AED!$B2925)</f>
        <v>3850.361035</v>
      </c>
      <c r="Q2925" s="1">
        <f>value(KWD!$B2925)</f>
        <v>46335.68414</v>
      </c>
    </row>
    <row r="2926">
      <c r="A2926" s="4">
        <f>value(USD!A2926)</f>
        <v>43291.99861</v>
      </c>
      <c r="B2926" s="1">
        <f>value(USD!B2926)</f>
        <v>14375</v>
      </c>
      <c r="C2926" s="1">
        <f>value(AUD!$B2926)</f>
        <v>10872.50505</v>
      </c>
      <c r="D2926" s="1">
        <f>value(EUR!$B2926)</f>
        <v>16778.9517</v>
      </c>
      <c r="E2926" s="1">
        <f>value(GBP!$B2926)</f>
        <v>18955.1145</v>
      </c>
      <c r="F2926" s="1">
        <f>value(CHF!$B2926)</f>
        <v>15205.9144</v>
      </c>
      <c r="G2926" s="1">
        <f>value(SGD!$B2926)</f>
        <v>10855.76377</v>
      </c>
      <c r="H2926" s="1">
        <f>value(MYR!$B2926)</f>
        <v>3557.55435</v>
      </c>
      <c r="I2926" s="1">
        <f>value(THB!$B2926)</f>
        <v>433.01727</v>
      </c>
      <c r="J2926" s="1">
        <f>value(VND!$B2926)</f>
        <v>0.611973315</v>
      </c>
      <c r="K2926" s="1">
        <f>value(CNY!$B2926)</f>
        <v>2187.4464</v>
      </c>
      <c r="L2926" s="1">
        <f>value(HKD!$B2926)</f>
        <v>1879.2774</v>
      </c>
      <c r="M2926" s="1">
        <f>value(TWD!$B2926)</f>
        <v>468.88</v>
      </c>
      <c r="N2926" s="1">
        <f>value(JPY!$B2926)</f>
        <v>127.65249</v>
      </c>
      <c r="O2926" s="1">
        <f>value(SAR!$B2926)</f>
        <v>3746.729187</v>
      </c>
      <c r="P2926" s="1">
        <f>value(AED!$B2926)</f>
        <v>3861.250835</v>
      </c>
      <c r="Q2926" s="1">
        <f>value(KWD!$B2926)</f>
        <v>46567.3065</v>
      </c>
    </row>
    <row r="2927">
      <c r="A2927" s="4">
        <f>value(USD!A2927)</f>
        <v>43292.99861</v>
      </c>
      <c r="B2927" s="1">
        <f>value(USD!B2927)</f>
        <v>14378</v>
      </c>
      <c r="C2927" s="1">
        <f>value(AUD!$B2927)</f>
        <v>10799.0737</v>
      </c>
      <c r="D2927" s="1">
        <f>value(EUR!$B2927)</f>
        <v>16816.059</v>
      </c>
      <c r="E2927" s="1">
        <f>value(GBP!$B2927)</f>
        <v>19013.64483</v>
      </c>
      <c r="F2927" s="1">
        <f>value(CHF!$B2927)</f>
        <v>15183.8299</v>
      </c>
      <c r="G2927" s="1">
        <f>value(SGD!$B2927)</f>
        <v>10738.68435</v>
      </c>
      <c r="H2927" s="1">
        <f>value(MYR!$B2927)</f>
        <v>3545.313909</v>
      </c>
      <c r="I2927" s="1">
        <f>value(THB!$B2927)</f>
        <v>431.7271626</v>
      </c>
      <c r="J2927" s="1">
        <f>value(VND!$B2927)</f>
        <v>0.6107877175</v>
      </c>
      <c r="K2927" s="1">
        <f>value(CNY!$B2927)</f>
        <v>2190.24</v>
      </c>
      <c r="L2927" s="1">
        <f>value(HKD!$B2927)</f>
        <v>1875.81775</v>
      </c>
      <c r="M2927" s="1">
        <f>value(TWD!$B2927)</f>
        <v>468.88</v>
      </c>
      <c r="N2927" s="1">
        <f>value(JPY!$B2927)</f>
        <v>127.8825355</v>
      </c>
      <c r="O2927" s="1">
        <f>value(SAR!$B2927)</f>
        <v>3727.646345</v>
      </c>
      <c r="P2927" s="1">
        <f>value(AED!$B2927)</f>
        <v>3850.905525</v>
      </c>
      <c r="Q2927" s="1">
        <f>value(KWD!$B2927)</f>
        <v>46319.931</v>
      </c>
    </row>
    <row r="2928">
      <c r="A2928" s="4">
        <f>value(USD!A2928)</f>
        <v>43293.99861</v>
      </c>
      <c r="B2928" s="1">
        <f>value(USD!B2928)</f>
        <v>14385</v>
      </c>
      <c r="C2928" s="1">
        <f>value(AUD!$B2928)</f>
        <v>10797.63806</v>
      </c>
      <c r="D2928" s="1">
        <f>value(EUR!$B2928)</f>
        <v>16813.5354</v>
      </c>
      <c r="E2928" s="1">
        <f>value(GBP!$B2928)</f>
        <v>19014.0417</v>
      </c>
      <c r="F2928" s="1">
        <f>value(CHF!$B2928)</f>
        <v>15302.1744</v>
      </c>
      <c r="G2928" s="1">
        <f>value(SGD!$B2928)</f>
        <v>10743.42451</v>
      </c>
      <c r="H2928" s="1">
        <f>value(MYR!$B2928)</f>
        <v>3545.38791</v>
      </c>
      <c r="I2928" s="1">
        <f>value(THB!$B2928)</f>
        <v>431.664309</v>
      </c>
      <c r="J2928" s="1">
        <f>value(VND!$B2928)</f>
        <v>0.611890668</v>
      </c>
      <c r="K2928" s="1">
        <f>value(CNY!$B2928)</f>
        <v>2190.24</v>
      </c>
      <c r="L2928" s="1">
        <f>value(HKD!$B2928)</f>
        <v>1875.56297</v>
      </c>
      <c r="M2928" s="1">
        <f>value(TWD!$B2928)</f>
        <v>469.25</v>
      </c>
      <c r="N2928" s="1">
        <f>value(JPY!$B2928)</f>
        <v>127.8852048</v>
      </c>
      <c r="O2928" s="1">
        <f>value(SAR!$B2928)</f>
        <v>3714.468489</v>
      </c>
      <c r="P2928" s="1">
        <f>value(AED!$B2928)</f>
        <v>3842.879325</v>
      </c>
      <c r="Q2928" s="1">
        <f>value(KWD!$B2928)</f>
        <v>46317.114</v>
      </c>
    </row>
    <row r="2929">
      <c r="A2929" s="4">
        <f>value(USD!A2929)</f>
        <v>43294.99861</v>
      </c>
      <c r="B2929" s="1">
        <f>value(USD!B2929)</f>
        <v>14372.7</v>
      </c>
      <c r="C2929" s="1">
        <f>value(AUD!$B2929)</f>
        <v>10795.19584</v>
      </c>
      <c r="D2929" s="1">
        <f>value(EUR!$B2929)</f>
        <v>16785.36432</v>
      </c>
      <c r="E2929" s="1">
        <f>value(GBP!$B2929)</f>
        <v>19010.73591</v>
      </c>
      <c r="F2929" s="1">
        <f>value(CHF!$B2929)</f>
        <v>15328.631</v>
      </c>
      <c r="G2929" s="1">
        <f>value(SGD!$B2929)</f>
        <v>10760.03582</v>
      </c>
      <c r="H2929" s="1">
        <f>value(MYR!$B2929)</f>
        <v>3545.38791</v>
      </c>
      <c r="I2929" s="1">
        <f>value(THB!$B2929)</f>
        <v>431.218746</v>
      </c>
      <c r="J2929" s="1">
        <f>value(VND!$B2929)</f>
        <v>0.614612759</v>
      </c>
      <c r="K2929" s="1">
        <f>value(CNY!$B2929)</f>
        <v>2194.163454</v>
      </c>
      <c r="L2929" s="1">
        <f>value(HKD!$B2929)</f>
        <v>1875.7102</v>
      </c>
      <c r="M2929" s="1">
        <f>value(TWD!$B2929)</f>
        <v>470.47</v>
      </c>
      <c r="N2929" s="1">
        <f>value(JPY!$B2929)</f>
        <v>127.847835</v>
      </c>
      <c r="O2929" s="1">
        <f>value(SAR!$B2929)</f>
        <v>3715.268446</v>
      </c>
      <c r="P2929" s="1">
        <f>value(AED!$B2929)</f>
        <v>3836.81925</v>
      </c>
      <c r="Q2929" s="1">
        <f>value(KWD!$B2929)</f>
        <v>46186.0227</v>
      </c>
    </row>
    <row r="2930">
      <c r="A2930" s="4">
        <f>value(USD!A2930)</f>
        <v>43295.99861</v>
      </c>
      <c r="B2930" s="1">
        <f>value(USD!B2930)</f>
        <v>14373</v>
      </c>
      <c r="C2930" s="1">
        <f>value(AUD!$B2930)</f>
        <v>10765.50615</v>
      </c>
      <c r="D2930" s="1">
        <f>value(EUR!$B2930)</f>
        <v>16820.27664</v>
      </c>
      <c r="E2930" s="1">
        <f>value(GBP!$B2930)</f>
        <v>19013.31387</v>
      </c>
      <c r="F2930" s="1">
        <f>value(CHF!$B2930)</f>
        <v>15422.70584</v>
      </c>
      <c r="G2930" s="1">
        <f>value(SGD!$B2930)</f>
        <v>10778.33865</v>
      </c>
      <c r="H2930" s="1">
        <f>value(MYR!$B2930)</f>
        <v>3560.776485</v>
      </c>
      <c r="I2930" s="1">
        <f>value(THB!$B2930)</f>
        <v>431.6689095</v>
      </c>
      <c r="J2930" s="1">
        <f>value(VND!$B2930)</f>
        <v>0.614231845</v>
      </c>
      <c r="K2930" s="1">
        <f>value(CNY!$B2930)</f>
        <v>2191.842581</v>
      </c>
      <c r="L2930" s="1">
        <f>value(HKD!$B2930)</f>
        <v>1889.44848</v>
      </c>
      <c r="M2930" s="1">
        <f>value(TWD!$B2930)</f>
        <v>474.265</v>
      </c>
      <c r="N2930" s="1">
        <f>value(JPY!$B2930)</f>
        <v>127.8314017</v>
      </c>
      <c r="O2930" s="1">
        <f>value(SAR!$B2930)</f>
        <v>3726.272716</v>
      </c>
      <c r="P2930" s="1">
        <f>value(AED!$B2930)</f>
        <v>3836.889715</v>
      </c>
      <c r="Q2930" s="1">
        <f>value(KWD!$B2930)</f>
        <v>46156.49626</v>
      </c>
    </row>
    <row r="2931">
      <c r="A2931" s="4">
        <f>value(USD!A2931)</f>
        <v>43296.99861</v>
      </c>
      <c r="B2931" s="1">
        <f>value(USD!B2931)</f>
        <v>14373</v>
      </c>
      <c r="C2931" s="1">
        <f>value(AUD!$B2931)</f>
        <v>10783.77898</v>
      </c>
      <c r="D2931" s="1">
        <f>value(EUR!$B2931)</f>
        <v>16753.5181</v>
      </c>
      <c r="E2931" s="1">
        <f>value(GBP!$B2931)</f>
        <v>18838.90195</v>
      </c>
      <c r="F2931" s="1">
        <f>value(CHF!$B2931)</f>
        <v>15423.78652</v>
      </c>
      <c r="G2931" s="1">
        <f>value(SGD!$B2931)</f>
        <v>10784.38231</v>
      </c>
      <c r="H2931" s="1">
        <f>value(MYR!$B2931)</f>
        <v>3552.26916</v>
      </c>
      <c r="I2931" s="1">
        <f>value(THB!$B2931)</f>
        <v>431.238115</v>
      </c>
      <c r="J2931" s="1">
        <f>value(VND!$B2931)</f>
        <v>0.6130687542</v>
      </c>
      <c r="K2931" s="1">
        <f>value(CNY!$B2931)</f>
        <v>2178.04268</v>
      </c>
      <c r="L2931" s="1">
        <f>value(HKD!$B2931)</f>
        <v>1901.9327</v>
      </c>
      <c r="M2931" s="1">
        <f>value(TWD!$B2931)</f>
        <v>472.4</v>
      </c>
      <c r="N2931" s="1">
        <f>value(JPY!$B2931)</f>
        <v>127.2019452</v>
      </c>
      <c r="O2931" s="1">
        <f>value(SAR!$B2931)</f>
        <v>3724.205112</v>
      </c>
      <c r="P2931" s="1">
        <f>value(AED!$B2931)</f>
        <v>3854.580832</v>
      </c>
      <c r="Q2931" s="1">
        <f>value(KWD!$B2931)</f>
        <v>46197.19387</v>
      </c>
    </row>
    <row r="2932">
      <c r="A2932" s="4">
        <f>value(USD!A2932)</f>
        <v>43297.99861</v>
      </c>
      <c r="B2932" s="1">
        <f>value(USD!B2932)</f>
        <v>14365.5</v>
      </c>
      <c r="C2932" s="1">
        <f>value(AUD!$B2932)</f>
        <v>10802.77869</v>
      </c>
      <c r="D2932" s="1">
        <f>value(EUR!$B2932)</f>
        <v>16816.25568</v>
      </c>
      <c r="E2932" s="1">
        <f>value(GBP!$B2932)</f>
        <v>18884.35129</v>
      </c>
      <c r="F2932" s="1">
        <f>value(CHF!$B2932)</f>
        <v>15449.19165</v>
      </c>
      <c r="G2932" s="1">
        <f>value(SGD!$B2932)</f>
        <v>10752.83</v>
      </c>
      <c r="H2932" s="1">
        <f>value(MYR!$B2932)</f>
        <v>3553.35246</v>
      </c>
      <c r="I2932" s="1">
        <f>value(THB!$B2932)</f>
        <v>433.403292</v>
      </c>
      <c r="J2932" s="1">
        <f>value(VND!$B2932)</f>
        <v>0.608864452</v>
      </c>
      <c r="K2932" s="1">
        <f>value(CNY!$B2932)</f>
        <v>2176.221654</v>
      </c>
      <c r="L2932" s="1">
        <f>value(HKD!$B2932)</f>
        <v>1908.589059</v>
      </c>
      <c r="M2932" s="1">
        <f>value(TWD!$B2932)</f>
        <v>472.905</v>
      </c>
      <c r="N2932" s="1">
        <f>value(JPY!$B2932)</f>
        <v>128.005024</v>
      </c>
      <c r="O2932" s="1">
        <f>value(SAR!$B2932)</f>
        <v>3714.827158</v>
      </c>
      <c r="P2932" s="1">
        <f>value(AED!$B2932)</f>
        <v>3834.570825</v>
      </c>
      <c r="Q2932" s="1">
        <f>value(KWD!$B2932)</f>
        <v>46171.29159</v>
      </c>
    </row>
    <row r="2933">
      <c r="A2933" s="4">
        <f>value(USD!A2933)</f>
        <v>43298.99861</v>
      </c>
      <c r="B2933" s="1">
        <f>value(USD!B2933)</f>
        <v>14377</v>
      </c>
      <c r="C2933" s="1">
        <f>value(AUD!$B2933)</f>
        <v>10771.65446</v>
      </c>
      <c r="D2933" s="1">
        <f>value(EUR!$B2933)</f>
        <v>16862.01996</v>
      </c>
      <c r="E2933" s="1">
        <f>value(GBP!$B2933)</f>
        <v>18840.08492</v>
      </c>
      <c r="F2933" s="1">
        <f>value(CHF!$B2933)</f>
        <v>15284.0534</v>
      </c>
      <c r="G2933" s="1">
        <f>value(SGD!$B2933)</f>
        <v>10769.2076</v>
      </c>
      <c r="H2933" s="1">
        <f>value(MYR!$B2933)</f>
        <v>3559.128</v>
      </c>
      <c r="I2933" s="1">
        <f>value(THB!$B2933)</f>
        <v>432.390648</v>
      </c>
      <c r="J2933" s="1">
        <f>value(VND!$B2933)</f>
        <v>0.608864452</v>
      </c>
      <c r="K2933" s="1">
        <f>value(CNY!$B2933)</f>
        <v>2168.6646</v>
      </c>
      <c r="L2933" s="1">
        <f>value(HKD!$B2933)</f>
        <v>1897.21927</v>
      </c>
      <c r="M2933" s="1">
        <f>value(TWD!$B2933)</f>
        <v>472.905</v>
      </c>
      <c r="N2933" s="1">
        <f>value(JPY!$B2933)</f>
        <v>128.721796</v>
      </c>
      <c r="O2933" s="1">
        <f>value(SAR!$B2933)</f>
        <v>3728.243392</v>
      </c>
      <c r="P2933" s="1">
        <f>value(AED!$B2933)</f>
        <v>3834.711675</v>
      </c>
      <c r="Q2933" s="1">
        <f>value(KWD!$B2933)</f>
        <v>46249.6895</v>
      </c>
    </row>
    <row r="2934">
      <c r="A2934" s="4">
        <f>value(USD!A2934)</f>
        <v>43299.99861</v>
      </c>
      <c r="B2934" s="1">
        <f>value(USD!B2934)</f>
        <v>14441</v>
      </c>
      <c r="C2934" s="1">
        <f>value(AUD!$B2934)</f>
        <v>10785.411</v>
      </c>
      <c r="D2934" s="1">
        <f>value(EUR!$B2934)</f>
        <v>16989.10463</v>
      </c>
      <c r="E2934" s="1">
        <f>value(GBP!$B2934)</f>
        <v>19021.30804</v>
      </c>
      <c r="F2934" s="1">
        <f>value(CHF!$B2934)</f>
        <v>15288.4973</v>
      </c>
      <c r="G2934" s="1">
        <f>value(SGD!$B2934)</f>
        <v>10770.90794</v>
      </c>
      <c r="H2934" s="1">
        <f>value(MYR!$B2934)</f>
        <v>3563.2362</v>
      </c>
      <c r="I2934" s="1">
        <f>value(THB!$B2934)</f>
        <v>434.2947601</v>
      </c>
      <c r="J2934" s="1">
        <f>value(VND!$B2934)</f>
        <v>0.6091548925</v>
      </c>
      <c r="K2934" s="1">
        <f>value(CNY!$B2934)</f>
        <v>2168.6646</v>
      </c>
      <c r="L2934" s="1">
        <f>value(HKD!$B2934)</f>
        <v>1907.45181</v>
      </c>
      <c r="M2934" s="1">
        <f>value(TWD!$B2934)</f>
        <v>472.905</v>
      </c>
      <c r="N2934" s="1">
        <f>value(JPY!$B2934)</f>
        <v>130.0001825</v>
      </c>
      <c r="O2934" s="1">
        <f>value(SAR!$B2934)</f>
        <v>3743.916069</v>
      </c>
      <c r="P2934" s="1">
        <f>value(AED!$B2934)</f>
        <v>3823.136535</v>
      </c>
      <c r="Q2934" s="1">
        <f>value(KWD!$B2934)</f>
        <v>46246.4398</v>
      </c>
    </row>
    <row r="2935">
      <c r="A2935" s="4">
        <f>value(USD!A2935)</f>
        <v>43300.99861</v>
      </c>
      <c r="B2935" s="1">
        <f>value(USD!B2935)</f>
        <v>14468</v>
      </c>
      <c r="C2935" s="1">
        <f>value(AUD!$B2935)</f>
        <v>10794.6891</v>
      </c>
      <c r="D2935" s="1">
        <f>value(EUR!$B2935)</f>
        <v>17008.29998</v>
      </c>
      <c r="E2935" s="1">
        <f>value(GBP!$B2935)</f>
        <v>19046.6447</v>
      </c>
      <c r="F2935" s="1">
        <f>value(CHF!$B2935)</f>
        <v>15224.5192</v>
      </c>
      <c r="G2935" s="1">
        <f>value(SGD!$B2935)</f>
        <v>10840.89033</v>
      </c>
      <c r="H2935" s="1">
        <f>value(MYR!$B2935)</f>
        <v>3566.35302</v>
      </c>
      <c r="I2935" s="1">
        <f>value(THB!$B2935)</f>
        <v>427.672415</v>
      </c>
      <c r="J2935" s="1">
        <f>value(VND!$B2935)</f>
        <v>0.6138521195</v>
      </c>
      <c r="K2935" s="1">
        <f>value(CNY!$B2935)</f>
        <v>2154.231392</v>
      </c>
      <c r="L2935" s="1">
        <f>value(HKD!$B2935)</f>
        <v>1887.02807</v>
      </c>
      <c r="M2935" s="1">
        <f>value(TWD!$B2935)</f>
        <v>472.795</v>
      </c>
      <c r="N2935" s="1">
        <f>value(JPY!$B2935)</f>
        <v>130.0675041</v>
      </c>
      <c r="O2935" s="1">
        <f>value(SAR!$B2935)</f>
        <v>3747.951289</v>
      </c>
      <c r="P2935" s="1">
        <f>value(AED!$B2935)</f>
        <v>3821.911432</v>
      </c>
      <c r="Q2935" s="1">
        <f>value(KWD!$B2935)</f>
        <v>46538.00235</v>
      </c>
    </row>
    <row r="2936">
      <c r="A2936" s="4">
        <f>value(USD!A2936)</f>
        <v>43301.99861</v>
      </c>
      <c r="B2936" s="1">
        <f>value(USD!B2936)</f>
        <v>14484.7</v>
      </c>
      <c r="C2936" s="1">
        <f>value(AUD!$B2936)</f>
        <v>10800.2468</v>
      </c>
      <c r="D2936" s="1">
        <f>value(EUR!$B2936)</f>
        <v>16993.03876</v>
      </c>
      <c r="E2936" s="1">
        <f>value(GBP!$B2936)</f>
        <v>19026.35053</v>
      </c>
      <c r="F2936" s="1">
        <f>value(CHF!$B2936)</f>
        <v>15243.5338</v>
      </c>
      <c r="G2936" s="1">
        <f>value(SGD!$B2936)</f>
        <v>10851.86931</v>
      </c>
      <c r="H2936" s="1">
        <f>value(MYR!$B2936)</f>
        <v>3557.75286</v>
      </c>
      <c r="I2936" s="1">
        <f>value(THB!$B2936)</f>
        <v>434.363676</v>
      </c>
      <c r="J2936" s="1">
        <f>value(VND!$B2936)</f>
        <v>0.6112371715</v>
      </c>
      <c r="K2936" s="1">
        <f>value(CNY!$B2936)</f>
        <v>2142.935</v>
      </c>
      <c r="L2936" s="1">
        <f>value(HKD!$B2936)</f>
        <v>1887.02807</v>
      </c>
      <c r="M2936" s="1">
        <f>value(TWD!$B2936)</f>
        <v>469.69</v>
      </c>
      <c r="N2936" s="1">
        <f>value(JPY!$B2936)</f>
        <v>130.285946</v>
      </c>
      <c r="O2936" s="1">
        <f>value(SAR!$B2936)</f>
        <v>3722.13324</v>
      </c>
      <c r="P2936" s="1">
        <f>value(AED!$B2936)</f>
        <v>3821.911432</v>
      </c>
      <c r="Q2936" s="1">
        <f>value(KWD!$B2936)</f>
        <v>47005.99202</v>
      </c>
    </row>
    <row r="2937">
      <c r="A2937" s="4">
        <f>value(USD!A2937)</f>
        <v>43302.99861</v>
      </c>
      <c r="B2937" s="1">
        <f>value(USD!B2937)</f>
        <v>14497.37</v>
      </c>
      <c r="C2937" s="1">
        <f>value(AUD!$B2937)</f>
        <v>10841.30457</v>
      </c>
      <c r="D2937" s="1">
        <f>value(EUR!$B2937)</f>
        <v>17034.21477</v>
      </c>
      <c r="E2937" s="1">
        <f>value(GBP!$B2937)</f>
        <v>19086.3385</v>
      </c>
      <c r="F2937" s="1">
        <f>value(CHF!$B2937)</f>
        <v>15258.6135</v>
      </c>
      <c r="G2937" s="1">
        <f>value(SGD!$B2937)</f>
        <v>10866.864</v>
      </c>
      <c r="H2937" s="1">
        <f>value(MYR!$B2937)</f>
        <v>3580.98285</v>
      </c>
      <c r="I2937" s="1">
        <f>value(THB!$B2937)</f>
        <v>435.7576275</v>
      </c>
      <c r="J2937" s="1">
        <f>value(VND!$B2937)</f>
        <v>0.610521535</v>
      </c>
      <c r="K2937" s="1">
        <f>value(CNY!$B2937)</f>
        <v>2106.62127</v>
      </c>
      <c r="L2937" s="1">
        <f>value(HKD!$B2937)</f>
        <v>1891.040855</v>
      </c>
      <c r="M2937" s="1">
        <f>value(TWD!$B2937)</f>
        <v>469.515</v>
      </c>
      <c r="N2937" s="1">
        <f>value(JPY!$B2937)</f>
        <v>130.687956</v>
      </c>
      <c r="O2937" s="1">
        <f>value(SAR!$B2937)</f>
        <v>3746.329106</v>
      </c>
      <c r="P2937" s="1">
        <f>value(AED!$B2937)</f>
        <v>3823.273875</v>
      </c>
      <c r="Q2937" s="1">
        <f>value(KWD!$B2937)</f>
        <v>46575.69815</v>
      </c>
    </row>
    <row r="2938">
      <c r="A2938" s="4">
        <f>value(USD!A2938)</f>
        <v>43303.99861</v>
      </c>
      <c r="B2938" s="1">
        <f>value(USD!B2938)</f>
        <v>14473</v>
      </c>
      <c r="C2938" s="1">
        <f>value(AUD!$B2938)</f>
        <v>10762.567</v>
      </c>
      <c r="D2938" s="1">
        <f>value(EUR!$B2938)</f>
        <v>16992.39172</v>
      </c>
      <c r="E2938" s="1">
        <f>value(GBP!$B2938)</f>
        <v>19125.89383</v>
      </c>
      <c r="F2938" s="1">
        <f>value(CHF!$B2938)</f>
        <v>15251.478</v>
      </c>
      <c r="G2938" s="1">
        <f>value(SGD!$B2938)</f>
        <v>10864.44</v>
      </c>
      <c r="H2938" s="1">
        <f>value(MYR!$B2938)</f>
        <v>3580.705893</v>
      </c>
      <c r="I2938" s="1">
        <f>value(THB!$B2938)</f>
        <v>435.862701</v>
      </c>
      <c r="J2938" s="1">
        <f>value(VND!$B2938)</f>
        <v>0.6092436</v>
      </c>
      <c r="K2938" s="1">
        <f>value(CNY!$B2938)</f>
        <v>2122.4768</v>
      </c>
      <c r="L2938" s="1">
        <f>value(HKD!$B2938)</f>
        <v>1889.93706</v>
      </c>
      <c r="M2938" s="1">
        <f>value(TWD!$B2938)</f>
        <v>468.53</v>
      </c>
      <c r="N2938" s="1">
        <f>value(JPY!$B2938)</f>
        <v>130.7006371</v>
      </c>
      <c r="O2938" s="1">
        <f>value(SAR!$B2938)</f>
        <v>3740.909703</v>
      </c>
      <c r="P2938" s="1">
        <f>value(AED!$B2938)</f>
        <v>3830.15368</v>
      </c>
      <c r="Q2938" s="1">
        <f>value(KWD!$B2938)</f>
        <v>46753.0294</v>
      </c>
    </row>
    <row r="2939">
      <c r="A2939" s="4">
        <f>value(USD!A2939)</f>
        <v>43304.99861</v>
      </c>
      <c r="B2939" s="1">
        <f>value(USD!B2939)</f>
        <v>14567.5</v>
      </c>
      <c r="C2939" s="1">
        <f>value(AUD!$B2939)</f>
        <v>10856.69697</v>
      </c>
      <c r="D2939" s="1">
        <f>value(EUR!$B2939)</f>
        <v>16976.124</v>
      </c>
      <c r="E2939" s="1">
        <f>value(GBP!$B2939)</f>
        <v>19089.4605</v>
      </c>
      <c r="F2939" s="1">
        <f>value(CHF!$B2939)</f>
        <v>15298.3136</v>
      </c>
      <c r="G2939" s="1">
        <f>value(SGD!$B2939)</f>
        <v>10887.5266</v>
      </c>
      <c r="H2939" s="1">
        <f>value(MYR!$B2939)</f>
        <v>3574.3015</v>
      </c>
      <c r="I2939" s="1">
        <f>value(THB!$B2939)</f>
        <v>435.555615</v>
      </c>
      <c r="J2939" s="1">
        <f>value(VND!$B2939)</f>
        <v>0.6091980537</v>
      </c>
      <c r="K2939" s="1">
        <f>value(CNY!$B2939)</f>
        <v>2109.52216</v>
      </c>
      <c r="L2939" s="1">
        <f>value(HKD!$B2939)</f>
        <v>1886.55987</v>
      </c>
      <c r="M2939" s="1">
        <f>value(TWD!$B2939)</f>
        <v>471.89</v>
      </c>
      <c r="N2939" s="1">
        <f>value(JPY!$B2939)</f>
        <v>130.459835</v>
      </c>
      <c r="O2939" s="1">
        <f>value(SAR!$B2939)</f>
        <v>3777.326854</v>
      </c>
      <c r="P2939" s="1">
        <f>value(AED!$B2939)</f>
        <v>3829.94266</v>
      </c>
      <c r="Q2939" s="1">
        <f>value(KWD!$B2939)</f>
        <v>46561.73752</v>
      </c>
    </row>
    <row r="2940">
      <c r="A2940" s="4">
        <f>value(USD!A2940)</f>
        <v>43305.99861</v>
      </c>
      <c r="B2940" s="1">
        <f>value(USD!B2940)</f>
        <v>14543.3</v>
      </c>
      <c r="C2940" s="1">
        <f>value(AUD!$B2940)</f>
        <v>10792.5066</v>
      </c>
      <c r="D2940" s="1">
        <f>value(EUR!$B2940)</f>
        <v>16910.44075</v>
      </c>
      <c r="E2940" s="1">
        <f>value(GBP!$B2940)</f>
        <v>19038.789</v>
      </c>
      <c r="F2940" s="1">
        <f>value(CHF!$B2940)</f>
        <v>15308.9247</v>
      </c>
      <c r="G2940" s="1">
        <f>value(SGD!$B2940)</f>
        <v>10856.01104</v>
      </c>
      <c r="H2940" s="1">
        <f>value(MYR!$B2940)</f>
        <v>3570.68075</v>
      </c>
      <c r="I2940" s="1">
        <f>value(THB!$B2940)</f>
        <v>434.224875</v>
      </c>
      <c r="J2940" s="1">
        <f>value(VND!$B2940)</f>
        <v>0.6091938138</v>
      </c>
      <c r="K2940" s="1">
        <f>value(CNY!$B2940)</f>
        <v>2109.52216</v>
      </c>
      <c r="L2940" s="1">
        <f>value(HKD!$B2940)</f>
        <v>1878.0234</v>
      </c>
      <c r="M2940" s="1">
        <f>value(TWD!$B2940)</f>
        <v>471.89</v>
      </c>
      <c r="N2940" s="1">
        <f>value(JPY!$B2940)</f>
        <v>130.6669</v>
      </c>
      <c r="O2940" s="1">
        <f>value(SAR!$B2940)</f>
        <v>3759.577118</v>
      </c>
      <c r="P2940" s="1">
        <f>value(AED!$B2940)</f>
        <v>3855.261445</v>
      </c>
      <c r="Q2940" s="1">
        <f>value(KWD!$B2940)</f>
        <v>46639.7201</v>
      </c>
    </row>
    <row r="2941">
      <c r="A2941" s="4">
        <f>value(USD!A2941)</f>
        <v>43306.99861</v>
      </c>
      <c r="B2941" s="1">
        <f>value(USD!B2941)</f>
        <v>14465</v>
      </c>
      <c r="C2941" s="1">
        <f>value(AUD!$B2941)</f>
        <v>10757.53296</v>
      </c>
      <c r="D2941" s="1">
        <f>value(EUR!$B2941)</f>
        <v>16776.12882</v>
      </c>
      <c r="E2941" s="1">
        <f>value(GBP!$B2941)</f>
        <v>18837.3891</v>
      </c>
      <c r="F2941" s="1">
        <f>value(CHF!$B2941)</f>
        <v>15308.9573</v>
      </c>
      <c r="G2941" s="1">
        <f>value(SGD!$B2941)</f>
        <v>10846.53136</v>
      </c>
      <c r="H2941" s="1">
        <f>value(MYR!$B2941)</f>
        <v>3537.203136</v>
      </c>
      <c r="I2941" s="1">
        <f>value(THB!$B2941)</f>
        <v>430.938516</v>
      </c>
      <c r="J2941" s="1">
        <f>value(VND!$B2941)</f>
        <v>0.6086175689</v>
      </c>
      <c r="K2941" s="1">
        <f>value(CNY!$B2941)</f>
        <v>2109.52216</v>
      </c>
      <c r="L2941" s="1">
        <f>value(HKD!$B2941)</f>
        <v>1885.94342</v>
      </c>
      <c r="M2941" s="1">
        <f>value(TWD!$B2941)</f>
        <v>471.89</v>
      </c>
      <c r="N2941" s="1">
        <f>value(JPY!$B2941)</f>
        <v>129.439671</v>
      </c>
      <c r="O2941" s="1">
        <f>value(SAR!$B2941)</f>
        <v>3765.538187</v>
      </c>
      <c r="P2941" s="1">
        <f>value(AED!$B2941)</f>
        <v>3895.761375</v>
      </c>
      <c r="Q2941" s="1">
        <f>value(KWD!$B2941)</f>
        <v>46828.7775</v>
      </c>
    </row>
    <row r="2942">
      <c r="A2942" s="4">
        <f>value(USD!A2942)</f>
        <v>43307.99861</v>
      </c>
      <c r="B2942" s="1">
        <f>value(USD!B2942)</f>
        <v>14525</v>
      </c>
      <c r="C2942" s="1">
        <f>value(AUD!$B2942)</f>
        <v>10760.86105</v>
      </c>
      <c r="D2942" s="1">
        <f>value(EUR!$B2942)</f>
        <v>16787.05312</v>
      </c>
      <c r="E2942" s="1">
        <f>value(GBP!$B2942)</f>
        <v>18847.60513</v>
      </c>
      <c r="F2942" s="1">
        <f>value(CHF!$B2942)</f>
        <v>15482.51406</v>
      </c>
      <c r="G2942" s="1">
        <f>value(SGD!$B2942)</f>
        <v>10872.90204</v>
      </c>
      <c r="H2942" s="1">
        <f>value(MYR!$B2942)</f>
        <v>3538.578723</v>
      </c>
      <c r="I2942" s="1">
        <f>value(THB!$B2942)</f>
        <v>431.1061042</v>
      </c>
      <c r="J2942" s="1">
        <f>value(VND!$B2942)</f>
        <v>0.6080528186</v>
      </c>
      <c r="K2942" s="1">
        <f>value(CNY!$B2942)</f>
        <v>2126.28072</v>
      </c>
      <c r="L2942" s="1">
        <f>value(HKD!$B2942)</f>
        <v>1886.85601</v>
      </c>
      <c r="M2942" s="1">
        <f>value(TWD!$B2942)</f>
        <v>472.075</v>
      </c>
      <c r="N2942" s="1">
        <f>value(JPY!$B2942)</f>
        <v>129.4900089</v>
      </c>
      <c r="O2942" s="1">
        <f>value(SAR!$B2942)</f>
        <v>3774.028149</v>
      </c>
      <c r="P2942" s="1">
        <f>value(AED!$B2942)</f>
        <v>3862.374072</v>
      </c>
      <c r="Q2942" s="1">
        <f>value(KWD!$B2942)</f>
        <v>46827.89531</v>
      </c>
    </row>
    <row r="2943">
      <c r="A2943" s="4">
        <f>value(USD!A2943)</f>
        <v>43308.99861</v>
      </c>
      <c r="B2943" s="1">
        <f>value(USD!B2943)</f>
        <v>14374.2</v>
      </c>
      <c r="C2943" s="1">
        <f>value(AUD!$B2943)</f>
        <v>10740.7758</v>
      </c>
      <c r="D2943" s="1">
        <f>value(EUR!$B2943)</f>
        <v>16803.226</v>
      </c>
      <c r="E2943" s="1">
        <f>value(GBP!$B2943)</f>
        <v>18894.11799</v>
      </c>
      <c r="F2943" s="1">
        <f>value(CHF!$B2943)</f>
        <v>15424.5125</v>
      </c>
      <c r="G2943" s="1">
        <f>value(SGD!$B2943)</f>
        <v>10994.68649</v>
      </c>
      <c r="H2943" s="1">
        <f>value(MYR!$B2943)</f>
        <v>3546.25888</v>
      </c>
      <c r="I2943" s="1">
        <f>value(THB!$B2943)</f>
        <v>431.335641</v>
      </c>
      <c r="J2943" s="1">
        <f>value(VND!$B2943)</f>
        <v>0.6140656728</v>
      </c>
      <c r="K2943" s="1">
        <f>value(CNY!$B2943)</f>
        <v>2126.532682</v>
      </c>
      <c r="L2943" s="1">
        <f>value(HKD!$B2943)</f>
        <v>1900.058966</v>
      </c>
      <c r="M2943" s="1">
        <f>value(TWD!$B2943)</f>
        <v>472.075</v>
      </c>
      <c r="N2943" s="1">
        <f>value(JPY!$B2943)</f>
        <v>129.8964307</v>
      </c>
      <c r="O2943" s="1">
        <f>value(SAR!$B2943)</f>
        <v>3769.499398</v>
      </c>
      <c r="P2943" s="1">
        <f>value(AED!$B2943)</f>
        <v>3862.345557</v>
      </c>
      <c r="Q2943" s="1">
        <f>value(KWD!$B2943)</f>
        <v>46856.1375</v>
      </c>
    </row>
    <row r="2944">
      <c r="A2944" s="4">
        <f>value(USD!A2944)</f>
        <v>43309.99861</v>
      </c>
      <c r="B2944" s="1">
        <f>value(USD!B2944)</f>
        <v>14379.79</v>
      </c>
      <c r="C2944" s="1">
        <f>value(AUD!$B2944)</f>
        <v>10621.13771</v>
      </c>
      <c r="D2944" s="1">
        <f>value(EUR!$B2944)</f>
        <v>16861.88016</v>
      </c>
      <c r="E2944" s="1">
        <f>value(GBP!$B2944)</f>
        <v>18917.47632</v>
      </c>
      <c r="F2944" s="1">
        <f>value(CHF!$B2944)</f>
        <v>15379.968</v>
      </c>
      <c r="G2944" s="1">
        <f>value(SGD!$B2944)</f>
        <v>10969.9191</v>
      </c>
      <c r="H2944" s="1">
        <f>value(MYR!$B2944)</f>
        <v>3547.17084</v>
      </c>
      <c r="I2944" s="1">
        <f>value(THB!$B2944)</f>
        <v>432.277239</v>
      </c>
      <c r="J2944" s="1">
        <f>value(VND!$B2944)</f>
        <v>0.6160780912</v>
      </c>
      <c r="K2944" s="1">
        <f>value(CNY!$B2944)</f>
        <v>2130.893205</v>
      </c>
      <c r="L2944" s="1">
        <f>value(HKD!$B2944)</f>
        <v>1895.24516</v>
      </c>
      <c r="M2944" s="1">
        <f>value(TWD!$B2944)</f>
        <v>470.89</v>
      </c>
      <c r="N2944" s="1">
        <f>value(JPY!$B2944)</f>
        <v>129.7479852</v>
      </c>
      <c r="O2944" s="1">
        <f>value(SAR!$B2944)</f>
        <v>3788.707886</v>
      </c>
      <c r="P2944" s="1">
        <f>value(AED!$B2944)</f>
        <v>3858.426345</v>
      </c>
      <c r="Q2944" s="1">
        <f>value(KWD!$B2944)</f>
        <v>46689.7851</v>
      </c>
    </row>
    <row r="2945">
      <c r="A2945" s="4">
        <f>value(USD!A2945)</f>
        <v>43310.99861</v>
      </c>
      <c r="B2945" s="1">
        <f>value(USD!B2945)</f>
        <v>14411</v>
      </c>
      <c r="C2945" s="1">
        <f>value(AUD!$B2945)</f>
        <v>10695.6992</v>
      </c>
      <c r="D2945" s="1">
        <f>value(EUR!$B2945)</f>
        <v>16842.91388</v>
      </c>
      <c r="E2945" s="1">
        <f>value(GBP!$B2945)</f>
        <v>18902.56492</v>
      </c>
      <c r="F2945" s="1">
        <f>value(CHF!$B2945)</f>
        <v>15465.3264</v>
      </c>
      <c r="G2945" s="1">
        <f>value(SGD!$B2945)</f>
        <v>10902.50985</v>
      </c>
      <c r="H2945" s="1">
        <f>value(MYR!$B2945)</f>
        <v>3560.369228</v>
      </c>
      <c r="I2945" s="1">
        <f>value(THB!$B2945)</f>
        <v>433.5296004</v>
      </c>
      <c r="J2945" s="1">
        <f>value(VND!$B2945)</f>
        <v>0.6122085194</v>
      </c>
      <c r="K2945" s="1">
        <f>value(CNY!$B2945)</f>
        <v>2098.267398</v>
      </c>
      <c r="L2945" s="1">
        <f>value(HKD!$B2945)</f>
        <v>1896.456</v>
      </c>
      <c r="M2945" s="1">
        <f>value(TWD!$B2945)</f>
        <v>474.985</v>
      </c>
      <c r="N2945" s="1">
        <f>value(JPY!$B2945)</f>
        <v>128.8470664</v>
      </c>
      <c r="O2945" s="1">
        <f>value(SAR!$B2945)</f>
        <v>3763.683317</v>
      </c>
      <c r="P2945" s="1">
        <f>value(AED!$B2945)</f>
        <v>3865.47649</v>
      </c>
      <c r="Q2945" s="1">
        <f>value(KWD!$B2945)</f>
        <v>46689.7851</v>
      </c>
    </row>
    <row r="2946">
      <c r="A2946" s="4">
        <f>value(USD!A2946)</f>
        <v>43311.99861</v>
      </c>
      <c r="B2946" s="1">
        <f>value(USD!B2946)</f>
        <v>14403</v>
      </c>
      <c r="C2946" s="1">
        <f>value(AUD!$B2946)</f>
        <v>10609.2584</v>
      </c>
      <c r="D2946" s="1">
        <f>value(EUR!$B2946)</f>
        <v>16899.24515</v>
      </c>
      <c r="E2946" s="1">
        <f>value(GBP!$B2946)</f>
        <v>19016.95739</v>
      </c>
      <c r="F2946" s="1">
        <f>value(CHF!$B2946)</f>
        <v>15504.1635</v>
      </c>
      <c r="G2946" s="1">
        <f>value(SGD!$B2946)</f>
        <v>10892.035</v>
      </c>
      <c r="H2946" s="1">
        <f>value(MYR!$B2946)</f>
        <v>3560.81664</v>
      </c>
      <c r="I2946" s="1">
        <f>value(THB!$B2946)</f>
        <v>436.944773</v>
      </c>
      <c r="J2946" s="1">
        <f>value(VND!$B2946)</f>
        <v>0.6107829665</v>
      </c>
      <c r="K2946" s="1">
        <f>value(CNY!$B2946)</f>
        <v>2104.72655</v>
      </c>
      <c r="L2946" s="1">
        <f>value(HKD!$B2946)</f>
        <v>1890.93168</v>
      </c>
      <c r="M2946" s="1">
        <f>value(TWD!$B2946)</f>
        <v>473.52</v>
      </c>
      <c r="N2946" s="1">
        <f>value(JPY!$B2946)</f>
        <v>129.777973</v>
      </c>
      <c r="O2946" s="1">
        <f>value(SAR!$B2946)</f>
        <v>3746.129136</v>
      </c>
      <c r="P2946" s="1">
        <f>value(AED!$B2946)</f>
        <v>3879.451065</v>
      </c>
      <c r="Q2946" s="1">
        <f>value(KWD!$B2946)</f>
        <v>46801.43247</v>
      </c>
    </row>
    <row r="2947">
      <c r="A2947" s="4">
        <f>value(USD!A2947)</f>
        <v>43312.99861</v>
      </c>
      <c r="B2947" s="1">
        <f>value(USD!B2947)</f>
        <v>14409.2</v>
      </c>
      <c r="C2947" s="1">
        <f>value(AUD!$B2947)</f>
        <v>10609.2584</v>
      </c>
      <c r="D2947" s="1">
        <f>value(EUR!$B2947)</f>
        <v>16819.6743</v>
      </c>
      <c r="E2947" s="1">
        <f>value(GBP!$B2947)</f>
        <v>18901.9857</v>
      </c>
      <c r="F2947" s="1">
        <f>value(CHF!$B2947)</f>
        <v>15459.2844</v>
      </c>
      <c r="G2947" s="1">
        <f>value(SGD!$B2947)</f>
        <v>10896.78946</v>
      </c>
      <c r="H2947" s="1">
        <f>value(MYR!$B2947)</f>
        <v>3565.34113</v>
      </c>
      <c r="I2947" s="1">
        <f>value(THB!$B2947)</f>
        <v>435.804252</v>
      </c>
      <c r="J2947" s="1">
        <f>value(VND!$B2947)</f>
        <v>0.6107829665</v>
      </c>
      <c r="K2947" s="1">
        <f>value(CNY!$B2947)</f>
        <v>2102.09765</v>
      </c>
      <c r="L2947" s="1">
        <f>value(HKD!$B2947)</f>
        <v>1900.8458</v>
      </c>
      <c r="M2947" s="1">
        <f>value(TWD!$B2947)</f>
        <v>473.52</v>
      </c>
      <c r="N2947" s="1">
        <f>value(JPY!$B2947)</f>
        <v>129.977471</v>
      </c>
      <c r="O2947" s="1">
        <f>value(SAR!$B2947)</f>
        <v>3769.75647</v>
      </c>
      <c r="P2947" s="1">
        <f>value(AED!$B2947)</f>
        <v>3878.286087</v>
      </c>
      <c r="Q2947" s="1">
        <f>value(KWD!$B2947)</f>
        <v>46998.95725</v>
      </c>
    </row>
    <row r="2948">
      <c r="A2948" s="4">
        <f>value(USD!A2948)</f>
        <v>43313.99861</v>
      </c>
      <c r="B2948" s="1">
        <f>value(USD!B2948)</f>
        <v>14489</v>
      </c>
      <c r="C2948" s="1">
        <f>value(AUD!$B2948)</f>
        <v>10606.3228</v>
      </c>
      <c r="D2948" s="1">
        <f>value(EUR!$B2948)</f>
        <v>16761.87616</v>
      </c>
      <c r="E2948" s="1">
        <f>value(GBP!$B2948)</f>
        <v>18815.68</v>
      </c>
      <c r="F2948" s="1">
        <f>value(CHF!$B2948)</f>
        <v>15450.3972</v>
      </c>
      <c r="G2948" s="1">
        <f>value(SGD!$B2948)</f>
        <v>10971.74823</v>
      </c>
      <c r="H2948" s="1">
        <f>value(MYR!$B2948)</f>
        <v>3543.13728</v>
      </c>
      <c r="I2948" s="1">
        <f>value(THB!$B2948)</f>
        <v>435.4816768</v>
      </c>
      <c r="J2948" s="1">
        <f>value(VND!$B2948)</f>
        <v>0.6110055811</v>
      </c>
      <c r="K2948" s="1">
        <f>value(CNY!$B2948)</f>
        <v>2104.72655</v>
      </c>
      <c r="L2948" s="1">
        <f>value(HKD!$B2948)</f>
        <v>1896.6766</v>
      </c>
      <c r="M2948" s="1">
        <f>value(TWD!$B2948)</f>
        <v>473.52</v>
      </c>
      <c r="N2948" s="1">
        <f>value(JPY!$B2948)</f>
        <v>130.0756905</v>
      </c>
      <c r="O2948" s="1">
        <f>value(SAR!$B2948)</f>
        <v>3739.846239</v>
      </c>
      <c r="P2948" s="1">
        <f>value(AED!$B2948)</f>
        <v>3879.49125</v>
      </c>
      <c r="Q2948" s="1">
        <f>value(KWD!$B2948)</f>
        <v>47168.77362</v>
      </c>
    </row>
    <row r="2949">
      <c r="A2949" s="4">
        <f>value(USD!A2949)</f>
        <v>43314.99861</v>
      </c>
      <c r="B2949" s="1">
        <f>value(USD!B2949)</f>
        <v>14521</v>
      </c>
      <c r="C2949" s="1">
        <f>value(AUD!$B2949)</f>
        <v>10624.88808</v>
      </c>
      <c r="D2949" s="1">
        <f>value(EUR!$B2949)</f>
        <v>16806.16853</v>
      </c>
      <c r="E2949" s="1">
        <f>value(GBP!$B2949)</f>
        <v>18863.48965</v>
      </c>
      <c r="F2949" s="1">
        <f>value(CHF!$B2949)</f>
        <v>15404.9126</v>
      </c>
      <c r="G2949" s="1">
        <f>value(SGD!$B2949)</f>
        <v>10951.87464</v>
      </c>
      <c r="H2949" s="1">
        <f>value(MYR!$B2949)</f>
        <v>3551.58288</v>
      </c>
      <c r="I2949" s="1">
        <f>value(THB!$B2949)</f>
        <v>436.5197128</v>
      </c>
      <c r="J2949" s="1">
        <f>value(VND!$B2949)</f>
        <v>0.6074131941</v>
      </c>
      <c r="K2949" s="1">
        <f>value(CNY!$B2949)</f>
        <v>2110.428381</v>
      </c>
      <c r="L2949" s="1">
        <f>value(HKD!$B2949)</f>
        <v>1896.23224</v>
      </c>
      <c r="M2949" s="1">
        <f>value(TWD!$B2949)</f>
        <v>472.805</v>
      </c>
      <c r="N2949" s="1">
        <f>value(JPY!$B2949)</f>
        <v>130.3857455</v>
      </c>
      <c r="O2949" s="1">
        <f>value(SAR!$B2949)</f>
        <v>3737.752895</v>
      </c>
      <c r="P2949" s="1">
        <f>value(AED!$B2949)</f>
        <v>3866.56551</v>
      </c>
      <c r="Q2949" s="1">
        <f>value(KWD!$B2949)</f>
        <v>46994.09775</v>
      </c>
    </row>
    <row r="2950">
      <c r="A2950" s="4">
        <f>value(USD!A2950)</f>
        <v>43315.99861</v>
      </c>
      <c r="B2950" s="1">
        <f>value(USD!B2950)</f>
        <v>14473.6</v>
      </c>
      <c r="C2950" s="1">
        <f>value(AUD!$B2950)</f>
        <v>10697.3145</v>
      </c>
      <c r="D2950" s="1">
        <f>value(EUR!$B2950)</f>
        <v>16748.42348</v>
      </c>
      <c r="E2950" s="1">
        <f>value(GBP!$B2950)</f>
        <v>18835.27664</v>
      </c>
      <c r="F2950" s="1">
        <f>value(CHF!$B2950)</f>
        <v>15560.77185</v>
      </c>
      <c r="G2950" s="1">
        <f>value(SGD!$B2950)</f>
        <v>10960.32662</v>
      </c>
      <c r="H2950" s="1">
        <f>value(MYR!$B2950)</f>
        <v>3546.1728</v>
      </c>
      <c r="I2950" s="1">
        <f>value(THB!$B2950)</f>
        <v>435.130468</v>
      </c>
      <c r="J2950" s="1">
        <f>value(VND!$B2950)</f>
        <v>0.6049753319</v>
      </c>
      <c r="K2950" s="1">
        <f>value(CNY!$B2950)</f>
        <v>2111.072628</v>
      </c>
      <c r="L2950" s="1">
        <f>value(HKD!$B2950)</f>
        <v>1902.35661</v>
      </c>
      <c r="M2950" s="1">
        <f>value(TWD!$B2950)</f>
        <v>470.165</v>
      </c>
      <c r="N2950" s="1">
        <f>value(JPY!$B2950)</f>
        <v>130.2247942</v>
      </c>
      <c r="O2950" s="1">
        <f>value(SAR!$B2950)</f>
        <v>3746.833337</v>
      </c>
      <c r="P2950" s="1">
        <f>value(AED!$B2950)</f>
        <v>3866.56551</v>
      </c>
      <c r="Q2950" s="1">
        <f>value(KWD!$B2950)</f>
        <v>47160.5575</v>
      </c>
    </row>
    <row r="2951">
      <c r="A2951" s="4">
        <f>value(USD!A2951)</f>
        <v>43316.99861</v>
      </c>
      <c r="B2951" s="1">
        <f>value(USD!B2951)</f>
        <v>14508.1</v>
      </c>
      <c r="C2951" s="1">
        <f>value(AUD!$B2951)</f>
        <v>10711.49723</v>
      </c>
      <c r="D2951" s="1">
        <f>value(EUR!$B2951)</f>
        <v>16807.69181</v>
      </c>
      <c r="E2951" s="1">
        <f>value(GBP!$B2951)</f>
        <v>18822.95689</v>
      </c>
      <c r="F2951" s="1">
        <f>value(CHF!$B2951)</f>
        <v>15525.9585</v>
      </c>
      <c r="G2951" s="1">
        <f>value(SGD!$B2951)</f>
        <v>11157.73857</v>
      </c>
      <c r="H2951" s="1">
        <f>value(MYR!$B2951)</f>
        <v>3563.253933</v>
      </c>
      <c r="I2951" s="1">
        <f>value(THB!$B2951)</f>
        <v>435.862701</v>
      </c>
      <c r="J2951" s="1">
        <f>value(VND!$B2951)</f>
        <v>0.605285752</v>
      </c>
      <c r="K2951" s="1">
        <f>value(CNY!$B2951)</f>
        <v>2111.6942</v>
      </c>
      <c r="L2951" s="1">
        <f>value(HKD!$B2951)</f>
        <v>1923.202645</v>
      </c>
      <c r="M2951" s="1">
        <f>value(TWD!$B2951)</f>
        <v>465.765</v>
      </c>
      <c r="N2951" s="1">
        <f>value(JPY!$B2951)</f>
        <v>130.598834</v>
      </c>
      <c r="O2951" s="1">
        <f>value(SAR!$B2951)</f>
        <v>3740.655659</v>
      </c>
      <c r="P2951" s="1">
        <f>value(AED!$B2951)</f>
        <v>3876.123051</v>
      </c>
      <c r="Q2951" s="1">
        <f>value(KWD!$B2951)</f>
        <v>47066.04857</v>
      </c>
    </row>
    <row r="2952">
      <c r="A2952" s="4">
        <f>value(USD!A2952)</f>
        <v>43317.99861</v>
      </c>
      <c r="B2952" s="1">
        <f>value(USD!B2952)</f>
        <v>14486</v>
      </c>
      <c r="C2952" s="1">
        <f>value(AUD!$B2952)</f>
        <v>10588.46686</v>
      </c>
      <c r="D2952" s="1">
        <f>value(EUR!$B2952)</f>
        <v>16730.9622</v>
      </c>
      <c r="E2952" s="1">
        <f>value(GBP!$B2952)</f>
        <v>18669.279</v>
      </c>
      <c r="F2952" s="1">
        <f>value(CHF!$B2952)</f>
        <v>15267.89992</v>
      </c>
      <c r="G2952" s="1">
        <f>value(SGD!$B2952)</f>
        <v>10922.1182</v>
      </c>
      <c r="H2952" s="1">
        <f>value(MYR!$B2952)</f>
        <v>3536.13018</v>
      </c>
      <c r="I2952" s="1">
        <f>value(THB!$B2952)</f>
        <v>434.405062</v>
      </c>
      <c r="J2952" s="1">
        <f>value(VND!$B2952)</f>
        <v>0.6061135171</v>
      </c>
      <c r="K2952" s="1">
        <f>value(CNY!$B2952)</f>
        <v>2105.904</v>
      </c>
      <c r="L2952" s="1">
        <f>value(HKD!$B2952)</f>
        <v>1918.22985</v>
      </c>
      <c r="M2952" s="1">
        <f>value(TWD!$B2952)</f>
        <v>468.105</v>
      </c>
      <c r="N2952" s="1">
        <f>value(JPY!$B2952)</f>
        <v>129.5110022</v>
      </c>
      <c r="O2952" s="1">
        <f>value(SAR!$B2952)</f>
        <v>3726.641683</v>
      </c>
      <c r="P2952" s="1">
        <f>value(AED!$B2952)</f>
        <v>3891.197785</v>
      </c>
      <c r="Q2952" s="1">
        <f>value(KWD!$B2952)</f>
        <v>47066.04857</v>
      </c>
    </row>
    <row r="2953">
      <c r="A2953" s="4">
        <f>value(USD!A2953)</f>
        <v>43318.99861</v>
      </c>
      <c r="B2953" s="1">
        <f>value(USD!B2953)</f>
        <v>14543.3</v>
      </c>
      <c r="C2953" s="1">
        <f>value(AUD!$B2953)</f>
        <v>10714.228</v>
      </c>
      <c r="D2953" s="1">
        <f>value(EUR!$B2953)</f>
        <v>16716.078</v>
      </c>
      <c r="E2953" s="1">
        <f>value(GBP!$B2953)</f>
        <v>18541.88838</v>
      </c>
      <c r="F2953" s="1">
        <f>value(CHF!$B2953)</f>
        <v>15172.91</v>
      </c>
      <c r="G2953" s="1">
        <f>value(SGD!$B2953)</f>
        <v>10986.46809</v>
      </c>
      <c r="H2953" s="1">
        <f>value(MYR!$B2953)</f>
        <v>3531.1095</v>
      </c>
      <c r="I2953" s="1">
        <f>value(THB!$B2953)</f>
        <v>433.494984</v>
      </c>
      <c r="J2953" s="1">
        <f>value(VND!$B2953)</f>
        <v>0.603266405</v>
      </c>
      <c r="K2953" s="1">
        <f>value(CNY!$B2953)</f>
        <v>2091.2987</v>
      </c>
      <c r="L2953" s="1">
        <f>value(HKD!$B2953)</f>
        <v>1908.711272</v>
      </c>
      <c r="M2953" s="1">
        <f>value(TWD!$B2953)</f>
        <v>464.455</v>
      </c>
      <c r="N2953" s="1">
        <f>value(JPY!$B2953)</f>
        <v>129.79797</v>
      </c>
      <c r="O2953" s="1">
        <f>value(SAR!$B2953)</f>
        <v>3741.324011</v>
      </c>
      <c r="P2953" s="1">
        <f>value(AED!$B2953)</f>
        <v>3907.396362</v>
      </c>
      <c r="Q2953" s="1">
        <f>value(KWD!$B2953)</f>
        <v>47106.20107</v>
      </c>
    </row>
    <row r="2954">
      <c r="A2954" s="4">
        <f>value(USD!A2954)</f>
        <v>43319.99861</v>
      </c>
      <c r="B2954" s="1">
        <f>value(USD!B2954)</f>
        <v>14422</v>
      </c>
      <c r="C2954" s="1">
        <f>value(AUD!$B2954)</f>
        <v>10711.307</v>
      </c>
      <c r="D2954" s="1">
        <f>value(EUR!$B2954)</f>
        <v>16676.37504</v>
      </c>
      <c r="E2954" s="1">
        <f>value(GBP!$B2954)</f>
        <v>18563.958</v>
      </c>
      <c r="F2954" s="1">
        <f>value(CHF!$B2954)</f>
        <v>15181.37362</v>
      </c>
      <c r="G2954" s="1">
        <f>value(SGD!$B2954)</f>
        <v>10964.76845</v>
      </c>
      <c r="H2954" s="1">
        <f>value(MYR!$B2954)</f>
        <v>3549.258</v>
      </c>
      <c r="I2954" s="1">
        <f>value(THB!$B2954)</f>
        <v>435.2454</v>
      </c>
      <c r="J2954" s="1">
        <f>value(VND!$B2954)</f>
        <v>0.603266405</v>
      </c>
      <c r="K2954" s="1">
        <f>value(CNY!$B2954)</f>
        <v>2090.53931</v>
      </c>
      <c r="L2954" s="1">
        <f>value(HKD!$B2954)</f>
        <v>1902.0486</v>
      </c>
      <c r="M2954" s="1">
        <f>value(TWD!$B2954)</f>
        <v>464.455</v>
      </c>
      <c r="N2954" s="1">
        <f>value(JPY!$B2954)</f>
        <v>130.248</v>
      </c>
      <c r="O2954" s="1">
        <f>value(SAR!$B2954)</f>
        <v>3789.411781</v>
      </c>
      <c r="P2954" s="1">
        <f>value(AED!$B2954)</f>
        <v>3891.742275</v>
      </c>
      <c r="Q2954" s="1">
        <f>value(KWD!$B2954)</f>
        <v>47688.04796</v>
      </c>
    </row>
    <row r="2955">
      <c r="A2955" s="4">
        <f>value(USD!A2955)</f>
        <v>43320.99861</v>
      </c>
      <c r="B2955" s="1">
        <f>value(USD!B2955)</f>
        <v>14398</v>
      </c>
      <c r="C2955" s="1">
        <f>value(AUD!$B2955)</f>
        <v>10682.097</v>
      </c>
      <c r="D2955" s="1">
        <f>value(EUR!$B2955)</f>
        <v>16535.3238</v>
      </c>
      <c r="E2955" s="1">
        <f>value(GBP!$B2955)</f>
        <v>18485.5104</v>
      </c>
      <c r="F2955" s="1">
        <f>value(CHF!$B2955)</f>
        <v>15182.1576</v>
      </c>
      <c r="G2955" s="1">
        <f>value(SGD!$B2955)</f>
        <v>11124.806</v>
      </c>
      <c r="H2955" s="1">
        <f>value(MYR!$B2955)</f>
        <v>3542.0427</v>
      </c>
      <c r="I2955" s="1">
        <f>value(THB!$B2955)</f>
        <v>434.615082</v>
      </c>
      <c r="J2955" s="1">
        <f>value(VND!$B2955)</f>
        <v>0.6034842282</v>
      </c>
      <c r="K2955" s="1">
        <f>value(CNY!$B2955)</f>
        <v>2091.2987</v>
      </c>
      <c r="L2955" s="1">
        <f>value(HKD!$B2955)</f>
        <v>1903.58148</v>
      </c>
      <c r="M2955" s="1">
        <f>value(TWD!$B2955)</f>
        <v>464.455</v>
      </c>
      <c r="N2955" s="1">
        <f>value(JPY!$B2955)</f>
        <v>130.5741864</v>
      </c>
      <c r="O2955" s="1">
        <f>value(SAR!$B2955)</f>
        <v>3781.818625</v>
      </c>
      <c r="P2955" s="1">
        <f>value(AED!$B2955)</f>
        <v>3906.71575</v>
      </c>
      <c r="Q2955" s="1">
        <f>value(KWD!$B2955)</f>
        <v>47425.638</v>
      </c>
    </row>
    <row r="2956">
      <c r="A2956" s="4">
        <f>value(USD!A2956)</f>
        <v>43321.99861</v>
      </c>
      <c r="B2956" s="1">
        <f>value(USD!B2956)</f>
        <v>14472</v>
      </c>
      <c r="C2956" s="1">
        <f>value(AUD!$B2956)</f>
        <v>10688.41201</v>
      </c>
      <c r="D2956" s="1">
        <f>value(EUR!$B2956)</f>
        <v>16555.55798</v>
      </c>
      <c r="E2956" s="1">
        <f>value(GBP!$B2956)</f>
        <v>18506.05313</v>
      </c>
      <c r="F2956" s="1">
        <f>value(CHF!$B2956)</f>
        <v>15303.33531</v>
      </c>
      <c r="G2956" s="1">
        <f>value(SGD!$B2956)</f>
        <v>11012.77489</v>
      </c>
      <c r="H2956" s="1">
        <f>value(MYR!$B2956)</f>
        <v>3545.445781</v>
      </c>
      <c r="I2956" s="1">
        <f>value(THB!$B2956)</f>
        <v>435.0326462</v>
      </c>
      <c r="J2956" s="1">
        <f>value(VND!$B2956)</f>
        <v>0.60470751</v>
      </c>
      <c r="K2956" s="1">
        <f>value(CNY!$B2956)</f>
        <v>2089.985103</v>
      </c>
      <c r="L2956" s="1">
        <f>value(HKD!$B2956)</f>
        <v>1922.758009</v>
      </c>
      <c r="M2956" s="1">
        <f>value(TWD!$B2956)</f>
        <v>458.27</v>
      </c>
      <c r="N2956" s="1">
        <f>value(JPY!$B2956)</f>
        <v>130.6996379</v>
      </c>
      <c r="O2956" s="1">
        <f>value(SAR!$B2956)</f>
        <v>3764.341705</v>
      </c>
      <c r="P2956" s="1">
        <f>value(AED!$B2956)</f>
        <v>3898.412277</v>
      </c>
      <c r="Q2956" s="1">
        <f>value(KWD!$B2956)</f>
        <v>47812.29395</v>
      </c>
    </row>
    <row r="2957">
      <c r="A2957" s="4">
        <f>value(USD!A2957)</f>
        <v>43322.99861</v>
      </c>
      <c r="B2957" s="1">
        <f>value(USD!B2957)</f>
        <v>14478</v>
      </c>
      <c r="C2957" s="1">
        <f>value(AUD!$B2957)</f>
        <v>10581.46559</v>
      </c>
      <c r="D2957" s="1">
        <f>value(EUR!$B2957)</f>
        <v>16488.07579</v>
      </c>
      <c r="E2957" s="1">
        <f>value(GBP!$B2957)</f>
        <v>18463.78502</v>
      </c>
      <c r="F2957" s="1">
        <f>value(CHF!$B2957)</f>
        <v>15281.6156</v>
      </c>
      <c r="G2957" s="1">
        <f>value(SGD!$B2957)</f>
        <v>10988.53152</v>
      </c>
      <c r="H2957" s="1">
        <f>value(MYR!$B2957)</f>
        <v>3538.6485</v>
      </c>
      <c r="I2957" s="1">
        <f>value(THB!$B2957)</f>
        <v>434.363676</v>
      </c>
      <c r="J2957" s="1">
        <f>value(VND!$B2957)</f>
        <v>0.6084004423</v>
      </c>
      <c r="K2957" s="1">
        <f>value(CNY!$B2957)</f>
        <v>2096.394165</v>
      </c>
      <c r="L2957" s="1">
        <f>value(HKD!$B2957)</f>
        <v>1919.14956</v>
      </c>
      <c r="M2957" s="1">
        <f>value(TWD!$B2957)</f>
        <v>457.79</v>
      </c>
      <c r="N2957" s="1">
        <f>value(JPY!$B2957)</f>
        <v>130.806974</v>
      </c>
      <c r="O2957" s="1">
        <f>value(SAR!$B2957)</f>
        <v>3763.698832</v>
      </c>
      <c r="P2957" s="1">
        <f>value(AED!$B2957)</f>
        <v>3898.412277</v>
      </c>
      <c r="Q2957" s="1">
        <f>value(KWD!$B2957)</f>
        <v>47904.90787</v>
      </c>
    </row>
    <row r="2958">
      <c r="A2958" s="4">
        <f>value(USD!A2958)</f>
        <v>43323.99861</v>
      </c>
      <c r="B2958" s="1">
        <f>value(USD!B2958)</f>
        <v>14491.91</v>
      </c>
      <c r="C2958" s="1">
        <f>value(AUD!$B2958)</f>
        <v>10618.454</v>
      </c>
      <c r="D2958" s="1">
        <f>value(EUR!$B2958)</f>
        <v>16637.59782</v>
      </c>
      <c r="E2958" s="1">
        <f>value(GBP!$B2958)</f>
        <v>18624.1331</v>
      </c>
      <c r="F2958" s="1">
        <f>value(CHF!$B2958)</f>
        <v>15262.58448</v>
      </c>
      <c r="G2958" s="1">
        <f>value(SGD!$B2958)</f>
        <v>11115.02179</v>
      </c>
      <c r="H2958" s="1">
        <f>value(MYR!$B2958)</f>
        <v>3558.16314</v>
      </c>
      <c r="I2958" s="1">
        <f>value(THB!$B2958)</f>
        <v>436.973548</v>
      </c>
      <c r="J2958" s="1">
        <f>value(VND!$B2958)</f>
        <v>0.608438315</v>
      </c>
      <c r="K2958" s="1">
        <f>value(CNY!$B2958)</f>
        <v>2079.030044</v>
      </c>
      <c r="L2958" s="1">
        <f>value(HKD!$B2958)</f>
        <v>1931.459136</v>
      </c>
      <c r="M2958" s="1">
        <f>value(TWD!$B2958)</f>
        <v>458.535</v>
      </c>
      <c r="N2958" s="1">
        <f>value(JPY!$B2958)</f>
        <v>131.8670058</v>
      </c>
      <c r="O2958" s="1">
        <f>value(SAR!$B2958)</f>
        <v>3789.595701</v>
      </c>
      <c r="P2958" s="1">
        <f>value(AED!$B2958)</f>
        <v>3900.049723</v>
      </c>
      <c r="Q2958" s="1">
        <f>value(KWD!$B2958)</f>
        <v>47678.409</v>
      </c>
    </row>
    <row r="2959">
      <c r="A2959" s="4">
        <f>value(USD!A2959)</f>
        <v>43324.99861</v>
      </c>
      <c r="B2959" s="1">
        <f>value(USD!B2959)</f>
        <v>14473</v>
      </c>
      <c r="C2959" s="1">
        <f>value(AUD!$B2959)</f>
        <v>10584.27</v>
      </c>
      <c r="D2959" s="1">
        <f>value(EUR!$B2959)</f>
        <v>16611.349</v>
      </c>
      <c r="E2959" s="1">
        <f>value(GBP!$B2959)</f>
        <v>18620.9635</v>
      </c>
      <c r="F2959" s="1">
        <f>value(CHF!$B2959)</f>
        <v>15541.41654</v>
      </c>
      <c r="G2959" s="1">
        <f>value(SGD!$B2959)</f>
        <v>11018.66595</v>
      </c>
      <c r="H2959" s="1">
        <f>value(MYR!$B2959)</f>
        <v>3570.30528</v>
      </c>
      <c r="I2959" s="1">
        <f>value(THB!$B2959)</f>
        <v>439.567482</v>
      </c>
      <c r="J2959" s="1">
        <f>value(VND!$B2959)</f>
        <v>0.6092251271</v>
      </c>
      <c r="K2959" s="1">
        <f>value(CNY!$B2959)</f>
        <v>2067.55112</v>
      </c>
      <c r="L2959" s="1">
        <f>value(HKD!$B2959)</f>
        <v>1966.637907</v>
      </c>
      <c r="M2959" s="1">
        <f>value(TWD!$B2959)</f>
        <v>455.86</v>
      </c>
      <c r="N2959" s="1">
        <f>value(JPY!$B2959)</f>
        <v>131.587654</v>
      </c>
      <c r="O2959" s="1">
        <f>value(SAR!$B2959)</f>
        <v>3774.226652</v>
      </c>
      <c r="P2959" s="1">
        <f>value(AED!$B2959)</f>
        <v>3948.069765</v>
      </c>
      <c r="Q2959" s="1">
        <f>value(KWD!$B2959)</f>
        <v>47678.409</v>
      </c>
    </row>
    <row r="2960">
      <c r="A2960" s="4">
        <f>value(USD!A2960)</f>
        <v>43325.99861</v>
      </c>
      <c r="B2960" s="1">
        <f>value(USD!B2960)</f>
        <v>14594</v>
      </c>
      <c r="C2960" s="1">
        <f>value(AUD!$B2960)</f>
        <v>10514.6255</v>
      </c>
      <c r="D2960" s="1">
        <f>value(EUR!$B2960)</f>
        <v>16506.71387</v>
      </c>
      <c r="E2960" s="1">
        <f>value(GBP!$B2960)</f>
        <v>18472.76578</v>
      </c>
      <c r="F2960" s="1">
        <f>value(CHF!$B2960)</f>
        <v>15226.84925</v>
      </c>
      <c r="G2960" s="1">
        <f>value(SGD!$B2960)</f>
        <v>11022.3495</v>
      </c>
      <c r="H2960" s="1">
        <f>value(MYR!$B2960)</f>
        <v>3545.06509</v>
      </c>
      <c r="I2960" s="1">
        <f>value(THB!$B2960)</f>
        <v>436.2227702</v>
      </c>
      <c r="J2960" s="1">
        <f>value(VND!$B2960)</f>
        <v>0.605066217</v>
      </c>
      <c r="K2960" s="1">
        <f>value(CNY!$B2960)</f>
        <v>2057.56944</v>
      </c>
      <c r="L2960" s="1">
        <f>value(HKD!$B2960)</f>
        <v>1928.170225</v>
      </c>
      <c r="M2960" s="1">
        <f>value(TWD!$B2960)</f>
        <v>456.73</v>
      </c>
      <c r="N2960" s="1">
        <f>value(JPY!$B2960)</f>
        <v>131.6208215</v>
      </c>
      <c r="O2960" s="1">
        <f>value(SAR!$B2960)</f>
        <v>3791.291932</v>
      </c>
      <c r="P2960" s="1">
        <f>value(AED!$B2960)</f>
        <v>3928.49535</v>
      </c>
      <c r="Q2960" s="1">
        <f>value(KWD!$B2960)</f>
        <v>47493.8265</v>
      </c>
    </row>
    <row r="2961">
      <c r="A2961" s="4">
        <f>value(USD!A2961)</f>
        <v>43326.99861</v>
      </c>
      <c r="B2961" s="1">
        <f>value(USD!B2961)</f>
        <v>14642</v>
      </c>
      <c r="C2961" s="1">
        <f>value(AUD!$B2961)</f>
        <v>10523.24916</v>
      </c>
      <c r="D2961" s="1">
        <f>value(EUR!$B2961)</f>
        <v>16599.6301</v>
      </c>
      <c r="E2961" s="1">
        <f>value(GBP!$B2961)</f>
        <v>18557.59433</v>
      </c>
      <c r="F2961" s="1">
        <f>value(CHF!$B2961)</f>
        <v>15337.37755</v>
      </c>
      <c r="G2961" s="1">
        <f>value(SGD!$B2961)</f>
        <v>11037.23213</v>
      </c>
      <c r="H2961" s="1">
        <f>value(MYR!$B2961)</f>
        <v>3553.737198</v>
      </c>
      <c r="I2961" s="1">
        <f>value(THB!$B2961)</f>
        <v>439.6660362</v>
      </c>
      <c r="J2961" s="1">
        <f>value(VND!$B2961)</f>
        <v>0.6037145998</v>
      </c>
      <c r="K2961" s="1">
        <f>value(CNY!$B2961)</f>
        <v>2064.736573</v>
      </c>
      <c r="L2961" s="1">
        <f>value(HKD!$B2961)</f>
        <v>1939.360631</v>
      </c>
      <c r="M2961" s="1">
        <f>value(TWD!$B2961)</f>
        <v>456.73</v>
      </c>
      <c r="N2961" s="1">
        <f>value(JPY!$B2961)</f>
        <v>131.4749916</v>
      </c>
      <c r="O2961" s="1">
        <f>value(SAR!$B2961)</f>
        <v>3797.566872</v>
      </c>
      <c r="P2961" s="1">
        <f>value(AED!$B2961)</f>
        <v>3959.259035</v>
      </c>
      <c r="Q2961" s="1">
        <f>value(KWD!$B2961)</f>
        <v>47501.29825</v>
      </c>
    </row>
    <row r="2962">
      <c r="A2962" s="4">
        <f>value(USD!A2962)</f>
        <v>43327.99861</v>
      </c>
      <c r="B2962" s="1">
        <f>value(USD!B2962)</f>
        <v>14555.8</v>
      </c>
      <c r="C2962" s="1">
        <f>value(AUD!$B2962)</f>
        <v>10507.359</v>
      </c>
      <c r="D2962" s="1">
        <f>value(EUR!$B2962)</f>
        <v>16687.4366</v>
      </c>
      <c r="E2962" s="1">
        <f>value(GBP!$B2962)</f>
        <v>18594.239</v>
      </c>
      <c r="F2962" s="1">
        <f>value(CHF!$B2962)</f>
        <v>15302.27396</v>
      </c>
      <c r="G2962" s="1">
        <f>value(SGD!$B2962)</f>
        <v>11050.78048</v>
      </c>
      <c r="H2962" s="1">
        <f>value(MYR!$B2962)</f>
        <v>3551.34658</v>
      </c>
      <c r="I2962" s="1">
        <f>value(THB!$B2962)</f>
        <v>439.278874</v>
      </c>
      <c r="J2962" s="1">
        <f>value(VND!$B2962)</f>
        <v>0.6050414829</v>
      </c>
      <c r="K2962" s="1">
        <f>value(CNY!$B2962)</f>
        <v>2054.04928</v>
      </c>
      <c r="L2962" s="1">
        <f>value(HKD!$B2962)</f>
        <v>1936.165838</v>
      </c>
      <c r="M2962" s="1">
        <f>value(TWD!$B2962)</f>
        <v>456.73</v>
      </c>
      <c r="N2962" s="1">
        <f>value(JPY!$B2962)</f>
        <v>131.9032018</v>
      </c>
      <c r="O2962" s="1">
        <f>value(SAR!$B2962)</f>
        <v>3813.000385</v>
      </c>
      <c r="P2962" s="1">
        <f>value(AED!$B2962)</f>
        <v>3967.363125</v>
      </c>
      <c r="Q2962" s="1">
        <f>value(KWD!$B2962)</f>
        <v>47484.346</v>
      </c>
    </row>
    <row r="2963">
      <c r="A2963" s="4">
        <f>value(USD!A2963)</f>
        <v>43328.99861</v>
      </c>
      <c r="B2963" s="1">
        <f>value(USD!B2963)</f>
        <v>14598.6</v>
      </c>
      <c r="C2963" s="1">
        <f>value(AUD!$B2963)</f>
        <v>10492.48933</v>
      </c>
      <c r="D2963" s="1">
        <f>value(EUR!$B2963)</f>
        <v>16693.67428</v>
      </c>
      <c r="E2963" s="1">
        <f>value(GBP!$B2963)</f>
        <v>18599.25586</v>
      </c>
      <c r="F2963" s="1">
        <f>value(CHF!$B2963)</f>
        <v>15518.58</v>
      </c>
      <c r="G2963" s="1">
        <f>value(SGD!$B2963)</f>
        <v>11073.18114</v>
      </c>
      <c r="H2963" s="1">
        <f>value(MYR!$B2963)</f>
        <v>3551.733919</v>
      </c>
      <c r="I2963" s="1">
        <f>value(THB!$B2963)</f>
        <v>439.3267854</v>
      </c>
      <c r="J2963" s="1">
        <f>value(VND!$B2963)</f>
        <v>0.6043328712</v>
      </c>
      <c r="K2963" s="1">
        <f>value(CNY!$B2963)</f>
        <v>2068.25</v>
      </c>
      <c r="L2963" s="1">
        <f>value(HKD!$B2963)</f>
        <v>1967.196</v>
      </c>
      <c r="M2963" s="1">
        <f>value(TWD!$B2963)</f>
        <v>457.66</v>
      </c>
      <c r="N2963" s="1">
        <f>value(JPY!$B2963)</f>
        <v>131.9175882</v>
      </c>
      <c r="O2963" s="1">
        <f>value(SAR!$B2963)</f>
        <v>3813.000385</v>
      </c>
      <c r="P2963" s="1">
        <f>value(AED!$B2963)</f>
        <v>3950.42005</v>
      </c>
      <c r="Q2963" s="1">
        <f>value(KWD!$B2963)</f>
        <v>47705.91</v>
      </c>
    </row>
    <row r="2964">
      <c r="A2964" s="4">
        <f>value(USD!A2964)</f>
        <v>43329.99861</v>
      </c>
      <c r="B2964" s="1">
        <f>value(USD!B2964)</f>
        <v>14578</v>
      </c>
      <c r="C2964" s="1">
        <f>value(AUD!$B2964)</f>
        <v>10536.62895</v>
      </c>
      <c r="D2964" s="1">
        <f>value(EUR!$B2964)</f>
        <v>16666.14212</v>
      </c>
      <c r="E2964" s="1">
        <f>value(GBP!$B2964)</f>
        <v>18572.014</v>
      </c>
      <c r="F2964" s="1">
        <f>value(CHF!$B2964)</f>
        <v>15347.8286</v>
      </c>
      <c r="G2964" s="1">
        <f>value(SGD!$B2964)</f>
        <v>11093.23545</v>
      </c>
      <c r="H2964" s="1">
        <f>value(MYR!$B2964)</f>
        <v>3549.88492</v>
      </c>
      <c r="I2964" s="1">
        <f>value(THB!$B2964)</f>
        <v>439.05436</v>
      </c>
      <c r="J2964" s="1">
        <f>value(VND!$B2964)</f>
        <v>0.6027155205</v>
      </c>
      <c r="K2964" s="1">
        <f>value(CNY!$B2964)</f>
        <v>2099.45</v>
      </c>
      <c r="L2964" s="1">
        <f>value(HKD!$B2964)</f>
        <v>1943.21595</v>
      </c>
      <c r="M2964" s="1">
        <f>value(TWD!$B2964)</f>
        <v>456.33</v>
      </c>
      <c r="N2964" s="1">
        <f>value(JPY!$B2964)</f>
        <v>131.862028</v>
      </c>
      <c r="O2964" s="1">
        <f>value(SAR!$B2964)</f>
        <v>3815.694672</v>
      </c>
      <c r="P2964" s="1">
        <f>value(AED!$B2964)</f>
        <v>3950.42005</v>
      </c>
      <c r="Q2964" s="1">
        <f>value(KWD!$B2964)</f>
        <v>47488.809</v>
      </c>
    </row>
    <row r="2965">
      <c r="A2965" s="4">
        <f>value(USD!A2965)</f>
        <v>43330.99861</v>
      </c>
      <c r="B2965" s="1">
        <f>value(USD!B2965)</f>
        <v>14579.59</v>
      </c>
      <c r="C2965" s="1">
        <f>value(AUD!$B2965)</f>
        <v>10558.25676</v>
      </c>
      <c r="D2965" s="1">
        <f>value(EUR!$B2965)</f>
        <v>16732.61172</v>
      </c>
      <c r="E2965" s="1">
        <f>value(GBP!$B2965)</f>
        <v>18644.16546</v>
      </c>
      <c r="F2965" s="1">
        <f>value(CHF!$B2965)</f>
        <v>15375.3128</v>
      </c>
      <c r="G2965" s="1">
        <f>value(SGD!$B2965)</f>
        <v>11011.32298</v>
      </c>
      <c r="H2965" s="1">
        <f>value(MYR!$B2965)</f>
        <v>3550.65246</v>
      </c>
      <c r="I2965" s="1">
        <f>value(THB!$B2965)</f>
        <v>441.825642</v>
      </c>
      <c r="J2965" s="1">
        <f>value(VND!$B2965)</f>
        <v>0.6036061487</v>
      </c>
      <c r="K2965" s="1">
        <f>value(CNY!$B2965)</f>
        <v>2077.65</v>
      </c>
      <c r="L2965" s="1">
        <f>value(HKD!$B2965)</f>
        <v>1938.85764</v>
      </c>
      <c r="M2965" s="1">
        <f>value(TWD!$B2965)</f>
        <v>458.74</v>
      </c>
      <c r="N2965" s="1">
        <f>value(JPY!$B2965)</f>
        <v>132.397704</v>
      </c>
      <c r="O2965" s="1">
        <f>value(SAR!$B2965)</f>
        <v>3809.21385</v>
      </c>
      <c r="P2965" s="1">
        <f>value(AED!$B2965)</f>
        <v>3934.113794</v>
      </c>
      <c r="Q2965" s="1">
        <f>value(KWD!$B2965)</f>
        <v>47328.61514</v>
      </c>
    </row>
    <row r="2966">
      <c r="A2966" s="4">
        <f>value(USD!A2966)</f>
        <v>43331.99861</v>
      </c>
      <c r="B2966" s="1">
        <f>value(USD!B2966)</f>
        <v>14572</v>
      </c>
      <c r="C2966" s="1">
        <f>value(AUD!$B2966)</f>
        <v>10510.31472</v>
      </c>
      <c r="D2966" s="1">
        <f>value(EUR!$B2966)</f>
        <v>16863.9008</v>
      </c>
      <c r="E2966" s="1">
        <f>value(GBP!$B2966)</f>
        <v>18802.585</v>
      </c>
      <c r="F2966" s="1">
        <f>value(CHF!$B2966)</f>
        <v>15449.13216</v>
      </c>
      <c r="G2966" s="1">
        <f>value(SGD!$B2966)</f>
        <v>11017.45894</v>
      </c>
      <c r="H2966" s="1">
        <f>value(MYR!$B2966)</f>
        <v>3553.623</v>
      </c>
      <c r="I2966" s="1">
        <f>value(THB!$B2966)</f>
        <v>445.97313</v>
      </c>
      <c r="J2966" s="1">
        <f>value(VND!$B2966)</f>
        <v>0.6051284915</v>
      </c>
      <c r="K2966" s="1">
        <f>value(CNY!$B2966)</f>
        <v>2111.55</v>
      </c>
      <c r="L2966" s="1">
        <f>value(HKD!$B2966)</f>
        <v>1952.636896</v>
      </c>
      <c r="M2966" s="1">
        <f>value(TWD!$B2966)</f>
        <v>459.155</v>
      </c>
      <c r="N2966" s="1">
        <f>value(JPY!$B2966)</f>
        <v>132.269374</v>
      </c>
      <c r="O2966" s="1">
        <f>value(SAR!$B2966)</f>
        <v>3803.644991</v>
      </c>
      <c r="P2966" s="1">
        <f>value(AED!$B2966)</f>
        <v>3935.37375</v>
      </c>
      <c r="Q2966" s="1">
        <f>value(KWD!$B2966)</f>
        <v>47453.83725</v>
      </c>
    </row>
    <row r="2967">
      <c r="A2967" s="4">
        <f>value(USD!A2967)</f>
        <v>43332.99861</v>
      </c>
      <c r="B2967" s="1">
        <f>value(USD!B2967)</f>
        <v>14562</v>
      </c>
      <c r="C2967" s="1">
        <f>value(AUD!$B2967)</f>
        <v>10474.0137</v>
      </c>
      <c r="D2967" s="1">
        <f>value(EUR!$B2967)</f>
        <v>16880.2048</v>
      </c>
      <c r="E2967" s="1">
        <f>value(GBP!$B2967)</f>
        <v>18802.9802</v>
      </c>
      <c r="F2967" s="1">
        <f>value(CHF!$B2967)</f>
        <v>15303.44965</v>
      </c>
      <c r="G2967" s="1">
        <f>value(SGD!$B2967)</f>
        <v>11057.74868</v>
      </c>
      <c r="H2967" s="1">
        <f>value(MYR!$B2967)</f>
        <v>3556.73376</v>
      </c>
      <c r="I2967" s="1">
        <f>value(THB!$B2967)</f>
        <v>445.218316</v>
      </c>
      <c r="J2967" s="1">
        <f>value(VND!$B2967)</f>
        <v>0.6037006544</v>
      </c>
      <c r="K2967" s="1">
        <f>value(CNY!$B2967)</f>
        <v>2105.25</v>
      </c>
      <c r="L2967" s="1">
        <f>value(HKD!$B2967)</f>
        <v>1937.71827</v>
      </c>
      <c r="M2967" s="1">
        <f>value(TWD!$B2967)</f>
        <v>457.7</v>
      </c>
      <c r="N2967" s="1">
        <f>value(JPY!$B2967)</f>
        <v>131.73088</v>
      </c>
      <c r="O2967" s="1">
        <f>value(SAR!$B2967)</f>
        <v>3803.690925</v>
      </c>
      <c r="P2967" s="1">
        <f>value(AED!$B2967)</f>
        <v>3935.57372</v>
      </c>
      <c r="Q2967" s="1">
        <f>value(KWD!$B2967)</f>
        <v>47314.25283</v>
      </c>
    </row>
    <row r="2968">
      <c r="A2968" s="4">
        <f>value(USD!A2968)</f>
        <v>43333.99861</v>
      </c>
      <c r="B2968" s="1">
        <f>value(USD!B2968)</f>
        <v>14570</v>
      </c>
      <c r="C2968" s="1">
        <f>value(AUD!$B2968)</f>
        <v>10529.49447</v>
      </c>
      <c r="D2968" s="1">
        <f>value(EUR!$B2968)</f>
        <v>16921.81608</v>
      </c>
      <c r="E2968" s="1">
        <f>value(GBP!$B2968)</f>
        <v>18782.09112</v>
      </c>
      <c r="F2968" s="1">
        <f>value(CHF!$B2968)</f>
        <v>15319.47394</v>
      </c>
      <c r="G2968" s="1">
        <f>value(SGD!$B2968)</f>
        <v>11017.08846</v>
      </c>
      <c r="H2968" s="1">
        <f>value(MYR!$B2968)</f>
        <v>3570.53736</v>
      </c>
      <c r="I2968" s="1">
        <f>value(THB!$B2968)</f>
        <v>445.961568</v>
      </c>
      <c r="J2968" s="1">
        <f>value(VND!$B2968)</f>
        <v>0.6037006544</v>
      </c>
      <c r="K2968" s="1">
        <f>value(CNY!$B2968)</f>
        <v>2105.25</v>
      </c>
      <c r="L2968" s="1">
        <f>value(HKD!$B2968)</f>
        <v>1939.72074</v>
      </c>
      <c r="M2968" s="1">
        <f>value(TWD!$B2968)</f>
        <v>457.7</v>
      </c>
      <c r="N2968" s="1">
        <f>value(JPY!$B2968)</f>
        <v>131.6651232</v>
      </c>
      <c r="O2968" s="1">
        <f>value(SAR!$B2968)</f>
        <v>3811.479233</v>
      </c>
      <c r="P2968" s="1">
        <f>value(AED!$B2968)</f>
        <v>3954.358625</v>
      </c>
      <c r="Q2968" s="1">
        <f>value(KWD!$B2968)</f>
        <v>47479.61575</v>
      </c>
    </row>
    <row r="2969">
      <c r="A2969" s="4">
        <f>value(USD!A2969)</f>
        <v>43334.99861</v>
      </c>
      <c r="B2969" s="1">
        <f>value(USD!B2969)</f>
        <v>14572</v>
      </c>
      <c r="C2969" s="1">
        <f>value(AUD!$B2969)</f>
        <v>10539.58304</v>
      </c>
      <c r="D2969" s="1">
        <f>value(EUR!$B2969)</f>
        <v>16949.8563</v>
      </c>
      <c r="E2969" s="1">
        <f>value(GBP!$B2969)</f>
        <v>18717.5612</v>
      </c>
      <c r="F2969" s="1">
        <f>value(CHF!$B2969)</f>
        <v>15336.3018</v>
      </c>
      <c r="G2969" s="1">
        <f>value(SGD!$B2969)</f>
        <v>11052.0641</v>
      </c>
      <c r="H2969" s="1">
        <f>value(MYR!$B2969)</f>
        <v>3559.60098</v>
      </c>
      <c r="I2969" s="1">
        <f>value(THB!$B2969)</f>
        <v>446.866472</v>
      </c>
      <c r="J2969" s="1">
        <f>value(VND!$B2969)</f>
        <v>0.6040708457</v>
      </c>
      <c r="K2969" s="1">
        <f>value(CNY!$B2969)</f>
        <v>2105.25</v>
      </c>
      <c r="L2969" s="1">
        <f>value(HKD!$B2969)</f>
        <v>1939.032756</v>
      </c>
      <c r="M2969" s="1">
        <f>value(TWD!$B2969)</f>
        <v>457.7</v>
      </c>
      <c r="N2969" s="1">
        <f>value(JPY!$B2969)</f>
        <v>131.0054408</v>
      </c>
      <c r="O2969" s="1">
        <f>value(SAR!$B2969)</f>
        <v>3807.401836</v>
      </c>
      <c r="P2969" s="1">
        <f>value(AED!$B2969)</f>
        <v>3936.6627</v>
      </c>
      <c r="Q2969" s="1">
        <f>value(KWD!$B2969)</f>
        <v>47560.3886</v>
      </c>
    </row>
    <row r="2970">
      <c r="A2970" s="4">
        <f>value(USD!A2970)</f>
        <v>43335.99861</v>
      </c>
      <c r="B2970" s="1">
        <f>value(USD!B2970)</f>
        <v>14664</v>
      </c>
      <c r="C2970" s="1">
        <f>value(AUD!$B2970)</f>
        <v>10476.35</v>
      </c>
      <c r="D2970" s="1">
        <f>value(EUR!$B2970)</f>
        <v>16970.54774</v>
      </c>
      <c r="E2970" s="1">
        <f>value(GBP!$B2970)</f>
        <v>18738.56993</v>
      </c>
      <c r="F2970" s="1">
        <f>value(CHF!$B2970)</f>
        <v>15391.62327</v>
      </c>
      <c r="G2970" s="1">
        <f>value(SGD!$B2970)</f>
        <v>11048.72636</v>
      </c>
      <c r="H2970" s="1">
        <f>value(MYR!$B2970)</f>
        <v>3563.03039</v>
      </c>
      <c r="I2970" s="1">
        <f>value(THB!$B2970)</f>
        <v>447.2969945</v>
      </c>
      <c r="J2970" s="1">
        <f>value(VND!$B2970)</f>
        <v>0.6040889589</v>
      </c>
      <c r="K2970" s="1">
        <f>value(CNY!$B2970)</f>
        <v>2107.55</v>
      </c>
      <c r="L2970" s="1">
        <f>value(HKD!$B2970)</f>
        <v>1938.32294</v>
      </c>
      <c r="M2970" s="1">
        <f>value(TWD!$B2970)</f>
        <v>460.5</v>
      </c>
      <c r="N2970" s="1">
        <f>value(JPY!$B2970)</f>
        <v>131.1316547</v>
      </c>
      <c r="O2970" s="1">
        <f>value(SAR!$B2970)</f>
        <v>3803.66165</v>
      </c>
      <c r="P2970" s="1">
        <f>value(AED!$B2970)</f>
        <v>3918.966775</v>
      </c>
      <c r="Q2970" s="1">
        <f>value(KWD!$B2970)</f>
        <v>47316.96</v>
      </c>
    </row>
    <row r="2971">
      <c r="A2971" s="4">
        <f>value(USD!A2971)</f>
        <v>43336.99861</v>
      </c>
      <c r="B2971" s="1">
        <f>value(USD!B2971)</f>
        <v>14573</v>
      </c>
      <c r="C2971" s="1">
        <f>value(AUD!$B2971)</f>
        <v>10543.85</v>
      </c>
      <c r="D2971" s="1">
        <f>value(EUR!$B2971)</f>
        <v>16958.3232</v>
      </c>
      <c r="E2971" s="1">
        <f>value(GBP!$B2971)</f>
        <v>18721.4181</v>
      </c>
      <c r="F2971" s="1">
        <f>value(CHF!$B2971)</f>
        <v>15338.8528</v>
      </c>
      <c r="G2971" s="1">
        <f>value(SGD!$B2971)</f>
        <v>11003.76682</v>
      </c>
      <c r="H2971" s="1">
        <f>value(MYR!$B2971)</f>
        <v>3556.18134</v>
      </c>
      <c r="I2971" s="1">
        <f>value(THB!$B2971)</f>
        <v>446.728356</v>
      </c>
      <c r="J2971" s="1">
        <f>value(VND!$B2971)</f>
        <v>0.605909039</v>
      </c>
      <c r="K2971" s="1">
        <f>value(CNY!$B2971)</f>
        <v>2114.85</v>
      </c>
      <c r="L2971" s="1">
        <f>value(HKD!$B2971)</f>
        <v>1947.114108</v>
      </c>
      <c r="M2971" s="1">
        <f>value(TWD!$B2971)</f>
        <v>460.23</v>
      </c>
      <c r="N2971" s="1">
        <f>value(JPY!$B2971)</f>
        <v>130.812615</v>
      </c>
      <c r="O2971" s="1">
        <f>value(SAR!$B2971)</f>
        <v>3802.09576</v>
      </c>
      <c r="P2971" s="1">
        <f>value(AED!$B2971)</f>
        <v>3918.966775</v>
      </c>
      <c r="Q2971" s="1">
        <f>value(KWD!$B2971)</f>
        <v>47324.5168</v>
      </c>
    </row>
    <row r="2972">
      <c r="A2972" s="4">
        <f>value(USD!A2972)</f>
        <v>43337.99861</v>
      </c>
      <c r="B2972" s="1">
        <f>value(USD!B2972)</f>
        <v>14587.04</v>
      </c>
      <c r="C2972" s="1">
        <f>value(AUD!$B2972)</f>
        <v>10348.7</v>
      </c>
      <c r="D2972" s="1">
        <f>value(EUR!$B2972)</f>
        <v>16997.0231</v>
      </c>
      <c r="E2972" s="1">
        <f>value(GBP!$B2972)</f>
        <v>18764.53307</v>
      </c>
      <c r="F2972" s="1">
        <f>value(CHF!$B2972)</f>
        <v>15339.09507</v>
      </c>
      <c r="G2972" s="1">
        <f>value(SGD!$B2972)</f>
        <v>11017.8198</v>
      </c>
      <c r="H2972" s="1">
        <f>value(MYR!$B2972)</f>
        <v>3548.9889</v>
      </c>
      <c r="I2972" s="1">
        <f>value(THB!$B2972)</f>
        <v>447.29774</v>
      </c>
      <c r="J2972" s="1">
        <f>value(VND!$B2972)</f>
        <v>0.6070548131</v>
      </c>
      <c r="K2972" s="1">
        <f>value(CNY!$B2972)</f>
        <v>2119.3</v>
      </c>
      <c r="L2972" s="1">
        <f>value(HKD!$B2972)</f>
        <v>1955.456745</v>
      </c>
      <c r="M2972" s="1">
        <f>value(TWD!$B2972)</f>
        <v>460.095</v>
      </c>
      <c r="N2972" s="1">
        <f>value(JPY!$B2972)</f>
        <v>130.9124368</v>
      </c>
      <c r="O2972" s="1">
        <f>value(SAR!$B2972)</f>
        <v>3802.437504</v>
      </c>
      <c r="P2972" s="1">
        <f>value(AED!$B2972)</f>
        <v>3918.854075</v>
      </c>
      <c r="Q2972" s="1">
        <f>value(KWD!$B2972)</f>
        <v>46935.72452</v>
      </c>
    </row>
    <row r="2973">
      <c r="A2973" s="4">
        <f>value(USD!A2973)</f>
        <v>43338.99861</v>
      </c>
      <c r="B2973" s="1">
        <f>value(USD!B2973)</f>
        <v>14559</v>
      </c>
      <c r="C2973" s="1">
        <f>value(AUD!$B2973)</f>
        <v>10509.9</v>
      </c>
      <c r="D2973" s="1">
        <f>value(EUR!$B2973)</f>
        <v>17130.38271</v>
      </c>
      <c r="E2973" s="1">
        <f>value(GBP!$B2973)</f>
        <v>18853.57551</v>
      </c>
      <c r="F2973" s="1">
        <f>value(CHF!$B2973)</f>
        <v>15391.34685</v>
      </c>
      <c r="G2973" s="1">
        <f>value(SGD!$B2973)</f>
        <v>11018.8845</v>
      </c>
      <c r="H2973" s="1">
        <f>value(MYR!$B2973)</f>
        <v>3566.97979</v>
      </c>
      <c r="I2973" s="1">
        <f>value(THB!$B2973)</f>
        <v>449.070491</v>
      </c>
      <c r="J2973" s="1">
        <f>value(VND!$B2973)</f>
        <v>0.608877648</v>
      </c>
      <c r="K2973" s="1">
        <f>value(CNY!$B2973)</f>
        <v>2121.25</v>
      </c>
      <c r="L2973" s="1">
        <f>value(HKD!$B2973)</f>
        <v>1934.517965</v>
      </c>
      <c r="M2973" s="1">
        <f>value(TWD!$B2973)</f>
        <v>456.5</v>
      </c>
      <c r="N2973" s="1">
        <f>value(JPY!$B2973)</f>
        <v>131.8110615</v>
      </c>
      <c r="O2973" s="1">
        <f>value(SAR!$B2973)</f>
        <v>3794.160695</v>
      </c>
      <c r="P2973" s="1">
        <f>value(AED!$B2973)</f>
        <v>3935.301475</v>
      </c>
      <c r="Q2973" s="1">
        <f>value(KWD!$B2973)</f>
        <v>46935.72452</v>
      </c>
    </row>
    <row r="2974">
      <c r="A2974" s="4">
        <f>value(USD!A2974)</f>
        <v>43339.99861</v>
      </c>
      <c r="B2974" s="1">
        <f>value(USD!B2974)</f>
        <v>14551</v>
      </c>
      <c r="C2974" s="1">
        <f>value(AUD!$B2974)</f>
        <v>10427.65</v>
      </c>
      <c r="D2974" s="1">
        <f>value(EUR!$B2974)</f>
        <v>17116.36238</v>
      </c>
      <c r="E2974" s="1">
        <f>value(GBP!$B2974)</f>
        <v>19056.0248</v>
      </c>
      <c r="F2974" s="1">
        <f>value(CHF!$B2974)</f>
        <v>15244.3232</v>
      </c>
      <c r="G2974" s="1">
        <f>value(SGD!$B2974)</f>
        <v>11057.09686</v>
      </c>
      <c r="H2974" s="1">
        <f>value(MYR!$B2974)</f>
        <v>3540.18724</v>
      </c>
      <c r="I2974" s="1">
        <f>value(THB!$B2974)</f>
        <v>447.208474</v>
      </c>
      <c r="J2974" s="1">
        <f>value(VND!$B2974)</f>
        <v>0.607641297</v>
      </c>
      <c r="K2974" s="1">
        <f>value(CNY!$B2974)</f>
        <v>2110.85</v>
      </c>
      <c r="L2974" s="1">
        <f>value(HKD!$B2974)</f>
        <v>1936.03293</v>
      </c>
      <c r="M2974" s="1">
        <f>value(TWD!$B2974)</f>
        <v>458.015</v>
      </c>
      <c r="N2974" s="1">
        <f>value(JPY!$B2974)</f>
        <v>130.8311</v>
      </c>
      <c r="O2974" s="1">
        <f>value(SAR!$B2974)</f>
        <v>3749.366668</v>
      </c>
      <c r="P2974" s="1">
        <f>value(AED!$B2974)</f>
        <v>3939.657395</v>
      </c>
      <c r="Q2974" s="1">
        <f>value(KWD!$B2974)</f>
        <v>46903.22475</v>
      </c>
    </row>
    <row r="2975">
      <c r="A2975" s="4">
        <f>value(USD!A2975)</f>
        <v>43340.99861</v>
      </c>
      <c r="B2975" s="1">
        <f>value(USD!B2975)</f>
        <v>14653</v>
      </c>
      <c r="C2975" s="1">
        <f>value(AUD!$B2975)</f>
        <v>10427.65</v>
      </c>
      <c r="D2975" s="1">
        <f>value(EUR!$B2975)</f>
        <v>17205.71391</v>
      </c>
      <c r="E2975" s="1">
        <f>value(GBP!$B2975)</f>
        <v>19190.75598</v>
      </c>
      <c r="F2975" s="1">
        <f>value(CHF!$B2975)</f>
        <v>15223.08882</v>
      </c>
      <c r="G2975" s="1">
        <f>value(SGD!$B2975)</f>
        <v>11021.06896</v>
      </c>
      <c r="H2975" s="1">
        <f>value(MYR!$B2975)</f>
        <v>3581.69031</v>
      </c>
      <c r="I2975" s="1">
        <f>value(THB!$B2975)</f>
        <v>449.861247</v>
      </c>
      <c r="J2975" s="1">
        <f>value(VND!$B2975)</f>
        <v>0.6076874992</v>
      </c>
      <c r="K2975" s="1">
        <f>value(CNY!$B2975)</f>
        <v>2110.85</v>
      </c>
      <c r="L2975" s="1">
        <f>value(HKD!$B2975)</f>
        <v>1947.012485</v>
      </c>
      <c r="M2975" s="1">
        <f>value(TWD!$B2975)</f>
        <v>457.395</v>
      </c>
      <c r="N2975" s="1">
        <f>value(JPY!$B2975)</f>
        <v>132.8829084</v>
      </c>
      <c r="O2975" s="1">
        <f>value(SAR!$B2975)</f>
        <v>3770.364966</v>
      </c>
      <c r="P2975" s="1">
        <f>value(AED!$B2975)</f>
        <v>3920.328</v>
      </c>
      <c r="Q2975" s="1">
        <f>value(KWD!$B2975)</f>
        <v>46795.488</v>
      </c>
    </row>
    <row r="2976">
      <c r="A2976" s="4">
        <f>value(USD!A2976)</f>
        <v>43341.99861</v>
      </c>
      <c r="B2976" s="1">
        <f>value(USD!B2976)</f>
        <v>14618</v>
      </c>
      <c r="C2976" s="1">
        <f>value(AUD!$B2976)</f>
        <v>10380.45</v>
      </c>
      <c r="D2976" s="1">
        <f>value(EUR!$B2976)</f>
        <v>17110.45</v>
      </c>
      <c r="E2976" s="1">
        <f>value(GBP!$B2976)</f>
        <v>19083.6</v>
      </c>
      <c r="F2976" s="1">
        <f>value(CHF!$B2976)</f>
        <v>15234.1335</v>
      </c>
      <c r="G2976" s="1">
        <f>value(SGD!$B2976)</f>
        <v>10965.4336</v>
      </c>
      <c r="H2976" s="1">
        <f>value(MYR!$B2976)</f>
        <v>3574.49375</v>
      </c>
      <c r="I2976" s="1">
        <f>value(THB!$B2976)</f>
        <v>449.67205</v>
      </c>
      <c r="J2976" s="1">
        <f>value(VND!$B2976)</f>
        <v>0.6067793566</v>
      </c>
      <c r="K2976" s="1">
        <f>value(CNY!$B2976)</f>
        <v>2110.85</v>
      </c>
      <c r="L2976" s="1">
        <f>value(HKD!$B2976)</f>
        <v>1936.74348</v>
      </c>
      <c r="M2976" s="1">
        <f>value(TWD!$B2976)</f>
        <v>457.395</v>
      </c>
      <c r="N2976" s="1">
        <f>value(JPY!$B2976)</f>
        <v>132.604515</v>
      </c>
      <c r="O2976" s="1">
        <f>value(SAR!$B2976)</f>
        <v>3815.309487</v>
      </c>
      <c r="P2976" s="1">
        <f>value(AED!$B2976)</f>
        <v>3922.50596</v>
      </c>
      <c r="Q2976" s="1">
        <f>value(KWD!$B2976)</f>
        <v>46892.647</v>
      </c>
    </row>
    <row r="2977">
      <c r="A2977" s="4">
        <f>value(USD!A2977)</f>
        <v>43342.99861</v>
      </c>
      <c r="B2977" s="1">
        <f>value(USD!B2977)</f>
        <v>14751</v>
      </c>
      <c r="C2977" s="1">
        <f>value(AUD!$B2977)</f>
        <v>10475</v>
      </c>
      <c r="D2977" s="1">
        <f>value(EUR!$B2977)</f>
        <v>17108.126</v>
      </c>
      <c r="E2977" s="1">
        <f>value(GBP!$B2977)</f>
        <v>19081.008</v>
      </c>
      <c r="F2977" s="1">
        <f>value(CHF!$B2977)</f>
        <v>15321.94262</v>
      </c>
      <c r="G2977" s="1">
        <f>value(SGD!$B2977)</f>
        <v>10945.90368</v>
      </c>
      <c r="H2977" s="1">
        <f>value(MYR!$B2977)</f>
        <v>3574.00825</v>
      </c>
      <c r="I2977" s="1">
        <f>value(THB!$B2977)</f>
        <v>449.610974</v>
      </c>
      <c r="J2977" s="1">
        <f>value(VND!$B2977)</f>
        <v>0.6066934419</v>
      </c>
      <c r="K2977" s="1">
        <f>value(CNY!$B2977)</f>
        <v>2113.7</v>
      </c>
      <c r="L2977" s="1">
        <f>value(HKD!$B2977)</f>
        <v>1947.319335</v>
      </c>
      <c r="M2977" s="1">
        <f>value(TWD!$B2977)</f>
        <v>457.845</v>
      </c>
      <c r="N2977" s="1">
        <f>value(JPY!$B2977)</f>
        <v>132.5865042</v>
      </c>
      <c r="O2977" s="1">
        <f>value(SAR!$B2977)</f>
        <v>3815.309487</v>
      </c>
      <c r="P2977" s="1">
        <f>value(AED!$B2977)</f>
        <v>3889.155947</v>
      </c>
      <c r="Q2977" s="1">
        <f>value(KWD!$B2977)</f>
        <v>46946.86765</v>
      </c>
    </row>
    <row r="2978">
      <c r="A2978" s="4">
        <f>value(USD!A2978)</f>
        <v>43343.99861</v>
      </c>
      <c r="B2978" s="1">
        <f>value(USD!B2978)</f>
        <v>14725</v>
      </c>
      <c r="C2978" s="1">
        <f>value(AUD!$B2978)</f>
        <v>10511.1</v>
      </c>
      <c r="D2978" s="1">
        <f>value(EUR!$B2978)</f>
        <v>17075.7354</v>
      </c>
      <c r="E2978" s="1">
        <f>value(GBP!$B2978)</f>
        <v>19025.0606</v>
      </c>
      <c r="F2978" s="1">
        <f>value(CHF!$B2978)</f>
        <v>15259.52232</v>
      </c>
      <c r="G2978" s="1">
        <f>value(SGD!$B2978)</f>
        <v>10874.7096</v>
      </c>
      <c r="H2978" s="1">
        <f>value(MYR!$B2978)</f>
        <v>3574.00825</v>
      </c>
      <c r="I2978" s="1">
        <f>value(THB!$B2978)</f>
        <v>448.742317</v>
      </c>
      <c r="J2978" s="1">
        <f>value(VND!$B2978)</f>
        <v>0.6074500526</v>
      </c>
      <c r="K2978" s="1">
        <f>value(CNY!$B2978)</f>
        <v>2101.15</v>
      </c>
      <c r="L2978" s="1">
        <f>value(HKD!$B2978)</f>
        <v>1945.916042</v>
      </c>
      <c r="M2978" s="1">
        <f>value(TWD!$B2978)</f>
        <v>456.88</v>
      </c>
      <c r="N2978" s="1">
        <f>value(JPY!$B2978)</f>
        <v>132.433385</v>
      </c>
      <c r="O2978" s="1">
        <f>value(SAR!$B2978)</f>
        <v>3777.031099</v>
      </c>
      <c r="P2978" s="1">
        <f>value(AED!$B2978)</f>
        <v>3889.155947</v>
      </c>
      <c r="Q2978" s="1">
        <f>value(KWD!$B2978)</f>
        <v>46950.72375</v>
      </c>
    </row>
    <row r="2979">
      <c r="A2979" s="4">
        <f>value(USD!A2979)</f>
        <v>43344.99861</v>
      </c>
      <c r="B2979" s="1">
        <f>value(USD!B2979)</f>
        <v>14723</v>
      </c>
      <c r="C2979" s="1">
        <f>value(AUD!$B2979)</f>
        <v>10527.05</v>
      </c>
      <c r="D2979" s="1">
        <f>value(EUR!$B2979)</f>
        <v>17227.21968</v>
      </c>
      <c r="E2979" s="1">
        <f>value(GBP!$B2979)</f>
        <v>19085.52096</v>
      </c>
      <c r="F2979" s="1">
        <f>value(CHF!$B2979)</f>
        <v>15313.78155</v>
      </c>
      <c r="G2979" s="1">
        <f>value(SGD!$B2979)</f>
        <v>10877.25042</v>
      </c>
      <c r="H2979" s="1">
        <f>value(MYR!$B2979)</f>
        <v>3589.93728</v>
      </c>
      <c r="I2979" s="1">
        <f>value(THB!$B2979)</f>
        <v>453.443904</v>
      </c>
      <c r="J2979" s="1">
        <f>value(VND!$B2979)</f>
        <v>0.6065086789</v>
      </c>
      <c r="K2979" s="1">
        <f>value(CNY!$B2979)</f>
        <v>2102.35</v>
      </c>
      <c r="L2979" s="1">
        <f>value(HKD!$B2979)</f>
        <v>1936.497688</v>
      </c>
      <c r="M2979" s="1">
        <f>value(TWD!$B2979)</f>
        <v>460.86</v>
      </c>
      <c r="N2979" s="1">
        <f>value(JPY!$B2979)</f>
        <v>133.488</v>
      </c>
      <c r="O2979" s="1">
        <f>value(SAR!$B2979)</f>
        <v>3781.030779</v>
      </c>
      <c r="P2979" s="1">
        <f>value(AED!$B2979)</f>
        <v>3886.532198</v>
      </c>
      <c r="Q2979" s="1">
        <f>value(KWD!$B2979)</f>
        <v>46788.2467</v>
      </c>
    </row>
    <row r="2980">
      <c r="A2980" s="4">
        <f>value(USD!A2980)</f>
        <v>43345.99861</v>
      </c>
      <c r="B2980" s="1">
        <f>value(USD!B2980)</f>
        <v>14723</v>
      </c>
      <c r="C2980" s="1">
        <f>value(AUD!$B2980)</f>
        <v>10542.9</v>
      </c>
      <c r="D2980" s="1">
        <f>value(EUR!$B2980)</f>
        <v>17297.7487</v>
      </c>
      <c r="E2980" s="1">
        <f>value(GBP!$B2980)</f>
        <v>19196.0982</v>
      </c>
      <c r="F2980" s="1">
        <f>value(CHF!$B2980)</f>
        <v>15258.82573</v>
      </c>
      <c r="G2980" s="1">
        <f>value(SGD!$B2980)</f>
        <v>10850.53987</v>
      </c>
      <c r="H2980" s="1">
        <f>value(MYR!$B2980)</f>
        <v>3605.8936</v>
      </c>
      <c r="I2980" s="1">
        <f>value(THB!$B2980)</f>
        <v>454.90217</v>
      </c>
      <c r="J2980" s="1">
        <f>value(VND!$B2980)</f>
        <v>0.605985429</v>
      </c>
      <c r="K2980" s="1">
        <f>value(CNY!$B2980)</f>
        <v>2095.05</v>
      </c>
      <c r="L2980" s="1">
        <f>value(HKD!$B2980)</f>
        <v>1938.9708</v>
      </c>
      <c r="M2980" s="1">
        <f>value(TWD!$B2980)</f>
        <v>455.275</v>
      </c>
      <c r="N2980" s="1">
        <f>value(JPY!$B2980)</f>
        <v>133.90717</v>
      </c>
      <c r="O2980" s="1">
        <f>value(SAR!$B2980)</f>
        <v>3778.64305</v>
      </c>
      <c r="P2980" s="1">
        <f>value(AED!$B2980)</f>
        <v>3876.7688</v>
      </c>
      <c r="Q2980" s="1">
        <f>value(KWD!$B2980)</f>
        <v>46788.2467</v>
      </c>
    </row>
    <row r="2981">
      <c r="A2981" s="4">
        <f>value(USD!A2981)</f>
        <v>43346.99861</v>
      </c>
      <c r="B2981" s="1">
        <f>value(USD!B2981)</f>
        <v>14832</v>
      </c>
      <c r="C2981" s="1">
        <f>value(AUD!$B2981)</f>
        <v>10467.4</v>
      </c>
      <c r="D2981" s="1">
        <f>value(EUR!$B2981)</f>
        <v>17427.46586</v>
      </c>
      <c r="E2981" s="1">
        <f>value(GBP!$B2981)</f>
        <v>19343.39507</v>
      </c>
      <c r="F2981" s="1">
        <f>value(CHF!$B2981)</f>
        <v>15234.65274</v>
      </c>
      <c r="G2981" s="1">
        <f>value(SGD!$B2981)</f>
        <v>10800.689</v>
      </c>
      <c r="H2981" s="1">
        <f>value(MYR!$B2981)</f>
        <v>3604.763136</v>
      </c>
      <c r="I2981" s="1">
        <f>value(THB!$B2981)</f>
        <v>456.9768294</v>
      </c>
      <c r="J2981" s="1">
        <f>value(VND!$B2981)</f>
        <v>0.6052209554</v>
      </c>
      <c r="K2981" s="1">
        <f>value(CNY!$B2981)</f>
        <v>2110.95</v>
      </c>
      <c r="L2981" s="1">
        <f>value(HKD!$B2981)</f>
        <v>1939.8834</v>
      </c>
      <c r="M2981" s="1">
        <f>value(TWD!$B2981)</f>
        <v>453.42</v>
      </c>
      <c r="N2981" s="1">
        <f>value(JPY!$B2981)</f>
        <v>134.3996628</v>
      </c>
      <c r="O2981" s="1">
        <f>value(SAR!$B2981)</f>
        <v>3826.35575</v>
      </c>
      <c r="P2981" s="1">
        <f>value(AED!$B2981)</f>
        <v>3884.93615</v>
      </c>
      <c r="Q2981" s="1">
        <f>value(KWD!$B2981)</f>
        <v>46972.6869</v>
      </c>
    </row>
    <row r="2982">
      <c r="A2982" s="4">
        <f>value(USD!A2982)</f>
        <v>43347.99861</v>
      </c>
      <c r="B2982" s="1">
        <f>value(USD!B2982)</f>
        <v>14930</v>
      </c>
      <c r="C2982" s="1">
        <f>value(AUD!$B2982)</f>
        <v>10467.4</v>
      </c>
      <c r="D2982" s="1">
        <f>value(EUR!$B2982)</f>
        <v>17304.77242</v>
      </c>
      <c r="E2982" s="1">
        <f>value(GBP!$B2982)</f>
        <v>19248.01106</v>
      </c>
      <c r="F2982" s="1">
        <f>value(CHF!$B2982)</f>
        <v>15254.109</v>
      </c>
      <c r="G2982" s="1">
        <f>value(SGD!$B2982)</f>
        <v>10642.89007</v>
      </c>
      <c r="H2982" s="1">
        <f>value(MYR!$B2982)</f>
        <v>3595.31913</v>
      </c>
      <c r="I2982" s="1">
        <f>value(THB!$B2982)</f>
        <v>453.998212</v>
      </c>
      <c r="J2982" s="1">
        <f>value(VND!$B2982)</f>
        <v>0.6052209554</v>
      </c>
      <c r="K2982" s="1">
        <f>value(CNY!$B2982)</f>
        <v>2110.95</v>
      </c>
      <c r="L2982" s="1">
        <f>value(HKD!$B2982)</f>
        <v>1950.316522</v>
      </c>
      <c r="M2982" s="1">
        <f>value(TWD!$B2982)</f>
        <v>453.42</v>
      </c>
      <c r="N2982" s="1">
        <f>value(JPY!$B2982)</f>
        <v>134.751864</v>
      </c>
      <c r="O2982" s="1">
        <f>value(SAR!$B2982)</f>
        <v>3797.55809</v>
      </c>
      <c r="P2982" s="1">
        <f>value(AED!$B2982)</f>
        <v>3889.428192</v>
      </c>
      <c r="Q2982" s="1">
        <f>value(KWD!$B2982)</f>
        <v>47110.52385</v>
      </c>
    </row>
    <row r="2983">
      <c r="A2983" s="4">
        <f>value(USD!A2983)</f>
        <v>43348.99861</v>
      </c>
      <c r="B2983" s="1">
        <f>value(USD!B2983)</f>
        <v>14979.9</v>
      </c>
      <c r="C2983" s="1">
        <f>value(AUD!$B2983)</f>
        <v>10461.85</v>
      </c>
      <c r="D2983" s="1">
        <f>value(EUR!$B2983)</f>
        <v>17325.4965</v>
      </c>
      <c r="E2983" s="1">
        <f>value(GBP!$B2983)</f>
        <v>19347.054</v>
      </c>
      <c r="F2983" s="1">
        <f>value(CHF!$B2983)</f>
        <v>15243.462</v>
      </c>
      <c r="G2983" s="1">
        <f>value(SGD!$B2983)</f>
        <v>10703.0592</v>
      </c>
      <c r="H2983" s="1">
        <f>value(MYR!$B2983)</f>
        <v>3604.511895</v>
      </c>
      <c r="I2983" s="1">
        <f>value(THB!$B2983)</f>
        <v>456.3778365</v>
      </c>
      <c r="J2983" s="1">
        <f>value(VND!$B2983)</f>
        <v>0.6052046698</v>
      </c>
      <c r="K2983" s="1">
        <f>value(CNY!$B2983)</f>
        <v>2110.95</v>
      </c>
      <c r="L2983" s="1">
        <f>value(HKD!$B2983)</f>
        <v>1946.862057</v>
      </c>
      <c r="M2983" s="1">
        <f>value(TWD!$B2983)</f>
        <v>453.42</v>
      </c>
      <c r="N2983" s="1">
        <f>value(JPY!$B2983)</f>
        <v>134.8932909</v>
      </c>
      <c r="O2983" s="1">
        <f>value(SAR!$B2983)</f>
        <v>3816.633015</v>
      </c>
      <c r="P2983" s="1">
        <f>value(AED!$B2983)</f>
        <v>3882.894312</v>
      </c>
      <c r="Q2983" s="1">
        <f>value(KWD!$B2983)</f>
        <v>47052.35762</v>
      </c>
    </row>
    <row r="2984">
      <c r="A2984" s="4">
        <f>value(USD!A2984)</f>
        <v>43349.99861</v>
      </c>
      <c r="B2984" s="1">
        <f>value(USD!B2984)</f>
        <v>14893</v>
      </c>
      <c r="C2984" s="1">
        <f>value(AUD!$B2984)</f>
        <v>10462.55</v>
      </c>
      <c r="D2984" s="1">
        <f>value(EUR!$B2984)</f>
        <v>17138.641</v>
      </c>
      <c r="E2984" s="1">
        <f>value(GBP!$B2984)</f>
        <v>19138.396</v>
      </c>
      <c r="F2984" s="1">
        <f>value(CHF!$B2984)</f>
        <v>15269.49907</v>
      </c>
      <c r="G2984" s="1">
        <f>value(SGD!$B2984)</f>
        <v>10638.6144</v>
      </c>
      <c r="H2984" s="1">
        <f>value(MYR!$B2984)</f>
        <v>3565.63723</v>
      </c>
      <c r="I2984" s="1">
        <f>value(THB!$B2984)</f>
        <v>451.455801</v>
      </c>
      <c r="J2984" s="1">
        <f>value(VND!$B2984)</f>
        <v>0.6062328629</v>
      </c>
      <c r="K2984" s="1">
        <f>value(CNY!$B2984)</f>
        <v>2109</v>
      </c>
      <c r="L2984" s="1">
        <f>value(HKD!$B2984)</f>
        <v>1937.64196</v>
      </c>
      <c r="M2984" s="1">
        <f>value(TWD!$B2984)</f>
        <v>452.17</v>
      </c>
      <c r="N2984" s="1">
        <f>value(JPY!$B2984)</f>
        <v>133.4384666</v>
      </c>
      <c r="O2984" s="1">
        <f>value(SAR!$B2984)</f>
        <v>3793.9632</v>
      </c>
      <c r="P2984" s="1">
        <f>value(AED!$B2984)</f>
        <v>3872.01061</v>
      </c>
      <c r="Q2984" s="1">
        <f>value(KWD!$B2984)</f>
        <v>46940.9593</v>
      </c>
    </row>
    <row r="2985">
      <c r="A2985" s="4">
        <f>value(USD!A2985)</f>
        <v>43350.99861</v>
      </c>
      <c r="B2985" s="1">
        <f>value(USD!B2985)</f>
        <v>14974.5</v>
      </c>
      <c r="C2985" s="1">
        <f>value(AUD!$B2985)</f>
        <v>10411.5</v>
      </c>
      <c r="D2985" s="1">
        <f>value(EUR!$B2985)</f>
        <v>17123.828</v>
      </c>
      <c r="E2985" s="1">
        <f>value(GBP!$B2985)</f>
        <v>19151.43144</v>
      </c>
      <c r="F2985" s="1">
        <f>value(CHF!$B2985)</f>
        <v>15191.8471</v>
      </c>
      <c r="G2985" s="1">
        <f>value(SGD!$B2985)</f>
        <v>10638.6144</v>
      </c>
      <c r="H2985" s="1">
        <f>value(MYR!$B2985)</f>
        <v>3571.56243</v>
      </c>
      <c r="I2985" s="1">
        <f>value(THB!$B2985)</f>
        <v>450.90772</v>
      </c>
      <c r="J2985" s="1">
        <f>value(VND!$B2985)</f>
        <v>0.6077885958</v>
      </c>
      <c r="K2985" s="1">
        <f>value(CNY!$B2985)</f>
        <v>2109.05</v>
      </c>
      <c r="L2985" s="1">
        <f>value(HKD!$B2985)</f>
        <v>1923.368868</v>
      </c>
      <c r="M2985" s="1">
        <f>value(TWD!$B2985)</f>
        <v>453.2</v>
      </c>
      <c r="N2985" s="1">
        <f>value(JPY!$B2985)</f>
        <v>133.509569</v>
      </c>
      <c r="O2985" s="1">
        <f>value(SAR!$B2985)</f>
        <v>3793.9632</v>
      </c>
      <c r="P2985" s="1">
        <f>value(AED!$B2985)</f>
        <v>3872.039196</v>
      </c>
      <c r="Q2985" s="1">
        <f>value(KWD!$B2985)</f>
        <v>47005.476</v>
      </c>
    </row>
    <row r="2986">
      <c r="A2986" s="4">
        <f>value(USD!A2986)</f>
        <v>43351.99861</v>
      </c>
      <c r="B2986" s="1">
        <f>value(USD!B2986)</f>
        <v>14813</v>
      </c>
      <c r="C2986" s="1">
        <f>value(AUD!$B2986)</f>
        <v>10304.75</v>
      </c>
      <c r="D2986" s="1">
        <f>value(EUR!$B2986)</f>
        <v>17209.52574</v>
      </c>
      <c r="E2986" s="1">
        <f>value(GBP!$B2986)</f>
        <v>19333.4768</v>
      </c>
      <c r="F2986" s="1">
        <f>value(CHF!$B2986)</f>
        <v>15073.21632</v>
      </c>
      <c r="G2986" s="1">
        <f>value(SGD!$B2986)</f>
        <v>10638.6144</v>
      </c>
      <c r="H2986" s="1">
        <f>value(MYR!$B2986)</f>
        <v>3575.44627</v>
      </c>
      <c r="I2986" s="1">
        <f>value(THB!$B2986)</f>
        <v>452.2970705</v>
      </c>
      <c r="J2986" s="1">
        <f>value(VND!$B2986)</f>
        <v>0.6073281842</v>
      </c>
      <c r="K2986" s="1">
        <f>value(CNY!$B2986)</f>
        <v>2103.05</v>
      </c>
      <c r="L2986" s="1">
        <f>value(HKD!$B2986)</f>
        <v>1909.65042</v>
      </c>
      <c r="M2986" s="1">
        <f>value(TWD!$B2986)</f>
        <v>451.42</v>
      </c>
      <c r="N2986" s="1">
        <f>value(JPY!$B2986)</f>
        <v>133.541122</v>
      </c>
      <c r="O2986" s="1">
        <f>value(SAR!$B2986)</f>
        <v>3798.62467</v>
      </c>
      <c r="P2986" s="1">
        <f>value(AED!$B2986)</f>
        <v>3886.489944</v>
      </c>
      <c r="Q2986" s="1">
        <f>value(KWD!$B2986)</f>
        <v>47219.24632</v>
      </c>
    </row>
    <row r="2987">
      <c r="A2987" s="4">
        <f>value(USD!A2987)</f>
        <v>43352.99861</v>
      </c>
      <c r="B2987" s="1">
        <f>value(USD!B2987)</f>
        <v>14813</v>
      </c>
      <c r="C2987" s="1">
        <f>value(AUD!$B2987)</f>
        <v>10265</v>
      </c>
      <c r="D2987" s="1">
        <f>value(EUR!$B2987)</f>
        <v>17203.5015</v>
      </c>
      <c r="E2987" s="1">
        <f>value(GBP!$B2987)</f>
        <v>19309.31691</v>
      </c>
      <c r="F2987" s="1">
        <f>value(CHF!$B2987)</f>
        <v>15034.19267</v>
      </c>
      <c r="G2987" s="1">
        <f>value(SGD!$B2987)</f>
        <v>10691.67216</v>
      </c>
      <c r="H2987" s="1">
        <f>value(MYR!$B2987)</f>
        <v>3577.49744</v>
      </c>
      <c r="I2987" s="1">
        <f>value(THB!$B2987)</f>
        <v>452.216923</v>
      </c>
      <c r="J2987" s="1">
        <f>value(VND!$B2987)</f>
        <v>0.6074209137</v>
      </c>
      <c r="K2987" s="1">
        <f>value(CNY!$B2987)</f>
        <v>2123.85</v>
      </c>
      <c r="L2987" s="1">
        <f>value(HKD!$B2987)</f>
        <v>1910.69664</v>
      </c>
      <c r="M2987" s="1">
        <f>value(TWD!$B2987)</f>
        <v>454.39</v>
      </c>
      <c r="N2987" s="1">
        <f>value(JPY!$B2987)</f>
        <v>132.909846</v>
      </c>
      <c r="O2987" s="1">
        <f>value(SAR!$B2987)</f>
        <v>3791.6208</v>
      </c>
      <c r="P2987" s="1">
        <f>value(AED!$B2987)</f>
        <v>3896.642685</v>
      </c>
      <c r="Q2987" s="1">
        <f>value(KWD!$B2987)</f>
        <v>47324.04877</v>
      </c>
    </row>
    <row r="2988">
      <c r="A2988" s="4">
        <f>value(USD!A2988)</f>
        <v>43353.99861</v>
      </c>
      <c r="B2988" s="1">
        <f>value(USD!B2988)</f>
        <v>14844.5</v>
      </c>
      <c r="C2988" s="1">
        <f>value(AUD!$B2988)</f>
        <v>10244.1</v>
      </c>
      <c r="D2988" s="1">
        <f>value(EUR!$B2988)</f>
        <v>17214.02592</v>
      </c>
      <c r="E2988" s="1">
        <f>value(GBP!$B2988)</f>
        <v>19314.54694</v>
      </c>
      <c r="F2988" s="1">
        <f>value(CHF!$B2988)</f>
        <v>14878.743</v>
      </c>
      <c r="G2988" s="1">
        <f>value(SGD!$B2988)</f>
        <v>10735.33585</v>
      </c>
      <c r="H2988" s="1">
        <f>value(MYR!$B2988)</f>
        <v>3571.00419</v>
      </c>
      <c r="I2988" s="1">
        <f>value(THB!$B2988)</f>
        <v>452.709218</v>
      </c>
      <c r="J2988" s="1">
        <f>value(VND!$B2988)</f>
        <v>0.6090313657</v>
      </c>
      <c r="K2988" s="1">
        <f>value(CNY!$B2988)</f>
        <v>2116.4</v>
      </c>
      <c r="L2988" s="1">
        <f>value(HKD!$B2988)</f>
        <v>1905.040672</v>
      </c>
      <c r="M2988" s="1">
        <f>value(TWD!$B2988)</f>
        <v>452.445</v>
      </c>
      <c r="N2988" s="1">
        <f>value(JPY!$B2988)</f>
        <v>133.100123</v>
      </c>
      <c r="O2988" s="1">
        <f>value(SAR!$B2988)</f>
        <v>3791.9763</v>
      </c>
      <c r="P2988" s="1">
        <f>value(AED!$B2988)</f>
        <v>3892.382568</v>
      </c>
      <c r="Q2988" s="1">
        <f>value(KWD!$B2988)</f>
        <v>47110.8567</v>
      </c>
    </row>
    <row r="2989">
      <c r="A2989" s="4">
        <f>value(USD!A2989)</f>
        <v>43354.99861</v>
      </c>
      <c r="B2989" s="1">
        <f>value(USD!B2989)</f>
        <v>14837</v>
      </c>
      <c r="C2989" s="1">
        <f>value(AUD!$B2989)</f>
        <v>10243.4</v>
      </c>
      <c r="D2989" s="1">
        <f>value(EUR!$B2989)</f>
        <v>17232.534</v>
      </c>
      <c r="E2989" s="1">
        <f>value(GBP!$B2989)</f>
        <v>19324.5822</v>
      </c>
      <c r="F2989" s="1">
        <f>value(CHF!$B2989)</f>
        <v>14938.53825</v>
      </c>
      <c r="G2989" s="1">
        <f>value(SGD!$B2989)</f>
        <v>10741.42009</v>
      </c>
      <c r="H2989" s="1">
        <f>value(MYR!$B2989)</f>
        <v>3553.5192</v>
      </c>
      <c r="I2989" s="1">
        <f>value(THB!$B2989)</f>
        <v>451.86944</v>
      </c>
      <c r="J2989" s="1">
        <f>value(VND!$B2989)</f>
        <v>0.6090162331</v>
      </c>
      <c r="K2989" s="1">
        <f>value(CNY!$B2989)</f>
        <v>2116.4</v>
      </c>
      <c r="L2989" s="1">
        <f>value(HKD!$B2989)</f>
        <v>1893.1978</v>
      </c>
      <c r="M2989" s="1">
        <f>value(TWD!$B2989)</f>
        <v>453.09</v>
      </c>
      <c r="N2989" s="1">
        <f>value(JPY!$B2989)</f>
        <v>131.56924</v>
      </c>
      <c r="O2989" s="1">
        <f>value(SAR!$B2989)</f>
        <v>3774.963255</v>
      </c>
      <c r="P2989" s="1">
        <f>value(AED!$B2989)</f>
        <v>3883.030435</v>
      </c>
      <c r="Q2989" s="1">
        <f>value(KWD!$B2989)</f>
        <v>47449.74727</v>
      </c>
    </row>
    <row r="2990">
      <c r="A2990" s="4">
        <f>value(USD!A2990)</f>
        <v>43355.99861</v>
      </c>
      <c r="B2990" s="1">
        <f>value(USD!B2990)</f>
        <v>14807</v>
      </c>
      <c r="C2990" s="1">
        <f>value(AUD!$B2990)</f>
        <v>10277.1</v>
      </c>
      <c r="D2990" s="1">
        <f>value(EUR!$B2990)</f>
        <v>17218.0033</v>
      </c>
      <c r="E2990" s="1">
        <f>value(GBP!$B2990)</f>
        <v>19343.4269</v>
      </c>
      <c r="F2990" s="1">
        <f>value(CHF!$B2990)</f>
        <v>14907.43932</v>
      </c>
      <c r="G2990" s="1">
        <f>value(SGD!$B2990)</f>
        <v>10581.04014</v>
      </c>
      <c r="H2990" s="1">
        <f>value(MYR!$B2990)</f>
        <v>3574.29349</v>
      </c>
      <c r="I2990" s="1">
        <f>value(THB!$B2990)</f>
        <v>452.821794</v>
      </c>
      <c r="J2990" s="1">
        <f>value(VND!$B2990)</f>
        <v>0.6086843622</v>
      </c>
      <c r="K2990" s="1">
        <f>value(CNY!$B2990)</f>
        <v>2116.4</v>
      </c>
      <c r="L2990" s="1">
        <f>value(HKD!$B2990)</f>
        <v>1864.717497</v>
      </c>
      <c r="M2990" s="1">
        <f>value(TWD!$B2990)</f>
        <v>453.09</v>
      </c>
      <c r="N2990" s="1">
        <f>value(JPY!$B2990)</f>
        <v>132.0811638</v>
      </c>
      <c r="O2990" s="1">
        <f>value(SAR!$B2990)</f>
        <v>3759.63944</v>
      </c>
      <c r="P2990" s="1">
        <f>value(AED!$B2990)</f>
        <v>3887.6586</v>
      </c>
      <c r="Q2990" s="1">
        <f>value(KWD!$B2990)</f>
        <v>46973.01587</v>
      </c>
    </row>
    <row r="2991">
      <c r="A2991" s="4">
        <f>value(USD!A2991)</f>
        <v>43356.99861</v>
      </c>
      <c r="B2991" s="1">
        <f>value(USD!B2991)</f>
        <v>14740</v>
      </c>
      <c r="C2991" s="1">
        <f>value(AUD!$B2991)</f>
        <v>10257.75</v>
      </c>
      <c r="D2991" s="1">
        <f>value(EUR!$B2991)</f>
        <v>17230.11806</v>
      </c>
      <c r="E2991" s="1">
        <f>value(GBP!$B2991)</f>
        <v>19355.03397</v>
      </c>
      <c r="F2991" s="1">
        <f>value(CHF!$B2991)</f>
        <v>14850.57318</v>
      </c>
      <c r="G2991" s="1">
        <f>value(SGD!$B2991)</f>
        <v>10604.6905</v>
      </c>
      <c r="H2991" s="1">
        <f>value(MYR!$B2991)</f>
        <v>3575.880079</v>
      </c>
      <c r="I2991" s="1">
        <f>value(THB!$B2991)</f>
        <v>453.0227965</v>
      </c>
      <c r="J2991" s="1">
        <f>value(VND!$B2991)</f>
        <v>0.6134939121</v>
      </c>
      <c r="K2991" s="1">
        <f>value(CNY!$B2991)</f>
        <v>2100.8</v>
      </c>
      <c r="L2991" s="1">
        <f>value(HKD!$B2991)</f>
        <v>1880.3328</v>
      </c>
      <c r="M2991" s="1">
        <f>value(TWD!$B2991)</f>
        <v>453.365</v>
      </c>
      <c r="N2991" s="1">
        <f>value(JPY!$B2991)</f>
        <v>132.1397931</v>
      </c>
      <c r="O2991" s="1">
        <f>value(SAR!$B2991)</f>
        <v>3760.980555</v>
      </c>
      <c r="P2991" s="1">
        <f>value(AED!$B2991)</f>
        <v>3908.444857</v>
      </c>
      <c r="Q2991" s="1">
        <f>value(KWD!$B2991)</f>
        <v>47032.17907</v>
      </c>
    </row>
    <row r="2992">
      <c r="A2992" s="4">
        <f>value(USD!A2992)</f>
        <v>43357.99861</v>
      </c>
      <c r="B2992" s="1">
        <f>value(USD!B2992)</f>
        <v>14801</v>
      </c>
      <c r="C2992" s="1">
        <f>value(AUD!$B2992)</f>
        <v>10240</v>
      </c>
      <c r="D2992" s="1">
        <f>value(EUR!$B2992)</f>
        <v>17216.0989</v>
      </c>
      <c r="E2992" s="1">
        <f>value(GBP!$B2992)</f>
        <v>19355.56233</v>
      </c>
      <c r="F2992" s="1">
        <f>value(CHF!$B2992)</f>
        <v>14803.7509</v>
      </c>
      <c r="G2992" s="1">
        <f>value(SGD!$B2992)</f>
        <v>10638.8662</v>
      </c>
      <c r="H2992" s="1">
        <f>value(MYR!$B2992)</f>
        <v>3575.74243</v>
      </c>
      <c r="I2992" s="1">
        <f>value(THB!$B2992)</f>
        <v>452.398271</v>
      </c>
      <c r="J2992" s="1">
        <f>value(VND!$B2992)</f>
        <v>0.6092623719</v>
      </c>
      <c r="K2992" s="1">
        <f>value(CNY!$B2992)</f>
        <v>2072.95</v>
      </c>
      <c r="L2992" s="1">
        <f>value(HKD!$B2992)</f>
        <v>1873.94026</v>
      </c>
      <c r="M2992" s="1">
        <f>value(TWD!$B2992)</f>
        <v>458.175</v>
      </c>
      <c r="N2992" s="1">
        <f>value(JPY!$B2992)</f>
        <v>132.182089</v>
      </c>
      <c r="O2992" s="1">
        <f>value(SAR!$B2992)</f>
        <v>3764.247892</v>
      </c>
      <c r="P2992" s="1">
        <f>value(AED!$B2992)</f>
        <v>3908.485342</v>
      </c>
      <c r="Q2992" s="1">
        <f>value(KWD!$B2992)</f>
        <v>46556.14575</v>
      </c>
    </row>
    <row r="2993">
      <c r="A2993" s="4">
        <f>value(USD!A2993)</f>
        <v>43358.99861</v>
      </c>
      <c r="B2993" s="1">
        <f>value(USD!B2993)</f>
        <v>14807.57</v>
      </c>
      <c r="C2993" s="1">
        <f>value(AUD!$B2993)</f>
        <v>10303.85</v>
      </c>
      <c r="D2993" s="1">
        <f>value(EUR!$B2993)</f>
        <v>17394.4987</v>
      </c>
      <c r="E2993" s="1">
        <f>value(GBP!$B2993)</f>
        <v>19593.89224</v>
      </c>
      <c r="F2993" s="1">
        <f>value(CHF!$B2993)</f>
        <v>14570.28615</v>
      </c>
      <c r="G2993" s="1">
        <f>value(SGD!$B2993)</f>
        <v>10635.361</v>
      </c>
      <c r="H2993" s="1">
        <f>value(MYR!$B2993)</f>
        <v>3599.915579</v>
      </c>
      <c r="I2993" s="1">
        <f>value(THB!$B2993)</f>
        <v>456.2168884</v>
      </c>
      <c r="J2993" s="1">
        <f>value(VND!$B2993)</f>
        <v>0.6050782229</v>
      </c>
      <c r="K2993" s="1">
        <f>value(CNY!$B2993)</f>
        <v>2109.8</v>
      </c>
      <c r="L2993" s="1">
        <f>value(HKD!$B2993)</f>
        <v>1873.94026</v>
      </c>
      <c r="M2993" s="1">
        <f>value(TWD!$B2993)</f>
        <v>453.81</v>
      </c>
      <c r="N2993" s="1">
        <f>value(JPY!$B2993)</f>
        <v>133.4334521</v>
      </c>
      <c r="O2993" s="1">
        <f>value(SAR!$B2993)</f>
        <v>3784.12195</v>
      </c>
      <c r="P2993" s="1">
        <f>value(AED!$B2993)</f>
        <v>3900.028522</v>
      </c>
      <c r="Q2993" s="1">
        <f>value(KWD!$B2993)</f>
        <v>46531.28125</v>
      </c>
    </row>
    <row r="2994">
      <c r="A2994" s="4">
        <f>value(USD!A2994)</f>
        <v>43359.99861</v>
      </c>
      <c r="B2994" s="1">
        <f>value(USD!B2994)</f>
        <v>14807</v>
      </c>
      <c r="C2994" s="1">
        <f>value(AUD!$B2994)</f>
        <v>10258.6</v>
      </c>
      <c r="D2994" s="1">
        <f>value(EUR!$B2994)</f>
        <v>17363.46664</v>
      </c>
      <c r="E2994" s="1">
        <f>value(GBP!$B2994)</f>
        <v>19576.12225</v>
      </c>
      <c r="F2994" s="1">
        <f>value(CHF!$B2994)</f>
        <v>14631.9744</v>
      </c>
      <c r="G2994" s="1">
        <f>value(SGD!$B2994)</f>
        <v>10679.76692</v>
      </c>
      <c r="H2994" s="1">
        <f>value(MYR!$B2994)</f>
        <v>3586.66375</v>
      </c>
      <c r="I2994" s="1">
        <f>value(THB!$B2994)</f>
        <v>456.610171</v>
      </c>
      <c r="J2994" s="1">
        <f>value(VND!$B2994)</f>
        <v>0.603931197</v>
      </c>
      <c r="K2994" s="1">
        <f>value(CNY!$B2994)</f>
        <v>2095.9</v>
      </c>
      <c r="L2994" s="1">
        <f>value(HKD!$B2994)</f>
        <v>1874.23382</v>
      </c>
      <c r="M2994" s="1">
        <f>value(TWD!$B2994)</f>
        <v>457.965</v>
      </c>
      <c r="N2994" s="1">
        <f>value(JPY!$B2994)</f>
        <v>132.375768</v>
      </c>
      <c r="O2994" s="1">
        <f>value(SAR!$B2994)</f>
        <v>3771.160235</v>
      </c>
      <c r="P2994" s="1">
        <f>value(AED!$B2994)</f>
        <v>3924.820042</v>
      </c>
      <c r="Q2994" s="1">
        <f>value(KWD!$B2994)</f>
        <v>46531.28125</v>
      </c>
    </row>
    <row r="2995">
      <c r="A2995" s="4">
        <f>value(USD!A2995)</f>
        <v>43360.99861</v>
      </c>
      <c r="B2995" s="1">
        <f>value(USD!B2995)</f>
        <v>14907.1</v>
      </c>
      <c r="C2995" s="1">
        <f>value(AUD!$B2995)</f>
        <v>10257.4</v>
      </c>
      <c r="D2995" s="1">
        <f>value(EUR!$B2995)</f>
        <v>17370.7632</v>
      </c>
      <c r="E2995" s="1">
        <f>value(GBP!$B2995)</f>
        <v>19552.4688</v>
      </c>
      <c r="F2995" s="1">
        <f>value(CHF!$B2995)</f>
        <v>14598.7388</v>
      </c>
      <c r="G2995" s="1">
        <f>value(SGD!$B2995)</f>
        <v>10662.41253</v>
      </c>
      <c r="H2995" s="1">
        <f>value(MYR!$B2995)</f>
        <v>3595.752</v>
      </c>
      <c r="I2995" s="1">
        <f>value(THB!$B2995)</f>
        <v>459.03312</v>
      </c>
      <c r="J2995" s="1">
        <f>value(VND!$B2995)</f>
        <v>0.6033149094</v>
      </c>
      <c r="K2995" s="1">
        <f>value(CNY!$B2995)</f>
        <v>2088.15</v>
      </c>
      <c r="L2995" s="1">
        <f>value(HKD!$B2995)</f>
        <v>1889.35272</v>
      </c>
      <c r="M2995" s="1">
        <f>value(TWD!$B2995)</f>
        <v>458.73</v>
      </c>
      <c r="N2995" s="1">
        <f>value(JPY!$B2995)</f>
        <v>132.44688</v>
      </c>
      <c r="O2995" s="1">
        <f>value(SAR!$B2995)</f>
        <v>3781.542375</v>
      </c>
      <c r="P2995" s="1">
        <f>value(AED!$B2995)</f>
        <v>3891.061662</v>
      </c>
      <c r="Q2995" s="1">
        <f>value(KWD!$B2995)</f>
        <v>46620.76645</v>
      </c>
    </row>
    <row r="2996">
      <c r="A2996" s="4">
        <f>value(USD!A2996)</f>
        <v>43361.99861</v>
      </c>
      <c r="B2996" s="1">
        <f>value(USD!B2996)</f>
        <v>14867</v>
      </c>
      <c r="C2996" s="1">
        <f>value(AUD!$B2996)</f>
        <v>10257.4</v>
      </c>
      <c r="D2996" s="1">
        <f>value(EUR!$B2996)</f>
        <v>17464.68</v>
      </c>
      <c r="E2996" s="1">
        <f>value(GBP!$B2996)</f>
        <v>19682.064</v>
      </c>
      <c r="F2996" s="1">
        <f>value(CHF!$B2996)</f>
        <v>14600.05982</v>
      </c>
      <c r="G2996" s="1">
        <f>value(SGD!$B2996)</f>
        <v>10651.6641</v>
      </c>
      <c r="H2996" s="1">
        <f>value(MYR!$B2996)</f>
        <v>3581.63136</v>
      </c>
      <c r="I2996" s="1">
        <f>value(THB!$B2996)</f>
        <v>458.071488</v>
      </c>
      <c r="J2996" s="1">
        <f>value(VND!$B2996)</f>
        <v>0.6033149094</v>
      </c>
      <c r="K2996" s="1">
        <f>value(CNY!$B2996)</f>
        <v>2088.15</v>
      </c>
      <c r="L2996" s="1">
        <f>value(HKD!$B2996)</f>
        <v>1889.084167</v>
      </c>
      <c r="M2996" s="1">
        <f>value(TWD!$B2996)</f>
        <v>458.73</v>
      </c>
      <c r="N2996" s="1">
        <f>value(JPY!$B2996)</f>
        <v>131.826816</v>
      </c>
      <c r="O2996" s="1">
        <f>value(SAR!$B2996)</f>
        <v>3771.552075</v>
      </c>
      <c r="P2996" s="1">
        <f>value(AED!$B2996)</f>
        <v>3890.517172</v>
      </c>
      <c r="Q2996" s="1">
        <f>value(KWD!$B2996)</f>
        <v>46696.0562</v>
      </c>
    </row>
    <row r="2997">
      <c r="A2997" s="4">
        <f>value(USD!A2997)</f>
        <v>43362.99861</v>
      </c>
      <c r="B2997" s="1">
        <f>value(USD!B2997)</f>
        <v>14880</v>
      </c>
      <c r="C2997" s="1">
        <f>value(AUD!$B2997)</f>
        <v>10257.9</v>
      </c>
      <c r="D2997" s="1">
        <f>value(EUR!$B2997)</f>
        <v>17481.364</v>
      </c>
      <c r="E2997" s="1">
        <f>value(GBP!$B2997)</f>
        <v>19418.456</v>
      </c>
      <c r="F2997" s="1">
        <f>value(CHF!$B2997)</f>
        <v>14589.49166</v>
      </c>
      <c r="G2997" s="1">
        <f>value(SGD!$B2997)</f>
        <v>10630.26</v>
      </c>
      <c r="H2997" s="1">
        <f>value(MYR!$B2997)</f>
        <v>3591.79045</v>
      </c>
      <c r="I2997" s="1">
        <f>value(THB!$B2997)</f>
        <v>458.48472</v>
      </c>
      <c r="J2997" s="1">
        <f>value(VND!$B2997)</f>
        <v>0.6034605226</v>
      </c>
      <c r="K2997" s="1">
        <f>value(CNY!$B2997)</f>
        <v>2088.15</v>
      </c>
      <c r="L2997" s="1">
        <f>value(HKD!$B2997)</f>
        <v>1891.510277</v>
      </c>
      <c r="M2997" s="1">
        <f>value(TWD!$B2997)</f>
        <v>458.73</v>
      </c>
      <c r="N2997" s="1">
        <f>value(JPY!$B2997)</f>
        <v>131.962907</v>
      </c>
      <c r="O2997" s="1">
        <f>value(SAR!$B2997)</f>
        <v>3762.000375</v>
      </c>
      <c r="P2997" s="1">
        <f>value(AED!$B2997)</f>
        <v>3850.905525</v>
      </c>
      <c r="Q2997" s="1">
        <f>value(KWD!$B2997)</f>
        <v>46582.8375</v>
      </c>
    </row>
    <row r="2998">
      <c r="A2998" s="4">
        <f>value(USD!A2998)</f>
        <v>43363.99861</v>
      </c>
      <c r="B2998" s="1">
        <f>value(USD!B2998)</f>
        <v>14832</v>
      </c>
      <c r="C2998" s="1">
        <f>value(AUD!$B2998)</f>
        <v>10145.2</v>
      </c>
      <c r="D2998" s="1">
        <f>value(EUR!$B2998)</f>
        <v>17430.7616</v>
      </c>
      <c r="E2998" s="1">
        <f>value(GBP!$B2998)</f>
        <v>19362.2464</v>
      </c>
      <c r="F2998" s="1">
        <f>value(CHF!$B2998)</f>
        <v>14654.7372</v>
      </c>
      <c r="G2998" s="1">
        <f>value(SGD!$B2998)</f>
        <v>10563.31105</v>
      </c>
      <c r="H2998" s="1">
        <f>value(MYR!$B2998)</f>
        <v>3581.39348</v>
      </c>
      <c r="I2998" s="1">
        <f>value(THB!$B2998)</f>
        <v>457.157568</v>
      </c>
      <c r="J2998" s="1">
        <f>value(VND!$B2998)</f>
        <v>0.6043167329</v>
      </c>
      <c r="K2998" s="1">
        <f>value(CNY!$B2998)</f>
        <v>2055.5</v>
      </c>
      <c r="L2998" s="1">
        <f>value(HKD!$B2998)</f>
        <v>1859.185198</v>
      </c>
      <c r="M2998" s="1">
        <f>value(TWD!$B2998)</f>
        <v>457.605</v>
      </c>
      <c r="N2998" s="1">
        <f>value(JPY!$B2998)</f>
        <v>131.5809208</v>
      </c>
      <c r="O2998" s="1">
        <f>value(SAR!$B2998)</f>
        <v>3764.592625</v>
      </c>
      <c r="P2998" s="1">
        <f>value(AED!$B2998)</f>
        <v>3845.420792</v>
      </c>
      <c r="Q2998" s="1">
        <f>value(KWD!$B2998)</f>
        <v>46806.59107</v>
      </c>
    </row>
    <row r="2999">
      <c r="A2999" s="4">
        <f>value(USD!A2999)</f>
        <v>43364.99861</v>
      </c>
      <c r="B2999" s="1">
        <f>value(USD!B2999)</f>
        <v>14855</v>
      </c>
      <c r="C2999" s="1">
        <f>value(AUD!$B2999)</f>
        <v>10126.35</v>
      </c>
      <c r="D2999" s="1">
        <f>value(EUR!$B2999)</f>
        <v>17401.1376</v>
      </c>
      <c r="E2999" s="1">
        <f>value(GBP!$B2999)</f>
        <v>19372.31856</v>
      </c>
      <c r="F2999" s="1">
        <f>value(CHF!$B2999)</f>
        <v>14704.49859</v>
      </c>
      <c r="G2999" s="1">
        <f>value(SGD!$B2999)</f>
        <v>10575.76357</v>
      </c>
      <c r="H2999" s="1">
        <f>value(MYR!$B2999)</f>
        <v>3584.20776</v>
      </c>
      <c r="I2999" s="1">
        <f>value(THB!$B2999)</f>
        <v>456.87614</v>
      </c>
      <c r="J2999" s="1">
        <f>value(VND!$B2999)</f>
        <v>0.605887293</v>
      </c>
      <c r="K2999" s="1">
        <f>value(CNY!$B2999)</f>
        <v>2063.45</v>
      </c>
      <c r="L2999" s="1">
        <f>value(HKD!$B2999)</f>
        <v>1865.3506</v>
      </c>
      <c r="M2999" s="1">
        <f>value(TWD!$B2999)</f>
        <v>460.015</v>
      </c>
      <c r="N2999" s="1">
        <f>value(JPY!$B2999)</f>
        <v>131.60462</v>
      </c>
      <c r="O2999" s="1">
        <f>value(SAR!$B2999)</f>
        <v>3757.932836</v>
      </c>
      <c r="P2999" s="1">
        <f>value(AED!$B2999)</f>
        <v>3845.460625</v>
      </c>
      <c r="Q2999" s="1">
        <f>value(KWD!$B2999)</f>
        <v>46700.28437</v>
      </c>
    </row>
    <row r="3000">
      <c r="A3000" s="4">
        <f>value(USD!A3000)</f>
        <v>43365.99861</v>
      </c>
      <c r="B3000" s="1">
        <f>value(USD!B3000)</f>
        <v>14812</v>
      </c>
      <c r="C3000" s="1">
        <f>value(AUD!$B3000)</f>
        <v>10016.85</v>
      </c>
      <c r="D3000" s="1">
        <f>value(EUR!$B3000)</f>
        <v>17464.6472</v>
      </c>
      <c r="E3000" s="1">
        <f>value(GBP!$B3000)</f>
        <v>19491.98482</v>
      </c>
      <c r="F3000" s="1">
        <f>value(CHF!$B3000)</f>
        <v>14722.34633</v>
      </c>
      <c r="G3000" s="1">
        <f>value(SGD!$B3000)</f>
        <v>10563.89237</v>
      </c>
      <c r="H3000" s="1">
        <f>value(MYR!$B3000)</f>
        <v>3596.06478</v>
      </c>
      <c r="I3000" s="1">
        <f>value(THB!$B3000)</f>
        <v>458.060603</v>
      </c>
      <c r="J3000" s="1">
        <f>value(VND!$B3000)</f>
        <v>0.6061670881</v>
      </c>
      <c r="K3000" s="1">
        <f>value(CNY!$B3000)</f>
        <v>2055.4</v>
      </c>
      <c r="L3000" s="1">
        <f>value(HKD!$B3000)</f>
        <v>1865.20455</v>
      </c>
      <c r="M3000" s="1">
        <f>value(TWD!$B3000)</f>
        <v>457.095</v>
      </c>
      <c r="N3000" s="1">
        <f>value(JPY!$B3000)</f>
        <v>131.727904</v>
      </c>
      <c r="O3000" s="1">
        <f>value(SAR!$B3000)</f>
        <v>3775.717987</v>
      </c>
      <c r="P3000" s="1">
        <f>value(AED!$B3000)</f>
        <v>3853.797976</v>
      </c>
      <c r="Q3000" s="1">
        <f>value(KWD!$B3000)</f>
        <v>46552.39811</v>
      </c>
    </row>
    <row r="3001">
      <c r="A3001" s="4">
        <f>value(USD!A3001)</f>
        <v>43366.99861</v>
      </c>
      <c r="B3001" s="1">
        <f>value(USD!B3001)</f>
        <v>14812</v>
      </c>
      <c r="C3001" s="1">
        <f>value(AUD!$B3001)</f>
        <v>10096.55</v>
      </c>
      <c r="D3001" s="1">
        <f>value(EUR!$B3001)</f>
        <v>17669.3398</v>
      </c>
      <c r="E3001" s="1">
        <f>value(GBP!$B3001)</f>
        <v>19796.68463</v>
      </c>
      <c r="F3001" s="1">
        <f>value(CHF!$B3001)</f>
        <v>14462.01206</v>
      </c>
      <c r="G3001" s="1">
        <f>value(SGD!$B3001)</f>
        <v>10561.20156</v>
      </c>
      <c r="H3001" s="1">
        <f>value(MYR!$B3001)</f>
        <v>3628.89397</v>
      </c>
      <c r="I3001" s="1">
        <f>value(THB!$B3001)</f>
        <v>463.4282965</v>
      </c>
      <c r="J3001" s="1">
        <f>value(VND!$B3001)</f>
        <v>0.60849987</v>
      </c>
      <c r="K3001" s="1">
        <f>value(CNY!$B3001)</f>
        <v>2071.95</v>
      </c>
      <c r="L3001" s="1">
        <f>value(HKD!$B3001)</f>
        <v>1865.0585</v>
      </c>
      <c r="M3001" s="1">
        <f>value(TWD!$B3001)</f>
        <v>455.655</v>
      </c>
      <c r="N3001" s="1">
        <f>value(JPY!$B3001)</f>
        <v>132.9583008</v>
      </c>
      <c r="O3001" s="1">
        <f>value(SAR!$B3001)</f>
        <v>3755.553975</v>
      </c>
      <c r="P3001" s="1">
        <f>value(AED!$B3001)</f>
        <v>3862.06757</v>
      </c>
      <c r="Q3001" s="1">
        <f>value(KWD!$B3001)</f>
        <v>46552.39811</v>
      </c>
    </row>
    <row r="3002">
      <c r="A3002" s="4">
        <f>value(USD!A3002)</f>
        <v>43367.99861</v>
      </c>
      <c r="B3002" s="1">
        <f>value(USD!B3002)</f>
        <v>14861</v>
      </c>
      <c r="C3002" s="1">
        <f>value(AUD!$B3002)</f>
        <v>10215.6</v>
      </c>
      <c r="D3002" s="1">
        <f>value(EUR!$B3002)</f>
        <v>17603.92845</v>
      </c>
      <c r="E3002" s="1">
        <f>value(GBP!$B3002)</f>
        <v>19735.245</v>
      </c>
      <c r="F3002" s="1">
        <f>value(CHF!$B3002)</f>
        <v>14605</v>
      </c>
      <c r="G3002" s="1">
        <f>value(SGD!$B3002)</f>
        <v>10580.35545</v>
      </c>
      <c r="H3002" s="1">
        <f>value(MYR!$B3002)</f>
        <v>3616.92945</v>
      </c>
      <c r="I3002" s="1">
        <f>value(THB!$B3002)</f>
        <v>461.92761</v>
      </c>
      <c r="J3002" s="1">
        <f>value(VND!$B3002)</f>
        <v>0.6001370549</v>
      </c>
      <c r="K3002" s="1">
        <f>value(CNY!$B3002)</f>
        <v>2086.75</v>
      </c>
      <c r="L3002" s="1">
        <f>value(HKD!$B3002)</f>
        <v>1870.856736</v>
      </c>
      <c r="M3002" s="1">
        <f>value(TWD!$B3002)</f>
        <v>456.595</v>
      </c>
      <c r="N3002" s="1">
        <f>value(JPY!$B3002)</f>
        <v>132.9454215</v>
      </c>
      <c r="O3002" s="1">
        <f>value(SAR!$B3002)</f>
        <v>3755.835675</v>
      </c>
      <c r="P3002" s="1">
        <f>value(AED!$B3002)</f>
        <v>3845.420792</v>
      </c>
      <c r="Q3002" s="1">
        <f>value(KWD!$B3002)</f>
        <v>46557.90568</v>
      </c>
    </row>
    <row r="3003">
      <c r="A3003" s="4">
        <f>value(USD!A3003)</f>
        <v>43368.99861</v>
      </c>
      <c r="B3003" s="1">
        <f>value(USD!B3003)</f>
        <v>15021.5</v>
      </c>
      <c r="C3003" s="1">
        <f>value(AUD!$B3003)</f>
        <v>10208.95</v>
      </c>
      <c r="D3003" s="1">
        <f>value(EUR!$B3003)</f>
        <v>17360.70918</v>
      </c>
      <c r="E3003" s="1">
        <f>value(GBP!$B3003)</f>
        <v>19505.43587</v>
      </c>
      <c r="F3003" s="1">
        <f>value(CHF!$B3003)</f>
        <v>14583.9688</v>
      </c>
      <c r="G3003" s="1">
        <f>value(SGD!$B3003)</f>
        <v>10530.06015</v>
      </c>
      <c r="H3003" s="1">
        <f>value(MYR!$B3003)</f>
        <v>3600.055628</v>
      </c>
      <c r="I3003" s="1">
        <f>value(THB!$B3003)</f>
        <v>459.7824972</v>
      </c>
      <c r="J3003" s="1">
        <f>value(VND!$B3003)</f>
        <v>0.6001370549</v>
      </c>
      <c r="K3003" s="1">
        <f>value(CNY!$B3003)</f>
        <v>2086.75</v>
      </c>
      <c r="L3003" s="1">
        <f>value(HKD!$B3003)</f>
        <v>1872.484467</v>
      </c>
      <c r="M3003" s="1">
        <f>value(TWD!$B3003)</f>
        <v>456.8</v>
      </c>
      <c r="N3003" s="1">
        <f>value(JPY!$B3003)</f>
        <v>131.5688972</v>
      </c>
      <c r="O3003" s="1">
        <f>value(SAR!$B3003)</f>
        <v>3743.653155</v>
      </c>
      <c r="P3003" s="1">
        <f>value(AED!$B3003)</f>
        <v>3870.915532</v>
      </c>
      <c r="Q3003" s="1">
        <f>value(KWD!$B3003)</f>
        <v>46588.8454</v>
      </c>
    </row>
    <row r="3004">
      <c r="A3004" s="4">
        <f>value(USD!A3004)</f>
        <v>43369.99861</v>
      </c>
      <c r="B3004" s="1">
        <f>value(USD!B3004)</f>
        <v>14985</v>
      </c>
      <c r="C3004" s="1">
        <f>value(AUD!$B3004)</f>
        <v>10204.3</v>
      </c>
      <c r="D3004" s="1">
        <f>value(EUR!$B3004)</f>
        <v>17302.18</v>
      </c>
      <c r="E3004" s="1">
        <f>value(GBP!$B3004)</f>
        <v>19400.181</v>
      </c>
      <c r="F3004" s="1">
        <f>value(CHF!$B3004)</f>
        <v>14610.842</v>
      </c>
      <c r="G3004" s="1">
        <f>value(SGD!$B3004)</f>
        <v>10475.71676</v>
      </c>
      <c r="H3004" s="1">
        <f>value(MYR!$B3004)</f>
        <v>3595.7861</v>
      </c>
      <c r="I3004" s="1">
        <f>value(THB!$B3004)</f>
        <v>460.62215</v>
      </c>
      <c r="J3004" s="1">
        <f>value(VND!$B3004)</f>
        <v>0.6003415821</v>
      </c>
      <c r="K3004" s="1">
        <f>value(CNY!$B3004)</f>
        <v>2086.75</v>
      </c>
      <c r="L3004" s="1">
        <f>value(HKD!$B3004)</f>
        <v>1867.8121</v>
      </c>
      <c r="M3004" s="1">
        <f>value(TWD!$B3004)</f>
        <v>456.8</v>
      </c>
      <c r="N3004" s="1">
        <f>value(JPY!$B3004)</f>
        <v>130.966484</v>
      </c>
      <c r="O3004" s="1">
        <f>value(SAR!$B3004)</f>
        <v>3743.350442</v>
      </c>
      <c r="P3004" s="1">
        <f>value(AED!$B3004)</f>
        <v>3862.475937</v>
      </c>
      <c r="Q3004" s="1">
        <f>value(KWD!$B3004)</f>
        <v>46744.5279</v>
      </c>
    </row>
    <row r="3005">
      <c r="A3005" s="4">
        <f>value(USD!A3005)</f>
        <v>43370.99861</v>
      </c>
      <c r="B3005" s="1">
        <f>value(USD!B3005)</f>
        <v>14918.8</v>
      </c>
      <c r="C3005" s="1">
        <f>value(AUD!$B3005)</f>
        <v>10060.3</v>
      </c>
      <c r="D3005" s="1">
        <f>value(EUR!$B3005)</f>
        <v>17322.99043</v>
      </c>
      <c r="E3005" s="1">
        <f>value(GBP!$B3005)</f>
        <v>19421.43033</v>
      </c>
      <c r="F3005" s="1">
        <f>value(CHF!$B3005)</f>
        <v>14750.87309</v>
      </c>
      <c r="G3005" s="1">
        <f>value(SGD!$B3005)</f>
        <v>10432.34104</v>
      </c>
      <c r="H3005" s="1">
        <f>value(MYR!$B3005)</f>
        <v>3599.169374</v>
      </c>
      <c r="I3005" s="1">
        <f>value(THB!$B3005)</f>
        <v>461.0555493</v>
      </c>
      <c r="J3005" s="1">
        <f>value(VND!$B3005)</f>
        <v>0.6043250533</v>
      </c>
      <c r="K3005" s="1">
        <f>value(CNY!$B3005)</f>
        <v>2087.75</v>
      </c>
      <c r="L3005" s="1">
        <f>value(HKD!$B3005)</f>
        <v>1864.42</v>
      </c>
      <c r="M3005" s="1">
        <f>value(TWD!$B3005)</f>
        <v>456.175</v>
      </c>
      <c r="N3005" s="1">
        <f>value(JPY!$B3005)</f>
        <v>131.0897103</v>
      </c>
      <c r="O3005" s="1">
        <f>value(SAR!$B3005)</f>
        <v>3743.22564</v>
      </c>
      <c r="P3005" s="1">
        <f>value(AED!$B3005)</f>
        <v>3845.47936</v>
      </c>
      <c r="Q3005" s="1">
        <f>value(KWD!$B3005)</f>
        <v>46688.79</v>
      </c>
    </row>
    <row r="3006">
      <c r="A3006" s="4">
        <f>value(USD!A3006)</f>
        <v>43371.99861</v>
      </c>
      <c r="B3006" s="1">
        <f>value(USD!B3006)</f>
        <v>14890</v>
      </c>
      <c r="C3006" s="1">
        <f>value(AUD!$B3006)</f>
        <v>10107.95</v>
      </c>
      <c r="D3006" s="1">
        <f>value(EUR!$B3006)</f>
        <v>17292.87688</v>
      </c>
      <c r="E3006" s="1">
        <f>value(GBP!$B3006)</f>
        <v>19428.33348</v>
      </c>
      <c r="F3006" s="1">
        <f>value(CHF!$B3006)</f>
        <v>14739.96778</v>
      </c>
      <c r="G3006" s="1">
        <f>value(SGD!$B3006)</f>
        <v>10485.45366</v>
      </c>
      <c r="H3006" s="1">
        <f>value(MYR!$B3006)</f>
        <v>3601.21732</v>
      </c>
      <c r="I3006" s="1">
        <f>value(THB!$B3006)</f>
        <v>460.933762</v>
      </c>
      <c r="J3006" s="1">
        <f>value(VND!$B3006)</f>
        <v>0.6048567789</v>
      </c>
      <c r="K3006" s="1">
        <f>value(CNY!$B3006)</f>
        <v>2084.55</v>
      </c>
      <c r="L3006" s="1">
        <f>value(HKD!$B3006)</f>
        <v>1857.02674</v>
      </c>
      <c r="M3006" s="1">
        <f>value(TWD!$B3006)</f>
        <v>455.13</v>
      </c>
      <c r="N3006" s="1">
        <f>value(JPY!$B3006)</f>
        <v>130.943874</v>
      </c>
      <c r="O3006" s="1">
        <f>value(SAR!$B3006)</f>
        <v>3744.799906</v>
      </c>
      <c r="P3006" s="1">
        <f>value(AED!$B3006)</f>
        <v>3845.47936</v>
      </c>
      <c r="Q3006" s="1">
        <f>value(KWD!$B3006)</f>
        <v>46654.90995</v>
      </c>
    </row>
    <row r="3007">
      <c r="A3007" s="4">
        <f>value(USD!A3007)</f>
        <v>43372.99861</v>
      </c>
      <c r="B3007" s="1">
        <f>value(USD!B3007)</f>
        <v>14904.01</v>
      </c>
      <c r="C3007" s="1">
        <f>value(AUD!$B3007)</f>
        <v>10051.25</v>
      </c>
      <c r="D3007" s="1">
        <f>value(EUR!$B3007)</f>
        <v>17427.20541</v>
      </c>
      <c r="E3007" s="1">
        <f>value(GBP!$B3007)</f>
        <v>19633.56759</v>
      </c>
      <c r="F3007" s="1">
        <f>value(CHF!$B3007)</f>
        <v>14711.928</v>
      </c>
      <c r="G3007" s="1">
        <f>value(SGD!$B3007)</f>
        <v>10437.36664</v>
      </c>
      <c r="H3007" s="1">
        <f>value(MYR!$B3007)</f>
        <v>3633.86662</v>
      </c>
      <c r="I3007" s="1">
        <f>value(THB!$B3007)</f>
        <v>466.1856477</v>
      </c>
      <c r="J3007" s="1">
        <f>value(VND!$B3007)</f>
        <v>0.6023657578</v>
      </c>
      <c r="K3007" s="1">
        <f>value(CNY!$B3007)</f>
        <v>2090.75</v>
      </c>
      <c r="L3007" s="1">
        <f>value(HKD!$B3007)</f>
        <v>1858.661246</v>
      </c>
      <c r="M3007" s="1">
        <f>value(TWD!$B3007)</f>
        <v>455.165</v>
      </c>
      <c r="N3007" s="1">
        <f>value(JPY!$B3007)</f>
        <v>132.1002341</v>
      </c>
      <c r="O3007" s="1">
        <f>value(SAR!$B3007)</f>
        <v>3750.66948</v>
      </c>
      <c r="P3007" s="1">
        <f>value(AED!$B3007)</f>
        <v>3846.425986</v>
      </c>
      <c r="Q3007" s="1">
        <f>value(KWD!$B3007)</f>
        <v>46311.9455</v>
      </c>
    </row>
    <row r="3008">
      <c r="A3008" s="4">
        <f>value(USD!A3008)</f>
        <v>43373.99861</v>
      </c>
      <c r="B3008" s="1">
        <f>value(USD!B3008)</f>
        <v>14902</v>
      </c>
      <c r="C3008" s="1">
        <f>value(AUD!$B3008)</f>
        <v>10110.1</v>
      </c>
      <c r="D3008" s="1">
        <f>value(EUR!$B3008)</f>
        <v>17370.69456</v>
      </c>
      <c r="E3008" s="1">
        <f>value(GBP!$B3008)</f>
        <v>19517.66982</v>
      </c>
      <c r="F3008" s="1">
        <f>value(CHF!$B3008)</f>
        <v>14677.38</v>
      </c>
      <c r="G3008" s="1">
        <f>value(SGD!$B3008)</f>
        <v>10417.95</v>
      </c>
      <c r="H3008" s="1">
        <f>value(MYR!$B3008)</f>
        <v>3628.81978</v>
      </c>
      <c r="I3008" s="1">
        <f>value(THB!$B3008)</f>
        <v>464.809542</v>
      </c>
      <c r="J3008" s="1">
        <f>value(VND!$B3008)</f>
        <v>0.6033918657</v>
      </c>
      <c r="K3008" s="1">
        <f>value(CNY!$B3008)</f>
        <v>2091.9</v>
      </c>
      <c r="L3008" s="1">
        <f>value(HKD!$B3008)</f>
        <v>1856.88141</v>
      </c>
      <c r="M3008" s="1">
        <f>value(TWD!$B3008)</f>
        <v>455.33</v>
      </c>
      <c r="N3008" s="1">
        <f>value(JPY!$B3008)</f>
        <v>132.364476</v>
      </c>
      <c r="O3008" s="1">
        <f>value(SAR!$B3008)</f>
        <v>3751.30254</v>
      </c>
      <c r="P3008" s="1">
        <f>value(AED!$B3008)</f>
        <v>3853.083485</v>
      </c>
      <c r="Q3008" s="1">
        <f>value(KWD!$B3008)</f>
        <v>46311.9455</v>
      </c>
    </row>
    <row r="3009">
      <c r="A3009" s="4">
        <f>value(USD!A3009)</f>
        <v>43374.99861</v>
      </c>
      <c r="B3009" s="1">
        <f>value(USD!B3009)</f>
        <v>15053.3</v>
      </c>
      <c r="C3009" s="1">
        <f>value(AUD!$B3009)</f>
        <v>10192.65</v>
      </c>
      <c r="D3009" s="1">
        <f>value(EUR!$B3009)</f>
        <v>17370.71808</v>
      </c>
      <c r="E3009" s="1">
        <f>value(GBP!$B3009)</f>
        <v>19589.36784</v>
      </c>
      <c r="F3009" s="1">
        <f>value(CHF!$B3009)</f>
        <v>14562.066</v>
      </c>
      <c r="G3009" s="1">
        <f>value(SGD!$B3009)</f>
        <v>10513.9</v>
      </c>
      <c r="H3009" s="1">
        <f>value(MYR!$B3009)</f>
        <v>3653.84592</v>
      </c>
      <c r="I3009" s="1">
        <f>value(THB!$B3009)</f>
        <v>465.2124768</v>
      </c>
      <c r="J3009" s="1">
        <f>value(VND!$B3009)</f>
        <v>0.601848383</v>
      </c>
      <c r="K3009" s="1">
        <f>value(CNY!$B3009)</f>
        <v>2089.95</v>
      </c>
      <c r="L3009" s="1">
        <f>value(HKD!$B3009)</f>
        <v>1857.118896</v>
      </c>
      <c r="M3009" s="1">
        <f>value(TWD!$B3009)</f>
        <v>457.085</v>
      </c>
      <c r="N3009" s="1">
        <f>value(JPY!$B3009)</f>
        <v>132.1954944</v>
      </c>
      <c r="O3009" s="1">
        <f>value(SAR!$B3009)</f>
        <v>3776.101455</v>
      </c>
      <c r="P3009" s="1">
        <f>value(AED!$B3009)</f>
        <v>3865.606755</v>
      </c>
      <c r="Q3009" s="1">
        <f>value(KWD!$B3009)</f>
        <v>46311.9455</v>
      </c>
    </row>
    <row r="3010">
      <c r="A3010" s="4">
        <f>value(USD!A3010)</f>
        <v>43375.99861</v>
      </c>
      <c r="B3010" s="1">
        <f>value(USD!B3010)</f>
        <v>15038</v>
      </c>
      <c r="C3010" s="1">
        <f>value(AUD!$B3010)</f>
        <v>10184.05</v>
      </c>
      <c r="D3010" s="1">
        <f>value(EUR!$B3010)</f>
        <v>17747.04648</v>
      </c>
      <c r="E3010" s="1">
        <f>value(GBP!$B3010)</f>
        <v>20067.01047</v>
      </c>
      <c r="F3010" s="1">
        <f>value(CHF!$B3010)</f>
        <v>14587.6614</v>
      </c>
      <c r="G3010" s="1">
        <f>value(SGD!$B3010)</f>
        <v>10415.95</v>
      </c>
      <c r="H3010" s="1">
        <f>value(MYR!$B3010)</f>
        <v>3712.928544</v>
      </c>
      <c r="I3010" s="1">
        <f>value(THB!$B3010)</f>
        <v>470.4953526</v>
      </c>
      <c r="J3010" s="1">
        <f>value(VND!$B3010)</f>
        <v>0.601848383</v>
      </c>
      <c r="K3010" s="1">
        <f>value(CNY!$B3010)</f>
        <v>2089.95</v>
      </c>
      <c r="L3010" s="1">
        <f>value(HKD!$B3010)</f>
        <v>1862.311635</v>
      </c>
      <c r="M3010" s="1">
        <f>value(TWD!$B3010)</f>
        <v>457.085</v>
      </c>
      <c r="N3010" s="1">
        <f>value(JPY!$B3010)</f>
        <v>135.2593242</v>
      </c>
      <c r="O3010" s="1">
        <f>value(SAR!$B3010)</f>
        <v>3815.77127</v>
      </c>
      <c r="P3010" s="1">
        <f>value(AED!$B3010)</f>
        <v>3861.114712</v>
      </c>
      <c r="Q3010" s="1">
        <f>value(KWD!$B3010)</f>
        <v>46638.01195</v>
      </c>
    </row>
    <row r="3011">
      <c r="A3011" s="4">
        <f>value(USD!A3011)</f>
        <v>43376.99861</v>
      </c>
      <c r="B3011" s="1">
        <f>value(USD!B3011)</f>
        <v>15139.2</v>
      </c>
      <c r="C3011" s="1">
        <f>value(AUD!$B3011)</f>
        <v>10174.35</v>
      </c>
      <c r="D3011" s="1">
        <f>value(EUR!$B3011)</f>
        <v>17423.47975</v>
      </c>
      <c r="E3011" s="1">
        <f>value(GBP!$B3011)</f>
        <v>19819.52925</v>
      </c>
      <c r="F3011" s="1">
        <f>value(CHF!$B3011)</f>
        <v>14569.3325</v>
      </c>
      <c r="G3011" s="1">
        <f>value(SGD!$B3011)</f>
        <v>10609.3</v>
      </c>
      <c r="H3011" s="1">
        <f>value(MYR!$B3011)</f>
        <v>3640.756425</v>
      </c>
      <c r="I3011" s="1">
        <f>value(THB!$B3011)</f>
        <v>460.385955</v>
      </c>
      <c r="J3011" s="1">
        <f>value(VND!$B3011)</f>
        <v>0.6016217109</v>
      </c>
      <c r="K3011" s="1">
        <f>value(CNY!$B3011)</f>
        <v>2089.95</v>
      </c>
      <c r="L3011" s="1">
        <f>value(HKD!$B3011)</f>
        <v>1847.673244</v>
      </c>
      <c r="M3011" s="1">
        <f>value(TWD!$B3011)</f>
        <v>457.085</v>
      </c>
      <c r="N3011" s="1">
        <f>value(JPY!$B3011)</f>
        <v>132.837226</v>
      </c>
      <c r="O3011" s="1">
        <f>value(SAR!$B3011)</f>
        <v>3783.397685</v>
      </c>
      <c r="P3011" s="1">
        <f>value(AED!$B3011)</f>
        <v>3858.664507</v>
      </c>
      <c r="Q3011" s="1">
        <f>value(KWD!$B3011)</f>
        <v>46797.624</v>
      </c>
    </row>
    <row r="3012">
      <c r="A3012" s="4">
        <f>value(USD!A3012)</f>
        <v>43377.99861</v>
      </c>
      <c r="B3012" s="1">
        <f>value(USD!B3012)</f>
        <v>15408.9</v>
      </c>
      <c r="C3012" s="1">
        <f>value(AUD!$B3012)</f>
        <v>10173.05</v>
      </c>
      <c r="D3012" s="1">
        <f>value(EUR!$B3012)</f>
        <v>17531.93561</v>
      </c>
      <c r="E3012" s="1">
        <f>value(GBP!$B3012)</f>
        <v>19942.23823</v>
      </c>
      <c r="F3012" s="1">
        <f>value(CHF!$B3012)</f>
        <v>14550.14304</v>
      </c>
      <c r="G3012" s="1">
        <f>value(SGD!$B3012)</f>
        <v>10570.1</v>
      </c>
      <c r="H3012" s="1">
        <f>value(MYR!$B3012)</f>
        <v>3662.459984</v>
      </c>
      <c r="I3012" s="1">
        <f>value(THB!$B3012)</f>
        <v>463.1304434</v>
      </c>
      <c r="J3012" s="1">
        <f>value(VND!$B3012)</f>
        <v>0.6031555135</v>
      </c>
      <c r="K3012" s="1">
        <f>value(CNY!$B3012)</f>
        <v>2092.2</v>
      </c>
      <c r="L3012" s="1">
        <f>value(HKD!$B3012)</f>
        <v>1835.27104</v>
      </c>
      <c r="M3012" s="1">
        <f>value(TWD!$B3012)</f>
        <v>458.27</v>
      </c>
      <c r="N3012" s="1">
        <f>value(JPY!$B3012)</f>
        <v>133.6397438</v>
      </c>
      <c r="O3012" s="1">
        <f>value(SAR!$B3012)</f>
        <v>3788.504825</v>
      </c>
      <c r="P3012" s="1">
        <f>value(AED!$B3012)</f>
        <v>3834.09675</v>
      </c>
      <c r="Q3012" s="1">
        <f>value(KWD!$B3012)</f>
        <v>46552.08265</v>
      </c>
    </row>
    <row r="3013">
      <c r="A3013" s="4">
        <f>value(USD!A3013)</f>
        <v>43378.99861</v>
      </c>
      <c r="B3013" s="1">
        <f>value(USD!B3013)</f>
        <v>15107.5</v>
      </c>
      <c r="C3013" s="1">
        <f>value(AUD!$B3013)</f>
        <v>10153.55</v>
      </c>
      <c r="D3013" s="1">
        <f>value(EUR!$B3013)</f>
        <v>17480.8133</v>
      </c>
      <c r="E3013" s="1">
        <f>value(GBP!$B3013)</f>
        <v>19915.32115</v>
      </c>
      <c r="F3013" s="1">
        <f>value(CHF!$B3013)</f>
        <v>14596.78023</v>
      </c>
      <c r="G3013" s="1">
        <f>value(SGD!$B3013)</f>
        <v>10570.1</v>
      </c>
      <c r="H3013" s="1">
        <f>value(MYR!$B3013)</f>
        <v>3657.90684</v>
      </c>
      <c r="I3013" s="1">
        <f>value(THB!$B3013)</f>
        <v>461.608179</v>
      </c>
      <c r="J3013" s="1">
        <f>value(VND!$B3013)</f>
        <v>0.603607006</v>
      </c>
      <c r="K3013" s="1">
        <f>value(CNY!$B3013)</f>
        <v>2088.85</v>
      </c>
      <c r="L3013" s="1">
        <f>value(HKD!$B3013)</f>
        <v>1830.303105</v>
      </c>
      <c r="M3013" s="1">
        <f>value(TWD!$B3013)</f>
        <v>458.215</v>
      </c>
      <c r="N3013" s="1">
        <f>value(JPY!$B3013)</f>
        <v>133.401016</v>
      </c>
      <c r="O3013" s="1">
        <f>value(SAR!$B3013)</f>
        <v>3778.998379</v>
      </c>
      <c r="P3013" s="1">
        <f>value(AED!$B3013)</f>
        <v>3834.09675</v>
      </c>
      <c r="Q3013" s="1">
        <f>value(KWD!$B3013)</f>
        <v>46427.4336</v>
      </c>
    </row>
    <row r="3014">
      <c r="A3014" s="4">
        <f>value(USD!A3014)</f>
        <v>43379.99861</v>
      </c>
      <c r="B3014" s="1">
        <f>value(USD!B3014)</f>
        <v>15197.56</v>
      </c>
      <c r="C3014" s="1">
        <f>value(AUD!$B3014)</f>
        <v>10135.35</v>
      </c>
      <c r="D3014" s="1">
        <f>value(EUR!$B3014)</f>
        <v>17699.22</v>
      </c>
      <c r="E3014" s="1">
        <f>value(GBP!$B3014)</f>
        <v>20161.372</v>
      </c>
      <c r="F3014" s="1">
        <f>value(CHF!$B3014)</f>
        <v>14553.7887</v>
      </c>
      <c r="G3014" s="1">
        <f>value(SGD!$B3014)</f>
        <v>10543.9</v>
      </c>
      <c r="H3014" s="1">
        <f>value(MYR!$B3014)</f>
        <v>3698.002</v>
      </c>
      <c r="I3014" s="1">
        <f>value(THB!$B3014)</f>
        <v>467.9444</v>
      </c>
      <c r="J3014" s="1">
        <f>value(VND!$B3014)</f>
        <v>0.6027537267</v>
      </c>
      <c r="K3014" s="1">
        <f>value(CNY!$B3014)</f>
        <v>2088.95</v>
      </c>
      <c r="L3014" s="1">
        <f>value(HKD!$B3014)</f>
        <v>1839.351276</v>
      </c>
      <c r="M3014" s="1">
        <f>value(TWD!$B3014)</f>
        <v>459.125</v>
      </c>
      <c r="N3014" s="1">
        <f>value(JPY!$B3014)</f>
        <v>136.136</v>
      </c>
      <c r="O3014" s="1">
        <f>value(SAR!$B3014)</f>
        <v>3785.8967</v>
      </c>
      <c r="P3014" s="1">
        <f>value(AED!$B3014)</f>
        <v>3834.167165</v>
      </c>
      <c r="Q3014" s="1">
        <f>value(KWD!$B3014)</f>
        <v>45937.29119</v>
      </c>
    </row>
    <row r="3015">
      <c r="A3015" s="4">
        <f>value(USD!A3015)</f>
        <v>43380.99861</v>
      </c>
      <c r="B3015" s="1">
        <f>value(USD!B3015)</f>
        <v>15173</v>
      </c>
      <c r="C3015" s="1">
        <f>value(AUD!$B3015)</f>
        <v>10191.95</v>
      </c>
      <c r="D3015" s="1">
        <f>value(EUR!$B3015)</f>
        <v>17512.5392</v>
      </c>
      <c r="E3015" s="1">
        <f>value(GBP!$B3015)</f>
        <v>20024.3342</v>
      </c>
      <c r="F3015" s="1">
        <f>value(CHF!$B3015)</f>
        <v>14409.1172</v>
      </c>
      <c r="G3015" s="1">
        <f>value(SGD!$B3015)</f>
        <v>10602.4</v>
      </c>
      <c r="H3015" s="1">
        <f>value(MYR!$B3015)</f>
        <v>3661.1315</v>
      </c>
      <c r="I3015" s="1">
        <f>value(THB!$B3015)</f>
        <v>462.703085</v>
      </c>
      <c r="J3015" s="1">
        <f>value(VND!$B3015)</f>
        <v>0.6048444437</v>
      </c>
      <c r="K3015" s="1">
        <f>value(CNY!$B3015)</f>
        <v>2084.25</v>
      </c>
      <c r="L3015" s="1">
        <f>value(HKD!$B3015)</f>
        <v>1827.45768</v>
      </c>
      <c r="M3015" s="1">
        <f>value(TWD!$B3015)</f>
        <v>453.055</v>
      </c>
      <c r="N3015" s="1">
        <f>value(JPY!$B3015)</f>
        <v>134.677881</v>
      </c>
      <c r="O3015" s="1">
        <f>value(SAR!$B3015)</f>
        <v>3800.3325</v>
      </c>
      <c r="P3015" s="1">
        <f>value(AED!$B3015)</f>
        <v>3863.428795</v>
      </c>
      <c r="Q3015" s="1">
        <f>value(KWD!$B3015)</f>
        <v>45973.51479</v>
      </c>
    </row>
    <row r="3016">
      <c r="A3016" s="4">
        <f>value(USD!A3016)</f>
        <v>43381.99861</v>
      </c>
      <c r="B3016" s="1">
        <f>value(USD!B3016)</f>
        <v>15400</v>
      </c>
      <c r="C3016" s="1">
        <f>value(AUD!$B3016)</f>
        <v>10147.45</v>
      </c>
      <c r="D3016" s="1">
        <f>value(EUR!$B3016)</f>
        <v>17525.39484</v>
      </c>
      <c r="E3016" s="1">
        <f>value(GBP!$B3016)</f>
        <v>20067.8376</v>
      </c>
      <c r="F3016" s="1">
        <f>value(CHF!$B3016)</f>
        <v>14333.38845</v>
      </c>
      <c r="G3016" s="1">
        <f>value(SGD!$B3016)</f>
        <v>10627.5</v>
      </c>
      <c r="H3016" s="1">
        <f>value(MYR!$B3016)</f>
        <v>3656.76544</v>
      </c>
      <c r="I3016" s="1">
        <f>value(THB!$B3016)</f>
        <v>460.621152</v>
      </c>
      <c r="J3016" s="1">
        <f>value(VND!$B3016)</f>
        <v>0.6038999441</v>
      </c>
      <c r="K3016" s="1">
        <f>value(CNY!$B3016)</f>
        <v>2078.35</v>
      </c>
      <c r="L3016" s="1">
        <f>value(HKD!$B3016)</f>
        <v>1821.25</v>
      </c>
      <c r="M3016" s="1">
        <f>value(TWD!$B3016)</f>
        <v>456.015</v>
      </c>
      <c r="N3016" s="1">
        <f>value(JPY!$B3016)</f>
        <v>135.533124</v>
      </c>
      <c r="O3016" s="1">
        <f>value(SAR!$B3016)</f>
        <v>3798.086456</v>
      </c>
      <c r="P3016" s="1">
        <f>value(AED!$B3016)</f>
        <v>3876.7688</v>
      </c>
      <c r="Q3016" s="1">
        <f>value(KWD!$B3016)</f>
        <v>46024.2006</v>
      </c>
    </row>
    <row r="3017">
      <c r="A3017" s="4">
        <f>value(USD!A3017)</f>
        <v>43382.99861</v>
      </c>
      <c r="B3017" s="1">
        <f>value(USD!B3017)</f>
        <v>15223</v>
      </c>
      <c r="C3017" s="1">
        <f>value(AUD!$B3017)</f>
        <v>10147.45</v>
      </c>
      <c r="D3017" s="1">
        <f>value(EUR!$B3017)</f>
        <v>17731.46681</v>
      </c>
      <c r="E3017" s="1">
        <f>value(GBP!$B3017)</f>
        <v>20245.43136</v>
      </c>
      <c r="F3017" s="1">
        <f>value(CHF!$B3017)</f>
        <v>14405.37317</v>
      </c>
      <c r="G3017" s="1">
        <f>value(SGD!$B3017)</f>
        <v>10628.3</v>
      </c>
      <c r="H3017" s="1">
        <f>value(MYR!$B3017)</f>
        <v>3677.009728</v>
      </c>
      <c r="I3017" s="1">
        <f>value(THB!$B3017)</f>
        <v>467.7883392</v>
      </c>
      <c r="J3017" s="1">
        <f>value(VND!$B3017)</f>
        <v>0.6038999441</v>
      </c>
      <c r="K3017" s="1">
        <f>value(CNY!$B3017)</f>
        <v>2075.5</v>
      </c>
      <c r="L3017" s="1">
        <f>value(HKD!$B3017)</f>
        <v>1839.6</v>
      </c>
      <c r="M3017" s="1">
        <f>value(TWD!$B3017)</f>
        <v>456.015</v>
      </c>
      <c r="N3017" s="1">
        <f>value(JPY!$B3017)</f>
        <v>136.4933427</v>
      </c>
      <c r="O3017" s="1">
        <f>value(SAR!$B3017)</f>
        <v>3799.54875</v>
      </c>
      <c r="P3017" s="1">
        <f>value(AED!$B3017)</f>
        <v>3856.486547</v>
      </c>
      <c r="Q3017" s="1">
        <f>value(KWD!$B3017)</f>
        <v>45958.58887</v>
      </c>
    </row>
    <row r="3018">
      <c r="A3018" s="4">
        <f>value(USD!A3018)</f>
        <v>43383.99861</v>
      </c>
      <c r="B3018" s="1">
        <f>value(USD!B3018)</f>
        <v>15196</v>
      </c>
      <c r="C3018" s="1">
        <f>value(AUD!$B3018)</f>
        <v>10146.25</v>
      </c>
      <c r="D3018" s="1">
        <f>value(EUR!$B3018)</f>
        <v>17573.3829</v>
      </c>
      <c r="E3018" s="1">
        <f>value(GBP!$B3018)</f>
        <v>19970.85755</v>
      </c>
      <c r="F3018" s="1">
        <f>value(CHF!$B3018)</f>
        <v>14313.1552</v>
      </c>
      <c r="G3018" s="1">
        <f>value(SGD!$B3018)</f>
        <v>10642.7</v>
      </c>
      <c r="H3018" s="1">
        <f>value(MYR!$B3018)</f>
        <v>3652.54276</v>
      </c>
      <c r="I3018" s="1">
        <f>value(THB!$B3018)</f>
        <v>463.9622095</v>
      </c>
      <c r="J3018" s="1">
        <f>value(VND!$B3018)</f>
        <v>0.6044011184</v>
      </c>
      <c r="K3018" s="1">
        <f>value(CNY!$B3018)</f>
        <v>2075.5</v>
      </c>
      <c r="L3018" s="1">
        <f>value(HKD!$B3018)</f>
        <v>1822.65</v>
      </c>
      <c r="M3018" s="1">
        <f>value(TWD!$B3018)</f>
        <v>462.855</v>
      </c>
      <c r="N3018" s="1">
        <f>value(JPY!$B3018)</f>
        <v>135.3032052</v>
      </c>
      <c r="O3018" s="1">
        <f>value(SAR!$B3018)</f>
        <v>3786.75027</v>
      </c>
      <c r="P3018" s="1">
        <f>value(AED!$B3018)</f>
        <v>3846.27736</v>
      </c>
      <c r="Q3018" s="1">
        <f>value(KWD!$B3018)</f>
        <v>46035.96687</v>
      </c>
    </row>
    <row r="3019">
      <c r="A3019" s="4">
        <f>value(USD!A3019)</f>
        <v>43384.99861</v>
      </c>
      <c r="B3019" s="1">
        <f>value(USD!B3019)</f>
        <v>15299.2</v>
      </c>
      <c r="C3019" s="1">
        <f>value(AUD!$B3019)</f>
        <v>10178.85</v>
      </c>
      <c r="D3019" s="1">
        <f>value(EUR!$B3019)</f>
        <v>17588.36448</v>
      </c>
      <c r="E3019" s="1">
        <f>value(GBP!$B3019)</f>
        <v>19985.63147</v>
      </c>
      <c r="F3019" s="1">
        <f>value(CHF!$B3019)</f>
        <v>14265.85</v>
      </c>
      <c r="G3019" s="1">
        <f>value(SGD!$B3019)</f>
        <v>10584.35</v>
      </c>
      <c r="H3019" s="1">
        <f>value(MYR!$B3019)</f>
        <v>3654.702988</v>
      </c>
      <c r="I3019" s="1">
        <f>value(THB!$B3019)</f>
        <v>464.2366113</v>
      </c>
      <c r="J3019" s="1">
        <f>value(VND!$B3019)</f>
        <v>0.6017574565</v>
      </c>
      <c r="K3019" s="1">
        <f>value(CNY!$B3019)</f>
        <v>2085.65</v>
      </c>
      <c r="L3019" s="1">
        <f>value(HKD!$B3019)</f>
        <v>1860.95</v>
      </c>
      <c r="M3019" s="1">
        <f>value(TWD!$B3019)</f>
        <v>461.405</v>
      </c>
      <c r="N3019" s="1">
        <f>value(JPY!$B3019)</f>
        <v>135.3832277</v>
      </c>
      <c r="O3019" s="1">
        <f>value(SAR!$B3019)</f>
        <v>3786.75027</v>
      </c>
      <c r="P3019" s="1">
        <f>value(AED!$B3019)</f>
        <v>3806.199005</v>
      </c>
      <c r="Q3019" s="1">
        <f>value(KWD!$B3019)</f>
        <v>46073.0842</v>
      </c>
    </row>
    <row r="3020">
      <c r="A3020" s="4">
        <f>value(USD!A3020)</f>
        <v>43385.99861</v>
      </c>
      <c r="B3020" s="1">
        <f>value(USD!B3020)</f>
        <v>15183.5</v>
      </c>
      <c r="C3020" s="1">
        <f>value(AUD!$B3020)</f>
        <v>10127</v>
      </c>
      <c r="D3020" s="1">
        <f>value(EUR!$B3020)</f>
        <v>17554.60188</v>
      </c>
      <c r="E3020" s="1">
        <f>value(GBP!$B3020)</f>
        <v>19913.78742</v>
      </c>
      <c r="F3020" s="1">
        <f>value(CHF!$B3020)</f>
        <v>14391.1</v>
      </c>
      <c r="G3020" s="1">
        <f>value(SGD!$B3020)</f>
        <v>10584.35</v>
      </c>
      <c r="H3020" s="1">
        <f>value(MYR!$B3020)</f>
        <v>3656.03088</v>
      </c>
      <c r="I3020" s="1">
        <f>value(THB!$B3020)</f>
        <v>464.010138</v>
      </c>
      <c r="J3020" s="1">
        <f>value(VND!$B3020)</f>
        <v>0.5990721356</v>
      </c>
      <c r="K3020" s="1">
        <f>value(CNY!$B3020)</f>
        <v>2091.65</v>
      </c>
      <c r="L3020" s="1">
        <f>value(HKD!$B3020)</f>
        <v>1852.7</v>
      </c>
      <c r="M3020" s="1">
        <f>value(TWD!$B3020)</f>
        <v>462.59</v>
      </c>
      <c r="N3020" s="1">
        <f>value(JPY!$B3020)</f>
        <v>135.41418</v>
      </c>
      <c r="O3020" s="1">
        <f>value(SAR!$B3020)</f>
        <v>3796.179021</v>
      </c>
      <c r="P3020" s="1">
        <f>value(AED!$B3020)</f>
        <v>3806.204737</v>
      </c>
      <c r="Q3020" s="1">
        <f>value(KWD!$B3020)</f>
        <v>45884.3277</v>
      </c>
    </row>
    <row r="3021">
      <c r="A3021" s="4">
        <f>value(USD!A3021)</f>
        <v>43386.99861</v>
      </c>
      <c r="B3021" s="1">
        <f>value(USD!B3021)</f>
        <v>15192.48</v>
      </c>
      <c r="C3021" s="1">
        <f>value(AUD!$B3021)</f>
        <v>10138.2</v>
      </c>
      <c r="D3021" s="1">
        <f>value(EUR!$B3021)</f>
        <v>17598.52272</v>
      </c>
      <c r="E3021" s="1">
        <f>value(GBP!$B3021)</f>
        <v>19985.31676</v>
      </c>
      <c r="F3021" s="1">
        <f>value(CHF!$B3021)</f>
        <v>14287.55</v>
      </c>
      <c r="G3021" s="1">
        <f>value(SGD!$B3021)</f>
        <v>10589.75</v>
      </c>
      <c r="H3021" s="1">
        <f>value(MYR!$B3021)</f>
        <v>3653.653086</v>
      </c>
      <c r="I3021" s="1">
        <f>value(THB!$B3021)</f>
        <v>465.0670242</v>
      </c>
      <c r="J3021" s="1">
        <f>value(VND!$B3021)</f>
        <v>0.599205467</v>
      </c>
      <c r="K3021" s="1">
        <f>value(CNY!$B3021)</f>
        <v>2102.95</v>
      </c>
      <c r="L3021" s="1">
        <f>value(HKD!$B3021)</f>
        <v>1852.7</v>
      </c>
      <c r="M3021" s="1">
        <f>value(TWD!$B3021)</f>
        <v>461.615</v>
      </c>
      <c r="N3021" s="1">
        <f>value(JPY!$B3021)</f>
        <v>135.8173782</v>
      </c>
      <c r="O3021" s="1">
        <f>value(SAR!$B3021)</f>
        <v>3811.37138</v>
      </c>
      <c r="P3021" s="1">
        <f>value(AED!$B3021)</f>
        <v>3813.615855</v>
      </c>
      <c r="Q3021" s="1">
        <f>value(KWD!$B3021)</f>
        <v>45735.552</v>
      </c>
    </row>
    <row r="3022">
      <c r="A3022" s="4">
        <f>value(USD!A3022)</f>
        <v>43387.99861</v>
      </c>
      <c r="B3022" s="1">
        <f>value(USD!B3022)</f>
        <v>15198</v>
      </c>
      <c r="C3022" s="1">
        <f>value(AUD!$B3022)</f>
        <v>10027.9</v>
      </c>
      <c r="D3022" s="1">
        <f>value(EUR!$B3022)</f>
        <v>17585.28978</v>
      </c>
      <c r="E3022" s="1">
        <f>value(GBP!$B3022)</f>
        <v>20033.79366</v>
      </c>
      <c r="F3022" s="1">
        <f>value(CHF!$B3022)</f>
        <v>14632.9</v>
      </c>
      <c r="G3022" s="1">
        <f>value(SGD!$B3022)</f>
        <v>10622.1</v>
      </c>
      <c r="H3022" s="1">
        <f>value(MYR!$B3022)</f>
        <v>3655.73966</v>
      </c>
      <c r="I3022" s="1">
        <f>value(THB!$B3022)</f>
        <v>467.048013</v>
      </c>
      <c r="J3022" s="1">
        <f>value(VND!$B3022)</f>
        <v>0.5989610038</v>
      </c>
      <c r="K3022" s="1">
        <f>value(CNY!$B3022)</f>
        <v>2092.25</v>
      </c>
      <c r="L3022" s="1">
        <f>value(HKD!$B3022)</f>
        <v>1849.15</v>
      </c>
      <c r="M3022" s="1">
        <f>value(TWD!$B3022)</f>
        <v>461.185</v>
      </c>
      <c r="N3022" s="1">
        <f>value(JPY!$B3022)</f>
        <v>135.2298544</v>
      </c>
      <c r="O3022" s="1">
        <f>value(SAR!$B3022)</f>
        <v>3827.022362</v>
      </c>
      <c r="P3022" s="1">
        <f>value(AED!$B3022)</f>
        <v>3808.026937</v>
      </c>
      <c r="Q3022" s="1">
        <f>value(KWD!$B3022)</f>
        <v>45804.456</v>
      </c>
    </row>
    <row r="3023">
      <c r="A3023" s="4">
        <f>value(USD!A3023)</f>
        <v>43388.99861</v>
      </c>
      <c r="B3023" s="1">
        <f>value(USD!B3023)</f>
        <v>15193.8</v>
      </c>
      <c r="C3023" s="1">
        <f>value(AUD!$B3023)</f>
        <v>10092.75</v>
      </c>
      <c r="D3023" s="1">
        <f>value(EUR!$B3023)</f>
        <v>17554.09764</v>
      </c>
      <c r="E3023" s="1">
        <f>value(GBP!$B3023)</f>
        <v>19997.75943</v>
      </c>
      <c r="F3023" s="1">
        <f>value(CHF!$B3023)</f>
        <v>14609.35</v>
      </c>
      <c r="G3023" s="1">
        <f>value(SGD!$B3023)</f>
        <v>10574</v>
      </c>
      <c r="H3023" s="1">
        <f>value(MYR!$B3023)</f>
        <v>3668.621862</v>
      </c>
      <c r="I3023" s="1">
        <f>value(THB!$B3023)</f>
        <v>468.8124459</v>
      </c>
      <c r="J3023" s="1">
        <f>value(VND!$B3023)</f>
        <v>0.6033223474</v>
      </c>
      <c r="K3023" s="1">
        <f>value(CNY!$B3023)</f>
        <v>2068.95</v>
      </c>
      <c r="L3023" s="1">
        <f>value(HKD!$B3023)</f>
        <v>1864.15</v>
      </c>
      <c r="M3023" s="1">
        <f>value(TWD!$B3023)</f>
        <v>461.75</v>
      </c>
      <c r="N3023" s="1">
        <f>value(JPY!$B3023)</f>
        <v>135.4706625</v>
      </c>
      <c r="O3023" s="1">
        <f>value(SAR!$B3023)</f>
        <v>3811.690275</v>
      </c>
      <c r="P3023" s="1">
        <f>value(AED!$B3023)</f>
        <v>3814.833062</v>
      </c>
      <c r="Q3023" s="1">
        <f>value(KWD!$B3023)</f>
        <v>45828.80412</v>
      </c>
    </row>
    <row r="3024">
      <c r="A3024" s="4">
        <f>value(USD!A3024)</f>
        <v>43389.99861</v>
      </c>
      <c r="B3024" s="1">
        <f>value(USD!B3024)</f>
        <v>15193</v>
      </c>
      <c r="C3024" s="1">
        <f>value(AUD!$B3024)</f>
        <v>10065.05</v>
      </c>
      <c r="D3024" s="1">
        <f>value(EUR!$B3024)</f>
        <v>17557.11061</v>
      </c>
      <c r="E3024" s="1">
        <f>value(GBP!$B3024)</f>
        <v>19957.09386</v>
      </c>
      <c r="F3024" s="1">
        <f>value(CHF!$B3024)</f>
        <v>14609.35</v>
      </c>
      <c r="G3024" s="1">
        <f>value(SGD!$B3024)</f>
        <v>10565.7</v>
      </c>
      <c r="H3024" s="1">
        <f>value(MYR!$B3024)</f>
        <v>3677.00058</v>
      </c>
      <c r="I3024" s="1">
        <f>value(THB!$B3024)</f>
        <v>469.389327</v>
      </c>
      <c r="J3024" s="1">
        <f>value(VND!$B3024)</f>
        <v>0.6033223474</v>
      </c>
      <c r="K3024" s="1">
        <f>value(CNY!$B3024)</f>
        <v>2068.95</v>
      </c>
      <c r="L3024" s="1">
        <f>value(HKD!$B3024)</f>
        <v>1866.8</v>
      </c>
      <c r="M3024" s="1">
        <f>value(TWD!$B3024)</f>
        <v>461.75</v>
      </c>
      <c r="N3024" s="1">
        <f>value(JPY!$B3024)</f>
        <v>136.5922635</v>
      </c>
      <c r="O3024" s="1">
        <f>value(SAR!$B3024)</f>
        <v>3826.49925</v>
      </c>
      <c r="P3024" s="1">
        <f>value(AED!$B3024)</f>
        <v>3818.780615</v>
      </c>
      <c r="Q3024" s="1">
        <f>value(KWD!$B3024)</f>
        <v>45972.2835</v>
      </c>
    </row>
    <row r="3025">
      <c r="A3025" s="4">
        <f>value(USD!A3025)</f>
        <v>43390.99861</v>
      </c>
      <c r="B3025" s="1">
        <f>value(USD!B3025)</f>
        <v>15264.3</v>
      </c>
      <c r="C3025" s="1">
        <f>value(AUD!$B3025)</f>
        <v>10052.95</v>
      </c>
      <c r="D3025" s="1">
        <f>value(EUR!$B3025)</f>
        <v>17491.22235</v>
      </c>
      <c r="E3025" s="1">
        <f>value(GBP!$B3025)</f>
        <v>19830.66765</v>
      </c>
      <c r="F3025" s="1">
        <f>value(CHF!$B3025)</f>
        <v>14607.2</v>
      </c>
      <c r="G3025" s="1">
        <f>value(SGD!$B3025)</f>
        <v>10529.4</v>
      </c>
      <c r="H3025" s="1">
        <f>value(MYR!$B3025)</f>
        <v>3646.62174</v>
      </c>
      <c r="I3025" s="1">
        <f>value(THB!$B3025)</f>
        <v>465.704364</v>
      </c>
      <c r="J3025" s="1">
        <f>value(VND!$B3025)</f>
        <v>0.6033679992</v>
      </c>
      <c r="K3025" s="1">
        <f>value(CNY!$B3025)</f>
        <v>2068.95</v>
      </c>
      <c r="L3025" s="1">
        <f>value(HKD!$B3025)</f>
        <v>1866.05</v>
      </c>
      <c r="M3025" s="1">
        <f>value(TWD!$B3025)</f>
        <v>461.75</v>
      </c>
      <c r="N3025" s="1">
        <f>value(JPY!$B3025)</f>
        <v>134.7911917</v>
      </c>
      <c r="O3025" s="1">
        <f>value(SAR!$B3025)</f>
        <v>3818.176968</v>
      </c>
      <c r="P3025" s="1">
        <f>value(AED!$B3025)</f>
        <v>3804.35163</v>
      </c>
      <c r="Q3025" s="1">
        <f>value(KWD!$B3025)</f>
        <v>46119.3387</v>
      </c>
    </row>
    <row r="3026">
      <c r="A3026" s="4">
        <f>value(USD!A3026)</f>
        <v>43391.99861</v>
      </c>
      <c r="B3026" s="1">
        <f>value(USD!B3026)</f>
        <v>15328.5</v>
      </c>
      <c r="C3026" s="1">
        <f>value(AUD!$B3026)</f>
        <v>10077.95</v>
      </c>
      <c r="D3026" s="1">
        <f>value(EUR!$B3026)</f>
        <v>17480.18188</v>
      </c>
      <c r="E3026" s="1">
        <f>value(GBP!$B3026)</f>
        <v>19815.85369</v>
      </c>
      <c r="F3026" s="1">
        <f>value(CHF!$B3026)</f>
        <v>14719.95</v>
      </c>
      <c r="G3026" s="1">
        <f>value(SGD!$B3026)</f>
        <v>10593.6</v>
      </c>
      <c r="H3026" s="1">
        <f>value(MYR!$B3026)</f>
        <v>3643.362458</v>
      </c>
      <c r="I3026" s="1">
        <f>value(THB!$B3026)</f>
        <v>465.2881262</v>
      </c>
      <c r="J3026" s="1">
        <f>value(VND!$B3026)</f>
        <v>0.5992248166</v>
      </c>
      <c r="K3026" s="1">
        <f>value(CNY!$B3026)</f>
        <v>2068.45</v>
      </c>
      <c r="L3026" s="1">
        <f>value(HKD!$B3026)</f>
        <v>1868.15</v>
      </c>
      <c r="M3026" s="1">
        <f>value(TWD!$B3026)</f>
        <v>462.36</v>
      </c>
      <c r="N3026" s="1">
        <f>value(JPY!$B3026)</f>
        <v>134.6707179</v>
      </c>
      <c r="O3026" s="1">
        <f>value(SAR!$B3026)</f>
        <v>3818.223077</v>
      </c>
      <c r="P3026" s="1">
        <f>value(AED!$B3026)</f>
        <v>3789.7896</v>
      </c>
      <c r="Q3026" s="1">
        <f>value(KWD!$B3026)</f>
        <v>46073.8334</v>
      </c>
    </row>
    <row r="3027">
      <c r="A3027" s="4">
        <f>value(USD!A3027)</f>
        <v>43392.99861</v>
      </c>
      <c r="B3027" s="1">
        <f>value(USD!B3027)</f>
        <v>15171.5</v>
      </c>
      <c r="C3027" s="1">
        <f>value(AUD!$B3027)</f>
        <v>10079.5</v>
      </c>
      <c r="D3027" s="1">
        <f>value(EUR!$B3027)</f>
        <v>17470.2948</v>
      </c>
      <c r="E3027" s="1">
        <f>value(GBP!$B3027)</f>
        <v>19833.21745</v>
      </c>
      <c r="F3027" s="1">
        <f>value(CHF!$B3027)</f>
        <v>14690.25</v>
      </c>
      <c r="G3027" s="1">
        <f>value(SGD!$B3027)</f>
        <v>10593.6</v>
      </c>
      <c r="H3027" s="1">
        <f>value(MYR!$B3027)</f>
        <v>3647.9943</v>
      </c>
      <c r="I3027" s="1">
        <f>value(THB!$B3027)</f>
        <v>465.677175</v>
      </c>
      <c r="J3027" s="1">
        <f>value(VND!$B3027)</f>
        <v>0.5970701108</v>
      </c>
      <c r="K3027" s="1">
        <f>value(CNY!$B3027)</f>
        <v>2071.6</v>
      </c>
      <c r="L3027" s="1">
        <f>value(HKD!$B3027)</f>
        <v>1865.35</v>
      </c>
      <c r="M3027" s="1">
        <f>value(TWD!$B3027)</f>
        <v>462.045</v>
      </c>
      <c r="N3027" s="1">
        <f>value(JPY!$B3027)</f>
        <v>134.928728</v>
      </c>
      <c r="O3027" s="1">
        <f>value(SAR!$B3027)</f>
        <v>3819.745349</v>
      </c>
      <c r="P3027" s="1">
        <f>value(AED!$B3027)</f>
        <v>3789.6504</v>
      </c>
      <c r="Q3027" s="1">
        <f>value(KWD!$B3027)</f>
        <v>46151.66027</v>
      </c>
    </row>
    <row r="3028">
      <c r="A3028" s="4">
        <f>value(USD!A3028)</f>
        <v>43393.99861</v>
      </c>
      <c r="B3028" s="1">
        <f>value(USD!B3028)</f>
        <v>15157.94</v>
      </c>
      <c r="C3028" s="1">
        <f>value(AUD!$B3028)</f>
        <v>10243.75</v>
      </c>
      <c r="D3028" s="1">
        <f>value(EUR!$B3028)</f>
        <v>17499.75737</v>
      </c>
      <c r="E3028" s="1">
        <f>value(GBP!$B3028)</f>
        <v>19790.37825</v>
      </c>
      <c r="F3028" s="1">
        <f>value(CHF!$B3028)</f>
        <v>14690.2</v>
      </c>
      <c r="G3028" s="1">
        <f>value(SGD!$B3028)</f>
        <v>10611.6</v>
      </c>
      <c r="H3028" s="1">
        <f>value(MYR!$B3028)</f>
        <v>3667.649469</v>
      </c>
      <c r="I3028" s="1">
        <f>value(THB!$B3028)</f>
        <v>464.8253797</v>
      </c>
      <c r="J3028" s="1">
        <f>value(VND!$B3028)</f>
        <v>0.5992891512</v>
      </c>
      <c r="K3028" s="1">
        <f>value(CNY!$B3028)</f>
        <v>2063.45</v>
      </c>
      <c r="L3028" s="1">
        <f>value(HKD!$B3028)</f>
        <v>1865.35</v>
      </c>
      <c r="M3028" s="1">
        <f>value(TWD!$B3028)</f>
        <v>461.86</v>
      </c>
      <c r="N3028" s="1">
        <f>value(JPY!$B3028)</f>
        <v>135.368886</v>
      </c>
      <c r="O3028" s="1">
        <f>value(SAR!$B3028)</f>
        <v>3866.424068</v>
      </c>
      <c r="P3028" s="1">
        <f>value(AED!$B3028)</f>
        <v>3797.533808</v>
      </c>
      <c r="Q3028" s="1">
        <f>value(KWD!$B3028)</f>
        <v>45979.69887</v>
      </c>
    </row>
    <row r="3029">
      <c r="A3029" s="4">
        <f>value(USD!A3029)</f>
        <v>43394.99861</v>
      </c>
      <c r="B3029" s="1">
        <f>value(USD!B3029)</f>
        <v>15181</v>
      </c>
      <c r="C3029" s="1">
        <f>value(AUD!$B3029)</f>
        <v>10193.95</v>
      </c>
      <c r="D3029" s="1">
        <f>value(EUR!$B3029)</f>
        <v>17417.48211</v>
      </c>
      <c r="E3029" s="1">
        <f>value(GBP!$B3029)</f>
        <v>19707.68583</v>
      </c>
      <c r="F3029" s="1">
        <f>value(CHF!$B3029)</f>
        <v>14686.75</v>
      </c>
      <c r="G3029" s="1">
        <f>value(SGD!$B3029)</f>
        <v>10586.35</v>
      </c>
      <c r="H3029" s="1">
        <f>value(MYR!$B3029)</f>
        <v>3644.67915</v>
      </c>
      <c r="I3029" s="1">
        <f>value(THB!$B3029)</f>
        <v>462.762657</v>
      </c>
      <c r="J3029" s="1">
        <f>value(VND!$B3029)</f>
        <v>0.5972141291</v>
      </c>
      <c r="K3029" s="1">
        <f>value(CNY!$B3029)</f>
        <v>2073.5</v>
      </c>
      <c r="L3029" s="1">
        <f>value(HKD!$B3029)</f>
        <v>1865.95</v>
      </c>
      <c r="M3029" s="1">
        <f>value(TWD!$B3029)</f>
        <v>457.045</v>
      </c>
      <c r="N3029" s="1">
        <f>value(JPY!$B3029)</f>
        <v>135.0011628</v>
      </c>
      <c r="O3029" s="1">
        <f>value(SAR!$B3029)</f>
        <v>3847.6152</v>
      </c>
      <c r="P3029" s="1">
        <f>value(AED!$B3029)</f>
        <v>3811.77225</v>
      </c>
      <c r="Q3029" s="1">
        <f>value(KWD!$B3029)</f>
        <v>45979.69887</v>
      </c>
    </row>
    <row r="3030">
      <c r="A3030" s="4">
        <f>value(USD!A3030)</f>
        <v>43395.99861</v>
      </c>
      <c r="B3030" s="1">
        <f>value(USD!B3030)</f>
        <v>15264.7</v>
      </c>
      <c r="C3030" s="1">
        <f>value(AUD!$B3030)</f>
        <v>10118.35</v>
      </c>
      <c r="D3030" s="1">
        <f>value(EUR!$B3030)</f>
        <v>17405.09227</v>
      </c>
      <c r="E3030" s="1">
        <f>value(GBP!$B3030)</f>
        <v>19675.81961</v>
      </c>
      <c r="F3030" s="1">
        <f>value(CHF!$B3030)</f>
        <v>14608.05</v>
      </c>
      <c r="G3030" s="1">
        <f>value(SGD!$B3030)</f>
        <v>10591.75</v>
      </c>
      <c r="H3030" s="1">
        <f>value(MYR!$B3030)</f>
        <v>3662.23688</v>
      </c>
      <c r="I3030" s="1">
        <f>value(THB!$B3030)</f>
        <v>463.1392045</v>
      </c>
      <c r="J3030" s="1">
        <f>value(VND!$B3030)</f>
        <v>0.5951438229</v>
      </c>
      <c r="K3030" s="1">
        <f>value(CNY!$B3030)</f>
        <v>2069.75</v>
      </c>
      <c r="L3030" s="1">
        <f>value(HKD!$B3030)</f>
        <v>1865.9</v>
      </c>
      <c r="M3030" s="1">
        <f>value(TWD!$B3030)</f>
        <v>459.05</v>
      </c>
      <c r="N3030" s="1">
        <f>value(JPY!$B3030)</f>
        <v>136.295557</v>
      </c>
      <c r="O3030" s="1">
        <f>value(SAR!$B3030)</f>
        <v>3878.32724</v>
      </c>
      <c r="P3030" s="1">
        <f>value(AED!$B3030)</f>
        <v>3824.0235</v>
      </c>
      <c r="Q3030" s="1">
        <f>value(KWD!$B3030)</f>
        <v>45990.14428</v>
      </c>
    </row>
    <row r="3031">
      <c r="A3031" s="4">
        <f>value(USD!A3031)</f>
        <v>43396.99861</v>
      </c>
      <c r="B3031" s="1">
        <f>value(USD!B3031)</f>
        <v>15183</v>
      </c>
      <c r="C3031" s="1">
        <f>value(AUD!$B3031)</f>
        <v>10118.35</v>
      </c>
      <c r="D3031" s="1">
        <f>value(EUR!$B3031)</f>
        <v>17352.12729</v>
      </c>
      <c r="E3031" s="1">
        <f>value(GBP!$B3031)</f>
        <v>19565.96152</v>
      </c>
      <c r="F3031" s="1">
        <f>value(CHF!$B3031)</f>
        <v>14608.05</v>
      </c>
      <c r="G3031" s="1">
        <f>value(SGD!$B3031)</f>
        <v>10613.2</v>
      </c>
      <c r="H3031" s="1">
        <f>value(MYR!$B3031)</f>
        <v>3657.17481</v>
      </c>
      <c r="I3031" s="1">
        <f>value(THB!$B3031)</f>
        <v>463.3489437</v>
      </c>
      <c r="J3031" s="1">
        <f>value(VND!$B3031)</f>
        <v>0.5951438229</v>
      </c>
      <c r="K3031" s="1">
        <f>value(CNY!$B3031)</f>
        <v>2081.85</v>
      </c>
      <c r="L3031" s="1">
        <f>value(HKD!$B3031)</f>
        <v>1852.55</v>
      </c>
      <c r="M3031" s="1">
        <f>value(TWD!$B3031)</f>
        <v>459.05</v>
      </c>
      <c r="N3031" s="1">
        <f>value(JPY!$B3031)</f>
        <v>135.7594554</v>
      </c>
      <c r="O3031" s="1">
        <f>value(SAR!$B3031)</f>
        <v>3886.1943</v>
      </c>
      <c r="P3031" s="1">
        <f>value(AED!$B3031)</f>
        <v>3820.005717</v>
      </c>
      <c r="Q3031" s="1">
        <f>value(KWD!$B3031)</f>
        <v>46195.3275</v>
      </c>
    </row>
    <row r="3032">
      <c r="A3032" s="4">
        <f>value(USD!A3032)</f>
        <v>43397.99861</v>
      </c>
      <c r="B3032" s="1">
        <f>value(USD!B3032)</f>
        <v>15269.5</v>
      </c>
      <c r="C3032" s="1">
        <f>value(AUD!$B3032)</f>
        <v>10114.55</v>
      </c>
      <c r="D3032" s="1">
        <f>value(EUR!$B3032)</f>
        <v>17352.22238</v>
      </c>
      <c r="E3032" s="1">
        <f>value(GBP!$B3032)</f>
        <v>19492.57792</v>
      </c>
      <c r="F3032" s="1">
        <f>value(CHF!$B3032)</f>
        <v>14619.05</v>
      </c>
      <c r="G3032" s="1">
        <f>value(SGD!$B3032)</f>
        <v>10638.5</v>
      </c>
      <c r="H3032" s="1">
        <f>value(MYR!$B3032)</f>
        <v>3636.325828</v>
      </c>
      <c r="I3032" s="1">
        <f>value(THB!$B3032)</f>
        <v>459.9561774</v>
      </c>
      <c r="J3032" s="1">
        <f>value(VND!$B3032)</f>
        <v>0.5937526228</v>
      </c>
      <c r="K3032" s="1">
        <f>value(CNY!$B3032)</f>
        <v>2081.85</v>
      </c>
      <c r="L3032" s="1">
        <f>value(HKD!$B3032)</f>
        <v>1850.8</v>
      </c>
      <c r="M3032" s="1">
        <f>value(TWD!$B3032)</f>
        <v>459.05</v>
      </c>
      <c r="N3032" s="1">
        <f>value(JPY!$B3032)</f>
        <v>135.7492778</v>
      </c>
      <c r="O3032" s="1">
        <f>value(SAR!$B3032)</f>
        <v>3869.17856</v>
      </c>
      <c r="P3032" s="1">
        <f>value(AED!$B3032)</f>
        <v>3826.866291</v>
      </c>
      <c r="Q3032" s="1">
        <f>value(KWD!$B3032)</f>
        <v>46200.86192</v>
      </c>
    </row>
    <row r="3033">
      <c r="A3033" s="4">
        <f>value(USD!A3033)</f>
        <v>43398.99861</v>
      </c>
      <c r="B3033" s="1">
        <f>value(USD!B3033)</f>
        <v>15257.3</v>
      </c>
      <c r="C3033" s="1">
        <f>value(AUD!$B3033)</f>
        <v>10066.35</v>
      </c>
      <c r="D3033" s="1">
        <f>value(EUR!$B3033)</f>
        <v>17374.383</v>
      </c>
      <c r="E3033" s="1">
        <f>value(GBP!$B3033)</f>
        <v>19517.472</v>
      </c>
      <c r="F3033" s="1">
        <f>value(CHF!$B3033)</f>
        <v>14683.4</v>
      </c>
      <c r="G3033" s="1">
        <f>value(SGD!$B3033)</f>
        <v>10656.4</v>
      </c>
      <c r="H3033" s="1">
        <f>value(MYR!$B3033)</f>
        <v>3640.9698</v>
      </c>
      <c r="I3033" s="1">
        <f>value(THB!$B3033)</f>
        <v>460.54359</v>
      </c>
      <c r="J3033" s="1">
        <f>value(VND!$B3033)</f>
        <v>0.5907021205</v>
      </c>
      <c r="K3033" s="1">
        <f>value(CNY!$B3033)</f>
        <v>2066.15</v>
      </c>
      <c r="L3033" s="1">
        <f>value(HKD!$B3033)</f>
        <v>1842.25</v>
      </c>
      <c r="M3033" s="1">
        <f>value(TWD!$B3033)</f>
        <v>459.815</v>
      </c>
      <c r="N3033" s="1">
        <f>value(JPY!$B3033)</f>
        <v>135.922644</v>
      </c>
      <c r="O3033" s="1">
        <f>value(SAR!$B3033)</f>
        <v>3868.2209</v>
      </c>
      <c r="P3033" s="1">
        <f>value(AED!$B3033)</f>
        <v>3811.760578</v>
      </c>
      <c r="Q3033" s="1">
        <f>value(KWD!$B3033)</f>
        <v>46567.829</v>
      </c>
    </row>
    <row r="3034">
      <c r="A3034" s="4">
        <f>value(USD!A3034)</f>
        <v>43399.99861</v>
      </c>
      <c r="B3034" s="1">
        <f>value(USD!B3034)</f>
        <v>15190.6</v>
      </c>
      <c r="C3034" s="1">
        <f>value(AUD!$B3034)</f>
        <v>10120.1</v>
      </c>
      <c r="D3034" s="1">
        <f>value(EUR!$B3034)</f>
        <v>17333.316</v>
      </c>
      <c r="E3034" s="1">
        <f>value(GBP!$B3034)</f>
        <v>19514.43</v>
      </c>
      <c r="F3034" s="1">
        <f>value(CHF!$B3034)</f>
        <v>14595.9</v>
      </c>
      <c r="G3034" s="1">
        <f>value(SGD!$B3034)</f>
        <v>10656.4</v>
      </c>
      <c r="H3034" s="1">
        <f>value(MYR!$B3034)</f>
        <v>3640.5135</v>
      </c>
      <c r="I3034" s="1">
        <f>value(THB!$B3034)</f>
        <v>459.44847</v>
      </c>
      <c r="J3034" s="1">
        <f>value(VND!$B3034)</f>
        <v>0.589980334</v>
      </c>
      <c r="K3034" s="1">
        <f>value(CNY!$B3034)</f>
        <v>2076.75</v>
      </c>
      <c r="L3034" s="1">
        <f>value(HKD!$B3034)</f>
        <v>1859.35</v>
      </c>
      <c r="M3034" s="1">
        <f>value(TWD!$B3034)</f>
        <v>458.475</v>
      </c>
      <c r="N3034" s="1">
        <f>value(JPY!$B3034)</f>
        <v>135.87093</v>
      </c>
      <c r="O3034" s="1">
        <f>value(SAR!$B3034)</f>
        <v>3853.281939</v>
      </c>
      <c r="P3034" s="1">
        <f>value(AED!$B3034)</f>
        <v>3811.760578</v>
      </c>
      <c r="Q3034" s="1">
        <f>value(KWD!$B3034)</f>
        <v>47101.2793</v>
      </c>
    </row>
    <row r="3035">
      <c r="A3035" s="4">
        <f>value(USD!A3035)</f>
        <v>43400.99861</v>
      </c>
      <c r="B3035" s="1">
        <f>value(USD!B3035)</f>
        <v>15210</v>
      </c>
      <c r="C3035" s="1">
        <f>value(AUD!$B3035)</f>
        <v>9894.9</v>
      </c>
      <c r="D3035" s="1">
        <f>value(EUR!$B3035)</f>
        <v>17402.01239</v>
      </c>
      <c r="E3035" s="1">
        <f>value(GBP!$B3035)</f>
        <v>19583.01973</v>
      </c>
      <c r="F3035" s="1">
        <f>value(CHF!$B3035)</f>
        <v>14573.3</v>
      </c>
      <c r="G3035" s="1">
        <f>value(SGD!$B3035)</f>
        <v>10657.2</v>
      </c>
      <c r="H3035" s="1">
        <f>value(MYR!$B3035)</f>
        <v>3658.009936</v>
      </c>
      <c r="I3035" s="1">
        <f>value(THB!$B3035)</f>
        <v>459.5612098</v>
      </c>
      <c r="J3035" s="1">
        <f>value(VND!$B3035)</f>
        <v>0.5902625798</v>
      </c>
      <c r="K3035" s="1">
        <f>value(CNY!$B3035)</f>
        <v>2082.3</v>
      </c>
      <c r="L3035" s="1">
        <f>value(HKD!$B3035)</f>
        <v>1859.35</v>
      </c>
      <c r="M3035" s="1">
        <f>value(TWD!$B3035)</f>
        <v>458.655</v>
      </c>
      <c r="N3035" s="1">
        <f>value(JPY!$B3035)</f>
        <v>136.15042</v>
      </c>
      <c r="O3035" s="1">
        <f>value(SAR!$B3035)</f>
        <v>3854.931675</v>
      </c>
      <c r="P3035" s="1">
        <f>value(AED!$B3035)</f>
        <v>3812.884344</v>
      </c>
      <c r="Q3035" s="1">
        <f>value(KWD!$B3035)</f>
        <v>46708.6035</v>
      </c>
    </row>
    <row r="3036">
      <c r="A3036" s="4">
        <f>value(USD!A3036)</f>
        <v>43401.99861</v>
      </c>
      <c r="B3036" s="1">
        <f>value(USD!B3036)</f>
        <v>15210</v>
      </c>
      <c r="C3036" s="1">
        <f>value(AUD!$B3036)</f>
        <v>9921.8</v>
      </c>
      <c r="D3036" s="1">
        <f>value(EUR!$B3036)</f>
        <v>17328.24833</v>
      </c>
      <c r="E3036" s="1">
        <f>value(GBP!$B3036)</f>
        <v>19408.59728</v>
      </c>
      <c r="F3036" s="1">
        <f>value(CHF!$B3036)</f>
        <v>14613.2</v>
      </c>
      <c r="G3036" s="1">
        <f>value(SGD!$B3036)</f>
        <v>10574</v>
      </c>
      <c r="H3036" s="1">
        <f>value(MYR!$B3036)</f>
        <v>3649.507245</v>
      </c>
      <c r="I3036" s="1">
        <f>value(THB!$B3036)</f>
        <v>458.5137351</v>
      </c>
      <c r="J3036" s="1">
        <f>value(VND!$B3036)</f>
        <v>0.5871561386</v>
      </c>
      <c r="K3036" s="1">
        <f>value(CNY!$B3036)</f>
        <v>2079.95</v>
      </c>
      <c r="L3036" s="1">
        <f>value(HKD!$B3036)</f>
        <v>1860.95</v>
      </c>
      <c r="M3036" s="1">
        <f>value(TWD!$B3036)</f>
        <v>460.875</v>
      </c>
      <c r="N3036" s="1">
        <f>value(JPY!$B3036)</f>
        <v>135.0844602</v>
      </c>
      <c r="O3036" s="1">
        <f>value(SAR!$B3036)</f>
        <v>3854.40328</v>
      </c>
      <c r="P3036" s="1">
        <f>value(AED!$B3036)</f>
        <v>3830.48715</v>
      </c>
      <c r="Q3036" s="1">
        <f>value(KWD!$B3036)</f>
        <v>46708.6035</v>
      </c>
    </row>
    <row r="3037">
      <c r="A3037" s="4">
        <f>value(USD!A3037)</f>
        <v>43402.99861</v>
      </c>
      <c r="B3037" s="1">
        <f>value(USD!B3037)</f>
        <v>15297.8</v>
      </c>
      <c r="C3037" s="1">
        <f>value(AUD!$B3037)</f>
        <v>9924.05</v>
      </c>
      <c r="D3037" s="1">
        <f>value(EUR!$B3037)</f>
        <v>17196.09752</v>
      </c>
      <c r="E3037" s="1">
        <f>value(GBP!$B3037)</f>
        <v>19403.16456</v>
      </c>
      <c r="F3037" s="1">
        <f>value(CHF!$B3037)</f>
        <v>14656.75</v>
      </c>
      <c r="G3037" s="1">
        <f>value(SGD!$B3037)</f>
        <v>10542.75</v>
      </c>
      <c r="H3037" s="1">
        <f>value(MYR!$B3037)</f>
        <v>3629.26068</v>
      </c>
      <c r="I3037" s="1">
        <f>value(THB!$B3037)</f>
        <v>458.812828</v>
      </c>
      <c r="J3037" s="1">
        <f>value(VND!$B3037)</f>
        <v>0.5879301817</v>
      </c>
      <c r="K3037" s="1">
        <f>value(CNY!$B3037)</f>
        <v>2083.05</v>
      </c>
      <c r="L3037" s="1">
        <f>value(HKD!$B3037)</f>
        <v>1856.75</v>
      </c>
      <c r="M3037" s="1">
        <f>value(TWD!$B3037)</f>
        <v>461.045</v>
      </c>
      <c r="N3037" s="1">
        <f>value(JPY!$B3037)</f>
        <v>134.651756</v>
      </c>
      <c r="O3037" s="1">
        <f>value(SAR!$B3037)</f>
        <v>3873.09125</v>
      </c>
      <c r="P3037" s="1">
        <f>value(AED!$B3037)</f>
        <v>3830.596048</v>
      </c>
      <c r="Q3037" s="1">
        <f>value(KWD!$B3037)</f>
        <v>46540.63176</v>
      </c>
    </row>
    <row r="3038">
      <c r="A3038" s="4">
        <f>value(USD!A3038)</f>
        <v>43403.99861</v>
      </c>
      <c r="B3038" s="1">
        <f>value(USD!B3038)</f>
        <v>15273.1</v>
      </c>
      <c r="C3038" s="1">
        <f>value(AUD!$B3038)</f>
        <v>9902.1</v>
      </c>
      <c r="D3038" s="1">
        <f>value(EUR!$B3038)</f>
        <v>17182.23586</v>
      </c>
      <c r="E3038" s="1">
        <f>value(GBP!$B3038)</f>
        <v>19593.22786</v>
      </c>
      <c r="F3038" s="1">
        <f>value(CHF!$B3038)</f>
        <v>14656.75</v>
      </c>
      <c r="G3038" s="1">
        <f>value(SGD!$B3038)</f>
        <v>10586.6</v>
      </c>
      <c r="H3038" s="1">
        <f>value(MYR!$B3038)</f>
        <v>3603.679605</v>
      </c>
      <c r="I3038" s="1">
        <f>value(THB!$B3038)</f>
        <v>457.7569686</v>
      </c>
      <c r="J3038" s="1">
        <f>value(VND!$B3038)</f>
        <v>0.5879301817</v>
      </c>
      <c r="K3038" s="1">
        <f>value(CNY!$B3038)</f>
        <v>2083.05</v>
      </c>
      <c r="L3038" s="1">
        <f>value(HKD!$B3038)</f>
        <v>1855.85</v>
      </c>
      <c r="M3038" s="1">
        <f>value(TWD!$B3038)</f>
        <v>461.045</v>
      </c>
      <c r="N3038" s="1">
        <f>value(JPY!$B3038)</f>
        <v>133.6443003</v>
      </c>
      <c r="O3038" s="1">
        <f>value(SAR!$B3038)</f>
        <v>3855.4698</v>
      </c>
      <c r="P3038" s="1">
        <f>value(AED!$B3038)</f>
        <v>3860.4341</v>
      </c>
      <c r="Q3038" s="1">
        <f>value(KWD!$B3038)</f>
        <v>46867.589</v>
      </c>
    </row>
    <row r="3039">
      <c r="A3039" s="4">
        <f>value(USD!A3039)</f>
        <v>43404.99861</v>
      </c>
      <c r="B3039" s="1">
        <f>value(USD!B3039)</f>
        <v>15196</v>
      </c>
      <c r="C3039" s="1">
        <f>value(AUD!$B3039)</f>
        <v>9928.15</v>
      </c>
      <c r="D3039" s="1">
        <f>value(EUR!$B3039)</f>
        <v>17019.0102</v>
      </c>
      <c r="E3039" s="1">
        <f>value(GBP!$B3039)</f>
        <v>19401.4026</v>
      </c>
      <c r="F3039" s="1">
        <f>value(CHF!$B3039)</f>
        <v>14668.45</v>
      </c>
      <c r="G3039" s="1">
        <f>value(SGD!$B3039)</f>
        <v>10561.2</v>
      </c>
      <c r="H3039" s="1">
        <f>value(MYR!$B3039)</f>
        <v>3588.5346</v>
      </c>
      <c r="I3039" s="1">
        <f>value(THB!$B3039)</f>
        <v>454.612482</v>
      </c>
      <c r="J3039" s="1">
        <f>value(VND!$B3039)</f>
        <v>0.5888130073</v>
      </c>
      <c r="K3039" s="1">
        <f>value(CNY!$B3039)</f>
        <v>2083.05</v>
      </c>
      <c r="L3039" s="1">
        <f>value(HKD!$B3039)</f>
        <v>1861.3</v>
      </c>
      <c r="M3039" s="1">
        <f>value(TWD!$B3039)</f>
        <v>461.045</v>
      </c>
      <c r="N3039" s="1">
        <f>value(JPY!$B3039)</f>
        <v>132.0195126</v>
      </c>
      <c r="O3039" s="1">
        <f>value(SAR!$B3039)</f>
        <v>3838.410771</v>
      </c>
      <c r="P3039" s="1">
        <f>value(AED!$B3039)</f>
        <v>3904.53779</v>
      </c>
      <c r="Q3039" s="1">
        <f>value(KWD!$B3039)</f>
        <v>46899.75375</v>
      </c>
    </row>
    <row r="3040">
      <c r="A3040" s="4">
        <f>value(USD!A3040)</f>
        <v>43405.99861</v>
      </c>
      <c r="B3040" s="1">
        <f>value(USD!B3040)</f>
        <v>15068.7</v>
      </c>
      <c r="C3040" s="1">
        <f>value(AUD!$B3040)</f>
        <v>9907.95</v>
      </c>
      <c r="D3040" s="1">
        <f>value(EUR!$B3040)</f>
        <v>17042.279</v>
      </c>
      <c r="E3040" s="1">
        <f>value(GBP!$B3040)</f>
        <v>19425.676</v>
      </c>
      <c r="F3040" s="1">
        <f>value(CHF!$B3040)</f>
        <v>14720.1</v>
      </c>
      <c r="G3040" s="1">
        <f>value(SGD!$B3040)</f>
        <v>10552.3</v>
      </c>
      <c r="H3040" s="1">
        <f>value(MYR!$B3040)</f>
        <v>3592.481844</v>
      </c>
      <c r="I3040" s="1">
        <f>value(THB!$B3040)</f>
        <v>455.1125374</v>
      </c>
      <c r="J3040" s="1">
        <f>value(VND!$B3040)</f>
        <v>0.5886183349</v>
      </c>
      <c r="K3040" s="1">
        <f>value(CNY!$B3040)</f>
        <v>2088.15</v>
      </c>
      <c r="L3040" s="1">
        <f>value(HKD!$B3040)</f>
        <v>1862.15</v>
      </c>
      <c r="M3040" s="1">
        <f>value(TWD!$B3040)</f>
        <v>460.625</v>
      </c>
      <c r="N3040" s="1">
        <f>value(JPY!$B3040)</f>
        <v>132.1647287</v>
      </c>
      <c r="O3040" s="1">
        <f>value(SAR!$B3040)</f>
        <v>3839.86625</v>
      </c>
      <c r="P3040" s="1">
        <f>value(AED!$B3040)</f>
        <v>3874.799159</v>
      </c>
      <c r="Q3040" s="1">
        <f>value(KWD!$B3040)</f>
        <v>46942.71052</v>
      </c>
    </row>
    <row r="3041">
      <c r="A3041" s="4">
        <f>value(USD!A3041)</f>
        <v>43406.99861</v>
      </c>
      <c r="B3041" s="1">
        <f>value(USD!B3041)</f>
        <v>14946</v>
      </c>
      <c r="C3041" s="1">
        <f>value(AUD!$B3041)</f>
        <v>9995</v>
      </c>
      <c r="D3041" s="1">
        <f>value(EUR!$B3041)</f>
        <v>17030.967</v>
      </c>
      <c r="E3041" s="1">
        <f>value(GBP!$B3041)</f>
        <v>19437.12354</v>
      </c>
      <c r="F3041" s="1">
        <f>value(CHF!$B3041)</f>
        <v>14735.3</v>
      </c>
      <c r="G3041" s="1">
        <f>value(SGD!$B3041)</f>
        <v>10552.3</v>
      </c>
      <c r="H3041" s="1">
        <f>value(MYR!$B3041)</f>
        <v>3588.5346</v>
      </c>
      <c r="I3041" s="1">
        <f>value(THB!$B3041)</f>
        <v>454.702158</v>
      </c>
      <c r="J3041" s="1">
        <f>value(VND!$B3041)</f>
        <v>0.5886006484</v>
      </c>
      <c r="K3041" s="1">
        <f>value(CNY!$B3041)</f>
        <v>2089.25</v>
      </c>
      <c r="L3041" s="1">
        <f>value(HKD!$B3041)</f>
        <v>1859.65</v>
      </c>
      <c r="M3041" s="1">
        <f>value(TWD!$B3041)</f>
        <v>461.705</v>
      </c>
      <c r="N3041" s="1">
        <f>value(JPY!$B3041)</f>
        <v>132.062856</v>
      </c>
      <c r="O3041" s="1">
        <f>value(SAR!$B3041)</f>
        <v>3838.030903</v>
      </c>
      <c r="P3041" s="1">
        <f>value(AED!$B3041)</f>
        <v>3874.807413</v>
      </c>
      <c r="Q3041" s="1">
        <f>value(KWD!$B3041)</f>
        <v>46827.20362</v>
      </c>
    </row>
    <row r="3042">
      <c r="A3042" s="4">
        <f>value(USD!A3042)</f>
        <v>43407.99861</v>
      </c>
      <c r="B3042" s="1">
        <f>value(USD!B3042)</f>
        <v>14962.44</v>
      </c>
      <c r="C3042" s="1">
        <f>value(AUD!$B3042)</f>
        <v>9978.6</v>
      </c>
      <c r="D3042" s="1">
        <f>value(EUR!$B3042)</f>
        <v>17024.05344</v>
      </c>
      <c r="E3042" s="1">
        <f>value(GBP!$B3042)</f>
        <v>19481.49174</v>
      </c>
      <c r="F3042" s="1">
        <f>value(CHF!$B3042)</f>
        <v>14646.15</v>
      </c>
      <c r="G3042" s="1">
        <f>value(SGD!$B3042)</f>
        <v>10542.6</v>
      </c>
      <c r="H3042" s="1">
        <f>value(MYR!$B3042)</f>
        <v>3571.48496</v>
      </c>
      <c r="I3042" s="1">
        <f>value(THB!$B3042)</f>
        <v>452.721344</v>
      </c>
      <c r="J3042" s="1">
        <f>value(VND!$B3042)</f>
        <v>0.5893166714</v>
      </c>
      <c r="K3042" s="1">
        <f>value(CNY!$B3042)</f>
        <v>2093.25</v>
      </c>
      <c r="L3042" s="1">
        <f>value(HKD!$B3042)</f>
        <v>1859.65</v>
      </c>
      <c r="M3042" s="1">
        <f>value(TWD!$B3042)</f>
        <v>461.21</v>
      </c>
      <c r="N3042" s="1">
        <f>value(JPY!$B3042)</f>
        <v>131.7517593</v>
      </c>
      <c r="O3042" s="1">
        <f>value(SAR!$B3042)</f>
        <v>3854.71485</v>
      </c>
      <c r="P3042" s="1">
        <f>value(AED!$B3042)</f>
        <v>3860.793563</v>
      </c>
      <c r="Q3042" s="1">
        <f>value(KWD!$B3042)</f>
        <v>46692.98964</v>
      </c>
    </row>
    <row r="3043">
      <c r="A3043" s="4">
        <f>value(USD!A3043)</f>
        <v>43408.99861</v>
      </c>
      <c r="B3043" s="1">
        <f>value(USD!B3043)</f>
        <v>14946</v>
      </c>
      <c r="C3043" s="1">
        <f>value(AUD!$B3043)</f>
        <v>10005.55</v>
      </c>
      <c r="D3043" s="1">
        <f>value(EUR!$B3043)</f>
        <v>16962.1091</v>
      </c>
      <c r="E3043" s="1">
        <f>value(GBP!$B3043)</f>
        <v>19444.5028</v>
      </c>
      <c r="F3043" s="1">
        <f>value(CHF!$B3043)</f>
        <v>14771.15</v>
      </c>
      <c r="G3043" s="1">
        <f>value(SGD!$B3043)</f>
        <v>10387.15</v>
      </c>
      <c r="H3043" s="1">
        <f>value(MYR!$B3043)</f>
        <v>3557.5687</v>
      </c>
      <c r="I3043" s="1">
        <f>value(THB!$B3043)</f>
        <v>450.41676</v>
      </c>
      <c r="J3043" s="1">
        <f>value(VND!$B3043)</f>
        <v>0.5858091045</v>
      </c>
      <c r="K3043" s="1">
        <f>value(CNY!$B3043)</f>
        <v>2091.85</v>
      </c>
      <c r="L3043" s="1">
        <f>value(HKD!$B3043)</f>
        <v>1859.25</v>
      </c>
      <c r="M3043" s="1">
        <f>value(TWD!$B3043)</f>
        <v>459.735</v>
      </c>
      <c r="N3043" s="1">
        <f>value(JPY!$B3043)</f>
        <v>130.78577</v>
      </c>
      <c r="O3043" s="1">
        <f>value(SAR!$B3043)</f>
        <v>3859.488055</v>
      </c>
      <c r="P3043" s="1">
        <f>value(AED!$B3043)</f>
        <v>3880.852475</v>
      </c>
      <c r="Q3043" s="1">
        <f>value(KWD!$B3043)</f>
        <v>46687.2285</v>
      </c>
    </row>
    <row r="3044">
      <c r="A3044" s="4">
        <f>value(USD!A3044)</f>
        <v>43409.99861</v>
      </c>
      <c r="B3044" s="1">
        <f>value(USD!B3044)</f>
        <v>14921.6</v>
      </c>
      <c r="C3044" s="1">
        <f>value(AUD!$B3044)</f>
        <v>10087.95</v>
      </c>
      <c r="D3044" s="1">
        <f>value(EUR!$B3044)</f>
        <v>16692.38226</v>
      </c>
      <c r="E3044" s="1">
        <f>value(GBP!$B3044)</f>
        <v>19164.55998</v>
      </c>
      <c r="F3044" s="1">
        <f>value(CHF!$B3044)</f>
        <v>14789.75</v>
      </c>
      <c r="G3044" s="1">
        <f>value(SGD!$B3044)</f>
        <v>10413.2</v>
      </c>
      <c r="H3044" s="1">
        <f>value(MYR!$B3044)</f>
        <v>3514.393197</v>
      </c>
      <c r="I3044" s="1">
        <f>value(THB!$B3044)</f>
        <v>444.4343127</v>
      </c>
      <c r="J3044" s="1">
        <f>value(VND!$B3044)</f>
        <v>0.5869669624</v>
      </c>
      <c r="K3044" s="1">
        <f>value(CNY!$B3044)</f>
        <v>2092.05</v>
      </c>
      <c r="L3044" s="1">
        <f>value(HKD!$B3044)</f>
        <v>1840.05</v>
      </c>
      <c r="M3044" s="1">
        <f>value(TWD!$B3044)</f>
        <v>457.585</v>
      </c>
      <c r="N3044" s="1">
        <f>value(JPY!$B3044)</f>
        <v>128.5287156</v>
      </c>
      <c r="O3044" s="1">
        <f>value(SAR!$B3044)</f>
        <v>3839.76</v>
      </c>
      <c r="P3044" s="1">
        <f>value(AED!$B3044)</f>
        <v>3883.534697</v>
      </c>
      <c r="Q3044" s="1">
        <f>value(KWD!$B3044)</f>
        <v>46692.98964</v>
      </c>
    </row>
    <row r="3045">
      <c r="A3045" s="4">
        <f>value(USD!A3045)</f>
        <v>43410.99861</v>
      </c>
      <c r="B3045" s="1">
        <f>value(USD!B3045)</f>
        <v>14830</v>
      </c>
      <c r="C3045" s="1">
        <f>value(AUD!$B3045)</f>
        <v>10079.95</v>
      </c>
      <c r="D3045" s="1">
        <f>value(EUR!$B3045)</f>
        <v>16733.2544</v>
      </c>
      <c r="E3045" s="1">
        <f>value(GBP!$B3045)</f>
        <v>19232.2688</v>
      </c>
      <c r="F3045" s="1">
        <f>value(CHF!$B3045)</f>
        <v>14789.75</v>
      </c>
      <c r="G3045" s="1">
        <f>value(SGD!$B3045)</f>
        <v>10353.55</v>
      </c>
      <c r="H3045" s="1">
        <f>value(MYR!$B3045)</f>
        <v>3532.5056</v>
      </c>
      <c r="I3045" s="1">
        <f>value(THB!$B3045)</f>
        <v>446.14848</v>
      </c>
      <c r="J3045" s="1">
        <f>value(VND!$B3045)</f>
        <v>0.5869669624</v>
      </c>
      <c r="K3045" s="1">
        <f>value(CNY!$B3045)</f>
        <v>2093.4</v>
      </c>
      <c r="L3045" s="1">
        <f>value(HKD!$B3045)</f>
        <v>1834.2</v>
      </c>
      <c r="M3045" s="1">
        <f>value(TWD!$B3045)</f>
        <v>457.585</v>
      </c>
      <c r="N3045" s="1">
        <f>value(JPY!$B3045)</f>
        <v>129.163584</v>
      </c>
      <c r="O3045" s="1">
        <f>value(SAR!$B3045)</f>
        <v>3842.46952</v>
      </c>
      <c r="P3045" s="1">
        <f>value(AED!$B3045)</f>
        <v>3887.250232</v>
      </c>
      <c r="Q3045" s="1">
        <f>value(KWD!$B3045)</f>
        <v>46846.7116</v>
      </c>
    </row>
    <row r="3046">
      <c r="A3046" s="4">
        <f>value(USD!A3046)</f>
        <v>43411.99861</v>
      </c>
      <c r="B3046" s="1">
        <f>value(USD!B3046)</f>
        <v>14598.9</v>
      </c>
      <c r="C3046" s="1">
        <f>value(AUD!$B3046)</f>
        <v>10086.05</v>
      </c>
      <c r="D3046" s="1">
        <f>value(EUR!$B3046)</f>
        <v>16638.9808</v>
      </c>
      <c r="E3046" s="1">
        <f>value(GBP!$B3046)</f>
        <v>19047.6406</v>
      </c>
      <c r="F3046" s="1">
        <f>value(CHF!$B3046)</f>
        <v>14801.05</v>
      </c>
      <c r="G3046" s="1">
        <f>value(SGD!$B3046)</f>
        <v>10405.6</v>
      </c>
      <c r="H3046" s="1">
        <f>value(MYR!$B3046)</f>
        <v>3505.98708</v>
      </c>
      <c r="I3046" s="1">
        <f>value(THB!$B3046)</f>
        <v>443.613194</v>
      </c>
      <c r="J3046" s="1">
        <f>value(VND!$B3046)</f>
        <v>0.5915908816</v>
      </c>
      <c r="K3046" s="1">
        <f>value(CNY!$B3046)</f>
        <v>2093</v>
      </c>
      <c r="L3046" s="1">
        <f>value(HKD!$B3046)</f>
        <v>1847.65</v>
      </c>
      <c r="M3046" s="1">
        <f>value(TWD!$B3046)</f>
        <v>457.585</v>
      </c>
      <c r="N3046" s="1">
        <f>value(JPY!$B3046)</f>
        <v>128.9403588</v>
      </c>
      <c r="O3046" s="1">
        <f>value(SAR!$B3046)</f>
        <v>3807.08575</v>
      </c>
      <c r="P3046" s="1">
        <f>value(AED!$B3046)</f>
        <v>3877.449412</v>
      </c>
      <c r="Q3046" s="1">
        <f>value(KWD!$B3046)</f>
        <v>46810.5984</v>
      </c>
    </row>
    <row r="3047">
      <c r="A3047" s="4">
        <f>value(USD!A3047)</f>
        <v>43412.99861</v>
      </c>
      <c r="B3047" s="1">
        <f>value(USD!B3047)</f>
        <v>14720</v>
      </c>
      <c r="C3047" s="1">
        <f>value(AUD!$B3047)</f>
        <v>10075.9</v>
      </c>
      <c r="D3047" s="1">
        <f>value(EUR!$B3047)</f>
        <v>16638.9808</v>
      </c>
      <c r="E3047" s="1">
        <f>value(GBP!$B3047)</f>
        <v>19047.6406</v>
      </c>
      <c r="F3047" s="1">
        <f>value(CHF!$B3047)</f>
        <v>14674.6</v>
      </c>
      <c r="G3047" s="1">
        <f>value(SGD!$B3047)</f>
        <v>10429.1</v>
      </c>
      <c r="H3047" s="1">
        <f>value(MYR!$B3047)</f>
        <v>3505.98708</v>
      </c>
      <c r="I3047" s="1">
        <f>value(THB!$B3047)</f>
        <v>443.613194</v>
      </c>
      <c r="J3047" s="1">
        <f>value(VND!$B3047)</f>
        <v>0.5703749643</v>
      </c>
      <c r="K3047" s="1">
        <f>value(CNY!$B3047)</f>
        <v>2096.45</v>
      </c>
      <c r="L3047" s="1">
        <f>value(HKD!$B3047)</f>
        <v>1840.15</v>
      </c>
      <c r="M3047" s="1">
        <f>value(TWD!$B3047)</f>
        <v>459.85</v>
      </c>
      <c r="N3047" s="1">
        <f>value(JPY!$B3047)</f>
        <v>128.9403588</v>
      </c>
      <c r="O3047" s="1">
        <f>value(SAR!$B3047)</f>
        <v>3807.442887</v>
      </c>
      <c r="P3047" s="1">
        <f>value(AED!$B3047)</f>
        <v>3863.3694</v>
      </c>
      <c r="Q3047" s="1">
        <f>value(KWD!$B3047)</f>
        <v>46834.711</v>
      </c>
    </row>
    <row r="3048">
      <c r="A3048" s="4">
        <f>value(USD!A3048)</f>
        <v>43413.99861</v>
      </c>
      <c r="B3048" s="1">
        <f>value(USD!B3048)</f>
        <v>14678</v>
      </c>
      <c r="C3048" s="1">
        <f>value(AUD!$B3048)</f>
        <v>10119.45</v>
      </c>
      <c r="D3048" s="1">
        <f>value(EUR!$B3048)</f>
        <v>16621.3672</v>
      </c>
      <c r="E3048" s="1">
        <f>value(GBP!$B3048)</f>
        <v>18989.6625</v>
      </c>
      <c r="F3048" s="1">
        <f>value(CHF!$B3048)</f>
        <v>14628.9</v>
      </c>
      <c r="G3048" s="1">
        <f>value(SGD!$B3048)</f>
        <v>10429.1</v>
      </c>
      <c r="H3048" s="1">
        <f>value(MYR!$B3048)</f>
        <v>3510.68404</v>
      </c>
      <c r="I3048" s="1">
        <f>value(THB!$B3048)</f>
        <v>443.848042</v>
      </c>
      <c r="J3048" s="1">
        <f>value(VND!$B3048)</f>
        <v>0.5893175002</v>
      </c>
      <c r="K3048" s="1">
        <f>value(CNY!$B3048)</f>
        <v>2084.35</v>
      </c>
      <c r="L3048" s="1">
        <f>value(HKD!$B3048)</f>
        <v>1830.85</v>
      </c>
      <c r="M3048" s="1">
        <f>value(TWD!$B3048)</f>
        <v>457.88</v>
      </c>
      <c r="N3048" s="1">
        <f>value(JPY!$B3048)</f>
        <v>128.9124706</v>
      </c>
      <c r="O3048" s="1">
        <f>value(SAR!$B3048)</f>
        <v>3806.412904</v>
      </c>
      <c r="P3048" s="1">
        <f>value(AED!$B3048)</f>
        <v>3863.3694</v>
      </c>
      <c r="Q3048" s="1">
        <f>value(KWD!$B3048)</f>
        <v>47196.6697</v>
      </c>
    </row>
    <row r="3049">
      <c r="A3049" s="4">
        <f>value(USD!A3049)</f>
        <v>43414.99861</v>
      </c>
      <c r="B3049" s="1">
        <f>value(USD!B3049)</f>
        <v>14678</v>
      </c>
      <c r="C3049" s="1">
        <f>value(AUD!$B3049)</f>
        <v>10083.4</v>
      </c>
      <c r="D3049" s="1">
        <f>value(EUR!$B3049)</f>
        <v>16620.4992</v>
      </c>
      <c r="E3049" s="1">
        <f>value(GBP!$B3049)</f>
        <v>19037.1648</v>
      </c>
      <c r="F3049" s="1">
        <f>value(CHF!$B3049)</f>
        <v>14642.05</v>
      </c>
      <c r="G3049" s="1">
        <f>value(SGD!$B3049)</f>
        <v>10436.3</v>
      </c>
      <c r="H3049" s="1">
        <f>value(MYR!$B3049)</f>
        <v>3537.03888</v>
      </c>
      <c r="I3049" s="1">
        <f>value(THB!$B3049)</f>
        <v>446.298312</v>
      </c>
      <c r="J3049" s="1">
        <f>value(VND!$B3049)</f>
        <v>0.5902479229</v>
      </c>
      <c r="K3049" s="1">
        <f>value(CNY!$B3049)</f>
        <v>2097.05</v>
      </c>
      <c r="L3049" s="1">
        <f>value(HKD!$B3049)</f>
        <v>1830.85</v>
      </c>
      <c r="M3049" s="1">
        <f>value(TWD!$B3049)</f>
        <v>458.415</v>
      </c>
      <c r="N3049" s="1">
        <f>value(JPY!$B3049)</f>
        <v>130.103088</v>
      </c>
      <c r="O3049" s="1">
        <f>value(SAR!$B3049)</f>
        <v>3797.452</v>
      </c>
      <c r="P3049" s="1">
        <f>value(AED!$B3049)</f>
        <v>3863.347973</v>
      </c>
      <c r="Q3049" s="1">
        <f>value(KWD!$B3049)</f>
        <v>46745.47613</v>
      </c>
    </row>
    <row r="3050">
      <c r="A3050" s="4">
        <f>value(USD!A3050)</f>
        <v>43415.99861</v>
      </c>
      <c r="B3050" s="1">
        <f>value(USD!B3050)</f>
        <v>14678</v>
      </c>
      <c r="C3050" s="1">
        <f>value(AUD!$B3050)</f>
        <v>9989.85</v>
      </c>
      <c r="D3050" s="1">
        <f>value(EUR!$B3050)</f>
        <v>16730.87387</v>
      </c>
      <c r="E3050" s="1">
        <f>value(GBP!$B3050)</f>
        <v>19251.67464</v>
      </c>
      <c r="F3050" s="1">
        <f>value(CHF!$B3050)</f>
        <v>14597.85</v>
      </c>
      <c r="G3050" s="1">
        <f>value(SGD!$B3050)</f>
        <v>10439.6</v>
      </c>
      <c r="H3050" s="1">
        <f>value(MYR!$B3050)</f>
        <v>3525.333747</v>
      </c>
      <c r="I3050" s="1">
        <f>value(THB!$B3050)</f>
        <v>449.2585081</v>
      </c>
      <c r="J3050" s="1">
        <f>value(VND!$B3050)</f>
        <v>0.5891214171</v>
      </c>
      <c r="K3050" s="1">
        <f>value(CNY!$B3050)</f>
        <v>2103.05</v>
      </c>
      <c r="L3050" s="1">
        <f>value(HKD!$B3050)</f>
        <v>1828.85</v>
      </c>
      <c r="M3050" s="1">
        <f>value(TWD!$B3050)</f>
        <v>458.125</v>
      </c>
      <c r="N3050" s="1">
        <f>value(JPY!$B3050)</f>
        <v>130.0019523</v>
      </c>
      <c r="O3050" s="1">
        <f>value(SAR!$B3050)</f>
        <v>3805.2382</v>
      </c>
      <c r="P3050" s="1">
        <f>value(AED!$B3050)</f>
        <v>3878.94676</v>
      </c>
      <c r="Q3050" s="1">
        <f>value(KWD!$B3050)</f>
        <v>46745.47613</v>
      </c>
    </row>
    <row r="3051">
      <c r="A3051" s="4">
        <f>value(USD!A3051)</f>
        <v>43416.99861</v>
      </c>
      <c r="B3051" s="1">
        <f>value(USD!B3051)</f>
        <v>14808</v>
      </c>
      <c r="C3051" s="1">
        <f>value(AUD!$B3051)</f>
        <v>10014.45</v>
      </c>
      <c r="D3051" s="1">
        <f>value(EUR!$B3051)</f>
        <v>16755.47176</v>
      </c>
      <c r="E3051" s="1">
        <f>value(GBP!$B3051)</f>
        <v>19234.92191</v>
      </c>
      <c r="F3051" s="1">
        <f>value(CHF!$B3051)</f>
        <v>14535.15</v>
      </c>
      <c r="G3051" s="1">
        <f>value(SGD!$B3051)</f>
        <v>10395.35</v>
      </c>
      <c r="H3051" s="1">
        <f>value(MYR!$B3051)</f>
        <v>3527.787395</v>
      </c>
      <c r="I3051" s="1">
        <f>value(THB!$B3051)</f>
        <v>449.435522</v>
      </c>
      <c r="J3051" s="1">
        <f>value(VND!$B3051)</f>
        <v>0.5962474293</v>
      </c>
      <c r="K3051" s="1">
        <f>value(CNY!$B3051)</f>
        <v>2103.65</v>
      </c>
      <c r="L3051" s="1">
        <f>value(HKD!$B3051)</f>
        <v>1797.15</v>
      </c>
      <c r="M3051" s="1">
        <f>value(TWD!$B3051)</f>
        <v>456.185</v>
      </c>
      <c r="N3051" s="1">
        <f>value(JPY!$B3051)</f>
        <v>130.4014799</v>
      </c>
      <c r="O3051" s="1">
        <f>value(SAR!$B3051)</f>
        <v>3809.780955</v>
      </c>
      <c r="P3051" s="1">
        <f>value(AED!$B3051)</f>
        <v>3875.897616</v>
      </c>
      <c r="Q3051" s="1">
        <f>value(KWD!$B3051)</f>
        <v>46779.48405</v>
      </c>
    </row>
    <row r="3052">
      <c r="A3052" s="4">
        <f>value(USD!A3052)</f>
        <v>43417.99861</v>
      </c>
      <c r="B3052" s="1">
        <f>value(USD!B3052)</f>
        <v>14794.3</v>
      </c>
      <c r="C3052" s="1">
        <f>value(AUD!$B3052)</f>
        <v>10017.65</v>
      </c>
      <c r="D3052" s="1">
        <f>value(EUR!$B3052)</f>
        <v>16491.6915</v>
      </c>
      <c r="E3052" s="1">
        <f>value(GBP!$B3052)</f>
        <v>18588.21143</v>
      </c>
      <c r="F3052" s="1">
        <f>value(CHF!$B3052)</f>
        <v>14535.15</v>
      </c>
      <c r="G3052" s="1">
        <f>value(SGD!$B3052)</f>
        <v>10431.75</v>
      </c>
      <c r="H3052" s="1">
        <f>value(MYR!$B3052)</f>
        <v>3471.774102</v>
      </c>
      <c r="I3052" s="1">
        <f>value(THB!$B3052)</f>
        <v>441.9482078</v>
      </c>
      <c r="J3052" s="1">
        <f>value(VND!$B3052)</f>
        <v>0.5962474293</v>
      </c>
      <c r="K3052" s="1">
        <f>value(CNY!$B3052)</f>
        <v>2103.65</v>
      </c>
      <c r="L3052" s="1">
        <f>value(HKD!$B3052)</f>
        <v>1802.75</v>
      </c>
      <c r="M3052" s="1">
        <f>value(TWD!$B3052)</f>
        <v>456.85</v>
      </c>
      <c r="N3052" s="1">
        <f>value(JPY!$B3052)</f>
        <v>128.2056088</v>
      </c>
      <c r="O3052" s="1">
        <f>value(SAR!$B3052)</f>
        <v>3803.737437</v>
      </c>
      <c r="P3052" s="1">
        <f>value(AED!$B3052)</f>
        <v>3878.130025</v>
      </c>
      <c r="Q3052" s="1">
        <f>value(KWD!$B3052)</f>
        <v>46895.61762</v>
      </c>
    </row>
    <row r="3053">
      <c r="A3053" s="4">
        <f>value(USD!A3053)</f>
        <v>43418.99861</v>
      </c>
      <c r="B3053" s="1">
        <f>value(USD!B3053)</f>
        <v>14813.3</v>
      </c>
      <c r="C3053" s="1">
        <f>value(AUD!$B3053)</f>
        <v>10038.95</v>
      </c>
      <c r="D3053" s="1">
        <f>value(EUR!$B3053)</f>
        <v>16677.4495</v>
      </c>
      <c r="E3053" s="1">
        <f>value(GBP!$B3053)</f>
        <v>18751.3595</v>
      </c>
      <c r="F3053" s="1">
        <f>value(CHF!$B3053)</f>
        <v>14530.7</v>
      </c>
      <c r="G3053" s="1">
        <f>value(SGD!$B3053)</f>
        <v>10457.55</v>
      </c>
      <c r="H3053" s="1">
        <f>value(MYR!$B3053)</f>
        <v>3485.48325</v>
      </c>
      <c r="I3053" s="1">
        <f>value(THB!$B3053)</f>
        <v>444.240285</v>
      </c>
      <c r="J3053" s="1">
        <f>value(VND!$B3053)</f>
        <v>0.5901474362</v>
      </c>
      <c r="K3053" s="1">
        <f>value(CNY!$B3053)</f>
        <v>2103.65</v>
      </c>
      <c r="L3053" s="1">
        <f>value(HKD!$B3053)</f>
        <v>1787.1</v>
      </c>
      <c r="M3053" s="1">
        <f>value(TWD!$B3053)</f>
        <v>456.85</v>
      </c>
      <c r="N3053" s="1">
        <f>value(JPY!$B3053)</f>
        <v>129.4309705</v>
      </c>
      <c r="O3053" s="1">
        <f>value(SAR!$B3053)</f>
        <v>3792.08297</v>
      </c>
      <c r="P3053" s="1">
        <f>value(AED!$B3053)</f>
        <v>3907.94827</v>
      </c>
      <c r="Q3053" s="1">
        <f>value(KWD!$B3053)</f>
        <v>47113.78627</v>
      </c>
    </row>
    <row r="3054">
      <c r="A3054" s="4">
        <f>value(USD!A3054)</f>
        <v>43419.99861</v>
      </c>
      <c r="B3054" s="1">
        <f>value(USD!B3054)</f>
        <v>14562.2</v>
      </c>
      <c r="C3054" s="1">
        <f>value(AUD!$B3054)</f>
        <v>10053.65</v>
      </c>
      <c r="D3054" s="1">
        <f>value(EUR!$B3054)</f>
        <v>16677.4495</v>
      </c>
      <c r="E3054" s="1">
        <f>value(GBP!$B3054)</f>
        <v>18752.82</v>
      </c>
      <c r="F3054" s="1">
        <f>value(CHF!$B3054)</f>
        <v>14382.35</v>
      </c>
      <c r="G3054" s="1">
        <f>value(SGD!$B3054)</f>
        <v>10419.35</v>
      </c>
      <c r="H3054" s="1">
        <f>value(MYR!$B3054)</f>
        <v>3485.48325</v>
      </c>
      <c r="I3054" s="1">
        <f>value(THB!$B3054)</f>
        <v>444.240285</v>
      </c>
      <c r="J3054" s="1">
        <f>value(VND!$B3054)</f>
        <v>0.590776313</v>
      </c>
      <c r="K3054" s="1">
        <f>value(CNY!$B3054)</f>
        <v>2106.25</v>
      </c>
      <c r="L3054" s="1">
        <f>value(HKD!$B3054)</f>
        <v>1794.75</v>
      </c>
      <c r="M3054" s="1">
        <f>value(TWD!$B3054)</f>
        <v>455.47</v>
      </c>
      <c r="N3054" s="1">
        <f>value(JPY!$B3054)</f>
        <v>129.4309705</v>
      </c>
      <c r="O3054" s="1">
        <f>value(SAR!$B3054)</f>
        <v>3792.08297</v>
      </c>
      <c r="P3054" s="1">
        <f>value(AED!$B3054)</f>
        <v>3872.225362</v>
      </c>
      <c r="Q3054" s="1">
        <f>value(KWD!$B3054)</f>
        <v>46979.44312</v>
      </c>
    </row>
    <row r="3055">
      <c r="A3055" s="4">
        <f>value(USD!A3055)</f>
        <v>43420.99861</v>
      </c>
      <c r="B3055" s="1">
        <f>value(USD!B3055)</f>
        <v>14605</v>
      </c>
      <c r="C3055" s="1">
        <f>value(AUD!$B3055)</f>
        <v>10044.95</v>
      </c>
      <c r="D3055" s="1">
        <f>value(EUR!$B3055)</f>
        <v>16668.9786</v>
      </c>
      <c r="E3055" s="1">
        <f>value(GBP!$B3055)</f>
        <v>18740.69785</v>
      </c>
      <c r="F3055" s="1">
        <f>value(CHF!$B3055)</f>
        <v>14410.85</v>
      </c>
      <c r="G3055" s="1">
        <f>value(SGD!$B3055)</f>
        <v>10419.35</v>
      </c>
      <c r="H3055" s="1">
        <f>value(MYR!$B3055)</f>
        <v>3481.5399</v>
      </c>
      <c r="I3055" s="1">
        <f>value(THB!$B3055)</f>
        <v>444.298705</v>
      </c>
      <c r="J3055" s="1">
        <f>value(VND!$B3055)</f>
        <v>0.5895302618</v>
      </c>
      <c r="K3055" s="1">
        <f>value(CNY!$B3055)</f>
        <v>2112.05</v>
      </c>
      <c r="L3055" s="1">
        <f>value(HKD!$B3055)</f>
        <v>1800.25</v>
      </c>
      <c r="M3055" s="1">
        <f>value(TWD!$B3055)</f>
        <v>455.705</v>
      </c>
      <c r="N3055" s="1">
        <f>value(JPY!$B3055)</f>
        <v>129.54635</v>
      </c>
      <c r="O3055" s="1">
        <f>value(SAR!$B3055)</f>
        <v>3806.362085</v>
      </c>
      <c r="P3055" s="1">
        <f>value(AED!$B3055)</f>
        <v>3872.225362</v>
      </c>
      <c r="Q3055" s="1">
        <f>value(KWD!$B3055)</f>
        <v>46806.81525</v>
      </c>
    </row>
    <row r="3056">
      <c r="A3056" s="4">
        <f>value(USD!A3056)</f>
        <v>43421.99861</v>
      </c>
      <c r="B3056" s="1">
        <f>value(USD!B3056)</f>
        <v>14605</v>
      </c>
      <c r="C3056" s="1">
        <f>value(AUD!$B3056)</f>
        <v>10021.55</v>
      </c>
      <c r="D3056" s="1">
        <f>value(EUR!$B3056)</f>
        <v>16783.3491</v>
      </c>
      <c r="E3056" s="1">
        <f>value(GBP!$B3056)</f>
        <v>18840.1486</v>
      </c>
      <c r="F3056" s="1">
        <f>value(CHF!$B3056)</f>
        <v>14380.9</v>
      </c>
      <c r="G3056" s="1">
        <f>value(SGD!$B3056)</f>
        <v>10424.05</v>
      </c>
      <c r="H3056" s="1">
        <f>value(MYR!$B3056)</f>
        <v>3495.401585</v>
      </c>
      <c r="I3056" s="1">
        <f>value(THB!$B3056)</f>
        <v>444.9585409</v>
      </c>
      <c r="J3056" s="1">
        <f>value(VND!$B3056)</f>
        <v>0.587864927</v>
      </c>
      <c r="K3056" s="1">
        <f>value(CNY!$B3056)</f>
        <v>2107.45</v>
      </c>
      <c r="L3056" s="1">
        <f>value(HKD!$B3056)</f>
        <v>1800.25</v>
      </c>
      <c r="M3056" s="1">
        <f>value(TWD!$B3056)</f>
        <v>456.59</v>
      </c>
      <c r="N3056" s="1">
        <f>value(JPY!$B3056)</f>
        <v>130.2932736</v>
      </c>
      <c r="O3056" s="1">
        <f>value(SAR!$B3056)</f>
        <v>3816.919275</v>
      </c>
      <c r="P3056" s="1">
        <f>value(AED!$B3056)</f>
        <v>3875.599605</v>
      </c>
      <c r="Q3056" s="1">
        <f>value(KWD!$B3056)</f>
        <v>46967.3848</v>
      </c>
    </row>
    <row r="3057">
      <c r="A3057" s="4">
        <f>value(USD!A3057)</f>
        <v>43422.99861</v>
      </c>
      <c r="B3057" s="1">
        <f>value(USD!B3057)</f>
        <v>14605</v>
      </c>
      <c r="C3057" s="1">
        <f>value(AUD!$B3057)</f>
        <v>9994.4</v>
      </c>
      <c r="D3057" s="1">
        <f>value(EUR!$B3057)</f>
        <v>16675.65538</v>
      </c>
      <c r="E3057" s="1">
        <f>value(GBP!$B3057)</f>
        <v>18752.70684</v>
      </c>
      <c r="F3057" s="1">
        <f>value(CHF!$B3057)</f>
        <v>14295.05</v>
      </c>
      <c r="G3057" s="1">
        <f>value(SGD!$B3057)</f>
        <v>10463.45</v>
      </c>
      <c r="H3057" s="1">
        <f>value(MYR!$B3057)</f>
        <v>3496.848978</v>
      </c>
      <c r="I3057" s="1">
        <f>value(THB!$B3057)</f>
        <v>444.1376541</v>
      </c>
      <c r="J3057" s="1">
        <f>value(VND!$B3057)</f>
        <v>0.5891480454</v>
      </c>
      <c r="K3057" s="1">
        <f>value(CNY!$B3057)</f>
        <v>2102.75</v>
      </c>
      <c r="L3057" s="1">
        <f>value(HKD!$B3057)</f>
        <v>1801.6</v>
      </c>
      <c r="M3057" s="1">
        <f>value(TWD!$B3057)</f>
        <v>454.765</v>
      </c>
      <c r="N3057" s="1">
        <f>value(JPY!$B3057)</f>
        <v>130.072341</v>
      </c>
      <c r="O3057" s="1">
        <f>value(SAR!$B3057)</f>
        <v>3811.784987</v>
      </c>
      <c r="P3057" s="1">
        <f>value(AED!$B3057)</f>
        <v>3884.715787</v>
      </c>
      <c r="Q3057" s="1">
        <f>value(KWD!$B3057)</f>
        <v>47365.9098</v>
      </c>
    </row>
    <row r="3058">
      <c r="A3058" s="4">
        <f>value(USD!A3058)</f>
        <v>43423.99861</v>
      </c>
      <c r="B3058" s="1">
        <f>value(USD!B3058)</f>
        <v>14652.7</v>
      </c>
      <c r="C3058" s="1">
        <f>value(AUD!$B3058)</f>
        <v>9988.8</v>
      </c>
      <c r="D3058" s="1">
        <f>value(EUR!$B3058)</f>
        <v>16660.0588</v>
      </c>
      <c r="E3058" s="1">
        <f>value(GBP!$B3058)</f>
        <v>18688.362</v>
      </c>
      <c r="F3058" s="1">
        <f>value(CHF!$B3058)</f>
        <v>14341.9</v>
      </c>
      <c r="G3058" s="1">
        <f>value(SGD!$B3058)</f>
        <v>10457.15</v>
      </c>
      <c r="H3058" s="1">
        <f>value(MYR!$B3058)</f>
        <v>3499.9349</v>
      </c>
      <c r="I3058" s="1">
        <f>value(THB!$B3058)</f>
        <v>444.48866</v>
      </c>
      <c r="J3058" s="1">
        <f>value(VND!$B3058)</f>
        <v>0.588748765</v>
      </c>
      <c r="K3058" s="1">
        <f>value(CNY!$B3058)</f>
        <v>2093.55</v>
      </c>
      <c r="L3058" s="1">
        <f>value(HKD!$B3058)</f>
        <v>1801.45</v>
      </c>
      <c r="M3058" s="1">
        <f>value(TWD!$B3058)</f>
        <v>455.59</v>
      </c>
      <c r="N3058" s="1">
        <f>value(JPY!$B3058)</f>
        <v>129.41698</v>
      </c>
      <c r="O3058" s="1">
        <f>value(SAR!$B3058)</f>
        <v>3802.729745</v>
      </c>
      <c r="P3058" s="1">
        <f>value(AED!$B3058)</f>
        <v>3901.298074</v>
      </c>
      <c r="Q3058" s="1">
        <f>value(KWD!$B3058)</f>
        <v>46733.29627</v>
      </c>
    </row>
    <row r="3059">
      <c r="A3059" s="4">
        <f>value(USD!A3059)</f>
        <v>43424.99861</v>
      </c>
      <c r="B3059" s="1">
        <f>value(USD!B3059)</f>
        <v>14664.3</v>
      </c>
      <c r="C3059" s="1">
        <f>value(AUD!$B3059)</f>
        <v>9983.8</v>
      </c>
      <c r="D3059" s="1">
        <f>value(EUR!$B3059)</f>
        <v>16647.504</v>
      </c>
      <c r="E3059" s="1">
        <f>value(GBP!$B3059)</f>
        <v>18798.96</v>
      </c>
      <c r="F3059" s="1">
        <f>value(CHF!$B3059)</f>
        <v>14341.9</v>
      </c>
      <c r="G3059" s="1">
        <f>value(SGD!$B3059)</f>
        <v>10444.55</v>
      </c>
      <c r="H3059" s="1">
        <f>value(MYR!$B3059)</f>
        <v>3477.428</v>
      </c>
      <c r="I3059" s="1">
        <f>value(THB!$B3059)</f>
        <v>442.7158</v>
      </c>
      <c r="J3059" s="1">
        <f>value(VND!$B3059)</f>
        <v>0.588748765</v>
      </c>
      <c r="K3059" s="1">
        <f>value(CNY!$B3059)</f>
        <v>2093.55</v>
      </c>
      <c r="L3059" s="1">
        <f>value(HKD!$B3059)</f>
        <v>1796.5</v>
      </c>
      <c r="M3059" s="1">
        <f>value(TWD!$B3059)</f>
        <v>455.59</v>
      </c>
      <c r="N3059" s="1">
        <f>value(JPY!$B3059)</f>
        <v>129.2173</v>
      </c>
      <c r="O3059" s="1">
        <f>value(SAR!$B3059)</f>
        <v>3808.2618</v>
      </c>
      <c r="P3059" s="1">
        <f>value(AED!$B3059)</f>
        <v>3889.700437</v>
      </c>
      <c r="Q3059" s="1">
        <f>value(KWD!$B3059)</f>
        <v>46978.52235</v>
      </c>
    </row>
    <row r="3060">
      <c r="A3060" s="4">
        <f>value(USD!A3060)</f>
        <v>43425.99861</v>
      </c>
      <c r="B3060" s="1">
        <f>value(USD!B3060)</f>
        <v>14630</v>
      </c>
      <c r="C3060" s="1">
        <f>value(AUD!$B3060)</f>
        <v>10014.6</v>
      </c>
      <c r="D3060" s="1">
        <f>value(EUR!$B3060)</f>
        <v>16481.8753</v>
      </c>
      <c r="E3060" s="1">
        <f>value(GBP!$B3060)</f>
        <v>18632.7593</v>
      </c>
      <c r="F3060" s="1">
        <f>value(CHF!$B3060)</f>
        <v>14353.35</v>
      </c>
      <c r="G3060" s="1">
        <f>value(SGD!$B3060)</f>
        <v>10398.35</v>
      </c>
      <c r="H3060" s="1">
        <f>value(MYR!$B3060)</f>
        <v>3460.3073</v>
      </c>
      <c r="I3060" s="1">
        <f>value(THB!$B3060)</f>
        <v>439.216326</v>
      </c>
      <c r="J3060" s="1">
        <f>value(VND!$B3060)</f>
        <v>0.5888810663</v>
      </c>
      <c r="K3060" s="1">
        <f>value(CNY!$B3060)</f>
        <v>2128.4</v>
      </c>
      <c r="L3060" s="1">
        <f>value(HKD!$B3060)</f>
        <v>1803.8</v>
      </c>
      <c r="M3060" s="1">
        <f>value(TWD!$B3060)</f>
        <v>455.59</v>
      </c>
      <c r="N3060" s="1">
        <f>value(JPY!$B3060)</f>
        <v>128.6621023</v>
      </c>
      <c r="O3060" s="1">
        <f>value(SAR!$B3060)</f>
        <v>3828.297829</v>
      </c>
      <c r="P3060" s="1">
        <f>value(AED!$B3060)</f>
        <v>3875.407575</v>
      </c>
      <c r="Q3060" s="1">
        <f>value(KWD!$B3060)</f>
        <v>47270.97927</v>
      </c>
    </row>
    <row r="3061">
      <c r="A3061" s="4">
        <f>value(USD!A3061)</f>
        <v>43426.99861</v>
      </c>
      <c r="B3061" s="1">
        <f>value(USD!B3061)</f>
        <v>14600</v>
      </c>
      <c r="C3061" s="1">
        <f>value(AUD!$B3061)</f>
        <v>10019.55</v>
      </c>
      <c r="D3061" s="1">
        <f>value(EUR!$B3061)</f>
        <v>16502.09557</v>
      </c>
      <c r="E3061" s="1">
        <f>value(GBP!$B3061)</f>
        <v>18650.61895</v>
      </c>
      <c r="F3061" s="1">
        <f>value(CHF!$B3061)</f>
        <v>14397.55</v>
      </c>
      <c r="G3061" s="1">
        <f>value(SGD!$B3061)</f>
        <v>10368</v>
      </c>
      <c r="H3061" s="1">
        <f>value(MYR!$B3061)</f>
        <v>3463.624033</v>
      </c>
      <c r="I3061" s="1">
        <f>value(THB!$B3061)</f>
        <v>430.6182218</v>
      </c>
      <c r="J3061" s="1">
        <f>value(VND!$B3061)</f>
        <v>0.5871693872</v>
      </c>
      <c r="K3061" s="1">
        <f>value(CNY!$B3061)</f>
        <v>2118.15</v>
      </c>
      <c r="L3061" s="1">
        <f>value(HKD!$B3061)</f>
        <v>1807.25</v>
      </c>
      <c r="M3061" s="1">
        <f>value(TWD!$B3061)</f>
        <v>456.785</v>
      </c>
      <c r="N3061" s="1">
        <f>value(JPY!$B3061)</f>
        <v>128.7446945</v>
      </c>
      <c r="O3061" s="1">
        <f>value(SAR!$B3061)</f>
        <v>3836.846407</v>
      </c>
      <c r="P3061" s="1">
        <f>value(AED!$B3061)</f>
        <v>3888.761192</v>
      </c>
      <c r="Q3061" s="1">
        <f>value(KWD!$B3061)</f>
        <v>47119.52571</v>
      </c>
    </row>
    <row r="3062">
      <c r="A3062" s="4">
        <f>value(USD!A3062)</f>
        <v>43427.99861</v>
      </c>
      <c r="B3062" s="1">
        <f>value(USD!B3062)</f>
        <v>14533</v>
      </c>
      <c r="C3062" s="1">
        <f>value(AUD!$B3062)</f>
        <v>10039.15</v>
      </c>
      <c r="D3062" s="1">
        <f>value(EUR!$B3062)</f>
        <v>16475.04479</v>
      </c>
      <c r="E3062" s="1">
        <f>value(GBP!$B3062)</f>
        <v>18616.773</v>
      </c>
      <c r="F3062" s="1">
        <f>value(CHF!$B3062)</f>
        <v>14265.05</v>
      </c>
      <c r="G3062" s="1">
        <f>value(SGD!$B3062)</f>
        <v>10351.6</v>
      </c>
      <c r="H3062" s="1">
        <f>value(MYR!$B3062)</f>
        <v>3463.06857</v>
      </c>
      <c r="I3062" s="1">
        <f>value(THB!$B3062)</f>
        <v>439.405255</v>
      </c>
      <c r="J3062" s="1">
        <f>value(VND!$B3062)</f>
        <v>0.5882900882</v>
      </c>
      <c r="K3062" s="1">
        <f>value(CNY!$B3062)</f>
        <v>2126.35</v>
      </c>
      <c r="L3062" s="1">
        <f>value(HKD!$B3062)</f>
        <v>1804.95</v>
      </c>
      <c r="M3062" s="1">
        <f>value(TWD!$B3062)</f>
        <v>454.555</v>
      </c>
      <c r="N3062" s="1">
        <f>value(JPY!$B3062)</f>
        <v>128.689715</v>
      </c>
      <c r="O3062" s="1">
        <f>value(SAR!$B3062)</f>
        <v>3819.3888</v>
      </c>
      <c r="P3062" s="1">
        <f>value(AED!$B3062)</f>
        <v>3888.761192</v>
      </c>
      <c r="Q3062" s="1">
        <f>value(KWD!$B3062)</f>
        <v>46862.2413</v>
      </c>
    </row>
    <row r="3063">
      <c r="A3063" s="4">
        <f>value(USD!A3063)</f>
        <v>43428.99861</v>
      </c>
      <c r="B3063" s="1">
        <f>value(USD!B3063)</f>
        <v>14546.93</v>
      </c>
      <c r="C3063" s="1">
        <f>value(AUD!$B3063)</f>
        <v>9946.6</v>
      </c>
      <c r="D3063" s="1">
        <f>value(EUR!$B3063)</f>
        <v>16462.89996</v>
      </c>
      <c r="E3063" s="1">
        <f>value(GBP!$B3063)</f>
        <v>18612.44535</v>
      </c>
      <c r="F3063" s="1">
        <f>value(CHF!$B3063)</f>
        <v>14271.75</v>
      </c>
      <c r="G3063" s="1">
        <f>value(SGD!$B3063)</f>
        <v>10347.9</v>
      </c>
      <c r="H3063" s="1">
        <f>value(MYR!$B3063)</f>
        <v>3466.699416</v>
      </c>
      <c r="I3063" s="1">
        <f>value(THB!$B3063)</f>
        <v>439.6711554</v>
      </c>
      <c r="J3063" s="1">
        <f>value(VND!$B3063)</f>
        <v>0.5882815294</v>
      </c>
      <c r="K3063" s="1">
        <f>value(CNY!$B3063)</f>
        <v>2121.55</v>
      </c>
      <c r="L3063" s="1">
        <f>value(HKD!$B3063)</f>
        <v>1804.95</v>
      </c>
      <c r="M3063" s="1">
        <f>value(TWD!$B3063)</f>
        <v>454.555</v>
      </c>
      <c r="N3063" s="1">
        <f>value(JPY!$B3063)</f>
        <v>127.9674621</v>
      </c>
      <c r="O3063" s="1">
        <f>value(SAR!$B3063)</f>
        <v>3844.087642</v>
      </c>
      <c r="P3063" s="1">
        <f>value(AED!$B3063)</f>
        <v>3869.630953</v>
      </c>
      <c r="Q3063" s="1">
        <f>value(KWD!$B3063)</f>
        <v>46660.07828</v>
      </c>
    </row>
    <row r="3064">
      <c r="A3064" s="4">
        <f>value(USD!A3064)</f>
        <v>43429.99861</v>
      </c>
      <c r="B3064" s="1">
        <f>value(USD!B3064)</f>
        <v>14533</v>
      </c>
      <c r="C3064" s="1">
        <f>value(AUD!$B3064)</f>
        <v>9916.25</v>
      </c>
      <c r="D3064" s="1">
        <f>value(EUR!$B3064)</f>
        <v>16465.94235</v>
      </c>
      <c r="E3064" s="1">
        <f>value(GBP!$B3064)</f>
        <v>18569.187</v>
      </c>
      <c r="F3064" s="1">
        <f>value(CHF!$B3064)</f>
        <v>14260.4</v>
      </c>
      <c r="G3064" s="1">
        <f>value(SGD!$B3064)</f>
        <v>10393.15</v>
      </c>
      <c r="H3064" s="1">
        <f>value(MYR!$B3064)</f>
        <v>3476.110995</v>
      </c>
      <c r="I3064" s="1">
        <f>value(THB!$B3064)</f>
        <v>440.8068465</v>
      </c>
      <c r="J3064" s="1">
        <f>value(VND!$B3064)</f>
        <v>0.5908270891</v>
      </c>
      <c r="K3064" s="1">
        <f>value(CNY!$B3064)</f>
        <v>2119.95</v>
      </c>
      <c r="L3064" s="1">
        <f>value(HKD!$B3064)</f>
        <v>1805.75</v>
      </c>
      <c r="M3064" s="1">
        <f>value(TWD!$B3064)</f>
        <v>456.235</v>
      </c>
      <c r="N3064" s="1">
        <f>value(JPY!$B3064)</f>
        <v>128.0749185</v>
      </c>
      <c r="O3064" s="1">
        <f>value(SAR!$B3064)</f>
        <v>3810.809275</v>
      </c>
      <c r="P3064" s="1">
        <f>value(AED!$B3064)</f>
        <v>3881.832557</v>
      </c>
      <c r="Q3064" s="1">
        <f>value(KWD!$B3064)</f>
        <v>46737.6528</v>
      </c>
    </row>
    <row r="3065">
      <c r="A3065" s="4">
        <f>value(USD!A3065)</f>
        <v>43430.99861</v>
      </c>
      <c r="B3065" s="1">
        <f>value(USD!B3065)</f>
        <v>14526.9</v>
      </c>
      <c r="C3065" s="1">
        <f>value(AUD!$B3065)</f>
        <v>9921.25</v>
      </c>
      <c r="D3065" s="1">
        <f>value(EUR!$B3065)</f>
        <v>16437.90064</v>
      </c>
      <c r="E3065" s="1">
        <f>value(GBP!$B3065)</f>
        <v>18540.06636</v>
      </c>
      <c r="F3065" s="1">
        <f>value(CHF!$B3065)</f>
        <v>14230.8</v>
      </c>
      <c r="G3065" s="1">
        <f>value(SGD!$B3065)</f>
        <v>10415.3</v>
      </c>
      <c r="H3065" s="1">
        <f>value(MYR!$B3065)</f>
        <v>3440.70941</v>
      </c>
      <c r="I3065" s="1">
        <f>value(THB!$B3065)</f>
        <v>438.999528</v>
      </c>
      <c r="J3065" s="1">
        <f>value(VND!$B3065)</f>
        <v>0.5888867096</v>
      </c>
      <c r="K3065" s="1">
        <f>value(CNY!$B3065)</f>
        <v>2122.25</v>
      </c>
      <c r="L3065" s="1">
        <f>value(HKD!$B3065)</f>
        <v>1812.7</v>
      </c>
      <c r="M3065" s="1">
        <f>value(TWD!$B3065)</f>
        <v>502.73</v>
      </c>
      <c r="N3065" s="1">
        <f>value(JPY!$B3065)</f>
        <v>127.317093</v>
      </c>
      <c r="O3065" s="1">
        <f>value(SAR!$B3065)</f>
        <v>3810.13311</v>
      </c>
      <c r="P3065" s="1">
        <f>value(AED!$B3065)</f>
        <v>3906.116811</v>
      </c>
      <c r="Q3065" s="1">
        <f>value(KWD!$B3065)</f>
        <v>46653.50042</v>
      </c>
    </row>
    <row r="3066">
      <c r="A3066" s="4">
        <f>value(USD!A3066)</f>
        <v>43431.99861</v>
      </c>
      <c r="B3066" s="1">
        <f>value(USD!B3066)</f>
        <v>14575.5</v>
      </c>
      <c r="C3066" s="1">
        <f>value(AUD!$B3066)</f>
        <v>9912.25</v>
      </c>
      <c r="D3066" s="1">
        <f>value(EUR!$B3066)</f>
        <v>16354.3552</v>
      </c>
      <c r="E3066" s="1">
        <f>value(GBP!$B3066)</f>
        <v>18349.8392</v>
      </c>
      <c r="F3066" s="1">
        <f>value(CHF!$B3066)</f>
        <v>14230.8</v>
      </c>
      <c r="G3066" s="1">
        <f>value(SGD!$B3066)</f>
        <v>10484.8</v>
      </c>
      <c r="H3066" s="1">
        <f>value(MYR!$B3066)</f>
        <v>3428.9306</v>
      </c>
      <c r="I3066" s="1">
        <f>value(THB!$B3066)</f>
        <v>435.948652</v>
      </c>
      <c r="J3066" s="1">
        <f>value(VND!$B3066)</f>
        <v>0.5888867096</v>
      </c>
      <c r="K3066" s="1">
        <f>value(CNY!$B3066)</f>
        <v>2122.25</v>
      </c>
      <c r="L3066" s="1">
        <f>value(HKD!$B3066)</f>
        <v>1812.55</v>
      </c>
      <c r="M3066" s="1">
        <f>value(TWD!$B3066)</f>
        <v>458.755</v>
      </c>
      <c r="N3066" s="1">
        <f>value(JPY!$B3066)</f>
        <v>126.5668028</v>
      </c>
      <c r="O3066" s="1">
        <f>value(SAR!$B3066)</f>
        <v>3771.693525</v>
      </c>
      <c r="P3066" s="1">
        <f>value(AED!$B3066)</f>
        <v>3897.268848</v>
      </c>
      <c r="Q3066" s="1">
        <f>value(KWD!$B3066)</f>
        <v>46991.09975</v>
      </c>
    </row>
    <row r="3067">
      <c r="A3067" s="4">
        <f>value(USD!A3067)</f>
        <v>43432.99861</v>
      </c>
      <c r="B3067" s="1">
        <f>value(USD!B3067)</f>
        <v>14459.8</v>
      </c>
      <c r="C3067" s="1">
        <f>value(AUD!$B3067)</f>
        <v>10058.05</v>
      </c>
      <c r="D3067" s="1">
        <f>value(EUR!$B3067)</f>
        <v>16205.0778</v>
      </c>
      <c r="E3067" s="1">
        <f>value(GBP!$B3067)</f>
        <v>18274.39005</v>
      </c>
      <c r="F3067" s="1">
        <f>value(CHF!$B3067)</f>
        <v>14228.35</v>
      </c>
      <c r="G3067" s="1">
        <f>value(SGD!$B3067)</f>
        <v>10415.35</v>
      </c>
      <c r="H3067" s="1">
        <f>value(MYR!$B3067)</f>
        <v>3424.03155</v>
      </c>
      <c r="I3067" s="1">
        <f>value(THB!$B3067)</f>
        <v>434.0113935</v>
      </c>
      <c r="J3067" s="1">
        <f>value(VND!$B3067)</f>
        <v>0.5891392837</v>
      </c>
      <c r="K3067" s="1">
        <f>value(CNY!$B3067)</f>
        <v>2122.25</v>
      </c>
      <c r="L3067" s="1">
        <f>value(HKD!$B3067)</f>
        <v>1808.55</v>
      </c>
      <c r="M3067" s="1">
        <f>value(TWD!$B3067)</f>
        <v>458.755</v>
      </c>
      <c r="N3067" s="1">
        <f>value(JPY!$B3067)</f>
        <v>126.1578768</v>
      </c>
      <c r="O3067" s="1">
        <f>value(SAR!$B3067)</f>
        <v>3766.784375</v>
      </c>
      <c r="P3067" s="1">
        <f>value(AED!$B3067)</f>
        <v>3876.22431</v>
      </c>
      <c r="Q3067" s="1">
        <f>value(KWD!$B3067)</f>
        <v>46957.25269</v>
      </c>
    </row>
    <row r="3068">
      <c r="A3068" s="4">
        <f>value(USD!A3068)</f>
        <v>43433.99861</v>
      </c>
      <c r="B3068" s="1">
        <f>value(USD!B3068)</f>
        <v>14356</v>
      </c>
      <c r="C3068" s="1">
        <f>value(AUD!$B3068)</f>
        <v>10078.3</v>
      </c>
      <c r="D3068" s="1">
        <f>value(EUR!$B3068)</f>
        <v>16290.78019</v>
      </c>
      <c r="E3068" s="1">
        <f>value(GBP!$B3068)</f>
        <v>18351.77474</v>
      </c>
      <c r="F3068" s="1">
        <f>value(CHF!$B3068)</f>
        <v>14257.8</v>
      </c>
      <c r="G3068" s="1">
        <f>value(SGD!$B3068)</f>
        <v>10332.95</v>
      </c>
      <c r="H3068" s="1">
        <f>value(MYR!$B3068)</f>
        <v>3441.227622</v>
      </c>
      <c r="I3068" s="1">
        <f>value(THB!$B3068)</f>
        <v>436.1910729</v>
      </c>
      <c r="J3068" s="1">
        <f>value(VND!$B3068)</f>
        <v>0.5910056647</v>
      </c>
      <c r="K3068" s="1">
        <f>value(CNY!$B3068)</f>
        <v>2122.2</v>
      </c>
      <c r="L3068" s="1">
        <f>value(HKD!$B3068)</f>
        <v>1802.95</v>
      </c>
      <c r="M3068" s="1">
        <f>value(TWD!$B3068)</f>
        <v>503.25</v>
      </c>
      <c r="N3068" s="1">
        <f>value(JPY!$B3068)</f>
        <v>126.8274442</v>
      </c>
      <c r="O3068" s="1">
        <f>value(SAR!$B3068)</f>
        <v>3766.784375</v>
      </c>
      <c r="P3068" s="1">
        <f>value(AED!$B3068)</f>
        <v>3862.481685</v>
      </c>
      <c r="Q3068" s="1">
        <f>value(KWD!$B3068)</f>
        <v>46699.002</v>
      </c>
    </row>
    <row r="3069">
      <c r="A3069" s="4">
        <f>value(USD!A3069)</f>
        <v>43434.99861</v>
      </c>
      <c r="B3069" s="1">
        <f>value(USD!B3069)</f>
        <v>14320.5</v>
      </c>
      <c r="C3069" s="1">
        <f>value(AUD!$B3069)</f>
        <v>10071.15</v>
      </c>
      <c r="D3069" s="1">
        <f>value(EUR!$B3069)</f>
        <v>16213.66544</v>
      </c>
      <c r="E3069" s="1">
        <f>value(GBP!$B3069)</f>
        <v>18227.4</v>
      </c>
      <c r="F3069" s="1">
        <f>value(CHF!$B3069)</f>
        <v>14261.7</v>
      </c>
      <c r="G3069" s="1">
        <f>value(SGD!$B3069)</f>
        <v>10332.95</v>
      </c>
      <c r="H3069" s="1">
        <f>value(MYR!$B3069)</f>
        <v>3416.0292</v>
      </c>
      <c r="I3069" s="1">
        <f>value(THB!$B3069)</f>
        <v>435.184536</v>
      </c>
      <c r="J3069" s="1">
        <f>value(VND!$B3069)</f>
        <v>0.5910453494</v>
      </c>
      <c r="K3069" s="1">
        <f>value(CNY!$B3069)</f>
        <v>2119.55</v>
      </c>
      <c r="L3069" s="1">
        <f>value(HKD!$B3069)</f>
        <v>1789.15</v>
      </c>
      <c r="M3069" s="1">
        <f>value(TWD!$B3069)</f>
        <v>461.265</v>
      </c>
      <c r="N3069" s="1">
        <f>value(JPY!$B3069)</f>
        <v>125.633248</v>
      </c>
      <c r="O3069" s="1">
        <f>value(SAR!$B3069)</f>
        <v>3774.012469</v>
      </c>
      <c r="P3069" s="1">
        <f>value(AED!$B3069)</f>
        <v>3862.481685</v>
      </c>
      <c r="Q3069" s="1">
        <f>value(KWD!$B3069)</f>
        <v>46642.86226</v>
      </c>
    </row>
    <row r="3070">
      <c r="A3070" s="4">
        <f>value(USD!A3070)</f>
        <v>43435.99861</v>
      </c>
      <c r="B3070" s="1">
        <f>value(USD!B3070)</f>
        <v>14392.42</v>
      </c>
      <c r="C3070" s="1">
        <f>value(AUD!$B3070)</f>
        <v>10092.5</v>
      </c>
      <c r="D3070" s="1">
        <f>value(EUR!$B3070)</f>
        <v>16188</v>
      </c>
      <c r="E3070" s="1">
        <f>value(GBP!$B3070)</f>
        <v>18117.4</v>
      </c>
      <c r="F3070" s="1">
        <f>value(CHF!$B3070)</f>
        <v>14262.5</v>
      </c>
      <c r="G3070" s="1">
        <f>value(SGD!$B3070)</f>
        <v>10331.1</v>
      </c>
      <c r="H3070" s="1">
        <f>value(MYR!$B3070)</f>
        <v>3416.55</v>
      </c>
      <c r="I3070" s="1">
        <f>value(THB!$B3070)</f>
        <v>434.685</v>
      </c>
      <c r="J3070" s="1">
        <f>value(VND!$B3070)</f>
        <v>0.5895325111</v>
      </c>
      <c r="K3070" s="1">
        <f>value(CNY!$B3070)</f>
        <v>2113.05</v>
      </c>
      <c r="L3070" s="1">
        <f>value(HKD!$B3070)</f>
        <v>1795.15</v>
      </c>
      <c r="M3070" s="1">
        <f>value(TWD!$B3070)</f>
        <v>461.265</v>
      </c>
      <c r="N3070" s="1">
        <f>value(JPY!$B3070)</f>
        <v>125.335</v>
      </c>
      <c r="O3070" s="1">
        <f>value(SAR!$B3070)</f>
        <v>3782.55504</v>
      </c>
      <c r="P3070" s="1">
        <f>value(AED!$B3070)</f>
        <v>3861.976183</v>
      </c>
      <c r="Q3070" s="1">
        <f>value(KWD!$B3070)</f>
        <v>46288.66043</v>
      </c>
    </row>
    <row r="3071">
      <c r="A3071" s="4">
        <f>value(USD!A3071)</f>
        <v>43436.99861</v>
      </c>
      <c r="B3071" s="1">
        <f>value(USD!B3071)</f>
        <v>14296</v>
      </c>
      <c r="C3071" s="1">
        <f>value(AUD!$B3071)</f>
        <v>10069.35</v>
      </c>
      <c r="D3071" s="1">
        <f>value(EUR!$B3071)</f>
        <v>16140.8</v>
      </c>
      <c r="E3071" s="1">
        <f>value(GBP!$B3071)</f>
        <v>18257.2</v>
      </c>
      <c r="F3071" s="1">
        <f>value(CHF!$B3071)</f>
        <v>14210.85</v>
      </c>
      <c r="G3071" s="1">
        <f>value(SGD!$B3071)</f>
        <v>10310.25</v>
      </c>
      <c r="H3071" s="1">
        <f>value(MYR!$B3071)</f>
        <v>3474.35</v>
      </c>
      <c r="I3071" s="1">
        <f>value(THB!$B3071)</f>
        <v>437.945</v>
      </c>
      <c r="J3071" s="1">
        <f>value(VND!$B3071)</f>
        <v>0.589661995</v>
      </c>
      <c r="K3071" s="1">
        <f>value(CNY!$B3071)</f>
        <v>2106.25</v>
      </c>
      <c r="L3071" s="1">
        <f>value(HKD!$B3071)</f>
        <v>1784.9</v>
      </c>
      <c r="M3071" s="1">
        <f>value(TWD!$B3071)</f>
        <v>460.055</v>
      </c>
      <c r="N3071" s="1">
        <f>value(JPY!$B3071)</f>
        <v>127.35</v>
      </c>
      <c r="O3071" s="1">
        <f>value(SAR!$B3071)</f>
        <v>3766.43125</v>
      </c>
      <c r="P3071" s="1">
        <f>value(AED!$B3071)</f>
        <v>3886.705742</v>
      </c>
      <c r="Q3071" s="1">
        <f>value(KWD!$B3071)</f>
        <v>46739.51259</v>
      </c>
    </row>
    <row r="3072">
      <c r="A3072" s="4">
        <f>value(USD!A3072)</f>
        <v>43437.99861</v>
      </c>
      <c r="B3072" s="1">
        <f>value(USD!B3072)</f>
        <v>14339</v>
      </c>
      <c r="C3072" s="1">
        <f>value(AUD!$B3072)</f>
        <v>10089.4</v>
      </c>
      <c r="D3072" s="1">
        <f>value(EUR!$B3072)</f>
        <v>16165</v>
      </c>
      <c r="E3072" s="1">
        <f>value(GBP!$B3072)</f>
        <v>18131</v>
      </c>
      <c r="F3072" s="1">
        <f>value(CHF!$B3072)</f>
        <v>14125.1</v>
      </c>
      <c r="G3072" s="1">
        <f>value(SGD!$B3072)</f>
        <v>10341.3</v>
      </c>
      <c r="H3072" s="1">
        <f>value(MYR!$B3072)</f>
        <v>3428.1</v>
      </c>
      <c r="I3072" s="1">
        <f>value(THB!$B3072)</f>
        <v>434.855</v>
      </c>
      <c r="J3072" s="1">
        <f>value(VND!$B3072)</f>
        <v>0.5950508892</v>
      </c>
      <c r="K3072" s="1">
        <f>value(CNY!$B3072)</f>
        <v>2105.55</v>
      </c>
      <c r="L3072" s="1">
        <f>value(HKD!$B3072)</f>
        <v>1792.55</v>
      </c>
      <c r="M3072" s="1">
        <f>value(TWD!$B3072)</f>
        <v>461.935</v>
      </c>
      <c r="N3072" s="1">
        <f>value(JPY!$B3072)</f>
        <v>126</v>
      </c>
      <c r="O3072" s="1">
        <f>value(SAR!$B3072)</f>
        <v>3791.78958</v>
      </c>
      <c r="P3072" s="1">
        <f>value(AED!$B3072)</f>
        <v>3883.493251</v>
      </c>
      <c r="Q3072" s="1">
        <f>value(KWD!$B3072)</f>
        <v>46380.38682</v>
      </c>
    </row>
    <row r="3073">
      <c r="A3073" s="4">
        <f>value(USD!A3073)</f>
        <v>43438.99861</v>
      </c>
      <c r="B3073" s="1">
        <f>value(USD!B3073)</f>
        <v>14448.6</v>
      </c>
      <c r="C3073" s="1">
        <f>value(AUD!$B3073)</f>
        <v>10089.4</v>
      </c>
      <c r="D3073" s="1">
        <f>value(EUR!$B3073)</f>
        <v>16345.5</v>
      </c>
      <c r="E3073" s="1">
        <f>value(GBP!$B3073)</f>
        <v>18573.65</v>
      </c>
      <c r="F3073" s="1">
        <f>value(CHF!$B3073)</f>
        <v>14104.7</v>
      </c>
      <c r="G3073" s="1">
        <f>value(SGD!$B3073)</f>
        <v>10267.75</v>
      </c>
      <c r="H3073" s="1">
        <f>value(MYR!$B3073)</f>
        <v>3486.65</v>
      </c>
      <c r="I3073" s="1">
        <f>value(THB!$B3073)</f>
        <v>442.545</v>
      </c>
      <c r="J3073" s="1">
        <f>value(VND!$B3073)</f>
        <v>0.5950508892</v>
      </c>
      <c r="K3073" s="1">
        <f>value(CNY!$B3073)</f>
        <v>2115.95</v>
      </c>
      <c r="L3073" s="1">
        <f>value(HKD!$B3073)</f>
        <v>1795.05</v>
      </c>
      <c r="M3073" s="1">
        <f>value(TWD!$B3073)</f>
        <v>461.935</v>
      </c>
      <c r="N3073" s="1">
        <f>value(JPY!$B3073)</f>
        <v>128.98</v>
      </c>
      <c r="O3073" s="1">
        <f>value(SAR!$B3073)</f>
        <v>3783.167812</v>
      </c>
      <c r="P3073" s="1">
        <f>value(AED!$B3073)</f>
        <v>3863.837162</v>
      </c>
      <c r="Q3073" s="1">
        <f>value(KWD!$B3073)</f>
        <v>46163.3931</v>
      </c>
    </row>
    <row r="3074">
      <c r="A3074" s="4">
        <f>value(USD!A3074)</f>
        <v>43439.99861</v>
      </c>
      <c r="B3074" s="1">
        <f>value(USD!B3074)</f>
        <v>14431.6</v>
      </c>
      <c r="C3074" s="1">
        <f>value(AUD!$B3074)</f>
        <v>10099.5</v>
      </c>
      <c r="D3074" s="1">
        <f>value(EUR!$B3074)</f>
        <v>16483</v>
      </c>
      <c r="E3074" s="1">
        <f>value(GBP!$B3074)</f>
        <v>18434.3</v>
      </c>
      <c r="F3074" s="1">
        <f>value(CHF!$B3074)</f>
        <v>14107.25</v>
      </c>
      <c r="G3074" s="1">
        <f>value(SGD!$B3074)</f>
        <v>10305.35</v>
      </c>
      <c r="H3074" s="1">
        <f>value(MYR!$B3074)</f>
        <v>3476.75</v>
      </c>
      <c r="I3074" s="1">
        <f>value(THB!$B3074)</f>
        <v>440.91</v>
      </c>
      <c r="J3074" s="1">
        <f>value(VND!$B3074)</f>
        <v>0.5945684858</v>
      </c>
      <c r="K3074" s="1">
        <f>value(CNY!$B3074)</f>
        <v>2115.95</v>
      </c>
      <c r="L3074" s="1">
        <f>value(HKD!$B3074)</f>
        <v>1800.65</v>
      </c>
      <c r="M3074" s="1">
        <f>value(TWD!$B3074)</f>
        <v>461.935</v>
      </c>
      <c r="N3074" s="1">
        <f>value(JPY!$B3074)</f>
        <v>128.46</v>
      </c>
      <c r="O3074" s="1">
        <f>value(SAR!$B3074)</f>
        <v>3766.664371</v>
      </c>
      <c r="P3074" s="1">
        <f>value(AED!$B3074)</f>
        <v>3859.568556</v>
      </c>
      <c r="Q3074" s="1">
        <f>value(KWD!$B3074)</f>
        <v>46389.75198</v>
      </c>
    </row>
    <row r="3075">
      <c r="A3075" s="4">
        <f>value(USD!A3075)</f>
        <v>43440.99861</v>
      </c>
      <c r="B3075" s="1">
        <f>value(USD!B3075)</f>
        <v>14528</v>
      </c>
      <c r="C3075" s="1">
        <f>value(AUD!$B3075)</f>
        <v>10101.65</v>
      </c>
      <c r="D3075" s="1">
        <f>value(EUR!$B3075)</f>
        <v>16490.09244</v>
      </c>
      <c r="E3075" s="1">
        <f>value(GBP!$B3075)</f>
        <v>18434.3</v>
      </c>
      <c r="F3075" s="1">
        <f>value(CHF!$B3075)</f>
        <v>14182.4</v>
      </c>
      <c r="G3075" s="1">
        <f>value(SGD!$B3075)</f>
        <v>10283.55</v>
      </c>
      <c r="H3075" s="1">
        <f>value(MYR!$B3075)</f>
        <v>3476.75</v>
      </c>
      <c r="I3075" s="1">
        <f>value(THB!$B3075)</f>
        <v>440.91</v>
      </c>
      <c r="J3075" s="1">
        <f>value(VND!$B3075)</f>
        <v>0.5989021166</v>
      </c>
      <c r="K3075" s="1">
        <f>value(CNY!$B3075)</f>
        <v>2113.15</v>
      </c>
      <c r="L3075" s="1">
        <f>value(HKD!$B3075)</f>
        <v>1786.9</v>
      </c>
      <c r="M3075" s="1">
        <f>value(TWD!$B3075)</f>
        <v>462.52</v>
      </c>
      <c r="N3075" s="1">
        <f>value(JPY!$B3075)</f>
        <v>128.46</v>
      </c>
      <c r="O3075" s="1">
        <f>value(SAR!$B3075)</f>
        <v>3766.664371</v>
      </c>
      <c r="P3075" s="1">
        <f>value(AED!$B3075)</f>
        <v>3829.880198</v>
      </c>
      <c r="Q3075" s="1">
        <f>value(KWD!$B3075)</f>
        <v>46429.09038</v>
      </c>
    </row>
    <row r="3076">
      <c r="A3076" s="4">
        <f>value(USD!A3076)</f>
        <v>43441.99861</v>
      </c>
      <c r="B3076" s="1">
        <f>value(USD!B3076)</f>
        <v>14540.7</v>
      </c>
      <c r="C3076" s="1">
        <f>value(AUD!$B3076)</f>
        <v>10083</v>
      </c>
      <c r="D3076" s="1">
        <f>value(EUR!$B3076)</f>
        <v>16487.67537</v>
      </c>
      <c r="E3076" s="1">
        <f>value(GBP!$B3076)</f>
        <v>18389</v>
      </c>
      <c r="F3076" s="1">
        <f>value(CHF!$B3076)</f>
        <v>14159.2</v>
      </c>
      <c r="G3076" s="1">
        <f>value(SGD!$B3076)</f>
        <v>10311.15</v>
      </c>
      <c r="H3076" s="1">
        <f>value(MYR!$B3076)</f>
        <v>3476.75</v>
      </c>
      <c r="I3076" s="1">
        <f>value(THB!$B3076)</f>
        <v>440.91</v>
      </c>
      <c r="J3076" s="1">
        <f>value(VND!$B3076)</f>
        <v>0.6066876563</v>
      </c>
      <c r="K3076" s="1">
        <f>value(CNY!$B3076)</f>
        <v>2111.25</v>
      </c>
      <c r="L3076" s="1">
        <f>value(HKD!$B3076)</f>
        <v>1777.85</v>
      </c>
      <c r="M3076" s="1">
        <f>value(TWD!$B3076)</f>
        <v>461.035</v>
      </c>
      <c r="N3076" s="1">
        <f>value(JPY!$B3076)</f>
        <v>128.48</v>
      </c>
      <c r="O3076" s="1">
        <f>value(SAR!$B3076)</f>
        <v>3767.165222</v>
      </c>
      <c r="P3076" s="1">
        <f>value(AED!$B3076)</f>
        <v>3829.851923</v>
      </c>
      <c r="Q3076" s="1">
        <f>value(KWD!$B3076)</f>
        <v>46032.696</v>
      </c>
    </row>
    <row r="3077">
      <c r="A3077" s="4">
        <f>value(USD!A3077)</f>
        <v>43442.99861</v>
      </c>
      <c r="B3077" s="1">
        <f>value(USD!B3077)</f>
        <v>14485.4</v>
      </c>
      <c r="C3077" s="1">
        <f>value(AUD!$B3077)</f>
        <v>10091.25</v>
      </c>
      <c r="D3077" s="1">
        <f>value(EUR!$B3077)</f>
        <v>16483</v>
      </c>
      <c r="E3077" s="1">
        <f>value(GBP!$B3077)</f>
        <v>18297.15</v>
      </c>
      <c r="F3077" s="1">
        <f>value(CHF!$B3077)</f>
        <v>14211.9</v>
      </c>
      <c r="G3077" s="1">
        <f>value(SGD!$B3077)</f>
        <v>10313.5</v>
      </c>
      <c r="H3077" s="1">
        <f>value(MYR!$B3077)</f>
        <v>3485.05</v>
      </c>
      <c r="I3077" s="1">
        <f>value(THB!$B3077)</f>
        <v>442.895</v>
      </c>
      <c r="J3077" s="1">
        <f>value(VND!$B3077)</f>
        <v>0.5998817634</v>
      </c>
      <c r="K3077" s="1">
        <f>value(CNY!$B3077)</f>
        <v>2110.75</v>
      </c>
      <c r="L3077" s="1">
        <f>value(HKD!$B3077)</f>
        <v>1777.85</v>
      </c>
      <c r="M3077" s="1">
        <f>value(TWD!$B3077)</f>
        <v>461.395</v>
      </c>
      <c r="N3077" s="1">
        <f>value(JPY!$B3077)</f>
        <v>128.62</v>
      </c>
      <c r="O3077" s="1">
        <f>value(SAR!$B3077)</f>
        <v>3774.109745</v>
      </c>
      <c r="P3077" s="1">
        <f>value(AED!$B3077)</f>
        <v>3837.462555</v>
      </c>
      <c r="Q3077" s="1">
        <f>value(KWD!$B3077)</f>
        <v>45952.53075</v>
      </c>
    </row>
    <row r="3078">
      <c r="A3078" s="4">
        <f>value(USD!A3078)</f>
        <v>43443.99861</v>
      </c>
      <c r="B3078" s="1">
        <f>value(USD!B3078)</f>
        <v>14463</v>
      </c>
      <c r="C3078" s="1">
        <f>value(AUD!$B3078)</f>
        <v>10027.5</v>
      </c>
      <c r="D3078" s="1">
        <f>value(EUR!$B3078)</f>
        <v>16543</v>
      </c>
      <c r="E3078" s="1">
        <f>value(GBP!$B3078)</f>
        <v>18230.5</v>
      </c>
      <c r="F3078" s="1">
        <f>value(CHF!$B3078)</f>
        <v>14104.8</v>
      </c>
      <c r="G3078" s="1">
        <f>value(SGD!$B3078)</f>
        <v>10312.1</v>
      </c>
      <c r="H3078" s="1">
        <f>value(MYR!$B3078)</f>
        <v>3487.15</v>
      </c>
      <c r="I3078" s="1">
        <f>value(THB!$B3078)</f>
        <v>444.705</v>
      </c>
      <c r="J3078" s="1">
        <f>value(VND!$B3078)</f>
        <v>0.619269832</v>
      </c>
      <c r="K3078" s="1">
        <f>value(CNY!$B3078)</f>
        <v>2111.7</v>
      </c>
      <c r="L3078" s="1">
        <f>value(HKD!$B3078)</f>
        <v>1778.45</v>
      </c>
      <c r="M3078" s="1">
        <f>value(TWD!$B3078)</f>
        <v>464.125</v>
      </c>
      <c r="N3078" s="1">
        <f>value(JPY!$B3078)</f>
        <v>128.66</v>
      </c>
      <c r="O3078" s="1">
        <f>value(SAR!$B3078)</f>
        <v>3786.376335</v>
      </c>
      <c r="P3078" s="1">
        <f>value(AED!$B3078)</f>
        <v>3819.869595</v>
      </c>
      <c r="Q3078" s="1">
        <f>value(KWD!$B3078)</f>
        <v>45952.53075</v>
      </c>
    </row>
    <row r="3079">
      <c r="A3079" s="4">
        <f>value(USD!A3079)</f>
        <v>43444.99861</v>
      </c>
      <c r="B3079" s="1">
        <f>value(USD!B3079)</f>
        <v>14548</v>
      </c>
      <c r="C3079" s="1">
        <f>value(AUD!$B3079)</f>
        <v>10012.4</v>
      </c>
      <c r="D3079" s="1">
        <f>value(EUR!$B3079)</f>
        <v>16585</v>
      </c>
      <c r="E3079" s="1">
        <f>value(GBP!$B3079)</f>
        <v>18416.55</v>
      </c>
      <c r="F3079" s="1">
        <f>value(CHF!$B3079)</f>
        <v>14010.6</v>
      </c>
      <c r="G3079" s="1">
        <f>value(SGD!$B3079)</f>
        <v>10374.95</v>
      </c>
      <c r="H3079" s="1">
        <f>value(MYR!$B3079)</f>
        <v>3482.25</v>
      </c>
      <c r="I3079" s="1">
        <f>value(THB!$B3079)</f>
        <v>445.285</v>
      </c>
      <c r="J3079" s="1">
        <f>value(VND!$B3079)</f>
        <v>0.617967157</v>
      </c>
      <c r="K3079" s="1">
        <f>value(CNY!$B3079)</f>
        <v>2119.35</v>
      </c>
      <c r="L3079" s="1">
        <f>value(HKD!$B3079)</f>
        <v>1777.95</v>
      </c>
      <c r="M3079" s="1">
        <f>value(TWD!$B3079)</f>
        <v>462.225</v>
      </c>
      <c r="N3079" s="1">
        <f>value(JPY!$B3079)</f>
        <v>128.69</v>
      </c>
      <c r="O3079" s="1">
        <f>value(SAR!$B3079)</f>
        <v>3782.118187</v>
      </c>
      <c r="P3079" s="1">
        <f>value(AED!$B3079)</f>
        <v>3823.781641</v>
      </c>
      <c r="Q3079" s="1">
        <f>value(KWD!$B3079)</f>
        <v>45952.53075</v>
      </c>
    </row>
    <row r="3080">
      <c r="A3080" s="4">
        <f>value(USD!A3080)</f>
        <v>43445.99861</v>
      </c>
      <c r="B3080" s="1">
        <f>value(USD!B3080)</f>
        <v>14637.4</v>
      </c>
      <c r="C3080" s="1">
        <f>value(AUD!$B3080)</f>
        <v>10019.9</v>
      </c>
      <c r="D3080" s="1">
        <f>value(EUR!$B3080)</f>
        <v>16585</v>
      </c>
      <c r="E3080" s="1">
        <f>value(GBP!$B3080)</f>
        <v>18465.75</v>
      </c>
      <c r="F3080" s="1">
        <f>value(CHF!$B3080)</f>
        <v>14010.6</v>
      </c>
      <c r="G3080" s="1">
        <f>value(SGD!$B3080)</f>
        <v>10351.55</v>
      </c>
      <c r="H3080" s="1">
        <f>value(MYR!$B3080)</f>
        <v>3490.25</v>
      </c>
      <c r="I3080" s="1">
        <f>value(THB!$B3080)</f>
        <v>445.725</v>
      </c>
      <c r="J3080" s="1">
        <f>value(VND!$B3080)</f>
        <v>0.617967157</v>
      </c>
      <c r="K3080" s="1">
        <f>value(CNY!$B3080)</f>
        <v>2119.35</v>
      </c>
      <c r="L3080" s="1">
        <f>value(HKD!$B3080)</f>
        <v>1780.9</v>
      </c>
      <c r="M3080" s="1">
        <f>value(TWD!$B3080)</f>
        <v>462.225</v>
      </c>
      <c r="N3080" s="1">
        <f>value(JPY!$B3080)</f>
        <v>128.52</v>
      </c>
      <c r="O3080" s="1">
        <f>value(SAR!$B3080)</f>
        <v>3779.434642</v>
      </c>
      <c r="P3080" s="1">
        <f>value(AED!$B3080)</f>
        <v>3842.252043</v>
      </c>
      <c r="Q3080" s="1">
        <f>value(KWD!$B3080)</f>
        <v>46635.57314</v>
      </c>
    </row>
    <row r="3081">
      <c r="A3081" s="4">
        <f>value(USD!A3081)</f>
        <v>43446.99861</v>
      </c>
      <c r="B3081" s="1">
        <f>value(USD!B3081)</f>
        <v>14579.8</v>
      </c>
      <c r="C3081" s="1">
        <f>value(AUD!$B3081)</f>
        <v>10033.1</v>
      </c>
      <c r="D3081" s="1">
        <f>value(EUR!$B3081)</f>
        <v>16483</v>
      </c>
      <c r="E3081" s="1">
        <f>value(GBP!$B3081)</f>
        <v>18346.05</v>
      </c>
      <c r="F3081" s="1">
        <f>value(CHF!$B3081)</f>
        <v>14015.95</v>
      </c>
      <c r="G3081" s="1">
        <f>value(SGD!$B3081)</f>
        <v>10371.55</v>
      </c>
      <c r="H3081" s="1">
        <f>value(MYR!$B3081)</f>
        <v>3481.55</v>
      </c>
      <c r="I3081" s="1">
        <f>value(THB!$B3081)</f>
        <v>444.025</v>
      </c>
      <c r="J3081" s="1">
        <f>value(VND!$B3081)</f>
        <v>0.6046468705</v>
      </c>
      <c r="K3081" s="1">
        <f>value(CNY!$B3081)</f>
        <v>2119.35</v>
      </c>
      <c r="L3081" s="1">
        <f>value(HKD!$B3081)</f>
        <v>1773.85</v>
      </c>
      <c r="M3081" s="1">
        <f>value(TWD!$B3081)</f>
        <v>462.225</v>
      </c>
      <c r="N3081" s="1">
        <f>value(JPY!$B3081)</f>
        <v>128.48</v>
      </c>
      <c r="O3081" s="1">
        <f>value(SAR!$B3081)</f>
        <v>3755.020705</v>
      </c>
      <c r="P3081" s="1">
        <f>value(AED!$B3081)</f>
        <v>3808.70755</v>
      </c>
      <c r="Q3081" s="1">
        <f>value(KWD!$B3081)</f>
        <v>46476.90774</v>
      </c>
    </row>
    <row r="3082">
      <c r="A3082" s="4">
        <f>value(USD!A3082)</f>
        <v>43447.99861</v>
      </c>
      <c r="B3082" s="1">
        <f>value(USD!B3082)</f>
        <v>14550</v>
      </c>
      <c r="C3082" s="1">
        <f>value(AUD!$B3082)</f>
        <v>10087.05</v>
      </c>
      <c r="D3082" s="1">
        <f>value(EUR!$B3082)</f>
        <v>16490.14829</v>
      </c>
      <c r="E3082" s="1">
        <f>value(GBP!$B3082)</f>
        <v>18346.05</v>
      </c>
      <c r="F3082" s="1">
        <f>value(CHF!$B3082)</f>
        <v>13976.4</v>
      </c>
      <c r="G3082" s="1">
        <f>value(SGD!$B3082)</f>
        <v>10403.2</v>
      </c>
      <c r="H3082" s="1">
        <f>value(MYR!$B3082)</f>
        <v>3481.55</v>
      </c>
      <c r="I3082" s="1">
        <f>value(THB!$B3082)</f>
        <v>444.025</v>
      </c>
      <c r="J3082" s="1">
        <f>value(VND!$B3082)</f>
        <v>0.6137919818</v>
      </c>
      <c r="K3082" s="1">
        <f>value(CNY!$B3082)</f>
        <v>2120</v>
      </c>
      <c r="L3082" s="1">
        <f>value(HKD!$B3082)</f>
        <v>1782.55</v>
      </c>
      <c r="M3082" s="1">
        <f>value(TWD!$B3082)</f>
        <v>460.56</v>
      </c>
      <c r="N3082" s="1">
        <f>value(JPY!$B3082)</f>
        <v>128.48</v>
      </c>
      <c r="O3082" s="1">
        <f>value(SAR!$B3082)</f>
        <v>3755.020705</v>
      </c>
      <c r="P3082" s="1">
        <f>value(AED!$B3082)</f>
        <v>3802.069144</v>
      </c>
      <c r="Q3082" s="1">
        <f>value(KWD!$B3082)</f>
        <v>46483.461</v>
      </c>
    </row>
    <row r="3083">
      <c r="A3083" s="4">
        <f>value(USD!A3083)</f>
        <v>43448.99861</v>
      </c>
      <c r="B3083" s="1">
        <f>value(USD!B3083)</f>
        <v>14575</v>
      </c>
      <c r="C3083" s="1">
        <f>value(AUD!$B3083)</f>
        <v>10120.75</v>
      </c>
      <c r="D3083" s="1">
        <f>value(EUR!$B3083)</f>
        <v>16480.28322</v>
      </c>
      <c r="E3083" s="1">
        <f>value(GBP!$B3083)</f>
        <v>18346.05</v>
      </c>
      <c r="F3083" s="1">
        <f>value(CHF!$B3083)</f>
        <v>13973.05</v>
      </c>
      <c r="G3083" s="1">
        <f>value(SGD!$B3083)</f>
        <v>10403.2</v>
      </c>
      <c r="H3083" s="1">
        <f>value(MYR!$B3083)</f>
        <v>3481.55</v>
      </c>
      <c r="I3083" s="1">
        <f>value(THB!$B3083)</f>
        <v>444.025</v>
      </c>
      <c r="J3083" s="1">
        <f>value(VND!$B3083)</f>
        <v>0.6151662526</v>
      </c>
      <c r="K3083" s="1">
        <f>value(CNY!$B3083)</f>
        <v>2116.65</v>
      </c>
      <c r="L3083" s="1">
        <f>value(HKD!$B3083)</f>
        <v>1777.65</v>
      </c>
      <c r="M3083" s="1">
        <f>value(TWD!$B3083)</f>
        <v>462.78</v>
      </c>
      <c r="N3083" s="1">
        <f>value(JPY!$B3083)</f>
        <v>128.58</v>
      </c>
      <c r="O3083" s="1">
        <f>value(SAR!$B3083)</f>
        <v>3755.020705</v>
      </c>
      <c r="P3083" s="1">
        <f>value(AED!$B3083)</f>
        <v>3802.041075</v>
      </c>
      <c r="Q3083" s="1">
        <f>value(KWD!$B3083)</f>
        <v>46592.98</v>
      </c>
    </row>
    <row r="3084">
      <c r="A3084" s="4">
        <f>value(USD!A3084)</f>
        <v>43449.99861</v>
      </c>
      <c r="B3084" s="1">
        <f>value(USD!B3084)</f>
        <v>14578.95</v>
      </c>
      <c r="C3084" s="1">
        <f>value(AUD!$B3084)</f>
        <v>10057.85</v>
      </c>
      <c r="D3084" s="1">
        <f>value(EUR!$B3084)</f>
        <v>16546</v>
      </c>
      <c r="E3084" s="1">
        <f>value(GBP!$B3084)</f>
        <v>18390.05</v>
      </c>
      <c r="F3084" s="1">
        <f>value(CHF!$B3084)</f>
        <v>13886</v>
      </c>
      <c r="G3084" s="1">
        <f>value(SGD!$B3084)</f>
        <v>10408.35</v>
      </c>
      <c r="H3084" s="1">
        <f>value(MYR!$B3084)</f>
        <v>3499.55</v>
      </c>
      <c r="I3084" s="1">
        <f>value(THB!$B3084)</f>
        <v>444.735</v>
      </c>
      <c r="J3084" s="1">
        <f>value(VND!$B3084)</f>
        <v>0.6097356341</v>
      </c>
      <c r="K3084" s="1">
        <f>value(CNY!$B3084)</f>
        <v>2117.35</v>
      </c>
      <c r="L3084" s="1">
        <f>value(HKD!$B3084)</f>
        <v>1782.4</v>
      </c>
      <c r="M3084" s="1">
        <f>value(TWD!$B3084)</f>
        <v>464.82</v>
      </c>
      <c r="N3084" s="1">
        <f>value(JPY!$B3084)</f>
        <v>129.21</v>
      </c>
      <c r="O3084" s="1">
        <f>value(SAR!$B3084)</f>
        <v>3784.03015</v>
      </c>
      <c r="P3084" s="1">
        <f>value(AED!$B3084)</f>
        <v>3802.041075</v>
      </c>
      <c r="Q3084" s="1">
        <f>value(KWD!$B3084)</f>
        <v>46438.87919</v>
      </c>
    </row>
    <row r="3085">
      <c r="A3085" s="4">
        <f>value(USD!A3085)</f>
        <v>43450.99861</v>
      </c>
      <c r="B3085" s="1">
        <f>value(USD!B3085)</f>
        <v>14578</v>
      </c>
      <c r="C3085" s="1">
        <f>value(AUD!$B3085)</f>
        <v>10076.95</v>
      </c>
      <c r="D3085" s="1">
        <f>value(EUR!$B3085)</f>
        <v>16543</v>
      </c>
      <c r="E3085" s="1">
        <f>value(GBP!$B3085)</f>
        <v>18332.85</v>
      </c>
      <c r="F3085" s="1">
        <f>value(CHF!$B3085)</f>
        <v>13953.7</v>
      </c>
      <c r="G3085" s="1">
        <f>value(SGD!$B3085)</f>
        <v>10416</v>
      </c>
      <c r="H3085" s="1">
        <f>value(MYR!$B3085)</f>
        <v>3457</v>
      </c>
      <c r="I3085" s="1">
        <f>value(THB!$B3085)</f>
        <v>442.33</v>
      </c>
      <c r="J3085" s="1">
        <f>value(VND!$B3085)</f>
        <v>0.6263750214</v>
      </c>
      <c r="K3085" s="1">
        <f>value(CNY!$B3085)</f>
        <v>2110.2</v>
      </c>
      <c r="L3085" s="1">
        <f>value(HKD!$B3085)</f>
        <v>1782.15</v>
      </c>
      <c r="M3085" s="1">
        <f>value(TWD!$B3085)</f>
        <v>462.815</v>
      </c>
      <c r="N3085" s="1">
        <f>value(JPY!$B3085)</f>
        <v>128.745</v>
      </c>
      <c r="O3085" s="1">
        <f>value(SAR!$B3085)</f>
        <v>3796.8824</v>
      </c>
      <c r="P3085" s="1">
        <f>value(AED!$B3085)</f>
        <v>3858.882303</v>
      </c>
      <c r="Q3085" s="1">
        <f>value(KWD!$B3085)</f>
        <v>46438.87919</v>
      </c>
    </row>
    <row r="3086">
      <c r="A3086" s="4">
        <f>value(USD!A3086)</f>
        <v>43451.99861</v>
      </c>
      <c r="B3086" s="1">
        <f>value(USD!B3086)</f>
        <v>14588.7</v>
      </c>
      <c r="C3086" s="1">
        <f>value(AUD!$B3086)</f>
        <v>10075.75</v>
      </c>
      <c r="D3086" s="1">
        <f>value(EUR!$B3086)</f>
        <v>16495</v>
      </c>
      <c r="E3086" s="1">
        <f>value(GBP!$B3086)</f>
        <v>18285.15</v>
      </c>
      <c r="F3086" s="1">
        <f>value(CHF!$B3086)</f>
        <v>13962.3</v>
      </c>
      <c r="G3086" s="1">
        <f>value(SGD!$B3086)</f>
        <v>10437.1</v>
      </c>
      <c r="H3086" s="1">
        <f>value(MYR!$B3086)</f>
        <v>3455.35</v>
      </c>
      <c r="I3086" s="1">
        <f>value(THB!$B3086)</f>
        <v>442.57</v>
      </c>
      <c r="J3086" s="1">
        <f>value(VND!$B3086)</f>
        <v>0.6118175613</v>
      </c>
      <c r="K3086" s="1">
        <f>value(CNY!$B3086)</f>
        <v>2099.45</v>
      </c>
      <c r="L3086" s="1">
        <f>value(HKD!$B3086)</f>
        <v>1788.05</v>
      </c>
      <c r="M3086" s="1">
        <f>value(TWD!$B3086)</f>
        <v>460.86</v>
      </c>
      <c r="N3086" s="1">
        <f>value(JPY!$B3086)</f>
        <v>128.92</v>
      </c>
      <c r="O3086" s="1">
        <f>value(SAR!$B3086)</f>
        <v>3777.159747</v>
      </c>
      <c r="P3086" s="1">
        <f>value(AED!$B3086)</f>
        <v>3847.039646</v>
      </c>
      <c r="Q3086" s="1">
        <f>value(KWD!$B3086)</f>
        <v>46279.22176</v>
      </c>
    </row>
    <row r="3087">
      <c r="A3087" s="4">
        <f>value(USD!A3087)</f>
        <v>43452.99861</v>
      </c>
      <c r="B3087" s="1">
        <f>value(USD!B3087)</f>
        <v>14490</v>
      </c>
      <c r="C3087" s="1">
        <f>value(AUD!$B3087)</f>
        <v>10075.75</v>
      </c>
      <c r="D3087" s="1">
        <f>value(EUR!$B3087)</f>
        <v>16469.9</v>
      </c>
      <c r="E3087" s="1">
        <f>value(GBP!$B3087)</f>
        <v>18273.6</v>
      </c>
      <c r="F3087" s="1">
        <f>value(CHF!$B3087)</f>
        <v>13983.3</v>
      </c>
      <c r="G3087" s="1">
        <f>value(SGD!$B3087)</f>
        <v>10407.55</v>
      </c>
      <c r="H3087" s="1">
        <f>value(MYR!$B3087)</f>
        <v>3447.45</v>
      </c>
      <c r="I3087" s="1">
        <f>value(THB!$B3087)</f>
        <v>441.665</v>
      </c>
      <c r="J3087" s="1">
        <f>value(VND!$B3087)</f>
        <v>0.6119449848</v>
      </c>
      <c r="K3087" s="1">
        <f>value(CNY!$B3087)</f>
        <v>2099.45</v>
      </c>
      <c r="L3087" s="1">
        <f>value(HKD!$B3087)</f>
        <v>1792.65</v>
      </c>
      <c r="M3087" s="1">
        <f>value(TWD!$B3087)</f>
        <v>460.86</v>
      </c>
      <c r="N3087" s="1">
        <f>value(JPY!$B3087)</f>
        <v>129.73</v>
      </c>
      <c r="O3087" s="1">
        <f>value(SAR!$B3087)</f>
        <v>3767.01928</v>
      </c>
      <c r="P3087" s="1">
        <f>value(AED!$B3087)</f>
        <v>3846.82185</v>
      </c>
      <c r="Q3087" s="1">
        <f>value(KWD!$B3087)</f>
        <v>46380.4965</v>
      </c>
    </row>
    <row r="3088">
      <c r="A3088" s="4">
        <f>value(USD!A3088)</f>
        <v>43453.99861</v>
      </c>
      <c r="B3088" s="1">
        <f>value(USD!B3088)</f>
        <v>14493</v>
      </c>
      <c r="C3088" s="1">
        <f>value(AUD!$B3088)</f>
        <v>10121.1</v>
      </c>
      <c r="D3088" s="1">
        <f>value(EUR!$B3088)</f>
        <v>16579</v>
      </c>
      <c r="E3088" s="1">
        <f>value(GBP!$B3088)</f>
        <v>18434.45</v>
      </c>
      <c r="F3088" s="1">
        <f>value(CHF!$B3088)</f>
        <v>13993.15</v>
      </c>
      <c r="G3088" s="1">
        <f>value(SGD!$B3088)</f>
        <v>10383.85</v>
      </c>
      <c r="H3088" s="1">
        <f>value(MYR!$B3088)</f>
        <v>3480.95</v>
      </c>
      <c r="I3088" s="1">
        <f>value(THB!$B3088)</f>
        <v>446.905</v>
      </c>
      <c r="J3088" s="1">
        <f>value(VND!$B3088)</f>
        <v>0.6172934801</v>
      </c>
      <c r="K3088" s="1">
        <f>value(CNY!$B3088)</f>
        <v>2099.45</v>
      </c>
      <c r="L3088" s="1">
        <f>value(HKD!$B3088)</f>
        <v>1793.85</v>
      </c>
      <c r="M3088" s="1">
        <f>value(TWD!$B3088)</f>
        <v>460.86</v>
      </c>
      <c r="N3088" s="1">
        <f>value(JPY!$B3088)</f>
        <v>130.93</v>
      </c>
      <c r="O3088" s="1">
        <f>value(SAR!$B3088)</f>
        <v>3727.703949</v>
      </c>
      <c r="P3088" s="1">
        <f>value(AED!$B3088)</f>
        <v>3855.53369</v>
      </c>
      <c r="Q3088" s="1">
        <f>value(KWD!$B3088)</f>
        <v>46698.31183</v>
      </c>
    </row>
    <row r="3089">
      <c r="A3089" s="4">
        <f>value(USD!A3089)</f>
        <v>43454.99861</v>
      </c>
      <c r="B3089" s="1">
        <f>value(USD!B3089)</f>
        <v>14534.8</v>
      </c>
      <c r="C3089" s="1">
        <f>value(AUD!$B3089)</f>
        <v>10117.15</v>
      </c>
      <c r="D3089" s="1">
        <f>value(EUR!$B3089)</f>
        <v>16558.5336</v>
      </c>
      <c r="E3089" s="1">
        <f>value(GBP!$B3089)</f>
        <v>18434.45</v>
      </c>
      <c r="F3089" s="1">
        <f>value(CHF!$B3089)</f>
        <v>13975.2</v>
      </c>
      <c r="G3089" s="1">
        <f>value(SGD!$B3089)</f>
        <v>10396.05</v>
      </c>
      <c r="H3089" s="1">
        <f>value(MYR!$B3089)</f>
        <v>3480.95</v>
      </c>
      <c r="I3089" s="1">
        <f>value(THB!$B3089)</f>
        <v>446.905</v>
      </c>
      <c r="J3089" s="1">
        <f>value(VND!$B3089)</f>
        <v>0.6069046474</v>
      </c>
      <c r="K3089" s="1">
        <f>value(CNY!$B3089)</f>
        <v>2107.15</v>
      </c>
      <c r="L3089" s="1">
        <f>value(HKD!$B3089)</f>
        <v>1795</v>
      </c>
      <c r="M3089" s="1">
        <f>value(TWD!$B3089)</f>
        <v>460.135</v>
      </c>
      <c r="N3089" s="1">
        <f>value(JPY!$B3089)</f>
        <v>131.13</v>
      </c>
      <c r="O3089" s="1">
        <f>value(SAR!$B3089)</f>
        <v>3727.703949</v>
      </c>
      <c r="P3089" s="1">
        <f>value(AED!$B3089)</f>
        <v>3840.238451</v>
      </c>
      <c r="Q3089" s="1">
        <f>value(KWD!$B3089)</f>
        <v>46591.705</v>
      </c>
    </row>
    <row r="3090">
      <c r="A3090" s="4">
        <f>value(USD!A3090)</f>
        <v>43455.99861</v>
      </c>
      <c r="B3090" s="1">
        <f>value(USD!B3090)</f>
        <v>14548</v>
      </c>
      <c r="C3090" s="1">
        <f>value(AUD!$B3090)</f>
        <v>10044.75</v>
      </c>
      <c r="D3090" s="1">
        <f>value(EUR!$B3090)</f>
        <v>16544.13108</v>
      </c>
      <c r="E3090" s="1">
        <f>value(GBP!$B3090)</f>
        <v>18439.25</v>
      </c>
      <c r="F3090" s="1">
        <f>value(CHF!$B3090)</f>
        <v>13980.7</v>
      </c>
      <c r="G3090" s="1">
        <f>value(SGD!$B3090)</f>
        <v>10407.15</v>
      </c>
      <c r="H3090" s="1">
        <f>value(MYR!$B3090)</f>
        <v>3480.95</v>
      </c>
      <c r="I3090" s="1">
        <f>value(THB!$B3090)</f>
        <v>446.905</v>
      </c>
      <c r="J3090" s="1">
        <f>value(VND!$B3090)</f>
        <v>0.6138156366</v>
      </c>
      <c r="K3090" s="1">
        <f>value(CNY!$B3090)</f>
        <v>2105.25</v>
      </c>
      <c r="L3090" s="1">
        <f>value(HKD!$B3090)</f>
        <v>1798.55</v>
      </c>
      <c r="M3090" s="1">
        <f>value(TWD!$B3090)</f>
        <v>459.945</v>
      </c>
      <c r="N3090" s="1">
        <f>value(JPY!$B3090)</f>
        <v>131.17</v>
      </c>
      <c r="O3090" s="1">
        <f>value(SAR!$B3090)</f>
        <v>3734.502778</v>
      </c>
      <c r="P3090" s="1">
        <f>value(AED!$B3090)</f>
        <v>3840.238451</v>
      </c>
      <c r="Q3090" s="1">
        <f>value(KWD!$B3090)</f>
        <v>46897.80256</v>
      </c>
    </row>
    <row r="3091">
      <c r="A3091" s="4">
        <f>value(USD!A3091)</f>
        <v>43456.99861</v>
      </c>
      <c r="B3091" s="1">
        <f>value(USD!B3091)</f>
        <v>14548</v>
      </c>
      <c r="C3091" s="1">
        <f>value(AUD!$B3091)</f>
        <v>10114.35</v>
      </c>
      <c r="D3091" s="1">
        <f>value(EUR!$B3091)</f>
        <v>16584.72</v>
      </c>
      <c r="E3091" s="1">
        <f>value(GBP!$B3091)</f>
        <v>18455.6</v>
      </c>
      <c r="F3091" s="1">
        <f>value(CHF!$B3091)</f>
        <v>13948.4</v>
      </c>
      <c r="G3091" s="1">
        <f>value(SGD!$B3091)</f>
        <v>10408.8</v>
      </c>
      <c r="H3091" s="1">
        <f>value(MYR!$B3091)</f>
        <v>3479.85</v>
      </c>
      <c r="I3091" s="1">
        <f>value(THB!$B3091)</f>
        <v>447.87</v>
      </c>
      <c r="J3091" s="1">
        <f>value(VND!$B3091)</f>
        <v>0.623567248</v>
      </c>
      <c r="K3091" s="1">
        <f>value(CNY!$B3091)</f>
        <v>2105.45</v>
      </c>
      <c r="L3091" s="1">
        <f>value(HKD!$B3091)</f>
        <v>1798.55</v>
      </c>
      <c r="M3091" s="1">
        <f>value(TWD!$B3091)</f>
        <v>461.775</v>
      </c>
      <c r="N3091" s="1">
        <f>value(JPY!$B3091)</f>
        <v>131.76</v>
      </c>
      <c r="O3091" s="1">
        <f>value(SAR!$B3091)</f>
        <v>3729.487125</v>
      </c>
      <c r="P3091" s="1">
        <f>value(AED!$B3091)</f>
        <v>3826.572275</v>
      </c>
      <c r="Q3091" s="1">
        <f>value(KWD!$B3091)</f>
        <v>46653.33942</v>
      </c>
    </row>
    <row r="3092">
      <c r="A3092" s="4">
        <f>value(USD!A3092)</f>
        <v>43457.99861</v>
      </c>
      <c r="B3092" s="1">
        <f>value(USD!B3092)</f>
        <v>14548</v>
      </c>
      <c r="C3092" s="1">
        <f>value(AUD!$B3092)</f>
        <v>10077.95</v>
      </c>
      <c r="D3092" s="1">
        <f>value(EUR!$B3092)</f>
        <v>16588.8</v>
      </c>
      <c r="E3092" s="1">
        <f>value(GBP!$B3092)</f>
        <v>18442.6</v>
      </c>
      <c r="F3092" s="1">
        <f>value(CHF!$B3092)</f>
        <v>14015.4</v>
      </c>
      <c r="G3092" s="1">
        <f>value(SGD!$B3092)</f>
        <v>10391</v>
      </c>
      <c r="H3092" s="1">
        <f>value(MYR!$B3092)</f>
        <v>3483.25</v>
      </c>
      <c r="I3092" s="1">
        <f>value(THB!$B3092)</f>
        <v>446.49</v>
      </c>
      <c r="J3092" s="1">
        <f>value(VND!$B3092)</f>
        <v>0.6378018937</v>
      </c>
      <c r="K3092" s="1">
        <f>value(CNY!$B3092)</f>
        <v>2107.6</v>
      </c>
      <c r="L3092" s="1">
        <f>value(HKD!$B3092)</f>
        <v>1798.65</v>
      </c>
      <c r="M3092" s="1">
        <f>value(TWD!$B3092)</f>
        <v>459.77</v>
      </c>
      <c r="N3092" s="1">
        <f>value(JPY!$B3092)</f>
        <v>131.645</v>
      </c>
      <c r="O3092" s="1">
        <f>value(SAR!$B3092)</f>
        <v>3736.713375</v>
      </c>
      <c r="P3092" s="1">
        <f>value(AED!$B3092)</f>
        <v>3834.570825</v>
      </c>
      <c r="Q3092" s="1">
        <f>value(KWD!$B3092)</f>
        <v>46651.2102</v>
      </c>
    </row>
    <row r="3093">
      <c r="A3093" s="4">
        <f>value(USD!A3093)</f>
        <v>43458.99861</v>
      </c>
      <c r="B3093" s="1">
        <f>value(USD!B3093)</f>
        <v>14548</v>
      </c>
      <c r="C3093" s="1">
        <f>value(AUD!$B3093)</f>
        <v>10021.5</v>
      </c>
      <c r="D3093" s="1">
        <f>value(EUR!$B3093)</f>
        <v>16547</v>
      </c>
      <c r="E3093" s="1">
        <f>value(GBP!$B3093)</f>
        <v>18421.35</v>
      </c>
      <c r="F3093" s="1">
        <f>value(CHF!$B3093)</f>
        <v>14041.7</v>
      </c>
      <c r="G3093" s="1">
        <f>value(SGD!$B3093)</f>
        <v>10365.35</v>
      </c>
      <c r="H3093" s="1">
        <f>value(MYR!$B3093)</f>
        <v>3470.1</v>
      </c>
      <c r="I3093" s="1">
        <f>value(THB!$B3093)</f>
        <v>445.475</v>
      </c>
      <c r="J3093" s="1">
        <f>value(VND!$B3093)</f>
        <v>0.6305947121</v>
      </c>
      <c r="K3093" s="1">
        <f>value(CNY!$B3093)</f>
        <v>2101.75</v>
      </c>
      <c r="L3093" s="1">
        <f>value(HKD!$B3093)</f>
        <v>1800.5</v>
      </c>
      <c r="M3093" s="1">
        <f>value(TWD!$B3093)</f>
        <v>457.38</v>
      </c>
      <c r="N3093" s="1">
        <f>value(JPY!$B3093)</f>
        <v>130.88</v>
      </c>
      <c r="O3093" s="1">
        <f>value(SAR!$B3093)</f>
        <v>3739.808605</v>
      </c>
      <c r="P3093" s="1">
        <f>value(AED!$B3093)</f>
        <v>3860.929831</v>
      </c>
      <c r="Q3093" s="1">
        <f>value(KWD!$B3093)</f>
        <v>46557.09705</v>
      </c>
    </row>
    <row r="3094">
      <c r="A3094" s="4">
        <f>value(USD!A3094)</f>
        <v>43459.99861</v>
      </c>
      <c r="B3094" s="1">
        <f>value(USD!B3094)</f>
        <v>14710</v>
      </c>
      <c r="C3094" s="1">
        <f>value(AUD!$B3094)</f>
        <v>10021.5</v>
      </c>
      <c r="D3094" s="1">
        <f>value(EUR!$B3094)</f>
        <v>16670</v>
      </c>
      <c r="E3094" s="1">
        <f>value(GBP!$B3094)</f>
        <v>18445.35</v>
      </c>
      <c r="F3094" s="1">
        <f>value(CHF!$B3094)</f>
        <v>14041.7</v>
      </c>
      <c r="G3094" s="1">
        <f>value(SGD!$B3094)</f>
        <v>10404.25</v>
      </c>
      <c r="H3094" s="1">
        <f>value(MYR!$B3094)</f>
        <v>3502.15</v>
      </c>
      <c r="I3094" s="1">
        <f>value(THB!$B3094)</f>
        <v>448.295</v>
      </c>
      <c r="J3094" s="1">
        <f>value(VND!$B3094)</f>
        <v>0.6305947121</v>
      </c>
      <c r="K3094" s="1">
        <f>value(CNY!$B3094)</f>
        <v>2104.8</v>
      </c>
      <c r="L3094" s="1">
        <f>value(HKD!$B3094)</f>
        <v>1798.55</v>
      </c>
      <c r="M3094" s="1">
        <f>value(TWD!$B3094)</f>
        <v>456.795</v>
      </c>
      <c r="N3094" s="1">
        <f>value(JPY!$B3094)</f>
        <v>131.44</v>
      </c>
      <c r="O3094" s="1">
        <f>value(SAR!$B3094)</f>
        <v>3725.53827</v>
      </c>
      <c r="P3094" s="1">
        <f>value(AED!$B3094)</f>
        <v>3852.26675</v>
      </c>
      <c r="Q3094" s="1">
        <f>value(KWD!$B3094)</f>
        <v>46841.21205</v>
      </c>
    </row>
    <row r="3095">
      <c r="A3095" s="4">
        <f>value(USD!A3095)</f>
        <v>43460.99861</v>
      </c>
      <c r="B3095" s="1">
        <f>value(USD!B3095)</f>
        <v>14609.4</v>
      </c>
      <c r="C3095" s="1">
        <f>value(AUD!$B3095)</f>
        <v>10024.55</v>
      </c>
      <c r="D3095" s="1">
        <f>value(EUR!$B3095)</f>
        <v>16657</v>
      </c>
      <c r="E3095" s="1">
        <f>value(GBP!$B3095)</f>
        <v>18482.15</v>
      </c>
      <c r="F3095" s="1">
        <f>value(CHF!$B3095)</f>
        <v>14050.3</v>
      </c>
      <c r="G3095" s="1">
        <f>value(SGD!$B3095)</f>
        <v>10414.45</v>
      </c>
      <c r="H3095" s="1">
        <f>value(MYR!$B3095)</f>
        <v>3503.25</v>
      </c>
      <c r="I3095" s="1">
        <f>value(THB!$B3095)</f>
        <v>447.335</v>
      </c>
      <c r="J3095" s="1">
        <f>value(VND!$B3095)</f>
        <v>0.6308192674</v>
      </c>
      <c r="K3095" s="1">
        <f>value(CNY!$B3095)</f>
        <v>2104.8</v>
      </c>
      <c r="L3095" s="1">
        <f>value(HKD!$B3095)</f>
        <v>1792.15</v>
      </c>
      <c r="M3095" s="1">
        <f>value(TWD!$B3095)</f>
        <v>456.795</v>
      </c>
      <c r="N3095" s="1">
        <f>value(JPY!$B3095)</f>
        <v>132.06</v>
      </c>
      <c r="O3095" s="1">
        <f>value(SAR!$B3095)</f>
        <v>3711.40608</v>
      </c>
      <c r="P3095" s="1">
        <f>value(AED!$B3095)</f>
        <v>3876.946436</v>
      </c>
      <c r="Q3095" s="1">
        <f>value(KWD!$B3095)</f>
        <v>46666.9642</v>
      </c>
    </row>
    <row r="3096">
      <c r="A3096" s="4">
        <f>value(USD!A3096)</f>
        <v>43461.99861</v>
      </c>
      <c r="B3096" s="1">
        <f>value(USD!B3096)</f>
        <v>14561.6</v>
      </c>
      <c r="C3096" s="1">
        <f>value(AUD!$B3096)</f>
        <v>10089.85</v>
      </c>
      <c r="D3096" s="1">
        <f>value(EUR!$B3096)</f>
        <v>16673.62103</v>
      </c>
      <c r="E3096" s="1">
        <f>value(GBP!$B3096)</f>
        <v>18482.15</v>
      </c>
      <c r="F3096" s="1">
        <f>value(CHF!$B3096)</f>
        <v>14062.85</v>
      </c>
      <c r="G3096" s="1">
        <f>value(SGD!$B3096)</f>
        <v>10405.95</v>
      </c>
      <c r="H3096" s="1">
        <f>value(MYR!$B3096)</f>
        <v>3503.25</v>
      </c>
      <c r="I3096" s="1">
        <f>value(THB!$B3096)</f>
        <v>447.335</v>
      </c>
      <c r="J3096" s="1">
        <f>value(VND!$B3096)</f>
        <v>0.6389086383</v>
      </c>
      <c r="K3096" s="1">
        <f>value(CNY!$B3096)</f>
        <v>2095.95</v>
      </c>
      <c r="L3096" s="1">
        <f>value(HKD!$B3096)</f>
        <v>1791.05</v>
      </c>
      <c r="M3096" s="1">
        <f>value(TWD!$B3096)</f>
        <v>457.07</v>
      </c>
      <c r="N3096" s="1">
        <f>value(JPY!$B3096)</f>
        <v>132.06</v>
      </c>
      <c r="O3096" s="1">
        <f>value(SAR!$B3096)</f>
        <v>3715.248</v>
      </c>
      <c r="P3096" s="1">
        <f>value(AED!$B3096)</f>
        <v>3864.676248</v>
      </c>
      <c r="Q3096" s="1">
        <f>value(KWD!$B3096)</f>
        <v>46744.84475</v>
      </c>
    </row>
    <row r="3097">
      <c r="A3097" s="4">
        <f>value(USD!A3097)</f>
        <v>43462.99861</v>
      </c>
      <c r="B3097" s="1">
        <f>value(USD!B3097)</f>
        <v>14560</v>
      </c>
      <c r="C3097" s="1">
        <f>value(AUD!$B3097)</f>
        <v>10072.6</v>
      </c>
      <c r="D3097" s="1">
        <f>value(EUR!$B3097)</f>
        <v>16647.1767</v>
      </c>
      <c r="E3097" s="1">
        <f>value(GBP!$B3097)</f>
        <v>18479.85</v>
      </c>
      <c r="F3097" s="1">
        <f>value(CHF!$B3097)</f>
        <v>14098.3</v>
      </c>
      <c r="G3097" s="1">
        <f>value(SGD!$B3097)</f>
        <v>10405.95</v>
      </c>
      <c r="H3097" s="1">
        <f>value(MYR!$B3097)</f>
        <v>3503.25</v>
      </c>
      <c r="I3097" s="1">
        <f>value(THB!$B3097)</f>
        <v>447.335</v>
      </c>
      <c r="J3097" s="1">
        <f>value(VND!$B3097)</f>
        <v>0.6513570133</v>
      </c>
      <c r="K3097" s="1">
        <f>value(CNY!$B3097)</f>
        <v>2099.2</v>
      </c>
      <c r="L3097" s="1">
        <f>value(HKD!$B3097)</f>
        <v>1789.95</v>
      </c>
      <c r="M3097" s="1">
        <f>value(TWD!$B3097)</f>
        <v>456.17</v>
      </c>
      <c r="N3097" s="1">
        <f>value(JPY!$B3097)</f>
        <v>131.91</v>
      </c>
      <c r="O3097" s="1">
        <f>value(SAR!$B3097)</f>
        <v>3718.623696</v>
      </c>
      <c r="P3097" s="1">
        <f>value(AED!$B3097)</f>
        <v>3864.463326</v>
      </c>
      <c r="Q3097" s="1">
        <f>value(KWD!$B3097)</f>
        <v>46746.2352</v>
      </c>
    </row>
    <row r="3098">
      <c r="A3098" s="4">
        <f>value(USD!A3098)</f>
        <v>43463.99861</v>
      </c>
      <c r="B3098" s="1">
        <f>value(USD!B3098)</f>
        <v>14574.92</v>
      </c>
      <c r="C3098" s="1">
        <f>value(AUD!$B3098)</f>
        <v>10135.4</v>
      </c>
      <c r="D3098" s="1">
        <f>value(EUR!$B3098)</f>
        <v>16657</v>
      </c>
      <c r="E3098" s="1">
        <f>value(GBP!$B3098)</f>
        <v>18351.15</v>
      </c>
      <c r="F3098" s="1">
        <f>value(CHF!$B3098)</f>
        <v>14059.8</v>
      </c>
      <c r="G3098" s="1">
        <f>value(SGD!$B3098)</f>
        <v>10421.55</v>
      </c>
      <c r="H3098" s="1">
        <f>value(MYR!$B3098)</f>
        <v>3498.3</v>
      </c>
      <c r="I3098" s="1">
        <f>value(THB!$B3098)</f>
        <v>446.965</v>
      </c>
      <c r="J3098" s="1">
        <f>value(VND!$B3098)</f>
        <v>0.6644375136</v>
      </c>
      <c r="K3098" s="1">
        <f>value(CNY!$B3098)</f>
        <v>2105.35</v>
      </c>
      <c r="L3098" s="1">
        <f>value(HKD!$B3098)</f>
        <v>1791.05</v>
      </c>
      <c r="M3098" s="1">
        <f>value(TWD!$B3098)</f>
        <v>455.08</v>
      </c>
      <c r="N3098" s="1">
        <f>value(JPY!$B3098)</f>
        <v>131.45</v>
      </c>
      <c r="O3098" s="1">
        <f>value(SAR!$B3098)</f>
        <v>3732.596595</v>
      </c>
      <c r="P3098" s="1">
        <f>value(AED!$B3098)</f>
        <v>3856.520546</v>
      </c>
      <c r="Q3098" s="1">
        <f>value(KWD!$B3098)</f>
        <v>46459.1647</v>
      </c>
    </row>
    <row r="3099">
      <c r="A3099" s="4">
        <f>value(USD!A3099)</f>
        <v>43464.99861</v>
      </c>
      <c r="B3099" s="1">
        <f>value(USD!B3099)</f>
        <v>14553</v>
      </c>
      <c r="C3099" s="1">
        <f>value(AUD!$B3099)</f>
        <v>10090.85</v>
      </c>
      <c r="D3099" s="1">
        <f>value(EUR!$B3099)</f>
        <v>16572.3168</v>
      </c>
      <c r="E3099" s="1">
        <f>value(GBP!$B3099)</f>
        <v>18325.55</v>
      </c>
      <c r="F3099" s="1">
        <f>value(CHF!$B3099)</f>
        <v>14041.5</v>
      </c>
      <c r="G3099" s="1">
        <f>value(SGD!$B3099)</f>
        <v>10430.65</v>
      </c>
      <c r="H3099" s="1">
        <f>value(MYR!$B3099)</f>
        <v>3448.45</v>
      </c>
      <c r="I3099" s="1">
        <f>value(THB!$B3099)</f>
        <v>444.215</v>
      </c>
      <c r="J3099" s="1">
        <f>value(VND!$B3099)</f>
        <v>0.6743143297</v>
      </c>
      <c r="K3099" s="1">
        <f>value(CNY!$B3099)</f>
        <v>2093.85</v>
      </c>
      <c r="L3099" s="1">
        <f>value(HKD!$B3099)</f>
        <v>1790.75</v>
      </c>
      <c r="M3099" s="1">
        <f>value(TWD!$B3099)</f>
        <v>455.48</v>
      </c>
      <c r="N3099" s="1">
        <f>value(JPY!$B3099)</f>
        <v>130.97</v>
      </c>
      <c r="O3099" s="1">
        <f>value(SAR!$B3099)</f>
        <v>3744.94452</v>
      </c>
      <c r="P3099" s="1">
        <f>value(AED!$B3099)</f>
        <v>3872.391767</v>
      </c>
      <c r="Q3099" s="1">
        <f>value(KWD!$B3099)</f>
        <v>46473.2987</v>
      </c>
    </row>
    <row r="3100">
      <c r="A3100" s="4">
        <f>value(USD!A3100)</f>
        <v>43465.99861</v>
      </c>
      <c r="B3100" s="1">
        <f>value(USD!B3100)</f>
        <v>14460</v>
      </c>
      <c r="C3100" s="1">
        <f>value(AUD!$B3100)</f>
        <v>10078.5</v>
      </c>
      <c r="D3100" s="1">
        <f>value(EUR!$B3100)</f>
        <v>16387</v>
      </c>
      <c r="E3100" s="1">
        <f>value(GBP!$B3100)</f>
        <v>18125.1</v>
      </c>
      <c r="F3100" s="1">
        <f>value(CHF!$B3100)</f>
        <v>14050</v>
      </c>
      <c r="G3100" s="1">
        <f>value(SGD!$B3100)</f>
        <v>10449.5</v>
      </c>
      <c r="H3100" s="1">
        <f>value(MYR!$B3100)</f>
        <v>3479.75</v>
      </c>
      <c r="I3100" s="1">
        <f>value(THB!$B3100)</f>
        <v>448.43</v>
      </c>
      <c r="J3100" s="1">
        <f>value(VND!$B3100)</f>
        <v>0.6761030397</v>
      </c>
      <c r="K3100" s="1">
        <f>value(CNY!$B3100)</f>
        <v>2096.1</v>
      </c>
      <c r="L3100" s="1">
        <f>value(HKD!$B3100)</f>
        <v>1786.35</v>
      </c>
      <c r="M3100" s="1">
        <f>value(TWD!$B3100)</f>
        <v>454.965</v>
      </c>
      <c r="N3100" s="1">
        <f>value(JPY!$B3100)</f>
        <v>134.74</v>
      </c>
      <c r="O3100" s="1">
        <f>value(SAR!$B3100)</f>
        <v>3740.938215</v>
      </c>
      <c r="P3100" s="1">
        <f>value(AED!$B3100)</f>
        <v>3869.418185</v>
      </c>
      <c r="Q3100" s="1">
        <f>value(KWD!$B3100)</f>
        <v>46466.12685</v>
      </c>
    </row>
    <row r="3101">
      <c r="A3101" s="4">
        <f>value(USD!A3101)</f>
        <v>43466.99861</v>
      </c>
      <c r="B3101" s="1">
        <f>value(USD!B3101)</f>
        <v>14460</v>
      </c>
      <c r="C3101" s="1">
        <f>value(AUD!$B3101)</f>
        <v>10101.45</v>
      </c>
      <c r="D3101" s="1">
        <f>value(EUR!$B3101)</f>
        <v>16416</v>
      </c>
      <c r="E3101" s="1">
        <f>value(GBP!$B3101)</f>
        <v>18197.45</v>
      </c>
      <c r="F3101" s="1">
        <f>value(CHF!$B3101)</f>
        <v>14057.55</v>
      </c>
      <c r="G3101" s="1">
        <f>value(SGD!$B3101)</f>
        <v>10422.1</v>
      </c>
      <c r="H3101" s="1">
        <f>value(MYR!$B3101)</f>
        <v>3475.15</v>
      </c>
      <c r="I3101" s="1">
        <f>value(THB!$B3101)</f>
        <v>447.435</v>
      </c>
      <c r="J3101" s="1">
        <f>value(VND!$B3101)</f>
        <v>0.6757392665</v>
      </c>
      <c r="K3101" s="1">
        <f>value(CNY!$B3101)</f>
        <v>2096.1</v>
      </c>
      <c r="L3101" s="1">
        <f>value(HKD!$B3101)</f>
        <v>1779.2</v>
      </c>
      <c r="M3101" s="1">
        <f>value(TWD!$B3101)</f>
        <v>454.965</v>
      </c>
      <c r="N3101" s="1">
        <f>value(JPY!$B3101)</f>
        <v>133.64</v>
      </c>
      <c r="O3101" s="1">
        <f>value(SAR!$B3101)</f>
        <v>3747.656787</v>
      </c>
      <c r="P3101" s="1">
        <f>value(AED!$B3101)</f>
        <v>3864.517775</v>
      </c>
      <c r="Q3101" s="1">
        <f>value(KWD!$B3101)</f>
        <v>46844.73497</v>
      </c>
    </row>
    <row r="3102">
      <c r="A3102" s="4">
        <f>value(USD!A3102)</f>
        <v>43467.99861</v>
      </c>
      <c r="B3102" s="1">
        <f>value(USD!B3102)</f>
        <v>14409.7</v>
      </c>
      <c r="C3102" s="1">
        <f>value(AUD!$B3102)</f>
        <v>10113.8</v>
      </c>
      <c r="D3102" s="1">
        <f>value(EUR!$B3102)</f>
        <v>16345.5</v>
      </c>
      <c r="E3102" s="1">
        <f>value(GBP!$B3102)</f>
        <v>18247.85</v>
      </c>
      <c r="F3102" s="1">
        <f>value(CHF!$B3102)</f>
        <v>14052.55</v>
      </c>
      <c r="G3102" s="1">
        <f>value(SGD!$B3102)</f>
        <v>10377.4</v>
      </c>
      <c r="H3102" s="1">
        <f>value(MYR!$B3102)</f>
        <v>3475.4</v>
      </c>
      <c r="I3102" s="1">
        <f>value(THB!$B3102)</f>
        <v>448.67</v>
      </c>
      <c r="J3102" s="1">
        <f>value(VND!$B3102)</f>
        <v>0.6712128634</v>
      </c>
      <c r="K3102" s="1">
        <f>value(CNY!$B3102)</f>
        <v>2096.1</v>
      </c>
      <c r="L3102" s="1">
        <f>value(HKD!$B3102)</f>
        <v>1786.7</v>
      </c>
      <c r="M3102" s="1">
        <f>value(TWD!$B3102)</f>
        <v>451.375</v>
      </c>
      <c r="N3102" s="1">
        <f>value(JPY!$B3102)</f>
        <v>132.165</v>
      </c>
      <c r="O3102" s="1">
        <f>value(SAR!$B3102)</f>
        <v>3733.121726</v>
      </c>
      <c r="P3102" s="1">
        <f>value(AED!$B3102)</f>
        <v>3864.926142</v>
      </c>
      <c r="Q3102" s="1">
        <f>value(KWD!$B3102)</f>
        <v>46747.9783</v>
      </c>
    </row>
    <row r="3103">
      <c r="A3103" s="4">
        <f>value(USD!A3103)</f>
        <v>43468.99861</v>
      </c>
      <c r="B3103" s="1">
        <f>value(USD!B3103)</f>
        <v>14375.4</v>
      </c>
      <c r="C3103" s="1">
        <f>value(AUD!$B3103)</f>
        <v>10084.75</v>
      </c>
      <c r="D3103" s="1">
        <f>value(EUR!$B3103)</f>
        <v>16201.1286</v>
      </c>
      <c r="E3103" s="1">
        <f>value(GBP!$B3103)</f>
        <v>18247.85</v>
      </c>
      <c r="F3103" s="1">
        <f>value(CHF!$B3103)</f>
        <v>14018.3</v>
      </c>
      <c r="G3103" s="1">
        <f>value(SGD!$B3103)</f>
        <v>10350.9</v>
      </c>
      <c r="H3103" s="1">
        <f>value(MYR!$B3103)</f>
        <v>3475.4</v>
      </c>
      <c r="I3103" s="1">
        <f>value(THB!$B3103)</f>
        <v>448.67</v>
      </c>
      <c r="J3103" s="1">
        <f>value(VND!$B3103)</f>
        <v>0.7065603674</v>
      </c>
      <c r="K3103" s="1">
        <f>value(CNY!$B3103)</f>
        <v>2097.35</v>
      </c>
      <c r="L3103" s="1">
        <f>value(HKD!$B3103)</f>
        <v>1792.95</v>
      </c>
      <c r="M3103" s="1">
        <f>value(TWD!$B3103)</f>
        <v>456.15</v>
      </c>
      <c r="N3103" s="1">
        <f>value(JPY!$B3103)</f>
        <v>132.165</v>
      </c>
      <c r="O3103" s="1">
        <f>value(SAR!$B3103)</f>
        <v>3733.146648</v>
      </c>
      <c r="P3103" s="1">
        <f>value(AED!$B3103)</f>
        <v>3847.91083</v>
      </c>
      <c r="Q3103" s="1">
        <f>value(KWD!$B3103)</f>
        <v>46612.9235</v>
      </c>
    </row>
    <row r="3104">
      <c r="A3104" s="4">
        <f>value(USD!A3104)</f>
        <v>43469.99861</v>
      </c>
      <c r="B3104" s="1">
        <f>value(USD!B3104)</f>
        <v>14225.5</v>
      </c>
      <c r="C3104" s="1">
        <f>value(AUD!$B3104)</f>
        <v>10095.25</v>
      </c>
      <c r="D3104" s="1">
        <f>value(EUR!$B3104)</f>
        <v>16278.21899</v>
      </c>
      <c r="E3104" s="1">
        <f>value(GBP!$B3104)</f>
        <v>18249.8</v>
      </c>
      <c r="F3104" s="1">
        <f>value(CHF!$B3104)</f>
        <v>13968.4</v>
      </c>
      <c r="G3104" s="1">
        <f>value(SGD!$B3104)</f>
        <v>10350.9</v>
      </c>
      <c r="H3104" s="1">
        <f>value(MYR!$B3104)</f>
        <v>3475.4</v>
      </c>
      <c r="I3104" s="1">
        <f>value(THB!$B3104)</f>
        <v>448.67</v>
      </c>
      <c r="J3104" s="1">
        <f>value(VND!$B3104)</f>
        <v>0.6845086171</v>
      </c>
      <c r="K3104" s="1">
        <f>value(CNY!$B3104)</f>
        <v>2090.4</v>
      </c>
      <c r="L3104" s="1">
        <f>value(HKD!$B3104)</f>
        <v>1796.75</v>
      </c>
      <c r="M3104" s="1">
        <f>value(TWD!$B3104)</f>
        <v>453.725</v>
      </c>
      <c r="N3104" s="1">
        <f>value(JPY!$B3104)</f>
        <v>132.17</v>
      </c>
      <c r="O3104" s="1">
        <f>value(SAR!$B3104)</f>
        <v>3734.001632</v>
      </c>
      <c r="P3104" s="1">
        <f>value(AED!$B3104)</f>
        <v>3847.91083</v>
      </c>
      <c r="Q3104" s="1">
        <f>value(KWD!$B3104)</f>
        <v>46550.1736</v>
      </c>
    </row>
    <row r="3105">
      <c r="A3105" s="4">
        <f>value(USD!A3105)</f>
        <v>43470.99861</v>
      </c>
      <c r="B3105" s="1">
        <f>value(USD!B3105)</f>
        <v>14219</v>
      </c>
      <c r="C3105" s="1">
        <f>value(AUD!$B3105)</f>
        <v>10102.2</v>
      </c>
      <c r="D3105" s="1">
        <f>value(EUR!$B3105)</f>
        <v>16165</v>
      </c>
      <c r="E3105" s="1">
        <f>value(GBP!$B3105)</f>
        <v>18002.9</v>
      </c>
      <c r="F3105" s="1">
        <f>value(CHF!$B3105)</f>
        <v>14015.45</v>
      </c>
      <c r="G3105" s="1">
        <f>value(SGD!$B3105)</f>
        <v>10511.5</v>
      </c>
      <c r="H3105" s="1">
        <f>value(MYR!$B3105)</f>
        <v>3423.75</v>
      </c>
      <c r="I3105" s="1">
        <f>value(THB!$B3105)</f>
        <v>440.895</v>
      </c>
      <c r="J3105" s="1">
        <f>value(VND!$B3105)</f>
        <v>0.7024117822</v>
      </c>
      <c r="K3105" s="1">
        <f>value(CNY!$B3105)</f>
        <v>2098.35</v>
      </c>
      <c r="L3105" s="1">
        <f>value(HKD!$B3105)</f>
        <v>1796.75</v>
      </c>
      <c r="M3105" s="1">
        <f>value(TWD!$B3105)</f>
        <v>455.83</v>
      </c>
      <c r="N3105" s="1">
        <f>value(JPY!$B3105)</f>
        <v>129.64</v>
      </c>
      <c r="O3105" s="1">
        <f>value(SAR!$B3105)</f>
        <v>3751.13235</v>
      </c>
      <c r="P3105" s="1">
        <f>value(AED!$B3105)</f>
        <v>3848.373756</v>
      </c>
      <c r="Q3105" s="1">
        <f>value(KWD!$B3105)</f>
        <v>46529.53386</v>
      </c>
    </row>
    <row r="3106">
      <c r="A3106" s="4">
        <f>value(USD!A3106)</f>
        <v>43471.99861</v>
      </c>
      <c r="B3106" s="1">
        <f>value(USD!B3106)</f>
        <v>14267</v>
      </c>
      <c r="C3106" s="1">
        <f>value(AUD!$B3106)</f>
        <v>10035</v>
      </c>
      <c r="D3106" s="1">
        <f>value(EUR!$B3106)</f>
        <v>16195.64452</v>
      </c>
      <c r="E3106" s="1">
        <f>value(GBP!$B3106)</f>
        <v>18002.35</v>
      </c>
      <c r="F3106" s="1">
        <f>value(CHF!$B3106)</f>
        <v>14111.2</v>
      </c>
      <c r="G3106" s="1">
        <f>value(SGD!$B3106)</f>
        <v>10494.65</v>
      </c>
      <c r="H3106" s="1">
        <f>value(MYR!$B3106)</f>
        <v>3441.95</v>
      </c>
      <c r="I3106" s="1">
        <f>value(THB!$B3106)</f>
        <v>441.705</v>
      </c>
      <c r="J3106" s="1">
        <f>value(VND!$B3106)</f>
        <v>0.6924574119</v>
      </c>
      <c r="K3106" s="1">
        <f>value(CNY!$B3106)</f>
        <v>2094.35</v>
      </c>
      <c r="L3106" s="1">
        <f>value(HKD!$B3106)</f>
        <v>1797.05</v>
      </c>
      <c r="M3106" s="1">
        <f>value(TWD!$B3106)</f>
        <v>457.805</v>
      </c>
      <c r="N3106" s="1">
        <f>value(JPY!$B3106)</f>
        <v>129.98</v>
      </c>
      <c r="O3106" s="1">
        <f>value(SAR!$B3106)</f>
        <v>3751.238992</v>
      </c>
      <c r="P3106" s="1">
        <f>value(AED!$B3106)</f>
        <v>3877.721657</v>
      </c>
      <c r="Q3106" s="1">
        <f>value(KWD!$B3106)</f>
        <v>46528.55868</v>
      </c>
    </row>
    <row r="3107">
      <c r="A3107" s="4">
        <f>value(USD!A3107)</f>
        <v>43472.99861</v>
      </c>
      <c r="B3107" s="1">
        <f>value(USD!B3107)</f>
        <v>14083</v>
      </c>
      <c r="C3107" s="1">
        <f>value(AUD!$B3107)</f>
        <v>10057.05</v>
      </c>
      <c r="D3107" s="1">
        <f>value(EUR!$B3107)</f>
        <v>16326.0846</v>
      </c>
      <c r="E3107" s="1">
        <f>value(GBP!$B3107)</f>
        <v>17926.6</v>
      </c>
      <c r="F3107" s="1">
        <f>value(CHF!$B3107)</f>
        <v>14131</v>
      </c>
      <c r="G3107" s="1">
        <f>value(SGD!$B3107)</f>
        <v>10517.25</v>
      </c>
      <c r="H3107" s="1">
        <f>value(MYR!$B3107)</f>
        <v>3424</v>
      </c>
      <c r="I3107" s="1">
        <f>value(THB!$B3107)</f>
        <v>438.79</v>
      </c>
      <c r="J3107" s="1">
        <f>value(VND!$B3107)</f>
        <v>0.6883392332</v>
      </c>
      <c r="K3107" s="1">
        <f>value(CNY!$B3107)</f>
        <v>2306.4</v>
      </c>
      <c r="L3107" s="1">
        <f>value(HKD!$B3107)</f>
        <v>1799.95</v>
      </c>
      <c r="M3107" s="1">
        <f>value(TWD!$B3107)</f>
        <v>456.56</v>
      </c>
      <c r="N3107" s="1">
        <f>value(JPY!$B3107)</f>
        <v>129.46</v>
      </c>
      <c r="O3107" s="1">
        <f>value(SAR!$B3107)</f>
        <v>3780.8134</v>
      </c>
      <c r="P3107" s="1">
        <f>value(AED!$B3107)</f>
        <v>3869.418185</v>
      </c>
      <c r="Q3107" s="1">
        <f>value(KWD!$B3107)</f>
        <v>46511.93316</v>
      </c>
    </row>
    <row r="3108">
      <c r="A3108" s="4">
        <f>value(USD!A3108)</f>
        <v>43473.99861</v>
      </c>
      <c r="B3108" s="1">
        <f>value(USD!B3108)</f>
        <v>14138</v>
      </c>
      <c r="C3108" s="1">
        <f>value(AUD!$B3108)</f>
        <v>10057.05</v>
      </c>
      <c r="D3108" s="1">
        <f>value(EUR!$B3108)</f>
        <v>16165.0336</v>
      </c>
      <c r="E3108" s="1">
        <f>value(GBP!$B3108)</f>
        <v>17941.9</v>
      </c>
      <c r="F3108" s="1">
        <f>value(CHF!$B3108)</f>
        <v>14131</v>
      </c>
      <c r="G3108" s="1">
        <f>value(SGD!$B3108)</f>
        <v>10521.85</v>
      </c>
      <c r="H3108" s="1">
        <f>value(MYR!$B3108)</f>
        <v>3435.75</v>
      </c>
      <c r="I3108" s="1">
        <f>value(THB!$B3108)</f>
        <v>440.735</v>
      </c>
      <c r="J3108" s="1">
        <f>value(VND!$B3108)</f>
        <v>0.6883392332</v>
      </c>
      <c r="K3108" s="1">
        <f>value(CNY!$B3108)</f>
        <v>2107.9</v>
      </c>
      <c r="L3108" s="1">
        <f>value(HKD!$B3108)</f>
        <v>1804.85</v>
      </c>
      <c r="M3108" s="1">
        <f>value(TWD!$B3108)</f>
        <v>456.56</v>
      </c>
      <c r="N3108" s="1">
        <f>value(JPY!$B3108)</f>
        <v>129.89</v>
      </c>
      <c r="O3108" s="1">
        <f>value(SAR!$B3108)</f>
        <v>3823.72062</v>
      </c>
      <c r="P3108" s="1">
        <f>value(AED!$B3108)</f>
        <v>3857.71165</v>
      </c>
      <c r="Q3108" s="1">
        <f>value(KWD!$B3108)</f>
        <v>46421.48162</v>
      </c>
    </row>
    <row r="3109">
      <c r="A3109" s="4">
        <f>value(USD!A3109)</f>
        <v>43474.99861</v>
      </c>
      <c r="B3109" s="1">
        <f>value(USD!B3109)</f>
        <v>14130</v>
      </c>
      <c r="C3109" s="1">
        <f>value(AUD!$B3109)</f>
        <v>10046.8</v>
      </c>
      <c r="D3109" s="1">
        <f>value(EUR!$B3109)</f>
        <v>16187</v>
      </c>
      <c r="E3109" s="1">
        <f>value(GBP!$B3109)</f>
        <v>18133.6</v>
      </c>
      <c r="F3109" s="1">
        <f>value(CHF!$B3109)</f>
        <v>14122.3</v>
      </c>
      <c r="G3109" s="1">
        <f>value(SGD!$B3109)</f>
        <v>10513.65</v>
      </c>
      <c r="H3109" s="1">
        <f>value(MYR!$B3109)</f>
        <v>3444.15</v>
      </c>
      <c r="I3109" s="1">
        <f>value(THB!$B3109)</f>
        <v>442.195</v>
      </c>
      <c r="J3109" s="1">
        <f>value(VND!$B3109)</f>
        <v>0.6860243609</v>
      </c>
      <c r="K3109" s="1">
        <f>value(CNY!$B3109)</f>
        <v>2107.9</v>
      </c>
      <c r="L3109" s="1">
        <f>value(HKD!$B3109)</f>
        <v>1801.85</v>
      </c>
      <c r="M3109" s="1">
        <f>value(TWD!$B3109)</f>
        <v>456.56</v>
      </c>
      <c r="N3109" s="1">
        <f>value(JPY!$B3109)</f>
        <v>130.01</v>
      </c>
      <c r="O3109" s="1">
        <f>value(SAR!$B3109)</f>
        <v>3793.828756</v>
      </c>
      <c r="P3109" s="1">
        <f>value(AED!$B3109)</f>
        <v>3852.81124</v>
      </c>
      <c r="Q3109" s="1">
        <f>value(KWD!$B3109)</f>
        <v>46765.35666</v>
      </c>
    </row>
    <row r="3110">
      <c r="A3110" s="4">
        <f>value(USD!A3110)</f>
        <v>43475.99861</v>
      </c>
      <c r="B3110" s="1">
        <f>value(USD!B3110)</f>
        <v>14048</v>
      </c>
      <c r="C3110" s="1">
        <f>value(AUD!$B3110)</f>
        <v>10042.2</v>
      </c>
      <c r="D3110" s="1">
        <f>value(EUR!$B3110)</f>
        <v>16098.7784</v>
      </c>
      <c r="E3110" s="1">
        <f>value(GBP!$B3110)</f>
        <v>18133.6</v>
      </c>
      <c r="F3110" s="1">
        <f>value(CHF!$B3110)</f>
        <v>14143.5</v>
      </c>
      <c r="G3110" s="1">
        <f>value(SGD!$B3110)</f>
        <v>10535.9</v>
      </c>
      <c r="H3110" s="1">
        <f>value(MYR!$B3110)</f>
        <v>3444.15</v>
      </c>
      <c r="I3110" s="1">
        <f>value(THB!$B3110)</f>
        <v>442.195</v>
      </c>
      <c r="J3110" s="1">
        <f>value(VND!$B3110)</f>
        <v>0.6894072074</v>
      </c>
      <c r="K3110" s="1">
        <f>value(CNY!$B3110)</f>
        <v>2302.95</v>
      </c>
      <c r="L3110" s="1">
        <f>value(HKD!$B3110)</f>
        <v>1798.85</v>
      </c>
      <c r="M3110" s="1">
        <f>value(TWD!$B3110)</f>
        <v>453.65</v>
      </c>
      <c r="N3110" s="1">
        <f>value(JPY!$B3110)</f>
        <v>130.01</v>
      </c>
      <c r="O3110" s="1">
        <f>value(SAR!$B3110)</f>
        <v>3793.828756</v>
      </c>
      <c r="P3110" s="1">
        <f>value(AED!$B3110)</f>
        <v>3847.793527</v>
      </c>
      <c r="Q3110" s="1">
        <f>value(KWD!$B3110)</f>
        <v>46797.48553</v>
      </c>
    </row>
    <row r="3111">
      <c r="A3111" s="4">
        <f>value(USD!A3111)</f>
        <v>43476.99861</v>
      </c>
      <c r="B3111" s="1">
        <f>value(USD!B3111)</f>
        <v>14080.5</v>
      </c>
      <c r="C3111" s="1">
        <f>value(AUD!$B3111)</f>
        <v>9975.95</v>
      </c>
      <c r="D3111" s="1">
        <f>value(EUR!$B3111)</f>
        <v>16087.548</v>
      </c>
      <c r="E3111" s="1">
        <f>value(GBP!$B3111)</f>
        <v>18160.3</v>
      </c>
      <c r="F3111" s="1">
        <f>value(CHF!$B3111)</f>
        <v>14101.3</v>
      </c>
      <c r="G3111" s="1">
        <f>value(SGD!$B3111)</f>
        <v>10535.9</v>
      </c>
      <c r="H3111" s="1">
        <f>value(MYR!$B3111)</f>
        <v>3444.15</v>
      </c>
      <c r="I3111" s="1">
        <f>value(THB!$B3111)</f>
        <v>442.195</v>
      </c>
      <c r="J3111" s="1">
        <f>value(VND!$B3111)</f>
        <v>0.6944121259</v>
      </c>
      <c r="K3111" s="1">
        <f>value(CNY!$B3111)</f>
        <v>2115.15</v>
      </c>
      <c r="L3111" s="1">
        <f>value(HKD!$B3111)</f>
        <v>1792</v>
      </c>
      <c r="M3111" s="1">
        <f>value(TWD!$B3111)</f>
        <v>454.125</v>
      </c>
      <c r="N3111" s="1">
        <f>value(JPY!$B3111)</f>
        <v>130.21</v>
      </c>
      <c r="O3111" s="1">
        <f>value(SAR!$B3111)</f>
        <v>3779.670208</v>
      </c>
      <c r="P3111" s="1">
        <f>value(AED!$B3111)</f>
        <v>3847.821935</v>
      </c>
      <c r="Q3111" s="1">
        <f>value(KWD!$B3111)</f>
        <v>46756.76871</v>
      </c>
    </row>
    <row r="3112">
      <c r="A3112" s="4">
        <f>value(USD!A3112)</f>
        <v>43477.99861</v>
      </c>
      <c r="B3112" s="1">
        <f>value(USD!B3112)</f>
        <v>14038</v>
      </c>
      <c r="C3112" s="1">
        <f>value(AUD!$B3112)</f>
        <v>9890.75</v>
      </c>
      <c r="D3112" s="1">
        <f>value(EUR!$B3112)</f>
        <v>16209</v>
      </c>
      <c r="E3112" s="1">
        <f>value(GBP!$B3112)</f>
        <v>18188.85</v>
      </c>
      <c r="F3112" s="1">
        <f>value(CHF!$B3112)</f>
        <v>14082.3</v>
      </c>
      <c r="G3112" s="1">
        <f>value(SGD!$B3112)</f>
        <v>10538.75</v>
      </c>
      <c r="H3112" s="1">
        <f>value(MYR!$B3112)</f>
        <v>3445.75</v>
      </c>
      <c r="I3112" s="1">
        <f>value(THB!$B3112)</f>
        <v>442.795</v>
      </c>
      <c r="J3112" s="1">
        <f>value(VND!$B3112)</f>
        <v>0.6966341877</v>
      </c>
      <c r="K3112" s="1">
        <f>value(CNY!$B3112)</f>
        <v>2110.25</v>
      </c>
      <c r="L3112" s="1">
        <f>value(HKD!$B3112)</f>
        <v>1792</v>
      </c>
      <c r="M3112" s="1">
        <f>value(TWD!$B3112)</f>
        <v>452.295</v>
      </c>
      <c r="N3112" s="1">
        <f>value(JPY!$B3112)</f>
        <v>130.52</v>
      </c>
      <c r="O3112" s="1">
        <f>value(SAR!$B3112)</f>
        <v>3800.0979</v>
      </c>
      <c r="P3112" s="1">
        <f>value(AED!$B3112)</f>
        <v>3846.49931</v>
      </c>
      <c r="Q3112" s="1">
        <f>value(KWD!$B3112)</f>
        <v>46571.79821</v>
      </c>
    </row>
    <row r="3113">
      <c r="A3113" s="4">
        <f>value(USD!A3113)</f>
        <v>43478.99861</v>
      </c>
      <c r="B3113" s="1">
        <f>value(USD!B3113)</f>
        <v>14038</v>
      </c>
      <c r="C3113" s="1">
        <f>value(AUD!$B3113)</f>
        <v>9912.15</v>
      </c>
      <c r="D3113" s="1">
        <f>value(EUR!$B3113)</f>
        <v>16083</v>
      </c>
      <c r="E3113" s="1">
        <f>value(GBP!$B3113)</f>
        <v>18137.85</v>
      </c>
      <c r="F3113" s="1">
        <f>value(CHF!$B3113)</f>
        <v>13965.1</v>
      </c>
      <c r="G3113" s="1">
        <f>value(SGD!$B3113)</f>
        <v>10555.4</v>
      </c>
      <c r="H3113" s="1">
        <f>value(MYR!$B3113)</f>
        <v>3437.95</v>
      </c>
      <c r="I3113" s="1">
        <f>value(THB!$B3113)</f>
        <v>441.805</v>
      </c>
      <c r="J3113" s="1">
        <f>value(VND!$B3113)</f>
        <v>0.6927334512</v>
      </c>
      <c r="K3113" s="1">
        <f>value(CNY!$B3113)</f>
        <v>2115.85</v>
      </c>
      <c r="L3113" s="1">
        <f>value(HKD!$B3113)</f>
        <v>1820</v>
      </c>
      <c r="M3113" s="1">
        <f>value(TWD!$B3113)</f>
        <v>453.02</v>
      </c>
      <c r="N3113" s="1">
        <f>value(JPY!$B3113)</f>
        <v>129.69</v>
      </c>
      <c r="O3113" s="1">
        <f>value(SAR!$B3113)</f>
        <v>3802.835025</v>
      </c>
      <c r="P3113" s="1">
        <f>value(AED!$B3113)</f>
        <v>3842.154168</v>
      </c>
      <c r="Q3113" s="1">
        <f>value(KWD!$B3113)</f>
        <v>46571.61455</v>
      </c>
    </row>
    <row r="3114">
      <c r="A3114" s="4">
        <f>value(USD!A3114)</f>
        <v>43479.99861</v>
      </c>
      <c r="B3114" s="1">
        <f>value(USD!B3114)</f>
        <v>14117</v>
      </c>
      <c r="C3114" s="1">
        <f>value(AUD!$B3114)</f>
        <v>10916.7</v>
      </c>
      <c r="D3114" s="1">
        <f>value(EUR!$B3114)</f>
        <v>16104</v>
      </c>
      <c r="E3114" s="1">
        <f>value(GBP!$B3114)</f>
        <v>18203.85</v>
      </c>
      <c r="F3114" s="1">
        <f>value(CHF!$B3114)</f>
        <v>13966.35</v>
      </c>
      <c r="G3114" s="1">
        <f>value(SGD!$B3114)</f>
        <v>10529.45</v>
      </c>
      <c r="H3114" s="1">
        <f>value(MYR!$B3114)</f>
        <v>3437.55</v>
      </c>
      <c r="I3114" s="1">
        <f>value(THB!$B3114)</f>
        <v>446.07</v>
      </c>
      <c r="J3114" s="1">
        <f>value(VND!$B3114)</f>
        <v>0.7067382827</v>
      </c>
      <c r="K3114" s="1">
        <f>value(CNY!$B3114)</f>
        <v>2110.3</v>
      </c>
      <c r="L3114" s="1">
        <f>value(HKD!$B3114)</f>
        <v>1814.75</v>
      </c>
      <c r="M3114" s="1">
        <f>value(TWD!$B3114)</f>
        <v>453.14</v>
      </c>
      <c r="N3114" s="1">
        <f>value(JPY!$B3114)</f>
        <v>129.58</v>
      </c>
      <c r="O3114" s="1">
        <f>value(SAR!$B3114)</f>
        <v>3805.648605</v>
      </c>
      <c r="P3114" s="1">
        <f>value(AED!$B3114)</f>
        <v>3871.284084</v>
      </c>
      <c r="Q3114" s="1">
        <f>value(KWD!$B3114)</f>
        <v>46629.30369</v>
      </c>
    </row>
    <row r="3115">
      <c r="A3115" s="4">
        <f>value(USD!A3115)</f>
        <v>43480.99861</v>
      </c>
      <c r="B3115" s="1">
        <f>value(USD!B3115)</f>
        <v>14111</v>
      </c>
      <c r="C3115" s="1">
        <f>value(AUD!$B3115)</f>
        <v>9966.9</v>
      </c>
      <c r="D3115" s="1">
        <f>value(EUR!$B3115)</f>
        <v>16104</v>
      </c>
      <c r="E3115" s="1">
        <f>value(GBP!$B3115)</f>
        <v>18404.1</v>
      </c>
      <c r="F3115" s="1">
        <f>value(CHF!$B3115)</f>
        <v>13966.35</v>
      </c>
      <c r="G3115" s="1">
        <f>value(SGD!$B3115)</f>
        <v>10510.95</v>
      </c>
      <c r="H3115" s="1">
        <f>value(MYR!$B3115)</f>
        <v>3448.65</v>
      </c>
      <c r="I3115" s="1">
        <f>value(THB!$B3115)</f>
        <v>446.89</v>
      </c>
      <c r="J3115" s="1">
        <f>value(VND!$B3115)</f>
        <v>0.6957675617</v>
      </c>
      <c r="K3115" s="1">
        <f>value(CNY!$B3115)</f>
        <v>2110.3</v>
      </c>
      <c r="L3115" s="1">
        <f>value(HKD!$B3115)</f>
        <v>1817.05</v>
      </c>
      <c r="M3115" s="1">
        <f>value(TWD!$B3115)</f>
        <v>454.855</v>
      </c>
      <c r="N3115" s="1">
        <f>value(JPY!$B3115)</f>
        <v>129.94</v>
      </c>
      <c r="O3115" s="1">
        <f>value(SAR!$B3115)</f>
        <v>3796.409587</v>
      </c>
      <c r="P3115" s="1">
        <f>value(AED!$B3115)</f>
        <v>3873.462021</v>
      </c>
      <c r="Q3115" s="1">
        <f>value(KWD!$B3115)</f>
        <v>46533.95794</v>
      </c>
    </row>
    <row r="3116">
      <c r="A3116" s="4">
        <f>value(USD!A3116)</f>
        <v>43481.99861</v>
      </c>
      <c r="B3116" s="1">
        <f>value(USD!B3116)</f>
        <v>14140</v>
      </c>
      <c r="C3116" s="1">
        <f>value(AUD!$B3116)</f>
        <v>9980.7</v>
      </c>
      <c r="D3116" s="1">
        <f>value(EUR!$B3116)</f>
        <v>16100</v>
      </c>
      <c r="E3116" s="1">
        <f>value(GBP!$B3116)</f>
        <v>18236.4</v>
      </c>
      <c r="F3116" s="1">
        <f>value(CHF!$B3116)</f>
        <v>14173.2</v>
      </c>
      <c r="G3116" s="1">
        <f>value(SGD!$B3116)</f>
        <v>10460.35</v>
      </c>
      <c r="H3116" s="1">
        <f>value(MYR!$B3116)</f>
        <v>3438.5</v>
      </c>
      <c r="I3116" s="1">
        <f>value(THB!$B3116)</f>
        <v>445.945</v>
      </c>
      <c r="J3116" s="1">
        <f>value(VND!$B3116)</f>
        <v>0.697500765</v>
      </c>
      <c r="K3116" s="1">
        <f>value(CNY!$B3116)</f>
        <v>2110.3</v>
      </c>
      <c r="L3116" s="1">
        <f>value(HKD!$B3116)</f>
        <v>1813.25</v>
      </c>
      <c r="M3116" s="1">
        <f>value(TWD!$B3116)</f>
        <v>454.855</v>
      </c>
      <c r="N3116" s="1">
        <f>value(JPY!$B3116)</f>
        <v>128.96</v>
      </c>
      <c r="O3116" s="1">
        <f>value(SAR!$B3116)</f>
        <v>3782.84115</v>
      </c>
      <c r="P3116" s="1">
        <f>value(AED!$B3116)</f>
        <v>3862.708454</v>
      </c>
      <c r="Q3116" s="1">
        <f>value(KWD!$B3116)</f>
        <v>46316.27487</v>
      </c>
    </row>
    <row r="3117">
      <c r="A3117" s="4">
        <f>value(USD!A3117)</f>
        <v>43482.99861</v>
      </c>
      <c r="B3117" s="1">
        <f>value(USD!B3117)</f>
        <v>14173</v>
      </c>
      <c r="C3117" s="1">
        <f>value(AUD!$B3117)</f>
        <v>10940.1</v>
      </c>
      <c r="D3117" s="1">
        <f>value(EUR!$B3117)</f>
        <v>16107.00876</v>
      </c>
      <c r="E3117" s="1">
        <f>value(GBP!$B3117)</f>
        <v>18236.4</v>
      </c>
      <c r="F3117" s="1">
        <f>value(CHF!$B3117)</f>
        <v>14100</v>
      </c>
      <c r="G3117" s="1">
        <f>value(SGD!$B3117)</f>
        <v>10477.75</v>
      </c>
      <c r="H3117" s="1">
        <f>value(MYR!$B3117)</f>
        <v>3438.5</v>
      </c>
      <c r="I3117" s="1">
        <f>value(THB!$B3117)</f>
        <v>445.945</v>
      </c>
      <c r="J3117" s="1">
        <f>value(VND!$B3117)</f>
        <v>0.6982615941</v>
      </c>
      <c r="K3117" s="1">
        <f>value(CNY!$B3117)</f>
        <v>2114.25</v>
      </c>
      <c r="L3117" s="1">
        <f>value(HKD!$B3117)</f>
        <v>1815.55</v>
      </c>
      <c r="M3117" s="1">
        <f>value(TWD!$B3117)</f>
        <v>454.705</v>
      </c>
      <c r="N3117" s="1">
        <f>value(JPY!$B3117)</f>
        <v>128.96</v>
      </c>
      <c r="O3117" s="1">
        <f>value(SAR!$B3117)</f>
        <v>3782.84115</v>
      </c>
      <c r="P3117" s="1">
        <f>value(AED!$B3117)</f>
        <v>3846.101397</v>
      </c>
      <c r="Q3117" s="1">
        <f>value(KWD!$B3117)</f>
        <v>46171.36156</v>
      </c>
    </row>
    <row r="3118">
      <c r="A3118" s="4">
        <f>value(USD!A3118)</f>
        <v>43483.99861</v>
      </c>
      <c r="B3118" s="1">
        <f>value(USD!B3118)</f>
        <v>14231</v>
      </c>
      <c r="C3118" s="1">
        <f>value(AUD!$B3118)</f>
        <v>10048.15</v>
      </c>
      <c r="D3118" s="1">
        <f>value(EUR!$B3118)</f>
        <v>16101.64864</v>
      </c>
      <c r="E3118" s="1">
        <f>value(GBP!$B3118)</f>
        <v>18211.65</v>
      </c>
      <c r="F3118" s="1">
        <f>value(CHF!$B3118)</f>
        <v>14159.1</v>
      </c>
      <c r="G3118" s="1">
        <f>value(SGD!$B3118)</f>
        <v>10458.9</v>
      </c>
      <c r="H3118" s="1">
        <f>value(MYR!$B3118)</f>
        <v>3438.5</v>
      </c>
      <c r="I3118" s="1">
        <f>value(THB!$B3118)</f>
        <v>445.945</v>
      </c>
      <c r="J3118" s="1">
        <f>value(VND!$B3118)</f>
        <v>0.6944977704</v>
      </c>
      <c r="K3118" s="1">
        <f>value(CNY!$B3118)</f>
        <v>2104.35</v>
      </c>
      <c r="L3118" s="1">
        <f>value(HKD!$B3118)</f>
        <v>1812.3</v>
      </c>
      <c r="M3118" s="1">
        <f>value(TWD!$B3118)</f>
        <v>455.815</v>
      </c>
      <c r="N3118" s="1">
        <f>value(JPY!$B3118)</f>
        <v>129.11</v>
      </c>
      <c r="O3118" s="1">
        <f>value(SAR!$B3118)</f>
        <v>3782.789498</v>
      </c>
      <c r="P3118" s="1">
        <f>value(AED!$B3118)</f>
        <v>3846.10168</v>
      </c>
      <c r="Q3118" s="1">
        <f>value(KWD!$B3118)</f>
        <v>46421.66357</v>
      </c>
    </row>
    <row r="3119">
      <c r="A3119" s="4">
        <f>value(USD!A3119)</f>
        <v>43484.99861</v>
      </c>
      <c r="B3119" s="1">
        <f>value(USD!B3119)</f>
        <v>14161.29</v>
      </c>
      <c r="C3119" s="1">
        <f>value(AUD!$B3119)</f>
        <v>10008.15</v>
      </c>
      <c r="D3119" s="1">
        <f>value(EUR!$B3119)</f>
        <v>16169.1</v>
      </c>
      <c r="E3119" s="1">
        <f>value(GBP!$B3119)</f>
        <v>18333.05</v>
      </c>
      <c r="F3119" s="1">
        <f>value(CHF!$B3119)</f>
        <v>14185.5</v>
      </c>
      <c r="G3119" s="1">
        <f>value(SGD!$B3119)</f>
        <v>10475.85</v>
      </c>
      <c r="H3119" s="1">
        <f>value(MYR!$B3119)</f>
        <v>3448.35</v>
      </c>
      <c r="I3119" s="1">
        <f>value(THB!$B3119)</f>
        <v>447.07</v>
      </c>
      <c r="J3119" s="1">
        <f>value(VND!$B3119)</f>
        <v>0.6872263249</v>
      </c>
      <c r="K3119" s="1">
        <f>value(CNY!$B3119)</f>
        <v>2105.55</v>
      </c>
      <c r="L3119" s="1">
        <f>value(HKD!$B3119)</f>
        <v>1812.3</v>
      </c>
      <c r="M3119" s="1">
        <f>value(TWD!$B3119)</f>
        <v>456.52</v>
      </c>
      <c r="N3119" s="1">
        <f>value(JPY!$B3119)</f>
        <v>129.67</v>
      </c>
      <c r="O3119" s="1">
        <f>value(SAR!$B3119)</f>
        <v>3798.01812</v>
      </c>
      <c r="P3119" s="1">
        <f>value(AED!$B3119)</f>
        <v>3851.085873</v>
      </c>
      <c r="Q3119" s="1">
        <f>value(KWD!$B3119)</f>
        <v>46211.83749</v>
      </c>
    </row>
    <row r="3120">
      <c r="A3120" s="4">
        <f>value(USD!A3120)</f>
        <v>43485.99861</v>
      </c>
      <c r="B3120" s="1">
        <f>value(USD!B3120)</f>
        <v>14168</v>
      </c>
      <c r="C3120" s="1">
        <f>value(AUD!$B3120)</f>
        <v>9969.95</v>
      </c>
      <c r="D3120" s="1">
        <f>value(EUR!$B3120)</f>
        <v>16160</v>
      </c>
      <c r="E3120" s="1">
        <f>value(GBP!$B3120)</f>
        <v>18426.6</v>
      </c>
      <c r="F3120" s="1">
        <f>value(CHF!$B3120)</f>
        <v>14201.3</v>
      </c>
      <c r="G3120" s="1">
        <f>value(SGD!$B3120)</f>
        <v>10503.8</v>
      </c>
      <c r="H3120" s="1">
        <f>value(MYR!$B3120)</f>
        <v>3440.35</v>
      </c>
      <c r="I3120" s="1">
        <f>value(THB!$B3120)</f>
        <v>447.45</v>
      </c>
      <c r="J3120" s="1">
        <f>value(VND!$B3120)</f>
        <v>0.6815339307</v>
      </c>
      <c r="K3120" s="1">
        <f>value(CNY!$B3120)</f>
        <v>2100.25</v>
      </c>
      <c r="L3120" s="1">
        <f>value(HKD!$B3120)</f>
        <v>1816.35</v>
      </c>
      <c r="M3120" s="1">
        <f>value(TWD!$B3120)</f>
        <v>456.595</v>
      </c>
      <c r="N3120" s="1">
        <f>value(JPY!$B3120)</f>
        <v>130.04</v>
      </c>
      <c r="O3120" s="1">
        <f>value(SAR!$B3120)</f>
        <v>3795.673248</v>
      </c>
      <c r="P3120" s="1">
        <f>value(AED!$B3120)</f>
        <v>3840.384594</v>
      </c>
      <c r="Q3120" s="1">
        <f>value(KWD!$B3120)</f>
        <v>46218.60236</v>
      </c>
    </row>
    <row r="3121">
      <c r="A3121" s="4">
        <f>value(USD!A3121)</f>
        <v>43486.99861</v>
      </c>
      <c r="B3121" s="1">
        <f>value(USD!B3121)</f>
        <v>14307</v>
      </c>
      <c r="C3121" s="1">
        <f>value(AUD!$B3121)</f>
        <v>9971.5</v>
      </c>
      <c r="D3121" s="1">
        <f>value(EUR!$B3121)</f>
        <v>16153</v>
      </c>
      <c r="E3121" s="1">
        <f>value(GBP!$B3121)</f>
        <v>18559.05</v>
      </c>
      <c r="F3121" s="1">
        <f>value(CHF!$B3121)</f>
        <v>14211.8</v>
      </c>
      <c r="G3121" s="1">
        <f>value(SGD!$B3121)</f>
        <v>10488.05</v>
      </c>
      <c r="H3121" s="1">
        <f>value(MYR!$B3121)</f>
        <v>3428.95</v>
      </c>
      <c r="I3121" s="1">
        <f>value(THB!$B3121)</f>
        <v>447.575</v>
      </c>
      <c r="J3121" s="1">
        <f>value(VND!$B3121)</f>
        <v>0.6776120408</v>
      </c>
      <c r="K3121" s="1">
        <f>value(CNY!$B3121)</f>
        <v>2096.95</v>
      </c>
      <c r="L3121" s="1">
        <f>value(HKD!$B3121)</f>
        <v>1814.1</v>
      </c>
      <c r="M3121" s="1">
        <f>value(TWD!$B3121)</f>
        <v>501.48</v>
      </c>
      <c r="N3121" s="1">
        <f>value(JPY!$B3121)</f>
        <v>129.57</v>
      </c>
      <c r="O3121" s="1">
        <f>value(SAR!$B3121)</f>
        <v>3796.933525</v>
      </c>
      <c r="P3121" s="1">
        <f>value(AED!$B3121)</f>
        <v>3824.594546</v>
      </c>
      <c r="Q3121" s="1">
        <f>value(KWD!$B3121)</f>
        <v>46218.60236</v>
      </c>
    </row>
    <row r="3122">
      <c r="A3122" s="4">
        <f>value(USD!A3122)</f>
        <v>43487.99861</v>
      </c>
      <c r="B3122" s="1">
        <f>value(USD!B3122)</f>
        <v>14208</v>
      </c>
      <c r="C3122" s="1">
        <f>value(AUD!$B3122)</f>
        <v>9971.5</v>
      </c>
      <c r="D3122" s="1">
        <f>value(EUR!$B3122)</f>
        <v>16049.1779</v>
      </c>
      <c r="E3122" s="1">
        <f>value(GBP!$B3122)</f>
        <v>18566.5</v>
      </c>
      <c r="F3122" s="1">
        <f>value(CHF!$B3122)</f>
        <v>14211.8</v>
      </c>
      <c r="G3122" s="1">
        <f>value(SGD!$B3122)</f>
        <v>10471</v>
      </c>
      <c r="H3122" s="1">
        <f>value(MYR!$B3122)</f>
        <v>3417.15</v>
      </c>
      <c r="I3122" s="1">
        <f>value(THB!$B3122)</f>
        <v>446.475</v>
      </c>
      <c r="J3122" s="1">
        <f>value(VND!$B3122)</f>
        <v>0.6776120408</v>
      </c>
      <c r="K3122" s="1">
        <f>value(CNY!$B3122)</f>
        <v>2096.95</v>
      </c>
      <c r="L3122" s="1">
        <f>value(HKD!$B3122)</f>
        <v>1812.25</v>
      </c>
      <c r="M3122" s="1">
        <f>value(TWD!$B3122)</f>
        <v>501.48</v>
      </c>
      <c r="N3122" s="1">
        <f>value(JPY!$B3122)</f>
        <v>129.08</v>
      </c>
      <c r="O3122" s="1">
        <f>value(SAR!$B3122)</f>
        <v>3827.06348</v>
      </c>
      <c r="P3122" s="1">
        <f>value(AED!$B3122)</f>
        <v>3814.865084</v>
      </c>
      <c r="Q3122" s="1">
        <f>value(KWD!$B3122)</f>
        <v>46127.2713</v>
      </c>
    </row>
    <row r="3123">
      <c r="A3123" s="4">
        <f>value(USD!A3123)</f>
        <v>43488.99861</v>
      </c>
      <c r="B3123" s="1">
        <f>value(USD!B3123)</f>
        <v>14130.9</v>
      </c>
      <c r="C3123" s="1">
        <f>value(AUD!$B3123)</f>
        <v>9929</v>
      </c>
      <c r="D3123" s="1">
        <f>value(EUR!$B3123)</f>
        <v>16003</v>
      </c>
      <c r="E3123" s="1">
        <f>value(GBP!$B3123)</f>
        <v>18531.65</v>
      </c>
      <c r="F3123" s="1">
        <f>value(CHF!$B3123)</f>
        <v>14225.2</v>
      </c>
      <c r="G3123" s="1">
        <f>value(SGD!$B3123)</f>
        <v>10491.4</v>
      </c>
      <c r="H3123" s="1">
        <f>value(MYR!$B3123)</f>
        <v>3411.95</v>
      </c>
      <c r="I3123" s="1">
        <f>value(THB!$B3123)</f>
        <v>444.725</v>
      </c>
      <c r="J3123" s="1">
        <f>value(VND!$B3123)</f>
        <v>0.6775748262</v>
      </c>
      <c r="K3123" s="1">
        <f>value(CNY!$B3123)</f>
        <v>2096.95</v>
      </c>
      <c r="L3123" s="1">
        <f>value(HKD!$B3123)</f>
        <v>1802.65</v>
      </c>
      <c r="M3123" s="1">
        <f>value(TWD!$B3123)</f>
        <v>501.48</v>
      </c>
      <c r="N3123" s="1">
        <f>value(JPY!$B3123)</f>
        <v>128.14</v>
      </c>
      <c r="O3123" s="1">
        <f>value(SAR!$B3123)</f>
        <v>3792.00736</v>
      </c>
      <c r="P3123" s="1">
        <f>value(AED!$B3123)</f>
        <v>3837.158603</v>
      </c>
      <c r="Q3123" s="1">
        <f>value(KWD!$B3123)</f>
        <v>46338.61685</v>
      </c>
    </row>
    <row r="3124">
      <c r="A3124" s="4">
        <f>value(USD!A3124)</f>
        <v>43489.99861</v>
      </c>
      <c r="B3124" s="1">
        <f>value(USD!B3124)</f>
        <v>14189</v>
      </c>
      <c r="C3124" s="1">
        <f>value(AUD!$B3124)</f>
        <v>10000</v>
      </c>
      <c r="D3124" s="1">
        <f>value(EUR!$B3124)</f>
        <v>15981.3</v>
      </c>
      <c r="E3124" s="1">
        <f>value(GBP!$B3124)</f>
        <v>18494.75</v>
      </c>
      <c r="F3124" s="1">
        <f>value(CHF!$B3124)</f>
        <v>14207.1</v>
      </c>
      <c r="G3124" s="1">
        <f>value(SGD!$B3124)</f>
        <v>10491.4</v>
      </c>
      <c r="H3124" s="1">
        <f>value(MYR!$B3124)</f>
        <v>3414.55</v>
      </c>
      <c r="I3124" s="1">
        <f>value(THB!$B3124)</f>
        <v>444.12</v>
      </c>
      <c r="J3124" s="1">
        <f>value(VND!$B3124)</f>
        <v>0.6734614159</v>
      </c>
      <c r="K3124" s="1">
        <f>value(CNY!$B3124)</f>
        <v>2082.45</v>
      </c>
      <c r="L3124" s="1">
        <f>value(HKD!$B3124)</f>
        <v>1798.05</v>
      </c>
      <c r="M3124" s="1">
        <f>value(TWD!$B3124)</f>
        <v>498.135</v>
      </c>
      <c r="N3124" s="1">
        <f>value(JPY!$B3124)</f>
        <v>127.95</v>
      </c>
      <c r="O3124" s="1">
        <f>value(SAR!$B3124)</f>
        <v>3792.00736</v>
      </c>
      <c r="P3124" s="1">
        <f>value(AED!$B3124)</f>
        <v>3821.231134</v>
      </c>
      <c r="Q3124" s="1">
        <f>value(KWD!$B3124)</f>
        <v>46302.72436</v>
      </c>
    </row>
    <row r="3125">
      <c r="A3125" s="4">
        <f>value(USD!A3125)</f>
        <v>43490.99861</v>
      </c>
      <c r="B3125" s="1">
        <f>value(USD!B3125)</f>
        <v>14065.5</v>
      </c>
      <c r="C3125" s="1">
        <f>value(AUD!$B3125)</f>
        <v>9996.25</v>
      </c>
      <c r="D3125" s="1">
        <f>value(EUR!$B3125)</f>
        <v>16066.37672</v>
      </c>
      <c r="E3125" s="1">
        <f>value(GBP!$B3125)</f>
        <v>18495.3</v>
      </c>
      <c r="F3125" s="1">
        <f>value(CHF!$B3125)</f>
        <v>14241.8</v>
      </c>
      <c r="G3125" s="1">
        <f>value(SGD!$B3125)</f>
        <v>10491.4</v>
      </c>
      <c r="H3125" s="1">
        <f>value(MYR!$B3125)</f>
        <v>3414.55</v>
      </c>
      <c r="I3125" s="1">
        <f>value(THB!$B3125)</f>
        <v>444.12</v>
      </c>
      <c r="J3125" s="1">
        <f>value(VND!$B3125)</f>
        <v>0.6665156945</v>
      </c>
      <c r="K3125" s="1">
        <f>value(CNY!$B3125)</f>
        <v>2099.55</v>
      </c>
      <c r="L3125" s="1">
        <f>value(HKD!$B3125)</f>
        <v>1801.5</v>
      </c>
      <c r="M3125" s="1">
        <f>value(TWD!$B3125)</f>
        <v>453.93</v>
      </c>
      <c r="N3125" s="1">
        <f>value(JPY!$B3125)</f>
        <v>127.995</v>
      </c>
      <c r="O3125" s="1">
        <f>value(SAR!$B3125)</f>
        <v>3795.038473</v>
      </c>
      <c r="P3125" s="1">
        <f>value(AED!$B3125)</f>
        <v>3821.230854</v>
      </c>
      <c r="Q3125" s="1">
        <f>value(KWD!$B3125)</f>
        <v>46500.8499</v>
      </c>
    </row>
    <row r="3126">
      <c r="A3126" s="4">
        <f>value(USD!A3126)</f>
        <v>43491.99861</v>
      </c>
      <c r="B3126" s="1">
        <f>value(USD!B3126)</f>
        <v>14065.68</v>
      </c>
      <c r="C3126" s="1">
        <f>value(AUD!$B3126)</f>
        <v>9985.35</v>
      </c>
      <c r="D3126" s="1">
        <f>value(EUR!$B3126)</f>
        <v>16049.6</v>
      </c>
      <c r="E3126" s="1">
        <f>value(GBP!$B3126)</f>
        <v>18508.15</v>
      </c>
      <c r="F3126" s="1">
        <f>value(CHF!$B3126)</f>
        <v>14274.9</v>
      </c>
      <c r="G3126" s="1">
        <f>value(SGD!$B3126)</f>
        <v>10506.2</v>
      </c>
      <c r="H3126" s="1">
        <f>value(MYR!$B3126)</f>
        <v>3422.1</v>
      </c>
      <c r="I3126" s="1">
        <f>value(THB!$B3126)</f>
        <v>446.18</v>
      </c>
      <c r="J3126" s="1">
        <f>value(VND!$B3126)</f>
        <v>0.6785165961</v>
      </c>
      <c r="K3126" s="1">
        <f>value(CNY!$B3126)</f>
        <v>2102.95</v>
      </c>
      <c r="L3126" s="1">
        <f>value(HKD!$B3126)</f>
        <v>1802.6</v>
      </c>
      <c r="M3126" s="1">
        <f>value(TWD!$B3126)</f>
        <v>456.71</v>
      </c>
      <c r="N3126" s="1">
        <f>value(JPY!$B3126)</f>
        <v>128.73</v>
      </c>
      <c r="O3126" s="1">
        <f>value(SAR!$B3126)</f>
        <v>3804.334125</v>
      </c>
      <c r="P3126" s="1">
        <f>value(AED!$B3126)</f>
        <v>3821.303836</v>
      </c>
      <c r="Q3126" s="1">
        <f>value(KWD!$B3126)</f>
        <v>46131.5253</v>
      </c>
    </row>
    <row r="3127">
      <c r="A3127" s="4">
        <f>value(USD!A3127)</f>
        <v>43492.99861</v>
      </c>
      <c r="B3127" s="1">
        <f>value(USD!B3127)</f>
        <v>14078</v>
      </c>
      <c r="C3127" s="1">
        <f>value(AUD!$B3127)</f>
        <v>10021.5</v>
      </c>
      <c r="D3127" s="1">
        <f>value(EUR!$B3127)</f>
        <v>16105</v>
      </c>
      <c r="E3127" s="1">
        <f>value(GBP!$B3127)</f>
        <v>18417.1</v>
      </c>
      <c r="F3127" s="1">
        <f>value(CHF!$B3127)</f>
        <v>14224.35</v>
      </c>
      <c r="G3127" s="1">
        <f>value(SGD!$B3127)</f>
        <v>10499.4</v>
      </c>
      <c r="H3127" s="1">
        <f>value(MYR!$B3127)</f>
        <v>3434.5</v>
      </c>
      <c r="I3127" s="1">
        <f>value(THB!$B3127)</f>
        <v>447.41</v>
      </c>
      <c r="J3127" s="1">
        <f>value(VND!$B3127)</f>
        <v>0.6633193992</v>
      </c>
      <c r="K3127" s="1">
        <f>value(CNY!$B3127)</f>
        <v>2099.55</v>
      </c>
      <c r="L3127" s="1">
        <f>value(HKD!$B3127)</f>
        <v>1805.55</v>
      </c>
      <c r="M3127" s="1">
        <f>value(TWD!$B3127)</f>
        <v>454.605</v>
      </c>
      <c r="N3127" s="1">
        <f>value(JPY!$B3127)</f>
        <v>128.71</v>
      </c>
      <c r="O3127" s="1">
        <f>value(SAR!$B3127)</f>
        <v>3820.691262</v>
      </c>
      <c r="P3127" s="1">
        <f>value(AED!$B3127)</f>
        <v>3818.50821</v>
      </c>
      <c r="Q3127" s="1">
        <f>value(KWD!$B3127)</f>
        <v>46104.40062</v>
      </c>
    </row>
    <row r="3128">
      <c r="A3128" s="4">
        <f>value(USD!A3128)</f>
        <v>43493.99861</v>
      </c>
      <c r="B3128" s="1">
        <f>value(USD!B3128)</f>
        <v>14063</v>
      </c>
      <c r="C3128" s="1">
        <f>value(AUD!$B3128)</f>
        <v>10022.4</v>
      </c>
      <c r="D3128" s="1">
        <f>value(EUR!$B3128)</f>
        <v>16115.4972</v>
      </c>
      <c r="E3128" s="1">
        <f>value(GBP!$B3128)</f>
        <v>18523.8</v>
      </c>
      <c r="F3128" s="1">
        <f>value(CHF!$B3128)</f>
        <v>14247.35</v>
      </c>
      <c r="G3128" s="1">
        <f>value(SGD!$B3128)</f>
        <v>10497.7</v>
      </c>
      <c r="H3128" s="1">
        <f>value(MYR!$B3128)</f>
        <v>3458.6</v>
      </c>
      <c r="I3128" s="1">
        <f>value(THB!$B3128)</f>
        <v>451.7</v>
      </c>
      <c r="J3128" s="1">
        <f>value(VND!$B3128)</f>
        <v>0.6619404937</v>
      </c>
      <c r="K3128" s="1">
        <f>value(CNY!$B3128)</f>
        <v>2088.3</v>
      </c>
      <c r="L3128" s="1">
        <f>value(HKD!$B3128)</f>
        <v>1806.55</v>
      </c>
      <c r="M3128" s="1">
        <f>value(TWD!$B3128)</f>
        <v>455.17</v>
      </c>
      <c r="N3128" s="1">
        <f>value(JPY!$B3128)</f>
        <v>129.58</v>
      </c>
      <c r="O3128" s="1">
        <f>value(SAR!$B3128)</f>
        <v>3809.90475</v>
      </c>
      <c r="P3128" s="1">
        <f>value(AED!$B3128)</f>
        <v>3831.849165</v>
      </c>
      <c r="Q3128" s="1">
        <f>value(KWD!$B3128)</f>
        <v>46237.0517</v>
      </c>
    </row>
    <row r="3129">
      <c r="A3129" s="4">
        <f>value(USD!A3129)</f>
        <v>43494.99861</v>
      </c>
      <c r="B3129" s="1">
        <f>value(USD!B3129)</f>
        <v>14074</v>
      </c>
      <c r="C3129" s="1">
        <f>value(AUD!$B3129)</f>
        <v>10022.4</v>
      </c>
      <c r="D3129" s="1">
        <f>value(EUR!$B3129)</f>
        <v>15988.2768</v>
      </c>
      <c r="E3129" s="1">
        <f>value(GBP!$B3129)</f>
        <v>18378.2</v>
      </c>
      <c r="F3129" s="1">
        <f>value(CHF!$B3129)</f>
        <v>14251.2</v>
      </c>
      <c r="G3129" s="1">
        <f>value(SGD!$B3129)</f>
        <v>10503.35</v>
      </c>
      <c r="H3129" s="1">
        <f>value(MYR!$B3129)</f>
        <v>3411.25</v>
      </c>
      <c r="I3129" s="1">
        <f>value(THB!$B3129)</f>
        <v>448.915</v>
      </c>
      <c r="J3129" s="1">
        <f>value(VND!$B3129)</f>
        <v>0.6618672128</v>
      </c>
      <c r="K3129" s="1">
        <f>value(CNY!$B3129)</f>
        <v>2088.3</v>
      </c>
      <c r="L3129" s="1">
        <f>value(HKD!$B3129)</f>
        <v>1806.55</v>
      </c>
      <c r="M3129" s="1">
        <f>value(TWD!$B3129)</f>
        <v>455.17</v>
      </c>
      <c r="N3129" s="1">
        <f>value(JPY!$B3129)</f>
        <v>128.815</v>
      </c>
      <c r="O3129" s="1">
        <f>value(SAR!$B3129)</f>
        <v>3795.9051</v>
      </c>
      <c r="P3129" s="1">
        <f>value(AED!$B3129)</f>
        <v>3829.126521</v>
      </c>
      <c r="Q3129" s="1">
        <f>value(KWD!$B3129)</f>
        <v>46329.56516</v>
      </c>
    </row>
    <row r="3130">
      <c r="A3130" s="4">
        <f>value(USD!A3130)</f>
        <v>43495.99861</v>
      </c>
      <c r="B3130" s="1">
        <f>value(USD!B3130)</f>
        <v>14033</v>
      </c>
      <c r="C3130" s="1">
        <f>value(AUD!$B3130)</f>
        <v>9998.9</v>
      </c>
      <c r="D3130" s="1">
        <f>value(EUR!$B3130)</f>
        <v>15988.1</v>
      </c>
      <c r="E3130" s="1">
        <f>value(GBP!$B3130)</f>
        <v>18262.2</v>
      </c>
      <c r="F3130" s="1">
        <f>value(CHF!$B3130)</f>
        <v>14256.2</v>
      </c>
      <c r="G3130" s="1">
        <f>value(SGD!$B3130)</f>
        <v>10462.8</v>
      </c>
      <c r="H3130" s="1">
        <f>value(MYR!$B3130)</f>
        <v>3402.8</v>
      </c>
      <c r="I3130" s="1">
        <f>value(THB!$B3130)</f>
        <v>445.71</v>
      </c>
      <c r="J3130" s="1">
        <f>value(VND!$B3130)</f>
        <v>0.6608644312</v>
      </c>
      <c r="K3130" s="1">
        <f>value(CNY!$B3130)</f>
        <v>2088.3</v>
      </c>
      <c r="L3130" s="1">
        <f>value(HKD!$B3130)</f>
        <v>1808.8</v>
      </c>
      <c r="M3130" s="1">
        <f>value(TWD!$B3130)</f>
        <v>455.17</v>
      </c>
      <c r="N3130" s="1">
        <f>value(JPY!$B3130)</f>
        <v>127.41</v>
      </c>
      <c r="O3130" s="1">
        <f>value(SAR!$B3130)</f>
        <v>3810.556018</v>
      </c>
      <c r="P3130" s="1">
        <f>value(AED!$B3130)</f>
        <v>3846.415311</v>
      </c>
      <c r="Q3130" s="1">
        <f>value(KWD!$B3130)</f>
        <v>46189.92426</v>
      </c>
    </row>
    <row r="3131">
      <c r="A3131" s="4">
        <f>value(USD!A3131)</f>
        <v>43496.99861</v>
      </c>
      <c r="B3131" s="1">
        <f>value(USD!B3131)</f>
        <v>13966</v>
      </c>
      <c r="C3131" s="1">
        <f>value(AUD!$B3131)</f>
        <v>9947.4</v>
      </c>
      <c r="D3131" s="1">
        <f>value(EUR!$B3131)</f>
        <v>15985.13211</v>
      </c>
      <c r="E3131" s="1">
        <f>value(GBP!$B3131)</f>
        <v>18262.2</v>
      </c>
      <c r="F3131" s="1">
        <f>value(CHF!$B3131)</f>
        <v>14290.95</v>
      </c>
      <c r="G3131" s="1">
        <f>value(SGD!$B3131)</f>
        <v>10408.1</v>
      </c>
      <c r="H3131" s="1">
        <f>value(MYR!$B3131)</f>
        <v>3402.8</v>
      </c>
      <c r="I3131" s="1">
        <f>value(THB!$B3131)</f>
        <v>445.71</v>
      </c>
      <c r="J3131" s="1">
        <f>value(VND!$B3131)</f>
        <v>0.6561222423</v>
      </c>
      <c r="K3131" s="1">
        <f>value(CNY!$B3131)</f>
        <v>2090.45</v>
      </c>
      <c r="L3131" s="1">
        <f>value(HKD!$B3131)</f>
        <v>1812.7</v>
      </c>
      <c r="M3131" s="1">
        <f>value(TWD!$B3131)</f>
        <v>453.83</v>
      </c>
      <c r="N3131" s="1">
        <f>value(JPY!$B3131)</f>
        <v>127.41</v>
      </c>
      <c r="O3131" s="1">
        <f>value(SAR!$B3131)</f>
        <v>3843.195072</v>
      </c>
      <c r="P3131" s="1">
        <f>value(AED!$B3131)</f>
        <v>3808.748658</v>
      </c>
      <c r="Q3131" s="1">
        <f>value(KWD!$B3131)</f>
        <v>46145.90112</v>
      </c>
    </row>
    <row r="3132">
      <c r="A3132" s="4">
        <f>value(USD!A3132)</f>
        <v>43497.99861</v>
      </c>
      <c r="B3132" s="1">
        <f>value(USD!B3132)</f>
        <v>13930</v>
      </c>
      <c r="C3132" s="1">
        <f>value(AUD!$B3132)</f>
        <v>10017.4</v>
      </c>
      <c r="D3132" s="1">
        <f>value(EUR!$B3132)</f>
        <v>15959.41552</v>
      </c>
      <c r="E3132" s="1">
        <f>value(GBP!$B3132)</f>
        <v>18246.9</v>
      </c>
      <c r="F3132" s="1">
        <f>value(CHF!$B3132)</f>
        <v>14267.1</v>
      </c>
      <c r="G3132" s="1">
        <f>value(SGD!$B3132)</f>
        <v>10408.1</v>
      </c>
      <c r="H3132" s="1">
        <f>value(MYR!$B3132)</f>
        <v>3402.8</v>
      </c>
      <c r="I3132" s="1">
        <f>value(THB!$B3132)</f>
        <v>445.71</v>
      </c>
      <c r="J3132" s="1">
        <f>value(VND!$B3132)</f>
        <v>0.6581185075</v>
      </c>
      <c r="K3132" s="1">
        <f>value(CNY!$B3132)</f>
        <v>2094.35</v>
      </c>
      <c r="L3132" s="1">
        <f>value(HKD!$B3132)</f>
        <v>1811.25</v>
      </c>
      <c r="M3132" s="1">
        <f>value(TWD!$B3132)</f>
        <v>455.62</v>
      </c>
      <c r="N3132" s="1">
        <f>value(JPY!$B3132)</f>
        <v>127.48</v>
      </c>
      <c r="O3132" s="1">
        <f>value(SAR!$B3132)</f>
        <v>3789.880673</v>
      </c>
      <c r="P3132" s="1">
        <f>value(AED!$B3132)</f>
        <v>3808.748378</v>
      </c>
      <c r="Q3132" s="1">
        <f>value(KWD!$B3132)</f>
        <v>46328.31692</v>
      </c>
    </row>
    <row r="3133">
      <c r="A3133" s="4">
        <f>value(USD!A3133)</f>
        <v>43498.99861</v>
      </c>
      <c r="B3133" s="1">
        <f>value(USD!B3133)</f>
        <v>13949.91</v>
      </c>
      <c r="C3133" s="1">
        <f>value(AUD!$B3133)</f>
        <v>10018.8</v>
      </c>
      <c r="D3133" s="1">
        <f>value(EUR!$B3133)</f>
        <v>15988.1</v>
      </c>
      <c r="E3133" s="1">
        <f>value(GBP!$B3133)</f>
        <v>18181.2</v>
      </c>
      <c r="F3133" s="1">
        <f>value(CHF!$B3133)</f>
        <v>14272.9</v>
      </c>
      <c r="G3133" s="1">
        <f>value(SGD!$B3133)</f>
        <v>10420.4</v>
      </c>
      <c r="H3133" s="1">
        <f>value(MYR!$B3133)</f>
        <v>3412.35</v>
      </c>
      <c r="I3133" s="1">
        <f>value(THB!$B3133)</f>
        <v>445.87</v>
      </c>
      <c r="J3133" s="1">
        <f>value(VND!$B3133)</f>
        <v>0.6522402274</v>
      </c>
      <c r="K3133" s="1">
        <f>value(CNY!$B3133)</f>
        <v>2105.35</v>
      </c>
      <c r="L3133" s="1">
        <f>value(HKD!$B3133)</f>
        <v>1811.25</v>
      </c>
      <c r="M3133" s="1">
        <f>value(TWD!$B3133)</f>
        <v>453.37</v>
      </c>
      <c r="N3133" s="1">
        <f>value(JPY!$B3133)</f>
        <v>126.87</v>
      </c>
      <c r="O3133" s="1">
        <f>value(SAR!$B3133)</f>
        <v>3823.244304</v>
      </c>
      <c r="P3133" s="1">
        <f>value(AED!$B3133)</f>
        <v>3817.461215</v>
      </c>
      <c r="Q3133" s="1">
        <f>value(KWD!$B3133)</f>
        <v>46122.32212</v>
      </c>
    </row>
    <row r="3134">
      <c r="A3134" s="4">
        <f>value(USD!A3134)</f>
        <v>43499.99861</v>
      </c>
      <c r="B3134" s="1">
        <f>value(USD!B3134)</f>
        <v>13933</v>
      </c>
      <c r="C3134" s="1">
        <f>value(AUD!$B3134)</f>
        <v>9962.3</v>
      </c>
      <c r="D3134" s="1">
        <f>value(EUR!$B3134)</f>
        <v>15916.12545</v>
      </c>
      <c r="E3134" s="1">
        <f>value(GBP!$B3134)</f>
        <v>18100.1</v>
      </c>
      <c r="F3134" s="1">
        <f>value(CHF!$B3134)</f>
        <v>14302.65</v>
      </c>
      <c r="G3134" s="1">
        <f>value(SGD!$B3134)</f>
        <v>10458.3</v>
      </c>
      <c r="H3134" s="1">
        <f>value(MYR!$B3134)</f>
        <v>3409</v>
      </c>
      <c r="I3134" s="1">
        <f>value(THB!$B3134)</f>
        <v>447.125</v>
      </c>
      <c r="J3134" s="1">
        <f>value(VND!$B3134)</f>
        <v>0.6559214443</v>
      </c>
      <c r="K3134" s="1">
        <f>value(CNY!$B3134)</f>
        <v>2090.35</v>
      </c>
      <c r="L3134" s="1">
        <f>value(HKD!$B3134)</f>
        <v>1812.8</v>
      </c>
      <c r="M3134" s="1">
        <f>value(TWD!$B3134)</f>
        <v>455.09</v>
      </c>
      <c r="N3134" s="1">
        <f>value(JPY!$B3134)</f>
        <v>127.075</v>
      </c>
      <c r="O3134" s="1">
        <f>value(SAR!$B3134)</f>
        <v>3825.84087</v>
      </c>
      <c r="P3134" s="1">
        <f>value(AED!$B3134)</f>
        <v>3828.477934</v>
      </c>
      <c r="Q3134" s="1">
        <f>value(KWD!$B3134)</f>
        <v>46122.32212</v>
      </c>
    </row>
    <row r="3135">
      <c r="A3135" s="4">
        <f>value(USD!A3135)</f>
        <v>43500.99861</v>
      </c>
      <c r="B3135" s="1">
        <f>value(USD!B3135)</f>
        <v>13957.5</v>
      </c>
      <c r="C3135" s="1">
        <f>value(AUD!$B3135)</f>
        <v>9908.15</v>
      </c>
      <c r="D3135" s="1">
        <f>value(EUR!$B3135)</f>
        <v>15938.6</v>
      </c>
      <c r="E3135" s="1">
        <f>value(GBP!$B3135)</f>
        <v>18001.8</v>
      </c>
      <c r="F3135" s="1">
        <f>value(CHF!$B3135)</f>
        <v>14282.5</v>
      </c>
      <c r="G3135" s="1">
        <f>value(SGD!$B3135)</f>
        <v>10441.75</v>
      </c>
      <c r="H3135" s="1">
        <f>value(MYR!$B3135)</f>
        <v>3401.7</v>
      </c>
      <c r="I3135" s="1">
        <f>value(THB!$B3135)</f>
        <v>445.495</v>
      </c>
      <c r="J3135" s="1">
        <f>value(VND!$B3135)</f>
        <v>0.6654639741</v>
      </c>
      <c r="K3135" s="1">
        <f>value(CNY!$B3135)</f>
        <v>2084.95</v>
      </c>
      <c r="L3135" s="1">
        <f>value(HKD!$B3135)</f>
        <v>1814.8</v>
      </c>
      <c r="M3135" s="1">
        <f>value(TWD!$B3135)</f>
        <v>450.7</v>
      </c>
      <c r="N3135" s="1">
        <f>value(JPY!$B3135)</f>
        <v>126.55</v>
      </c>
      <c r="O3135" s="1">
        <f>value(SAR!$B3135)</f>
        <v>3817.031592</v>
      </c>
      <c r="P3135" s="1">
        <f>value(AED!$B3135)</f>
        <v>3820.238671</v>
      </c>
      <c r="Q3135" s="1">
        <f>value(KWD!$B3135)</f>
        <v>46135.74957</v>
      </c>
    </row>
    <row r="3136">
      <c r="A3136" s="4">
        <f>value(USD!A3136)</f>
        <v>43501.99861</v>
      </c>
      <c r="B3136" s="1">
        <f>value(USD!B3136)</f>
        <v>13950.5</v>
      </c>
      <c r="C3136" s="1">
        <f>value(AUD!$B3136)</f>
        <v>9908.15</v>
      </c>
      <c r="D3136" s="1">
        <f>value(EUR!$B3136)</f>
        <v>15820</v>
      </c>
      <c r="E3136" s="1">
        <f>value(GBP!$B3136)</f>
        <v>18112.6</v>
      </c>
      <c r="F3136" s="1">
        <f>value(CHF!$B3136)</f>
        <v>14282.5</v>
      </c>
      <c r="G3136" s="1">
        <f>value(SGD!$B3136)</f>
        <v>10460.75</v>
      </c>
      <c r="H3136" s="1">
        <f>value(MYR!$B3136)</f>
        <v>3427.4</v>
      </c>
      <c r="I3136" s="1">
        <f>value(THB!$B3136)</f>
        <v>447.67</v>
      </c>
      <c r="J3136" s="1">
        <f>value(VND!$B3136)</f>
        <v>0.6644052358</v>
      </c>
      <c r="K3136" s="1">
        <f>value(CNY!$B3136)</f>
        <v>2086.1</v>
      </c>
      <c r="L3136" s="1">
        <f>value(HKD!$B3136)</f>
        <v>1812.75</v>
      </c>
      <c r="M3136" s="1">
        <f>value(TWD!$B3136)</f>
        <v>450.7</v>
      </c>
      <c r="N3136" s="1">
        <f>value(JPY!$B3136)</f>
        <v>127.43</v>
      </c>
      <c r="O3136" s="1">
        <f>value(SAR!$B3136)</f>
        <v>3796.13556</v>
      </c>
      <c r="P3136" s="1">
        <f>value(AED!$B3136)</f>
        <v>3815.474433</v>
      </c>
      <c r="Q3136" s="1">
        <f>value(KWD!$B3136)</f>
        <v>46087.36637</v>
      </c>
    </row>
    <row r="3137">
      <c r="A3137" s="4">
        <f>value(USD!A3137)</f>
        <v>43502.99861</v>
      </c>
      <c r="B3137" s="1">
        <f>value(USD!B3137)</f>
        <v>13915</v>
      </c>
      <c r="C3137" s="1">
        <f>value(AUD!$B3137)</f>
        <v>9967.1</v>
      </c>
      <c r="D3137" s="1">
        <f>value(EUR!$B3137)</f>
        <v>15902.39538</v>
      </c>
      <c r="E3137" s="1">
        <f>value(GBP!$B3137)</f>
        <v>18056.5</v>
      </c>
      <c r="F3137" s="1">
        <f>value(CHF!$B3137)</f>
        <v>14297.05</v>
      </c>
      <c r="G3137" s="1">
        <f>value(SGD!$B3137)</f>
        <v>10444.4</v>
      </c>
      <c r="H3137" s="1">
        <f>value(MYR!$B3137)</f>
        <v>3430.65</v>
      </c>
      <c r="I3137" s="1">
        <f>value(THB!$B3137)</f>
        <v>443.525</v>
      </c>
      <c r="J3137" s="1">
        <f>value(VND!$B3137)</f>
        <v>0.6552694291</v>
      </c>
      <c r="K3137" s="1">
        <f>value(CNY!$B3137)</f>
        <v>2086.1</v>
      </c>
      <c r="L3137" s="1">
        <f>value(HKD!$B3137)</f>
        <v>1810.35</v>
      </c>
      <c r="M3137" s="1">
        <f>value(TWD!$B3137)</f>
        <v>450.7</v>
      </c>
      <c r="N3137" s="1">
        <f>value(JPY!$B3137)</f>
        <v>127.12</v>
      </c>
      <c r="O3137" s="1">
        <f>value(SAR!$B3137)</f>
        <v>3782.645193</v>
      </c>
      <c r="P3137" s="1">
        <f>value(AED!$B3137)</f>
        <v>3830.311632</v>
      </c>
      <c r="Q3137" s="1">
        <f>value(KWD!$B3137)</f>
        <v>46298.013</v>
      </c>
    </row>
    <row r="3138">
      <c r="A3138" s="4">
        <f>value(USD!A3138)</f>
        <v>43503.99861</v>
      </c>
      <c r="B3138" s="1">
        <f>value(USD!B3138)</f>
        <v>13966</v>
      </c>
      <c r="C3138" s="1">
        <f>value(AUD!$B3138)</f>
        <v>10004</v>
      </c>
      <c r="D3138" s="1">
        <f>value(EUR!$B3138)</f>
        <v>15835.4</v>
      </c>
      <c r="E3138" s="1">
        <f>value(GBP!$B3138)</f>
        <v>18097.6</v>
      </c>
      <c r="F3138" s="1">
        <f>value(CHF!$B3138)</f>
        <v>14238.5</v>
      </c>
      <c r="G3138" s="1">
        <f>value(SGD!$B3138)</f>
        <v>10395.75</v>
      </c>
      <c r="H3138" s="1">
        <f>value(MYR!$B3138)</f>
        <v>3431.65</v>
      </c>
      <c r="I3138" s="1">
        <f>value(THB!$B3138)</f>
        <v>444.19</v>
      </c>
      <c r="J3138" s="1">
        <f>value(VND!$B3138)</f>
        <v>0.6515018555</v>
      </c>
      <c r="K3138" s="1">
        <f>value(CNY!$B3138)</f>
        <v>2084.5</v>
      </c>
      <c r="L3138" s="1">
        <f>value(HKD!$B3138)</f>
        <v>1806.05</v>
      </c>
      <c r="M3138" s="1">
        <f>value(TWD!$B3138)</f>
        <v>495.165</v>
      </c>
      <c r="N3138" s="1">
        <f>value(JPY!$B3138)</f>
        <v>127.305</v>
      </c>
      <c r="O3138" s="1">
        <f>value(SAR!$B3138)</f>
        <v>3782.39607</v>
      </c>
      <c r="P3138" s="1">
        <f>value(AED!$B3138)</f>
        <v>3815.753141</v>
      </c>
      <c r="Q3138" s="1">
        <f>value(KWD!$B3138)</f>
        <v>46359.58243</v>
      </c>
    </row>
    <row r="3139">
      <c r="A3139" s="4">
        <f>value(USD!A3139)</f>
        <v>43504.99861</v>
      </c>
      <c r="B3139" s="1">
        <f>value(USD!B3139)</f>
        <v>14030.7</v>
      </c>
      <c r="C3139" s="1">
        <f>value(AUD!$B3139)</f>
        <v>9950.2</v>
      </c>
      <c r="D3139" s="1">
        <f>value(EUR!$B3139)</f>
        <v>15805.3413</v>
      </c>
      <c r="E3139" s="1">
        <f>value(GBP!$B3139)</f>
        <v>18090.05</v>
      </c>
      <c r="F3139" s="1">
        <f>value(CHF!$B3139)</f>
        <v>14256.35</v>
      </c>
      <c r="G3139" s="1">
        <f>value(SGD!$B3139)</f>
        <v>10430.2</v>
      </c>
      <c r="H3139" s="1">
        <f>value(MYR!$B3139)</f>
        <v>3431.65</v>
      </c>
      <c r="I3139" s="1">
        <f>value(THB!$B3139)</f>
        <v>444.19</v>
      </c>
      <c r="J3139" s="1">
        <f>value(VND!$B3139)</f>
        <v>0</v>
      </c>
      <c r="K3139" s="1">
        <f>value(CNY!$B3139)</f>
        <v>2084.6</v>
      </c>
      <c r="L3139" s="1">
        <f>value(HKD!$B3139)</f>
        <v>1795.95</v>
      </c>
      <c r="M3139" s="1">
        <f>value(TWD!$B3139)</f>
        <v>496.175</v>
      </c>
      <c r="N3139" s="1">
        <f>value(JPY!$B3139)</f>
        <v>127.32</v>
      </c>
      <c r="O3139" s="1">
        <f>value(SAR!$B3139)</f>
        <v>3782.162295</v>
      </c>
      <c r="P3139" s="1">
        <f>value(AED!$B3139)</f>
        <v>3815.753561</v>
      </c>
      <c r="Q3139" s="1">
        <f>value(KWD!$B3139)</f>
        <v>46378.27107</v>
      </c>
    </row>
    <row r="3140">
      <c r="A3140" s="4">
        <f>value(USD!A3140)</f>
        <v>43505.99861</v>
      </c>
      <c r="B3140" s="1">
        <f>value(USD!B3140)</f>
        <v>14032.33</v>
      </c>
      <c r="C3140" s="1">
        <f>value(AUD!$B3140)</f>
        <v>10002.1</v>
      </c>
      <c r="D3140" s="1">
        <f>value(EUR!$B3140)</f>
        <v>15835.4</v>
      </c>
      <c r="E3140" s="1">
        <f>value(GBP!$B3140)</f>
        <v>18049.9</v>
      </c>
      <c r="F3140" s="1">
        <f>value(CHF!$B3140)</f>
        <v>14248.75</v>
      </c>
      <c r="G3140" s="1">
        <f>value(SGD!$B3140)</f>
        <v>10425.1</v>
      </c>
      <c r="H3140" s="1">
        <f>value(MYR!$B3140)</f>
        <v>3445.5</v>
      </c>
      <c r="I3140" s="1">
        <f>value(THB!$B3140)</f>
        <v>446.66</v>
      </c>
      <c r="J3140" s="1">
        <f>value(VND!$B3140)</f>
        <v>0</v>
      </c>
      <c r="K3140" s="1">
        <f>value(CNY!$B3140)</f>
        <v>2081.95</v>
      </c>
      <c r="L3140" s="1">
        <f>value(HKD!$B3140)</f>
        <v>1795.95</v>
      </c>
      <c r="M3140" s="1">
        <f>value(TWD!$B3140)</f>
        <v>455.605</v>
      </c>
      <c r="N3140" s="1">
        <f>value(JPY!$B3140)</f>
        <v>127.1</v>
      </c>
      <c r="O3140" s="1">
        <f>value(SAR!$B3140)</f>
        <v>3806.471812</v>
      </c>
      <c r="P3140" s="1">
        <f>value(AED!$B3140)</f>
        <v>3816.885037</v>
      </c>
      <c r="Q3140" s="1">
        <f>value(KWD!$B3140)</f>
        <v>46337.55171</v>
      </c>
    </row>
    <row r="3141">
      <c r="A3141" s="4">
        <f>value(USD!A3141)</f>
        <v>43506.99861</v>
      </c>
      <c r="B3141" s="1">
        <f>value(USD!B3141)</f>
        <v>13958</v>
      </c>
      <c r="C3141" s="1">
        <f>value(AUD!$B3141)</f>
        <v>9965.45</v>
      </c>
      <c r="D3141" s="1">
        <f>value(EUR!$B3141)</f>
        <v>15872.6</v>
      </c>
      <c r="E3141" s="1">
        <f>value(GBP!$B3141)</f>
        <v>18135.7</v>
      </c>
      <c r="F3141" s="1">
        <f>value(CHF!$B3141)</f>
        <v>14176.85</v>
      </c>
      <c r="G3141" s="1">
        <f>value(SGD!$B3141)</f>
        <v>10394.65</v>
      </c>
      <c r="H3141" s="1">
        <f>value(MYR!$B3141)</f>
        <v>3455.85</v>
      </c>
      <c r="I3141" s="1">
        <f>value(THB!$B3141)</f>
        <v>450.02</v>
      </c>
      <c r="J3141" s="1">
        <f>value(VND!$B3141)</f>
        <v>0</v>
      </c>
      <c r="K3141" s="1">
        <f>value(CNY!$B3141)</f>
        <v>2087.75</v>
      </c>
      <c r="L3141" s="1">
        <f>value(HKD!$B3141)</f>
        <v>1798.7</v>
      </c>
      <c r="M3141" s="1">
        <f>value(TWD!$B3141)</f>
        <v>454.575</v>
      </c>
      <c r="N3141" s="1">
        <f>value(JPY!$B3141)</f>
        <v>127.3</v>
      </c>
      <c r="O3141" s="1">
        <f>value(SAR!$B3141)</f>
        <v>3803.539608</v>
      </c>
      <c r="P3141" s="1">
        <f>value(AED!$B3141)</f>
        <v>3811.861779</v>
      </c>
      <c r="Q3141" s="1">
        <f>value(KWD!$B3141)</f>
        <v>46331.85689</v>
      </c>
    </row>
    <row r="3142">
      <c r="A3142" s="4">
        <f>value(USD!A3142)</f>
        <v>43507.99861</v>
      </c>
      <c r="B3142" s="1">
        <f>value(USD!B3142)</f>
        <v>14033</v>
      </c>
      <c r="C3142" s="1">
        <f>value(AUD!$B3142)</f>
        <v>9961.7</v>
      </c>
      <c r="D3142" s="1">
        <f>value(EUR!$B3142)</f>
        <v>15939.96942</v>
      </c>
      <c r="E3142" s="1">
        <f>value(GBP!$B3142)</f>
        <v>18090.8</v>
      </c>
      <c r="F3142" s="1">
        <f>value(CHF!$B3142)</f>
        <v>14108.95</v>
      </c>
      <c r="G3142" s="1">
        <f>value(SGD!$B3142)</f>
        <v>10401.5</v>
      </c>
      <c r="H3142" s="1">
        <f>value(MYR!$B3142)</f>
        <v>3452.1</v>
      </c>
      <c r="I3142" s="1">
        <f>value(THB!$B3142)</f>
        <v>448.535</v>
      </c>
      <c r="J3142" s="1">
        <f>value(VND!$B3142)</f>
        <v>0</v>
      </c>
      <c r="K3142" s="1">
        <f>value(CNY!$B3142)</f>
        <v>2077.65</v>
      </c>
      <c r="L3142" s="1">
        <f>value(HKD!$B3142)</f>
        <v>1809.3</v>
      </c>
      <c r="M3142" s="1">
        <f>value(TWD!$B3142)</f>
        <v>451.015</v>
      </c>
      <c r="N3142" s="1">
        <f>value(JPY!$B3142)</f>
        <v>126.87</v>
      </c>
      <c r="O3142" s="1">
        <f>value(SAR!$B3142)</f>
        <v>3784.2882</v>
      </c>
      <c r="P3142" s="1">
        <f>value(AED!$B3142)</f>
        <v>3827.793392</v>
      </c>
      <c r="Q3142" s="1">
        <f>value(KWD!$B3142)</f>
        <v>46249.42161</v>
      </c>
    </row>
    <row r="3143">
      <c r="A3143" s="4">
        <f>value(USD!A3143)</f>
        <v>43508.99861</v>
      </c>
      <c r="B3143" s="1">
        <f>value(USD!B3143)</f>
        <v>14012.7</v>
      </c>
      <c r="C3143" s="1">
        <f>value(AUD!$B3143)</f>
        <v>9951.3</v>
      </c>
      <c r="D3143" s="1">
        <f>value(EUR!$B3143)</f>
        <v>15911</v>
      </c>
      <c r="E3143" s="1">
        <f>value(GBP!$B3143)</f>
        <v>18027.85</v>
      </c>
      <c r="F3143" s="1">
        <f>value(CHF!$B3143)</f>
        <v>14108.95</v>
      </c>
      <c r="G3143" s="1">
        <f>value(SGD!$B3143)</f>
        <v>10410.85</v>
      </c>
      <c r="H3143" s="1">
        <f>value(MYR!$B3143)</f>
        <v>3458.65</v>
      </c>
      <c r="I3143" s="1">
        <f>value(THB!$B3143)</f>
        <v>450.02</v>
      </c>
      <c r="J3143" s="1">
        <f>value(VND!$B3143)</f>
        <v>0</v>
      </c>
      <c r="K3143" s="1">
        <f>value(CNY!$B3143)</f>
        <v>2077.65</v>
      </c>
      <c r="L3143" s="1">
        <f>value(HKD!$B3143)</f>
        <v>1801.75</v>
      </c>
      <c r="M3143" s="1">
        <f>value(TWD!$B3143)</f>
        <v>451.015</v>
      </c>
      <c r="N3143" s="1">
        <f>value(JPY!$B3143)</f>
        <v>127.44</v>
      </c>
      <c r="O3143" s="1">
        <f>value(SAR!$B3143)</f>
        <v>3779.118054</v>
      </c>
      <c r="P3143" s="1">
        <f>value(AED!$B3143)</f>
        <v>3833.651555</v>
      </c>
      <c r="Q3143" s="1">
        <f>value(KWD!$B3143)</f>
        <v>46300.46216</v>
      </c>
    </row>
    <row r="3144">
      <c r="A3144" s="4">
        <f>value(USD!A3144)</f>
        <v>43509.99861</v>
      </c>
      <c r="B3144" s="1">
        <f>value(USD!B3144)</f>
        <v>14151</v>
      </c>
      <c r="C3144" s="1">
        <f>value(AUD!$B3144)</f>
        <v>9955.95</v>
      </c>
      <c r="D3144" s="1">
        <f>value(EUR!$B3144)</f>
        <v>15930.6939</v>
      </c>
      <c r="E3144" s="1">
        <f>value(GBP!$B3144)</f>
        <v>18203.1</v>
      </c>
      <c r="F3144" s="1">
        <f>value(CHF!$B3144)</f>
        <v>14116.45</v>
      </c>
      <c r="G3144" s="1">
        <f>value(SGD!$B3144)</f>
        <v>10356.5</v>
      </c>
      <c r="H3144" s="1">
        <f>value(MYR!$B3144)</f>
        <v>3465.05</v>
      </c>
      <c r="I3144" s="1">
        <f>value(THB!$B3144)</f>
        <v>451.48</v>
      </c>
      <c r="J3144" s="1">
        <f>value(VND!$B3144)</f>
        <v>0</v>
      </c>
      <c r="K3144" s="1">
        <f>value(CNY!$B3144)</f>
        <v>2061.2</v>
      </c>
      <c r="L3144" s="1">
        <f>value(HKD!$B3144)</f>
        <v>1804.45</v>
      </c>
      <c r="M3144" s="1">
        <f>value(TWD!$B3144)</f>
        <v>451.015</v>
      </c>
      <c r="N3144" s="1">
        <f>value(JPY!$B3144)</f>
        <v>127.74</v>
      </c>
      <c r="O3144" s="1">
        <f>value(SAR!$B3144)</f>
        <v>3750.442861</v>
      </c>
      <c r="P3144" s="1">
        <f>value(AED!$B3144)</f>
        <v>3834.531387</v>
      </c>
      <c r="Q3144" s="1">
        <f>value(KWD!$B3144)</f>
        <v>46396.22832</v>
      </c>
    </row>
    <row r="3145">
      <c r="A3145" s="4">
        <f>value(USD!A3145)</f>
        <v>43510.99861</v>
      </c>
      <c r="B3145" s="1">
        <f>value(USD!B3145)</f>
        <v>14083</v>
      </c>
      <c r="C3145" s="1">
        <f>value(AUD!$B3145)</f>
        <v>9950.2</v>
      </c>
      <c r="D3145" s="1">
        <f>value(EUR!$B3145)</f>
        <v>15966.612</v>
      </c>
      <c r="E3145" s="1">
        <f>value(GBP!$B3145)</f>
        <v>18203.1</v>
      </c>
      <c r="F3145" s="1">
        <f>value(CHF!$B3145)</f>
        <v>14181.3</v>
      </c>
      <c r="G3145" s="1">
        <f>value(SGD!$B3145)</f>
        <v>10374.6</v>
      </c>
      <c r="H3145" s="1">
        <f>value(MYR!$B3145)</f>
        <v>3465.05</v>
      </c>
      <c r="I3145" s="1">
        <f>value(THB!$B3145)</f>
        <v>451.48</v>
      </c>
      <c r="J3145" s="1">
        <f>value(VND!$B3145)</f>
        <v>0</v>
      </c>
      <c r="K3145" s="1">
        <f>value(CNY!$B3145)</f>
        <v>2067.05</v>
      </c>
      <c r="L3145" s="1">
        <f>value(HKD!$B3145)</f>
        <v>1805.7</v>
      </c>
      <c r="M3145" s="1">
        <f>value(TWD!$B3145)</f>
        <v>447.305</v>
      </c>
      <c r="N3145" s="1">
        <f>value(JPY!$B3145)</f>
        <v>127.74</v>
      </c>
      <c r="O3145" s="1">
        <f>value(SAR!$B3145)</f>
        <v>3786.454765</v>
      </c>
      <c r="P3145" s="1">
        <f>value(AED!$B3145)</f>
        <v>3831.567586</v>
      </c>
      <c r="Q3145" s="1">
        <f>value(KWD!$B3145)</f>
        <v>46585.99677</v>
      </c>
    </row>
    <row r="3146">
      <c r="A3146" s="4">
        <f>value(USD!A3146)</f>
        <v>43511.99861</v>
      </c>
      <c r="B3146" s="1">
        <f>value(USD!B3146)</f>
        <v>14104.2</v>
      </c>
      <c r="C3146" s="1">
        <f>value(AUD!$B3146)</f>
        <v>9972.95</v>
      </c>
      <c r="D3146" s="1">
        <f>value(EUR!$B3146)</f>
        <v>15966.612</v>
      </c>
      <c r="E3146" s="1">
        <f>value(GBP!$B3146)</f>
        <v>18215.6</v>
      </c>
      <c r="F3146" s="1">
        <f>value(CHF!$B3146)</f>
        <v>14135.1</v>
      </c>
      <c r="G3146" s="1">
        <f>value(SGD!$B3146)</f>
        <v>10374.6</v>
      </c>
      <c r="H3146" s="1">
        <f>value(MYR!$B3146)</f>
        <v>3465.05</v>
      </c>
      <c r="I3146" s="1">
        <f>value(THB!$B3146)</f>
        <v>451.48</v>
      </c>
      <c r="J3146" s="1">
        <f>value(VND!$B3146)</f>
        <v>0</v>
      </c>
      <c r="K3146" s="1">
        <f>value(CNY!$B3146)</f>
        <v>2066.95</v>
      </c>
      <c r="L3146" s="1">
        <f>value(HKD!$B3146)</f>
        <v>1793.25</v>
      </c>
      <c r="M3146" s="1">
        <f>value(TWD!$B3146)</f>
        <v>448.36</v>
      </c>
      <c r="N3146" s="1">
        <f>value(JPY!$B3146)</f>
        <v>127.68</v>
      </c>
      <c r="O3146" s="1">
        <f>value(SAR!$B3146)</f>
        <v>3757.464269</v>
      </c>
      <c r="P3146" s="1">
        <f>value(AED!$B3146)</f>
        <v>3831.389712</v>
      </c>
      <c r="Q3146" s="1">
        <f>value(KWD!$B3146)</f>
        <v>46363.95089</v>
      </c>
    </row>
    <row r="3147">
      <c r="A3147" s="4">
        <f>value(USD!A3147)</f>
        <v>43512.99861</v>
      </c>
      <c r="B3147" s="1">
        <f>value(USD!B3147)</f>
        <v>14136</v>
      </c>
      <c r="C3147" s="1">
        <f>value(AUD!$B3147)</f>
        <v>9958.7</v>
      </c>
      <c r="D3147" s="1">
        <f>value(EUR!$B3147)</f>
        <v>16053.56252</v>
      </c>
      <c r="E3147" s="1">
        <f>value(GBP!$B3147)</f>
        <v>18261.2</v>
      </c>
      <c r="F3147" s="1">
        <f>value(CHF!$B3147)</f>
        <v>14108.1</v>
      </c>
      <c r="G3147" s="1">
        <f>value(SGD!$B3147)</f>
        <v>10373.25</v>
      </c>
      <c r="H3147" s="1">
        <f>value(MYR!$B3147)</f>
        <v>3464.65</v>
      </c>
      <c r="I3147" s="1">
        <f>value(THB!$B3147)</f>
        <v>452.585</v>
      </c>
      <c r="J3147" s="1">
        <f>value(VND!$B3147)</f>
        <v>0</v>
      </c>
      <c r="K3147" s="1">
        <f>value(CNY!$B3147)</f>
        <v>2071.8</v>
      </c>
      <c r="L3147" s="1">
        <f>value(HKD!$B3147)</f>
        <v>1796.7</v>
      </c>
      <c r="M3147" s="1">
        <f>value(TWD!$B3147)</f>
        <v>449.82</v>
      </c>
      <c r="N3147" s="1">
        <f>value(JPY!$B3147)</f>
        <v>127.75</v>
      </c>
      <c r="O3147" s="1">
        <f>value(SAR!$B3147)</f>
        <v>3740.94522</v>
      </c>
      <c r="P3147" s="1">
        <f>value(AED!$B3147)</f>
        <v>3825.040579</v>
      </c>
      <c r="Q3147" s="1">
        <f>value(KWD!$B3147)</f>
        <v>46390.45012</v>
      </c>
    </row>
    <row r="3148">
      <c r="A3148" s="4">
        <f>value(USD!A3148)</f>
        <v>43513.99861</v>
      </c>
      <c r="B3148" s="1">
        <f>value(USD!B3148)</f>
        <v>14136</v>
      </c>
      <c r="C3148" s="1">
        <f>value(AUD!$B3148)</f>
        <v>9949.75</v>
      </c>
      <c r="D3148" s="1">
        <f>value(EUR!$B3148)</f>
        <v>15984.02135</v>
      </c>
      <c r="E3148" s="1">
        <f>value(GBP!$B3148)</f>
        <v>18438.05</v>
      </c>
      <c r="F3148" s="1">
        <f>value(CHF!$B3148)</f>
        <v>14124.5</v>
      </c>
      <c r="G3148" s="1">
        <f>value(SGD!$B3148)</f>
        <v>10377.35</v>
      </c>
      <c r="H3148" s="1">
        <f>value(MYR!$B3148)</f>
        <v>3464.6</v>
      </c>
      <c r="I3148" s="1">
        <f>value(THB!$B3148)</f>
        <v>453.605</v>
      </c>
      <c r="J3148" s="1">
        <f>value(VND!$B3148)</f>
        <v>0</v>
      </c>
      <c r="K3148" s="1">
        <f>value(CNY!$B3148)</f>
        <v>2069.05</v>
      </c>
      <c r="L3148" s="1">
        <f>value(HKD!$B3148)</f>
        <v>1798.55</v>
      </c>
      <c r="M3148" s="1">
        <f>value(TWD!$B3148)</f>
        <v>449.755</v>
      </c>
      <c r="N3148" s="1">
        <f>value(JPY!$B3148)</f>
        <v>127.65</v>
      </c>
      <c r="O3148" s="1">
        <f>value(SAR!$B3148)</f>
        <v>3744.118414</v>
      </c>
      <c r="P3148" s="1">
        <f>value(AED!$B3148)</f>
        <v>3828.065634</v>
      </c>
      <c r="Q3148" s="1">
        <f>value(KWD!$B3148)</f>
        <v>46390.45012</v>
      </c>
    </row>
    <row r="3149">
      <c r="A3149" s="4">
        <f>value(USD!A3149)</f>
        <v>43514.99861</v>
      </c>
      <c r="B3149" s="1">
        <f>value(USD!B3149)</f>
        <v>14192.5</v>
      </c>
      <c r="C3149" s="1">
        <f>value(AUD!$B3149)</f>
        <v>9942</v>
      </c>
      <c r="D3149" s="1">
        <f>value(EUR!$B3149)</f>
        <v>15920.4385</v>
      </c>
      <c r="E3149" s="1">
        <f>value(GBP!$B3149)</f>
        <v>18347.95</v>
      </c>
      <c r="F3149" s="1">
        <f>value(CHF!$B3149)</f>
        <v>14045.6</v>
      </c>
      <c r="G3149" s="1">
        <f>value(SGD!$B3149)</f>
        <v>10360</v>
      </c>
      <c r="H3149" s="1">
        <f>value(MYR!$B3149)</f>
        <v>3452.3</v>
      </c>
      <c r="I3149" s="1">
        <f>value(THB!$B3149)</f>
        <v>452.16</v>
      </c>
      <c r="J3149" s="1">
        <f>value(VND!$B3149)</f>
        <v>0</v>
      </c>
      <c r="K3149" s="1">
        <f>value(CNY!$B3149)</f>
        <v>2065.95</v>
      </c>
      <c r="L3149" s="1">
        <f>value(HKD!$B3149)</f>
        <v>1793.4</v>
      </c>
      <c r="M3149" s="1">
        <f>value(TWD!$B3149)</f>
        <v>448.255</v>
      </c>
      <c r="N3149" s="1">
        <f>value(JPY!$B3149)</f>
        <v>127</v>
      </c>
      <c r="O3149" s="1">
        <f>value(SAR!$B3149)</f>
        <v>3762.436402</v>
      </c>
      <c r="P3149" s="1">
        <f>value(AED!$B3149)</f>
        <v>3835.892598</v>
      </c>
      <c r="Q3149" s="1">
        <f>value(KWD!$B3149)</f>
        <v>46378.76444</v>
      </c>
    </row>
    <row r="3150">
      <c r="A3150" s="4">
        <f>value(USD!A3150)</f>
        <v>43515.99861</v>
      </c>
      <c r="B3150" s="1">
        <f>value(USD!B3150)</f>
        <v>14096.5</v>
      </c>
      <c r="C3150" s="1">
        <f>value(AUD!$B3150)</f>
        <v>9942</v>
      </c>
      <c r="D3150" s="1">
        <f>value(EUR!$B3150)</f>
        <v>15915.3</v>
      </c>
      <c r="E3150" s="1">
        <f>value(GBP!$B3150)</f>
        <v>18329.95</v>
      </c>
      <c r="F3150" s="1">
        <f>value(CHF!$B3150)</f>
        <v>14077.2</v>
      </c>
      <c r="G3150" s="1">
        <f>value(SGD!$B3150)</f>
        <v>10350.35</v>
      </c>
      <c r="H3150" s="1">
        <f>value(MYR!$B3150)</f>
        <v>3446.2</v>
      </c>
      <c r="I3150" s="1">
        <f>value(THB!$B3150)</f>
        <v>450.11</v>
      </c>
      <c r="J3150" s="1">
        <f>value(VND!$B3150)</f>
        <v>0</v>
      </c>
      <c r="K3150" s="1">
        <f>value(CNY!$B3150)</f>
        <v>2065.95</v>
      </c>
      <c r="L3150" s="1">
        <f>value(HKD!$B3150)</f>
        <v>1795.5</v>
      </c>
      <c r="M3150" s="1">
        <f>value(TWD!$B3150)</f>
        <v>448.935</v>
      </c>
      <c r="N3150" s="1">
        <f>value(JPY!$B3150)</f>
        <v>126.93</v>
      </c>
      <c r="O3150" s="1">
        <f>value(SAR!$B3150)</f>
        <v>3729.734</v>
      </c>
      <c r="P3150" s="1">
        <f>value(AED!$B3150)</f>
        <v>3822.223317</v>
      </c>
      <c r="Q3150" s="1">
        <f>value(KWD!$B3150)</f>
        <v>46321.85659</v>
      </c>
    </row>
    <row r="3151">
      <c r="A3151" s="4">
        <f>value(USD!A3151)</f>
        <v>43516.99861</v>
      </c>
      <c r="B3151" s="1">
        <f>value(USD!B3151)</f>
        <v>14033</v>
      </c>
      <c r="C3151" s="1">
        <f>value(AUD!$B3151)</f>
        <v>9867.85</v>
      </c>
      <c r="D3151" s="1">
        <f>value(EUR!$B3151)</f>
        <v>15932</v>
      </c>
      <c r="E3151" s="1">
        <f>value(GBP!$B3151)</f>
        <v>18334.75</v>
      </c>
      <c r="F3151" s="1">
        <f>value(CHF!$B3151)</f>
        <v>14069.35</v>
      </c>
      <c r="G3151" s="1">
        <f>value(SGD!$B3151)</f>
        <v>10366</v>
      </c>
      <c r="H3151" s="1">
        <f>value(MYR!$B3151)</f>
        <v>3445.55</v>
      </c>
      <c r="I3151" s="1">
        <f>value(THB!$B3151)</f>
        <v>448.485</v>
      </c>
      <c r="J3151" s="1">
        <f>value(VND!$B3151)</f>
        <v>0</v>
      </c>
      <c r="K3151" s="1">
        <f>value(CNY!$B3151)</f>
        <v>2065.95</v>
      </c>
      <c r="L3151" s="1">
        <f>value(HKD!$B3151)</f>
        <v>1795</v>
      </c>
      <c r="M3151" s="1">
        <f>value(TWD!$B3151)</f>
        <v>448.935</v>
      </c>
      <c r="N3151" s="1">
        <f>value(JPY!$B3151)</f>
        <v>126.92</v>
      </c>
      <c r="O3151" s="1">
        <f>value(SAR!$B3151)</f>
        <v>3750.510225</v>
      </c>
      <c r="P3151" s="1">
        <f>value(AED!$B3151)</f>
        <v>3832.353449</v>
      </c>
      <c r="Q3151" s="1">
        <f>value(KWD!$B3151)</f>
        <v>46334.52306</v>
      </c>
    </row>
    <row r="3152">
      <c r="A3152" s="4">
        <f>value(USD!A3152)</f>
        <v>43517.99861</v>
      </c>
      <c r="B3152" s="1">
        <f>value(USD!B3152)</f>
        <v>14120</v>
      </c>
      <c r="C3152" s="1">
        <f>value(AUD!$B3152)</f>
        <v>9950.4</v>
      </c>
      <c r="D3152" s="1">
        <f>value(EUR!$B3152)</f>
        <v>15939.1</v>
      </c>
      <c r="E3152" s="1">
        <f>value(GBP!$B3152)</f>
        <v>18290.3</v>
      </c>
      <c r="F3152" s="1">
        <f>value(CHF!$B3152)</f>
        <v>14006.3</v>
      </c>
      <c r="G3152" s="1">
        <f>value(SGD!$B3152)</f>
        <v>11386.95</v>
      </c>
      <c r="H3152" s="1">
        <f>value(MYR!$B3152)</f>
        <v>3446.75</v>
      </c>
      <c r="I3152" s="1">
        <f>value(THB!$B3152)</f>
        <v>448.685</v>
      </c>
      <c r="J3152" s="1">
        <f>value(VND!$B3152)</f>
        <v>0</v>
      </c>
      <c r="K3152" s="1">
        <f>value(CNY!$B3152)</f>
        <v>2055.85</v>
      </c>
      <c r="L3152" s="1">
        <f>value(HKD!$B3152)</f>
        <v>1789.6</v>
      </c>
      <c r="M3152" s="1">
        <f>value(TWD!$B3152)</f>
        <v>447.915</v>
      </c>
      <c r="N3152" s="1">
        <f>value(JPY!$B3152)</f>
        <v>126.95</v>
      </c>
      <c r="O3152" s="1">
        <f>value(SAR!$B3152)</f>
        <v>3750.510225</v>
      </c>
      <c r="P3152" s="1">
        <f>value(AED!$B3152)</f>
        <v>3836.668959</v>
      </c>
      <c r="Q3152" s="1">
        <f>value(KWD!$B3152)</f>
        <v>46353.89174</v>
      </c>
    </row>
    <row r="3153">
      <c r="A3153" s="4">
        <f>value(USD!A3153)</f>
        <v>43518.99861</v>
      </c>
      <c r="B3153" s="1">
        <f>value(USD!B3153)</f>
        <v>14014.7</v>
      </c>
      <c r="C3153" s="1">
        <f>value(AUD!$B3153)</f>
        <v>9982.7</v>
      </c>
      <c r="D3153" s="1">
        <f>value(EUR!$B3153)</f>
        <v>15935.80114</v>
      </c>
      <c r="E3153" s="1">
        <f>value(GBP!$B3153)</f>
        <v>18371.1</v>
      </c>
      <c r="F3153" s="1">
        <f>value(CHF!$B3153)</f>
        <v>13983.6</v>
      </c>
      <c r="G3153" s="1">
        <f>value(SGD!$B3153)</f>
        <v>10400.2</v>
      </c>
      <c r="H3153" s="1">
        <f>value(MYR!$B3153)</f>
        <v>3446.75</v>
      </c>
      <c r="I3153" s="1">
        <f>value(THB!$B3153)</f>
        <v>448.625</v>
      </c>
      <c r="J3153" s="1">
        <f>value(VND!$B3153)</f>
        <v>0</v>
      </c>
      <c r="K3153" s="1">
        <f>value(CNY!$B3153)</f>
        <v>2059.45</v>
      </c>
      <c r="L3153" s="1">
        <f>value(HKD!$B3153)</f>
        <v>1791.35</v>
      </c>
      <c r="M3153" s="1">
        <f>value(TWD!$B3153)</f>
        <v>449.85</v>
      </c>
      <c r="N3153" s="1">
        <f>value(JPY!$B3153)</f>
        <v>126.93</v>
      </c>
      <c r="O3153" s="1">
        <f>value(SAR!$B3153)</f>
        <v>3750.510225</v>
      </c>
      <c r="P3153" s="1">
        <f>value(AED!$B3153)</f>
        <v>3836.668254</v>
      </c>
      <c r="Q3153" s="1">
        <f>value(KWD!$B3153)</f>
        <v>46317.14547</v>
      </c>
    </row>
    <row r="3154">
      <c r="A3154" s="4">
        <f>value(USD!A3154)</f>
        <v>43519.99861</v>
      </c>
      <c r="B3154" s="1">
        <f>value(USD!B3154)</f>
        <v>14015.5</v>
      </c>
      <c r="C3154" s="1">
        <f>value(AUD!$B3154)</f>
        <v>9978.35</v>
      </c>
      <c r="D3154" s="1">
        <f>value(EUR!$B3154)</f>
        <v>15930.6</v>
      </c>
      <c r="E3154" s="1">
        <f>value(GBP!$B3154)</f>
        <v>18408.9</v>
      </c>
      <c r="F3154" s="1">
        <f>value(CHF!$B3154)</f>
        <v>13933.45</v>
      </c>
      <c r="G3154" s="1">
        <f>value(SGD!$B3154)</f>
        <v>10406.9</v>
      </c>
      <c r="H3154" s="1">
        <f>value(MYR!$B3154)</f>
        <v>3452.4</v>
      </c>
      <c r="I3154" s="1">
        <f>value(THB!$B3154)</f>
        <v>448.485</v>
      </c>
      <c r="J3154" s="1">
        <f>value(VND!$B3154)</f>
        <v>0</v>
      </c>
      <c r="K3154" s="1">
        <f>value(CNY!$B3154)</f>
        <v>2057.6</v>
      </c>
      <c r="L3154" s="1">
        <f>value(HKD!$B3154)</f>
        <v>1791.35</v>
      </c>
      <c r="M3154" s="1">
        <f>value(TWD!$B3154)</f>
        <v>450.035</v>
      </c>
      <c r="N3154" s="1">
        <f>value(JPY!$B3154)</f>
        <v>126.26</v>
      </c>
      <c r="O3154" s="1">
        <f>value(SAR!$B3154)</f>
        <v>3778.906367</v>
      </c>
      <c r="P3154" s="1">
        <f>value(AED!$B3154)</f>
        <v>3835.653866</v>
      </c>
      <c r="Q3154" s="1">
        <f>value(KWD!$B3154)</f>
        <v>46295.94438</v>
      </c>
    </row>
    <row r="3155">
      <c r="A3155" s="4">
        <f>value(USD!A3155)</f>
        <v>43520.99861</v>
      </c>
      <c r="B3155" s="1">
        <f>value(USD!B3155)</f>
        <v>14051</v>
      </c>
      <c r="C3155" s="1">
        <f>value(AUD!$B3155)</f>
        <v>9972.2</v>
      </c>
      <c r="D3155" s="1">
        <f>value(EUR!$B3155)</f>
        <v>15930.6</v>
      </c>
      <c r="E3155" s="1">
        <f>value(GBP!$B3155)</f>
        <v>18517.95</v>
      </c>
      <c r="F3155" s="1">
        <f>value(CHF!$B3155)</f>
        <v>13832.25</v>
      </c>
      <c r="G3155" s="1">
        <f>value(SGD!$B3155)</f>
        <v>11390.5</v>
      </c>
      <c r="H3155" s="1">
        <f>value(MYR!$B3155)</f>
        <v>3443</v>
      </c>
      <c r="I3155" s="1">
        <f>value(THB!$B3155)</f>
        <v>446.22</v>
      </c>
      <c r="J3155" s="1">
        <f>value(VND!$B3155)</f>
        <v>0</v>
      </c>
      <c r="K3155" s="1">
        <f>value(CNY!$B3155)</f>
        <v>2061.55</v>
      </c>
      <c r="L3155" s="1">
        <f>value(HKD!$B3155)</f>
        <v>1791.9</v>
      </c>
      <c r="M3155" s="1">
        <f>value(TWD!$B3155)</f>
        <v>450.145</v>
      </c>
      <c r="N3155" s="1">
        <f>value(JPY!$B3155)</f>
        <v>126.315</v>
      </c>
      <c r="O3155" s="1">
        <f>value(SAR!$B3155)</f>
        <v>3767.695204</v>
      </c>
      <c r="P3155" s="1">
        <f>value(AED!$B3155)</f>
        <v>3829.982219</v>
      </c>
      <c r="Q3155" s="1">
        <f>value(KWD!$B3155)</f>
        <v>46308.03476</v>
      </c>
    </row>
    <row r="3156">
      <c r="A3156" s="4">
        <f>value(USD!A3156)</f>
        <v>43521.99861</v>
      </c>
      <c r="B3156" s="1">
        <f>value(USD!B3156)</f>
        <v>14011</v>
      </c>
      <c r="C3156" s="1">
        <f>value(AUD!$B3156)</f>
        <v>9981.5</v>
      </c>
      <c r="D3156" s="1">
        <f>value(EUR!$B3156)</f>
        <v>15948.36925</v>
      </c>
      <c r="E3156" s="1">
        <f>value(GBP!$B3156)</f>
        <v>18676.65</v>
      </c>
      <c r="F3156" s="1">
        <f>value(CHF!$B3156)</f>
        <v>13859.8</v>
      </c>
      <c r="G3156" s="1">
        <f>value(SGD!$B3156)</f>
        <v>10473.9</v>
      </c>
      <c r="H3156" s="1">
        <f>value(MYR!$B3156)</f>
        <v>3451.15</v>
      </c>
      <c r="I3156" s="1">
        <f>value(THB!$B3156)</f>
        <v>445.79</v>
      </c>
      <c r="J3156" s="1">
        <f>value(VND!$B3156)</f>
        <v>0</v>
      </c>
      <c r="K3156" s="1">
        <f>value(CNY!$B3156)</f>
        <v>2070.35</v>
      </c>
      <c r="L3156" s="1">
        <f>value(HKD!$B3156)</f>
        <v>1794.05</v>
      </c>
      <c r="M3156" s="1">
        <f>value(TWD!$B3156)</f>
        <v>449.905</v>
      </c>
      <c r="N3156" s="1">
        <f>value(JPY!$B3156)</f>
        <v>126.48</v>
      </c>
      <c r="O3156" s="1">
        <f>value(SAR!$B3156)</f>
        <v>3766.84605</v>
      </c>
      <c r="P3156" s="1">
        <f>value(AED!$B3156)</f>
        <v>3834.531387</v>
      </c>
      <c r="Q3156" s="1">
        <f>value(KWD!$B3156)</f>
        <v>46281.8541</v>
      </c>
    </row>
    <row r="3157">
      <c r="A3157" s="4">
        <f>value(USD!A3157)</f>
        <v>43522.99861</v>
      </c>
      <c r="B3157" s="1">
        <f>value(USD!B3157)</f>
        <v>13960</v>
      </c>
      <c r="C3157" s="1">
        <f>value(AUD!$B3157)</f>
        <v>9981.5</v>
      </c>
      <c r="D3157" s="1">
        <f>value(EUR!$B3157)</f>
        <v>16057.9</v>
      </c>
      <c r="E3157" s="1">
        <f>value(GBP!$B3157)</f>
        <v>18670.5</v>
      </c>
      <c r="F3157" s="1">
        <f>value(CHF!$B3157)</f>
        <v>13859.8</v>
      </c>
      <c r="G3157" s="1">
        <f>value(SGD!$B3157)</f>
        <v>10480.9</v>
      </c>
      <c r="H3157" s="1">
        <f>value(MYR!$B3157)</f>
        <v>3460.25</v>
      </c>
      <c r="I3157" s="1">
        <f>value(THB!$B3157)</f>
        <v>446.2</v>
      </c>
      <c r="J3157" s="1">
        <f>value(VND!$B3157)</f>
        <v>0</v>
      </c>
      <c r="K3157" s="1">
        <f>value(CNY!$B3157)</f>
        <v>2078</v>
      </c>
      <c r="L3157" s="1">
        <f>value(HKD!$B3157)</f>
        <v>1792.75</v>
      </c>
      <c r="M3157" s="1">
        <f>value(TWD!$B3157)</f>
        <v>449.905</v>
      </c>
      <c r="N3157" s="1">
        <f>value(JPY!$B3157)</f>
        <v>126.37</v>
      </c>
      <c r="O3157" s="1">
        <f>value(SAR!$B3157)</f>
        <v>3775.5892</v>
      </c>
      <c r="P3157" s="1">
        <f>value(AED!$B3157)</f>
        <v>3836.545979</v>
      </c>
      <c r="Q3157" s="1">
        <f>value(KWD!$B3157)</f>
        <v>46460.53717</v>
      </c>
    </row>
    <row r="3158">
      <c r="A3158" s="4">
        <f>value(USD!A3158)</f>
        <v>43523.99861</v>
      </c>
      <c r="B3158" s="1">
        <f>value(USD!B3158)</f>
        <v>14015</v>
      </c>
      <c r="C3158" s="1">
        <f>value(AUD!$B3158)</f>
        <v>9996.05</v>
      </c>
      <c r="D3158" s="1">
        <f>value(EUR!$B3158)</f>
        <v>16080</v>
      </c>
      <c r="E3158" s="1">
        <f>value(GBP!$B3158)</f>
        <v>18627.7</v>
      </c>
      <c r="F3158" s="1">
        <f>value(CHF!$B3158)</f>
        <v>13854.95</v>
      </c>
      <c r="G3158" s="1">
        <f>value(SGD!$B3158)</f>
        <v>10456.5</v>
      </c>
      <c r="H3158" s="1">
        <f>value(MYR!$B3158)</f>
        <v>3455.65</v>
      </c>
      <c r="I3158" s="1">
        <f>value(THB!$B3158)</f>
        <v>443.7</v>
      </c>
      <c r="J3158" s="1">
        <f>value(VND!$B3158)</f>
        <v>0</v>
      </c>
      <c r="K3158" s="1">
        <f>value(CNY!$B3158)</f>
        <v>2078</v>
      </c>
      <c r="L3158" s="1">
        <f>value(HKD!$B3158)</f>
        <v>1798.15</v>
      </c>
      <c r="M3158" s="1">
        <f>value(TWD!$B3158)</f>
        <v>449.905</v>
      </c>
      <c r="N3158" s="1">
        <f>value(JPY!$B3158)</f>
        <v>126.01</v>
      </c>
      <c r="O3158" s="1">
        <f>value(SAR!$B3158)</f>
        <v>3760.510782</v>
      </c>
      <c r="P3158" s="1">
        <f>value(AED!$B3158)</f>
        <v>3832.620246</v>
      </c>
      <c r="Q3158" s="1">
        <f>value(KWD!$B3158)</f>
        <v>46402.50205</v>
      </c>
    </row>
    <row r="3159">
      <c r="A3159" s="4">
        <f>value(USD!A3159)</f>
        <v>43524.99861</v>
      </c>
      <c r="B3159" s="1">
        <f>value(USD!B3159)</f>
        <v>14194</v>
      </c>
      <c r="C3159" s="1">
        <f>value(AUD!$B3159)</f>
        <v>9918.05</v>
      </c>
      <c r="D3159" s="1">
        <f>value(EUR!$B3159)</f>
        <v>16049.2608</v>
      </c>
      <c r="E3159" s="1">
        <f>value(GBP!$B3159)</f>
        <v>18627.7</v>
      </c>
      <c r="F3159" s="1">
        <f>value(CHF!$B3159)</f>
        <v>13859.6</v>
      </c>
      <c r="G3159" s="1">
        <f>value(SGD!$B3159)</f>
        <v>10439.95</v>
      </c>
      <c r="H3159" s="1">
        <f>value(MYR!$B3159)</f>
        <v>3455.65</v>
      </c>
      <c r="I3159" s="1">
        <f>value(THB!$B3159)</f>
        <v>443.7</v>
      </c>
      <c r="J3159" s="1">
        <f>value(VND!$B3159)</f>
        <v>0</v>
      </c>
      <c r="K3159" s="1">
        <f>value(CNY!$B3159)</f>
        <v>2068.65</v>
      </c>
      <c r="L3159" s="1">
        <f>value(HKD!$B3159)</f>
        <v>1800.65</v>
      </c>
      <c r="M3159" s="1">
        <f>value(TWD!$B3159)</f>
        <v>465.975</v>
      </c>
      <c r="N3159" s="1">
        <f>value(JPY!$B3159)</f>
        <v>126.01</v>
      </c>
      <c r="O3159" s="1">
        <f>value(SAR!$B3159)</f>
        <v>3760.331927</v>
      </c>
      <c r="P3159" s="1">
        <f>value(AED!$B3159)</f>
        <v>3835.066553</v>
      </c>
      <c r="Q3159" s="1">
        <f>value(KWD!$B3159)</f>
        <v>46091.55983</v>
      </c>
    </row>
    <row r="3160">
      <c r="A3160" s="4">
        <f>value(USD!A3160)</f>
        <v>43525.99861</v>
      </c>
      <c r="B3160" s="1">
        <f>value(USD!B3160)</f>
        <v>14173.5</v>
      </c>
      <c r="C3160" s="1">
        <f>value(AUD!$B3160)</f>
        <v>9908.85</v>
      </c>
      <c r="D3160" s="1">
        <f>value(EUR!$B3160)</f>
        <v>16056.64528</v>
      </c>
      <c r="E3160" s="1">
        <f>value(GBP!$B3160)</f>
        <v>18673.25</v>
      </c>
      <c r="F3160" s="1">
        <f>value(CHF!$B3160)</f>
        <v>13780.55</v>
      </c>
      <c r="G3160" s="1">
        <f>value(SGD!$B3160)</f>
        <v>10439.95</v>
      </c>
      <c r="H3160" s="1">
        <f>value(MYR!$B3160)</f>
        <v>3455.65</v>
      </c>
      <c r="I3160" s="1">
        <f>value(THB!$B3160)</f>
        <v>443.7</v>
      </c>
      <c r="J3160" s="1">
        <f>value(VND!$B3160)</f>
        <v>0</v>
      </c>
      <c r="K3160" s="1">
        <f>value(CNY!$B3160)</f>
        <v>2080.05</v>
      </c>
      <c r="L3160" s="1">
        <f>value(HKD!$B3160)</f>
        <v>1977.05</v>
      </c>
      <c r="M3160" s="1">
        <f>value(TWD!$B3160)</f>
        <v>451.445</v>
      </c>
      <c r="N3160" s="1">
        <f>value(JPY!$B3160)</f>
        <v>125.995</v>
      </c>
      <c r="O3160" s="1">
        <f>value(SAR!$B3160)</f>
        <v>3746.85091</v>
      </c>
      <c r="P3160" s="1">
        <f>value(AED!$B3160)</f>
        <v>3834.971263</v>
      </c>
      <c r="Q3160" s="1">
        <f>value(KWD!$B3160)</f>
        <v>46006.3104</v>
      </c>
    </row>
    <row r="3161">
      <c r="A3161" s="4">
        <f>value(USD!A3161)</f>
        <v>43526.99861</v>
      </c>
      <c r="B3161" s="1">
        <f>value(USD!B3161)</f>
        <v>14108</v>
      </c>
      <c r="C3161" s="1">
        <f>value(AUD!$B3161)</f>
        <v>9865.6</v>
      </c>
      <c r="D3161" s="1">
        <f>value(EUR!$B3161)</f>
        <v>16017</v>
      </c>
      <c r="E3161" s="1">
        <f>value(GBP!$B3161)</f>
        <v>18616.95</v>
      </c>
      <c r="F3161" s="1">
        <f>value(CHF!$B3161)</f>
        <v>13819.8</v>
      </c>
      <c r="G3161" s="1">
        <f>value(SGD!$B3161)</f>
        <v>10422.05</v>
      </c>
      <c r="H3161" s="1">
        <f>value(MYR!$B3161)</f>
        <v>3466.2</v>
      </c>
      <c r="I3161" s="1">
        <f>value(THB!$B3161)</f>
        <v>443.745</v>
      </c>
      <c r="J3161" s="1">
        <f>value(VND!$B3161)</f>
        <v>0</v>
      </c>
      <c r="K3161" s="1">
        <f>value(CNY!$B3161)</f>
        <v>2065.85</v>
      </c>
      <c r="L3161" s="1">
        <f>value(HKD!$B3161)</f>
        <v>1808.55</v>
      </c>
      <c r="M3161" s="1">
        <f>value(TWD!$B3161)</f>
        <v>450.345</v>
      </c>
      <c r="N3161" s="1">
        <f>value(JPY!$B3161)</f>
        <v>126.39</v>
      </c>
      <c r="O3161" s="1">
        <f>value(SAR!$B3161)</f>
        <v>3754.990575</v>
      </c>
      <c r="P3161" s="1">
        <f>value(AED!$B3161)</f>
        <v>3832.649639</v>
      </c>
      <c r="Q3161" s="1">
        <f>value(KWD!$B3161)</f>
        <v>46191.99193</v>
      </c>
    </row>
    <row r="3162">
      <c r="A3162" s="4">
        <f>value(USD!A3162)</f>
        <v>43527.99861</v>
      </c>
      <c r="B3162" s="1">
        <f>value(USD!B3162)</f>
        <v>14115</v>
      </c>
      <c r="C3162" s="1">
        <f>value(AUD!$B3162)</f>
        <v>9861.55</v>
      </c>
      <c r="D3162" s="1">
        <f>value(EUR!$B3162)</f>
        <v>16005.20087</v>
      </c>
      <c r="E3162" s="1">
        <f>value(GBP!$B3162)</f>
        <v>18644.35</v>
      </c>
      <c r="F3162" s="1">
        <f>value(CHF!$B3162)</f>
        <v>13844.1</v>
      </c>
      <c r="G3162" s="1">
        <f>value(SGD!$B3162)</f>
        <v>10487.3</v>
      </c>
      <c r="H3162" s="1">
        <f>value(MYR!$B3162)</f>
        <v>3471.8</v>
      </c>
      <c r="I3162" s="1">
        <f>value(THB!$B3162)</f>
        <v>445.92</v>
      </c>
      <c r="J3162" s="1">
        <f>value(VND!$B3162)</f>
        <v>0</v>
      </c>
      <c r="K3162" s="1">
        <f>value(CNY!$B3162)</f>
        <v>2067.95</v>
      </c>
      <c r="L3162" s="1">
        <f>value(HKD!$B3162)</f>
        <v>1806.7</v>
      </c>
      <c r="M3162" s="1">
        <f>value(TWD!$B3162)</f>
        <v>454.845</v>
      </c>
      <c r="N3162" s="1">
        <f>value(JPY!$B3162)</f>
        <v>126.64</v>
      </c>
      <c r="O3162" s="1">
        <f>value(SAR!$B3162)</f>
        <v>3781.089112</v>
      </c>
      <c r="P3162" s="1">
        <f>value(AED!$B3162)</f>
        <v>3846.18063</v>
      </c>
      <c r="Q3162" s="1">
        <f>value(KWD!$B3162)</f>
        <v>46191.99193</v>
      </c>
    </row>
    <row r="3163">
      <c r="A3163" s="4">
        <f>value(USD!A3163)</f>
        <v>43528.99861</v>
      </c>
      <c r="B3163" s="1">
        <f>value(USD!B3163)</f>
        <v>14212.5</v>
      </c>
      <c r="C3163" s="1">
        <f>value(AUD!$B3163)</f>
        <v>9831.5</v>
      </c>
      <c r="D3163" s="1">
        <f>value(EUR!$B3163)</f>
        <v>16003.2</v>
      </c>
      <c r="E3163" s="1">
        <f>value(GBP!$B3163)</f>
        <v>18642.25</v>
      </c>
      <c r="F3163" s="1">
        <f>value(CHF!$B3163)</f>
        <v>15211.95</v>
      </c>
      <c r="G3163" s="1">
        <f>value(SGD!$B3163)</f>
        <v>10462.95</v>
      </c>
      <c r="H3163" s="1">
        <f>value(MYR!$B3163)</f>
        <v>3457.7</v>
      </c>
      <c r="I3163" s="1">
        <f>value(THB!$B3163)</f>
        <v>444.25</v>
      </c>
      <c r="J3163" s="1">
        <f>value(VND!$B3163)</f>
        <v>0</v>
      </c>
      <c r="K3163" s="1">
        <f>value(CNY!$B3163)</f>
        <v>2252.65</v>
      </c>
      <c r="L3163" s="1">
        <f>value(HKD!$B3163)</f>
        <v>1810.2</v>
      </c>
      <c r="M3163" s="1">
        <f>value(TWD!$B3163)</f>
        <v>451.535</v>
      </c>
      <c r="N3163" s="1">
        <f>value(JPY!$B3163)</f>
        <v>126.69</v>
      </c>
      <c r="O3163" s="1">
        <f>value(SAR!$B3163)</f>
        <v>3772.31925</v>
      </c>
      <c r="P3163" s="1">
        <f>value(AED!$B3163)</f>
        <v>3839.976231</v>
      </c>
      <c r="Q3163" s="1">
        <f>value(KWD!$B3163)</f>
        <v>46201.87335</v>
      </c>
    </row>
    <row r="3164">
      <c r="A3164" s="4">
        <f>value(USD!A3164)</f>
        <v>43529.99861</v>
      </c>
      <c r="B3164" s="1">
        <f>value(USD!B3164)</f>
        <v>14154.5</v>
      </c>
      <c r="C3164" s="1">
        <f>value(AUD!$B3164)</f>
        <v>9870.4</v>
      </c>
      <c r="D3164" s="1">
        <f>value(EUR!$B3164)</f>
        <v>15943.5</v>
      </c>
      <c r="E3164" s="1">
        <f>value(GBP!$B3164)</f>
        <v>18481.65</v>
      </c>
      <c r="F3164" s="1">
        <f>value(CHF!$B3164)</f>
        <v>13904.6</v>
      </c>
      <c r="G3164" s="1">
        <f>value(SGD!$B3164)</f>
        <v>10484.3</v>
      </c>
      <c r="H3164" s="1">
        <f>value(MYR!$B3164)</f>
        <v>3446.4</v>
      </c>
      <c r="I3164" s="1">
        <f>value(THB!$B3164)</f>
        <v>443.385</v>
      </c>
      <c r="J3164" s="1">
        <f>value(VND!$B3164)</f>
        <v>0</v>
      </c>
      <c r="K3164" s="1">
        <f>value(CNY!$B3164)</f>
        <v>2252.65</v>
      </c>
      <c r="L3164" s="1">
        <f>value(HKD!$B3164)</f>
        <v>1816.25</v>
      </c>
      <c r="M3164" s="1">
        <f>value(TWD!$B3164)</f>
        <v>451.535</v>
      </c>
      <c r="N3164" s="1">
        <f>value(JPY!$B3164)</f>
        <v>126.48</v>
      </c>
      <c r="O3164" s="1">
        <f>value(SAR!$B3164)</f>
        <v>3796.9533</v>
      </c>
      <c r="P3164" s="1">
        <f>value(AED!$B3164)</f>
        <v>3811.431636</v>
      </c>
      <c r="Q3164" s="1">
        <f>value(KWD!$B3164)</f>
        <v>46121.60937</v>
      </c>
    </row>
    <row r="3165">
      <c r="A3165" s="4">
        <f>value(USD!A3165)</f>
        <v>43530.99861</v>
      </c>
      <c r="B3165" s="1">
        <f>value(USD!B3165)</f>
        <v>14218.5</v>
      </c>
      <c r="C3165" s="1">
        <f>value(AUD!$B3165)</f>
        <v>9895.85</v>
      </c>
      <c r="D3165" s="1">
        <f>value(EUR!$B3165)</f>
        <v>16083.71019</v>
      </c>
      <c r="E3165" s="1">
        <f>value(GBP!$B3165)</f>
        <v>18312.6</v>
      </c>
      <c r="F3165" s="1">
        <f>value(CHF!$B3165)</f>
        <v>13899.7</v>
      </c>
      <c r="G3165" s="1">
        <f>value(SGD!$B3165)</f>
        <v>10510.65</v>
      </c>
      <c r="H3165" s="1">
        <f>value(MYR!$B3165)</f>
        <v>3439.85</v>
      </c>
      <c r="I3165" s="1">
        <f>value(THB!$B3165)</f>
        <v>443.435</v>
      </c>
      <c r="J3165" s="1">
        <f>value(VND!$B3165)</f>
        <v>0</v>
      </c>
      <c r="K3165" s="1">
        <f>value(CNY!$B3165)</f>
        <v>2252.65</v>
      </c>
      <c r="L3165" s="1">
        <f>value(HKD!$B3165)</f>
        <v>1818.65</v>
      </c>
      <c r="M3165" s="1">
        <f>value(TWD!$B3165)</f>
        <v>451.535</v>
      </c>
      <c r="N3165" s="1">
        <f>value(JPY!$B3165)</f>
        <v>126.55</v>
      </c>
      <c r="O3165" s="1">
        <f>value(SAR!$B3165)</f>
        <v>3783.97881</v>
      </c>
      <c r="P3165" s="1">
        <f>value(AED!$B3165)</f>
        <v>3803.482164</v>
      </c>
      <c r="Q3165" s="1">
        <f>value(KWD!$B3165)</f>
        <v>46194.0303</v>
      </c>
    </row>
    <row r="3166">
      <c r="A3166" s="4">
        <f>value(USD!A3166)</f>
        <v>43531.99861</v>
      </c>
      <c r="B3166" s="1">
        <f>value(USD!B3166)</f>
        <v>14242.3</v>
      </c>
      <c r="C3166" s="1">
        <f>value(AUD!$B3166)</f>
        <v>9814.45</v>
      </c>
      <c r="D3166" s="1">
        <f>value(EUR!$B3166)</f>
        <v>16083.71019</v>
      </c>
      <c r="E3166" s="1">
        <f>value(GBP!$B3166)</f>
        <v>18312.6</v>
      </c>
      <c r="F3166" s="1">
        <f>value(CHF!$B3166)</f>
        <v>15209.4</v>
      </c>
      <c r="G3166" s="1">
        <f>value(SGD!$B3166)</f>
        <v>10504.15</v>
      </c>
      <c r="H3166" s="1">
        <f>value(MYR!$B3166)</f>
        <v>3439.85</v>
      </c>
      <c r="I3166" s="1">
        <f>value(THB!$B3166)</f>
        <v>443.36</v>
      </c>
      <c r="J3166" s="1">
        <f>value(VND!$B3166)</f>
        <v>0</v>
      </c>
      <c r="K3166" s="1">
        <f>value(CNY!$B3166)</f>
        <v>2245.45</v>
      </c>
      <c r="L3166" s="1">
        <f>value(HKD!$B3166)</f>
        <v>1816.5</v>
      </c>
      <c r="M3166" s="1">
        <f>value(TWD!$B3166)</f>
        <v>451.7</v>
      </c>
      <c r="N3166" s="1">
        <f>value(JPY!$B3166)</f>
        <v>126.55</v>
      </c>
      <c r="O3166" s="1">
        <f>value(SAR!$B3166)</f>
        <v>3783.836862</v>
      </c>
      <c r="P3166" s="1">
        <f>value(AED!$B3166)</f>
        <v>3818.105082</v>
      </c>
      <c r="Q3166" s="1">
        <f>value(KWD!$B3166)</f>
        <v>46051.86993</v>
      </c>
    </row>
    <row r="3167">
      <c r="A3167" s="4">
        <f>value(USD!A3167)</f>
        <v>43532.99861</v>
      </c>
      <c r="B3167" s="1">
        <f>value(USD!B3167)</f>
        <v>14310</v>
      </c>
      <c r="C3167" s="1">
        <f>value(AUD!$B3167)</f>
        <v>9877.5</v>
      </c>
      <c r="D3167" s="1">
        <f>value(EUR!$B3167)</f>
        <v>16072.92045</v>
      </c>
      <c r="E3167" s="1">
        <f>value(GBP!$B3167)</f>
        <v>18555.25</v>
      </c>
      <c r="F3167" s="1">
        <f>value(CHF!$B3167)</f>
        <v>13979.95</v>
      </c>
      <c r="G3167" s="1">
        <f>value(SGD!$B3167)</f>
        <v>10504.15</v>
      </c>
      <c r="H3167" s="1">
        <f>value(MYR!$B3167)</f>
        <v>3497.95</v>
      </c>
      <c r="I3167" s="1">
        <f>value(THB!$B3167)</f>
        <v>450.005</v>
      </c>
      <c r="J3167" s="1">
        <f>value(VND!$B3167)</f>
        <v>0</v>
      </c>
      <c r="K3167" s="1">
        <f>value(CNY!$B3167)</f>
        <v>2052.8</v>
      </c>
      <c r="L3167" s="1">
        <f>value(HKD!$B3167)</f>
        <v>1810.3</v>
      </c>
      <c r="M3167" s="1">
        <f>value(TWD!$B3167)</f>
        <v>451.4</v>
      </c>
      <c r="N3167" s="1">
        <f>value(JPY!$B3167)</f>
        <v>128.625</v>
      </c>
      <c r="O3167" s="1">
        <f>value(SAR!$B3167)</f>
        <v>3775.621681</v>
      </c>
      <c r="P3167" s="1">
        <f>value(AED!$B3167)</f>
        <v>3818.104942</v>
      </c>
      <c r="Q3167" s="1">
        <f>value(KWD!$B3167)</f>
        <v>46174.29712</v>
      </c>
    </row>
    <row r="3168">
      <c r="A3168" s="4">
        <f>value(USD!A3168)</f>
        <v>43533.99861</v>
      </c>
      <c r="B3168" s="1">
        <f>value(USD!B3168)</f>
        <v>14310</v>
      </c>
      <c r="C3168" s="1">
        <f>value(AUD!$B3168)</f>
        <v>9822.2</v>
      </c>
      <c r="D3168" s="1">
        <f>value(EUR!$B3168)</f>
        <v>16088.89665</v>
      </c>
      <c r="E3168" s="1">
        <f>value(GBP!$B3168)</f>
        <v>18864.9</v>
      </c>
      <c r="F3168" s="1">
        <f>value(CHF!$B3168)</f>
        <v>14021.2</v>
      </c>
      <c r="G3168" s="1">
        <f>value(SGD!$B3168)</f>
        <v>10492.5</v>
      </c>
      <c r="H3168" s="1">
        <f>value(MYR!$B3168)</f>
        <v>3491.4</v>
      </c>
      <c r="I3168" s="1">
        <f>value(THB!$B3168)</f>
        <v>450.025</v>
      </c>
      <c r="J3168" s="1">
        <f>value(VND!$B3168)</f>
        <v>0</v>
      </c>
      <c r="K3168" s="1">
        <f>value(CNY!$B3168)</f>
        <v>2059.45</v>
      </c>
      <c r="L3168" s="1">
        <f>value(HKD!$B3168)</f>
        <v>1810.3</v>
      </c>
      <c r="M3168" s="1">
        <f>value(TWD!$B3168)</f>
        <v>453.71</v>
      </c>
      <c r="N3168" s="1">
        <f>value(JPY!$B3168)</f>
        <v>127.95</v>
      </c>
      <c r="O3168" s="1">
        <f>value(SAR!$B3168)</f>
        <v>3792.242908</v>
      </c>
      <c r="P3168" s="1">
        <f>value(AED!$B3168)</f>
        <v>3818.848773</v>
      </c>
      <c r="Q3168" s="1">
        <f>value(KWD!$B3168)</f>
        <v>46074.57836</v>
      </c>
    </row>
    <row r="3169">
      <c r="A3169" s="4">
        <f>value(USD!A3169)</f>
        <v>43534.99861</v>
      </c>
      <c r="B3169" s="1">
        <f>value(USD!B3169)</f>
        <v>14310</v>
      </c>
      <c r="C3169" s="1">
        <f>value(AUD!$B3169)</f>
        <v>9808.85</v>
      </c>
      <c r="D3169" s="1">
        <f>value(EUR!$B3169)</f>
        <v>16100</v>
      </c>
      <c r="E3169" s="1">
        <f>value(GBP!$B3169)</f>
        <v>18646.1</v>
      </c>
      <c r="F3169" s="1">
        <f>value(CHF!$B3169)</f>
        <v>13979.6</v>
      </c>
      <c r="G3169" s="1">
        <f>value(SGD!$B3169)</f>
        <v>10452.45</v>
      </c>
      <c r="H3169" s="1">
        <f>value(MYR!$B3169)</f>
        <v>3490.8</v>
      </c>
      <c r="I3169" s="1">
        <f>value(THB!$B3169)</f>
        <v>450.7</v>
      </c>
      <c r="J3169" s="1">
        <f>value(VND!$B3169)</f>
        <v>0</v>
      </c>
      <c r="K3169" s="1">
        <f>value(CNY!$B3169)</f>
        <v>2054.55</v>
      </c>
      <c r="L3169" s="1">
        <f>value(HKD!$B3169)</f>
        <v>1815</v>
      </c>
      <c r="M3169" s="1">
        <f>value(TWD!$B3169)</f>
        <v>453.66</v>
      </c>
      <c r="N3169" s="1">
        <f>value(JPY!$B3169)</f>
        <v>127.63</v>
      </c>
      <c r="O3169" s="1">
        <f>value(SAR!$B3169)</f>
        <v>3789.825385</v>
      </c>
      <c r="P3169" s="1">
        <f>value(AED!$B3169)</f>
        <v>3813.873648</v>
      </c>
      <c r="Q3169" s="1">
        <f>value(KWD!$B3169)</f>
        <v>46074.57836</v>
      </c>
    </row>
    <row r="3170">
      <c r="A3170" s="4">
        <f>value(USD!A3170)</f>
        <v>43535.99861</v>
      </c>
      <c r="B3170" s="1">
        <f>value(USD!B3170)</f>
        <v>14290</v>
      </c>
      <c r="C3170" s="1">
        <f>value(AUD!$B3170)</f>
        <v>10705</v>
      </c>
      <c r="D3170" s="1">
        <f>value(EUR!$B3170)</f>
        <v>16163.3862</v>
      </c>
      <c r="E3170" s="1">
        <f>value(GBP!$B3170)</f>
        <v>18909.55</v>
      </c>
      <c r="F3170" s="1">
        <f>value(CHF!$B3170)</f>
        <v>13971.8</v>
      </c>
      <c r="G3170" s="1">
        <f>value(SGD!$B3170)</f>
        <v>10546.05</v>
      </c>
      <c r="H3170" s="1">
        <f>value(MYR!$B3170)</f>
        <v>3489</v>
      </c>
      <c r="I3170" s="1">
        <f>value(THB!$B3170)</f>
        <v>450.34</v>
      </c>
      <c r="J3170" s="1">
        <f>value(VND!$B3170)</f>
        <v>0</v>
      </c>
      <c r="K3170" s="1">
        <f>value(CNY!$B3170)</f>
        <v>2056.35</v>
      </c>
      <c r="L3170" s="1">
        <f>value(HKD!$B3170)</f>
        <v>1822.55</v>
      </c>
      <c r="M3170" s="1">
        <f>value(TWD!$B3170)</f>
        <v>452.555</v>
      </c>
      <c r="N3170" s="1">
        <f>value(JPY!$B3170)</f>
        <v>128</v>
      </c>
      <c r="O3170" s="1">
        <f>value(SAR!$B3170)</f>
        <v>3784.599925</v>
      </c>
      <c r="P3170" s="1">
        <f>value(AED!$B3170)</f>
        <v>3818.196855</v>
      </c>
      <c r="Q3170" s="1">
        <f>value(KWD!$B3170)</f>
        <v>46072.66595</v>
      </c>
    </row>
    <row r="3171">
      <c r="A3171" s="4">
        <f>value(USD!A3171)</f>
        <v>43536.99861</v>
      </c>
      <c r="B3171" s="1">
        <f>value(USD!B3171)</f>
        <v>14265</v>
      </c>
      <c r="C3171" s="1">
        <f>value(AUD!$B3171)</f>
        <v>10705</v>
      </c>
      <c r="D3171" s="1">
        <f>value(EUR!$B3171)</f>
        <v>16124.1</v>
      </c>
      <c r="E3171" s="1">
        <f>value(GBP!$B3171)</f>
        <v>18890.85</v>
      </c>
      <c r="F3171" s="1">
        <f>value(CHF!$B3171)</f>
        <v>13971.8</v>
      </c>
      <c r="G3171" s="1">
        <f>value(SGD!$B3171)</f>
        <v>10566.05</v>
      </c>
      <c r="H3171" s="1">
        <f>value(MYR!$B3171)</f>
        <v>3486.45</v>
      </c>
      <c r="I3171" s="1">
        <f>value(THB!$B3171)</f>
        <v>448.88</v>
      </c>
      <c r="J3171" s="1">
        <f>value(VND!$B3171)</f>
        <v>0</v>
      </c>
      <c r="K3171" s="1">
        <f>value(CNY!$B3171)</f>
        <v>2056.35</v>
      </c>
      <c r="L3171" s="1">
        <f>value(HKD!$B3171)</f>
        <v>1817.3</v>
      </c>
      <c r="M3171" s="1">
        <f>value(TWD!$B3171)</f>
        <v>452.555</v>
      </c>
      <c r="N3171" s="1">
        <f>value(JPY!$B3171)</f>
        <v>127.63</v>
      </c>
      <c r="O3171" s="1">
        <f>value(SAR!$B3171)</f>
        <v>3784.857882</v>
      </c>
      <c r="P3171" s="1">
        <f>value(AED!$B3171)</f>
        <v>3806.245422</v>
      </c>
      <c r="Q3171" s="1">
        <f>value(KWD!$B3171)</f>
        <v>46186.84345</v>
      </c>
    </row>
    <row r="3172">
      <c r="A3172" s="4">
        <f>value(USD!A3172)</f>
        <v>43537.99861</v>
      </c>
      <c r="B3172" s="1">
        <f>value(USD!B3172)</f>
        <v>14265</v>
      </c>
      <c r="C3172" s="1">
        <f>value(AUD!$B3172)</f>
        <v>10734.35</v>
      </c>
      <c r="D3172" s="1">
        <f>value(EUR!$B3172)</f>
        <v>16124.1</v>
      </c>
      <c r="E3172" s="1">
        <f>value(GBP!$B3172)</f>
        <v>18914.85</v>
      </c>
      <c r="F3172" s="1">
        <f>value(CHF!$B3172)</f>
        <v>14003.8</v>
      </c>
      <c r="G3172" s="1">
        <f>value(SGD!$B3172)</f>
        <v>10527.2</v>
      </c>
      <c r="H3172" s="1">
        <f>value(MYR!$B3172)</f>
        <v>3491.65</v>
      </c>
      <c r="I3172" s="1">
        <f>value(THB!$B3172)</f>
        <v>449.75</v>
      </c>
      <c r="J3172" s="1">
        <f>value(VND!$B3172)</f>
        <v>0</v>
      </c>
      <c r="K3172" s="1">
        <f>value(CNY!$B3172)</f>
        <v>2056.35</v>
      </c>
      <c r="L3172" s="1">
        <f>value(HKD!$B3172)</f>
        <v>1819.65</v>
      </c>
      <c r="M3172" s="1">
        <f>value(TWD!$B3172)</f>
        <v>452.555</v>
      </c>
      <c r="N3172" s="1">
        <f>value(JPY!$B3172)</f>
        <v>127.69</v>
      </c>
      <c r="O3172" s="1">
        <f>value(SAR!$B3172)</f>
        <v>3767.70038</v>
      </c>
      <c r="P3172" s="1">
        <f>value(AED!$B3172)</f>
        <v>3818.196855</v>
      </c>
      <c r="Q3172" s="1">
        <f>value(KWD!$B3172)</f>
        <v>46184.07578</v>
      </c>
    </row>
    <row r="3173">
      <c r="A3173" s="4">
        <f>value(USD!A3173)</f>
        <v>43538.99861</v>
      </c>
      <c r="B3173" s="1">
        <f>value(USD!B3173)</f>
        <v>14294</v>
      </c>
      <c r="C3173" s="1">
        <f>value(AUD!$B3173)</f>
        <v>10756</v>
      </c>
      <c r="D3173" s="1">
        <f>value(EUR!$B3173)</f>
        <v>16171.57049</v>
      </c>
      <c r="E3173" s="1">
        <f>value(GBP!$B3173)</f>
        <v>18941.5</v>
      </c>
      <c r="F3173" s="1">
        <f>value(CHF!$B3173)</f>
        <v>14055.7</v>
      </c>
      <c r="G3173" s="1">
        <f>value(SGD!$B3173)</f>
        <v>10483.05</v>
      </c>
      <c r="H3173" s="1">
        <f>value(MYR!$B3173)</f>
        <v>3491.65</v>
      </c>
      <c r="I3173" s="1">
        <f>value(THB!$B3173)</f>
        <v>449.75</v>
      </c>
      <c r="J3173" s="1">
        <f>value(VND!$B3173)</f>
        <v>0</v>
      </c>
      <c r="K3173" s="1">
        <f>value(CNY!$B3173)</f>
        <v>2061.55</v>
      </c>
      <c r="L3173" s="1">
        <f>value(HKD!$B3173)</f>
        <v>1827.15</v>
      </c>
      <c r="M3173" s="1">
        <f>value(TWD!$B3173)</f>
        <v>452.87</v>
      </c>
      <c r="N3173" s="1">
        <f>value(JPY!$B3173)</f>
        <v>127.69</v>
      </c>
      <c r="O3173" s="1">
        <f>value(SAR!$B3173)</f>
        <v>3768.90177</v>
      </c>
      <c r="P3173" s="1">
        <f>value(AED!$B3173)</f>
        <v>3804.410415</v>
      </c>
      <c r="Q3173" s="1">
        <f>value(KWD!$B3173)</f>
        <v>46034.93472</v>
      </c>
    </row>
    <row r="3174">
      <c r="A3174" s="4">
        <f>value(USD!A3174)</f>
        <v>43539.99861</v>
      </c>
      <c r="B3174" s="1">
        <f>value(USD!B3174)</f>
        <v>14269</v>
      </c>
      <c r="C3174" s="1">
        <f>value(AUD!$B3174)</f>
        <v>9828.35</v>
      </c>
      <c r="D3174" s="1">
        <f>value(EUR!$B3174)</f>
        <v>16140.33246</v>
      </c>
      <c r="E3174" s="1">
        <f>value(GBP!$B3174)</f>
        <v>18957.05</v>
      </c>
      <c r="F3174" s="1">
        <f>value(CHF!$B3174)</f>
        <v>13987.1</v>
      </c>
      <c r="G3174" s="1">
        <f>value(SGD!$B3174)</f>
        <v>10483.05</v>
      </c>
      <c r="H3174" s="1">
        <f>value(MYR!$B3174)</f>
        <v>3491.65</v>
      </c>
      <c r="I3174" s="1">
        <f>value(THB!$B3174)</f>
        <v>449.75</v>
      </c>
      <c r="J3174" s="1">
        <f>value(VND!$B3174)</f>
        <v>0</v>
      </c>
      <c r="K3174" s="1">
        <f>value(CNY!$B3174)</f>
        <v>2063.5</v>
      </c>
      <c r="L3174" s="1">
        <f>value(HKD!$B3174)</f>
        <v>1824</v>
      </c>
      <c r="M3174" s="1">
        <f>value(TWD!$B3174)</f>
        <v>454.55</v>
      </c>
      <c r="N3174" s="1">
        <f>value(JPY!$B3174)</f>
        <v>127.81</v>
      </c>
      <c r="O3174" s="1">
        <f>value(SAR!$B3174)</f>
        <v>3768.227882</v>
      </c>
      <c r="P3174" s="1">
        <f>value(AED!$B3174)</f>
        <v>3804.410415</v>
      </c>
      <c r="Q3174" s="1">
        <f>value(KWD!$B3174)</f>
        <v>46053.48255</v>
      </c>
    </row>
    <row r="3175">
      <c r="A3175" s="4">
        <f>value(USD!A3175)</f>
        <v>43540.99861</v>
      </c>
      <c r="B3175" s="1">
        <f>value(USD!B3175)</f>
        <v>14255</v>
      </c>
      <c r="C3175" s="1">
        <f>value(AUD!$B3175)</f>
        <v>9898.35</v>
      </c>
      <c r="D3175" s="1">
        <f>value(EUR!$B3175)</f>
        <v>16169.7</v>
      </c>
      <c r="E3175" s="1">
        <f>value(GBP!$B3175)</f>
        <v>18866.85</v>
      </c>
      <c r="F3175" s="1">
        <f>value(CHF!$B3175)</f>
        <v>13995.55</v>
      </c>
      <c r="G3175" s="1">
        <f>value(SGD!$B3175)</f>
        <v>10489.85</v>
      </c>
      <c r="H3175" s="1">
        <f>value(MYR!$B3175)</f>
        <v>3491.35</v>
      </c>
      <c r="I3175" s="1">
        <f>value(THB!$B3175)</f>
        <v>449.15</v>
      </c>
      <c r="J3175" s="1">
        <f>value(VND!$B3175)</f>
        <v>0</v>
      </c>
      <c r="K3175" s="1">
        <f>value(CNY!$B3175)</f>
        <v>2050.5</v>
      </c>
      <c r="L3175" s="1">
        <f>value(HKD!$B3175)</f>
        <v>1824</v>
      </c>
      <c r="M3175" s="1">
        <f>value(TWD!$B3175)</f>
        <v>454.27</v>
      </c>
      <c r="N3175" s="1">
        <f>value(JPY!$B3175)</f>
        <v>127.75</v>
      </c>
      <c r="O3175" s="1">
        <f>value(SAR!$B3175)</f>
        <v>3797.245882</v>
      </c>
      <c r="P3175" s="1">
        <f>value(AED!$B3175)</f>
        <v>3804.139324</v>
      </c>
      <c r="Q3175" s="1">
        <f>value(KWD!$B3175)</f>
        <v>46002.99782</v>
      </c>
    </row>
    <row r="3176">
      <c r="A3176" s="4">
        <f>value(USD!A3176)</f>
        <v>43541.99861</v>
      </c>
      <c r="B3176" s="1">
        <f>value(USD!B3176)</f>
        <v>14259</v>
      </c>
      <c r="C3176" s="1">
        <f>value(AUD!$B3176)</f>
        <v>9896.4</v>
      </c>
      <c r="D3176" s="1">
        <f>value(EUR!$B3176)</f>
        <v>16153</v>
      </c>
      <c r="E3176" s="1">
        <f>value(GBP!$B3176)</f>
        <v>18880.35</v>
      </c>
      <c r="F3176" s="1">
        <f>value(CHF!$B3176)</f>
        <v>14123.3</v>
      </c>
      <c r="G3176" s="1">
        <f>value(SGD!$B3176)</f>
        <v>10507.75</v>
      </c>
      <c r="H3176" s="1">
        <f>value(MYR!$B3176)</f>
        <v>3491.7</v>
      </c>
      <c r="I3176" s="1">
        <f>value(THB!$B3176)</f>
        <v>449.06</v>
      </c>
      <c r="J3176" s="1">
        <f>value(VND!$B3176)</f>
        <v>0</v>
      </c>
      <c r="K3176" s="1">
        <f>value(CNY!$B3176)</f>
        <v>2057.85</v>
      </c>
      <c r="L3176" s="1">
        <f>value(HKD!$B3176)</f>
        <v>1823.95</v>
      </c>
      <c r="M3176" s="1">
        <f>value(TWD!$B3176)</f>
        <v>453.84</v>
      </c>
      <c r="N3176" s="1">
        <f>value(JPY!$B3176)</f>
        <v>127.66</v>
      </c>
      <c r="O3176" s="1">
        <f>value(SAR!$B3176)</f>
        <v>3789.683255</v>
      </c>
      <c r="P3176" s="1">
        <f>value(AED!$B3176)</f>
        <v>3815.174966</v>
      </c>
      <c r="Q3176" s="1">
        <f>value(KWD!$B3176)</f>
        <v>46002.99782</v>
      </c>
    </row>
    <row r="3177">
      <c r="A3177" s="4">
        <f>value(USD!A3177)</f>
        <v>43542.99861</v>
      </c>
      <c r="B3177" s="1">
        <f>value(USD!B3177)</f>
        <v>14258</v>
      </c>
      <c r="C3177" s="1">
        <f>value(AUD!$B3177)</f>
        <v>9896.4</v>
      </c>
      <c r="D3177" s="1">
        <f>value(EUR!$B3177)</f>
        <v>16167</v>
      </c>
      <c r="E3177" s="1">
        <f>value(GBP!$B3177)</f>
        <v>18681.4</v>
      </c>
      <c r="F3177" s="1">
        <f>value(CHF!$B3177)</f>
        <v>14151.2</v>
      </c>
      <c r="G3177" s="1">
        <f>value(SGD!$B3177)</f>
        <v>10499.75</v>
      </c>
      <c r="H3177" s="1">
        <f>value(MYR!$B3177)</f>
        <v>3506.75</v>
      </c>
      <c r="I3177" s="1">
        <f>value(THB!$B3177)</f>
        <v>446.935</v>
      </c>
      <c r="J3177" s="1">
        <f>value(VND!$B3177)</f>
        <v>0</v>
      </c>
      <c r="K3177" s="1">
        <f>value(CNY!$B3177)</f>
        <v>2041.35</v>
      </c>
      <c r="L3177" s="1">
        <f>value(HKD!$B3177)</f>
        <v>1824.45</v>
      </c>
      <c r="M3177" s="1">
        <f>value(TWD!$B3177)</f>
        <v>454.5</v>
      </c>
      <c r="N3177" s="1">
        <f>value(JPY!$B3177)</f>
        <v>127.85</v>
      </c>
      <c r="O3177" s="1">
        <f>value(SAR!$B3177)</f>
        <v>3778.78475</v>
      </c>
      <c r="P3177" s="1">
        <f>value(AED!$B3177)</f>
        <v>3819.013581</v>
      </c>
      <c r="Q3177" s="1">
        <f>value(KWD!$B3177)</f>
        <v>45987.55016</v>
      </c>
    </row>
    <row r="3178">
      <c r="A3178" s="4">
        <f>value(USD!A3178)</f>
        <v>43543.99861</v>
      </c>
      <c r="B3178" s="1">
        <f>value(USD!B3178)</f>
        <v>14230</v>
      </c>
      <c r="C3178" s="1">
        <f>value(AUD!$B3178)</f>
        <v>9896.4</v>
      </c>
      <c r="D3178" s="1">
        <f>value(EUR!$B3178)</f>
        <v>16050</v>
      </c>
      <c r="E3178" s="1">
        <f>value(GBP!$B3178)</f>
        <v>18528.25</v>
      </c>
      <c r="F3178" s="1">
        <f>value(CHF!$B3178)</f>
        <v>14152.5</v>
      </c>
      <c r="G3178" s="1">
        <f>value(SGD!$B3178)</f>
        <v>10543.5</v>
      </c>
      <c r="H3178" s="1">
        <f>value(MYR!$B3178)</f>
        <v>3491.3</v>
      </c>
      <c r="I3178" s="1">
        <f>value(THB!$B3178)</f>
        <v>444.56</v>
      </c>
      <c r="J3178" s="1">
        <f>value(VND!$B3178)</f>
        <v>0</v>
      </c>
      <c r="K3178" s="1">
        <f>value(CNY!$B3178)</f>
        <v>2041.35</v>
      </c>
      <c r="L3178" s="1">
        <f>value(HKD!$B3178)</f>
        <v>1839.35</v>
      </c>
      <c r="M3178" s="1">
        <f>value(TWD!$B3178)</f>
        <v>454.5</v>
      </c>
      <c r="N3178" s="1">
        <f>value(JPY!$B3178)</f>
        <v>127.34</v>
      </c>
      <c r="O3178" s="1">
        <f>value(SAR!$B3178)</f>
        <v>3773.48928</v>
      </c>
      <c r="P3178" s="1">
        <f>value(AED!$B3178)</f>
        <v>3803.610117</v>
      </c>
      <c r="Q3178" s="1">
        <f>value(KWD!$B3178)</f>
        <v>45972.60666</v>
      </c>
    </row>
    <row r="3179">
      <c r="A3179" s="4">
        <f>value(USD!A3179)</f>
        <v>43544.99861</v>
      </c>
      <c r="B3179" s="1">
        <f>value(USD!B3179)</f>
        <v>14062</v>
      </c>
      <c r="C3179" s="1">
        <f>value(AUD!$B3179)</f>
        <v>9923</v>
      </c>
      <c r="D3179" s="1">
        <f>value(EUR!$B3179)</f>
        <v>16196.76245</v>
      </c>
      <c r="E3179" s="1">
        <f>value(GBP!$B3179)</f>
        <v>18676.5</v>
      </c>
      <c r="F3179" s="1">
        <f>value(CHF!$B3179)</f>
        <v>14166.2</v>
      </c>
      <c r="G3179" s="1">
        <f>value(SGD!$B3179)</f>
        <v>10476.65</v>
      </c>
      <c r="H3179" s="1">
        <f>value(MYR!$B3179)</f>
        <v>3482.65</v>
      </c>
      <c r="I3179" s="1">
        <f>value(THB!$B3179)</f>
        <v>445.52</v>
      </c>
      <c r="J3179" s="1">
        <f>value(VND!$B3179)</f>
        <v>0</v>
      </c>
      <c r="K3179" s="1">
        <f>value(CNY!$B3179)</f>
        <v>2041.35</v>
      </c>
      <c r="L3179" s="1">
        <f>value(HKD!$B3179)</f>
        <v>1842.05</v>
      </c>
      <c r="M3179" s="1">
        <f>value(TWD!$B3179)</f>
        <v>454.5</v>
      </c>
      <c r="N3179" s="1">
        <f>value(JPY!$B3179)</f>
        <v>128.615</v>
      </c>
      <c r="O3179" s="1">
        <f>value(SAR!$B3179)</f>
        <v>3765.397846</v>
      </c>
      <c r="P3179" s="1">
        <f>value(AED!$B3179)</f>
        <v>3806.691899</v>
      </c>
      <c r="Q3179" s="1">
        <f>value(KWD!$B3179)</f>
        <v>46040.60923</v>
      </c>
    </row>
    <row r="3180">
      <c r="A3180" s="4">
        <f>value(USD!A3180)</f>
        <v>43545.99861</v>
      </c>
      <c r="B3180" s="1">
        <f>value(USD!B3180)</f>
        <v>14140</v>
      </c>
      <c r="C3180" s="1">
        <f>value(AUD!$B3180)</f>
        <v>9837</v>
      </c>
      <c r="D3180" s="1">
        <f>value(EUR!$B3180)</f>
        <v>16196.76245</v>
      </c>
      <c r="E3180" s="1">
        <f>value(GBP!$B3180)</f>
        <v>18695.05</v>
      </c>
      <c r="F3180" s="1">
        <f>value(CHF!$B3180)</f>
        <v>14242.7</v>
      </c>
      <c r="G3180" s="1">
        <f>value(SGD!$B3180)</f>
        <v>10458.7</v>
      </c>
      <c r="H3180" s="1">
        <f>value(MYR!$B3180)</f>
        <v>3485.05</v>
      </c>
      <c r="I3180" s="1">
        <f>value(THB!$B3180)</f>
        <v>446.7</v>
      </c>
      <c r="J3180" s="1">
        <f>value(VND!$B3180)</f>
        <v>0</v>
      </c>
      <c r="K3180" s="1">
        <f>value(CNY!$B3180)</f>
        <v>2243.7</v>
      </c>
      <c r="L3180" s="1">
        <f>value(HKD!$B3180)</f>
        <v>1841.35</v>
      </c>
      <c r="M3180" s="1">
        <f>value(TWD!$B3180)</f>
        <v>454.145</v>
      </c>
      <c r="N3180" s="1">
        <f>value(JPY!$B3180)</f>
        <v>128.615</v>
      </c>
      <c r="O3180" s="1">
        <f>value(SAR!$B3180)</f>
        <v>3765.349087</v>
      </c>
      <c r="P3180" s="1">
        <f>value(AED!$B3180)</f>
        <v>3802.346634</v>
      </c>
      <c r="Q3180" s="1">
        <f>value(KWD!$B3180)</f>
        <v>46052.24751</v>
      </c>
    </row>
    <row r="3181">
      <c r="A3181" s="4">
        <f>value(USD!A3181)</f>
        <v>43546.99861</v>
      </c>
      <c r="B3181" s="1">
        <f>value(USD!B3181)</f>
        <v>14307.5</v>
      </c>
      <c r="C3181" s="1">
        <f>value(AUD!$B3181)</f>
        <v>9896</v>
      </c>
      <c r="D3181" s="1">
        <f>value(EUR!$B3181)</f>
        <v>16000.13241</v>
      </c>
      <c r="E3181" s="1">
        <f>value(GBP!$B3181)</f>
        <v>18713.6</v>
      </c>
      <c r="F3181" s="1">
        <f>value(CHF!$B3181)</f>
        <v>14311.5</v>
      </c>
      <c r="G3181" s="1">
        <f>value(SGD!$B3181)</f>
        <v>10445.55</v>
      </c>
      <c r="H3181" s="1">
        <f>value(MYR!$B3181)</f>
        <v>3485.05</v>
      </c>
      <c r="I3181" s="1">
        <f>value(THB!$B3181)</f>
        <v>446.7</v>
      </c>
      <c r="J3181" s="1">
        <f>value(VND!$B3181)</f>
        <v>0</v>
      </c>
      <c r="K3181" s="1">
        <f>value(CNY!$B3181)</f>
        <v>2244.8</v>
      </c>
      <c r="L3181" s="1">
        <f>value(HKD!$B3181)</f>
        <v>1839.4</v>
      </c>
      <c r="M3181" s="1">
        <f>value(TWD!$B3181)</f>
        <v>454.87</v>
      </c>
      <c r="N3181" s="1">
        <f>value(JPY!$B3181)</f>
        <v>128.7</v>
      </c>
      <c r="O3181" s="1">
        <f>value(SAR!$B3181)</f>
        <v>3766.311608</v>
      </c>
      <c r="P3181" s="1">
        <f>value(AED!$B3181)</f>
        <v>3802.346914</v>
      </c>
      <c r="Q3181" s="1">
        <f>value(KWD!$B3181)</f>
        <v>45980.21786</v>
      </c>
    </row>
    <row r="3182">
      <c r="A3182" s="4">
        <f>value(USD!A3182)</f>
        <v>43547.99861</v>
      </c>
      <c r="B3182" s="1">
        <f>value(USD!B3182)</f>
        <v>14307.5</v>
      </c>
      <c r="C3182" s="1">
        <f>value(AUD!$B3182)</f>
        <v>9919.65</v>
      </c>
      <c r="D3182" s="1">
        <f>value(EUR!$B3182)</f>
        <v>16036.3</v>
      </c>
      <c r="E3182" s="1">
        <f>value(GBP!$B3182)</f>
        <v>18713.4</v>
      </c>
      <c r="F3182" s="1">
        <f>value(CHF!$B3182)</f>
        <v>14342.3</v>
      </c>
      <c r="G3182" s="1">
        <f>value(SGD!$B3182)</f>
        <v>10449.4</v>
      </c>
      <c r="H3182" s="1">
        <f>value(MYR!$B3182)</f>
        <v>3487</v>
      </c>
      <c r="I3182" s="1">
        <f>value(THB!$B3182)</f>
        <v>449.55</v>
      </c>
      <c r="J3182" s="1">
        <f>value(VND!$B3182)</f>
        <v>0</v>
      </c>
      <c r="K3182" s="1">
        <f>value(CNY!$B3182)</f>
        <v>2054.65</v>
      </c>
      <c r="L3182" s="1">
        <f>value(HKD!$B3182)</f>
        <v>1839.4</v>
      </c>
      <c r="M3182" s="1">
        <f>value(TWD!$B3182)</f>
        <v>453.905</v>
      </c>
      <c r="N3182" s="1">
        <f>value(JPY!$B3182)</f>
        <v>128.86</v>
      </c>
      <c r="O3182" s="1">
        <f>value(SAR!$B3182)</f>
        <v>3763.005642</v>
      </c>
      <c r="P3182" s="1">
        <f>value(AED!$B3182)</f>
        <v>3801.29768</v>
      </c>
      <c r="Q3182" s="1">
        <f>value(KWD!$B3182)</f>
        <v>45991.88833</v>
      </c>
    </row>
    <row r="3183">
      <c r="A3183" s="4">
        <f>value(USD!A3183)</f>
        <v>43548.99861</v>
      </c>
      <c r="B3183" s="1">
        <f>value(USD!B3183)</f>
        <v>14165</v>
      </c>
      <c r="C3183" s="1">
        <f>value(AUD!$B3183)</f>
        <v>9934.85</v>
      </c>
      <c r="D3183" s="1">
        <f>value(EUR!$B3183)</f>
        <v>15977.3835</v>
      </c>
      <c r="E3183" s="1">
        <f>value(GBP!$B3183)</f>
        <v>18730.05</v>
      </c>
      <c r="F3183" s="1">
        <f>value(CHF!$B3183)</f>
        <v>14309.55</v>
      </c>
      <c r="G3183" s="1">
        <f>value(SGD!$B3183)</f>
        <v>10455.6</v>
      </c>
      <c r="H3183" s="1">
        <f>value(MYR!$B3183)</f>
        <v>3475.4</v>
      </c>
      <c r="I3183" s="1">
        <f>value(THB!$B3183)</f>
        <v>448.27</v>
      </c>
      <c r="J3183" s="1">
        <f>value(VND!$B3183)</f>
        <v>0</v>
      </c>
      <c r="K3183" s="1">
        <f>value(CNY!$B3183)</f>
        <v>2055.85</v>
      </c>
      <c r="L3183" s="1">
        <f>value(HKD!$B3183)</f>
        <v>1839.95</v>
      </c>
      <c r="M3183" s="1">
        <f>value(TWD!$B3183)</f>
        <v>453.705</v>
      </c>
      <c r="N3183" s="1">
        <f>value(JPY!$B3183)</f>
        <v>128.26</v>
      </c>
      <c r="O3183" s="1">
        <f>value(SAR!$B3183)</f>
        <v>3790.871406</v>
      </c>
      <c r="P3183" s="1">
        <f>value(AED!$B3183)</f>
        <v>3800.536503</v>
      </c>
      <c r="Q3183" s="1">
        <f>value(KWD!$B3183)</f>
        <v>45991.88833</v>
      </c>
    </row>
    <row r="3184">
      <c r="A3184" s="4">
        <f>value(USD!A3184)</f>
        <v>43549.99861</v>
      </c>
      <c r="B3184" s="1">
        <f>value(USD!B3184)</f>
        <v>14180</v>
      </c>
      <c r="C3184" s="1">
        <f>value(AUD!$B3184)</f>
        <v>9825.8</v>
      </c>
      <c r="D3184" s="1">
        <f>value(EUR!$B3184)</f>
        <v>15975</v>
      </c>
      <c r="E3184" s="1">
        <f>value(GBP!$B3184)</f>
        <v>18674.35</v>
      </c>
      <c r="F3184" s="1">
        <f>value(CHF!$B3184)</f>
        <v>14285.7</v>
      </c>
      <c r="G3184" s="1">
        <f>value(SGD!$B3184)</f>
        <v>10444.55</v>
      </c>
      <c r="H3184" s="1">
        <f>value(MYR!$B3184)</f>
        <v>3482.8</v>
      </c>
      <c r="I3184" s="1">
        <f>value(THB!$B3184)</f>
        <v>445.395</v>
      </c>
      <c r="J3184" s="1">
        <f>value(VND!$B3184)</f>
        <v>0</v>
      </c>
      <c r="K3184" s="1">
        <f>value(CNY!$B3184)</f>
        <v>2035.65</v>
      </c>
      <c r="L3184" s="1">
        <f>value(HKD!$B3184)</f>
        <v>1841.4</v>
      </c>
      <c r="M3184" s="1">
        <f>value(TWD!$B3184)</f>
        <v>453.31</v>
      </c>
      <c r="N3184" s="1">
        <f>value(JPY!$B3184)</f>
        <v>128.5</v>
      </c>
      <c r="O3184" s="1">
        <f>value(SAR!$B3184)</f>
        <v>3793.522003</v>
      </c>
      <c r="P3184" s="1">
        <f>value(AED!$B3184)</f>
        <v>3800.528089</v>
      </c>
      <c r="Q3184" s="1">
        <f>value(KWD!$B3184)</f>
        <v>45998.97356</v>
      </c>
    </row>
    <row r="3185">
      <c r="A3185" s="4">
        <f>value(USD!A3185)</f>
        <v>43550.99861</v>
      </c>
      <c r="B3185" s="1">
        <f>value(USD!B3185)</f>
        <v>14170</v>
      </c>
      <c r="C3185" s="1">
        <f>value(AUD!$B3185)</f>
        <v>9825.8</v>
      </c>
      <c r="D3185" s="1">
        <f>value(EUR!$B3185)</f>
        <v>15979</v>
      </c>
      <c r="E3185" s="1">
        <f>value(GBP!$B3185)</f>
        <v>18573.75</v>
      </c>
      <c r="F3185" s="1">
        <f>value(CHF!$B3185)</f>
        <v>14285.7</v>
      </c>
      <c r="G3185" s="1">
        <f>value(SGD!$B3185)</f>
        <v>10424.3</v>
      </c>
      <c r="H3185" s="1">
        <f>value(MYR!$B3185)</f>
        <v>3489.9</v>
      </c>
      <c r="I3185" s="1">
        <f>value(THB!$B3185)</f>
        <v>447.19</v>
      </c>
      <c r="J3185" s="1">
        <f>value(VND!$B3185)</f>
        <v>0</v>
      </c>
      <c r="K3185" s="1">
        <f>value(CNY!$B3185)</f>
        <v>2035.65</v>
      </c>
      <c r="L3185" s="1">
        <f>value(HKD!$B3185)</f>
        <v>1841.65</v>
      </c>
      <c r="M3185" s="1">
        <f>value(TWD!$B3185)</f>
        <v>453.31</v>
      </c>
      <c r="N3185" s="1">
        <f>value(JPY!$B3185)</f>
        <v>128.61</v>
      </c>
      <c r="O3185" s="1">
        <f>value(SAR!$B3185)</f>
        <v>3783.118063</v>
      </c>
      <c r="P3185" s="1">
        <f>value(AED!$B3185)</f>
        <v>3803.520334</v>
      </c>
      <c r="Q3185" s="1">
        <f>value(KWD!$B3185)</f>
        <v>45919.87092</v>
      </c>
    </row>
    <row r="3186">
      <c r="A3186" s="4">
        <f>value(USD!A3186)</f>
        <v>43551.99861</v>
      </c>
      <c r="B3186" s="1">
        <f>value(USD!B3186)</f>
        <v>14350</v>
      </c>
      <c r="C3186" s="1">
        <f>value(AUD!$B3186)</f>
        <v>9825.2</v>
      </c>
      <c r="D3186" s="1">
        <f>value(EUR!$B3186)</f>
        <v>15970</v>
      </c>
      <c r="E3186" s="1">
        <f>value(GBP!$B3186)</f>
        <v>18540.7</v>
      </c>
      <c r="F3186" s="1">
        <f>value(CHF!$B3186)</f>
        <v>14289.2</v>
      </c>
      <c r="G3186" s="1">
        <f>value(SGD!$B3186)</f>
        <v>10438.85</v>
      </c>
      <c r="H3186" s="1">
        <f>value(MYR!$B3186)</f>
        <v>3486.25</v>
      </c>
      <c r="I3186" s="1">
        <f>value(THB!$B3186)</f>
        <v>448.32</v>
      </c>
      <c r="J3186" s="1">
        <f>value(VND!$B3186)</f>
        <v>0</v>
      </c>
      <c r="K3186" s="1">
        <f>value(CNY!$B3186)</f>
        <v>2035.65</v>
      </c>
      <c r="L3186" s="1">
        <f>value(HKD!$B3186)</f>
        <v>1852.75</v>
      </c>
      <c r="M3186" s="1">
        <f>value(TWD!$B3186)</f>
        <v>453.31</v>
      </c>
      <c r="N3186" s="1">
        <f>value(JPY!$B3186)</f>
        <v>128.24</v>
      </c>
      <c r="O3186" s="1">
        <f>value(SAR!$B3186)</f>
        <v>3766.456486</v>
      </c>
      <c r="P3186" s="1">
        <f>value(AED!$B3186)</f>
        <v>3799.398208</v>
      </c>
      <c r="Q3186" s="1">
        <f>value(KWD!$B3186)</f>
        <v>45789.10496</v>
      </c>
    </row>
    <row r="3187">
      <c r="A3187" s="4">
        <f>value(USD!A3187)</f>
        <v>43552.99861</v>
      </c>
      <c r="B3187" s="1">
        <f>value(USD!B3187)</f>
        <v>14242</v>
      </c>
      <c r="C3187" s="1">
        <f>value(AUD!$B3187)</f>
        <v>10764.65</v>
      </c>
      <c r="D3187" s="1">
        <f>value(EUR!$B3187)</f>
        <v>15970</v>
      </c>
      <c r="E3187" s="1">
        <f>value(GBP!$B3187)</f>
        <v>18540.7</v>
      </c>
      <c r="F3187" s="1">
        <f>value(CHF!$B3187)</f>
        <v>14332.05</v>
      </c>
      <c r="G3187" s="1">
        <f>value(SGD!$B3187)</f>
        <v>10423.75</v>
      </c>
      <c r="H3187" s="1">
        <f>value(MYR!$B3187)</f>
        <v>3486.25</v>
      </c>
      <c r="I3187" s="1">
        <f>value(THB!$B3187)</f>
        <v>448.32</v>
      </c>
      <c r="J3187" s="1">
        <f>value(VND!$B3187)</f>
        <v>0</v>
      </c>
      <c r="K3187" s="1">
        <f>value(CNY!$B3187)</f>
        <v>2022.45</v>
      </c>
      <c r="L3187" s="1">
        <f>value(HKD!$B3187)</f>
        <v>1840.45</v>
      </c>
      <c r="M3187" s="1">
        <f>value(TWD!$B3187)</f>
        <v>452.295</v>
      </c>
      <c r="N3187" s="1">
        <f>value(JPY!$B3187)</f>
        <v>128.24</v>
      </c>
      <c r="O3187" s="1">
        <f>value(SAR!$B3187)</f>
        <v>3766.462137</v>
      </c>
      <c r="P3187" s="1">
        <f>value(AED!$B3187)</f>
        <v>3799.76853</v>
      </c>
      <c r="Q3187" s="1">
        <f>value(KWD!$B3187)</f>
        <v>45788.25809</v>
      </c>
    </row>
    <row r="3188">
      <c r="A3188" s="4">
        <f>value(USD!A3188)</f>
        <v>43553.99861</v>
      </c>
      <c r="B3188" s="1">
        <f>value(USD!B3188)</f>
        <v>14313</v>
      </c>
      <c r="C3188" s="1">
        <f>value(AUD!$B3188)</f>
        <v>10711.85</v>
      </c>
      <c r="D3188" s="1">
        <f>value(EUR!$B3188)</f>
        <v>15970</v>
      </c>
      <c r="E3188" s="1">
        <f>value(GBP!$B3188)</f>
        <v>18529.5</v>
      </c>
      <c r="F3188" s="1">
        <f>value(CHF!$B3188)</f>
        <v>14298.25</v>
      </c>
      <c r="G3188" s="1">
        <f>value(SGD!$B3188)</f>
        <v>10423.75</v>
      </c>
      <c r="H3188" s="1">
        <f>value(MYR!$B3188)</f>
        <v>3486.25</v>
      </c>
      <c r="I3188" s="1">
        <f>value(THB!$B3188)</f>
        <v>448.32</v>
      </c>
      <c r="J3188" s="1">
        <f>value(VND!$B3188)</f>
        <v>0</v>
      </c>
      <c r="K3188" s="1">
        <f>value(CNY!$B3188)</f>
        <v>2028.55</v>
      </c>
      <c r="L3188" s="1">
        <f>value(HKD!$B3188)</f>
        <v>1832.6</v>
      </c>
      <c r="M3188" s="1">
        <f>value(TWD!$B3188)</f>
        <v>453.715</v>
      </c>
      <c r="N3188" s="1">
        <f>value(JPY!$B3188)</f>
        <v>128.21</v>
      </c>
      <c r="O3188" s="1">
        <f>value(SAR!$B3188)</f>
        <v>3771.044552</v>
      </c>
      <c r="P3188" s="1">
        <f>value(AED!$B3188)</f>
        <v>3799.768251</v>
      </c>
      <c r="Q3188" s="1">
        <f>value(KWD!$B3188)</f>
        <v>45808.09895</v>
      </c>
    </row>
    <row r="3189">
      <c r="A3189" s="4">
        <f>value(USD!A3189)</f>
        <v>43554.99861</v>
      </c>
      <c r="B3189" s="1">
        <f>value(USD!B3189)</f>
        <v>14240</v>
      </c>
      <c r="C3189" s="1">
        <f>value(AUD!$B3189)</f>
        <v>9826.3</v>
      </c>
      <c r="D3189" s="1">
        <f>value(EUR!$B3189)</f>
        <v>15945</v>
      </c>
      <c r="E3189" s="1">
        <f>value(GBP!$B3189)</f>
        <v>18621.05</v>
      </c>
      <c r="F3189" s="1">
        <f>value(CHF!$B3189)</f>
        <v>14412.2</v>
      </c>
      <c r="G3189" s="1">
        <f>value(SGD!$B3189)</f>
        <v>10362.5</v>
      </c>
      <c r="H3189" s="1">
        <f>value(MYR!$B3189)</f>
        <v>3486.5</v>
      </c>
      <c r="I3189" s="1">
        <f>value(THB!$B3189)</f>
        <v>448.7</v>
      </c>
      <c r="J3189" s="1">
        <f>value(VND!$B3189)</f>
        <v>0</v>
      </c>
      <c r="K3189" s="1">
        <f>value(CNY!$B3189)</f>
        <v>2032.65</v>
      </c>
      <c r="L3189" s="1">
        <f>value(HKD!$B3189)</f>
        <v>1833.7</v>
      </c>
      <c r="M3189" s="1">
        <f>value(TWD!$B3189)</f>
        <v>453.09</v>
      </c>
      <c r="N3189" s="1">
        <f>value(JPY!$B3189)</f>
        <v>127.67</v>
      </c>
      <c r="O3189" s="1">
        <f>value(SAR!$B3189)</f>
        <v>3761.029889</v>
      </c>
      <c r="P3189" s="1">
        <f>value(AED!$B3189)</f>
        <v>3800.355015</v>
      </c>
      <c r="Q3189" s="1">
        <f>value(KWD!$B3189)</f>
        <v>46005.14505</v>
      </c>
    </row>
    <row r="3190">
      <c r="A3190" s="4">
        <f>value(USD!A3190)</f>
        <v>43555.99861</v>
      </c>
      <c r="B3190" s="1">
        <f>value(USD!B3190)</f>
        <v>14240</v>
      </c>
      <c r="C3190" s="1">
        <f>value(AUD!$B3190)</f>
        <v>9851.3</v>
      </c>
      <c r="D3190" s="1">
        <f>value(EUR!$B3190)</f>
        <v>15945</v>
      </c>
      <c r="E3190" s="1">
        <f>value(GBP!$B3190)</f>
        <v>18681.9</v>
      </c>
      <c r="F3190" s="1">
        <f>value(CHF!$B3190)</f>
        <v>14400</v>
      </c>
      <c r="G3190" s="1">
        <f>value(SGD!$B3190)</f>
        <v>10443.45</v>
      </c>
      <c r="H3190" s="1">
        <f>value(MYR!$B3190)</f>
        <v>3480.75</v>
      </c>
      <c r="I3190" s="1">
        <f>value(THB!$B3190)</f>
        <v>447.93</v>
      </c>
      <c r="J3190" s="1">
        <f>value(VND!$B3190)</f>
        <v>0</v>
      </c>
      <c r="K3190" s="1">
        <f>value(CNY!$B3190)</f>
        <v>2023.05</v>
      </c>
      <c r="L3190" s="1">
        <f>value(HKD!$B3190)</f>
        <v>1829.65</v>
      </c>
      <c r="M3190" s="1">
        <f>value(TWD!$B3190)</f>
        <v>453.17</v>
      </c>
      <c r="N3190" s="1">
        <f>value(JPY!$B3190)</f>
        <v>127.86</v>
      </c>
      <c r="O3190" s="1">
        <f>value(SAR!$B3190)</f>
        <v>3745.924351</v>
      </c>
      <c r="P3190" s="1">
        <f>value(AED!$B3190)</f>
        <v>3791.244877</v>
      </c>
      <c r="Q3190" s="1">
        <f>value(KWD!$B3190)</f>
        <v>46005.14505</v>
      </c>
    </row>
    <row r="3191">
      <c r="A3191" s="4">
        <f>value(USD!A3191)</f>
        <v>43556.99861</v>
      </c>
      <c r="B3191" s="1">
        <f>value(USD!B3191)</f>
        <v>14246</v>
      </c>
      <c r="C3191" s="1">
        <f>value(AUD!$B3191)</f>
        <v>9818.4</v>
      </c>
      <c r="D3191" s="1">
        <f>value(EUR!$B3191)</f>
        <v>15980</v>
      </c>
      <c r="E3191" s="1">
        <f>value(GBP!$B3191)</f>
        <v>18726.2</v>
      </c>
      <c r="F3191" s="1">
        <f>value(CHF!$B3191)</f>
        <v>14356.35</v>
      </c>
      <c r="G3191" s="1">
        <f>value(SGD!$B3191)</f>
        <v>10449.55</v>
      </c>
      <c r="H3191" s="1">
        <f>value(MYR!$B3191)</f>
        <v>3481.2</v>
      </c>
      <c r="I3191" s="1">
        <f>value(THB!$B3191)</f>
        <v>447.71</v>
      </c>
      <c r="J3191" s="1">
        <f>value(VND!$B3191)</f>
        <v>0</v>
      </c>
      <c r="K3191" s="1">
        <f>value(CNY!$B3191)</f>
        <v>2025.55</v>
      </c>
      <c r="L3191" s="1">
        <f>value(HKD!$B3191)</f>
        <v>1831.75</v>
      </c>
      <c r="M3191" s="1">
        <f>value(TWD!$B3191)</f>
        <v>453.02</v>
      </c>
      <c r="N3191" s="1">
        <f>value(JPY!$B3191)</f>
        <v>127.55</v>
      </c>
      <c r="O3191" s="1">
        <f>value(SAR!$B3191)</f>
        <v>3735.543152</v>
      </c>
      <c r="P3191" s="1">
        <f>value(AED!$B3191)</f>
        <v>3779.538184</v>
      </c>
      <c r="Q3191" s="1">
        <f>value(KWD!$B3191)</f>
        <v>46002.6398</v>
      </c>
    </row>
    <row r="3192">
      <c r="A3192" s="4">
        <f>value(USD!A3192)</f>
        <v>43557.99861</v>
      </c>
      <c r="B3192" s="1">
        <f>value(USD!B3192)</f>
        <v>14220</v>
      </c>
      <c r="C3192" s="1">
        <f>value(AUD!$B3192)</f>
        <v>9818.4</v>
      </c>
      <c r="D3192" s="1">
        <f>value(EUR!$B3192)</f>
        <v>15910</v>
      </c>
      <c r="E3192" s="1">
        <f>value(GBP!$B3192)</f>
        <v>18533.5</v>
      </c>
      <c r="F3192" s="1">
        <f>value(CHF!$B3192)</f>
        <v>14342.9</v>
      </c>
      <c r="G3192" s="1">
        <f>value(SGD!$B3192)</f>
        <v>10476.8</v>
      </c>
      <c r="H3192" s="1">
        <f>value(MYR!$B3192)</f>
        <v>3474.9</v>
      </c>
      <c r="I3192" s="1">
        <f>value(THB!$B3192)</f>
        <v>445.9</v>
      </c>
      <c r="J3192" s="1">
        <f>value(VND!$B3192)</f>
        <v>0</v>
      </c>
      <c r="K3192" s="1">
        <f>value(CNY!$B3192)</f>
        <v>2030.3</v>
      </c>
      <c r="L3192" s="1">
        <f>value(HKD!$B3192)</f>
        <v>1834.7</v>
      </c>
      <c r="M3192" s="1">
        <f>value(TWD!$B3192)</f>
        <v>453.02</v>
      </c>
      <c r="N3192" s="1">
        <f>value(JPY!$B3192)</f>
        <v>126.98</v>
      </c>
      <c r="O3192" s="1">
        <f>value(SAR!$B3192)</f>
        <v>3757.645613</v>
      </c>
      <c r="P3192" s="1">
        <f>value(AED!$B3192)</f>
        <v>3779.538184</v>
      </c>
      <c r="Q3192" s="1">
        <f>value(KWD!$B3192)</f>
        <v>45924.50484</v>
      </c>
    </row>
    <row r="3193">
      <c r="A3193" s="4">
        <f>value(USD!A3193)</f>
        <v>43558.99861</v>
      </c>
      <c r="B3193" s="1">
        <f>value(USD!B3193)</f>
        <v>14220</v>
      </c>
      <c r="C3193" s="1">
        <f>value(AUD!$B3193)</f>
        <v>9827.4</v>
      </c>
      <c r="D3193" s="1">
        <f>value(EUR!$B3193)</f>
        <v>15838</v>
      </c>
      <c r="E3193" s="1">
        <f>value(GBP!$B3193)</f>
        <v>18374.6</v>
      </c>
      <c r="F3193" s="1">
        <f>value(CHF!$B3193)</f>
        <v>14335.2</v>
      </c>
      <c r="G3193" s="1">
        <f>value(SGD!$B3193)</f>
        <v>10478.25</v>
      </c>
      <c r="H3193" s="1">
        <f>value(MYR!$B3193)</f>
        <v>3452.6</v>
      </c>
      <c r="I3193" s="1">
        <f>value(THB!$B3193)</f>
        <v>442.07</v>
      </c>
      <c r="J3193" s="1">
        <f>value(VND!$B3193)</f>
        <v>0</v>
      </c>
      <c r="K3193" s="1">
        <f>value(CNY!$B3193)</f>
        <v>2030.3</v>
      </c>
      <c r="L3193" s="1">
        <f>value(HKD!$B3193)</f>
        <v>1833.85</v>
      </c>
      <c r="M3193" s="1">
        <f>value(TWD!$B3193)</f>
        <v>453.02</v>
      </c>
      <c r="N3193" s="1">
        <f>value(JPY!$B3193)</f>
        <v>126.2</v>
      </c>
      <c r="O3193" s="1">
        <f>value(SAR!$B3193)</f>
        <v>3742.632608</v>
      </c>
      <c r="P3193" s="1">
        <f>value(AED!$B3193)</f>
        <v>3781.242698</v>
      </c>
      <c r="Q3193" s="1">
        <f>value(KWD!$B3193)</f>
        <v>45744.67705</v>
      </c>
    </row>
    <row r="3194">
      <c r="A3194" s="4">
        <f>value(USD!A3194)</f>
        <v>43559.99861</v>
      </c>
      <c r="B3194" s="1">
        <f>value(USD!B3194)</f>
        <v>14158</v>
      </c>
      <c r="C3194" s="1">
        <f>value(AUD!$B3194)</f>
        <v>9792.6</v>
      </c>
      <c r="D3194" s="1">
        <f>value(EUR!$B3194)</f>
        <v>15838</v>
      </c>
      <c r="E3194" s="1">
        <f>value(GBP!$B3194)</f>
        <v>18374.6</v>
      </c>
      <c r="F3194" s="1">
        <f>value(CHF!$B3194)</f>
        <v>14319.35</v>
      </c>
      <c r="G3194" s="1">
        <f>value(SGD!$B3194)</f>
        <v>10472.65</v>
      </c>
      <c r="H3194" s="1">
        <f>value(MYR!$B3194)</f>
        <v>3452.6</v>
      </c>
      <c r="I3194" s="1">
        <f>value(THB!$B3194)</f>
        <v>442.07</v>
      </c>
      <c r="J3194" s="1">
        <f>value(VND!$B3194)</f>
        <v>0</v>
      </c>
      <c r="K3194" s="1">
        <f>value(CNY!$B3194)</f>
        <v>2026.25</v>
      </c>
      <c r="L3194" s="1">
        <f>value(HKD!$B3194)</f>
        <v>1835.8</v>
      </c>
      <c r="M3194" s="1">
        <f>value(TWD!$B3194)</f>
        <v>452.485</v>
      </c>
      <c r="N3194" s="1">
        <f>value(JPY!$B3194)</f>
        <v>126.2</v>
      </c>
      <c r="O3194" s="1">
        <f>value(SAR!$B3194)</f>
        <v>3742.637661</v>
      </c>
      <c r="P3194" s="1">
        <f>value(AED!$B3194)</f>
        <v>3795.105271</v>
      </c>
      <c r="Q3194" s="1">
        <f>value(KWD!$B3194)</f>
        <v>45787.61658</v>
      </c>
    </row>
    <row r="3195">
      <c r="A3195" s="4">
        <f>value(USD!A3195)</f>
        <v>43560.99861</v>
      </c>
      <c r="B3195" s="1">
        <f>value(USD!B3195)</f>
        <v>14117</v>
      </c>
      <c r="C3195" s="1">
        <f>value(AUD!$B3195)</f>
        <v>9787</v>
      </c>
      <c r="D3195" s="1">
        <f>value(EUR!$B3195)</f>
        <v>15838</v>
      </c>
      <c r="E3195" s="1">
        <f>value(GBP!$B3195)</f>
        <v>18405.6</v>
      </c>
      <c r="F3195" s="1">
        <f>value(CHF!$B3195)</f>
        <v>14295.9</v>
      </c>
      <c r="G3195" s="1">
        <f>value(SGD!$B3195)</f>
        <v>10472.65</v>
      </c>
      <c r="H3195" s="1">
        <f>value(MYR!$B3195)</f>
        <v>3452.6</v>
      </c>
      <c r="I3195" s="1">
        <f>value(THB!$B3195)</f>
        <v>442.07</v>
      </c>
      <c r="J3195" s="1">
        <f>value(VND!$B3195)</f>
        <v>0</v>
      </c>
      <c r="K3195" s="1">
        <f>value(CNY!$B3195)</f>
        <v>2038.5</v>
      </c>
      <c r="L3195" s="1">
        <f>value(HKD!$B3195)</f>
        <v>1827.05</v>
      </c>
      <c r="M3195" s="1">
        <f>value(TWD!$B3195)</f>
        <v>454.35</v>
      </c>
      <c r="N3195" s="1">
        <f>value(JPY!$B3195)</f>
        <v>126.37</v>
      </c>
      <c r="O3195" s="1">
        <f>value(SAR!$B3195)</f>
        <v>3742.637661</v>
      </c>
      <c r="P3195" s="1">
        <f>value(AED!$B3195)</f>
        <v>3795.105271</v>
      </c>
      <c r="Q3195" s="1">
        <f>value(KWD!$B3195)</f>
        <v>45572.22527</v>
      </c>
    </row>
    <row r="3196">
      <c r="A3196" s="4">
        <f>value(USD!A3196)</f>
        <v>43561.99861</v>
      </c>
      <c r="B3196" s="1">
        <f>value(USD!B3196)</f>
        <v>14117</v>
      </c>
      <c r="C3196" s="1">
        <f>value(AUD!$B3196)</f>
        <v>9794.65</v>
      </c>
      <c r="D3196" s="1">
        <f>value(EUR!$B3196)</f>
        <v>15949</v>
      </c>
      <c r="E3196" s="1">
        <f>value(GBP!$B3196)</f>
        <v>18506.3</v>
      </c>
      <c r="F3196" s="1">
        <f>value(CHF!$B3196)</f>
        <v>14277.65</v>
      </c>
      <c r="G3196" s="1">
        <f>value(SGD!$B3196)</f>
        <v>10478.75</v>
      </c>
      <c r="H3196" s="1">
        <f>value(MYR!$B3196)</f>
        <v>3452.4</v>
      </c>
      <c r="I3196" s="1">
        <f>value(THB!$B3196)</f>
        <v>444.04</v>
      </c>
      <c r="J3196" s="1">
        <f>value(VND!$B3196)</f>
        <v>0</v>
      </c>
      <c r="K3196" s="1">
        <f>value(CNY!$B3196)</f>
        <v>2036.7</v>
      </c>
      <c r="L3196" s="1">
        <f>value(HKD!$B3196)</f>
        <v>1827.05</v>
      </c>
      <c r="M3196" s="1">
        <f>value(TWD!$B3196)</f>
        <v>452.815</v>
      </c>
      <c r="N3196" s="1">
        <f>value(JPY!$B3196)</f>
        <v>127.13</v>
      </c>
      <c r="O3196" s="1">
        <f>value(SAR!$B3196)</f>
        <v>3739.601035</v>
      </c>
      <c r="P3196" s="1">
        <f>value(AED!$B3196)</f>
        <v>3794.926114</v>
      </c>
      <c r="Q3196" s="1">
        <f>value(KWD!$B3196)</f>
        <v>45329.10984</v>
      </c>
    </row>
    <row r="3197">
      <c r="A3197" s="4">
        <f>value(USD!A3197)</f>
        <v>43562.99861</v>
      </c>
      <c r="B3197" s="1">
        <f>value(USD!B3197)</f>
        <v>14118</v>
      </c>
      <c r="C3197" s="1">
        <f>value(AUD!$B3197)</f>
        <v>9834.35</v>
      </c>
      <c r="D3197" s="1">
        <f>value(EUR!$B3197)</f>
        <v>15920</v>
      </c>
      <c r="E3197" s="1">
        <f>value(GBP!$B3197)</f>
        <v>18447.3</v>
      </c>
      <c r="F3197" s="1">
        <f>value(CHF!$B3197)</f>
        <v>14307.5</v>
      </c>
      <c r="G3197" s="1">
        <f>value(SGD!$B3197)</f>
        <v>10434.85</v>
      </c>
      <c r="H3197" s="1">
        <f>value(MYR!$B3197)</f>
        <v>3445.25</v>
      </c>
      <c r="I3197" s="1">
        <f>value(THB!$B3197)</f>
        <v>444.74</v>
      </c>
      <c r="J3197" s="1">
        <f>value(VND!$B3197)</f>
        <v>0</v>
      </c>
      <c r="K3197" s="1">
        <f>value(CNY!$B3197)</f>
        <v>2033.65</v>
      </c>
      <c r="L3197" s="1">
        <f>value(HKD!$B3197)</f>
        <v>1817.05</v>
      </c>
      <c r="M3197" s="1">
        <f>value(TWD!$B3197)</f>
        <v>452.095</v>
      </c>
      <c r="N3197" s="1">
        <f>value(JPY!$B3197)</f>
        <v>127.19</v>
      </c>
      <c r="O3197" s="1">
        <f>value(SAR!$B3197)</f>
        <v>3752.532323</v>
      </c>
      <c r="P3197" s="1">
        <f>value(AED!$B3197)</f>
        <v>3790.836513</v>
      </c>
      <c r="Q3197" s="1">
        <f>value(KWD!$B3197)</f>
        <v>45325.2303</v>
      </c>
    </row>
    <row r="3198">
      <c r="A3198" s="4">
        <f>value(USD!A3198)</f>
        <v>43563.99861</v>
      </c>
      <c r="B3198" s="1">
        <f>value(USD!B3198)</f>
        <v>14198</v>
      </c>
      <c r="C3198" s="1">
        <f>value(AUD!$B3198)</f>
        <v>9799.45</v>
      </c>
      <c r="D3198" s="1">
        <f>value(EUR!$B3198)</f>
        <v>15945</v>
      </c>
      <c r="E3198" s="1">
        <f>value(GBP!$B3198)</f>
        <v>18520.8</v>
      </c>
      <c r="F3198" s="1">
        <f>value(CHF!$B3198)</f>
        <v>14316.45</v>
      </c>
      <c r="G3198" s="1">
        <f>value(SGD!$B3198)</f>
        <v>10438.25</v>
      </c>
      <c r="H3198" s="1">
        <f>value(MYR!$B3198)</f>
        <v>3439.85</v>
      </c>
      <c r="I3198" s="1">
        <f>value(THB!$B3198)</f>
        <v>445.45</v>
      </c>
      <c r="J3198" s="1">
        <f>value(VND!$B3198)</f>
        <v>0</v>
      </c>
      <c r="K3198" s="1">
        <f>value(CNY!$B3198)</f>
        <v>2034.25</v>
      </c>
      <c r="L3198" s="1">
        <f>value(HKD!$B3198)</f>
        <v>1821.35</v>
      </c>
      <c r="M3198" s="1">
        <f>value(TWD!$B3198)</f>
        <v>451.725</v>
      </c>
      <c r="N3198" s="1">
        <f>value(JPY!$B3198)</f>
        <v>127.41</v>
      </c>
      <c r="O3198" s="1">
        <f>value(SAR!$B3198)</f>
        <v>3750.797073</v>
      </c>
      <c r="P3198" s="1">
        <f>value(AED!$B3198)</f>
        <v>3776.296057</v>
      </c>
      <c r="Q3198" s="1">
        <f>value(KWD!$B3198)</f>
        <v>45404.83765</v>
      </c>
    </row>
    <row r="3199">
      <c r="A3199" s="4">
        <f>value(USD!A3199)</f>
        <v>43564.99861</v>
      </c>
      <c r="B3199" s="1">
        <f>value(USD!B3199)</f>
        <v>14143</v>
      </c>
      <c r="C3199" s="1">
        <f>value(AUD!$B3199)</f>
        <v>9817.4</v>
      </c>
      <c r="D3199" s="1">
        <f>value(EUR!$B3199)</f>
        <v>15949.6</v>
      </c>
      <c r="E3199" s="1">
        <f>value(GBP!$B3199)</f>
        <v>18491.95</v>
      </c>
      <c r="F3199" s="1">
        <f>value(CHF!$B3199)</f>
        <v>14316.45</v>
      </c>
      <c r="G3199" s="1">
        <f>value(SGD!$B3199)</f>
        <v>10414.65</v>
      </c>
      <c r="H3199" s="1">
        <f>value(MYR!$B3199)</f>
        <v>3435.85</v>
      </c>
      <c r="I3199" s="1">
        <f>value(THB!$B3199)</f>
        <v>444.64</v>
      </c>
      <c r="J3199" s="1">
        <f>value(VND!$B3199)</f>
        <v>0</v>
      </c>
      <c r="K3199" s="1">
        <f>value(CNY!$B3199)</f>
        <v>2034.25</v>
      </c>
      <c r="L3199" s="1">
        <f>value(HKD!$B3199)</f>
        <v>1821.05</v>
      </c>
      <c r="M3199" s="1">
        <f>value(TWD!$B3199)</f>
        <v>451.56</v>
      </c>
      <c r="N3199" s="1">
        <f>value(JPY!$B3199)</f>
        <v>126.88</v>
      </c>
      <c r="O3199" s="1">
        <f>value(SAR!$B3199)</f>
        <v>3766.90009</v>
      </c>
      <c r="P3199" s="1">
        <f>value(AED!$B3199)</f>
        <v>3785.266438</v>
      </c>
      <c r="Q3199" s="1">
        <f>value(KWD!$B3199)</f>
        <v>45041.73222</v>
      </c>
    </row>
    <row r="3200">
      <c r="A3200" s="4">
        <f>value(USD!A3200)</f>
        <v>43565.99861</v>
      </c>
      <c r="B3200" s="1">
        <f>value(USD!B3200)</f>
        <v>14183</v>
      </c>
      <c r="C3200" s="1">
        <f>value(AUD!$B3200)</f>
        <v>9832.2</v>
      </c>
      <c r="D3200" s="1">
        <f>value(EUR!$B3200)</f>
        <v>15920</v>
      </c>
      <c r="E3200" s="1">
        <f>value(GBP!$B3200)</f>
        <v>18373.85</v>
      </c>
      <c r="F3200" s="1">
        <f>value(CHF!$B3200)</f>
        <v>14245.7</v>
      </c>
      <c r="G3200" s="1">
        <f>value(SGD!$B3200)</f>
        <v>10440.65</v>
      </c>
      <c r="H3200" s="1">
        <f>value(MYR!$B3200)</f>
        <v>3424</v>
      </c>
      <c r="I3200" s="1">
        <f>value(THB!$B3200)</f>
        <v>443.615</v>
      </c>
      <c r="J3200" s="1">
        <f>value(VND!$B3200)</f>
        <v>0</v>
      </c>
      <c r="K3200" s="1">
        <f>value(CNY!$B3200)</f>
        <v>2034.25</v>
      </c>
      <c r="L3200" s="1">
        <f>value(HKD!$B3200)</f>
        <v>1825.8</v>
      </c>
      <c r="M3200" s="1">
        <f>value(TWD!$B3200)</f>
        <v>451.56</v>
      </c>
      <c r="N3200" s="1">
        <f>value(JPY!$B3200)</f>
        <v>125.55</v>
      </c>
      <c r="O3200" s="1">
        <f>value(SAR!$B3200)</f>
        <v>3732.420477</v>
      </c>
      <c r="P3200" s="1">
        <f>value(AED!$B3200)</f>
        <v>3765.670444</v>
      </c>
      <c r="Q3200" s="1">
        <f>value(KWD!$B3200)</f>
        <v>45042.26327</v>
      </c>
    </row>
    <row r="3201">
      <c r="A3201" s="4">
        <f>value(USD!A3201)</f>
        <v>43566.99861</v>
      </c>
      <c r="B3201" s="1">
        <f>value(USD!B3201)</f>
        <v>14145</v>
      </c>
      <c r="C3201" s="1">
        <f>value(AUD!$B3201)</f>
        <v>9800.55</v>
      </c>
      <c r="D3201" s="1">
        <f>value(EUR!$B3201)</f>
        <v>15943.1</v>
      </c>
      <c r="E3201" s="1">
        <f>value(GBP!$B3201)</f>
        <v>18439.85</v>
      </c>
      <c r="F3201" s="1">
        <f>value(CHF!$B3201)</f>
        <v>14378.8</v>
      </c>
      <c r="G3201" s="1">
        <f>value(SGD!$B3201)</f>
        <v>10432.25</v>
      </c>
      <c r="H3201" s="1">
        <f>value(MYR!$B3201)</f>
        <v>3425.1</v>
      </c>
      <c r="I3201" s="1">
        <f>value(THB!$B3201)</f>
        <v>444.26</v>
      </c>
      <c r="J3201" s="1">
        <f>value(VND!$B3201)</f>
        <v>0</v>
      </c>
      <c r="K3201" s="1">
        <f>value(CNY!$B3201)</f>
        <v>2098.55</v>
      </c>
      <c r="L3201" s="1">
        <f>value(HKD!$B3201)</f>
        <v>1823.35</v>
      </c>
      <c r="M3201" s="1">
        <f>value(TWD!$B3201)</f>
        <v>450.395</v>
      </c>
      <c r="N3201" s="1">
        <f>value(JPY!$B3201)</f>
        <v>125.715</v>
      </c>
      <c r="O3201" s="1">
        <f>value(SAR!$B3201)</f>
        <v>3732.415441</v>
      </c>
      <c r="P3201" s="1">
        <f>value(AED!$B3201)</f>
        <v>3745.502305</v>
      </c>
      <c r="Q3201" s="1">
        <f>value(KWD!$B3201)</f>
        <v>45059.58333</v>
      </c>
    </row>
    <row r="3202">
      <c r="A3202" s="4">
        <f>value(USD!A3202)</f>
        <v>43567.99861</v>
      </c>
      <c r="B3202" s="1">
        <f>value(USD!B3202)</f>
        <v>14115</v>
      </c>
      <c r="C3202" s="1">
        <f>value(AUD!$B3202)</f>
        <v>9810.1</v>
      </c>
      <c r="D3202" s="1">
        <f>value(EUR!$B3202)</f>
        <v>15943.1</v>
      </c>
      <c r="E3202" s="1">
        <f>value(GBP!$B3202)</f>
        <v>18452.9</v>
      </c>
      <c r="F3202" s="1">
        <f>value(CHF!$B3202)</f>
        <v>14386.8</v>
      </c>
      <c r="G3202" s="1">
        <f>value(SGD!$B3202)</f>
        <v>10494.7</v>
      </c>
      <c r="H3202" s="1">
        <f>value(MYR!$B3202)</f>
        <v>3425.1</v>
      </c>
      <c r="I3202" s="1">
        <f>value(THB!$B3202)</f>
        <v>444.26</v>
      </c>
      <c r="J3202" s="1">
        <f>value(VND!$B3202)</f>
        <v>0</v>
      </c>
      <c r="K3202" s="1">
        <f>value(CNY!$B3202)</f>
        <v>2035.95</v>
      </c>
      <c r="L3202" s="1">
        <f>value(HKD!$B3202)</f>
        <v>1818.65</v>
      </c>
      <c r="M3202" s="1">
        <f>value(TWD!$B3202)</f>
        <v>450.035</v>
      </c>
      <c r="N3202" s="1">
        <f>value(JPY!$B3202)</f>
        <v>125.895</v>
      </c>
      <c r="O3202" s="1">
        <f>value(SAR!$B3202)</f>
        <v>3740.958433</v>
      </c>
      <c r="P3202" s="1">
        <f>value(AED!$B3202)</f>
        <v>3745.298561</v>
      </c>
      <c r="Q3202" s="1">
        <f>value(KWD!$B3202)</f>
        <v>44902.22221</v>
      </c>
    </row>
    <row r="3203">
      <c r="A3203" s="4">
        <f>value(USD!A3203)</f>
        <v>43568.99861</v>
      </c>
      <c r="B3203" s="1">
        <f>value(USD!B3203)</f>
        <v>14093</v>
      </c>
      <c r="C3203" s="1">
        <f>value(AUD!$B3203)</f>
        <v>9767.65</v>
      </c>
      <c r="D3203" s="1">
        <f>value(EUR!$B3203)</f>
        <v>15895</v>
      </c>
      <c r="E3203" s="1">
        <f>value(GBP!$B3203)</f>
        <v>18420.1</v>
      </c>
      <c r="F3203" s="1">
        <f>value(CHF!$B3203)</f>
        <v>14400.75</v>
      </c>
      <c r="G3203" s="1">
        <f>value(SGD!$B3203)</f>
        <v>10490.95</v>
      </c>
      <c r="H3203" s="1">
        <f>value(MYR!$B3203)</f>
        <v>3416.1</v>
      </c>
      <c r="I3203" s="1">
        <f>value(THB!$B3203)</f>
        <v>442.155</v>
      </c>
      <c r="J3203" s="1">
        <f>value(VND!$B3203)</f>
        <v>0</v>
      </c>
      <c r="K3203" s="1">
        <f>value(CNY!$B3203)</f>
        <v>2047.6</v>
      </c>
      <c r="L3203" s="1">
        <f>value(HKD!$B3203)</f>
        <v>1818.65</v>
      </c>
      <c r="M3203" s="1">
        <f>value(TWD!$B3203)</f>
        <v>451.095</v>
      </c>
      <c r="N3203" s="1">
        <f>value(JPY!$B3203)</f>
        <v>125.6</v>
      </c>
      <c r="O3203" s="1">
        <f>value(SAR!$B3203)</f>
        <v>3749.636518</v>
      </c>
      <c r="P3203" s="1">
        <f>value(AED!$B3203)</f>
        <v>3738.083445</v>
      </c>
      <c r="Q3203" s="1">
        <f>value(KWD!$B3203)</f>
        <v>44984.57228</v>
      </c>
    </row>
    <row r="3204">
      <c r="A3204" s="4">
        <f>value(USD!A3204)</f>
        <v>43569.99861</v>
      </c>
      <c r="B3204" s="1">
        <f>value(USD!B3204)</f>
        <v>14093</v>
      </c>
      <c r="C3204" s="1">
        <f>value(AUD!$B3204)</f>
        <v>9716.7</v>
      </c>
      <c r="D3204" s="1">
        <f>value(EUR!$B3204)</f>
        <v>15900</v>
      </c>
      <c r="E3204" s="1">
        <f>value(GBP!$B3204)</f>
        <v>18373.8</v>
      </c>
      <c r="F3204" s="1">
        <f>value(CHF!$B3204)</f>
        <v>14418.45</v>
      </c>
      <c r="G3204" s="1">
        <f>value(SGD!$B3204)</f>
        <v>10449.15</v>
      </c>
      <c r="H3204" s="1">
        <f>value(MYR!$B3204)</f>
        <v>3409.25</v>
      </c>
      <c r="I3204" s="1">
        <f>value(THB!$B3204)</f>
        <v>442.53</v>
      </c>
      <c r="J3204" s="1">
        <f>value(VND!$B3204)</f>
        <v>0</v>
      </c>
      <c r="K3204" s="1">
        <f>value(CNY!$B3204)</f>
        <v>2046.6</v>
      </c>
      <c r="L3204" s="1">
        <f>value(HKD!$B3204)</f>
        <v>1822</v>
      </c>
      <c r="M3204" s="1">
        <f>value(TWD!$B3204)</f>
        <v>452.885</v>
      </c>
      <c r="N3204" s="1">
        <f>value(JPY!$B3204)</f>
        <v>125.85</v>
      </c>
      <c r="O3204" s="1">
        <f>value(SAR!$B3204)</f>
        <v>3741.892417</v>
      </c>
      <c r="P3204" s="1">
        <f>value(AED!$B3204)</f>
        <v>3721.006389</v>
      </c>
      <c r="Q3204" s="1">
        <f>value(KWD!$B3204)</f>
        <v>44980.54612</v>
      </c>
    </row>
    <row r="3205">
      <c r="A3205" s="4">
        <f>value(USD!A3205)</f>
        <v>43570.99861</v>
      </c>
      <c r="B3205" s="1">
        <f>value(USD!B3205)</f>
        <v>14158.5</v>
      </c>
      <c r="C3205" s="1">
        <f>value(AUD!$B3205)</f>
        <v>9655.2</v>
      </c>
      <c r="D3205" s="1">
        <f>value(EUR!$B3205)</f>
        <v>15909</v>
      </c>
      <c r="E3205" s="1">
        <f>value(GBP!$B3205)</f>
        <v>18361.25</v>
      </c>
      <c r="F3205" s="1">
        <f>value(CHF!$B3205)</f>
        <v>14434.85</v>
      </c>
      <c r="G3205" s="1">
        <f>value(SGD!$B3205)</f>
        <v>10504.4</v>
      </c>
      <c r="H3205" s="1">
        <f>value(MYR!$B3205)</f>
        <v>3404.35</v>
      </c>
      <c r="I3205" s="1">
        <f>value(THB!$B3205)</f>
        <v>442.925</v>
      </c>
      <c r="J3205" s="1">
        <f>value(VND!$B3205)</f>
        <v>0</v>
      </c>
      <c r="K3205" s="1">
        <f>value(CNY!$B3205)</f>
        <v>2043.35</v>
      </c>
      <c r="L3205" s="1">
        <f>value(HKD!$B3205)</f>
        <v>1816.65</v>
      </c>
      <c r="M3205" s="1">
        <f>value(TWD!$B3205)</f>
        <v>451.305</v>
      </c>
      <c r="N3205" s="1">
        <f>value(JPY!$B3205)</f>
        <v>125.715</v>
      </c>
      <c r="O3205" s="1">
        <f>value(SAR!$B3205)</f>
        <v>3736.990433</v>
      </c>
      <c r="P3205" s="1">
        <f>value(AED!$B3205)</f>
        <v>3722.239646</v>
      </c>
      <c r="Q3205" s="1">
        <f>value(KWD!$B3205)</f>
        <v>45038.52872</v>
      </c>
    </row>
    <row r="3206">
      <c r="A3206" s="4">
        <f>value(USD!A3206)</f>
        <v>43571.99861</v>
      </c>
      <c r="B3206" s="1">
        <f>value(USD!B3206)</f>
        <v>14085</v>
      </c>
      <c r="C3206" s="1">
        <f>value(AUD!$B3206)</f>
        <v>9655.2</v>
      </c>
      <c r="D3206" s="1">
        <f>value(EUR!$B3206)</f>
        <v>15775</v>
      </c>
      <c r="E3206" s="1">
        <f>value(GBP!$B3206)</f>
        <v>18242.25</v>
      </c>
      <c r="F3206" s="1">
        <f>value(CHF!$B3206)</f>
        <v>14434.85</v>
      </c>
      <c r="G3206" s="1">
        <f>value(SGD!$B3206)</f>
        <v>10467.15</v>
      </c>
      <c r="H3206" s="1">
        <f>value(MYR!$B3206)</f>
        <v>3379</v>
      </c>
      <c r="I3206" s="1">
        <f>value(THB!$B3206)</f>
        <v>441.48</v>
      </c>
      <c r="J3206" s="1">
        <f>value(VND!$B3206)</f>
        <v>0</v>
      </c>
      <c r="K3206" s="1">
        <f>value(CNY!$B3206)</f>
        <v>2043.35</v>
      </c>
      <c r="L3206" s="1">
        <f>value(HKD!$B3206)</f>
        <v>1816.35</v>
      </c>
      <c r="M3206" s="1">
        <f>value(TWD!$B3206)</f>
        <v>451.305</v>
      </c>
      <c r="N3206" s="1">
        <f>value(JPY!$B3206)</f>
        <v>125.37</v>
      </c>
      <c r="O3206" s="1">
        <f>value(SAR!$B3206)</f>
        <v>3751.595594</v>
      </c>
      <c r="P3206" s="1">
        <f>value(AED!$B3206)</f>
        <v>3721.436532</v>
      </c>
      <c r="Q3206" s="1">
        <f>value(KWD!$B3206)</f>
        <v>44878.78238</v>
      </c>
    </row>
    <row r="3207">
      <c r="A3207" s="4">
        <f>value(USD!A3207)</f>
        <v>43572.99861</v>
      </c>
      <c r="B3207" s="1">
        <f>value(USD!B3207)</f>
        <v>14085</v>
      </c>
      <c r="C3207" s="1">
        <f>value(AUD!$B3207)</f>
        <v>9661.1</v>
      </c>
      <c r="D3207" s="1">
        <f>value(EUR!$B3207)</f>
        <v>15803.6</v>
      </c>
      <c r="E3207" s="1">
        <f>value(GBP!$B3207)</f>
        <v>18260.55</v>
      </c>
      <c r="F3207" s="1">
        <f>value(CHF!$B3207)</f>
        <v>14432.5</v>
      </c>
      <c r="G3207" s="1">
        <f>value(SGD!$B3207)</f>
        <v>10449.4</v>
      </c>
      <c r="H3207" s="1">
        <f>value(MYR!$B3207)</f>
        <v>3392.3</v>
      </c>
      <c r="I3207" s="1">
        <f>value(THB!$B3207)</f>
        <v>441.515</v>
      </c>
      <c r="J3207" s="1">
        <f>value(VND!$B3207)</f>
        <v>0</v>
      </c>
      <c r="K3207" s="1">
        <f>value(CNY!$B3207)</f>
        <v>2043.35</v>
      </c>
      <c r="L3207" s="1">
        <f>value(HKD!$B3207)</f>
        <v>1819.15</v>
      </c>
      <c r="M3207" s="1">
        <f>value(TWD!$B3207)</f>
        <v>451.305</v>
      </c>
      <c r="N3207" s="1">
        <f>value(JPY!$B3207)</f>
        <v>125.55</v>
      </c>
      <c r="O3207" s="1">
        <f>value(SAR!$B3207)</f>
        <v>3736.967826</v>
      </c>
      <c r="P3207" s="1">
        <f>value(AED!$B3207)</f>
        <v>3710.661186</v>
      </c>
      <c r="Q3207" s="1">
        <f>value(KWD!$B3207)</f>
        <v>44997.92259</v>
      </c>
    </row>
    <row r="3208">
      <c r="A3208" s="4">
        <f>value(USD!A3208)</f>
        <v>43573.99861</v>
      </c>
      <c r="B3208" s="1">
        <f>value(USD!B3208)</f>
        <v>14043</v>
      </c>
      <c r="C3208" s="1">
        <f>value(AUD!$B3208)</f>
        <v>9983.05</v>
      </c>
      <c r="D3208" s="1">
        <f>value(EUR!$B3208)</f>
        <v>15803.6</v>
      </c>
      <c r="E3208" s="1">
        <f>value(GBP!$B3208)</f>
        <v>18260.55</v>
      </c>
      <c r="F3208" s="1">
        <f>value(CHF!$B3208)</f>
        <v>14401.75</v>
      </c>
      <c r="G3208" s="1">
        <f>value(SGD!$B3208)</f>
        <v>11395.45</v>
      </c>
      <c r="H3208" s="1">
        <f>value(MYR!$B3208)</f>
        <v>3392.3</v>
      </c>
      <c r="I3208" s="1">
        <f>value(THB!$B3208)</f>
        <v>441.515</v>
      </c>
      <c r="J3208" s="1">
        <f>value(VND!$B3208)</f>
        <v>0</v>
      </c>
      <c r="K3208" s="1">
        <f>value(CNY!$B3208)</f>
        <v>2013.05</v>
      </c>
      <c r="L3208" s="1">
        <f>value(HKD!$B3208)</f>
        <v>1822.55</v>
      </c>
      <c r="M3208" s="1">
        <f>value(TWD!$B3208)</f>
        <v>452.84</v>
      </c>
      <c r="N3208" s="1">
        <f>value(JPY!$B3208)</f>
        <v>125.55</v>
      </c>
      <c r="O3208" s="1">
        <f>value(SAR!$B3208)</f>
        <v>3736.967826</v>
      </c>
      <c r="P3208" s="1">
        <f>value(AED!$B3208)</f>
        <v>3715.561545</v>
      </c>
      <c r="Q3208" s="1">
        <f>value(KWD!$B3208)</f>
        <v>44903.17771</v>
      </c>
    </row>
    <row r="3209">
      <c r="A3209" s="4">
        <f>value(USD!A3209)</f>
        <v>43574.99861</v>
      </c>
      <c r="B3209" s="1">
        <f>value(USD!B3209)</f>
        <v>14038.5</v>
      </c>
      <c r="C3209" s="1">
        <f>value(AUD!$B3209)</f>
        <v>9637.7</v>
      </c>
      <c r="D3209" s="1">
        <f>value(EUR!$B3209)</f>
        <v>15803.6</v>
      </c>
      <c r="E3209" s="1">
        <f>value(GBP!$B3209)</f>
        <v>18260.55</v>
      </c>
      <c r="F3209" s="1">
        <f>value(CHF!$B3209)</f>
        <v>14343.35</v>
      </c>
      <c r="G3209" s="1">
        <f>value(SGD!$B3209)</f>
        <v>11395.45</v>
      </c>
      <c r="H3209" s="1">
        <f>value(MYR!$B3209)</f>
        <v>3392.3</v>
      </c>
      <c r="I3209" s="1">
        <f>value(THB!$B3209)</f>
        <v>441.515</v>
      </c>
      <c r="J3209" s="1">
        <f>value(VND!$B3209)</f>
        <v>0</v>
      </c>
      <c r="K3209" s="1">
        <f>value(CNY!$B3209)</f>
        <v>2023.75</v>
      </c>
      <c r="L3209" s="1">
        <f>value(HKD!$B3209)</f>
        <v>1827.35</v>
      </c>
      <c r="M3209" s="1">
        <f>value(TWD!$B3209)</f>
        <v>451.98</v>
      </c>
      <c r="N3209" s="1">
        <f>value(JPY!$B3209)</f>
        <v>125.59</v>
      </c>
      <c r="O3209" s="1">
        <f>value(SAR!$B3209)</f>
        <v>3738.038796</v>
      </c>
      <c r="P3209" s="1">
        <f>value(AED!$B3209)</f>
        <v>3715.561545</v>
      </c>
      <c r="Q3209" s="1">
        <f>value(KWD!$B3209)</f>
        <v>44849.04706</v>
      </c>
    </row>
    <row r="3210">
      <c r="A3210" s="4">
        <f>value(USD!A3210)</f>
        <v>43575.99861</v>
      </c>
      <c r="B3210" s="1">
        <f>value(USD!B3210)</f>
        <v>14038.5</v>
      </c>
      <c r="C3210" s="1">
        <f>value(AUD!$B3210)</f>
        <v>9651.2</v>
      </c>
      <c r="D3210" s="1">
        <f>value(EUR!$B3210)</f>
        <v>15845</v>
      </c>
      <c r="E3210" s="1">
        <f>value(GBP!$B3210)</f>
        <v>18268.6</v>
      </c>
      <c r="F3210" s="1">
        <f>value(CHF!$B3210)</f>
        <v>14306.05</v>
      </c>
      <c r="G3210" s="1">
        <f>value(SGD!$B3210)</f>
        <v>11417.45</v>
      </c>
      <c r="H3210" s="1">
        <f>value(MYR!$B3210)</f>
        <v>3404.65</v>
      </c>
      <c r="I3210" s="1">
        <f>value(THB!$B3210)</f>
        <v>441.11</v>
      </c>
      <c r="J3210" s="1">
        <f>value(VND!$B3210)</f>
        <v>0</v>
      </c>
      <c r="K3210" s="1">
        <f>value(CNY!$B3210)</f>
        <v>2018.95</v>
      </c>
      <c r="L3210" s="1">
        <f>value(HKD!$B3210)</f>
        <v>1830</v>
      </c>
      <c r="M3210" s="1">
        <f>value(TWD!$B3210)</f>
        <v>456.045</v>
      </c>
      <c r="N3210" s="1">
        <f>value(JPY!$B3210)</f>
        <v>125.725</v>
      </c>
      <c r="O3210" s="1">
        <f>value(SAR!$B3210)</f>
        <v>3734.09925</v>
      </c>
      <c r="P3210" s="1">
        <f>value(AED!$B3210)</f>
        <v>3720.250444</v>
      </c>
      <c r="Q3210" s="1">
        <f>value(KWD!$B3210)</f>
        <v>44787.65448</v>
      </c>
    </row>
    <row r="3211">
      <c r="A3211" s="4">
        <f>value(USD!A3211)</f>
        <v>43576.99861</v>
      </c>
      <c r="B3211" s="1">
        <f>value(USD!B3211)</f>
        <v>14043</v>
      </c>
      <c r="C3211" s="1">
        <f>value(AUD!$B3211)</f>
        <v>9609.9</v>
      </c>
      <c r="D3211" s="1">
        <f>value(EUR!$B3211)</f>
        <v>15780</v>
      </c>
      <c r="E3211" s="1">
        <f>value(GBP!$B3211)</f>
        <v>18187.05</v>
      </c>
      <c r="F3211" s="1">
        <f>value(CHF!$B3211)</f>
        <v>14359.45</v>
      </c>
      <c r="G3211" s="1">
        <f>value(SGD!$B3211)</f>
        <v>11410.25</v>
      </c>
      <c r="H3211" s="1">
        <f>value(MYR!$B3211)</f>
        <v>3409</v>
      </c>
      <c r="I3211" s="1">
        <f>value(THB!$B3211)</f>
        <v>439.64</v>
      </c>
      <c r="J3211" s="1">
        <f>value(VND!$B3211)</f>
        <v>0</v>
      </c>
      <c r="K3211" s="1">
        <f>value(CNY!$B3211)</f>
        <v>2020.25</v>
      </c>
      <c r="L3211" s="1">
        <f>value(HKD!$B3211)</f>
        <v>1837.5</v>
      </c>
      <c r="M3211" s="1">
        <f>value(TWD!$B3211)</f>
        <v>454.945</v>
      </c>
      <c r="N3211" s="1">
        <f>value(JPY!$B3211)</f>
        <v>125.65</v>
      </c>
      <c r="O3211" s="1">
        <f>value(SAR!$B3211)</f>
        <v>3749.410873</v>
      </c>
      <c r="P3211" s="1">
        <f>value(AED!$B3211)</f>
        <v>3708.483248</v>
      </c>
      <c r="Q3211" s="1">
        <f>value(KWD!$B3211)</f>
        <v>44787.65448</v>
      </c>
    </row>
    <row r="3212">
      <c r="A3212" s="4">
        <f>value(USD!A3212)</f>
        <v>43577.99861</v>
      </c>
      <c r="B3212" s="1">
        <f>value(USD!B3212)</f>
        <v>14068</v>
      </c>
      <c r="C3212" s="1">
        <f>value(AUD!$B3212)</f>
        <v>9625.65</v>
      </c>
      <c r="D3212" s="1">
        <f>value(EUR!$B3212)</f>
        <v>15729</v>
      </c>
      <c r="E3212" s="1">
        <f>value(GBP!$B3212)</f>
        <v>18193.3</v>
      </c>
      <c r="F3212" s="1">
        <f>value(CHF!$B3212)</f>
        <v>14336.65</v>
      </c>
      <c r="G3212" s="1">
        <f>value(SGD!$B3212)</f>
        <v>10426.65</v>
      </c>
      <c r="H3212" s="1">
        <f>value(MYR!$B3212)</f>
        <v>3413.4</v>
      </c>
      <c r="I3212" s="1">
        <f>value(THB!$B3212)</f>
        <v>439.68</v>
      </c>
      <c r="J3212" s="1">
        <f>value(VND!$B3212)</f>
        <v>0</v>
      </c>
      <c r="K3212" s="1">
        <f>value(CNY!$B3212)</f>
        <v>2009.95</v>
      </c>
      <c r="L3212" s="1">
        <f>value(HKD!$B3212)</f>
        <v>1840.3</v>
      </c>
      <c r="M3212" s="1">
        <f>value(TWD!$B3212)</f>
        <v>452.785</v>
      </c>
      <c r="N3212" s="1">
        <f>value(JPY!$B3212)</f>
        <v>125.68</v>
      </c>
      <c r="O3212" s="1">
        <f>value(SAR!$B3212)</f>
        <v>3754.593662</v>
      </c>
      <c r="P3212" s="1">
        <f>value(AED!$B3212)</f>
        <v>3725.906475</v>
      </c>
      <c r="Q3212" s="1">
        <f>value(KWD!$B3212)</f>
        <v>45139.64904</v>
      </c>
    </row>
    <row r="3213">
      <c r="A3213" s="4">
        <f>value(USD!A3213)</f>
        <v>43578.99861</v>
      </c>
      <c r="B3213" s="1">
        <f>value(USD!B3213)</f>
        <v>14068</v>
      </c>
      <c r="C3213" s="1">
        <f>value(AUD!$B3213)</f>
        <v>9625.65</v>
      </c>
      <c r="D3213" s="1">
        <f>value(EUR!$B3213)</f>
        <v>15729</v>
      </c>
      <c r="E3213" s="1">
        <f>value(GBP!$B3213)</f>
        <v>18213.4</v>
      </c>
      <c r="F3213" s="1">
        <f>value(CHF!$B3213)</f>
        <v>14410.45</v>
      </c>
      <c r="G3213" s="1">
        <f>value(SGD!$B3213)</f>
        <v>10460.05</v>
      </c>
      <c r="H3213" s="1">
        <f>value(MYR!$B3213)</f>
        <v>3403.9</v>
      </c>
      <c r="I3213" s="1">
        <f>value(THB!$B3213)</f>
        <v>440.37</v>
      </c>
      <c r="J3213" s="1">
        <f>value(VND!$B3213)</f>
        <v>0</v>
      </c>
      <c r="K3213" s="1">
        <f>value(CNY!$B3213)</f>
        <v>2009.95</v>
      </c>
      <c r="L3213" s="1">
        <f>value(HKD!$B3213)</f>
        <v>1833.15</v>
      </c>
      <c r="M3213" s="1">
        <f>value(TWD!$B3213)</f>
        <v>452.785</v>
      </c>
      <c r="N3213" s="1">
        <f>value(JPY!$B3213)</f>
        <v>126.54</v>
      </c>
      <c r="O3213" s="1">
        <f>value(SAR!$B3213)</f>
        <v>3756.345552</v>
      </c>
      <c r="P3213" s="1">
        <f>value(AED!$B3213)</f>
        <v>3710.903481</v>
      </c>
      <c r="Q3213" s="1">
        <f>value(KWD!$B3213)</f>
        <v>43540.0282</v>
      </c>
    </row>
    <row r="3214">
      <c r="A3214" s="4">
        <f>value(USD!A3214)</f>
        <v>43579.99861</v>
      </c>
      <c r="B3214" s="1">
        <f>value(USD!B3214)</f>
        <v>14161</v>
      </c>
      <c r="C3214" s="1">
        <f>value(AUD!$B3214)</f>
        <v>9630.55</v>
      </c>
      <c r="D3214" s="1">
        <f>value(EUR!$B3214)</f>
        <v>17315</v>
      </c>
      <c r="E3214" s="1">
        <f>value(GBP!$B3214)</f>
        <v>20025.45</v>
      </c>
      <c r="F3214" s="1">
        <f>value(CHF!$B3214)</f>
        <v>14401.45</v>
      </c>
      <c r="G3214" s="1">
        <f>value(SGD!$B3214)</f>
        <v>10441.25</v>
      </c>
      <c r="H3214" s="1">
        <f>value(MYR!$B3214)</f>
        <v>3752</v>
      </c>
      <c r="I3214" s="1">
        <f>value(THB!$B3214)</f>
        <v>485.87</v>
      </c>
      <c r="J3214" s="1">
        <f>value(VND!$B3214)</f>
        <v>0</v>
      </c>
      <c r="K3214" s="1">
        <f>value(CNY!$B3214)</f>
        <v>2009.95</v>
      </c>
      <c r="L3214" s="1">
        <f>value(HKD!$B3214)</f>
        <v>1823.3</v>
      </c>
      <c r="M3214" s="1">
        <f>value(TWD!$B3214)</f>
        <v>452.785</v>
      </c>
      <c r="N3214" s="1">
        <f>value(JPY!$B3214)</f>
        <v>139.005</v>
      </c>
      <c r="O3214" s="1">
        <f>value(SAR!$B3214)</f>
        <v>3752.221963</v>
      </c>
      <c r="P3214" s="1">
        <f>value(AED!$B3214)</f>
        <v>3706.528584</v>
      </c>
      <c r="Q3214" s="1">
        <f>value(KWD!$B3214)</f>
        <v>44925.05095</v>
      </c>
    </row>
    <row r="3215">
      <c r="A3215" s="4">
        <f>value(USD!A3215)</f>
        <v>43580.99861</v>
      </c>
      <c r="B3215" s="1">
        <f>value(USD!B3215)</f>
        <v>14309.5</v>
      </c>
      <c r="C3215" s="1">
        <f>value(AUD!$B3215)</f>
        <v>9598.9</v>
      </c>
      <c r="D3215" s="1">
        <f>value(EUR!$B3215)</f>
        <v>15800.5</v>
      </c>
      <c r="E3215" s="1">
        <f>value(GBP!$B3215)</f>
        <v>18317.75</v>
      </c>
      <c r="F3215" s="1">
        <f>value(CHF!$B3215)</f>
        <v>14341.75</v>
      </c>
      <c r="G3215" s="1">
        <f>value(SGD!$B3215)</f>
        <v>10417.95</v>
      </c>
      <c r="H3215" s="1">
        <f>value(MYR!$B3215)</f>
        <v>3433.15</v>
      </c>
      <c r="I3215" s="1">
        <f>value(THB!$B3215)</f>
        <v>443.595</v>
      </c>
      <c r="J3215" s="1">
        <f>value(VND!$B3215)</f>
        <v>0</v>
      </c>
      <c r="K3215" s="1">
        <f>value(CNY!$B3215)</f>
        <v>2015.55</v>
      </c>
      <c r="L3215" s="1">
        <f>value(HKD!$B3215)</f>
        <v>1813.35</v>
      </c>
      <c r="M3215" s="1">
        <f>value(TWD!$B3215)</f>
        <v>454.19</v>
      </c>
      <c r="N3215" s="1">
        <f>value(JPY!$B3215)</f>
        <v>126.855</v>
      </c>
      <c r="O3215" s="1">
        <f>value(SAR!$B3215)</f>
        <v>3752.660384</v>
      </c>
      <c r="P3215" s="1">
        <f>value(AED!$B3215)</f>
        <v>3705.295254</v>
      </c>
      <c r="Q3215" s="1">
        <f>value(KWD!$B3215)</f>
        <v>44918.11077</v>
      </c>
    </row>
    <row r="3216">
      <c r="A3216" s="4">
        <f>value(USD!A3216)</f>
        <v>43581.99861</v>
      </c>
      <c r="B3216" s="1">
        <f>value(USD!B3216)</f>
        <v>14186.5</v>
      </c>
      <c r="C3216" s="1">
        <f>value(AUD!$B3216)</f>
        <v>9615.6</v>
      </c>
      <c r="D3216" s="1">
        <f>value(EUR!$B3216)</f>
        <v>15800.5</v>
      </c>
      <c r="E3216" s="1">
        <f>value(GBP!$B3216)</f>
        <v>18307.7</v>
      </c>
      <c r="F3216" s="1">
        <f>value(CHF!$B3216)</f>
        <v>14346.05</v>
      </c>
      <c r="G3216" s="1">
        <f>value(SGD!$B3216)</f>
        <v>10417.95</v>
      </c>
      <c r="H3216" s="1">
        <f>value(MYR!$B3216)</f>
        <v>3433.15</v>
      </c>
      <c r="I3216" s="1">
        <f>value(THB!$B3216)</f>
        <v>443.595</v>
      </c>
      <c r="J3216" s="1">
        <f>value(VND!$B3216)</f>
        <v>0</v>
      </c>
      <c r="K3216" s="1">
        <f>value(CNY!$B3216)</f>
        <v>2040.25</v>
      </c>
      <c r="L3216" s="1">
        <f>value(HKD!$B3216)</f>
        <v>1976.2</v>
      </c>
      <c r="M3216" s="1">
        <f>value(TWD!$B3216)</f>
        <v>456.175</v>
      </c>
      <c r="N3216" s="1">
        <f>value(JPY!$B3216)</f>
        <v>126.92</v>
      </c>
      <c r="O3216" s="1">
        <f>value(SAR!$B3216)</f>
        <v>3745.995599</v>
      </c>
      <c r="P3216" s="1">
        <f>value(AED!$B3216)</f>
        <v>3705.295254</v>
      </c>
      <c r="Q3216" s="1">
        <f>value(KWD!$B3216)</f>
        <v>44894.00556</v>
      </c>
    </row>
    <row r="3217">
      <c r="A3217" s="4">
        <f>value(USD!A3217)</f>
        <v>43582.99861</v>
      </c>
      <c r="B3217" s="1">
        <f>value(USD!B3217)</f>
        <v>14186.5</v>
      </c>
      <c r="C3217" s="1">
        <f>value(AUD!$B3217)</f>
        <v>9637.5</v>
      </c>
      <c r="D3217" s="1">
        <f>value(EUR!$B3217)</f>
        <v>17345.5</v>
      </c>
      <c r="E3217" s="1">
        <f>value(GBP!$B3217)</f>
        <v>18360.95</v>
      </c>
      <c r="F3217" s="1">
        <f>value(CHF!$B3217)</f>
        <v>14367.1</v>
      </c>
      <c r="G3217" s="1">
        <f>value(SGD!$B3217)</f>
        <v>10451.15</v>
      </c>
      <c r="H3217" s="1">
        <f>value(MYR!$B3217)</f>
        <v>3752.3</v>
      </c>
      <c r="I3217" s="1">
        <f>value(THB!$B3217)</f>
        <v>485.935</v>
      </c>
      <c r="J3217" s="1">
        <f>value(VND!$B3217)</f>
        <v>0</v>
      </c>
      <c r="K3217" s="1">
        <f>value(CNY!$B3217)</f>
        <v>2034.45</v>
      </c>
      <c r="L3217" s="1">
        <f>value(HKD!$B3217)</f>
        <v>1976.2</v>
      </c>
      <c r="M3217" s="1">
        <f>value(TWD!$B3217)</f>
        <v>453.56</v>
      </c>
      <c r="N3217" s="1">
        <f>value(JPY!$B3217)</f>
        <v>138.8</v>
      </c>
      <c r="O3217" s="1">
        <f>value(SAR!$B3217)</f>
        <v>3749.350616</v>
      </c>
      <c r="P3217" s="1">
        <f>value(AED!$B3217)</f>
        <v>3734.415863</v>
      </c>
      <c r="Q3217" s="1">
        <f>value(KWD!$B3217)</f>
        <v>45322.65753</v>
      </c>
    </row>
    <row r="3218">
      <c r="A3218" s="4">
        <f>value(USD!A3218)</f>
        <v>43583.99861</v>
      </c>
      <c r="B3218" s="1">
        <f>value(USD!B3218)</f>
        <v>14172</v>
      </c>
      <c r="C3218" s="1">
        <f>value(AUD!$B3218)</f>
        <v>9695.45</v>
      </c>
      <c r="D3218" s="1">
        <f>value(EUR!$B3218)</f>
        <v>15980</v>
      </c>
      <c r="E3218" s="1">
        <f>value(GBP!$B3218)</f>
        <v>18578.9</v>
      </c>
      <c r="F3218" s="1">
        <f>value(CHF!$B3218)</f>
        <v>14442.3</v>
      </c>
      <c r="G3218" s="1">
        <f>value(SGD!$B3218)</f>
        <v>10417.45</v>
      </c>
      <c r="H3218" s="1">
        <f>value(MYR!$B3218)</f>
        <v>3443.55</v>
      </c>
      <c r="I3218" s="1">
        <f>value(THB!$B3218)</f>
        <v>446.66</v>
      </c>
      <c r="J3218" s="1">
        <f>value(VND!$B3218)</f>
        <v>0</v>
      </c>
      <c r="K3218" s="1">
        <f>value(CNY!$B3218)</f>
        <v>2036.2</v>
      </c>
      <c r="L3218" s="1">
        <f>value(HKD!$B3218)</f>
        <v>1978.4</v>
      </c>
      <c r="M3218" s="1">
        <f>value(TWD!$B3218)</f>
        <v>456.75</v>
      </c>
      <c r="N3218" s="1">
        <f>value(JPY!$B3218)</f>
        <v>127.84</v>
      </c>
      <c r="O3218" s="1">
        <f>value(SAR!$B3218)</f>
        <v>3756.927447</v>
      </c>
      <c r="P3218" s="1">
        <f>value(AED!$B3218)</f>
        <v>3598.437506</v>
      </c>
      <c r="Q3218" s="1">
        <f>value(KWD!$B3218)</f>
        <v>45324.75091</v>
      </c>
    </row>
    <row r="3219">
      <c r="A3219" s="4">
        <f>value(USD!A3219)</f>
        <v>43584.99861</v>
      </c>
      <c r="B3219" s="1">
        <f>value(USD!B3219)</f>
        <v>14198</v>
      </c>
      <c r="C3219" s="1">
        <f>value(AUD!$B3219)</f>
        <v>9541.3</v>
      </c>
      <c r="D3219" s="1">
        <f>value(EUR!$B3219)</f>
        <v>15980</v>
      </c>
      <c r="E3219" s="1">
        <f>value(GBP!$B3219)</f>
        <v>18621.45</v>
      </c>
      <c r="F3219" s="1">
        <f>value(CHF!$B3219)</f>
        <v>15820.6</v>
      </c>
      <c r="G3219" s="1">
        <f>value(SGD!$B3219)</f>
        <v>10436.05</v>
      </c>
      <c r="H3219" s="1">
        <f>value(MYR!$B3219)</f>
        <v>3438.9</v>
      </c>
      <c r="I3219" s="1">
        <f>value(THB!$B3219)</f>
        <v>445.4</v>
      </c>
      <c r="J3219" s="1">
        <f>value(VND!$B3219)</f>
        <v>0</v>
      </c>
      <c r="K3219" s="1">
        <f>value(CNY!$B3219)</f>
        <v>2018.85</v>
      </c>
      <c r="L3219" s="1">
        <f>value(HKD!$B3219)</f>
        <v>1816.5</v>
      </c>
      <c r="M3219" s="1">
        <f>value(TWD!$B3219)</f>
        <v>456.5</v>
      </c>
      <c r="N3219" s="1">
        <f>value(JPY!$B3219)</f>
        <v>128</v>
      </c>
      <c r="O3219" s="1">
        <f>value(SAR!$B3219)</f>
        <v>3743.679115</v>
      </c>
      <c r="P3219" s="1">
        <f>value(AED!$B3219)</f>
        <v>3712.566881</v>
      </c>
      <c r="Q3219" s="1">
        <f>value(KWD!$B3219)</f>
        <v>44881.87673</v>
      </c>
    </row>
    <row r="3220">
      <c r="A3220" s="4">
        <f>value(USD!A3220)</f>
        <v>43585.99861</v>
      </c>
      <c r="B3220" s="1">
        <f>value(USD!B3220)</f>
        <v>14250</v>
      </c>
      <c r="C3220" s="1">
        <f>value(AUD!$B3220)</f>
        <v>9541.3</v>
      </c>
      <c r="D3220" s="1">
        <f>value(EUR!$B3220)</f>
        <v>15923</v>
      </c>
      <c r="E3220" s="1">
        <f>value(GBP!$B3220)</f>
        <v>18566.95</v>
      </c>
      <c r="F3220" s="1">
        <f>value(CHF!$B3220)</f>
        <v>15820.6</v>
      </c>
      <c r="G3220" s="1">
        <f>value(SGD!$B3220)</f>
        <v>10401.05</v>
      </c>
      <c r="H3220" s="1">
        <f>value(MYR!$B3220)</f>
        <v>3444.5</v>
      </c>
      <c r="I3220" s="1">
        <f>value(THB!$B3220)</f>
        <v>445.25</v>
      </c>
      <c r="J3220" s="1">
        <f>value(VND!$B3220)</f>
        <v>0</v>
      </c>
      <c r="K3220" s="1">
        <f>value(CNY!$B3220)</f>
        <v>2018.85</v>
      </c>
      <c r="L3220" s="1">
        <f>value(HKD!$B3220)</f>
        <v>1808.05</v>
      </c>
      <c r="M3220" s="1">
        <f>value(TWD!$B3220)</f>
        <v>456.505</v>
      </c>
      <c r="N3220" s="1">
        <f>value(JPY!$B3220)</f>
        <v>127.79</v>
      </c>
      <c r="O3220" s="1">
        <f>value(SAR!$B3220)</f>
        <v>3753.956665</v>
      </c>
      <c r="P3220" s="1">
        <f>value(AED!$B3220)</f>
        <v>3718.147846</v>
      </c>
      <c r="Q3220" s="1">
        <f>value(KWD!$B3220)</f>
        <v>45174.16823</v>
      </c>
    </row>
    <row r="3221">
      <c r="A3221" s="4">
        <f>value(USD!A3221)</f>
        <v>43586.99861</v>
      </c>
      <c r="B3221" s="1">
        <f>value(USD!B3221)</f>
        <v>14245.05</v>
      </c>
      <c r="C3221" s="1">
        <f>value(AUD!$B3221)</f>
        <v>9615.1</v>
      </c>
      <c r="D3221" s="1">
        <f>value(EUR!$B3221)</f>
        <v>15923</v>
      </c>
      <c r="E3221" s="1">
        <f>value(GBP!$B3221)</f>
        <v>18690.05</v>
      </c>
      <c r="F3221" s="1">
        <f>value(CHF!$B3221)</f>
        <v>15844.45</v>
      </c>
      <c r="G3221" s="1">
        <f>value(SGD!$B3221)</f>
        <v>10431.65</v>
      </c>
      <c r="H3221" s="1">
        <f>value(MYR!$B3221)</f>
        <v>3438.75</v>
      </c>
      <c r="I3221" s="1">
        <f>value(THB!$B3221)</f>
        <v>445.51</v>
      </c>
      <c r="J3221" s="1">
        <f>value(VND!$B3221)</f>
        <v>0</v>
      </c>
      <c r="K3221" s="1">
        <f>value(CNY!$B3221)</f>
        <v>2018.85</v>
      </c>
      <c r="L3221" s="1">
        <f>value(HKD!$B3221)</f>
        <v>1813.5</v>
      </c>
      <c r="M3221" s="1">
        <f>value(TWD!$B3221)</f>
        <v>456.505</v>
      </c>
      <c r="N3221" s="1">
        <f>value(JPY!$B3221)</f>
        <v>127.83</v>
      </c>
      <c r="O3221" s="1">
        <f>value(SAR!$B3221)</f>
        <v>3757.337247</v>
      </c>
      <c r="P3221" s="1">
        <f>value(AED!$B3221)</f>
        <v>3715.482595</v>
      </c>
      <c r="Q3221" s="1">
        <f>value(KWD!$B3221)</f>
        <v>45085.3276</v>
      </c>
    </row>
    <row r="3222">
      <c r="A3222" s="4">
        <f>value(USD!A3222)</f>
        <v>43587.99861</v>
      </c>
      <c r="B3222" s="1">
        <f>value(USD!B3222)</f>
        <v>14250</v>
      </c>
      <c r="C3222" s="1">
        <f>value(AUD!$B3222)</f>
        <v>9607.8</v>
      </c>
      <c r="D3222" s="1">
        <f>value(EUR!$B3222)</f>
        <v>15923</v>
      </c>
      <c r="E3222" s="1">
        <f>value(GBP!$B3222)</f>
        <v>18690.05</v>
      </c>
      <c r="F3222" s="1">
        <f>value(CHF!$B3222)</f>
        <v>15883.9</v>
      </c>
      <c r="G3222" s="1">
        <f>value(SGD!$B3222)</f>
        <v>10341.05</v>
      </c>
      <c r="H3222" s="1">
        <f>value(MYR!$B3222)</f>
        <v>3438.75</v>
      </c>
      <c r="I3222" s="1">
        <f>value(THB!$B3222)</f>
        <v>445.51</v>
      </c>
      <c r="J3222" s="1">
        <f>value(VND!$B3222)</f>
        <v>0</v>
      </c>
      <c r="K3222" s="1">
        <f>value(CNY!$B3222)</f>
        <v>2021</v>
      </c>
      <c r="L3222" s="1">
        <f>value(HKD!$B3222)</f>
        <v>1807.75</v>
      </c>
      <c r="M3222" s="1">
        <f>value(TWD!$B3222)</f>
        <v>457.06</v>
      </c>
      <c r="N3222" s="1">
        <f>value(JPY!$B3222)</f>
        <v>127.83</v>
      </c>
      <c r="O3222" s="1">
        <f>value(SAR!$B3222)</f>
        <v>3757.337247</v>
      </c>
      <c r="P3222" s="1">
        <f>value(AED!$B3222)</f>
        <v>3749.475803</v>
      </c>
      <c r="Q3222" s="1">
        <f>value(KWD!$B3222)</f>
        <v>44976.13423</v>
      </c>
    </row>
    <row r="3223">
      <c r="A3223" s="4">
        <f>value(USD!A3223)</f>
        <v>43588.99861</v>
      </c>
      <c r="B3223" s="1">
        <f>value(USD!B3223)</f>
        <v>14202</v>
      </c>
      <c r="C3223" s="1">
        <f>value(AUD!$B3223)</f>
        <v>9765.95</v>
      </c>
      <c r="D3223" s="1">
        <f>value(EUR!$B3223)</f>
        <v>15923</v>
      </c>
      <c r="E3223" s="1">
        <f>value(GBP!$B3223)</f>
        <v>18721.05</v>
      </c>
      <c r="F3223" s="1">
        <f>value(CHF!$B3223)</f>
        <v>14486.8</v>
      </c>
      <c r="G3223" s="1">
        <f>value(SGD!$B3223)</f>
        <v>10341.05</v>
      </c>
      <c r="H3223" s="1">
        <f>value(MYR!$B3223)</f>
        <v>3438.75</v>
      </c>
      <c r="I3223" s="1">
        <f>value(THB!$B3223)</f>
        <v>445.51</v>
      </c>
      <c r="J3223" s="1">
        <f>value(VND!$B3223)</f>
        <v>0</v>
      </c>
      <c r="K3223" s="1">
        <f>value(CNY!$B3223)</f>
        <v>2016.65</v>
      </c>
      <c r="L3223" s="1">
        <f>value(HKD!$B3223)</f>
        <v>1803.85</v>
      </c>
      <c r="M3223" s="1">
        <f>value(TWD!$B3223)</f>
        <v>457.725</v>
      </c>
      <c r="N3223" s="1">
        <f>value(JPY!$B3223)</f>
        <v>128.595</v>
      </c>
      <c r="O3223" s="1">
        <f>value(SAR!$B3223)</f>
        <v>3756.579743</v>
      </c>
      <c r="P3223" s="1">
        <f>value(AED!$B3223)</f>
        <v>3749.475941</v>
      </c>
      <c r="Q3223" s="1">
        <f>value(KWD!$B3223)</f>
        <v>45072.35904</v>
      </c>
    </row>
    <row r="3224">
      <c r="A3224" s="4">
        <f>value(USD!A3224)</f>
        <v>43589.99861</v>
      </c>
      <c r="B3224" s="1">
        <f>value(USD!B3224)</f>
        <v>14202</v>
      </c>
      <c r="C3224" s="1">
        <f>value(AUD!$B3224)</f>
        <v>9652.2</v>
      </c>
      <c r="D3224" s="1">
        <f>value(EUR!$B3224)</f>
        <v>16018</v>
      </c>
      <c r="E3224" s="1">
        <f>value(GBP!$B3224)</f>
        <v>18730.05</v>
      </c>
      <c r="F3224" s="1">
        <f>value(CHF!$B3224)</f>
        <v>14495.2</v>
      </c>
      <c r="G3224" s="1">
        <f>value(SGD!$B3224)</f>
        <v>10346.5</v>
      </c>
      <c r="H3224" s="1">
        <f>value(MYR!$B3224)</f>
        <v>3446.8</v>
      </c>
      <c r="I3224" s="1">
        <f>value(THB!$B3224)</f>
        <v>448.13</v>
      </c>
      <c r="J3224" s="1">
        <f>value(VND!$B3224)</f>
        <v>0</v>
      </c>
      <c r="K3224" s="1">
        <f>value(CNY!$B3224)</f>
        <v>2017.95</v>
      </c>
      <c r="L3224" s="1">
        <f>value(HKD!$B3224)</f>
        <v>1803.85</v>
      </c>
      <c r="M3224" s="1">
        <f>value(TWD!$B3224)</f>
        <v>456.69</v>
      </c>
      <c r="N3224" s="1">
        <f>value(JPY!$B3224)</f>
        <v>129.06</v>
      </c>
      <c r="O3224" s="1">
        <f>value(SAR!$B3224)</f>
        <v>3751.390843</v>
      </c>
      <c r="P3224" s="1">
        <f>value(AED!$B3224)</f>
        <v>3712.960687</v>
      </c>
      <c r="Q3224" s="1">
        <f>value(KWD!$B3224)</f>
        <v>44976.00024</v>
      </c>
    </row>
    <row r="3225">
      <c r="A3225" s="4">
        <f>value(USD!A3225)</f>
        <v>43590.99861</v>
      </c>
      <c r="B3225" s="1">
        <f>value(USD!B3225)</f>
        <v>14237</v>
      </c>
      <c r="C3225" s="1">
        <f>value(AUD!$B3225)</f>
        <v>9700.1</v>
      </c>
      <c r="D3225" s="1">
        <f>value(EUR!$B3225)</f>
        <v>15960</v>
      </c>
      <c r="E3225" s="1">
        <f>value(GBP!$B3225)</f>
        <v>18632.9</v>
      </c>
      <c r="F3225" s="1">
        <f>value(CHF!$B3225)</f>
        <v>14466.9</v>
      </c>
      <c r="G3225" s="1">
        <f>value(SGD!$B3225)</f>
        <v>11352.45</v>
      </c>
      <c r="H3225" s="1">
        <f>value(MYR!$B3225)</f>
        <v>3440.7</v>
      </c>
      <c r="I3225" s="1">
        <f>value(THB!$B3225)</f>
        <v>446.81</v>
      </c>
      <c r="J3225" s="1">
        <f>value(VND!$B3225)</f>
        <v>0</v>
      </c>
      <c r="K3225" s="1">
        <f>value(CNY!$B3225)</f>
        <v>2006.85</v>
      </c>
      <c r="L3225" s="1">
        <f>value(HKD!$B3225)</f>
        <v>1808.65</v>
      </c>
      <c r="M3225" s="1">
        <f>value(TWD!$B3225)</f>
        <v>458.345</v>
      </c>
      <c r="N3225" s="1">
        <f>value(JPY!$B3225)</f>
        <v>129.32</v>
      </c>
      <c r="O3225" s="1">
        <f>value(SAR!$B3225)</f>
        <v>3755.835675</v>
      </c>
      <c r="P3225" s="1">
        <f>value(AED!$B3225)</f>
        <v>3740.063343</v>
      </c>
      <c r="Q3225" s="1">
        <f>value(KWD!$B3225)</f>
        <v>44976.00024</v>
      </c>
    </row>
    <row r="3226">
      <c r="A3226" s="4">
        <f>value(USD!A3226)</f>
        <v>43591.99861</v>
      </c>
      <c r="B3226" s="1">
        <f>value(USD!B3226)</f>
        <v>14293</v>
      </c>
      <c r="C3226" s="1">
        <f>value(AUD!$B3226)</f>
        <v>9636.65</v>
      </c>
      <c r="D3226" s="1">
        <f>value(EUR!$B3226)</f>
        <v>15992</v>
      </c>
      <c r="E3226" s="1">
        <f>value(GBP!$B3226)</f>
        <v>18582.4</v>
      </c>
      <c r="F3226" s="1">
        <f>value(CHF!$B3226)</f>
        <v>14410</v>
      </c>
      <c r="G3226" s="1">
        <f>value(SGD!$B3226)</f>
        <v>11351.65</v>
      </c>
      <c r="H3226" s="1">
        <f>value(MYR!$B3226)</f>
        <v>3444.3</v>
      </c>
      <c r="I3226" s="1">
        <f>value(THB!$B3226)</f>
        <v>449.25</v>
      </c>
      <c r="J3226" s="1">
        <f>value(VND!$B3226)</f>
        <v>0</v>
      </c>
      <c r="K3226" s="1">
        <f>value(CNY!$B3226)</f>
        <v>1986.5</v>
      </c>
      <c r="L3226" s="1">
        <f>value(HKD!$B3226)</f>
        <v>1807.85</v>
      </c>
      <c r="M3226" s="1">
        <f>value(TWD!$B3226)</f>
        <v>456.055</v>
      </c>
      <c r="N3226" s="1">
        <f>value(JPY!$B3226)</f>
        <v>129.79</v>
      </c>
      <c r="O3226" s="1">
        <f>value(SAR!$B3226)</f>
        <v>3757.665602</v>
      </c>
      <c r="P3226" s="1">
        <f>value(AED!$B3226)</f>
        <v>3731.604778</v>
      </c>
      <c r="Q3226" s="1">
        <f>value(KWD!$B3226)</f>
        <v>44971.72674</v>
      </c>
    </row>
    <row r="3227">
      <c r="A3227" s="4">
        <f>value(USD!A3227)</f>
        <v>43592.99861</v>
      </c>
      <c r="B3227" s="1">
        <f>value(USD!B3227)</f>
        <v>14352.5</v>
      </c>
      <c r="C3227" s="1">
        <f>value(AUD!$B3227)</f>
        <v>9636.65</v>
      </c>
      <c r="D3227" s="1">
        <f>value(EUR!$B3227)</f>
        <v>16089</v>
      </c>
      <c r="E3227" s="1">
        <f>value(GBP!$B3227)</f>
        <v>18657.05</v>
      </c>
      <c r="F3227" s="1">
        <f>value(CHF!$B3227)</f>
        <v>14410</v>
      </c>
      <c r="G3227" s="1">
        <f>value(SGD!$B3227)</f>
        <v>10398.85</v>
      </c>
      <c r="H3227" s="1">
        <f>value(MYR!$B3227)</f>
        <v>3446.45</v>
      </c>
      <c r="I3227" s="1">
        <f>value(THB!$B3227)</f>
        <v>451.355</v>
      </c>
      <c r="J3227" s="1">
        <f>value(VND!$B3227)</f>
        <v>0</v>
      </c>
      <c r="K3227" s="1">
        <f>value(CNY!$B3227)</f>
        <v>2013.9</v>
      </c>
      <c r="L3227" s="1">
        <f>value(HKD!$B3227)</f>
        <v>1813.7</v>
      </c>
      <c r="M3227" s="1">
        <f>value(TWD!$B3227)</f>
        <v>456.875</v>
      </c>
      <c r="N3227" s="1">
        <f>value(JPY!$B3227)</f>
        <v>130.61</v>
      </c>
      <c r="O3227" s="1">
        <f>value(SAR!$B3227)</f>
        <v>3754.002752</v>
      </c>
      <c r="P3227" s="1">
        <f>value(AED!$B3227)</f>
        <v>3722.315874</v>
      </c>
      <c r="Q3227" s="1">
        <f>value(KWD!$B3227)</f>
        <v>45084.45058</v>
      </c>
    </row>
    <row r="3228">
      <c r="A3228" s="4">
        <f>value(USD!A3228)</f>
        <v>43593.99861</v>
      </c>
      <c r="B3228" s="1">
        <f>value(USD!B3228)</f>
        <v>14295</v>
      </c>
      <c r="C3228" s="1">
        <f>value(AUD!$B3228)</f>
        <v>9647.85</v>
      </c>
      <c r="D3228" s="1">
        <f>value(EUR!$B3228)</f>
        <v>16085</v>
      </c>
      <c r="E3228" s="1">
        <f>value(GBP!$B3228)</f>
        <v>18615.8</v>
      </c>
      <c r="F3228" s="1">
        <f>value(CHF!$B3228)</f>
        <v>14424.7</v>
      </c>
      <c r="G3228" s="1">
        <f>value(SGD!$B3228)</f>
        <v>10407.8</v>
      </c>
      <c r="H3228" s="1">
        <f>value(MYR!$B3228)</f>
        <v>3441.65</v>
      </c>
      <c r="I3228" s="1">
        <f>value(THB!$B3228)</f>
        <v>453.7</v>
      </c>
      <c r="J3228" s="1">
        <f>value(VND!$B3228)</f>
        <v>0</v>
      </c>
      <c r="K3228" s="1">
        <f>value(CNY!$B3228)</f>
        <v>2013.9</v>
      </c>
      <c r="L3228" s="1">
        <f>value(HKD!$B3228)</f>
        <v>1809.5</v>
      </c>
      <c r="M3228" s="1">
        <f>value(TWD!$B3228)</f>
        <v>456.875</v>
      </c>
      <c r="N3228" s="1">
        <f>value(JPY!$B3228)</f>
        <v>130.22</v>
      </c>
      <c r="O3228" s="1">
        <f>value(SAR!$B3228)</f>
        <v>3756.030434</v>
      </c>
      <c r="P3228" s="1">
        <f>value(AED!$B3228)</f>
        <v>3730.262624</v>
      </c>
      <c r="Q3228" s="1">
        <f>value(KWD!$B3228)</f>
        <v>44942.00016</v>
      </c>
    </row>
    <row r="3229">
      <c r="A3229" s="4">
        <f>value(USD!A3229)</f>
        <v>43594.99861</v>
      </c>
      <c r="B3229" s="1">
        <f>value(USD!B3229)</f>
        <v>14350</v>
      </c>
      <c r="C3229" s="1">
        <f>value(AUD!$B3229)</f>
        <v>9651.3</v>
      </c>
      <c r="D3229" s="1">
        <f>value(EUR!$B3229)</f>
        <v>16085</v>
      </c>
      <c r="E3229" s="1">
        <f>value(GBP!$B3229)</f>
        <v>18616.9</v>
      </c>
      <c r="F3229" s="1">
        <f>value(CHF!$B3229)</f>
        <v>14307</v>
      </c>
      <c r="G3229" s="1">
        <f>value(SGD!$B3229)</f>
        <v>10302.15</v>
      </c>
      <c r="H3229" s="1">
        <f>value(MYR!$B3229)</f>
        <v>3441.65</v>
      </c>
      <c r="I3229" s="1">
        <f>value(THB!$B3229)</f>
        <v>453.7</v>
      </c>
      <c r="J3229" s="1">
        <f>value(VND!$B3229)</f>
        <v>0</v>
      </c>
      <c r="K3229" s="1">
        <f>value(CNY!$B3229)</f>
        <v>1991.35</v>
      </c>
      <c r="L3229" s="1">
        <f>value(HKD!$B3229)</f>
        <v>1816.05</v>
      </c>
      <c r="M3229" s="1">
        <f>value(TWD!$B3229)</f>
        <v>458.115</v>
      </c>
      <c r="N3229" s="1">
        <f>value(JPY!$B3229)</f>
        <v>130.22</v>
      </c>
      <c r="O3229" s="1">
        <f>value(SAR!$B3229)</f>
        <v>3756.33785</v>
      </c>
      <c r="P3229" s="1">
        <f>value(AED!$B3229)</f>
        <v>3724.994664</v>
      </c>
      <c r="Q3229" s="1">
        <f>value(KWD!$B3229)</f>
        <v>44987.31384</v>
      </c>
    </row>
    <row r="3230">
      <c r="A3230" s="4">
        <f>value(USD!A3230)</f>
        <v>43595.99861</v>
      </c>
      <c r="B3230" s="1">
        <f>value(USD!B3230)</f>
        <v>14319.5</v>
      </c>
      <c r="C3230" s="1">
        <f>value(AUD!$B3230)</f>
        <v>9647.5</v>
      </c>
      <c r="D3230" s="1">
        <f>value(EUR!$B3230)</f>
        <v>16085</v>
      </c>
      <c r="E3230" s="1">
        <f>value(GBP!$B3230)</f>
        <v>18623.6</v>
      </c>
      <c r="F3230" s="1">
        <f>value(CHF!$B3230)</f>
        <v>14357.75</v>
      </c>
      <c r="G3230" s="1">
        <f>value(SGD!$B3230)</f>
        <v>10302.15</v>
      </c>
      <c r="H3230" s="1">
        <f>value(MYR!$B3230)</f>
        <v>3441.65</v>
      </c>
      <c r="I3230" s="1">
        <f>value(THB!$B3230)</f>
        <v>453.7</v>
      </c>
      <c r="J3230" s="1">
        <f>value(VND!$B3230)</f>
        <v>0</v>
      </c>
      <c r="K3230" s="1">
        <f>value(CNY!$B3230)</f>
        <v>1990.6</v>
      </c>
      <c r="L3230" s="1">
        <f>value(HKD!$B3230)</f>
        <v>1804.25</v>
      </c>
      <c r="M3230" s="1">
        <f>value(TWD!$B3230)</f>
        <v>458.855</v>
      </c>
      <c r="N3230" s="1">
        <f>value(JPY!$B3230)</f>
        <v>130.54</v>
      </c>
      <c r="O3230" s="1">
        <f>value(SAR!$B3230)</f>
        <v>3753.940687</v>
      </c>
      <c r="P3230" s="1">
        <f>value(AED!$B3230)</f>
        <v>3724.994664</v>
      </c>
      <c r="Q3230" s="1">
        <f>value(KWD!$B3230)</f>
        <v>45102.0649</v>
      </c>
    </row>
    <row r="3231">
      <c r="A3231" s="4">
        <f>value(USD!A3231)</f>
        <v>43596.99861</v>
      </c>
      <c r="B3231" s="1">
        <f>value(USD!B3231)</f>
        <v>14319.5</v>
      </c>
      <c r="C3231" s="1">
        <f>value(AUD!$B3231)</f>
        <v>9671.1</v>
      </c>
      <c r="D3231" s="1">
        <f>value(EUR!$B3231)</f>
        <v>16085</v>
      </c>
      <c r="E3231" s="1">
        <f>value(GBP!$B3231)</f>
        <v>18561.25</v>
      </c>
      <c r="F3231" s="1">
        <f>value(CHF!$B3231)</f>
        <v>14312.9</v>
      </c>
      <c r="G3231" s="1">
        <f>value(SGD!$B3231)</f>
        <v>10310.95</v>
      </c>
      <c r="H3231" s="1">
        <f>value(MYR!$B3231)</f>
        <v>3437.65</v>
      </c>
      <c r="I3231" s="1">
        <f>value(THB!$B3231)</f>
        <v>452.28</v>
      </c>
      <c r="J3231" s="1">
        <f>value(VND!$B3231)</f>
        <v>0</v>
      </c>
      <c r="K3231" s="1">
        <f>value(CNY!$B3231)</f>
        <v>1988.25</v>
      </c>
      <c r="L3231" s="1">
        <f>value(HKD!$B3231)</f>
        <v>1804.25</v>
      </c>
      <c r="M3231" s="1">
        <f>value(TWD!$B3231)</f>
        <v>459.79</v>
      </c>
      <c r="N3231" s="1">
        <f>value(JPY!$B3231)</f>
        <v>131.2</v>
      </c>
      <c r="O3231" s="1">
        <f>value(SAR!$B3231)</f>
        <v>3767.388533</v>
      </c>
      <c r="P3231" s="1">
        <f>value(AED!$B3231)</f>
        <v>3724.550434</v>
      </c>
      <c r="Q3231" s="1">
        <f>value(KWD!$B3231)</f>
        <v>44911.67944</v>
      </c>
    </row>
    <row r="3232">
      <c r="A3232" s="4">
        <f>value(USD!A3232)</f>
        <v>43597.99861</v>
      </c>
      <c r="B3232" s="1">
        <f>value(USD!B3232)</f>
        <v>14325</v>
      </c>
      <c r="C3232" s="1">
        <f>value(AUD!$B3232)</f>
        <v>9603.1</v>
      </c>
      <c r="D3232" s="1">
        <f>value(EUR!$B3232)</f>
        <v>16177</v>
      </c>
      <c r="E3232" s="1">
        <f>value(GBP!$B3232)</f>
        <v>18634.3</v>
      </c>
      <c r="F3232" s="1">
        <f>value(CHF!$B3232)</f>
        <v>14358</v>
      </c>
      <c r="G3232" s="1">
        <f>value(SGD!$B3232)</f>
        <v>10256.85</v>
      </c>
      <c r="H3232" s="1">
        <f>value(MYR!$B3232)</f>
        <v>3461</v>
      </c>
      <c r="I3232" s="1">
        <f>value(THB!$B3232)</f>
        <v>458.21</v>
      </c>
      <c r="J3232" s="1">
        <f>value(VND!$B3232)</f>
        <v>0</v>
      </c>
      <c r="K3232" s="1">
        <f>value(CNY!$B3232)</f>
        <v>1993.15</v>
      </c>
      <c r="L3232" s="1">
        <f>value(HKD!$B3232)</f>
        <v>1804.9</v>
      </c>
      <c r="M3232" s="1">
        <f>value(TWD!$B3232)</f>
        <v>460.44</v>
      </c>
      <c r="N3232" s="1">
        <f>value(JPY!$B3232)</f>
        <v>131.65</v>
      </c>
      <c r="O3232" s="1">
        <f>value(SAR!$B3232)</f>
        <v>3761.367373</v>
      </c>
      <c r="P3232" s="1">
        <f>value(AED!$B3232)</f>
        <v>3731.237251</v>
      </c>
      <c r="Q3232" s="1">
        <f>value(KWD!$B3232)</f>
        <v>44911.67944</v>
      </c>
    </row>
    <row r="3233">
      <c r="A3233" s="4">
        <f>value(USD!A3233)</f>
        <v>43598.99861</v>
      </c>
      <c r="B3233" s="1">
        <f>value(USD!B3233)</f>
        <v>14501.9</v>
      </c>
      <c r="C3233" s="1">
        <f>value(AUD!$B3233)</f>
        <v>9439.3</v>
      </c>
      <c r="D3233" s="1">
        <f>value(EUR!$B3233)</f>
        <v>16205</v>
      </c>
      <c r="E3233" s="1">
        <f>value(GBP!$B3233)</f>
        <v>18575.3</v>
      </c>
      <c r="F3233" s="1">
        <f>value(CHF!$B3233)</f>
        <v>14178.5</v>
      </c>
      <c r="G3233" s="1">
        <f>value(SGD!$B3233)</f>
        <v>10270.8</v>
      </c>
      <c r="H3233" s="1">
        <f>value(MYR!$B3233)</f>
        <v>3464.8</v>
      </c>
      <c r="I3233" s="1">
        <f>value(THB!$B3233)</f>
        <v>458.495</v>
      </c>
      <c r="J3233" s="1">
        <f>value(VND!$B3233)</f>
        <v>0</v>
      </c>
      <c r="K3233" s="1">
        <f>value(CNY!$B3233)</f>
        <v>1991.75</v>
      </c>
      <c r="L3233" s="1">
        <f>value(HKD!$B3233)</f>
        <v>1819.4</v>
      </c>
      <c r="M3233" s="1">
        <f>value(TWD!$B3233)</f>
        <v>460.69</v>
      </c>
      <c r="N3233" s="1">
        <f>value(JPY!$B3233)</f>
        <v>132.08</v>
      </c>
      <c r="O3233" s="1">
        <f>value(SAR!$B3233)</f>
        <v>3733.216018</v>
      </c>
      <c r="P3233" s="1">
        <f>value(AED!$B3233)</f>
        <v>3725.498112</v>
      </c>
      <c r="Q3233" s="1">
        <f>value(KWD!$B3233)</f>
        <v>44885.96643</v>
      </c>
    </row>
    <row r="3234">
      <c r="A3234" s="4">
        <f>value(USD!A3234)</f>
        <v>43599.99861</v>
      </c>
      <c r="B3234" s="1">
        <f>value(USD!B3234)</f>
        <v>14430</v>
      </c>
      <c r="C3234" s="1">
        <f>value(AUD!$B3234)</f>
        <v>9440.7</v>
      </c>
      <c r="D3234" s="1">
        <f>value(EUR!$B3234)</f>
        <v>16150</v>
      </c>
      <c r="E3234" s="1">
        <f>value(GBP!$B3234)</f>
        <v>18494.15</v>
      </c>
      <c r="F3234" s="1">
        <f>value(CHF!$B3234)</f>
        <v>14178.5</v>
      </c>
      <c r="G3234" s="1">
        <f>value(SGD!$B3234)</f>
        <v>10268.4</v>
      </c>
      <c r="H3234" s="1">
        <f>value(MYR!$B3234)</f>
        <v>3472.35</v>
      </c>
      <c r="I3234" s="1">
        <f>value(THB!$B3234)</f>
        <v>456.5</v>
      </c>
      <c r="J3234" s="1">
        <f>value(VND!$B3234)</f>
        <v>0</v>
      </c>
      <c r="K3234" s="1">
        <f>value(CNY!$B3234)</f>
        <v>1991.75</v>
      </c>
      <c r="L3234" s="1">
        <f>value(HKD!$B3234)</f>
        <v>1823.6</v>
      </c>
      <c r="M3234" s="1">
        <f>value(TWD!$B3234)</f>
        <v>460.6884</v>
      </c>
      <c r="N3234" s="1">
        <f>value(JPY!$B3234)</f>
        <v>131.55</v>
      </c>
      <c r="O3234" s="1">
        <f>value(SAR!$B3234)</f>
        <v>3725.609485</v>
      </c>
      <c r="P3234" s="1">
        <f>value(AED!$B3234)</f>
        <v>3733.066719</v>
      </c>
      <c r="Q3234" s="1">
        <f>value(KWD!$B3234)</f>
        <v>45037.71737</v>
      </c>
    </row>
    <row r="3235">
      <c r="A3235" s="4">
        <f>value(USD!A3235)</f>
        <v>43600.99861</v>
      </c>
      <c r="B3235" s="1">
        <f>value(USD!B3235)</f>
        <v>14543</v>
      </c>
      <c r="C3235" s="1">
        <f>value(AUD!$B3235)</f>
        <v>9460.9</v>
      </c>
      <c r="D3235" s="1">
        <f>value(EUR!$B3235)</f>
        <v>16125</v>
      </c>
      <c r="E3235" s="1">
        <f>value(GBP!$B3235)</f>
        <v>18343.7</v>
      </c>
      <c r="F3235" s="1">
        <f>value(CHF!$B3235)</f>
        <v>14192.5</v>
      </c>
      <c r="G3235" s="1">
        <f>value(SGD!$B3235)</f>
        <v>10255.25</v>
      </c>
      <c r="H3235" s="1">
        <f>value(MYR!$B3235)</f>
        <v>3459.1</v>
      </c>
      <c r="I3235" s="1">
        <f>value(THB!$B3235)</f>
        <v>453.65</v>
      </c>
      <c r="J3235" s="1">
        <f>value(VND!$B3235)</f>
        <v>0</v>
      </c>
      <c r="K3235" s="1">
        <f>value(CNY!$B3235)</f>
        <v>1991.75</v>
      </c>
      <c r="L3235" s="1">
        <f>value(HKD!$B3235)</f>
        <v>1806.45</v>
      </c>
      <c r="M3235" s="1">
        <f>value(TWD!$B3235)</f>
        <v>460.645</v>
      </c>
      <c r="N3235" s="1">
        <f>value(JPY!$B3235)</f>
        <v>131.18</v>
      </c>
      <c r="O3235" s="1">
        <f>value(SAR!$B3235)</f>
        <v>3739.955918</v>
      </c>
      <c r="P3235" s="1">
        <f>value(AED!$B3235)</f>
        <v>3742.513523</v>
      </c>
      <c r="Q3235" s="1">
        <f>value(KWD!$B3235)</f>
        <v>45109.74529</v>
      </c>
    </row>
    <row r="3236">
      <c r="A3236" s="4">
        <f>value(USD!A3236)</f>
        <v>43601.99861</v>
      </c>
      <c r="B3236" s="1">
        <f>value(USD!B3236)</f>
        <v>14572.5</v>
      </c>
      <c r="C3236" s="1">
        <f>value(AUD!$B3236)</f>
        <v>9638.65</v>
      </c>
      <c r="D3236" s="1">
        <f>value(EUR!$B3236)</f>
        <v>16125</v>
      </c>
      <c r="E3236" s="1">
        <f>value(GBP!$B3236)</f>
        <v>18343.7</v>
      </c>
      <c r="F3236" s="1">
        <f>value(CHF!$B3236)</f>
        <v>15529.75</v>
      </c>
      <c r="G3236" s="1">
        <f>value(SGD!$B3236)</f>
        <v>10232.3</v>
      </c>
      <c r="H3236" s="1">
        <f>value(MYR!$B3236)</f>
        <v>3459.1</v>
      </c>
      <c r="I3236" s="1">
        <f>value(THB!$B3236)</f>
        <v>453.65</v>
      </c>
      <c r="J3236" s="1">
        <f>value(VND!$B3236)</f>
        <v>0</v>
      </c>
      <c r="K3236" s="1">
        <f>value(CNY!$B3236)</f>
        <v>1979.55</v>
      </c>
      <c r="L3236" s="1">
        <f>value(HKD!$B3236)</f>
        <v>1806.1</v>
      </c>
      <c r="M3236" s="1">
        <f>value(TWD!$B3236)</f>
        <v>462.044</v>
      </c>
      <c r="N3236" s="1">
        <f>value(JPY!$B3236)</f>
        <v>131.18</v>
      </c>
      <c r="O3236" s="1">
        <f>value(SAR!$B3236)</f>
        <v>3739.955918</v>
      </c>
      <c r="P3236" s="1">
        <f>value(AED!$B3236)</f>
        <v>3728.219293</v>
      </c>
      <c r="Q3236" s="1">
        <f>value(KWD!$B3236)</f>
        <v>44678.90975</v>
      </c>
    </row>
    <row r="3237">
      <c r="A3237" s="4">
        <f>value(USD!A3237)</f>
        <v>43602.99861</v>
      </c>
      <c r="B3237" s="1">
        <f>value(USD!B3237)</f>
        <v>14510</v>
      </c>
      <c r="C3237" s="1">
        <f>value(AUD!$B3237)</f>
        <v>9629.15</v>
      </c>
      <c r="D3237" s="1">
        <f>value(EUR!$B3237)</f>
        <v>16125</v>
      </c>
      <c r="E3237" s="1">
        <f>value(GBP!$B3237)</f>
        <v>18385.3</v>
      </c>
      <c r="F3237" s="1">
        <f>value(CHF!$B3237)</f>
        <v>15560.65</v>
      </c>
      <c r="G3237" s="1">
        <f>value(SGD!$B3237)</f>
        <v>10259.2</v>
      </c>
      <c r="H3237" s="1">
        <f>value(MYR!$B3237)</f>
        <v>3459.1</v>
      </c>
      <c r="I3237" s="1">
        <f>value(THB!$B3237)</f>
        <v>453.65</v>
      </c>
      <c r="J3237" s="1">
        <f>value(VND!$B3237)</f>
        <v>0</v>
      </c>
      <c r="K3237" s="1">
        <f>value(CNY!$B3237)</f>
        <v>1980.55</v>
      </c>
      <c r="L3237" s="1">
        <f>value(HKD!$B3237)</f>
        <v>1787.2</v>
      </c>
      <c r="M3237" s="1">
        <f>value(TWD!$B3237)</f>
        <v>463.2484</v>
      </c>
      <c r="N3237" s="1">
        <f>value(JPY!$B3237)</f>
        <v>131.11</v>
      </c>
      <c r="O3237" s="1">
        <f>value(SAR!$B3237)</f>
        <v>3740.556508</v>
      </c>
      <c r="P3237" s="1">
        <f>value(AED!$B3237)</f>
        <v>3728.219293</v>
      </c>
      <c r="Q3237" s="1">
        <f>value(KWD!$B3237)</f>
        <v>44811.9012</v>
      </c>
    </row>
    <row r="3238">
      <c r="A3238" s="4">
        <f>value(USD!A3238)</f>
        <v>43603.99861</v>
      </c>
      <c r="B3238" s="1">
        <f>value(USD!B3238)</f>
        <v>14510</v>
      </c>
      <c r="C3238" s="1">
        <f>value(AUD!$B3238)</f>
        <v>9599.85</v>
      </c>
      <c r="D3238" s="1">
        <f>value(EUR!$B3238)</f>
        <v>16143</v>
      </c>
      <c r="E3238" s="1">
        <f>value(GBP!$B3238)</f>
        <v>18396.6</v>
      </c>
      <c r="F3238" s="1">
        <f>value(CHF!$B3238)</f>
        <v>14291.3</v>
      </c>
      <c r="G3238" s="1">
        <f>value(SGD!$B3238)</f>
        <v>10261.5</v>
      </c>
      <c r="H3238" s="1">
        <f>value(MYR!$B3238)</f>
        <v>3461.05</v>
      </c>
      <c r="I3238" s="1">
        <f>value(THB!$B3238)</f>
        <v>453.84</v>
      </c>
      <c r="J3238" s="1">
        <f>value(VND!$B3238)</f>
        <v>0</v>
      </c>
      <c r="K3238" s="1">
        <f>value(CNY!$B3238)</f>
        <v>1979.65</v>
      </c>
      <c r="L3238" s="1">
        <f>value(HKD!$B3238)</f>
        <v>1787.2</v>
      </c>
      <c r="M3238" s="1">
        <f>value(TWD!$B3238)</f>
        <v>462.3946</v>
      </c>
      <c r="N3238" s="1">
        <f>value(JPY!$B3238)</f>
        <v>131.31</v>
      </c>
      <c r="O3238" s="1">
        <f>value(SAR!$B3238)</f>
        <v>3735.803064</v>
      </c>
      <c r="P3238" s="1">
        <f>value(AED!$B3238)</f>
        <v>3726.105327</v>
      </c>
      <c r="Q3238" s="1">
        <f>value(KWD!$B3238)</f>
        <v>44944.477</v>
      </c>
    </row>
    <row r="3239">
      <c r="A3239" s="4">
        <f>value(USD!A3239)</f>
        <v>43604.99861</v>
      </c>
      <c r="B3239" s="1">
        <f>value(USD!B3239)</f>
        <v>14450</v>
      </c>
      <c r="C3239" s="1">
        <f>value(AUD!$B3239)</f>
        <v>9590.95</v>
      </c>
      <c r="D3239" s="1">
        <f>value(EUR!$B3239)</f>
        <v>16139.1</v>
      </c>
      <c r="E3239" s="1">
        <f>value(GBP!$B3239)</f>
        <v>18369.1</v>
      </c>
      <c r="F3239" s="1">
        <f>value(CHF!$B3239)</f>
        <v>14263.2</v>
      </c>
      <c r="G3239" s="1">
        <f>value(SGD!$B3239)</f>
        <v>10243.2</v>
      </c>
      <c r="H3239" s="1">
        <f>value(MYR!$B3239)</f>
        <v>3455.1</v>
      </c>
      <c r="I3239" s="1">
        <f>value(THB!$B3239)</f>
        <v>452.455</v>
      </c>
      <c r="J3239" s="1">
        <f>value(VND!$B3239)</f>
        <v>0</v>
      </c>
      <c r="K3239" s="1">
        <f>value(CNY!$B3239)</f>
        <v>1979.85</v>
      </c>
      <c r="L3239" s="1">
        <f>value(HKD!$B3239)</f>
        <v>1789.35</v>
      </c>
      <c r="M3239" s="1">
        <f>value(TWD!$B3239)</f>
        <v>462.5536</v>
      </c>
      <c r="N3239" s="1">
        <f>value(JPY!$B3239)</f>
        <v>130.745</v>
      </c>
      <c r="O3239" s="1">
        <f>value(SAR!$B3239)</f>
        <v>3740.117576</v>
      </c>
      <c r="P3239" s="1">
        <f>value(AED!$B3239)</f>
        <v>3737.2048</v>
      </c>
      <c r="Q3239" s="1">
        <f>value(KWD!$B3239)</f>
        <v>44944.477</v>
      </c>
    </row>
    <row r="3240">
      <c r="A3240" s="4">
        <f>value(USD!A3240)</f>
        <v>43605.99861</v>
      </c>
      <c r="B3240" s="1">
        <f>value(USD!B3240)</f>
        <v>14455</v>
      </c>
      <c r="C3240" s="1">
        <f>value(AUD!$B3240)</f>
        <v>9589.4</v>
      </c>
      <c r="D3240" s="1">
        <f>value(EUR!$B3240)</f>
        <v>16223.1</v>
      </c>
      <c r="E3240" s="1">
        <f>value(GBP!$B3240)</f>
        <v>18415.7</v>
      </c>
      <c r="F3240" s="1">
        <f>value(CHF!$B3240)</f>
        <v>14216.2</v>
      </c>
      <c r="G3240" s="1">
        <f>value(SGD!$B3240)</f>
        <v>10266.15</v>
      </c>
      <c r="H3240" s="1">
        <f>value(MYR!$B3240)</f>
        <v>3469.9</v>
      </c>
      <c r="I3240" s="1">
        <f>value(THB!$B3240)</f>
        <v>455.305</v>
      </c>
      <c r="J3240" s="1">
        <f>value(VND!$B3240)</f>
        <v>0</v>
      </c>
      <c r="K3240" s="1">
        <f>value(CNY!$B3240)</f>
        <v>1982.45</v>
      </c>
      <c r="L3240" s="1">
        <f>value(HKD!$B3240)</f>
        <v>1777.25</v>
      </c>
      <c r="M3240" s="1">
        <f>value(TWD!$B3240)</f>
        <v>463.6919</v>
      </c>
      <c r="N3240" s="1">
        <f>value(JPY!$B3240)</f>
        <v>131.935</v>
      </c>
      <c r="O3240" s="1">
        <f>value(SAR!$B3240)</f>
        <v>3727.869752</v>
      </c>
      <c r="P3240" s="1">
        <f>value(AED!$B3240)</f>
        <v>3749.319578</v>
      </c>
      <c r="Q3240" s="1">
        <f>value(KWD!$B3240)</f>
        <v>44947.18503</v>
      </c>
    </row>
    <row r="3241">
      <c r="A3241" s="4">
        <f>value(USD!A3241)</f>
        <v>43606.99861</v>
      </c>
      <c r="B3241" s="1">
        <f>value(USD!B3241)</f>
        <v>14456</v>
      </c>
      <c r="C3241" s="1">
        <f>value(AUD!$B3241)</f>
        <v>9589.4</v>
      </c>
      <c r="D3241" s="1">
        <f>value(EUR!$B3241)</f>
        <v>16155</v>
      </c>
      <c r="E3241" s="1">
        <f>value(GBP!$B3241)</f>
        <v>18291.35</v>
      </c>
      <c r="F3241" s="1">
        <f>value(CHF!$B3241)</f>
        <v>14216.2</v>
      </c>
      <c r="G3241" s="1">
        <f>value(SGD!$B3241)</f>
        <v>10259.8</v>
      </c>
      <c r="H3241" s="1">
        <f>value(MYR!$B3241)</f>
        <v>3446.15</v>
      </c>
      <c r="I3241" s="1">
        <f>value(THB!$B3241)</f>
        <v>453.17</v>
      </c>
      <c r="J3241" s="1">
        <f>value(VND!$B3241)</f>
        <v>0</v>
      </c>
      <c r="K3241" s="1">
        <f>value(CNY!$B3241)</f>
        <v>1981.7</v>
      </c>
      <c r="L3241" s="1">
        <f>value(HKD!$B3241)</f>
        <v>1784.25</v>
      </c>
      <c r="M3241" s="1">
        <f>value(TWD!$B3241)</f>
        <v>463.6919</v>
      </c>
      <c r="N3241" s="1">
        <f>value(JPY!$B3241)</f>
        <v>131.83</v>
      </c>
      <c r="O3241" s="1">
        <f>value(SAR!$B3241)</f>
        <v>3739.911128</v>
      </c>
      <c r="P3241" s="1">
        <f>value(AED!$B3241)</f>
        <v>3720.739592</v>
      </c>
      <c r="Q3241" s="1">
        <f>value(KWD!$B3241)</f>
        <v>45389.87903</v>
      </c>
    </row>
    <row r="3242">
      <c r="A3242" s="4">
        <f>value(USD!A3242)</f>
        <v>43607.99861</v>
      </c>
      <c r="B3242" s="1">
        <f>value(USD!B3242)</f>
        <v>14525</v>
      </c>
      <c r="C3242" s="1">
        <f>value(AUD!$B3242)</f>
        <v>9589.65</v>
      </c>
      <c r="D3242" s="1">
        <f>value(EUR!$B3242)</f>
        <v>16120</v>
      </c>
      <c r="E3242" s="1">
        <f>value(GBP!$B3242)</f>
        <v>18271.45</v>
      </c>
      <c r="F3242" s="1">
        <f>value(CHF!$B3242)</f>
        <v>14226.5</v>
      </c>
      <c r="G3242" s="1">
        <f>value(SGD!$B3242)</f>
        <v>10220.4</v>
      </c>
      <c r="H3242" s="1">
        <f>value(MYR!$B3242)</f>
        <v>3436</v>
      </c>
      <c r="I3242" s="1">
        <f>value(THB!$B3242)</f>
        <v>451.83</v>
      </c>
      <c r="J3242" s="1">
        <f>value(VND!$B3242)</f>
        <v>0</v>
      </c>
      <c r="K3242" s="1">
        <f>value(CNY!$B3242)</f>
        <v>1981.7</v>
      </c>
      <c r="L3242" s="1">
        <f>value(HKD!$B3242)</f>
        <v>1787.9</v>
      </c>
      <c r="M3242" s="1">
        <f>value(TWD!$B3242)</f>
        <v>463.6919</v>
      </c>
      <c r="N3242" s="1">
        <f>value(JPY!$B3242)</f>
        <v>131.6</v>
      </c>
      <c r="O3242" s="1">
        <f>value(SAR!$B3242)</f>
        <v>3725.784601</v>
      </c>
      <c r="P3242" s="1">
        <f>value(AED!$B3242)</f>
        <v>3731.901522</v>
      </c>
      <c r="Q3242" s="1">
        <f>value(KWD!$B3242)</f>
        <v>45964.68843</v>
      </c>
    </row>
    <row r="3243">
      <c r="A3243" s="4">
        <f>value(USD!A3243)</f>
        <v>43608.99861</v>
      </c>
      <c r="B3243" s="1">
        <f>value(USD!B3243)</f>
        <v>14460</v>
      </c>
      <c r="C3243" s="1">
        <f>value(AUD!$B3243)</f>
        <v>9530.65</v>
      </c>
      <c r="D3243" s="1">
        <f>value(EUR!$B3243)</f>
        <v>16099.2</v>
      </c>
      <c r="E3243" s="1">
        <f>value(GBP!$B3243)</f>
        <v>18267.55</v>
      </c>
      <c r="F3243" s="1">
        <f>value(CHF!$B3243)</f>
        <v>14130.6</v>
      </c>
      <c r="G3243" s="1">
        <f>value(SGD!$B3243)</f>
        <v>10198.45</v>
      </c>
      <c r="H3243" s="1">
        <f>value(MYR!$B3243)</f>
        <v>3436.2</v>
      </c>
      <c r="I3243" s="1">
        <f>value(THB!$B3243)</f>
        <v>452.06</v>
      </c>
      <c r="J3243" s="1">
        <f>value(VND!$B3243)</f>
        <v>0</v>
      </c>
      <c r="K3243" s="1">
        <f>value(CNY!$B3243)</f>
        <v>1969.35</v>
      </c>
      <c r="L3243" s="1">
        <f>value(HKD!$B3243)</f>
        <v>1780.55</v>
      </c>
      <c r="M3243" s="1">
        <f>value(TWD!$B3243)</f>
        <v>460.1186</v>
      </c>
      <c r="N3243" s="1">
        <f>value(JPY!$B3243)</f>
        <v>131.445</v>
      </c>
      <c r="O3243" s="1">
        <f>value(SAR!$B3243)</f>
        <v>3725.784601</v>
      </c>
      <c r="P3243" s="1">
        <f>value(AED!$B3243)</f>
        <v>3750.20981</v>
      </c>
      <c r="Q3243" s="1">
        <f>value(KWD!$B3243)</f>
        <v>45562.38815</v>
      </c>
    </row>
    <row r="3244">
      <c r="A3244" s="4">
        <f>value(USD!A3244)</f>
        <v>43609.99861</v>
      </c>
      <c r="B3244" s="1">
        <f>value(USD!B3244)</f>
        <v>14395</v>
      </c>
      <c r="C3244" s="1">
        <f>value(AUD!$B3244)</f>
        <v>9616.4</v>
      </c>
      <c r="D3244" s="1">
        <f>value(EUR!$B3244)</f>
        <v>16099.2</v>
      </c>
      <c r="E3244" s="1">
        <f>value(GBP!$B3244)</f>
        <v>18275.2</v>
      </c>
      <c r="F3244" s="1">
        <f>value(CHF!$B3244)</f>
        <v>14118.35</v>
      </c>
      <c r="G3244" s="1">
        <f>value(SGD!$B3244)</f>
        <v>10198.45</v>
      </c>
      <c r="H3244" s="1">
        <f>value(MYR!$B3244)</f>
        <v>3436.2</v>
      </c>
      <c r="I3244" s="1">
        <f>value(THB!$B3244)</f>
        <v>452.06</v>
      </c>
      <c r="J3244" s="1">
        <f>value(VND!$B3244)</f>
        <v>0</v>
      </c>
      <c r="K3244" s="1">
        <f>value(CNY!$B3244)</f>
        <v>1974.25</v>
      </c>
      <c r="L3244" s="1">
        <f>value(HKD!$B3244)</f>
        <v>1782.65</v>
      </c>
      <c r="M3244" s="1">
        <f>value(TWD!$B3244)</f>
        <v>460.5535</v>
      </c>
      <c r="N3244" s="1">
        <f>value(JPY!$B3244)</f>
        <v>131.265</v>
      </c>
      <c r="O3244" s="1">
        <f>value(SAR!$B3244)</f>
        <v>3725.49288</v>
      </c>
      <c r="P3244" s="1">
        <f>value(AED!$B3244)</f>
        <v>3750.20981</v>
      </c>
      <c r="Q3244" s="1">
        <f>value(KWD!$B3244)</f>
        <v>46811.40696</v>
      </c>
    </row>
    <row r="3245">
      <c r="A3245" s="4">
        <f>value(USD!A3245)</f>
        <v>43610.99861</v>
      </c>
      <c r="B3245" s="1">
        <f>value(USD!B3245)</f>
        <v>14395</v>
      </c>
      <c r="C3245" s="1">
        <f>value(AUD!$B3245)</f>
        <v>9618.15</v>
      </c>
      <c r="D3245" s="1">
        <f>value(EUR!$B3245)</f>
        <v>16094.4</v>
      </c>
      <c r="E3245" s="1">
        <f>value(GBP!$B3245)</f>
        <v>18232.15</v>
      </c>
      <c r="F3245" s="1">
        <f>value(CHF!$B3245)</f>
        <v>14157.25</v>
      </c>
      <c r="G3245" s="1">
        <f>value(SGD!$B3245)</f>
        <v>10216.6</v>
      </c>
      <c r="H3245" s="1">
        <f>value(MYR!$B3245)</f>
        <v>3435.15</v>
      </c>
      <c r="I3245" s="1">
        <f>value(THB!$B3245)</f>
        <v>451.735</v>
      </c>
      <c r="J3245" s="1">
        <f>value(VND!$B3245)</f>
        <v>0</v>
      </c>
      <c r="K3245" s="1">
        <f>value(CNY!$B3245)</f>
        <v>1972.45</v>
      </c>
      <c r="L3245" s="1">
        <f>value(HKD!$B3245)</f>
        <v>1785.2</v>
      </c>
      <c r="M3245" s="1">
        <f>value(TWD!$B3245)</f>
        <v>458.3587</v>
      </c>
      <c r="N3245" s="1">
        <f>value(JPY!$B3245)</f>
        <v>131.295</v>
      </c>
      <c r="O3245" s="1">
        <f>value(SAR!$B3245)</f>
        <v>3736.041696</v>
      </c>
      <c r="P3245" s="1">
        <f>value(AED!$B3245)</f>
        <v>3750.680986</v>
      </c>
      <c r="Q3245" s="1">
        <f>value(KWD!$B3245)</f>
        <v>46783.82034</v>
      </c>
    </row>
    <row r="3246">
      <c r="A3246" s="4">
        <f>value(USD!A3246)</f>
        <v>43611.99861</v>
      </c>
      <c r="B3246" s="1">
        <f>value(USD!B3246)</f>
        <v>14393</v>
      </c>
      <c r="C3246" s="1">
        <f>value(AUD!$B3246)</f>
        <v>9641.5</v>
      </c>
      <c r="D3246" s="1">
        <f>value(EUR!$B3246)</f>
        <v>16083.6</v>
      </c>
      <c r="E3246" s="1">
        <f>value(GBP!$B3246)</f>
        <v>18226.05</v>
      </c>
      <c r="F3246" s="1">
        <f>value(CHF!$B3246)</f>
        <v>14160.55</v>
      </c>
      <c r="G3246" s="1">
        <f>value(SGD!$B3246)</f>
        <v>10558.8</v>
      </c>
      <c r="H3246" s="1">
        <f>value(MYR!$B3246)</f>
        <v>3432.05</v>
      </c>
      <c r="I3246" s="1">
        <f>value(THB!$B3246)</f>
        <v>451.965</v>
      </c>
      <c r="J3246" s="1">
        <f>value(VND!$B3246)</f>
        <v>0</v>
      </c>
      <c r="K3246" s="1">
        <f>value(CNY!$B3246)</f>
        <v>1970</v>
      </c>
      <c r="L3246" s="1">
        <f>value(HKD!$B3246)</f>
        <v>1787.95</v>
      </c>
      <c r="M3246" s="1">
        <f>value(TWD!$B3246)</f>
        <v>458.5976</v>
      </c>
      <c r="N3246" s="1">
        <f>value(JPY!$B3246)</f>
        <v>131.685</v>
      </c>
      <c r="O3246" s="1">
        <f>value(SAR!$B3246)</f>
        <v>3740.156582</v>
      </c>
      <c r="P3246" s="1">
        <f>value(AED!$B3246)</f>
        <v>3779.903267</v>
      </c>
      <c r="Q3246" s="1">
        <f>value(KWD!$B3246)</f>
        <v>46783.82034</v>
      </c>
    </row>
    <row r="3247">
      <c r="A3247" s="4">
        <f>value(USD!A3247)</f>
        <v>43612.99861</v>
      </c>
      <c r="B3247" s="1">
        <f>value(USD!B3247)</f>
        <v>14455</v>
      </c>
      <c r="C3247" s="1">
        <f>value(AUD!$B3247)</f>
        <v>9566.35</v>
      </c>
      <c r="D3247" s="1">
        <f>value(EUR!$B3247)</f>
        <v>16032</v>
      </c>
      <c r="E3247" s="1">
        <f>value(GBP!$B3247)</f>
        <v>18179.15</v>
      </c>
      <c r="F3247" s="1">
        <f>value(CHF!$B3247)</f>
        <v>14164.6</v>
      </c>
      <c r="G3247" s="1">
        <f>value(SGD!$B3247)</f>
        <v>10229.3</v>
      </c>
      <c r="H3247" s="1">
        <f>value(MYR!$B3247)</f>
        <v>3426.55</v>
      </c>
      <c r="I3247" s="1">
        <f>value(THB!$B3247)</f>
        <v>452.28</v>
      </c>
      <c r="J3247" s="1">
        <f>value(VND!$B3247)</f>
        <v>0</v>
      </c>
      <c r="K3247" s="1">
        <f>value(CNY!$B3247)</f>
        <v>1971.25</v>
      </c>
      <c r="L3247" s="1">
        <f>value(HKD!$B3247)</f>
        <v>1785.15</v>
      </c>
      <c r="M3247" s="1">
        <f>value(TWD!$B3247)</f>
        <v>457.1437</v>
      </c>
      <c r="N3247" s="1">
        <f>value(JPY!$B3247)</f>
        <v>131.41</v>
      </c>
      <c r="O3247" s="1">
        <f>value(SAR!$B3247)</f>
        <v>3725.946022</v>
      </c>
      <c r="P3247" s="1">
        <f>value(AED!$B3247)</f>
        <v>3827.861453</v>
      </c>
      <c r="Q3247" s="1">
        <f>value(KWD!$B3247)</f>
        <v>45680.73669</v>
      </c>
    </row>
    <row r="3248">
      <c r="A3248" s="4">
        <f>value(USD!A3248)</f>
        <v>43613.99861</v>
      </c>
      <c r="B3248" s="1">
        <f>value(USD!B3248)</f>
        <v>14471</v>
      </c>
      <c r="C3248" s="1">
        <f>value(AUD!$B3248)</f>
        <v>9565.2</v>
      </c>
      <c r="D3248" s="1">
        <f>value(EUR!$B3248)</f>
        <v>16038</v>
      </c>
      <c r="E3248" s="1">
        <f>value(GBP!$B3248)</f>
        <v>18163.55</v>
      </c>
      <c r="F3248" s="1">
        <f>value(CHF!$B3248)</f>
        <v>14217</v>
      </c>
      <c r="G3248" s="1">
        <f>value(SGD!$B3248)</f>
        <v>10254.4</v>
      </c>
      <c r="H3248" s="1">
        <f>value(MYR!$B3248)</f>
        <v>3439.35</v>
      </c>
      <c r="I3248" s="1">
        <f>value(THB!$B3248)</f>
        <v>453.28</v>
      </c>
      <c r="J3248" s="1">
        <f>value(VND!$B3248)</f>
        <v>0</v>
      </c>
      <c r="K3248" s="1">
        <f>value(CNY!$B3248)</f>
        <v>1971.25</v>
      </c>
      <c r="L3248" s="1">
        <f>value(HKD!$B3248)</f>
        <v>1795.2</v>
      </c>
      <c r="M3248" s="1">
        <f>value(TWD!$B3248)</f>
        <v>457.1437</v>
      </c>
      <c r="N3248" s="1">
        <f>value(JPY!$B3248)</f>
        <v>131.73</v>
      </c>
      <c r="O3248" s="1">
        <f>value(SAR!$B3248)</f>
        <v>3727.764366</v>
      </c>
      <c r="P3248" s="1">
        <f>value(AED!$B3248)</f>
        <v>3794.748729</v>
      </c>
      <c r="Q3248" s="1">
        <f>value(KWD!$B3248)</f>
        <v>46520.34602</v>
      </c>
    </row>
    <row r="3249">
      <c r="A3249" s="4">
        <f>value(USD!A3249)</f>
        <v>43614.99861</v>
      </c>
      <c r="B3249" s="1">
        <f>value(USD!B3249)</f>
        <v>14400</v>
      </c>
      <c r="C3249" s="1">
        <f>value(AUD!$B3249)</f>
        <v>9658.95</v>
      </c>
      <c r="D3249" s="1">
        <f>value(EUR!$B3249)</f>
        <v>16038</v>
      </c>
      <c r="E3249" s="1">
        <f>value(GBP!$B3249)</f>
        <v>18098.55</v>
      </c>
      <c r="F3249" s="1">
        <f>value(CHF!$B3249)</f>
        <v>14204</v>
      </c>
      <c r="G3249" s="1">
        <f>value(SGD!$B3249)</f>
        <v>10251.95</v>
      </c>
      <c r="H3249" s="1">
        <f>value(MYR!$B3249)</f>
        <v>3436.85</v>
      </c>
      <c r="I3249" s="1">
        <f>value(THB!$B3249)</f>
        <v>455.315</v>
      </c>
      <c r="J3249" s="1">
        <f>value(VND!$B3249)</f>
        <v>0</v>
      </c>
      <c r="K3249" s="1">
        <f>value(CNY!$B3249)</f>
        <v>1971.25</v>
      </c>
      <c r="L3249" s="1">
        <f>value(HKD!$B3249)</f>
        <v>1791.15</v>
      </c>
      <c r="M3249" s="1">
        <f>value(TWD!$B3249)</f>
        <v>457.1437</v>
      </c>
      <c r="N3249" s="1">
        <f>value(JPY!$B3249)</f>
        <v>132.27</v>
      </c>
      <c r="O3249" s="1">
        <f>value(SAR!$B3249)</f>
        <v>3722.978452</v>
      </c>
      <c r="P3249" s="1">
        <f>value(AED!$B3249)</f>
        <v>3898.508304</v>
      </c>
      <c r="Q3249" s="1">
        <f>value(KWD!$B3249)</f>
        <v>46419.20932</v>
      </c>
    </row>
    <row r="3250">
      <c r="A3250" s="4">
        <f>value(USD!A3250)</f>
        <v>43615.99861</v>
      </c>
      <c r="B3250" s="1">
        <f>value(USD!B3250)</f>
        <v>14408</v>
      </c>
      <c r="C3250" s="1">
        <f>value(AUD!$B3250)</f>
        <v>9626</v>
      </c>
      <c r="D3250" s="1">
        <f>value(EUR!$B3250)</f>
        <v>16038</v>
      </c>
      <c r="E3250" s="1">
        <f>value(GBP!$B3250)</f>
        <v>18098.55</v>
      </c>
      <c r="F3250" s="1">
        <f>value(CHF!$B3250)</f>
        <v>14189.75</v>
      </c>
      <c r="G3250" s="1">
        <f>value(SGD!$B3250)</f>
        <v>10278.65</v>
      </c>
      <c r="H3250" s="1">
        <f>value(MYR!$B3250)</f>
        <v>3436.85</v>
      </c>
      <c r="I3250" s="1">
        <f>value(THB!$B3250)</f>
        <v>455.315</v>
      </c>
      <c r="J3250" s="1">
        <f>value(VND!$B3250)</f>
        <v>0</v>
      </c>
      <c r="K3250" s="1">
        <f>value(CNY!$B3250)</f>
        <v>1986.65</v>
      </c>
      <c r="L3250" s="1">
        <f>value(HKD!$B3250)</f>
        <v>1788.15</v>
      </c>
      <c r="M3250" s="1">
        <f>value(TWD!$B3250)</f>
        <v>459.1391</v>
      </c>
      <c r="N3250" s="1">
        <f>value(JPY!$B3250)</f>
        <v>132.27</v>
      </c>
      <c r="O3250" s="1">
        <f>value(SAR!$B3250)</f>
        <v>3722.978452</v>
      </c>
      <c r="P3250" s="1">
        <f>value(AED!$B3250)</f>
        <v>3897.086698</v>
      </c>
      <c r="Q3250" s="1">
        <f>value(KWD!$B3250)</f>
        <v>46286.00447</v>
      </c>
    </row>
    <row r="3251">
      <c r="A3251" s="4">
        <f>value(USD!A3251)</f>
        <v>43616.99861</v>
      </c>
      <c r="B3251" s="1">
        <f>value(USD!B3251)</f>
        <v>14285.5</v>
      </c>
      <c r="C3251" s="1">
        <f>value(AUD!$B3251)</f>
        <v>9631.7</v>
      </c>
      <c r="D3251" s="1">
        <f>value(EUR!$B3251)</f>
        <v>15911.3</v>
      </c>
      <c r="E3251" s="1">
        <f>value(GBP!$B3251)</f>
        <v>17994.4</v>
      </c>
      <c r="F3251" s="1">
        <f>value(CHF!$B3251)</f>
        <v>14228.4</v>
      </c>
      <c r="G3251" s="1">
        <f>value(SGD!$B3251)</f>
        <v>10278.65</v>
      </c>
      <c r="H3251" s="1">
        <f>value(MYR!$B3251)</f>
        <v>3406.45</v>
      </c>
      <c r="I3251" s="1">
        <f>value(THB!$B3251)</f>
        <v>451.72</v>
      </c>
      <c r="J3251" s="1">
        <f>value(VND!$B3251)</f>
        <v>0</v>
      </c>
      <c r="K3251" s="1">
        <f>value(CNY!$B3251)</f>
        <v>1967.25</v>
      </c>
      <c r="L3251" s="1">
        <f>value(HKD!$B3251)</f>
        <v>1786.3</v>
      </c>
      <c r="M3251" s="1">
        <f>value(TWD!$B3251)</f>
        <v>460.2108</v>
      </c>
      <c r="N3251" s="1">
        <f>value(JPY!$B3251)</f>
        <v>131.585</v>
      </c>
      <c r="O3251" s="1">
        <f>value(SAR!$B3251)</f>
        <v>3721.784834</v>
      </c>
      <c r="P3251" s="1">
        <f>value(AED!$B3251)</f>
        <v>3897.086698</v>
      </c>
      <c r="Q3251" s="1">
        <f>value(KWD!$B3251)</f>
        <v>47345.88077</v>
      </c>
    </row>
    <row r="3252">
      <c r="A3252" s="4">
        <f>value(USD!A3252)</f>
        <v>43617.99861</v>
      </c>
      <c r="B3252" s="1">
        <f>value(USD!B3252)</f>
        <v>14285.5</v>
      </c>
      <c r="C3252" s="1">
        <f>value(AUD!$B3252)</f>
        <v>9648.65</v>
      </c>
      <c r="D3252" s="1">
        <f>value(EUR!$B3252)</f>
        <v>16050</v>
      </c>
      <c r="E3252" s="1">
        <f>value(GBP!$B3252)</f>
        <v>18074.15</v>
      </c>
      <c r="F3252" s="1">
        <f>value(CHF!$B3252)</f>
        <v>14214.1</v>
      </c>
      <c r="G3252" s="1">
        <f>value(SGD!$B3252)</f>
        <v>10295.45</v>
      </c>
      <c r="H3252" s="1">
        <f>value(MYR!$B3252)</f>
        <v>3428.85</v>
      </c>
      <c r="I3252" s="1">
        <f>value(THB!$B3252)</f>
        <v>455.63</v>
      </c>
      <c r="J3252" s="1">
        <f>value(VND!$B3252)</f>
        <v>0</v>
      </c>
      <c r="K3252" s="1">
        <f>value(CNY!$B3252)</f>
        <v>1996.05</v>
      </c>
      <c r="L3252" s="1">
        <f>value(HKD!$B3252)</f>
        <v>1786.3</v>
      </c>
      <c r="M3252" s="1">
        <f>value(TWD!$B3252)</f>
        <v>461.0125</v>
      </c>
      <c r="N3252" s="1">
        <f>value(JPY!$B3252)</f>
        <v>132.125</v>
      </c>
      <c r="O3252" s="1">
        <f>value(SAR!$B3252)</f>
        <v>3722.204957</v>
      </c>
      <c r="P3252" s="1">
        <f>value(AED!$B3252)</f>
        <v>3805.169212</v>
      </c>
      <c r="Q3252" s="1">
        <f>value(KWD!$B3252)</f>
        <v>46668.83427</v>
      </c>
    </row>
    <row r="3253">
      <c r="A3253" s="4">
        <f>value(USD!A3253)</f>
        <v>43618.99861</v>
      </c>
      <c r="B3253" s="1">
        <f>value(USD!B3253)</f>
        <v>14275</v>
      </c>
      <c r="C3253" s="1">
        <f>value(AUD!$B3253)</f>
        <v>9573.9</v>
      </c>
      <c r="D3253" s="1">
        <f>value(EUR!$B3253)</f>
        <v>16070</v>
      </c>
      <c r="E3253" s="1">
        <f>value(GBP!$B3253)</f>
        <v>18135.75</v>
      </c>
      <c r="F3253" s="1">
        <f>value(CHF!$B3253)</f>
        <v>14103.8</v>
      </c>
      <c r="G3253" s="1">
        <f>value(SGD!$B3253)</f>
        <v>10243.75</v>
      </c>
      <c r="H3253" s="1">
        <f>value(MYR!$B3253)</f>
        <v>3428.45</v>
      </c>
      <c r="I3253" s="1">
        <f>value(THB!$B3253)</f>
        <v>456.04</v>
      </c>
      <c r="J3253" s="1">
        <f>value(VND!$B3253)</f>
        <v>0</v>
      </c>
      <c r="K3253" s="1">
        <f>value(CNY!$B3253)</f>
        <v>1990.15</v>
      </c>
      <c r="L3253" s="1">
        <f>value(HKD!$B3253)</f>
        <v>1789.4</v>
      </c>
      <c r="M3253" s="1">
        <f>value(TWD!$B3253)</f>
        <v>460.2594</v>
      </c>
      <c r="N3253" s="1">
        <f>value(JPY!$B3253)</f>
        <v>131.895</v>
      </c>
      <c r="O3253" s="1">
        <f>value(SAR!$B3253)</f>
        <v>3722.162608</v>
      </c>
      <c r="P3253" s="1">
        <f>value(AED!$B3253)</f>
        <v>3874.006506</v>
      </c>
      <c r="Q3253" s="1">
        <f>value(KWD!$B3253)</f>
        <v>46677.3143</v>
      </c>
    </row>
    <row r="3254">
      <c r="A3254" s="4">
        <f>value(USD!A3254)</f>
        <v>43619.99861</v>
      </c>
      <c r="B3254" s="1">
        <f>value(USD!B3254)</f>
        <v>14240</v>
      </c>
      <c r="C3254" s="1">
        <f>value(AUD!$B3254)</f>
        <v>9530</v>
      </c>
      <c r="D3254" s="1">
        <f>value(EUR!$B3254)</f>
        <v>16074.9</v>
      </c>
      <c r="E3254" s="1">
        <f>value(GBP!$B3254)</f>
        <v>18160.65</v>
      </c>
      <c r="F3254" s="1">
        <f>value(CHF!$B3254)</f>
        <v>14064.4</v>
      </c>
      <c r="G3254" s="1">
        <f>value(SGD!$B3254)</f>
        <v>10295.7</v>
      </c>
      <c r="H3254" s="1">
        <f>value(MYR!$B3254)</f>
        <v>3426.55</v>
      </c>
      <c r="I3254" s="1">
        <f>value(THB!$B3254)</f>
        <v>456.165</v>
      </c>
      <c r="J3254" s="1">
        <f>value(VND!$B3254)</f>
        <v>0</v>
      </c>
      <c r="K3254" s="1">
        <f>value(CNY!$B3254)</f>
        <v>1979.7</v>
      </c>
      <c r="L3254" s="1">
        <f>value(HKD!$B3254)</f>
        <v>1849.65</v>
      </c>
      <c r="M3254" s="1">
        <f>value(TWD!$B3254)</f>
        <v>460.6171</v>
      </c>
      <c r="N3254" s="1">
        <f>value(JPY!$B3254)</f>
        <v>132.17</v>
      </c>
      <c r="O3254" s="1">
        <f>value(SAR!$B3254)</f>
        <v>3713.507181</v>
      </c>
      <c r="P3254" s="1">
        <f>value(AED!$B3254)</f>
        <v>3865.716731</v>
      </c>
      <c r="Q3254" s="1">
        <f>value(KWD!$B3254)</f>
        <v>46676.07012</v>
      </c>
    </row>
    <row r="3255">
      <c r="A3255" s="4">
        <f>value(USD!A3255)</f>
        <v>43620.99861</v>
      </c>
      <c r="B3255" s="1">
        <f>value(USD!B3255)</f>
        <v>14270</v>
      </c>
      <c r="C3255" s="1">
        <f>value(AUD!$B3255)</f>
        <v>9530</v>
      </c>
      <c r="D3255" s="1">
        <f>value(EUR!$B3255)</f>
        <v>16122</v>
      </c>
      <c r="E3255" s="1">
        <f>value(GBP!$B3255)</f>
        <v>18151.65</v>
      </c>
      <c r="F3255" s="1">
        <f>value(CHF!$B3255)</f>
        <v>14064.4</v>
      </c>
      <c r="G3255" s="1">
        <f>value(SGD!$B3255)</f>
        <v>10307.8</v>
      </c>
      <c r="H3255" s="1">
        <f>value(MYR!$B3255)</f>
        <v>3440.45</v>
      </c>
      <c r="I3255" s="1">
        <f>value(THB!$B3255)</f>
        <v>456.415</v>
      </c>
      <c r="J3255" s="1">
        <f>value(VND!$B3255)</f>
        <v>0</v>
      </c>
      <c r="K3255" s="1">
        <f>value(CNY!$B3255)</f>
        <v>1979.7</v>
      </c>
      <c r="L3255" s="1">
        <f>value(HKD!$B3255)</f>
        <v>1791.6</v>
      </c>
      <c r="M3255" s="1">
        <f>value(TWD!$B3255)</f>
        <v>460.6171</v>
      </c>
      <c r="N3255" s="1">
        <f>value(JPY!$B3255)</f>
        <v>131.81</v>
      </c>
      <c r="O3255" s="1">
        <f>value(SAR!$B3255)</f>
        <v>3726.344905</v>
      </c>
      <c r="P3255" s="1">
        <f>value(AED!$B3255)</f>
        <v>3854.990388</v>
      </c>
      <c r="Q3255" s="1">
        <f>value(KWD!$B3255)</f>
        <v>46207.99055</v>
      </c>
    </row>
    <row r="3256">
      <c r="A3256" s="4">
        <f>value(USD!A3256)</f>
        <v>43621.99861</v>
      </c>
      <c r="B3256" s="1">
        <f>value(USD!B3256)</f>
        <v>14286.5</v>
      </c>
      <c r="C3256" s="1">
        <f>value(AUD!$B3256)</f>
        <v>9595.9</v>
      </c>
      <c r="D3256" s="1">
        <f>value(EUR!$B3256)</f>
        <v>16175</v>
      </c>
      <c r="E3256" s="1">
        <f>value(GBP!$B3256)</f>
        <v>18160.9</v>
      </c>
      <c r="F3256" s="1">
        <f>value(CHF!$B3256)</f>
        <v>14083.5</v>
      </c>
      <c r="G3256" s="1">
        <f>value(SGD!$B3256)</f>
        <v>10296.7</v>
      </c>
      <c r="H3256" s="1">
        <f>value(MYR!$B3256)</f>
        <v>3437.65</v>
      </c>
      <c r="I3256" s="1">
        <f>value(THB!$B3256)</f>
        <v>456.51</v>
      </c>
      <c r="J3256" s="1">
        <f>value(VND!$B3256)</f>
        <v>0</v>
      </c>
      <c r="K3256" s="1">
        <f>value(CNY!$B3256)</f>
        <v>1979.7</v>
      </c>
      <c r="L3256" s="1">
        <f>value(HKD!$B3256)</f>
        <v>1800.7</v>
      </c>
      <c r="M3256" s="1">
        <f>value(TWD!$B3256)</f>
        <v>460.6171</v>
      </c>
      <c r="N3256" s="1">
        <f>value(JPY!$B3256)</f>
        <v>131.83</v>
      </c>
      <c r="O3256" s="1">
        <f>value(SAR!$B3256)</f>
        <v>3719.676303</v>
      </c>
      <c r="P3256" s="1">
        <f>value(AED!$B3256)</f>
        <v>3943.019903</v>
      </c>
      <c r="Q3256" s="1">
        <f>value(KWD!$B3256)</f>
        <v>46659.12992</v>
      </c>
    </row>
    <row r="3257">
      <c r="A3257" s="4">
        <f>value(USD!A3257)</f>
        <v>43622.99861</v>
      </c>
      <c r="B3257" s="1">
        <f>value(USD!B3257)</f>
        <v>14262.5</v>
      </c>
      <c r="C3257" s="1">
        <f>value(AUD!$B3257)</f>
        <v>9637.6</v>
      </c>
      <c r="D3257" s="1">
        <f>value(EUR!$B3257)</f>
        <v>16175</v>
      </c>
      <c r="E3257" s="1">
        <f>value(GBP!$B3257)</f>
        <v>18160.9</v>
      </c>
      <c r="F3257" s="1">
        <f>value(CHF!$B3257)</f>
        <v>14585.35</v>
      </c>
      <c r="G3257" s="1">
        <f>value(SGD!$B3257)</f>
        <v>10144.55</v>
      </c>
      <c r="H3257" s="1">
        <f>value(MYR!$B3257)</f>
        <v>3437.65</v>
      </c>
      <c r="I3257" s="1">
        <f>value(THB!$B3257)</f>
        <v>456.51</v>
      </c>
      <c r="J3257" s="1">
        <f>value(VND!$B3257)</f>
        <v>0</v>
      </c>
      <c r="K3257" s="1">
        <f>value(CNY!$B3257)</f>
        <v>1977.25</v>
      </c>
      <c r="L3257" s="1">
        <f>value(HKD!$B3257)</f>
        <v>1804.05</v>
      </c>
      <c r="M3257" s="1">
        <f>value(TWD!$B3257)</f>
        <v>460.8378</v>
      </c>
      <c r="N3257" s="1">
        <f>value(JPY!$B3257)</f>
        <v>131.83</v>
      </c>
      <c r="O3257" s="1">
        <f>value(SAR!$B3257)</f>
        <v>3719.676303</v>
      </c>
      <c r="P3257" s="1">
        <f>value(AED!$B3257)</f>
        <v>3880.738675</v>
      </c>
      <c r="Q3257" s="1">
        <f>value(KWD!$B3257)</f>
        <v>47411.26034</v>
      </c>
    </row>
    <row r="3258">
      <c r="A3258" s="4">
        <f>value(USD!A3258)</f>
        <v>43623.99861</v>
      </c>
      <c r="B3258" s="1">
        <f>value(USD!B3258)</f>
        <v>14222</v>
      </c>
      <c r="C3258" s="1">
        <f>value(AUD!$B3258)</f>
        <v>9579.5</v>
      </c>
      <c r="D3258" s="1">
        <f>value(EUR!$B3258)</f>
        <v>16175</v>
      </c>
      <c r="E3258" s="1">
        <f>value(GBP!$B3258)</f>
        <v>18179.35</v>
      </c>
      <c r="F3258" s="1">
        <f>value(CHF!$B3258)</f>
        <v>14158.4</v>
      </c>
      <c r="G3258" s="1">
        <f>value(SGD!$B3258)</f>
        <v>10144.55</v>
      </c>
      <c r="H3258" s="1">
        <f>value(MYR!$B3258)</f>
        <v>3437.65</v>
      </c>
      <c r="I3258" s="1">
        <f>value(THB!$B3258)</f>
        <v>456.51</v>
      </c>
      <c r="J3258" s="1">
        <f>value(VND!$B3258)</f>
        <v>0</v>
      </c>
      <c r="K3258" s="1">
        <f>value(CNY!$B3258)</f>
        <v>1983.9</v>
      </c>
      <c r="L3258" s="1">
        <f>value(HKD!$B3258)</f>
        <v>1807.5</v>
      </c>
      <c r="M3258" s="1">
        <f>value(TWD!$B3258)</f>
        <v>460.5542</v>
      </c>
      <c r="N3258" s="1">
        <f>value(JPY!$B3258)</f>
        <v>131.75</v>
      </c>
      <c r="O3258" s="1">
        <f>value(SAR!$B3258)</f>
        <v>3720.879133</v>
      </c>
      <c r="P3258" s="1">
        <f>value(AED!$B3258)</f>
        <v>3881.391224</v>
      </c>
      <c r="Q3258" s="1">
        <f>value(KWD!$B3258)</f>
        <v>48306.00832</v>
      </c>
    </row>
    <row r="3259">
      <c r="A3259" s="4">
        <f>value(USD!A3259)</f>
        <v>43624.99861</v>
      </c>
      <c r="B3259" s="1">
        <f>value(USD!B3259)</f>
        <v>14222</v>
      </c>
      <c r="C3259" s="1">
        <f>value(AUD!$B3259)</f>
        <v>9655.3</v>
      </c>
      <c r="D3259" s="1">
        <f>value(EUR!$B3259)</f>
        <v>16125</v>
      </c>
      <c r="E3259" s="1">
        <f>value(GBP!$B3259)</f>
        <v>18081.1</v>
      </c>
      <c r="F3259" s="1">
        <f>value(CHF!$B3259)</f>
        <v>14177.95</v>
      </c>
      <c r="G3259" s="1">
        <f>value(SGD!$B3259)</f>
        <v>10222.45</v>
      </c>
      <c r="H3259" s="1">
        <f>value(MYR!$B3259)</f>
        <v>3424.45</v>
      </c>
      <c r="I3259" s="1">
        <f>value(THB!$B3259)</f>
        <v>454.76</v>
      </c>
      <c r="J3259" s="1">
        <f>value(VND!$B3259)</f>
        <v>0</v>
      </c>
      <c r="K3259" s="1">
        <f>value(CNY!$B3259)</f>
        <v>1982.45</v>
      </c>
      <c r="L3259" s="1">
        <f>value(HKD!$B3259)</f>
        <v>1807.5</v>
      </c>
      <c r="M3259" s="1">
        <f>value(TWD!$B3259)</f>
        <v>460.5154</v>
      </c>
      <c r="N3259" s="1">
        <f>value(JPY!$B3259)</f>
        <v>131.49</v>
      </c>
      <c r="O3259" s="1">
        <f>value(SAR!$B3259)</f>
        <v>3711.427451</v>
      </c>
      <c r="P3259" s="1">
        <f>value(AED!$B3259)</f>
        <v>3881.26624</v>
      </c>
      <c r="Q3259" s="1">
        <f>value(KWD!$B3259)</f>
        <v>47532.3295</v>
      </c>
    </row>
    <row r="3260">
      <c r="A3260" s="4">
        <f>value(USD!A3260)</f>
        <v>43625.99861</v>
      </c>
      <c r="B3260" s="1">
        <f>value(USD!B3260)</f>
        <v>14275</v>
      </c>
      <c r="C3260" s="1">
        <f>value(AUD!$B3260)</f>
        <v>9594.9</v>
      </c>
      <c r="D3260" s="1">
        <f>value(EUR!$B3260)</f>
        <v>16126</v>
      </c>
      <c r="E3260" s="1">
        <f>value(GBP!$B3260)</f>
        <v>18111.6</v>
      </c>
      <c r="F3260" s="1">
        <f>value(CHF!$B3260)</f>
        <v>14261.15</v>
      </c>
      <c r="G3260" s="1">
        <f>value(SGD!$B3260)</f>
        <v>10251.8</v>
      </c>
      <c r="H3260" s="1">
        <f>value(MYR!$B3260)</f>
        <v>3426.8</v>
      </c>
      <c r="I3260" s="1">
        <f>value(THB!$B3260)</f>
        <v>455.29</v>
      </c>
      <c r="J3260" s="1">
        <f>value(VND!$B3260)</f>
        <v>0</v>
      </c>
      <c r="K3260" s="1">
        <f>value(CNY!$B3260)</f>
        <v>1989</v>
      </c>
      <c r="L3260" s="1">
        <f>value(HKD!$B3260)</f>
        <v>1810.45</v>
      </c>
      <c r="M3260" s="1">
        <f>value(TWD!$B3260)</f>
        <v>459.5944</v>
      </c>
      <c r="N3260" s="1">
        <f>value(JPY!$B3260)</f>
        <v>131.2</v>
      </c>
      <c r="O3260" s="1">
        <f>value(SAR!$B3260)</f>
        <v>3701.043702</v>
      </c>
      <c r="P3260" s="1">
        <f>value(AED!$B3260)</f>
        <v>3837.261976</v>
      </c>
      <c r="Q3260" s="1">
        <f>value(KWD!$B3260)</f>
        <v>47532.3295</v>
      </c>
    </row>
    <row r="3261">
      <c r="A3261" s="4">
        <f>value(USD!A3261)</f>
        <v>43626.99861</v>
      </c>
      <c r="B3261" s="1">
        <f>value(USD!B3261)</f>
        <v>14313</v>
      </c>
      <c r="C3261" s="1">
        <f>value(AUD!$B3261)</f>
        <v>9507.75</v>
      </c>
      <c r="D3261" s="1">
        <f>value(EUR!$B3261)</f>
        <v>16075</v>
      </c>
      <c r="E3261" s="1">
        <f>value(GBP!$B3261)</f>
        <v>18065.85</v>
      </c>
      <c r="F3261" s="1">
        <f>value(CHF!$B3261)</f>
        <v>14426.4</v>
      </c>
      <c r="G3261" s="1">
        <f>value(SGD!$B3261)</f>
        <v>10387.4</v>
      </c>
      <c r="H3261" s="1">
        <f>value(MYR!$B3261)</f>
        <v>3421.85</v>
      </c>
      <c r="I3261" s="1">
        <f>value(THB!$B3261)</f>
        <v>455.07</v>
      </c>
      <c r="J3261" s="1">
        <f>value(VND!$B3261)</f>
        <v>0</v>
      </c>
      <c r="K3261" s="1">
        <f>value(CNY!$B3261)</f>
        <v>1988.15</v>
      </c>
      <c r="L3261" s="1">
        <f>value(HKD!$B3261)</f>
        <v>1809.05</v>
      </c>
      <c r="M3261" s="1">
        <f>value(TWD!$B3261)</f>
        <v>461.2477</v>
      </c>
      <c r="N3261" s="1">
        <f>value(JPY!$B3261)</f>
        <v>131.19</v>
      </c>
      <c r="O3261" s="1">
        <f>value(SAR!$B3261)</f>
        <v>3703.337713</v>
      </c>
      <c r="P3261" s="1">
        <f>value(AED!$B3261)</f>
        <v>3885.857738</v>
      </c>
      <c r="Q3261" s="1">
        <f>value(KWD!$B3261)</f>
        <v>47507.69866</v>
      </c>
    </row>
    <row r="3262">
      <c r="A3262" s="4">
        <f>value(USD!A3262)</f>
        <v>43627.99861</v>
      </c>
      <c r="B3262" s="1">
        <f>value(USD!B3262)</f>
        <v>14297.5</v>
      </c>
      <c r="C3262" s="1">
        <f>value(AUD!$B3262)</f>
        <v>9507.75</v>
      </c>
      <c r="D3262" s="1">
        <f>value(EUR!$B3262)</f>
        <v>16095</v>
      </c>
      <c r="E3262" s="1">
        <f>value(GBP!$B3262)</f>
        <v>18092.3</v>
      </c>
      <c r="F3262" s="1">
        <f>value(CHF!$B3262)</f>
        <v>14426.4</v>
      </c>
      <c r="G3262" s="1">
        <f>value(SGD!$B3262)</f>
        <v>10285.75</v>
      </c>
      <c r="H3262" s="1">
        <f>value(MYR!$B3262)</f>
        <v>3423.05</v>
      </c>
      <c r="I3262" s="1">
        <f>value(THB!$B3262)</f>
        <v>457.13</v>
      </c>
      <c r="J3262" s="1">
        <f>value(VND!$B3262)</f>
        <v>0</v>
      </c>
      <c r="K3262" s="1">
        <f>value(CNY!$B3262)</f>
        <v>1988.2</v>
      </c>
      <c r="L3262" s="1">
        <f>value(HKD!$B3262)</f>
        <v>1814.2</v>
      </c>
      <c r="M3262" s="1">
        <f>value(TWD!$B3262)</f>
        <v>461.2477</v>
      </c>
      <c r="N3262" s="1">
        <f>value(JPY!$B3262)</f>
        <v>131.73</v>
      </c>
      <c r="O3262" s="1">
        <f>value(SAR!$B3262)</f>
        <v>3702.940606</v>
      </c>
      <c r="P3262" s="1">
        <f>value(AED!$B3262)</f>
        <v>3956.22365</v>
      </c>
      <c r="Q3262" s="1">
        <f>value(KWD!$B3262)</f>
        <v>48150.13765</v>
      </c>
    </row>
    <row r="3263">
      <c r="A3263" s="4">
        <f>value(USD!A3263)</f>
        <v>43628.99861</v>
      </c>
      <c r="B3263" s="1">
        <f>value(USD!B3263)</f>
        <v>14263</v>
      </c>
      <c r="C3263" s="1">
        <f>value(AUD!$B3263)</f>
        <v>9505.15</v>
      </c>
      <c r="D3263" s="1">
        <f>value(EUR!$B3263)</f>
        <v>16075</v>
      </c>
      <c r="E3263" s="1">
        <f>value(GBP!$B3263)</f>
        <v>17971.9</v>
      </c>
      <c r="F3263" s="1">
        <f>value(CHF!$B3263)</f>
        <v>14430.35</v>
      </c>
      <c r="G3263" s="1">
        <f>value(SGD!$B3263)</f>
        <v>10312.05</v>
      </c>
      <c r="H3263" s="1">
        <f>value(MYR!$B3263)</f>
        <v>3441.05</v>
      </c>
      <c r="I3263" s="1">
        <f>value(THB!$B3263)</f>
        <v>459.325</v>
      </c>
      <c r="J3263" s="1">
        <f>value(VND!$B3263)</f>
        <v>0</v>
      </c>
      <c r="K3263" s="1">
        <f>value(CNY!$B3263)</f>
        <v>1988.2</v>
      </c>
      <c r="L3263" s="1">
        <f>value(HKD!$B3263)</f>
        <v>1818.05</v>
      </c>
      <c r="M3263" s="1">
        <f>value(TWD!$B3263)</f>
        <v>461.2477</v>
      </c>
      <c r="N3263" s="1">
        <f>value(JPY!$B3263)</f>
        <v>131.76</v>
      </c>
      <c r="O3263" s="1">
        <f>value(SAR!$B3263)</f>
        <v>3715.417487</v>
      </c>
      <c r="P3263" s="1">
        <f>value(AED!$B3263)</f>
        <v>4046.199697</v>
      </c>
      <c r="Q3263" s="1">
        <f>value(KWD!$B3263)</f>
        <v>48878.58444</v>
      </c>
    </row>
    <row r="3264">
      <c r="A3264" s="4">
        <f>value(USD!A3264)</f>
        <v>43629.99861</v>
      </c>
      <c r="B3264" s="1">
        <f>value(USD!B3264)</f>
        <v>14280</v>
      </c>
      <c r="C3264" s="1">
        <f>value(AUD!$B3264)</f>
        <v>9535.1</v>
      </c>
      <c r="D3264" s="1">
        <f>value(EUR!$B3264)</f>
        <v>16136.1</v>
      </c>
      <c r="E3264" s="1">
        <f>value(GBP!$B3264)</f>
        <v>18108.5</v>
      </c>
      <c r="F3264" s="1">
        <f>value(CHF!$B3264)</f>
        <v>14619.05</v>
      </c>
      <c r="G3264" s="1">
        <f>value(SGD!$B3264)</f>
        <v>10265.95</v>
      </c>
      <c r="H3264" s="1">
        <f>value(MYR!$B3264)</f>
        <v>3437.7</v>
      </c>
      <c r="I3264" s="1">
        <f>value(THB!$B3264)</f>
        <v>461.07</v>
      </c>
      <c r="J3264" s="1">
        <f>value(VND!$B3264)</f>
        <v>0</v>
      </c>
      <c r="K3264" s="1">
        <f>value(CNY!$B3264)</f>
        <v>1989.75</v>
      </c>
      <c r="L3264" s="1">
        <f>value(HKD!$B3264)</f>
        <v>1815.25</v>
      </c>
      <c r="M3264" s="1">
        <f>value(TWD!$B3264)</f>
        <v>460.4916</v>
      </c>
      <c r="N3264" s="1">
        <f>value(JPY!$B3264)</f>
        <v>132.265</v>
      </c>
      <c r="O3264" s="1">
        <f>value(SAR!$B3264)</f>
        <v>3715.417487</v>
      </c>
      <c r="P3264" s="1">
        <f>value(AED!$B3264)</f>
        <v>3987.775504</v>
      </c>
      <c r="Q3264" s="1">
        <f>value(KWD!$B3264)</f>
        <v>49935.89484</v>
      </c>
    </row>
    <row r="3265">
      <c r="A3265" s="4">
        <f>value(USD!A3265)</f>
        <v>43630.99861</v>
      </c>
      <c r="B3265" s="1">
        <f>value(USD!B3265)</f>
        <v>14356.5</v>
      </c>
      <c r="C3265" s="1">
        <f>value(AUD!$B3265)</f>
        <v>9598.1</v>
      </c>
      <c r="D3265" s="1">
        <f>value(EUR!$B3265)</f>
        <v>16136.1</v>
      </c>
      <c r="E3265" s="1">
        <f>value(GBP!$B3265)</f>
        <v>18115.9</v>
      </c>
      <c r="F3265" s="1">
        <f>value(CHF!$B3265)</f>
        <v>14571</v>
      </c>
      <c r="G3265" s="1">
        <f>value(SGD!$B3265)</f>
        <v>10265.95</v>
      </c>
      <c r="H3265" s="1">
        <f>value(MYR!$B3265)</f>
        <v>3437.7</v>
      </c>
      <c r="I3265" s="1">
        <f>value(THB!$B3265)</f>
        <v>461.07</v>
      </c>
      <c r="J3265" s="1">
        <f>value(VND!$B3265)</f>
        <v>0</v>
      </c>
      <c r="K3265" s="1">
        <f>value(CNY!$B3265)</f>
        <v>1982.65</v>
      </c>
      <c r="L3265" s="1">
        <f>value(HKD!$B3265)</f>
        <v>1792.45</v>
      </c>
      <c r="M3265" s="1">
        <f>value(TWD!$B3265)</f>
        <v>461.5839</v>
      </c>
      <c r="N3265" s="1">
        <f>value(JPY!$B3265)</f>
        <v>132.49</v>
      </c>
      <c r="O3265" s="1">
        <f>value(SAR!$B3265)</f>
        <v>3715.031979</v>
      </c>
      <c r="P3265" s="1">
        <f>value(AED!$B3265)</f>
        <v>3987.775504</v>
      </c>
      <c r="Q3265" s="1">
        <f>value(KWD!$B3265)</f>
        <v>51151.43068</v>
      </c>
    </row>
    <row r="3266">
      <c r="A3266" s="4">
        <f>value(USD!A3266)</f>
        <v>43631.99861</v>
      </c>
      <c r="B3266" s="1">
        <f>value(USD!B3266)</f>
        <v>14356.5</v>
      </c>
      <c r="C3266" s="1">
        <f>value(AUD!$B3266)</f>
        <v>9550.4</v>
      </c>
      <c r="D3266" s="1">
        <f>value(EUR!$B3266)</f>
        <v>16077</v>
      </c>
      <c r="E3266" s="1">
        <f>value(GBP!$B3266)</f>
        <v>18079.75</v>
      </c>
      <c r="F3266" s="1">
        <f>value(CHF!$B3266)</f>
        <v>14618.1</v>
      </c>
      <c r="G3266" s="1">
        <f>value(SGD!$B3266)</f>
        <v>10261.85</v>
      </c>
      <c r="H3266" s="1">
        <f>value(MYR!$B3266)</f>
        <v>3430.6</v>
      </c>
      <c r="I3266" s="1">
        <f>value(THB!$B3266)</f>
        <v>456.825</v>
      </c>
      <c r="J3266" s="1">
        <f>value(VND!$B3266)</f>
        <v>0</v>
      </c>
      <c r="K3266" s="1">
        <f>value(CNY!$B3266)</f>
        <v>1978.55</v>
      </c>
      <c r="L3266" s="1">
        <f>value(HKD!$B3266)</f>
        <v>1792.45</v>
      </c>
      <c r="M3266" s="1">
        <f>value(TWD!$B3266)</f>
        <v>461.4448</v>
      </c>
      <c r="N3266" s="1">
        <f>value(JPY!$B3266)</f>
        <v>131.95</v>
      </c>
      <c r="O3266" s="1">
        <f>value(SAR!$B3266)</f>
        <v>3712.217951</v>
      </c>
      <c r="P3266" s="1">
        <f>value(AED!$B3266)</f>
        <v>3985.731033</v>
      </c>
      <c r="Q3266" s="1">
        <f>value(KWD!$B3266)</f>
        <v>50914.91518</v>
      </c>
    </row>
    <row r="3267">
      <c r="A3267" s="4">
        <f>value(USD!A3267)</f>
        <v>43632.99861</v>
      </c>
      <c r="B3267" s="1">
        <f>value(USD!B3267)</f>
        <v>14325</v>
      </c>
      <c r="C3267" s="1">
        <f>value(AUD!$B3267)</f>
        <v>9582.25</v>
      </c>
      <c r="D3267" s="1">
        <f>value(EUR!$B3267)</f>
        <v>16077</v>
      </c>
      <c r="E3267" s="1">
        <f>value(GBP!$B3267)</f>
        <v>18040</v>
      </c>
      <c r="F3267" s="1">
        <f>value(CHF!$B3267)</f>
        <v>14613.7</v>
      </c>
      <c r="G3267" s="1">
        <f>value(SGD!$B3267)</f>
        <v>10279.2</v>
      </c>
      <c r="H3267" s="1">
        <f>value(MYR!$B3267)</f>
        <v>3445.7</v>
      </c>
      <c r="I3267" s="1">
        <f>value(THB!$B3267)</f>
        <v>459.565</v>
      </c>
      <c r="J3267" s="1">
        <f>value(VND!$B3267)</f>
        <v>0</v>
      </c>
      <c r="K3267" s="1">
        <f>value(CNY!$B3267)</f>
        <v>1984.05</v>
      </c>
      <c r="L3267" s="1">
        <f>value(HKD!$B3267)</f>
        <v>1808.95</v>
      </c>
      <c r="M3267" s="1">
        <f>value(TWD!$B3267)</f>
        <v>462.1029</v>
      </c>
      <c r="N3267" s="1">
        <f>value(JPY!$B3267)</f>
        <v>132.22</v>
      </c>
      <c r="O3267" s="1">
        <f>value(SAR!$B3267)</f>
        <v>3697.619235</v>
      </c>
      <c r="P3267" s="1">
        <f>value(AED!$B3267)</f>
        <v>4050.205905</v>
      </c>
      <c r="Q3267" s="1">
        <f>value(KWD!$B3267)</f>
        <v>50887.52071</v>
      </c>
    </row>
    <row r="3268">
      <c r="A3268" s="4">
        <f>value(USD!A3268)</f>
        <v>43633.99861</v>
      </c>
      <c r="B3268" s="1">
        <f>value(USD!B3268)</f>
        <v>14416.5</v>
      </c>
      <c r="C3268" s="1">
        <f>value(AUD!$B3268)</f>
        <v>9580.5</v>
      </c>
      <c r="D3268" s="1">
        <f>value(EUR!$B3268)</f>
        <v>16027</v>
      </c>
      <c r="E3268" s="1">
        <f>value(GBP!$B3268)</f>
        <v>18045.35</v>
      </c>
      <c r="F3268" s="1">
        <f>value(CHF!$B3268)</f>
        <v>14545.7</v>
      </c>
      <c r="G3268" s="1">
        <f>value(SGD!$B3268)</f>
        <v>10278.4</v>
      </c>
      <c r="H3268" s="1">
        <f>value(MYR!$B3268)</f>
        <v>3424</v>
      </c>
      <c r="I3268" s="1">
        <f>value(THB!$B3268)</f>
        <v>455.945</v>
      </c>
      <c r="J3268" s="1">
        <f>value(VND!$B3268)</f>
        <v>0</v>
      </c>
      <c r="K3268" s="1">
        <f>value(CNY!$B3268)</f>
        <v>1975.9</v>
      </c>
      <c r="L3268" s="1">
        <f>value(HKD!$B3268)</f>
        <v>1813.05</v>
      </c>
      <c r="M3268" s="1">
        <f>value(TWD!$B3268)</f>
        <v>461.8834</v>
      </c>
      <c r="N3268" s="1">
        <f>value(JPY!$B3268)</f>
        <v>131.94</v>
      </c>
      <c r="O3268" s="1">
        <f>value(SAR!$B3268)</f>
        <v>3706.59446</v>
      </c>
      <c r="P3268" s="1">
        <f>value(AED!$B3268)</f>
        <v>4139.442346</v>
      </c>
      <c r="Q3268" s="1">
        <f>value(KWD!$B3268)</f>
        <v>50887.52071</v>
      </c>
    </row>
    <row r="3269">
      <c r="A3269" s="4">
        <f>value(USD!A3269)</f>
        <v>43634.99861</v>
      </c>
      <c r="B3269" s="1">
        <f>value(USD!B3269)</f>
        <v>14292.5</v>
      </c>
      <c r="C3269" s="1">
        <f>value(AUD!$B3269)</f>
        <v>9577.95</v>
      </c>
      <c r="D3269" s="1">
        <f>value(EUR!$B3269)</f>
        <v>16005</v>
      </c>
      <c r="E3269" s="1">
        <f>value(GBP!$B3269)</f>
        <v>18008.45</v>
      </c>
      <c r="F3269" s="1">
        <f>value(CHF!$B3269)</f>
        <v>14545.7</v>
      </c>
      <c r="G3269" s="1">
        <f>value(SGD!$B3269)</f>
        <v>10301.8</v>
      </c>
      <c r="H3269" s="1">
        <f>value(MYR!$B3269)</f>
        <v>3416.85</v>
      </c>
      <c r="I3269" s="1">
        <f>value(THB!$B3269)</f>
        <v>459.005</v>
      </c>
      <c r="J3269" s="1">
        <f>value(VND!$B3269)</f>
        <v>0</v>
      </c>
      <c r="K3269" s="1">
        <f>value(CNY!$B3269)</f>
        <v>1979.45</v>
      </c>
      <c r="L3269" s="1">
        <f>value(HKD!$B3269)</f>
        <v>1831.4</v>
      </c>
      <c r="M3269" s="1">
        <f>value(TWD!$B3269)</f>
        <v>461.0618</v>
      </c>
      <c r="N3269" s="1">
        <f>value(JPY!$B3269)</f>
        <v>132.08</v>
      </c>
      <c r="O3269" s="1">
        <f>value(SAR!$B3269)</f>
        <v>3687.51972</v>
      </c>
      <c r="P3269" s="1">
        <f>value(AED!$B3269)</f>
        <v>4214.309256</v>
      </c>
      <c r="Q3269" s="1">
        <f>value(KWD!$B3269)</f>
        <v>52876.49666</v>
      </c>
    </row>
    <row r="3270">
      <c r="A3270" s="4">
        <f>value(USD!A3270)</f>
        <v>43635.99861</v>
      </c>
      <c r="B3270" s="1">
        <f>value(USD!B3270)</f>
        <v>14290.5</v>
      </c>
      <c r="C3270" s="1">
        <f>value(AUD!$B3270)</f>
        <v>9573.8</v>
      </c>
      <c r="D3270" s="1">
        <f>value(EUR!$B3270)</f>
        <v>16107</v>
      </c>
      <c r="E3270" s="1">
        <f>value(GBP!$B3270)</f>
        <v>19672.5</v>
      </c>
      <c r="F3270" s="1">
        <f>value(CHF!$B3270)</f>
        <v>14602.9</v>
      </c>
      <c r="G3270" s="1">
        <f>value(SGD!$B3270)</f>
        <v>10256.6</v>
      </c>
      <c r="H3270" s="1">
        <f>value(MYR!$B3270)</f>
        <v>3750</v>
      </c>
      <c r="I3270" s="1">
        <f>value(THB!$B3270)</f>
        <v>502.785</v>
      </c>
      <c r="J3270" s="1">
        <f>value(VND!$B3270)</f>
        <v>0</v>
      </c>
      <c r="K3270" s="1">
        <f>value(CNY!$B3270)</f>
        <v>1979.45</v>
      </c>
      <c r="L3270" s="1">
        <f>value(HKD!$B3270)</f>
        <v>1821.7</v>
      </c>
      <c r="M3270" s="1">
        <f>value(TWD!$B3270)</f>
        <v>461.0618</v>
      </c>
      <c r="N3270" s="1">
        <f>value(JPY!$B3270)</f>
        <v>143.895</v>
      </c>
      <c r="O3270" s="1">
        <f>value(SAR!$B3270)</f>
        <v>3667.22064</v>
      </c>
      <c r="P3270" s="1">
        <f>value(AED!$B3270)</f>
        <v>4332.734613</v>
      </c>
      <c r="Q3270" s="1">
        <f>value(KWD!$B3270)</f>
        <v>51911.87588</v>
      </c>
    </row>
    <row r="3271">
      <c r="A3271" s="4">
        <f>value(USD!A3271)</f>
        <v>43636.99861</v>
      </c>
      <c r="B3271" s="1">
        <f>value(USD!B3271)</f>
        <v>14145</v>
      </c>
      <c r="C3271" s="1">
        <f>value(AUD!$B3271)</f>
        <v>9602.3</v>
      </c>
      <c r="D3271" s="1">
        <f>value(EUR!$B3271)</f>
        <v>16107</v>
      </c>
      <c r="E3271" s="1">
        <f>value(GBP!$B3271)</f>
        <v>19672.5</v>
      </c>
      <c r="F3271" s="1">
        <f>value(CHF!$B3271)</f>
        <v>14675.7</v>
      </c>
      <c r="G3271" s="1">
        <f>value(SGD!$B3271)</f>
        <v>10076.8</v>
      </c>
      <c r="H3271" s="1">
        <f>value(MYR!$B3271)</f>
        <v>3750</v>
      </c>
      <c r="I3271" s="1">
        <f>value(THB!$B3271)</f>
        <v>502.785</v>
      </c>
      <c r="J3271" s="1">
        <f>value(VND!$B3271)</f>
        <v>0</v>
      </c>
      <c r="K3271" s="1">
        <f>value(CNY!$B3271)</f>
        <v>1980.95</v>
      </c>
      <c r="L3271" s="1">
        <f>value(HKD!$B3271)</f>
        <v>1826.3</v>
      </c>
      <c r="M3271" s="1">
        <f>value(TWD!$B3271)</f>
        <v>461.6607</v>
      </c>
      <c r="N3271" s="1">
        <f>value(JPY!$B3271)</f>
        <v>143.895</v>
      </c>
      <c r="O3271" s="1">
        <f>value(SAR!$B3271)</f>
        <v>3667.165886</v>
      </c>
      <c r="P3271" s="1">
        <f>value(AED!$B3271)</f>
        <v>4293.735356</v>
      </c>
      <c r="Q3271" s="1">
        <f>value(KWD!$B3271)</f>
        <v>52167.80944</v>
      </c>
    </row>
    <row r="3272">
      <c r="A3272" s="4">
        <f>value(USD!A3272)</f>
        <v>43637.99861</v>
      </c>
      <c r="B3272" s="1">
        <f>value(USD!B3272)</f>
        <v>14125</v>
      </c>
      <c r="C3272" s="1">
        <f>value(AUD!$B3272)</f>
        <v>9504.3</v>
      </c>
      <c r="D3272" s="1">
        <f>value(EUR!$B3272)</f>
        <v>16107</v>
      </c>
      <c r="E3272" s="1">
        <f>value(GBP!$B3272)</f>
        <v>19708.6</v>
      </c>
      <c r="F3272" s="1">
        <f>value(CHF!$B3272)</f>
        <v>14718.8</v>
      </c>
      <c r="G3272" s="1">
        <f>value(SGD!$B3272)</f>
        <v>10165.8</v>
      </c>
      <c r="H3272" s="1">
        <f>value(MYR!$B3272)</f>
        <v>3750</v>
      </c>
      <c r="I3272" s="1">
        <f>value(THB!$B3272)</f>
        <v>502.785</v>
      </c>
      <c r="J3272" s="1">
        <f>value(VND!$B3272)</f>
        <v>0</v>
      </c>
      <c r="K3272" s="1">
        <f>value(CNY!$B3272)</f>
        <v>1984.25</v>
      </c>
      <c r="L3272" s="1">
        <f>value(HKD!$B3272)</f>
        <v>1811.75</v>
      </c>
      <c r="M3272" s="1">
        <f>value(TWD!$B3272)</f>
        <v>461.9977</v>
      </c>
      <c r="N3272" s="1">
        <f>value(JPY!$B3272)</f>
        <v>144.03</v>
      </c>
      <c r="O3272" s="1">
        <f>value(SAR!$B3272)</f>
        <v>3659.284574</v>
      </c>
      <c r="P3272" s="1">
        <f>value(AED!$B3272)</f>
        <v>4293.735198</v>
      </c>
      <c r="Q3272" s="1">
        <f>value(KWD!$B3272)</f>
        <v>52463.89349</v>
      </c>
    </row>
    <row r="3273">
      <c r="A3273" s="4">
        <f>value(USD!A3273)</f>
        <v>43638.99861</v>
      </c>
      <c r="B3273" s="1">
        <f>value(USD!B3273)</f>
        <v>14125</v>
      </c>
      <c r="C3273" s="1">
        <f>value(AUD!$B3273)</f>
        <v>9488.8</v>
      </c>
      <c r="D3273" s="1">
        <f>value(EUR!$B3273)</f>
        <v>16103.5</v>
      </c>
      <c r="E3273" s="1">
        <f>value(GBP!$B3273)</f>
        <v>18071.55</v>
      </c>
      <c r="F3273" s="1">
        <f>value(CHF!$B3273)</f>
        <v>14681.25</v>
      </c>
      <c r="G3273" s="1">
        <f>value(SGD!$B3273)</f>
        <v>10137.2</v>
      </c>
      <c r="H3273" s="1">
        <f>value(MYR!$B3273)</f>
        <v>3730.3</v>
      </c>
      <c r="I3273" s="1">
        <f>value(THB!$B3273)</f>
        <v>503.735</v>
      </c>
      <c r="J3273" s="1">
        <f>value(VND!$B3273)</f>
        <v>0</v>
      </c>
      <c r="K3273" s="1">
        <f>value(CNY!$B3273)</f>
        <v>1983.45</v>
      </c>
      <c r="L3273" s="1">
        <f>value(HKD!$B3273)</f>
        <v>1811.75</v>
      </c>
      <c r="M3273" s="1">
        <f>value(TWD!$B3273)</f>
        <v>460.4408</v>
      </c>
      <c r="N3273" s="1">
        <f>value(JPY!$B3273)</f>
        <v>143.875</v>
      </c>
      <c r="O3273" s="1">
        <f>value(SAR!$B3273)</f>
        <v>3643.31734</v>
      </c>
      <c r="P3273" s="1">
        <f>value(AED!$B3273)</f>
        <v>4293.810899</v>
      </c>
      <c r="Q3273" s="1">
        <f>value(KWD!$B3273)</f>
        <v>51141.5596</v>
      </c>
    </row>
    <row r="3274">
      <c r="A3274" s="4">
        <f>value(USD!A3274)</f>
        <v>43639.99861</v>
      </c>
      <c r="B3274" s="1">
        <f>value(USD!B3274)</f>
        <v>14155</v>
      </c>
      <c r="C3274" s="1">
        <f>value(AUD!$B3274)</f>
        <v>9567.3</v>
      </c>
      <c r="D3274" s="1">
        <f>value(EUR!$B3274)</f>
        <v>16055</v>
      </c>
      <c r="E3274" s="1">
        <f>value(GBP!$B3274)</f>
        <v>17922.3</v>
      </c>
      <c r="F3274" s="1">
        <f>value(CHF!$B3274)</f>
        <v>14665.25</v>
      </c>
      <c r="G3274" s="1">
        <f>value(SGD!$B3274)</f>
        <v>10252.65</v>
      </c>
      <c r="H3274" s="1">
        <f>value(MYR!$B3274)</f>
        <v>3424.55</v>
      </c>
      <c r="I3274" s="1">
        <f>value(THB!$B3274)</f>
        <v>459.885</v>
      </c>
      <c r="J3274" s="1">
        <f>value(VND!$B3274)</f>
        <v>0</v>
      </c>
      <c r="K3274" s="1">
        <f>value(CNY!$B3274)</f>
        <v>1990.05</v>
      </c>
      <c r="L3274" s="1">
        <f>value(HKD!$B3274)</f>
        <v>1812.35</v>
      </c>
      <c r="M3274" s="1">
        <f>value(TWD!$B3274)</f>
        <v>460.4289</v>
      </c>
      <c r="N3274" s="1">
        <f>value(JPY!$B3274)</f>
        <v>131.78</v>
      </c>
      <c r="O3274" s="1">
        <f>value(SAR!$B3274)</f>
        <v>3645.039757</v>
      </c>
      <c r="P3274" s="1">
        <f>value(AED!$B3274)</f>
        <v>4494.803117</v>
      </c>
      <c r="Q3274" s="1">
        <f>value(KWD!$B3274)</f>
        <v>51141.5596</v>
      </c>
    </row>
    <row r="3275">
      <c r="A3275" s="4">
        <f>value(USD!A3275)</f>
        <v>43640.99861</v>
      </c>
      <c r="B3275" s="1">
        <f>value(USD!B3275)</f>
        <v>14186</v>
      </c>
      <c r="C3275" s="1">
        <f>value(AUD!$B3275)</f>
        <v>9561.55</v>
      </c>
      <c r="D3275" s="1">
        <f>value(EUR!$B3275)</f>
        <v>16115</v>
      </c>
      <c r="E3275" s="1">
        <f>value(GBP!$B3275)</f>
        <v>17984.5</v>
      </c>
      <c r="F3275" s="1">
        <f>value(CHF!$B3275)</f>
        <v>14521.8</v>
      </c>
      <c r="G3275" s="1">
        <f>value(SGD!$B3275)</f>
        <v>10262.2</v>
      </c>
      <c r="H3275" s="1">
        <f>value(MYR!$B3275)</f>
        <v>3420.85</v>
      </c>
      <c r="I3275" s="1">
        <f>value(THB!$B3275)</f>
        <v>460.81</v>
      </c>
      <c r="J3275" s="1">
        <f>value(VND!$B3275)</f>
        <v>0</v>
      </c>
      <c r="K3275" s="1">
        <f>value(CNY!$B3275)</f>
        <v>1993.35</v>
      </c>
      <c r="L3275" s="1">
        <f>value(HKD!$B3275)</f>
        <v>1818.6</v>
      </c>
      <c r="M3275" s="1">
        <f>value(TWD!$B3275)</f>
        <v>459.4137</v>
      </c>
      <c r="N3275" s="1">
        <f>value(JPY!$B3275)</f>
        <v>131.51</v>
      </c>
      <c r="O3275" s="1">
        <f>value(SAR!$B3275)</f>
        <v>3643.549179</v>
      </c>
      <c r="P3275" s="1">
        <f>value(AED!$B3275)</f>
        <v>4419.171511</v>
      </c>
      <c r="Q3275" s="1">
        <f>value(KWD!$B3275)</f>
        <v>51031.6376</v>
      </c>
    </row>
    <row r="3276">
      <c r="A3276" s="4">
        <f>value(USD!A3276)</f>
        <v>43641.99861</v>
      </c>
      <c r="B3276" s="1">
        <f>value(USD!B3276)</f>
        <v>14125</v>
      </c>
      <c r="C3276" s="1">
        <f>value(AUD!$B3276)</f>
        <v>9578.75</v>
      </c>
      <c r="D3276" s="1">
        <f>value(EUR!$B3276)</f>
        <v>16068</v>
      </c>
      <c r="E3276" s="1">
        <f>value(GBP!$B3276)</f>
        <v>17908.15</v>
      </c>
      <c r="F3276" s="1">
        <f>value(CHF!$B3276)</f>
        <v>14521.8</v>
      </c>
      <c r="G3276" s="1">
        <f>value(SGD!$B3276)</f>
        <v>10261.25</v>
      </c>
      <c r="H3276" s="1">
        <f>value(MYR!$B3276)</f>
        <v>3410.65</v>
      </c>
      <c r="I3276" s="1">
        <f>value(THB!$B3276)</f>
        <v>459.125</v>
      </c>
      <c r="J3276" s="1">
        <f>value(VND!$B3276)</f>
        <v>0</v>
      </c>
      <c r="K3276" s="1">
        <f>value(CNY!$B3276)</f>
        <v>1993.352</v>
      </c>
      <c r="L3276" s="1">
        <f>value(HKD!$B3276)</f>
        <v>1815.8</v>
      </c>
      <c r="M3276" s="1">
        <f>value(TWD!$B3276)</f>
        <v>459.4137</v>
      </c>
      <c r="N3276" s="1">
        <f>value(JPY!$B3276)</f>
        <v>131.14</v>
      </c>
      <c r="O3276" s="1">
        <f>value(SAR!$B3276)</f>
        <v>3633.546462</v>
      </c>
      <c r="P3276" s="1">
        <f>value(AED!$B3276)</f>
        <v>4480.577739</v>
      </c>
      <c r="Q3276" s="1">
        <f>value(KWD!$B3276)</f>
        <v>51957.47212</v>
      </c>
    </row>
    <row r="3277">
      <c r="A3277" s="4">
        <f>value(USD!A3277)</f>
        <v>43642.99861</v>
      </c>
      <c r="B3277" s="1">
        <f>value(USD!B3277)</f>
        <v>14218.5</v>
      </c>
      <c r="C3277" s="1">
        <f>value(AUD!$B3277)</f>
        <v>9564.5</v>
      </c>
      <c r="D3277" s="1">
        <f>value(EUR!$B3277)</f>
        <v>16052</v>
      </c>
      <c r="E3277" s="1">
        <f>value(GBP!$B3277)</f>
        <v>17890.2</v>
      </c>
      <c r="F3277" s="1">
        <f>value(CHF!$B3277)</f>
        <v>14514.9</v>
      </c>
      <c r="G3277" s="1">
        <f>value(SGD!$B3277)</f>
        <v>10259.75</v>
      </c>
      <c r="H3277" s="1">
        <f>value(MYR!$B3277)</f>
        <v>3415.8</v>
      </c>
      <c r="I3277" s="1">
        <f>value(THB!$B3277)</f>
        <v>460.1</v>
      </c>
      <c r="J3277" s="1">
        <f>value(VND!$B3277)</f>
        <v>0</v>
      </c>
      <c r="K3277" s="1">
        <f>value(CNY!$B3277)</f>
        <v>1997.531</v>
      </c>
      <c r="L3277" s="1">
        <f>value(HKD!$B3277)</f>
        <v>1817.35</v>
      </c>
      <c r="M3277" s="1">
        <f>value(TWD!$B3277)</f>
        <v>459.4137</v>
      </c>
      <c r="N3277" s="1">
        <f>value(JPY!$B3277)</f>
        <v>130.63</v>
      </c>
      <c r="O3277" s="1">
        <f>value(SAR!$B3277)</f>
        <v>3637.930902</v>
      </c>
      <c r="P3277" s="1">
        <f>value(AED!$B3277)</f>
        <v>4419.43081</v>
      </c>
      <c r="Q3277" s="1">
        <f>value(KWD!$B3277)</f>
        <v>52017.48688</v>
      </c>
    </row>
    <row r="3278">
      <c r="A3278" s="4">
        <f>value(USD!A3278)</f>
        <v>43643.99861</v>
      </c>
      <c r="B3278" s="1">
        <f>value(USD!B3278)</f>
        <v>14187.5</v>
      </c>
      <c r="C3278" s="1">
        <f>value(AUD!$B3278)</f>
        <v>9534.05</v>
      </c>
      <c r="D3278" s="1">
        <f>value(EUR!$B3278)</f>
        <v>16052</v>
      </c>
      <c r="E3278" s="1">
        <f>value(GBP!$B3278)</f>
        <v>17890.2</v>
      </c>
      <c r="F3278" s="1">
        <f>value(CHF!$B3278)</f>
        <v>14537.85</v>
      </c>
      <c r="G3278" s="1">
        <f>value(SGD!$B3278)</f>
        <v>10256.9</v>
      </c>
      <c r="H3278" s="1">
        <f>value(MYR!$B3278)</f>
        <v>3415.8</v>
      </c>
      <c r="I3278" s="1">
        <f>value(THB!$B3278)</f>
        <v>460.1</v>
      </c>
      <c r="J3278" s="1">
        <f>value(VND!$B3278)</f>
        <v>0</v>
      </c>
      <c r="K3278" s="1">
        <f>value(CNY!$B3278)</f>
        <v>2001.224</v>
      </c>
      <c r="L3278" s="1">
        <f>value(HKD!$B3278)</f>
        <v>1813.05</v>
      </c>
      <c r="M3278" s="1">
        <f>value(TWD!$B3278)</f>
        <v>460.4856</v>
      </c>
      <c r="N3278" s="1">
        <f>value(JPY!$B3278)</f>
        <v>130.63</v>
      </c>
      <c r="O3278" s="1">
        <f>value(SAR!$B3278)</f>
        <v>3637.930902</v>
      </c>
      <c r="P3278" s="1">
        <f>value(AED!$B3278)</f>
        <v>4361.546249</v>
      </c>
      <c r="Q3278" s="1">
        <f>value(KWD!$B3278)</f>
        <v>52454.92695</v>
      </c>
    </row>
    <row r="3279">
      <c r="A3279" s="4">
        <f>value(USD!A3279)</f>
        <v>43644.99861</v>
      </c>
      <c r="B3279" s="1">
        <f>value(USD!B3279)</f>
        <v>14124.55</v>
      </c>
      <c r="C3279" s="1">
        <f>value(AUD!$B3279)</f>
        <v>9536.15</v>
      </c>
      <c r="D3279" s="1">
        <f>value(EUR!$B3279)</f>
        <v>16052</v>
      </c>
      <c r="E3279" s="1">
        <f>value(GBP!$B3279)</f>
        <v>17934.2</v>
      </c>
      <c r="F3279" s="1">
        <f>value(CHF!$B3279)</f>
        <v>14559</v>
      </c>
      <c r="G3279" s="1">
        <f>value(SGD!$B3279)</f>
        <v>10256.9</v>
      </c>
      <c r="H3279" s="1">
        <f>value(MYR!$B3279)</f>
        <v>3415.8</v>
      </c>
      <c r="I3279" s="1">
        <f>value(THB!$B3279)</f>
        <v>460.1</v>
      </c>
      <c r="J3279" s="1">
        <f>value(VND!$B3279)</f>
        <v>0</v>
      </c>
      <c r="K3279" s="1">
        <f>value(CNY!$B3279)</f>
        <v>2000.154</v>
      </c>
      <c r="L3279" s="1">
        <f>value(HKD!$B3279)</f>
        <v>1782.15</v>
      </c>
      <c r="M3279" s="1">
        <f>value(TWD!$B3279)</f>
        <v>461.4296</v>
      </c>
      <c r="N3279" s="1">
        <f>value(JPY!$B3279)</f>
        <v>130.36</v>
      </c>
      <c r="O3279" s="1">
        <f>value(SAR!$B3279)</f>
        <v>3641.743993</v>
      </c>
      <c r="P3279" s="1">
        <f>value(AED!$B3279)</f>
        <v>4361.546249</v>
      </c>
      <c r="Q3279" s="1">
        <f>value(KWD!$B3279)</f>
        <v>52697.45637</v>
      </c>
    </row>
    <row r="3280">
      <c r="A3280" s="4">
        <f>value(USD!A3280)</f>
        <v>43645.99861</v>
      </c>
      <c r="B3280" s="1">
        <f>value(USD!B3280)</f>
        <v>14124.55</v>
      </c>
      <c r="C3280" s="1">
        <f>value(AUD!$B3280)</f>
        <v>9502.45</v>
      </c>
      <c r="D3280" s="1">
        <f>value(EUR!$B3280)</f>
        <v>15943</v>
      </c>
      <c r="E3280" s="1">
        <f>value(GBP!$B3280)</f>
        <v>17858.3</v>
      </c>
      <c r="F3280" s="1">
        <f>value(CHF!$B3280)</f>
        <v>14513.35</v>
      </c>
      <c r="G3280" s="1">
        <f>value(SGD!$B3280)</f>
        <v>10260.4</v>
      </c>
      <c r="H3280" s="1">
        <f>value(MYR!$B3280)</f>
        <v>3415.2</v>
      </c>
      <c r="I3280" s="1">
        <f>value(THB!$B3280)</f>
        <v>460.585</v>
      </c>
      <c r="J3280" s="1">
        <f>value(VND!$B3280)</f>
        <v>0</v>
      </c>
      <c r="K3280" s="1">
        <f>value(CNY!$B3280)</f>
        <v>1989.613</v>
      </c>
      <c r="L3280" s="1">
        <f>value(HKD!$B3280)</f>
        <v>1782.05</v>
      </c>
      <c r="M3280" s="1">
        <f>value(TWD!$B3280)</f>
        <v>461.4753</v>
      </c>
      <c r="N3280" s="1">
        <f>value(JPY!$B3280)</f>
        <v>130.34</v>
      </c>
      <c r="O3280" s="1">
        <f>value(SAR!$B3280)</f>
        <v>3630.668526</v>
      </c>
      <c r="P3280" s="1">
        <f>value(AED!$B3280)</f>
        <v>4358.782841</v>
      </c>
      <c r="Q3280" s="1">
        <f>value(KWD!$B3280)</f>
        <v>53499.30744</v>
      </c>
    </row>
    <row r="3281">
      <c r="A3281" s="4">
        <f>value(USD!A3281)</f>
        <v>43646.99861</v>
      </c>
      <c r="B3281" s="1">
        <f>value(USD!B3281)</f>
        <v>14128</v>
      </c>
      <c r="C3281" s="1">
        <f>value(AUD!$B3281)</f>
        <v>9575.15</v>
      </c>
      <c r="D3281" s="1">
        <f>value(EUR!$B3281)</f>
        <v>15974.2</v>
      </c>
      <c r="E3281" s="1">
        <f>value(GBP!$B3281)</f>
        <v>17823.45</v>
      </c>
      <c r="F3281" s="1">
        <f>value(CHF!$B3281)</f>
        <v>14450.25</v>
      </c>
      <c r="G3281" s="1">
        <f>value(SGD!$B3281)</f>
        <v>10202.05</v>
      </c>
      <c r="H3281" s="1">
        <f>value(MYR!$B3281)</f>
        <v>3416.05</v>
      </c>
      <c r="I3281" s="1">
        <f>value(THB!$B3281)</f>
        <v>461.775</v>
      </c>
      <c r="J3281" s="1">
        <f>value(VND!$B3281)</f>
        <v>0</v>
      </c>
      <c r="K3281" s="1">
        <f>value(CNY!$B3281)</f>
        <v>1998.781</v>
      </c>
      <c r="L3281" s="1">
        <f>value(HKD!$B3281)</f>
        <v>1797.7</v>
      </c>
      <c r="M3281" s="1">
        <f>value(TWD!$B3281)</f>
        <v>462.0576</v>
      </c>
      <c r="N3281" s="1">
        <f>value(JPY!$B3281)</f>
        <v>131.23</v>
      </c>
      <c r="O3281" s="1">
        <f>value(SAR!$B3281)</f>
        <v>3641.337426</v>
      </c>
      <c r="P3281" s="1">
        <f>value(AED!$B3281)</f>
        <v>4451.639116</v>
      </c>
      <c r="Q3281" s="1">
        <f>value(KWD!$B3281)</f>
        <v>52668.83599</v>
      </c>
    </row>
    <row r="3282">
      <c r="A3282" s="4">
        <f>value(USD!A3282)</f>
        <v>43647.99861</v>
      </c>
      <c r="B3282" s="1">
        <f>value(USD!B3282)</f>
        <v>14153</v>
      </c>
      <c r="C3282" s="1">
        <f>value(AUD!$B3282)</f>
        <v>9597.75</v>
      </c>
      <c r="D3282" s="1">
        <f>value(EUR!$B3282)</f>
        <v>15925</v>
      </c>
      <c r="E3282" s="1">
        <f>value(GBP!$B3282)</f>
        <v>17748.65</v>
      </c>
      <c r="F3282" s="1">
        <f>value(CHF!$B3282)</f>
        <v>14430.95</v>
      </c>
      <c r="G3282" s="1">
        <f>value(SGD!$B3282)</f>
        <v>10226.75</v>
      </c>
      <c r="H3282" s="1">
        <f>value(MYR!$B3282)</f>
        <v>3411.2</v>
      </c>
      <c r="I3282" s="1">
        <f>value(THB!$B3282)</f>
        <v>460.275</v>
      </c>
      <c r="J3282" s="1">
        <f>value(VND!$B3282)</f>
        <v>0</v>
      </c>
      <c r="K3282" s="1">
        <f>value(CNY!$B3282)</f>
        <v>1995.323</v>
      </c>
      <c r="L3282" s="1">
        <f>value(HKD!$B3282)</f>
        <v>1814.7</v>
      </c>
      <c r="M3282" s="1">
        <f>value(TWD!$B3282)</f>
        <v>462.5035</v>
      </c>
      <c r="N3282" s="1">
        <f>value(JPY!$B3282)</f>
        <v>130.9</v>
      </c>
      <c r="O3282" s="1">
        <f>value(SAR!$B3282)</f>
        <v>3633.741194</v>
      </c>
      <c r="P3282" s="1">
        <f>value(AED!$B3282)</f>
        <v>4432.369813</v>
      </c>
      <c r="Q3282" s="1">
        <f>value(KWD!$B3282)</f>
        <v>52813.50345</v>
      </c>
    </row>
    <row r="3283">
      <c r="A3283" s="4">
        <f>value(USD!A3283)</f>
        <v>43648.99861</v>
      </c>
      <c r="B3283" s="1">
        <f>value(USD!B3283)</f>
        <v>14199</v>
      </c>
      <c r="C3283" s="1">
        <f>value(AUD!$B3283)</f>
        <v>9597.926</v>
      </c>
      <c r="D3283" s="1">
        <f>value(EUR!$B3283)</f>
        <v>15958.2</v>
      </c>
      <c r="E3283" s="1">
        <f>value(GBP!$B3283)</f>
        <v>17789.6</v>
      </c>
      <c r="F3283" s="1">
        <f>value(CHF!$B3283)</f>
        <v>14468.2</v>
      </c>
      <c r="G3283" s="1">
        <f>value(SGD!$B3283)</f>
        <v>10219.8</v>
      </c>
      <c r="H3283" s="1">
        <f>value(MYR!$B3283)</f>
        <v>3424.65</v>
      </c>
      <c r="I3283" s="1">
        <f>value(THB!$B3283)</f>
        <v>461.205</v>
      </c>
      <c r="J3283" s="1">
        <f>value(VND!$B3283)</f>
        <v>0</v>
      </c>
      <c r="K3283" s="1">
        <f>value(CNY!$B3283)</f>
        <v>1995.323</v>
      </c>
      <c r="L3283" s="1">
        <f>value(HKD!$B3283)</f>
        <v>1816.8</v>
      </c>
      <c r="M3283" s="1">
        <f>value(TWD!$B3283)</f>
        <v>462.216</v>
      </c>
      <c r="N3283" s="1">
        <f>value(JPY!$B3283)</f>
        <v>131.17</v>
      </c>
      <c r="O3283" s="1">
        <f>value(SAR!$B3283)</f>
        <v>3629.366348</v>
      </c>
      <c r="P3283" s="1">
        <f>value(AED!$B3283)</f>
        <v>4469.748667</v>
      </c>
      <c r="Q3283" s="1">
        <f>value(KWD!$B3283)</f>
        <v>52468.06032</v>
      </c>
    </row>
    <row r="3284">
      <c r="A3284" s="4">
        <f>value(USD!A3284)</f>
        <v>43649.99861</v>
      </c>
      <c r="B3284" s="1">
        <f>value(USD!B3284)</f>
        <v>14182.5</v>
      </c>
      <c r="C3284" s="1">
        <f>value(AUD!$B3284)</f>
        <v>9607.179</v>
      </c>
      <c r="D3284" s="1">
        <f>value(EUR!$B3284)</f>
        <v>15797</v>
      </c>
      <c r="E3284" s="1">
        <f>value(GBP!$B3284)</f>
        <v>17598.15</v>
      </c>
      <c r="F3284" s="1">
        <f>value(CHF!$B3284)</f>
        <v>14492.15</v>
      </c>
      <c r="G3284" s="1">
        <f>value(SGD!$B3284)</f>
        <v>10218.55</v>
      </c>
      <c r="H3284" s="1">
        <f>value(MYR!$B3284)</f>
        <v>3401.8</v>
      </c>
      <c r="I3284" s="1">
        <f>value(THB!$B3284)</f>
        <v>456.895</v>
      </c>
      <c r="J3284" s="1">
        <f>value(VND!$B3284)</f>
        <v>0</v>
      </c>
      <c r="K3284" s="1">
        <f>value(CNY!$B3284)</f>
        <v>1995.323</v>
      </c>
      <c r="L3284" s="1">
        <f>value(HKD!$B3284)</f>
        <v>1816.3</v>
      </c>
      <c r="M3284" s="1">
        <f>value(TWD!$B3284)</f>
        <v>462.216</v>
      </c>
      <c r="N3284" s="1">
        <f>value(JPY!$B3284)</f>
        <v>129.67</v>
      </c>
      <c r="O3284" s="1">
        <f>value(SAR!$B3284)</f>
        <v>3627.6887</v>
      </c>
      <c r="P3284" s="1">
        <f>value(AED!$B3284)</f>
        <v>4478.535816</v>
      </c>
      <c r="Q3284" s="1">
        <f>value(KWD!$B3284)</f>
        <v>52202.46984</v>
      </c>
    </row>
    <row r="3285">
      <c r="A3285" s="4">
        <f>value(USD!A3285)</f>
        <v>43650.99861</v>
      </c>
      <c r="B3285" s="1">
        <f>value(USD!B3285)</f>
        <v>14173.5</v>
      </c>
      <c r="C3285" s="1">
        <f>value(AUD!$B3285)</f>
        <v>9582.845</v>
      </c>
      <c r="D3285" s="1">
        <f>value(EUR!$B3285)</f>
        <v>15797</v>
      </c>
      <c r="E3285" s="1">
        <f>value(GBP!$B3285)</f>
        <v>17598.15</v>
      </c>
      <c r="F3285" s="1">
        <f>value(CHF!$B3285)</f>
        <v>14539.6</v>
      </c>
      <c r="G3285" s="1">
        <f>value(SGD!$B3285)</f>
        <v>10114.45</v>
      </c>
      <c r="H3285" s="1">
        <f>value(MYR!$B3285)</f>
        <v>3401.8</v>
      </c>
      <c r="I3285" s="1">
        <f>value(THB!$B3285)</f>
        <v>456.895</v>
      </c>
      <c r="J3285" s="1">
        <f>value(VND!$B3285)</f>
        <v>0</v>
      </c>
      <c r="K3285" s="1">
        <f>value(CNY!$B3285)</f>
        <v>1988.492</v>
      </c>
      <c r="L3285" s="1">
        <f>value(HKD!$B3285)</f>
        <v>1815.05</v>
      </c>
      <c r="M3285" s="1">
        <f>value(TWD!$B3285)</f>
        <v>465.8466</v>
      </c>
      <c r="N3285" s="1">
        <f>value(JPY!$B3285)</f>
        <v>129.67</v>
      </c>
      <c r="O3285" s="1">
        <f>value(SAR!$B3285)</f>
        <v>3627.6887</v>
      </c>
      <c r="P3285" s="1">
        <f>value(AED!$B3285)</f>
        <v>4461.184307</v>
      </c>
      <c r="Q3285" s="1">
        <f>value(KWD!$B3285)</f>
        <v>52029.76966</v>
      </c>
    </row>
    <row r="3286">
      <c r="A3286" s="4">
        <f>value(USD!A3286)</f>
        <v>43651.99861</v>
      </c>
      <c r="B3286" s="1">
        <f>value(USD!B3286)</f>
        <v>14083</v>
      </c>
      <c r="C3286" s="1">
        <f>value(AUD!$B3286)</f>
        <v>9565.132</v>
      </c>
      <c r="D3286" s="1">
        <f>value(EUR!$B3286)</f>
        <v>15797</v>
      </c>
      <c r="E3286" s="1">
        <f>value(GBP!$B3286)</f>
        <v>17622.2</v>
      </c>
      <c r="F3286" s="1">
        <f>value(CHF!$B3286)</f>
        <v>14532.6</v>
      </c>
      <c r="G3286" s="1">
        <f>value(SGD!$B3286)</f>
        <v>10208</v>
      </c>
      <c r="H3286" s="1">
        <f>value(MYR!$B3286)</f>
        <v>3401.8</v>
      </c>
      <c r="I3286" s="1">
        <f>value(THB!$B3286)</f>
        <v>456.895</v>
      </c>
      <c r="J3286" s="1">
        <f>value(VND!$B3286)</f>
        <v>0</v>
      </c>
      <c r="K3286" s="1">
        <f>value(CNY!$B3286)</f>
        <v>1991.9</v>
      </c>
      <c r="L3286" s="1">
        <f>value(HKD!$B3286)</f>
        <v>1814.35</v>
      </c>
      <c r="M3286" s="1">
        <f>value(TWD!$B3286)</f>
        <v>462.3409</v>
      </c>
      <c r="N3286" s="1">
        <f>value(JPY!$B3286)</f>
        <v>129.715</v>
      </c>
      <c r="O3286" s="1">
        <f>value(SAR!$B3286)</f>
        <v>3656.175929</v>
      </c>
      <c r="P3286" s="1">
        <f>value(AED!$B3286)</f>
        <v>4461.184144</v>
      </c>
      <c r="Q3286" s="1">
        <f>value(KWD!$B3286)</f>
        <v>51011.72559</v>
      </c>
    </row>
    <row r="3287">
      <c r="A3287" s="4">
        <f>value(USD!A3287)</f>
        <v>43652.99861</v>
      </c>
      <c r="B3287" s="1">
        <f>value(USD!B3287)</f>
        <v>14083</v>
      </c>
      <c r="C3287" s="1">
        <f>value(AUD!$B3287)</f>
        <v>9534.557</v>
      </c>
      <c r="D3287" s="1">
        <f>value(EUR!$B3287)</f>
        <v>15866</v>
      </c>
      <c r="E3287" s="1">
        <f>value(GBP!$B3287)</f>
        <v>17758.7</v>
      </c>
      <c r="F3287" s="1">
        <f>value(CHF!$B3287)</f>
        <v>14515.4</v>
      </c>
      <c r="G3287" s="1">
        <f>value(SGD!$B3287)</f>
        <v>10212.6</v>
      </c>
      <c r="H3287" s="1">
        <f>value(MYR!$B3287)</f>
        <v>3724.95</v>
      </c>
      <c r="I3287" s="1">
        <f>value(THB!$B3287)</f>
        <v>501</v>
      </c>
      <c r="J3287" s="1">
        <f>value(VND!$B3287)</f>
        <v>0</v>
      </c>
      <c r="K3287" s="1">
        <f>value(CNY!$B3287)</f>
        <v>1980.851</v>
      </c>
      <c r="L3287" s="1">
        <f>value(HKD!$B3287)</f>
        <v>1814.35</v>
      </c>
      <c r="M3287" s="1">
        <f>value(TWD!$B3287)</f>
        <v>460.0499</v>
      </c>
      <c r="N3287" s="1">
        <f>value(JPY!$B3287)</f>
        <v>142.01</v>
      </c>
      <c r="O3287" s="1">
        <f>value(SAR!$B3287)</f>
        <v>3523.323506</v>
      </c>
      <c r="P3287" s="1">
        <f>value(AED!$B3287)</f>
        <v>4463.402897</v>
      </c>
      <c r="Q3287" s="1">
        <f>value(KWD!$B3287)</f>
        <v>50810.28806</v>
      </c>
    </row>
    <row r="3288">
      <c r="A3288" s="4">
        <f>value(USD!A3288)</f>
        <v>43653.99861</v>
      </c>
      <c r="B3288" s="1">
        <f>value(USD!B3288)</f>
        <v>14083</v>
      </c>
      <c r="C3288" s="1">
        <f>value(AUD!$B3288)</f>
        <v>9653.565</v>
      </c>
      <c r="D3288" s="1">
        <f>value(EUR!$B3288)</f>
        <v>15855</v>
      </c>
      <c r="E3288" s="1">
        <f>value(GBP!$B3288)</f>
        <v>17742.35</v>
      </c>
      <c r="F3288" s="1">
        <f>value(CHF!$B3288)</f>
        <v>14442.65</v>
      </c>
      <c r="G3288" s="1">
        <f>value(SGD!$B3288)</f>
        <v>10157.55</v>
      </c>
      <c r="H3288" s="1">
        <f>value(MYR!$B3288)</f>
        <v>3726.9</v>
      </c>
      <c r="I3288" s="1">
        <f>value(THB!$B3288)</f>
        <v>501.36</v>
      </c>
      <c r="J3288" s="1">
        <f>value(VND!$B3288)</f>
        <v>0</v>
      </c>
      <c r="K3288" s="1">
        <f>value(CNY!$B3288)</f>
        <v>1989.044</v>
      </c>
      <c r="L3288" s="1">
        <f>value(HKD!$B3288)</f>
        <v>1817.7</v>
      </c>
      <c r="M3288" s="1">
        <f>value(TWD!$B3288)</f>
        <v>459.0427</v>
      </c>
      <c r="N3288" s="1">
        <f>value(JPY!$B3288)</f>
        <v>141.97</v>
      </c>
      <c r="O3288" s="1">
        <f>value(SAR!$B3288)</f>
        <v>3635.082129</v>
      </c>
      <c r="P3288" s="1">
        <f>value(AED!$B3288)</f>
        <v>4456.408799</v>
      </c>
      <c r="Q3288" s="1">
        <f>value(KWD!$B3288)</f>
        <v>50621.28034</v>
      </c>
    </row>
    <row r="3289">
      <c r="A3289" s="4">
        <f>value(USD!A3289)</f>
        <v>43654.99861</v>
      </c>
      <c r="B3289" s="1">
        <f>value(USD!B3289)</f>
        <v>14191</v>
      </c>
      <c r="C3289" s="1">
        <f>value(AUD!$B3289)</f>
        <v>9690.843</v>
      </c>
      <c r="D3289" s="1">
        <f>value(EUR!$B3289)</f>
        <v>15897</v>
      </c>
      <c r="E3289" s="1">
        <f>value(GBP!$B3289)</f>
        <v>17656.45</v>
      </c>
      <c r="F3289" s="1">
        <f>value(CHF!$B3289)</f>
        <v>14381.65</v>
      </c>
      <c r="G3289" s="1">
        <f>value(SGD!$B3289)</f>
        <v>10181.55</v>
      </c>
      <c r="H3289" s="1">
        <f>value(MYR!$B3289)</f>
        <v>3419.5</v>
      </c>
      <c r="I3289" s="1">
        <f>value(THB!$B3289)</f>
        <v>459.965</v>
      </c>
      <c r="J3289" s="1">
        <f>value(VND!$B3289)</f>
        <v>0</v>
      </c>
      <c r="K3289" s="1">
        <f>value(CNY!$B3289)</f>
        <v>1985.974</v>
      </c>
      <c r="L3289" s="1">
        <f>value(HKD!$B3289)</f>
        <v>1810.15</v>
      </c>
      <c r="M3289" s="1">
        <f>value(TWD!$B3289)</f>
        <v>459.0965</v>
      </c>
      <c r="N3289" s="1">
        <f>value(JPY!$B3289)</f>
        <v>130.31</v>
      </c>
      <c r="O3289" s="1">
        <f>value(SAR!$B3289)</f>
        <v>3640.162428</v>
      </c>
      <c r="P3289" s="1">
        <f>value(AED!$B3289)</f>
        <v>4426.658172</v>
      </c>
      <c r="Q3289" s="1">
        <f>value(KWD!$B3289)</f>
        <v>50816.71893</v>
      </c>
    </row>
    <row r="3290">
      <c r="A3290" s="4">
        <f>value(USD!A3290)</f>
        <v>43655.99861</v>
      </c>
      <c r="B3290" s="1">
        <f>value(USD!B3290)</f>
        <v>14240</v>
      </c>
      <c r="C3290" s="1">
        <f>value(AUD!$B3290)</f>
        <v>9690.843</v>
      </c>
      <c r="D3290" s="1">
        <f>value(EUR!$B3290)</f>
        <v>15897</v>
      </c>
      <c r="E3290" s="1">
        <f>value(GBP!$B3290)</f>
        <v>17691</v>
      </c>
      <c r="F3290" s="1">
        <f>value(CHF!$B3290)</f>
        <v>14381.65</v>
      </c>
      <c r="G3290" s="1">
        <f>value(SGD!$B3290)</f>
        <v>10188.2</v>
      </c>
      <c r="H3290" s="1">
        <f>value(MYR!$B3290)</f>
        <v>3419.5</v>
      </c>
      <c r="I3290" s="1">
        <f>value(THB!$B3290)</f>
        <v>459.925</v>
      </c>
      <c r="J3290" s="1">
        <f>value(VND!$B3290)</f>
        <v>0</v>
      </c>
      <c r="K3290" s="1">
        <f>value(CNY!$B3290)</f>
        <v>1985.974</v>
      </c>
      <c r="L3290" s="1">
        <f>value(HKD!$B3290)</f>
        <v>1812.45</v>
      </c>
      <c r="M3290" s="1">
        <f>value(TWD!$B3290)</f>
        <v>459.0965</v>
      </c>
      <c r="N3290" s="1">
        <f>value(JPY!$B3290)</f>
        <v>130.11</v>
      </c>
      <c r="O3290" s="1">
        <f>value(SAR!$B3290)</f>
        <v>3637.553079</v>
      </c>
      <c r="P3290" s="1">
        <f>value(AED!$B3290)</f>
        <v>4411.799192</v>
      </c>
      <c r="Q3290" s="1">
        <f>value(KWD!$B3290)</f>
        <v>50477.91094</v>
      </c>
    </row>
    <row r="3291">
      <c r="A3291" s="4">
        <f>value(USD!A3291)</f>
        <v>43656.99861</v>
      </c>
      <c r="B3291" s="1">
        <f>value(USD!B3291)</f>
        <v>14165.5</v>
      </c>
      <c r="C3291" s="1">
        <f>value(AUD!$B3291)</f>
        <v>9688.894</v>
      </c>
      <c r="D3291" s="1">
        <f>value(EUR!$B3291)</f>
        <v>15785</v>
      </c>
      <c r="E3291" s="1">
        <f>value(GBP!$B3291)</f>
        <v>17545.75</v>
      </c>
      <c r="F3291" s="1">
        <f>value(CHF!$B3291)</f>
        <v>14410.7</v>
      </c>
      <c r="G3291" s="1">
        <f>value(SGD!$B3291)</f>
        <v>10141.65</v>
      </c>
      <c r="H3291" s="1">
        <f>value(MYR!$B3291)</f>
        <v>3395.4</v>
      </c>
      <c r="I3291" s="1">
        <f>value(THB!$B3291)</f>
        <v>452.705</v>
      </c>
      <c r="J3291" s="1">
        <f>value(VND!$B3291)</f>
        <v>0</v>
      </c>
      <c r="K3291" s="1">
        <f>value(CNY!$B3291)</f>
        <v>1985.974</v>
      </c>
      <c r="L3291" s="1">
        <f>value(HKD!$B3291)</f>
        <v>1803.85</v>
      </c>
      <c r="M3291" s="1">
        <f>value(TWD!$B3291)</f>
        <v>459.0965</v>
      </c>
      <c r="N3291" s="1">
        <f>value(JPY!$B3291)</f>
        <v>129.59</v>
      </c>
      <c r="O3291" s="1">
        <f>value(SAR!$B3291)</f>
        <v>3670.943964</v>
      </c>
      <c r="P3291" s="1">
        <f>value(AED!$B3291)</f>
        <v>4314.665214</v>
      </c>
      <c r="Q3291" s="1">
        <f>value(KWD!$B3291)</f>
        <v>50029.92892</v>
      </c>
    </row>
    <row r="3292">
      <c r="A3292" s="4">
        <f>value(USD!A3292)</f>
        <v>43657.99861</v>
      </c>
      <c r="B3292" s="1">
        <f>value(USD!B3292)</f>
        <v>14128</v>
      </c>
      <c r="C3292" s="1">
        <f>value(AUD!$B3292)</f>
        <v>9665.883</v>
      </c>
      <c r="D3292" s="1">
        <f>value(EUR!$B3292)</f>
        <v>15785</v>
      </c>
      <c r="E3292" s="1">
        <f>value(GBP!$B3292)</f>
        <v>17545.75</v>
      </c>
      <c r="F3292" s="1">
        <f>value(CHF!$B3292)</f>
        <v>14331.15</v>
      </c>
      <c r="G3292" s="1">
        <f>value(SGD!$B3292)</f>
        <v>10165</v>
      </c>
      <c r="H3292" s="1">
        <f>value(MYR!$B3292)</f>
        <v>3395.4</v>
      </c>
      <c r="I3292" s="1">
        <f>value(THB!$B3292)</f>
        <v>452.705</v>
      </c>
      <c r="J3292" s="1">
        <f>value(VND!$B3292)</f>
        <v>0</v>
      </c>
      <c r="K3292" s="1">
        <f>value(CNY!$B3292)</f>
        <v>1984.294</v>
      </c>
      <c r="L3292" s="1">
        <f>value(HKD!$B3292)</f>
        <v>1805.7</v>
      </c>
      <c r="M3292" s="1">
        <f>value(TWD!$B3292)</f>
        <v>458.9411</v>
      </c>
      <c r="N3292" s="1">
        <f>value(JPY!$B3292)</f>
        <v>129.59</v>
      </c>
      <c r="O3292" s="1">
        <f>value(SAR!$B3292)</f>
        <v>3670.943964</v>
      </c>
      <c r="P3292" s="1">
        <f>value(AED!$B3292)</f>
        <v>4302.205272</v>
      </c>
      <c r="Q3292" s="1">
        <f>value(KWD!$B3292)</f>
        <v>51071.82412</v>
      </c>
    </row>
    <row r="3293">
      <c r="A3293" s="4">
        <f>value(USD!A3293)</f>
        <v>43658.99861</v>
      </c>
      <c r="B3293" s="1">
        <f>value(USD!B3293)</f>
        <v>13980.55</v>
      </c>
      <c r="C3293" s="1">
        <f>value(AUD!$B3293)</f>
        <v>9672.288</v>
      </c>
      <c r="D3293" s="1">
        <f>value(EUR!$B3293)</f>
        <v>15785</v>
      </c>
      <c r="E3293" s="1">
        <f>value(GBP!$B3293)</f>
        <v>17605.1</v>
      </c>
      <c r="F3293" s="1">
        <f>value(CHF!$B3293)</f>
        <v>14409.15</v>
      </c>
      <c r="G3293" s="1">
        <f>value(SGD!$B3293)</f>
        <v>10090.05</v>
      </c>
      <c r="H3293" s="1">
        <f>value(MYR!$B3293)</f>
        <v>3395.4</v>
      </c>
      <c r="I3293" s="1">
        <f>value(THB!$B3293)</f>
        <v>452.705</v>
      </c>
      <c r="J3293" s="1">
        <f>value(VND!$B3293)</f>
        <v>0</v>
      </c>
      <c r="K3293" s="1">
        <f>value(CNY!$B3293)</f>
        <v>1982.325</v>
      </c>
      <c r="L3293" s="1">
        <f>value(HKD!$B3293)</f>
        <v>1782.05</v>
      </c>
      <c r="M3293" s="1">
        <f>value(TWD!$B3293)</f>
        <v>460.355</v>
      </c>
      <c r="N3293" s="1">
        <f>value(JPY!$B3293)</f>
        <v>129.88</v>
      </c>
      <c r="O3293" s="1">
        <f>value(SAR!$B3293)</f>
        <v>3634.956444</v>
      </c>
      <c r="P3293" s="1">
        <f>value(AED!$B3293)</f>
        <v>4302.205114</v>
      </c>
      <c r="Q3293" s="1">
        <f>value(KWD!$B3293)</f>
        <v>50021.86824</v>
      </c>
    </row>
    <row r="3294">
      <c r="A3294" s="4">
        <f>value(USD!A3294)</f>
        <v>43659.99861</v>
      </c>
      <c r="B3294" s="1">
        <f>value(USD!B3294)</f>
        <v>13980.55</v>
      </c>
      <c r="C3294" s="1">
        <f>value(AUD!$B3294)</f>
        <v>9584.427</v>
      </c>
      <c r="D3294" s="1">
        <f>value(EUR!$B3294)</f>
        <v>15665</v>
      </c>
      <c r="E3294" s="1">
        <f>value(GBP!$B3294)</f>
        <v>17412.15</v>
      </c>
      <c r="F3294" s="1">
        <f>value(CHF!$B3294)</f>
        <v>14422.3</v>
      </c>
      <c r="G3294" s="1">
        <f>value(SGD!$B3294)</f>
        <v>10153.1</v>
      </c>
      <c r="H3294" s="1">
        <f>value(MYR!$B3294)</f>
        <v>3390.9</v>
      </c>
      <c r="I3294" s="1">
        <f>value(THB!$B3294)</f>
        <v>450.315</v>
      </c>
      <c r="J3294" s="1">
        <f>value(VND!$B3294)</f>
        <v>0</v>
      </c>
      <c r="K3294" s="1">
        <f>value(CNY!$B3294)</f>
        <v>1982.868</v>
      </c>
      <c r="L3294" s="1">
        <f>value(HKD!$B3294)</f>
        <v>1781.45</v>
      </c>
      <c r="M3294" s="1">
        <f>value(TWD!$B3294)</f>
        <v>460.9598</v>
      </c>
      <c r="N3294" s="1">
        <f>value(JPY!$B3294)</f>
        <v>128.925</v>
      </c>
      <c r="O3294" s="1">
        <f>value(SAR!$B3294)</f>
        <v>3661.624034</v>
      </c>
      <c r="P3294" s="1">
        <f>value(AED!$B3294)</f>
        <v>4302.697</v>
      </c>
      <c r="Q3294" s="1">
        <f>value(KWD!$B3294)</f>
        <v>49534.10734</v>
      </c>
    </row>
    <row r="3295">
      <c r="A3295" s="4">
        <f>value(USD!A3295)</f>
        <v>43660.99861</v>
      </c>
      <c r="B3295" s="1">
        <f>value(USD!B3295)</f>
        <v>14007</v>
      </c>
      <c r="C3295" s="1">
        <f>value(AUD!$B3295)</f>
        <v>9583.584</v>
      </c>
      <c r="D3295" s="1">
        <f>value(EUR!$B3295)</f>
        <v>15639.7</v>
      </c>
      <c r="E3295" s="1">
        <f>value(GBP!$B3295)</f>
        <v>17311.65</v>
      </c>
      <c r="F3295" s="1">
        <f>value(CHF!$B3295)</f>
        <v>14350</v>
      </c>
      <c r="G3295" s="1">
        <f>value(SGD!$B3295)</f>
        <v>10206.4</v>
      </c>
      <c r="H3295" s="1">
        <f>value(MYR!$B3295)</f>
        <v>3394.5</v>
      </c>
      <c r="I3295" s="1">
        <f>value(THB!$B3295)</f>
        <v>451.065</v>
      </c>
      <c r="J3295" s="1">
        <f>value(VND!$B3295)</f>
        <v>0</v>
      </c>
      <c r="K3295" s="1">
        <f>value(CNY!$B3295)</f>
        <v>1992.156</v>
      </c>
      <c r="L3295" s="1">
        <f>value(HKD!$B3295)</f>
        <v>1799.25</v>
      </c>
      <c r="M3295" s="1">
        <f>value(TWD!$B3295)</f>
        <v>461.4305</v>
      </c>
      <c r="N3295" s="1">
        <f>value(JPY!$B3295)</f>
        <v>128.905</v>
      </c>
      <c r="O3295" s="1">
        <f>value(SAR!$B3295)</f>
        <v>3653.560123</v>
      </c>
      <c r="P3295" s="1">
        <f>value(AED!$B3295)</f>
        <v>4317.315377</v>
      </c>
      <c r="Q3295" s="1">
        <f>value(KWD!$B3295)</f>
        <v>49818.85854</v>
      </c>
    </row>
    <row r="3296">
      <c r="A3296" s="4">
        <f>value(USD!A3296)</f>
        <v>43661.99861</v>
      </c>
      <c r="B3296" s="1">
        <f>value(USD!B3296)</f>
        <v>13987.5</v>
      </c>
      <c r="C3296" s="1">
        <f>value(AUD!$B3296)</f>
        <v>9572.686</v>
      </c>
      <c r="D3296" s="1">
        <f>value(EUR!$B3296)</f>
        <v>15687</v>
      </c>
      <c r="E3296" s="1">
        <f>value(GBP!$B3296)</f>
        <v>17371.15</v>
      </c>
      <c r="F3296" s="1">
        <f>value(CHF!$B3296)</f>
        <v>14236.8</v>
      </c>
      <c r="G3296" s="1">
        <f>value(SGD!$B3296)</f>
        <v>10152.45</v>
      </c>
      <c r="H3296" s="1">
        <f>value(MYR!$B3296)</f>
        <v>3395.4</v>
      </c>
      <c r="I3296" s="1">
        <f>value(THB!$B3296)</f>
        <v>452.045</v>
      </c>
      <c r="J3296" s="1">
        <f>value(VND!$B3296)</f>
        <v>0</v>
      </c>
      <c r="K3296" s="1">
        <f>value(CNY!$B3296)</f>
        <v>1992.256</v>
      </c>
      <c r="L3296" s="1">
        <f>value(HKD!$B3296)</f>
        <v>1789</v>
      </c>
      <c r="M3296" s="1">
        <f>value(TWD!$B3296)</f>
        <v>460.2938</v>
      </c>
      <c r="N3296" s="1">
        <f>value(JPY!$B3296)</f>
        <v>129.44</v>
      </c>
      <c r="O3296" s="1">
        <f>value(SAR!$B3296)</f>
        <v>3644.289022</v>
      </c>
      <c r="P3296" s="1">
        <f>value(AED!$B3296)</f>
        <v>4242.322978</v>
      </c>
      <c r="Q3296" s="1">
        <f>value(KWD!$B3296)</f>
        <v>49494.78014</v>
      </c>
    </row>
    <row r="3297">
      <c r="A3297" s="4">
        <f>value(USD!A3297)</f>
        <v>43662.99861</v>
      </c>
      <c r="B3297" s="1">
        <f>value(USD!B3297)</f>
        <v>14012.5</v>
      </c>
      <c r="C3297" s="1">
        <f>value(AUD!$B3297)</f>
        <v>9572.216</v>
      </c>
      <c r="D3297" s="1">
        <f>value(EUR!$B3297)</f>
        <v>15670</v>
      </c>
      <c r="E3297" s="1">
        <f>value(GBP!$B3297)</f>
        <v>17451.85</v>
      </c>
      <c r="F3297" s="1">
        <f>value(CHF!$B3297)</f>
        <v>14277.3</v>
      </c>
      <c r="G3297" s="1">
        <f>value(SGD!$B3297)</f>
        <v>10275.7</v>
      </c>
      <c r="H3297" s="1">
        <f>value(MYR!$B3297)</f>
        <v>3394</v>
      </c>
      <c r="I3297" s="1">
        <f>value(THB!$B3297)</f>
        <v>451.82</v>
      </c>
      <c r="J3297" s="1">
        <f>value(VND!$B3297)</f>
        <v>0</v>
      </c>
      <c r="K3297" s="1">
        <f>value(CNY!$B3297)</f>
        <v>1992.256</v>
      </c>
      <c r="L3297" s="1">
        <f>value(HKD!$B3297)</f>
        <v>1791</v>
      </c>
      <c r="M3297" s="1">
        <f>value(TWD!$B3297)</f>
        <v>460.2938</v>
      </c>
      <c r="N3297" s="1">
        <f>value(JPY!$B3297)</f>
        <v>129.555</v>
      </c>
      <c r="O3297" s="1">
        <f>value(SAR!$B3297)</f>
        <v>3652.686011</v>
      </c>
      <c r="P3297" s="1">
        <f>value(AED!$B3297)</f>
        <v>4330.692796</v>
      </c>
      <c r="Q3297" s="1">
        <f>value(KWD!$B3297)</f>
        <v>49382.71175</v>
      </c>
    </row>
    <row r="3298">
      <c r="A3298" s="4">
        <f>value(USD!A3298)</f>
        <v>43663.99861</v>
      </c>
      <c r="B3298" s="1">
        <f>value(USD!B3298)</f>
        <v>14027</v>
      </c>
      <c r="C3298" s="1">
        <f>value(AUD!$B3298)</f>
        <v>9570.329</v>
      </c>
      <c r="D3298" s="1">
        <f>value(EUR!$B3298)</f>
        <v>15637</v>
      </c>
      <c r="E3298" s="1">
        <f>value(GBP!$B3298)</f>
        <v>17390.85</v>
      </c>
      <c r="F3298" s="1">
        <f>value(CHF!$B3298)</f>
        <v>14272.1</v>
      </c>
      <c r="G3298" s="1">
        <f>value(SGD!$B3298)</f>
        <v>10244</v>
      </c>
      <c r="H3298" s="1">
        <f>value(MYR!$B3298)</f>
        <v>3388.5</v>
      </c>
      <c r="I3298" s="1">
        <f>value(THB!$B3298)</f>
        <v>452.025</v>
      </c>
      <c r="J3298" s="1">
        <f>value(VND!$B3298)</f>
        <v>0</v>
      </c>
      <c r="K3298" s="1">
        <f>value(CNY!$B3298)</f>
        <v>1992.256</v>
      </c>
      <c r="L3298" s="1">
        <f>value(HKD!$B3298)</f>
        <v>1790.55</v>
      </c>
      <c r="M3298" s="1">
        <f>value(TWD!$B3298)</f>
        <v>460.2938</v>
      </c>
      <c r="N3298" s="1">
        <f>value(JPY!$B3298)</f>
        <v>129.225</v>
      </c>
      <c r="O3298" s="1">
        <f>value(SAR!$B3298)</f>
        <v>3647.031845</v>
      </c>
      <c r="P3298" s="1">
        <f>value(AED!$B3298)</f>
        <v>4241.993565</v>
      </c>
      <c r="Q3298" s="1">
        <f>value(KWD!$B3298)</f>
        <v>49447.31576</v>
      </c>
    </row>
    <row r="3299">
      <c r="A3299" s="4">
        <f>value(USD!A3299)</f>
        <v>43664.99861</v>
      </c>
      <c r="B3299" s="1">
        <f>value(USD!B3299)</f>
        <v>13974</v>
      </c>
      <c r="C3299" s="1">
        <f>value(AUD!$B3299)</f>
        <v>9591.299</v>
      </c>
      <c r="D3299" s="1">
        <f>value(EUR!$B3299)</f>
        <v>15660.7</v>
      </c>
      <c r="E3299" s="1">
        <f>value(GBP!$B3299)</f>
        <v>17453.15</v>
      </c>
      <c r="F3299" s="1">
        <f>value(CHF!$B3299)</f>
        <v>14133.85</v>
      </c>
      <c r="G3299" s="1">
        <f>value(SGD!$B3299)</f>
        <v>10203.1</v>
      </c>
      <c r="H3299" s="1">
        <f>value(MYR!$B3299)</f>
        <v>3387.65</v>
      </c>
      <c r="I3299" s="1">
        <f>value(THB!$B3299)</f>
        <v>452.69</v>
      </c>
      <c r="J3299" s="1">
        <f>value(VND!$B3299)</f>
        <v>0</v>
      </c>
      <c r="K3299" s="1">
        <f>value(CNY!$B3299)</f>
        <v>2000.18</v>
      </c>
      <c r="L3299" s="1">
        <f>value(HKD!$B3299)</f>
        <v>1782.65</v>
      </c>
      <c r="M3299" s="1">
        <f>value(TWD!$B3299)</f>
        <v>464.6102</v>
      </c>
      <c r="N3299" s="1">
        <f>value(JPY!$B3299)</f>
        <v>129.41</v>
      </c>
      <c r="O3299" s="1">
        <f>value(SAR!$B3299)</f>
        <v>3647.031845</v>
      </c>
      <c r="P3299" s="1">
        <f>value(AED!$B3299)</f>
        <v>4205.423327</v>
      </c>
      <c r="Q3299" s="1">
        <f>value(KWD!$B3299)</f>
        <v>49408.46635</v>
      </c>
    </row>
    <row r="3300">
      <c r="A3300" s="4">
        <f>value(USD!A3300)</f>
        <v>43665.99861</v>
      </c>
      <c r="B3300" s="1">
        <f>value(USD!B3300)</f>
        <v>13920</v>
      </c>
      <c r="C3300" s="1">
        <f>value(AUD!$B3300)</f>
        <v>9603.923</v>
      </c>
      <c r="D3300" s="1">
        <f>value(EUR!$B3300)</f>
        <v>15660.7</v>
      </c>
      <c r="E3300" s="1">
        <f>value(GBP!$B3300)</f>
        <v>17467.75</v>
      </c>
      <c r="F3300" s="1">
        <f>value(CHF!$B3300)</f>
        <v>14166.8</v>
      </c>
      <c r="G3300" s="1">
        <f>value(SGD!$B3300)</f>
        <v>10203.1</v>
      </c>
      <c r="H3300" s="1">
        <f>value(MYR!$B3300)</f>
        <v>3387.65</v>
      </c>
      <c r="I3300" s="1">
        <f>value(THB!$B3300)</f>
        <v>452.69</v>
      </c>
      <c r="J3300" s="1">
        <f>value(VND!$B3300)</f>
        <v>0</v>
      </c>
      <c r="K3300" s="1">
        <f>value(CNY!$B3300)</f>
        <v>2004.071</v>
      </c>
      <c r="L3300" s="1">
        <f>value(HKD!$B3300)</f>
        <v>1771.9</v>
      </c>
      <c r="M3300" s="1">
        <f>value(TWD!$B3300)</f>
        <v>463.756</v>
      </c>
      <c r="N3300" s="1">
        <f>value(JPY!$B3300)</f>
        <v>129.49</v>
      </c>
      <c r="O3300" s="1">
        <f>value(SAR!$B3300)</f>
        <v>3646.847701</v>
      </c>
      <c r="P3300" s="1">
        <f>value(AED!$B3300)</f>
        <v>4204.671882</v>
      </c>
      <c r="Q3300" s="1">
        <f>value(KWD!$B3300)</f>
        <v>49362.60548</v>
      </c>
    </row>
    <row r="3301">
      <c r="A3301" s="4">
        <f>value(USD!A3301)</f>
        <v>43666.99861</v>
      </c>
      <c r="B3301" s="1">
        <f>value(USD!B3301)</f>
        <v>13920</v>
      </c>
      <c r="C3301" s="1">
        <f>value(AUD!$B3301)</f>
        <v>9649.925</v>
      </c>
      <c r="D3301" s="1">
        <f>value(EUR!$B3301)</f>
        <v>15625</v>
      </c>
      <c r="E3301" s="1">
        <f>value(GBP!$B3301)</f>
        <v>17392.05</v>
      </c>
      <c r="F3301" s="1">
        <f>value(CHF!$B3301)</f>
        <v>14126.2</v>
      </c>
      <c r="G3301" s="1">
        <f>value(SGD!$B3301)</f>
        <v>10199.1</v>
      </c>
      <c r="H3301" s="1">
        <f>value(MYR!$B3301)</f>
        <v>3386.65</v>
      </c>
      <c r="I3301" s="1">
        <f>value(THB!$B3301)</f>
        <v>451.875</v>
      </c>
      <c r="J3301" s="1">
        <f>value(VND!$B3301)</f>
        <v>0</v>
      </c>
      <c r="K3301" s="1">
        <f>value(CNY!$B3301)</f>
        <v>2002.427</v>
      </c>
      <c r="L3301" s="1">
        <f>value(HKD!$B3301)</f>
        <v>1771.9</v>
      </c>
      <c r="M3301" s="1">
        <f>value(TWD!$B3301)</f>
        <v>462.814</v>
      </c>
      <c r="N3301" s="1">
        <f>value(JPY!$B3301)</f>
        <v>129.22</v>
      </c>
      <c r="O3301" s="1">
        <f>value(SAR!$B3301)</f>
        <v>3654.146105</v>
      </c>
      <c r="P3301" s="1">
        <f>value(AED!$B3301)</f>
        <v>4200.759791</v>
      </c>
      <c r="Q3301" s="1">
        <f>value(KWD!$B3301)</f>
        <v>50118.6993</v>
      </c>
    </row>
    <row r="3302">
      <c r="A3302" s="4">
        <f>value(USD!A3302)</f>
        <v>43667.99861</v>
      </c>
      <c r="B3302" s="1">
        <f>value(USD!B3302)</f>
        <v>13948</v>
      </c>
      <c r="C3302" s="1">
        <f>value(AUD!$B3302)</f>
        <v>9666.357</v>
      </c>
      <c r="D3302" s="1">
        <f>value(EUR!$B3302)</f>
        <v>15635.9</v>
      </c>
      <c r="E3302" s="1">
        <f>value(GBP!$B3302)</f>
        <v>17436.2</v>
      </c>
      <c r="F3302" s="1">
        <f>value(CHF!$B3302)</f>
        <v>14081.2</v>
      </c>
      <c r="G3302" s="1">
        <f>value(SGD!$B3302)</f>
        <v>10226.5</v>
      </c>
      <c r="H3302" s="1">
        <f>value(MYR!$B3302)</f>
        <v>3406.4</v>
      </c>
      <c r="I3302" s="1">
        <f>value(THB!$B3302)</f>
        <v>453.675</v>
      </c>
      <c r="J3302" s="1">
        <f>value(VND!$B3302)</f>
        <v>0</v>
      </c>
      <c r="K3302" s="1">
        <f>value(CNY!$B3302)</f>
        <v>2003.138</v>
      </c>
      <c r="L3302" s="1">
        <f>value(HKD!$B3302)</f>
        <v>1782.55</v>
      </c>
      <c r="M3302" s="1">
        <f>value(TWD!$B3302)</f>
        <v>463.1918</v>
      </c>
      <c r="N3302" s="1">
        <f>value(JPY!$B3302)</f>
        <v>129.545</v>
      </c>
      <c r="O3302" s="1">
        <f>value(SAR!$B3302)</f>
        <v>3642.323584</v>
      </c>
      <c r="P3302" s="1">
        <f>value(AED!$B3302)</f>
        <v>4187.650782</v>
      </c>
      <c r="Q3302" s="1">
        <f>value(KWD!$B3302)</f>
        <v>50038.96157</v>
      </c>
    </row>
    <row r="3303">
      <c r="A3303" s="4">
        <f>value(USD!A3303)</f>
        <v>43668.99861</v>
      </c>
      <c r="B3303" s="1">
        <f>value(USD!B3303)</f>
        <v>14001</v>
      </c>
      <c r="C3303" s="1">
        <f>value(AUD!$B3303)</f>
        <v>9664.642</v>
      </c>
      <c r="D3303" s="1">
        <f>value(EUR!$B3303)</f>
        <v>15595</v>
      </c>
      <c r="E3303" s="1">
        <f>value(GBP!$B3303)</f>
        <v>17517.3</v>
      </c>
      <c r="F3303" s="1">
        <f>value(CHF!$B3303)</f>
        <v>14059.05</v>
      </c>
      <c r="G3303" s="1">
        <f>value(SGD!$B3303)</f>
        <v>10310.9</v>
      </c>
      <c r="H3303" s="1">
        <f>value(MYR!$B3303)</f>
        <v>3400.5</v>
      </c>
      <c r="I3303" s="1">
        <f>value(THB!$B3303)</f>
        <v>452.765</v>
      </c>
      <c r="J3303" s="1">
        <f>value(VND!$B3303)</f>
        <v>0</v>
      </c>
      <c r="K3303" s="1">
        <f>value(CNY!$B3303)</f>
        <v>2003.684</v>
      </c>
      <c r="L3303" s="1">
        <f>value(HKD!$B3303)</f>
        <v>1795.7</v>
      </c>
      <c r="M3303" s="1">
        <f>value(TWD!$B3303)</f>
        <v>461.9193</v>
      </c>
      <c r="N3303" s="1">
        <f>value(JPY!$B3303)</f>
        <v>129.355</v>
      </c>
      <c r="O3303" s="1">
        <f>value(SAR!$B3303)</f>
        <v>3656.164712</v>
      </c>
      <c r="P3303" s="1">
        <f>value(AED!$B3303)</f>
        <v>4193.48545</v>
      </c>
      <c r="Q3303" s="1">
        <f>value(KWD!$B3303)</f>
        <v>49509.7218</v>
      </c>
    </row>
    <row r="3304">
      <c r="A3304" s="4">
        <f>value(USD!A3304)</f>
        <v>43669.99861</v>
      </c>
      <c r="B3304" s="1">
        <f>value(USD!B3304)</f>
        <v>14046</v>
      </c>
      <c r="C3304" s="1">
        <f>value(AUD!$B3304)</f>
        <v>9686.278</v>
      </c>
      <c r="D3304" s="1">
        <f>value(EUR!$B3304)</f>
        <v>15579</v>
      </c>
      <c r="E3304" s="1">
        <f>value(GBP!$B3304)</f>
        <v>17406.2</v>
      </c>
      <c r="F3304" s="1">
        <f>value(CHF!$B3304)</f>
        <v>14059.05</v>
      </c>
      <c r="G3304" s="1">
        <f>value(SGD!$B3304)</f>
        <v>10312.75</v>
      </c>
      <c r="H3304" s="1">
        <f>value(MYR!$B3304)</f>
        <v>3397</v>
      </c>
      <c r="I3304" s="1">
        <f>value(THB!$B3304)</f>
        <v>451.875</v>
      </c>
      <c r="J3304" s="1">
        <f>value(VND!$B3304)</f>
        <v>0</v>
      </c>
      <c r="K3304" s="1">
        <f>value(CNY!$B3304)</f>
        <v>2003.684</v>
      </c>
      <c r="L3304" s="1">
        <f>value(HKD!$B3304)</f>
        <v>1783.3</v>
      </c>
      <c r="M3304" s="1">
        <f>value(TWD!$B3304)</f>
        <v>461.9193</v>
      </c>
      <c r="N3304" s="1">
        <f>value(JPY!$B3304)</f>
        <v>128.62</v>
      </c>
      <c r="O3304" s="1">
        <f>value(SAR!$B3304)</f>
        <v>3665.185411</v>
      </c>
      <c r="P3304" s="1">
        <f>value(AED!$B3304)</f>
        <v>4196.134366</v>
      </c>
      <c r="Q3304" s="1">
        <f>value(KWD!$B3304)</f>
        <v>49328.53635</v>
      </c>
    </row>
    <row r="3305">
      <c r="A3305" s="4">
        <f>value(USD!A3305)</f>
        <v>43670.99861</v>
      </c>
      <c r="B3305" s="1">
        <f>value(USD!B3305)</f>
        <v>14031.5</v>
      </c>
      <c r="C3305" s="1">
        <f>value(AUD!$B3305)</f>
        <v>9695.629</v>
      </c>
      <c r="D3305" s="1">
        <f>value(EUR!$B3305)</f>
        <v>15570</v>
      </c>
      <c r="E3305" s="1">
        <f>value(GBP!$B3305)</f>
        <v>17281.75</v>
      </c>
      <c r="F3305" s="1">
        <f>value(CHF!$B3305)</f>
        <v>14134</v>
      </c>
      <c r="G3305" s="1">
        <f>value(SGD!$B3305)</f>
        <v>10305.5</v>
      </c>
      <c r="H3305" s="1">
        <f>value(MYR!$B3305)</f>
        <v>3393.6</v>
      </c>
      <c r="I3305" s="1">
        <f>value(THB!$B3305)</f>
        <v>453.305</v>
      </c>
      <c r="J3305" s="1">
        <f>value(VND!$B3305)</f>
        <v>0</v>
      </c>
      <c r="K3305" s="1">
        <f>value(CNY!$B3305)</f>
        <v>2003.684</v>
      </c>
      <c r="L3305" s="1">
        <f>value(HKD!$B3305)</f>
        <v>1804.75</v>
      </c>
      <c r="M3305" s="1">
        <f>value(TWD!$B3305)</f>
        <v>461.9193</v>
      </c>
      <c r="N3305" s="1">
        <f>value(JPY!$B3305)</f>
        <v>128.52</v>
      </c>
      <c r="O3305" s="1">
        <f>value(SAR!$B3305)</f>
        <v>3651.532239</v>
      </c>
      <c r="P3305" s="1">
        <f>value(AED!$B3305)</f>
        <v>4192.864737</v>
      </c>
      <c r="Q3305" s="1">
        <f>value(KWD!$B3305)</f>
        <v>0</v>
      </c>
    </row>
    <row r="3306">
      <c r="A3306" s="4">
        <f>value(USD!A3306)</f>
        <v>43671.99861</v>
      </c>
      <c r="B3306" s="1">
        <f>value(USD!B3306)</f>
        <v>14056.7</v>
      </c>
      <c r="C3306" s="1">
        <f>value(AUD!$B3306)</f>
        <v>9687.721</v>
      </c>
      <c r="D3306" s="1">
        <f>value(EUR!$B3306)</f>
        <v>15570</v>
      </c>
      <c r="E3306" s="1">
        <f>value(GBP!$B3306)</f>
        <v>17281.75</v>
      </c>
      <c r="F3306" s="1">
        <f>value(CHF!$B3306)</f>
        <v>14140.15</v>
      </c>
      <c r="G3306" s="1">
        <f>value(SGD!$B3306)</f>
        <v>10275.45</v>
      </c>
      <c r="H3306" s="1">
        <f>value(MYR!$B3306)</f>
        <v>3393.6</v>
      </c>
      <c r="I3306" s="1">
        <f>value(THB!$B3306)</f>
        <v>453.305</v>
      </c>
      <c r="J3306" s="1">
        <f>value(VND!$B3306)</f>
        <v>0</v>
      </c>
      <c r="K3306" s="1">
        <f>value(CNY!$B3306)</f>
        <v>1997.208</v>
      </c>
      <c r="L3306" s="1">
        <f>value(HKD!$B3306)</f>
        <v>1803.55</v>
      </c>
      <c r="M3306" s="1">
        <f>value(TWD!$B3306)</f>
        <v>463.6505</v>
      </c>
      <c r="N3306" s="1">
        <f>value(JPY!$B3306)</f>
        <v>128.52</v>
      </c>
      <c r="O3306" s="1">
        <f>value(SAR!$B3306)</f>
        <v>3651.532239</v>
      </c>
      <c r="P3306" s="1">
        <f>value(AED!$B3306)</f>
        <v>4243.741708</v>
      </c>
      <c r="Q3306" s="1">
        <f>value(KWD!$B3306)</f>
        <v>0</v>
      </c>
    </row>
    <row r="3307">
      <c r="A3307" s="4">
        <f>value(USD!A3307)</f>
        <v>43672.99861</v>
      </c>
      <c r="B3307" s="1">
        <f>value(USD!B3307)</f>
        <v>14000.7</v>
      </c>
      <c r="C3307" s="1">
        <f>value(AUD!$B3307)</f>
        <v>9679.215</v>
      </c>
      <c r="D3307" s="1">
        <f>value(EUR!$B3307)</f>
        <v>15570</v>
      </c>
      <c r="E3307" s="1">
        <f>value(GBP!$B3307)</f>
        <v>17313.65</v>
      </c>
      <c r="F3307" s="1">
        <f>value(CHF!$B3307)</f>
        <v>14053.15</v>
      </c>
      <c r="G3307" s="1">
        <f>value(SGD!$B3307)</f>
        <v>10275.45</v>
      </c>
      <c r="H3307" s="1">
        <f>value(MYR!$B3307)</f>
        <v>3393.6</v>
      </c>
      <c r="I3307" s="1">
        <f>value(THB!$B3307)</f>
        <v>453.305</v>
      </c>
      <c r="J3307" s="1">
        <f>value(VND!$B3307)</f>
        <v>0</v>
      </c>
      <c r="K3307" s="1">
        <f>value(CNY!$B3307)</f>
        <v>2006.485</v>
      </c>
      <c r="L3307" s="1">
        <f>value(HKD!$B3307)</f>
        <v>1791.55</v>
      </c>
      <c r="M3307" s="1">
        <f>value(TWD!$B3307)</f>
        <v>463.8355</v>
      </c>
      <c r="N3307" s="1">
        <f>value(JPY!$B3307)</f>
        <v>128.77</v>
      </c>
      <c r="O3307" s="1">
        <f>value(SAR!$B3307)</f>
        <v>3648.797454</v>
      </c>
      <c r="P3307" s="1">
        <f>value(AED!$B3307)</f>
        <v>4236.990166</v>
      </c>
      <c r="Q3307" s="1">
        <f>value(KWD!$B3307)</f>
        <v>0</v>
      </c>
    </row>
    <row r="3308">
      <c r="A3308" s="4">
        <f>value(USD!A3308)</f>
        <v>43673.99861</v>
      </c>
      <c r="B3308" s="1">
        <f>value(USD!B3308)</f>
        <v>14000.7</v>
      </c>
      <c r="C3308" s="1">
        <f>value(AUD!$B3308)</f>
        <v>9637.057</v>
      </c>
      <c r="D3308" s="1">
        <f>value(EUR!$B3308)</f>
        <v>16119</v>
      </c>
      <c r="E3308" s="1">
        <f>value(GBP!$B3308)</f>
        <v>17674.75</v>
      </c>
      <c r="F3308" s="1">
        <f>value(CHF!$B3308)</f>
        <v>14186.35</v>
      </c>
      <c r="G3308" s="1">
        <f>value(SGD!$B3308)</f>
        <v>10253.4</v>
      </c>
      <c r="H3308" s="1">
        <f>value(MYR!$B3308)</f>
        <v>3510.8</v>
      </c>
      <c r="I3308" s="1">
        <f>value(THB!$B3308)</f>
        <v>468.795</v>
      </c>
      <c r="J3308" s="1">
        <f>value(VND!$B3308)</f>
        <v>0</v>
      </c>
      <c r="K3308" s="1">
        <f>value(CNY!$B3308)</f>
        <v>2004.774</v>
      </c>
      <c r="L3308" s="1">
        <f>value(HKD!$B3308)</f>
        <v>1791.55</v>
      </c>
      <c r="M3308" s="1">
        <f>value(TWD!$B3308)</f>
        <v>463.4517</v>
      </c>
      <c r="N3308" s="1">
        <f>value(JPY!$B3308)</f>
        <v>132.88</v>
      </c>
      <c r="O3308" s="1">
        <f>value(SAR!$B3308)</f>
        <v>3660.082881</v>
      </c>
      <c r="P3308" s="1">
        <f>value(AED!$B3308)</f>
        <v>4180.032097</v>
      </c>
      <c r="Q3308" s="1">
        <f>value(KWD!$B3308)</f>
        <v>0</v>
      </c>
    </row>
    <row r="3309">
      <c r="A3309" s="4">
        <f>value(USD!A3309)</f>
        <v>43674.99861</v>
      </c>
      <c r="B3309" s="1">
        <f>value(USD!B3309)</f>
        <v>14004</v>
      </c>
      <c r="C3309" s="1">
        <f>value(AUD!$B3309)</f>
        <v>9644.676</v>
      </c>
      <c r="D3309" s="1">
        <f>value(EUR!$B3309)</f>
        <v>15640</v>
      </c>
      <c r="E3309" s="1">
        <f>value(GBP!$B3309)</f>
        <v>17044.85</v>
      </c>
      <c r="F3309" s="1">
        <f>value(CHF!$B3309)</f>
        <v>14225.15</v>
      </c>
      <c r="G3309" s="1">
        <f>value(SGD!$B3309)</f>
        <v>10289.9</v>
      </c>
      <c r="H3309" s="1">
        <f>value(MYR!$B3309)</f>
        <v>3399.4</v>
      </c>
      <c r="I3309" s="1">
        <f>value(THB!$B3309)</f>
        <v>455.145</v>
      </c>
      <c r="J3309" s="1">
        <f>value(VND!$B3309)</f>
        <v>0</v>
      </c>
      <c r="K3309" s="1">
        <f>value(CNY!$B3309)</f>
        <v>2005.584</v>
      </c>
      <c r="L3309" s="1">
        <f>value(HKD!$B3309)</f>
        <v>1790.9</v>
      </c>
      <c r="M3309" s="1">
        <f>value(TWD!$B3309)</f>
        <v>464.225</v>
      </c>
      <c r="N3309" s="1">
        <f>value(JPY!$B3309)</f>
        <v>129.12</v>
      </c>
      <c r="O3309" s="1">
        <f>value(SAR!$B3309)</f>
        <v>3671.580632</v>
      </c>
      <c r="P3309" s="1">
        <f>value(AED!$B3309)</f>
        <v>4170.047123</v>
      </c>
      <c r="Q3309" s="1">
        <f>value(KWD!$B3309)</f>
        <v>0</v>
      </c>
    </row>
    <row r="3310">
      <c r="A3310" s="4">
        <f>value(USD!A3310)</f>
        <v>43675.99861</v>
      </c>
      <c r="B3310" s="1">
        <f>value(USD!B3310)</f>
        <v>14070</v>
      </c>
      <c r="C3310" s="1">
        <f>value(AUD!$B3310)</f>
        <v>9614.64</v>
      </c>
      <c r="D3310" s="1">
        <f>value(EUR!$B3310)</f>
        <v>15605</v>
      </c>
      <c r="E3310" s="1">
        <f>value(GBP!$B3310)</f>
        <v>17130.1</v>
      </c>
      <c r="F3310" s="1">
        <f>value(CHF!$B3310)</f>
        <v>14168.5</v>
      </c>
      <c r="G3310" s="1">
        <f>value(SGD!$B3310)</f>
        <v>10261.05</v>
      </c>
      <c r="H3310" s="1">
        <f>value(MYR!$B3310)</f>
        <v>3403.35</v>
      </c>
      <c r="I3310" s="1">
        <f>value(THB!$B3310)</f>
        <v>458.995</v>
      </c>
      <c r="J3310" s="1">
        <f>value(VND!$B3310)</f>
        <v>0</v>
      </c>
      <c r="K3310" s="1">
        <f>value(CNY!$B3310)</f>
        <v>2007.901</v>
      </c>
      <c r="L3310" s="1">
        <f>value(HKD!$B3310)</f>
        <v>1795.5</v>
      </c>
      <c r="M3310" s="1">
        <f>value(TWD!$B3310)</f>
        <v>464.4556</v>
      </c>
      <c r="N3310" s="1">
        <f>value(JPY!$B3310)</f>
        <v>129.51</v>
      </c>
      <c r="O3310" s="1">
        <f>value(SAR!$B3310)</f>
        <v>3643.837047</v>
      </c>
      <c r="P3310" s="1">
        <f>value(AED!$B3310)</f>
        <v>0</v>
      </c>
      <c r="Q3310" s="1">
        <f>value(KWD!$B3310)</f>
        <v>0</v>
      </c>
    </row>
    <row r="3311">
      <c r="A3311" s="4">
        <f>value(USD!A3311)</f>
        <v>43676.99861</v>
      </c>
      <c r="B3311" s="1">
        <f>value(USD!B3311)</f>
        <v>14070.4</v>
      </c>
      <c r="C3311" s="1">
        <f>value(AUD!$B3311)</f>
        <v>9614.64</v>
      </c>
      <c r="D3311" s="1">
        <f>value(EUR!$B3311)</f>
        <v>15643</v>
      </c>
      <c r="E3311" s="1">
        <f>value(GBP!$B3311)</f>
        <v>17120.05</v>
      </c>
      <c r="F3311" s="1">
        <f>value(CHF!$B3311)</f>
        <v>14168.5</v>
      </c>
      <c r="G3311" s="1">
        <f>value(SGD!$B3311)</f>
        <v>10256.05</v>
      </c>
      <c r="H3311" s="1">
        <f>value(MYR!$B3311)</f>
        <v>3409.2</v>
      </c>
      <c r="I3311" s="1">
        <f>value(THB!$B3311)</f>
        <v>456.41</v>
      </c>
      <c r="J3311" s="1">
        <f>value(VND!$B3311)</f>
        <v>0</v>
      </c>
      <c r="K3311" s="1">
        <f>value(CNY!$B3311)</f>
        <v>2007.828</v>
      </c>
      <c r="L3311" s="1">
        <f>value(HKD!$B3311)</f>
        <v>1800.75</v>
      </c>
      <c r="M3311" s="1">
        <f>value(TWD!$B3311)</f>
        <v>464.4556</v>
      </c>
      <c r="N3311" s="1">
        <f>value(JPY!$B3311)</f>
        <v>131.43</v>
      </c>
      <c r="O3311" s="1">
        <f>value(SAR!$B3311)</f>
        <v>3654.873553</v>
      </c>
      <c r="P3311" s="1">
        <f>value(AED!$B3311)</f>
        <v>0</v>
      </c>
      <c r="Q3311" s="1">
        <f>value(KWD!$B3311)</f>
        <v>0</v>
      </c>
    </row>
    <row r="3312">
      <c r="A3312" s="4">
        <f>value(USD!A3312)</f>
        <v>43677.99861</v>
      </c>
      <c r="B3312" s="1">
        <f>value(USD!B3312)</f>
        <v>14180</v>
      </c>
      <c r="C3312" s="1">
        <f>value(AUD!$B3312)</f>
        <v>9610.646</v>
      </c>
      <c r="D3312" s="1">
        <f>value(EUR!$B3312)</f>
        <v>15750</v>
      </c>
      <c r="E3312" s="1">
        <f>value(GBP!$B3312)</f>
        <v>17206.55</v>
      </c>
      <c r="F3312" s="1">
        <f>value(CHF!$B3312)</f>
        <v>14162.85</v>
      </c>
      <c r="G3312" s="1">
        <f>value(SGD!$B3312)</f>
        <v>10268.1</v>
      </c>
      <c r="H3312" s="1">
        <f>value(MYR!$B3312)</f>
        <v>3388.5</v>
      </c>
      <c r="I3312" s="1">
        <f>value(THB!$B3312)</f>
        <v>461.66</v>
      </c>
      <c r="J3312" s="1">
        <f>value(VND!$B3312)</f>
        <v>0</v>
      </c>
      <c r="K3312" s="1">
        <f>value(CNY!$B3312)</f>
        <v>2007.828</v>
      </c>
      <c r="L3312" s="1">
        <f>value(HKD!$B3312)</f>
        <v>1803.45</v>
      </c>
      <c r="M3312" s="1">
        <f>value(TWD!$B3312)</f>
        <v>464.4556</v>
      </c>
      <c r="N3312" s="1">
        <f>value(JPY!$B3312)</f>
        <v>132.77</v>
      </c>
      <c r="O3312" s="1">
        <f>value(SAR!$B3312)</f>
        <v>3672.265337</v>
      </c>
      <c r="P3312" s="1">
        <f>value(AED!$B3312)</f>
        <v>0</v>
      </c>
      <c r="Q3312" s="1">
        <f>value(KWD!$B3312)</f>
        <v>0</v>
      </c>
    </row>
    <row r="3313">
      <c r="A3313" s="4">
        <f>value(USD!A3313)</f>
        <v>43678.99861</v>
      </c>
      <c r="B3313" s="1">
        <f>value(USD!B3313)</f>
        <v>14342</v>
      </c>
      <c r="C3313" s="1">
        <f>value(AUD!$B3313)</f>
        <v>9590.316</v>
      </c>
      <c r="D3313" s="1">
        <f>value(EUR!$B3313)</f>
        <v>15750</v>
      </c>
      <c r="E3313" s="1">
        <f>value(GBP!$B3313)</f>
        <v>17206.55</v>
      </c>
      <c r="F3313" s="1">
        <f>value(CHF!$B3313)</f>
        <v>14218.6</v>
      </c>
      <c r="G3313" s="1">
        <f>value(SGD!$B3313)</f>
        <v>10250</v>
      </c>
      <c r="H3313" s="1">
        <f>value(MYR!$B3313)</f>
        <v>3388.5</v>
      </c>
      <c r="I3313" s="1">
        <f>value(THB!$B3313)</f>
        <v>461.66</v>
      </c>
      <c r="J3313" s="1">
        <f>value(VND!$B3313)</f>
        <v>0</v>
      </c>
      <c r="K3313" s="1">
        <f>value(CNY!$B3313)</f>
        <v>2001.372</v>
      </c>
      <c r="L3313" s="1">
        <f>value(HKD!$B3313)</f>
        <v>1809.75</v>
      </c>
      <c r="M3313" s="1">
        <f>value(TWD!$B3313)</f>
        <v>463.8246</v>
      </c>
      <c r="N3313" s="1">
        <f>value(JPY!$B3313)</f>
        <v>132.77</v>
      </c>
      <c r="O3313" s="1">
        <f>value(SAR!$B3313)</f>
        <v>3672.265337</v>
      </c>
      <c r="P3313" s="1">
        <f>value(AED!$B3313)</f>
        <v>0</v>
      </c>
      <c r="Q3313" s="1">
        <f>value(KWD!$B3313)</f>
        <v>0</v>
      </c>
    </row>
    <row r="3314">
      <c r="A3314" s="4">
        <f>value(USD!A3314)</f>
        <v>43679.99861</v>
      </c>
      <c r="B3314" s="1">
        <f>value(USD!B3314)</f>
        <v>14231.75</v>
      </c>
      <c r="C3314" s="1">
        <f>value(AUD!$B3314)</f>
        <v>9620.083</v>
      </c>
      <c r="D3314" s="1">
        <f>value(EUR!$B3314)</f>
        <v>15750</v>
      </c>
      <c r="E3314" s="1">
        <f>value(GBP!$B3314)</f>
        <v>17227.35</v>
      </c>
      <c r="F3314" s="1">
        <f>value(CHF!$B3314)</f>
        <v>14315.3</v>
      </c>
      <c r="G3314" s="1">
        <f>value(SGD!$B3314)</f>
        <v>10250</v>
      </c>
      <c r="H3314" s="1">
        <f>value(MYR!$B3314)</f>
        <v>3388.5</v>
      </c>
      <c r="I3314" s="1">
        <f>value(THB!$B3314)</f>
        <v>461.66</v>
      </c>
      <c r="J3314" s="1">
        <f>value(VND!$B3314)</f>
        <v>0</v>
      </c>
      <c r="K3314" s="1">
        <f>value(CNY!$B3314)</f>
        <v>2004.985</v>
      </c>
      <c r="L3314" s="1">
        <f>value(HKD!$B3314)</f>
        <v>1806.25</v>
      </c>
      <c r="M3314" s="1">
        <f>value(TWD!$B3314)</f>
        <v>464.1811</v>
      </c>
      <c r="N3314" s="1">
        <f>value(JPY!$B3314)</f>
        <v>133.025</v>
      </c>
      <c r="O3314" s="1">
        <f>value(SAR!$B3314)</f>
        <v>3672.157767</v>
      </c>
      <c r="P3314" s="1">
        <f>value(AED!$B3314)</f>
        <v>0</v>
      </c>
      <c r="Q3314" s="1">
        <f>value(KWD!$B3314)</f>
        <v>0</v>
      </c>
    </row>
    <row r="3315">
      <c r="A3315" s="4">
        <f>value(USD!A3315)</f>
        <v>43680.99861</v>
      </c>
      <c r="B3315" s="1">
        <f>value(USD!B3315)</f>
        <v>14231.75</v>
      </c>
      <c r="C3315" s="1">
        <f>value(AUD!$B3315)</f>
        <v>9629.953</v>
      </c>
      <c r="D3315" s="1">
        <f>value(EUR!$B3315)</f>
        <v>15955</v>
      </c>
      <c r="E3315" s="1">
        <f>value(GBP!$B3315)</f>
        <v>17252.3</v>
      </c>
      <c r="F3315" s="1">
        <f>value(CHF!$B3315)</f>
        <v>14263.35</v>
      </c>
      <c r="G3315" s="1">
        <f>value(SGD!$B3315)</f>
        <v>10243.7</v>
      </c>
      <c r="H3315" s="1">
        <f>value(MYR!$B3315)</f>
        <v>3387.25</v>
      </c>
      <c r="I3315" s="1">
        <f>value(THB!$B3315)</f>
        <v>460.235</v>
      </c>
      <c r="J3315" s="1">
        <f>value(VND!$B3315)</f>
        <v>0</v>
      </c>
      <c r="K3315" s="1">
        <f>value(CNY!$B3315)</f>
        <v>1995.33</v>
      </c>
      <c r="L3315" s="1">
        <f>value(HKD!$B3315)</f>
        <v>1806.75</v>
      </c>
      <c r="M3315" s="1">
        <f>value(TWD!$B3315)</f>
        <v>464.1811</v>
      </c>
      <c r="N3315" s="1">
        <f>value(JPY!$B3315)</f>
        <v>134.38</v>
      </c>
      <c r="O3315" s="1">
        <f>value(SAR!$B3315)</f>
        <v>3701.306239</v>
      </c>
      <c r="P3315" s="1">
        <f>value(AED!$B3315)</f>
        <v>0</v>
      </c>
      <c r="Q3315" s="1">
        <f>value(KWD!$B3315)</f>
        <v>0</v>
      </c>
    </row>
    <row r="3316">
      <c r="A3316" s="4">
        <f>value(USD!A3316)</f>
        <v>43681.99861</v>
      </c>
      <c r="B3316" s="1">
        <f>value(USD!B3316)</f>
        <v>14180</v>
      </c>
      <c r="C3316" s="1">
        <f>value(AUD!$B3316)</f>
        <v>9556.48</v>
      </c>
      <c r="D3316" s="1">
        <f>value(EUR!$B3316)</f>
        <v>15933</v>
      </c>
      <c r="E3316" s="1">
        <f>value(GBP!$B3316)</f>
        <v>17300.6</v>
      </c>
      <c r="F3316" s="1">
        <f>value(CHF!$B3316)</f>
        <v>14280.95</v>
      </c>
      <c r="G3316" s="1">
        <f>value(SGD!$B3316)</f>
        <v>10311</v>
      </c>
      <c r="H3316" s="1">
        <f>value(MYR!$B3316)</f>
        <v>3394</v>
      </c>
      <c r="I3316" s="1">
        <f>value(THB!$B3316)</f>
        <v>462.725</v>
      </c>
      <c r="J3316" s="1">
        <f>value(VND!$B3316)</f>
        <v>0</v>
      </c>
      <c r="K3316" s="1">
        <f>value(CNY!$B3316)</f>
        <v>2003.009</v>
      </c>
      <c r="L3316" s="1">
        <f>value(HKD!$B3316)</f>
        <v>1805.9</v>
      </c>
      <c r="M3316" s="1">
        <f>value(TWD!$B3316)</f>
        <v>461.6584</v>
      </c>
      <c r="N3316" s="1">
        <f>value(JPY!$B3316)</f>
        <v>133.745</v>
      </c>
      <c r="O3316" s="1">
        <f>value(SAR!$B3316)</f>
        <v>3746.906718</v>
      </c>
      <c r="P3316" s="1">
        <f>value(AED!$B3316)</f>
        <v>0</v>
      </c>
      <c r="Q3316" s="1">
        <f>value(KWD!$B3316)</f>
        <v>0</v>
      </c>
    </row>
    <row r="3317">
      <c r="A3317" s="4">
        <f>value(USD!A3317)</f>
        <v>43682.99861</v>
      </c>
      <c r="B3317" s="1">
        <f>value(USD!B3317)</f>
        <v>14255</v>
      </c>
      <c r="C3317" s="1">
        <f>value(AUD!$B3317)</f>
        <v>9585.609</v>
      </c>
      <c r="D3317" s="1">
        <f>value(EUR!$B3317)</f>
        <v>15971</v>
      </c>
      <c r="E3317" s="1">
        <f>value(GBP!$B3317)</f>
        <v>17304.5</v>
      </c>
      <c r="F3317" s="1">
        <f>value(CHF!$B3317)</f>
        <v>14294.3</v>
      </c>
      <c r="G3317" s="1">
        <f>value(SGD!$B3317)</f>
        <v>10282.65</v>
      </c>
      <c r="H3317" s="1">
        <f>value(MYR!$B3317)</f>
        <v>3381.35</v>
      </c>
      <c r="I3317" s="1">
        <f>value(THB!$B3317)</f>
        <v>462.355</v>
      </c>
      <c r="J3317" s="1">
        <f>value(VND!$B3317)</f>
        <v>0</v>
      </c>
      <c r="K3317" s="1">
        <f>value(CNY!$B3317)</f>
        <v>2001.521</v>
      </c>
      <c r="L3317" s="1">
        <f>value(HKD!$B3317)</f>
        <v>1814.3</v>
      </c>
      <c r="M3317" s="1">
        <f>value(TWD!$B3317)</f>
        <v>464.9877</v>
      </c>
      <c r="N3317" s="1">
        <f>value(JPY!$B3317)</f>
        <v>134.32</v>
      </c>
      <c r="O3317" s="1">
        <f>value(SAR!$B3317)</f>
        <v>3713.935787</v>
      </c>
      <c r="P3317" s="1">
        <f>value(AED!$B3317)</f>
        <v>0</v>
      </c>
      <c r="Q3317" s="1">
        <f>value(KWD!$B3317)</f>
        <v>0</v>
      </c>
    </row>
    <row r="3318">
      <c r="A3318" s="4">
        <f>value(USD!A3318)</f>
        <v>43683.99861</v>
      </c>
      <c r="B3318" s="1">
        <f>value(USD!B3318)</f>
        <v>14265</v>
      </c>
      <c r="C3318" s="1">
        <f>value(AUD!$B3318)</f>
        <v>9579.619</v>
      </c>
      <c r="D3318" s="1">
        <f>value(EUR!$B3318)</f>
        <v>15923</v>
      </c>
      <c r="E3318" s="1">
        <f>value(GBP!$B3318)</f>
        <v>17284.85</v>
      </c>
      <c r="F3318" s="1">
        <f>value(CHF!$B3318)</f>
        <v>14293.8</v>
      </c>
      <c r="G3318" s="1">
        <f>value(SGD!$B3318)</f>
        <v>10293.8</v>
      </c>
      <c r="H3318" s="1">
        <f>value(MYR!$B3318)</f>
        <v>3396.05</v>
      </c>
      <c r="I3318" s="1">
        <f>value(THB!$B3318)</f>
        <v>463.015</v>
      </c>
      <c r="J3318" s="1">
        <f>value(VND!$B3318)</f>
        <v>0</v>
      </c>
      <c r="K3318" s="1">
        <f>value(CNY!$B3318)</f>
        <v>2001.521</v>
      </c>
      <c r="L3318" s="1">
        <f>value(HKD!$B3318)</f>
        <v>1806.65</v>
      </c>
      <c r="M3318" s="1">
        <f>value(TWD!$B3318)</f>
        <v>464.9877</v>
      </c>
      <c r="N3318" s="1">
        <f>value(JPY!$B3318)</f>
        <v>134.445</v>
      </c>
      <c r="O3318" s="1">
        <f>value(SAR!$B3318)</f>
        <v>3815.694455</v>
      </c>
      <c r="P3318" s="1">
        <f>value(AED!$B3318)</f>
        <v>0</v>
      </c>
      <c r="Q3318" s="1">
        <f>value(KWD!$B3318)</f>
        <v>0</v>
      </c>
    </row>
    <row r="3319">
      <c r="A3319" s="4">
        <f>value(USD!A3319)</f>
        <v>43684.99861</v>
      </c>
      <c r="B3319" s="1">
        <f>value(USD!B3319)</f>
        <v>14278.5</v>
      </c>
      <c r="C3319" s="1">
        <f>value(AUD!$B3319)</f>
        <v>9572.194</v>
      </c>
      <c r="D3319" s="1">
        <f>value(EUR!$B3319)</f>
        <v>15900.6</v>
      </c>
      <c r="E3319" s="1">
        <f>value(GBP!$B3319)</f>
        <v>16920.05</v>
      </c>
      <c r="F3319" s="1">
        <f>value(CHF!$B3319)</f>
        <v>14285.85</v>
      </c>
      <c r="G3319" s="1">
        <f>value(SGD!$B3319)</f>
        <v>10290.1</v>
      </c>
      <c r="H3319" s="1">
        <f>value(MYR!$B3319)</f>
        <v>3389</v>
      </c>
      <c r="I3319" s="1">
        <f>value(THB!$B3319)</f>
        <v>461.78</v>
      </c>
      <c r="J3319" s="1">
        <f>value(VND!$B3319)</f>
        <v>0</v>
      </c>
      <c r="K3319" s="1">
        <f>value(CNY!$B3319)</f>
        <v>2001.521</v>
      </c>
      <c r="L3319" s="1">
        <f>value(HKD!$B3319)</f>
        <v>1802.95</v>
      </c>
      <c r="M3319" s="1">
        <f>value(TWD!$B3319)</f>
        <v>464.9877</v>
      </c>
      <c r="N3319" s="1">
        <f>value(JPY!$B3319)</f>
        <v>133.02</v>
      </c>
      <c r="O3319" s="1">
        <f>value(SAR!$B3319)</f>
        <v>3815.31969</v>
      </c>
      <c r="P3319" s="1">
        <f>value(AED!$B3319)</f>
        <v>0</v>
      </c>
      <c r="Q3319" s="1">
        <f>value(KWD!$B3319)</f>
        <v>0</v>
      </c>
    </row>
    <row r="3320">
      <c r="A3320" s="4">
        <f>value(USD!A3320)</f>
        <v>43685.99861</v>
      </c>
      <c r="B3320" s="1">
        <f>value(USD!B3320)</f>
        <v>14242.5</v>
      </c>
      <c r="C3320" s="1">
        <f>value(AUD!$B3320)</f>
        <v>9569.684</v>
      </c>
      <c r="D3320" s="1">
        <f>value(EUR!$B3320)</f>
        <v>15900.6</v>
      </c>
      <c r="E3320" s="1">
        <f>value(GBP!$B3320)</f>
        <v>16920.05</v>
      </c>
      <c r="F3320" s="1">
        <f>value(CHF!$B3320)</f>
        <v>14257.1</v>
      </c>
      <c r="G3320" s="1">
        <f>value(SGD!$B3320)</f>
        <v>10291.95</v>
      </c>
      <c r="H3320" s="1">
        <f>value(MYR!$B3320)</f>
        <v>3389</v>
      </c>
      <c r="I3320" s="1">
        <f>value(THB!$B3320)</f>
        <v>461.78</v>
      </c>
      <c r="J3320" s="1">
        <f>value(VND!$B3320)</f>
        <v>0</v>
      </c>
      <c r="K3320" s="1">
        <f>value(CNY!$B3320)</f>
        <v>1999.303</v>
      </c>
      <c r="L3320" s="1">
        <f>value(HKD!$B3320)</f>
        <v>1808.55</v>
      </c>
      <c r="M3320" s="1">
        <f>value(TWD!$B3320)</f>
        <v>461.7947</v>
      </c>
      <c r="N3320" s="1">
        <f>value(JPY!$B3320)</f>
        <v>133.02</v>
      </c>
      <c r="O3320" s="1">
        <f>value(SAR!$B3320)</f>
        <v>3815.31969</v>
      </c>
      <c r="P3320" s="1">
        <f>value(AED!$B3320)</f>
        <v>0</v>
      </c>
      <c r="Q3320" s="1">
        <f>value(KWD!$B3320)</f>
        <v>0</v>
      </c>
    </row>
    <row r="3321">
      <c r="A3321" s="4">
        <f>value(USD!A3321)</f>
        <v>43686.99861</v>
      </c>
      <c r="B3321" s="1">
        <f>value(USD!B3321)</f>
        <v>14190</v>
      </c>
      <c r="C3321" s="1">
        <f>value(AUD!$B3321)</f>
        <v>9614.108</v>
      </c>
      <c r="D3321" s="1">
        <f>value(EUR!$B3321)</f>
        <v>15900.6</v>
      </c>
      <c r="E3321" s="1">
        <f>value(GBP!$B3321)</f>
        <v>17056.15</v>
      </c>
      <c r="F3321" s="1">
        <f>value(CHF!$B3321)</f>
        <v>14271.55</v>
      </c>
      <c r="G3321" s="1">
        <f>value(SGD!$B3321)</f>
        <v>10291.94</v>
      </c>
      <c r="H3321" s="1">
        <f>value(MYR!$B3321)</f>
        <v>3389</v>
      </c>
      <c r="I3321" s="1">
        <f>value(THB!$B3321)</f>
        <v>461.78</v>
      </c>
      <c r="J3321" s="1">
        <f>value(VND!$B3321)</f>
        <v>0</v>
      </c>
      <c r="K3321" s="1">
        <f>value(CNY!$B3321)</f>
        <v>2002.064</v>
      </c>
      <c r="L3321" s="1">
        <f>value(HKD!$B3321)</f>
        <v>1801.5</v>
      </c>
      <c r="M3321" s="1">
        <f>value(TWD!$B3321)</f>
        <v>460.2651</v>
      </c>
      <c r="N3321" s="1">
        <f>value(JPY!$B3321)</f>
        <v>134.63</v>
      </c>
      <c r="O3321" s="1">
        <f>value(SAR!$B3321)</f>
        <v>3725.477026</v>
      </c>
      <c r="P3321" s="1">
        <f>value(AED!$B3321)</f>
        <v>0</v>
      </c>
      <c r="Q3321" s="1">
        <f>value(KWD!$B3321)</f>
        <v>0</v>
      </c>
    </row>
    <row r="3322">
      <c r="A3322" s="4">
        <f>value(USD!A3322)</f>
        <v>43687.99861</v>
      </c>
      <c r="B3322" s="1">
        <f>value(USD!B3322)</f>
        <v>14190</v>
      </c>
      <c r="C3322" s="1">
        <f>value(AUD!$B3322)</f>
        <v>9542.684</v>
      </c>
      <c r="D3322" s="1">
        <f>value(EUR!$B3322)</f>
        <v>15953.6</v>
      </c>
      <c r="E3322" s="1">
        <f>value(GBP!$B3322)</f>
        <v>17180.2</v>
      </c>
      <c r="F3322" s="1">
        <f>value(CHF!$B3322)</f>
        <v>14188.55</v>
      </c>
      <c r="G3322" s="1">
        <f>value(SGD!$B3322)</f>
        <v>10291.34</v>
      </c>
      <c r="H3322" s="1">
        <f>value(MYR!$B3322)</f>
        <v>3385.9</v>
      </c>
      <c r="I3322" s="1">
        <f>value(THB!$B3322)</f>
        <v>461.5</v>
      </c>
      <c r="J3322" s="1">
        <f>value(VND!$B3322)</f>
        <v>0</v>
      </c>
      <c r="K3322" s="1">
        <f>value(CNY!$B3322)</f>
        <v>2004.964</v>
      </c>
      <c r="L3322" s="1">
        <f>value(HKD!$B3322)</f>
        <v>1804.85</v>
      </c>
      <c r="M3322" s="1">
        <f>value(TWD!$B3322)</f>
        <v>462.3446</v>
      </c>
      <c r="N3322" s="1">
        <f>value(JPY!$B3322)</f>
        <v>135.01</v>
      </c>
      <c r="O3322" s="1">
        <f>value(SAR!$B3322)</f>
        <v>3793.078503</v>
      </c>
      <c r="P3322" s="1">
        <f>value(AED!$B3322)</f>
        <v>0</v>
      </c>
      <c r="Q3322" s="1">
        <f>value(KWD!$B3322)</f>
        <v>0</v>
      </c>
    </row>
    <row r="3323">
      <c r="A3323" s="4">
        <f>value(USD!A3323)</f>
        <v>43688.99861</v>
      </c>
      <c r="B3323" s="1">
        <f>value(USD!B3323)</f>
        <v>14190</v>
      </c>
      <c r="C3323" s="1">
        <f>value(AUD!$B3323)</f>
        <v>9557.174</v>
      </c>
      <c r="D3323" s="1">
        <f>value(EUR!$B3323)</f>
        <v>16058.9</v>
      </c>
      <c r="E3323" s="1">
        <f>value(GBP!$B3323)</f>
        <v>17331</v>
      </c>
      <c r="F3323" s="1">
        <f>value(CHF!$B3323)</f>
        <v>14206.15</v>
      </c>
      <c r="G3323" s="1">
        <f>value(SGD!$B3323)</f>
        <v>10352.3</v>
      </c>
      <c r="H3323" s="1">
        <f>value(MYR!$B3323)</f>
        <v>3421.9</v>
      </c>
      <c r="I3323" s="1">
        <f>value(THB!$B3323)</f>
        <v>466.655</v>
      </c>
      <c r="J3323" s="1">
        <f>value(VND!$B3323)</f>
        <v>0</v>
      </c>
      <c r="K3323" s="1">
        <f>value(CNY!$B3323)</f>
        <v>2000.995</v>
      </c>
      <c r="L3323" s="1">
        <f>value(HKD!$B3323)</f>
        <v>1803.5</v>
      </c>
      <c r="M3323" s="1">
        <f>value(TWD!$B3323)</f>
        <v>461.9997</v>
      </c>
      <c r="N3323" s="1">
        <f>value(JPY!$B3323)</f>
        <v>134.78</v>
      </c>
      <c r="O3323" s="1">
        <f>value(SAR!$B3323)</f>
        <v>3784.403149</v>
      </c>
      <c r="P3323" s="1">
        <f>value(AED!$B3323)</f>
        <v>0</v>
      </c>
      <c r="Q3323" s="1">
        <f>value(KWD!$B3323)</f>
        <v>0</v>
      </c>
    </row>
    <row r="3324">
      <c r="A3324" s="4">
        <f>value(USD!A3324)</f>
        <v>43689.99861</v>
      </c>
      <c r="B3324" s="1">
        <f>value(USD!B3324)</f>
        <v>14248</v>
      </c>
      <c r="C3324" s="1">
        <f>value(AUD!$B3324)</f>
        <v>9557.116</v>
      </c>
      <c r="D3324" s="1">
        <f>value(EUR!$B3324)</f>
        <v>15925.7</v>
      </c>
      <c r="E3324" s="1">
        <f>value(GBP!$B3324)</f>
        <v>17236.45</v>
      </c>
      <c r="F3324" s="1">
        <f>value(CHF!$B3324)</f>
        <v>14186.75</v>
      </c>
      <c r="G3324" s="1">
        <f>value(SGD!$B3324)</f>
        <v>10371.46</v>
      </c>
      <c r="H3324" s="1">
        <f>value(MYR!$B3324)</f>
        <v>3406.8</v>
      </c>
      <c r="I3324" s="1">
        <f>value(THB!$B3324)</f>
        <v>463.24</v>
      </c>
      <c r="J3324" s="1">
        <f>value(VND!$B3324)</f>
        <v>0</v>
      </c>
      <c r="K3324" s="1">
        <f>value(CNY!$B3324)</f>
        <v>2002.813</v>
      </c>
      <c r="L3324" s="1">
        <f>value(HKD!$B3324)</f>
        <v>1805.4</v>
      </c>
      <c r="M3324" s="1">
        <f>value(TWD!$B3324)</f>
        <v>460.0037</v>
      </c>
      <c r="N3324" s="1">
        <f>value(JPY!$B3324)</f>
        <v>134.925</v>
      </c>
      <c r="O3324" s="1">
        <f>value(SAR!$B3324)</f>
        <v>3773.639901</v>
      </c>
      <c r="P3324" s="1">
        <f>value(AED!$B3324)</f>
        <v>0</v>
      </c>
      <c r="Q3324" s="1">
        <f>value(KWD!$B3324)</f>
        <v>0</v>
      </c>
    </row>
    <row r="3325">
      <c r="A3325" s="4">
        <f>value(USD!A3325)</f>
        <v>43690.99861</v>
      </c>
      <c r="B3325" s="1">
        <f>value(USD!B3325)</f>
        <v>14236.8</v>
      </c>
      <c r="C3325" s="1">
        <f>value(AUD!$B3325)</f>
        <v>9557.116</v>
      </c>
      <c r="D3325" s="1">
        <f>value(EUR!$B3325)</f>
        <v>15914</v>
      </c>
      <c r="E3325" s="1">
        <f>value(GBP!$B3325)</f>
        <v>17317.1</v>
      </c>
      <c r="F3325" s="1">
        <f>value(CHF!$B3325)</f>
        <v>14214.5</v>
      </c>
      <c r="G3325" s="1">
        <f>value(SGD!$B3325)</f>
        <v>10379.19</v>
      </c>
      <c r="H3325" s="1">
        <f>value(MYR!$B3325)</f>
        <v>3419.95</v>
      </c>
      <c r="I3325" s="1">
        <f>value(THB!$B3325)</f>
        <v>464.425</v>
      </c>
      <c r="J3325" s="1">
        <f>value(VND!$B3325)</f>
        <v>0</v>
      </c>
      <c r="K3325" s="1">
        <f>value(CNY!$B3325)</f>
        <v>2006.462</v>
      </c>
      <c r="L3325" s="1">
        <f>value(HKD!$B3325)</f>
        <v>1806.95</v>
      </c>
      <c r="M3325" s="1">
        <f>value(TWD!$B3325)</f>
        <v>459.01</v>
      </c>
      <c r="N3325" s="1">
        <f>value(JPY!$B3325)</f>
        <v>135.015</v>
      </c>
      <c r="O3325" s="1">
        <f>value(SAR!$B3325)</f>
        <v>3859.070206</v>
      </c>
      <c r="P3325" s="1">
        <f>value(AED!$B3325)</f>
        <v>0</v>
      </c>
      <c r="Q3325" s="1">
        <f>value(KWD!$B3325)</f>
        <v>0</v>
      </c>
    </row>
    <row r="3326">
      <c r="A3326" s="4">
        <f>value(USD!A3326)</f>
        <v>43691.99861</v>
      </c>
      <c r="B3326" s="1">
        <f>value(USD!B3326)</f>
        <v>14245</v>
      </c>
      <c r="C3326" s="1">
        <f>value(AUD!$B3326)</f>
        <v>9567.733</v>
      </c>
      <c r="D3326" s="1">
        <f>value(EUR!$B3326)</f>
        <v>15768.5</v>
      </c>
      <c r="E3326" s="1">
        <f>value(GBP!$B3326)</f>
        <v>17264.45</v>
      </c>
      <c r="F3326" s="1">
        <f>value(CHF!$B3326)</f>
        <v>14226.55</v>
      </c>
      <c r="G3326" s="1">
        <f>value(SGD!$B3326)</f>
        <v>10395.5</v>
      </c>
      <c r="H3326" s="1">
        <f>value(MYR!$B3326)</f>
        <v>3403.45</v>
      </c>
      <c r="I3326" s="1">
        <f>value(THB!$B3326)</f>
        <v>459.855</v>
      </c>
      <c r="J3326" s="1">
        <f>value(VND!$B3326)</f>
        <v>0</v>
      </c>
      <c r="K3326" s="1">
        <f>value(CNY!$B3326)</f>
        <v>2006.462</v>
      </c>
      <c r="L3326" s="1">
        <f>value(HKD!$B3326)</f>
        <v>1803.55</v>
      </c>
      <c r="M3326" s="1">
        <f>value(TWD!$B3326)</f>
        <v>459.01</v>
      </c>
      <c r="N3326" s="1">
        <f>value(JPY!$B3326)</f>
        <v>133.615</v>
      </c>
      <c r="O3326" s="1">
        <f>value(SAR!$B3326)</f>
        <v>3799.740688</v>
      </c>
      <c r="P3326" s="1">
        <f>value(AED!$B3326)</f>
        <v>0</v>
      </c>
      <c r="Q3326" s="1">
        <f>value(KWD!$B3326)</f>
        <v>0</v>
      </c>
    </row>
    <row r="3327">
      <c r="A3327" s="4">
        <f>value(USD!A3327)</f>
        <v>43692.99861</v>
      </c>
      <c r="B3327" s="1">
        <f>value(USD!B3327)</f>
        <v>14354</v>
      </c>
      <c r="C3327" s="1">
        <f>value(AUD!$B3327)</f>
        <v>9532.102</v>
      </c>
      <c r="D3327" s="1">
        <f>value(EUR!$B3327)</f>
        <v>15768.5</v>
      </c>
      <c r="E3327" s="1">
        <f>value(GBP!$B3327)</f>
        <v>17264.45</v>
      </c>
      <c r="F3327" s="1">
        <f>value(CHF!$B3327)</f>
        <v>14233.05</v>
      </c>
      <c r="G3327" s="1">
        <f>value(SGD!$B3327)</f>
        <v>10352.51</v>
      </c>
      <c r="H3327" s="1">
        <f>value(MYR!$B3327)</f>
        <v>3403.45</v>
      </c>
      <c r="I3327" s="1">
        <f>value(THB!$B3327)</f>
        <v>459.855</v>
      </c>
      <c r="J3327" s="1">
        <f>value(VND!$B3327)</f>
        <v>0</v>
      </c>
      <c r="K3327" s="1">
        <f>value(CNY!$B3327)</f>
        <v>2007.208</v>
      </c>
      <c r="L3327" s="1">
        <f>value(HKD!$B3327)</f>
        <v>1805.45</v>
      </c>
      <c r="M3327" s="1">
        <f>value(TWD!$B3327)</f>
        <v>457.8307</v>
      </c>
      <c r="N3327" s="1">
        <f>value(JPY!$B3327)</f>
        <v>133.615</v>
      </c>
      <c r="O3327" s="1">
        <f>value(SAR!$B3327)</f>
        <v>3799.444013</v>
      </c>
      <c r="P3327" s="1">
        <f>value(AED!$B3327)</f>
        <v>0</v>
      </c>
      <c r="Q3327" s="1">
        <f>value(KWD!$B3327)</f>
        <v>0</v>
      </c>
    </row>
    <row r="3328">
      <c r="A3328" s="4">
        <f>value(USD!A3328)</f>
        <v>43693.99861</v>
      </c>
      <c r="B3328" s="1">
        <f>value(USD!B3328)</f>
        <v>14223.05</v>
      </c>
      <c r="C3328" s="1">
        <f>value(AUD!$B3328)</f>
        <v>9556.238</v>
      </c>
      <c r="D3328" s="1">
        <f>value(EUR!$B3328)</f>
        <v>15768.5</v>
      </c>
      <c r="E3328" s="1">
        <f>value(GBP!$B3328)</f>
        <v>17284.9</v>
      </c>
      <c r="F3328" s="1">
        <f>value(CHF!$B3328)</f>
        <v>14281.8</v>
      </c>
      <c r="G3328" s="1">
        <f>value(SGD!$B3328)</f>
        <v>10352.51</v>
      </c>
      <c r="H3328" s="1">
        <f>value(MYR!$B3328)</f>
        <v>3403.45</v>
      </c>
      <c r="I3328" s="1">
        <f>value(THB!$B3328)</f>
        <v>459.855</v>
      </c>
      <c r="J3328" s="1">
        <f>value(VND!$B3328)</f>
        <v>0</v>
      </c>
      <c r="K3328" s="1">
        <f>value(CNY!$B3328)</f>
        <v>1996.857</v>
      </c>
      <c r="L3328" s="1">
        <f>value(HKD!$B3328)</f>
        <v>1800.35</v>
      </c>
      <c r="M3328" s="1">
        <f>value(TWD!$B3328)</f>
        <v>456.7383</v>
      </c>
      <c r="N3328" s="1">
        <f>value(JPY!$B3328)</f>
        <v>133.57</v>
      </c>
      <c r="O3328" s="1">
        <f>value(SAR!$B3328)</f>
        <v>3798.300058</v>
      </c>
      <c r="P3328" s="1">
        <f>value(AED!$B3328)</f>
        <v>0</v>
      </c>
      <c r="Q3328" s="1">
        <f>value(KWD!$B3328)</f>
        <v>0</v>
      </c>
    </row>
    <row r="3329">
      <c r="A3329" s="4">
        <f>value(USD!A3329)</f>
        <v>43694.99861</v>
      </c>
      <c r="B3329" s="1">
        <f>value(USD!B3329)</f>
        <v>14223.05</v>
      </c>
      <c r="C3329" s="1">
        <f>value(AUD!$B3329)</f>
        <v>9536.487</v>
      </c>
      <c r="D3329" s="1">
        <f>value(EUR!$B3329)</f>
        <v>15810.7</v>
      </c>
      <c r="E3329" s="1">
        <f>value(GBP!$B3329)</f>
        <v>17312.5</v>
      </c>
      <c r="F3329" s="1">
        <f>value(CHF!$B3329)</f>
        <v>14249.05</v>
      </c>
      <c r="G3329" s="1">
        <f>value(SGD!$B3329)</f>
        <v>10370.65</v>
      </c>
      <c r="H3329" s="1">
        <f>value(MYR!$B3329)</f>
        <v>3414.45</v>
      </c>
      <c r="I3329" s="1">
        <f>value(THB!$B3329)</f>
        <v>461.9</v>
      </c>
      <c r="J3329" s="1">
        <f>value(VND!$B3329)</f>
        <v>0</v>
      </c>
      <c r="K3329" s="1">
        <f>value(CNY!$B3329)</f>
        <v>1985.767</v>
      </c>
      <c r="L3329" s="1">
        <f>value(HKD!$B3329)</f>
        <v>1800.339</v>
      </c>
      <c r="M3329" s="1">
        <f>value(TWD!$B3329)</f>
        <v>456.4933</v>
      </c>
      <c r="N3329" s="1">
        <f>value(JPY!$B3329)</f>
        <v>133.765</v>
      </c>
      <c r="O3329" s="1">
        <f>value(SAR!$B3329)</f>
        <v>3753.692303</v>
      </c>
      <c r="P3329" s="1">
        <f>value(AED!$B3329)</f>
        <v>0</v>
      </c>
      <c r="Q3329" s="1">
        <f>value(KWD!$B3329)</f>
        <v>0</v>
      </c>
    </row>
    <row r="3330">
      <c r="A3330" s="4">
        <f>value(USD!A3330)</f>
        <v>43695.99861</v>
      </c>
      <c r="B3330" s="1">
        <f>value(USD!B3330)</f>
        <v>14235</v>
      </c>
      <c r="C3330" s="1">
        <f>value(AUD!$B3330)</f>
        <v>9527.571</v>
      </c>
      <c r="D3330" s="1">
        <f>value(EUR!$B3330)</f>
        <v>15803.1</v>
      </c>
      <c r="E3330" s="1">
        <f>value(GBP!$B3330)</f>
        <v>17319.15</v>
      </c>
      <c r="F3330" s="1">
        <f>value(CHF!$B3330)</f>
        <v>14214.75</v>
      </c>
      <c r="G3330" s="1">
        <f>value(SGD!$B3330)</f>
        <v>10362.9</v>
      </c>
      <c r="H3330" s="1">
        <f>value(MYR!$B3330)</f>
        <v>3406</v>
      </c>
      <c r="I3330" s="1">
        <f>value(THB!$B3330)</f>
        <v>462.46</v>
      </c>
      <c r="J3330" s="1">
        <f>value(VND!$B3330)</f>
        <v>0</v>
      </c>
      <c r="K3330" s="1">
        <f>value(CNY!$B3330)</f>
        <v>1983.28</v>
      </c>
      <c r="L3330" s="1">
        <f>value(HKD!$B3330)</f>
        <v>1802.29</v>
      </c>
      <c r="M3330" s="1">
        <f>value(TWD!$B3330)</f>
        <v>454.5264</v>
      </c>
      <c r="N3330" s="1">
        <f>value(JPY!$B3330)</f>
        <v>134.01</v>
      </c>
      <c r="O3330" s="1">
        <f>value(SAR!$B3330)</f>
        <v>3802.730935</v>
      </c>
      <c r="P3330" s="1">
        <f>value(AED!$B3330)</f>
        <v>0</v>
      </c>
      <c r="Q3330" s="1">
        <f>value(KWD!$B3330)</f>
        <v>0</v>
      </c>
    </row>
    <row r="3331">
      <c r="A3331" s="4">
        <f>value(USD!A3331)</f>
        <v>43696.99861</v>
      </c>
      <c r="B3331" s="1">
        <f>value(USD!B3331)</f>
        <v>14268.95</v>
      </c>
      <c r="C3331" s="1">
        <f>value(AUD!$B3331)</f>
        <v>9527.245</v>
      </c>
      <c r="D3331" s="1">
        <f>value(EUR!$B3331)</f>
        <v>15808.7</v>
      </c>
      <c r="E3331" s="1">
        <f>value(GBP!$B3331)</f>
        <v>17292</v>
      </c>
      <c r="F3331" s="1">
        <f>value(CHF!$B3331)</f>
        <v>14172.65</v>
      </c>
      <c r="G3331" s="1">
        <f>value(SGD!$B3331)</f>
        <v>10308.25</v>
      </c>
      <c r="H3331" s="1">
        <f>value(MYR!$B3331)</f>
        <v>3410.5</v>
      </c>
      <c r="I3331" s="1">
        <f>value(THB!$B3331)</f>
        <v>462.985</v>
      </c>
      <c r="J3331" s="1">
        <f>value(VND!$B3331)</f>
        <v>0</v>
      </c>
      <c r="K3331" s="1">
        <f>value(CNY!$B3331)</f>
        <v>1993.472</v>
      </c>
      <c r="L3331" s="1">
        <f>value(HKD!$B3331)</f>
        <v>1803.19</v>
      </c>
      <c r="M3331" s="1">
        <f>value(TWD!$B3331)</f>
        <v>455.2203</v>
      </c>
      <c r="N3331" s="1">
        <f>value(JPY!$B3331)</f>
        <v>133.715</v>
      </c>
      <c r="O3331" s="1">
        <f>value(SAR!$B3331)</f>
        <v>3871.605994</v>
      </c>
      <c r="P3331" s="1">
        <f>value(AED!$B3331)</f>
        <v>0</v>
      </c>
      <c r="Q3331" s="1">
        <f>value(KWD!$B3331)</f>
        <v>0</v>
      </c>
    </row>
    <row r="3332">
      <c r="A3332" s="4">
        <f>value(USD!A3332)</f>
        <v>43697.99861</v>
      </c>
      <c r="B3332" s="1">
        <f>value(USD!B3332)</f>
        <v>14330.1</v>
      </c>
      <c r="C3332" s="1">
        <f>value(AUD!$B3332)</f>
        <v>9523.152</v>
      </c>
      <c r="D3332" s="1">
        <f>value(EUR!$B3332)</f>
        <v>15756.2</v>
      </c>
      <c r="E3332" s="1">
        <f>value(GBP!$B3332)</f>
        <v>17416.7</v>
      </c>
      <c r="F3332" s="1">
        <f>value(CHF!$B3332)</f>
        <v>14172.61</v>
      </c>
      <c r="G3332" s="1">
        <f>value(SGD!$B3332)</f>
        <v>10277.06</v>
      </c>
      <c r="H3332" s="1">
        <f>value(MYR!$B3332)</f>
        <v>3396.15</v>
      </c>
      <c r="I3332" s="1">
        <f>value(THB!$B3332)</f>
        <v>461.585</v>
      </c>
      <c r="J3332" s="1">
        <f>value(VND!$B3332)</f>
        <v>0</v>
      </c>
      <c r="K3332" s="1">
        <f>value(CNY!$B3332)</f>
        <v>1993.472</v>
      </c>
      <c r="L3332" s="1">
        <f>value(HKD!$B3332)</f>
        <v>1805.434</v>
      </c>
      <c r="M3332" s="1">
        <f>value(TWD!$B3332)</f>
        <v>455.2203</v>
      </c>
      <c r="N3332" s="1">
        <f>value(JPY!$B3332)</f>
        <v>133.49</v>
      </c>
      <c r="O3332" s="1">
        <f>value(SAR!$B3332)</f>
        <v>3959.627121</v>
      </c>
      <c r="P3332" s="1">
        <f>value(AED!$B3332)</f>
        <v>0</v>
      </c>
      <c r="Q3332" s="1">
        <f>value(KWD!$B3332)</f>
        <v>0</v>
      </c>
    </row>
    <row r="3333">
      <c r="A3333" s="4">
        <f>value(USD!A3333)</f>
        <v>43698.99861</v>
      </c>
      <c r="B3333" s="1">
        <f>value(USD!B3333)</f>
        <v>14287.5</v>
      </c>
      <c r="C3333" s="1">
        <f>value(AUD!$B3333)</f>
        <v>9521.278</v>
      </c>
      <c r="D3333" s="1">
        <f>value(EUR!$B3333)</f>
        <v>15711.7</v>
      </c>
      <c r="E3333" s="1">
        <f>value(GBP!$B3333)</f>
        <v>17160.95</v>
      </c>
      <c r="F3333" s="1">
        <f>value(CHF!$B3333)</f>
        <v>14163.55</v>
      </c>
      <c r="G3333" s="1">
        <f>value(SGD!$B3333)</f>
        <v>10334.6</v>
      </c>
      <c r="H3333" s="1">
        <f>value(MYR!$B3333)</f>
        <v>3365.75</v>
      </c>
      <c r="I3333" s="1">
        <f>value(THB!$B3333)</f>
        <v>460.095</v>
      </c>
      <c r="J3333" s="1">
        <f>value(VND!$B3333)</f>
        <v>0</v>
      </c>
      <c r="K3333" s="1">
        <f>value(CNY!$B3333)</f>
        <v>1993.472</v>
      </c>
      <c r="L3333" s="1">
        <f>value(HKD!$B3333)</f>
        <v>1798.702</v>
      </c>
      <c r="M3333" s="1">
        <f>value(TWD!$B3333)</f>
        <v>455.2203</v>
      </c>
      <c r="N3333" s="1">
        <f>value(JPY!$B3333)</f>
        <v>132.61</v>
      </c>
      <c r="O3333" s="1">
        <f>value(SAR!$B3333)</f>
        <v>3903.006145</v>
      </c>
      <c r="P3333" s="1">
        <f>value(AED!$B3333)</f>
        <v>0</v>
      </c>
      <c r="Q3333" s="1">
        <f>value(KWD!$B3333)</f>
        <v>0</v>
      </c>
    </row>
    <row r="3334">
      <c r="A3334" s="4">
        <f>value(USD!A3334)</f>
        <v>43699.99861</v>
      </c>
      <c r="B3334" s="1">
        <f>value(USD!B3334)</f>
        <v>14235</v>
      </c>
      <c r="C3334" s="1">
        <f>value(AUD!$B3334)</f>
        <v>9632.465</v>
      </c>
      <c r="D3334" s="1">
        <f>value(EUR!$B3334)</f>
        <v>15711.7</v>
      </c>
      <c r="E3334" s="1">
        <f>value(GBP!$B3334)</f>
        <v>17162.6</v>
      </c>
      <c r="F3334" s="1">
        <f>value(CHF!$B3334)</f>
        <v>14178.33</v>
      </c>
      <c r="G3334" s="1">
        <f>value(SGD!$B3334)</f>
        <v>10295.63</v>
      </c>
      <c r="H3334" s="1">
        <f>value(MYR!$B3334)</f>
        <v>3390.85</v>
      </c>
      <c r="I3334" s="1">
        <f>value(THB!$B3334)</f>
        <v>462.57</v>
      </c>
      <c r="J3334" s="1">
        <f>value(VND!$B3334)</f>
        <v>0</v>
      </c>
      <c r="K3334" s="1">
        <f>value(CNY!$B3334)</f>
        <v>1990.369</v>
      </c>
      <c r="L3334" s="1">
        <f>value(HKD!$B3334)</f>
        <v>1803.068</v>
      </c>
      <c r="M3334" s="1">
        <f>value(TWD!$B3334)</f>
        <v>455.312</v>
      </c>
      <c r="N3334" s="1">
        <f>value(JPY!$B3334)</f>
        <v>132.61</v>
      </c>
      <c r="O3334" s="1">
        <f>value(SAR!$B3334)</f>
        <v>3903.006145</v>
      </c>
      <c r="P3334" s="1">
        <f>value(AED!$B3334)</f>
        <v>0</v>
      </c>
      <c r="Q3334" s="1">
        <f>value(KWD!$B3334)</f>
        <v>0</v>
      </c>
    </row>
    <row r="3335">
      <c r="A3335" s="4">
        <f>value(USD!A3335)</f>
        <v>43700.99861</v>
      </c>
      <c r="B3335" s="1">
        <f>value(USD!B3335)</f>
        <v>14284.05</v>
      </c>
      <c r="C3335" s="1">
        <f>value(AUD!$B3335)</f>
        <v>9658.838</v>
      </c>
      <c r="D3335" s="1">
        <f>value(EUR!$B3335)</f>
        <v>15711.7</v>
      </c>
      <c r="E3335" s="1">
        <f>value(GBP!$B3335)</f>
        <v>17283.65</v>
      </c>
      <c r="F3335" s="1">
        <f>value(CHF!$B3335)</f>
        <v>14182.66</v>
      </c>
      <c r="G3335" s="1">
        <f>value(SGD!$B3335)</f>
        <v>10295.63</v>
      </c>
      <c r="H3335" s="1">
        <f>value(MYR!$B3335)</f>
        <v>3390.85</v>
      </c>
      <c r="I3335" s="1">
        <f>value(THB!$B3335)</f>
        <v>462.57</v>
      </c>
      <c r="J3335" s="1">
        <f>value(VND!$B3335)</f>
        <v>0</v>
      </c>
      <c r="K3335" s="1">
        <f>value(CNY!$B3335)</f>
        <v>1991.875</v>
      </c>
      <c r="L3335" s="1">
        <f>value(HKD!$B3335)</f>
        <v>1802.651</v>
      </c>
      <c r="M3335" s="1">
        <f>value(TWD!$B3335)</f>
        <v>454.2578</v>
      </c>
      <c r="N3335" s="1">
        <f>value(JPY!$B3335)</f>
        <v>134.435</v>
      </c>
      <c r="O3335" s="1">
        <f>value(SAR!$B3335)</f>
        <v>3896.595595</v>
      </c>
      <c r="P3335" s="1">
        <f>value(AED!$B3335)</f>
        <v>0</v>
      </c>
      <c r="Q3335" s="1">
        <f>value(KWD!$B3335)</f>
        <v>0</v>
      </c>
    </row>
    <row r="3336">
      <c r="A3336" s="4">
        <f>value(USD!A3336)</f>
        <v>43701.99861</v>
      </c>
      <c r="B3336" s="1">
        <f>value(USD!B3336)</f>
        <v>14284.05</v>
      </c>
      <c r="C3336" s="1">
        <f>value(AUD!$B3336)</f>
        <v>9587.813</v>
      </c>
      <c r="D3336" s="1">
        <f>value(EUR!$B3336)</f>
        <v>15805</v>
      </c>
      <c r="E3336" s="1">
        <f>value(GBP!$B3336)</f>
        <v>17401.6</v>
      </c>
      <c r="F3336" s="1">
        <f>value(CHF!$B3336)</f>
        <v>14192.12</v>
      </c>
      <c r="G3336" s="1">
        <f>value(SGD!$B3336)</f>
        <v>10295.63</v>
      </c>
      <c r="H3336" s="1">
        <f>value(MYR!$B3336)</f>
        <v>3386.55</v>
      </c>
      <c r="I3336" s="1">
        <f>value(THB!$B3336)</f>
        <v>465.33</v>
      </c>
      <c r="J3336" s="1">
        <f>value(VND!$B3336)</f>
        <v>0</v>
      </c>
      <c r="K3336" s="1">
        <f>value(CNY!$B3336)</f>
        <v>1986.294</v>
      </c>
      <c r="L3336" s="1">
        <f>value(HKD!$B3336)</f>
        <v>1802.651</v>
      </c>
      <c r="M3336" s="1">
        <f>value(TWD!$B3336)</f>
        <v>454.953</v>
      </c>
      <c r="N3336" s="1">
        <f>value(JPY!$B3336)</f>
        <v>134.305</v>
      </c>
      <c r="O3336" s="1">
        <f>value(SAR!$B3336)</f>
        <v>3963.639431</v>
      </c>
      <c r="P3336" s="1">
        <f>value(AED!$B3336)</f>
        <v>0</v>
      </c>
      <c r="Q3336" s="1">
        <f>value(KWD!$B3336)</f>
        <v>0</v>
      </c>
    </row>
    <row r="3337">
      <c r="A3337" s="4">
        <f>value(USD!A3337)</f>
        <v>43702.99861</v>
      </c>
      <c r="B3337" s="1">
        <f>value(USD!B3337)</f>
        <v>14213</v>
      </c>
      <c r="C3337" s="1">
        <f>value(AUD!$B3337)</f>
        <v>9545.93</v>
      </c>
      <c r="D3337" s="1">
        <f>value(EUR!$B3337)</f>
        <v>15812</v>
      </c>
      <c r="E3337" s="1">
        <f>value(GBP!$B3337)</f>
        <v>17512.45</v>
      </c>
      <c r="F3337" s="1">
        <f>value(CHF!$B3337)</f>
        <v>14322.64</v>
      </c>
      <c r="G3337" s="1">
        <f>value(SGD!$B3337)</f>
        <v>10295.35</v>
      </c>
      <c r="H3337" s="1">
        <f>value(MYR!$B3337)</f>
        <v>3390.75</v>
      </c>
      <c r="I3337" s="1">
        <f>value(THB!$B3337)</f>
        <v>465.54</v>
      </c>
      <c r="J3337" s="1">
        <f>value(VND!$B3337)</f>
        <v>0</v>
      </c>
      <c r="K3337" s="1">
        <f>value(CNY!$B3337)</f>
        <v>1994.676</v>
      </c>
      <c r="L3337" s="1">
        <f>value(HKD!$B3337)</f>
        <v>1804.223</v>
      </c>
      <c r="M3337" s="1">
        <f>value(TWD!$B3337)</f>
        <v>451.5939</v>
      </c>
      <c r="N3337" s="1">
        <f>value(JPY!$B3337)</f>
        <v>134.825</v>
      </c>
      <c r="O3337" s="1">
        <f>value(SAR!$B3337)</f>
        <v>4031.983027</v>
      </c>
      <c r="P3337" s="1">
        <f>value(AED!$B3337)</f>
        <v>0</v>
      </c>
      <c r="Q3337" s="1">
        <f>value(KWD!$B3337)</f>
        <v>0</v>
      </c>
    </row>
    <row r="3338">
      <c r="A3338" s="4">
        <f>value(USD!A3338)</f>
        <v>43703.99861</v>
      </c>
      <c r="B3338" s="1">
        <f>value(USD!B3338)</f>
        <v>14258.6</v>
      </c>
      <c r="C3338" s="1">
        <f>value(AUD!$B3338)</f>
        <v>9599.169</v>
      </c>
      <c r="D3338" s="1">
        <f>value(EUR!$B3338)</f>
        <v>15792</v>
      </c>
      <c r="E3338" s="1">
        <f>value(GBP!$B3338)</f>
        <v>17405.8</v>
      </c>
      <c r="F3338" s="1">
        <f>value(CHF!$B3338)</f>
        <v>14333.71</v>
      </c>
      <c r="G3338" s="1">
        <f>value(SGD!$B3338)</f>
        <v>10293.58</v>
      </c>
      <c r="H3338" s="1">
        <f>value(MYR!$B3338)</f>
        <v>3381.05</v>
      </c>
      <c r="I3338" s="1">
        <f>value(THB!$B3338)</f>
        <v>465.14</v>
      </c>
      <c r="J3338" s="1">
        <f>value(VND!$B3338)</f>
        <v>0</v>
      </c>
      <c r="K3338" s="1">
        <f>value(CNY!$B3338)</f>
        <v>1999.228</v>
      </c>
      <c r="L3338" s="1">
        <f>value(HKD!$B3338)</f>
        <v>1794.106</v>
      </c>
      <c r="M3338" s="1">
        <f>value(TWD!$B3338)</f>
        <v>456.283</v>
      </c>
      <c r="N3338" s="1">
        <f>value(JPY!$B3338)</f>
        <v>134.285</v>
      </c>
      <c r="O3338" s="1">
        <f>value(SAR!$B3338)</f>
        <v>4018.939097</v>
      </c>
      <c r="P3338" s="1">
        <f>value(AED!$B3338)</f>
        <v>0</v>
      </c>
      <c r="Q3338" s="1">
        <f>value(KWD!$B3338)</f>
        <v>0</v>
      </c>
    </row>
    <row r="3339">
      <c r="A3339" s="4">
        <f>value(USD!A3339)</f>
        <v>43704.99861</v>
      </c>
      <c r="B3339" s="1">
        <f>value(USD!B3339)</f>
        <v>14347.8</v>
      </c>
      <c r="C3339" s="1">
        <f>value(AUD!$B3339)</f>
        <v>9599.169</v>
      </c>
      <c r="D3339" s="1">
        <f>value(EUR!$B3339)</f>
        <v>15749</v>
      </c>
      <c r="E3339" s="1">
        <f>value(GBP!$B3339)</f>
        <v>17351.6</v>
      </c>
      <c r="F3339" s="1">
        <f>value(CHF!$B3339)</f>
        <v>14333.71</v>
      </c>
      <c r="G3339" s="1">
        <f>value(SGD!$B3339)</f>
        <v>10331.22</v>
      </c>
      <c r="H3339" s="1">
        <f>value(MYR!$B3339)</f>
        <v>3379.85</v>
      </c>
      <c r="I3339" s="1">
        <f>value(THB!$B3339)</f>
        <v>464.765</v>
      </c>
      <c r="J3339" s="1">
        <f>value(VND!$B3339)</f>
        <v>0</v>
      </c>
      <c r="K3339" s="1">
        <f>value(CNY!$B3339)</f>
        <v>1999.228</v>
      </c>
      <c r="L3339" s="1">
        <f>value(HKD!$B3339)</f>
        <v>1797.828</v>
      </c>
      <c r="M3339" s="1">
        <f>value(TWD!$B3339)</f>
        <v>456.283</v>
      </c>
      <c r="N3339" s="1">
        <f>value(JPY!$B3339)</f>
        <v>133.76</v>
      </c>
      <c r="O3339" s="1">
        <f>value(SAR!$B3339)</f>
        <v>4231.533196</v>
      </c>
      <c r="P3339" s="1">
        <f>value(AED!$B3339)</f>
        <v>0</v>
      </c>
      <c r="Q3339" s="1">
        <f>value(KWD!$B3339)</f>
        <v>0</v>
      </c>
    </row>
    <row r="3340">
      <c r="A3340" s="4">
        <f>value(USD!A3340)</f>
        <v>43705.99861</v>
      </c>
      <c r="B3340" s="1">
        <f>value(USD!B3340)</f>
        <v>14315.3</v>
      </c>
      <c r="C3340" s="1">
        <f>value(AUD!$B3340)</f>
        <v>9587.263</v>
      </c>
      <c r="D3340" s="1">
        <f>value(EUR!$B3340)</f>
        <v>15669.5</v>
      </c>
      <c r="E3340" s="1">
        <f>value(GBP!$B3340)</f>
        <v>17301.9</v>
      </c>
      <c r="F3340" s="1">
        <f>value(CHF!$B3340)</f>
        <v>14366.52</v>
      </c>
      <c r="G3340" s="1">
        <f>value(SGD!$B3340)</f>
        <v>10383.36</v>
      </c>
      <c r="H3340" s="1">
        <f>value(MYR!$B3340)</f>
        <v>3381.45</v>
      </c>
      <c r="I3340" s="1">
        <f>value(THB!$B3340)</f>
        <v>465.38</v>
      </c>
      <c r="J3340" s="1">
        <f>value(VND!$B3340)</f>
        <v>0</v>
      </c>
      <c r="K3340" s="1">
        <f>value(CNY!$B3340)</f>
        <v>1999.228</v>
      </c>
      <c r="L3340" s="1">
        <f>value(HKD!$B3340)</f>
        <v>1785.035</v>
      </c>
      <c r="M3340" s="1">
        <f>value(TWD!$B3340)</f>
        <v>456.283</v>
      </c>
      <c r="N3340" s="1">
        <f>value(JPY!$B3340)</f>
        <v>133.89</v>
      </c>
      <c r="O3340" s="1">
        <f>value(SAR!$B3340)</f>
        <v>4198.945089</v>
      </c>
      <c r="P3340" s="1">
        <f>value(AED!$B3340)</f>
        <v>0</v>
      </c>
      <c r="Q3340" s="1">
        <f>value(KWD!$B3340)</f>
        <v>0</v>
      </c>
    </row>
    <row r="3341">
      <c r="A3341" s="4">
        <f>value(USD!A3341)</f>
        <v>43706.99861</v>
      </c>
      <c r="B3341" s="1">
        <f>value(USD!B3341)</f>
        <v>14238</v>
      </c>
      <c r="C3341" s="1">
        <f>value(AUD!$B3341)</f>
        <v>9561.851</v>
      </c>
      <c r="D3341" s="1">
        <f>value(EUR!$B3341)</f>
        <v>15669.5</v>
      </c>
      <c r="E3341" s="1">
        <f>value(GBP!$B3341)</f>
        <v>17301.9</v>
      </c>
      <c r="F3341" s="1">
        <f>value(CHF!$B3341)</f>
        <v>14268.56</v>
      </c>
      <c r="G3341" s="1">
        <f>value(SGD!$B3341)</f>
        <v>10300.42</v>
      </c>
      <c r="H3341" s="1">
        <f>value(MYR!$B3341)</f>
        <v>3381.45</v>
      </c>
      <c r="I3341" s="1">
        <f>value(THB!$B3341)</f>
        <v>465.38</v>
      </c>
      <c r="J3341" s="1">
        <f>value(VND!$B3341)</f>
        <v>0</v>
      </c>
      <c r="K3341" s="1">
        <f>value(CNY!$B3341)</f>
        <v>2003.8</v>
      </c>
      <c r="L3341" s="1">
        <f>value(HKD!$B3341)</f>
        <v>1793.69</v>
      </c>
      <c r="M3341" s="1">
        <f>value(TWD!$B3341)</f>
        <v>438.3892</v>
      </c>
      <c r="N3341" s="1">
        <f>value(JPY!$B3341)</f>
        <v>133.89</v>
      </c>
      <c r="O3341" s="1">
        <f>value(SAR!$B3341)</f>
        <v>4215.060536</v>
      </c>
      <c r="P3341" s="1">
        <f>value(AED!$B3341)</f>
        <v>0</v>
      </c>
      <c r="Q3341" s="1">
        <f>value(KWD!$B3341)</f>
        <v>0</v>
      </c>
    </row>
    <row r="3342">
      <c r="A3342" s="4">
        <f>value(USD!A3342)</f>
        <v>43707.99861</v>
      </c>
      <c r="B3342" s="1">
        <f>value(USD!B3342)</f>
        <v>14187</v>
      </c>
      <c r="C3342" s="1">
        <f>value(AUD!$B3342)</f>
        <v>9542.433</v>
      </c>
      <c r="D3342" s="1">
        <f>value(EUR!$B3342)</f>
        <v>15669.5</v>
      </c>
      <c r="E3342" s="1">
        <f>value(GBP!$B3342)</f>
        <v>17333.05</v>
      </c>
      <c r="F3342" s="1">
        <f>value(CHF!$B3342)</f>
        <v>14248.68</v>
      </c>
      <c r="G3342" s="1">
        <f>value(SGD!$B3342)</f>
        <v>10302.7</v>
      </c>
      <c r="H3342" s="1">
        <f>value(MYR!$B3342)</f>
        <v>3381.45</v>
      </c>
      <c r="I3342" s="1">
        <f>value(THB!$B3342)</f>
        <v>465.38</v>
      </c>
      <c r="J3342" s="1">
        <f>value(VND!$B3342)</f>
        <v>0</v>
      </c>
      <c r="K3342" s="1">
        <f>value(CNY!$B3342)</f>
        <v>1998.795</v>
      </c>
      <c r="L3342" s="1">
        <f>value(HKD!$B3342)</f>
        <v>1790.057</v>
      </c>
      <c r="M3342" s="1">
        <f>value(TWD!$B3342)</f>
        <v>452.13</v>
      </c>
      <c r="N3342" s="1">
        <f>value(JPY!$B3342)</f>
        <v>134.31</v>
      </c>
      <c r="O3342" s="1">
        <f>value(SAR!$B3342)</f>
        <v>4200.809645</v>
      </c>
      <c r="P3342" s="1">
        <f>value(AED!$B3342)</f>
        <v>0</v>
      </c>
      <c r="Q3342" s="1">
        <f>value(KWD!$B3342)</f>
        <v>0</v>
      </c>
    </row>
    <row r="3343">
      <c r="A3343" s="4">
        <f>value(USD!A3343)</f>
        <v>43708.99861</v>
      </c>
      <c r="B3343" s="1">
        <f>value(USD!B3343)</f>
        <v>14187</v>
      </c>
      <c r="C3343" s="1">
        <f>value(AUD!$B3343)</f>
        <v>9605.653</v>
      </c>
      <c r="D3343" s="1">
        <f>value(EUR!$B3343)</f>
        <v>15565.8</v>
      </c>
      <c r="E3343" s="1">
        <f>value(GBP!$B3343)</f>
        <v>17128.8</v>
      </c>
      <c r="F3343" s="1">
        <f>value(CHF!$B3343)</f>
        <v>14129.18</v>
      </c>
      <c r="G3343" s="1">
        <f>value(SGD!$B3343)</f>
        <v>10330.07</v>
      </c>
      <c r="H3343" s="1">
        <f>value(MYR!$B3343)</f>
        <v>3360.35</v>
      </c>
      <c r="I3343" s="1">
        <f>value(THB!$B3343)</f>
        <v>463.435</v>
      </c>
      <c r="J3343" s="1">
        <f>value(VND!$B3343)</f>
        <v>0</v>
      </c>
      <c r="K3343" s="1">
        <f>value(CNY!$B3343)</f>
        <v>1994.503</v>
      </c>
      <c r="L3343" s="1">
        <f>value(HKD!$B3343)</f>
        <v>1790.057</v>
      </c>
      <c r="M3343" s="1">
        <f>value(TWD!$B3343)</f>
        <v>453.0448</v>
      </c>
      <c r="N3343" s="1">
        <f>value(JPY!$B3343)</f>
        <v>133.695</v>
      </c>
      <c r="O3343" s="1">
        <f>value(SAR!$B3343)</f>
        <v>4396.400843</v>
      </c>
      <c r="P3343" s="1">
        <f>value(AED!$B3343)</f>
        <v>0</v>
      </c>
      <c r="Q3343" s="1">
        <f>value(KWD!$B3343)</f>
        <v>0</v>
      </c>
    </row>
    <row r="3344">
      <c r="A3344" s="4">
        <f>value(USD!A3344)</f>
        <v>43709.99861</v>
      </c>
      <c r="B3344" s="1">
        <f>value(USD!B3344)</f>
        <v>14185</v>
      </c>
      <c r="C3344" s="1">
        <f>value(AUD!$B3344)</f>
        <v>9648.392</v>
      </c>
      <c r="D3344" s="1">
        <f>value(EUR!$B3344)</f>
        <v>15601</v>
      </c>
      <c r="E3344" s="1">
        <f>value(GBP!$B3344)</f>
        <v>17189.8</v>
      </c>
      <c r="F3344" s="1">
        <f>value(CHF!$B3344)</f>
        <v>14167.23</v>
      </c>
      <c r="G3344" s="1">
        <f>value(SGD!$B3344)</f>
        <v>10352.42</v>
      </c>
      <c r="H3344" s="1">
        <f>value(MYR!$B3344)</f>
        <v>3378.5</v>
      </c>
      <c r="I3344" s="1">
        <f>value(THB!$B3344)</f>
        <v>464.52</v>
      </c>
      <c r="J3344" s="1">
        <f>value(VND!$B3344)</f>
        <v>0</v>
      </c>
      <c r="K3344" s="1">
        <f>value(CNY!$B3344)</f>
        <v>1994.64</v>
      </c>
      <c r="L3344" s="1">
        <f>value(HKD!$B3344)</f>
        <v>1789.624</v>
      </c>
      <c r="M3344" s="1">
        <f>value(TWD!$B3344)</f>
        <v>450.751</v>
      </c>
      <c r="N3344" s="1">
        <f>value(JPY!$B3344)</f>
        <v>134.325</v>
      </c>
      <c r="O3344" s="1">
        <f>value(SAR!$B3344)</f>
        <v>4321.292783</v>
      </c>
      <c r="P3344" s="1">
        <f>value(AED!$B3344)</f>
        <v>0</v>
      </c>
      <c r="Q3344" s="1">
        <f>value(KWD!$B3344)</f>
        <v>0</v>
      </c>
    </row>
    <row r="3345">
      <c r="A3345" s="4">
        <f>value(USD!A3345)</f>
        <v>43710.99861</v>
      </c>
      <c r="B3345" s="1">
        <f>value(USD!B3345)</f>
        <v>14276.5</v>
      </c>
      <c r="C3345" s="1">
        <f>value(AUD!$B3345)</f>
        <v>9608.683</v>
      </c>
      <c r="D3345" s="1">
        <f>value(EUR!$B3345)</f>
        <v>15610</v>
      </c>
      <c r="E3345" s="1">
        <f>value(GBP!$B3345)</f>
        <v>17320.35</v>
      </c>
      <c r="F3345" s="1">
        <f>value(CHF!$B3345)</f>
        <v>14104.78</v>
      </c>
      <c r="G3345" s="1">
        <f>value(SGD!$B3345)</f>
        <v>10330.55</v>
      </c>
      <c r="H3345" s="1">
        <f>value(MYR!$B3345)</f>
        <v>3376.6</v>
      </c>
      <c r="I3345" s="1">
        <f>value(THB!$B3345)</f>
        <v>462.915</v>
      </c>
      <c r="J3345" s="1">
        <f>value(VND!$B3345)</f>
        <v>0</v>
      </c>
      <c r="K3345" s="1">
        <f>value(CNY!$B3345)</f>
        <v>1993.736</v>
      </c>
      <c r="L3345" s="1">
        <f>value(HKD!$B3345)</f>
        <v>1788.938</v>
      </c>
      <c r="M3345" s="1">
        <f>value(TWD!$B3345)</f>
        <v>452.1601</v>
      </c>
      <c r="N3345" s="1">
        <f>value(JPY!$B3345)</f>
        <v>133.02</v>
      </c>
      <c r="O3345" s="1">
        <f>value(SAR!$B3345)</f>
        <v>4381.97921</v>
      </c>
      <c r="P3345" s="1">
        <f>value(AED!$B3345)</f>
        <v>0</v>
      </c>
      <c r="Q3345" s="1">
        <f>value(KWD!$B3345)</f>
        <v>0</v>
      </c>
    </row>
    <row r="3346">
      <c r="A3346" s="4">
        <f>value(USD!A3346)</f>
        <v>43711.99861</v>
      </c>
      <c r="B3346" s="1">
        <f>value(USD!B3346)</f>
        <v>14264.7</v>
      </c>
      <c r="C3346" s="1">
        <f>value(AUD!$B3346)</f>
        <v>9608.683</v>
      </c>
      <c r="D3346" s="1">
        <f>value(EUR!$B3346)</f>
        <v>15615</v>
      </c>
      <c r="E3346" s="1">
        <f>value(GBP!$B3346)</f>
        <v>17441</v>
      </c>
      <c r="F3346" s="1">
        <f>value(CHF!$B3346)</f>
        <v>14104.78</v>
      </c>
      <c r="G3346" s="1">
        <f>value(SGD!$B3346)</f>
        <v>10301.74</v>
      </c>
      <c r="H3346" s="1">
        <f>value(MYR!$B3346)</f>
        <v>3373.9</v>
      </c>
      <c r="I3346" s="1">
        <f>value(THB!$B3346)</f>
        <v>461.19</v>
      </c>
      <c r="J3346" s="1">
        <f>value(VND!$B3346)</f>
        <v>0</v>
      </c>
      <c r="K3346" s="1">
        <f>value(CNY!$B3346)</f>
        <v>1993.736</v>
      </c>
      <c r="L3346" s="1">
        <f>value(HKD!$B3346)</f>
        <v>1786.862</v>
      </c>
      <c r="M3346" s="1">
        <f>value(TWD!$B3346)</f>
        <v>452.1601</v>
      </c>
      <c r="N3346" s="1">
        <f>value(JPY!$B3346)</f>
        <v>132.195</v>
      </c>
      <c r="O3346" s="1">
        <f>value(SAR!$B3346)</f>
        <v>4321.761222</v>
      </c>
      <c r="P3346" s="1">
        <f>value(AED!$B3346)</f>
        <v>0</v>
      </c>
      <c r="Q3346" s="1">
        <f>value(KWD!$B3346)</f>
        <v>0</v>
      </c>
    </row>
    <row r="3347">
      <c r="A3347" s="4">
        <f>value(USD!A3347)</f>
        <v>43712.99861</v>
      </c>
      <c r="B3347" s="1">
        <f>value(USD!B3347)</f>
        <v>14192.5</v>
      </c>
      <c r="C3347" s="1">
        <f>value(AUD!$B3347)</f>
        <v>9601.196</v>
      </c>
      <c r="D3347" s="1">
        <f>value(EUR!$B3347)</f>
        <v>15553</v>
      </c>
      <c r="E3347" s="1">
        <f>value(GBP!$B3347)</f>
        <v>17144.9</v>
      </c>
      <c r="F3347" s="1">
        <f>value(CHF!$B3347)</f>
        <v>14106.06</v>
      </c>
      <c r="G3347" s="1">
        <f>value(SGD!$B3347)</f>
        <v>10310.38</v>
      </c>
      <c r="H3347" s="1">
        <f>value(MYR!$B3347)</f>
        <v>3371.55</v>
      </c>
      <c r="I3347" s="1">
        <f>value(THB!$B3347)</f>
        <v>460.475</v>
      </c>
      <c r="J3347" s="1">
        <f>value(VND!$B3347)</f>
        <v>0</v>
      </c>
      <c r="K3347" s="1">
        <f>value(CNY!$B3347)</f>
        <v>1993.736</v>
      </c>
      <c r="L3347" s="1">
        <f>value(HKD!$B3347)</f>
        <v>1784.455</v>
      </c>
      <c r="M3347" s="1">
        <f>value(TWD!$B3347)</f>
        <v>452.1601</v>
      </c>
      <c r="N3347" s="1">
        <f>value(JPY!$B3347)</f>
        <v>130.67</v>
      </c>
      <c r="O3347" s="1">
        <f>value(SAR!$B3347)</f>
        <v>4265.464777</v>
      </c>
      <c r="P3347" s="1">
        <f>value(AED!$B3347)</f>
        <v>0</v>
      </c>
      <c r="Q3347" s="1">
        <f>value(KWD!$B3347)</f>
        <v>0</v>
      </c>
    </row>
    <row r="3348">
      <c r="A3348" s="4">
        <f>value(USD!A3348)</f>
        <v>43713.99861</v>
      </c>
      <c r="B3348" s="1">
        <f>value(USD!B3348)</f>
        <v>14176.3</v>
      </c>
      <c r="C3348" s="1">
        <f>value(AUD!$B3348)</f>
        <v>9632.018</v>
      </c>
      <c r="D3348" s="1">
        <f>value(EUR!$B3348)</f>
        <v>15547.3</v>
      </c>
      <c r="E3348" s="1">
        <f>value(GBP!$B3348)</f>
        <v>17156.2</v>
      </c>
      <c r="F3348" s="1">
        <f>value(CHF!$B3348)</f>
        <v>14096.37</v>
      </c>
      <c r="G3348" s="1">
        <f>value(SGD!$B3348)</f>
        <v>10309.71</v>
      </c>
      <c r="H3348" s="1">
        <f>value(MYR!$B3348)</f>
        <v>3371.65</v>
      </c>
      <c r="I3348" s="1">
        <f>value(THB!$B3348)</f>
        <v>459.49</v>
      </c>
      <c r="J3348" s="1">
        <f>value(VND!$B3348)</f>
        <v>0</v>
      </c>
      <c r="K3348" s="1">
        <f>value(CNY!$B3348)</f>
        <v>1990.744</v>
      </c>
      <c r="L3348" s="1">
        <f>value(HKD!$B3348)</f>
        <v>1789.37</v>
      </c>
      <c r="M3348" s="1">
        <f>value(TWD!$B3348)</f>
        <v>453.7871</v>
      </c>
      <c r="N3348" s="1">
        <f>value(JPY!$B3348)</f>
        <v>130.61</v>
      </c>
      <c r="O3348" s="1">
        <f>value(SAR!$B3348)</f>
        <v>4265.464777</v>
      </c>
      <c r="P3348" s="1">
        <f>value(AED!$B3348)</f>
        <v>0</v>
      </c>
      <c r="Q3348" s="1">
        <f>value(KWD!$B3348)</f>
        <v>0</v>
      </c>
    </row>
    <row r="3349">
      <c r="A3349" s="4">
        <f>value(USD!A3349)</f>
        <v>43714.99861</v>
      </c>
      <c r="B3349" s="1">
        <f>value(USD!B3349)</f>
        <v>14067.15</v>
      </c>
      <c r="C3349" s="1">
        <f>value(AUD!$B3349)</f>
        <v>9581.239</v>
      </c>
      <c r="D3349" s="1">
        <f>value(EUR!$B3349)</f>
        <v>15547.3</v>
      </c>
      <c r="E3349" s="1">
        <f>value(GBP!$B3349)</f>
        <v>17328.45</v>
      </c>
      <c r="F3349" s="1">
        <f>value(CHF!$B3349)</f>
        <v>14092.25</v>
      </c>
      <c r="G3349" s="1">
        <f>value(SGD!$B3349)</f>
        <v>10309.71</v>
      </c>
      <c r="H3349" s="1">
        <f>value(MYR!$B3349)</f>
        <v>3371.65</v>
      </c>
      <c r="I3349" s="1">
        <f>value(THB!$B3349)</f>
        <v>459.49</v>
      </c>
      <c r="J3349" s="1">
        <f>value(VND!$B3349)</f>
        <v>0</v>
      </c>
      <c r="K3349" s="1">
        <f>value(CNY!$B3349)</f>
        <v>1992.304</v>
      </c>
      <c r="L3349" s="1">
        <f>value(HKD!$B3349)</f>
        <v>1785.119</v>
      </c>
      <c r="M3349" s="1">
        <f>value(TWD!$B3349)</f>
        <v>453.773</v>
      </c>
      <c r="N3349" s="1">
        <f>value(JPY!$B3349)</f>
        <v>131.91</v>
      </c>
      <c r="O3349" s="1">
        <f>value(SAR!$B3349)</f>
        <v>4256.796028</v>
      </c>
      <c r="P3349" s="1">
        <f>value(AED!$B3349)</f>
        <v>0</v>
      </c>
      <c r="Q3349" s="1">
        <f>value(KWD!$B3349)</f>
        <v>0</v>
      </c>
    </row>
    <row r="3350">
      <c r="A3350" s="4">
        <f>value(USD!A3350)</f>
        <v>43715.99861</v>
      </c>
      <c r="B3350" s="1">
        <f>value(USD!B3350)</f>
        <v>14067.15</v>
      </c>
      <c r="C3350" s="1">
        <f>value(AUD!$B3350)</f>
        <v>9576.695</v>
      </c>
      <c r="D3350" s="1">
        <f>value(EUR!$B3350)</f>
        <v>15495</v>
      </c>
      <c r="E3350" s="1">
        <f>value(GBP!$B3350)</f>
        <v>17315.3</v>
      </c>
      <c r="F3350" s="1">
        <f>value(CHF!$B3350)</f>
        <v>14143.07</v>
      </c>
      <c r="G3350" s="1">
        <f>value(SGD!$B3350)</f>
        <v>10304.7</v>
      </c>
      <c r="H3350" s="1">
        <f>value(MYR!$B3350)</f>
        <v>3361.7</v>
      </c>
      <c r="I3350" s="1">
        <f>value(THB!$B3350)</f>
        <v>457.54</v>
      </c>
      <c r="J3350" s="1">
        <f>value(VND!$B3350)</f>
        <v>0</v>
      </c>
      <c r="K3350" s="1">
        <f>value(CNY!$B3350)</f>
        <v>1991.962</v>
      </c>
      <c r="L3350" s="1">
        <f>value(HKD!$B3350)</f>
        <v>1789.117</v>
      </c>
      <c r="M3350" s="1">
        <f>value(TWD!$B3350)</f>
        <v>454.3738</v>
      </c>
      <c r="N3350" s="1">
        <f>value(JPY!$B3350)</f>
        <v>130.68</v>
      </c>
      <c r="O3350" s="1">
        <f>value(SAR!$B3350)</f>
        <v>4352.376084</v>
      </c>
      <c r="P3350" s="1">
        <f>value(AED!$B3350)</f>
        <v>0</v>
      </c>
      <c r="Q3350" s="1">
        <f>value(KWD!$B3350)</f>
        <v>0</v>
      </c>
    </row>
    <row r="3351">
      <c r="A3351" s="4">
        <f>value(USD!A3351)</f>
        <v>43716.99861</v>
      </c>
      <c r="B3351" s="1">
        <f>value(USD!B3351)</f>
        <v>14095</v>
      </c>
      <c r="C3351" s="1">
        <f>value(AUD!$B3351)</f>
        <v>9635.158</v>
      </c>
      <c r="D3351" s="1">
        <f>value(EUR!$B3351)</f>
        <v>15515</v>
      </c>
      <c r="E3351" s="1">
        <f>value(GBP!$B3351)</f>
        <v>17351.1</v>
      </c>
      <c r="F3351" s="1">
        <f>value(CHF!$B3351)</f>
        <v>14215.94</v>
      </c>
      <c r="G3351" s="1">
        <f>value(SGD!$B3351)</f>
        <v>10375.06</v>
      </c>
      <c r="H3351" s="1">
        <f>value(MYR!$B3351)</f>
        <v>3373.1</v>
      </c>
      <c r="I3351" s="1">
        <f>value(THB!$B3351)</f>
        <v>458.615</v>
      </c>
      <c r="J3351" s="1">
        <f>value(VND!$B3351)</f>
        <v>0</v>
      </c>
      <c r="K3351" s="1">
        <f>value(CNY!$B3351)</f>
        <v>1995.286</v>
      </c>
      <c r="L3351" s="1">
        <f>value(HKD!$B3351)</f>
        <v>1789.038</v>
      </c>
      <c r="M3351" s="1">
        <f>value(TWD!$B3351)</f>
        <v>453.5458</v>
      </c>
      <c r="N3351" s="1">
        <f>value(JPY!$B3351)</f>
        <v>130.49</v>
      </c>
      <c r="O3351" s="1">
        <f>value(SAR!$B3351)</f>
        <v>4324.332974</v>
      </c>
      <c r="P3351" s="1">
        <f>value(AED!$B3351)</f>
        <v>0</v>
      </c>
      <c r="Q3351" s="1">
        <f>value(KWD!$B3351)</f>
        <v>0</v>
      </c>
    </row>
    <row r="3352">
      <c r="A3352" s="4">
        <f>value(USD!A3352)</f>
        <v>43717.99861</v>
      </c>
      <c r="B3352" s="1">
        <f>value(USD!B3352)</f>
        <v>14031</v>
      </c>
      <c r="C3352" s="1">
        <f>value(AUD!$B3352)</f>
        <v>9633.839</v>
      </c>
      <c r="D3352" s="1">
        <f>value(EUR!$B3352)</f>
        <v>15460</v>
      </c>
      <c r="E3352" s="1">
        <f>value(GBP!$B3352)</f>
        <v>17312.7</v>
      </c>
      <c r="F3352" s="1">
        <f>value(CHF!$B3352)</f>
        <v>14206.93</v>
      </c>
      <c r="G3352" s="1">
        <f>value(SGD!$B3352)</f>
        <v>10385.53</v>
      </c>
      <c r="H3352" s="1">
        <f>value(MYR!$B3352)</f>
        <v>3364.7</v>
      </c>
      <c r="I3352" s="1">
        <f>value(THB!$B3352)</f>
        <v>459.22</v>
      </c>
      <c r="J3352" s="1">
        <f>value(VND!$B3352)</f>
        <v>0</v>
      </c>
      <c r="K3352" s="1">
        <f>value(CNY!$B3352)</f>
        <v>1995.012</v>
      </c>
      <c r="L3352" s="1">
        <f>value(HKD!$B3352)</f>
        <v>1794.348</v>
      </c>
      <c r="M3352" s="1">
        <f>value(TWD!$B3352)</f>
        <v>453.4553</v>
      </c>
      <c r="N3352" s="1">
        <f>value(JPY!$B3352)</f>
        <v>129.96</v>
      </c>
      <c r="O3352" s="1">
        <f>value(SAR!$B3352)</f>
        <v>4364.192425</v>
      </c>
      <c r="P3352" s="1">
        <f>value(AED!$B3352)</f>
        <v>0</v>
      </c>
      <c r="Q3352" s="1">
        <f>value(KWD!$B3352)</f>
        <v>0</v>
      </c>
    </row>
    <row r="3353">
      <c r="A3353" s="4">
        <f>value(USD!A3353)</f>
        <v>43718.99861</v>
      </c>
      <c r="B3353" s="1">
        <f>value(USD!B3353)</f>
        <v>14099.8</v>
      </c>
      <c r="C3353" s="1">
        <f>value(AUD!$B3353)</f>
        <v>9633.839</v>
      </c>
      <c r="D3353" s="1">
        <f>value(EUR!$B3353)</f>
        <v>15422.6</v>
      </c>
      <c r="E3353" s="1">
        <f>value(GBP!$B3353)</f>
        <v>17200.25</v>
      </c>
      <c r="F3353" s="1">
        <f>value(CHF!$B3353)</f>
        <v>14225</v>
      </c>
      <c r="G3353" s="1">
        <f>value(SGD!$B3353)</f>
        <v>10404.91</v>
      </c>
      <c r="H3353" s="1">
        <f>value(MYR!$B3353)</f>
        <v>3345.2</v>
      </c>
      <c r="I3353" s="1">
        <f>value(THB!$B3353)</f>
        <v>457.565</v>
      </c>
      <c r="J3353" s="1">
        <f>value(VND!$B3353)</f>
        <v>0</v>
      </c>
      <c r="K3353" s="1">
        <f>value(CNY!$B3353)</f>
        <v>1995.012</v>
      </c>
      <c r="L3353" s="1">
        <f>value(HKD!$B3353)</f>
        <v>1793.351</v>
      </c>
      <c r="M3353" s="1">
        <f>value(TWD!$B3353)</f>
        <v>453.4553</v>
      </c>
      <c r="N3353" s="1">
        <f>value(JPY!$B3353)</f>
        <v>128.95</v>
      </c>
      <c r="O3353" s="1">
        <f>value(SAR!$B3353)</f>
        <v>4372.011194</v>
      </c>
      <c r="P3353" s="1">
        <f>value(AED!$B3353)</f>
        <v>0</v>
      </c>
      <c r="Q3353" s="1">
        <f>value(KWD!$B3353)</f>
        <v>0</v>
      </c>
    </row>
    <row r="3354">
      <c r="A3354" s="4">
        <f>value(USD!A3354)</f>
        <v>43719.99861</v>
      </c>
      <c r="B3354" s="1">
        <f>value(USD!B3354)</f>
        <v>14112.4</v>
      </c>
      <c r="C3354" s="1">
        <f>value(AUD!$B3354)</f>
        <v>9639.71</v>
      </c>
      <c r="D3354" s="1">
        <f>value(EUR!$B3354)</f>
        <v>15460</v>
      </c>
      <c r="E3354" s="1">
        <f>value(GBP!$B3354)</f>
        <v>17323.1</v>
      </c>
      <c r="F3354" s="1">
        <f>value(CHF!$B3354)</f>
        <v>14222.61</v>
      </c>
      <c r="G3354" s="1">
        <f>value(SGD!$B3354)</f>
        <v>10343.57</v>
      </c>
      <c r="H3354" s="1">
        <f>value(MYR!$B3354)</f>
        <v>3348.65</v>
      </c>
      <c r="I3354" s="1">
        <f>value(THB!$B3354)</f>
        <v>457.64</v>
      </c>
      <c r="J3354" s="1">
        <f>value(VND!$B3354)</f>
        <v>0</v>
      </c>
      <c r="K3354" s="1">
        <f>value(CNY!$B3354)</f>
        <v>1995.012</v>
      </c>
      <c r="L3354" s="1">
        <f>value(HKD!$B3354)</f>
        <v>1790.453</v>
      </c>
      <c r="M3354" s="1">
        <f>value(TWD!$B3354)</f>
        <v>453.4553</v>
      </c>
      <c r="N3354" s="1">
        <f>value(JPY!$B3354)</f>
        <v>128.21</v>
      </c>
      <c r="O3354" s="1">
        <f>value(SAR!$B3354)</f>
        <v>4425.122006</v>
      </c>
      <c r="P3354" s="1">
        <f>value(AED!$B3354)</f>
        <v>0</v>
      </c>
      <c r="Q3354" s="1">
        <f>value(KWD!$B3354)</f>
        <v>0</v>
      </c>
    </row>
    <row r="3355">
      <c r="A3355" s="4">
        <f>value(USD!A3355)</f>
        <v>43720.99861</v>
      </c>
      <c r="B3355" s="1">
        <f>value(USD!B3355)</f>
        <v>13990</v>
      </c>
      <c r="C3355" s="1">
        <f>value(AUD!$B3355)</f>
        <v>9667.37</v>
      </c>
      <c r="D3355" s="1">
        <f>value(EUR!$B3355)</f>
        <v>15460</v>
      </c>
      <c r="E3355" s="1">
        <f>value(GBP!$B3355)</f>
        <v>17323.1</v>
      </c>
      <c r="F3355" s="1">
        <f>value(CHF!$B3355)</f>
        <v>14225.55</v>
      </c>
      <c r="G3355" s="1">
        <f>value(SGD!$B3355)</f>
        <v>10325.38</v>
      </c>
      <c r="H3355" s="1">
        <f>value(MYR!$B3355)</f>
        <v>3348.65</v>
      </c>
      <c r="I3355" s="1">
        <f>value(THB!$B3355)</f>
        <v>457.64</v>
      </c>
      <c r="J3355" s="1">
        <f>value(VND!$B3355)</f>
        <v>0</v>
      </c>
      <c r="K3355" s="1">
        <f>value(CNY!$B3355)</f>
        <v>1992.49</v>
      </c>
      <c r="L3355" s="1">
        <f>value(HKD!$B3355)</f>
        <v>1786.234</v>
      </c>
      <c r="M3355" s="1">
        <f>value(TWD!$B3355)</f>
        <v>453.977</v>
      </c>
      <c r="N3355" s="1">
        <f>value(JPY!$B3355)</f>
        <v>128.21</v>
      </c>
      <c r="O3355" s="1">
        <f>value(SAR!$B3355)</f>
        <v>4352.727311</v>
      </c>
      <c r="P3355" s="1">
        <f>value(AED!$B3355)</f>
        <v>0</v>
      </c>
      <c r="Q3355" s="1">
        <f>value(KWD!$B3355)</f>
        <v>0</v>
      </c>
    </row>
    <row r="3356">
      <c r="A3356" s="4">
        <f>value(USD!A3356)</f>
        <v>43721.99861</v>
      </c>
      <c r="B3356" s="1">
        <f>value(USD!B3356)</f>
        <v>13965</v>
      </c>
      <c r="C3356" s="1">
        <f>value(AUD!$B3356)</f>
        <v>9661.112</v>
      </c>
      <c r="D3356" s="1">
        <f>value(EUR!$B3356)</f>
        <v>15460</v>
      </c>
      <c r="E3356" s="1">
        <f>value(GBP!$B3356)</f>
        <v>17431.7</v>
      </c>
      <c r="F3356" s="1">
        <f>value(CHF!$B3356)</f>
        <v>14152.75</v>
      </c>
      <c r="G3356" s="1">
        <f>value(SGD!$B3356)</f>
        <v>10325.38</v>
      </c>
      <c r="H3356" s="1">
        <f>value(MYR!$B3356)</f>
        <v>3348.65</v>
      </c>
      <c r="I3356" s="1">
        <f>value(THB!$B3356)</f>
        <v>457.64</v>
      </c>
      <c r="J3356" s="1">
        <f>value(VND!$B3356)</f>
        <v>0</v>
      </c>
      <c r="K3356" s="1">
        <f>value(CNY!$B3356)</f>
        <v>1989.973</v>
      </c>
      <c r="L3356" s="1">
        <f>value(HKD!$B3356)</f>
        <v>1791.05</v>
      </c>
      <c r="M3356" s="1">
        <f>value(TWD!$B3356)</f>
        <v>455.2696</v>
      </c>
      <c r="N3356" s="1">
        <f>value(JPY!$B3356)</f>
        <v>129.425</v>
      </c>
      <c r="O3356" s="1">
        <f>value(SAR!$B3356)</f>
        <v>4364.868359</v>
      </c>
      <c r="P3356" s="1">
        <f>value(AED!$B3356)</f>
        <v>0</v>
      </c>
      <c r="Q3356" s="1">
        <f>value(KWD!$B3356)</f>
        <v>0</v>
      </c>
    </row>
    <row r="3357">
      <c r="A3357" s="4">
        <f>value(USD!A3357)</f>
        <v>43722.99861</v>
      </c>
      <c r="B3357" s="1">
        <f>value(USD!B3357)</f>
        <v>13965</v>
      </c>
      <c r="C3357" s="1">
        <f>value(AUD!$B3357)</f>
        <v>9654.322</v>
      </c>
      <c r="D3357" s="1">
        <f>value(EUR!$B3357)</f>
        <v>15450</v>
      </c>
      <c r="E3357" s="1">
        <f>value(GBP!$B3357)</f>
        <v>17445.6</v>
      </c>
      <c r="F3357" s="1">
        <f>value(CHF!$B3357)</f>
        <v>14118.18</v>
      </c>
      <c r="G3357" s="1">
        <f>value(SGD!$B3357)</f>
        <v>10333.19</v>
      </c>
      <c r="H3357" s="1">
        <f>value(MYR!$B3357)</f>
        <v>3362.65</v>
      </c>
      <c r="I3357" s="1">
        <f>value(THB!$B3357)</f>
        <v>459.92</v>
      </c>
      <c r="J3357" s="1">
        <f>value(VND!$B3357)</f>
        <v>0</v>
      </c>
      <c r="K3357" s="1">
        <f>value(CNY!$B3357)</f>
        <v>1989.973</v>
      </c>
      <c r="L3357" s="1">
        <f>value(HKD!$B3357)</f>
        <v>1791.05</v>
      </c>
      <c r="M3357" s="1">
        <f>value(TWD!$B3357)</f>
        <v>455.4245</v>
      </c>
      <c r="N3357" s="1">
        <f>value(JPY!$B3357)</f>
        <v>129.81</v>
      </c>
      <c r="O3357" s="1">
        <f>value(SAR!$B3357)</f>
        <v>4352.734292</v>
      </c>
      <c r="P3357" s="1">
        <f>value(AED!$B3357)</f>
        <v>0</v>
      </c>
      <c r="Q3357" s="1">
        <f>value(KWD!$B3357)</f>
        <v>0</v>
      </c>
    </row>
    <row r="3358">
      <c r="A3358" s="4">
        <f>value(USD!A3358)</f>
        <v>43723.99861</v>
      </c>
      <c r="B3358" s="1">
        <f>value(USD!B3358)</f>
        <v>13965</v>
      </c>
      <c r="C3358" s="1">
        <f>value(AUD!$B3358)</f>
        <v>9693.545</v>
      </c>
      <c r="D3358" s="1">
        <f>value(EUR!$B3358)</f>
        <v>15450</v>
      </c>
      <c r="E3358" s="1">
        <f>value(GBP!$B3358)</f>
        <v>17440.05</v>
      </c>
      <c r="F3358" s="1">
        <f>value(CHF!$B3358)</f>
        <v>14052.16</v>
      </c>
      <c r="G3358" s="1">
        <f>value(SGD!$B3358)</f>
        <v>10395.29</v>
      </c>
      <c r="H3358" s="1">
        <f>value(MYR!$B3358)</f>
        <v>3332.2</v>
      </c>
      <c r="I3358" s="1">
        <f>value(THB!$B3358)</f>
        <v>456.94</v>
      </c>
      <c r="J3358" s="1">
        <f>value(VND!$B3358)</f>
        <v>0</v>
      </c>
      <c r="K3358" s="1">
        <f>value(CNY!$B3358)</f>
        <v>1994.421</v>
      </c>
      <c r="L3358" s="1">
        <f>value(HKD!$B3358)</f>
        <v>1790.061</v>
      </c>
      <c r="M3358" s="1">
        <f>value(TWD!$B3358)</f>
        <v>455.5057</v>
      </c>
      <c r="N3358" s="1">
        <f>value(JPY!$B3358)</f>
        <v>129.05</v>
      </c>
      <c r="O3358" s="1">
        <f>value(SAR!$B3358)</f>
        <v>4324.271391</v>
      </c>
      <c r="P3358" s="1">
        <f>value(AED!$B3358)</f>
        <v>0</v>
      </c>
      <c r="Q3358" s="1">
        <f>value(KWD!$B3358)</f>
        <v>0</v>
      </c>
    </row>
    <row r="3359">
      <c r="A3359" s="4">
        <f>value(USD!A3359)</f>
        <v>43724.99861</v>
      </c>
      <c r="B3359" s="1">
        <f>value(USD!B3359)</f>
        <v>14174.3</v>
      </c>
      <c r="C3359" s="1">
        <f>value(AUD!$B3359)</f>
        <v>9745.692</v>
      </c>
      <c r="D3359" s="1">
        <f>value(EUR!$B3359)</f>
        <v>15600</v>
      </c>
      <c r="E3359" s="1">
        <f>value(GBP!$B3359)</f>
        <v>17638.45</v>
      </c>
      <c r="F3359" s="1">
        <f>value(CHF!$B3359)</f>
        <v>14055.5</v>
      </c>
      <c r="G3359" s="1">
        <f>value(SGD!$B3359)</f>
        <v>10349.64</v>
      </c>
      <c r="H3359" s="1">
        <f>value(MYR!$B3359)</f>
        <v>3371.75</v>
      </c>
      <c r="I3359" s="1">
        <f>value(THB!$B3359)</f>
        <v>463.005</v>
      </c>
      <c r="J3359" s="1">
        <f>value(VND!$B3359)</f>
        <v>0</v>
      </c>
      <c r="K3359" s="1">
        <f>value(CNY!$B3359)</f>
        <v>2001.57</v>
      </c>
      <c r="L3359" s="1">
        <f>value(HKD!$B3359)</f>
        <v>1788.96</v>
      </c>
      <c r="M3359" s="1">
        <f>value(TWD!$B3359)</f>
        <v>455.7473</v>
      </c>
      <c r="N3359" s="1">
        <f>value(JPY!$B3359)</f>
        <v>130.44</v>
      </c>
      <c r="O3359" s="1">
        <f>value(SAR!$B3359)</f>
        <v>4308.814072</v>
      </c>
      <c r="P3359" s="1">
        <f>value(AED!$B3359)</f>
        <v>0</v>
      </c>
      <c r="Q3359" s="1">
        <f>value(KWD!$B3359)</f>
        <v>0</v>
      </c>
    </row>
    <row r="3360">
      <c r="A3360" s="4">
        <f>value(USD!A3360)</f>
        <v>43725.99861</v>
      </c>
      <c r="B3360" s="1">
        <f>value(USD!B3360)</f>
        <v>14130.8</v>
      </c>
      <c r="C3360" s="1">
        <f>value(AUD!$B3360)</f>
        <v>9745.692</v>
      </c>
      <c r="D3360" s="1">
        <f>value(EUR!$B3360)</f>
        <v>15600</v>
      </c>
      <c r="E3360" s="1">
        <f>value(GBP!$B3360)</f>
        <v>17689.4</v>
      </c>
      <c r="F3360" s="1">
        <f>value(CHF!$B3360)</f>
        <v>14055.5</v>
      </c>
      <c r="G3360" s="1">
        <f>value(SGD!$B3360)</f>
        <v>10384.62</v>
      </c>
      <c r="H3360" s="1">
        <f>value(MYR!$B3360)</f>
        <v>3370.9</v>
      </c>
      <c r="I3360" s="1">
        <f>value(THB!$B3360)</f>
        <v>462.54</v>
      </c>
      <c r="J3360" s="1">
        <f>value(VND!$B3360)</f>
        <v>0</v>
      </c>
      <c r="K3360" s="1">
        <f>value(CNY!$B3360)</f>
        <v>2001.57</v>
      </c>
      <c r="L3360" s="1">
        <f>value(HKD!$B3360)</f>
        <v>1796.101</v>
      </c>
      <c r="M3360" s="1">
        <f>value(TWD!$B3360)</f>
        <v>455.7473</v>
      </c>
      <c r="N3360" s="1">
        <f>value(JPY!$B3360)</f>
        <v>130.72</v>
      </c>
      <c r="O3360" s="1">
        <f>value(SAR!$B3360)</f>
        <v>4229.003943</v>
      </c>
      <c r="P3360" s="1">
        <f>value(AED!$B3360)</f>
        <v>0</v>
      </c>
      <c r="Q3360" s="1">
        <f>value(KWD!$B3360)</f>
        <v>0</v>
      </c>
    </row>
    <row r="3361">
      <c r="A3361" s="4">
        <f>value(USD!A3361)</f>
        <v>43726.99861</v>
      </c>
      <c r="B3361" s="1">
        <f>value(USD!B3361)</f>
        <v>14130</v>
      </c>
      <c r="C3361" s="1">
        <f>value(AUD!$B3361)</f>
        <v>9740.896</v>
      </c>
      <c r="D3361" s="1">
        <f>value(EUR!$B3361)</f>
        <v>15508.5</v>
      </c>
      <c r="E3361" s="1">
        <f>value(GBP!$B3361)</f>
        <v>17531.9</v>
      </c>
      <c r="F3361" s="1">
        <f>value(CHF!$B3361)</f>
        <v>14053.4</v>
      </c>
      <c r="G3361" s="1">
        <f>value(SGD!$B3361)</f>
        <v>10328.17</v>
      </c>
      <c r="H3361" s="1">
        <f>value(MYR!$B3361)</f>
        <v>3366.25</v>
      </c>
      <c r="I3361" s="1">
        <f>value(THB!$B3361)</f>
        <v>460.765</v>
      </c>
      <c r="J3361" s="1">
        <f>value(VND!$B3361)</f>
        <v>0</v>
      </c>
      <c r="K3361" s="1">
        <f>value(CNY!$B3361)</f>
        <v>2001.57</v>
      </c>
      <c r="L3361" s="1">
        <f>value(HKD!$B3361)</f>
        <v>1798.64</v>
      </c>
      <c r="M3361" s="1">
        <f>value(TWD!$B3361)</f>
        <v>455.7473</v>
      </c>
      <c r="N3361" s="1">
        <f>value(JPY!$B3361)</f>
        <v>130.62</v>
      </c>
      <c r="O3361" s="1">
        <f>value(SAR!$B3361)</f>
        <v>4198.031535</v>
      </c>
      <c r="P3361" s="1">
        <f>value(AED!$B3361)</f>
        <v>0</v>
      </c>
      <c r="Q3361" s="1">
        <f>value(KWD!$B3361)</f>
        <v>0</v>
      </c>
    </row>
    <row r="3362">
      <c r="A3362" s="4">
        <f>value(USD!A3362)</f>
        <v>43727.99861</v>
      </c>
      <c r="B3362" s="1">
        <f>value(USD!B3362)</f>
        <v>14162</v>
      </c>
      <c r="C3362" s="1">
        <f>value(AUD!$B3362)</f>
        <v>9750.609</v>
      </c>
      <c r="D3362" s="1">
        <f>value(EUR!$B3362)</f>
        <v>15472</v>
      </c>
      <c r="E3362" s="1">
        <f>value(GBP!$B3362)</f>
        <v>17531.9</v>
      </c>
      <c r="F3362" s="1">
        <f>value(CHF!$B3362)</f>
        <v>14097.36</v>
      </c>
      <c r="G3362" s="1">
        <f>value(SGD!$B3362)</f>
        <v>10341.26</v>
      </c>
      <c r="H3362" s="1">
        <f>value(MYR!$B3362)</f>
        <v>3366.25</v>
      </c>
      <c r="I3362" s="1">
        <f>value(THB!$B3362)</f>
        <v>460.765</v>
      </c>
      <c r="J3362" s="1">
        <f>value(VND!$B3362)</f>
        <v>0</v>
      </c>
      <c r="K3362" s="1">
        <f>value(CNY!$B3362)</f>
        <v>1991.779</v>
      </c>
      <c r="L3362" s="1">
        <f>value(HKD!$B3362)</f>
        <v>1798.768</v>
      </c>
      <c r="M3362" s="1">
        <f>value(TWD!$B3362)</f>
        <v>454.9494</v>
      </c>
      <c r="N3362" s="1">
        <f>value(JPY!$B3362)</f>
        <v>130.62</v>
      </c>
      <c r="O3362" s="1">
        <f>value(SAR!$B3362)</f>
        <v>4198.031535</v>
      </c>
      <c r="P3362" s="1">
        <f>value(AED!$B3362)</f>
        <v>0</v>
      </c>
      <c r="Q3362" s="1">
        <f>value(KWD!$B3362)</f>
        <v>0</v>
      </c>
    </row>
    <row r="3363">
      <c r="A3363" s="4">
        <f>value(USD!A3363)</f>
        <v>43728.99861</v>
      </c>
      <c r="B3363" s="1">
        <f>value(USD!B3363)</f>
        <v>14105.3</v>
      </c>
      <c r="C3363" s="1">
        <f>value(AUD!$B3363)</f>
        <v>9741.479</v>
      </c>
      <c r="D3363" s="1">
        <f>value(EUR!$B3363)</f>
        <v>15472</v>
      </c>
      <c r="E3363" s="1">
        <f>value(GBP!$B3363)</f>
        <v>17508.9</v>
      </c>
      <c r="F3363" s="1">
        <f>value(CHF!$B3363)</f>
        <v>14164.6</v>
      </c>
      <c r="G3363" s="1">
        <f>value(SGD!$B3363)</f>
        <v>10341.26</v>
      </c>
      <c r="H3363" s="1">
        <f>value(MYR!$B3363)</f>
        <v>3366.25</v>
      </c>
      <c r="I3363" s="1">
        <f>value(THB!$B3363)</f>
        <v>460.765</v>
      </c>
      <c r="J3363" s="1">
        <f>value(VND!$B3363)</f>
        <v>0</v>
      </c>
      <c r="K3363" s="1">
        <f>value(CNY!$B3363)</f>
        <v>1997.391</v>
      </c>
      <c r="L3363" s="1">
        <f>value(HKD!$B3363)</f>
        <v>1798.284</v>
      </c>
      <c r="M3363" s="1">
        <f>value(TWD!$B3363)</f>
        <v>452.1735</v>
      </c>
      <c r="N3363" s="1">
        <f>value(JPY!$B3363)</f>
        <v>130.42</v>
      </c>
      <c r="O3363" s="1">
        <f>value(SAR!$B3363)</f>
        <v>4201.461779</v>
      </c>
      <c r="P3363" s="1">
        <f>value(AED!$B3363)</f>
        <v>0</v>
      </c>
      <c r="Q3363" s="1">
        <f>value(KWD!$B3363)</f>
        <v>0</v>
      </c>
    </row>
    <row r="3364">
      <c r="A3364" s="4">
        <f>value(USD!A3364)</f>
        <v>43729.99861</v>
      </c>
      <c r="B3364" s="1">
        <f>value(USD!B3364)</f>
        <v>14105.3</v>
      </c>
      <c r="C3364" s="1">
        <f>value(AUD!$B3364)</f>
        <v>9749.836</v>
      </c>
      <c r="D3364" s="1">
        <f>value(EUR!$B3364)</f>
        <v>15472</v>
      </c>
      <c r="E3364" s="1">
        <f>value(GBP!$B3364)</f>
        <v>17499.35</v>
      </c>
      <c r="F3364" s="1">
        <f>value(CHF!$B3364)</f>
        <v>14226.12</v>
      </c>
      <c r="G3364" s="1">
        <f>value(SGD!$B3364)</f>
        <v>10323.98</v>
      </c>
      <c r="H3364" s="1">
        <f>value(MYR!$B3364)</f>
        <v>3367.65</v>
      </c>
      <c r="I3364" s="1">
        <f>value(THB!$B3364)</f>
        <v>461.93</v>
      </c>
      <c r="J3364" s="1">
        <f>value(VND!$B3364)</f>
        <v>0</v>
      </c>
      <c r="K3364" s="1">
        <f>value(CNY!$B3364)</f>
        <v>2001.684</v>
      </c>
      <c r="L3364" s="1">
        <f>value(HKD!$B3364)</f>
        <v>1795.085</v>
      </c>
      <c r="M3364" s="1">
        <f>value(TWD!$B3364)</f>
        <v>454.1919</v>
      </c>
      <c r="N3364" s="1">
        <f>value(JPY!$B3364)</f>
        <v>130.775</v>
      </c>
      <c r="O3364" s="1">
        <f>value(SAR!$B3364)</f>
        <v>4215.178012</v>
      </c>
      <c r="P3364" s="1">
        <f>value(AED!$B3364)</f>
        <v>0</v>
      </c>
      <c r="Q3364" s="1">
        <f>value(KWD!$B3364)</f>
        <v>0</v>
      </c>
    </row>
    <row r="3365">
      <c r="A3365" s="4">
        <f>value(USD!A3365)</f>
        <v>43730.99861</v>
      </c>
      <c r="B3365" s="1">
        <f>value(USD!B3365)</f>
        <v>14055</v>
      </c>
      <c r="C3365" s="1">
        <f>value(AUD!$B3365)</f>
        <v>9699.391</v>
      </c>
      <c r="D3365" s="1">
        <f>value(EUR!$B3365)</f>
        <v>15550</v>
      </c>
      <c r="E3365" s="1">
        <f>value(GBP!$B3365)</f>
        <v>17627.3</v>
      </c>
      <c r="F3365" s="1">
        <f>value(CHF!$B3365)</f>
        <v>14241.46</v>
      </c>
      <c r="G3365" s="1">
        <f>value(SGD!$B3365)</f>
        <v>10311.58</v>
      </c>
      <c r="H3365" s="1">
        <f>value(MYR!$B3365)</f>
        <v>3376.25</v>
      </c>
      <c r="I3365" s="1">
        <f>value(THB!$B3365)</f>
        <v>462.135</v>
      </c>
      <c r="J3365" s="1">
        <f>value(VND!$B3365)</f>
        <v>0</v>
      </c>
      <c r="K3365" s="1">
        <f>value(CNY!$B3365)</f>
        <v>1995.662</v>
      </c>
      <c r="L3365" s="1">
        <f>value(HKD!$B3365)</f>
        <v>1794.419</v>
      </c>
      <c r="M3365" s="1">
        <f>value(TWD!$B3365)</f>
        <v>451.425</v>
      </c>
      <c r="N3365" s="1">
        <f>value(JPY!$B3365)</f>
        <v>131.745</v>
      </c>
      <c r="O3365" s="1">
        <f>value(SAR!$B3365)</f>
        <v>4144.950422</v>
      </c>
      <c r="P3365" s="1">
        <f>value(AED!$B3365)</f>
        <v>0</v>
      </c>
      <c r="Q3365" s="1">
        <f>value(KWD!$B3365)</f>
        <v>0</v>
      </c>
    </row>
    <row r="3366">
      <c r="A3366" s="4">
        <f>value(USD!A3366)</f>
        <v>43731.99861</v>
      </c>
      <c r="B3366" s="1">
        <f>value(USD!B3366)</f>
        <v>14085</v>
      </c>
      <c r="C3366" s="1">
        <f>value(AUD!$B3366)</f>
        <v>9686.695</v>
      </c>
      <c r="D3366" s="1">
        <f>value(EUR!$B3366)</f>
        <v>15485</v>
      </c>
      <c r="E3366" s="1">
        <f>value(GBP!$B3366)</f>
        <v>17474.45</v>
      </c>
      <c r="F3366" s="1">
        <f>value(CHF!$B3366)</f>
        <v>14218.26</v>
      </c>
      <c r="G3366" s="1">
        <f>value(SGD!$B3366)</f>
        <v>10322.46</v>
      </c>
      <c r="H3366" s="1">
        <f>value(MYR!$B3366)</f>
        <v>3376.3</v>
      </c>
      <c r="I3366" s="1">
        <f>value(THB!$B3366)</f>
        <v>462.18</v>
      </c>
      <c r="J3366" s="1">
        <f>value(VND!$B3366)</f>
        <v>0</v>
      </c>
      <c r="K3366" s="1">
        <f>value(CNY!$B3366)</f>
        <v>1988.252</v>
      </c>
      <c r="L3366" s="1">
        <f>value(HKD!$B3366)</f>
        <v>1796.165</v>
      </c>
      <c r="M3366" s="1">
        <f>value(TWD!$B3366)</f>
        <v>454.1572</v>
      </c>
      <c r="N3366" s="1">
        <f>value(JPY!$B3366)</f>
        <v>131.285</v>
      </c>
      <c r="O3366" s="1">
        <f>value(SAR!$B3366)</f>
        <v>4231.520351</v>
      </c>
      <c r="P3366" s="1">
        <f>value(AED!$B3366)</f>
        <v>0</v>
      </c>
      <c r="Q3366" s="1">
        <f>value(KWD!$B3366)</f>
        <v>0</v>
      </c>
    </row>
    <row r="3367">
      <c r="A3367" s="4">
        <f>value(USD!A3367)</f>
        <v>43732.99861</v>
      </c>
      <c r="B3367" s="1">
        <f>value(USD!B3367)</f>
        <v>14181.3</v>
      </c>
      <c r="C3367" s="1">
        <f>value(AUD!$B3367)</f>
        <v>9686.695</v>
      </c>
      <c r="D3367" s="1">
        <f>value(EUR!$B3367)</f>
        <v>15496.3</v>
      </c>
      <c r="E3367" s="1">
        <f>value(GBP!$B3367)</f>
        <v>17491.65</v>
      </c>
      <c r="F3367" s="1">
        <f>value(CHF!$B3367)</f>
        <v>14192</v>
      </c>
      <c r="G3367" s="1">
        <f>value(SGD!$B3367)</f>
        <v>10347.78</v>
      </c>
      <c r="H3367" s="1">
        <f>value(MYR!$B3367)</f>
        <v>3389.6</v>
      </c>
      <c r="I3367" s="1">
        <f>value(THB!$B3367)</f>
        <v>463.085</v>
      </c>
      <c r="J3367" s="1">
        <f>value(VND!$B3367)</f>
        <v>0</v>
      </c>
      <c r="K3367" s="1">
        <f>value(CNY!$B3367)</f>
        <v>1984.473</v>
      </c>
      <c r="L3367" s="1">
        <f>value(HKD!$B3367)</f>
        <v>1799.988</v>
      </c>
      <c r="M3367" s="1">
        <f>value(TWD!$B3367)</f>
        <v>454.1572</v>
      </c>
      <c r="N3367" s="1">
        <f>value(JPY!$B3367)</f>
        <v>131.655</v>
      </c>
      <c r="O3367" s="1">
        <f>value(SAR!$B3367)</f>
        <v>4146.360163</v>
      </c>
      <c r="P3367" s="1">
        <f>value(AED!$B3367)</f>
        <v>0</v>
      </c>
      <c r="Q3367" s="1">
        <f>value(KWD!$B3367)</f>
        <v>0</v>
      </c>
    </row>
    <row r="3368">
      <c r="A3368" s="4">
        <f>value(USD!A3368)</f>
        <v>43733.99861</v>
      </c>
      <c r="B3368" s="1">
        <f>value(USD!B3368)</f>
        <v>14150</v>
      </c>
      <c r="C3368" s="1">
        <f>value(AUD!$B3368)</f>
        <v>9677.419</v>
      </c>
      <c r="D3368" s="1">
        <f>value(EUR!$B3368)</f>
        <v>15495</v>
      </c>
      <c r="E3368" s="1">
        <f>value(GBP!$B3368)</f>
        <v>17418.6</v>
      </c>
      <c r="F3368" s="1">
        <f>value(CHF!$B3368)</f>
        <v>14199.2</v>
      </c>
      <c r="G3368" s="1">
        <f>value(SGD!$B3368)</f>
        <v>10261.78</v>
      </c>
      <c r="H3368" s="1">
        <f>value(MYR!$B3368)</f>
        <v>3376.2</v>
      </c>
      <c r="I3368" s="1">
        <f>value(THB!$B3368)</f>
        <v>462.275</v>
      </c>
      <c r="J3368" s="1">
        <f>value(VND!$B3368)</f>
        <v>0</v>
      </c>
      <c r="K3368" s="1">
        <f>value(CNY!$B3368)</f>
        <v>1984.473</v>
      </c>
      <c r="L3368" s="1">
        <f>value(HKD!$B3368)</f>
        <v>1793.473</v>
      </c>
      <c r="M3368" s="1">
        <f>value(TWD!$B3368)</f>
        <v>454.1572</v>
      </c>
      <c r="N3368" s="1">
        <f>value(JPY!$B3368)</f>
        <v>131.185</v>
      </c>
      <c r="O3368" s="1">
        <f>value(SAR!$B3368)</f>
        <v>4111.960949</v>
      </c>
      <c r="P3368" s="1">
        <f>value(AED!$B3368)</f>
        <v>0</v>
      </c>
      <c r="Q3368" s="1">
        <f>value(KWD!$B3368)</f>
        <v>0</v>
      </c>
    </row>
    <row r="3369">
      <c r="A3369" s="4">
        <f>value(USD!A3369)</f>
        <v>43734.99861</v>
      </c>
      <c r="B3369" s="1">
        <f>value(USD!B3369)</f>
        <v>14240.8</v>
      </c>
      <c r="C3369" s="1">
        <f>value(AUD!$B3369)</f>
        <v>9638.293</v>
      </c>
      <c r="D3369" s="1">
        <f>value(EUR!$B3369)</f>
        <v>15495.2</v>
      </c>
      <c r="E3369" s="1">
        <f>value(GBP!$B3369)</f>
        <v>17412.25</v>
      </c>
      <c r="F3369" s="1">
        <f>value(CHF!$B3369)</f>
        <v>14213.09</v>
      </c>
      <c r="G3369" s="1">
        <f>value(SGD!$B3369)</f>
        <v>10318.52</v>
      </c>
      <c r="H3369" s="1">
        <f>value(MYR!$B3369)</f>
        <v>3382.3</v>
      </c>
      <c r="I3369" s="1">
        <f>value(THB!$B3369)</f>
        <v>462.28</v>
      </c>
      <c r="J3369" s="1">
        <f>value(VND!$B3369)</f>
        <v>0</v>
      </c>
      <c r="K3369" s="1">
        <f>value(CNY!$B3369)</f>
        <v>1982.935</v>
      </c>
      <c r="L3369" s="1">
        <f>value(HKD!$B3369)</f>
        <v>1799.873</v>
      </c>
      <c r="M3369" s="1">
        <f>value(TWD!$B3369)</f>
        <v>457.2506</v>
      </c>
      <c r="N3369" s="1">
        <f>value(JPY!$B3369)</f>
        <v>131.21</v>
      </c>
      <c r="O3369" s="1">
        <f>value(SAR!$B3369)</f>
        <v>4111.111738</v>
      </c>
      <c r="P3369" s="1">
        <f>value(AED!$B3369)</f>
        <v>0</v>
      </c>
      <c r="Q3369" s="1">
        <f>value(KWD!$B3369)</f>
        <v>0</v>
      </c>
    </row>
    <row r="3370">
      <c r="A3370" s="4">
        <f>value(USD!A3370)</f>
        <v>43735.99861</v>
      </c>
      <c r="B3370" s="1">
        <f>value(USD!B3370)</f>
        <v>14194.8</v>
      </c>
      <c r="C3370" s="1">
        <f>value(AUD!$B3370)</f>
        <v>9516.806</v>
      </c>
      <c r="D3370" s="1">
        <f>value(EUR!$B3370)</f>
        <v>15495.2</v>
      </c>
      <c r="E3370" s="1">
        <f>value(GBP!$B3370)</f>
        <v>17405.45</v>
      </c>
      <c r="F3370" s="1">
        <f>value(CHF!$B3370)</f>
        <v>14226.32</v>
      </c>
      <c r="G3370" s="1">
        <f>value(SGD!$B3370)</f>
        <v>10318.52</v>
      </c>
      <c r="H3370" s="1">
        <f>value(MYR!$B3370)</f>
        <v>3382.3</v>
      </c>
      <c r="I3370" s="1">
        <f>value(THB!$B3370)</f>
        <v>462.28</v>
      </c>
      <c r="J3370" s="1">
        <f>value(VND!$B3370)</f>
        <v>0</v>
      </c>
      <c r="K3370" s="1">
        <f>value(CNY!$B3370)</f>
        <v>1986.084</v>
      </c>
      <c r="L3370" s="1">
        <f>value(HKD!$B3370)</f>
        <v>1800.421</v>
      </c>
      <c r="M3370" s="1">
        <f>value(TWD!$B3370)</f>
        <v>458.0289</v>
      </c>
      <c r="N3370" s="1">
        <f>value(JPY!$B3370)</f>
        <v>131.17</v>
      </c>
      <c r="O3370" s="1">
        <f>value(SAR!$B3370)</f>
        <v>4105.361039</v>
      </c>
      <c r="P3370" s="1">
        <f>value(AED!$B3370)</f>
        <v>0</v>
      </c>
      <c r="Q3370" s="1">
        <f>value(KWD!$B3370)</f>
        <v>0</v>
      </c>
    </row>
    <row r="3371">
      <c r="A3371" s="4">
        <f>value(USD!A3371)</f>
        <v>43736.99861</v>
      </c>
      <c r="B3371" s="1">
        <f>value(USD!B3371)</f>
        <v>14194.8</v>
      </c>
      <c r="C3371" s="1">
        <f>value(AUD!$B3371)</f>
        <v>9556.649</v>
      </c>
      <c r="D3371" s="1">
        <f>value(EUR!$B3371)</f>
        <v>15503.4</v>
      </c>
      <c r="E3371" s="1">
        <f>value(GBP!$B3371)</f>
        <v>17480.15</v>
      </c>
      <c r="F3371" s="1">
        <f>value(CHF!$B3371)</f>
        <v>14173.24</v>
      </c>
      <c r="G3371" s="1">
        <f>value(SGD!$B3371)</f>
        <v>10320.94</v>
      </c>
      <c r="H3371" s="1">
        <f>value(MYR!$B3371)</f>
        <v>3390.3</v>
      </c>
      <c r="I3371" s="1">
        <f>value(THB!$B3371)</f>
        <v>464.59</v>
      </c>
      <c r="J3371" s="1">
        <f>value(VND!$B3371)</f>
        <v>0</v>
      </c>
      <c r="K3371" s="1">
        <f>value(CNY!$B3371)</f>
        <v>1983.682</v>
      </c>
      <c r="L3371" s="1">
        <f>value(HKD!$B3371)</f>
        <v>1800.421</v>
      </c>
      <c r="M3371" s="1">
        <f>value(TWD!$B3371)</f>
        <v>459.4408</v>
      </c>
      <c r="N3371" s="1">
        <f>value(JPY!$B3371)</f>
        <v>131.615</v>
      </c>
      <c r="O3371" s="1">
        <f>value(SAR!$B3371)</f>
        <v>4098.623733</v>
      </c>
      <c r="P3371" s="1">
        <f>value(AED!$B3371)</f>
        <v>0</v>
      </c>
      <c r="Q3371" s="1">
        <f>value(KWD!$B3371)</f>
        <v>0</v>
      </c>
    </row>
    <row r="3372">
      <c r="A3372" s="4">
        <f>value(USD!A3372)</f>
        <v>43737.99861</v>
      </c>
      <c r="B3372" s="1">
        <f>value(USD!B3372)</f>
        <v>14165</v>
      </c>
      <c r="C3372" s="1">
        <f>value(AUD!$B3372)</f>
        <v>9478.307</v>
      </c>
      <c r="D3372" s="1">
        <f>value(EUR!$B3372)</f>
        <v>15492.5</v>
      </c>
      <c r="E3372" s="1">
        <f>value(GBP!$B3372)</f>
        <v>17416.15</v>
      </c>
      <c r="F3372" s="1">
        <f>value(CHF!$B3372)</f>
        <v>14177.02</v>
      </c>
      <c r="G3372" s="1">
        <f>value(SGD!$B3372)</f>
        <v>10335.19</v>
      </c>
      <c r="H3372" s="1">
        <f>value(MYR!$B3372)</f>
        <v>3388.3</v>
      </c>
      <c r="I3372" s="1">
        <f>value(THB!$B3372)</f>
        <v>462.75</v>
      </c>
      <c r="J3372" s="1">
        <f>value(VND!$B3372)</f>
        <v>0</v>
      </c>
      <c r="K3372" s="1">
        <f>value(CNY!$B3372)</f>
        <v>1980.317</v>
      </c>
      <c r="L3372" s="1">
        <f>value(HKD!$B3372)</f>
        <v>1800.39</v>
      </c>
      <c r="M3372" s="1">
        <f>value(TWD!$B3372)</f>
        <v>465.5286</v>
      </c>
      <c r="N3372" s="1">
        <f>value(JPY!$B3372)</f>
        <v>131.505</v>
      </c>
      <c r="O3372" s="1">
        <f>value(SAR!$B3372)</f>
        <v>4103.645556</v>
      </c>
      <c r="P3372" s="1">
        <f>value(AED!$B3372)</f>
        <v>0</v>
      </c>
      <c r="Q3372" s="1">
        <f>value(KWD!$B3372)</f>
        <v>0</v>
      </c>
    </row>
    <row r="3373">
      <c r="A3373" s="4">
        <f>value(USD!A3373)</f>
        <v>43738.99861</v>
      </c>
      <c r="B3373" s="1">
        <f>value(USD!B3373)</f>
        <v>14223.4</v>
      </c>
      <c r="C3373" s="1">
        <f>value(AUD!$B3373)</f>
        <v>9494.185</v>
      </c>
      <c r="D3373" s="1">
        <f>value(EUR!$B3373)</f>
        <v>15501.9</v>
      </c>
      <c r="E3373" s="1">
        <f>value(GBP!$B3373)</f>
        <v>17399.55</v>
      </c>
      <c r="F3373" s="1">
        <f>value(CHF!$B3373)</f>
        <v>14129.85</v>
      </c>
      <c r="G3373" s="1">
        <f>value(SGD!$B3373)</f>
        <v>10340.91</v>
      </c>
      <c r="H3373" s="1">
        <f>value(MYR!$B3373)</f>
        <v>3384.2</v>
      </c>
      <c r="I3373" s="1">
        <f>value(THB!$B3373)</f>
        <v>461.975</v>
      </c>
      <c r="J3373" s="1">
        <f>value(VND!$B3373)</f>
        <v>0</v>
      </c>
      <c r="K3373" s="1">
        <f>value(CNY!$B3373)</f>
        <v>1992.097</v>
      </c>
      <c r="L3373" s="1">
        <f>value(HKD!$B3373)</f>
        <v>1797.505</v>
      </c>
      <c r="M3373" s="1">
        <f>value(TWD!$B3373)</f>
        <v>463.6828</v>
      </c>
      <c r="N3373" s="1">
        <f>value(JPY!$B3373)</f>
        <v>131.97</v>
      </c>
      <c r="O3373" s="1">
        <f>value(SAR!$B3373)</f>
        <v>4095.392659</v>
      </c>
      <c r="P3373" s="1">
        <f>value(AED!$B3373)</f>
        <v>0</v>
      </c>
      <c r="Q3373" s="1">
        <f>value(KWD!$B3373)</f>
        <v>0</v>
      </c>
    </row>
    <row r="3374">
      <c r="A3374" s="4">
        <f>value(USD!A3374)</f>
        <v>43739.99861</v>
      </c>
      <c r="B3374" s="1">
        <f>value(USD!B3374)</f>
        <v>14213</v>
      </c>
      <c r="C3374" s="1">
        <f>value(AUD!$B3374)</f>
        <v>9475.941</v>
      </c>
      <c r="D3374" s="1">
        <f>value(EUR!$B3374)</f>
        <v>15565</v>
      </c>
      <c r="E3374" s="1">
        <f>value(GBP!$B3374)</f>
        <v>17502.65</v>
      </c>
      <c r="F3374" s="1">
        <f>value(CHF!$B3374)</f>
        <v>14129.85</v>
      </c>
      <c r="G3374" s="1">
        <f>value(SGD!$B3374)</f>
        <v>10350.85</v>
      </c>
      <c r="H3374" s="1">
        <f>value(MYR!$B3374)</f>
        <v>3392.5</v>
      </c>
      <c r="I3374" s="1">
        <f>value(THB!$B3374)</f>
        <v>464.405</v>
      </c>
      <c r="J3374" s="1">
        <f>value(VND!$B3374)</f>
        <v>0</v>
      </c>
      <c r="K3374" s="1">
        <f>value(CNY!$B3374)</f>
        <v>1992.097</v>
      </c>
      <c r="L3374" s="1">
        <f>value(HKD!$B3374)</f>
        <v>1798.544</v>
      </c>
      <c r="M3374" s="1">
        <f>value(TWD!$B3374)</f>
        <v>463.6828</v>
      </c>
      <c r="N3374" s="1">
        <f>value(JPY!$B3374)</f>
        <v>132.74</v>
      </c>
      <c r="O3374" s="1">
        <f>value(SAR!$B3374)</f>
        <v>4095.279926</v>
      </c>
      <c r="P3374" s="1">
        <f>value(AED!$B3374)</f>
        <v>0</v>
      </c>
      <c r="Q3374" s="1">
        <f>value(KWD!$B3374)</f>
        <v>0</v>
      </c>
    </row>
    <row r="3375">
      <c r="A3375" s="4">
        <f>value(USD!A3375)</f>
        <v>43740.99861</v>
      </c>
      <c r="B3375" s="1">
        <f>value(USD!B3375)</f>
        <v>14195</v>
      </c>
      <c r="C3375" s="1">
        <f>value(AUD!$B3375)</f>
        <v>9477.749</v>
      </c>
      <c r="D3375" s="1">
        <f>value(EUR!$B3375)</f>
        <v>15505</v>
      </c>
      <c r="E3375" s="1">
        <f>value(GBP!$B3375)</f>
        <v>17371.5</v>
      </c>
      <c r="F3375" s="1">
        <f>value(CHF!$B3375)</f>
        <v>14120.86</v>
      </c>
      <c r="G3375" s="1">
        <f>value(SGD!$B3375)</f>
        <v>10337.35</v>
      </c>
      <c r="H3375" s="1">
        <f>value(MYR!$B3375)</f>
        <v>3371.1</v>
      </c>
      <c r="I3375" s="1">
        <f>value(THB!$B3375)</f>
        <v>464.19</v>
      </c>
      <c r="J3375" s="1">
        <f>value(VND!$B3375)</f>
        <v>0</v>
      </c>
      <c r="K3375" s="1">
        <f>value(CNY!$B3375)</f>
        <v>1992.097</v>
      </c>
      <c r="L3375" s="1">
        <f>value(HKD!$B3375)</f>
        <v>1800.453</v>
      </c>
      <c r="M3375" s="1">
        <f>value(TWD!$B3375)</f>
        <v>463.6828</v>
      </c>
      <c r="N3375" s="1">
        <f>value(JPY!$B3375)</f>
        <v>132.015</v>
      </c>
      <c r="O3375" s="1">
        <f>value(SAR!$B3375)</f>
        <v>4145.442384</v>
      </c>
      <c r="P3375" s="1">
        <f>value(AED!$B3375)</f>
        <v>0</v>
      </c>
      <c r="Q3375" s="1">
        <f>value(KWD!$B3375)</f>
        <v>0</v>
      </c>
    </row>
    <row r="3376">
      <c r="A3376" s="4">
        <f>value(USD!A3376)</f>
        <v>43741.99861</v>
      </c>
      <c r="B3376" s="1">
        <f>value(USD!B3376)</f>
        <v>14196.5</v>
      </c>
      <c r="C3376" s="1">
        <f>value(AUD!$B3376)</f>
        <v>9430.058</v>
      </c>
      <c r="D3376" s="1">
        <f>value(EUR!$B3376)</f>
        <v>15532.9</v>
      </c>
      <c r="E3376" s="1">
        <f>value(GBP!$B3376)</f>
        <v>17441.35</v>
      </c>
      <c r="F3376" s="1">
        <f>value(CHF!$B3376)</f>
        <v>14113.83</v>
      </c>
      <c r="G3376" s="1">
        <f>value(SGD!$B3376)</f>
        <v>10301.86</v>
      </c>
      <c r="H3376" s="1">
        <f>value(MYR!$B3376)</f>
        <v>3377.2</v>
      </c>
      <c r="I3376" s="1">
        <f>value(THB!$B3376)</f>
        <v>465.025</v>
      </c>
      <c r="J3376" s="1">
        <f>value(VND!$B3376)</f>
        <v>0</v>
      </c>
      <c r="K3376" s="1">
        <f>value(CNY!$B3376)</f>
        <v>1983.53</v>
      </c>
      <c r="L3376" s="1">
        <f>value(HKD!$B3376)</f>
        <v>1798.433</v>
      </c>
      <c r="M3376" s="1">
        <f>value(TWD!$B3376)</f>
        <v>475.2621</v>
      </c>
      <c r="N3376" s="1">
        <f>value(JPY!$B3376)</f>
        <v>132.28</v>
      </c>
      <c r="O3376" s="1">
        <f>value(SAR!$B3376)</f>
        <v>4138.847078</v>
      </c>
      <c r="P3376" s="1">
        <f>value(AED!$B3376)</f>
        <v>0</v>
      </c>
      <c r="Q3376" s="1">
        <f>value(KWD!$B3376)</f>
        <v>0</v>
      </c>
    </row>
    <row r="3377">
      <c r="A3377" s="4">
        <f>value(USD!A3377)</f>
        <v>43742.99861</v>
      </c>
      <c r="B3377" s="1">
        <f>value(USD!B3377)</f>
        <v>14134</v>
      </c>
      <c r="C3377" s="1">
        <f>value(AUD!$B3377)</f>
        <v>9426.796</v>
      </c>
      <c r="D3377" s="1">
        <f>value(EUR!$B3377)</f>
        <v>15532.9</v>
      </c>
      <c r="E3377" s="1">
        <f>value(GBP!$B3377)</f>
        <v>17443</v>
      </c>
      <c r="F3377" s="1">
        <f>value(CHF!$B3377)</f>
        <v>14113.58</v>
      </c>
      <c r="G3377" s="1">
        <f>value(SGD!$B3377)</f>
        <v>10301.86</v>
      </c>
      <c r="H3377" s="1">
        <f>value(MYR!$B3377)</f>
        <v>3377.2</v>
      </c>
      <c r="I3377" s="1">
        <f>value(THB!$B3377)</f>
        <v>465.025</v>
      </c>
      <c r="J3377" s="1">
        <f>value(VND!$B3377)</f>
        <v>0</v>
      </c>
      <c r="K3377" s="1">
        <f>value(CNY!$B3377)</f>
        <v>1978.158</v>
      </c>
      <c r="L3377" s="1">
        <f>value(HKD!$B3377)</f>
        <v>1799.525</v>
      </c>
      <c r="M3377" s="1">
        <f>value(TWD!$B3377)</f>
        <v>476.8287</v>
      </c>
      <c r="N3377" s="1">
        <f>value(JPY!$B3377)</f>
        <v>132.46</v>
      </c>
      <c r="O3377" s="1">
        <f>value(SAR!$B3377)</f>
        <v>4081.711943</v>
      </c>
      <c r="P3377" s="1">
        <f>value(AED!$B3377)</f>
        <v>0</v>
      </c>
      <c r="Q3377" s="1">
        <f>value(KWD!$B3377)</f>
        <v>0</v>
      </c>
    </row>
    <row r="3378">
      <c r="A3378" s="4">
        <f>value(USD!A3378)</f>
        <v>43743.99861</v>
      </c>
      <c r="B3378" s="1">
        <f>value(USD!B3378)</f>
        <v>14134</v>
      </c>
      <c r="C3378" s="1">
        <f>value(AUD!$B3378)</f>
        <v>9441.932</v>
      </c>
      <c r="D3378" s="1">
        <f>value(EUR!$B3378)</f>
        <v>15537</v>
      </c>
      <c r="E3378" s="1">
        <f>value(GBP!$B3378)</f>
        <v>17400.3</v>
      </c>
      <c r="F3378" s="1">
        <f>value(CHF!$B3378)</f>
        <v>14114.76</v>
      </c>
      <c r="G3378" s="1">
        <f>value(SGD!$B3378)</f>
        <v>10299.96</v>
      </c>
      <c r="H3378" s="1">
        <f>value(MYR!$B3378)</f>
        <v>3375.25</v>
      </c>
      <c r="I3378" s="1">
        <f>value(THB!$B3378)</f>
        <v>464.73</v>
      </c>
      <c r="J3378" s="1">
        <f>value(VND!$B3378)</f>
        <v>0</v>
      </c>
      <c r="K3378" s="1">
        <f>value(CNY!$B3378)</f>
        <v>1973.354</v>
      </c>
      <c r="L3378" s="1">
        <f>value(HKD!$B3378)</f>
        <v>1798.406</v>
      </c>
      <c r="M3378" s="1">
        <f>value(TWD!$B3378)</f>
        <v>480.671</v>
      </c>
      <c r="N3378" s="1">
        <f>value(JPY!$B3378)</f>
        <v>132.015</v>
      </c>
      <c r="O3378" s="1">
        <f>value(SAR!$B3378)</f>
        <v>4073.310465</v>
      </c>
      <c r="P3378" s="1">
        <f>value(AED!$B3378)</f>
        <v>0</v>
      </c>
      <c r="Q3378" s="1">
        <f>value(KWD!$B3378)</f>
        <v>0</v>
      </c>
    </row>
    <row r="3379">
      <c r="A3379" s="4">
        <f>value(USD!A3379)</f>
        <v>43744.99861</v>
      </c>
      <c r="B3379" s="1">
        <f>value(USD!B3379)</f>
        <v>14135</v>
      </c>
      <c r="C3379" s="1">
        <f>value(AUD!$B3379)</f>
        <v>9397.919</v>
      </c>
      <c r="D3379" s="1">
        <f>value(EUR!$B3379)</f>
        <v>15535</v>
      </c>
      <c r="E3379" s="1">
        <f>value(GBP!$B3379)</f>
        <v>17320.6</v>
      </c>
      <c r="F3379" s="1">
        <f>value(CHF!$B3379)</f>
        <v>14097.5</v>
      </c>
      <c r="G3379" s="1">
        <f>value(SGD!$B3379)</f>
        <v>10314.42</v>
      </c>
      <c r="H3379" s="1">
        <f>value(MYR!$B3379)</f>
        <v>3371.8</v>
      </c>
      <c r="I3379" s="1">
        <f>value(THB!$B3379)</f>
        <v>465.94</v>
      </c>
      <c r="J3379" s="1">
        <f>value(VND!$B3379)</f>
        <v>0</v>
      </c>
      <c r="K3379" s="1">
        <f>value(CNY!$B3379)</f>
        <v>1962.676</v>
      </c>
      <c r="L3379" s="1">
        <f>value(HKD!$B3379)</f>
        <v>1798.026</v>
      </c>
      <c r="M3379" s="1">
        <f>value(TWD!$B3379)</f>
        <v>480.671</v>
      </c>
      <c r="N3379" s="1">
        <f>value(JPY!$B3379)</f>
        <v>132.505</v>
      </c>
      <c r="O3379" s="1">
        <f>value(SAR!$B3379)</f>
        <v>0</v>
      </c>
      <c r="P3379" s="1">
        <f>value(AED!$B3379)</f>
        <v>0</v>
      </c>
      <c r="Q3379" s="1">
        <f>value(KWD!$B3379)</f>
        <v>0</v>
      </c>
    </row>
    <row r="3380">
      <c r="A3380" s="4">
        <f>value(USD!A3380)</f>
        <v>43745.99861</v>
      </c>
      <c r="B3380" s="1">
        <f>value(USD!B3380)</f>
        <v>14243.5</v>
      </c>
      <c r="C3380" s="1">
        <f>value(AUD!$B3380)</f>
        <v>9392.476</v>
      </c>
      <c r="D3380" s="1">
        <f>value(EUR!$B3380)</f>
        <v>15545</v>
      </c>
      <c r="E3380" s="1">
        <f>value(GBP!$B3380)</f>
        <v>17281.65</v>
      </c>
      <c r="F3380" s="1">
        <f>value(CHF!$B3380)</f>
        <v>14083.48</v>
      </c>
      <c r="G3380" s="1">
        <f>value(SGD!$B3380)</f>
        <v>10324.65</v>
      </c>
      <c r="H3380" s="1">
        <f>value(MYR!$B3380)</f>
        <v>3372.8</v>
      </c>
      <c r="I3380" s="1">
        <f>value(THB!$B3380)</f>
        <v>466.34</v>
      </c>
      <c r="J3380" s="1">
        <f>value(VND!$B3380)</f>
        <v>0</v>
      </c>
      <c r="K3380" s="1">
        <f>value(CNY!$B3380)</f>
        <v>1977.457</v>
      </c>
      <c r="L3380" s="1">
        <f>value(HKD!$B3380)</f>
        <v>1804.835</v>
      </c>
      <c r="M3380" s="1">
        <f>value(TWD!$B3380)</f>
        <v>480.671</v>
      </c>
      <c r="N3380" s="1">
        <f>value(JPY!$B3380)</f>
        <v>132.025</v>
      </c>
      <c r="O3380" s="1">
        <f>value(SAR!$B3380)</f>
        <v>0</v>
      </c>
      <c r="P3380" s="1">
        <f>value(AED!$B3380)</f>
        <v>0</v>
      </c>
      <c r="Q3380" s="1">
        <f>value(KWD!$B3380)</f>
        <v>0</v>
      </c>
    </row>
    <row r="3381">
      <c r="A3381" s="4">
        <f>value(USD!A3381)</f>
        <v>43746.99861</v>
      </c>
      <c r="B3381" s="1">
        <f>value(USD!B3381)</f>
        <v>14213</v>
      </c>
      <c r="C3381" s="1">
        <f>value(AUD!$B3381)</f>
        <v>9392.476</v>
      </c>
      <c r="D3381" s="1">
        <f>value(EUR!$B3381)</f>
        <v>15590</v>
      </c>
      <c r="E3381" s="1">
        <f>value(GBP!$B3381)</f>
        <v>17606.85</v>
      </c>
      <c r="F3381" s="1">
        <f>value(CHF!$B3381)</f>
        <v>14074.09</v>
      </c>
      <c r="G3381" s="1">
        <f>value(SGD!$B3381)</f>
        <v>10341.91</v>
      </c>
      <c r="H3381" s="1">
        <f>value(MYR!$B3381)</f>
        <v>3375.25</v>
      </c>
      <c r="I3381" s="1">
        <f>value(THB!$B3381)</f>
        <v>465.5</v>
      </c>
      <c r="J3381" s="1">
        <f>value(VND!$B3381)</f>
        <v>0</v>
      </c>
      <c r="K3381" s="1">
        <f>value(CNY!$B3381)</f>
        <v>1977.457</v>
      </c>
      <c r="L3381" s="1">
        <f>value(HKD!$B3381)</f>
        <v>1800.938</v>
      </c>
      <c r="M3381" s="1">
        <f>value(TWD!$B3381)</f>
        <v>480.671</v>
      </c>
      <c r="N3381" s="1">
        <f>value(JPY!$B3381)</f>
        <v>131.25</v>
      </c>
      <c r="O3381" s="1">
        <f>value(SAR!$B3381)</f>
        <v>0</v>
      </c>
      <c r="P3381" s="1">
        <f>value(AED!$B3381)</f>
        <v>0</v>
      </c>
      <c r="Q3381" s="1">
        <f>value(KWD!$B3381)</f>
        <v>0</v>
      </c>
    </row>
    <row r="3382">
      <c r="A3382" s="4">
        <f>value(USD!A3382)</f>
        <v>43747.99861</v>
      </c>
      <c r="B3382" s="1">
        <f>value(USD!B3382)</f>
        <v>14170</v>
      </c>
      <c r="C3382" s="1">
        <f>value(AUD!$B3382)</f>
        <v>9399.976</v>
      </c>
      <c r="D3382" s="1">
        <f>value(EUR!$B3382)</f>
        <v>15592</v>
      </c>
      <c r="E3382" s="1">
        <f>value(GBP!$B3382)</f>
        <v>17867.95</v>
      </c>
      <c r="F3382" s="1">
        <f>value(CHF!$B3382)</f>
        <v>14073.39</v>
      </c>
      <c r="G3382" s="1">
        <f>value(SGD!$B3382)</f>
        <v>10361.97</v>
      </c>
      <c r="H3382" s="1">
        <f>value(MYR!$B3382)</f>
        <v>3375.8</v>
      </c>
      <c r="I3382" s="1">
        <f>value(THB!$B3382)</f>
        <v>463.855</v>
      </c>
      <c r="J3382" s="1">
        <f>value(VND!$B3382)</f>
        <v>0</v>
      </c>
      <c r="K3382" s="1">
        <f>value(CNY!$B3382)</f>
        <v>1977.457</v>
      </c>
      <c r="L3382" s="1">
        <f>value(HKD!$B3382)</f>
        <v>1787.854</v>
      </c>
      <c r="M3382" s="1">
        <f>value(TWD!$B3382)</f>
        <v>480.671</v>
      </c>
      <c r="N3382" s="1">
        <f>value(JPY!$B3382)</f>
        <v>130.345</v>
      </c>
      <c r="O3382" s="1">
        <f>value(SAR!$B3382)</f>
        <v>0</v>
      </c>
      <c r="P3382" s="1">
        <f>value(AED!$B3382)</f>
        <v>0</v>
      </c>
      <c r="Q3382" s="1">
        <f>value(KWD!$B3382)</f>
        <v>0</v>
      </c>
    </row>
    <row r="3383">
      <c r="A3383" s="4">
        <f>value(USD!A3383)</f>
        <v>43748.99861</v>
      </c>
      <c r="B3383" s="1">
        <f>value(USD!B3383)</f>
        <v>14152</v>
      </c>
      <c r="C3383" s="1">
        <f>value(AUD!$B3383)</f>
        <v>9366.68</v>
      </c>
      <c r="D3383" s="1">
        <f>value(EUR!$B3383)</f>
        <v>15592</v>
      </c>
      <c r="E3383" s="1">
        <f>value(GBP!$B3383)</f>
        <v>17867.93</v>
      </c>
      <c r="F3383" s="1">
        <f>value(CHF!$B3383)</f>
        <v>14247.74</v>
      </c>
      <c r="G3383" s="1">
        <f>value(SGD!$B3383)</f>
        <v>10351.38</v>
      </c>
      <c r="H3383" s="1">
        <f>value(MYR!$B3383)</f>
        <v>3375.769</v>
      </c>
      <c r="I3383" s="1">
        <f>value(THB!$B3383)</f>
        <v>463.8543</v>
      </c>
      <c r="J3383" s="1">
        <f>value(VND!$B3383)</f>
        <v>0</v>
      </c>
      <c r="K3383" s="1">
        <f>value(CNY!$B3383)</f>
        <v>1905.466</v>
      </c>
      <c r="L3383" s="1">
        <f>value(HKD!$B3383)</f>
        <v>1784.648</v>
      </c>
      <c r="M3383" s="1">
        <f>value(TWD!$B3383)</f>
        <v>480.671</v>
      </c>
      <c r="N3383" s="1">
        <f>value(JPY!$B3383)</f>
        <v>130.3468</v>
      </c>
      <c r="O3383" s="1">
        <f>value(SAR!$B3383)</f>
        <v>0</v>
      </c>
      <c r="P3383" s="1">
        <f>value(AED!$B3383)</f>
        <v>0</v>
      </c>
      <c r="Q3383" s="1">
        <f>value(KWD!$B3383)</f>
        <v>0</v>
      </c>
    </row>
    <row r="3384">
      <c r="A3384" s="4">
        <f>value(USD!A3384)</f>
        <v>43749.99861</v>
      </c>
      <c r="B3384" s="1">
        <f>value(USD!B3384)</f>
        <v>14133.05</v>
      </c>
      <c r="C3384" s="1">
        <f>value(AUD!$B3384)</f>
        <v>9352.842</v>
      </c>
      <c r="D3384" s="1">
        <f>value(EUR!$B3384)</f>
        <v>15590.53</v>
      </c>
      <c r="E3384" s="1">
        <f>value(GBP!$B3384)</f>
        <v>17838.14</v>
      </c>
      <c r="F3384" s="1">
        <f>value(CHF!$B3384)</f>
        <v>14283.23</v>
      </c>
      <c r="G3384" s="1">
        <f>value(SGD!$B3384)</f>
        <v>10351.38</v>
      </c>
      <c r="H3384" s="1">
        <f>value(MYR!$B3384)</f>
        <v>3375.45</v>
      </c>
      <c r="I3384" s="1">
        <f>value(THB!$B3384)</f>
        <v>463.8106</v>
      </c>
      <c r="J3384" s="1">
        <f>value(VND!$B3384)</f>
        <v>0</v>
      </c>
      <c r="K3384" s="1">
        <f>value(CNY!$B3384)</f>
        <v>1962.015</v>
      </c>
      <c r="L3384" s="1">
        <f>value(HKD!$B3384)</f>
        <v>1791.441</v>
      </c>
      <c r="M3384" s="1">
        <f>value(TWD!$B3384)</f>
        <v>480.671</v>
      </c>
      <c r="N3384" s="1">
        <f>value(JPY!$B3384)</f>
        <v>130.3556</v>
      </c>
      <c r="O3384" s="1">
        <f>value(SAR!$B3384)</f>
        <v>0</v>
      </c>
      <c r="P3384" s="1">
        <f>value(AED!$B3384)</f>
        <v>0</v>
      </c>
      <c r="Q3384" s="1">
        <f>value(KWD!$B3384)</f>
        <v>0</v>
      </c>
    </row>
    <row r="3385">
      <c r="A3385" s="4">
        <f>value(USD!A3385)</f>
        <v>43750.99861</v>
      </c>
      <c r="B3385" s="1">
        <f>value(USD!B3385)</f>
        <v>14133.05</v>
      </c>
      <c r="C3385" s="1">
        <f>value(AUD!$B3385)</f>
        <v>9324.738</v>
      </c>
      <c r="D3385" s="1">
        <f>value(EUR!$B3385)</f>
        <v>15596.94</v>
      </c>
      <c r="E3385" s="1">
        <f>value(GBP!$B3385)</f>
        <v>17837.41</v>
      </c>
      <c r="F3385" s="1">
        <f>value(CHF!$B3385)</f>
        <v>14165.72</v>
      </c>
      <c r="G3385" s="1">
        <f>value(SGD!$B3385)</f>
        <v>10344.81</v>
      </c>
      <c r="H3385" s="1">
        <f>value(MYR!$B3385)</f>
        <v>3376.108</v>
      </c>
      <c r="I3385" s="1">
        <f>value(THB!$B3385)</f>
        <v>465.0945</v>
      </c>
      <c r="J3385" s="1">
        <f>value(VND!$B3385)</f>
        <v>0</v>
      </c>
      <c r="K3385" s="1">
        <f>value(CNY!$B3385)</f>
        <v>1962.578</v>
      </c>
      <c r="L3385" s="1">
        <f>value(HKD!$B3385)</f>
        <v>1791.441</v>
      </c>
      <c r="M3385" s="1">
        <f>value(TWD!$B3385)</f>
        <v>480.671</v>
      </c>
      <c r="N3385" s="1">
        <f>value(JPY!$B3385)</f>
        <v>130.5058</v>
      </c>
      <c r="O3385" s="1">
        <f>value(SAR!$B3385)</f>
        <v>0</v>
      </c>
      <c r="P3385" s="1">
        <f>value(AED!$B3385)</f>
        <v>0</v>
      </c>
      <c r="Q3385" s="1">
        <f>value(KWD!$B3385)</f>
        <v>0</v>
      </c>
    </row>
    <row r="3386">
      <c r="A3386" s="4">
        <f>value(USD!A3386)</f>
        <v>43751.99861</v>
      </c>
      <c r="B3386" s="1">
        <f>value(USD!B3386)</f>
        <v>14128</v>
      </c>
      <c r="C3386" s="1">
        <f>value(AUD!$B3386)</f>
        <v>9312.542</v>
      </c>
      <c r="D3386" s="1">
        <f>value(EUR!$B3386)</f>
        <v>15630</v>
      </c>
      <c r="E3386" s="1">
        <f>value(GBP!$B3386)</f>
        <v>18075.63</v>
      </c>
      <c r="F3386" s="1">
        <f>value(CHF!$B3386)</f>
        <v>14152.79</v>
      </c>
      <c r="G3386" s="1">
        <f>value(SGD!$B3386)</f>
        <v>10346.7</v>
      </c>
      <c r="H3386" s="1">
        <f>value(MYR!$B3386)</f>
        <v>3385.828</v>
      </c>
      <c r="I3386" s="1">
        <f>value(THB!$B3386)</f>
        <v>465.4834</v>
      </c>
      <c r="J3386" s="1">
        <f>value(VND!$B3386)</f>
        <v>0</v>
      </c>
      <c r="K3386" s="1">
        <f>value(CNY!$B3386)</f>
        <v>1967.457</v>
      </c>
      <c r="L3386" s="1">
        <f>value(HKD!$B3386)</f>
        <v>1791.514</v>
      </c>
      <c r="M3386" s="1">
        <f>value(TWD!$B3386)</f>
        <v>480.671</v>
      </c>
      <c r="N3386" s="1">
        <f>value(JPY!$B3386)</f>
        <v>130.1762</v>
      </c>
      <c r="O3386" s="1">
        <f>value(SAR!$B3386)</f>
        <v>0</v>
      </c>
      <c r="P3386" s="1">
        <f>value(AED!$B3386)</f>
        <v>0</v>
      </c>
      <c r="Q3386" s="1">
        <f>value(KWD!$B3386)</f>
        <v>0</v>
      </c>
    </row>
    <row r="3387">
      <c r="A3387" s="4">
        <f>value(USD!A3387)</f>
        <v>43752.99861</v>
      </c>
      <c r="B3387" s="1">
        <f>value(USD!B3387)</f>
        <v>14113</v>
      </c>
      <c r="C3387" s="1">
        <f>value(AUD!$B3387)</f>
        <v>9361.449</v>
      </c>
      <c r="D3387" s="1">
        <f>value(EUR!$B3387)</f>
        <v>15630</v>
      </c>
      <c r="E3387" s="1">
        <f>value(GBP!$B3387)</f>
        <v>18094.88</v>
      </c>
      <c r="F3387" s="1">
        <f>value(CHF!$B3387)</f>
        <v>14161.81</v>
      </c>
      <c r="G3387" s="1">
        <f>value(SGD!$B3387)</f>
        <v>10321.75</v>
      </c>
      <c r="H3387" s="1">
        <f>value(MYR!$B3387)</f>
        <v>3379.386</v>
      </c>
      <c r="I3387" s="1">
        <f>value(THB!$B3387)</f>
        <v>464.7912</v>
      </c>
      <c r="J3387" s="1">
        <f>value(VND!$B3387)</f>
        <v>0</v>
      </c>
      <c r="K3387" s="1">
        <f>value(CNY!$B3387)</f>
        <v>1966.084</v>
      </c>
      <c r="L3387" s="1">
        <f>value(HKD!$B3387)</f>
        <v>1789.437</v>
      </c>
      <c r="M3387" s="1">
        <f>value(TWD!$B3387)</f>
        <v>480.671</v>
      </c>
      <c r="N3387" s="1">
        <f>value(JPY!$B3387)</f>
        <v>129.8669</v>
      </c>
      <c r="O3387" s="1">
        <f>value(SAR!$B3387)</f>
        <v>0</v>
      </c>
      <c r="P3387" s="1">
        <f>value(AED!$B3387)</f>
        <v>0</v>
      </c>
      <c r="Q3387" s="1">
        <f>value(KWD!$B3387)</f>
        <v>0</v>
      </c>
    </row>
    <row r="3388">
      <c r="A3388" s="4">
        <f>value(USD!A3388)</f>
        <v>43753.99861</v>
      </c>
      <c r="B3388" s="1">
        <f>value(USD!B3388)</f>
        <v>14220</v>
      </c>
      <c r="C3388" s="1">
        <f>value(AUD!$B3388)</f>
        <v>9361.449</v>
      </c>
      <c r="D3388" s="1">
        <f>value(EUR!$B3388)</f>
        <v>15737</v>
      </c>
      <c r="E3388" s="1">
        <f>value(GBP!$B3388)</f>
        <v>18200.43</v>
      </c>
      <c r="F3388" s="1">
        <f>value(CHF!$B3388)</f>
        <v>14161.81</v>
      </c>
      <c r="G3388" s="1">
        <f>value(SGD!$B3388)</f>
        <v>10311.75</v>
      </c>
      <c r="H3388" s="1">
        <f>value(MYR!$B3388)</f>
        <v>3387.434</v>
      </c>
      <c r="I3388" s="1">
        <f>value(THB!$B3388)</f>
        <v>466.724</v>
      </c>
      <c r="J3388" s="1">
        <f>value(VND!$B3388)</f>
        <v>0</v>
      </c>
      <c r="K3388" s="1">
        <f>value(CNY!$B3388)</f>
        <v>1966.084</v>
      </c>
      <c r="L3388" s="1">
        <f>value(HKD!$B3388)</f>
        <v>1790.13</v>
      </c>
      <c r="M3388" s="1">
        <f>value(TWD!$B3388)</f>
        <v>480.671</v>
      </c>
      <c r="N3388" s="1">
        <f>value(JPY!$B3388)</f>
        <v>130.2602</v>
      </c>
      <c r="O3388" s="1">
        <f>value(SAR!$B3388)</f>
        <v>0</v>
      </c>
      <c r="P3388" s="1">
        <f>value(AED!$B3388)</f>
        <v>0</v>
      </c>
      <c r="Q3388" s="1">
        <f>value(KWD!$B3388)</f>
        <v>0</v>
      </c>
    </row>
    <row r="3389">
      <c r="A3389" s="4">
        <f>value(USD!A3389)</f>
        <v>43754.99861</v>
      </c>
      <c r="B3389" s="1">
        <f>value(USD!B3389)</f>
        <v>14228</v>
      </c>
      <c r="C3389" s="1">
        <f>value(AUD!$B3389)</f>
        <v>9329.829</v>
      </c>
      <c r="D3389" s="1">
        <f>value(EUR!$B3389)</f>
        <v>15785</v>
      </c>
      <c r="E3389" s="1">
        <f>value(GBP!$B3389)</f>
        <v>18340.58</v>
      </c>
      <c r="F3389" s="1">
        <f>value(CHF!$B3389)</f>
        <v>14162.65</v>
      </c>
      <c r="G3389" s="1">
        <f>value(SGD!$B3389)</f>
        <v>10322.56</v>
      </c>
      <c r="H3389" s="1">
        <f>value(MYR!$B3389)</f>
        <v>3386.976</v>
      </c>
      <c r="I3389" s="1">
        <f>value(THB!$B3389)</f>
        <v>466.6529</v>
      </c>
      <c r="J3389" s="1">
        <f>value(VND!$B3389)</f>
        <v>0</v>
      </c>
      <c r="K3389" s="1">
        <f>value(CNY!$B3389)</f>
        <v>1966.084</v>
      </c>
      <c r="L3389" s="1">
        <f>value(HKD!$B3389)</f>
        <v>1790.408</v>
      </c>
      <c r="M3389" s="1">
        <f>value(TWD!$B3389)</f>
        <v>480.671</v>
      </c>
      <c r="N3389" s="1">
        <f>value(JPY!$B3389)</f>
        <v>130.4237</v>
      </c>
      <c r="O3389" s="1">
        <f>value(SAR!$B3389)</f>
        <v>0</v>
      </c>
      <c r="P3389" s="1">
        <f>value(AED!$B3389)</f>
        <v>0</v>
      </c>
      <c r="Q3389" s="1">
        <f>value(KWD!$B3389)</f>
        <v>0</v>
      </c>
    </row>
    <row r="3390">
      <c r="A3390" s="4">
        <f>value(USD!A3390)</f>
        <v>43755.99861</v>
      </c>
      <c r="B3390" s="1">
        <f>value(USD!B3390)</f>
        <v>14188.5</v>
      </c>
      <c r="C3390" s="1">
        <f>value(AUD!$B3390)</f>
        <v>8936.844</v>
      </c>
      <c r="D3390" s="1">
        <f>value(EUR!$B3390)</f>
        <v>15785</v>
      </c>
      <c r="E3390" s="1">
        <f>value(GBP!$B3390)</f>
        <v>18340.58</v>
      </c>
      <c r="F3390" s="1">
        <f>value(CHF!$B3390)</f>
        <v>14177.91</v>
      </c>
      <c r="G3390" s="1">
        <f>value(SGD!$B3390)</f>
        <v>10304.8</v>
      </c>
      <c r="H3390" s="1">
        <f>value(MYR!$B3390)</f>
        <v>3386.976</v>
      </c>
      <c r="I3390" s="1">
        <f>value(THB!$B3390)</f>
        <v>466.6529</v>
      </c>
      <c r="J3390" s="1">
        <f>value(VND!$B3390)</f>
        <v>0</v>
      </c>
      <c r="K3390" s="1">
        <f>value(CNY!$B3390)</f>
        <v>1957.388</v>
      </c>
      <c r="L3390" s="1">
        <f>value(HKD!$B3390)</f>
        <v>1784.712</v>
      </c>
      <c r="M3390" s="1">
        <f>value(TWD!$B3390)</f>
        <v>480.671</v>
      </c>
      <c r="N3390" s="1">
        <f>value(JPY!$B3390)</f>
        <v>130.4237</v>
      </c>
      <c r="O3390" s="1">
        <f>value(SAR!$B3390)</f>
        <v>0</v>
      </c>
      <c r="P3390" s="1">
        <f>value(AED!$B3390)</f>
        <v>0</v>
      </c>
      <c r="Q3390" s="1">
        <f>value(KWD!$B3390)</f>
        <v>0</v>
      </c>
    </row>
    <row r="3391">
      <c r="A3391" s="4">
        <f>value(USD!A3391)</f>
        <v>43756.99861</v>
      </c>
      <c r="B3391" s="1">
        <f>value(USD!B3391)</f>
        <v>14127.5</v>
      </c>
      <c r="C3391" s="1">
        <f>value(AUD!$B3391)</f>
        <v>9204.628</v>
      </c>
      <c r="D3391" s="1">
        <f>value(EUR!$B3391)</f>
        <v>15785</v>
      </c>
      <c r="E3391" s="1">
        <f>value(GBP!$B3391)</f>
        <v>18250.66</v>
      </c>
      <c r="F3391" s="1">
        <f>value(CHF!$B3391)</f>
        <v>14231.04</v>
      </c>
      <c r="G3391" s="1">
        <f>value(SGD!$B3391)</f>
        <v>10304.8</v>
      </c>
      <c r="H3391" s="1">
        <f>value(MYR!$B3391)</f>
        <v>3386.976</v>
      </c>
      <c r="I3391" s="1">
        <f>value(THB!$B3391)</f>
        <v>466.6529</v>
      </c>
      <c r="J3391" s="1">
        <f>value(VND!$B3391)</f>
        <v>0</v>
      </c>
      <c r="K3391" s="1">
        <f>value(CNY!$B3391)</f>
        <v>1958.423</v>
      </c>
      <c r="L3391" s="1">
        <f>value(HKD!$B3391)</f>
        <v>1791.857</v>
      </c>
      <c r="M3391" s="1">
        <f>value(TWD!$B3391)</f>
        <v>480.671</v>
      </c>
      <c r="N3391" s="1">
        <f>value(JPY!$B3391)</f>
        <v>130.522</v>
      </c>
      <c r="O3391" s="1">
        <f>value(SAR!$B3391)</f>
        <v>0</v>
      </c>
      <c r="P3391" s="1">
        <f>value(AED!$B3391)</f>
        <v>0</v>
      </c>
      <c r="Q3391" s="1">
        <f>value(KWD!$B3391)</f>
        <v>0</v>
      </c>
    </row>
    <row r="3392">
      <c r="A3392" s="4">
        <f>value(USD!A3392)</f>
        <v>43757.99861</v>
      </c>
      <c r="B3392" s="1">
        <f>value(USD!B3392)</f>
        <v>14127.5</v>
      </c>
      <c r="C3392" s="1">
        <f>value(AUD!$B3392)</f>
        <v>9194.733</v>
      </c>
      <c r="D3392" s="1">
        <f>value(EUR!$B3392)</f>
        <v>15690</v>
      </c>
      <c r="E3392" s="1">
        <f>value(GBP!$B3392)</f>
        <v>18250.34</v>
      </c>
      <c r="F3392" s="1">
        <f>value(CHF!$B3392)</f>
        <v>14229.69</v>
      </c>
      <c r="G3392" s="1">
        <f>value(SGD!$B3392)</f>
        <v>10305.56</v>
      </c>
      <c r="H3392" s="1">
        <f>value(MYR!$B3392)</f>
        <v>3361.038</v>
      </c>
      <c r="I3392" s="1">
        <f>value(THB!$B3392)</f>
        <v>464.8889</v>
      </c>
      <c r="J3392" s="1">
        <f>value(VND!$B3392)</f>
        <v>0</v>
      </c>
      <c r="K3392" s="1">
        <f>value(CNY!$B3392)</f>
        <v>1960.58</v>
      </c>
      <c r="L3392" s="1">
        <f>value(HKD!$B3392)</f>
        <v>1791.857</v>
      </c>
      <c r="M3392" s="1">
        <f>value(TWD!$B3392)</f>
        <v>480.671</v>
      </c>
      <c r="N3392" s="1">
        <f>value(JPY!$B3392)</f>
        <v>129.5527</v>
      </c>
      <c r="O3392" s="1">
        <f>value(SAR!$B3392)</f>
        <v>0</v>
      </c>
      <c r="P3392" s="1">
        <f>value(AED!$B3392)</f>
        <v>0</v>
      </c>
      <c r="Q3392" s="1">
        <f>value(KWD!$B3392)</f>
        <v>0</v>
      </c>
    </row>
    <row r="3393">
      <c r="A3393" s="4">
        <f>value(USD!A3393)</f>
        <v>43758.99861</v>
      </c>
      <c r="B3393" s="1">
        <f>value(USD!B3393)</f>
        <v>14145</v>
      </c>
      <c r="C3393" s="1">
        <f>value(AUD!$B3393)</f>
        <v>9155.598</v>
      </c>
      <c r="D3393" s="1">
        <f>value(EUR!$B3393)</f>
        <v>15690</v>
      </c>
      <c r="E3393" s="1">
        <f>value(GBP!$B3393)</f>
        <v>18162.77</v>
      </c>
      <c r="F3393" s="1">
        <f>value(CHF!$B3393)</f>
        <v>14144.84</v>
      </c>
      <c r="G3393" s="1">
        <f>value(SGD!$B3393)</f>
        <v>10323.8</v>
      </c>
      <c r="H3393" s="1">
        <f>value(MYR!$B3393)</f>
        <v>3361.903</v>
      </c>
      <c r="I3393" s="1">
        <f>value(THB!$B3393)</f>
        <v>465.4129</v>
      </c>
      <c r="J3393" s="1">
        <f>value(VND!$B3393)</f>
        <v>0</v>
      </c>
      <c r="K3393" s="1">
        <f>value(CNY!$B3393)</f>
        <v>1957.24</v>
      </c>
      <c r="L3393" s="1">
        <f>value(HKD!$B3393)</f>
        <v>1790.856</v>
      </c>
      <c r="M3393" s="1">
        <f>value(TWD!$B3393)</f>
        <v>480.671</v>
      </c>
      <c r="N3393" s="1">
        <f>value(JPY!$B3393)</f>
        <v>129.9589</v>
      </c>
      <c r="O3393" s="1">
        <f>value(SAR!$B3393)</f>
        <v>0</v>
      </c>
      <c r="P3393" s="1">
        <f>value(AED!$B3393)</f>
        <v>0</v>
      </c>
      <c r="Q3393" s="1">
        <f>value(KWD!$B3393)</f>
        <v>0</v>
      </c>
    </row>
    <row r="3394">
      <c r="A3394" s="4">
        <f>value(USD!A3394)</f>
        <v>43759.99861</v>
      </c>
      <c r="B3394" s="1">
        <f>value(USD!B3394)</f>
        <v>14106.5</v>
      </c>
      <c r="C3394" s="1">
        <f>value(AUD!$B3394)</f>
        <v>9129.031</v>
      </c>
      <c r="D3394" s="1">
        <f>value(EUR!$B3394)</f>
        <v>15582.36</v>
      </c>
      <c r="E3394" s="1">
        <f>value(GBP!$B3394)</f>
        <v>18084.85</v>
      </c>
      <c r="F3394" s="1">
        <f>value(CHF!$B3394)</f>
        <v>14202.92</v>
      </c>
      <c r="G3394" s="1">
        <f>value(SGD!$B3394)</f>
        <v>10304.68</v>
      </c>
      <c r="H3394" s="1">
        <f>value(MYR!$B3394)</f>
        <v>3350.181</v>
      </c>
      <c r="I3394" s="1">
        <f>value(THB!$B3394)</f>
        <v>462.1378</v>
      </c>
      <c r="J3394" s="1">
        <f>value(VND!$B3394)</f>
        <v>0</v>
      </c>
      <c r="K3394" s="1">
        <f>value(CNY!$B3394)</f>
        <v>1954.17</v>
      </c>
      <c r="L3394" s="1">
        <f>value(HKD!$B3394)</f>
        <v>1798.104</v>
      </c>
      <c r="M3394" s="1">
        <f>value(TWD!$B3394)</f>
        <v>480.671</v>
      </c>
      <c r="N3394" s="1">
        <f>value(JPY!$B3394)</f>
        <v>128.8432</v>
      </c>
      <c r="O3394" s="1">
        <f>value(SAR!$B3394)</f>
        <v>0</v>
      </c>
      <c r="P3394" s="1">
        <f>value(AED!$B3394)</f>
        <v>0</v>
      </c>
      <c r="Q3394" s="1">
        <f>value(KWD!$B3394)</f>
        <v>0</v>
      </c>
    </row>
    <row r="3395">
      <c r="A3395" s="4">
        <f>value(USD!A3395)</f>
        <v>43760.99861</v>
      </c>
      <c r="B3395" s="1">
        <f>value(USD!B3395)</f>
        <v>14048.5</v>
      </c>
      <c r="C3395" s="1">
        <f>value(AUD!$B3395)</f>
        <v>9129.031</v>
      </c>
      <c r="D3395" s="1">
        <f>value(EUR!$B3395)</f>
        <v>15613</v>
      </c>
      <c r="E3395" s="1">
        <f>value(GBP!$B3395)</f>
        <v>18048.67</v>
      </c>
      <c r="F3395" s="1">
        <f>value(CHF!$B3395)</f>
        <v>14202.92</v>
      </c>
      <c r="G3395" s="1">
        <f>value(SGD!$B3395)</f>
        <v>10309.86</v>
      </c>
      <c r="H3395" s="1">
        <f>value(MYR!$B3395)</f>
        <v>3352.444</v>
      </c>
      <c r="I3395" s="1">
        <f>value(THB!$B3395)</f>
        <v>464.6588</v>
      </c>
      <c r="J3395" s="1">
        <f>value(VND!$B3395)</f>
        <v>0</v>
      </c>
      <c r="K3395" s="1">
        <f>value(CNY!$B3395)</f>
        <v>1954.17</v>
      </c>
      <c r="L3395" s="1">
        <f>value(HKD!$B3395)</f>
        <v>1795.893</v>
      </c>
      <c r="M3395" s="1">
        <f>value(TWD!$B3395)</f>
        <v>480.671</v>
      </c>
      <c r="N3395" s="1">
        <f>value(JPY!$B3395)</f>
        <v>129.4632</v>
      </c>
      <c r="O3395" s="1">
        <f>value(SAR!$B3395)</f>
        <v>0</v>
      </c>
      <c r="P3395" s="1">
        <f>value(AED!$B3395)</f>
        <v>0</v>
      </c>
      <c r="Q3395" s="1">
        <f>value(KWD!$B3395)</f>
        <v>0</v>
      </c>
    </row>
    <row r="3396">
      <c r="A3396" s="4">
        <f>value(USD!A3396)</f>
        <v>43761.99861</v>
      </c>
      <c r="B3396" s="1">
        <f>value(USD!B3396)</f>
        <v>14012</v>
      </c>
      <c r="C3396" s="1">
        <f>value(AUD!$B3396)</f>
        <v>9130.381</v>
      </c>
      <c r="D3396" s="1">
        <f>value(EUR!$B3396)</f>
        <v>15547</v>
      </c>
      <c r="E3396" s="1">
        <f>value(GBP!$B3396)</f>
        <v>17995.25</v>
      </c>
      <c r="F3396" s="1">
        <f>value(CHF!$B3396)</f>
        <v>14195.08</v>
      </c>
      <c r="G3396" s="1">
        <f>value(SGD!$B3396)</f>
        <v>10328.36</v>
      </c>
      <c r="H3396" s="1">
        <f>value(MYR!$B3396)</f>
        <v>3341.788</v>
      </c>
      <c r="I3396" s="1">
        <f>value(THB!$B3396)</f>
        <v>465.1866</v>
      </c>
      <c r="J3396" s="1">
        <f>value(VND!$B3396)</f>
        <v>0</v>
      </c>
      <c r="K3396" s="1">
        <f>value(CNY!$B3396)</f>
        <v>1954.17</v>
      </c>
      <c r="L3396" s="1">
        <f>value(HKD!$B3396)</f>
        <v>1793.738</v>
      </c>
      <c r="M3396" s="1">
        <f>value(TWD!$B3396)</f>
        <v>480.671</v>
      </c>
      <c r="N3396" s="1">
        <f>value(JPY!$B3396)</f>
        <v>129.1212</v>
      </c>
      <c r="O3396" s="1">
        <f>value(SAR!$B3396)</f>
        <v>0</v>
      </c>
      <c r="P3396" s="1">
        <f>value(AED!$B3396)</f>
        <v>0</v>
      </c>
      <c r="Q3396" s="1">
        <f>value(KWD!$B3396)</f>
        <v>0</v>
      </c>
    </row>
    <row r="3397">
      <c r="A3397" s="4">
        <f>value(USD!A3397)</f>
        <v>43762.99861</v>
      </c>
      <c r="B3397" s="1">
        <f>value(USD!B3397)</f>
        <v>14093.5</v>
      </c>
      <c r="C3397" s="1">
        <f>value(AUD!$B3397)</f>
        <v>9195.887</v>
      </c>
      <c r="D3397" s="1">
        <f>value(EUR!$B3397)</f>
        <v>15547</v>
      </c>
      <c r="E3397" s="1">
        <f>value(GBP!$B3397)</f>
        <v>17995.25</v>
      </c>
      <c r="F3397" s="1">
        <f>value(CHF!$B3397)</f>
        <v>14252.58</v>
      </c>
      <c r="G3397" s="1">
        <f>value(SGD!$B3397)</f>
        <v>10316.58</v>
      </c>
      <c r="H3397" s="1">
        <f>value(MYR!$B3397)</f>
        <v>3341.788</v>
      </c>
      <c r="I3397" s="1">
        <f>value(THB!$B3397)</f>
        <v>465.1866</v>
      </c>
      <c r="J3397" s="1">
        <f>value(VND!$B3397)</f>
        <v>0</v>
      </c>
      <c r="K3397" s="1">
        <f>value(CNY!$B3397)</f>
        <v>1962.701</v>
      </c>
      <c r="L3397" s="1">
        <f>value(HKD!$B3397)</f>
        <v>1794.123</v>
      </c>
      <c r="M3397" s="1">
        <f>value(TWD!$B3397)</f>
        <v>480.671</v>
      </c>
      <c r="N3397" s="1">
        <f>value(JPY!$B3397)</f>
        <v>129.1212</v>
      </c>
      <c r="O3397" s="1">
        <f>value(SAR!$B3397)</f>
        <v>0</v>
      </c>
      <c r="P3397" s="1">
        <f>value(AED!$B3397)</f>
        <v>0</v>
      </c>
      <c r="Q3397" s="1">
        <f>value(KWD!$B3397)</f>
        <v>0</v>
      </c>
    </row>
    <row r="3398">
      <c r="A3398" s="4">
        <f>value(USD!A3398)</f>
        <v>43763.99861</v>
      </c>
      <c r="B3398" s="1">
        <f>value(USD!B3398)</f>
        <v>14035</v>
      </c>
      <c r="C3398" s="1">
        <f>value(AUD!$B3398)</f>
        <v>9227.721</v>
      </c>
      <c r="D3398" s="1">
        <f>value(EUR!$B3398)</f>
        <v>15547</v>
      </c>
      <c r="E3398" s="1">
        <f>value(GBP!$B3398)</f>
        <v>17993.17</v>
      </c>
      <c r="F3398" s="1">
        <f>value(CHF!$B3398)</f>
        <v>14270.03</v>
      </c>
      <c r="G3398" s="1">
        <f>value(SGD!$B3398)</f>
        <v>10316.58</v>
      </c>
      <c r="H3398" s="1">
        <f>value(MYR!$B3398)</f>
        <v>3341.788</v>
      </c>
      <c r="I3398" s="1">
        <f>value(THB!$B3398)</f>
        <v>465.1866</v>
      </c>
      <c r="J3398" s="1">
        <f>value(VND!$B3398)</f>
        <v>0</v>
      </c>
      <c r="K3398" s="1">
        <f>value(CNY!$B3398)</f>
        <v>1961.086</v>
      </c>
      <c r="L3398" s="1">
        <f>value(HKD!$B3398)</f>
        <v>1791.106</v>
      </c>
      <c r="M3398" s="1">
        <f>value(TWD!$B3398)</f>
        <v>480.671</v>
      </c>
      <c r="N3398" s="1">
        <f>value(JPY!$B3398)</f>
        <v>128.9886</v>
      </c>
      <c r="O3398" s="1">
        <f>value(SAR!$B3398)</f>
        <v>0</v>
      </c>
      <c r="P3398" s="1">
        <f>value(AED!$B3398)</f>
        <v>0</v>
      </c>
      <c r="Q3398" s="1">
        <f>value(KWD!$B3398)</f>
        <v>0</v>
      </c>
    </row>
    <row r="3399">
      <c r="A3399" s="4">
        <f>value(USD!A3399)</f>
        <v>43764.99861</v>
      </c>
      <c r="B3399" s="1">
        <f>value(USD!B3399)</f>
        <v>14035</v>
      </c>
      <c r="C3399" s="1">
        <f>value(AUD!$B3399)</f>
        <v>9231.411</v>
      </c>
      <c r="D3399" s="1">
        <f>value(EUR!$B3399)</f>
        <v>15565</v>
      </c>
      <c r="E3399" s="1">
        <f>value(GBP!$B3399)</f>
        <v>18030.59</v>
      </c>
      <c r="F3399" s="1">
        <f>value(CHF!$B3399)</f>
        <v>14254.05</v>
      </c>
      <c r="G3399" s="1">
        <f>value(SGD!$B3399)</f>
        <v>10314.52</v>
      </c>
      <c r="H3399" s="1">
        <f>value(MYR!$B3399)</f>
        <v>3350.843</v>
      </c>
      <c r="I3399" s="1">
        <f>value(THB!$B3399)</f>
        <v>463.7686</v>
      </c>
      <c r="J3399" s="1">
        <f>value(VND!$B3399)</f>
        <v>0</v>
      </c>
      <c r="K3399" s="1">
        <f>value(CNY!$B3399)</f>
        <v>1966.317</v>
      </c>
      <c r="L3399" s="1">
        <f>value(HKD!$B3399)</f>
        <v>1791.106</v>
      </c>
      <c r="M3399" s="1">
        <f>value(TWD!$B3399)</f>
        <v>480.671</v>
      </c>
      <c r="N3399" s="1">
        <f>value(JPY!$B3399)</f>
        <v>128.7007</v>
      </c>
      <c r="O3399" s="1">
        <f>value(SAR!$B3399)</f>
        <v>0</v>
      </c>
      <c r="P3399" s="1">
        <f>value(AED!$B3399)</f>
        <v>0</v>
      </c>
      <c r="Q3399" s="1">
        <f>value(KWD!$B3399)</f>
        <v>0</v>
      </c>
    </row>
    <row r="3400">
      <c r="A3400" s="4">
        <f>value(USD!A3400)</f>
        <v>43765.99861</v>
      </c>
      <c r="B3400" s="1">
        <f>value(USD!B3400)</f>
        <v>14035</v>
      </c>
      <c r="C3400" s="1">
        <f>value(AUD!$B3400)</f>
        <v>9184.576</v>
      </c>
      <c r="D3400" s="1">
        <f>value(EUR!$B3400)</f>
        <v>15567</v>
      </c>
      <c r="E3400" s="1">
        <f>value(GBP!$B3400)</f>
        <v>18021.95</v>
      </c>
      <c r="F3400" s="1">
        <f>value(CHF!$B3400)</f>
        <v>14293.59</v>
      </c>
      <c r="G3400" s="1">
        <f>value(SGD!$B3400)</f>
        <v>10327.82</v>
      </c>
      <c r="H3400" s="1">
        <f>value(MYR!$B3400)</f>
        <v>3358.214</v>
      </c>
      <c r="I3400" s="1">
        <f>value(THB!$B3400)</f>
        <v>462.9591</v>
      </c>
      <c r="J3400" s="1">
        <f>value(VND!$B3400)</f>
        <v>0</v>
      </c>
      <c r="K3400" s="1">
        <f>value(CNY!$B3400)</f>
        <v>1961.002</v>
      </c>
      <c r="L3400" s="1">
        <f>value(HKD!$B3400)</f>
        <v>1790.605</v>
      </c>
      <c r="M3400" s="1">
        <f>value(TWD!$B3400)</f>
        <v>480.671</v>
      </c>
      <c r="N3400" s="1">
        <f>value(JPY!$B3400)</f>
        <v>128.6651</v>
      </c>
      <c r="O3400" s="1">
        <f>value(SAR!$B3400)</f>
        <v>0</v>
      </c>
      <c r="P3400" s="1">
        <f>value(AED!$B3400)</f>
        <v>0</v>
      </c>
      <c r="Q3400" s="1">
        <f>value(KWD!$B3400)</f>
        <v>0</v>
      </c>
    </row>
    <row r="3401">
      <c r="A3401" s="4">
        <f>value(USD!A3401)</f>
        <v>43766.99861</v>
      </c>
      <c r="B3401" s="1">
        <f>value(USD!B3401)</f>
        <v>14025</v>
      </c>
      <c r="C3401" s="1">
        <f>value(AUD!$B3401)</f>
        <v>9128.945</v>
      </c>
      <c r="D3401" s="1">
        <f>value(EUR!$B3401)</f>
        <v>15602</v>
      </c>
      <c r="E3401" s="1">
        <f>value(GBP!$B3401)</f>
        <v>18048.78</v>
      </c>
      <c r="F3401" s="1">
        <f>value(CHF!$B3401)</f>
        <v>14212.22</v>
      </c>
      <c r="G3401" s="1">
        <f>value(SGD!$B3401)</f>
        <v>10320.4</v>
      </c>
      <c r="H3401" s="1">
        <f>value(MYR!$B3401)</f>
        <v>3358.447</v>
      </c>
      <c r="I3401" s="1">
        <f>value(THB!$B3401)</f>
        <v>463.0773</v>
      </c>
      <c r="J3401" s="1">
        <f>value(VND!$B3401)</f>
        <v>0</v>
      </c>
      <c r="K3401" s="1">
        <f>value(CNY!$B3401)</f>
        <v>1958.59</v>
      </c>
      <c r="L3401" s="1">
        <f>value(HKD!$B3401)</f>
        <v>1792.689</v>
      </c>
      <c r="M3401" s="1">
        <f>value(TWD!$B3401)</f>
        <v>480.671</v>
      </c>
      <c r="N3401" s="1">
        <f>value(JPY!$B3401)</f>
        <v>128.5787</v>
      </c>
      <c r="O3401" s="1">
        <f>value(SAR!$B3401)</f>
        <v>0</v>
      </c>
      <c r="P3401" s="1">
        <f>value(AED!$B3401)</f>
        <v>0</v>
      </c>
      <c r="Q3401" s="1">
        <f>value(KWD!$B3401)</f>
        <v>0</v>
      </c>
    </row>
    <row r="3402">
      <c r="A3402" s="4">
        <f>value(USD!A3402)</f>
        <v>43767.99861</v>
      </c>
      <c r="B3402" s="1">
        <f>value(USD!B3402)</f>
        <v>14074</v>
      </c>
      <c r="C3402" s="1">
        <f>value(AUD!$B3402)</f>
        <v>9128.945</v>
      </c>
      <c r="D3402" s="1">
        <f>value(EUR!$B3402)</f>
        <v>15645</v>
      </c>
      <c r="E3402" s="1">
        <f>value(GBP!$B3402)</f>
        <v>18147.55</v>
      </c>
      <c r="F3402" s="1">
        <f>value(CHF!$B3402)</f>
        <v>14212.22</v>
      </c>
      <c r="G3402" s="1">
        <f>value(SGD!$B3402)</f>
        <v>10307.88</v>
      </c>
      <c r="H3402" s="1">
        <f>value(MYR!$B3402)</f>
        <v>3357.584</v>
      </c>
      <c r="I3402" s="1">
        <f>value(THB!$B3402)</f>
        <v>464.8226</v>
      </c>
      <c r="J3402" s="1">
        <f>value(VND!$B3402)</f>
        <v>0</v>
      </c>
      <c r="K3402" s="1">
        <f>value(CNY!$B3402)</f>
        <v>1958.59</v>
      </c>
      <c r="L3402" s="1">
        <f>value(HKD!$B3402)</f>
        <v>1792.476</v>
      </c>
      <c r="M3402" s="1">
        <f>value(TWD!$B3402)</f>
        <v>480.671</v>
      </c>
      <c r="N3402" s="1">
        <f>value(JPY!$B3402)</f>
        <v>129.8556</v>
      </c>
      <c r="O3402" s="1">
        <f>value(SAR!$B3402)</f>
        <v>0</v>
      </c>
      <c r="P3402" s="1">
        <f>value(AED!$B3402)</f>
        <v>0</v>
      </c>
      <c r="Q3402" s="1">
        <f>value(KWD!$B3402)</f>
        <v>0</v>
      </c>
    </row>
    <row r="3403">
      <c r="A3403" s="4">
        <f>value(USD!A3403)</f>
        <v>43768.99861</v>
      </c>
      <c r="B3403" s="1">
        <f>value(USD!B3403)</f>
        <v>14064</v>
      </c>
      <c r="C3403" s="1">
        <f>value(AUD!$B3403)</f>
        <v>9125.533</v>
      </c>
      <c r="D3403" s="1">
        <f>value(EUR!$B3403)</f>
        <v>15656.74</v>
      </c>
      <c r="E3403" s="1">
        <f>value(GBP!$B3403)</f>
        <v>18092.96</v>
      </c>
      <c r="F3403" s="1">
        <f>value(CHF!$B3403)</f>
        <v>14214.18</v>
      </c>
      <c r="G3403" s="1">
        <f>value(SGD!$B3403)</f>
        <v>10323.3</v>
      </c>
      <c r="H3403" s="1">
        <f>value(MYR!$B3403)</f>
        <v>3369.36</v>
      </c>
      <c r="I3403" s="1">
        <f>value(THB!$B3403)</f>
        <v>464.7159</v>
      </c>
      <c r="J3403" s="1">
        <f>value(VND!$B3403)</f>
        <v>0</v>
      </c>
      <c r="K3403" s="1">
        <f>value(CNY!$B3403)</f>
        <v>1958.59</v>
      </c>
      <c r="L3403" s="1">
        <f>value(HKD!$B3403)</f>
        <v>1789.876</v>
      </c>
      <c r="M3403" s="1">
        <f>value(TWD!$B3403)</f>
        <v>480.671</v>
      </c>
      <c r="N3403" s="1">
        <f>value(JPY!$B3403)</f>
        <v>129.2787</v>
      </c>
      <c r="O3403" s="1">
        <f>value(SAR!$B3403)</f>
        <v>0</v>
      </c>
      <c r="P3403" s="1">
        <f>value(AED!$B3403)</f>
        <v>0</v>
      </c>
      <c r="Q3403" s="1">
        <f>value(KWD!$B3403)</f>
        <v>0</v>
      </c>
    </row>
    <row r="3404">
      <c r="A3404" s="4">
        <f>value(USD!A3404)</f>
        <v>43769.99861</v>
      </c>
      <c r="B3404" s="1">
        <f>value(USD!B3404)</f>
        <v>14127.5</v>
      </c>
      <c r="C3404" s="1">
        <f>value(AUD!$B3404)</f>
        <v>9169.671</v>
      </c>
      <c r="D3404" s="1">
        <f>value(EUR!$B3404)</f>
        <v>15656.74</v>
      </c>
      <c r="E3404" s="1">
        <f>value(GBP!$B3404)</f>
        <v>18143.28</v>
      </c>
      <c r="F3404" s="1">
        <f>value(CHF!$B3404)</f>
        <v>14222.93</v>
      </c>
      <c r="G3404" s="1">
        <f>value(SGD!$B3404)</f>
        <v>10333.09</v>
      </c>
      <c r="H3404" s="1">
        <f>value(MYR!$B3404)</f>
        <v>3369.36</v>
      </c>
      <c r="I3404" s="1">
        <f>value(THB!$B3404)</f>
        <v>464.7159</v>
      </c>
      <c r="J3404" s="1">
        <f>value(VND!$B3404)</f>
        <v>0</v>
      </c>
      <c r="K3404" s="1">
        <f>value(CNY!$B3404)</f>
        <v>1955.849</v>
      </c>
      <c r="L3404" s="1">
        <f>value(HKD!$B3404)</f>
        <v>1792.279</v>
      </c>
      <c r="M3404" s="1">
        <f>value(TWD!$B3404)</f>
        <v>480.671</v>
      </c>
      <c r="N3404" s="1">
        <f>value(JPY!$B3404)</f>
        <v>129.5921</v>
      </c>
      <c r="O3404" s="1">
        <f>value(SAR!$B3404)</f>
        <v>0</v>
      </c>
      <c r="P3404" s="1">
        <f>value(AED!$B3404)</f>
        <v>0</v>
      </c>
      <c r="Q3404" s="1">
        <f>value(KWD!$B3404)</f>
        <v>0</v>
      </c>
    </row>
    <row r="3405">
      <c r="A3405" s="4">
        <f>value(USD!A3405)</f>
        <v>43770.99861</v>
      </c>
      <c r="B3405" s="1">
        <f>value(USD!B3405)</f>
        <v>13989</v>
      </c>
      <c r="C3405" s="1">
        <f>value(AUD!$B3405)</f>
        <v>9178.082</v>
      </c>
      <c r="D3405" s="1">
        <f>value(EUR!$B3405)</f>
        <v>15656.74</v>
      </c>
      <c r="E3405" s="1">
        <f>value(GBP!$B3405)</f>
        <v>18136.98</v>
      </c>
      <c r="F3405" s="1">
        <f>value(CHF!$B3405)</f>
        <v>14245.62</v>
      </c>
      <c r="G3405" s="1">
        <f>value(SGD!$B3405)</f>
        <v>10333.09</v>
      </c>
      <c r="H3405" s="1">
        <f>value(MYR!$B3405)</f>
        <v>3369.36</v>
      </c>
      <c r="I3405" s="1">
        <f>value(THB!$B3405)</f>
        <v>464.7159</v>
      </c>
      <c r="J3405" s="1">
        <f>value(VND!$B3405)</f>
        <v>0</v>
      </c>
      <c r="K3405" s="1">
        <f>value(CNY!$B3405)</f>
        <v>1952.395</v>
      </c>
      <c r="L3405" s="1">
        <f>value(HKD!$B3405)</f>
        <v>1792.585</v>
      </c>
      <c r="M3405" s="1">
        <f>value(TWD!$B3405)</f>
        <v>480.671</v>
      </c>
      <c r="N3405" s="1">
        <f>value(JPY!$B3405)</f>
        <v>129.5632</v>
      </c>
      <c r="O3405" s="1">
        <f>value(SAR!$B3405)</f>
        <v>0</v>
      </c>
      <c r="P3405" s="1">
        <f>value(AED!$B3405)</f>
        <v>0</v>
      </c>
      <c r="Q3405" s="1">
        <f>value(KWD!$B3405)</f>
        <v>0</v>
      </c>
    </row>
    <row r="3406">
      <c r="A3406" s="4">
        <f>value(USD!A3406)</f>
        <v>43771.99861</v>
      </c>
      <c r="B3406" s="1">
        <f>value(USD!B3406)</f>
        <v>13989</v>
      </c>
      <c r="C3406" s="1">
        <f>value(AUD!$B3406)</f>
        <v>9202.313</v>
      </c>
      <c r="D3406" s="1">
        <f>value(EUR!$B3406)</f>
        <v>15647.61</v>
      </c>
      <c r="E3406" s="1">
        <f>value(GBP!$B3406)</f>
        <v>18125.24</v>
      </c>
      <c r="F3406" s="1">
        <f>value(CHF!$B3406)</f>
        <v>14228.59</v>
      </c>
      <c r="G3406" s="1">
        <f>value(SGD!$B3406)</f>
        <v>10328.65</v>
      </c>
      <c r="H3406" s="1">
        <f>value(MYR!$B3406)</f>
        <v>3376.696</v>
      </c>
      <c r="I3406" s="1">
        <f>value(THB!$B3406)</f>
        <v>465.3979</v>
      </c>
      <c r="J3406" s="1">
        <f>value(VND!$B3406)</f>
        <v>0</v>
      </c>
      <c r="K3406" s="1">
        <f>value(CNY!$B3406)</f>
        <v>1952.548</v>
      </c>
      <c r="L3406" s="1">
        <f>value(HKD!$B3406)</f>
        <v>1792.585</v>
      </c>
      <c r="M3406" s="1">
        <f>value(TWD!$B3406)</f>
        <v>480.671</v>
      </c>
      <c r="N3406" s="1">
        <f>value(JPY!$B3406)</f>
        <v>129.3565</v>
      </c>
      <c r="O3406" s="1">
        <f>value(SAR!$B3406)</f>
        <v>0</v>
      </c>
      <c r="P3406" s="1">
        <f>value(AED!$B3406)</f>
        <v>0</v>
      </c>
      <c r="Q3406" s="1">
        <f>value(KWD!$B3406)</f>
        <v>0</v>
      </c>
    </row>
    <row r="3407">
      <c r="A3407" s="4">
        <f>value(USD!A3407)</f>
        <v>43772.99861</v>
      </c>
      <c r="B3407" s="1">
        <f>value(USD!B3407)</f>
        <v>14021</v>
      </c>
      <c r="C3407" s="1">
        <f>value(AUD!$B3407)</f>
        <v>9193.393</v>
      </c>
      <c r="D3407" s="1">
        <f>value(EUR!$B3407)</f>
        <v>15556</v>
      </c>
      <c r="E3407" s="1">
        <f>value(GBP!$B3407)</f>
        <v>18093.63</v>
      </c>
      <c r="F3407" s="1">
        <f>value(CHF!$B3407)</f>
        <v>14219.31</v>
      </c>
      <c r="G3407" s="1">
        <f>value(SGD!$B3407)</f>
        <v>10349.82</v>
      </c>
      <c r="H3407" s="1">
        <f>value(MYR!$B3407)</f>
        <v>3387.778</v>
      </c>
      <c r="I3407" s="1">
        <f>value(THB!$B3407)</f>
        <v>464.3443</v>
      </c>
      <c r="J3407" s="1">
        <f>value(VND!$B3407)</f>
        <v>0</v>
      </c>
      <c r="K3407" s="1">
        <f>value(CNY!$B3407)</f>
        <v>1951.982</v>
      </c>
      <c r="L3407" s="1">
        <f>value(HKD!$B3407)</f>
        <v>1791.097</v>
      </c>
      <c r="M3407" s="1">
        <f>value(TWD!$B3407)</f>
        <v>480.671</v>
      </c>
      <c r="N3407" s="1">
        <f>value(JPY!$B3407)</f>
        <v>128.6949</v>
      </c>
      <c r="O3407" s="1">
        <f>value(SAR!$B3407)</f>
        <v>0</v>
      </c>
      <c r="P3407" s="1">
        <f>value(AED!$B3407)</f>
        <v>0</v>
      </c>
      <c r="Q3407" s="1">
        <f>value(KWD!$B3407)</f>
        <v>0</v>
      </c>
    </row>
    <row r="3408">
      <c r="A3408" s="4">
        <f>value(USD!A3408)</f>
        <v>43773.99861</v>
      </c>
      <c r="B3408" s="1">
        <f>value(USD!B3408)</f>
        <v>14062</v>
      </c>
      <c r="C3408" s="1">
        <f>value(AUD!$B3408)</f>
        <v>9190.085</v>
      </c>
      <c r="D3408" s="1">
        <f>value(EUR!$B3408)</f>
        <v>15512</v>
      </c>
      <c r="E3408" s="1">
        <f>value(GBP!$B3408)</f>
        <v>18017.31</v>
      </c>
      <c r="F3408" s="1">
        <f>value(CHF!$B3408)</f>
        <v>14322.58</v>
      </c>
      <c r="G3408" s="1">
        <f>value(SGD!$B3408)</f>
        <v>10267.24</v>
      </c>
      <c r="H3408" s="1">
        <f>value(MYR!$B3408)</f>
        <v>3383.87</v>
      </c>
      <c r="I3408" s="1">
        <f>value(THB!$B3408)</f>
        <v>462.5891</v>
      </c>
      <c r="J3408" s="1">
        <f>value(VND!$B3408)</f>
        <v>0</v>
      </c>
      <c r="K3408" s="1">
        <f>value(CNY!$B3408)</f>
        <v>1960.818</v>
      </c>
      <c r="L3408" s="1">
        <f>value(HKD!$B3408)</f>
        <v>1788.124</v>
      </c>
      <c r="M3408" s="1">
        <f>value(TWD!$B3408)</f>
        <v>480.671</v>
      </c>
      <c r="N3408" s="1">
        <f>value(JPY!$B3408)</f>
        <v>128.655</v>
      </c>
      <c r="O3408" s="1">
        <f>value(SAR!$B3408)</f>
        <v>0</v>
      </c>
      <c r="P3408" s="1">
        <f>value(AED!$B3408)</f>
        <v>0</v>
      </c>
      <c r="Q3408" s="1">
        <f>value(KWD!$B3408)</f>
        <v>0</v>
      </c>
    </row>
    <row r="3409">
      <c r="A3409" s="4">
        <f>value(USD!A3409)</f>
        <v>43774.99861</v>
      </c>
      <c r="B3409" s="1">
        <f>value(USD!B3409)</f>
        <v>14032.5</v>
      </c>
      <c r="C3409" s="1">
        <f>value(AUD!$B3409)</f>
        <v>9190.085</v>
      </c>
      <c r="D3409" s="1">
        <f>value(EUR!$B3409)</f>
        <v>15450</v>
      </c>
      <c r="E3409" s="1">
        <f>value(GBP!$B3409)</f>
        <v>17921.67</v>
      </c>
      <c r="F3409" s="1">
        <f>value(CHF!$B3409)</f>
        <v>14322.58</v>
      </c>
      <c r="G3409" s="1">
        <f>value(SGD!$B3409)</f>
        <v>10278.83</v>
      </c>
      <c r="H3409" s="1">
        <f>value(MYR!$B3409)</f>
        <v>3381.336</v>
      </c>
      <c r="I3409" s="1">
        <f>value(THB!$B3409)</f>
        <v>459.3703</v>
      </c>
      <c r="J3409" s="1">
        <f>value(VND!$B3409)</f>
        <v>0</v>
      </c>
      <c r="K3409" s="1">
        <f>value(CNY!$B3409)</f>
        <v>1960.818</v>
      </c>
      <c r="L3409" s="1">
        <f>value(HKD!$B3409)</f>
        <v>1782.54</v>
      </c>
      <c r="M3409" s="1">
        <f>value(TWD!$B3409)</f>
        <v>480.671</v>
      </c>
      <c r="N3409" s="1">
        <f>value(JPY!$B3409)</f>
        <v>127.9249</v>
      </c>
      <c r="O3409" s="1">
        <f>value(SAR!$B3409)</f>
        <v>0</v>
      </c>
      <c r="P3409" s="1">
        <f>value(AED!$B3409)</f>
        <v>0</v>
      </c>
      <c r="Q3409" s="1">
        <f>value(KWD!$B3409)</f>
        <v>0</v>
      </c>
    </row>
    <row r="3410">
      <c r="A3410" s="4">
        <f>value(USD!A3410)</f>
        <v>43775.99861</v>
      </c>
      <c r="B3410" s="1">
        <f>value(USD!B3410)</f>
        <v>14015</v>
      </c>
      <c r="C3410" s="1">
        <f>value(AUD!$B3410)</f>
        <v>9196.636</v>
      </c>
      <c r="D3410" s="1">
        <f>value(EUR!$B3410)</f>
        <v>15447</v>
      </c>
      <c r="E3410" s="1">
        <f>value(GBP!$B3410)</f>
        <v>17907.7</v>
      </c>
      <c r="F3410" s="1">
        <f>value(CHF!$B3410)</f>
        <v>14324.61</v>
      </c>
      <c r="G3410" s="1">
        <f>value(SGD!$B3410)</f>
        <v>10267.38</v>
      </c>
      <c r="H3410" s="1">
        <f>value(MYR!$B3410)</f>
        <v>3388.392</v>
      </c>
      <c r="I3410" s="1">
        <f>value(THB!$B3410)</f>
        <v>461.7937</v>
      </c>
      <c r="J3410" s="1">
        <f>value(VND!$B3410)</f>
        <v>0</v>
      </c>
      <c r="K3410" s="1">
        <f>value(CNY!$B3410)</f>
        <v>1960.818</v>
      </c>
      <c r="L3410" s="1">
        <f>value(HKD!$B3410)</f>
        <v>1782.89</v>
      </c>
      <c r="M3410" s="1">
        <f>value(TWD!$B3410)</f>
        <v>480.671</v>
      </c>
      <c r="N3410" s="1">
        <f>value(JPY!$B3410)</f>
        <v>128.313</v>
      </c>
      <c r="O3410" s="1">
        <f>value(SAR!$B3410)</f>
        <v>0</v>
      </c>
      <c r="P3410" s="1">
        <f>value(AED!$B3410)</f>
        <v>0</v>
      </c>
      <c r="Q3410" s="1">
        <f>value(KWD!$B3410)</f>
        <v>0</v>
      </c>
    </row>
    <row r="3411">
      <c r="A3411" s="4">
        <f>value(USD!A3411)</f>
        <v>43776.99861</v>
      </c>
      <c r="B3411" s="1">
        <f>value(USD!B3411)</f>
        <v>14069.5</v>
      </c>
      <c r="C3411" s="1">
        <f>value(AUD!$B3411)</f>
        <v>9161.425</v>
      </c>
      <c r="D3411" s="1">
        <f>value(EUR!$B3411)</f>
        <v>15447</v>
      </c>
      <c r="E3411" s="1">
        <f>value(GBP!$B3411)</f>
        <v>17907.7</v>
      </c>
      <c r="F3411" s="1">
        <f>value(CHF!$B3411)</f>
        <v>14373.44</v>
      </c>
      <c r="G3411" s="1">
        <f>value(SGD!$B3411)</f>
        <v>10190.35</v>
      </c>
      <c r="H3411" s="1">
        <f>value(MYR!$B3411)</f>
        <v>3388.392</v>
      </c>
      <c r="I3411" s="1">
        <f>value(THB!$B3411)</f>
        <v>461.7937</v>
      </c>
      <c r="J3411" s="1">
        <f>value(VND!$B3411)</f>
        <v>0</v>
      </c>
      <c r="K3411" s="1">
        <f>value(CNY!$B3411)</f>
        <v>1975.611</v>
      </c>
      <c r="L3411" s="1">
        <f>value(HKD!$B3411)</f>
        <v>1783.216</v>
      </c>
      <c r="M3411" s="1">
        <f>value(TWD!$B3411)</f>
        <v>480.671</v>
      </c>
      <c r="N3411" s="1">
        <f>value(JPY!$B3411)</f>
        <v>128.313</v>
      </c>
      <c r="O3411" s="1">
        <f>value(SAR!$B3411)</f>
        <v>0</v>
      </c>
      <c r="P3411" s="1">
        <f>value(AED!$B3411)</f>
        <v>0</v>
      </c>
      <c r="Q3411" s="1">
        <f>value(KWD!$B3411)</f>
        <v>0</v>
      </c>
    </row>
    <row r="3412">
      <c r="A3412" s="4">
        <f>value(USD!A3412)</f>
        <v>43777.99861</v>
      </c>
      <c r="B3412" s="1">
        <f>value(USD!B3412)</f>
        <v>14014.5</v>
      </c>
      <c r="C3412" s="1">
        <f>value(AUD!$B3412)</f>
        <v>9144.997</v>
      </c>
      <c r="D3412" s="1">
        <f>value(EUR!$B3412)</f>
        <v>15447</v>
      </c>
      <c r="E3412" s="1">
        <f>value(GBP!$B3412)</f>
        <v>17930.67</v>
      </c>
      <c r="F3412" s="1">
        <f>value(CHF!$B3412)</f>
        <v>14333.59</v>
      </c>
      <c r="G3412" s="1">
        <f>value(SGD!$B3412)</f>
        <v>10190.35</v>
      </c>
      <c r="H3412" s="1">
        <f>value(MYR!$B3412)</f>
        <v>3388.392</v>
      </c>
      <c r="I3412" s="1">
        <f>value(THB!$B3412)</f>
        <v>461.7937</v>
      </c>
      <c r="J3412" s="1">
        <f>value(VND!$B3412)</f>
        <v>0</v>
      </c>
      <c r="K3412" s="1">
        <f>value(CNY!$B3412)</f>
        <v>1976.2</v>
      </c>
      <c r="L3412" s="1">
        <f>value(HKD!$B3412)</f>
        <v>1791.37</v>
      </c>
      <c r="M3412" s="1">
        <f>value(TWD!$B3412)</f>
        <v>480.671</v>
      </c>
      <c r="N3412" s="1">
        <f>value(JPY!$B3412)</f>
        <v>128.3021</v>
      </c>
      <c r="O3412" s="1">
        <f>value(SAR!$B3412)</f>
        <v>0</v>
      </c>
      <c r="P3412" s="1">
        <f>value(AED!$B3412)</f>
        <v>0</v>
      </c>
      <c r="Q3412" s="1">
        <f>value(KWD!$B3412)</f>
        <v>0</v>
      </c>
    </row>
    <row r="3413">
      <c r="A3413" s="4">
        <f>value(USD!A3413)</f>
        <v>43778.99861</v>
      </c>
      <c r="B3413" s="1">
        <f>value(USD!B3413)</f>
        <v>14014.5</v>
      </c>
      <c r="C3413" s="1">
        <f>value(AUD!$B3413)</f>
        <v>9132.386</v>
      </c>
      <c r="D3413" s="1">
        <f>value(EUR!$B3413)</f>
        <v>15450</v>
      </c>
      <c r="E3413" s="1">
        <f>value(GBP!$B3413)</f>
        <v>17993.36</v>
      </c>
      <c r="F3413" s="1">
        <f>value(CHF!$B3413)</f>
        <v>14356.3</v>
      </c>
      <c r="G3413" s="1">
        <f>value(SGD!$B3413)</f>
        <v>10193.56</v>
      </c>
      <c r="H3413" s="1">
        <f>value(MYR!$B3413)</f>
        <v>3381.632</v>
      </c>
      <c r="I3413" s="1">
        <f>value(THB!$B3413)</f>
        <v>461.4833</v>
      </c>
      <c r="J3413" s="1">
        <f>value(VND!$B3413)</f>
        <v>0</v>
      </c>
      <c r="K3413" s="1">
        <f>value(CNY!$B3413)</f>
        <v>1985.186</v>
      </c>
      <c r="L3413" s="1">
        <f>value(HKD!$B3413)</f>
        <v>1791.37</v>
      </c>
      <c r="M3413" s="1">
        <f>value(TWD!$B3413)</f>
        <v>480.671</v>
      </c>
      <c r="N3413" s="1">
        <f>value(JPY!$B3413)</f>
        <v>128.398</v>
      </c>
      <c r="O3413" s="1">
        <f>value(SAR!$B3413)</f>
        <v>0</v>
      </c>
      <c r="P3413" s="1">
        <f>value(AED!$B3413)</f>
        <v>0</v>
      </c>
      <c r="Q3413" s="1">
        <f>value(KWD!$B3413)</f>
        <v>0</v>
      </c>
    </row>
    <row r="3414">
      <c r="A3414" s="4">
        <f>value(USD!A3414)</f>
        <v>43779.99861</v>
      </c>
      <c r="B3414" s="1">
        <f>value(USD!B3414)</f>
        <v>14018.58</v>
      </c>
      <c r="C3414" s="1">
        <f>value(AUD!$B3414)</f>
        <v>9067.971</v>
      </c>
      <c r="D3414" s="1">
        <f>value(EUR!$B3414)</f>
        <v>15485.45</v>
      </c>
      <c r="E3414" s="1">
        <f>value(GBP!$B3414)</f>
        <v>18070.42</v>
      </c>
      <c r="F3414" s="1">
        <f>value(CHF!$B3414)</f>
        <v>14294.99</v>
      </c>
      <c r="G3414" s="1">
        <f>value(SGD!$B3414)</f>
        <v>10149.25</v>
      </c>
      <c r="H3414" s="1">
        <f>value(MYR!$B3414)</f>
        <v>3392.881</v>
      </c>
      <c r="I3414" s="1">
        <f>value(THB!$B3414)</f>
        <v>463.4835</v>
      </c>
      <c r="J3414" s="1">
        <f>value(VND!$B3414)</f>
        <v>0</v>
      </c>
      <c r="K3414" s="1">
        <f>value(CNY!$B3414)</f>
        <v>2000.519</v>
      </c>
      <c r="L3414" s="1">
        <f>value(HKD!$B3414)</f>
        <v>1790.804</v>
      </c>
      <c r="M3414" s="1">
        <f>value(TWD!$B3414)</f>
        <v>480.671</v>
      </c>
      <c r="N3414" s="1">
        <f>value(JPY!$B3414)</f>
        <v>129.011</v>
      </c>
      <c r="O3414" s="1">
        <f>value(SAR!$B3414)</f>
        <v>0</v>
      </c>
      <c r="P3414" s="1">
        <f>value(AED!$B3414)</f>
        <v>0</v>
      </c>
      <c r="Q3414" s="1">
        <f>value(KWD!$B3414)</f>
        <v>0</v>
      </c>
    </row>
    <row r="3415">
      <c r="A3415" s="4">
        <f>value(USD!A3415)</f>
        <v>43780.99861</v>
      </c>
      <c r="B3415" s="1">
        <f>value(USD!B3415)</f>
        <v>14001.73</v>
      </c>
      <c r="C3415" s="1">
        <f>value(AUD!$B3415)</f>
        <v>9119.754</v>
      </c>
      <c r="D3415" s="1">
        <f>value(EUR!$B3415)</f>
        <v>15501.91</v>
      </c>
      <c r="E3415" s="1">
        <f>value(GBP!$B3415)</f>
        <v>18098.08</v>
      </c>
      <c r="F3415" s="1">
        <f>value(CHF!$B3415)</f>
        <v>14329.8</v>
      </c>
      <c r="G3415" s="1">
        <f>value(SGD!$B3415)</f>
        <v>10182.32</v>
      </c>
      <c r="H3415" s="1">
        <f>value(MYR!$B3415)</f>
        <v>3390.175</v>
      </c>
      <c r="I3415" s="1">
        <f>value(THB!$B3415)</f>
        <v>465.5789</v>
      </c>
      <c r="J3415" s="1">
        <f>value(VND!$B3415)</f>
        <v>0</v>
      </c>
      <c r="K3415" s="1">
        <f>value(CNY!$B3415)</f>
        <v>1999.17</v>
      </c>
      <c r="L3415" s="1">
        <f>value(HKD!$B3415)</f>
        <v>1788.116</v>
      </c>
      <c r="M3415" s="1">
        <f>value(TWD!$B3415)</f>
        <v>480.671</v>
      </c>
      <c r="N3415" s="1">
        <f>value(JPY!$B3415)</f>
        <v>129.4145</v>
      </c>
      <c r="O3415" s="1">
        <f>value(SAR!$B3415)</f>
        <v>0</v>
      </c>
      <c r="P3415" s="1">
        <f>value(AED!$B3415)</f>
        <v>0</v>
      </c>
      <c r="Q3415" s="1">
        <f>value(KWD!$B3415)</f>
        <v>0</v>
      </c>
    </row>
    <row r="3416">
      <c r="A3416" s="4">
        <f>value(USD!A3416)</f>
        <v>43781.99861</v>
      </c>
      <c r="B3416" s="1">
        <f>value(USD!B3416)</f>
        <v>14060.25</v>
      </c>
      <c r="C3416" s="1">
        <f>value(AUD!$B3416)</f>
        <v>9119.754</v>
      </c>
      <c r="D3416" s="1">
        <f>value(EUR!$B3416)</f>
        <v>15517</v>
      </c>
      <c r="E3416" s="1">
        <f>value(GBP!$B3416)</f>
        <v>18137.61</v>
      </c>
      <c r="F3416" s="1">
        <f>value(CHF!$B3416)</f>
        <v>14329.8</v>
      </c>
      <c r="G3416" s="1">
        <f>value(SGD!$B3416)</f>
        <v>10152.45</v>
      </c>
      <c r="H3416" s="1">
        <f>value(MYR!$B3416)</f>
        <v>3395.925</v>
      </c>
      <c r="I3416" s="1">
        <f>value(THB!$B3416)</f>
        <v>466.2</v>
      </c>
      <c r="J3416" s="1">
        <f>value(VND!$B3416)</f>
        <v>0</v>
      </c>
      <c r="K3416" s="1">
        <f>value(CNY!$B3416)</f>
        <v>1999.17</v>
      </c>
      <c r="L3416" s="1">
        <f>value(HKD!$B3416)</f>
        <v>1783.243</v>
      </c>
      <c r="M3416" s="1">
        <f>value(TWD!$B3416)</f>
        <v>480.671</v>
      </c>
      <c r="N3416" s="1">
        <f>value(JPY!$B3416)</f>
        <v>129.7934</v>
      </c>
      <c r="O3416" s="1">
        <f>value(SAR!$B3416)</f>
        <v>0</v>
      </c>
      <c r="P3416" s="1">
        <f>value(AED!$B3416)</f>
        <v>0</v>
      </c>
      <c r="Q3416" s="1">
        <f>value(KWD!$B3416)</f>
        <v>0</v>
      </c>
    </row>
    <row r="3417">
      <c r="A3417" s="4">
        <f>value(USD!A3417)</f>
        <v>43782.99861</v>
      </c>
      <c r="B3417" s="1">
        <f>value(USD!B3417)</f>
        <v>14080.62</v>
      </c>
      <c r="C3417" s="1">
        <f>value(AUD!$B3417)</f>
        <v>9109.197</v>
      </c>
      <c r="D3417" s="1">
        <f>value(EUR!$B3417)</f>
        <v>15553</v>
      </c>
      <c r="E3417" s="1">
        <f>value(GBP!$B3417)</f>
        <v>18107.73</v>
      </c>
      <c r="F3417" s="1">
        <f>value(CHF!$B3417)</f>
        <v>14344.01</v>
      </c>
      <c r="G3417" s="1">
        <f>value(SGD!$B3417)</f>
        <v>10121.38</v>
      </c>
      <c r="H3417" s="1">
        <f>value(MYR!$B3417)</f>
        <v>3394.666</v>
      </c>
      <c r="I3417" s="1">
        <f>value(THB!$B3417)</f>
        <v>464.907</v>
      </c>
      <c r="J3417" s="1">
        <f>value(VND!$B3417)</f>
        <v>0</v>
      </c>
      <c r="K3417" s="1">
        <f>value(CNY!$B3417)</f>
        <v>1999.17</v>
      </c>
      <c r="L3417" s="1">
        <f>value(HKD!$B3417)</f>
        <v>1787.972</v>
      </c>
      <c r="M3417" s="1">
        <f>value(TWD!$B3417)</f>
        <v>480.671</v>
      </c>
      <c r="N3417" s="1">
        <f>value(JPY!$B3417)</f>
        <v>129.3873</v>
      </c>
      <c r="O3417" s="1">
        <f>value(SAR!$B3417)</f>
        <v>0</v>
      </c>
      <c r="P3417" s="1">
        <f>value(AED!$B3417)</f>
        <v>0</v>
      </c>
      <c r="Q3417" s="1">
        <f>value(KWD!$B3417)</f>
        <v>0</v>
      </c>
    </row>
    <row r="3418">
      <c r="A3418" s="4">
        <f>value(USD!A3418)</f>
        <v>43783.99861</v>
      </c>
      <c r="B3418" s="1">
        <f>value(USD!B3418)</f>
        <v>14085</v>
      </c>
      <c r="C3418" s="1">
        <f>value(AUD!$B3418)</f>
        <v>9182.715</v>
      </c>
      <c r="D3418" s="1">
        <f>value(EUR!$B3418)</f>
        <v>15525.33</v>
      </c>
      <c r="E3418" s="1">
        <f>value(GBP!$B3418)</f>
        <v>18127.54</v>
      </c>
      <c r="F3418" s="1">
        <f>value(CHF!$B3418)</f>
        <v>14344.93</v>
      </c>
      <c r="G3418" s="1">
        <f>value(SGD!$B3418)</f>
        <v>10128.8</v>
      </c>
      <c r="H3418" s="1">
        <f>value(MYR!$B3418)</f>
        <v>3388.627</v>
      </c>
      <c r="I3418" s="1">
        <f>value(THB!$B3418)</f>
        <v>464.08</v>
      </c>
      <c r="J3418" s="1">
        <f>value(VND!$B3418)</f>
        <v>0</v>
      </c>
      <c r="K3418" s="1">
        <f>value(CNY!$B3418)</f>
        <v>2039.262</v>
      </c>
      <c r="L3418" s="1">
        <f>value(HKD!$B3418)</f>
        <v>1780.812</v>
      </c>
      <c r="M3418" s="1">
        <f>value(TWD!$B3418)</f>
        <v>480.671</v>
      </c>
      <c r="N3418" s="1">
        <f>value(JPY!$B3418)</f>
        <v>129.1631</v>
      </c>
      <c r="O3418" s="1">
        <f>value(SAR!$B3418)</f>
        <v>0</v>
      </c>
      <c r="P3418" s="1">
        <f>value(AED!$B3418)</f>
        <v>0</v>
      </c>
      <c r="Q3418" s="1">
        <f>value(KWD!$B3418)</f>
        <v>0</v>
      </c>
    </row>
    <row r="3419">
      <c r="A3419" s="4">
        <f>value(USD!A3419)</f>
        <v>43784.99861</v>
      </c>
      <c r="B3419" s="1">
        <f>value(USD!B3419)</f>
        <v>14072.39</v>
      </c>
      <c r="C3419" s="1">
        <f>value(AUD!$B3419)</f>
        <v>9154.211</v>
      </c>
      <c r="D3419" s="1">
        <f>value(EUR!$B3419)</f>
        <v>15525.33</v>
      </c>
      <c r="E3419" s="1">
        <f>value(GBP!$B3419)</f>
        <v>18145.76</v>
      </c>
      <c r="F3419" s="1">
        <f>value(CHF!$B3419)</f>
        <v>14311.82</v>
      </c>
      <c r="G3419" s="1">
        <f>value(SGD!$B3419)</f>
        <v>10128.8</v>
      </c>
      <c r="H3419" s="1">
        <f>value(MYR!$B3419)</f>
        <v>3388.627</v>
      </c>
      <c r="I3419" s="1">
        <f>value(THB!$B3419)</f>
        <v>464.08</v>
      </c>
      <c r="J3419" s="1">
        <f>value(VND!$B3419)</f>
        <v>0</v>
      </c>
      <c r="K3419" s="1">
        <f>value(CNY!$B3419)</f>
        <v>2045.69</v>
      </c>
      <c r="L3419" s="1">
        <f>value(HKD!$B3419)</f>
        <v>1771.51</v>
      </c>
      <c r="M3419" s="1">
        <f>value(TWD!$B3419)</f>
        <v>480.671</v>
      </c>
      <c r="N3419" s="1">
        <f>value(JPY!$B3419)</f>
        <v>129.2114</v>
      </c>
      <c r="O3419" s="1">
        <f>value(SAR!$B3419)</f>
        <v>0</v>
      </c>
      <c r="P3419" s="1">
        <f>value(AED!$B3419)</f>
        <v>0</v>
      </c>
      <c r="Q3419" s="1">
        <f>value(KWD!$B3419)</f>
        <v>0</v>
      </c>
    </row>
    <row r="3420">
      <c r="A3420" s="4">
        <f>value(USD!A3420)</f>
        <v>43785.99861</v>
      </c>
      <c r="B3420" s="1">
        <f>value(USD!B3420)</f>
        <v>14073.46</v>
      </c>
      <c r="C3420" s="1">
        <f>value(AUD!$B3420)</f>
        <v>9122.205</v>
      </c>
      <c r="D3420" s="1">
        <f>value(EUR!$B3420)</f>
        <v>15569.88</v>
      </c>
      <c r="E3420" s="1">
        <f>value(GBP!$B3420)</f>
        <v>18209.74</v>
      </c>
      <c r="F3420" s="1">
        <f>value(CHF!$B3420)</f>
        <v>14284.66</v>
      </c>
      <c r="G3420" s="1">
        <f>value(SGD!$B3420)</f>
        <v>10128.69</v>
      </c>
      <c r="H3420" s="1">
        <f>value(MYR!$B3420)</f>
        <v>3387.407</v>
      </c>
      <c r="I3420" s="1">
        <f>value(THB!$B3420)</f>
        <v>465.5506</v>
      </c>
      <c r="J3420" s="1">
        <f>value(VND!$B3420)</f>
        <v>0</v>
      </c>
      <c r="K3420" s="1">
        <f>value(CNY!$B3420)</f>
        <v>2056.925</v>
      </c>
      <c r="L3420" s="1">
        <f>value(HKD!$B3420)</f>
        <v>1767.97</v>
      </c>
      <c r="M3420" s="1">
        <f>value(TWD!$B3420)</f>
        <v>480.671</v>
      </c>
      <c r="N3420" s="1">
        <f>value(JPY!$B3420)</f>
        <v>129.3974</v>
      </c>
      <c r="O3420" s="1">
        <f>value(SAR!$B3420)</f>
        <v>0</v>
      </c>
      <c r="P3420" s="1">
        <f>value(AED!$B3420)</f>
        <v>0</v>
      </c>
      <c r="Q3420" s="1">
        <f>value(KWD!$B3420)</f>
        <v>0</v>
      </c>
    </row>
    <row r="3421">
      <c r="A3421" s="4">
        <f>value(USD!A3421)</f>
        <v>43786.99861</v>
      </c>
      <c r="B3421" s="1">
        <f>value(USD!B3421)</f>
        <v>14048.42</v>
      </c>
      <c r="C3421" s="1">
        <f>value(AUD!$B3421)</f>
        <v>9222.493</v>
      </c>
      <c r="D3421" s="1">
        <f>value(EUR!$B3421)</f>
        <v>15608.41</v>
      </c>
      <c r="E3421" s="1">
        <f>value(GBP!$B3421)</f>
        <v>18213.91</v>
      </c>
      <c r="F3421" s="1">
        <f>value(CHF!$B3421)</f>
        <v>14211.39</v>
      </c>
      <c r="G3421" s="1">
        <f>value(SGD!$B3421)</f>
        <v>10114.34</v>
      </c>
      <c r="H3421" s="1">
        <f>value(MYR!$B3421)</f>
        <v>3389.08</v>
      </c>
      <c r="I3421" s="1">
        <f>value(THB!$B3421)</f>
        <v>466.7168</v>
      </c>
      <c r="J3421" s="1">
        <f>value(VND!$B3421)</f>
        <v>0</v>
      </c>
      <c r="K3421" s="1">
        <f>value(CNY!$B3421)</f>
        <v>2056.925</v>
      </c>
      <c r="L3421" s="1">
        <f>value(HKD!$B3421)</f>
        <v>1768.062</v>
      </c>
      <c r="M3421" s="1">
        <f>value(TWD!$B3421)</f>
        <v>480.671</v>
      </c>
      <c r="N3421" s="1">
        <f>value(JPY!$B3421)</f>
        <v>129.9023</v>
      </c>
      <c r="O3421" s="1">
        <f>value(SAR!$B3421)</f>
        <v>0</v>
      </c>
      <c r="P3421" s="1">
        <f>value(AED!$B3421)</f>
        <v>0</v>
      </c>
      <c r="Q3421" s="1">
        <f>value(KWD!$B3421)</f>
        <v>0</v>
      </c>
    </row>
    <row r="3422">
      <c r="A3422" s="4">
        <f>value(USD!A3422)</f>
        <v>43787.99861</v>
      </c>
      <c r="B3422" s="1">
        <f>value(USD!B3422)</f>
        <v>14061.25</v>
      </c>
      <c r="C3422" s="1">
        <f>value(AUD!$B3422)</f>
        <v>9121.908</v>
      </c>
      <c r="D3422" s="1">
        <f>value(EUR!$B3422)</f>
        <v>15553</v>
      </c>
      <c r="E3422" s="1">
        <f>value(GBP!$B3422)</f>
        <v>18146.81</v>
      </c>
      <c r="F3422" s="1">
        <f>value(CHF!$B3422)</f>
        <v>14147.02</v>
      </c>
      <c r="G3422" s="1">
        <f>value(SGD!$B3422)</f>
        <v>10116.29</v>
      </c>
      <c r="H3422" s="1">
        <f>value(MYR!$B3422)</f>
        <v>3376.976</v>
      </c>
      <c r="I3422" s="1">
        <f>value(THB!$B3422)</f>
        <v>465.0182</v>
      </c>
      <c r="J3422" s="1">
        <f>value(VND!$B3422)</f>
        <v>0</v>
      </c>
      <c r="K3422" s="1">
        <f>value(CNY!$B3422)</f>
        <v>2056.925</v>
      </c>
      <c r="L3422" s="1">
        <f>value(HKD!$B3422)</f>
        <v>1758.896</v>
      </c>
      <c r="M3422" s="1">
        <f>value(TWD!$B3422)</f>
        <v>480.671</v>
      </c>
      <c r="N3422" s="1">
        <f>value(JPY!$B3422)</f>
        <v>129.4104</v>
      </c>
      <c r="O3422" s="1">
        <f>value(SAR!$B3422)</f>
        <v>0</v>
      </c>
      <c r="P3422" s="1">
        <f>value(AED!$B3422)</f>
        <v>0</v>
      </c>
      <c r="Q3422" s="1">
        <f>value(KWD!$B3422)</f>
        <v>0</v>
      </c>
    </row>
    <row r="3423">
      <c r="A3423" s="4">
        <f>value(USD!A3423)</f>
        <v>43788.99861</v>
      </c>
      <c r="B3423" s="1">
        <f>value(USD!B3423)</f>
        <v>14090</v>
      </c>
      <c r="C3423" s="1">
        <f>value(AUD!$B3423)</f>
        <v>9121.908</v>
      </c>
      <c r="D3423" s="1">
        <f>value(EUR!$B3423)</f>
        <v>15577</v>
      </c>
      <c r="E3423" s="1">
        <f>value(GBP!$B3423)</f>
        <v>18183.62</v>
      </c>
      <c r="F3423" s="1">
        <f>value(CHF!$B3423)</f>
        <v>14111.89</v>
      </c>
      <c r="G3423" s="1">
        <f>value(SGD!$B3423)</f>
        <v>10143.14</v>
      </c>
      <c r="H3423" s="1">
        <f>value(MYR!$B3423)</f>
        <v>3370.186</v>
      </c>
      <c r="I3423" s="1">
        <f>value(THB!$B3423)</f>
        <v>466.2097</v>
      </c>
      <c r="J3423" s="1">
        <f>value(VND!$B3423)</f>
        <v>0</v>
      </c>
      <c r="K3423" s="1">
        <f>value(CNY!$B3423)</f>
        <v>2056.925</v>
      </c>
      <c r="L3423" s="1">
        <f>value(HKD!$B3423)</f>
        <v>1758.049</v>
      </c>
      <c r="M3423" s="1">
        <f>value(TWD!$B3423)</f>
        <v>480.671</v>
      </c>
      <c r="N3423" s="1">
        <f>value(JPY!$B3423)</f>
        <v>129.6344</v>
      </c>
      <c r="O3423" s="1">
        <f>value(SAR!$B3423)</f>
        <v>0</v>
      </c>
      <c r="P3423" s="1">
        <f>value(AED!$B3423)</f>
        <v>0</v>
      </c>
      <c r="Q3423" s="1">
        <f>value(KWD!$B3423)</f>
        <v>0</v>
      </c>
    </row>
    <row r="3424">
      <c r="A3424" s="4">
        <f>value(USD!A3424)</f>
        <v>43789.99861</v>
      </c>
      <c r="B3424" s="1">
        <f>value(USD!B3424)</f>
        <v>14039.79</v>
      </c>
      <c r="C3424" s="1">
        <f>value(AUD!$B3424)</f>
        <v>9090.936</v>
      </c>
      <c r="D3424" s="1">
        <f>value(EUR!$B3424)</f>
        <v>15528</v>
      </c>
      <c r="E3424" s="1">
        <f>value(GBP!$B3424)</f>
        <v>18073.36</v>
      </c>
      <c r="F3424" s="1">
        <f>value(CHF!$B3424)</f>
        <v>14110.39</v>
      </c>
      <c r="G3424" s="1">
        <f>value(SGD!$B3424)</f>
        <v>10133.46</v>
      </c>
      <c r="H3424" s="1">
        <f>value(MYR!$B3424)</f>
        <v>3363.369</v>
      </c>
      <c r="I3424" s="1">
        <f>value(THB!$B3424)</f>
        <v>466.4604</v>
      </c>
      <c r="J3424" s="1">
        <f>value(VND!$B3424)</f>
        <v>0</v>
      </c>
      <c r="K3424" s="1">
        <f>value(CNY!$B3424)</f>
        <v>2056.925</v>
      </c>
      <c r="L3424" s="1">
        <f>value(HKD!$B3424)</f>
        <v>1758.766</v>
      </c>
      <c r="M3424" s="1">
        <f>value(TWD!$B3424)</f>
        <v>480.671</v>
      </c>
      <c r="N3424" s="1">
        <f>value(JPY!$B3424)</f>
        <v>129.6907</v>
      </c>
      <c r="O3424" s="1">
        <f>value(SAR!$B3424)</f>
        <v>0</v>
      </c>
      <c r="P3424" s="1">
        <f>value(AED!$B3424)</f>
        <v>0</v>
      </c>
      <c r="Q3424" s="1">
        <f>value(KWD!$B3424)</f>
        <v>0</v>
      </c>
    </row>
    <row r="3425">
      <c r="A3425" s="4">
        <f>value(USD!A3425)</f>
        <v>43790.99861</v>
      </c>
      <c r="B3425" s="1">
        <f>value(USD!B3425)</f>
        <v>14077</v>
      </c>
      <c r="C3425" s="1">
        <f>value(AUD!$B3425)</f>
        <v>9325.745</v>
      </c>
      <c r="D3425" s="1">
        <f>value(EUR!$B3425)</f>
        <v>15528</v>
      </c>
      <c r="E3425" s="1">
        <f>value(GBP!$B3425)</f>
        <v>18073.36</v>
      </c>
      <c r="F3425" s="1">
        <f>value(CHF!$B3425)</f>
        <v>14080.04</v>
      </c>
      <c r="G3425" s="1">
        <f>value(SGD!$B3425)</f>
        <v>10067.66</v>
      </c>
      <c r="H3425" s="1">
        <f>value(MYR!$B3425)</f>
        <v>3363.369</v>
      </c>
      <c r="I3425" s="1">
        <f>value(THB!$B3425)</f>
        <v>466.4604</v>
      </c>
      <c r="J3425" s="1">
        <f>value(VND!$B3425)</f>
        <v>0</v>
      </c>
      <c r="K3425" s="1">
        <f>value(CNY!$B3425)</f>
        <v>2056.925</v>
      </c>
      <c r="L3425" s="1">
        <f>value(HKD!$B3425)</f>
        <v>1752.793</v>
      </c>
      <c r="M3425" s="1">
        <f>value(TWD!$B3425)</f>
        <v>480.671</v>
      </c>
      <c r="N3425" s="1">
        <f>value(JPY!$B3425)</f>
        <v>129.6907</v>
      </c>
      <c r="O3425" s="1">
        <f>value(SAR!$B3425)</f>
        <v>0</v>
      </c>
      <c r="P3425" s="1">
        <f>value(AED!$B3425)</f>
        <v>0</v>
      </c>
      <c r="Q3425" s="1">
        <f>value(KWD!$B3425)</f>
        <v>0</v>
      </c>
    </row>
    <row r="3426">
      <c r="A3426" s="4">
        <f>value(USD!A3426)</f>
        <v>43791.99861</v>
      </c>
      <c r="B3426" s="1">
        <f>value(USD!B3426)</f>
        <v>14090.74</v>
      </c>
      <c r="C3426" s="1">
        <f>value(AUD!$B3426)</f>
        <v>9433.645</v>
      </c>
      <c r="D3426" s="1">
        <f>value(EUR!$B3426)</f>
        <v>15528</v>
      </c>
      <c r="E3426" s="1">
        <f>value(GBP!$B3426)</f>
        <v>18101.07</v>
      </c>
      <c r="F3426" s="1">
        <f>value(CHF!$B3426)</f>
        <v>14136.06</v>
      </c>
      <c r="G3426" s="1">
        <f>value(SGD!$B3426)</f>
        <v>10067.66</v>
      </c>
      <c r="H3426" s="1">
        <f>value(MYR!$B3426)</f>
        <v>3363.369</v>
      </c>
      <c r="I3426" s="1">
        <f>value(THB!$B3426)</f>
        <v>466.4604</v>
      </c>
      <c r="J3426" s="1">
        <f>value(VND!$B3426)</f>
        <v>0</v>
      </c>
      <c r="K3426" s="1">
        <f>value(CNY!$B3426)</f>
        <v>2056.925</v>
      </c>
      <c r="L3426" s="1">
        <f>value(HKD!$B3426)</f>
        <v>1759.035</v>
      </c>
      <c r="M3426" s="1">
        <f>value(TWD!$B3426)</f>
        <v>480.671</v>
      </c>
      <c r="N3426" s="1">
        <f>value(JPY!$B3426)</f>
        <v>129.5636</v>
      </c>
      <c r="O3426" s="1">
        <f>value(SAR!$B3426)</f>
        <v>0</v>
      </c>
      <c r="P3426" s="1">
        <f>value(AED!$B3426)</f>
        <v>0</v>
      </c>
      <c r="Q3426" s="1">
        <f>value(KWD!$B3426)</f>
        <v>0</v>
      </c>
    </row>
    <row r="3427">
      <c r="A3427" s="4">
        <f>value(USD!A3427)</f>
        <v>43792.99861</v>
      </c>
      <c r="B3427" s="1">
        <f>value(USD!B3427)</f>
        <v>14090.74</v>
      </c>
      <c r="C3427" s="1">
        <f>value(AUD!$B3427)</f>
        <v>9348.365</v>
      </c>
      <c r="D3427" s="1">
        <f>value(EUR!$B3427)</f>
        <v>15490</v>
      </c>
      <c r="E3427" s="1">
        <f>value(GBP!$B3427)</f>
        <v>18143.48</v>
      </c>
      <c r="F3427" s="1">
        <f>value(CHF!$B3427)</f>
        <v>14183.04</v>
      </c>
      <c r="G3427" s="1">
        <f>value(SGD!$B3427)</f>
        <v>10046.18</v>
      </c>
      <c r="H3427" s="1">
        <f>value(MYR!$B3427)</f>
        <v>3365.416</v>
      </c>
      <c r="I3427" s="1">
        <f>value(THB!$B3427)</f>
        <v>465.3608</v>
      </c>
      <c r="J3427" s="1">
        <f>value(VND!$B3427)</f>
        <v>0</v>
      </c>
      <c r="K3427" s="1">
        <f>value(CNY!$B3427)</f>
        <v>2056.925</v>
      </c>
      <c r="L3427" s="1">
        <f>value(HKD!$B3427)</f>
        <v>1759.035</v>
      </c>
      <c r="M3427" s="1">
        <f>value(TWD!$B3427)</f>
        <v>480.671</v>
      </c>
      <c r="N3427" s="1">
        <f>value(JPY!$B3427)</f>
        <v>129.0726</v>
      </c>
      <c r="O3427" s="1">
        <f>value(SAR!$B3427)</f>
        <v>0</v>
      </c>
      <c r="P3427" s="1">
        <f>value(AED!$B3427)</f>
        <v>0</v>
      </c>
      <c r="Q3427" s="1">
        <f>value(KWD!$B3427)</f>
        <v>0</v>
      </c>
    </row>
    <row r="3428">
      <c r="A3428" s="4">
        <f>value(USD!A3428)</f>
        <v>43793.99861</v>
      </c>
      <c r="B3428" s="1">
        <f>value(USD!B3428)</f>
        <v>14087.55</v>
      </c>
      <c r="C3428" s="1">
        <f>value(AUD!$B3428)</f>
        <v>9034.668</v>
      </c>
      <c r="D3428" s="1">
        <f>value(EUR!$B3428)</f>
        <v>15520</v>
      </c>
      <c r="E3428" s="1">
        <f>value(GBP!$B3428)</f>
        <v>18108.63</v>
      </c>
      <c r="F3428" s="1">
        <f>value(CHF!$B3428)</f>
        <v>14115.46</v>
      </c>
      <c r="G3428" s="1">
        <f>value(SGD!$B3428)</f>
        <v>10106.44</v>
      </c>
      <c r="H3428" s="1">
        <f>value(MYR!$B3428)</f>
        <v>3367.69</v>
      </c>
      <c r="I3428" s="1">
        <f>value(THB!$B3428)</f>
        <v>465.9681</v>
      </c>
      <c r="J3428" s="1">
        <f>value(VND!$B3428)</f>
        <v>0</v>
      </c>
      <c r="K3428" s="1">
        <f>value(CNY!$B3428)</f>
        <v>2056.925</v>
      </c>
      <c r="L3428" s="1">
        <f>value(HKD!$B3428)</f>
        <v>1758.388</v>
      </c>
      <c r="M3428" s="1">
        <f>value(TWD!$B3428)</f>
        <v>480.671</v>
      </c>
      <c r="N3428" s="1">
        <f>value(JPY!$B3428)</f>
        <v>129.0639</v>
      </c>
      <c r="O3428" s="1">
        <f>value(SAR!$B3428)</f>
        <v>0</v>
      </c>
      <c r="P3428" s="1">
        <f>value(AED!$B3428)</f>
        <v>0</v>
      </c>
      <c r="Q3428" s="1">
        <f>value(KWD!$B3428)</f>
        <v>0</v>
      </c>
    </row>
    <row r="3429">
      <c r="A3429" s="4">
        <f>value(USD!A3429)</f>
        <v>43794.99861</v>
      </c>
      <c r="B3429" s="1">
        <f>value(USD!B3429)</f>
        <v>14068.29</v>
      </c>
      <c r="C3429" s="1">
        <f>value(AUD!$B3429)</f>
        <v>9463.17</v>
      </c>
      <c r="D3429" s="1">
        <f>value(EUR!$B3429)</f>
        <v>15510</v>
      </c>
      <c r="E3429" s="1">
        <f>value(GBP!$B3429)</f>
        <v>18223.26</v>
      </c>
      <c r="F3429" s="1">
        <f>value(CHF!$B3429)</f>
        <v>14117.26</v>
      </c>
      <c r="G3429" s="1">
        <f>value(SGD!$B3429)</f>
        <v>10073.88</v>
      </c>
      <c r="H3429" s="1">
        <f>value(MYR!$B3429)</f>
        <v>3377.025</v>
      </c>
      <c r="I3429" s="1">
        <f>value(THB!$B3429)</f>
        <v>466.1858</v>
      </c>
      <c r="J3429" s="1">
        <f>value(VND!$B3429)</f>
        <v>0</v>
      </c>
      <c r="K3429" s="1">
        <f>value(CNY!$B3429)</f>
        <v>2056.925</v>
      </c>
      <c r="L3429" s="1">
        <f>value(HKD!$B3429)</f>
        <v>1752.91</v>
      </c>
      <c r="M3429" s="1">
        <f>value(TWD!$B3429)</f>
        <v>480.671</v>
      </c>
      <c r="N3429" s="1">
        <f>value(JPY!$B3429)</f>
        <v>128.8784</v>
      </c>
      <c r="O3429" s="1">
        <f>value(SAR!$B3429)</f>
        <v>0</v>
      </c>
      <c r="P3429" s="1">
        <f>value(AED!$B3429)</f>
        <v>0</v>
      </c>
      <c r="Q3429" s="1">
        <f>value(KWD!$B3429)</f>
        <v>0</v>
      </c>
    </row>
    <row r="3430">
      <c r="A3430" s="4">
        <f>value(USD!A3430)</f>
        <v>43795.99861</v>
      </c>
      <c r="B3430" s="1">
        <f>value(USD!B3430)</f>
        <v>14085</v>
      </c>
      <c r="C3430" s="1">
        <f>value(AUD!$B3430)</f>
        <v>9467.804</v>
      </c>
      <c r="D3430" s="1">
        <f>value(EUR!$B3430)</f>
        <v>15502.31</v>
      </c>
      <c r="E3430" s="1">
        <f>value(GBP!$B3430)</f>
        <v>18178.77</v>
      </c>
      <c r="F3430" s="1">
        <f>value(CHF!$B3430)</f>
        <v>14117.26</v>
      </c>
      <c r="G3430" s="1">
        <f>value(SGD!$B3430)</f>
        <v>10037.85</v>
      </c>
      <c r="H3430" s="1">
        <f>value(MYR!$B3430)</f>
        <v>3376.086</v>
      </c>
      <c r="I3430" s="1">
        <f>value(THB!$B3430)</f>
        <v>465.6887</v>
      </c>
      <c r="J3430" s="1">
        <f>value(VND!$B3430)</f>
        <v>0</v>
      </c>
      <c r="K3430" s="1">
        <f>value(CNY!$B3430)</f>
        <v>2056.925</v>
      </c>
      <c r="L3430" s="1">
        <f>value(HKD!$B3430)</f>
        <v>1757.966</v>
      </c>
      <c r="M3430" s="1">
        <f>value(TWD!$B3430)</f>
        <v>480.671</v>
      </c>
      <c r="N3430" s="1">
        <f>value(JPY!$B3430)</f>
        <v>128.556</v>
      </c>
      <c r="O3430" s="1">
        <f>value(SAR!$B3430)</f>
        <v>0</v>
      </c>
      <c r="P3430" s="1">
        <f>value(AED!$B3430)</f>
        <v>0</v>
      </c>
      <c r="Q3430" s="1">
        <f>value(KWD!$B3430)</f>
        <v>0</v>
      </c>
    </row>
    <row r="3431">
      <c r="A3431" s="4">
        <f>value(USD!A3431)</f>
        <v>43796.99861</v>
      </c>
      <c r="B3431" s="1">
        <f>value(USD!B3431)</f>
        <v>14092.4</v>
      </c>
      <c r="C3431" s="1">
        <f>value(AUD!$B3431)</f>
        <v>9480.094</v>
      </c>
      <c r="D3431" s="1">
        <f>value(EUR!$B3431)</f>
        <v>15520</v>
      </c>
      <c r="E3431" s="1">
        <f>value(GBP!$B3431)</f>
        <v>18216.6</v>
      </c>
      <c r="F3431" s="1">
        <f>value(CHF!$B3431)</f>
        <v>14108.06</v>
      </c>
      <c r="G3431" s="1">
        <f>value(SGD!$B3431)</f>
        <v>10069.18</v>
      </c>
      <c r="H3431" s="1">
        <f>value(MYR!$B3431)</f>
        <v>3379.349</v>
      </c>
      <c r="I3431" s="1">
        <f>value(THB!$B3431)</f>
        <v>466.15</v>
      </c>
      <c r="J3431" s="1">
        <f>value(VND!$B3431)</f>
        <v>0</v>
      </c>
      <c r="K3431" s="1">
        <f>value(CNY!$B3431)</f>
        <v>2056.925</v>
      </c>
      <c r="L3431" s="1">
        <f>value(HKD!$B3431)</f>
        <v>1754.034</v>
      </c>
      <c r="M3431" s="1">
        <f>value(TWD!$B3431)</f>
        <v>480.671</v>
      </c>
      <c r="N3431" s="1">
        <f>value(JPY!$B3431)</f>
        <v>128.6379</v>
      </c>
      <c r="O3431" s="1">
        <f>value(SAR!$B3431)</f>
        <v>0</v>
      </c>
      <c r="P3431" s="1">
        <f>value(AED!$B3431)</f>
        <v>0</v>
      </c>
      <c r="Q3431" s="1">
        <f>value(KWD!$B3431)</f>
        <v>0</v>
      </c>
    </row>
    <row r="3432">
      <c r="A3432" s="4">
        <f>value(USD!A3432)</f>
        <v>43797.99861</v>
      </c>
      <c r="B3432" s="1">
        <f>value(USD!B3432)</f>
        <v>14077.98</v>
      </c>
      <c r="C3432" s="1">
        <f>value(AUD!$B3432)</f>
        <v>9313.225</v>
      </c>
      <c r="D3432" s="1">
        <f>value(EUR!$B3432)</f>
        <v>15510.35</v>
      </c>
      <c r="E3432" s="1">
        <f>value(GBP!$B3432)</f>
        <v>18192.89</v>
      </c>
      <c r="F3432" s="1">
        <f>value(CHF!$B3432)</f>
        <v>14061.61</v>
      </c>
      <c r="G3432" s="1">
        <f>value(SGD!$B3432)</f>
        <v>10092.36</v>
      </c>
      <c r="H3432" s="1">
        <f>value(MYR!$B3432)</f>
        <v>3377.248</v>
      </c>
      <c r="I3432" s="1">
        <f>value(THB!$B3432)</f>
        <v>465.8603</v>
      </c>
      <c r="J3432" s="1">
        <f>value(VND!$B3432)</f>
        <v>0</v>
      </c>
      <c r="K3432" s="1">
        <f>value(CNY!$B3432)</f>
        <v>2056.925</v>
      </c>
      <c r="L3432" s="1">
        <f>value(HKD!$B3432)</f>
        <v>1751.609</v>
      </c>
      <c r="M3432" s="1">
        <f>value(TWD!$B3432)</f>
        <v>480.671</v>
      </c>
      <c r="N3432" s="1">
        <f>value(JPY!$B3432)</f>
        <v>128.5403</v>
      </c>
      <c r="O3432" s="1">
        <f>value(SAR!$B3432)</f>
        <v>0</v>
      </c>
      <c r="P3432" s="1">
        <f>value(AED!$B3432)</f>
        <v>0</v>
      </c>
      <c r="Q3432" s="1">
        <f>value(KWD!$B3432)</f>
        <v>0</v>
      </c>
    </row>
    <row r="3433">
      <c r="A3433" s="4">
        <f>value(USD!A3433)</f>
        <v>43798.99861</v>
      </c>
      <c r="B3433" s="1">
        <f>value(USD!B3433)</f>
        <v>14086.2</v>
      </c>
      <c r="C3433" s="1">
        <f>value(AUD!$B3433)</f>
        <v>9376.978</v>
      </c>
      <c r="D3433" s="1">
        <f>value(EUR!$B3433)</f>
        <v>15510.35</v>
      </c>
      <c r="E3433" s="1">
        <f>value(GBP!$B3433)</f>
        <v>18177.86</v>
      </c>
      <c r="F3433" s="1">
        <f>value(CHF!$B3433)</f>
        <v>14099.69</v>
      </c>
      <c r="G3433" s="1">
        <f>value(SGD!$B3433)</f>
        <v>10092.36</v>
      </c>
      <c r="H3433" s="1">
        <f>value(MYR!$B3433)</f>
        <v>3377.248</v>
      </c>
      <c r="I3433" s="1">
        <f>value(THB!$B3433)</f>
        <v>465.8603</v>
      </c>
      <c r="J3433" s="1">
        <f>value(VND!$B3433)</f>
        <v>0</v>
      </c>
      <c r="K3433" s="1">
        <f>value(CNY!$B3433)</f>
        <v>2056.925</v>
      </c>
      <c r="L3433" s="1">
        <f>value(HKD!$B3433)</f>
        <v>1764.809</v>
      </c>
      <c r="M3433" s="1">
        <f>value(TWD!$B3433)</f>
        <v>0</v>
      </c>
      <c r="N3433" s="1">
        <f>value(JPY!$B3433)</f>
        <v>128.5103</v>
      </c>
      <c r="O3433" s="1">
        <f>value(SAR!$B3433)</f>
        <v>0</v>
      </c>
      <c r="P3433" s="1">
        <f>value(AED!$B3433)</f>
        <v>0</v>
      </c>
      <c r="Q3433" s="1">
        <f>value(KWD!$B3433)</f>
        <v>0</v>
      </c>
    </row>
    <row r="3434">
      <c r="A3434" s="4">
        <f>value(USD!A3434)</f>
        <v>43799.99861</v>
      </c>
      <c r="B3434" s="1">
        <f>value(USD!B3434)</f>
        <v>14085.85</v>
      </c>
      <c r="C3434" s="1">
        <f>value(AUD!$B3434)</f>
        <v>9344.428</v>
      </c>
      <c r="D3434" s="1">
        <f>value(EUR!$B3434)</f>
        <v>15649</v>
      </c>
      <c r="E3434" s="1">
        <f>value(GBP!$B3434)</f>
        <v>18280.47</v>
      </c>
      <c r="F3434" s="1">
        <f>value(CHF!$B3434)</f>
        <v>14088.55</v>
      </c>
      <c r="G3434" s="1">
        <f>value(SGD!$B3434)</f>
        <v>10093.44</v>
      </c>
      <c r="H3434" s="1">
        <f>value(MYR!$B3434)</f>
        <v>3400.921</v>
      </c>
      <c r="I3434" s="1">
        <f>value(THB!$B3434)</f>
        <v>466.7303</v>
      </c>
      <c r="J3434" s="1">
        <f>value(VND!$B3434)</f>
        <v>0</v>
      </c>
      <c r="K3434" s="1">
        <f>value(CNY!$B3434)</f>
        <v>2056.925</v>
      </c>
      <c r="L3434" s="1">
        <f>value(HKD!$B3434)</f>
        <v>1764.809</v>
      </c>
      <c r="M3434" s="1">
        <f>value(TWD!$B3434)</f>
        <v>0</v>
      </c>
      <c r="N3434" s="1">
        <f>value(JPY!$B3434)</f>
        <v>129.6091</v>
      </c>
      <c r="O3434" s="1">
        <f>value(SAR!$B3434)</f>
        <v>0</v>
      </c>
      <c r="P3434" s="1">
        <f>value(AED!$B3434)</f>
        <v>0</v>
      </c>
      <c r="Q3434" s="1">
        <f>value(KWD!$B3434)</f>
        <v>0</v>
      </c>
    </row>
    <row r="3435">
      <c r="A3435" s="4">
        <f>value(USD!A3435)</f>
        <v>43800.99861</v>
      </c>
      <c r="B3435" s="1">
        <f>value(USD!B3435)</f>
        <v>14077.09</v>
      </c>
      <c r="C3435" s="1">
        <f>value(AUD!$B3435)</f>
        <v>9124.782</v>
      </c>
      <c r="D3435" s="1">
        <f>value(EUR!$B3435)</f>
        <v>15628</v>
      </c>
      <c r="E3435" s="1">
        <f>value(GBP!$B3435)</f>
        <v>18327.66</v>
      </c>
      <c r="F3435" s="1">
        <f>value(CHF!$B3435)</f>
        <v>14040.29</v>
      </c>
      <c r="G3435" s="1">
        <f>value(SGD!$B3435)</f>
        <v>10030.12</v>
      </c>
      <c r="H3435" s="1">
        <f>value(MYR!$B3435)</f>
        <v>3380.343</v>
      </c>
      <c r="I3435" s="1">
        <f>value(THB!$B3435)</f>
        <v>465.8122</v>
      </c>
      <c r="J3435" s="1">
        <f>value(VND!$B3435)</f>
        <v>0</v>
      </c>
      <c r="K3435" s="1">
        <f>value(CNY!$B3435)</f>
        <v>2056.925</v>
      </c>
      <c r="L3435" s="1">
        <f>value(HKD!$B3435)</f>
        <v>1764.349</v>
      </c>
      <c r="M3435" s="1">
        <f>value(TWD!$B3435)</f>
        <v>0</v>
      </c>
      <c r="N3435" s="1">
        <f>value(JPY!$B3435)</f>
        <v>129.7866</v>
      </c>
      <c r="O3435" s="1">
        <f>value(SAR!$B3435)</f>
        <v>0</v>
      </c>
      <c r="P3435" s="1">
        <f>value(AED!$B3435)</f>
        <v>0</v>
      </c>
      <c r="Q3435" s="1">
        <f>value(KWD!$B3435)</f>
        <v>0</v>
      </c>
    </row>
    <row r="3436">
      <c r="A3436" s="4">
        <f>value(USD!A3436)</f>
        <v>43801.99861</v>
      </c>
      <c r="B3436" s="1">
        <f>value(USD!B3436)</f>
        <v>14127.79</v>
      </c>
      <c r="C3436" s="1">
        <f>value(AUD!$B3436)</f>
        <v>9047.704</v>
      </c>
      <c r="D3436" s="1">
        <f>value(EUR!$B3436)</f>
        <v>15515</v>
      </c>
      <c r="E3436" s="1">
        <f>value(GBP!$B3436)</f>
        <v>18352.8</v>
      </c>
      <c r="F3436" s="1">
        <f>value(CHF!$B3436)</f>
        <v>14122.43</v>
      </c>
      <c r="G3436" s="1">
        <f>value(SGD!$B3436)</f>
        <v>10002.92</v>
      </c>
      <c r="H3436" s="1">
        <f>value(MYR!$B3436)</f>
        <v>3356.118</v>
      </c>
      <c r="I3436" s="1">
        <f>value(THB!$B3436)</f>
        <v>462.1824</v>
      </c>
      <c r="J3436" s="1">
        <f>value(VND!$B3436)</f>
        <v>0</v>
      </c>
      <c r="K3436" s="1">
        <f>value(CNY!$B3436)</f>
        <v>2056.925</v>
      </c>
      <c r="L3436" s="1">
        <f>value(HKD!$B3436)</f>
        <v>1699.672</v>
      </c>
      <c r="M3436" s="1">
        <f>value(TWD!$B3436)</f>
        <v>0</v>
      </c>
      <c r="N3436" s="1">
        <f>value(JPY!$B3436)</f>
        <v>128.6378</v>
      </c>
      <c r="O3436" s="1">
        <f>value(SAR!$B3436)</f>
        <v>0</v>
      </c>
      <c r="P3436" s="1">
        <f>value(AED!$B3436)</f>
        <v>0</v>
      </c>
      <c r="Q3436" s="1">
        <f>value(KWD!$B3436)</f>
        <v>0</v>
      </c>
    </row>
    <row r="3437">
      <c r="A3437" s="4">
        <f>value(USD!A3437)</f>
        <v>43802.99861</v>
      </c>
      <c r="B3437" s="1">
        <f>value(USD!B3437)</f>
        <v>14105</v>
      </c>
      <c r="C3437" s="1">
        <f>value(AUD!$B3437)</f>
        <v>9047.704</v>
      </c>
      <c r="D3437" s="1">
        <f>value(EUR!$B3437)</f>
        <v>15515</v>
      </c>
      <c r="E3437" s="1">
        <f>value(GBP!$B3437)</f>
        <v>18385.86</v>
      </c>
      <c r="F3437" s="1">
        <f>value(CHF!$B3437)</f>
        <v>14122.43</v>
      </c>
      <c r="G3437" s="1">
        <f>value(SGD!$B3437)</f>
        <v>9911.136</v>
      </c>
      <c r="H3437" s="1">
        <f>value(MYR!$B3437)</f>
        <v>3355.175</v>
      </c>
      <c r="I3437" s="1">
        <f>value(THB!$B3437)</f>
        <v>460.2082</v>
      </c>
      <c r="J3437" s="1">
        <f>value(VND!$B3437)</f>
        <v>0</v>
      </c>
      <c r="K3437" s="1">
        <f>value(CNY!$B3437)</f>
        <v>2056.925</v>
      </c>
      <c r="L3437" s="1">
        <f>value(HKD!$B3437)</f>
        <v>1750.088</v>
      </c>
      <c r="M3437" s="1">
        <f>value(TWD!$B3437)</f>
        <v>0</v>
      </c>
      <c r="N3437" s="1">
        <f>value(JPY!$B3437)</f>
        <v>128.4849</v>
      </c>
      <c r="O3437" s="1">
        <f>value(SAR!$B3437)</f>
        <v>0</v>
      </c>
      <c r="P3437" s="1">
        <f>value(AED!$B3437)</f>
        <v>0</v>
      </c>
      <c r="Q3437" s="1">
        <f>value(KWD!$B3437)</f>
        <v>0</v>
      </c>
    </row>
    <row r="3438">
      <c r="A3438" s="4">
        <f>value(USD!A3438)</f>
        <v>43803.99861</v>
      </c>
      <c r="B3438" s="1">
        <f>value(USD!B3438)</f>
        <v>14000.15</v>
      </c>
      <c r="C3438" s="1">
        <f>value(AUD!$B3438)</f>
        <v>9048.463</v>
      </c>
      <c r="D3438" s="1">
        <f>value(EUR!$B3438)</f>
        <v>15512</v>
      </c>
      <c r="E3438" s="1">
        <f>value(GBP!$B3438)</f>
        <v>18434.62</v>
      </c>
      <c r="F3438" s="1">
        <f>value(CHF!$B3438)</f>
        <v>14139.13</v>
      </c>
      <c r="G3438" s="1">
        <f>value(SGD!$B3438)</f>
        <v>9884.576</v>
      </c>
      <c r="H3438" s="1">
        <f>value(MYR!$B3438)</f>
        <v>3361.723</v>
      </c>
      <c r="I3438" s="1">
        <f>value(THB!$B3438)</f>
        <v>462.0792</v>
      </c>
      <c r="J3438" s="1">
        <f>value(VND!$B3438)</f>
        <v>0</v>
      </c>
      <c r="K3438" s="1">
        <f>value(CNY!$B3438)</f>
        <v>2056.925</v>
      </c>
      <c r="L3438" s="1">
        <f>value(HKD!$B3438)</f>
        <v>1751.769</v>
      </c>
      <c r="M3438" s="1">
        <f>value(TWD!$B3438)</f>
        <v>0</v>
      </c>
      <c r="N3438" s="1">
        <f>value(JPY!$B3438)</f>
        <v>129.1612</v>
      </c>
      <c r="O3438" s="1">
        <f>value(SAR!$B3438)</f>
        <v>0</v>
      </c>
      <c r="P3438" s="1">
        <f>value(AED!$B3438)</f>
        <v>0</v>
      </c>
      <c r="Q3438" s="1">
        <f>value(KWD!$B3438)</f>
        <v>0</v>
      </c>
    </row>
    <row r="3439">
      <c r="A3439" s="4">
        <f>value(USD!A3439)</f>
        <v>43804.99861</v>
      </c>
      <c r="B3439" s="1">
        <f>value(USD!B3439)</f>
        <v>13970.95</v>
      </c>
      <c r="C3439" s="1">
        <f>value(AUD!$B3439)</f>
        <v>9079.566</v>
      </c>
      <c r="D3439" s="1">
        <f>value(EUR!$B3439)</f>
        <v>15512</v>
      </c>
      <c r="E3439" s="1">
        <f>value(GBP!$B3439)</f>
        <v>18434.62</v>
      </c>
      <c r="F3439" s="1">
        <f>value(CHF!$B3439)</f>
        <v>13626.73</v>
      </c>
      <c r="G3439" s="1">
        <f>value(SGD!$B3439)</f>
        <v>9882.387</v>
      </c>
      <c r="H3439" s="1">
        <f>value(MYR!$B3439)</f>
        <v>3361.723</v>
      </c>
      <c r="I3439" s="1">
        <f>value(THB!$B3439)</f>
        <v>462.0792</v>
      </c>
      <c r="J3439" s="1">
        <f>value(VND!$B3439)</f>
        <v>0</v>
      </c>
      <c r="K3439" s="1">
        <f>value(CNY!$B3439)</f>
        <v>2056.925</v>
      </c>
      <c r="L3439" s="1">
        <f>value(HKD!$B3439)</f>
        <v>1757.264</v>
      </c>
      <c r="M3439" s="1">
        <f>value(TWD!$B3439)</f>
        <v>0</v>
      </c>
      <c r="N3439" s="1">
        <f>value(JPY!$B3439)</f>
        <v>129.1612</v>
      </c>
      <c r="O3439" s="1">
        <f>value(SAR!$B3439)</f>
        <v>0</v>
      </c>
      <c r="P3439" s="1">
        <f>value(AED!$B3439)</f>
        <v>0</v>
      </c>
      <c r="Q3439" s="1">
        <f>value(KWD!$B3439)</f>
        <v>0</v>
      </c>
    </row>
    <row r="3440">
      <c r="A3440" s="4">
        <f>value(USD!A3440)</f>
        <v>43805.99861</v>
      </c>
      <c r="B3440" s="1">
        <f>value(USD!B3440)</f>
        <v>14023.9</v>
      </c>
      <c r="C3440" s="1">
        <f>value(AUD!$B3440)</f>
        <v>9087.867</v>
      </c>
      <c r="D3440" s="1">
        <f>value(EUR!$B3440)</f>
        <v>15512</v>
      </c>
      <c r="E3440" s="1">
        <f>value(GBP!$B3440)</f>
        <v>18430.46</v>
      </c>
      <c r="F3440" s="1">
        <f>value(CHF!$B3440)</f>
        <v>13985.36</v>
      </c>
      <c r="G3440" s="1">
        <f>value(SGD!$B3440)</f>
        <v>9882.387</v>
      </c>
      <c r="H3440" s="1">
        <f>value(MYR!$B3440)</f>
        <v>3361.723</v>
      </c>
      <c r="I3440" s="1">
        <f>value(THB!$B3440)</f>
        <v>462.0792</v>
      </c>
      <c r="J3440" s="1">
        <f>value(VND!$B3440)</f>
        <v>0</v>
      </c>
      <c r="K3440" s="1">
        <f>value(CNY!$B3440)</f>
        <v>2056.925</v>
      </c>
      <c r="L3440" s="1">
        <f>value(HKD!$B3440)</f>
        <v>1756.443</v>
      </c>
      <c r="M3440" s="1">
        <f>value(TWD!$B3440)</f>
        <v>0</v>
      </c>
      <c r="N3440" s="1">
        <f>value(JPY!$B3440)</f>
        <v>129.1268</v>
      </c>
      <c r="O3440" s="1">
        <f>value(SAR!$B3440)</f>
        <v>0</v>
      </c>
      <c r="P3440" s="1">
        <f>value(AED!$B3440)</f>
        <v>0</v>
      </c>
      <c r="Q3440" s="1">
        <f>value(KWD!$B3440)</f>
        <v>0</v>
      </c>
    </row>
    <row r="3441">
      <c r="A3441" s="4">
        <f>value(USD!A3441)</f>
        <v>43806.99861</v>
      </c>
      <c r="B3441" s="1">
        <f>value(USD!B3441)</f>
        <v>14023.9</v>
      </c>
      <c r="C3441" s="1">
        <f>value(AUD!$B3441)</f>
        <v>8764.422</v>
      </c>
      <c r="D3441" s="1">
        <f>value(EUR!$B3441)</f>
        <v>15500</v>
      </c>
      <c r="E3441" s="1">
        <f>value(GBP!$B3441)</f>
        <v>18415.33</v>
      </c>
      <c r="F3441" s="1">
        <f>value(CHF!$B3441)</f>
        <v>13993.1</v>
      </c>
      <c r="G3441" s="1">
        <f>value(SGD!$B3441)</f>
        <v>9873.047</v>
      </c>
      <c r="H3441" s="1">
        <f>value(MYR!$B3441)</f>
        <v>3364.007</v>
      </c>
      <c r="I3441" s="1">
        <f>value(THB!$B3441)</f>
        <v>462.245</v>
      </c>
      <c r="J3441" s="1">
        <f>value(VND!$B3441)</f>
        <v>0</v>
      </c>
      <c r="K3441" s="1">
        <f>value(CNY!$B3441)</f>
        <v>2056.925</v>
      </c>
      <c r="L3441" s="1">
        <f>value(HKD!$B3441)</f>
        <v>1756.443</v>
      </c>
      <c r="M3441" s="1">
        <f>value(TWD!$B3441)</f>
        <v>0</v>
      </c>
      <c r="N3441" s="1">
        <f>value(JPY!$B3441)</f>
        <v>129.0129</v>
      </c>
      <c r="O3441" s="1">
        <f>value(SAR!$B3441)</f>
        <v>0</v>
      </c>
      <c r="P3441" s="1">
        <f>value(AED!$B3441)</f>
        <v>0</v>
      </c>
      <c r="Q3441" s="1">
        <f>value(KWD!$B3441)</f>
        <v>0</v>
      </c>
    </row>
    <row r="3442">
      <c r="A3442" s="4">
        <f>value(USD!A3442)</f>
        <v>43807.99861</v>
      </c>
      <c r="B3442" s="1">
        <f>value(USD!B3442)</f>
        <v>14026.9</v>
      </c>
      <c r="C3442" s="1">
        <f>value(AUD!$B3442)</f>
        <v>9142.287</v>
      </c>
      <c r="D3442" s="1">
        <f>value(EUR!$B3442)</f>
        <v>15542</v>
      </c>
      <c r="E3442" s="1">
        <f>value(GBP!$B3442)</f>
        <v>18391.81</v>
      </c>
      <c r="F3442" s="1">
        <f>value(CHF!$B3442)</f>
        <v>14079.49</v>
      </c>
      <c r="G3442" s="1">
        <f>value(SGD!$B3442)</f>
        <v>9901.685</v>
      </c>
      <c r="H3442" s="1">
        <f>value(MYR!$B3442)</f>
        <v>3366.984</v>
      </c>
      <c r="I3442" s="1">
        <f>value(THB!$B3442)</f>
        <v>462.2706</v>
      </c>
      <c r="J3442" s="1">
        <f>value(VND!$B3442)</f>
        <v>0</v>
      </c>
      <c r="K3442" s="1">
        <f>value(CNY!$B3442)</f>
        <v>2056.925</v>
      </c>
      <c r="L3442" s="1">
        <f>value(HKD!$B3442)</f>
        <v>1756.888</v>
      </c>
      <c r="M3442" s="1">
        <f>value(TWD!$B3442)</f>
        <v>0</v>
      </c>
      <c r="N3442" s="1">
        <f>value(JPY!$B3442)</f>
        <v>128.8082</v>
      </c>
      <c r="O3442" s="1">
        <f>value(SAR!$B3442)</f>
        <v>0</v>
      </c>
      <c r="P3442" s="1">
        <f>value(AED!$B3442)</f>
        <v>0</v>
      </c>
      <c r="Q3442" s="1">
        <f>value(KWD!$B3442)</f>
        <v>0</v>
      </c>
    </row>
    <row r="3443">
      <c r="A3443" s="4">
        <f>value(USD!A3443)</f>
        <v>43808.99861</v>
      </c>
      <c r="B3443" s="1">
        <f>value(USD!B3443)</f>
        <v>14009.12</v>
      </c>
      <c r="C3443" s="1">
        <f>value(AUD!$B3443)</f>
        <v>9136.168</v>
      </c>
      <c r="D3443" s="1">
        <f>value(EUR!$B3443)</f>
        <v>15565</v>
      </c>
      <c r="E3443" s="1">
        <f>value(GBP!$B3443)</f>
        <v>18454.84</v>
      </c>
      <c r="F3443" s="1">
        <f>value(CHF!$B3443)</f>
        <v>14154.54</v>
      </c>
      <c r="G3443" s="1">
        <f>value(SGD!$B3443)</f>
        <v>9895.773</v>
      </c>
      <c r="H3443" s="1">
        <f>value(MYR!$B3443)</f>
        <v>3372.625</v>
      </c>
      <c r="I3443" s="1">
        <f>value(THB!$B3443)</f>
        <v>462.3359</v>
      </c>
      <c r="J3443" s="1">
        <f>value(VND!$B3443)</f>
        <v>0</v>
      </c>
      <c r="K3443" s="1">
        <f>value(CNY!$B3443)</f>
        <v>2056.925</v>
      </c>
      <c r="L3443" s="1">
        <f>value(HKD!$B3443)</f>
        <v>1769.683</v>
      </c>
      <c r="M3443" s="1">
        <f>value(TWD!$B3443)</f>
        <v>0</v>
      </c>
      <c r="N3443" s="1">
        <f>value(JPY!$B3443)</f>
        <v>128.7971</v>
      </c>
      <c r="O3443" s="1">
        <f>value(SAR!$B3443)</f>
        <v>0</v>
      </c>
      <c r="P3443" s="1">
        <f>value(AED!$B3443)</f>
        <v>0</v>
      </c>
      <c r="Q3443" s="1">
        <f>value(KWD!$B3443)</f>
        <v>0</v>
      </c>
    </row>
    <row r="3444">
      <c r="A3444" s="4">
        <f>value(USD!A3444)</f>
        <v>43809.99861</v>
      </c>
      <c r="B3444" s="1">
        <f>value(USD!B3444)</f>
        <v>14025</v>
      </c>
      <c r="C3444" s="1">
        <f>value(AUD!$B3444)</f>
        <v>9136.191</v>
      </c>
      <c r="D3444" s="1">
        <f>value(EUR!$B3444)</f>
        <v>15585</v>
      </c>
      <c r="E3444" s="1">
        <f>value(GBP!$B3444)</f>
        <v>18772.36</v>
      </c>
      <c r="F3444" s="1">
        <f>value(CHF!$B3444)</f>
        <v>14154.54</v>
      </c>
      <c r="G3444" s="1">
        <f>value(SGD!$B3444)</f>
        <v>9877.245</v>
      </c>
      <c r="H3444" s="1">
        <f>value(MYR!$B3444)</f>
        <v>3365.727</v>
      </c>
      <c r="I3444" s="1">
        <f>value(THB!$B3444)</f>
        <v>461.9146</v>
      </c>
      <c r="J3444" s="1">
        <f>value(VND!$B3444)</f>
        <v>0</v>
      </c>
      <c r="K3444" s="1">
        <f>value(CNY!$B3444)</f>
        <v>2056.925</v>
      </c>
      <c r="L3444" s="1">
        <f>value(HKD!$B3444)</f>
        <v>1764.833</v>
      </c>
      <c r="M3444" s="1">
        <f>value(TWD!$B3444)</f>
        <v>0</v>
      </c>
      <c r="N3444" s="1">
        <f>value(JPY!$B3444)</f>
        <v>127.3477</v>
      </c>
      <c r="O3444" s="1">
        <f>value(SAR!$B3444)</f>
        <v>0</v>
      </c>
      <c r="P3444" s="1">
        <f>value(AED!$B3444)</f>
        <v>0</v>
      </c>
      <c r="Q3444" s="1">
        <f>value(KWD!$B3444)</f>
        <v>0</v>
      </c>
    </row>
    <row r="3445">
      <c r="A3445" s="4">
        <f>value(USD!A3445)</f>
        <v>43810.99861</v>
      </c>
      <c r="B3445" s="1">
        <f>value(USD!B3445)</f>
        <v>13981.1</v>
      </c>
      <c r="C3445" s="1">
        <f>value(AUD!$B3445)</f>
        <v>9136.191</v>
      </c>
      <c r="D3445" s="1">
        <f>value(EUR!$B3445)</f>
        <v>15538</v>
      </c>
      <c r="E3445" s="1">
        <f>value(GBP!$B3445)</f>
        <v>18629.58</v>
      </c>
      <c r="F3445" s="1">
        <f>value(CHF!$B3445)</f>
        <v>14161.63</v>
      </c>
      <c r="G3445" s="1">
        <f>value(SGD!$B3445)</f>
        <v>9887.616</v>
      </c>
      <c r="H3445" s="1">
        <f>value(MYR!$B3445)</f>
        <v>3362.84</v>
      </c>
      <c r="I3445" s="1">
        <f>value(THB!$B3445)</f>
        <v>462.468</v>
      </c>
      <c r="J3445" s="1">
        <f>value(VND!$B3445)</f>
        <v>0</v>
      </c>
      <c r="K3445" s="1">
        <f>value(CNY!$B3445)</f>
        <v>2056.925</v>
      </c>
      <c r="L3445" s="1">
        <f>value(HKD!$B3445)</f>
        <v>1761.021</v>
      </c>
      <c r="M3445" s="1">
        <f>value(TWD!$B3445)</f>
        <v>0</v>
      </c>
      <c r="N3445" s="1">
        <f>value(JPY!$B3445)</f>
        <v>127.7983</v>
      </c>
      <c r="O3445" s="1">
        <f>value(SAR!$B3445)</f>
        <v>0</v>
      </c>
      <c r="P3445" s="1">
        <f>value(AED!$B3445)</f>
        <v>0</v>
      </c>
      <c r="Q3445" s="1">
        <f>value(KWD!$B3445)</f>
        <v>0</v>
      </c>
    </row>
    <row r="3446">
      <c r="A3446" s="4">
        <f>value(USD!A3446)</f>
        <v>43811.99861</v>
      </c>
      <c r="B3446" s="1">
        <f>value(USD!B3446)</f>
        <v>14025</v>
      </c>
      <c r="C3446" s="1">
        <f>value(AUD!$B3446)</f>
        <v>9688.617</v>
      </c>
      <c r="D3446" s="1">
        <f>value(EUR!$B3446)</f>
        <v>15538</v>
      </c>
      <c r="E3446" s="1">
        <f>value(GBP!$B3446)</f>
        <v>18629.58</v>
      </c>
      <c r="F3446" s="1">
        <f>value(CHF!$B3446)</f>
        <v>14228.49</v>
      </c>
      <c r="G3446" s="1">
        <f>value(SGD!$B3446)</f>
        <v>9843.093</v>
      </c>
      <c r="H3446" s="1">
        <f>value(MYR!$B3446)</f>
        <v>3362.84</v>
      </c>
      <c r="I3446" s="1">
        <f>value(THB!$B3446)</f>
        <v>462.468</v>
      </c>
      <c r="J3446" s="1">
        <f>value(VND!$B3446)</f>
        <v>0</v>
      </c>
      <c r="K3446" s="1">
        <f>value(CNY!$B3446)</f>
        <v>2056.925</v>
      </c>
      <c r="L3446" s="1">
        <f>value(HKD!$B3446)</f>
        <v>1757.228</v>
      </c>
      <c r="M3446" s="1">
        <f>value(TWD!$B3446)</f>
        <v>0</v>
      </c>
      <c r="N3446" s="1">
        <f>value(JPY!$B3446)</f>
        <v>127.7983</v>
      </c>
      <c r="O3446" s="1">
        <f>value(SAR!$B3446)</f>
        <v>0</v>
      </c>
      <c r="P3446" s="1">
        <f>value(AED!$B3446)</f>
        <v>0</v>
      </c>
      <c r="Q3446" s="1">
        <f>value(KWD!$B3446)</f>
        <v>0</v>
      </c>
    </row>
    <row r="3447">
      <c r="A3447" s="4">
        <f>value(USD!A3447)</f>
        <v>43812.99861</v>
      </c>
      <c r="B3447" s="1">
        <f>value(USD!B3447)</f>
        <v>13973.6</v>
      </c>
      <c r="C3447" s="1">
        <f>value(AUD!$B3447)</f>
        <v>9811.779</v>
      </c>
      <c r="D3447" s="1">
        <f>value(EUR!$B3447)</f>
        <v>15538</v>
      </c>
      <c r="E3447" s="1">
        <f>value(GBP!$B3447)</f>
        <v>18651.05</v>
      </c>
      <c r="F3447" s="1">
        <f>value(CHF!$B3447)</f>
        <v>14140.01</v>
      </c>
      <c r="G3447" s="1">
        <f>value(SGD!$B3447)</f>
        <v>9843.093</v>
      </c>
      <c r="H3447" s="1">
        <f>value(MYR!$B3447)</f>
        <v>3362.84</v>
      </c>
      <c r="I3447" s="1">
        <f>value(THB!$B3447)</f>
        <v>462.468</v>
      </c>
      <c r="J3447" s="1">
        <f>value(VND!$B3447)</f>
        <v>0</v>
      </c>
      <c r="K3447" s="1">
        <f>value(CNY!$B3447)</f>
        <v>2056.925</v>
      </c>
      <c r="L3447" s="1">
        <f>value(HKD!$B3447)</f>
        <v>1761.702</v>
      </c>
      <c r="M3447" s="1">
        <f>value(TWD!$B3447)</f>
        <v>0</v>
      </c>
      <c r="N3447" s="1">
        <f>value(JPY!$B3447)</f>
        <v>127.672</v>
      </c>
      <c r="O3447" s="1">
        <f>value(SAR!$B3447)</f>
        <v>0</v>
      </c>
      <c r="P3447" s="1">
        <f>value(AED!$B3447)</f>
        <v>0</v>
      </c>
      <c r="Q3447" s="1">
        <f>value(KWD!$B3447)</f>
        <v>0</v>
      </c>
    </row>
    <row r="3448">
      <c r="A3448" s="4">
        <f>value(USD!A3448)</f>
        <v>43813.99861</v>
      </c>
      <c r="B3448" s="1">
        <f>value(USD!B3448)</f>
        <v>13973.6</v>
      </c>
      <c r="C3448" s="1">
        <f>value(AUD!$B3448)</f>
        <v>9710.636</v>
      </c>
      <c r="D3448" s="1">
        <f>value(EUR!$B3448)</f>
        <v>15607</v>
      </c>
      <c r="E3448" s="1">
        <f>value(GBP!$B3448)</f>
        <v>18597.81</v>
      </c>
      <c r="F3448" s="1">
        <f>value(CHF!$B3448)</f>
        <v>14046.23</v>
      </c>
      <c r="G3448" s="1">
        <f>value(SGD!$B3448)</f>
        <v>9858.03</v>
      </c>
      <c r="H3448" s="1">
        <f>value(MYR!$B3448)</f>
        <v>3380.993</v>
      </c>
      <c r="I3448" s="1">
        <f>value(THB!$B3448)</f>
        <v>463.7212</v>
      </c>
      <c r="J3448" s="1">
        <f>value(VND!$B3448)</f>
        <v>0</v>
      </c>
      <c r="K3448" s="1">
        <f>value(CNY!$B3448)</f>
        <v>2056.925</v>
      </c>
      <c r="L3448" s="1">
        <f>value(HKD!$B3448)</f>
        <v>1761.702</v>
      </c>
      <c r="M3448" s="1">
        <f>value(TWD!$B3448)</f>
        <v>0</v>
      </c>
      <c r="N3448" s="1">
        <f>value(JPY!$B3448)</f>
        <v>127.878</v>
      </c>
      <c r="O3448" s="1">
        <f>value(SAR!$B3448)</f>
        <v>0</v>
      </c>
      <c r="P3448" s="1">
        <f>value(AED!$B3448)</f>
        <v>0</v>
      </c>
      <c r="Q3448" s="1">
        <f>value(KWD!$B3448)</f>
        <v>0</v>
      </c>
    </row>
    <row r="3449">
      <c r="A3449" s="4">
        <f>value(USD!A3449)</f>
        <v>43814.99861</v>
      </c>
      <c r="B3449" s="1">
        <f>value(USD!B3449)</f>
        <v>13973.02</v>
      </c>
      <c r="C3449" s="1">
        <f>value(AUD!$B3449)</f>
        <v>9851.18</v>
      </c>
      <c r="D3449" s="1">
        <f>value(EUR!$B3449)</f>
        <v>15595</v>
      </c>
      <c r="E3449" s="1">
        <f>value(GBP!$B3449)</f>
        <v>18353.32</v>
      </c>
      <c r="F3449" s="1">
        <f>value(CHF!$B3449)</f>
        <v>13996.43</v>
      </c>
      <c r="G3449" s="1">
        <f>value(SGD!$B3449)</f>
        <v>9880.022</v>
      </c>
      <c r="H3449" s="1">
        <f>value(MYR!$B3449)</f>
        <v>3373.059</v>
      </c>
      <c r="I3449" s="1">
        <f>value(THB!$B3449)</f>
        <v>462.2658</v>
      </c>
      <c r="J3449" s="1">
        <f>value(VND!$B3449)</f>
        <v>0</v>
      </c>
      <c r="K3449" s="1">
        <f>value(CNY!$B3449)</f>
        <v>2056.925</v>
      </c>
      <c r="L3449" s="1">
        <f>value(HKD!$B3449)</f>
        <v>1761.008</v>
      </c>
      <c r="M3449" s="1">
        <f>value(TWD!$B3449)</f>
        <v>0</v>
      </c>
      <c r="N3449" s="1">
        <f>value(JPY!$B3449)</f>
        <v>127.696</v>
      </c>
      <c r="O3449" s="1">
        <f>value(SAR!$B3449)</f>
        <v>0</v>
      </c>
      <c r="P3449" s="1">
        <f>value(AED!$B3449)</f>
        <v>0</v>
      </c>
      <c r="Q3449" s="1">
        <f>value(KWD!$B3449)</f>
        <v>0</v>
      </c>
    </row>
    <row r="3450">
      <c r="A3450" s="4">
        <f>value(USD!A3450)</f>
        <v>43815.99861</v>
      </c>
      <c r="B3450" s="1">
        <f>value(USD!B3450)</f>
        <v>14013.9</v>
      </c>
      <c r="C3450" s="1">
        <f>value(AUD!$B3450)</f>
        <v>9873.584</v>
      </c>
      <c r="D3450" s="1">
        <f>value(EUR!$B3450)</f>
        <v>15530</v>
      </c>
      <c r="E3450" s="1">
        <f>value(GBP!$B3450)</f>
        <v>18280.27</v>
      </c>
      <c r="F3450" s="1">
        <f>value(CHF!$B3450)</f>
        <v>13993.36</v>
      </c>
      <c r="G3450" s="1">
        <f>value(SGD!$B3450)</f>
        <v>9893.678</v>
      </c>
      <c r="H3450" s="1">
        <f>value(MYR!$B3450)</f>
        <v>3372.202</v>
      </c>
      <c r="I3450" s="1">
        <f>value(THB!$B3450)</f>
        <v>462.2436</v>
      </c>
      <c r="J3450" s="1">
        <f>value(VND!$B3450)</f>
        <v>0</v>
      </c>
      <c r="K3450" s="1">
        <f>value(CNY!$B3450)</f>
        <v>2056.925</v>
      </c>
      <c r="L3450" s="1">
        <f>value(HKD!$B3450)</f>
        <v>1764.915</v>
      </c>
      <c r="M3450" s="1">
        <f>value(TWD!$B3450)</f>
        <v>0</v>
      </c>
      <c r="N3450" s="1">
        <f>value(JPY!$B3450)</f>
        <v>127.5292</v>
      </c>
      <c r="O3450" s="1">
        <f>value(SAR!$B3450)</f>
        <v>0</v>
      </c>
      <c r="P3450" s="1">
        <f>value(AED!$B3450)</f>
        <v>0</v>
      </c>
      <c r="Q3450" s="1">
        <f>value(KWD!$B3450)</f>
        <v>0</v>
      </c>
    </row>
    <row r="3451">
      <c r="A3451" s="4">
        <f>value(USD!A3451)</f>
        <v>43816.99861</v>
      </c>
      <c r="B3451" s="1">
        <f>value(USD!B3451)</f>
        <v>14028</v>
      </c>
      <c r="C3451" s="1">
        <f>value(AUD!$B3451)</f>
        <v>9873.584</v>
      </c>
      <c r="D3451" s="1">
        <f>value(EUR!$B3451)</f>
        <v>15555</v>
      </c>
      <c r="E3451" s="1">
        <f>value(GBP!$B3451)</f>
        <v>18200.43</v>
      </c>
      <c r="F3451" s="1">
        <f>value(CHF!$B3451)</f>
        <v>13993.36</v>
      </c>
      <c r="G3451" s="1">
        <f>value(SGD!$B3451)</f>
        <v>9873.94</v>
      </c>
      <c r="H3451" s="1">
        <f>value(MYR!$B3451)</f>
        <v>3375.065</v>
      </c>
      <c r="I3451" s="1">
        <f>value(THB!$B3451)</f>
        <v>463.0291</v>
      </c>
      <c r="J3451" s="1">
        <f>value(VND!$B3451)</f>
        <v>0</v>
      </c>
      <c r="K3451" s="1">
        <f>value(CNY!$B3451)</f>
        <v>2056.925</v>
      </c>
      <c r="L3451" s="1">
        <f>value(HKD!$B3451)</f>
        <v>1759.205</v>
      </c>
      <c r="M3451" s="1">
        <f>value(TWD!$B3451)</f>
        <v>0</v>
      </c>
      <c r="N3451" s="1">
        <f>value(JPY!$B3451)</f>
        <v>127.8437</v>
      </c>
      <c r="O3451" s="1">
        <f>value(SAR!$B3451)</f>
        <v>0</v>
      </c>
      <c r="P3451" s="1">
        <f>value(AED!$B3451)</f>
        <v>0</v>
      </c>
      <c r="Q3451" s="1">
        <f>value(KWD!$B3451)</f>
        <v>0</v>
      </c>
    </row>
    <row r="3452">
      <c r="A3452" s="4">
        <f>value(USD!A3452)</f>
        <v>43817.99861</v>
      </c>
      <c r="B3452" s="1">
        <f>value(USD!B3452)</f>
        <v>13971.42</v>
      </c>
      <c r="C3452" s="1">
        <f>value(AUD!$B3452)</f>
        <v>9870.006</v>
      </c>
      <c r="D3452" s="1">
        <f>value(EUR!$B3452)</f>
        <v>15470</v>
      </c>
      <c r="E3452" s="1">
        <f>value(GBP!$B3452)</f>
        <v>18153.65</v>
      </c>
      <c r="F3452" s="1">
        <f>value(CHF!$B3452)</f>
        <v>14004.03</v>
      </c>
      <c r="G3452" s="1">
        <f>value(SGD!$B3452)</f>
        <v>9869.853</v>
      </c>
      <c r="H3452" s="1">
        <f>value(MYR!$B3452)</f>
        <v>3367.216</v>
      </c>
      <c r="I3452" s="1">
        <f>value(THB!$B3452)</f>
        <v>462.6473</v>
      </c>
      <c r="J3452" s="1">
        <f>value(VND!$B3452)</f>
        <v>0</v>
      </c>
      <c r="K3452" s="1">
        <f>value(CNY!$B3452)</f>
        <v>2056.925</v>
      </c>
      <c r="L3452" s="1">
        <f>value(HKD!$B3452)</f>
        <v>1764.448</v>
      </c>
      <c r="M3452" s="1">
        <f>value(TWD!$B3452)</f>
        <v>0</v>
      </c>
      <c r="N3452" s="1">
        <f>value(JPY!$B3452)</f>
        <v>127.5869</v>
      </c>
      <c r="O3452" s="1">
        <f>value(SAR!$B3452)</f>
        <v>0</v>
      </c>
      <c r="P3452" s="1">
        <f>value(AED!$B3452)</f>
        <v>0</v>
      </c>
      <c r="Q3452" s="1">
        <f>value(KWD!$B3452)</f>
        <v>0</v>
      </c>
    </row>
    <row r="3453">
      <c r="A3453" s="4">
        <f>value(USD!A3453)</f>
        <v>43818.99861</v>
      </c>
      <c r="B3453" s="1">
        <f>value(USD!B3453)</f>
        <v>13982.74</v>
      </c>
      <c r="C3453" s="1">
        <f>value(AUD!$B3453)</f>
        <v>10074.86</v>
      </c>
      <c r="D3453" s="1">
        <f>value(EUR!$B3453)</f>
        <v>15470</v>
      </c>
      <c r="E3453" s="1">
        <f>value(GBP!$B3453)</f>
        <v>18153.65</v>
      </c>
      <c r="F3453" s="1">
        <f>value(CHF!$B3453)</f>
        <v>14021.85</v>
      </c>
      <c r="G3453" s="1">
        <f>value(SGD!$B3453)</f>
        <v>9894.418</v>
      </c>
      <c r="H3453" s="1">
        <f>value(MYR!$B3453)</f>
        <v>3367.216</v>
      </c>
      <c r="I3453" s="1">
        <f>value(THB!$B3453)</f>
        <v>462.6473</v>
      </c>
      <c r="J3453" s="1">
        <f>value(VND!$B3453)</f>
        <v>0</v>
      </c>
      <c r="K3453" s="1">
        <f>value(CNY!$B3453)</f>
        <v>2056.925</v>
      </c>
      <c r="L3453" s="1">
        <f>value(HKD!$B3453)</f>
        <v>1761.653</v>
      </c>
      <c r="M3453" s="1">
        <f>value(TWD!$B3453)</f>
        <v>0</v>
      </c>
      <c r="N3453" s="1">
        <f>value(JPY!$B3453)</f>
        <v>127.5869</v>
      </c>
      <c r="O3453" s="1">
        <f>value(SAR!$B3453)</f>
        <v>0</v>
      </c>
      <c r="P3453" s="1">
        <f>value(AED!$B3453)</f>
        <v>0</v>
      </c>
      <c r="Q3453" s="1">
        <f>value(KWD!$B3453)</f>
        <v>0</v>
      </c>
    </row>
    <row r="3454">
      <c r="A3454" s="4">
        <f>value(USD!A3454)</f>
        <v>43819.99861</v>
      </c>
      <c r="B3454" s="1">
        <f>value(USD!B3454)</f>
        <v>13966.78</v>
      </c>
      <c r="C3454" s="1">
        <f>value(AUD!$B3454)</f>
        <v>10000.08</v>
      </c>
      <c r="D3454" s="1">
        <f>value(EUR!$B3454)</f>
        <v>15470</v>
      </c>
      <c r="E3454" s="1">
        <f>value(GBP!$B3454)</f>
        <v>18157.81</v>
      </c>
      <c r="F3454" s="1">
        <f>value(CHF!$B3454)</f>
        <v>14000.59</v>
      </c>
      <c r="G3454" s="1">
        <f>value(SGD!$B3454)</f>
        <v>9894.418</v>
      </c>
      <c r="H3454" s="1">
        <f>value(MYR!$B3454)</f>
        <v>3367.216</v>
      </c>
      <c r="I3454" s="1">
        <f>value(THB!$B3454)</f>
        <v>462.6473</v>
      </c>
      <c r="J3454" s="1">
        <f>value(VND!$B3454)</f>
        <v>0</v>
      </c>
      <c r="K3454" s="1">
        <f>value(CNY!$B3454)</f>
        <v>2056.925</v>
      </c>
      <c r="L3454" s="1">
        <f>value(HKD!$B3454)</f>
        <v>1761.832</v>
      </c>
      <c r="M3454" s="1">
        <f>value(TWD!$B3454)</f>
        <v>0</v>
      </c>
      <c r="N3454" s="1">
        <f>value(JPY!$B3454)</f>
        <v>127.503</v>
      </c>
      <c r="O3454" s="1">
        <f>value(SAR!$B3454)</f>
        <v>0</v>
      </c>
      <c r="P3454" s="1">
        <f>value(AED!$B3454)</f>
        <v>0</v>
      </c>
      <c r="Q3454" s="1">
        <f>value(KWD!$B3454)</f>
        <v>0</v>
      </c>
    </row>
    <row r="3455">
      <c r="A3455" s="4">
        <f>value(USD!A3455)</f>
        <v>43820.99861</v>
      </c>
      <c r="B3455" s="1">
        <f>value(USD!B3455)</f>
        <v>13966.78</v>
      </c>
      <c r="C3455" s="1">
        <f>value(AUD!$B3455)</f>
        <v>9994.538</v>
      </c>
      <c r="D3455" s="1">
        <f>value(EUR!$B3455)</f>
        <v>15485</v>
      </c>
      <c r="E3455" s="1">
        <f>value(GBP!$B3455)</f>
        <v>18069.27</v>
      </c>
      <c r="F3455" s="1">
        <f>value(CHF!$B3455)</f>
        <v>14017.76</v>
      </c>
      <c r="G3455" s="1">
        <f>value(SGD!$B3455)</f>
        <v>9863.927</v>
      </c>
      <c r="H3455" s="1">
        <f>value(MYR!$B3455)</f>
        <v>3373.418</v>
      </c>
      <c r="I3455" s="1">
        <f>value(THB!$B3455)</f>
        <v>463.0405</v>
      </c>
      <c r="J3455" s="1">
        <f>value(VND!$B3455)</f>
        <v>0</v>
      </c>
      <c r="K3455" s="1">
        <f>value(CNY!$B3455)</f>
        <v>2056.925</v>
      </c>
      <c r="L3455" s="1">
        <f>value(HKD!$B3455)</f>
        <v>1761.832</v>
      </c>
      <c r="M3455" s="1">
        <f>value(TWD!$B3455)</f>
        <v>0</v>
      </c>
      <c r="N3455" s="1">
        <f>value(JPY!$B3455)</f>
        <v>127.6529</v>
      </c>
      <c r="O3455" s="1">
        <f>value(SAR!$B3455)</f>
        <v>0</v>
      </c>
      <c r="P3455" s="1">
        <f>value(AED!$B3455)</f>
        <v>0</v>
      </c>
      <c r="Q3455" s="1">
        <f>value(KWD!$B3455)</f>
        <v>0</v>
      </c>
    </row>
    <row r="3456">
      <c r="A3456" s="4">
        <f>value(USD!A3456)</f>
        <v>43821.99861</v>
      </c>
      <c r="B3456" s="1">
        <f>value(USD!B3456)</f>
        <v>13962.09</v>
      </c>
      <c r="C3456" s="1">
        <f>value(AUD!$B3456)</f>
        <v>9970.924</v>
      </c>
      <c r="D3456" s="1">
        <f>value(EUR!$B3456)</f>
        <v>15480</v>
      </c>
      <c r="E3456" s="1">
        <f>value(GBP!$B3456)</f>
        <v>18057.74</v>
      </c>
      <c r="F3456" s="1">
        <f>value(CHF!$B3456)</f>
        <v>13976.54</v>
      </c>
      <c r="G3456" s="1">
        <f>value(SGD!$B3456)</f>
        <v>10048.25</v>
      </c>
      <c r="H3456" s="1">
        <f>value(MYR!$B3456)</f>
        <v>3379.47</v>
      </c>
      <c r="I3456" s="1">
        <f>value(THB!$B3456)</f>
        <v>462.974</v>
      </c>
      <c r="J3456" s="1">
        <f>value(VND!$B3456)</f>
        <v>0</v>
      </c>
      <c r="K3456" s="1">
        <f>value(CNY!$B3456)</f>
        <v>2056.925</v>
      </c>
      <c r="L3456" s="1">
        <f>value(HKD!$B3456)</f>
        <v>1760.163</v>
      </c>
      <c r="M3456" s="1">
        <f>value(TWD!$B3456)</f>
        <v>0</v>
      </c>
      <c r="N3456" s="1">
        <f>value(JPY!$B3456)</f>
        <v>127.6596</v>
      </c>
      <c r="O3456" s="1">
        <f>value(SAR!$B3456)</f>
        <v>0</v>
      </c>
      <c r="P3456" s="1">
        <f>value(AED!$B3456)</f>
        <v>0</v>
      </c>
      <c r="Q3456" s="1">
        <f>value(KWD!$B3456)</f>
        <v>0</v>
      </c>
    </row>
    <row r="3457">
      <c r="A3457" s="4">
        <f>value(USD!A3457)</f>
        <v>43822.99861</v>
      </c>
      <c r="B3457" s="1">
        <f>value(USD!B3457)</f>
        <v>13960.13</v>
      </c>
      <c r="C3457" s="1">
        <f>value(AUD!$B3457)</f>
        <v>9820.834</v>
      </c>
      <c r="D3457" s="1">
        <f>value(EUR!$B3457)</f>
        <v>15467.19</v>
      </c>
      <c r="E3457" s="1">
        <f>value(GBP!$B3457)</f>
        <v>18084.99</v>
      </c>
      <c r="F3457" s="1">
        <f>value(CHF!$B3457)</f>
        <v>13933.81</v>
      </c>
      <c r="G3457" s="1">
        <f>value(SGD!$B3457)</f>
        <v>10054.7</v>
      </c>
      <c r="H3457" s="1">
        <f>value(MYR!$B3457)</f>
        <v>3376.674</v>
      </c>
      <c r="I3457" s="1">
        <f>value(THB!$B3457)</f>
        <v>462.5909</v>
      </c>
      <c r="J3457" s="1">
        <f>value(VND!$B3457)</f>
        <v>0</v>
      </c>
      <c r="K3457" s="1">
        <f>value(CNY!$B3457)</f>
        <v>2056.925</v>
      </c>
      <c r="L3457" s="1">
        <f>value(HKD!$B3457)</f>
        <v>1757.608</v>
      </c>
      <c r="M3457" s="1">
        <f>value(TWD!$B3457)</f>
        <v>0</v>
      </c>
      <c r="N3457" s="1">
        <f>value(JPY!$B3457)</f>
        <v>127.463</v>
      </c>
      <c r="O3457" s="1">
        <f>value(SAR!$B3457)</f>
        <v>0</v>
      </c>
      <c r="P3457" s="1">
        <f>value(AED!$B3457)</f>
        <v>0</v>
      </c>
      <c r="Q3457" s="1">
        <f>value(KWD!$B3457)</f>
        <v>0</v>
      </c>
    </row>
    <row r="3458">
      <c r="A3458" s="4">
        <f>value(USD!A3458)</f>
        <v>43823.99861</v>
      </c>
      <c r="B3458" s="1">
        <f>value(USD!B3458)</f>
        <v>13968</v>
      </c>
      <c r="C3458" s="1">
        <f>value(AUD!$B3458)</f>
        <v>9828.281</v>
      </c>
      <c r="D3458" s="1">
        <f>value(EUR!$B3458)</f>
        <v>15493</v>
      </c>
      <c r="E3458" s="1">
        <f>value(GBP!$B3458)</f>
        <v>18141.05</v>
      </c>
      <c r="F3458" s="1">
        <f>value(CHF!$B3458)</f>
        <v>13933.81</v>
      </c>
      <c r="G3458" s="1">
        <f>value(SGD!$B3458)</f>
        <v>9971.343</v>
      </c>
      <c r="H3458" s="1">
        <f>value(MYR!$B3458)</f>
        <v>3382.308</v>
      </c>
      <c r="I3458" s="1">
        <f>value(THB!$B3458)</f>
        <v>463.9248</v>
      </c>
      <c r="J3458" s="1">
        <f>value(VND!$B3458)</f>
        <v>0</v>
      </c>
      <c r="K3458" s="1">
        <f>value(CNY!$B3458)</f>
        <v>2056.925</v>
      </c>
      <c r="L3458" s="1">
        <f>value(HKD!$B3458)</f>
        <v>1758.59</v>
      </c>
      <c r="M3458" s="1">
        <f>value(TWD!$B3458)</f>
        <v>0</v>
      </c>
      <c r="N3458" s="1">
        <f>value(JPY!$B3458)</f>
        <v>127.4237</v>
      </c>
      <c r="O3458" s="1">
        <f>value(SAR!$B3458)</f>
        <v>0</v>
      </c>
      <c r="P3458" s="1">
        <f>value(AED!$B3458)</f>
        <v>0</v>
      </c>
      <c r="Q3458" s="1">
        <f>value(KWD!$B3458)</f>
        <v>0</v>
      </c>
    </row>
    <row r="3459">
      <c r="A3459" s="4">
        <f>value(USD!A3459)</f>
        <v>43824.99861</v>
      </c>
      <c r="B3459" s="1">
        <f>value(USD!B3459)</f>
        <v>13940.77</v>
      </c>
      <c r="C3459" s="1">
        <f>value(AUD!$B3459)</f>
        <v>9828.281</v>
      </c>
      <c r="D3459" s="1">
        <f>value(EUR!$B3459)</f>
        <v>15598</v>
      </c>
      <c r="E3459" s="1">
        <f>value(GBP!$B3459)</f>
        <v>18270.2</v>
      </c>
      <c r="F3459" s="1">
        <f>value(CHF!$B3459)</f>
        <v>13926.61</v>
      </c>
      <c r="G3459" s="1">
        <f>value(SGD!$B3459)</f>
        <v>10266.52</v>
      </c>
      <c r="H3459" s="1">
        <f>value(MYR!$B3459)</f>
        <v>3389.985</v>
      </c>
      <c r="I3459" s="1">
        <f>value(THB!$B3459)</f>
        <v>462.7525</v>
      </c>
      <c r="J3459" s="1">
        <f>value(VND!$B3459)</f>
        <v>0</v>
      </c>
      <c r="K3459" s="1">
        <f>value(CNY!$B3459)</f>
        <v>2056.925</v>
      </c>
      <c r="L3459" s="1">
        <f>value(HKD!$B3459)</f>
        <v>1758.111</v>
      </c>
      <c r="M3459" s="1">
        <f>value(TWD!$B3459)</f>
        <v>0</v>
      </c>
      <c r="N3459" s="1">
        <f>value(JPY!$B3459)</f>
        <v>127.5326</v>
      </c>
      <c r="O3459" s="1">
        <f>value(SAR!$B3459)</f>
        <v>0</v>
      </c>
      <c r="P3459" s="1">
        <f>value(AED!$B3459)</f>
        <v>0</v>
      </c>
      <c r="Q3459" s="1">
        <f>value(KWD!$B3459)</f>
        <v>0</v>
      </c>
    </row>
    <row r="3460">
      <c r="A3460" s="4">
        <f>value(USD!A3460)</f>
        <v>43825.99861</v>
      </c>
      <c r="B3460" s="1">
        <f>value(USD!B3460)</f>
        <v>13981.5</v>
      </c>
      <c r="C3460" s="1">
        <f>value(AUD!$B3460)</f>
        <v>10004.33</v>
      </c>
      <c r="D3460" s="1">
        <f>value(EUR!$B3460)</f>
        <v>15598</v>
      </c>
      <c r="E3460" s="1">
        <f>value(GBP!$B3460)</f>
        <v>18270.2</v>
      </c>
      <c r="F3460" s="1">
        <f>value(CHF!$B3460)</f>
        <v>13921.26</v>
      </c>
      <c r="G3460" s="1">
        <f>value(SGD!$B3460)</f>
        <v>10273.99</v>
      </c>
      <c r="H3460" s="1">
        <f>value(MYR!$B3460)</f>
        <v>3389.985</v>
      </c>
      <c r="I3460" s="1">
        <f>value(THB!$B3460)</f>
        <v>462.7525</v>
      </c>
      <c r="J3460" s="1">
        <f>value(VND!$B3460)</f>
        <v>0</v>
      </c>
      <c r="K3460" s="1">
        <f>value(CNY!$B3460)</f>
        <v>2056.925</v>
      </c>
      <c r="L3460" s="1">
        <f>value(HKD!$B3460)</f>
        <v>1761.644</v>
      </c>
      <c r="M3460" s="1">
        <f>value(TWD!$B3460)</f>
        <v>0</v>
      </c>
      <c r="N3460" s="1">
        <f>value(JPY!$B3460)</f>
        <v>127.5326</v>
      </c>
      <c r="O3460" s="1">
        <f>value(SAR!$B3460)</f>
        <v>0</v>
      </c>
      <c r="P3460" s="1">
        <f>value(AED!$B3460)</f>
        <v>0</v>
      </c>
      <c r="Q3460" s="1">
        <f>value(KWD!$B3460)</f>
        <v>0</v>
      </c>
    </row>
    <row r="3461">
      <c r="A3461" s="4">
        <f>value(USD!A3461)</f>
        <v>43826.99861</v>
      </c>
      <c r="B3461" s="1">
        <f>value(USD!B3461)</f>
        <v>13956.17</v>
      </c>
      <c r="C3461" s="1">
        <f>value(AUD!$B3461)</f>
        <v>9943.921</v>
      </c>
      <c r="D3461" s="1">
        <f>value(EUR!$B3461)</f>
        <v>15598</v>
      </c>
      <c r="E3461" s="1">
        <f>value(GBP!$B3461)</f>
        <v>18261.11</v>
      </c>
      <c r="F3461" s="1">
        <f>value(CHF!$B3461)</f>
        <v>13895.25</v>
      </c>
      <c r="G3461" s="1">
        <f>value(SGD!$B3461)</f>
        <v>10273.99</v>
      </c>
      <c r="H3461" s="1">
        <f>value(MYR!$B3461)</f>
        <v>3389.985</v>
      </c>
      <c r="I3461" s="1">
        <f>value(THB!$B3461)</f>
        <v>462.7525</v>
      </c>
      <c r="J3461" s="1">
        <f>value(VND!$B3461)</f>
        <v>0</v>
      </c>
      <c r="K3461" s="1">
        <f>value(CNY!$B3461)</f>
        <v>2056.925</v>
      </c>
      <c r="L3461" s="1">
        <f>value(HKD!$B3461)</f>
        <v>1768.926</v>
      </c>
      <c r="M3461" s="1">
        <f>value(TWD!$B3461)</f>
        <v>0</v>
      </c>
      <c r="N3461" s="1">
        <f>value(JPY!$B3461)</f>
        <v>127.4258</v>
      </c>
      <c r="O3461" s="1">
        <f>value(SAR!$B3461)</f>
        <v>0</v>
      </c>
      <c r="P3461" s="1">
        <f>value(AED!$B3461)</f>
        <v>0</v>
      </c>
      <c r="Q3461" s="1">
        <f>value(KWD!$B3461)</f>
        <v>0</v>
      </c>
    </row>
    <row r="3462">
      <c r="A3462" s="4">
        <f>value(USD!A3462)</f>
        <v>43827.99861</v>
      </c>
      <c r="B3462" s="1">
        <f>value(USD!B3462)</f>
        <v>13956.17</v>
      </c>
      <c r="C3462" s="1">
        <f>value(AUD!$B3462)</f>
        <v>10108.19</v>
      </c>
      <c r="D3462" s="1">
        <f>value(EUR!$B3462)</f>
        <v>15600</v>
      </c>
      <c r="E3462" s="1">
        <f>value(GBP!$B3462)</f>
        <v>18260.46</v>
      </c>
      <c r="F3462" s="1">
        <f>value(CHF!$B3462)</f>
        <v>13892.01</v>
      </c>
      <c r="G3462" s="1">
        <f>value(SGD!$B3462)</f>
        <v>10279.79</v>
      </c>
      <c r="H3462" s="1">
        <f>value(MYR!$B3462)</f>
        <v>3394.33</v>
      </c>
      <c r="I3462" s="1">
        <f>value(THB!$B3462)</f>
        <v>464.5069</v>
      </c>
      <c r="J3462" s="1">
        <f>value(VND!$B3462)</f>
        <v>0</v>
      </c>
      <c r="K3462" s="1">
        <f>value(CNY!$B3462)</f>
        <v>2056.925</v>
      </c>
      <c r="L3462" s="1">
        <f>value(HKD!$B3462)</f>
        <v>1768.926</v>
      </c>
      <c r="M3462" s="1">
        <f>value(TWD!$B3462)</f>
        <v>0</v>
      </c>
      <c r="N3462" s="1">
        <f>value(JPY!$B3462)</f>
        <v>127.8788</v>
      </c>
      <c r="O3462" s="1">
        <f>value(SAR!$B3462)</f>
        <v>0</v>
      </c>
      <c r="P3462" s="1">
        <f>value(AED!$B3462)</f>
        <v>0</v>
      </c>
      <c r="Q3462" s="1">
        <f>value(KWD!$B3462)</f>
        <v>0</v>
      </c>
    </row>
    <row r="3463">
      <c r="A3463" s="4">
        <f>value(USD!A3463)</f>
        <v>43828.99861</v>
      </c>
      <c r="B3463" s="1">
        <f>value(USD!B3463)</f>
        <v>13958.32</v>
      </c>
      <c r="C3463" s="1">
        <f>value(AUD!$B3463)</f>
        <v>10123.16</v>
      </c>
      <c r="D3463" s="1">
        <f>value(EUR!$B3463)</f>
        <v>15587.06</v>
      </c>
      <c r="E3463" s="1">
        <f>value(GBP!$B3463)</f>
        <v>18457.59</v>
      </c>
      <c r="F3463" s="1">
        <f>value(CHF!$B3463)</f>
        <v>13934.6</v>
      </c>
      <c r="G3463" s="1">
        <f>value(SGD!$B3463)</f>
        <v>10245.89</v>
      </c>
      <c r="H3463" s="1">
        <f>value(MYR!$B3463)</f>
        <v>3393.804</v>
      </c>
      <c r="I3463" s="1">
        <f>value(THB!$B3463)</f>
        <v>467.6446</v>
      </c>
      <c r="J3463" s="1">
        <f>value(VND!$B3463)</f>
        <v>0</v>
      </c>
      <c r="K3463" s="1">
        <f>value(CNY!$B3463)</f>
        <v>2056.925</v>
      </c>
      <c r="L3463" s="1">
        <f>value(HKD!$B3463)</f>
        <v>1769.49</v>
      </c>
      <c r="M3463" s="1">
        <f>value(TWD!$B3463)</f>
        <v>0</v>
      </c>
      <c r="N3463" s="1">
        <f>value(JPY!$B3463)</f>
        <v>127.7696</v>
      </c>
      <c r="O3463" s="1">
        <f>value(SAR!$B3463)</f>
        <v>0</v>
      </c>
      <c r="P3463" s="1">
        <f>value(AED!$B3463)</f>
        <v>0</v>
      </c>
      <c r="Q3463" s="1">
        <f>value(KWD!$B3463)</f>
        <v>0</v>
      </c>
    </row>
    <row r="3464">
      <c r="A3464" s="4">
        <f>value(USD!A3464)</f>
        <v>43829.99861</v>
      </c>
      <c r="B3464" s="1">
        <f>value(USD!B3464)</f>
        <v>13926</v>
      </c>
      <c r="C3464" s="1">
        <f>value(AUD!$B3464)</f>
        <v>10030.39</v>
      </c>
      <c r="D3464" s="1">
        <f>value(EUR!$B3464)</f>
        <v>15587.06</v>
      </c>
      <c r="E3464" s="1">
        <f>value(GBP!$B3464)</f>
        <v>18409.52</v>
      </c>
      <c r="F3464" s="1">
        <f>value(CHF!$B3464)</f>
        <v>14079.24</v>
      </c>
      <c r="G3464" s="1">
        <f>value(SGD!$B3464)</f>
        <v>10297.89</v>
      </c>
      <c r="H3464" s="1">
        <f>value(MYR!$B3464)</f>
        <v>3393.804</v>
      </c>
      <c r="I3464" s="1">
        <f>value(THB!$B3464)</f>
        <v>467.6446</v>
      </c>
      <c r="J3464" s="1">
        <f>value(VND!$B3464)</f>
        <v>0</v>
      </c>
      <c r="K3464" s="1">
        <f>value(CNY!$B3464)</f>
        <v>2056.925</v>
      </c>
      <c r="L3464" s="1">
        <f>value(HKD!$B3464)</f>
        <v>1782.022</v>
      </c>
      <c r="M3464" s="1">
        <f>value(TWD!$B3464)</f>
        <v>0</v>
      </c>
      <c r="N3464" s="1">
        <f>value(JPY!$B3464)</f>
        <v>127.7942</v>
      </c>
      <c r="O3464" s="1">
        <f>value(SAR!$B3464)</f>
        <v>0</v>
      </c>
      <c r="P3464" s="1">
        <f>value(AED!$B3464)</f>
        <v>0</v>
      </c>
      <c r="Q3464" s="1">
        <f>value(KWD!$B3464)</f>
        <v>0</v>
      </c>
    </row>
    <row r="3465">
      <c r="A3465" s="4">
        <f>value(USD!A3465)</f>
        <v>43830.99861</v>
      </c>
      <c r="B3465" s="1">
        <f>value(USD!B3465)</f>
        <v>13883</v>
      </c>
      <c r="C3465" s="1">
        <f>value(AUD!$B3465)</f>
        <v>10030.39</v>
      </c>
      <c r="D3465" s="1">
        <f>value(EUR!$B3465)</f>
        <v>15515</v>
      </c>
      <c r="E3465" s="1">
        <f>value(GBP!$B3465)</f>
        <v>18258.63</v>
      </c>
      <c r="F3465" s="1">
        <f>value(CHF!$B3465)</f>
        <v>14079.24</v>
      </c>
      <c r="G3465" s="1">
        <f>value(SGD!$B3465)</f>
        <v>10314.39</v>
      </c>
      <c r="H3465" s="1">
        <f>value(MYR!$B3465)</f>
        <v>3393.63</v>
      </c>
      <c r="I3465" s="1">
        <f>value(THB!$B3465)</f>
        <v>460.6865</v>
      </c>
      <c r="J3465" s="1">
        <f>value(VND!$B3465)</f>
        <v>0</v>
      </c>
      <c r="K3465" s="1">
        <f>value(CNY!$B3465)</f>
        <v>2056.925</v>
      </c>
      <c r="L3465" s="1">
        <f>value(HKD!$B3465)</f>
        <v>1779.359</v>
      </c>
      <c r="M3465" s="1">
        <f>value(TWD!$B3465)</f>
        <v>0</v>
      </c>
      <c r="N3465" s="1">
        <f>value(JPY!$B3465)</f>
        <v>127.9477</v>
      </c>
      <c r="O3465" s="1">
        <f>value(SAR!$B3465)</f>
        <v>0</v>
      </c>
      <c r="P3465" s="1">
        <f>value(AED!$B3465)</f>
        <v>0</v>
      </c>
      <c r="Q3465" s="1">
        <f>value(KWD!$B3465)</f>
        <v>0</v>
      </c>
    </row>
    <row r="3466">
      <c r="A3466" s="4">
        <f>value(USD!A3466)</f>
        <v>43831.99861</v>
      </c>
      <c r="B3466" s="1">
        <f>value(USD!B3466)</f>
        <v>13892.59</v>
      </c>
      <c r="C3466" s="1">
        <f>value(AUD!$B3466)</f>
        <v>10033.29</v>
      </c>
      <c r="D3466" s="1">
        <f>value(EUR!$B3466)</f>
        <v>15555</v>
      </c>
      <c r="E3466" s="1">
        <f>value(GBP!$B3466)</f>
        <v>18244.41</v>
      </c>
      <c r="F3466" s="1">
        <f>value(CHF!$B3466)</f>
        <v>14084.48</v>
      </c>
      <c r="G3466" s="1">
        <f>value(SGD!$B3466)</f>
        <v>10466.77</v>
      </c>
      <c r="H3466" s="1">
        <f>value(MYR!$B3466)</f>
        <v>3407.075</v>
      </c>
      <c r="I3466" s="1">
        <f>value(THB!$B3466)</f>
        <v>462.1075</v>
      </c>
      <c r="J3466" s="1">
        <f>value(VND!$B3466)</f>
        <v>0</v>
      </c>
      <c r="K3466" s="1">
        <f>value(CNY!$B3466)</f>
        <v>2056.925</v>
      </c>
      <c r="L3466" s="1">
        <f>value(HKD!$B3466)</f>
        <v>1788.482</v>
      </c>
      <c r="M3466" s="1">
        <f>value(TWD!$B3466)</f>
        <v>0</v>
      </c>
      <c r="N3466" s="1">
        <f>value(JPY!$B3466)</f>
        <v>128.9495</v>
      </c>
      <c r="O3466" s="1">
        <f>value(SAR!$B3466)</f>
        <v>0</v>
      </c>
      <c r="P3466" s="1">
        <f>value(AED!$B3466)</f>
        <v>0</v>
      </c>
      <c r="Q3466" s="1">
        <f>value(KWD!$B3466)</f>
        <v>0</v>
      </c>
    </row>
    <row r="3467">
      <c r="A3467" s="4">
        <f>value(USD!A3467)</f>
        <v>43832.99861</v>
      </c>
      <c r="B3467" s="1">
        <f>value(USD!B3467)</f>
        <v>13889.26</v>
      </c>
      <c r="C3467" s="1">
        <f>value(AUD!$B3467)</f>
        <v>10065.96</v>
      </c>
      <c r="D3467" s="1">
        <f>value(EUR!$B3467)</f>
        <v>15555</v>
      </c>
      <c r="E3467" s="1">
        <f>value(GBP!$B3467)</f>
        <v>18244.41</v>
      </c>
      <c r="F3467" s="1">
        <f>value(CHF!$B3467)</f>
        <v>14174.7</v>
      </c>
      <c r="G3467" s="1">
        <f>value(SGD!$B3467)</f>
        <v>10345.63</v>
      </c>
      <c r="H3467" s="1">
        <f>value(MYR!$B3467)</f>
        <v>3407.075</v>
      </c>
      <c r="I3467" s="1">
        <f>value(THB!$B3467)</f>
        <v>462.1075</v>
      </c>
      <c r="J3467" s="1">
        <f>value(VND!$B3467)</f>
        <v>0</v>
      </c>
      <c r="K3467" s="1">
        <f>value(CNY!$B3467)</f>
        <v>2056.925</v>
      </c>
      <c r="L3467" s="1">
        <f>value(HKD!$B3467)</f>
        <v>1797.963</v>
      </c>
      <c r="M3467" s="1">
        <f>value(TWD!$B3467)</f>
        <v>0</v>
      </c>
      <c r="N3467" s="1">
        <f>value(JPY!$B3467)</f>
        <v>128.9495</v>
      </c>
      <c r="O3467" s="1">
        <f>value(SAR!$B3467)</f>
        <v>0</v>
      </c>
      <c r="P3467" s="1">
        <f>value(AED!$B3467)</f>
        <v>0</v>
      </c>
      <c r="Q3467" s="1">
        <f>value(KWD!$B3467)</f>
        <v>0</v>
      </c>
    </row>
    <row r="3468">
      <c r="A3468" s="4">
        <f>value(USD!A3468)</f>
        <v>43833.99861</v>
      </c>
      <c r="B3468" s="1">
        <f>value(USD!B3468)</f>
        <v>13940.18</v>
      </c>
      <c r="C3468" s="1">
        <f>value(AUD!$B3468)</f>
        <v>10036.24</v>
      </c>
      <c r="D3468" s="1">
        <f>value(EUR!$B3468)</f>
        <v>15555</v>
      </c>
      <c r="E3468" s="1">
        <f>value(GBP!$B3468)</f>
        <v>18231.15</v>
      </c>
      <c r="F3468" s="1">
        <f>value(CHF!$B3468)</f>
        <v>14199.68</v>
      </c>
      <c r="G3468" s="1">
        <f>value(SGD!$B3468)</f>
        <v>10322.06</v>
      </c>
      <c r="H3468" s="1">
        <f>value(MYR!$B3468)</f>
        <v>3407.075</v>
      </c>
      <c r="I3468" s="1">
        <f>value(THB!$B3468)</f>
        <v>462.1075</v>
      </c>
      <c r="J3468" s="1">
        <f>value(VND!$B3468)</f>
        <v>0</v>
      </c>
      <c r="K3468" s="1">
        <f>value(CNY!$B3468)</f>
        <v>2056.925</v>
      </c>
      <c r="L3468" s="1">
        <f>value(HKD!$B3468)</f>
        <v>1793.21</v>
      </c>
      <c r="M3468" s="1">
        <f>value(TWD!$B3468)</f>
        <v>0</v>
      </c>
      <c r="N3468" s="1">
        <f>value(JPY!$B3468)</f>
        <v>129.1059</v>
      </c>
      <c r="O3468" s="1">
        <f>value(SAR!$B3468)</f>
        <v>0</v>
      </c>
      <c r="P3468" s="1">
        <f>value(AED!$B3468)</f>
        <v>0</v>
      </c>
      <c r="Q3468" s="1">
        <f>value(KWD!$B3468)</f>
        <v>0</v>
      </c>
    </row>
    <row r="3469">
      <c r="A3469" s="4">
        <f>value(USD!A3469)</f>
        <v>43834.99861</v>
      </c>
      <c r="B3469" s="1">
        <f>value(USD!B3469)</f>
        <v>13940.18</v>
      </c>
      <c r="C3469" s="1">
        <f>value(AUD!$B3469)</f>
        <v>9827.839</v>
      </c>
      <c r="D3469" s="1">
        <f>value(EUR!$B3469)</f>
        <v>15555</v>
      </c>
      <c r="E3469" s="1">
        <f>value(GBP!$B3469)</f>
        <v>18299.57</v>
      </c>
      <c r="F3469" s="1">
        <f>value(CHF!$B3469)</f>
        <v>14274.09</v>
      </c>
      <c r="G3469" s="1">
        <f>value(SGD!$B3469)</f>
        <v>10335.48</v>
      </c>
      <c r="H3469" s="1">
        <f>value(MYR!$B3469)</f>
        <v>3383.14</v>
      </c>
      <c r="I3469" s="1">
        <f>value(THB!$B3469)</f>
        <v>460.8479</v>
      </c>
      <c r="J3469" s="1">
        <f>value(VND!$B3469)</f>
        <v>0</v>
      </c>
      <c r="K3469" s="1">
        <f>value(CNY!$B3469)</f>
        <v>2056.925</v>
      </c>
      <c r="L3469" s="1">
        <f>value(HKD!$B3469)</f>
        <v>1793.21</v>
      </c>
      <c r="M3469" s="1">
        <f>value(TWD!$B3469)</f>
        <v>0</v>
      </c>
      <c r="N3469" s="1">
        <f>value(JPY!$B3469)</f>
        <v>128.1513</v>
      </c>
      <c r="O3469" s="1">
        <f>value(SAR!$B3469)</f>
        <v>0</v>
      </c>
      <c r="P3469" s="1">
        <f>value(AED!$B3469)</f>
        <v>0</v>
      </c>
      <c r="Q3469" s="1">
        <f>value(KWD!$B3469)</f>
        <v>0</v>
      </c>
    </row>
    <row r="3470">
      <c r="A3470" s="4">
        <f>value(USD!A3470)</f>
        <v>43835.99861</v>
      </c>
      <c r="B3470" s="1">
        <f>value(USD!B3470)</f>
        <v>13938.8</v>
      </c>
      <c r="C3470" s="1">
        <f>value(AUD!$B3470)</f>
        <v>9917.498</v>
      </c>
      <c r="D3470" s="1">
        <f>value(EUR!$B3470)</f>
        <v>15465</v>
      </c>
      <c r="E3470" s="1">
        <f>value(GBP!$B3470)</f>
        <v>18181.28</v>
      </c>
      <c r="F3470" s="1">
        <f>value(CHF!$B3470)</f>
        <v>14463.47</v>
      </c>
      <c r="G3470" s="1">
        <f>value(SGD!$B3470)</f>
        <v>10611.43</v>
      </c>
      <c r="H3470" s="1">
        <f>value(MYR!$B3470)</f>
        <v>3379.072</v>
      </c>
      <c r="I3470" s="1">
        <f>value(THB!$B3470)</f>
        <v>457.8424</v>
      </c>
      <c r="J3470" s="1">
        <f>value(VND!$B3470)</f>
        <v>0</v>
      </c>
      <c r="K3470" s="1">
        <f>value(CNY!$B3470)</f>
        <v>2056.925</v>
      </c>
      <c r="L3470" s="1">
        <f>value(HKD!$B3470)</f>
        <v>1789.282</v>
      </c>
      <c r="M3470" s="1">
        <f>value(TWD!$B3470)</f>
        <v>0</v>
      </c>
      <c r="N3470" s="1">
        <f>value(JPY!$B3470)</f>
        <v>128.3472</v>
      </c>
      <c r="O3470" s="1">
        <f>value(SAR!$B3470)</f>
        <v>0</v>
      </c>
      <c r="P3470" s="1">
        <f>value(AED!$B3470)</f>
        <v>0</v>
      </c>
      <c r="Q3470" s="1">
        <f>value(KWD!$B3470)</f>
        <v>0</v>
      </c>
    </row>
    <row r="3471">
      <c r="A3471" s="4">
        <f>value(USD!A3471)</f>
        <v>43836.99861</v>
      </c>
      <c r="B3471" s="1">
        <f>value(USD!B3471)</f>
        <v>13924.5</v>
      </c>
      <c r="C3471" s="1">
        <f>value(AUD!$B3471)</f>
        <v>9831.954</v>
      </c>
      <c r="D3471" s="1">
        <f>value(EUR!$B3471)</f>
        <v>15451</v>
      </c>
      <c r="E3471" s="1">
        <f>value(GBP!$B3471)</f>
        <v>18220.84</v>
      </c>
      <c r="F3471" s="1">
        <f>value(CHF!$B3471)</f>
        <v>14477.06</v>
      </c>
      <c r="G3471" s="1">
        <f>value(SGD!$B3471)</f>
        <v>10254.36</v>
      </c>
      <c r="H3471" s="1">
        <f>value(MYR!$B3471)</f>
        <v>3385.482</v>
      </c>
      <c r="I3471" s="1">
        <f>value(THB!$B3471)</f>
        <v>458.1332</v>
      </c>
      <c r="J3471" s="1">
        <f>value(VND!$B3471)</f>
        <v>0</v>
      </c>
      <c r="K3471" s="1">
        <f>value(CNY!$B3471)</f>
        <v>2056.925</v>
      </c>
      <c r="L3471" s="1">
        <f>value(HKD!$B3471)</f>
        <v>1823.896</v>
      </c>
      <c r="M3471" s="1">
        <f>value(TWD!$B3471)</f>
        <v>0</v>
      </c>
      <c r="N3471" s="1">
        <f>value(JPY!$B3471)</f>
        <v>127.5151</v>
      </c>
      <c r="O3471" s="1">
        <f>value(SAR!$B3471)</f>
        <v>0</v>
      </c>
      <c r="P3471" s="1">
        <f>value(AED!$B3471)</f>
        <v>0</v>
      </c>
      <c r="Q3471" s="1">
        <f>value(KWD!$B3471)</f>
        <v>0</v>
      </c>
    </row>
    <row r="3472">
      <c r="A3472" s="4">
        <f>value(USD!A3472)</f>
        <v>43837.99861</v>
      </c>
      <c r="B3472" s="1">
        <f>value(USD!B3472)</f>
        <v>13871.09</v>
      </c>
      <c r="C3472" s="1">
        <f>value(AUD!$B3472)</f>
        <v>9830.485</v>
      </c>
      <c r="D3472" s="1">
        <f>value(EUR!$B3472)</f>
        <v>15365</v>
      </c>
      <c r="E3472" s="1">
        <f>value(GBP!$B3472)</f>
        <v>18076.58</v>
      </c>
      <c r="F3472" s="1">
        <f>value(CHF!$B3472)</f>
        <v>14477.06</v>
      </c>
      <c r="G3472" s="1">
        <f>value(SGD!$B3472)</f>
        <v>10408.44</v>
      </c>
      <c r="H3472" s="1">
        <f>value(MYR!$B3472)</f>
        <v>3382.573</v>
      </c>
      <c r="I3472" s="1">
        <f>value(THB!$B3472)</f>
        <v>456.9381</v>
      </c>
      <c r="J3472" s="1">
        <f>value(VND!$B3472)</f>
        <v>0</v>
      </c>
      <c r="K3472" s="1">
        <f>value(CNY!$B3472)</f>
        <v>2056.925</v>
      </c>
      <c r="L3472" s="1">
        <f>value(HKD!$B3472)</f>
        <v>1834.331</v>
      </c>
      <c r="M3472" s="1">
        <f>value(TWD!$B3472)</f>
        <v>0</v>
      </c>
      <c r="N3472" s="1">
        <f>value(JPY!$B3472)</f>
        <v>126.3013</v>
      </c>
      <c r="O3472" s="1">
        <f>value(SAR!$B3472)</f>
        <v>0</v>
      </c>
      <c r="P3472" s="1">
        <f>value(AED!$B3472)</f>
        <v>0</v>
      </c>
      <c r="Q3472" s="1">
        <f>value(KWD!$B3472)</f>
        <v>0</v>
      </c>
    </row>
    <row r="3473">
      <c r="A3473" s="4">
        <f>value(USD!A3473)</f>
        <v>43838.99861</v>
      </c>
      <c r="B3473" s="1">
        <f>value(USD!B3473)</f>
        <v>13904.04</v>
      </c>
      <c r="C3473" s="1">
        <f>value(AUD!$B3473)</f>
        <v>9786.019</v>
      </c>
      <c r="D3473" s="1">
        <f>value(EUR!$B3473)</f>
        <v>15300</v>
      </c>
      <c r="E3473" s="1">
        <f>value(GBP!$B3473)</f>
        <v>17990.58</v>
      </c>
      <c r="F3473" s="1">
        <f>value(CHF!$B3473)</f>
        <v>14465.98</v>
      </c>
      <c r="G3473" s="1">
        <f>value(SGD!$B3473)</f>
        <v>10541.86</v>
      </c>
      <c r="H3473" s="1">
        <f>value(MYR!$B3473)</f>
        <v>3383.384</v>
      </c>
      <c r="I3473" s="1">
        <f>value(THB!$B3473)</f>
        <v>454.8157</v>
      </c>
      <c r="J3473" s="1">
        <f>value(VND!$B3473)</f>
        <v>0</v>
      </c>
      <c r="K3473" s="1">
        <f>value(CNY!$B3473)</f>
        <v>2056.925</v>
      </c>
      <c r="L3473" s="1">
        <f>value(HKD!$B3473)</f>
        <v>1844.336</v>
      </c>
      <c r="M3473" s="1">
        <f>value(TWD!$B3473)</f>
        <v>0</v>
      </c>
      <c r="N3473" s="1">
        <f>value(JPY!$B3473)</f>
        <v>125.6845</v>
      </c>
      <c r="O3473" s="1">
        <f>value(SAR!$B3473)</f>
        <v>0</v>
      </c>
      <c r="P3473" s="1">
        <f>value(AED!$B3473)</f>
        <v>0</v>
      </c>
      <c r="Q3473" s="1">
        <f>value(KWD!$B3473)</f>
        <v>0</v>
      </c>
    </row>
    <row r="3474">
      <c r="A3474" s="4">
        <f>value(USD!A3474)</f>
        <v>43839.99861</v>
      </c>
      <c r="B3474" s="1">
        <f>value(USD!B3474)</f>
        <v>13832.06</v>
      </c>
      <c r="C3474" s="1">
        <f>value(AUD!$B3474)</f>
        <v>9758.903</v>
      </c>
      <c r="D3474" s="1">
        <f>value(EUR!$B3474)</f>
        <v>15266.95</v>
      </c>
      <c r="E3474" s="1">
        <f>value(GBP!$B3474)</f>
        <v>17933.69</v>
      </c>
      <c r="F3474" s="1">
        <f>value(CHF!$B3474)</f>
        <v>14845.6</v>
      </c>
      <c r="G3474" s="1">
        <f>value(SGD!$B3474)</f>
        <v>10435.66</v>
      </c>
      <c r="H3474" s="1">
        <f>value(MYR!$B3474)</f>
        <v>3376.075</v>
      </c>
      <c r="I3474" s="1">
        <f>value(THB!$B3474)</f>
        <v>453.8332</v>
      </c>
      <c r="J3474" s="1">
        <f>value(VND!$B3474)</f>
        <v>0</v>
      </c>
      <c r="K3474" s="1">
        <f>value(CNY!$B3474)</f>
        <v>2056.925</v>
      </c>
      <c r="L3474" s="1">
        <f>value(HKD!$B3474)</f>
        <v>1844.336</v>
      </c>
      <c r="M3474" s="1">
        <f>value(TWD!$B3474)</f>
        <v>0</v>
      </c>
      <c r="N3474" s="1">
        <f>value(JPY!$B3474)</f>
        <v>125.433</v>
      </c>
      <c r="O3474" s="1">
        <f>value(SAR!$B3474)</f>
        <v>0</v>
      </c>
      <c r="P3474" s="1">
        <f>value(AED!$B3474)</f>
        <v>0</v>
      </c>
      <c r="Q3474" s="1">
        <f>value(KWD!$B3474)</f>
        <v>0</v>
      </c>
    </row>
    <row r="3475">
      <c r="A3475" s="4">
        <f>value(USD!A3475)</f>
        <v>43840.99861</v>
      </c>
      <c r="B3475" s="1">
        <f>value(USD!B3475)</f>
        <v>13757.23</v>
      </c>
      <c r="C3475" s="1">
        <f>value(AUD!$B3475)</f>
        <v>9694.99</v>
      </c>
      <c r="D3475" s="1">
        <f>value(EUR!$B3475)</f>
        <v>15266.95</v>
      </c>
      <c r="E3475" s="1">
        <f>value(GBP!$B3475)</f>
        <v>17914.43</v>
      </c>
      <c r="F3475" s="1">
        <f>value(CHF!$B3475)</f>
        <v>14906.11</v>
      </c>
      <c r="G3475" s="1">
        <f>value(SGD!$B3475)</f>
        <v>10435.66</v>
      </c>
      <c r="H3475" s="1">
        <f>value(MYR!$B3475)</f>
        <v>3376.075</v>
      </c>
      <c r="I3475" s="1">
        <f>value(THB!$B3475)</f>
        <v>455.1849</v>
      </c>
      <c r="J3475" s="1">
        <f>value(VND!$B3475)</f>
        <v>0</v>
      </c>
      <c r="K3475" s="1">
        <f>value(CNY!$B3475)</f>
        <v>0</v>
      </c>
      <c r="L3475" s="1">
        <f>value(HKD!$B3475)</f>
        <v>1844.336</v>
      </c>
      <c r="M3475" s="1">
        <f>value(TWD!$B3475)</f>
        <v>0</v>
      </c>
      <c r="N3475" s="1">
        <f>value(JPY!$B3475)</f>
        <v>125.3439</v>
      </c>
      <c r="O3475" s="1">
        <f>value(SAR!$B3475)</f>
        <v>0</v>
      </c>
      <c r="P3475" s="1">
        <f>value(AED!$B3475)</f>
        <v>0</v>
      </c>
      <c r="Q3475" s="1">
        <f>value(KWD!$B3475)</f>
        <v>0</v>
      </c>
    </row>
    <row r="3476">
      <c r="A3476" s="4">
        <f>value(USD!A3476)</f>
        <v>43841.99861</v>
      </c>
      <c r="B3476" s="1">
        <f>value(USD!B3476)</f>
        <v>13757.23</v>
      </c>
      <c r="C3476" s="1">
        <f>value(AUD!$B3476)</f>
        <v>9712.909</v>
      </c>
      <c r="D3476" s="1">
        <f>value(EUR!$B3476)</f>
        <v>15222</v>
      </c>
      <c r="E3476" s="1">
        <f>value(GBP!$B3476)</f>
        <v>17753.78</v>
      </c>
      <c r="F3476" s="1">
        <f>value(CHF!$B3476)</f>
        <v>14972.16</v>
      </c>
      <c r="G3476" s="1">
        <f>value(SGD!$B3476)</f>
        <v>10440.08</v>
      </c>
      <c r="H3476" s="1">
        <f>value(MYR!$B3476)</f>
        <v>3369.414</v>
      </c>
      <c r="I3476" s="1">
        <f>value(THB!$B3476)</f>
        <v>452.4432</v>
      </c>
      <c r="J3476" s="1">
        <f>value(VND!$B3476)</f>
        <v>0</v>
      </c>
      <c r="K3476" s="1">
        <f>value(CNY!$B3476)</f>
        <v>0</v>
      </c>
      <c r="L3476" s="1">
        <f>value(HKD!$B3476)</f>
        <v>1844.336</v>
      </c>
      <c r="M3476" s="1">
        <f>value(TWD!$B3476)</f>
        <v>0</v>
      </c>
      <c r="N3476" s="1">
        <f>value(JPY!$B3476)</f>
        <v>124.2901</v>
      </c>
      <c r="O3476" s="1">
        <f>value(SAR!$B3476)</f>
        <v>0</v>
      </c>
      <c r="P3476" s="1">
        <f>value(AED!$B3476)</f>
        <v>0</v>
      </c>
      <c r="Q3476" s="1">
        <f>value(KWD!$B3476)</f>
        <v>0</v>
      </c>
    </row>
    <row r="3477">
      <c r="A3477" s="4">
        <f>value(USD!A3477)</f>
        <v>43842.99861</v>
      </c>
      <c r="B3477" s="1">
        <f>value(USD!B3477)</f>
        <v>13729.27</v>
      </c>
      <c r="C3477" s="1">
        <f>value(AUD!$B3477)</f>
        <v>9823.152</v>
      </c>
      <c r="D3477" s="1">
        <f>value(EUR!$B3477)</f>
        <v>15214</v>
      </c>
      <c r="E3477" s="1">
        <f>value(GBP!$B3477)</f>
        <v>17799.36</v>
      </c>
      <c r="F3477" s="1">
        <f>value(CHF!$B3477)</f>
        <v>14972.16</v>
      </c>
      <c r="G3477" s="1">
        <f>value(SGD!$B3477)</f>
        <v>10679.48</v>
      </c>
      <c r="H3477" s="1">
        <f>value(MYR!$B3477)</f>
        <v>3354.722</v>
      </c>
      <c r="I3477" s="1">
        <f>value(THB!$B3477)</f>
        <v>451.5612</v>
      </c>
      <c r="J3477" s="1">
        <f>value(VND!$B3477)</f>
        <v>0</v>
      </c>
      <c r="K3477" s="1">
        <f>value(CNY!$B3477)</f>
        <v>0</v>
      </c>
      <c r="L3477" s="1">
        <f>value(HKD!$B3477)</f>
        <v>1844.336</v>
      </c>
      <c r="M3477" s="1">
        <f>value(TWD!$B3477)</f>
        <v>0</v>
      </c>
      <c r="N3477" s="1">
        <f>value(JPY!$B3477)</f>
        <v>124.4636</v>
      </c>
      <c r="O3477" s="1">
        <f>value(SAR!$B3477)</f>
        <v>0</v>
      </c>
      <c r="P3477" s="1">
        <f>value(AED!$B3477)</f>
        <v>0</v>
      </c>
      <c r="Q3477" s="1">
        <f>value(KWD!$B3477)</f>
        <v>0</v>
      </c>
    </row>
    <row r="3478">
      <c r="A3478" s="4">
        <f>value(USD!A3478)</f>
        <v>43843.99861</v>
      </c>
      <c r="B3478" s="1">
        <f>value(USD!B3478)</f>
        <v>13668</v>
      </c>
      <c r="C3478" s="1">
        <f>value(AUD!$B3478)</f>
        <v>9808.535</v>
      </c>
      <c r="D3478" s="1">
        <f>value(EUR!$B3478)</f>
        <v>15244</v>
      </c>
      <c r="E3478" s="1">
        <f>value(GBP!$B3478)</f>
        <v>17824.76</v>
      </c>
      <c r="F3478" s="1">
        <f>value(CHF!$B3478)</f>
        <v>14972.16</v>
      </c>
      <c r="G3478" s="1">
        <f>value(SGD!$B3478)</f>
        <v>10635.21</v>
      </c>
      <c r="H3478" s="1">
        <f>value(MYR!$B3478)</f>
        <v>3355.196</v>
      </c>
      <c r="I3478" s="1">
        <f>value(THB!$B3478)</f>
        <v>451.126</v>
      </c>
      <c r="J3478" s="1">
        <f>value(VND!$B3478)</f>
        <v>0</v>
      </c>
      <c r="K3478" s="1">
        <f>value(CNY!$B3478)</f>
        <v>0</v>
      </c>
      <c r="L3478" s="1">
        <f>value(HKD!$B3478)</f>
        <v>1844.336</v>
      </c>
      <c r="M3478" s="1">
        <f>value(TWD!$B3478)</f>
        <v>0</v>
      </c>
      <c r="N3478" s="1">
        <f>value(JPY!$B3478)</f>
        <v>124.3946</v>
      </c>
      <c r="O3478" s="1">
        <f>value(SAR!$B3478)</f>
        <v>0</v>
      </c>
      <c r="P3478" s="1">
        <f>value(AED!$B3478)</f>
        <v>0</v>
      </c>
      <c r="Q3478" s="1">
        <f>value(KWD!$B3478)</f>
        <v>0</v>
      </c>
    </row>
    <row r="3479">
      <c r="A3479" s="4">
        <f>value(USD!A3479)</f>
        <v>43844.99861</v>
      </c>
      <c r="B3479" s="1">
        <f>value(USD!B3479)</f>
        <v>13672.53</v>
      </c>
      <c r="C3479" s="1">
        <f>value(AUD!$B3479)</f>
        <v>9806.959</v>
      </c>
      <c r="D3479" s="1">
        <f>value(EUR!$B3479)</f>
        <v>15172</v>
      </c>
      <c r="E3479" s="1">
        <f>value(GBP!$B3479)</f>
        <v>17812.74</v>
      </c>
      <c r="F3479" s="1">
        <f>value(CHF!$B3479)</f>
        <v>14972.16</v>
      </c>
      <c r="G3479" s="1">
        <f>value(SGD!$B3479)</f>
        <v>10757.73</v>
      </c>
      <c r="H3479" s="1">
        <f>value(MYR!$B3479)</f>
        <v>3345.977</v>
      </c>
      <c r="I3479" s="1">
        <f>value(THB!$B3479)</f>
        <v>448.8492</v>
      </c>
      <c r="J3479" s="1">
        <f>value(VND!$B3479)</f>
        <v>0</v>
      </c>
      <c r="K3479" s="1">
        <f>value(CNY!$B3479)</f>
        <v>0</v>
      </c>
      <c r="L3479" s="1">
        <f>value(HKD!$B3479)</f>
        <v>1844.336</v>
      </c>
      <c r="M3479" s="1">
        <f>value(TWD!$B3479)</f>
        <v>0</v>
      </c>
      <c r="N3479" s="1">
        <f>value(JPY!$B3479)</f>
        <v>123.621</v>
      </c>
      <c r="O3479" s="1">
        <f>value(SAR!$B3479)</f>
        <v>0</v>
      </c>
      <c r="P3479" s="1">
        <f>value(AED!$B3479)</f>
        <v>0</v>
      </c>
      <c r="Q3479" s="1">
        <f>value(KWD!$B3479)</f>
        <v>0</v>
      </c>
    </row>
    <row r="3480">
      <c r="A3480" s="4">
        <f>value(USD!A3480)</f>
        <v>43845.99861</v>
      </c>
      <c r="B3480" s="1">
        <f>value(USD!B3480)</f>
        <v>13669.58</v>
      </c>
      <c r="C3480" s="1">
        <f>value(AUD!$B3480)</f>
        <v>9806.106</v>
      </c>
      <c r="D3480" s="1">
        <f>value(EUR!$B3480)</f>
        <v>15154.88</v>
      </c>
      <c r="E3480" s="1">
        <f>value(GBP!$B3480)</f>
        <v>17771.66</v>
      </c>
      <c r="F3480" s="1">
        <f>value(CHF!$B3480)</f>
        <v>14972.16</v>
      </c>
      <c r="G3480" s="1">
        <f>value(SGD!$B3480)</f>
        <v>10948.52</v>
      </c>
      <c r="H3480" s="1">
        <f>value(MYR!$B3480)</f>
        <v>3363.938</v>
      </c>
      <c r="I3480" s="1">
        <f>value(THB!$B3480)</f>
        <v>449.2996</v>
      </c>
      <c r="J3480" s="1">
        <f>value(VND!$B3480)</f>
        <v>0</v>
      </c>
      <c r="K3480" s="1">
        <f>value(CNY!$B3480)</f>
        <v>0</v>
      </c>
      <c r="L3480" s="1">
        <f>value(HKD!$B3480)</f>
        <v>1844.336</v>
      </c>
      <c r="M3480" s="1">
        <f>value(TWD!$B3480)</f>
        <v>0</v>
      </c>
      <c r="N3480" s="1">
        <f>value(JPY!$B3480)</f>
        <v>124.0467</v>
      </c>
      <c r="O3480" s="1">
        <f>value(SAR!$B3480)</f>
        <v>0</v>
      </c>
      <c r="P3480" s="1">
        <f>value(AED!$B3480)</f>
        <v>0</v>
      </c>
      <c r="Q3480" s="1">
        <f>value(KWD!$B3480)</f>
        <v>0</v>
      </c>
    </row>
    <row r="3481">
      <c r="A3481" s="4">
        <f>value(USD!A3481)</f>
        <v>43846.99861</v>
      </c>
      <c r="B3481" s="1">
        <f>value(USD!B3481)</f>
        <v>13630</v>
      </c>
      <c r="C3481" s="1">
        <f>value(AUD!$B3481)</f>
        <v>9875.687</v>
      </c>
      <c r="D3481" s="1">
        <f>value(EUR!$B3481)</f>
        <v>15154.88</v>
      </c>
      <c r="E3481" s="1">
        <f>value(GBP!$B3481)</f>
        <v>17771.66</v>
      </c>
      <c r="F3481" s="1">
        <f>value(CHF!$B3481)</f>
        <v>14972.16</v>
      </c>
      <c r="G3481" s="1">
        <f>value(SGD!$B3481)</f>
        <v>11278.97</v>
      </c>
      <c r="H3481" s="1">
        <f>value(MYR!$B3481)</f>
        <v>3363.938</v>
      </c>
      <c r="I3481" s="1">
        <f>value(THB!$B3481)</f>
        <v>449.2996</v>
      </c>
      <c r="J3481" s="1">
        <f>value(VND!$B3481)</f>
        <v>0</v>
      </c>
      <c r="K3481" s="1">
        <f>value(CNY!$B3481)</f>
        <v>0</v>
      </c>
      <c r="L3481" s="1">
        <f>value(HKD!$B3481)</f>
        <v>1844.336</v>
      </c>
      <c r="M3481" s="1">
        <f>value(TWD!$B3481)</f>
        <v>0</v>
      </c>
      <c r="N3481" s="1">
        <f>value(JPY!$B3481)</f>
        <v>124.0467</v>
      </c>
      <c r="O3481" s="1">
        <f>value(SAR!$B3481)</f>
        <v>0</v>
      </c>
      <c r="P3481" s="1">
        <f>value(AED!$B3481)</f>
        <v>0</v>
      </c>
      <c r="Q3481" s="1">
        <f>value(KWD!$B3481)</f>
        <v>0</v>
      </c>
    </row>
    <row r="3482">
      <c r="A3482" s="4">
        <f>value(USD!A3482)</f>
        <v>43847.99861</v>
      </c>
      <c r="B3482" s="1">
        <f>value(USD!B3482)</f>
        <v>13648</v>
      </c>
      <c r="C3482" s="1">
        <f>value(AUD!$B3482)</f>
        <v>0</v>
      </c>
      <c r="D3482" s="1">
        <f>value(EUR!$B3482)</f>
        <v>15154.88</v>
      </c>
      <c r="E3482" s="1">
        <f>value(GBP!$B3482)</f>
        <v>17767.5</v>
      </c>
      <c r="F3482" s="1">
        <f>value(CHF!$B3482)</f>
        <v>14972.16</v>
      </c>
      <c r="G3482" s="1">
        <f>value(SGD!$B3482)</f>
        <v>11278.97</v>
      </c>
      <c r="H3482" s="1">
        <f>value(MYR!$B3482)</f>
        <v>3363.938</v>
      </c>
      <c r="I3482" s="1">
        <f>value(THB!$B3482)</f>
        <v>449.2996</v>
      </c>
      <c r="J3482" s="1">
        <f>value(VND!$B3482)</f>
        <v>0</v>
      </c>
      <c r="K3482" s="1">
        <f>value(CNY!$B3482)</f>
        <v>0</v>
      </c>
      <c r="L3482" s="1">
        <f>value(HKD!$B3482)</f>
        <v>1844.336</v>
      </c>
      <c r="M3482" s="1">
        <f>value(TWD!$B3482)</f>
        <v>0</v>
      </c>
      <c r="N3482" s="1">
        <f>value(JPY!$B3482)</f>
        <v>123.9658</v>
      </c>
      <c r="O3482" s="1">
        <f>value(SAR!$B3482)</f>
        <v>0</v>
      </c>
      <c r="P3482" s="1">
        <f>value(AED!$B3482)</f>
        <v>0</v>
      </c>
      <c r="Q3482" s="1">
        <f>value(KWD!$B3482)</f>
        <v>0</v>
      </c>
    </row>
    <row r="3483">
      <c r="A3483" s="4">
        <f>value(USD!A3483)</f>
        <v>43848.99861</v>
      </c>
      <c r="B3483" s="1">
        <f>value(USD!B3483)</f>
        <v>13648</v>
      </c>
      <c r="C3483" s="1">
        <f>value(AUD!$B3483)</f>
        <v>0</v>
      </c>
      <c r="D3483" s="1">
        <f>value(EUR!$B3483)</f>
        <v>15112.72</v>
      </c>
      <c r="E3483" s="1">
        <f>value(GBP!$B3483)</f>
        <v>17709.87</v>
      </c>
      <c r="F3483" s="1">
        <f>value(CHF!$B3483)</f>
        <v>14972.16</v>
      </c>
      <c r="G3483" s="1">
        <f>value(SGD!$B3483)</f>
        <v>11235.3</v>
      </c>
      <c r="H3483" s="1">
        <f>value(MYR!$B3483)</f>
        <v>3357.337</v>
      </c>
      <c r="I3483" s="1">
        <f>value(THB!$B3483)</f>
        <v>449.0749</v>
      </c>
      <c r="J3483" s="1">
        <f>value(VND!$B3483)</f>
        <v>0</v>
      </c>
      <c r="K3483" s="1">
        <f>value(CNY!$B3483)</f>
        <v>0</v>
      </c>
      <c r="L3483" s="1">
        <f>value(HKD!$B3483)</f>
        <v>1844.336</v>
      </c>
      <c r="M3483" s="1">
        <f>value(TWD!$B3483)</f>
        <v>0</v>
      </c>
      <c r="N3483" s="1">
        <f>value(JPY!$B3483)</f>
        <v>123.6118</v>
      </c>
      <c r="O3483" s="1">
        <f>value(SAR!$B3483)</f>
        <v>0</v>
      </c>
      <c r="P3483" s="1">
        <f>value(AED!$B3483)</f>
        <v>0</v>
      </c>
      <c r="Q3483" s="1">
        <f>value(KWD!$B3483)</f>
        <v>0</v>
      </c>
    </row>
    <row r="3484">
      <c r="A3484" s="4">
        <f>value(USD!A3484)</f>
        <v>43849.99861</v>
      </c>
      <c r="B3484" s="1">
        <f>value(USD!B3484)</f>
        <v>13664.37</v>
      </c>
      <c r="C3484" s="1">
        <f>value(AUD!$B3484)</f>
        <v>0</v>
      </c>
      <c r="D3484" s="1">
        <f>value(EUR!$B3484)</f>
        <v>15143</v>
      </c>
      <c r="E3484" s="1">
        <f>value(GBP!$B3484)</f>
        <v>17821.16</v>
      </c>
      <c r="F3484" s="1">
        <f>value(CHF!$B3484)</f>
        <v>14972.16</v>
      </c>
      <c r="G3484" s="1">
        <f>value(SGD!$B3484)</f>
        <v>11652.21</v>
      </c>
      <c r="H3484" s="1">
        <f>value(MYR!$B3484)</f>
        <v>3349.036</v>
      </c>
      <c r="I3484" s="1">
        <f>value(THB!$B3484)</f>
        <v>449.3738</v>
      </c>
      <c r="J3484" s="1">
        <f>value(VND!$B3484)</f>
        <v>0</v>
      </c>
      <c r="K3484" s="1">
        <f>value(CNY!$B3484)</f>
        <v>0</v>
      </c>
      <c r="L3484" s="1">
        <f>value(HKD!$B3484)</f>
        <v>1844.336</v>
      </c>
      <c r="M3484" s="1">
        <f>value(TWD!$B3484)</f>
        <v>0</v>
      </c>
      <c r="N3484" s="1">
        <f>value(JPY!$B3484)</f>
        <v>124.2839</v>
      </c>
      <c r="O3484" s="1">
        <f>value(SAR!$B3484)</f>
        <v>0</v>
      </c>
      <c r="P3484" s="1">
        <f>value(AED!$B3484)</f>
        <v>0</v>
      </c>
      <c r="Q3484" s="1">
        <f>value(KWD!$B3484)</f>
        <v>0</v>
      </c>
    </row>
    <row r="3485">
      <c r="A3485" s="4">
        <f>value(USD!A3485)</f>
        <v>43850.99861</v>
      </c>
      <c r="B3485" s="1">
        <f>value(USD!B3485)</f>
        <v>13622</v>
      </c>
      <c r="C3485" s="1">
        <f>value(AUD!$B3485)</f>
        <v>0</v>
      </c>
      <c r="D3485" s="1">
        <f>value(EUR!$B3485)</f>
        <v>15123</v>
      </c>
      <c r="E3485" s="1">
        <f>value(GBP!$B3485)</f>
        <v>17915.17</v>
      </c>
      <c r="F3485" s="1">
        <f>value(CHF!$B3485)</f>
        <v>14972.16</v>
      </c>
      <c r="G3485" s="1">
        <f>value(SGD!$B3485)</f>
        <v>11220.36</v>
      </c>
      <c r="H3485" s="1">
        <f>value(MYR!$B3485)</f>
        <v>3358.055</v>
      </c>
      <c r="I3485" s="1">
        <f>value(THB!$B3485)</f>
        <v>448.7004</v>
      </c>
      <c r="J3485" s="1">
        <f>value(VND!$B3485)</f>
        <v>0</v>
      </c>
      <c r="K3485" s="1">
        <f>value(CNY!$B3485)</f>
        <v>0</v>
      </c>
      <c r="L3485" s="1">
        <f>value(HKD!$B3485)</f>
        <v>1844.336</v>
      </c>
      <c r="M3485" s="1">
        <f>value(TWD!$B3485)</f>
        <v>0</v>
      </c>
      <c r="N3485" s="1">
        <f>value(JPY!$B3485)</f>
        <v>124.211</v>
      </c>
      <c r="O3485" s="1">
        <f>value(SAR!$B3485)</f>
        <v>0</v>
      </c>
      <c r="P3485" s="1">
        <f>value(AED!$B3485)</f>
        <v>0</v>
      </c>
      <c r="Q3485" s="1">
        <f>value(KWD!$B3485)</f>
        <v>0</v>
      </c>
    </row>
    <row r="3486">
      <c r="A3486" s="4">
        <f>value(USD!A3486)</f>
        <v>43851.99861</v>
      </c>
      <c r="B3486" s="1">
        <f>value(USD!B3486)</f>
        <v>13660.19</v>
      </c>
      <c r="C3486" s="1">
        <f>value(AUD!$B3486)</f>
        <v>0</v>
      </c>
      <c r="D3486" s="1">
        <f>value(EUR!$B3486)</f>
        <v>15050</v>
      </c>
      <c r="E3486" s="1">
        <f>value(GBP!$B3486)</f>
        <v>17861.06</v>
      </c>
      <c r="F3486" s="1">
        <f>value(CHF!$B3486)</f>
        <v>14972.16</v>
      </c>
      <c r="G3486" s="1">
        <f>value(SGD!$B3486)</f>
        <v>11186.33</v>
      </c>
      <c r="H3486" s="1">
        <f>value(MYR!$B3486)</f>
        <v>3335.032</v>
      </c>
      <c r="I3486" s="1">
        <f>value(THB!$B3486)</f>
        <v>446.5213</v>
      </c>
      <c r="J3486" s="1">
        <f>value(VND!$B3486)</f>
        <v>0</v>
      </c>
      <c r="K3486" s="1">
        <f>value(CNY!$B3486)</f>
        <v>0</v>
      </c>
      <c r="L3486" s="1">
        <f>value(HKD!$B3486)</f>
        <v>1844.336</v>
      </c>
      <c r="M3486" s="1">
        <f>value(TWD!$B3486)</f>
        <v>0</v>
      </c>
      <c r="N3486" s="1">
        <f>value(JPY!$B3486)</f>
        <v>124.2682</v>
      </c>
      <c r="O3486" s="1">
        <f>value(SAR!$B3486)</f>
        <v>0</v>
      </c>
      <c r="P3486" s="1">
        <f>value(AED!$B3486)</f>
        <v>0</v>
      </c>
      <c r="Q3486" s="1">
        <f>value(KWD!$B3486)</f>
        <v>0</v>
      </c>
    </row>
    <row r="3487">
      <c r="A3487" s="4">
        <f>value(USD!A3487)</f>
        <v>43852.99861</v>
      </c>
      <c r="B3487" s="1">
        <f>value(USD!B3487)</f>
        <v>13630.89</v>
      </c>
      <c r="C3487" s="1">
        <f>value(AUD!$B3487)</f>
        <v>0</v>
      </c>
      <c r="D3487" s="1">
        <f>value(EUR!$B3487)</f>
        <v>15123</v>
      </c>
      <c r="E3487" s="1">
        <f>value(GBP!$B3487)</f>
        <v>17933.12</v>
      </c>
      <c r="F3487" s="1">
        <f>value(CHF!$B3487)</f>
        <v>14972.16</v>
      </c>
      <c r="G3487" s="1">
        <f>value(SGD!$B3487)</f>
        <v>11223.77</v>
      </c>
      <c r="H3487" s="1">
        <f>value(MYR!$B3487)</f>
        <v>3373.636</v>
      </c>
      <c r="I3487" s="1">
        <f>value(THB!$B3487)</f>
        <v>449.1802</v>
      </c>
      <c r="J3487" s="1">
        <f>value(VND!$B3487)</f>
        <v>0</v>
      </c>
      <c r="K3487" s="1">
        <f>value(CNY!$B3487)</f>
        <v>0</v>
      </c>
      <c r="L3487" s="1">
        <f>value(HKD!$B3487)</f>
        <v>1844.336</v>
      </c>
      <c r="M3487" s="1">
        <f>value(TWD!$B3487)</f>
        <v>0</v>
      </c>
      <c r="N3487" s="1">
        <f>value(JPY!$B3487)</f>
        <v>125.5228</v>
      </c>
      <c r="O3487" s="1">
        <f>value(SAR!$B3487)</f>
        <v>0</v>
      </c>
      <c r="P3487" s="1">
        <f>value(AED!$B3487)</f>
        <v>0</v>
      </c>
      <c r="Q3487" s="1">
        <f>value(KWD!$B3487)</f>
        <v>0</v>
      </c>
    </row>
    <row r="3488">
      <c r="A3488" s="4">
        <f>value(USD!A3488)</f>
        <v>43853.99861</v>
      </c>
      <c r="B3488" s="1">
        <f>value(USD!B3488)</f>
        <v>13613.71</v>
      </c>
      <c r="C3488" s="1">
        <f>value(AUD!$B3488)</f>
        <v>0</v>
      </c>
      <c r="D3488" s="1">
        <f>value(EUR!$B3488)</f>
        <v>15123</v>
      </c>
      <c r="E3488" s="1">
        <f>value(GBP!$B3488)</f>
        <v>17933.12</v>
      </c>
      <c r="F3488" s="1">
        <f>value(CHF!$B3488)</f>
        <v>14972.16</v>
      </c>
      <c r="G3488" s="1">
        <f>value(SGD!$B3488)</f>
        <v>11400.41</v>
      </c>
      <c r="H3488" s="1">
        <f>value(MYR!$B3488)</f>
        <v>3373.636</v>
      </c>
      <c r="I3488" s="1">
        <f>value(THB!$B3488)</f>
        <v>449.1802</v>
      </c>
      <c r="J3488" s="1">
        <f>value(VND!$B3488)</f>
        <v>0</v>
      </c>
      <c r="K3488" s="1">
        <f>value(CNY!$B3488)</f>
        <v>0</v>
      </c>
      <c r="L3488" s="1">
        <f>value(HKD!$B3488)</f>
        <v>1844.336</v>
      </c>
      <c r="M3488" s="1">
        <f>value(TWD!$B3488)</f>
        <v>0</v>
      </c>
      <c r="N3488" s="1">
        <f>value(JPY!$B3488)</f>
        <v>125.5228</v>
      </c>
      <c r="O3488" s="1">
        <f>value(SAR!$B3488)</f>
        <v>0</v>
      </c>
      <c r="P3488" s="1">
        <f>value(AED!$B3488)</f>
        <v>0</v>
      </c>
      <c r="Q3488" s="1">
        <f>value(KWD!$B3488)</f>
        <v>0</v>
      </c>
    </row>
    <row r="3489">
      <c r="A3489" s="4">
        <f>value(USD!A3489)</f>
        <v>43854.99861</v>
      </c>
      <c r="B3489" s="1">
        <f>value(USD!B3489)</f>
        <v>13609.55</v>
      </c>
      <c r="C3489" s="1">
        <f>value(AUD!$B3489)</f>
        <v>0</v>
      </c>
      <c r="D3489" s="1">
        <f>value(EUR!$B3489)</f>
        <v>15123</v>
      </c>
      <c r="E3489" s="1">
        <f>value(GBP!$B3489)</f>
        <v>17916.44</v>
      </c>
      <c r="F3489" s="1">
        <f>value(CHF!$B3489)</f>
        <v>14972.16</v>
      </c>
      <c r="G3489" s="1">
        <f>value(SGD!$B3489)</f>
        <v>11400.41</v>
      </c>
      <c r="H3489" s="1">
        <f>value(MYR!$B3489)</f>
        <v>3373.636</v>
      </c>
      <c r="I3489" s="1">
        <f>value(THB!$B3489)</f>
        <v>449.1802</v>
      </c>
      <c r="J3489" s="1">
        <f>value(VND!$B3489)</f>
        <v>0</v>
      </c>
      <c r="K3489" s="1">
        <f>value(CNY!$B3489)</f>
        <v>0</v>
      </c>
      <c r="L3489" s="1">
        <f>value(HKD!$B3489)</f>
        <v>1844.336</v>
      </c>
      <c r="M3489" s="1">
        <f>value(TWD!$B3489)</f>
        <v>0</v>
      </c>
      <c r="N3489" s="1">
        <f>value(JPY!$B3489)</f>
        <v>126.0644</v>
      </c>
      <c r="O3489" s="1">
        <f>value(SAR!$B3489)</f>
        <v>0</v>
      </c>
      <c r="P3489" s="1">
        <f>value(AED!$B3489)</f>
        <v>0</v>
      </c>
      <c r="Q3489" s="1">
        <f>value(KWD!$B3489)</f>
        <v>0</v>
      </c>
    </row>
    <row r="3490">
      <c r="A3490" s="4">
        <f>value(USD!A3490)</f>
        <v>43855.99861</v>
      </c>
      <c r="B3490" s="1">
        <f>value(USD!B3490)</f>
        <v>13609.55</v>
      </c>
      <c r="C3490" s="1">
        <f>value(AUD!$B3490)</f>
        <v>0</v>
      </c>
      <c r="D3490" s="1">
        <f>value(EUR!$B3490)</f>
        <v>14565</v>
      </c>
      <c r="E3490" s="1">
        <f>value(GBP!$B3490)</f>
        <v>17260.18</v>
      </c>
      <c r="F3490" s="1">
        <f>value(CHF!$B3490)</f>
        <v>14972.16</v>
      </c>
      <c r="G3490" s="1">
        <f>value(SGD!$B3490)</f>
        <v>11292.75</v>
      </c>
      <c r="H3490" s="1">
        <f>value(MYR!$B3490)</f>
        <v>3249.593</v>
      </c>
      <c r="I3490" s="1">
        <f>value(THB!$B3490)</f>
        <v>430.3951</v>
      </c>
      <c r="J3490" s="1">
        <f>value(VND!$B3490)</f>
        <v>0</v>
      </c>
      <c r="K3490" s="1">
        <f>value(CNY!$B3490)</f>
        <v>0</v>
      </c>
      <c r="L3490" s="1">
        <f>value(HKD!$B3490)</f>
        <v>1844.336</v>
      </c>
      <c r="M3490" s="1">
        <f>value(TWD!$B3490)</f>
        <v>0</v>
      </c>
      <c r="N3490" s="1">
        <f>value(JPY!$B3490)</f>
        <v>121.3346</v>
      </c>
      <c r="O3490" s="1">
        <f>value(SAR!$B3490)</f>
        <v>0</v>
      </c>
      <c r="P3490" s="1">
        <f>value(AED!$B3490)</f>
        <v>0</v>
      </c>
      <c r="Q3490" s="1">
        <f>value(KWD!$B3490)</f>
        <v>0</v>
      </c>
    </row>
    <row r="3491">
      <c r="A3491" s="4">
        <f>value(USD!A3491)</f>
        <v>43856.99861</v>
      </c>
      <c r="B3491" s="1">
        <f>value(USD!B3491)</f>
        <v>13716.51</v>
      </c>
      <c r="C3491" s="1">
        <f>value(AUD!$B3491)</f>
        <v>0</v>
      </c>
      <c r="D3491" s="1">
        <f>value(EUR!$B3491)</f>
        <v>15000</v>
      </c>
      <c r="E3491" s="1">
        <f>value(GBP!$B3491)</f>
        <v>17724.42</v>
      </c>
      <c r="F3491" s="1">
        <f>value(CHF!$B3491)</f>
        <v>16144.5</v>
      </c>
      <c r="G3491" s="1">
        <f>value(SGD!$B3491)</f>
        <v>11527.26</v>
      </c>
      <c r="H3491" s="1">
        <f>value(MYR!$B3491)</f>
        <v>3333.704</v>
      </c>
      <c r="I3491" s="1">
        <f>value(THB!$B3491)</f>
        <v>442.4518</v>
      </c>
      <c r="J3491" s="1">
        <f>value(VND!$B3491)</f>
        <v>0</v>
      </c>
      <c r="K3491" s="1">
        <f>value(CNY!$B3491)</f>
        <v>0</v>
      </c>
      <c r="L3491" s="1">
        <f>value(HKD!$B3491)</f>
        <v>1844.336</v>
      </c>
      <c r="M3491" s="1">
        <f>value(TWD!$B3491)</f>
        <v>0</v>
      </c>
      <c r="N3491" s="1">
        <f>value(JPY!$B3491)</f>
        <v>124.6955</v>
      </c>
      <c r="O3491" s="1">
        <f>value(SAR!$B3491)</f>
        <v>0</v>
      </c>
      <c r="P3491" s="1">
        <f>value(AED!$B3491)</f>
        <v>0</v>
      </c>
      <c r="Q3491" s="1">
        <f>value(KWD!$B3491)</f>
        <v>0</v>
      </c>
    </row>
    <row r="3492">
      <c r="A3492" s="4">
        <f>value(USD!A3492)</f>
        <v>43857.99861</v>
      </c>
      <c r="B3492" s="1">
        <f>value(USD!B3492)</f>
        <v>13217.78</v>
      </c>
      <c r="C3492" s="1">
        <f>value(AUD!$B3492)</f>
        <v>0</v>
      </c>
      <c r="D3492" s="1">
        <f>value(EUR!$B3492)</f>
        <v>14999</v>
      </c>
      <c r="E3492" s="1">
        <f>value(GBP!$B3492)</f>
        <v>17732.98</v>
      </c>
      <c r="F3492" s="1">
        <f>value(CHF!$B3492)</f>
        <v>16144.5</v>
      </c>
      <c r="G3492" s="1">
        <f>value(SGD!$B3492)</f>
        <v>11539.71</v>
      </c>
      <c r="H3492" s="1">
        <f>value(MYR!$B3492)</f>
        <v>3341.502</v>
      </c>
      <c r="I3492" s="1">
        <f>value(THB!$B3492)</f>
        <v>439.5054</v>
      </c>
      <c r="J3492" s="1">
        <f>value(VND!$B3492)</f>
        <v>0</v>
      </c>
      <c r="K3492" s="1">
        <f>value(CNY!$B3492)</f>
        <v>0</v>
      </c>
      <c r="L3492" s="1">
        <f>value(HKD!$B3492)</f>
        <v>1844.336</v>
      </c>
      <c r="M3492" s="1">
        <f>value(TWD!$B3492)</f>
        <v>0</v>
      </c>
      <c r="N3492" s="1">
        <f>value(JPY!$B3492)</f>
        <v>124.9495</v>
      </c>
      <c r="O3492" s="1">
        <f>value(SAR!$B3492)</f>
        <v>0</v>
      </c>
      <c r="P3492" s="1">
        <f>value(AED!$B3492)</f>
        <v>0</v>
      </c>
      <c r="Q3492" s="1">
        <f>value(KWD!$B3492)</f>
        <v>0</v>
      </c>
    </row>
    <row r="3493">
      <c r="A3493" s="4">
        <f>value(USD!A3493)</f>
        <v>43858.99861</v>
      </c>
      <c r="B3493" s="1">
        <f>value(USD!B3493)</f>
        <v>13637</v>
      </c>
      <c r="C3493" s="1">
        <f>value(AUD!$B3493)</f>
        <v>0</v>
      </c>
      <c r="D3493" s="1">
        <f>value(EUR!$B3493)</f>
        <v>15054</v>
      </c>
      <c r="E3493" s="1">
        <f>value(GBP!$B3493)</f>
        <v>17858.71</v>
      </c>
      <c r="F3493" s="1">
        <f>value(CHF!$B3493)</f>
        <v>16144.5</v>
      </c>
      <c r="G3493" s="1">
        <f>value(SGD!$B3493)</f>
        <v>11951.55</v>
      </c>
      <c r="H3493" s="1">
        <f>value(MYR!$B3493)</f>
        <v>3340.73</v>
      </c>
      <c r="I3493" s="1">
        <f>value(THB!$B3493)</f>
        <v>438.5725</v>
      </c>
      <c r="J3493" s="1">
        <f>value(VND!$B3493)</f>
        <v>0</v>
      </c>
      <c r="K3493" s="1">
        <f>value(CNY!$B3493)</f>
        <v>0</v>
      </c>
      <c r="L3493" s="1">
        <f>value(HKD!$B3493)</f>
        <v>1844.336</v>
      </c>
      <c r="M3493" s="1">
        <f>value(TWD!$B3493)</f>
        <v>0</v>
      </c>
      <c r="N3493" s="1">
        <f>value(JPY!$B3493)</f>
        <v>125.3628</v>
      </c>
      <c r="O3493" s="1">
        <f>value(SAR!$B3493)</f>
        <v>0</v>
      </c>
      <c r="P3493" s="1">
        <f>value(AED!$B3493)</f>
        <v>0</v>
      </c>
      <c r="Q3493" s="1">
        <f>value(KWD!$B3493)</f>
        <v>0</v>
      </c>
    </row>
    <row r="3494">
      <c r="A3494" s="4">
        <f>value(USD!A3494)</f>
        <v>43859.99861</v>
      </c>
      <c r="B3494" s="1">
        <f>value(USD!B3494)</f>
        <v>13657.5</v>
      </c>
      <c r="C3494" s="1">
        <f>value(AUD!$B3494)</f>
        <v>0</v>
      </c>
      <c r="D3494" s="1">
        <f>value(EUR!$B3494)</f>
        <v>15130</v>
      </c>
      <c r="E3494" s="1">
        <f>value(GBP!$B3494)</f>
        <v>18005.47</v>
      </c>
      <c r="F3494" s="1">
        <f>value(CHF!$B3494)</f>
        <v>16144.5</v>
      </c>
      <c r="G3494" s="1">
        <f>value(SGD!$B3494)</f>
        <v>11777.25</v>
      </c>
      <c r="H3494" s="1">
        <f>value(MYR!$B3494)</f>
        <v>3345.051</v>
      </c>
      <c r="I3494" s="1">
        <f>value(THB!$B3494)</f>
        <v>436.9801</v>
      </c>
      <c r="J3494" s="1">
        <f>value(VND!$B3494)</f>
        <v>0</v>
      </c>
      <c r="K3494" s="1">
        <f>value(CNY!$B3494)</f>
        <v>0</v>
      </c>
      <c r="L3494" s="1">
        <f>value(HKD!$B3494)</f>
        <v>1844.336</v>
      </c>
      <c r="M3494" s="1">
        <f>value(TWD!$B3494)</f>
        <v>0</v>
      </c>
      <c r="N3494" s="1">
        <f>value(JPY!$B3494)</f>
        <v>125.8142</v>
      </c>
      <c r="O3494" s="1">
        <f>value(SAR!$B3494)</f>
        <v>0</v>
      </c>
      <c r="P3494" s="1">
        <f>value(AED!$B3494)</f>
        <v>0</v>
      </c>
      <c r="Q3494" s="1">
        <f>value(KWD!$B3494)</f>
        <v>0</v>
      </c>
    </row>
    <row r="3495">
      <c r="A3495" s="4">
        <f>value(USD!A3495)</f>
        <v>43860.99861</v>
      </c>
      <c r="B3495" s="1">
        <f>value(USD!B3495)</f>
        <v>13647.71</v>
      </c>
      <c r="C3495" s="1">
        <f>value(AUD!$B3495)</f>
        <v>0</v>
      </c>
      <c r="D3495" s="1">
        <f>value(EUR!$B3495)</f>
        <v>15130</v>
      </c>
      <c r="E3495" s="1">
        <f>value(GBP!$B3495)</f>
        <v>18005.47</v>
      </c>
      <c r="F3495" s="1">
        <f>value(CHF!$B3495)</f>
        <v>16144.5</v>
      </c>
      <c r="G3495" s="1">
        <f>value(SGD!$B3495)</f>
        <v>11417.75</v>
      </c>
      <c r="H3495" s="1">
        <f>value(MYR!$B3495)</f>
        <v>3345.051</v>
      </c>
      <c r="I3495" s="1">
        <f>value(THB!$B3495)</f>
        <v>436.9801</v>
      </c>
      <c r="J3495" s="1">
        <f>value(VND!$B3495)</f>
        <v>0</v>
      </c>
      <c r="K3495" s="1">
        <f>value(CNY!$B3495)</f>
        <v>0</v>
      </c>
      <c r="L3495" s="1">
        <f>value(HKD!$B3495)</f>
        <v>1844.336</v>
      </c>
      <c r="M3495" s="1">
        <f>value(TWD!$B3495)</f>
        <v>0</v>
      </c>
      <c r="N3495" s="1">
        <f>value(JPY!$B3495)</f>
        <v>125.8142</v>
      </c>
      <c r="O3495" s="1">
        <f>value(SAR!$B3495)</f>
        <v>0</v>
      </c>
      <c r="P3495" s="1">
        <f>value(AED!$B3495)</f>
        <v>0</v>
      </c>
      <c r="Q3495" s="1">
        <f>value(KWD!$B3495)</f>
        <v>0</v>
      </c>
    </row>
    <row r="3496">
      <c r="A3496" s="4">
        <f>value(USD!A3496)</f>
        <v>43861.99861</v>
      </c>
      <c r="B3496" s="1">
        <f>value(USD!B3496)</f>
        <v>13772.2</v>
      </c>
      <c r="C3496" s="1">
        <f>value(AUD!$B3496)</f>
        <v>0</v>
      </c>
      <c r="D3496" s="1">
        <f>value(EUR!$B3496)</f>
        <v>15130</v>
      </c>
      <c r="E3496" s="1">
        <f>value(GBP!$B3496)</f>
        <v>17984.29</v>
      </c>
      <c r="F3496" s="1">
        <f>value(CHF!$B3496)</f>
        <v>16144.5</v>
      </c>
      <c r="G3496" s="1">
        <f>value(SGD!$B3496)</f>
        <v>11417.75</v>
      </c>
      <c r="H3496" s="1">
        <f>value(MYR!$B3496)</f>
        <v>3345.051</v>
      </c>
      <c r="I3496" s="1">
        <f>value(THB!$B3496)</f>
        <v>436.9801</v>
      </c>
      <c r="J3496" s="1">
        <f>value(VND!$B3496)</f>
        <v>0</v>
      </c>
      <c r="K3496" s="1">
        <f>value(CNY!$B3496)</f>
        <v>0</v>
      </c>
      <c r="L3496" s="1">
        <f>value(HKD!$B3496)</f>
        <v>1844.336</v>
      </c>
      <c r="M3496" s="1">
        <f>value(TWD!$B3496)</f>
        <v>0</v>
      </c>
      <c r="N3496" s="1">
        <f>value(JPY!$B3496)</f>
        <v>125.8929</v>
      </c>
      <c r="O3496" s="1">
        <f>value(SAR!$B3496)</f>
        <v>0</v>
      </c>
      <c r="P3496" s="1">
        <f>value(AED!$B3496)</f>
        <v>0</v>
      </c>
      <c r="Q3496" s="1">
        <f>value(KWD!$B3496)</f>
        <v>0</v>
      </c>
    </row>
    <row r="3497">
      <c r="A3497" s="4">
        <f>value(USD!A3497)</f>
        <v>43862.99861</v>
      </c>
      <c r="B3497" s="1">
        <f>value(USD!B3497)</f>
        <v>13772.2</v>
      </c>
      <c r="C3497" s="1">
        <f>value(AUD!$B3497)</f>
        <v>0</v>
      </c>
      <c r="D3497" s="1">
        <f>value(EUR!$B3497)</f>
        <v>15202.64</v>
      </c>
      <c r="E3497" s="1">
        <f>value(GBP!$B3497)</f>
        <v>17860.66</v>
      </c>
      <c r="F3497" s="1">
        <f>value(CHF!$B3497)</f>
        <v>16144.5</v>
      </c>
      <c r="G3497" s="1">
        <f>value(SGD!$B3497)</f>
        <v>11408.63</v>
      </c>
      <c r="H3497" s="1">
        <f>value(MYR!$B3497)</f>
        <v>3339.992</v>
      </c>
      <c r="I3497" s="1">
        <f>value(THB!$B3497)</f>
        <v>442.2072</v>
      </c>
      <c r="J3497" s="1">
        <f>value(VND!$B3497)</f>
        <v>0</v>
      </c>
      <c r="K3497" s="1">
        <f>value(CNY!$B3497)</f>
        <v>0</v>
      </c>
      <c r="L3497" s="1">
        <f>value(HKD!$B3497)</f>
        <v>1844.336</v>
      </c>
      <c r="M3497" s="1">
        <f>value(TWD!$B3497)</f>
        <v>0</v>
      </c>
      <c r="N3497" s="1">
        <f>value(JPY!$B3497)</f>
        <v>126.5131</v>
      </c>
      <c r="O3497" s="1">
        <f>value(SAR!$B3497)</f>
        <v>0</v>
      </c>
      <c r="P3497" s="1">
        <f>value(AED!$B3497)</f>
        <v>0</v>
      </c>
      <c r="Q3497" s="1">
        <f>value(KWD!$B3497)</f>
        <v>0</v>
      </c>
    </row>
    <row r="3498">
      <c r="A3498" s="4">
        <f>value(USD!A3498)</f>
        <v>43863.99861</v>
      </c>
      <c r="B3498" s="1">
        <f>value(USD!B3498)</f>
        <v>13637.63</v>
      </c>
      <c r="C3498" s="1">
        <f>value(AUD!$B3498)</f>
        <v>0</v>
      </c>
      <c r="D3498" s="1">
        <f>value(EUR!$B3498)</f>
        <v>15139</v>
      </c>
      <c r="E3498" s="1">
        <f>value(GBP!$B3498)</f>
        <v>17861.12</v>
      </c>
      <c r="F3498" s="1">
        <f>value(CHF!$B3498)</f>
        <v>16144.5</v>
      </c>
      <c r="G3498" s="1">
        <f>value(SGD!$B3498)</f>
        <v>11628.01</v>
      </c>
      <c r="H3498" s="1">
        <f>value(MYR!$B3498)</f>
        <v>3331.353</v>
      </c>
      <c r="I3498" s="1">
        <f>value(THB!$B3498)</f>
        <v>442.415</v>
      </c>
      <c r="J3498" s="1">
        <f>value(VND!$B3498)</f>
        <v>0</v>
      </c>
      <c r="K3498" s="1">
        <f>value(CNY!$B3498)</f>
        <v>0</v>
      </c>
      <c r="L3498" s="1">
        <f>value(HKD!$B3498)</f>
        <v>1844.336</v>
      </c>
      <c r="M3498" s="1">
        <f>value(TWD!$B3498)</f>
        <v>0</v>
      </c>
      <c r="N3498" s="1">
        <f>value(JPY!$B3498)</f>
        <v>125.2342</v>
      </c>
      <c r="O3498" s="1">
        <f>value(SAR!$B3498)</f>
        <v>0</v>
      </c>
      <c r="P3498" s="1">
        <f>value(AED!$B3498)</f>
        <v>0</v>
      </c>
      <c r="Q3498" s="1">
        <f>value(KWD!$B3498)</f>
        <v>0</v>
      </c>
    </row>
    <row r="3499">
      <c r="A3499" s="4">
        <f>value(USD!A3499)</f>
        <v>43864.99861</v>
      </c>
      <c r="B3499" s="1">
        <f>value(USD!B3499)</f>
        <v>13738</v>
      </c>
      <c r="C3499" s="1">
        <f>value(AUD!$B3499)</f>
        <v>0</v>
      </c>
      <c r="D3499" s="1">
        <f>value(EUR!$B3499)</f>
        <v>15040</v>
      </c>
      <c r="E3499" s="1">
        <f>value(GBP!$B3499)</f>
        <v>17766.23</v>
      </c>
      <c r="F3499" s="1">
        <f>value(CHF!$B3499)</f>
        <v>16144.5</v>
      </c>
      <c r="G3499" s="1">
        <f>value(SGD!$B3499)</f>
        <v>11409.72</v>
      </c>
      <c r="H3499" s="1">
        <f>value(MYR!$B3499)</f>
        <v>3314.454</v>
      </c>
      <c r="I3499" s="1">
        <f>value(THB!$B3499)</f>
        <v>441.3404</v>
      </c>
      <c r="J3499" s="1">
        <f>value(VND!$B3499)</f>
        <v>0</v>
      </c>
      <c r="K3499" s="1">
        <f>value(CNY!$B3499)</f>
        <v>0</v>
      </c>
      <c r="L3499" s="1">
        <f>value(HKD!$B3499)</f>
        <v>1844.336</v>
      </c>
      <c r="M3499" s="1">
        <f>value(TWD!$B3499)</f>
        <v>0</v>
      </c>
      <c r="N3499" s="1">
        <f>value(JPY!$B3499)</f>
        <v>124.5059</v>
      </c>
      <c r="O3499" s="1">
        <f>value(SAR!$B3499)</f>
        <v>0</v>
      </c>
      <c r="P3499" s="1">
        <f>value(AED!$B3499)</f>
        <v>0</v>
      </c>
      <c r="Q3499" s="1">
        <f>value(KWD!$B3499)</f>
        <v>0</v>
      </c>
    </row>
    <row r="3500">
      <c r="A3500" s="4">
        <f>value(USD!A3500)</f>
        <v>43865.99861</v>
      </c>
      <c r="B3500" s="1">
        <f>value(USD!B3500)</f>
        <v>13706.93</v>
      </c>
      <c r="C3500" s="1">
        <f>value(AUD!$B3500)</f>
        <v>0</v>
      </c>
      <c r="D3500" s="1">
        <f>value(EUR!$B3500)</f>
        <v>14982.48</v>
      </c>
      <c r="E3500" s="1">
        <f>value(GBP!$B3500)</f>
        <v>17641.39</v>
      </c>
      <c r="F3500" s="1">
        <f>value(CHF!$B3500)</f>
        <v>16144.5</v>
      </c>
      <c r="G3500" s="1">
        <f>value(SGD!$B3500)</f>
        <v>11401.14</v>
      </c>
      <c r="H3500" s="1">
        <f>value(MYR!$B3500)</f>
        <v>3303.816</v>
      </c>
      <c r="I3500" s="1">
        <f>value(THB!$B3500)</f>
        <v>437.8921</v>
      </c>
      <c r="J3500" s="1">
        <f>value(VND!$B3500)</f>
        <v>0</v>
      </c>
      <c r="K3500" s="1">
        <f>value(CNY!$B3500)</f>
        <v>0</v>
      </c>
      <c r="L3500" s="1">
        <f>value(HKD!$B3500)</f>
        <v>1844.336</v>
      </c>
      <c r="M3500" s="1">
        <f>value(TWD!$B3500)</f>
        <v>0</v>
      </c>
      <c r="N3500" s="1">
        <f>value(JPY!$B3500)</f>
        <v>124.0708</v>
      </c>
      <c r="O3500" s="1">
        <f>value(SAR!$B3500)</f>
        <v>0</v>
      </c>
      <c r="P3500" s="1">
        <f>value(AED!$B3500)</f>
        <v>0</v>
      </c>
      <c r="Q3500" s="1">
        <f>value(KWD!$B3500)</f>
        <v>0</v>
      </c>
    </row>
    <row r="3501">
      <c r="A3501" s="4">
        <f>value(USD!A3501)</f>
        <v>43866.99861</v>
      </c>
      <c r="B3501" s="1">
        <f>value(USD!B3501)</f>
        <v>13672.81</v>
      </c>
      <c r="C3501" s="1">
        <f>value(AUD!$B3501)</f>
        <v>0</v>
      </c>
      <c r="D3501" s="1">
        <f>value(EUR!$B3501)</f>
        <v>14975</v>
      </c>
      <c r="E3501" s="1">
        <f>value(GBP!$B3501)</f>
        <v>17628.02</v>
      </c>
      <c r="F3501" s="1">
        <f>value(CHF!$B3501)</f>
        <v>16144.5</v>
      </c>
      <c r="G3501" s="1">
        <f>value(SGD!$B3501)</f>
        <v>11225.39</v>
      </c>
      <c r="H3501" s="1">
        <f>value(MYR!$B3501)</f>
        <v>3303.552</v>
      </c>
      <c r="I3501" s="1">
        <f>value(THB!$B3501)</f>
        <v>436.7035</v>
      </c>
      <c r="J3501" s="1">
        <f>value(VND!$B3501)</f>
        <v>0</v>
      </c>
      <c r="K3501" s="1">
        <f>value(CNY!$B3501)</f>
        <v>0</v>
      </c>
      <c r="L3501" s="1">
        <f>value(HKD!$B3501)</f>
        <v>1844.336</v>
      </c>
      <c r="M3501" s="1">
        <f>value(TWD!$B3501)</f>
        <v>0</v>
      </c>
      <c r="N3501" s="1">
        <f>value(JPY!$B3501)</f>
        <v>124.6359</v>
      </c>
      <c r="O3501" s="1">
        <f>value(SAR!$B3501)</f>
        <v>0</v>
      </c>
      <c r="P3501" s="1">
        <f>value(AED!$B3501)</f>
        <v>0</v>
      </c>
      <c r="Q3501" s="1">
        <f>value(KWD!$B3501)</f>
        <v>0</v>
      </c>
    </row>
    <row r="3502">
      <c r="A3502" s="4">
        <f>value(USD!A3502)</f>
        <v>43867.99861</v>
      </c>
      <c r="B3502" s="1">
        <f>value(USD!B3502)</f>
        <v>13702</v>
      </c>
      <c r="C3502" s="1">
        <f>value(AUD!$B3502)</f>
        <v>0</v>
      </c>
      <c r="D3502" s="1">
        <f>value(EUR!$B3502)</f>
        <v>14975</v>
      </c>
      <c r="E3502" s="1">
        <f>value(GBP!$B3502)</f>
        <v>17628.02</v>
      </c>
      <c r="F3502" s="1">
        <f>value(CHF!$B3502)</f>
        <v>16144.5</v>
      </c>
      <c r="G3502" s="1">
        <f>value(SGD!$B3502)</f>
        <v>11226.03</v>
      </c>
      <c r="H3502" s="1">
        <f>value(MYR!$B3502)</f>
        <v>3303.552</v>
      </c>
      <c r="I3502" s="1">
        <f>value(THB!$B3502)</f>
        <v>436.7035</v>
      </c>
      <c r="J3502" s="1">
        <f>value(VND!$B3502)</f>
        <v>0</v>
      </c>
      <c r="K3502" s="1">
        <f>value(CNY!$B3502)</f>
        <v>0</v>
      </c>
      <c r="L3502" s="1">
        <f>value(HKD!$B3502)</f>
        <v>1844.336</v>
      </c>
      <c r="M3502" s="1">
        <f>value(TWD!$B3502)</f>
        <v>0</v>
      </c>
      <c r="N3502" s="1">
        <f>value(JPY!$B3502)</f>
        <v>124.6359</v>
      </c>
      <c r="O3502" s="1">
        <f>value(SAR!$B3502)</f>
        <v>0</v>
      </c>
      <c r="P3502" s="1">
        <f>value(AED!$B3502)</f>
        <v>0</v>
      </c>
      <c r="Q3502" s="1">
        <f>value(KWD!$B3502)</f>
        <v>0</v>
      </c>
    </row>
    <row r="3503">
      <c r="A3503" s="4">
        <f>value(USD!A3503)</f>
        <v>43868.99861</v>
      </c>
      <c r="B3503" s="1">
        <f>value(USD!B3503)</f>
        <v>13681.72</v>
      </c>
      <c r="C3503" s="1">
        <f>value(AUD!$B3503)</f>
        <v>0</v>
      </c>
      <c r="D3503" s="1">
        <f>value(EUR!$B3503)</f>
        <v>14975</v>
      </c>
      <c r="E3503" s="1">
        <f>value(GBP!$B3503)</f>
        <v>17629.16</v>
      </c>
      <c r="F3503" s="1">
        <f>value(CHF!$B3503)</f>
        <v>16144.5</v>
      </c>
      <c r="G3503" s="1">
        <f>value(SGD!$B3503)</f>
        <v>11226.03</v>
      </c>
      <c r="H3503" s="1">
        <f>value(MYR!$B3503)</f>
        <v>3303.552</v>
      </c>
      <c r="I3503" s="1">
        <f>value(THB!$B3503)</f>
        <v>436.7035</v>
      </c>
      <c r="J3503" s="1">
        <f>value(VND!$B3503)</f>
        <v>0</v>
      </c>
      <c r="K3503" s="1">
        <f>value(CNY!$B3503)</f>
        <v>0</v>
      </c>
      <c r="L3503" s="1">
        <f>value(HKD!$B3503)</f>
        <v>1844.336</v>
      </c>
      <c r="M3503" s="1">
        <f>value(TWD!$B3503)</f>
        <v>0</v>
      </c>
      <c r="N3503" s="1">
        <f>value(JPY!$B3503)</f>
        <v>124.7433</v>
      </c>
      <c r="O3503" s="1">
        <f>value(SAR!$B3503)</f>
        <v>0</v>
      </c>
      <c r="P3503" s="1">
        <f>value(AED!$B3503)</f>
        <v>0</v>
      </c>
      <c r="Q3503" s="1">
        <f>value(KWD!$B3503)</f>
        <v>0</v>
      </c>
    </row>
    <row r="3504">
      <c r="A3504" s="4">
        <f>value(USD!A3504)</f>
        <v>43869.99861</v>
      </c>
      <c r="B3504" s="1">
        <f>value(USD!B3504)</f>
        <v>13681.72</v>
      </c>
      <c r="C3504" s="1">
        <f>value(AUD!$B3504)</f>
        <v>0</v>
      </c>
      <c r="D3504" s="1">
        <f>value(EUR!$B3504)</f>
        <v>14955</v>
      </c>
      <c r="E3504" s="1">
        <f>value(GBP!$B3504)</f>
        <v>17703.46</v>
      </c>
      <c r="F3504" s="1">
        <f>value(CHF!$B3504)</f>
        <v>16144.5</v>
      </c>
      <c r="G3504" s="1">
        <f>value(SGD!$B3504)</f>
        <v>11174.1</v>
      </c>
      <c r="H3504" s="1">
        <f>value(MYR!$B3504)</f>
        <v>3293.472</v>
      </c>
      <c r="I3504" s="1">
        <f>value(THB!$B3504)</f>
        <v>437.6774</v>
      </c>
      <c r="J3504" s="1">
        <f>value(VND!$B3504)</f>
        <v>0</v>
      </c>
      <c r="K3504" s="1">
        <f>value(CNY!$B3504)</f>
        <v>0</v>
      </c>
      <c r="L3504" s="1">
        <f>value(HKD!$B3504)</f>
        <v>1844.336</v>
      </c>
      <c r="M3504" s="1">
        <f>value(TWD!$B3504)</f>
        <v>0</v>
      </c>
      <c r="N3504" s="1">
        <f>value(JPY!$B3504)</f>
        <v>124.8669</v>
      </c>
      <c r="O3504" s="1">
        <f>value(SAR!$B3504)</f>
        <v>0</v>
      </c>
      <c r="P3504" s="1">
        <f>value(AED!$B3504)</f>
        <v>0</v>
      </c>
      <c r="Q3504" s="1">
        <f>value(KWD!$B3504)</f>
        <v>0</v>
      </c>
    </row>
    <row r="3505">
      <c r="A3505" s="4">
        <f>value(USD!A3505)</f>
        <v>43870.99861</v>
      </c>
      <c r="B3505" s="1">
        <f>value(USD!B3505)</f>
        <v>13680.42</v>
      </c>
      <c r="C3505" s="1">
        <f>value(AUD!$B3505)</f>
        <v>0</v>
      </c>
      <c r="D3505" s="1">
        <f>value(EUR!$B3505)</f>
        <v>14917</v>
      </c>
      <c r="E3505" s="1">
        <f>value(GBP!$B3505)</f>
        <v>17700.18</v>
      </c>
      <c r="F3505" s="1">
        <f>value(CHF!$B3505)</f>
        <v>16144.5</v>
      </c>
      <c r="G3505" s="1">
        <f>value(SGD!$B3505)</f>
        <v>11209.6</v>
      </c>
      <c r="H3505" s="1">
        <f>value(MYR!$B3505)</f>
        <v>3306.586</v>
      </c>
      <c r="I3505" s="1">
        <f>value(THB!$B3505)</f>
        <v>437.7825</v>
      </c>
      <c r="J3505" s="1">
        <f>value(VND!$B3505)</f>
        <v>0</v>
      </c>
      <c r="K3505" s="1">
        <f>value(CNY!$B3505)</f>
        <v>0</v>
      </c>
      <c r="L3505" s="1">
        <f>value(HKD!$B3505)</f>
        <v>1844.336</v>
      </c>
      <c r="M3505" s="1">
        <f>value(TWD!$B3505)</f>
        <v>0</v>
      </c>
      <c r="N3505" s="1">
        <f>value(JPY!$B3505)</f>
        <v>124.3705</v>
      </c>
      <c r="O3505" s="1">
        <f>value(SAR!$B3505)</f>
        <v>0</v>
      </c>
      <c r="P3505" s="1">
        <f>value(AED!$B3505)</f>
        <v>0</v>
      </c>
      <c r="Q3505" s="1">
        <f>value(KWD!$B3505)</f>
        <v>0</v>
      </c>
    </row>
    <row r="3506">
      <c r="A3506" s="4">
        <f>value(USD!A3506)</f>
        <v>43871.99861</v>
      </c>
      <c r="B3506" s="1">
        <f>value(USD!B3506)</f>
        <v>13705.58</v>
      </c>
      <c r="C3506" s="1">
        <f>value(AUD!$B3506)</f>
        <v>0</v>
      </c>
      <c r="D3506" s="1">
        <f>value(EUR!$B3506)</f>
        <v>14905.86</v>
      </c>
      <c r="E3506" s="1">
        <f>value(GBP!$B3506)</f>
        <v>17759.13</v>
      </c>
      <c r="F3506" s="1">
        <f>value(CHF!$B3506)</f>
        <v>16144.5</v>
      </c>
      <c r="G3506" s="1">
        <f>value(SGD!$B3506)</f>
        <v>11147.83</v>
      </c>
      <c r="H3506" s="1">
        <f>value(MYR!$B3506)</f>
        <v>3303.091</v>
      </c>
      <c r="I3506" s="1">
        <f>value(THB!$B3506)</f>
        <v>439.662</v>
      </c>
      <c r="J3506" s="1">
        <f>value(VND!$B3506)</f>
        <v>0</v>
      </c>
      <c r="K3506" s="1">
        <f>value(CNY!$B3506)</f>
        <v>0</v>
      </c>
      <c r="L3506" s="1">
        <f>value(HKD!$B3506)</f>
        <v>1844.336</v>
      </c>
      <c r="M3506" s="1">
        <f>value(TWD!$B3506)</f>
        <v>0</v>
      </c>
      <c r="N3506" s="1">
        <f>value(JPY!$B3506)</f>
        <v>124.8235</v>
      </c>
      <c r="O3506" s="1">
        <f>value(SAR!$B3506)</f>
        <v>0</v>
      </c>
      <c r="P3506" s="1">
        <f>value(AED!$B3506)</f>
        <v>0</v>
      </c>
      <c r="Q3506" s="1">
        <f>value(KWD!$B3506)</f>
        <v>0</v>
      </c>
    </row>
    <row r="3507">
      <c r="A3507" s="4">
        <f>value(USD!A3507)</f>
        <v>43872.99861</v>
      </c>
      <c r="B3507" s="1">
        <f>value(USD!B3507)</f>
        <v>13662.13</v>
      </c>
      <c r="C3507" s="1">
        <f>value(AUD!$B3507)</f>
        <v>0</v>
      </c>
      <c r="D3507" s="1">
        <f>value(EUR!$B3507)</f>
        <v>14834</v>
      </c>
      <c r="E3507" s="1">
        <f>value(GBP!$B3507)</f>
        <v>17849.71</v>
      </c>
      <c r="F3507" s="1">
        <f>value(CHF!$B3507)</f>
        <v>16144.5</v>
      </c>
      <c r="G3507" s="1">
        <f>value(SGD!$B3507)</f>
        <v>11160.81</v>
      </c>
      <c r="H3507" s="1">
        <f>value(MYR!$B3507)</f>
        <v>3298.424</v>
      </c>
      <c r="I3507" s="1">
        <f>value(THB!$B3507)</f>
        <v>439.1096</v>
      </c>
      <c r="J3507" s="1">
        <f>value(VND!$B3507)</f>
        <v>0</v>
      </c>
      <c r="K3507" s="1">
        <f>value(CNY!$B3507)</f>
        <v>0</v>
      </c>
      <c r="L3507" s="1">
        <f>value(HKD!$B3507)</f>
        <v>1844.336</v>
      </c>
      <c r="M3507" s="1">
        <f>value(TWD!$B3507)</f>
        <v>0</v>
      </c>
      <c r="N3507" s="1">
        <f>value(JPY!$B3507)</f>
        <v>124.6549</v>
      </c>
      <c r="O3507" s="1">
        <f>value(SAR!$B3507)</f>
        <v>0</v>
      </c>
      <c r="P3507" s="1">
        <f>value(AED!$B3507)</f>
        <v>0</v>
      </c>
      <c r="Q3507" s="1">
        <f>value(KWD!$B3507)</f>
        <v>0</v>
      </c>
    </row>
    <row r="3508">
      <c r="A3508" s="4">
        <f>value(USD!A3508)</f>
        <v>43873.99861</v>
      </c>
      <c r="B3508" s="1">
        <f>value(USD!B3508)</f>
        <v>13712.3</v>
      </c>
      <c r="C3508" s="1">
        <f>value(AUD!$B3508)</f>
        <v>0</v>
      </c>
      <c r="D3508" s="1">
        <f>value(EUR!$B3508)</f>
        <v>14823</v>
      </c>
      <c r="E3508" s="1">
        <f>value(GBP!$B3508)</f>
        <v>17854.73</v>
      </c>
      <c r="F3508" s="1">
        <f>value(CHF!$B3508)</f>
        <v>16144.5</v>
      </c>
      <c r="G3508" s="1">
        <f>value(SGD!$B3508)</f>
        <v>11128.9</v>
      </c>
      <c r="H3508" s="1">
        <f>value(MYR!$B3508)</f>
        <v>3303.838</v>
      </c>
      <c r="I3508" s="1">
        <f>value(THB!$B3508)</f>
        <v>438.4854</v>
      </c>
      <c r="J3508" s="1">
        <f>value(VND!$B3508)</f>
        <v>0</v>
      </c>
      <c r="K3508" s="1">
        <f>value(CNY!$B3508)</f>
        <v>0</v>
      </c>
      <c r="L3508" s="1">
        <f>value(HKD!$B3508)</f>
        <v>1844.336</v>
      </c>
      <c r="M3508" s="1">
        <f>value(TWD!$B3508)</f>
        <v>0</v>
      </c>
      <c r="N3508" s="1">
        <f>value(JPY!$B3508)</f>
        <v>124.6951</v>
      </c>
      <c r="O3508" s="1">
        <f>value(SAR!$B3508)</f>
        <v>0</v>
      </c>
      <c r="P3508" s="1">
        <f>value(AED!$B3508)</f>
        <v>0</v>
      </c>
      <c r="Q3508" s="1">
        <f>value(KWD!$B3508)</f>
        <v>0</v>
      </c>
    </row>
    <row r="3509">
      <c r="A3509" s="4">
        <f>value(USD!A3509)</f>
        <v>43874.99861</v>
      </c>
      <c r="B3509" s="1">
        <f>value(USD!B3509)</f>
        <v>13747</v>
      </c>
      <c r="C3509" s="1">
        <f>value(AUD!$B3509)</f>
        <v>0</v>
      </c>
      <c r="D3509" s="1">
        <f>value(EUR!$B3509)</f>
        <v>14823</v>
      </c>
      <c r="E3509" s="1">
        <f>value(GBP!$B3509)</f>
        <v>17854.73</v>
      </c>
      <c r="F3509" s="1">
        <f>value(CHF!$B3509)</f>
        <v>16144.5</v>
      </c>
      <c r="G3509" s="1">
        <f>value(SGD!$B3509)</f>
        <v>10945.89</v>
      </c>
      <c r="H3509" s="1">
        <f>value(MYR!$B3509)</f>
        <v>3303.838</v>
      </c>
      <c r="I3509" s="1">
        <f>value(THB!$B3509)</f>
        <v>438.4854</v>
      </c>
      <c r="J3509" s="1">
        <f>value(VND!$B3509)</f>
        <v>0</v>
      </c>
      <c r="K3509" s="1">
        <f>value(CNY!$B3509)</f>
        <v>0</v>
      </c>
      <c r="L3509" s="1">
        <f>value(HKD!$B3509)</f>
        <v>1844.336</v>
      </c>
      <c r="M3509" s="1">
        <f>value(TWD!$B3509)</f>
        <v>0</v>
      </c>
      <c r="N3509" s="1">
        <f>value(JPY!$B3509)</f>
        <v>124.6951</v>
      </c>
      <c r="O3509" s="1">
        <f>value(SAR!$B3509)</f>
        <v>0</v>
      </c>
      <c r="P3509" s="1">
        <f>value(AED!$B3509)</f>
        <v>0</v>
      </c>
      <c r="Q3509" s="1">
        <f>value(KWD!$B3509)</f>
        <v>0</v>
      </c>
    </row>
    <row r="3510">
      <c r="A3510" s="4">
        <f>value(USD!A3510)</f>
        <v>43875.99861</v>
      </c>
      <c r="B3510" s="1">
        <f>value(USD!B3510)</f>
        <v>13693.75</v>
      </c>
      <c r="C3510" s="1">
        <f>value(AUD!$B3510)</f>
        <v>0</v>
      </c>
      <c r="D3510" s="1">
        <f>value(EUR!$B3510)</f>
        <v>14823</v>
      </c>
      <c r="E3510" s="1">
        <f>value(GBP!$B3510)</f>
        <v>17844.63</v>
      </c>
      <c r="F3510" s="1">
        <f>value(CHF!$B3510)</f>
        <v>16144.5</v>
      </c>
      <c r="G3510" s="1">
        <f>value(SGD!$B3510)</f>
        <v>10945.89</v>
      </c>
      <c r="H3510" s="1">
        <f>value(MYR!$B3510)</f>
        <v>3303.838</v>
      </c>
      <c r="I3510" s="1">
        <f>value(THB!$B3510)</f>
        <v>438.4854</v>
      </c>
      <c r="J3510" s="1">
        <f>value(VND!$B3510)</f>
        <v>0</v>
      </c>
      <c r="K3510" s="1">
        <f>value(CNY!$B3510)</f>
        <v>0</v>
      </c>
      <c r="L3510" s="1">
        <f>value(HKD!$B3510)</f>
        <v>1844.336</v>
      </c>
      <c r="M3510" s="1">
        <f>value(TWD!$B3510)</f>
        <v>0</v>
      </c>
      <c r="N3510" s="1">
        <f>value(JPY!$B3510)</f>
        <v>124.5311</v>
      </c>
      <c r="O3510" s="1">
        <f>value(SAR!$B3510)</f>
        <v>0</v>
      </c>
      <c r="P3510" s="1">
        <f>value(AED!$B3510)</f>
        <v>0</v>
      </c>
      <c r="Q3510" s="1">
        <f>value(KWD!$B3510)</f>
        <v>0</v>
      </c>
    </row>
    <row r="3511">
      <c r="A3511" s="4">
        <f>value(USD!A3511)</f>
        <v>43876.99861</v>
      </c>
      <c r="B3511" s="1">
        <f>value(USD!B3511)</f>
        <v>13693.75</v>
      </c>
      <c r="C3511" s="1">
        <f>value(AUD!$B3511)</f>
        <v>0</v>
      </c>
      <c r="D3511" s="1">
        <f>value(EUR!$B3511)</f>
        <v>14796</v>
      </c>
      <c r="E3511" s="1">
        <f>value(GBP!$B3511)</f>
        <v>17756.97</v>
      </c>
      <c r="F3511" s="1">
        <f>value(CHF!$B3511)</f>
        <v>16144.5</v>
      </c>
      <c r="G3511" s="1">
        <f>value(SGD!$B3511)</f>
        <v>10835.52</v>
      </c>
      <c r="H3511" s="1">
        <f>value(MYR!$B3511)</f>
        <v>3293.269</v>
      </c>
      <c r="I3511" s="1">
        <f>value(THB!$B3511)</f>
        <v>437.7903</v>
      </c>
      <c r="J3511" s="1">
        <f>value(VND!$B3511)</f>
        <v>0</v>
      </c>
      <c r="K3511" s="1">
        <f>value(CNY!$B3511)</f>
        <v>0</v>
      </c>
      <c r="L3511" s="1">
        <f>value(HKD!$B3511)</f>
        <v>1844.336</v>
      </c>
      <c r="M3511" s="1">
        <f>value(TWD!$B3511)</f>
        <v>0</v>
      </c>
      <c r="N3511" s="1">
        <f>value(JPY!$B3511)</f>
        <v>124.3053</v>
      </c>
      <c r="O3511" s="1">
        <f>value(SAR!$B3511)</f>
        <v>0</v>
      </c>
      <c r="P3511" s="1">
        <f>value(AED!$B3511)</f>
        <v>0</v>
      </c>
      <c r="Q3511" s="1">
        <f>value(KWD!$B3511)</f>
        <v>0</v>
      </c>
    </row>
    <row r="3512">
      <c r="A3512" s="4">
        <f>value(USD!A3512)</f>
        <v>43877.99861</v>
      </c>
      <c r="B3512" s="1">
        <f>value(USD!B3512)</f>
        <v>13685.91</v>
      </c>
      <c r="C3512" s="1">
        <f>value(AUD!$B3512)</f>
        <v>0</v>
      </c>
      <c r="D3512" s="1">
        <f>value(EUR!$B3512)</f>
        <v>14748</v>
      </c>
      <c r="E3512" s="1">
        <f>value(GBP!$B3512)</f>
        <v>17756.91</v>
      </c>
      <c r="F3512" s="1">
        <f>value(CHF!$B3512)</f>
        <v>16144.5</v>
      </c>
      <c r="G3512" s="1">
        <f>value(SGD!$B3512)</f>
        <v>11061.22</v>
      </c>
      <c r="H3512" s="1">
        <f>value(MYR!$B3512)</f>
        <v>3280.249</v>
      </c>
      <c r="I3512" s="1">
        <f>value(THB!$B3512)</f>
        <v>438.003</v>
      </c>
      <c r="J3512" s="1">
        <f>value(VND!$B3512)</f>
        <v>0</v>
      </c>
      <c r="K3512" s="1">
        <f>value(CNY!$B3512)</f>
        <v>0</v>
      </c>
      <c r="L3512" s="1">
        <f>value(HKD!$B3512)</f>
        <v>1844.336</v>
      </c>
      <c r="M3512" s="1">
        <f>value(TWD!$B3512)</f>
        <v>0</v>
      </c>
      <c r="N3512" s="1">
        <f>value(JPY!$B3512)</f>
        <v>124.2853</v>
      </c>
      <c r="O3512" s="1">
        <f>value(SAR!$B3512)</f>
        <v>0</v>
      </c>
      <c r="P3512" s="1">
        <f>value(AED!$B3512)</f>
        <v>0</v>
      </c>
      <c r="Q3512" s="1">
        <f>value(KWD!$B3512)</f>
        <v>0</v>
      </c>
    </row>
    <row r="3513">
      <c r="A3513" s="4">
        <f>value(USD!A3513)</f>
        <v>43878.99861</v>
      </c>
      <c r="B3513" s="1">
        <f>value(USD!B3513)</f>
        <v>13727.5</v>
      </c>
      <c r="C3513" s="1">
        <f>value(AUD!$B3513)</f>
        <v>0</v>
      </c>
      <c r="D3513" s="1">
        <f>value(EUR!$B3513)</f>
        <v>14772</v>
      </c>
      <c r="E3513" s="1">
        <f>value(GBP!$B3513)</f>
        <v>17664.57</v>
      </c>
      <c r="F3513" s="1">
        <f>value(CHF!$B3513)</f>
        <v>16144.5</v>
      </c>
      <c r="G3513" s="1">
        <f>value(SGD!$B3513)</f>
        <v>11101.25</v>
      </c>
      <c r="H3513" s="1">
        <f>value(MYR!$B3513)</f>
        <v>3288.147</v>
      </c>
      <c r="I3513" s="1">
        <f>value(THB!$B3513)</f>
        <v>437.9614</v>
      </c>
      <c r="J3513" s="1">
        <f>value(VND!$B3513)</f>
        <v>0</v>
      </c>
      <c r="K3513" s="1">
        <f>value(CNY!$B3513)</f>
        <v>0</v>
      </c>
      <c r="L3513" s="1">
        <f>value(HKD!$B3513)</f>
        <v>1844.336</v>
      </c>
      <c r="M3513" s="1">
        <f>value(TWD!$B3513)</f>
        <v>0</v>
      </c>
      <c r="N3513" s="1">
        <f>value(JPY!$B3513)</f>
        <v>122.8543</v>
      </c>
      <c r="O3513" s="1">
        <f>value(SAR!$B3513)</f>
        <v>0</v>
      </c>
      <c r="P3513" s="1">
        <f>value(AED!$B3513)</f>
        <v>0</v>
      </c>
      <c r="Q3513" s="1">
        <f>value(KWD!$B3513)</f>
        <v>0</v>
      </c>
    </row>
    <row r="3514">
      <c r="A3514" s="4">
        <f>value(USD!A3514)</f>
        <v>43879.99861</v>
      </c>
      <c r="B3514" s="1">
        <f>value(USD!B3514)</f>
        <v>13772</v>
      </c>
      <c r="C3514" s="1">
        <f>value(AUD!$B3514)</f>
        <v>0</v>
      </c>
      <c r="D3514" s="1">
        <f>value(EUR!$B3514)</f>
        <v>14789</v>
      </c>
      <c r="E3514" s="1">
        <f>value(GBP!$B3514)</f>
        <v>17659.56</v>
      </c>
      <c r="F3514" s="1">
        <f>value(CHF!$B3514)</f>
        <v>16144.5</v>
      </c>
      <c r="G3514" s="1">
        <f>value(SGD!$B3514)</f>
        <v>11046.76</v>
      </c>
      <c r="H3514" s="1">
        <f>value(MYR!$B3514)</f>
        <v>3274.221</v>
      </c>
      <c r="I3514" s="1">
        <f>value(THB!$B3514)</f>
        <v>435.8937</v>
      </c>
      <c r="J3514" s="1">
        <f>value(VND!$B3514)</f>
        <v>0</v>
      </c>
      <c r="K3514" s="1">
        <f>value(CNY!$B3514)</f>
        <v>0</v>
      </c>
      <c r="L3514" s="1">
        <f>value(HKD!$B3514)</f>
        <v>1844.336</v>
      </c>
      <c r="M3514" s="1">
        <f>value(TWD!$B3514)</f>
        <v>0</v>
      </c>
      <c r="N3514" s="1">
        <f>value(JPY!$B3514)</f>
        <v>122.4088</v>
      </c>
      <c r="O3514" s="1">
        <f>value(SAR!$B3514)</f>
        <v>0</v>
      </c>
      <c r="P3514" s="1">
        <f>value(AED!$B3514)</f>
        <v>0</v>
      </c>
      <c r="Q3514" s="1">
        <f>value(KWD!$B3514)</f>
        <v>0</v>
      </c>
    </row>
    <row r="3515">
      <c r="A3515" s="4">
        <f>value(USD!A3515)</f>
        <v>43880.99861</v>
      </c>
      <c r="B3515" s="1">
        <f>value(USD!B3515)</f>
        <v>13667.02</v>
      </c>
      <c r="C3515" s="1">
        <f>value(AUD!$B3515)</f>
        <v>0</v>
      </c>
      <c r="D3515" s="1">
        <f>value(EUR!$B3515)</f>
        <v>14943</v>
      </c>
      <c r="E3515" s="1">
        <f>value(GBP!$B3515)</f>
        <v>17843.35</v>
      </c>
      <c r="F3515" s="1">
        <f>value(CHF!$B3515)</f>
        <v>16144.5</v>
      </c>
      <c r="G3515" s="1">
        <f>value(SGD!$B3515)</f>
        <v>11004.28</v>
      </c>
      <c r="H3515" s="1">
        <f>value(MYR!$B3515)</f>
        <v>3297.948</v>
      </c>
      <c r="I3515" s="1">
        <f>value(THB!$B3515)</f>
        <v>436.7255</v>
      </c>
      <c r="J3515" s="1">
        <f>value(VND!$B3515)</f>
        <v>0</v>
      </c>
      <c r="K3515" s="1">
        <f>value(CNY!$B3515)</f>
        <v>0</v>
      </c>
      <c r="L3515" s="1">
        <f>value(HKD!$B3515)</f>
        <v>1844.336</v>
      </c>
      <c r="M3515" s="1">
        <f>value(TWD!$B3515)</f>
        <v>0</v>
      </c>
      <c r="N3515" s="1">
        <f>value(JPY!$B3515)</f>
        <v>123.4583</v>
      </c>
      <c r="O3515" s="1">
        <f>value(SAR!$B3515)</f>
        <v>0</v>
      </c>
      <c r="P3515" s="1">
        <f>value(AED!$B3515)</f>
        <v>0</v>
      </c>
      <c r="Q3515" s="1">
        <f>value(KWD!$B3515)</f>
        <v>0</v>
      </c>
    </row>
    <row r="3516">
      <c r="A3516" s="4">
        <f>value(USD!A3516)</f>
        <v>43881.99861</v>
      </c>
      <c r="B3516" s="1">
        <f>value(USD!B3516)</f>
        <v>13708.02</v>
      </c>
      <c r="C3516" s="1">
        <f>value(AUD!$B3516)</f>
        <v>0</v>
      </c>
      <c r="D3516" s="1">
        <f>value(EUR!$B3516)</f>
        <v>14943</v>
      </c>
      <c r="E3516" s="1">
        <f>value(GBP!$B3516)</f>
        <v>17843.35</v>
      </c>
      <c r="F3516" s="1">
        <f>value(CHF!$B3516)</f>
        <v>16144.5</v>
      </c>
      <c r="G3516" s="1">
        <f>value(SGD!$B3516)</f>
        <v>10951.88</v>
      </c>
      <c r="H3516" s="1">
        <f>value(MYR!$B3516)</f>
        <v>3297.948</v>
      </c>
      <c r="I3516" s="1">
        <f>value(THB!$B3516)</f>
        <v>436.7255</v>
      </c>
      <c r="J3516" s="1">
        <f>value(VND!$B3516)</f>
        <v>0</v>
      </c>
      <c r="K3516" s="1">
        <f>value(CNY!$B3516)</f>
        <v>0</v>
      </c>
      <c r="L3516" s="1">
        <f>value(HKD!$B3516)</f>
        <v>1844.336</v>
      </c>
      <c r="M3516" s="1">
        <f>value(TWD!$B3516)</f>
        <v>0</v>
      </c>
      <c r="N3516" s="1">
        <f>value(JPY!$B3516)</f>
        <v>123.4583</v>
      </c>
      <c r="O3516" s="1">
        <f>value(SAR!$B3516)</f>
        <v>0</v>
      </c>
      <c r="P3516" s="1">
        <f>value(AED!$B3516)</f>
        <v>0</v>
      </c>
      <c r="Q3516" s="1">
        <f>value(KWD!$B3516)</f>
        <v>0</v>
      </c>
    </row>
    <row r="3517">
      <c r="A3517" s="4">
        <f>value(USD!A3517)</f>
        <v>43882.99861</v>
      </c>
      <c r="B3517" s="1">
        <f>value(USD!B3517)</f>
        <v>13775.27</v>
      </c>
      <c r="C3517" s="1">
        <f>value(AUD!$B3517)</f>
        <v>0</v>
      </c>
      <c r="D3517" s="1">
        <f>value(EUR!$B3517)</f>
        <v>14943</v>
      </c>
      <c r="E3517" s="1">
        <f>value(GBP!$B3517)</f>
        <v>17859.55</v>
      </c>
      <c r="F3517" s="1">
        <f>value(CHF!$B3517)</f>
        <v>16144.5</v>
      </c>
      <c r="G3517" s="1">
        <f>value(SGD!$B3517)</f>
        <v>10818.4</v>
      </c>
      <c r="H3517" s="1">
        <f>value(MYR!$B3517)</f>
        <v>3297.948</v>
      </c>
      <c r="I3517" s="1">
        <f>value(THB!$B3517)</f>
        <v>436.7255</v>
      </c>
      <c r="J3517" s="1">
        <f>value(VND!$B3517)</f>
        <v>0</v>
      </c>
      <c r="K3517" s="1">
        <f>value(CNY!$B3517)</f>
        <v>0</v>
      </c>
      <c r="L3517" s="1">
        <f>value(HKD!$B3517)</f>
        <v>1844.336</v>
      </c>
      <c r="M3517" s="1">
        <f>value(TWD!$B3517)</f>
        <v>0</v>
      </c>
      <c r="N3517" s="1">
        <f>value(JPY!$B3517)</f>
        <v>123.5924</v>
      </c>
      <c r="O3517" s="1">
        <f>value(SAR!$B3517)</f>
        <v>0</v>
      </c>
      <c r="P3517" s="1">
        <f>value(AED!$B3517)</f>
        <v>0</v>
      </c>
      <c r="Q3517" s="1">
        <f>value(KWD!$B3517)</f>
        <v>0</v>
      </c>
    </row>
    <row r="3518">
      <c r="A3518" s="4">
        <f>value(USD!A3518)</f>
        <v>43883.99861</v>
      </c>
      <c r="B3518" s="1">
        <f>value(USD!B3518)</f>
        <v>13775.27</v>
      </c>
      <c r="C3518" s="1">
        <f>value(AUD!$B3518)</f>
        <v>0</v>
      </c>
      <c r="D3518" s="1">
        <f>value(EUR!$B3518)</f>
        <v>15067</v>
      </c>
      <c r="E3518" s="1">
        <f>value(GBP!$B3518)</f>
        <v>17948.66</v>
      </c>
      <c r="F3518" s="1">
        <f>value(CHF!$B3518)</f>
        <v>16144.5</v>
      </c>
      <c r="G3518" s="1">
        <f>value(SGD!$B3518)</f>
        <v>10819.09</v>
      </c>
      <c r="H3518" s="1">
        <f>value(MYR!$B3518)</f>
        <v>3294.053</v>
      </c>
      <c r="I3518" s="1">
        <f>value(THB!$B3518)</f>
        <v>438.9128</v>
      </c>
      <c r="J3518" s="1">
        <f>value(VND!$B3518)</f>
        <v>0</v>
      </c>
      <c r="K3518" s="1">
        <f>value(CNY!$B3518)</f>
        <v>0</v>
      </c>
      <c r="L3518" s="1">
        <f>value(HKD!$B3518)</f>
        <v>1844.336</v>
      </c>
      <c r="M3518" s="1">
        <f>value(TWD!$B3518)</f>
        <v>0</v>
      </c>
      <c r="N3518" s="1">
        <f>value(JPY!$B3518)</f>
        <v>125.2931</v>
      </c>
      <c r="O3518" s="1">
        <f>value(SAR!$B3518)</f>
        <v>0</v>
      </c>
      <c r="P3518" s="1">
        <f>value(AED!$B3518)</f>
        <v>0</v>
      </c>
      <c r="Q3518" s="1">
        <f>value(KWD!$B3518)</f>
        <v>0</v>
      </c>
    </row>
    <row r="3519">
      <c r="A3519" s="4">
        <f>value(USD!A3519)</f>
        <v>43884.99861</v>
      </c>
      <c r="B3519" s="1">
        <f>value(USD!B3519)</f>
        <v>13776.1</v>
      </c>
      <c r="C3519" s="1">
        <f>value(AUD!$B3519)</f>
        <v>0</v>
      </c>
      <c r="D3519" s="1">
        <f>value(EUR!$B3519)</f>
        <v>15079</v>
      </c>
      <c r="E3519" s="1">
        <f>value(GBP!$B3519)</f>
        <v>18022.96</v>
      </c>
      <c r="F3519" s="1">
        <f>value(CHF!$B3519)</f>
        <v>16144.5</v>
      </c>
      <c r="G3519" s="1">
        <f>value(SGD!$B3519)</f>
        <v>11012.93</v>
      </c>
      <c r="H3519" s="1">
        <f>value(MYR!$B3519)</f>
        <v>3285.901</v>
      </c>
      <c r="I3519" s="1">
        <f>value(THB!$B3519)</f>
        <v>436.7686</v>
      </c>
      <c r="J3519" s="1">
        <f>value(VND!$B3519)</f>
        <v>0</v>
      </c>
      <c r="K3519" s="1">
        <f>value(CNY!$B3519)</f>
        <v>0</v>
      </c>
      <c r="L3519" s="1">
        <f>value(HKD!$B3519)</f>
        <v>1844.336</v>
      </c>
      <c r="M3519" s="1">
        <f>value(TWD!$B3519)</f>
        <v>0</v>
      </c>
      <c r="N3519" s="1">
        <f>value(JPY!$B3519)</f>
        <v>125.6798</v>
      </c>
      <c r="O3519" s="1">
        <f>value(SAR!$B3519)</f>
        <v>0</v>
      </c>
      <c r="P3519" s="1">
        <f>value(AED!$B3519)</f>
        <v>0</v>
      </c>
      <c r="Q3519" s="1">
        <f>value(KWD!$B3519)</f>
        <v>0</v>
      </c>
    </row>
    <row r="3520">
      <c r="A3520" s="4">
        <f>value(USD!A3520)</f>
        <v>43885.99861</v>
      </c>
      <c r="B3520" s="1">
        <f>value(USD!B3520)</f>
        <v>13884.34</v>
      </c>
      <c r="C3520" s="1">
        <f>value(AUD!$B3520)</f>
        <v>0</v>
      </c>
      <c r="D3520" s="1">
        <f>value(EUR!$B3520)</f>
        <v>15170</v>
      </c>
      <c r="E3520" s="1">
        <f>value(GBP!$B3520)</f>
        <v>17986.4</v>
      </c>
      <c r="F3520" s="1">
        <f>value(CHF!$B3520)</f>
        <v>16144.5</v>
      </c>
      <c r="G3520" s="1">
        <f>value(SGD!$B3520)</f>
        <v>0</v>
      </c>
      <c r="H3520" s="1">
        <f>value(MYR!$B3520)</f>
        <v>3298.4</v>
      </c>
      <c r="I3520" s="1">
        <f>value(THB!$B3520)</f>
        <v>437.9836</v>
      </c>
      <c r="J3520" s="1">
        <f>value(VND!$B3520)</f>
        <v>0</v>
      </c>
      <c r="K3520" s="1">
        <f>value(CNY!$B3520)</f>
        <v>0</v>
      </c>
      <c r="L3520" s="1">
        <f>value(HKD!$B3520)</f>
        <v>1844.336</v>
      </c>
      <c r="M3520" s="1">
        <f>value(TWD!$B3520)</f>
        <v>0</v>
      </c>
      <c r="N3520" s="1">
        <f>value(JPY!$B3520)</f>
        <v>126.2867</v>
      </c>
      <c r="O3520" s="1">
        <f>value(SAR!$B3520)</f>
        <v>0</v>
      </c>
      <c r="P3520" s="1">
        <f>value(AED!$B3520)</f>
        <v>0</v>
      </c>
      <c r="Q3520" s="1">
        <f>value(KWD!$B3520)</f>
        <v>0</v>
      </c>
    </row>
    <row r="3521">
      <c r="A3521" s="4">
        <f>value(USD!A3521)</f>
        <v>43886.99861</v>
      </c>
      <c r="B3521" s="1">
        <f>value(USD!B3521)</f>
        <v>14060.5</v>
      </c>
      <c r="C3521" s="1">
        <f>value(AUD!$B3521)</f>
        <v>0</v>
      </c>
      <c r="D3521" s="1">
        <f>value(EUR!$B3521)</f>
        <v>15413</v>
      </c>
      <c r="E3521" s="1">
        <f>value(GBP!$B3521)</f>
        <v>18061.76</v>
      </c>
      <c r="F3521" s="1">
        <f>value(CHF!$B3521)</f>
        <v>16144.5</v>
      </c>
      <c r="G3521" s="1">
        <f>value(SGD!$B3521)</f>
        <v>0</v>
      </c>
      <c r="H3521" s="1">
        <f>value(MYR!$B3521)</f>
        <v>3344.037</v>
      </c>
      <c r="I3521" s="1">
        <f>value(THB!$B3521)</f>
        <v>442.6606</v>
      </c>
      <c r="J3521" s="1">
        <f>value(VND!$B3521)</f>
        <v>0</v>
      </c>
      <c r="K3521" s="1">
        <f>value(CNY!$B3521)</f>
        <v>0</v>
      </c>
      <c r="L3521" s="1">
        <f>value(HKD!$B3521)</f>
        <v>1844.336</v>
      </c>
      <c r="M3521" s="1">
        <f>value(TWD!$B3521)</f>
        <v>0</v>
      </c>
      <c r="N3521" s="1">
        <f>value(JPY!$B3521)</f>
        <v>127.7984</v>
      </c>
      <c r="O3521" s="1">
        <f>value(SAR!$B3521)</f>
        <v>0</v>
      </c>
      <c r="P3521" s="1">
        <f>value(AED!$B3521)</f>
        <v>0</v>
      </c>
      <c r="Q3521" s="1">
        <f>value(KWD!$B3521)</f>
        <v>0</v>
      </c>
    </row>
    <row r="3522">
      <c r="A3522" s="4">
        <f>value(USD!A3522)</f>
        <v>43887.99861</v>
      </c>
      <c r="B3522" s="1">
        <f>value(USD!B3522)</f>
        <v>13938</v>
      </c>
      <c r="C3522" s="1">
        <f>value(AUD!$B3522)</f>
        <v>0</v>
      </c>
      <c r="D3522" s="1">
        <f>value(EUR!$B3522)</f>
        <v>15413</v>
      </c>
      <c r="E3522" s="1">
        <f>value(GBP!$B3522)</f>
        <v>17920.01</v>
      </c>
      <c r="F3522" s="1">
        <f>value(CHF!$B3522)</f>
        <v>16144.5</v>
      </c>
      <c r="G3522" s="1">
        <f>value(SGD!$B3522)</f>
        <v>0</v>
      </c>
      <c r="H3522" s="1">
        <f>value(MYR!$B3522)</f>
        <v>3324.992</v>
      </c>
      <c r="I3522" s="1">
        <f>value(THB!$B3522)</f>
        <v>443.3227</v>
      </c>
      <c r="J3522" s="1">
        <f>value(VND!$B3522)</f>
        <v>0</v>
      </c>
      <c r="K3522" s="1">
        <f>value(CNY!$B3522)</f>
        <v>0</v>
      </c>
      <c r="L3522" s="1">
        <f>value(HKD!$B3522)</f>
        <v>1844.336</v>
      </c>
      <c r="M3522" s="1">
        <f>value(TWD!$B3522)</f>
        <v>0</v>
      </c>
      <c r="N3522" s="1">
        <f>value(JPY!$B3522)</f>
        <v>129.3102</v>
      </c>
      <c r="O3522" s="1">
        <f>value(SAR!$B3522)</f>
        <v>0</v>
      </c>
      <c r="P3522" s="1">
        <f>value(AED!$B3522)</f>
        <v>0</v>
      </c>
      <c r="Q3522" s="1">
        <f>value(KWD!$B3522)</f>
        <v>0</v>
      </c>
    </row>
    <row r="3523">
      <c r="A3523" s="4">
        <f>value(USD!A3523)</f>
        <v>43888.99861</v>
      </c>
      <c r="B3523" s="1">
        <f>value(USD!B3523)</f>
        <v>14320</v>
      </c>
      <c r="C3523" s="1">
        <f>value(AUD!$B3523)</f>
        <v>0</v>
      </c>
      <c r="D3523" s="1">
        <f>value(EUR!$B3523)</f>
        <v>15413</v>
      </c>
      <c r="E3523" s="1">
        <f>value(GBP!$B3523)</f>
        <v>17920.01</v>
      </c>
      <c r="F3523" s="1">
        <f>value(CHF!$B3523)</f>
        <v>16144.5</v>
      </c>
      <c r="G3523" s="1">
        <f>value(SGD!$B3523)</f>
        <v>0</v>
      </c>
      <c r="H3523" s="1">
        <f>value(MYR!$B3523)</f>
        <v>3324.992</v>
      </c>
      <c r="I3523" s="1">
        <f>value(THB!$B3523)</f>
        <v>443.3227</v>
      </c>
      <c r="J3523" s="1">
        <f>value(VND!$B3523)</f>
        <v>0</v>
      </c>
      <c r="K3523" s="1">
        <f>value(CNY!$B3523)</f>
        <v>0</v>
      </c>
      <c r="L3523" s="1">
        <f>value(HKD!$B3523)</f>
        <v>1844.336</v>
      </c>
      <c r="M3523" s="1">
        <f>value(TWD!$B3523)</f>
        <v>0</v>
      </c>
      <c r="N3523" s="1">
        <f>value(JPY!$B3523)</f>
        <v>129.3102</v>
      </c>
      <c r="O3523" s="1">
        <f>value(SAR!$B3523)</f>
        <v>0</v>
      </c>
      <c r="P3523" s="1">
        <f>value(AED!$B3523)</f>
        <v>0</v>
      </c>
      <c r="Q3523" s="1">
        <f>value(KWD!$B3523)</f>
        <v>0</v>
      </c>
    </row>
    <row r="3524">
      <c r="A3524" s="4">
        <f>value(USD!A3524)</f>
        <v>43889.99861</v>
      </c>
      <c r="B3524" s="1">
        <f>value(USD!B3524)</f>
        <v>14314</v>
      </c>
      <c r="C3524" s="1">
        <f>value(AUD!$B3524)</f>
        <v>0</v>
      </c>
      <c r="D3524" s="1">
        <f>value(EUR!$B3524)</f>
        <v>15413</v>
      </c>
      <c r="E3524" s="1">
        <f>value(GBP!$B3524)</f>
        <v>17860.72</v>
      </c>
      <c r="F3524" s="1">
        <f>value(CHF!$B3524)</f>
        <v>16144.5</v>
      </c>
      <c r="G3524" s="1">
        <f>value(SGD!$B3524)</f>
        <v>0</v>
      </c>
      <c r="H3524" s="1">
        <f>value(MYR!$B3524)</f>
        <v>3324.992</v>
      </c>
      <c r="I3524" s="1">
        <f>value(THB!$B3524)</f>
        <v>443.3227</v>
      </c>
      <c r="J3524" s="1">
        <f>value(VND!$B3524)</f>
        <v>0</v>
      </c>
      <c r="K3524" s="1">
        <f>value(CNY!$B3524)</f>
        <v>0</v>
      </c>
      <c r="L3524" s="1">
        <f>value(HKD!$B3524)</f>
        <v>1844.336</v>
      </c>
      <c r="M3524" s="1">
        <f>value(TWD!$B3524)</f>
        <v>0</v>
      </c>
      <c r="N3524" s="1">
        <f>value(JPY!$B3524)</f>
        <v>129.4672</v>
      </c>
      <c r="O3524" s="1">
        <f>value(SAR!$B3524)</f>
        <v>0</v>
      </c>
      <c r="P3524" s="1">
        <f>value(AED!$B3524)</f>
        <v>0</v>
      </c>
      <c r="Q3524" s="1">
        <f>value(KWD!$B3524)</f>
        <v>0</v>
      </c>
    </row>
    <row r="3525">
      <c r="A3525" s="4">
        <f>value(USD!A3525)</f>
        <v>43890.99861</v>
      </c>
      <c r="B3525" s="1">
        <f>value(USD!B3525)</f>
        <v>14314</v>
      </c>
      <c r="C3525" s="1">
        <f>value(AUD!$B3525)</f>
        <v>0</v>
      </c>
      <c r="D3525" s="1">
        <f>value(EUR!$B3525)</f>
        <v>15860.97</v>
      </c>
      <c r="E3525" s="1">
        <f>value(GBP!$B3525)</f>
        <v>18166.89</v>
      </c>
      <c r="F3525" s="1">
        <f>value(CHF!$B3525)</f>
        <v>16144.5</v>
      </c>
      <c r="G3525" s="1">
        <f>value(SGD!$B3525)</f>
        <v>0</v>
      </c>
      <c r="H3525" s="1">
        <f>value(MYR!$B3525)</f>
        <v>3392.793</v>
      </c>
      <c r="I3525" s="1">
        <f>value(THB!$B3525)</f>
        <v>452.0726</v>
      </c>
      <c r="J3525" s="1">
        <f>value(VND!$B3525)</f>
        <v>0</v>
      </c>
      <c r="K3525" s="1">
        <f>value(CNY!$B3525)</f>
        <v>0</v>
      </c>
      <c r="L3525" s="1">
        <f>value(HKD!$B3525)</f>
        <v>1844.336</v>
      </c>
      <c r="M3525" s="1">
        <f>value(TWD!$B3525)</f>
        <v>0</v>
      </c>
      <c r="N3525" s="1">
        <f>value(JPY!$B3525)</f>
        <v>131.6651</v>
      </c>
      <c r="O3525" s="1">
        <f>value(SAR!$B3525)</f>
        <v>0</v>
      </c>
      <c r="P3525" s="1">
        <f>value(AED!$B3525)</f>
        <v>0</v>
      </c>
      <c r="Q3525" s="1">
        <f>value(KWD!$B3525)</f>
        <v>0</v>
      </c>
    </row>
    <row r="3526">
      <c r="A3526" s="4">
        <f>value(USD!A3526)</f>
        <v>43891.99861</v>
      </c>
      <c r="B3526" s="1">
        <f>value(USD!B3526)</f>
        <v>13976.5</v>
      </c>
      <c r="C3526" s="1">
        <f>value(AUD!$B3526)</f>
        <v>0</v>
      </c>
      <c r="D3526" s="1">
        <f>value(EUR!$B3526)</f>
        <v>15963.85</v>
      </c>
      <c r="E3526" s="1">
        <f>value(GBP!$B3526)</f>
        <v>18266.89</v>
      </c>
      <c r="F3526" s="1">
        <f>value(CHF!$B3526)</f>
        <v>16144.5</v>
      </c>
      <c r="G3526" s="1">
        <f>value(SGD!$B3526)</f>
        <v>0</v>
      </c>
      <c r="H3526" s="1">
        <f>value(MYR!$B3526)</f>
        <v>3395.102</v>
      </c>
      <c r="I3526" s="1">
        <f>value(THB!$B3526)</f>
        <v>452.6738</v>
      </c>
      <c r="J3526" s="1">
        <f>value(VND!$B3526)</f>
        <v>0</v>
      </c>
      <c r="K3526" s="1">
        <f>value(CNY!$B3526)</f>
        <v>0</v>
      </c>
      <c r="L3526" s="1">
        <f>value(HKD!$B3526)</f>
        <v>1844.336</v>
      </c>
      <c r="M3526" s="1">
        <f>value(TWD!$B3526)</f>
        <v>0</v>
      </c>
      <c r="N3526" s="1">
        <f>value(JPY!$B3526)</f>
        <v>132.3596</v>
      </c>
      <c r="O3526" s="1">
        <f>value(SAR!$B3526)</f>
        <v>0</v>
      </c>
      <c r="P3526" s="1">
        <f>value(AED!$B3526)</f>
        <v>0</v>
      </c>
      <c r="Q3526" s="1">
        <f>value(KWD!$B3526)</f>
        <v>0</v>
      </c>
    </row>
    <row r="3527">
      <c r="A3527" s="4">
        <f>value(USD!A3527)</f>
        <v>43892.99861</v>
      </c>
      <c r="B3527" s="1">
        <f>value(USD!B3527)</f>
        <v>14230</v>
      </c>
      <c r="C3527" s="1">
        <f>value(AUD!$B3527)</f>
        <v>0</v>
      </c>
      <c r="D3527" s="1">
        <f>value(EUR!$B3527)</f>
        <v>15708.6</v>
      </c>
      <c r="E3527" s="1">
        <f>value(GBP!$B3527)</f>
        <v>18359.89</v>
      </c>
      <c r="F3527" s="1">
        <f>value(CHF!$B3527)</f>
        <v>16144.5</v>
      </c>
      <c r="G3527" s="1">
        <f>value(SGD!$B3527)</f>
        <v>0</v>
      </c>
      <c r="H3527" s="1">
        <f>value(MYR!$B3527)</f>
        <v>3422.46</v>
      </c>
      <c r="I3527" s="1">
        <f>value(THB!$B3527)</f>
        <v>456.2044</v>
      </c>
      <c r="J3527" s="1">
        <f>value(VND!$B3527)</f>
        <v>0</v>
      </c>
      <c r="K3527" s="1">
        <f>value(CNY!$B3527)</f>
        <v>0</v>
      </c>
      <c r="L3527" s="1">
        <f>value(HKD!$B3527)</f>
        <v>1844.336</v>
      </c>
      <c r="M3527" s="1">
        <f>value(TWD!$B3527)</f>
        <v>0</v>
      </c>
      <c r="N3527" s="1">
        <f>value(JPY!$B3527)</f>
        <v>133.4785</v>
      </c>
      <c r="O3527" s="1">
        <f>value(SAR!$B3527)</f>
        <v>0</v>
      </c>
      <c r="P3527" s="1">
        <f>value(AED!$B3527)</f>
        <v>0</v>
      </c>
      <c r="Q3527" s="1">
        <f>value(KWD!$B3527)</f>
        <v>0</v>
      </c>
    </row>
    <row r="3528">
      <c r="A3528" s="4">
        <f>value(USD!A3528)</f>
        <v>43893.99861</v>
      </c>
      <c r="B3528" s="1">
        <f>value(USD!B3528)</f>
        <v>14199.55</v>
      </c>
      <c r="C3528" s="1">
        <f>value(AUD!$B3528)</f>
        <v>0</v>
      </c>
      <c r="D3528" s="1">
        <f>value(EUR!$B3528)</f>
        <v>15846.74</v>
      </c>
      <c r="E3528" s="1">
        <f>value(GBP!$B3528)</f>
        <v>18359.89</v>
      </c>
      <c r="F3528" s="1">
        <f>value(CHF!$B3528)</f>
        <v>16144.5</v>
      </c>
      <c r="G3528" s="1">
        <f>value(SGD!$B3528)</f>
        <v>0</v>
      </c>
      <c r="H3528" s="1">
        <f>value(MYR!$B3528)</f>
        <v>3422.46</v>
      </c>
      <c r="I3528" s="1">
        <f>value(THB!$B3528)</f>
        <v>456.2044</v>
      </c>
      <c r="J3528" s="1">
        <f>value(VND!$B3528)</f>
        <v>0</v>
      </c>
      <c r="K3528" s="1">
        <f>value(CNY!$B3528)</f>
        <v>0</v>
      </c>
      <c r="L3528" s="1">
        <f>value(HKD!$B3528)</f>
        <v>0</v>
      </c>
      <c r="M3528" s="1">
        <f>value(TWD!$B3528)</f>
        <v>0</v>
      </c>
      <c r="N3528" s="1">
        <f>value(JPY!$B3528)</f>
        <v>133.4785</v>
      </c>
      <c r="O3528" s="1">
        <f>value(SAR!$B3528)</f>
        <v>0</v>
      </c>
      <c r="P3528" s="1">
        <f>value(AED!$B3528)</f>
        <v>0</v>
      </c>
      <c r="Q3528" s="1">
        <f>value(KWD!$B3528)</f>
        <v>0</v>
      </c>
    </row>
    <row r="3529">
      <c r="A3529" s="4">
        <f>value(USD!A3529)</f>
        <v>43894.99861</v>
      </c>
      <c r="B3529" s="1">
        <f>value(USD!B3529)</f>
        <v>14160.15</v>
      </c>
      <c r="C3529" s="1">
        <f>value(AUD!$B3529)</f>
        <v>0</v>
      </c>
      <c r="D3529" s="1">
        <f>value(EUR!$B3529)</f>
        <v>16090</v>
      </c>
      <c r="E3529" s="1">
        <f>value(GBP!$B3529)</f>
        <v>18359.89</v>
      </c>
      <c r="F3529" s="1">
        <f>value(CHF!$B3529)</f>
        <v>16144.5</v>
      </c>
      <c r="G3529" s="1">
        <f>value(SGD!$B3529)</f>
        <v>0</v>
      </c>
      <c r="H3529" s="1">
        <f>value(MYR!$B3529)</f>
        <v>3422.46</v>
      </c>
      <c r="I3529" s="1">
        <f>value(THB!$B3529)</f>
        <v>456.2044</v>
      </c>
      <c r="J3529" s="1">
        <f>value(VND!$B3529)</f>
        <v>0</v>
      </c>
      <c r="K3529" s="1">
        <f>value(CNY!$B3529)</f>
        <v>0</v>
      </c>
      <c r="L3529" s="1">
        <f>value(HKD!$B3529)</f>
        <v>0</v>
      </c>
      <c r="M3529" s="1">
        <f>value(TWD!$B3529)</f>
        <v>0</v>
      </c>
      <c r="N3529" s="1">
        <f>value(JPY!$B3529)</f>
        <v>133.4785</v>
      </c>
      <c r="O3529" s="1">
        <f>value(SAR!$B3529)</f>
        <v>0</v>
      </c>
      <c r="P3529" s="1">
        <f>value(AED!$B3529)</f>
        <v>0</v>
      </c>
      <c r="Q3529" s="1">
        <f>value(KWD!$B3529)</f>
        <v>0</v>
      </c>
    </row>
    <row r="3530">
      <c r="A3530" s="4">
        <f>value(USD!A3530)</f>
        <v>43895.99861</v>
      </c>
      <c r="B3530" s="1">
        <f>value(USD!B3530)</f>
        <v>14483.5</v>
      </c>
      <c r="C3530" s="1">
        <f>value(AUD!$B3530)</f>
        <v>0</v>
      </c>
      <c r="D3530" s="1">
        <f>value(EUR!$B3530)</f>
        <v>16090</v>
      </c>
      <c r="E3530" s="1">
        <f>value(GBP!$B3530)</f>
        <v>18359.89</v>
      </c>
      <c r="F3530" s="1">
        <f>value(CHF!$B3530)</f>
        <v>16144.5</v>
      </c>
      <c r="G3530" s="1">
        <f>value(SGD!$B3530)</f>
        <v>0</v>
      </c>
      <c r="H3530" s="1">
        <f>value(MYR!$B3530)</f>
        <v>3422.46</v>
      </c>
      <c r="I3530" s="1">
        <f>value(THB!$B3530)</f>
        <v>456.2044</v>
      </c>
      <c r="J3530" s="1">
        <f>value(VND!$B3530)</f>
        <v>0</v>
      </c>
      <c r="K3530" s="1">
        <f>value(CNY!$B3530)</f>
        <v>0</v>
      </c>
      <c r="L3530" s="1">
        <f>value(HKD!$B3530)</f>
        <v>0</v>
      </c>
      <c r="M3530" s="1">
        <f>value(TWD!$B3530)</f>
        <v>0</v>
      </c>
      <c r="N3530" s="1">
        <f>value(JPY!$B3530)</f>
        <v>133.4785</v>
      </c>
      <c r="O3530" s="1">
        <f>value(SAR!$B3530)</f>
        <v>0</v>
      </c>
      <c r="P3530" s="1">
        <f>value(AED!$B3530)</f>
        <v>0</v>
      </c>
      <c r="Q3530" s="1">
        <f>value(KWD!$B3530)</f>
        <v>0</v>
      </c>
    </row>
    <row r="3531">
      <c r="A3531" s="4">
        <f>value(USD!A3531)</f>
        <v>43896.99861</v>
      </c>
      <c r="B3531" s="1">
        <f>value(USD!B3531)</f>
        <v>14253.76</v>
      </c>
      <c r="C3531" s="1">
        <f>value(AUD!$B3531)</f>
        <v>0</v>
      </c>
      <c r="D3531" s="1">
        <f>value(EUR!$B3531)</f>
        <v>16090</v>
      </c>
      <c r="E3531" s="1">
        <f>value(GBP!$B3531)</f>
        <v>18359.89</v>
      </c>
      <c r="F3531" s="1">
        <f>value(CHF!$B3531)</f>
        <v>0</v>
      </c>
      <c r="G3531" s="1">
        <f>value(SGD!$B3531)</f>
        <v>0</v>
      </c>
      <c r="H3531" s="1">
        <f>value(MYR!$B3531)</f>
        <v>3422.46</v>
      </c>
      <c r="I3531" s="1">
        <f>value(THB!$B3531)</f>
        <v>456.2044</v>
      </c>
      <c r="J3531" s="1">
        <f>value(VND!$B3531)</f>
        <v>0</v>
      </c>
      <c r="K3531" s="1">
        <f>value(CNY!$B3531)</f>
        <v>0</v>
      </c>
      <c r="L3531" s="1">
        <f>value(HKD!$B3531)</f>
        <v>0</v>
      </c>
      <c r="M3531" s="1">
        <f>value(TWD!$B3531)</f>
        <v>0</v>
      </c>
      <c r="N3531" s="1">
        <f>value(JPY!$B3531)</f>
        <v>133.4785</v>
      </c>
      <c r="O3531" s="1">
        <f>value(SAR!$B3531)</f>
        <v>0</v>
      </c>
      <c r="P3531" s="1">
        <f>value(AED!$B3531)</f>
        <v>0</v>
      </c>
      <c r="Q3531" s="1">
        <f>value(KWD!$B3531)</f>
        <v>0</v>
      </c>
    </row>
    <row r="3532">
      <c r="A3532" s="4">
        <f>value(USD!A3532)</f>
        <v>43897.99861</v>
      </c>
      <c r="B3532" s="1">
        <f>value(USD!B3532)</f>
        <v>14256.35</v>
      </c>
      <c r="C3532" s="1">
        <f>value(AUD!$B3532)</f>
        <v>0</v>
      </c>
      <c r="D3532" s="1">
        <f>value(EUR!$B3532)</f>
        <v>16090</v>
      </c>
      <c r="E3532" s="1">
        <f>value(GBP!$B3532)</f>
        <v>18359.89</v>
      </c>
      <c r="F3532" s="1">
        <f>value(CHF!$B3532)</f>
        <v>0</v>
      </c>
      <c r="G3532" s="1">
        <f>value(SGD!$B3532)</f>
        <v>0</v>
      </c>
      <c r="H3532" s="1">
        <f>value(MYR!$B3532)</f>
        <v>3422.46</v>
      </c>
      <c r="I3532" s="1">
        <f>value(THB!$B3532)</f>
        <v>456.2044</v>
      </c>
      <c r="J3532" s="1">
        <f>value(VND!$B3532)</f>
        <v>0</v>
      </c>
      <c r="K3532" s="1">
        <f>value(CNY!$B3532)</f>
        <v>0</v>
      </c>
      <c r="L3532" s="1">
        <f>value(HKD!$B3532)</f>
        <v>0</v>
      </c>
      <c r="M3532" s="1">
        <f>value(TWD!$B3532)</f>
        <v>0</v>
      </c>
      <c r="N3532" s="1">
        <f>value(JPY!$B3532)</f>
        <v>133.4785</v>
      </c>
      <c r="O3532" s="1">
        <f>value(SAR!$B3532)</f>
        <v>0</v>
      </c>
      <c r="P3532" s="1">
        <f>value(AED!$B3532)</f>
        <v>0</v>
      </c>
      <c r="Q3532" s="1">
        <f>value(KWD!$B3532)</f>
        <v>0</v>
      </c>
    </row>
    <row r="3533">
      <c r="A3533" s="4">
        <f>value(USD!A3533)</f>
        <v>43898.99861</v>
      </c>
      <c r="B3533" s="1">
        <f>value(USD!B3533)</f>
        <v>14255.97</v>
      </c>
      <c r="C3533" s="1">
        <f>value(AUD!$B3533)</f>
        <v>0</v>
      </c>
      <c r="D3533" s="1">
        <f>value(EUR!$B3533)</f>
        <v>16351</v>
      </c>
      <c r="E3533" s="1">
        <f>value(GBP!$B3533)</f>
        <v>18359.89</v>
      </c>
      <c r="F3533" s="1">
        <f>value(CHF!$B3533)</f>
        <v>0</v>
      </c>
      <c r="G3533" s="1">
        <f>value(SGD!$B3533)</f>
        <v>0</v>
      </c>
      <c r="H3533" s="1">
        <f>value(MYR!$B3533)</f>
        <v>3422.46</v>
      </c>
      <c r="I3533" s="1">
        <f>value(THB!$B3533)</f>
        <v>456.2044</v>
      </c>
      <c r="J3533" s="1">
        <f>value(VND!$B3533)</f>
        <v>0</v>
      </c>
      <c r="K3533" s="1">
        <f>value(CNY!$B3533)</f>
        <v>0</v>
      </c>
      <c r="L3533" s="1">
        <f>value(HKD!$B3533)</f>
        <v>0</v>
      </c>
      <c r="M3533" s="1">
        <f>value(TWD!$B3533)</f>
        <v>0</v>
      </c>
      <c r="N3533" s="1">
        <f>value(JPY!$B3533)</f>
        <v>133.4785</v>
      </c>
      <c r="O3533" s="1">
        <f>value(SAR!$B3533)</f>
        <v>0</v>
      </c>
      <c r="P3533" s="1">
        <f>value(AED!$B3533)</f>
        <v>0</v>
      </c>
      <c r="Q3533" s="1">
        <f>value(KWD!$B3533)</f>
        <v>0</v>
      </c>
    </row>
    <row r="3534">
      <c r="A3534" s="4">
        <f>value(USD!A3534)</f>
        <v>43899.99861</v>
      </c>
      <c r="B3534" s="1">
        <f>value(USD!B3534)</f>
        <v>14095.03</v>
      </c>
      <c r="C3534" s="1">
        <f>value(AUD!$B3534)</f>
        <v>0</v>
      </c>
      <c r="D3534" s="1">
        <f>value(EUR!$B3534)</f>
        <v>16259.44</v>
      </c>
      <c r="E3534" s="1">
        <f>value(GBP!$B3534)</f>
        <v>18359.89</v>
      </c>
      <c r="F3534" s="1">
        <f>value(CHF!$B3534)</f>
        <v>0</v>
      </c>
      <c r="G3534" s="1">
        <f>value(SGD!$B3534)</f>
        <v>0</v>
      </c>
      <c r="H3534" s="1">
        <f>value(MYR!$B3534)</f>
        <v>3422.46</v>
      </c>
      <c r="I3534" s="1">
        <f>value(THB!$B3534)</f>
        <v>456.2044</v>
      </c>
      <c r="J3534" s="1">
        <f>value(VND!$B3534)</f>
        <v>0</v>
      </c>
      <c r="K3534" s="1">
        <f>value(CNY!$B3534)</f>
        <v>0</v>
      </c>
      <c r="L3534" s="1">
        <f>value(HKD!$B3534)</f>
        <v>0</v>
      </c>
      <c r="M3534" s="1">
        <f>value(TWD!$B3534)</f>
        <v>0</v>
      </c>
      <c r="N3534" s="1">
        <f>value(JPY!$B3534)</f>
        <v>133.4785</v>
      </c>
      <c r="O3534" s="1">
        <f>value(SAR!$B3534)</f>
        <v>0</v>
      </c>
      <c r="P3534" s="1">
        <f>value(AED!$B3534)</f>
        <v>0</v>
      </c>
      <c r="Q3534" s="1">
        <f>value(KWD!$B3534)</f>
        <v>0</v>
      </c>
    </row>
    <row r="3535">
      <c r="A3535" s="4">
        <f>value(USD!A3535)</f>
        <v>43900.99861</v>
      </c>
      <c r="B3535" s="1">
        <f>value(USD!B3535)</f>
        <v>14272.95</v>
      </c>
      <c r="C3535" s="1">
        <f>value(AUD!$B3535)</f>
        <v>0</v>
      </c>
      <c r="D3535" s="1">
        <f>value(EUR!$B3535)</f>
        <v>16272</v>
      </c>
      <c r="E3535" s="1">
        <f>value(GBP!$B3535)</f>
        <v>18359.89</v>
      </c>
      <c r="F3535" s="1">
        <f>value(CHF!$B3535)</f>
        <v>0</v>
      </c>
      <c r="G3535" s="1">
        <f>value(SGD!$B3535)</f>
        <v>0</v>
      </c>
      <c r="H3535" s="1">
        <f>value(MYR!$B3535)</f>
        <v>3422.46</v>
      </c>
      <c r="I3535" s="1">
        <f>value(THB!$B3535)</f>
        <v>456.2044</v>
      </c>
      <c r="J3535" s="1">
        <f>value(VND!$B3535)</f>
        <v>0</v>
      </c>
      <c r="K3535" s="1">
        <f>value(CNY!$B3535)</f>
        <v>0</v>
      </c>
      <c r="L3535" s="1">
        <f>value(HKD!$B3535)</f>
        <v>0</v>
      </c>
      <c r="M3535" s="1">
        <f>value(TWD!$B3535)</f>
        <v>0</v>
      </c>
      <c r="N3535" s="1">
        <f>value(JPY!$B3535)</f>
        <v>133.4785</v>
      </c>
      <c r="O3535" s="1">
        <f>value(SAR!$B3535)</f>
        <v>0</v>
      </c>
      <c r="P3535" s="1">
        <f>value(AED!$B3535)</f>
        <v>0</v>
      </c>
      <c r="Q3535" s="1">
        <f>value(KWD!$B3535)</f>
        <v>0</v>
      </c>
    </row>
    <row r="3536">
      <c r="A3536" s="4">
        <f>value(USD!A3536)</f>
        <v>43901.99861</v>
      </c>
      <c r="B3536" s="1">
        <f>value(USD!B3536)</f>
        <v>14532</v>
      </c>
      <c r="C3536" s="1">
        <f>value(AUD!$B3536)</f>
        <v>0</v>
      </c>
      <c r="D3536" s="1">
        <f>value(EUR!$B3536)</f>
        <v>16315</v>
      </c>
      <c r="E3536" s="1">
        <f>value(GBP!$B3536)</f>
        <v>18359.89</v>
      </c>
      <c r="F3536" s="1">
        <f>value(CHF!$B3536)</f>
        <v>0</v>
      </c>
      <c r="G3536" s="1">
        <f>value(SGD!$B3536)</f>
        <v>0</v>
      </c>
      <c r="H3536" s="1">
        <f>value(MYR!$B3536)</f>
        <v>3422.46</v>
      </c>
      <c r="I3536" s="1">
        <f>value(THB!$B3536)</f>
        <v>456.2044</v>
      </c>
      <c r="J3536" s="1">
        <f>value(VND!$B3536)</f>
        <v>0</v>
      </c>
      <c r="K3536" s="1">
        <f>value(CNY!$B3536)</f>
        <v>0</v>
      </c>
      <c r="L3536" s="1">
        <f>value(HKD!$B3536)</f>
        <v>0</v>
      </c>
      <c r="M3536" s="1">
        <f>value(TWD!$B3536)</f>
        <v>0</v>
      </c>
      <c r="N3536" s="1">
        <f>value(JPY!$B3536)</f>
        <v>133.4785</v>
      </c>
      <c r="O3536" s="1">
        <f>value(SAR!$B3536)</f>
        <v>0</v>
      </c>
      <c r="P3536" s="1">
        <f>value(AED!$B3536)</f>
        <v>0</v>
      </c>
      <c r="Q3536" s="1">
        <f>value(KWD!$B3536)</f>
        <v>0</v>
      </c>
    </row>
    <row r="3537">
      <c r="A3537" s="4">
        <f>value(USD!A3537)</f>
        <v>43902.99861</v>
      </c>
      <c r="B3537" s="1">
        <f>value(USD!B3537)</f>
        <v>14862.5</v>
      </c>
      <c r="C3537" s="1">
        <f>value(AUD!$B3537)</f>
        <v>0</v>
      </c>
      <c r="D3537" s="1">
        <f>value(EUR!$B3537)</f>
        <v>16315</v>
      </c>
      <c r="E3537" s="1">
        <f>value(GBP!$B3537)</f>
        <v>18359.89</v>
      </c>
      <c r="F3537" s="1">
        <f>value(CHF!$B3537)</f>
        <v>0</v>
      </c>
      <c r="G3537" s="1">
        <f>value(SGD!$B3537)</f>
        <v>0</v>
      </c>
      <c r="H3537" s="1">
        <f>value(MYR!$B3537)</f>
        <v>3422.46</v>
      </c>
      <c r="I3537" s="1">
        <f>value(THB!$B3537)</f>
        <v>456.2044</v>
      </c>
      <c r="J3537" s="1">
        <f>value(VND!$B3537)</f>
        <v>0</v>
      </c>
      <c r="K3537" s="1">
        <f>value(CNY!$B3537)</f>
        <v>0</v>
      </c>
      <c r="L3537" s="1">
        <f>value(HKD!$B3537)</f>
        <v>0</v>
      </c>
      <c r="M3537" s="1">
        <f>value(TWD!$B3537)</f>
        <v>0</v>
      </c>
      <c r="N3537" s="1">
        <f>value(JPY!$B3537)</f>
        <v>133.4785</v>
      </c>
      <c r="O3537" s="1">
        <f>value(SAR!$B3537)</f>
        <v>0</v>
      </c>
      <c r="P3537" s="1">
        <f>value(AED!$B3537)</f>
        <v>0</v>
      </c>
      <c r="Q3537" s="1">
        <f>value(KWD!$B3537)</f>
        <v>0</v>
      </c>
    </row>
    <row r="3538">
      <c r="A3538" s="4">
        <f>value(USD!A3538)</f>
        <v>43903.99861</v>
      </c>
      <c r="B3538" s="1">
        <f>value(USD!B3538)</f>
        <v>14647.1</v>
      </c>
      <c r="C3538" s="1">
        <f>value(AUD!$B3538)</f>
        <v>0</v>
      </c>
      <c r="D3538" s="1">
        <f>value(EUR!$B3538)</f>
        <v>16315</v>
      </c>
      <c r="E3538" s="1">
        <f>value(GBP!$B3538)</f>
        <v>18359.89</v>
      </c>
      <c r="F3538" s="1">
        <f>value(CHF!$B3538)</f>
        <v>0</v>
      </c>
      <c r="G3538" s="1">
        <f>value(SGD!$B3538)</f>
        <v>0</v>
      </c>
      <c r="H3538" s="1">
        <f>value(MYR!$B3538)</f>
        <v>3422.46</v>
      </c>
      <c r="I3538" s="1">
        <f>value(THB!$B3538)</f>
        <v>456.2044</v>
      </c>
      <c r="J3538" s="1">
        <f>value(VND!$B3538)</f>
        <v>0</v>
      </c>
      <c r="K3538" s="1">
        <f>value(CNY!$B3538)</f>
        <v>0</v>
      </c>
      <c r="L3538" s="1">
        <f>value(HKD!$B3538)</f>
        <v>0</v>
      </c>
      <c r="M3538" s="1">
        <f>value(TWD!$B3538)</f>
        <v>0</v>
      </c>
      <c r="N3538" s="1">
        <f>value(JPY!$B3538)</f>
        <v>133.4785</v>
      </c>
      <c r="O3538" s="1">
        <f>value(SAR!$B3538)</f>
        <v>0</v>
      </c>
      <c r="P3538" s="1">
        <f>value(AED!$B3538)</f>
        <v>0</v>
      </c>
      <c r="Q3538" s="1">
        <f>value(KWD!$B3538)</f>
        <v>0</v>
      </c>
    </row>
    <row r="3539">
      <c r="A3539" s="4">
        <f>value(USD!A3539)</f>
        <v>43904.99861</v>
      </c>
      <c r="B3539" s="1">
        <f>value(USD!B3539)</f>
        <v>14647.1</v>
      </c>
      <c r="C3539" s="1">
        <f>value(AUD!$B3539)</f>
        <v>0</v>
      </c>
      <c r="D3539" s="1">
        <f>value(EUR!$B3539)</f>
        <v>16600</v>
      </c>
      <c r="E3539" s="1">
        <f>value(GBP!$B3539)</f>
        <v>18359.89</v>
      </c>
      <c r="F3539" s="1">
        <f>value(CHF!$B3539)</f>
        <v>0</v>
      </c>
      <c r="G3539" s="1">
        <f>value(SGD!$B3539)</f>
        <v>0</v>
      </c>
      <c r="H3539" s="1">
        <f>value(MYR!$B3539)</f>
        <v>3422.46</v>
      </c>
      <c r="I3539" s="1">
        <f>value(THB!$B3539)</f>
        <v>456.2044</v>
      </c>
      <c r="J3539" s="1">
        <f>value(VND!$B3539)</f>
        <v>0</v>
      </c>
      <c r="K3539" s="1">
        <f>value(CNY!$B3539)</f>
        <v>0</v>
      </c>
      <c r="L3539" s="1">
        <f>value(HKD!$B3539)</f>
        <v>0</v>
      </c>
      <c r="M3539" s="1">
        <f>value(TWD!$B3539)</f>
        <v>0</v>
      </c>
      <c r="N3539" s="1">
        <f>value(JPY!$B3539)</f>
        <v>133.4785</v>
      </c>
      <c r="O3539" s="1">
        <f>value(SAR!$B3539)</f>
        <v>0</v>
      </c>
      <c r="P3539" s="1">
        <f>value(AED!$B3539)</f>
        <v>0</v>
      </c>
      <c r="Q3539" s="1">
        <f>value(KWD!$B3539)</f>
        <v>0</v>
      </c>
    </row>
    <row r="3540">
      <c r="A3540" s="4">
        <f>value(USD!A3540)</f>
        <v>43905.99861</v>
      </c>
      <c r="B3540" s="1">
        <f>value(USD!B3540)</f>
        <v>14639.51</v>
      </c>
      <c r="C3540" s="1">
        <f>value(AUD!$B3540)</f>
        <v>0</v>
      </c>
      <c r="D3540" s="1">
        <f>value(EUR!$B3540)</f>
        <v>16706.42</v>
      </c>
      <c r="E3540" s="1">
        <f>value(GBP!$B3540)</f>
        <v>18359.89</v>
      </c>
      <c r="F3540" s="1">
        <f>value(CHF!$B3540)</f>
        <v>0</v>
      </c>
      <c r="G3540" s="1">
        <f>value(SGD!$B3540)</f>
        <v>0</v>
      </c>
      <c r="H3540" s="1">
        <f>value(MYR!$B3540)</f>
        <v>3422.46</v>
      </c>
      <c r="I3540" s="1">
        <f>value(THB!$B3540)</f>
        <v>456.2044</v>
      </c>
      <c r="J3540" s="1">
        <f>value(VND!$B3540)</f>
        <v>0</v>
      </c>
      <c r="K3540" s="1">
        <f>value(CNY!$B3540)</f>
        <v>0</v>
      </c>
      <c r="L3540" s="1">
        <f>value(HKD!$B3540)</f>
        <v>0</v>
      </c>
      <c r="M3540" s="1">
        <f>value(TWD!$B3540)</f>
        <v>0</v>
      </c>
      <c r="N3540" s="1">
        <f>value(JPY!$B3540)</f>
        <v>133.4785</v>
      </c>
      <c r="O3540" s="1">
        <f>value(SAR!$B3540)</f>
        <v>0</v>
      </c>
      <c r="P3540" s="1">
        <f>value(AED!$B3540)</f>
        <v>0</v>
      </c>
      <c r="Q3540" s="1">
        <f>value(KWD!$B3540)</f>
        <v>0</v>
      </c>
    </row>
    <row r="3541">
      <c r="A3541" s="4">
        <f>value(USD!A3541)</f>
        <v>43906.99861</v>
      </c>
      <c r="B3541" s="1">
        <f>value(USD!B3541)</f>
        <v>14877.62</v>
      </c>
      <c r="C3541" s="1">
        <f>value(AUD!$B3541)</f>
        <v>0</v>
      </c>
      <c r="D3541" s="1">
        <f>value(EUR!$B3541)</f>
        <v>16532.5</v>
      </c>
      <c r="E3541" s="1">
        <f>value(GBP!$B3541)</f>
        <v>18359.89</v>
      </c>
      <c r="F3541" s="1">
        <f>value(CHF!$B3541)</f>
        <v>0</v>
      </c>
      <c r="G3541" s="1">
        <f>value(SGD!$B3541)</f>
        <v>0</v>
      </c>
      <c r="H3541" s="1">
        <f>value(MYR!$B3541)</f>
        <v>3422.46</v>
      </c>
      <c r="I3541" s="1">
        <f>value(THB!$B3541)</f>
        <v>456.2044</v>
      </c>
      <c r="J3541" s="1">
        <f>value(VND!$B3541)</f>
        <v>0</v>
      </c>
      <c r="K3541" s="1">
        <f>value(CNY!$B3541)</f>
        <v>0</v>
      </c>
      <c r="L3541" s="1">
        <f>value(HKD!$B3541)</f>
        <v>0</v>
      </c>
      <c r="M3541" s="1">
        <f>value(TWD!$B3541)</f>
        <v>0</v>
      </c>
      <c r="N3541" s="1">
        <f>value(JPY!$B3541)</f>
        <v>133.4785</v>
      </c>
      <c r="O3541" s="1">
        <f>value(SAR!$B3541)</f>
        <v>0</v>
      </c>
      <c r="P3541" s="1">
        <f>value(AED!$B3541)</f>
        <v>0</v>
      </c>
      <c r="Q3541" s="1">
        <f>value(KWD!$B3541)</f>
        <v>0</v>
      </c>
    </row>
    <row r="3542">
      <c r="A3542" s="4">
        <f>value(USD!A3542)</f>
        <v>43907.99861</v>
      </c>
      <c r="B3542" s="1">
        <f>value(USD!B3542)</f>
        <v>15133.19</v>
      </c>
      <c r="C3542" s="1">
        <f>value(AUD!$B3542)</f>
        <v>0</v>
      </c>
      <c r="D3542" s="1">
        <f>value(EUR!$B3542)</f>
        <v>16965</v>
      </c>
      <c r="E3542" s="1">
        <f>value(GBP!$B3542)</f>
        <v>18344.2</v>
      </c>
      <c r="F3542" s="1">
        <f>value(CHF!$B3542)</f>
        <v>0</v>
      </c>
      <c r="G3542" s="1">
        <f>value(SGD!$B3542)</f>
        <v>0</v>
      </c>
      <c r="H3542" s="1">
        <f>value(MYR!$B3542)</f>
        <v>3422.46</v>
      </c>
      <c r="I3542" s="1">
        <f>value(THB!$B3542)</f>
        <v>456.2044</v>
      </c>
      <c r="J3542" s="1">
        <f>value(VND!$B3542)</f>
        <v>0</v>
      </c>
      <c r="K3542" s="1">
        <f>value(CNY!$B3542)</f>
        <v>0</v>
      </c>
      <c r="L3542" s="1">
        <f>value(HKD!$B3542)</f>
        <v>0</v>
      </c>
      <c r="M3542" s="1">
        <f>value(TWD!$B3542)</f>
        <v>0</v>
      </c>
      <c r="N3542" s="1">
        <f>value(JPY!$B3542)</f>
        <v>133.4785</v>
      </c>
      <c r="O3542" s="1">
        <f>value(SAR!$B3542)</f>
        <v>0</v>
      </c>
      <c r="P3542" s="1">
        <f>value(AED!$B3542)</f>
        <v>0</v>
      </c>
      <c r="Q3542" s="1">
        <f>value(KWD!$B3542)</f>
        <v>0</v>
      </c>
    </row>
    <row r="3543">
      <c r="A3543" s="4">
        <f>value(USD!A3543)</f>
        <v>43908.99861</v>
      </c>
      <c r="B3543" s="1">
        <f>value(USD!B3543)</f>
        <v>15480</v>
      </c>
      <c r="C3543" s="1">
        <f>value(AUD!$B3543)</f>
        <v>0</v>
      </c>
      <c r="D3543" s="1">
        <f>value(EUR!$B3543)</f>
        <v>16975</v>
      </c>
      <c r="E3543" s="1">
        <f>value(GBP!$B3543)</f>
        <v>18344.25</v>
      </c>
      <c r="F3543" s="1">
        <f>value(CHF!$B3543)</f>
        <v>0</v>
      </c>
      <c r="G3543" s="1">
        <f>value(SGD!$B3543)</f>
        <v>0</v>
      </c>
      <c r="H3543" s="1">
        <f>value(MYR!$B3543)</f>
        <v>3422.46</v>
      </c>
      <c r="I3543" s="1">
        <f>value(THB!$B3543)</f>
        <v>456.2044</v>
      </c>
      <c r="J3543" s="1">
        <f>value(VND!$B3543)</f>
        <v>0</v>
      </c>
      <c r="K3543" s="1">
        <f>value(CNY!$B3543)</f>
        <v>0</v>
      </c>
      <c r="L3543" s="1">
        <f>value(HKD!$B3543)</f>
        <v>0</v>
      </c>
      <c r="M3543" s="1">
        <f>value(TWD!$B3543)</f>
        <v>0</v>
      </c>
      <c r="N3543" s="1">
        <f>value(JPY!$B3543)</f>
        <v>133.4785</v>
      </c>
      <c r="O3543" s="1">
        <f>value(SAR!$B3543)</f>
        <v>0</v>
      </c>
      <c r="P3543" s="1">
        <f>value(AED!$B3543)</f>
        <v>0</v>
      </c>
      <c r="Q3543" s="1">
        <f>value(KWD!$B3543)</f>
        <v>0</v>
      </c>
    </row>
    <row r="3544">
      <c r="A3544" s="4">
        <f>value(USD!A3544)</f>
        <v>43909.99861</v>
      </c>
      <c r="B3544" s="1">
        <f>value(USD!B3544)</f>
        <v>15915</v>
      </c>
      <c r="C3544" s="1">
        <f>value(AUD!$B3544)</f>
        <v>0</v>
      </c>
      <c r="D3544" s="1">
        <f>value(EUR!$B3544)</f>
        <v>16975</v>
      </c>
      <c r="E3544" s="1">
        <f>value(GBP!$B3544)</f>
        <v>18344.25</v>
      </c>
      <c r="F3544" s="1">
        <f>value(CHF!$B3544)</f>
        <v>0</v>
      </c>
      <c r="G3544" s="1">
        <f>value(SGD!$B3544)</f>
        <v>0</v>
      </c>
      <c r="H3544" s="1">
        <f>value(MYR!$B3544)</f>
        <v>3422.46</v>
      </c>
      <c r="I3544" s="1">
        <f>value(THB!$B3544)</f>
        <v>456.2044</v>
      </c>
      <c r="J3544" s="1">
        <f>value(VND!$B3544)</f>
        <v>0</v>
      </c>
      <c r="K3544" s="1">
        <f>value(CNY!$B3544)</f>
        <v>0</v>
      </c>
      <c r="L3544" s="1">
        <f>value(HKD!$B3544)</f>
        <v>0</v>
      </c>
      <c r="M3544" s="1">
        <f>value(TWD!$B3544)</f>
        <v>0</v>
      </c>
      <c r="N3544" s="1">
        <f>value(JPY!$B3544)</f>
        <v>133.4785</v>
      </c>
      <c r="O3544" s="1">
        <f>value(SAR!$B3544)</f>
        <v>0</v>
      </c>
      <c r="P3544" s="1">
        <f>value(AED!$B3544)</f>
        <v>0</v>
      </c>
      <c r="Q3544" s="1">
        <f>value(KWD!$B3544)</f>
        <v>0</v>
      </c>
    </row>
    <row r="3545">
      <c r="A3545" s="4">
        <f>value(USD!A3545)</f>
        <v>43910.99861</v>
      </c>
      <c r="B3545" s="1">
        <f>value(USD!B3545)</f>
        <v>15779.38</v>
      </c>
      <c r="C3545" s="1">
        <f>value(AUD!$B3545)</f>
        <v>0</v>
      </c>
      <c r="D3545" s="1">
        <f>value(EUR!$B3545)</f>
        <v>16975</v>
      </c>
      <c r="E3545" s="1">
        <f>value(GBP!$B3545)</f>
        <v>18344.25</v>
      </c>
      <c r="F3545" s="1">
        <f>value(CHF!$B3545)</f>
        <v>0</v>
      </c>
      <c r="G3545" s="1">
        <f>value(SGD!$B3545)</f>
        <v>0</v>
      </c>
      <c r="H3545" s="1">
        <f>value(MYR!$B3545)</f>
        <v>3422.46</v>
      </c>
      <c r="I3545" s="1">
        <f>value(THB!$B3545)</f>
        <v>456.2044</v>
      </c>
      <c r="J3545" s="1">
        <f>value(VND!$B3545)</f>
        <v>0</v>
      </c>
      <c r="K3545" s="1">
        <f>value(CNY!$B3545)</f>
        <v>0</v>
      </c>
      <c r="L3545" s="1">
        <f>value(HKD!$B3545)</f>
        <v>0</v>
      </c>
      <c r="M3545" s="1">
        <f>value(TWD!$B3545)</f>
        <v>0</v>
      </c>
      <c r="N3545" s="1">
        <f>value(JPY!$B3545)</f>
        <v>133.4785</v>
      </c>
      <c r="O3545" s="1">
        <f>value(SAR!$B3545)</f>
        <v>0</v>
      </c>
      <c r="P3545" s="1">
        <f>value(AED!$B3545)</f>
        <v>0</v>
      </c>
      <c r="Q3545" s="1">
        <f>value(KWD!$B3545)</f>
        <v>0</v>
      </c>
    </row>
    <row r="3546">
      <c r="A3546" s="4">
        <f>value(USD!A3546)</f>
        <v>43911.99861</v>
      </c>
      <c r="B3546" s="1">
        <f>value(USD!B3546)</f>
        <v>15770.89</v>
      </c>
      <c r="C3546" s="1">
        <f>value(AUD!$B3546)</f>
        <v>0</v>
      </c>
      <c r="D3546" s="1">
        <f>value(EUR!$B3546)</f>
        <v>17770</v>
      </c>
      <c r="E3546" s="1">
        <f>value(GBP!$B3546)</f>
        <v>18344.25</v>
      </c>
      <c r="F3546" s="1">
        <f>value(CHF!$B3546)</f>
        <v>0</v>
      </c>
      <c r="G3546" s="1">
        <f>value(SGD!$B3546)</f>
        <v>0</v>
      </c>
      <c r="H3546" s="1">
        <f>value(MYR!$B3546)</f>
        <v>3422.46</v>
      </c>
      <c r="I3546" s="1">
        <f>value(THB!$B3546)</f>
        <v>456.2044</v>
      </c>
      <c r="J3546" s="1">
        <f>value(VND!$B3546)</f>
        <v>0</v>
      </c>
      <c r="K3546" s="1">
        <f>value(CNY!$B3546)</f>
        <v>0</v>
      </c>
      <c r="L3546" s="1">
        <f>value(HKD!$B3546)</f>
        <v>0</v>
      </c>
      <c r="M3546" s="1">
        <f>value(TWD!$B3546)</f>
        <v>0</v>
      </c>
      <c r="N3546" s="1">
        <f>value(JPY!$B3546)</f>
        <v>133.4785</v>
      </c>
      <c r="O3546" s="1">
        <f>value(SAR!$B3546)</f>
        <v>0</v>
      </c>
      <c r="P3546" s="1">
        <f>value(AED!$B3546)</f>
        <v>0</v>
      </c>
      <c r="Q3546" s="1">
        <f>value(KWD!$B3546)</f>
        <v>0</v>
      </c>
    </row>
    <row r="3547">
      <c r="A3547" s="4">
        <f>value(USD!A3547)</f>
        <v>43912.99861</v>
      </c>
      <c r="B3547" s="1">
        <f>value(USD!B3547)</f>
        <v>15770.89</v>
      </c>
      <c r="C3547" s="1">
        <f>value(AUD!$B3547)</f>
        <v>0</v>
      </c>
      <c r="D3547" s="1">
        <f>value(EUR!$B3547)</f>
        <v>17750</v>
      </c>
      <c r="E3547" s="1">
        <f>value(GBP!$B3547)</f>
        <v>18344.25</v>
      </c>
      <c r="F3547" s="1">
        <f>value(CHF!$B3547)</f>
        <v>0</v>
      </c>
      <c r="G3547" s="1">
        <f>value(SGD!$B3547)</f>
        <v>0</v>
      </c>
      <c r="H3547" s="1">
        <f>value(MYR!$B3547)</f>
        <v>3422.46</v>
      </c>
      <c r="I3547" s="1">
        <f>value(THB!$B3547)</f>
        <v>456.2044</v>
      </c>
      <c r="J3547" s="1">
        <f>value(VND!$B3547)</f>
        <v>0</v>
      </c>
      <c r="K3547" s="1">
        <f>value(CNY!$B3547)</f>
        <v>0</v>
      </c>
      <c r="L3547" s="1">
        <f>value(HKD!$B3547)</f>
        <v>0</v>
      </c>
      <c r="M3547" s="1">
        <f>value(TWD!$B3547)</f>
        <v>0</v>
      </c>
      <c r="N3547" s="1">
        <f>value(JPY!$B3547)</f>
        <v>133.4785</v>
      </c>
      <c r="O3547" s="1">
        <f>value(SAR!$B3547)</f>
        <v>0</v>
      </c>
      <c r="P3547" s="1">
        <f>value(AED!$B3547)</f>
        <v>0</v>
      </c>
      <c r="Q3547" s="1">
        <f>value(KWD!$B3547)</f>
        <v>0</v>
      </c>
    </row>
    <row r="3548">
      <c r="A3548" s="4">
        <f>value(USD!A3548)</f>
        <v>43913.99861</v>
      </c>
      <c r="B3548" s="1">
        <f>value(USD!B3548)</f>
        <v>16510.31</v>
      </c>
      <c r="C3548" s="1">
        <f>value(AUD!$B3548)</f>
        <v>0</v>
      </c>
      <c r="D3548" s="1">
        <f>value(EUR!$B3548)</f>
        <v>17915</v>
      </c>
      <c r="E3548" s="1">
        <f>value(GBP!$B3548)</f>
        <v>18344.25</v>
      </c>
      <c r="F3548" s="1">
        <f>value(CHF!$B3548)</f>
        <v>0</v>
      </c>
      <c r="G3548" s="1">
        <f>value(SGD!$B3548)</f>
        <v>0</v>
      </c>
      <c r="H3548" s="1">
        <f>value(MYR!$B3548)</f>
        <v>3422.46</v>
      </c>
      <c r="I3548" s="1">
        <f>value(THB!$B3548)</f>
        <v>456.2044</v>
      </c>
      <c r="J3548" s="1">
        <f>value(VND!$B3548)</f>
        <v>0</v>
      </c>
      <c r="K3548" s="1">
        <f>value(CNY!$B3548)</f>
        <v>0</v>
      </c>
      <c r="L3548" s="1">
        <f>value(HKD!$B3548)</f>
        <v>0</v>
      </c>
      <c r="M3548" s="1">
        <f>value(TWD!$B3548)</f>
        <v>0</v>
      </c>
      <c r="N3548" s="1">
        <f>value(JPY!$B3548)</f>
        <v>133.4785</v>
      </c>
      <c r="O3548" s="1">
        <f>value(SAR!$B3548)</f>
        <v>0</v>
      </c>
      <c r="P3548" s="1">
        <f>value(AED!$B3548)</f>
        <v>0</v>
      </c>
      <c r="Q3548" s="1">
        <f>value(KWD!$B3548)</f>
        <v>0</v>
      </c>
    </row>
    <row r="3549">
      <c r="A3549" s="4">
        <f>value(USD!A3549)</f>
        <v>43914.99861</v>
      </c>
      <c r="B3549" s="1">
        <f>value(USD!B3549)</f>
        <v>16232.5</v>
      </c>
      <c r="C3549" s="1">
        <f>value(AUD!$B3549)</f>
        <v>0</v>
      </c>
      <c r="D3549" s="1">
        <f>value(EUR!$B3549)</f>
        <v>17935</v>
      </c>
      <c r="E3549" s="1">
        <f>value(GBP!$B3549)</f>
        <v>18344.25</v>
      </c>
      <c r="F3549" s="1">
        <f>value(CHF!$B3549)</f>
        <v>0</v>
      </c>
      <c r="G3549" s="1">
        <f>value(SGD!$B3549)</f>
        <v>0</v>
      </c>
      <c r="H3549" s="1">
        <f>value(MYR!$B3549)</f>
        <v>3422.46</v>
      </c>
      <c r="I3549" s="1">
        <f>value(THB!$B3549)</f>
        <v>456.2044</v>
      </c>
      <c r="J3549" s="1">
        <f>value(VND!$B3549)</f>
        <v>0</v>
      </c>
      <c r="K3549" s="1">
        <f>value(CNY!$B3549)</f>
        <v>0</v>
      </c>
      <c r="L3549" s="1">
        <f>value(HKD!$B3549)</f>
        <v>0</v>
      </c>
      <c r="M3549" s="1">
        <f>value(TWD!$B3549)</f>
        <v>0</v>
      </c>
      <c r="N3549" s="1">
        <f>value(JPY!$B3549)</f>
        <v>133.4785</v>
      </c>
      <c r="O3549" s="1">
        <f>value(SAR!$B3549)</f>
        <v>0</v>
      </c>
      <c r="P3549" s="1">
        <f>value(AED!$B3549)</f>
        <v>0</v>
      </c>
      <c r="Q3549" s="1">
        <f>value(KWD!$B3549)</f>
        <v>0</v>
      </c>
    </row>
    <row r="3550">
      <c r="A3550" s="4">
        <f>value(USD!A3550)</f>
        <v>43915.99861</v>
      </c>
      <c r="B3550" s="1">
        <f>value(USD!B3550)</f>
        <v>16457.61</v>
      </c>
      <c r="C3550" s="1">
        <f>value(AUD!$B3550)</f>
        <v>0</v>
      </c>
      <c r="D3550" s="1">
        <f>value(EUR!$B3550)</f>
        <v>17946.1</v>
      </c>
      <c r="E3550" s="1">
        <f>value(GBP!$B3550)</f>
        <v>18344.25</v>
      </c>
      <c r="F3550" s="1">
        <f>value(CHF!$B3550)</f>
        <v>0</v>
      </c>
      <c r="G3550" s="1">
        <f>value(SGD!$B3550)</f>
        <v>0</v>
      </c>
      <c r="H3550" s="1">
        <f>value(MYR!$B3550)</f>
        <v>3422.46</v>
      </c>
      <c r="I3550" s="1">
        <f>value(THB!$B3550)</f>
        <v>456.2044</v>
      </c>
      <c r="J3550" s="1">
        <f>value(VND!$B3550)</f>
        <v>0</v>
      </c>
      <c r="K3550" s="1">
        <f>value(CNY!$B3550)</f>
        <v>0</v>
      </c>
      <c r="L3550" s="1">
        <f>value(HKD!$B3550)</f>
        <v>0</v>
      </c>
      <c r="M3550" s="1">
        <f>value(TWD!$B3550)</f>
        <v>0</v>
      </c>
      <c r="N3550" s="1">
        <f>value(JPY!$B3550)</f>
        <v>133.4785</v>
      </c>
      <c r="O3550" s="1">
        <f>value(SAR!$B3550)</f>
        <v>0</v>
      </c>
      <c r="P3550" s="1">
        <f>value(AED!$B3550)</f>
        <v>0</v>
      </c>
      <c r="Q3550" s="1">
        <f>value(KWD!$B3550)</f>
        <v>0</v>
      </c>
    </row>
    <row r="3551">
      <c r="A3551" s="4">
        <f>value(USD!A3551)</f>
        <v>43916.99861</v>
      </c>
      <c r="B3551" s="1">
        <f>value(USD!B3551)</f>
        <v>16232.57</v>
      </c>
      <c r="C3551" s="1">
        <f>value(AUD!$B3551)</f>
        <v>0</v>
      </c>
      <c r="D3551" s="1">
        <f>value(EUR!$B3551)</f>
        <v>17891.8763</v>
      </c>
      <c r="E3551" s="1">
        <f>value(GBP!$B3551)</f>
        <v>18344.25</v>
      </c>
      <c r="F3551" s="1">
        <f>value(CHF!$B3551)</f>
        <v>0</v>
      </c>
      <c r="G3551" s="1">
        <f>value(SGD!$B3551)</f>
        <v>0</v>
      </c>
      <c r="H3551" s="1">
        <f>value(MYR!$B3551)</f>
        <v>3422.46</v>
      </c>
      <c r="I3551" s="1">
        <f>value(THB!$B3551)</f>
        <v>456.2044</v>
      </c>
      <c r="J3551" s="1">
        <f>value(VND!$B3551)</f>
        <v>0</v>
      </c>
      <c r="K3551" s="1">
        <f>value(CNY!$B3551)</f>
        <v>0</v>
      </c>
      <c r="L3551" s="1">
        <f>value(HKD!$B3551)</f>
        <v>0</v>
      </c>
      <c r="M3551" s="1">
        <f>value(TWD!$B3551)</f>
        <v>0</v>
      </c>
      <c r="N3551" s="1">
        <f>value(JPY!$B3551)</f>
        <v>133.4785</v>
      </c>
      <c r="O3551" s="1">
        <f>value(SAR!$B3551)</f>
        <v>0</v>
      </c>
      <c r="P3551" s="1">
        <f>value(AED!$B3551)</f>
        <v>0</v>
      </c>
      <c r="Q3551" s="1">
        <f>value(KWD!$B3551)</f>
        <v>0</v>
      </c>
    </row>
    <row r="3552">
      <c r="A3552" s="4">
        <f>value(USD!A3552)</f>
        <v>43917.99861</v>
      </c>
      <c r="B3552" s="1">
        <f>value(USD!B3552)</f>
        <v>16019.96</v>
      </c>
      <c r="C3552" s="1">
        <f>value(AUD!$B3552)</f>
        <v>0</v>
      </c>
      <c r="D3552" s="1">
        <f>value(EUR!$B3552)</f>
        <v>17763.93</v>
      </c>
      <c r="E3552" s="1">
        <f>value(GBP!$B3552)</f>
        <v>18344.25</v>
      </c>
      <c r="F3552" s="1">
        <f>value(CHF!$B3552)</f>
        <v>0</v>
      </c>
      <c r="G3552" s="1">
        <f>value(SGD!$B3552)</f>
        <v>0</v>
      </c>
      <c r="H3552" s="1">
        <f>value(MYR!$B3552)</f>
        <v>3422.46</v>
      </c>
      <c r="I3552" s="1">
        <f>value(THB!$B3552)</f>
        <v>456.2044</v>
      </c>
      <c r="J3552" s="1">
        <f>value(VND!$B3552)</f>
        <v>0</v>
      </c>
      <c r="K3552" s="1">
        <f>value(CNY!$B3552)</f>
        <v>0</v>
      </c>
      <c r="L3552" s="1">
        <f>value(HKD!$B3552)</f>
        <v>0</v>
      </c>
      <c r="M3552" s="1">
        <f>value(TWD!$B3552)</f>
        <v>0</v>
      </c>
      <c r="N3552" s="1">
        <f>value(JPY!$B3552)</f>
        <v>133.4785</v>
      </c>
      <c r="O3552" s="1">
        <f>value(SAR!$B3552)</f>
        <v>0</v>
      </c>
      <c r="P3552" s="1">
        <f>value(AED!$B3552)</f>
        <v>0</v>
      </c>
      <c r="Q3552" s="1">
        <f>value(KWD!$B3552)</f>
        <v>0</v>
      </c>
    </row>
    <row r="3553">
      <c r="A3553" s="4">
        <f>value(USD!A3553)</f>
        <v>43918.99861</v>
      </c>
      <c r="B3553" s="1">
        <f>value(USD!B3553)</f>
        <v>16019.96</v>
      </c>
      <c r="C3553" s="1">
        <f>value(AUD!$B3553)</f>
        <v>0</v>
      </c>
      <c r="D3553" s="1">
        <f>value(EUR!$B3553)</f>
        <v>18034</v>
      </c>
      <c r="E3553" s="1">
        <f>value(GBP!$B3553)</f>
        <v>18344.25</v>
      </c>
      <c r="F3553" s="1">
        <f>value(CHF!$B3553)</f>
        <v>0</v>
      </c>
      <c r="G3553" s="1">
        <f>value(SGD!$B3553)</f>
        <v>0</v>
      </c>
      <c r="H3553" s="1">
        <f>value(MYR!$B3553)</f>
        <v>3422.46</v>
      </c>
      <c r="I3553" s="1">
        <f>value(THB!$B3553)</f>
        <v>456.2044</v>
      </c>
      <c r="J3553" s="1">
        <f>value(VND!$B3553)</f>
        <v>0</v>
      </c>
      <c r="K3553" s="1">
        <f>value(CNY!$B3553)</f>
        <v>0</v>
      </c>
      <c r="L3553" s="1">
        <f>value(HKD!$B3553)</f>
        <v>0</v>
      </c>
      <c r="M3553" s="1">
        <f>value(TWD!$B3553)</f>
        <v>0</v>
      </c>
      <c r="N3553" s="1">
        <f>value(JPY!$B3553)</f>
        <v>133.4785</v>
      </c>
      <c r="O3553" s="1">
        <f>value(SAR!$B3553)</f>
        <v>0</v>
      </c>
      <c r="P3553" s="1">
        <f>value(AED!$B3553)</f>
        <v>0</v>
      </c>
      <c r="Q3553" s="1">
        <f>value(KWD!$B3553)</f>
        <v>0</v>
      </c>
    </row>
    <row r="3554">
      <c r="A3554" s="4">
        <f>value(USD!A3554)</f>
        <v>43919.99861</v>
      </c>
      <c r="B3554" s="1">
        <f>value(USD!B3554)</f>
        <v>16009.81</v>
      </c>
      <c r="C3554" s="1">
        <f>value(AUD!$B3554)</f>
        <v>0</v>
      </c>
      <c r="D3554" s="1">
        <f>value(EUR!$B3554)</f>
        <v>17960</v>
      </c>
      <c r="E3554" s="1">
        <f>value(GBP!$B3554)</f>
        <v>18344.25</v>
      </c>
      <c r="F3554" s="1">
        <f>value(CHF!$B3554)</f>
        <v>0</v>
      </c>
      <c r="G3554" s="1">
        <f>value(SGD!$B3554)</f>
        <v>0</v>
      </c>
      <c r="H3554" s="1">
        <f>value(MYR!$B3554)</f>
        <v>3422.46</v>
      </c>
      <c r="I3554" s="1">
        <f>value(THB!$B3554)</f>
        <v>456.2044</v>
      </c>
      <c r="J3554" s="1">
        <f>value(VND!$B3554)</f>
        <v>0</v>
      </c>
      <c r="K3554" s="1">
        <f>value(CNY!$B3554)</f>
        <v>0</v>
      </c>
      <c r="L3554" s="1">
        <f>value(HKD!$B3554)</f>
        <v>0</v>
      </c>
      <c r="M3554" s="1">
        <f>value(TWD!$B3554)</f>
        <v>0</v>
      </c>
      <c r="N3554" s="1">
        <f>value(JPY!$B3554)</f>
        <v>133.4785</v>
      </c>
      <c r="O3554" s="1">
        <f>value(SAR!$B3554)</f>
        <v>0</v>
      </c>
      <c r="P3554" s="1">
        <f>value(AED!$B3554)</f>
        <v>0</v>
      </c>
      <c r="Q3554" s="1">
        <f>value(KWD!$B3554)</f>
        <v>0</v>
      </c>
    </row>
    <row r="3555">
      <c r="A3555" s="4">
        <f>value(USD!A3555)</f>
        <v>43920.99861</v>
      </c>
      <c r="B3555" s="1">
        <f>value(USD!B3555)</f>
        <v>16351.76</v>
      </c>
      <c r="C3555" s="1">
        <f>value(AUD!$B3555)</f>
        <v>0</v>
      </c>
      <c r="D3555" s="1">
        <f>value(EUR!$B3555)</f>
        <v>17977</v>
      </c>
      <c r="E3555" s="1">
        <f>value(GBP!$B3555)</f>
        <v>18344.25</v>
      </c>
      <c r="F3555" s="1">
        <f>value(CHF!$B3555)</f>
        <v>0</v>
      </c>
      <c r="G3555" s="1">
        <f>value(SGD!$B3555)</f>
        <v>0</v>
      </c>
      <c r="H3555" s="1">
        <f>value(MYR!$B3555)</f>
        <v>3422.46</v>
      </c>
      <c r="I3555" s="1">
        <f>value(THB!$B3555)</f>
        <v>456.2044</v>
      </c>
      <c r="J3555" s="1">
        <f>value(VND!$B3555)</f>
        <v>0</v>
      </c>
      <c r="K3555" s="1">
        <f>value(CNY!$B3555)</f>
        <v>0</v>
      </c>
      <c r="L3555" s="1">
        <f>value(HKD!$B3555)</f>
        <v>0</v>
      </c>
      <c r="M3555" s="1">
        <f>value(TWD!$B3555)</f>
        <v>0</v>
      </c>
      <c r="N3555" s="1">
        <f>value(JPY!$B3555)</f>
        <v>133.4785</v>
      </c>
      <c r="O3555" s="1">
        <f>value(SAR!$B3555)</f>
        <v>0</v>
      </c>
      <c r="P3555" s="1">
        <f>value(AED!$B3555)</f>
        <v>0</v>
      </c>
      <c r="Q3555" s="1">
        <f>value(KWD!$B3555)</f>
        <v>0</v>
      </c>
    </row>
    <row r="3556">
      <c r="A3556" s="4">
        <f>value(USD!A3556)</f>
        <v>43921.99861</v>
      </c>
      <c r="B3556" s="1">
        <f>value(USD!B3556)</f>
        <v>16280.98</v>
      </c>
      <c r="C3556" s="1">
        <f>value(AUD!$B3556)</f>
        <v>0</v>
      </c>
      <c r="D3556" s="1">
        <f>value(EUR!$B3556)</f>
        <v>17840</v>
      </c>
      <c r="E3556" s="1">
        <f>value(GBP!$B3556)</f>
        <v>18344.25</v>
      </c>
      <c r="F3556" s="1">
        <f>value(CHF!$B3556)</f>
        <v>0</v>
      </c>
      <c r="G3556" s="1">
        <f>value(SGD!$B3556)</f>
        <v>0</v>
      </c>
      <c r="H3556" s="1">
        <f>value(MYR!$B3556)</f>
        <v>3422.46</v>
      </c>
      <c r="I3556" s="1">
        <f>value(THB!$B3556)</f>
        <v>456.2044</v>
      </c>
      <c r="J3556" s="1">
        <f>value(VND!$B3556)</f>
        <v>0</v>
      </c>
      <c r="K3556" s="1">
        <f>value(CNY!$B3556)</f>
        <v>0</v>
      </c>
      <c r="L3556" s="1">
        <f>value(HKD!$B3556)</f>
        <v>0</v>
      </c>
      <c r="M3556" s="1">
        <f>value(TWD!$B3556)</f>
        <v>0</v>
      </c>
      <c r="N3556" s="1">
        <f>value(JPY!$B3556)</f>
        <v>133.4785</v>
      </c>
      <c r="O3556" s="1">
        <f>value(SAR!$B3556)</f>
        <v>0</v>
      </c>
      <c r="P3556" s="1">
        <f>value(AED!$B3556)</f>
        <v>0</v>
      </c>
      <c r="Q3556" s="1">
        <f>value(KWD!$B3556)</f>
        <v>0</v>
      </c>
    </row>
    <row r="3557">
      <c r="A3557" s="4">
        <f>value(USD!A3557)</f>
        <v>43922.99861</v>
      </c>
      <c r="B3557" s="1">
        <f>value(USD!B3557)</f>
        <v>16418.28</v>
      </c>
      <c r="C3557" s="1">
        <f>value(AUD!$B3557)</f>
        <v>0</v>
      </c>
      <c r="D3557" s="1">
        <f>value(EUR!$B3557)</f>
        <v>17700</v>
      </c>
      <c r="E3557" s="1">
        <f>value(GBP!$B3557)</f>
        <v>18344.25</v>
      </c>
      <c r="F3557" s="1">
        <f>value(CHF!$B3557)</f>
        <v>0</v>
      </c>
      <c r="G3557" s="1">
        <f>value(SGD!$B3557)</f>
        <v>0</v>
      </c>
      <c r="H3557" s="1">
        <f>value(MYR!$B3557)</f>
        <v>3422.46</v>
      </c>
      <c r="I3557" s="1">
        <f>value(THB!$B3557)</f>
        <v>456.2044</v>
      </c>
      <c r="J3557" s="1">
        <f>value(VND!$B3557)</f>
        <v>0</v>
      </c>
      <c r="K3557" s="1">
        <f>value(CNY!$B3557)</f>
        <v>0</v>
      </c>
      <c r="L3557" s="1">
        <f>value(HKD!$B3557)</f>
        <v>0</v>
      </c>
      <c r="M3557" s="1">
        <f>value(TWD!$B3557)</f>
        <v>0</v>
      </c>
      <c r="N3557" s="1">
        <f>value(JPY!$B3557)</f>
        <v>133.4785</v>
      </c>
      <c r="O3557" s="1">
        <f>value(SAR!$B3557)</f>
        <v>0</v>
      </c>
      <c r="P3557" s="1">
        <f>value(AED!$B3557)</f>
        <v>0</v>
      </c>
      <c r="Q3557" s="1">
        <f>value(KWD!$B3557)</f>
        <v>0</v>
      </c>
    </row>
    <row r="3558">
      <c r="A3558" s="4">
        <f>value(USD!A3558)</f>
        <v>43923.99861</v>
      </c>
      <c r="B3558" s="1">
        <f>value(USD!B3558)</f>
        <v>16449.85</v>
      </c>
      <c r="C3558" s="1">
        <f>value(AUD!$B3558)</f>
        <v>0</v>
      </c>
      <c r="D3558" s="1">
        <f>value(EUR!$B3558)</f>
        <v>17705</v>
      </c>
      <c r="E3558" s="1">
        <f>value(GBP!$B3558)</f>
        <v>18344.25</v>
      </c>
      <c r="F3558" s="1">
        <f>value(CHF!$B3558)</f>
        <v>0</v>
      </c>
      <c r="G3558" s="1">
        <f>value(SGD!$B3558)</f>
        <v>0</v>
      </c>
      <c r="H3558" s="1">
        <f>value(MYR!$B3558)</f>
        <v>3422.46</v>
      </c>
      <c r="I3558" s="1">
        <f>value(THB!$B3558)</f>
        <v>456.2044</v>
      </c>
      <c r="J3558" s="1">
        <f>value(VND!$B3558)</f>
        <v>0</v>
      </c>
      <c r="K3558" s="1">
        <f>value(CNY!$B3558)</f>
        <v>0</v>
      </c>
      <c r="L3558" s="1">
        <f>value(HKD!$B3558)</f>
        <v>0</v>
      </c>
      <c r="M3558" s="1">
        <f>value(TWD!$B3558)</f>
        <v>0</v>
      </c>
      <c r="N3558" s="1">
        <f>value(JPY!$B3558)</f>
        <v>133.4785</v>
      </c>
      <c r="O3558" s="1">
        <f>value(SAR!$B3558)</f>
        <v>0</v>
      </c>
      <c r="P3558" s="1">
        <f>value(AED!$B3558)</f>
        <v>0</v>
      </c>
      <c r="Q3558" s="1">
        <f>value(KWD!$B3558)</f>
        <v>0</v>
      </c>
    </row>
    <row r="3559">
      <c r="A3559" s="4">
        <f>value(USD!A3559)</f>
        <v>43924.99861</v>
      </c>
      <c r="B3559" s="1">
        <f>value(USD!B3559)</f>
        <v>16644.3</v>
      </c>
      <c r="C3559" s="1">
        <f>value(AUD!$B3559)</f>
        <v>0</v>
      </c>
      <c r="D3559" s="1">
        <f>value(EUR!$B3559)</f>
        <v>17705</v>
      </c>
      <c r="E3559" s="1">
        <f>value(GBP!$B3559)</f>
        <v>18344.25</v>
      </c>
      <c r="F3559" s="1">
        <f>value(CHF!$B3559)</f>
        <v>0</v>
      </c>
      <c r="G3559" s="1">
        <f>value(SGD!$B3559)</f>
        <v>0</v>
      </c>
      <c r="H3559" s="1">
        <f>value(MYR!$B3559)</f>
        <v>3422.46</v>
      </c>
      <c r="I3559" s="1">
        <f>value(THB!$B3559)</f>
        <v>456.2044</v>
      </c>
      <c r="J3559" s="1">
        <f>value(VND!$B3559)</f>
        <v>0</v>
      </c>
      <c r="K3559" s="1">
        <f>value(CNY!$B3559)</f>
        <v>0</v>
      </c>
      <c r="L3559" s="1">
        <f>value(HKD!$B3559)</f>
        <v>0</v>
      </c>
      <c r="M3559" s="1">
        <f>value(TWD!$B3559)</f>
        <v>0</v>
      </c>
      <c r="N3559" s="1">
        <f>value(JPY!$B3559)</f>
        <v>133.4785</v>
      </c>
      <c r="O3559" s="1">
        <f>value(SAR!$B3559)</f>
        <v>0</v>
      </c>
      <c r="P3559" s="1">
        <f>value(AED!$B3559)</f>
        <v>0</v>
      </c>
      <c r="Q3559" s="1">
        <f>value(KWD!$B3559)</f>
        <v>0</v>
      </c>
    </row>
    <row r="3560">
      <c r="A3560" s="4">
        <f>value(USD!A3560)</f>
        <v>43925.99861</v>
      </c>
      <c r="B3560" s="1">
        <f>value(USD!B3560)</f>
        <v>16385.93</v>
      </c>
      <c r="C3560" s="1">
        <f>value(AUD!$B3560)</f>
        <v>0</v>
      </c>
      <c r="D3560" s="1">
        <f>value(EUR!$B3560)</f>
        <v>17675</v>
      </c>
      <c r="E3560" s="1">
        <f>value(GBP!$B3560)</f>
        <v>18344.25</v>
      </c>
      <c r="F3560" s="1">
        <f>value(CHF!$B3560)</f>
        <v>0</v>
      </c>
      <c r="G3560" s="1">
        <f>value(SGD!$B3560)</f>
        <v>0</v>
      </c>
      <c r="H3560" s="1">
        <f>value(MYR!$B3560)</f>
        <v>3422.46</v>
      </c>
      <c r="I3560" s="1">
        <f>value(THB!$B3560)</f>
        <v>456.2044</v>
      </c>
      <c r="J3560" s="1">
        <f>value(VND!$B3560)</f>
        <v>0</v>
      </c>
      <c r="K3560" s="1">
        <f>value(CNY!$B3560)</f>
        <v>0</v>
      </c>
      <c r="L3560" s="1">
        <f>value(HKD!$B3560)</f>
        <v>0</v>
      </c>
      <c r="M3560" s="1">
        <f>value(TWD!$B3560)</f>
        <v>0</v>
      </c>
      <c r="N3560" s="1">
        <f>value(JPY!$B3560)</f>
        <v>133.4785</v>
      </c>
      <c r="O3560" s="1">
        <f>value(SAR!$B3560)</f>
        <v>0</v>
      </c>
      <c r="P3560" s="1">
        <f>value(AED!$B3560)</f>
        <v>0</v>
      </c>
      <c r="Q3560" s="1">
        <f>value(KWD!$B3560)</f>
        <v>0</v>
      </c>
    </row>
    <row r="3561">
      <c r="A3561" s="4">
        <f>value(USD!A3561)</f>
        <v>43926.99861</v>
      </c>
      <c r="B3561" s="1">
        <f>value(USD!B3561)</f>
        <v>16425</v>
      </c>
      <c r="C3561" s="1">
        <f>value(AUD!$B3561)</f>
        <v>0</v>
      </c>
      <c r="D3561" s="1">
        <f>value(EUR!$B3561)</f>
        <v>17590</v>
      </c>
      <c r="E3561" s="1">
        <f>value(GBP!$B3561)</f>
        <v>18344.25</v>
      </c>
      <c r="F3561" s="1">
        <f>value(CHF!$B3561)</f>
        <v>0</v>
      </c>
      <c r="G3561" s="1">
        <f>value(SGD!$B3561)</f>
        <v>0</v>
      </c>
      <c r="H3561" s="1">
        <f>value(MYR!$B3561)</f>
        <v>3422.46</v>
      </c>
      <c r="I3561" s="1">
        <f>value(THB!$B3561)</f>
        <v>456.2044</v>
      </c>
      <c r="J3561" s="1">
        <f>value(VND!$B3561)</f>
        <v>0</v>
      </c>
      <c r="K3561" s="1">
        <f>value(CNY!$B3561)</f>
        <v>0</v>
      </c>
      <c r="L3561" s="1">
        <f>value(HKD!$B3561)</f>
        <v>0</v>
      </c>
      <c r="M3561" s="1">
        <f>value(TWD!$B3561)</f>
        <v>0</v>
      </c>
      <c r="N3561" s="1">
        <f>value(JPY!$B3561)</f>
        <v>133.4785</v>
      </c>
      <c r="O3561" s="1">
        <f>value(SAR!$B3561)</f>
        <v>0</v>
      </c>
      <c r="P3561" s="1">
        <f>value(AED!$B3561)</f>
        <v>0</v>
      </c>
      <c r="Q3561" s="1">
        <f>value(KWD!$B3561)</f>
        <v>0</v>
      </c>
    </row>
    <row r="3562">
      <c r="A3562" s="4">
        <f>value(USD!A3562)</f>
        <v>43927.99861</v>
      </c>
      <c r="B3562" s="1">
        <f>value(USD!B3562)</f>
        <v>16369.28</v>
      </c>
      <c r="C3562" s="1">
        <f>value(AUD!$B3562)</f>
        <v>0</v>
      </c>
      <c r="D3562" s="1">
        <f>value(EUR!$B3562)</f>
        <v>17600</v>
      </c>
      <c r="E3562" s="1">
        <f>value(GBP!$B3562)</f>
        <v>18344.25</v>
      </c>
      <c r="F3562" s="1">
        <f>value(CHF!$B3562)</f>
        <v>0</v>
      </c>
      <c r="G3562" s="1">
        <f>value(SGD!$B3562)</f>
        <v>0</v>
      </c>
      <c r="H3562" s="1">
        <f>value(MYR!$B3562)</f>
        <v>3422.46</v>
      </c>
      <c r="I3562" s="1">
        <f>value(THB!$B3562)</f>
        <v>456.2044</v>
      </c>
      <c r="J3562" s="1">
        <f>value(VND!$B3562)</f>
        <v>0</v>
      </c>
      <c r="K3562" s="1">
        <f>value(CNY!$B3562)</f>
        <v>0</v>
      </c>
      <c r="L3562" s="1">
        <f>value(HKD!$B3562)</f>
        <v>0</v>
      </c>
      <c r="M3562" s="1">
        <f>value(TWD!$B3562)</f>
        <v>0</v>
      </c>
      <c r="N3562" s="1">
        <f>value(JPY!$B3562)</f>
        <v>133.4785</v>
      </c>
      <c r="O3562" s="1">
        <f>value(SAR!$B3562)</f>
        <v>0</v>
      </c>
      <c r="P3562" s="1">
        <f>value(AED!$B3562)</f>
        <v>0</v>
      </c>
      <c r="Q3562" s="1">
        <f>value(KWD!$B3562)</f>
        <v>0</v>
      </c>
    </row>
    <row r="3563">
      <c r="A3563" s="4">
        <f>value(USD!A3563)</f>
        <v>43928.99861</v>
      </c>
      <c r="B3563" s="1">
        <f>value(USD!B3563)</f>
        <v>16260</v>
      </c>
      <c r="C3563" s="1">
        <f>value(AUD!$B3563)</f>
        <v>0</v>
      </c>
      <c r="D3563" s="1">
        <f>value(EUR!$B3563)</f>
        <v>17462.5</v>
      </c>
      <c r="E3563" s="1">
        <f>value(GBP!$B3563)</f>
        <v>18344.25</v>
      </c>
      <c r="F3563" s="1">
        <f>value(CHF!$B3563)</f>
        <v>0</v>
      </c>
      <c r="G3563" s="1">
        <f>value(SGD!$B3563)</f>
        <v>0</v>
      </c>
      <c r="H3563" s="1">
        <f>value(MYR!$B3563)</f>
        <v>3422.46</v>
      </c>
      <c r="I3563" s="1">
        <f>value(THB!$B3563)</f>
        <v>456.2044</v>
      </c>
      <c r="J3563" s="1">
        <f>value(VND!$B3563)</f>
        <v>0</v>
      </c>
      <c r="K3563" s="1">
        <f>value(CNY!$B3563)</f>
        <v>0</v>
      </c>
      <c r="L3563" s="1">
        <f>value(HKD!$B3563)</f>
        <v>0</v>
      </c>
      <c r="M3563" s="1">
        <f>value(TWD!$B3563)</f>
        <v>0</v>
      </c>
      <c r="N3563" s="1">
        <f>value(JPY!$B3563)</f>
        <v>133.4785</v>
      </c>
      <c r="O3563" s="1">
        <f>value(SAR!$B3563)</f>
        <v>0</v>
      </c>
      <c r="P3563" s="1">
        <f>value(AED!$B3563)</f>
        <v>0</v>
      </c>
      <c r="Q3563" s="1">
        <f>value(KWD!$B3563)</f>
        <v>0</v>
      </c>
    </row>
    <row r="3564">
      <c r="A3564" s="4">
        <f>value(USD!A3564)</f>
        <v>43929.99861</v>
      </c>
      <c r="B3564" s="1">
        <f>value(USD!B3564)</f>
        <v>16205.42</v>
      </c>
      <c r="C3564" s="1">
        <f>value(AUD!$B3564)</f>
        <v>0</v>
      </c>
      <c r="D3564" s="1">
        <f>value(EUR!$B3564)</f>
        <v>17279</v>
      </c>
      <c r="E3564" s="1">
        <f>value(GBP!$B3564)</f>
        <v>18344.25</v>
      </c>
      <c r="F3564" s="1">
        <f>value(CHF!$B3564)</f>
        <v>0</v>
      </c>
      <c r="G3564" s="1">
        <f>value(SGD!$B3564)</f>
        <v>0</v>
      </c>
      <c r="H3564" s="1">
        <f>value(MYR!$B3564)</f>
        <v>3422.46</v>
      </c>
      <c r="I3564" s="1">
        <f>value(THB!$B3564)</f>
        <v>456.2044</v>
      </c>
      <c r="J3564" s="1">
        <f>value(VND!$B3564)</f>
        <v>0</v>
      </c>
      <c r="K3564" s="1">
        <f>value(CNY!$B3564)</f>
        <v>0</v>
      </c>
      <c r="L3564" s="1">
        <f>value(HKD!$B3564)</f>
        <v>0</v>
      </c>
      <c r="M3564" s="1">
        <f>value(TWD!$B3564)</f>
        <v>0</v>
      </c>
      <c r="N3564" s="1">
        <f>value(JPY!$B3564)</f>
        <v>133.4785</v>
      </c>
      <c r="O3564" s="1">
        <f>value(SAR!$B3564)</f>
        <v>0</v>
      </c>
      <c r="P3564" s="1">
        <f>value(AED!$B3564)</f>
        <v>0</v>
      </c>
      <c r="Q3564" s="1">
        <f>value(KWD!$B3564)</f>
        <v>0</v>
      </c>
    </row>
    <row r="3565">
      <c r="A3565" s="4">
        <f>value(USD!A3565)</f>
        <v>43930.99861</v>
      </c>
      <c r="B3565" s="1">
        <f>value(USD!B3565)</f>
        <v>15907.5</v>
      </c>
      <c r="C3565" s="1">
        <f>value(AUD!$B3565)</f>
        <v>0</v>
      </c>
      <c r="D3565" s="1">
        <f>value(EUR!$B3565)</f>
        <v>17279</v>
      </c>
      <c r="E3565" s="1">
        <f>value(GBP!$B3565)</f>
        <v>18344.25</v>
      </c>
      <c r="F3565" s="1">
        <f>value(CHF!$B3565)</f>
        <v>0</v>
      </c>
      <c r="G3565" s="1">
        <f>value(SGD!$B3565)</f>
        <v>0</v>
      </c>
      <c r="H3565" s="1">
        <f>value(MYR!$B3565)</f>
        <v>3422.46</v>
      </c>
      <c r="I3565" s="1">
        <f>value(THB!$B3565)</f>
        <v>456.2044</v>
      </c>
      <c r="J3565" s="1">
        <f>value(VND!$B3565)</f>
        <v>0</v>
      </c>
      <c r="K3565" s="1">
        <f>value(CNY!$B3565)</f>
        <v>0</v>
      </c>
      <c r="L3565" s="1">
        <f>value(HKD!$B3565)</f>
        <v>0</v>
      </c>
      <c r="M3565" s="1">
        <f>value(TWD!$B3565)</f>
        <v>0</v>
      </c>
      <c r="N3565" s="1">
        <f>value(JPY!$B3565)</f>
        <v>133.4785</v>
      </c>
      <c r="O3565" s="1">
        <f>value(SAR!$B3565)</f>
        <v>0</v>
      </c>
      <c r="P3565" s="1">
        <f>value(AED!$B3565)</f>
        <v>0</v>
      </c>
      <c r="Q3565" s="1">
        <f>value(KWD!$B3565)</f>
        <v>0</v>
      </c>
    </row>
    <row r="3566">
      <c r="A3566" s="4">
        <f>value(USD!A3566)</f>
        <v>43931.99861</v>
      </c>
      <c r="B3566" s="1">
        <f>value(USD!B3566)</f>
        <v>15802</v>
      </c>
      <c r="C3566" s="1">
        <f>value(AUD!$B3566)</f>
        <v>0</v>
      </c>
      <c r="D3566" s="1">
        <f>value(EUR!$B3566)</f>
        <v>17279</v>
      </c>
      <c r="E3566" s="1">
        <f>value(GBP!$B3566)</f>
        <v>18344.25</v>
      </c>
      <c r="F3566" s="1">
        <f>value(CHF!$B3566)</f>
        <v>0</v>
      </c>
      <c r="G3566" s="1">
        <f>value(SGD!$B3566)</f>
        <v>0</v>
      </c>
      <c r="H3566" s="1">
        <f>value(MYR!$B3566)</f>
        <v>3422.46</v>
      </c>
      <c r="I3566" s="1">
        <f>value(THB!$B3566)</f>
        <v>456.2044</v>
      </c>
      <c r="J3566" s="1">
        <f>value(VND!$B3566)</f>
        <v>0</v>
      </c>
      <c r="K3566" s="1">
        <f>value(CNY!$B3566)</f>
        <v>0</v>
      </c>
      <c r="L3566" s="1">
        <f>value(HKD!$B3566)</f>
        <v>0</v>
      </c>
      <c r="M3566" s="1">
        <f>value(TWD!$B3566)</f>
        <v>0</v>
      </c>
      <c r="N3566" s="1">
        <f>value(JPY!$B3566)</f>
        <v>133.4785</v>
      </c>
      <c r="O3566" s="1">
        <f>value(SAR!$B3566)</f>
        <v>0</v>
      </c>
      <c r="P3566" s="1">
        <f>value(AED!$B3566)</f>
        <v>0</v>
      </c>
      <c r="Q3566" s="1">
        <f>value(KWD!$B3566)</f>
        <v>0</v>
      </c>
    </row>
    <row r="3567">
      <c r="A3567" s="4">
        <f>value(USD!A3567)</f>
        <v>43932.99861</v>
      </c>
      <c r="B3567" s="1">
        <f>value(USD!B3567)</f>
        <v>15802</v>
      </c>
      <c r="C3567" s="1">
        <f>value(AUD!$B3567)</f>
        <v>0</v>
      </c>
      <c r="D3567" s="1">
        <f>value(EUR!$B3567)</f>
        <v>17169.5</v>
      </c>
      <c r="E3567" s="1">
        <f>value(GBP!$B3567)</f>
        <v>18344.25</v>
      </c>
      <c r="F3567" s="1">
        <f>value(CHF!$B3567)</f>
        <v>0</v>
      </c>
      <c r="G3567" s="1">
        <f>value(SGD!$B3567)</f>
        <v>0</v>
      </c>
      <c r="H3567" s="1">
        <f>value(MYR!$B3567)</f>
        <v>3422.46</v>
      </c>
      <c r="I3567" s="1">
        <f>value(THB!$B3567)</f>
        <v>456.2044</v>
      </c>
      <c r="J3567" s="1">
        <f>value(VND!$B3567)</f>
        <v>0</v>
      </c>
      <c r="K3567" s="1">
        <f>value(CNY!$B3567)</f>
        <v>0</v>
      </c>
      <c r="L3567" s="1">
        <f>value(HKD!$B3567)</f>
        <v>0</v>
      </c>
      <c r="M3567" s="1">
        <f>value(TWD!$B3567)</f>
        <v>0</v>
      </c>
      <c r="N3567" s="1">
        <f>value(JPY!$B3567)</f>
        <v>133.4785</v>
      </c>
      <c r="O3567" s="1">
        <f>value(SAR!$B3567)</f>
        <v>0</v>
      </c>
      <c r="P3567" s="1">
        <f>value(AED!$B3567)</f>
        <v>0</v>
      </c>
      <c r="Q3567" s="1">
        <f>value(KWD!$B3567)</f>
        <v>0</v>
      </c>
    </row>
    <row r="3568">
      <c r="A3568" s="4">
        <f>value(USD!A3568)</f>
        <v>43933.99861</v>
      </c>
      <c r="B3568" s="1">
        <f>value(USD!B3568)</f>
        <v>15808</v>
      </c>
      <c r="C3568" s="1">
        <f>value(AUD!$B3568)</f>
        <v>0</v>
      </c>
      <c r="D3568" s="1">
        <f>value(EUR!$B3568)</f>
        <v>17121</v>
      </c>
      <c r="E3568" s="1">
        <f>value(GBP!$B3568)</f>
        <v>18344.25</v>
      </c>
      <c r="F3568" s="1">
        <f>value(CHF!$B3568)</f>
        <v>0</v>
      </c>
      <c r="G3568" s="1">
        <f>value(SGD!$B3568)</f>
        <v>0</v>
      </c>
      <c r="H3568" s="1">
        <f>value(MYR!$B3568)</f>
        <v>3422.46</v>
      </c>
      <c r="I3568" s="1">
        <f>value(THB!$B3568)</f>
        <v>456.2044</v>
      </c>
      <c r="J3568" s="1">
        <f>value(VND!$B3568)</f>
        <v>0</v>
      </c>
      <c r="K3568" s="1">
        <f>value(CNY!$B3568)</f>
        <v>0</v>
      </c>
      <c r="L3568" s="1">
        <f>value(HKD!$B3568)</f>
        <v>0</v>
      </c>
      <c r="M3568" s="1">
        <f>value(TWD!$B3568)</f>
        <v>0</v>
      </c>
      <c r="N3568" s="1">
        <f>value(JPY!$B3568)</f>
        <v>133.4785</v>
      </c>
      <c r="O3568" s="1">
        <f>value(SAR!$B3568)</f>
        <v>0</v>
      </c>
      <c r="P3568" s="1">
        <f>value(AED!$B3568)</f>
        <v>0</v>
      </c>
      <c r="Q3568" s="1">
        <f>value(KWD!$B3568)</f>
        <v>0</v>
      </c>
    </row>
    <row r="3569">
      <c r="A3569" s="4">
        <f>value(USD!A3569)</f>
        <v>43934.99861</v>
      </c>
      <c r="B3569" s="1">
        <f>value(USD!B3569)</f>
        <v>15857.5</v>
      </c>
      <c r="C3569" s="1">
        <f>value(AUD!$B3569)</f>
        <v>0</v>
      </c>
      <c r="D3569" s="1">
        <f>value(EUR!$B3569)</f>
        <v>16980</v>
      </c>
      <c r="E3569" s="1">
        <f>value(GBP!$B3569)</f>
        <v>18344.25</v>
      </c>
      <c r="F3569" s="1">
        <f>value(CHF!$B3569)</f>
        <v>0</v>
      </c>
      <c r="G3569" s="1">
        <f>value(SGD!$B3569)</f>
        <v>0</v>
      </c>
      <c r="H3569" s="1">
        <f>value(MYR!$B3569)</f>
        <v>3422.46</v>
      </c>
      <c r="I3569" s="1">
        <f>value(THB!$B3569)</f>
        <v>456.2044</v>
      </c>
      <c r="J3569" s="1">
        <f>value(VND!$B3569)</f>
        <v>0</v>
      </c>
      <c r="K3569" s="1">
        <f>value(CNY!$B3569)</f>
        <v>0</v>
      </c>
      <c r="L3569" s="1">
        <f>value(HKD!$B3569)</f>
        <v>0</v>
      </c>
      <c r="M3569" s="1">
        <f>value(TWD!$B3569)</f>
        <v>0</v>
      </c>
      <c r="N3569" s="1">
        <f>value(JPY!$B3569)</f>
        <v>133.4785</v>
      </c>
      <c r="O3569" s="1">
        <f>value(SAR!$B3569)</f>
        <v>0</v>
      </c>
      <c r="P3569" s="1">
        <f>value(AED!$B3569)</f>
        <v>0</v>
      </c>
      <c r="Q3569" s="1">
        <f>value(KWD!$B3569)</f>
        <v>0</v>
      </c>
    </row>
    <row r="3570">
      <c r="A3570" s="4">
        <f>value(USD!A3570)</f>
        <v>43935.99861</v>
      </c>
      <c r="B3570" s="1">
        <f>value(USD!B3570)</f>
        <v>15582.9</v>
      </c>
      <c r="C3570" s="1">
        <f>value(AUD!$B3570)</f>
        <v>0</v>
      </c>
      <c r="D3570" s="1">
        <f>value(EUR!$B3570)</f>
        <v>16930</v>
      </c>
      <c r="E3570" s="1">
        <f>value(GBP!$B3570)</f>
        <v>18344.25</v>
      </c>
      <c r="F3570" s="1">
        <f>value(CHF!$B3570)</f>
        <v>0</v>
      </c>
      <c r="G3570" s="1">
        <f>value(SGD!$B3570)</f>
        <v>0</v>
      </c>
      <c r="H3570" s="1">
        <f>value(MYR!$B3570)</f>
        <v>3422.46</v>
      </c>
      <c r="I3570" s="1">
        <f>value(THB!$B3570)</f>
        <v>456.2044</v>
      </c>
      <c r="J3570" s="1">
        <f>value(VND!$B3570)</f>
        <v>0</v>
      </c>
      <c r="K3570" s="1">
        <f>value(CNY!$B3570)</f>
        <v>0</v>
      </c>
      <c r="L3570" s="1">
        <f>value(HKD!$B3570)</f>
        <v>0</v>
      </c>
      <c r="M3570" s="1">
        <f>value(TWD!$B3570)</f>
        <v>0</v>
      </c>
      <c r="N3570" s="1">
        <f>value(JPY!$B3570)</f>
        <v>133.4785</v>
      </c>
      <c r="O3570" s="1">
        <f>value(SAR!$B3570)</f>
        <v>0</v>
      </c>
      <c r="P3570" s="1">
        <f>value(AED!$B3570)</f>
        <v>0</v>
      </c>
      <c r="Q3570" s="1">
        <f>value(KWD!$B3570)</f>
        <v>0</v>
      </c>
    </row>
    <row r="3571">
      <c r="A3571" s="4">
        <f>value(USD!A3571)</f>
        <v>43936.99861</v>
      </c>
      <c r="B3571" s="1">
        <f>value(USD!B3571)</f>
        <v>15907.5</v>
      </c>
      <c r="C3571" s="1">
        <f>value(AUD!$B3571)</f>
        <v>0</v>
      </c>
      <c r="D3571" s="1">
        <f>value(EUR!$B3571)</f>
        <v>16796</v>
      </c>
      <c r="E3571" s="1">
        <f>value(GBP!$B3571)</f>
        <v>18344.25</v>
      </c>
      <c r="F3571" s="1">
        <f>value(CHF!$B3571)</f>
        <v>0</v>
      </c>
      <c r="G3571" s="1">
        <f>value(SGD!$B3571)</f>
        <v>0</v>
      </c>
      <c r="H3571" s="1">
        <f>value(MYR!$B3571)</f>
        <v>3422.46</v>
      </c>
      <c r="I3571" s="1">
        <f>value(THB!$B3571)</f>
        <v>456.2044</v>
      </c>
      <c r="J3571" s="1">
        <f>value(VND!$B3571)</f>
        <v>0</v>
      </c>
      <c r="K3571" s="1">
        <f>value(CNY!$B3571)</f>
        <v>0</v>
      </c>
      <c r="L3571" s="1">
        <f>value(HKD!$B3571)</f>
        <v>0</v>
      </c>
      <c r="M3571" s="1">
        <f>value(TWD!$B3571)</f>
        <v>0</v>
      </c>
      <c r="N3571" s="1">
        <f>value(JPY!$B3571)</f>
        <v>133.4785</v>
      </c>
      <c r="O3571" s="1">
        <f>value(SAR!$B3571)</f>
        <v>0</v>
      </c>
      <c r="P3571" s="1">
        <f>value(AED!$B3571)</f>
        <v>0</v>
      </c>
      <c r="Q3571" s="1">
        <f>value(KWD!$B3571)</f>
        <v>0</v>
      </c>
    </row>
    <row r="3572">
      <c r="A3572" s="4">
        <f>value(USD!A3572)</f>
        <v>43937.99861</v>
      </c>
      <c r="B3572" s="1">
        <f>value(USD!B3572)</f>
        <v>15581.69</v>
      </c>
      <c r="C3572" s="1">
        <f>value(AUD!$B3572)</f>
        <v>0</v>
      </c>
      <c r="D3572" s="1">
        <f>value(EUR!$B3572)</f>
        <v>16720.03</v>
      </c>
      <c r="E3572" s="1">
        <f>value(GBP!$B3572)</f>
        <v>18344.25</v>
      </c>
      <c r="F3572" s="1">
        <f>value(CHF!$B3572)</f>
        <v>0</v>
      </c>
      <c r="G3572" s="1">
        <f>value(SGD!$B3572)</f>
        <v>0</v>
      </c>
      <c r="H3572" s="1">
        <f>value(MYR!$B3572)</f>
        <v>3422.46</v>
      </c>
      <c r="I3572" s="1">
        <f>value(THB!$B3572)</f>
        <v>456.2044</v>
      </c>
      <c r="J3572" s="1">
        <f>value(VND!$B3572)</f>
        <v>0</v>
      </c>
      <c r="K3572" s="1">
        <f>value(CNY!$B3572)</f>
        <v>0</v>
      </c>
      <c r="L3572" s="1">
        <f>value(HKD!$B3572)</f>
        <v>0</v>
      </c>
      <c r="M3572" s="1">
        <f>value(TWD!$B3572)</f>
        <v>0</v>
      </c>
      <c r="N3572" s="1">
        <f>value(JPY!$B3572)</f>
        <v>133.4785</v>
      </c>
      <c r="O3572" s="1">
        <f>value(SAR!$B3572)</f>
        <v>0</v>
      </c>
      <c r="P3572" s="1">
        <f>value(AED!$B3572)</f>
        <v>0</v>
      </c>
      <c r="Q3572" s="1">
        <f>value(KWD!$B3572)</f>
        <v>0</v>
      </c>
    </row>
    <row r="3573">
      <c r="A3573" s="4">
        <f>value(USD!A3573)</f>
        <v>43938.99861</v>
      </c>
      <c r="B3573" s="1">
        <f>value(USD!B3573)</f>
        <v>15446.31</v>
      </c>
      <c r="C3573" s="1">
        <f>value(AUD!$B3573)</f>
        <v>0</v>
      </c>
      <c r="D3573" s="1">
        <f>value(EUR!$B3573)</f>
        <v>16720.03</v>
      </c>
      <c r="E3573" s="1">
        <f>value(GBP!$B3573)</f>
        <v>18344.25</v>
      </c>
      <c r="F3573" s="1">
        <f>value(CHF!$B3573)</f>
        <v>0</v>
      </c>
      <c r="G3573" s="1">
        <f>value(SGD!$B3573)</f>
        <v>0</v>
      </c>
      <c r="H3573" s="1">
        <f>value(MYR!$B3573)</f>
        <v>3422.46</v>
      </c>
      <c r="I3573" s="1">
        <f>value(THB!$B3573)</f>
        <v>456.2044</v>
      </c>
      <c r="J3573" s="1">
        <f>value(VND!$B3573)</f>
        <v>0</v>
      </c>
      <c r="K3573" s="1">
        <f>value(CNY!$B3573)</f>
        <v>0</v>
      </c>
      <c r="L3573" s="1">
        <f>value(HKD!$B3573)</f>
        <v>0</v>
      </c>
      <c r="M3573" s="1">
        <f>value(TWD!$B3573)</f>
        <v>0</v>
      </c>
      <c r="N3573" s="1">
        <f>value(JPY!$B3573)</f>
        <v>133.4785</v>
      </c>
      <c r="O3573" s="1">
        <f>value(SAR!$B3573)</f>
        <v>0</v>
      </c>
      <c r="P3573" s="1">
        <f>value(AED!$B3573)</f>
        <v>0</v>
      </c>
      <c r="Q3573" s="1">
        <f>value(KWD!$B3573)</f>
        <v>0</v>
      </c>
    </row>
    <row r="3574">
      <c r="A3574" s="4">
        <f>value(USD!A3574)</f>
        <v>43939.99861</v>
      </c>
      <c r="B3574" s="1">
        <f>value(USD!B3574)</f>
        <v>15444.6</v>
      </c>
      <c r="C3574" s="1">
        <f>value(AUD!$B3574)</f>
        <v>0</v>
      </c>
      <c r="D3574" s="1">
        <f>value(EUR!$B3574)</f>
        <v>16710</v>
      </c>
      <c r="E3574" s="1">
        <f>value(GBP!$B3574)</f>
        <v>18344.25</v>
      </c>
      <c r="F3574" s="1">
        <f>value(CHF!$B3574)</f>
        <v>0</v>
      </c>
      <c r="G3574" s="1">
        <f>value(SGD!$B3574)</f>
        <v>0</v>
      </c>
      <c r="H3574" s="1">
        <f>value(MYR!$B3574)</f>
        <v>3422.46</v>
      </c>
      <c r="I3574" s="1">
        <f>value(THB!$B3574)</f>
        <v>456.2044</v>
      </c>
      <c r="J3574" s="1">
        <f>value(VND!$B3574)</f>
        <v>0</v>
      </c>
      <c r="K3574" s="1">
        <f>value(CNY!$B3574)</f>
        <v>0</v>
      </c>
      <c r="L3574" s="1">
        <f>value(HKD!$B3574)</f>
        <v>0</v>
      </c>
      <c r="M3574" s="1">
        <f>value(TWD!$B3574)</f>
        <v>0</v>
      </c>
      <c r="N3574" s="1">
        <f>value(JPY!$B3574)</f>
        <v>133.4785</v>
      </c>
      <c r="O3574" s="1">
        <f>value(SAR!$B3574)</f>
        <v>0</v>
      </c>
      <c r="P3574" s="1">
        <f>value(AED!$B3574)</f>
        <v>0</v>
      </c>
      <c r="Q3574" s="1">
        <f>value(KWD!$B3574)</f>
        <v>0</v>
      </c>
    </row>
    <row r="3575">
      <c r="A3575" s="4">
        <f>value(USD!A3575)</f>
        <v>43940.99861</v>
      </c>
      <c r="B3575" s="1">
        <f>value(USD!B3575)</f>
        <v>15430</v>
      </c>
      <c r="C3575" s="1">
        <f>value(AUD!$B3575)</f>
        <v>0</v>
      </c>
      <c r="D3575" s="1">
        <f>value(EUR!$B3575)</f>
        <v>16722</v>
      </c>
      <c r="E3575" s="1">
        <f>value(GBP!$B3575)</f>
        <v>18344.25</v>
      </c>
      <c r="F3575" s="1">
        <f>value(CHF!$B3575)</f>
        <v>0</v>
      </c>
      <c r="G3575" s="1">
        <f>value(SGD!$B3575)</f>
        <v>0</v>
      </c>
      <c r="H3575" s="1">
        <f>value(MYR!$B3575)</f>
        <v>3422.46</v>
      </c>
      <c r="I3575" s="1">
        <f>value(THB!$B3575)</f>
        <v>456.2044</v>
      </c>
      <c r="J3575" s="1">
        <f>value(VND!$B3575)</f>
        <v>0</v>
      </c>
      <c r="K3575" s="1">
        <f>value(CNY!$B3575)</f>
        <v>0</v>
      </c>
      <c r="L3575" s="1">
        <f>value(HKD!$B3575)</f>
        <v>0</v>
      </c>
      <c r="M3575" s="1">
        <f>value(TWD!$B3575)</f>
        <v>0</v>
      </c>
      <c r="N3575" s="1">
        <f>value(JPY!$B3575)</f>
        <v>133.4785</v>
      </c>
      <c r="O3575" s="1">
        <f>value(SAR!$B3575)</f>
        <v>0</v>
      </c>
      <c r="P3575" s="1">
        <f>value(AED!$B3575)</f>
        <v>0</v>
      </c>
      <c r="Q3575" s="1">
        <f>value(KWD!$B3575)</f>
        <v>0</v>
      </c>
    </row>
    <row r="3576">
      <c r="A3576" s="4">
        <f>value(USD!A3576)</f>
        <v>43941.99861</v>
      </c>
      <c r="B3576" s="1">
        <f>value(USD!B3576)</f>
        <v>15381.66</v>
      </c>
      <c r="C3576" s="1">
        <f>value(AUD!$B3576)</f>
        <v>0</v>
      </c>
      <c r="D3576" s="1">
        <f>value(EUR!$B3576)</f>
        <v>16670</v>
      </c>
      <c r="E3576" s="1">
        <f>value(GBP!$B3576)</f>
        <v>18344.25</v>
      </c>
      <c r="F3576" s="1">
        <f>value(CHF!$B3576)</f>
        <v>0</v>
      </c>
      <c r="G3576" s="1">
        <f>value(SGD!$B3576)</f>
        <v>0</v>
      </c>
      <c r="H3576" s="1">
        <f>value(MYR!$B3576)</f>
        <v>3422.46</v>
      </c>
      <c r="I3576" s="1">
        <f>value(THB!$B3576)</f>
        <v>456.2044</v>
      </c>
      <c r="J3576" s="1">
        <f>value(VND!$B3576)</f>
        <v>0</v>
      </c>
      <c r="K3576" s="1">
        <f>value(CNY!$B3576)</f>
        <v>0</v>
      </c>
      <c r="L3576" s="1">
        <f>value(HKD!$B3576)</f>
        <v>0</v>
      </c>
      <c r="M3576" s="1">
        <f>value(TWD!$B3576)</f>
        <v>0</v>
      </c>
      <c r="N3576" s="1">
        <f>value(JPY!$B3576)</f>
        <v>133.4785</v>
      </c>
      <c r="O3576" s="1">
        <f>value(SAR!$B3576)</f>
        <v>0</v>
      </c>
      <c r="P3576" s="1">
        <f>value(AED!$B3576)</f>
        <v>0</v>
      </c>
      <c r="Q3576" s="1">
        <f>value(KWD!$B3576)</f>
        <v>0</v>
      </c>
    </row>
    <row r="3577">
      <c r="A3577" s="4">
        <f>value(USD!A3577)</f>
        <v>43942.99861</v>
      </c>
      <c r="B3577" s="1">
        <f>value(USD!B3577)</f>
        <v>15403.51</v>
      </c>
      <c r="C3577" s="1">
        <f>value(AUD!$B3577)</f>
        <v>0</v>
      </c>
      <c r="D3577" s="1">
        <f>value(EUR!$B3577)</f>
        <v>16600</v>
      </c>
      <c r="E3577" s="1">
        <f>value(GBP!$B3577)</f>
        <v>18344.25</v>
      </c>
      <c r="F3577" s="1">
        <f>value(CHF!$B3577)</f>
        <v>0</v>
      </c>
      <c r="G3577" s="1">
        <f>value(SGD!$B3577)</f>
        <v>0</v>
      </c>
      <c r="H3577" s="1">
        <f>value(MYR!$B3577)</f>
        <v>3422.46</v>
      </c>
      <c r="I3577" s="1">
        <f>value(THB!$B3577)</f>
        <v>456.2044</v>
      </c>
      <c r="J3577" s="1">
        <f>value(VND!$B3577)</f>
        <v>0</v>
      </c>
      <c r="K3577" s="1">
        <f>value(CNY!$B3577)</f>
        <v>0</v>
      </c>
      <c r="L3577" s="1">
        <f>value(HKD!$B3577)</f>
        <v>0</v>
      </c>
      <c r="M3577" s="1">
        <f>value(TWD!$B3577)</f>
        <v>0</v>
      </c>
      <c r="N3577" s="1">
        <f>value(JPY!$B3577)</f>
        <v>133.4785</v>
      </c>
      <c r="O3577" s="1">
        <f>value(SAR!$B3577)</f>
        <v>0</v>
      </c>
      <c r="P3577" s="1">
        <f>value(AED!$B3577)</f>
        <v>0</v>
      </c>
      <c r="Q3577" s="1">
        <f>value(KWD!$B3577)</f>
        <v>0</v>
      </c>
    </row>
    <row r="3578">
      <c r="A3578" s="4">
        <f>value(USD!A3578)</f>
        <v>43943.99861</v>
      </c>
      <c r="B3578" s="1">
        <f>value(USD!B3578)</f>
        <v>15413.24</v>
      </c>
      <c r="C3578" s="1">
        <f>value(AUD!$B3578)</f>
        <v>0</v>
      </c>
      <c r="D3578" s="1">
        <f>value(EUR!$B3578)</f>
        <v>16613</v>
      </c>
      <c r="E3578" s="1">
        <f>value(GBP!$B3578)</f>
        <v>18344.25</v>
      </c>
      <c r="F3578" s="1">
        <f>value(CHF!$B3578)</f>
        <v>0</v>
      </c>
      <c r="G3578" s="1">
        <f>value(SGD!$B3578)</f>
        <v>0</v>
      </c>
      <c r="H3578" s="1">
        <f>value(MYR!$B3578)</f>
        <v>3422.46</v>
      </c>
      <c r="I3578" s="1">
        <f>value(THB!$B3578)</f>
        <v>456.2044</v>
      </c>
      <c r="J3578" s="1">
        <f>value(VND!$B3578)</f>
        <v>0</v>
      </c>
      <c r="K3578" s="1">
        <f>value(CNY!$B3578)</f>
        <v>0</v>
      </c>
      <c r="L3578" s="1">
        <f>value(HKD!$B3578)</f>
        <v>0</v>
      </c>
      <c r="M3578" s="1">
        <f>value(TWD!$B3578)</f>
        <v>0</v>
      </c>
      <c r="N3578" s="1">
        <f>value(JPY!$B3578)</f>
        <v>133.4785</v>
      </c>
      <c r="O3578" s="1">
        <f>value(SAR!$B3578)</f>
        <v>0</v>
      </c>
      <c r="P3578" s="1">
        <f>value(AED!$B3578)</f>
        <v>0</v>
      </c>
      <c r="Q3578" s="1">
        <f>value(KWD!$B3578)</f>
        <v>0</v>
      </c>
    </row>
    <row r="3579">
      <c r="A3579" s="4">
        <f>value(USD!A3579)</f>
        <v>43944.99861</v>
      </c>
      <c r="B3579" s="1">
        <f>value(USD!B3579)</f>
        <v>15401.23</v>
      </c>
      <c r="C3579" s="1">
        <f>value(AUD!$B3579)</f>
        <v>0</v>
      </c>
      <c r="D3579" s="1">
        <f>value(EUR!$B3579)</f>
        <v>16613</v>
      </c>
      <c r="E3579" s="1">
        <f>value(GBP!$B3579)</f>
        <v>18344.25</v>
      </c>
      <c r="F3579" s="1">
        <f>value(CHF!$B3579)</f>
        <v>0</v>
      </c>
      <c r="G3579" s="1">
        <f>value(SGD!$B3579)</f>
        <v>0</v>
      </c>
      <c r="H3579" s="1">
        <f>value(MYR!$B3579)</f>
        <v>3422.46</v>
      </c>
      <c r="I3579" s="1">
        <f>value(THB!$B3579)</f>
        <v>456.2044</v>
      </c>
      <c r="J3579" s="1">
        <f>value(VND!$B3579)</f>
        <v>0</v>
      </c>
      <c r="K3579" s="1">
        <f>value(CNY!$B3579)</f>
        <v>0</v>
      </c>
      <c r="L3579" s="1">
        <f>value(HKD!$B3579)</f>
        <v>0</v>
      </c>
      <c r="M3579" s="1">
        <f>value(TWD!$B3579)</f>
        <v>0</v>
      </c>
      <c r="N3579" s="1">
        <f>value(JPY!$B3579)</f>
        <v>133.4785</v>
      </c>
      <c r="O3579" s="1">
        <f>value(SAR!$B3579)</f>
        <v>0</v>
      </c>
      <c r="P3579" s="1">
        <f>value(AED!$B3579)</f>
        <v>0</v>
      </c>
      <c r="Q3579" s="1">
        <f>value(KWD!$B3579)</f>
        <v>0</v>
      </c>
    </row>
    <row r="3580">
      <c r="A3580" s="4">
        <f>value(USD!A3580)</f>
        <v>43945.99861</v>
      </c>
      <c r="B3580" s="1">
        <f>value(USD!B3580)</f>
        <v>15587.9</v>
      </c>
      <c r="C3580" s="1">
        <f>value(AUD!$B3580)</f>
        <v>0</v>
      </c>
      <c r="D3580" s="1">
        <f>value(EUR!$B3580)</f>
        <v>16613</v>
      </c>
      <c r="E3580" s="1">
        <f>value(GBP!$B3580)</f>
        <v>18344.25</v>
      </c>
      <c r="F3580" s="1">
        <f>value(CHF!$B3580)</f>
        <v>0</v>
      </c>
      <c r="G3580" s="1">
        <f>value(SGD!$B3580)</f>
        <v>0</v>
      </c>
      <c r="H3580" s="1">
        <f>value(MYR!$B3580)</f>
        <v>3422.46</v>
      </c>
      <c r="I3580" s="1">
        <f>value(THB!$B3580)</f>
        <v>456.2044</v>
      </c>
      <c r="J3580" s="1">
        <f>value(VND!$B3580)</f>
        <v>0</v>
      </c>
      <c r="K3580" s="1">
        <f>value(CNY!$B3580)</f>
        <v>0</v>
      </c>
      <c r="L3580" s="1">
        <f>value(HKD!$B3580)</f>
        <v>0</v>
      </c>
      <c r="M3580" s="1">
        <f>value(TWD!$B3580)</f>
        <v>0</v>
      </c>
      <c r="N3580" s="1">
        <f>value(JPY!$B3580)</f>
        <v>133.4785</v>
      </c>
      <c r="O3580" s="1">
        <f>value(SAR!$B3580)</f>
        <v>0</v>
      </c>
      <c r="P3580" s="1">
        <f>value(AED!$B3580)</f>
        <v>0</v>
      </c>
      <c r="Q3580" s="1">
        <f>value(KWD!$B3580)</f>
        <v>0</v>
      </c>
    </row>
    <row r="3581">
      <c r="A3581" s="4">
        <f>value(USD!A3581)</f>
        <v>43946.99861</v>
      </c>
      <c r="B3581" s="1">
        <f>value(USD!B3581)</f>
        <v>15563.1</v>
      </c>
      <c r="C3581" s="1">
        <f>value(AUD!$B3581)</f>
        <v>0</v>
      </c>
      <c r="D3581" s="1">
        <f>value(EUR!$B3581)</f>
        <v>16613</v>
      </c>
      <c r="E3581" s="1">
        <f>value(GBP!$B3581)</f>
        <v>18344.25</v>
      </c>
      <c r="F3581" s="1">
        <f>value(CHF!$B3581)</f>
        <v>0</v>
      </c>
      <c r="G3581" s="1">
        <f>value(SGD!$B3581)</f>
        <v>0</v>
      </c>
      <c r="H3581" s="1">
        <f>value(MYR!$B3581)</f>
        <v>3422.46</v>
      </c>
      <c r="I3581" s="1">
        <f>value(THB!$B3581)</f>
        <v>456.2044</v>
      </c>
      <c r="J3581" s="1">
        <f>value(VND!$B3581)</f>
        <v>0</v>
      </c>
      <c r="K3581" s="1">
        <f>value(CNY!$B3581)</f>
        <v>0</v>
      </c>
      <c r="L3581" s="1">
        <f>value(HKD!$B3581)</f>
        <v>0</v>
      </c>
      <c r="M3581" s="1">
        <f>value(TWD!$B3581)</f>
        <v>0</v>
      </c>
      <c r="N3581" s="1">
        <f>value(JPY!$B3581)</f>
        <v>133.4785</v>
      </c>
      <c r="O3581" s="1">
        <f>value(SAR!$B3581)</f>
        <v>0</v>
      </c>
      <c r="P3581" s="1">
        <f>value(AED!$B3581)</f>
        <v>0</v>
      </c>
      <c r="Q3581" s="1">
        <f>value(KWD!$B3581)</f>
        <v>0</v>
      </c>
    </row>
    <row r="3582">
      <c r="A3582" s="4">
        <f>value(USD!A3582)</f>
        <v>43947.99861</v>
      </c>
      <c r="B3582" s="1">
        <f>value(USD!B3582)</f>
        <v>15353.36</v>
      </c>
      <c r="C3582" s="1">
        <f>value(AUD!$B3582)</f>
        <v>0</v>
      </c>
      <c r="D3582" s="1">
        <f>value(EUR!$B3582)</f>
        <v>0</v>
      </c>
      <c r="E3582" s="1">
        <f>value(GBP!$B3582)</f>
        <v>0</v>
      </c>
      <c r="F3582" s="1">
        <f>value(CHF!$B3582)</f>
        <v>0</v>
      </c>
      <c r="G3582" s="1">
        <f>value(SGD!$B3582)</f>
        <v>0</v>
      </c>
      <c r="H3582" s="1">
        <f>value(MYR!$B3582)</f>
        <v>0</v>
      </c>
      <c r="I3582" s="1">
        <f>value(THB!$B3582)</f>
        <v>0</v>
      </c>
      <c r="J3582" s="1">
        <f>value(VND!$B3582)</f>
        <v>0</v>
      </c>
      <c r="K3582" s="1">
        <f>value(CNY!$B3582)</f>
        <v>0</v>
      </c>
      <c r="L3582" s="1">
        <f>value(HKD!$B3582)</f>
        <v>0</v>
      </c>
      <c r="M3582" s="1">
        <f>value(TWD!$B3582)</f>
        <v>0</v>
      </c>
      <c r="N3582" s="1">
        <f>value(JPY!$B3582)</f>
        <v>0</v>
      </c>
      <c r="O3582" s="1">
        <f>value(SAR!$B3582)</f>
        <v>0</v>
      </c>
      <c r="P3582" s="1">
        <f>value(AED!$B3582)</f>
        <v>0</v>
      </c>
      <c r="Q3582" s="1">
        <f>value(KWD!$B3582)</f>
        <v>0</v>
      </c>
    </row>
    <row r="3583">
      <c r="A3583" s="4">
        <f>value(USD!A3583)</f>
        <v>43948.99861</v>
      </c>
      <c r="B3583" s="1">
        <f>value(USD!B3583)</f>
        <v>15317</v>
      </c>
      <c r="C3583" s="1">
        <f>value(AUD!$B3583)</f>
        <v>0</v>
      </c>
      <c r="D3583" s="1">
        <f>value(EUR!$B3583)</f>
        <v>0</v>
      </c>
      <c r="E3583" s="1">
        <f>value(GBP!$B3583)</f>
        <v>0</v>
      </c>
      <c r="F3583" s="1">
        <f>value(CHF!$B3583)</f>
        <v>0</v>
      </c>
      <c r="G3583" s="1">
        <f>value(SGD!$B3583)</f>
        <v>0</v>
      </c>
      <c r="H3583" s="1">
        <f>value(MYR!$B3583)</f>
        <v>0</v>
      </c>
      <c r="I3583" s="1">
        <f>value(THB!$B3583)</f>
        <v>0</v>
      </c>
      <c r="J3583" s="1">
        <f>value(VND!$B3583)</f>
        <v>0</v>
      </c>
      <c r="K3583" s="1">
        <f>value(CNY!$B3583)</f>
        <v>0</v>
      </c>
      <c r="L3583" s="1">
        <f>value(HKD!$B3583)</f>
        <v>0</v>
      </c>
      <c r="M3583" s="1">
        <f>value(TWD!$B3583)</f>
        <v>0</v>
      </c>
      <c r="N3583" s="1">
        <f>value(JPY!$B3583)</f>
        <v>0</v>
      </c>
      <c r="O3583" s="1">
        <f>value(SAR!$B3583)</f>
        <v>0</v>
      </c>
      <c r="P3583" s="1">
        <f>value(AED!$B3583)</f>
        <v>0</v>
      </c>
      <c r="Q3583" s="1">
        <f>value(KWD!$B3583)</f>
        <v>0</v>
      </c>
    </row>
  </sheetData>
  <drawing r:id="rId1"/>
</worksheet>
</file>